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Pieter\Desktop\Other\Useful\Acquisitions\"/>
    </mc:Choice>
  </mc:AlternateContent>
  <xr:revisionPtr revIDLastSave="0" documentId="8_{905792F0-3905-4E3F-BDD8-58C4D9FE8A37}" xr6:coauthVersionLast="47" xr6:coauthVersionMax="47" xr10:uidLastSave="{00000000-0000-0000-0000-000000000000}"/>
  <bookViews>
    <workbookView xWindow="-120" yWindow="-120" windowWidth="38640" windowHeight="21240" tabRatio="759" xr2:uid="{8C849DDC-566B-4672-9305-1CA41C69F613}"/>
  </bookViews>
  <sheets>
    <sheet name="Merger Model" sheetId="26" r:id="rId1"/>
    <sheet name="Founder Waterfall" sheetId="40" r:id="rId2"/>
    <sheet name="Detailed Cap Table 11.12.21 (wi" sheetId="41" r:id="rId3"/>
    <sheet name="LogRocket&gt;" sheetId="32" r:id="rId4"/>
    <sheet name="MD&amp;A" sheetId="33" r:id="rId5"/>
    <sheet name="Assumptions" sheetId="34" r:id="rId6"/>
    <sheet name="Functional P&amp;L" sheetId="35" r:id="rId7"/>
    <sheet name="Bookings Build" sheetId="36" r:id="rId8"/>
    <sheet name="Revenue Build" sheetId="37" r:id="rId9"/>
    <sheet name="Expense Build" sheetId="38" r:id="rId10"/>
    <sheet name="Cash Summary" sheetId="39" r:id="rId11"/>
    <sheet name="Synergy&gt;&gt;" sheetId="31" r:id="rId12"/>
    <sheet name="Overview" sheetId="28" r:id="rId13"/>
    <sheet name="Model" sheetId="29" r:id="rId14"/>
    <sheet name="Bookings Waterfall" sheetId="30" r:id="rId15"/>
    <sheet name="Pendo&gt;&gt;" sheetId="27" r:id="rId16"/>
    <sheet name="Presentation" sheetId="25" r:id="rId17"/>
    <sheet name="Q Preso" sheetId="7" r:id="rId18"/>
    <sheet name="Forecast -&gt;" sheetId="12" r:id="rId19"/>
    <sheet name="Forecast" sheetId="1" r:id="rId20"/>
    <sheet name="ARR" sheetId="15" r:id="rId21"/>
    <sheet name="Expenses" sheetId="11" r:id="rId22"/>
    <sheet name="Products" sheetId="19" r:id="rId23"/>
    <sheet name="Geo" sheetId="21" r:id="rId24"/>
    <sheet name="Intacct -&gt;" sheetId="5" r:id="rId25"/>
    <sheet name="Pendo - Balance Sheet" sheetId="4" r:id="rId26"/>
    <sheet name="JK -&gt;" sheetId="10" r:id="rId27"/>
    <sheet name="Product Mix" sheetId="9" r:id="rId28"/>
    <sheet name="Other -&gt;" sheetId="14" r:id="rId29"/>
    <sheet name="ASC606" sheetId="24" r:id="rId30"/>
    <sheet name="Expense Details" sheetId="13" r:id="rId31"/>
    <sheet name="ARR Looker" sheetId="17" r:id="rId32"/>
    <sheet name="Prod Looker" sheetId="22" r:id="rId33"/>
    <sheet name="Region Looker" sheetId="23" r:id="rId34"/>
    <sheet name="22 Fcst ARR" sheetId="18" r:id="rId35"/>
    <sheet name="Historical P&amp;L Adj" sheetId="2" r:id="rId36"/>
    <sheet name="Graveyard -&gt;" sheetId="20" r:id="rId37"/>
    <sheet name="Products - Old" sheetId="8" r:id="rId38"/>
  </sheets>
  <definedNames>
    <definedName name="_xlnm._FilterDatabase" localSheetId="14" hidden="1">'Bookings Waterfall'!$A$1:$BQ$49</definedName>
    <definedName name="_xlnm._FilterDatabase" localSheetId="2" hidden="1">'Detailed Cap Table 11.12.21 (wi'!$A$4:$M$133</definedName>
    <definedName name="_xlnm._FilterDatabase" localSheetId="30" hidden="1">'Expense Details'!$A$67:$AR$287</definedName>
    <definedName name="CIQWBGuid" hidden="1">"73306532-114f-435d-94c9-b8e6661a7e27"</definedName>
    <definedName name="CIQWBInfo" hidden="1">"{ ""CIQVersion"":""9.47.1108.4092"" }"</definedName>
    <definedName name="IQ_CH">110000</definedName>
    <definedName name="IQ_CQ">5000</definedName>
    <definedName name="IQ_CY">10000</definedName>
    <definedName name="IQ_DAILY">500000</definedName>
    <definedName name="IQ_DNTM" hidden="1">700000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MTD" hidden="1">800000</definedName>
    <definedName name="IQ_NAMES_REVISION_DATE_" localSheetId="0" hidden="1">44391.7459027778</definedName>
    <definedName name="IQ_NAMES_REVISION_DATE_" hidden="1">44391.7459027778</definedName>
    <definedName name="IQ_NTM">6000</definedName>
    <definedName name="IQ_QTD" hidden="1">750000</definedName>
    <definedName name="IQ_TODAY" hidden="1">0</definedName>
    <definedName name="IQ_WEEK">50000</definedName>
    <definedName name="IQ_YTD">3000</definedName>
    <definedName name="IQ_YTDMONTH" hidden="1">130000</definedName>
    <definedName name="k">'Merger Model'!$A$2</definedName>
    <definedName name="mm">'Merger Model'!$A$1</definedName>
    <definedName name="_xlnm.Print_Area" localSheetId="5">Assumptions!$A$1:$AB$76</definedName>
    <definedName name="_xlnm.Print_Area" localSheetId="7">'Bookings Build'!$A$1:$AJ$162</definedName>
    <definedName name="_xlnm.Print_Area" localSheetId="9">'Expense Build'!$A$1:$AI$116</definedName>
    <definedName name="_xlnm.Print_Area" localSheetId="6">'Functional P&amp;L'!$A$1:$AL$55</definedName>
    <definedName name="solver_adj" localSheetId="29" hidden="1">'ASC606'!$F$10</definedName>
    <definedName name="solver_cvg" localSheetId="29" hidden="1">0.0001</definedName>
    <definedName name="solver_drv" localSheetId="29" hidden="1">1</definedName>
    <definedName name="solver_eng" localSheetId="29" hidden="1">1</definedName>
    <definedName name="solver_itr" localSheetId="29" hidden="1">2147483647</definedName>
    <definedName name="solver_lin" localSheetId="29" hidden="1">2</definedName>
    <definedName name="solver_mip" localSheetId="29" hidden="1">2147483647</definedName>
    <definedName name="solver_mni" localSheetId="29" hidden="1">30</definedName>
    <definedName name="solver_mrt" localSheetId="29" hidden="1">0.075</definedName>
    <definedName name="solver_msl" localSheetId="29" hidden="1">2</definedName>
    <definedName name="solver_neg" localSheetId="29" hidden="1">1</definedName>
    <definedName name="solver_nod" localSheetId="29" hidden="1">2147483647</definedName>
    <definedName name="solver_num" localSheetId="29" hidden="1">0</definedName>
    <definedName name="solver_opt" localSheetId="29" hidden="1">'ASC606'!$F$16</definedName>
    <definedName name="solver_pre" localSheetId="29" hidden="1">0.000001</definedName>
    <definedName name="solver_rbv" localSheetId="29" hidden="1">1</definedName>
    <definedName name="solver_rlx" localSheetId="29" hidden="1">1</definedName>
    <definedName name="solver_rsd" localSheetId="29" hidden="1">0</definedName>
    <definedName name="solver_scl" localSheetId="29" hidden="1">2</definedName>
    <definedName name="solver_sho" localSheetId="29" hidden="1">2</definedName>
    <definedName name="solver_ssz" localSheetId="29" hidden="1">100</definedName>
    <definedName name="solver_tim" localSheetId="29" hidden="1">2147483647</definedName>
    <definedName name="solver_tol" localSheetId="29" hidden="1">0.01</definedName>
    <definedName name="solver_typ" localSheetId="29" hidden="1">3</definedName>
    <definedName name="solver_val" localSheetId="29" hidden="1">3111327</definedName>
    <definedName name="solver_ver" localSheetId="29" hidden="1">2</definedName>
  </definedNames>
  <calcPr calcId="191029" calcMode="autoNoTable" iterate="1" iterateCount="500"/>
  <pivotCaches>
    <pivotCache cacheId="2" r:id="rId3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255" i="26" l="1"/>
  <c r="Q245" i="26"/>
  <c r="S246" i="26"/>
  <c r="Q246" i="26"/>
  <c r="Q236" i="26"/>
  <c r="M255" i="26"/>
  <c r="L255" i="26"/>
  <c r="T255" i="26" s="1"/>
  <c r="K255" i="26"/>
  <c r="S255" i="26" s="1"/>
  <c r="J255" i="26"/>
  <c r="R255" i="26" s="1"/>
  <c r="I255" i="26"/>
  <c r="Q255" i="26" s="1"/>
  <c r="I266" i="26"/>
  <c r="J266" i="26"/>
  <c r="K266" i="26"/>
  <c r="L266" i="26"/>
  <c r="M266" i="26"/>
  <c r="N266" i="26"/>
  <c r="O266" i="26"/>
  <c r="I267" i="26"/>
  <c r="J267" i="26"/>
  <c r="K267" i="26"/>
  <c r="L267" i="26"/>
  <c r="M267" i="26"/>
  <c r="N267" i="26"/>
  <c r="O267" i="26"/>
  <c r="I268" i="26"/>
  <c r="J268" i="26"/>
  <c r="K268" i="26"/>
  <c r="L268" i="26"/>
  <c r="M268" i="26"/>
  <c r="N268" i="26"/>
  <c r="O268" i="26"/>
  <c r="I269" i="26"/>
  <c r="J269" i="26"/>
  <c r="K269" i="26"/>
  <c r="L269" i="26"/>
  <c r="M269" i="26"/>
  <c r="N269" i="26"/>
  <c r="O269" i="26"/>
  <c r="M246" i="26"/>
  <c r="U246" i="26" s="1"/>
  <c r="L246" i="26"/>
  <c r="T246" i="26" s="1"/>
  <c r="K246" i="26"/>
  <c r="J246" i="26"/>
  <c r="R246" i="26" s="1"/>
  <c r="I246" i="26"/>
  <c r="K237" i="26"/>
  <c r="S237" i="26" s="1"/>
  <c r="J237" i="26"/>
  <c r="R237" i="26" s="1"/>
  <c r="I237" i="26"/>
  <c r="Q237" i="26" s="1"/>
  <c r="M237" i="26"/>
  <c r="U237" i="26" s="1"/>
  <c r="J219" i="26"/>
  <c r="K219" i="26" s="1"/>
  <c r="L219" i="26" s="1"/>
  <c r="M219" i="26" s="1"/>
  <c r="N219" i="26" s="1"/>
  <c r="O219" i="26" s="1"/>
  <c r="J200" i="26"/>
  <c r="K198" i="26" s="1"/>
  <c r="F226" i="26"/>
  <c r="K225" i="26"/>
  <c r="L225" i="26" s="1"/>
  <c r="M225" i="26" s="1"/>
  <c r="N225" i="26" s="1"/>
  <c r="O225" i="26" s="1"/>
  <c r="J193" i="26"/>
  <c r="K193" i="26" s="1"/>
  <c r="L193" i="26" s="1"/>
  <c r="M193" i="26" s="1"/>
  <c r="N193" i="26" s="1"/>
  <c r="O193" i="26" s="1"/>
  <c r="O213" i="26"/>
  <c r="N213" i="26"/>
  <c r="J211" i="26"/>
  <c r="O210" i="26"/>
  <c r="N210" i="26"/>
  <c r="M210" i="26"/>
  <c r="J210" i="26"/>
  <c r="J209" i="26"/>
  <c r="J208" i="26"/>
  <c r="AG211" i="26"/>
  <c r="AH211" i="26"/>
  <c r="AI211" i="26"/>
  <c r="AJ211" i="26"/>
  <c r="AK211" i="26"/>
  <c r="AL211" i="26"/>
  <c r="AM211" i="26"/>
  <c r="AN211" i="26"/>
  <c r="AO211" i="26"/>
  <c r="AP211" i="26"/>
  <c r="AQ211" i="26"/>
  <c r="AR211" i="26"/>
  <c r="AS211" i="26"/>
  <c r="AT211" i="26"/>
  <c r="AU211" i="26"/>
  <c r="AV211" i="26"/>
  <c r="AW211" i="26"/>
  <c r="AX211" i="26"/>
  <c r="AY211" i="26"/>
  <c r="AZ211" i="26"/>
  <c r="T179" i="26"/>
  <c r="U179" i="26" s="1"/>
  <c r="V179" i="26" s="1"/>
  <c r="W179" i="26" s="1"/>
  <c r="X179" i="26" s="1"/>
  <c r="Y179" i="26" s="1"/>
  <c r="Z179" i="26" s="1"/>
  <c r="AA179" i="26" s="1"/>
  <c r="AB179" i="26" s="1"/>
  <c r="AC179" i="26" s="1"/>
  <c r="AD179" i="26" s="1"/>
  <c r="AE179" i="26" s="1"/>
  <c r="AF179" i="26" s="1"/>
  <c r="AG179" i="26" s="1"/>
  <c r="AH179" i="26" s="1"/>
  <c r="AI179" i="26" s="1"/>
  <c r="AJ179" i="26" s="1"/>
  <c r="AK179" i="26" s="1"/>
  <c r="AL179" i="26" s="1"/>
  <c r="AM179" i="26" s="1"/>
  <c r="AN179" i="26" s="1"/>
  <c r="AO179" i="26" s="1"/>
  <c r="AP179" i="26" s="1"/>
  <c r="AQ179" i="26" s="1"/>
  <c r="AR179" i="26" s="1"/>
  <c r="AS179" i="26" s="1"/>
  <c r="AT179" i="26" s="1"/>
  <c r="AU179" i="26" s="1"/>
  <c r="AV179" i="26" s="1"/>
  <c r="AW179" i="26" s="1"/>
  <c r="AX179" i="26" s="1"/>
  <c r="AY179" i="26" s="1"/>
  <c r="AZ179" i="26" s="1"/>
  <c r="H179" i="26"/>
  <c r="I179" i="26" s="1"/>
  <c r="J179" i="26" s="1"/>
  <c r="K179" i="26" s="1"/>
  <c r="L179" i="26" s="1"/>
  <c r="M179" i="26" s="1"/>
  <c r="N179" i="26" s="1"/>
  <c r="O179" i="26" s="1"/>
  <c r="AW145" i="26"/>
  <c r="AX145" i="26" s="1"/>
  <c r="AY145" i="26" s="1"/>
  <c r="AZ145" i="26" s="1"/>
  <c r="AS145" i="26"/>
  <c r="AT145" i="26" s="1"/>
  <c r="AU145" i="26" s="1"/>
  <c r="AV145" i="26" s="1"/>
  <c r="AO145" i="26"/>
  <c r="AP145" i="26" s="1"/>
  <c r="AQ145" i="26" s="1"/>
  <c r="AR145" i="26" s="1"/>
  <c r="AW143" i="26"/>
  <c r="AX143" i="26" s="1"/>
  <c r="AY143" i="26" s="1"/>
  <c r="AZ143" i="26" s="1"/>
  <c r="AS143" i="26"/>
  <c r="AT143" i="26" s="1"/>
  <c r="AU143" i="26" s="1"/>
  <c r="AV143" i="26" s="1"/>
  <c r="AO143" i="26"/>
  <c r="AP143" i="26" s="1"/>
  <c r="AQ143" i="26" s="1"/>
  <c r="AR143" i="26" s="1"/>
  <c r="K150" i="26"/>
  <c r="K149" i="26" s="1"/>
  <c r="L150" i="26"/>
  <c r="L149" i="26" s="1"/>
  <c r="M150" i="26"/>
  <c r="M149" i="26" s="1"/>
  <c r="N150" i="26"/>
  <c r="N149" i="26" s="1"/>
  <c r="O150" i="26"/>
  <c r="O149" i="26" s="1"/>
  <c r="K151" i="26"/>
  <c r="L151" i="26"/>
  <c r="M151" i="26"/>
  <c r="N151" i="26"/>
  <c r="O151" i="26"/>
  <c r="K152" i="26"/>
  <c r="L152" i="26"/>
  <c r="M152" i="26"/>
  <c r="N152" i="26"/>
  <c r="O152" i="26"/>
  <c r="AG150" i="26"/>
  <c r="AG149" i="26" s="1"/>
  <c r="AH150" i="26"/>
  <c r="AH149" i="26" s="1"/>
  <c r="AI150" i="26"/>
  <c r="AI149" i="26" s="1"/>
  <c r="AJ150" i="26"/>
  <c r="AJ149" i="26" s="1"/>
  <c r="AK150" i="26"/>
  <c r="AK149" i="26" s="1"/>
  <c r="AL150" i="26"/>
  <c r="AL149" i="26" s="1"/>
  <c r="AM150" i="26"/>
  <c r="AM149" i="26" s="1"/>
  <c r="AN150" i="26"/>
  <c r="AN149" i="26" s="1"/>
  <c r="AO150" i="26"/>
  <c r="AO149" i="26" s="1"/>
  <c r="AP150" i="26"/>
  <c r="AP149" i="26" s="1"/>
  <c r="AQ150" i="26"/>
  <c r="AQ149" i="26" s="1"/>
  <c r="AR150" i="26"/>
  <c r="AR149" i="26" s="1"/>
  <c r="AS150" i="26"/>
  <c r="AS149" i="26" s="1"/>
  <c r="AT150" i="26"/>
  <c r="AT149" i="26" s="1"/>
  <c r="AU150" i="26"/>
  <c r="AU149" i="26" s="1"/>
  <c r="AV150" i="26"/>
  <c r="AV149" i="26" s="1"/>
  <c r="AW150" i="26"/>
  <c r="AW149" i="26" s="1"/>
  <c r="AX150" i="26"/>
  <c r="AX149" i="26" s="1"/>
  <c r="AY150" i="26"/>
  <c r="AY149" i="26" s="1"/>
  <c r="AZ150" i="26"/>
  <c r="AZ149" i="26" s="1"/>
  <c r="AG151" i="26"/>
  <c r="AH151" i="26"/>
  <c r="AI151" i="26"/>
  <c r="AJ151" i="26"/>
  <c r="AK151" i="26"/>
  <c r="AL151" i="26"/>
  <c r="AM151" i="26"/>
  <c r="AN151" i="26"/>
  <c r="AO151" i="26"/>
  <c r="AP151" i="26"/>
  <c r="AQ151" i="26"/>
  <c r="AR151" i="26"/>
  <c r="AS151" i="26"/>
  <c r="AT151" i="26"/>
  <c r="AU151" i="26"/>
  <c r="AV151" i="26"/>
  <c r="AW151" i="26"/>
  <c r="AX151" i="26"/>
  <c r="AY151" i="26"/>
  <c r="AZ151" i="26"/>
  <c r="AG152" i="26"/>
  <c r="AH152" i="26"/>
  <c r="AI152" i="26"/>
  <c r="AJ152" i="26"/>
  <c r="AK152" i="26"/>
  <c r="AL152" i="26"/>
  <c r="AM152" i="26"/>
  <c r="AN152" i="26"/>
  <c r="AO152" i="26"/>
  <c r="AP152" i="26"/>
  <c r="AQ152" i="26"/>
  <c r="AR152" i="26"/>
  <c r="AS152" i="26"/>
  <c r="AT152" i="26"/>
  <c r="AU152" i="26"/>
  <c r="AV152" i="26"/>
  <c r="AW152" i="26"/>
  <c r="AX152" i="26"/>
  <c r="AY152" i="26"/>
  <c r="AZ152" i="26"/>
  <c r="T91" i="26"/>
  <c r="S91" i="26" s="1"/>
  <c r="R91" i="26" s="1"/>
  <c r="Q91" i="26" s="1"/>
  <c r="H91" i="26"/>
  <c r="I91" i="26" s="1"/>
  <c r="J91" i="26" s="1"/>
  <c r="K91" i="26" s="1"/>
  <c r="L91" i="26" s="1"/>
  <c r="M91" i="26" s="1"/>
  <c r="N91" i="26" s="1"/>
  <c r="O91" i="26" s="1"/>
  <c r="P238" i="26" l="1" a="1"/>
  <c r="P239" i="26" s="1"/>
  <c r="P248" i="26" s="1"/>
  <c r="P257" i="26" s="1"/>
  <c r="P238" i="26"/>
  <c r="P247" i="26" s="1"/>
  <c r="P256" i="26" s="1"/>
  <c r="L237" i="26"/>
  <c r="T237" i="26" s="1"/>
  <c r="K199" i="26"/>
  <c r="M211" i="26"/>
  <c r="L211" i="26"/>
  <c r="O211" i="26"/>
  <c r="N211" i="26"/>
  <c r="K211" i="26"/>
  <c r="S179" i="26"/>
  <c r="R179" i="26" s="1"/>
  <c r="Q179" i="26" s="1"/>
  <c r="U91" i="26"/>
  <c r="V91" i="26" s="1"/>
  <c r="W91" i="26" s="1"/>
  <c r="X91" i="26" s="1"/>
  <c r="Y91" i="26" s="1"/>
  <c r="Z91" i="26" s="1"/>
  <c r="AA91" i="26" s="1"/>
  <c r="AB91" i="26" s="1"/>
  <c r="AC91" i="26" s="1"/>
  <c r="AD91" i="26" s="1"/>
  <c r="AE91" i="26" s="1"/>
  <c r="AF91" i="26" s="1"/>
  <c r="AG91" i="26" s="1"/>
  <c r="AH91" i="26" s="1"/>
  <c r="AI91" i="26" s="1"/>
  <c r="AJ91" i="26" s="1"/>
  <c r="AK91" i="26" s="1"/>
  <c r="AL91" i="26" s="1"/>
  <c r="AM91" i="26" s="1"/>
  <c r="AN91" i="26" s="1"/>
  <c r="AO91" i="26" s="1"/>
  <c r="AP91" i="26" s="1"/>
  <c r="AQ91" i="26" s="1"/>
  <c r="AR91" i="26" s="1"/>
  <c r="AS91" i="26" s="1"/>
  <c r="AT91" i="26" s="1"/>
  <c r="AU91" i="26" s="1"/>
  <c r="AV91" i="26" s="1"/>
  <c r="AW91" i="26" s="1"/>
  <c r="AX91" i="26" s="1"/>
  <c r="AY91" i="26" s="1"/>
  <c r="AZ91" i="26" s="1"/>
  <c r="AX153" i="26"/>
  <c r="O153" i="26"/>
  <c r="M153" i="26"/>
  <c r="AP153" i="26"/>
  <c r="AH153" i="26"/>
  <c r="AQ153" i="26"/>
  <c r="AZ153" i="26"/>
  <c r="AR153" i="26"/>
  <c r="AI153" i="26"/>
  <c r="AW153" i="26"/>
  <c r="AO153" i="26"/>
  <c r="AG153" i="26"/>
  <c r="N153" i="26"/>
  <c r="AY153" i="26"/>
  <c r="AV153" i="26"/>
  <c r="AN153" i="26"/>
  <c r="AU153" i="26"/>
  <c r="AM153" i="26"/>
  <c r="AJ153" i="26"/>
  <c r="L153" i="26"/>
  <c r="AT153" i="26"/>
  <c r="AL153" i="26"/>
  <c r="K153" i="26"/>
  <c r="AS153" i="26"/>
  <c r="AK153" i="26"/>
  <c r="AZ109" i="26"/>
  <c r="AY109" i="26"/>
  <c r="AX109" i="26"/>
  <c r="AW109" i="26"/>
  <c r="AV109" i="26"/>
  <c r="AU109" i="26"/>
  <c r="AT109" i="26"/>
  <c r="AS109" i="26"/>
  <c r="AR109" i="26"/>
  <c r="AQ109" i="26"/>
  <c r="AP109" i="26"/>
  <c r="AO109" i="26"/>
  <c r="AN109" i="26"/>
  <c r="AM109" i="26"/>
  <c r="AL109" i="26"/>
  <c r="AK109" i="26"/>
  <c r="AJ109" i="26"/>
  <c r="AI109" i="26"/>
  <c r="AH109" i="26"/>
  <c r="AG109" i="26"/>
  <c r="O109" i="26"/>
  <c r="N109" i="26"/>
  <c r="M109" i="26"/>
  <c r="L109" i="26"/>
  <c r="K109" i="26"/>
  <c r="AG96" i="26"/>
  <c r="AH96" i="26"/>
  <c r="AI96" i="26"/>
  <c r="AJ96" i="26"/>
  <c r="AK96" i="26"/>
  <c r="AL96" i="26"/>
  <c r="AM96" i="26"/>
  <c r="AN96" i="26"/>
  <c r="AO96" i="26"/>
  <c r="AP96" i="26"/>
  <c r="AQ96" i="26"/>
  <c r="AR96" i="26"/>
  <c r="AS96" i="26"/>
  <c r="AT96" i="26"/>
  <c r="AU96" i="26"/>
  <c r="AV96" i="26"/>
  <c r="AW96" i="26"/>
  <c r="AX96" i="26"/>
  <c r="AY96" i="26"/>
  <c r="AZ96" i="26"/>
  <c r="K96" i="26"/>
  <c r="L96" i="26"/>
  <c r="M96" i="26"/>
  <c r="N96" i="26"/>
  <c r="O96" i="26"/>
  <c r="I120" i="26"/>
  <c r="H120" i="26"/>
  <c r="G120" i="26"/>
  <c r="A2" i="26"/>
  <c r="D89" i="26"/>
  <c r="D71" i="26"/>
  <c r="D78" i="26" s="1"/>
  <c r="D72" i="26"/>
  <c r="D79" i="26" s="1"/>
  <c r="D73" i="26"/>
  <c r="D80" i="26" s="1"/>
  <c r="D74" i="26"/>
  <c r="D81" i="26" s="1"/>
  <c r="O64" i="26"/>
  <c r="N64" i="26"/>
  <c r="M64" i="26"/>
  <c r="O63" i="26"/>
  <c r="N63" i="26"/>
  <c r="M63" i="26"/>
  <c r="AN65" i="26"/>
  <c r="AM65" i="26"/>
  <c r="AL65" i="26"/>
  <c r="AK65" i="26"/>
  <c r="AJ65" i="26"/>
  <c r="AI65" i="26"/>
  <c r="AH65" i="26"/>
  <c r="AG65" i="26"/>
  <c r="AF65" i="26"/>
  <c r="AE65" i="26"/>
  <c r="AD65" i="26"/>
  <c r="AC65" i="26"/>
  <c r="AB65" i="26"/>
  <c r="AA65" i="26"/>
  <c r="Z65" i="26"/>
  <c r="Y65" i="26"/>
  <c r="X65" i="26"/>
  <c r="W65" i="26"/>
  <c r="V65" i="26"/>
  <c r="U65" i="26"/>
  <c r="T65" i="26"/>
  <c r="S65" i="26"/>
  <c r="R65" i="26"/>
  <c r="AN64" i="26"/>
  <c r="AM64" i="26"/>
  <c r="AL64" i="26"/>
  <c r="AK64" i="26"/>
  <c r="AJ64" i="26"/>
  <c r="AI64" i="26"/>
  <c r="AH64" i="26"/>
  <c r="AG64" i="26"/>
  <c r="AF64" i="26"/>
  <c r="AE64" i="26"/>
  <c r="AD64" i="26"/>
  <c r="AC64" i="26"/>
  <c r="AB64" i="26"/>
  <c r="AA64" i="26"/>
  <c r="Z64" i="26"/>
  <c r="Y64" i="26"/>
  <c r="X64" i="26"/>
  <c r="W64" i="26"/>
  <c r="V64" i="26"/>
  <c r="U64" i="26"/>
  <c r="T64" i="26"/>
  <c r="S64" i="26"/>
  <c r="R64" i="26"/>
  <c r="Q65" i="26"/>
  <c r="Q64" i="26"/>
  <c r="E22" i="40"/>
  <c r="E21" i="40"/>
  <c r="AZ312" i="26"/>
  <c r="AY312" i="26"/>
  <c r="AX312" i="26"/>
  <c r="AW312" i="26"/>
  <c r="AV312" i="26"/>
  <c r="AU312" i="26"/>
  <c r="AT312" i="26"/>
  <c r="AS312" i="26"/>
  <c r="AR312" i="26"/>
  <c r="AQ312" i="26"/>
  <c r="AP312" i="26"/>
  <c r="AO312" i="26"/>
  <c r="AN312" i="26"/>
  <c r="AM312" i="26"/>
  <c r="AL312" i="26"/>
  <c r="AK312" i="26"/>
  <c r="AJ312" i="26"/>
  <c r="AI312" i="26"/>
  <c r="AH312" i="26"/>
  <c r="AG312" i="26"/>
  <c r="AF312" i="26"/>
  <c r="AE312" i="26"/>
  <c r="AD312" i="26"/>
  <c r="AC312" i="26"/>
  <c r="AB312" i="26"/>
  <c r="AA312" i="26"/>
  <c r="Z312" i="26"/>
  <c r="Y312" i="26"/>
  <c r="X312" i="26"/>
  <c r="W312" i="26"/>
  <c r="V312" i="26"/>
  <c r="U312" i="26"/>
  <c r="T312" i="26"/>
  <c r="S312" i="26"/>
  <c r="R312" i="26"/>
  <c r="Q312" i="26"/>
  <c r="O312" i="26"/>
  <c r="N312" i="26"/>
  <c r="M312" i="26"/>
  <c r="L312" i="26"/>
  <c r="K312" i="26"/>
  <c r="J312" i="26"/>
  <c r="I312" i="26"/>
  <c r="H312" i="26"/>
  <c r="G312" i="26"/>
  <c r="D312" i="26"/>
  <c r="AZ311" i="26"/>
  <c r="AY311" i="26"/>
  <c r="AX311" i="26"/>
  <c r="AW311" i="26"/>
  <c r="AV311" i="26"/>
  <c r="AU311" i="26"/>
  <c r="AT311" i="26"/>
  <c r="AS311" i="26"/>
  <c r="AR311" i="26"/>
  <c r="AQ311" i="26"/>
  <c r="AP311" i="26"/>
  <c r="AO311" i="26"/>
  <c r="AN311" i="26"/>
  <c r="AM311" i="26"/>
  <c r="AL311" i="26"/>
  <c r="AK311" i="26"/>
  <c r="AJ311" i="26"/>
  <c r="AI311" i="26"/>
  <c r="AH311" i="26"/>
  <c r="AG311" i="26"/>
  <c r="AF311" i="26"/>
  <c r="AE311" i="26"/>
  <c r="AD311" i="26"/>
  <c r="AC311" i="26"/>
  <c r="AB311" i="26"/>
  <c r="AA311" i="26"/>
  <c r="Z311" i="26"/>
  <c r="Y311" i="26"/>
  <c r="X311" i="26"/>
  <c r="W311" i="26"/>
  <c r="V311" i="26"/>
  <c r="U311" i="26"/>
  <c r="T311" i="26"/>
  <c r="S311" i="26"/>
  <c r="R311" i="26"/>
  <c r="Q311" i="26"/>
  <c r="O311" i="26"/>
  <c r="N311" i="26"/>
  <c r="M311" i="26"/>
  <c r="L311" i="26"/>
  <c r="K311" i="26"/>
  <c r="J311" i="26"/>
  <c r="I311" i="26"/>
  <c r="H311" i="26"/>
  <c r="G311" i="26"/>
  <c r="D311" i="26"/>
  <c r="AZ310" i="26"/>
  <c r="AY310" i="26"/>
  <c r="AX310" i="26"/>
  <c r="AW310" i="26"/>
  <c r="AV310" i="26"/>
  <c r="AU310" i="26"/>
  <c r="AT310" i="26"/>
  <c r="AS310" i="26"/>
  <c r="AR310" i="26"/>
  <c r="AQ310" i="26"/>
  <c r="AP310" i="26"/>
  <c r="AO310" i="26"/>
  <c r="AN310" i="26"/>
  <c r="AM310" i="26"/>
  <c r="AL310" i="26"/>
  <c r="AK310" i="26"/>
  <c r="AJ310" i="26"/>
  <c r="AI310" i="26"/>
  <c r="AH310" i="26"/>
  <c r="AG310" i="26"/>
  <c r="AF310" i="26"/>
  <c r="AE310" i="26"/>
  <c r="AD310" i="26"/>
  <c r="AC310" i="26"/>
  <c r="AB310" i="26"/>
  <c r="AA310" i="26"/>
  <c r="Z310" i="26"/>
  <c r="Y310" i="26"/>
  <c r="X310" i="26"/>
  <c r="W310" i="26"/>
  <c r="V310" i="26"/>
  <c r="U310" i="26"/>
  <c r="T310" i="26"/>
  <c r="S310" i="26"/>
  <c r="R310" i="26"/>
  <c r="Q310" i="26"/>
  <c r="O310" i="26"/>
  <c r="N310" i="26"/>
  <c r="M310" i="26"/>
  <c r="L310" i="26"/>
  <c r="K310" i="26"/>
  <c r="J310" i="26"/>
  <c r="I310" i="26"/>
  <c r="H310" i="26"/>
  <c r="G310" i="26"/>
  <c r="D310" i="26"/>
  <c r="AZ309" i="26"/>
  <c r="AY309" i="26"/>
  <c r="AX309" i="26"/>
  <c r="AW309" i="26"/>
  <c r="AV309" i="26"/>
  <c r="AU309" i="26"/>
  <c r="AT309" i="26"/>
  <c r="AS309" i="26"/>
  <c r="AR309" i="26"/>
  <c r="AQ309" i="26"/>
  <c r="AP309" i="26"/>
  <c r="AO309" i="26"/>
  <c r="AN309" i="26"/>
  <c r="AM309" i="26"/>
  <c r="AL309" i="26"/>
  <c r="AK309" i="26"/>
  <c r="AJ309" i="26"/>
  <c r="AI309" i="26"/>
  <c r="AH309" i="26"/>
  <c r="AG309" i="26"/>
  <c r="AF309" i="26"/>
  <c r="AE309" i="26"/>
  <c r="AD309" i="26"/>
  <c r="AC309" i="26"/>
  <c r="AB309" i="26"/>
  <c r="AA309" i="26"/>
  <c r="Z309" i="26"/>
  <c r="Y309" i="26"/>
  <c r="X309" i="26"/>
  <c r="W309" i="26"/>
  <c r="V309" i="26"/>
  <c r="U309" i="26"/>
  <c r="T309" i="26"/>
  <c r="S309" i="26"/>
  <c r="R309" i="26"/>
  <c r="Q309" i="26"/>
  <c r="O309" i="26"/>
  <c r="N309" i="26"/>
  <c r="M309" i="26"/>
  <c r="L309" i="26"/>
  <c r="K309" i="26"/>
  <c r="J309" i="26"/>
  <c r="I309" i="26"/>
  <c r="H309" i="26"/>
  <c r="G309" i="26"/>
  <c r="D309" i="26"/>
  <c r="AZ308" i="26"/>
  <c r="AY308" i="26"/>
  <c r="AX308" i="26"/>
  <c r="AW308" i="26"/>
  <c r="AV308" i="26"/>
  <c r="AU308" i="26"/>
  <c r="AT308" i="26"/>
  <c r="AS308" i="26"/>
  <c r="AR308" i="26"/>
  <c r="AQ308" i="26"/>
  <c r="AP308" i="26"/>
  <c r="AO308" i="26"/>
  <c r="AN308" i="26"/>
  <c r="AM308" i="26"/>
  <c r="AL308" i="26"/>
  <c r="AK308" i="26"/>
  <c r="AJ308" i="26"/>
  <c r="AI308" i="26"/>
  <c r="AH308" i="26"/>
  <c r="AG308" i="26"/>
  <c r="AF308" i="26"/>
  <c r="AE308" i="26"/>
  <c r="AD308" i="26"/>
  <c r="AC308" i="26"/>
  <c r="AB308" i="26"/>
  <c r="AA308" i="26"/>
  <c r="Z308" i="26"/>
  <c r="Y308" i="26"/>
  <c r="X308" i="26"/>
  <c r="W308" i="26"/>
  <c r="V308" i="26"/>
  <c r="U308" i="26"/>
  <c r="T308" i="26"/>
  <c r="S308" i="26"/>
  <c r="R308" i="26"/>
  <c r="Q308" i="26"/>
  <c r="O308" i="26"/>
  <c r="N308" i="26"/>
  <c r="M308" i="26"/>
  <c r="L308" i="26"/>
  <c r="K308" i="26"/>
  <c r="J308" i="26"/>
  <c r="I308" i="26"/>
  <c r="H308" i="26"/>
  <c r="G308" i="26"/>
  <c r="D308" i="26"/>
  <c r="AZ307" i="26"/>
  <c r="AY307" i="26"/>
  <c r="AX307" i="26"/>
  <c r="AW307" i="26"/>
  <c r="AV307" i="26"/>
  <c r="AU307" i="26"/>
  <c r="AT307" i="26"/>
  <c r="AS307" i="26"/>
  <c r="AR307" i="26"/>
  <c r="AQ307" i="26"/>
  <c r="AP307" i="26"/>
  <c r="AO307" i="26"/>
  <c r="AN307" i="26"/>
  <c r="AM307" i="26"/>
  <c r="AL307" i="26"/>
  <c r="AK307" i="26"/>
  <c r="AJ307" i="26"/>
  <c r="AI307" i="26"/>
  <c r="AH307" i="26"/>
  <c r="AG307" i="26"/>
  <c r="AF307" i="26"/>
  <c r="AE307" i="26"/>
  <c r="AD307" i="26"/>
  <c r="AC307" i="26"/>
  <c r="AB307" i="26"/>
  <c r="AA307" i="26"/>
  <c r="Z307" i="26"/>
  <c r="Y307" i="26"/>
  <c r="X307" i="26"/>
  <c r="W307" i="26"/>
  <c r="V307" i="26"/>
  <c r="U307" i="26"/>
  <c r="T307" i="26"/>
  <c r="S307" i="26"/>
  <c r="R307" i="26"/>
  <c r="Q307" i="26"/>
  <c r="O307" i="26"/>
  <c r="N307" i="26"/>
  <c r="M307" i="26"/>
  <c r="L307" i="26"/>
  <c r="K307" i="26"/>
  <c r="J307" i="26"/>
  <c r="I307" i="26"/>
  <c r="H307" i="26"/>
  <c r="G307" i="26"/>
  <c r="D307" i="26"/>
  <c r="AZ306" i="26"/>
  <c r="AY306" i="26"/>
  <c r="AX306" i="26"/>
  <c r="AW306" i="26"/>
  <c r="AV306" i="26"/>
  <c r="AU306" i="26"/>
  <c r="AT306" i="26"/>
  <c r="AS306" i="26"/>
  <c r="AR306" i="26"/>
  <c r="AQ306" i="26"/>
  <c r="AP306" i="26"/>
  <c r="AO306" i="26"/>
  <c r="AN306" i="26"/>
  <c r="AM306" i="26"/>
  <c r="AL306" i="26"/>
  <c r="AK306" i="26"/>
  <c r="AJ306" i="26"/>
  <c r="AI306" i="26"/>
  <c r="AH306" i="26"/>
  <c r="AG306" i="26"/>
  <c r="AF306" i="26"/>
  <c r="AE306" i="26"/>
  <c r="AD306" i="26"/>
  <c r="AC306" i="26"/>
  <c r="AB306" i="26"/>
  <c r="AA306" i="26"/>
  <c r="Z306" i="26"/>
  <c r="Y306" i="26"/>
  <c r="X306" i="26"/>
  <c r="W306" i="26"/>
  <c r="V306" i="26"/>
  <c r="U306" i="26"/>
  <c r="T306" i="26"/>
  <c r="S306" i="26"/>
  <c r="R306" i="26"/>
  <c r="Q306" i="26"/>
  <c r="O306" i="26"/>
  <c r="N306" i="26"/>
  <c r="M306" i="26"/>
  <c r="L306" i="26"/>
  <c r="K306" i="26"/>
  <c r="J306" i="26"/>
  <c r="I306" i="26"/>
  <c r="H306" i="26"/>
  <c r="G306" i="26"/>
  <c r="D306" i="26"/>
  <c r="AZ305" i="26"/>
  <c r="AY305" i="26"/>
  <c r="AX305" i="26"/>
  <c r="AW305" i="26"/>
  <c r="AV305" i="26"/>
  <c r="AU305" i="26"/>
  <c r="AT305" i="26"/>
  <c r="AS305" i="26"/>
  <c r="AR305" i="26"/>
  <c r="AQ305" i="26"/>
  <c r="AP305" i="26"/>
  <c r="AO305" i="26"/>
  <c r="AN305" i="26"/>
  <c r="AM305" i="26"/>
  <c r="AL305" i="26"/>
  <c r="AK305" i="26"/>
  <c r="AJ305" i="26"/>
  <c r="AI305" i="26"/>
  <c r="AH305" i="26"/>
  <c r="AG305" i="26"/>
  <c r="AF305" i="26"/>
  <c r="AE305" i="26"/>
  <c r="AD305" i="26"/>
  <c r="AC305" i="26"/>
  <c r="AB305" i="26"/>
  <c r="AA305" i="26"/>
  <c r="Z305" i="26"/>
  <c r="Y305" i="26"/>
  <c r="X305" i="26"/>
  <c r="W305" i="26"/>
  <c r="V305" i="26"/>
  <c r="U305" i="26"/>
  <c r="T305" i="26"/>
  <c r="S305" i="26"/>
  <c r="R305" i="26"/>
  <c r="Q305" i="26"/>
  <c r="O305" i="26"/>
  <c r="N305" i="26"/>
  <c r="M305" i="26"/>
  <c r="L305" i="26"/>
  <c r="K305" i="26"/>
  <c r="J305" i="26"/>
  <c r="I305" i="26"/>
  <c r="H305" i="26"/>
  <c r="G305" i="26"/>
  <c r="D305" i="26"/>
  <c r="AZ304" i="26"/>
  <c r="AY304" i="26"/>
  <c r="AX304" i="26"/>
  <c r="AW304" i="26"/>
  <c r="AV304" i="26"/>
  <c r="AU304" i="26"/>
  <c r="AT304" i="26"/>
  <c r="AS304" i="26"/>
  <c r="AR304" i="26"/>
  <c r="AQ304" i="26"/>
  <c r="AP304" i="26"/>
  <c r="AO304" i="26"/>
  <c r="AN304" i="26"/>
  <c r="AM304" i="26"/>
  <c r="AL304" i="26"/>
  <c r="AK304" i="26"/>
  <c r="AJ304" i="26"/>
  <c r="AI304" i="26"/>
  <c r="AH304" i="26"/>
  <c r="AG304" i="26"/>
  <c r="AF304" i="26"/>
  <c r="AE304" i="26"/>
  <c r="AD304" i="26"/>
  <c r="AC304" i="26"/>
  <c r="AB304" i="26"/>
  <c r="AA304" i="26"/>
  <c r="Z304" i="26"/>
  <c r="Y304" i="26"/>
  <c r="X304" i="26"/>
  <c r="W304" i="26"/>
  <c r="V304" i="26"/>
  <c r="U304" i="26"/>
  <c r="T304" i="26"/>
  <c r="S304" i="26"/>
  <c r="R304" i="26"/>
  <c r="Q304" i="26"/>
  <c r="O304" i="26"/>
  <c r="N304" i="26"/>
  <c r="M304" i="26"/>
  <c r="L304" i="26"/>
  <c r="K304" i="26"/>
  <c r="J304" i="26"/>
  <c r="I304" i="26"/>
  <c r="H304" i="26"/>
  <c r="G304" i="26"/>
  <c r="D304" i="26"/>
  <c r="D303" i="26"/>
  <c r="D301" i="26"/>
  <c r="AZ299" i="26"/>
  <c r="AY299" i="26"/>
  <c r="AX299" i="26"/>
  <c r="AW299" i="26"/>
  <c r="AV299" i="26"/>
  <c r="AU299" i="26"/>
  <c r="AT299" i="26"/>
  <c r="AS299" i="26"/>
  <c r="AR299" i="26"/>
  <c r="AQ299" i="26"/>
  <c r="AP299" i="26"/>
  <c r="AO299" i="26"/>
  <c r="AN299" i="26"/>
  <c r="AM299" i="26"/>
  <c r="AL299" i="26"/>
  <c r="AK299" i="26"/>
  <c r="AJ299" i="26"/>
  <c r="AI299" i="26"/>
  <c r="AH299" i="26"/>
  <c r="AG299" i="26"/>
  <c r="AF299" i="26"/>
  <c r="AE299" i="26"/>
  <c r="AD299" i="26"/>
  <c r="AC299" i="26"/>
  <c r="AB299" i="26"/>
  <c r="AA299" i="26"/>
  <c r="Z299" i="26"/>
  <c r="Y299" i="26"/>
  <c r="X299" i="26"/>
  <c r="W299" i="26"/>
  <c r="V299" i="26"/>
  <c r="U299" i="26"/>
  <c r="T299" i="26"/>
  <c r="S299" i="26"/>
  <c r="R299" i="26"/>
  <c r="Q299" i="26"/>
  <c r="O299" i="26"/>
  <c r="N299" i="26"/>
  <c r="M299" i="26"/>
  <c r="L299" i="26"/>
  <c r="K299" i="26"/>
  <c r="J299" i="26"/>
  <c r="I299" i="26"/>
  <c r="H299" i="26"/>
  <c r="G299" i="26"/>
  <c r="D299" i="26"/>
  <c r="AZ298" i="26"/>
  <c r="AY298" i="26"/>
  <c r="AX298" i="26"/>
  <c r="AW298" i="26"/>
  <c r="AV298" i="26"/>
  <c r="AU298" i="26"/>
  <c r="AT298" i="26"/>
  <c r="AS298" i="26"/>
  <c r="AR298" i="26"/>
  <c r="AQ298" i="26"/>
  <c r="AP298" i="26"/>
  <c r="AO298" i="26"/>
  <c r="AN298" i="26"/>
  <c r="AM298" i="26"/>
  <c r="AL298" i="26"/>
  <c r="AK298" i="26"/>
  <c r="AJ298" i="26"/>
  <c r="AI298" i="26"/>
  <c r="AH298" i="26"/>
  <c r="AG298" i="26"/>
  <c r="AF298" i="26"/>
  <c r="AE298" i="26"/>
  <c r="AD298" i="26"/>
  <c r="AC298" i="26"/>
  <c r="AB298" i="26"/>
  <c r="AA298" i="26"/>
  <c r="Z298" i="26"/>
  <c r="Y298" i="26"/>
  <c r="X298" i="26"/>
  <c r="W298" i="26"/>
  <c r="V298" i="26"/>
  <c r="U298" i="26"/>
  <c r="T298" i="26"/>
  <c r="S298" i="26"/>
  <c r="R298" i="26"/>
  <c r="Q298" i="26"/>
  <c r="O298" i="26"/>
  <c r="N298" i="26"/>
  <c r="M298" i="26"/>
  <c r="L298" i="26"/>
  <c r="K298" i="26"/>
  <c r="J298" i="26"/>
  <c r="I298" i="26"/>
  <c r="H298" i="26"/>
  <c r="G298" i="26"/>
  <c r="D298" i="26"/>
  <c r="AZ297" i="26"/>
  <c r="AY297" i="26"/>
  <c r="AX297" i="26"/>
  <c r="AW297" i="26"/>
  <c r="AV297" i="26"/>
  <c r="AU297" i="26"/>
  <c r="AT297" i="26"/>
  <c r="AS297" i="26"/>
  <c r="AR297" i="26"/>
  <c r="AQ297" i="26"/>
  <c r="AP297" i="26"/>
  <c r="AO297" i="26"/>
  <c r="AN297" i="26"/>
  <c r="AM297" i="26"/>
  <c r="AL297" i="26"/>
  <c r="AK297" i="26"/>
  <c r="AJ297" i="26"/>
  <c r="AI297" i="26"/>
  <c r="AH297" i="26"/>
  <c r="AG297" i="26"/>
  <c r="AF297" i="26"/>
  <c r="AE297" i="26"/>
  <c r="AD297" i="26"/>
  <c r="AC297" i="26"/>
  <c r="AB297" i="26"/>
  <c r="AA297" i="26"/>
  <c r="Z297" i="26"/>
  <c r="Y297" i="26"/>
  <c r="X297" i="26"/>
  <c r="W297" i="26"/>
  <c r="V297" i="26"/>
  <c r="U297" i="26"/>
  <c r="T297" i="26"/>
  <c r="S297" i="26"/>
  <c r="R297" i="26"/>
  <c r="Q297" i="26"/>
  <c r="O297" i="26"/>
  <c r="N297" i="26"/>
  <c r="M297" i="26"/>
  <c r="L297" i="26"/>
  <c r="K297" i="26"/>
  <c r="J297" i="26"/>
  <c r="I297" i="26"/>
  <c r="H297" i="26"/>
  <c r="G297" i="26"/>
  <c r="D297" i="26"/>
  <c r="AZ295" i="26"/>
  <c r="AY295" i="26"/>
  <c r="AX295" i="26"/>
  <c r="AW295" i="26"/>
  <c r="AV295" i="26"/>
  <c r="AU295" i="26"/>
  <c r="AT295" i="26"/>
  <c r="AS295" i="26"/>
  <c r="AR295" i="26"/>
  <c r="AQ295" i="26"/>
  <c r="AP295" i="26"/>
  <c r="AO295" i="26"/>
  <c r="AN295" i="26"/>
  <c r="AM295" i="26"/>
  <c r="AL295" i="26"/>
  <c r="AK295" i="26"/>
  <c r="AJ295" i="26"/>
  <c r="AI295" i="26"/>
  <c r="AH295" i="26"/>
  <c r="AG295" i="26"/>
  <c r="AF295" i="26"/>
  <c r="AE295" i="26"/>
  <c r="AD295" i="26"/>
  <c r="AC295" i="26"/>
  <c r="AB295" i="26"/>
  <c r="AA295" i="26"/>
  <c r="Z295" i="26"/>
  <c r="Y295" i="26"/>
  <c r="X295" i="26"/>
  <c r="W295" i="26"/>
  <c r="V295" i="26"/>
  <c r="U295" i="26"/>
  <c r="T295" i="26"/>
  <c r="S295" i="26"/>
  <c r="R295" i="26"/>
  <c r="Q295" i="26"/>
  <c r="O295" i="26"/>
  <c r="N295" i="26"/>
  <c r="M295" i="26"/>
  <c r="L295" i="26"/>
  <c r="K295" i="26"/>
  <c r="J295" i="26"/>
  <c r="I295" i="26"/>
  <c r="H295" i="26"/>
  <c r="G295" i="26"/>
  <c r="D295" i="26"/>
  <c r="AZ294" i="26"/>
  <c r="AY294" i="26"/>
  <c r="AX294" i="26"/>
  <c r="AW294" i="26"/>
  <c r="AV294" i="26"/>
  <c r="AU294" i="26"/>
  <c r="AT294" i="26"/>
  <c r="AS294" i="26"/>
  <c r="AR294" i="26"/>
  <c r="AQ294" i="26"/>
  <c r="AP294" i="26"/>
  <c r="AO294" i="26"/>
  <c r="AN294" i="26"/>
  <c r="AM294" i="26"/>
  <c r="AL294" i="26"/>
  <c r="AK294" i="26"/>
  <c r="AJ294" i="26"/>
  <c r="AI294" i="26"/>
  <c r="AH294" i="26"/>
  <c r="AG294" i="26"/>
  <c r="AF294" i="26"/>
  <c r="AE294" i="26"/>
  <c r="AD294" i="26"/>
  <c r="AC294" i="26"/>
  <c r="AB294" i="26"/>
  <c r="AA294" i="26"/>
  <c r="Z294" i="26"/>
  <c r="Y294" i="26"/>
  <c r="X294" i="26"/>
  <c r="W294" i="26"/>
  <c r="V294" i="26"/>
  <c r="U294" i="26"/>
  <c r="T294" i="26"/>
  <c r="S294" i="26"/>
  <c r="R294" i="26"/>
  <c r="Q294" i="26"/>
  <c r="O294" i="26"/>
  <c r="N294" i="26"/>
  <c r="M294" i="26"/>
  <c r="L294" i="26"/>
  <c r="K294" i="26"/>
  <c r="J294" i="26"/>
  <c r="I294" i="26"/>
  <c r="H294" i="26"/>
  <c r="G294" i="26"/>
  <c r="D294" i="26"/>
  <c r="AZ293" i="26"/>
  <c r="AY293" i="26"/>
  <c r="AX293" i="26"/>
  <c r="AW293" i="26"/>
  <c r="AV293" i="26"/>
  <c r="AU293" i="26"/>
  <c r="AT293" i="26"/>
  <c r="AS293" i="26"/>
  <c r="AR293" i="26"/>
  <c r="AQ293" i="26"/>
  <c r="AP293" i="26"/>
  <c r="AO293" i="26"/>
  <c r="AN293" i="26"/>
  <c r="AM293" i="26"/>
  <c r="AL293" i="26"/>
  <c r="AK293" i="26"/>
  <c r="AJ293" i="26"/>
  <c r="AI293" i="26"/>
  <c r="AH293" i="26"/>
  <c r="AG293" i="26"/>
  <c r="AF293" i="26"/>
  <c r="AE293" i="26"/>
  <c r="AD293" i="26"/>
  <c r="AC293" i="26"/>
  <c r="AB293" i="26"/>
  <c r="AA293" i="26"/>
  <c r="Z293" i="26"/>
  <c r="Y293" i="26"/>
  <c r="X293" i="26"/>
  <c r="W293" i="26"/>
  <c r="V293" i="26"/>
  <c r="U293" i="26"/>
  <c r="T293" i="26"/>
  <c r="S293" i="26"/>
  <c r="R293" i="26"/>
  <c r="Q293" i="26"/>
  <c r="O293" i="26"/>
  <c r="N293" i="26"/>
  <c r="M293" i="26"/>
  <c r="L293" i="26"/>
  <c r="K293" i="26"/>
  <c r="J293" i="26"/>
  <c r="I293" i="26"/>
  <c r="H293" i="26"/>
  <c r="G293" i="26"/>
  <c r="D293" i="26"/>
  <c r="AZ292" i="26"/>
  <c r="AY292" i="26"/>
  <c r="AX292" i="26"/>
  <c r="AW292" i="26"/>
  <c r="AV292" i="26"/>
  <c r="AU292" i="26"/>
  <c r="AT292" i="26"/>
  <c r="AS292" i="26"/>
  <c r="AR292" i="26"/>
  <c r="AQ292" i="26"/>
  <c r="AP292" i="26"/>
  <c r="AO292" i="26"/>
  <c r="AN292" i="26"/>
  <c r="AM292" i="26"/>
  <c r="AL292" i="26"/>
  <c r="AK292" i="26"/>
  <c r="AJ292" i="26"/>
  <c r="AI292" i="26"/>
  <c r="AH292" i="26"/>
  <c r="AG292" i="26"/>
  <c r="AF292" i="26"/>
  <c r="AE292" i="26"/>
  <c r="AD292" i="26"/>
  <c r="AC292" i="26"/>
  <c r="AB292" i="26"/>
  <c r="AA292" i="26"/>
  <c r="Z292" i="26"/>
  <c r="Y292" i="26"/>
  <c r="X292" i="26"/>
  <c r="W292" i="26"/>
  <c r="V292" i="26"/>
  <c r="U292" i="26"/>
  <c r="T292" i="26"/>
  <c r="S292" i="26"/>
  <c r="R292" i="26"/>
  <c r="Q292" i="26"/>
  <c r="O292" i="26"/>
  <c r="N292" i="26"/>
  <c r="M292" i="26"/>
  <c r="L292" i="26"/>
  <c r="K292" i="26"/>
  <c r="J292" i="26"/>
  <c r="I292" i="26"/>
  <c r="H292" i="26"/>
  <c r="G292" i="26"/>
  <c r="D292" i="26"/>
  <c r="AZ291" i="26"/>
  <c r="AY291" i="26"/>
  <c r="AX291" i="26"/>
  <c r="AW291" i="26"/>
  <c r="AV291" i="26"/>
  <c r="AU291" i="26"/>
  <c r="AT291" i="26"/>
  <c r="AS291" i="26"/>
  <c r="AR291" i="26"/>
  <c r="AQ291" i="26"/>
  <c r="AP291" i="26"/>
  <c r="AO291" i="26"/>
  <c r="AN291" i="26"/>
  <c r="AM291" i="26"/>
  <c r="AL291" i="26"/>
  <c r="AK291" i="26"/>
  <c r="AJ291" i="26"/>
  <c r="AI291" i="26"/>
  <c r="AH291" i="26"/>
  <c r="AG291" i="26"/>
  <c r="AF291" i="26"/>
  <c r="AE291" i="26"/>
  <c r="AD291" i="26"/>
  <c r="AC291" i="26"/>
  <c r="AB291" i="26"/>
  <c r="AA291" i="26"/>
  <c r="Z291" i="26"/>
  <c r="Y291" i="26"/>
  <c r="X291" i="26"/>
  <c r="W291" i="26"/>
  <c r="V291" i="26"/>
  <c r="U291" i="26"/>
  <c r="T291" i="26"/>
  <c r="S291" i="26"/>
  <c r="R291" i="26"/>
  <c r="Q291" i="26"/>
  <c r="O291" i="26"/>
  <c r="N291" i="26"/>
  <c r="M291" i="26"/>
  <c r="L291" i="26"/>
  <c r="K291" i="26"/>
  <c r="J291" i="26"/>
  <c r="I291" i="26"/>
  <c r="H291" i="26"/>
  <c r="G291" i="26"/>
  <c r="D291" i="26"/>
  <c r="D289" i="26"/>
  <c r="AZ287" i="26"/>
  <c r="AY287" i="26"/>
  <c r="AX287" i="26"/>
  <c r="AW287" i="26"/>
  <c r="AV287" i="26"/>
  <c r="AU287" i="26"/>
  <c r="AT287" i="26"/>
  <c r="AS287" i="26"/>
  <c r="AR287" i="26"/>
  <c r="AQ287" i="26"/>
  <c r="AP287" i="26"/>
  <c r="AO287" i="26"/>
  <c r="AN287" i="26"/>
  <c r="AM287" i="26"/>
  <c r="AL287" i="26"/>
  <c r="AK287" i="26"/>
  <c r="AJ287" i="26"/>
  <c r="AI287" i="26"/>
  <c r="AH287" i="26"/>
  <c r="AG287" i="26"/>
  <c r="AF287" i="26"/>
  <c r="AE287" i="26"/>
  <c r="AD287" i="26"/>
  <c r="AC287" i="26"/>
  <c r="AB287" i="26"/>
  <c r="AA287" i="26"/>
  <c r="Z287" i="26"/>
  <c r="Y287" i="26"/>
  <c r="X287" i="26"/>
  <c r="W287" i="26"/>
  <c r="V287" i="26"/>
  <c r="U287" i="26"/>
  <c r="T287" i="26"/>
  <c r="S287" i="26"/>
  <c r="R287" i="26"/>
  <c r="Q287" i="26"/>
  <c r="O287" i="26"/>
  <c r="N287" i="26"/>
  <c r="M287" i="26"/>
  <c r="L287" i="26"/>
  <c r="K287" i="26"/>
  <c r="J287" i="26"/>
  <c r="I287" i="26"/>
  <c r="H287" i="26"/>
  <c r="G287" i="26"/>
  <c r="D287" i="26"/>
  <c r="AZ286" i="26"/>
  <c r="AY286" i="26"/>
  <c r="AX286" i="26"/>
  <c r="AW286" i="26"/>
  <c r="AV286" i="26"/>
  <c r="AU286" i="26"/>
  <c r="AT286" i="26"/>
  <c r="AS286" i="26"/>
  <c r="AR286" i="26"/>
  <c r="AQ286" i="26"/>
  <c r="AP286" i="26"/>
  <c r="AO286" i="26"/>
  <c r="AN286" i="26"/>
  <c r="AM286" i="26"/>
  <c r="AL286" i="26"/>
  <c r="AK286" i="26"/>
  <c r="AJ286" i="26"/>
  <c r="AI286" i="26"/>
  <c r="AH286" i="26"/>
  <c r="AG286" i="26"/>
  <c r="AF286" i="26"/>
  <c r="AE286" i="26"/>
  <c r="AD286" i="26"/>
  <c r="AC286" i="26"/>
  <c r="AB286" i="26"/>
  <c r="AA286" i="26"/>
  <c r="Z286" i="26"/>
  <c r="Y286" i="26"/>
  <c r="X286" i="26"/>
  <c r="W286" i="26"/>
  <c r="V286" i="26"/>
  <c r="U286" i="26"/>
  <c r="T286" i="26"/>
  <c r="S286" i="26"/>
  <c r="R286" i="26"/>
  <c r="Q286" i="26"/>
  <c r="O286" i="26"/>
  <c r="N286" i="26"/>
  <c r="M286" i="26"/>
  <c r="L286" i="26"/>
  <c r="K286" i="26"/>
  <c r="J286" i="26"/>
  <c r="I286" i="26"/>
  <c r="H286" i="26"/>
  <c r="G286" i="26"/>
  <c r="D286" i="26"/>
  <c r="AZ285" i="26"/>
  <c r="AY285" i="26"/>
  <c r="AX285" i="26"/>
  <c r="AW285" i="26"/>
  <c r="AV285" i="26"/>
  <c r="AU285" i="26"/>
  <c r="AT285" i="26"/>
  <c r="AS285" i="26"/>
  <c r="AR285" i="26"/>
  <c r="AQ285" i="26"/>
  <c r="AP285" i="26"/>
  <c r="AO285" i="26"/>
  <c r="AN285" i="26"/>
  <c r="AM285" i="26"/>
  <c r="AL285" i="26"/>
  <c r="AK285" i="26"/>
  <c r="AJ285" i="26"/>
  <c r="AI285" i="26"/>
  <c r="AH285" i="26"/>
  <c r="AG285" i="26"/>
  <c r="AF285" i="26"/>
  <c r="AE285" i="26"/>
  <c r="AD285" i="26"/>
  <c r="AC285" i="26"/>
  <c r="AB285" i="26"/>
  <c r="AA285" i="26"/>
  <c r="Z285" i="26"/>
  <c r="Y285" i="26"/>
  <c r="X285" i="26"/>
  <c r="W285" i="26"/>
  <c r="V285" i="26"/>
  <c r="U285" i="26"/>
  <c r="T285" i="26"/>
  <c r="S285" i="26"/>
  <c r="R285" i="26"/>
  <c r="Q285" i="26"/>
  <c r="O285" i="26"/>
  <c r="N285" i="26"/>
  <c r="M285" i="26"/>
  <c r="L285" i="26"/>
  <c r="K285" i="26"/>
  <c r="J285" i="26"/>
  <c r="I285" i="26"/>
  <c r="H285" i="26"/>
  <c r="G285" i="26"/>
  <c r="D285" i="26"/>
  <c r="AZ284" i="26"/>
  <c r="AY284" i="26"/>
  <c r="AX284" i="26"/>
  <c r="AW284" i="26"/>
  <c r="AV284" i="26"/>
  <c r="AU284" i="26"/>
  <c r="AT284" i="26"/>
  <c r="AS284" i="26"/>
  <c r="AR284" i="26"/>
  <c r="AQ284" i="26"/>
  <c r="AP284" i="26"/>
  <c r="AO284" i="26"/>
  <c r="AN284" i="26"/>
  <c r="AM284" i="26"/>
  <c r="AL284" i="26"/>
  <c r="AK284" i="26"/>
  <c r="AJ284" i="26"/>
  <c r="AI284" i="26"/>
  <c r="AH284" i="26"/>
  <c r="AG284" i="26"/>
  <c r="AF284" i="26"/>
  <c r="AE284" i="26"/>
  <c r="AD284" i="26"/>
  <c r="AC284" i="26"/>
  <c r="AB284" i="26"/>
  <c r="AA284" i="26"/>
  <c r="Z284" i="26"/>
  <c r="Y284" i="26"/>
  <c r="X284" i="26"/>
  <c r="W284" i="26"/>
  <c r="V284" i="26"/>
  <c r="U284" i="26"/>
  <c r="T284" i="26"/>
  <c r="S284" i="26"/>
  <c r="R284" i="26"/>
  <c r="Q284" i="26"/>
  <c r="O284" i="26"/>
  <c r="N284" i="26"/>
  <c r="M284" i="26"/>
  <c r="L284" i="26"/>
  <c r="K284" i="26"/>
  <c r="J284" i="26"/>
  <c r="I284" i="26"/>
  <c r="H284" i="26"/>
  <c r="G284" i="26"/>
  <c r="D284" i="26"/>
  <c r="AZ283" i="26"/>
  <c r="AY283" i="26"/>
  <c r="AX283" i="26"/>
  <c r="AW283" i="26"/>
  <c r="AV283" i="26"/>
  <c r="AU283" i="26"/>
  <c r="AT283" i="26"/>
  <c r="AS283" i="26"/>
  <c r="AR283" i="26"/>
  <c r="AQ283" i="26"/>
  <c r="AP283" i="26"/>
  <c r="AO283" i="26"/>
  <c r="AN283" i="26"/>
  <c r="AM283" i="26"/>
  <c r="AL283" i="26"/>
  <c r="AK283" i="26"/>
  <c r="AJ283" i="26"/>
  <c r="AI283" i="26"/>
  <c r="AH283" i="26"/>
  <c r="AG283" i="26"/>
  <c r="AF283" i="26"/>
  <c r="AE283" i="26"/>
  <c r="AD283" i="26"/>
  <c r="AC283" i="26"/>
  <c r="AB283" i="26"/>
  <c r="AA283" i="26"/>
  <c r="Z283" i="26"/>
  <c r="Y283" i="26"/>
  <c r="X283" i="26"/>
  <c r="W283" i="26"/>
  <c r="V283" i="26"/>
  <c r="U283" i="26"/>
  <c r="T283" i="26"/>
  <c r="S283" i="26"/>
  <c r="R283" i="26"/>
  <c r="Q283" i="26"/>
  <c r="O283" i="26"/>
  <c r="N283" i="26"/>
  <c r="M283" i="26"/>
  <c r="L283" i="26"/>
  <c r="K283" i="26"/>
  <c r="J283" i="26"/>
  <c r="I283" i="26"/>
  <c r="H283" i="26"/>
  <c r="G283" i="26"/>
  <c r="D283" i="26"/>
  <c r="AZ282" i="26"/>
  <c r="AY282" i="26"/>
  <c r="AX282" i="26"/>
  <c r="AW282" i="26"/>
  <c r="AV282" i="26"/>
  <c r="AU282" i="26"/>
  <c r="AT282" i="26"/>
  <c r="AS282" i="26"/>
  <c r="AR282" i="26"/>
  <c r="AQ282" i="26"/>
  <c r="AP282" i="26"/>
  <c r="AO282" i="26"/>
  <c r="AN282" i="26"/>
  <c r="AM282" i="26"/>
  <c r="AL282" i="26"/>
  <c r="AK282" i="26"/>
  <c r="AJ282" i="26"/>
  <c r="AI282" i="26"/>
  <c r="AH282" i="26"/>
  <c r="AG282" i="26"/>
  <c r="AF282" i="26"/>
  <c r="AE282" i="26"/>
  <c r="AD282" i="26"/>
  <c r="AC282" i="26"/>
  <c r="AB282" i="26"/>
  <c r="AA282" i="26"/>
  <c r="Z282" i="26"/>
  <c r="Y282" i="26"/>
  <c r="X282" i="26"/>
  <c r="W282" i="26"/>
  <c r="V282" i="26"/>
  <c r="U282" i="26"/>
  <c r="T282" i="26"/>
  <c r="S282" i="26"/>
  <c r="R282" i="26"/>
  <c r="Q282" i="26"/>
  <c r="O282" i="26"/>
  <c r="N282" i="26"/>
  <c r="M282" i="26"/>
  <c r="L282" i="26"/>
  <c r="K282" i="26"/>
  <c r="J282" i="26"/>
  <c r="I282" i="26"/>
  <c r="H282" i="26"/>
  <c r="G282" i="26"/>
  <c r="D282" i="26"/>
  <c r="D281" i="26"/>
  <c r="AZ279" i="26"/>
  <c r="AY279" i="26"/>
  <c r="AX279" i="26"/>
  <c r="AW279" i="26"/>
  <c r="AV279" i="26"/>
  <c r="AU279" i="26"/>
  <c r="AT279" i="26"/>
  <c r="AS279" i="26"/>
  <c r="AR279" i="26"/>
  <c r="AQ279" i="26"/>
  <c r="AP279" i="26"/>
  <c r="AO279" i="26"/>
  <c r="AN279" i="26"/>
  <c r="AM279" i="26"/>
  <c r="AL279" i="26"/>
  <c r="AK279" i="26"/>
  <c r="AJ279" i="26"/>
  <c r="AI279" i="26"/>
  <c r="AH279" i="26"/>
  <c r="AG279" i="26"/>
  <c r="AF279" i="26"/>
  <c r="AE279" i="26"/>
  <c r="AD279" i="26"/>
  <c r="AC279" i="26"/>
  <c r="AB279" i="26"/>
  <c r="AA279" i="26"/>
  <c r="Z279" i="26"/>
  <c r="Y279" i="26"/>
  <c r="X279" i="26"/>
  <c r="W279" i="26"/>
  <c r="V279" i="26"/>
  <c r="U279" i="26"/>
  <c r="T279" i="26"/>
  <c r="S279" i="26"/>
  <c r="R279" i="26"/>
  <c r="Q279" i="26"/>
  <c r="O279" i="26"/>
  <c r="N279" i="26"/>
  <c r="M279" i="26"/>
  <c r="L279" i="26"/>
  <c r="K279" i="26"/>
  <c r="J279" i="26"/>
  <c r="I279" i="26"/>
  <c r="H279" i="26"/>
  <c r="G279" i="26"/>
  <c r="D279" i="26"/>
  <c r="AZ278" i="26"/>
  <c r="AY278" i="26"/>
  <c r="AX278" i="26"/>
  <c r="AW278" i="26"/>
  <c r="AV278" i="26"/>
  <c r="AU278" i="26"/>
  <c r="AT278" i="26"/>
  <c r="AS278" i="26"/>
  <c r="AR278" i="26"/>
  <c r="AQ278" i="26"/>
  <c r="AP278" i="26"/>
  <c r="AO278" i="26"/>
  <c r="AN278" i="26"/>
  <c r="AM278" i="26"/>
  <c r="AL278" i="26"/>
  <c r="AK278" i="26"/>
  <c r="AJ278" i="26"/>
  <c r="AI278" i="26"/>
  <c r="AH278" i="26"/>
  <c r="AG278" i="26"/>
  <c r="AF278" i="26"/>
  <c r="AE278" i="26"/>
  <c r="AD278" i="26"/>
  <c r="AC278" i="26"/>
  <c r="AB278" i="26"/>
  <c r="AA278" i="26"/>
  <c r="Z278" i="26"/>
  <c r="Y278" i="26"/>
  <c r="X278" i="26"/>
  <c r="W278" i="26"/>
  <c r="V278" i="26"/>
  <c r="U278" i="26"/>
  <c r="T278" i="26"/>
  <c r="S278" i="26"/>
  <c r="R278" i="26"/>
  <c r="Q278" i="26"/>
  <c r="O278" i="26"/>
  <c r="N278" i="26"/>
  <c r="M278" i="26"/>
  <c r="L278" i="26"/>
  <c r="K278" i="26"/>
  <c r="J278" i="26"/>
  <c r="I278" i="26"/>
  <c r="H278" i="26"/>
  <c r="G278" i="26"/>
  <c r="D278" i="26"/>
  <c r="AZ277" i="26"/>
  <c r="AY277" i="26"/>
  <c r="AX277" i="26"/>
  <c r="AW277" i="26"/>
  <c r="AV277" i="26"/>
  <c r="AU277" i="26"/>
  <c r="AT277" i="26"/>
  <c r="AS277" i="26"/>
  <c r="AR277" i="26"/>
  <c r="AQ277" i="26"/>
  <c r="AP277" i="26"/>
  <c r="AO277" i="26"/>
  <c r="AN277" i="26"/>
  <c r="AM277" i="26"/>
  <c r="AL277" i="26"/>
  <c r="AK277" i="26"/>
  <c r="AJ277" i="26"/>
  <c r="AI277" i="26"/>
  <c r="AH277" i="26"/>
  <c r="AG277" i="26"/>
  <c r="AF277" i="26"/>
  <c r="AE277" i="26"/>
  <c r="AD277" i="26"/>
  <c r="AC277" i="26"/>
  <c r="AB277" i="26"/>
  <c r="AA277" i="26"/>
  <c r="Z277" i="26"/>
  <c r="Y277" i="26"/>
  <c r="X277" i="26"/>
  <c r="W277" i="26"/>
  <c r="V277" i="26"/>
  <c r="U277" i="26"/>
  <c r="T277" i="26"/>
  <c r="S277" i="26"/>
  <c r="R277" i="26"/>
  <c r="Q277" i="26"/>
  <c r="O277" i="26"/>
  <c r="N277" i="26"/>
  <c r="M277" i="26"/>
  <c r="L277" i="26"/>
  <c r="K277" i="26"/>
  <c r="J277" i="26"/>
  <c r="I277" i="26"/>
  <c r="H277" i="26"/>
  <c r="G277" i="26"/>
  <c r="D277" i="26"/>
  <c r="AZ276" i="26"/>
  <c r="AY276" i="26"/>
  <c r="AX276" i="26"/>
  <c r="AW276" i="26"/>
  <c r="AV276" i="26"/>
  <c r="AU276" i="26"/>
  <c r="AT276" i="26"/>
  <c r="AS276" i="26"/>
  <c r="AR276" i="26"/>
  <c r="AQ276" i="26"/>
  <c r="AP276" i="26"/>
  <c r="AO276" i="26"/>
  <c r="AN276" i="26"/>
  <c r="AM276" i="26"/>
  <c r="AL276" i="26"/>
  <c r="AK276" i="26"/>
  <c r="AJ276" i="26"/>
  <c r="AI276" i="26"/>
  <c r="AH276" i="26"/>
  <c r="AG276" i="26"/>
  <c r="AF276" i="26"/>
  <c r="AE276" i="26"/>
  <c r="AD276" i="26"/>
  <c r="AC276" i="26"/>
  <c r="AB276" i="26"/>
  <c r="AA276" i="26"/>
  <c r="Z276" i="26"/>
  <c r="Y276" i="26"/>
  <c r="X276" i="26"/>
  <c r="W276" i="26"/>
  <c r="V276" i="26"/>
  <c r="U276" i="26"/>
  <c r="T276" i="26"/>
  <c r="S276" i="26"/>
  <c r="R276" i="26"/>
  <c r="Q276" i="26"/>
  <c r="O276" i="26"/>
  <c r="N276" i="26"/>
  <c r="M276" i="26"/>
  <c r="L276" i="26"/>
  <c r="K276" i="26"/>
  <c r="J276" i="26"/>
  <c r="I276" i="26"/>
  <c r="H276" i="26"/>
  <c r="G276" i="26"/>
  <c r="D276" i="26"/>
  <c r="AZ275" i="26"/>
  <c r="AY275" i="26"/>
  <c r="AX275" i="26"/>
  <c r="AW275" i="26"/>
  <c r="AV275" i="26"/>
  <c r="AU275" i="26"/>
  <c r="AT275" i="26"/>
  <c r="AS275" i="26"/>
  <c r="AR275" i="26"/>
  <c r="AQ275" i="26"/>
  <c r="AP275" i="26"/>
  <c r="AO275" i="26"/>
  <c r="AN275" i="26"/>
  <c r="AM275" i="26"/>
  <c r="AL275" i="26"/>
  <c r="AK275" i="26"/>
  <c r="AJ275" i="26"/>
  <c r="AI275" i="26"/>
  <c r="AH275" i="26"/>
  <c r="AG275" i="26"/>
  <c r="AF275" i="26"/>
  <c r="AE275" i="26"/>
  <c r="AD275" i="26"/>
  <c r="AC275" i="26"/>
  <c r="AB275" i="26"/>
  <c r="AA275" i="26"/>
  <c r="Z275" i="26"/>
  <c r="Y275" i="26"/>
  <c r="X275" i="26"/>
  <c r="W275" i="26"/>
  <c r="V275" i="26"/>
  <c r="U275" i="26"/>
  <c r="T275" i="26"/>
  <c r="S275" i="26"/>
  <c r="R275" i="26"/>
  <c r="Q275" i="26"/>
  <c r="O275" i="26"/>
  <c r="N275" i="26"/>
  <c r="M275" i="26"/>
  <c r="L275" i="26"/>
  <c r="K275" i="26"/>
  <c r="J275" i="26"/>
  <c r="I275" i="26"/>
  <c r="H275" i="26"/>
  <c r="G275" i="26"/>
  <c r="D275" i="26"/>
  <c r="AZ274" i="26"/>
  <c r="AY274" i="26"/>
  <c r="AX274" i="26"/>
  <c r="AW274" i="26"/>
  <c r="AV274" i="26"/>
  <c r="AU274" i="26"/>
  <c r="AT274" i="26"/>
  <c r="AS274" i="26"/>
  <c r="AR274" i="26"/>
  <c r="AQ274" i="26"/>
  <c r="AP274" i="26"/>
  <c r="AO274" i="26"/>
  <c r="AN274" i="26"/>
  <c r="AM274" i="26"/>
  <c r="AL274" i="26"/>
  <c r="AK274" i="26"/>
  <c r="AJ274" i="26"/>
  <c r="AI274" i="26"/>
  <c r="AH274" i="26"/>
  <c r="AG274" i="26"/>
  <c r="AF274" i="26"/>
  <c r="AE274" i="26"/>
  <c r="AD274" i="26"/>
  <c r="AC274" i="26"/>
  <c r="AB274" i="26"/>
  <c r="AA274" i="26"/>
  <c r="Z274" i="26"/>
  <c r="Y274" i="26"/>
  <c r="X274" i="26"/>
  <c r="W274" i="26"/>
  <c r="V274" i="26"/>
  <c r="U274" i="26"/>
  <c r="T274" i="26"/>
  <c r="S274" i="26"/>
  <c r="R274" i="26"/>
  <c r="Q274" i="26"/>
  <c r="O274" i="26"/>
  <c r="N274" i="26"/>
  <c r="M274" i="26"/>
  <c r="L274" i="26"/>
  <c r="K274" i="26"/>
  <c r="J274" i="26"/>
  <c r="I274" i="26"/>
  <c r="H274" i="26"/>
  <c r="G274" i="26"/>
  <c r="D274" i="26"/>
  <c r="D273" i="26"/>
  <c r="D272" i="26"/>
  <c r="AZ270" i="26"/>
  <c r="AY270" i="26"/>
  <c r="AX270" i="26"/>
  <c r="AW270" i="26"/>
  <c r="AV270" i="26"/>
  <c r="AU270" i="26"/>
  <c r="AT270" i="26"/>
  <c r="AS270" i="26"/>
  <c r="AR270" i="26"/>
  <c r="AQ270" i="26"/>
  <c r="AP270" i="26"/>
  <c r="AO270" i="26"/>
  <c r="AN270" i="26"/>
  <c r="AM270" i="26"/>
  <c r="AL270" i="26"/>
  <c r="AK270" i="26"/>
  <c r="AJ270" i="26"/>
  <c r="AI270" i="26"/>
  <c r="AH270" i="26"/>
  <c r="AG270" i="26"/>
  <c r="AF270" i="26"/>
  <c r="AE270" i="26"/>
  <c r="AD270" i="26"/>
  <c r="AC270" i="26"/>
  <c r="AB270" i="26"/>
  <c r="AA270" i="26"/>
  <c r="Z270" i="26"/>
  <c r="Y270" i="26"/>
  <c r="X270" i="26"/>
  <c r="W270" i="26"/>
  <c r="V270" i="26"/>
  <c r="U270" i="26"/>
  <c r="T270" i="26"/>
  <c r="S270" i="26"/>
  <c r="R270" i="26"/>
  <c r="Q270" i="26"/>
  <c r="O270" i="26"/>
  <c r="N270" i="26"/>
  <c r="M270" i="26"/>
  <c r="L270" i="26"/>
  <c r="K270" i="26"/>
  <c r="J270" i="26"/>
  <c r="I270" i="26"/>
  <c r="H270" i="26"/>
  <c r="G270" i="26"/>
  <c r="D270" i="26"/>
  <c r="AZ269" i="26"/>
  <c r="AY269" i="26"/>
  <c r="AX269" i="26"/>
  <c r="AW269" i="26"/>
  <c r="AV269" i="26"/>
  <c r="AU269" i="26"/>
  <c r="AT269" i="26"/>
  <c r="AS269" i="26"/>
  <c r="AR269" i="26"/>
  <c r="AQ269" i="26"/>
  <c r="AP269" i="26"/>
  <c r="AO269" i="26"/>
  <c r="AN269" i="26"/>
  <c r="AM269" i="26"/>
  <c r="AL269" i="26"/>
  <c r="AK269" i="26"/>
  <c r="AJ269" i="26"/>
  <c r="AI269" i="26"/>
  <c r="AH269" i="26"/>
  <c r="AG269" i="26"/>
  <c r="AF269" i="26"/>
  <c r="AE269" i="26"/>
  <c r="AD269" i="26"/>
  <c r="AC269" i="26"/>
  <c r="AB269" i="26"/>
  <c r="AA269" i="26"/>
  <c r="Z269" i="26"/>
  <c r="Y269" i="26"/>
  <c r="X269" i="26"/>
  <c r="W269" i="26"/>
  <c r="V269" i="26"/>
  <c r="U269" i="26"/>
  <c r="T269" i="26"/>
  <c r="S269" i="26"/>
  <c r="R269" i="26"/>
  <c r="Q269" i="26"/>
  <c r="H269" i="26"/>
  <c r="G269" i="26"/>
  <c r="D269" i="26"/>
  <c r="AZ268" i="26"/>
  <c r="AY268" i="26"/>
  <c r="AX268" i="26"/>
  <c r="AW268" i="26"/>
  <c r="AV268" i="26"/>
  <c r="AU268" i="26"/>
  <c r="AT268" i="26"/>
  <c r="AS268" i="26"/>
  <c r="AR268" i="26"/>
  <c r="AQ268" i="26"/>
  <c r="AP268" i="26"/>
  <c r="AO268" i="26"/>
  <c r="AN268" i="26"/>
  <c r="AM268" i="26"/>
  <c r="AL268" i="26"/>
  <c r="AK268" i="26"/>
  <c r="AJ268" i="26"/>
  <c r="AI268" i="26"/>
  <c r="AH268" i="26"/>
  <c r="AG268" i="26"/>
  <c r="AF268" i="26"/>
  <c r="AE268" i="26"/>
  <c r="AD268" i="26"/>
  <c r="AC268" i="26"/>
  <c r="AB268" i="26"/>
  <c r="AA268" i="26"/>
  <c r="Z268" i="26"/>
  <c r="Y268" i="26"/>
  <c r="X268" i="26"/>
  <c r="W268" i="26"/>
  <c r="V268" i="26"/>
  <c r="U268" i="26"/>
  <c r="T268" i="26"/>
  <c r="S268" i="26"/>
  <c r="R268" i="26"/>
  <c r="Q268" i="26"/>
  <c r="H268" i="26"/>
  <c r="G268" i="26"/>
  <c r="D268" i="26"/>
  <c r="AZ267" i="26"/>
  <c r="AY267" i="26"/>
  <c r="AX267" i="26"/>
  <c r="AW267" i="26"/>
  <c r="AV267" i="26"/>
  <c r="AU267" i="26"/>
  <c r="AT267" i="26"/>
  <c r="AS267" i="26"/>
  <c r="AR267" i="26"/>
  <c r="AQ267" i="26"/>
  <c r="AP267" i="26"/>
  <c r="AO267" i="26"/>
  <c r="AN267" i="26"/>
  <c r="AM267" i="26"/>
  <c r="AL267" i="26"/>
  <c r="AK267" i="26"/>
  <c r="AJ267" i="26"/>
  <c r="AI267" i="26"/>
  <c r="AH267" i="26"/>
  <c r="AG267" i="26"/>
  <c r="AF267" i="26"/>
  <c r="AE267" i="26"/>
  <c r="AD267" i="26"/>
  <c r="AC267" i="26"/>
  <c r="AB267" i="26"/>
  <c r="AA267" i="26"/>
  <c r="Z267" i="26"/>
  <c r="Y267" i="26"/>
  <c r="X267" i="26"/>
  <c r="W267" i="26"/>
  <c r="V267" i="26"/>
  <c r="U267" i="26"/>
  <c r="T267" i="26"/>
  <c r="S267" i="26"/>
  <c r="R267" i="26"/>
  <c r="Q267" i="26"/>
  <c r="H267" i="26"/>
  <c r="G267" i="26"/>
  <c r="D267" i="26"/>
  <c r="AZ266" i="26"/>
  <c r="AY266" i="26"/>
  <c r="AX266" i="26"/>
  <c r="AW266" i="26"/>
  <c r="AV266" i="26"/>
  <c r="AU266" i="26"/>
  <c r="AT266" i="26"/>
  <c r="AS266" i="26"/>
  <c r="AR266" i="26"/>
  <c r="AQ266" i="26"/>
  <c r="AP266" i="26"/>
  <c r="AO266" i="26"/>
  <c r="AN266" i="26"/>
  <c r="AM266" i="26"/>
  <c r="AL266" i="26"/>
  <c r="AK266" i="26"/>
  <c r="AJ266" i="26"/>
  <c r="AI266" i="26"/>
  <c r="AH266" i="26"/>
  <c r="AG266" i="26"/>
  <c r="AF266" i="26"/>
  <c r="AE266" i="26"/>
  <c r="AD266" i="26"/>
  <c r="AC266" i="26"/>
  <c r="AB266" i="26"/>
  <c r="AA266" i="26"/>
  <c r="Z266" i="26"/>
  <c r="Y266" i="26"/>
  <c r="X266" i="26"/>
  <c r="W266" i="26"/>
  <c r="V266" i="26"/>
  <c r="U266" i="26"/>
  <c r="T266" i="26"/>
  <c r="S266" i="26"/>
  <c r="R266" i="26"/>
  <c r="Q266" i="26"/>
  <c r="H266" i="26"/>
  <c r="G266" i="26"/>
  <c r="D266" i="26"/>
  <c r="D265" i="26"/>
  <c r="D263" i="26"/>
  <c r="D189" i="26"/>
  <c r="D187" i="26"/>
  <c r="D186" i="26"/>
  <c r="D185" i="26"/>
  <c r="D214" i="26" s="1"/>
  <c r="D184" i="26"/>
  <c r="D212" i="26" s="1"/>
  <c r="D183" i="26"/>
  <c r="D182" i="26"/>
  <c r="D181" i="26"/>
  <c r="D206" i="26" s="1"/>
  <c r="D176" i="26"/>
  <c r="AZ172" i="26"/>
  <c r="AY172" i="26"/>
  <c r="AX172" i="26"/>
  <c r="AW172" i="26"/>
  <c r="AV172" i="26"/>
  <c r="AU172" i="26"/>
  <c r="AT172" i="26"/>
  <c r="AS172" i="26"/>
  <c r="AR172" i="26"/>
  <c r="AQ172" i="26"/>
  <c r="AP172" i="26"/>
  <c r="AO172" i="26"/>
  <c r="AN172" i="26"/>
  <c r="AM172" i="26"/>
  <c r="AL172" i="26"/>
  <c r="AK172" i="26"/>
  <c r="AJ172" i="26"/>
  <c r="AI172" i="26"/>
  <c r="AH172" i="26"/>
  <c r="AG172" i="26"/>
  <c r="AF172" i="26"/>
  <c r="AE172" i="26"/>
  <c r="AD172" i="26"/>
  <c r="AC172" i="26"/>
  <c r="AB172" i="26"/>
  <c r="AA172" i="26"/>
  <c r="Z172" i="26"/>
  <c r="Y172" i="26"/>
  <c r="X172" i="26"/>
  <c r="W172" i="26"/>
  <c r="V172" i="26"/>
  <c r="U172" i="26"/>
  <c r="T172" i="26"/>
  <c r="S172" i="26"/>
  <c r="R172" i="26"/>
  <c r="Q172" i="26"/>
  <c r="O172" i="26"/>
  <c r="N172" i="26"/>
  <c r="M172" i="26"/>
  <c r="L172" i="26"/>
  <c r="K172" i="26"/>
  <c r="J172" i="26"/>
  <c r="I172" i="26"/>
  <c r="H172" i="26"/>
  <c r="G172" i="26"/>
  <c r="D172" i="26"/>
  <c r="AZ171" i="26"/>
  <c r="AY171" i="26"/>
  <c r="AX171" i="26"/>
  <c r="AW171" i="26"/>
  <c r="AV171" i="26"/>
  <c r="AU171" i="26"/>
  <c r="AT171" i="26"/>
  <c r="AS171" i="26"/>
  <c r="AR171" i="26"/>
  <c r="AQ171" i="26"/>
  <c r="AP171" i="26"/>
  <c r="AO171" i="26"/>
  <c r="AN171" i="26"/>
  <c r="AM171" i="26"/>
  <c r="AL171" i="26"/>
  <c r="AK171" i="26"/>
  <c r="AJ171" i="26"/>
  <c r="AI171" i="26"/>
  <c r="AH171" i="26"/>
  <c r="AG171" i="26"/>
  <c r="AF171" i="26"/>
  <c r="AE171" i="26"/>
  <c r="AD171" i="26"/>
  <c r="AC171" i="26"/>
  <c r="AB171" i="26"/>
  <c r="AA171" i="26"/>
  <c r="Z171" i="26"/>
  <c r="Y171" i="26"/>
  <c r="X171" i="26"/>
  <c r="W171" i="26"/>
  <c r="V171" i="26"/>
  <c r="U171" i="26"/>
  <c r="T171" i="26"/>
  <c r="S171" i="26"/>
  <c r="R171" i="26"/>
  <c r="Q171" i="26"/>
  <c r="O171" i="26"/>
  <c r="N171" i="26"/>
  <c r="M171" i="26"/>
  <c r="L171" i="26"/>
  <c r="K171" i="26"/>
  <c r="J171" i="26"/>
  <c r="I171" i="26"/>
  <c r="H171" i="26"/>
  <c r="G171" i="26"/>
  <c r="D171" i="26"/>
  <c r="AZ170" i="26"/>
  <c r="AY170" i="26"/>
  <c r="AX170" i="26"/>
  <c r="AW170" i="26"/>
  <c r="AV170" i="26"/>
  <c r="AU170" i="26"/>
  <c r="AT170" i="26"/>
  <c r="AS170" i="26"/>
  <c r="AR170" i="26"/>
  <c r="AQ170" i="26"/>
  <c r="AP170" i="26"/>
  <c r="AO170" i="26"/>
  <c r="AN170" i="26"/>
  <c r="AM170" i="26"/>
  <c r="AL170" i="26"/>
  <c r="AK170" i="26"/>
  <c r="AJ170" i="26"/>
  <c r="AI170" i="26"/>
  <c r="AH170" i="26"/>
  <c r="AG170" i="26"/>
  <c r="AF170" i="26"/>
  <c r="AE170" i="26"/>
  <c r="AD170" i="26"/>
  <c r="AC170" i="26"/>
  <c r="AB170" i="26"/>
  <c r="AA170" i="26"/>
  <c r="Z170" i="26"/>
  <c r="Y170" i="26"/>
  <c r="X170" i="26"/>
  <c r="W170" i="26"/>
  <c r="V170" i="26"/>
  <c r="U170" i="26"/>
  <c r="T170" i="26"/>
  <c r="S170" i="26"/>
  <c r="R170" i="26"/>
  <c r="Q170" i="26"/>
  <c r="O170" i="26"/>
  <c r="N170" i="26"/>
  <c r="M170" i="26"/>
  <c r="L170" i="26"/>
  <c r="K170" i="26"/>
  <c r="J170" i="26"/>
  <c r="I170" i="26"/>
  <c r="H170" i="26"/>
  <c r="G170" i="26"/>
  <c r="D170" i="26"/>
  <c r="AZ169" i="26"/>
  <c r="AY169" i="26"/>
  <c r="AX169" i="26"/>
  <c r="AW169" i="26"/>
  <c r="AV169" i="26"/>
  <c r="AU169" i="26"/>
  <c r="AT169" i="26"/>
  <c r="AS169" i="26"/>
  <c r="AR169" i="26"/>
  <c r="AQ169" i="26"/>
  <c r="AP169" i="26"/>
  <c r="AO169" i="26"/>
  <c r="AN169" i="26"/>
  <c r="AM169" i="26"/>
  <c r="AL169" i="26"/>
  <c r="AK169" i="26"/>
  <c r="AJ169" i="26"/>
  <c r="AI169" i="26"/>
  <c r="AH169" i="26"/>
  <c r="AG169" i="26"/>
  <c r="AF169" i="26"/>
  <c r="AE169" i="26"/>
  <c r="AD169" i="26"/>
  <c r="AC169" i="26"/>
  <c r="AB169" i="26"/>
  <c r="AA169" i="26"/>
  <c r="Z169" i="26"/>
  <c r="Y169" i="26"/>
  <c r="X169" i="26"/>
  <c r="W169" i="26"/>
  <c r="V169" i="26"/>
  <c r="U169" i="26"/>
  <c r="T169" i="26"/>
  <c r="S169" i="26"/>
  <c r="R169" i="26"/>
  <c r="Q169" i="26"/>
  <c r="O169" i="26"/>
  <c r="N169" i="26"/>
  <c r="M169" i="26"/>
  <c r="L169" i="26"/>
  <c r="K169" i="26"/>
  <c r="J169" i="26"/>
  <c r="I169" i="26"/>
  <c r="H169" i="26"/>
  <c r="G169" i="26"/>
  <c r="D169" i="26"/>
  <c r="AZ168" i="26"/>
  <c r="AY168" i="26"/>
  <c r="AX168" i="26"/>
  <c r="AW168" i="26"/>
  <c r="AV168" i="26"/>
  <c r="AU168" i="26"/>
  <c r="AT168" i="26"/>
  <c r="AS168" i="26"/>
  <c r="AR168" i="26"/>
  <c r="AQ168" i="26"/>
  <c r="AP168" i="26"/>
  <c r="AO168" i="26"/>
  <c r="AN168" i="26"/>
  <c r="AM168" i="26"/>
  <c r="AL168" i="26"/>
  <c r="AK168" i="26"/>
  <c r="AJ168" i="26"/>
  <c r="AI168" i="26"/>
  <c r="AH168" i="26"/>
  <c r="AG168" i="26"/>
  <c r="AF168" i="26"/>
  <c r="AE168" i="26"/>
  <c r="AD168" i="26"/>
  <c r="AC168" i="26"/>
  <c r="AB168" i="26"/>
  <c r="AA168" i="26"/>
  <c r="Z168" i="26"/>
  <c r="Y168" i="26"/>
  <c r="X168" i="26"/>
  <c r="W168" i="26"/>
  <c r="V168" i="26"/>
  <c r="U168" i="26"/>
  <c r="T168" i="26"/>
  <c r="S168" i="26"/>
  <c r="R168" i="26"/>
  <c r="Q168" i="26"/>
  <c r="O168" i="26"/>
  <c r="N168" i="26"/>
  <c r="M168" i="26"/>
  <c r="L168" i="26"/>
  <c r="K168" i="26"/>
  <c r="J168" i="26"/>
  <c r="I168" i="26"/>
  <c r="H168" i="26"/>
  <c r="G168" i="26"/>
  <c r="D168" i="26"/>
  <c r="AZ167" i="26"/>
  <c r="AY167" i="26"/>
  <c r="AX167" i="26"/>
  <c r="AW167" i="26"/>
  <c r="AV167" i="26"/>
  <c r="AU167" i="26"/>
  <c r="AT167" i="26"/>
  <c r="AS167" i="26"/>
  <c r="AR167" i="26"/>
  <c r="AQ167" i="26"/>
  <c r="AP167" i="26"/>
  <c r="AO167" i="26"/>
  <c r="AN167" i="26"/>
  <c r="AM167" i="26"/>
  <c r="AL167" i="26"/>
  <c r="AK167" i="26"/>
  <c r="AJ167" i="26"/>
  <c r="AI167" i="26"/>
  <c r="AH167" i="26"/>
  <c r="AG167" i="26"/>
  <c r="AF167" i="26"/>
  <c r="AE167" i="26"/>
  <c r="AD167" i="26"/>
  <c r="AC167" i="26"/>
  <c r="AB167" i="26"/>
  <c r="AA167" i="26"/>
  <c r="Z167" i="26"/>
  <c r="Y167" i="26"/>
  <c r="X167" i="26"/>
  <c r="W167" i="26"/>
  <c r="V167" i="26"/>
  <c r="U167" i="26"/>
  <c r="T167" i="26"/>
  <c r="S167" i="26"/>
  <c r="R167" i="26"/>
  <c r="Q167" i="26"/>
  <c r="O167" i="26"/>
  <c r="N167" i="26"/>
  <c r="M167" i="26"/>
  <c r="L167" i="26"/>
  <c r="K167" i="26"/>
  <c r="J167" i="26"/>
  <c r="I167" i="26"/>
  <c r="H167" i="26"/>
  <c r="G167" i="26"/>
  <c r="D167" i="26"/>
  <c r="D166" i="26"/>
  <c r="D131" i="26"/>
  <c r="D138" i="26" s="1"/>
  <c r="D150" i="26" s="1"/>
  <c r="D157" i="26" s="1"/>
  <c r="D133" i="26"/>
  <c r="D140" i="26" s="1"/>
  <c r="D152" i="26" s="1"/>
  <c r="D159" i="26" s="1"/>
  <c r="D132" i="26"/>
  <c r="D139" i="26" s="1"/>
  <c r="D151" i="26" s="1"/>
  <c r="D158" i="26" s="1"/>
  <c r="D130" i="26"/>
  <c r="D137" i="26" s="1"/>
  <c r="D149" i="26" s="1"/>
  <c r="D156" i="26" s="1"/>
  <c r="D128" i="26"/>
  <c r="D111" i="26"/>
  <c r="D106" i="26"/>
  <c r="D99" i="26"/>
  <c r="D98" i="26"/>
  <c r="D93" i="26"/>
  <c r="AN63" i="26"/>
  <c r="AM63" i="26"/>
  <c r="AL63" i="26"/>
  <c r="AK63" i="26"/>
  <c r="AJ63" i="26"/>
  <c r="AI63" i="26"/>
  <c r="AH63" i="26"/>
  <c r="AG63" i="26"/>
  <c r="AF63" i="26"/>
  <c r="AE63" i="26"/>
  <c r="AD63" i="26"/>
  <c r="AC63" i="26"/>
  <c r="AB63" i="26"/>
  <c r="AA63" i="26"/>
  <c r="Z63" i="26"/>
  <c r="Y63" i="26"/>
  <c r="X63" i="26"/>
  <c r="W63" i="26"/>
  <c r="V63" i="26"/>
  <c r="U63" i="26"/>
  <c r="T63" i="26"/>
  <c r="S63" i="26"/>
  <c r="R63" i="26"/>
  <c r="Q63" i="26"/>
  <c r="AN62" i="26"/>
  <c r="AM62" i="26"/>
  <c r="AL62" i="26"/>
  <c r="AK62" i="26"/>
  <c r="L62" i="26" s="1"/>
  <c r="AJ62" i="26"/>
  <c r="AI62" i="26"/>
  <c r="AH62" i="26"/>
  <c r="AG62" i="26"/>
  <c r="K62" i="26" s="1"/>
  <c r="AF62" i="26"/>
  <c r="AE62" i="26"/>
  <c r="AD62" i="26"/>
  <c r="AC62" i="26"/>
  <c r="AB62" i="26"/>
  <c r="AA62" i="26"/>
  <c r="Z62" i="26"/>
  <c r="Y62" i="26"/>
  <c r="I62" i="26" s="1"/>
  <c r="X62" i="26"/>
  <c r="W62" i="26"/>
  <c r="V62" i="26"/>
  <c r="U62" i="26"/>
  <c r="H62" i="26" s="1"/>
  <c r="T62" i="26"/>
  <c r="S62" i="26"/>
  <c r="R62" i="26"/>
  <c r="Q62" i="26"/>
  <c r="G62" i="26" s="1"/>
  <c r="AZ59" i="26"/>
  <c r="AY59" i="26"/>
  <c r="AX59" i="26"/>
  <c r="AW59" i="26"/>
  <c r="AV59" i="26"/>
  <c r="AU59" i="26"/>
  <c r="AT59" i="26"/>
  <c r="AS59" i="26"/>
  <c r="AR59" i="26"/>
  <c r="AQ59" i="26"/>
  <c r="AP59" i="26"/>
  <c r="AO59" i="26"/>
  <c r="AN59" i="26"/>
  <c r="AM59" i="26"/>
  <c r="AL59" i="26"/>
  <c r="AK59" i="26"/>
  <c r="AJ59" i="26"/>
  <c r="AI59" i="26"/>
  <c r="AH59" i="26"/>
  <c r="AG59" i="26"/>
  <c r="AF59" i="26"/>
  <c r="AE59" i="26"/>
  <c r="AD59" i="26"/>
  <c r="AC59" i="26"/>
  <c r="AB59" i="26"/>
  <c r="AA59" i="26"/>
  <c r="Z59" i="26"/>
  <c r="Y59" i="26"/>
  <c r="X59" i="26"/>
  <c r="W59" i="26"/>
  <c r="V59" i="26"/>
  <c r="U59" i="26"/>
  <c r="T59" i="26"/>
  <c r="S59" i="26"/>
  <c r="R59" i="26"/>
  <c r="Q59" i="26"/>
  <c r="O59" i="26"/>
  <c r="N59" i="26"/>
  <c r="M59" i="26"/>
  <c r="L59" i="26"/>
  <c r="K59" i="26"/>
  <c r="J59" i="26"/>
  <c r="I59" i="26"/>
  <c r="H59" i="26"/>
  <c r="G59" i="26"/>
  <c r="D59" i="26"/>
  <c r="D67" i="26" s="1"/>
  <c r="AZ58" i="26"/>
  <c r="AY58" i="26"/>
  <c r="AX58" i="26"/>
  <c r="AW58" i="26"/>
  <c r="AV58" i="26"/>
  <c r="AU58" i="26"/>
  <c r="AT58" i="26"/>
  <c r="AS58" i="26"/>
  <c r="AR58" i="26"/>
  <c r="AQ58" i="26"/>
  <c r="AP58" i="26"/>
  <c r="AO58" i="26"/>
  <c r="AN58" i="26"/>
  <c r="AM58" i="26"/>
  <c r="AL58" i="26"/>
  <c r="AK58" i="26"/>
  <c r="AJ58" i="26"/>
  <c r="AI58" i="26"/>
  <c r="AH58" i="26"/>
  <c r="AG58" i="26"/>
  <c r="AF58" i="26"/>
  <c r="AE58" i="26"/>
  <c r="AD58" i="26"/>
  <c r="AC58" i="26"/>
  <c r="AB58" i="26"/>
  <c r="AA58" i="26"/>
  <c r="Z58" i="26"/>
  <c r="Y58" i="26"/>
  <c r="X58" i="26"/>
  <c r="W58" i="26"/>
  <c r="V58" i="26"/>
  <c r="U58" i="26"/>
  <c r="T58" i="26"/>
  <c r="S58" i="26"/>
  <c r="R58" i="26"/>
  <c r="Q58" i="26"/>
  <c r="O58" i="26"/>
  <c r="N58" i="26"/>
  <c r="M58" i="26"/>
  <c r="L58" i="26"/>
  <c r="K58" i="26"/>
  <c r="J58" i="26"/>
  <c r="I58" i="26"/>
  <c r="H58" i="26"/>
  <c r="G58" i="26"/>
  <c r="AZ57" i="26"/>
  <c r="AY57" i="26"/>
  <c r="AX57" i="26"/>
  <c r="AW57" i="26"/>
  <c r="AV57" i="26"/>
  <c r="AU57" i="26"/>
  <c r="AT57" i="26"/>
  <c r="AS57" i="26"/>
  <c r="AR57" i="26"/>
  <c r="AQ57" i="26"/>
  <c r="AP57" i="26"/>
  <c r="AO57" i="26"/>
  <c r="AN57" i="26"/>
  <c r="AM57" i="26"/>
  <c r="AL57" i="26"/>
  <c r="AK57" i="26"/>
  <c r="AJ57" i="26"/>
  <c r="AI57" i="26"/>
  <c r="AH57" i="26"/>
  <c r="AG57" i="26"/>
  <c r="AF57" i="26"/>
  <c r="AE57" i="26"/>
  <c r="AD57" i="26"/>
  <c r="AC57" i="26"/>
  <c r="AB57" i="26"/>
  <c r="AA57" i="26"/>
  <c r="Z57" i="26"/>
  <c r="Y57" i="26"/>
  <c r="X57" i="26"/>
  <c r="W57" i="26"/>
  <c r="V57" i="26"/>
  <c r="U57" i="26"/>
  <c r="T57" i="26"/>
  <c r="S57" i="26"/>
  <c r="R57" i="26"/>
  <c r="Q57" i="26"/>
  <c r="O57" i="26"/>
  <c r="N57" i="26"/>
  <c r="M57" i="26"/>
  <c r="L57" i="26"/>
  <c r="K57" i="26"/>
  <c r="J57" i="26"/>
  <c r="I57" i="26"/>
  <c r="H57" i="26"/>
  <c r="G57" i="26"/>
  <c r="D57" i="26"/>
  <c r="D65" i="26" s="1"/>
  <c r="AZ56" i="26"/>
  <c r="AY56" i="26"/>
  <c r="AX56" i="26"/>
  <c r="AW56" i="26"/>
  <c r="AV56" i="26"/>
  <c r="AU56" i="26"/>
  <c r="AT56" i="26"/>
  <c r="AS56" i="26"/>
  <c r="AR56" i="26"/>
  <c r="AQ56" i="26"/>
  <c r="AP56" i="26"/>
  <c r="AO56" i="26"/>
  <c r="AN56" i="26"/>
  <c r="AM56" i="26"/>
  <c r="AL56" i="26"/>
  <c r="AK56" i="26"/>
  <c r="AJ56" i="26"/>
  <c r="AI56" i="26"/>
  <c r="AH56" i="26"/>
  <c r="AG56" i="26"/>
  <c r="AF56" i="26"/>
  <c r="AE56" i="26"/>
  <c r="AD56" i="26"/>
  <c r="AC56" i="26"/>
  <c r="AB56" i="26"/>
  <c r="AA56" i="26"/>
  <c r="Z56" i="26"/>
  <c r="Y56" i="26"/>
  <c r="X56" i="26"/>
  <c r="W56" i="26"/>
  <c r="V56" i="26"/>
  <c r="U56" i="26"/>
  <c r="T56" i="26"/>
  <c r="S56" i="26"/>
  <c r="R56" i="26"/>
  <c r="Q56" i="26"/>
  <c r="O56" i="26"/>
  <c r="N56" i="26"/>
  <c r="M56" i="26"/>
  <c r="L56" i="26"/>
  <c r="K56" i="26"/>
  <c r="J56" i="26"/>
  <c r="I56" i="26"/>
  <c r="H56" i="26"/>
  <c r="G56" i="26"/>
  <c r="D56" i="26"/>
  <c r="D64" i="26" s="1"/>
  <c r="AZ55" i="26"/>
  <c r="AY55" i="26"/>
  <c r="AX55" i="26"/>
  <c r="AW55" i="26"/>
  <c r="AV55" i="26"/>
  <c r="AU55" i="26"/>
  <c r="AT55" i="26"/>
  <c r="AS55" i="26"/>
  <c r="AR55" i="26"/>
  <c r="AQ55" i="26"/>
  <c r="AP55" i="26"/>
  <c r="AO55" i="26"/>
  <c r="AN55" i="26"/>
  <c r="AM55" i="26"/>
  <c r="AL55" i="26"/>
  <c r="AK55" i="26"/>
  <c r="AJ55" i="26"/>
  <c r="AI55" i="26"/>
  <c r="AH55" i="26"/>
  <c r="AG55" i="26"/>
  <c r="AF55" i="26"/>
  <c r="AE55" i="26"/>
  <c r="AD55" i="26"/>
  <c r="AC55" i="26"/>
  <c r="AB55" i="26"/>
  <c r="AB79" i="26" s="1"/>
  <c r="AA55" i="26"/>
  <c r="Z55" i="26"/>
  <c r="Y55" i="26"/>
  <c r="X55" i="26"/>
  <c r="W55" i="26"/>
  <c r="V55" i="26"/>
  <c r="U55" i="26"/>
  <c r="T55" i="26"/>
  <c r="T79" i="26" s="1"/>
  <c r="S55" i="26"/>
  <c r="R55" i="26"/>
  <c r="Q55" i="26"/>
  <c r="O55" i="26"/>
  <c r="N55" i="26"/>
  <c r="M55" i="26"/>
  <c r="L55" i="26"/>
  <c r="K55" i="26"/>
  <c r="J55" i="26"/>
  <c r="I55" i="26"/>
  <c r="H55" i="26"/>
  <c r="G55" i="26"/>
  <c r="D55" i="26"/>
  <c r="D63" i="26" s="1"/>
  <c r="AZ54" i="26"/>
  <c r="AY54" i="26"/>
  <c r="AX54" i="26"/>
  <c r="AW54" i="26"/>
  <c r="AV54" i="26"/>
  <c r="AU54" i="26"/>
  <c r="AT54" i="26"/>
  <c r="AS54" i="26"/>
  <c r="AR54" i="26"/>
  <c r="AQ54" i="26"/>
  <c r="AP54" i="26"/>
  <c r="AO54" i="26"/>
  <c r="AN54" i="26"/>
  <c r="AM54" i="26"/>
  <c r="AL54" i="26"/>
  <c r="AK54" i="26"/>
  <c r="AJ54" i="26"/>
  <c r="AI54" i="26"/>
  <c r="AH54" i="26"/>
  <c r="AG54" i="26"/>
  <c r="AF54" i="26"/>
  <c r="AE54" i="26"/>
  <c r="AD54" i="26"/>
  <c r="AC54" i="26"/>
  <c r="AB54" i="26"/>
  <c r="AA54" i="26"/>
  <c r="Z54" i="26"/>
  <c r="Y54" i="26"/>
  <c r="X54" i="26"/>
  <c r="W54" i="26"/>
  <c r="V54" i="26"/>
  <c r="U54" i="26"/>
  <c r="T54" i="26"/>
  <c r="S54" i="26"/>
  <c r="R54" i="26"/>
  <c r="Q54" i="26"/>
  <c r="O54" i="26"/>
  <c r="N54" i="26"/>
  <c r="M54" i="26"/>
  <c r="L54" i="26"/>
  <c r="K54" i="26"/>
  <c r="J54" i="26"/>
  <c r="I54" i="26"/>
  <c r="H54" i="26"/>
  <c r="G54" i="26"/>
  <c r="D54" i="26"/>
  <c r="D62" i="26" s="1"/>
  <c r="D52" i="26"/>
  <c r="AW49" i="26"/>
  <c r="AS49" i="26"/>
  <c r="AO49" i="26"/>
  <c r="AK49" i="26"/>
  <c r="AG49" i="26"/>
  <c r="AC49" i="26"/>
  <c r="Y49" i="26"/>
  <c r="U49" i="26"/>
  <c r="Q49" i="26"/>
  <c r="I17" i="26"/>
  <c r="I13" i="26"/>
  <c r="H13" i="26"/>
  <c r="E19" i="8"/>
  <c r="D7" i="2"/>
  <c r="E7" i="2" s="1"/>
  <c r="E10" i="2" s="1"/>
  <c r="G7" i="2"/>
  <c r="G10" i="2" s="1"/>
  <c r="H7" i="2"/>
  <c r="H10" i="2" s="1"/>
  <c r="J7" i="2"/>
  <c r="K7" i="2" s="1"/>
  <c r="K10" i="2" s="1"/>
  <c r="M7" i="2"/>
  <c r="N7" i="2" s="1"/>
  <c r="P7" i="2"/>
  <c r="P10" i="2" s="1"/>
  <c r="S7" i="2"/>
  <c r="S10" i="2" s="1"/>
  <c r="T7" i="2"/>
  <c r="T10" i="2" s="1"/>
  <c r="V7" i="2"/>
  <c r="W7" i="2" s="1"/>
  <c r="W10" i="2" s="1"/>
  <c r="Y7" i="2"/>
  <c r="Z7" i="2" s="1"/>
  <c r="Z10" i="2" s="1"/>
  <c r="AB7" i="2"/>
  <c r="AC7" i="2" s="1"/>
  <c r="AC10" i="2" s="1"/>
  <c r="AE7" i="2"/>
  <c r="AE10" i="2" s="1"/>
  <c r="AF7" i="2"/>
  <c r="AF10" i="2" s="1"/>
  <c r="AH7" i="2"/>
  <c r="AI7" i="2" s="1"/>
  <c r="AI10" i="2" s="1"/>
  <c r="AK7" i="2"/>
  <c r="AL7" i="2" s="1"/>
  <c r="AN7" i="2"/>
  <c r="AO7" i="2" s="1"/>
  <c r="AO10" i="2" s="1"/>
  <c r="AQ7" i="2"/>
  <c r="AQ10" i="2" s="1"/>
  <c r="AR7" i="2"/>
  <c r="AR10" i="2" s="1"/>
  <c r="AT7" i="2"/>
  <c r="AU7" i="2" s="1"/>
  <c r="AU10" i="2" s="1"/>
  <c r="AW7" i="2"/>
  <c r="AX7" i="2" s="1"/>
  <c r="AX10" i="2" s="1"/>
  <c r="AZ7" i="2"/>
  <c r="BA7" i="2" s="1"/>
  <c r="BA10" i="2" s="1"/>
  <c r="BC7" i="2"/>
  <c r="BC10" i="2" s="1"/>
  <c r="BD7" i="2"/>
  <c r="BD10" i="2" s="1"/>
  <c r="BF7" i="2"/>
  <c r="BG7" i="2" s="1"/>
  <c r="BG10" i="2" s="1"/>
  <c r="BI7" i="2"/>
  <c r="BJ7" i="2" s="1"/>
  <c r="BJ10" i="2" s="1"/>
  <c r="C10" i="2"/>
  <c r="F10" i="2"/>
  <c r="I10" i="2"/>
  <c r="L10" i="2"/>
  <c r="M10" i="2"/>
  <c r="N10" i="2"/>
  <c r="O10" i="2"/>
  <c r="R10" i="2"/>
  <c r="U10" i="2"/>
  <c r="V10" i="2"/>
  <c r="AA10" i="2"/>
  <c r="AB10" i="2"/>
  <c r="AD10" i="2"/>
  <c r="AG10" i="2"/>
  <c r="AH10" i="2"/>
  <c r="AJ10" i="2"/>
  <c r="AK10" i="2"/>
  <c r="AL10" i="2"/>
  <c r="AM10" i="2"/>
  <c r="AN10" i="2"/>
  <c r="AP10" i="2"/>
  <c r="AS10" i="2"/>
  <c r="AT10" i="2"/>
  <c r="AY10" i="2"/>
  <c r="AZ10" i="2"/>
  <c r="BB10" i="2"/>
  <c r="BE10" i="2"/>
  <c r="BF10" i="2"/>
  <c r="BH10" i="2"/>
  <c r="BI10" i="2"/>
  <c r="I27" i="2"/>
  <c r="C21" i="2"/>
  <c r="D21" i="2"/>
  <c r="E21" i="2"/>
  <c r="F21" i="2"/>
  <c r="D23" i="2"/>
  <c r="E23" i="2" s="1"/>
  <c r="G23" i="2"/>
  <c r="G27" i="2" s="1"/>
  <c r="J23" i="2"/>
  <c r="J27" i="2" s="1"/>
  <c r="K23" i="2"/>
  <c r="K28" i="2" s="1"/>
  <c r="M23" i="2"/>
  <c r="M28" i="2" s="1"/>
  <c r="N23" i="2"/>
  <c r="N28" i="2" s="1"/>
  <c r="C26" i="2"/>
  <c r="C27" i="2"/>
  <c r="D27" i="2"/>
  <c r="F27" i="2"/>
  <c r="C28" i="2"/>
  <c r="D28" i="2"/>
  <c r="F28" i="2"/>
  <c r="G28" i="2"/>
  <c r="I28" i="2"/>
  <c r="J28" i="2"/>
  <c r="L28" i="2"/>
  <c r="C30" i="2"/>
  <c r="D26" i="2" s="1"/>
  <c r="D30" i="2" s="1"/>
  <c r="E26" i="2" s="1"/>
  <c r="J45" i="2"/>
  <c r="R45" i="2"/>
  <c r="Z45" i="2"/>
  <c r="AH45" i="2"/>
  <c r="AP45" i="2"/>
  <c r="AX45" i="2"/>
  <c r="D45" i="2"/>
  <c r="E45" i="2"/>
  <c r="F45" i="2"/>
  <c r="G45" i="2"/>
  <c r="H45" i="2"/>
  <c r="I45" i="2"/>
  <c r="K45" i="2"/>
  <c r="L45" i="2"/>
  <c r="M45" i="2"/>
  <c r="N45" i="2"/>
  <c r="O45" i="2"/>
  <c r="P45" i="2"/>
  <c r="Q45" i="2"/>
  <c r="S45" i="2"/>
  <c r="T45" i="2"/>
  <c r="U45" i="2"/>
  <c r="V45" i="2"/>
  <c r="W45" i="2"/>
  <c r="X45" i="2"/>
  <c r="Y45" i="2"/>
  <c r="AA45" i="2"/>
  <c r="AB45" i="2"/>
  <c r="AC45" i="2"/>
  <c r="AD45" i="2"/>
  <c r="AE45" i="2"/>
  <c r="AF45" i="2"/>
  <c r="AG45" i="2"/>
  <c r="AI45" i="2"/>
  <c r="AJ45" i="2"/>
  <c r="AK45" i="2"/>
  <c r="AL45" i="2"/>
  <c r="AM45" i="2"/>
  <c r="AN45" i="2"/>
  <c r="AO45" i="2"/>
  <c r="AQ45" i="2"/>
  <c r="AR45" i="2"/>
  <c r="AS45" i="2"/>
  <c r="AT45" i="2"/>
  <c r="AU45" i="2"/>
  <c r="AV45" i="2"/>
  <c r="AW45" i="2"/>
  <c r="C45" i="2"/>
  <c r="C52" i="2"/>
  <c r="D52" i="2"/>
  <c r="E52" i="2"/>
  <c r="F52" i="2"/>
  <c r="G52" i="2"/>
  <c r="H52" i="2"/>
  <c r="I52" i="2"/>
  <c r="J52" i="2"/>
  <c r="K52" i="2"/>
  <c r="L52" i="2"/>
  <c r="M52" i="2"/>
  <c r="N52" i="2"/>
  <c r="O52" i="2"/>
  <c r="P52" i="2"/>
  <c r="Q52" i="2"/>
  <c r="R52" i="2"/>
  <c r="S52" i="2"/>
  <c r="T52" i="2"/>
  <c r="U52" i="2"/>
  <c r="V52" i="2"/>
  <c r="W52" i="2"/>
  <c r="X52" i="2"/>
  <c r="Y52" i="2"/>
  <c r="Z52" i="2"/>
  <c r="AA52" i="2"/>
  <c r="AB52" i="2"/>
  <c r="AC52" i="2"/>
  <c r="AD52" i="2"/>
  <c r="AE52" i="2"/>
  <c r="AF52" i="2"/>
  <c r="AG52" i="2"/>
  <c r="AH52" i="2"/>
  <c r="AI52" i="2"/>
  <c r="AJ52" i="2"/>
  <c r="AK52" i="2"/>
  <c r="AL52" i="2"/>
  <c r="AM52" i="2"/>
  <c r="AN52" i="2"/>
  <c r="AO52" i="2"/>
  <c r="AP52" i="2"/>
  <c r="AQ52" i="2"/>
  <c r="AR52" i="2"/>
  <c r="C53" i="2"/>
  <c r="D53" i="2"/>
  <c r="E53" i="2"/>
  <c r="F53" i="2"/>
  <c r="G53" i="2"/>
  <c r="H53" i="2"/>
  <c r="I53" i="2"/>
  <c r="J53" i="2"/>
  <c r="K53" i="2"/>
  <c r="L53" i="2"/>
  <c r="M53" i="2"/>
  <c r="N53" i="2"/>
  <c r="O53" i="2"/>
  <c r="P53" i="2"/>
  <c r="Q53" i="2"/>
  <c r="R53" i="2"/>
  <c r="S53" i="2"/>
  <c r="T53" i="2"/>
  <c r="U53" i="2"/>
  <c r="V53" i="2"/>
  <c r="W53" i="2"/>
  <c r="X53" i="2"/>
  <c r="Y53" i="2"/>
  <c r="Z53" i="2"/>
  <c r="AA53" i="2"/>
  <c r="AB53" i="2"/>
  <c r="AC53" i="2"/>
  <c r="AD53" i="2"/>
  <c r="AE53" i="2"/>
  <c r="AF53" i="2"/>
  <c r="AG53" i="2"/>
  <c r="AH53" i="2"/>
  <c r="AI53" i="2"/>
  <c r="AJ53" i="2"/>
  <c r="AK53" i="2"/>
  <c r="AL53" i="2"/>
  <c r="AM53" i="2"/>
  <c r="AN53" i="2"/>
  <c r="AO53" i="2"/>
  <c r="AP53" i="2"/>
  <c r="AQ53" i="2"/>
  <c r="AR53" i="2"/>
  <c r="AW53" i="2"/>
  <c r="AX53" i="2"/>
  <c r="I54" i="2"/>
  <c r="Y54" i="2"/>
  <c r="Y57" i="2" s="1"/>
  <c r="AO54" i="2"/>
  <c r="AW54" i="2"/>
  <c r="AX54" i="2"/>
  <c r="C55" i="2"/>
  <c r="C54" i="2" s="1"/>
  <c r="C57" i="2" s="1"/>
  <c r="D55" i="2"/>
  <c r="D54" i="2" s="1"/>
  <c r="D57" i="2" s="1"/>
  <c r="E55" i="2"/>
  <c r="E54" i="2" s="1"/>
  <c r="E57" i="2" s="1"/>
  <c r="F55" i="2"/>
  <c r="F54" i="2" s="1"/>
  <c r="F57" i="2" s="1"/>
  <c r="G55" i="2"/>
  <c r="G54" i="2" s="1"/>
  <c r="G57" i="2" s="1"/>
  <c r="H55" i="2"/>
  <c r="H54" i="2" s="1"/>
  <c r="H57" i="2" s="1"/>
  <c r="I55" i="2"/>
  <c r="J55" i="2"/>
  <c r="K55" i="2"/>
  <c r="K54" i="2" s="1"/>
  <c r="K57" i="2" s="1"/>
  <c r="L55" i="2"/>
  <c r="L54" i="2" s="1"/>
  <c r="L57" i="2" s="1"/>
  <c r="M55" i="2"/>
  <c r="M54" i="2" s="1"/>
  <c r="M57" i="2" s="1"/>
  <c r="N55" i="2"/>
  <c r="N54" i="2" s="1"/>
  <c r="N57" i="2" s="1"/>
  <c r="O55" i="2"/>
  <c r="O54" i="2" s="1"/>
  <c r="O57" i="2" s="1"/>
  <c r="P55" i="2"/>
  <c r="P54" i="2" s="1"/>
  <c r="P57" i="2" s="1"/>
  <c r="Q55" i="2"/>
  <c r="Q54" i="2" s="1"/>
  <c r="Q57" i="2" s="1"/>
  <c r="R55" i="2"/>
  <c r="S55" i="2"/>
  <c r="S54" i="2" s="1"/>
  <c r="S57" i="2" s="1"/>
  <c r="T55" i="2"/>
  <c r="T54" i="2" s="1"/>
  <c r="T57" i="2" s="1"/>
  <c r="U55" i="2"/>
  <c r="U54" i="2" s="1"/>
  <c r="U57" i="2" s="1"/>
  <c r="V55" i="2"/>
  <c r="V54" i="2" s="1"/>
  <c r="V57" i="2" s="1"/>
  <c r="W55" i="2"/>
  <c r="W54" i="2" s="1"/>
  <c r="W57" i="2" s="1"/>
  <c r="X55" i="2"/>
  <c r="X54" i="2" s="1"/>
  <c r="X57" i="2" s="1"/>
  <c r="Y55" i="2"/>
  <c r="Z55" i="2"/>
  <c r="Z54" i="2" s="1"/>
  <c r="Z57" i="2" s="1"/>
  <c r="AA55" i="2"/>
  <c r="AA54" i="2" s="1"/>
  <c r="AA57" i="2" s="1"/>
  <c r="AB55" i="2"/>
  <c r="AB54" i="2" s="1"/>
  <c r="AB57" i="2" s="1"/>
  <c r="AC55" i="2"/>
  <c r="AC54" i="2" s="1"/>
  <c r="AC57" i="2" s="1"/>
  <c r="AD55" i="2"/>
  <c r="AD54" i="2" s="1"/>
  <c r="AD57" i="2" s="1"/>
  <c r="AE55" i="2"/>
  <c r="AE54" i="2" s="1"/>
  <c r="AE57" i="2" s="1"/>
  <c r="AF55" i="2"/>
  <c r="AF54" i="2" s="1"/>
  <c r="AF57" i="2" s="1"/>
  <c r="AG55" i="2"/>
  <c r="AH55" i="2"/>
  <c r="AI55" i="2"/>
  <c r="AI54" i="2" s="1"/>
  <c r="AI57" i="2" s="1"/>
  <c r="AJ55" i="2"/>
  <c r="AJ54" i="2" s="1"/>
  <c r="AJ57" i="2" s="1"/>
  <c r="AK55" i="2"/>
  <c r="AK54" i="2" s="1"/>
  <c r="AK57" i="2" s="1"/>
  <c r="AL55" i="2"/>
  <c r="AL54" i="2" s="1"/>
  <c r="AL57" i="2" s="1"/>
  <c r="AM55" i="2"/>
  <c r="AM54" i="2" s="1"/>
  <c r="AM57" i="2" s="1"/>
  <c r="AN55" i="2"/>
  <c r="AN54" i="2" s="1"/>
  <c r="AN57" i="2" s="1"/>
  <c r="AO55" i="2"/>
  <c r="AP55" i="2"/>
  <c r="AQ55" i="2"/>
  <c r="AQ54" i="2" s="1"/>
  <c r="AQ57" i="2" s="1"/>
  <c r="AR55" i="2"/>
  <c r="AR54" i="2" s="1"/>
  <c r="AR57" i="2" s="1"/>
  <c r="AS55" i="2"/>
  <c r="AT55" i="2"/>
  <c r="AU55" i="2"/>
  <c r="AV55" i="2"/>
  <c r="AW55" i="2"/>
  <c r="AX55" i="2"/>
  <c r="C56" i="2"/>
  <c r="D56" i="2"/>
  <c r="E56" i="2"/>
  <c r="F56" i="2"/>
  <c r="G56" i="2"/>
  <c r="H56" i="2"/>
  <c r="I56" i="2"/>
  <c r="J56" i="2"/>
  <c r="K56" i="2"/>
  <c r="L56" i="2"/>
  <c r="M56" i="2"/>
  <c r="N56" i="2"/>
  <c r="O56" i="2"/>
  <c r="P56" i="2"/>
  <c r="Q56" i="2"/>
  <c r="R56" i="2"/>
  <c r="S56" i="2"/>
  <c r="T56" i="2"/>
  <c r="U56" i="2"/>
  <c r="V56" i="2"/>
  <c r="W56" i="2"/>
  <c r="X56" i="2"/>
  <c r="Y56" i="2"/>
  <c r="Z56" i="2"/>
  <c r="AA56" i="2"/>
  <c r="AB56" i="2"/>
  <c r="AC56" i="2"/>
  <c r="AD56" i="2"/>
  <c r="AE56" i="2"/>
  <c r="AF56" i="2"/>
  <c r="AG56" i="2"/>
  <c r="AG54" i="2" s="1"/>
  <c r="AG57" i="2" s="1"/>
  <c r="AH56" i="2"/>
  <c r="AI56" i="2"/>
  <c r="AJ56" i="2"/>
  <c r="AK56" i="2"/>
  <c r="AL56" i="2"/>
  <c r="AM56" i="2"/>
  <c r="AN56" i="2"/>
  <c r="AO56" i="2"/>
  <c r="AP56" i="2"/>
  <c r="AQ56" i="2"/>
  <c r="AR56" i="2"/>
  <c r="AS56" i="2"/>
  <c r="AT56" i="2"/>
  <c r="AU56" i="2"/>
  <c r="AV56" i="2"/>
  <c r="AW56" i="2"/>
  <c r="AX56" i="2"/>
  <c r="I57" i="2"/>
  <c r="AO57" i="2"/>
  <c r="AS68" i="2"/>
  <c r="AS69" i="2"/>
  <c r="AT69" i="2"/>
  <c r="AS77" i="2"/>
  <c r="AS54" i="2"/>
  <c r="AV76" i="2"/>
  <c r="U12" i="18"/>
  <c r="M24" i="18"/>
  <c r="M25" i="18"/>
  <c r="AE30" i="18"/>
  <c r="M26" i="18"/>
  <c r="AA30" i="18"/>
  <c r="M27" i="18"/>
  <c r="D28" i="18"/>
  <c r="F28" i="18"/>
  <c r="H28" i="18"/>
  <c r="M28" i="18"/>
  <c r="C28" i="18"/>
  <c r="E28" i="18"/>
  <c r="G28" i="18"/>
  <c r="C29" i="18"/>
  <c r="D29" i="18"/>
  <c r="G29" i="18"/>
  <c r="M29" i="18"/>
  <c r="R29" i="18"/>
  <c r="R30" i="18" s="1"/>
  <c r="R37" i="18" s="1"/>
  <c r="S29" i="18"/>
  <c r="S30" i="18" s="1"/>
  <c r="E29" i="18"/>
  <c r="F29" i="18"/>
  <c r="H29" i="18"/>
  <c r="AF30" i="18"/>
  <c r="T31" i="18"/>
  <c r="C33" i="18"/>
  <c r="D33" i="18"/>
  <c r="E33" i="18"/>
  <c r="F33" i="18"/>
  <c r="G33" i="18"/>
  <c r="H33" i="18"/>
  <c r="M33" i="18"/>
  <c r="M34" i="18"/>
  <c r="AB40" i="18"/>
  <c r="T35" i="18"/>
  <c r="T41" i="18" s="1"/>
  <c r="M35" i="18"/>
  <c r="S35" i="18"/>
  <c r="S41" i="18" s="1"/>
  <c r="AD40" i="18"/>
  <c r="M36" i="18"/>
  <c r="E37" i="18"/>
  <c r="F37" i="18"/>
  <c r="G37" i="18"/>
  <c r="M37" i="18"/>
  <c r="C37" i="18"/>
  <c r="D37" i="18"/>
  <c r="H37" i="18"/>
  <c r="C38" i="18"/>
  <c r="R21" i="18" s="1"/>
  <c r="D38" i="18"/>
  <c r="F38" i="18"/>
  <c r="M38" i="18"/>
  <c r="E38" i="18"/>
  <c r="G38" i="18"/>
  <c r="H38" i="18"/>
  <c r="C39" i="18"/>
  <c r="G39" i="18"/>
  <c r="H39" i="18"/>
  <c r="D39" i="18"/>
  <c r="E39" i="18"/>
  <c r="F39" i="18"/>
  <c r="AC40" i="18"/>
  <c r="AE40" i="18"/>
  <c r="M43" i="18"/>
  <c r="M44" i="18"/>
  <c r="M45" i="18"/>
  <c r="M46" i="18"/>
  <c r="M52" i="18"/>
  <c r="M53" i="18"/>
  <c r="M54" i="18"/>
  <c r="M55" i="18"/>
  <c r="M59" i="18"/>
  <c r="M60" i="18"/>
  <c r="M61" i="18"/>
  <c r="M62" i="18"/>
  <c r="B31" i="23"/>
  <c r="B34" i="23" s="1"/>
  <c r="C31" i="23"/>
  <c r="D31" i="23"/>
  <c r="E31" i="23"/>
  <c r="F31" i="23"/>
  <c r="G31" i="23"/>
  <c r="H31" i="23"/>
  <c r="I31" i="23"/>
  <c r="J31" i="23"/>
  <c r="J34" i="23" s="1"/>
  <c r="K31" i="23"/>
  <c r="L31" i="23"/>
  <c r="M31" i="23"/>
  <c r="N31" i="23"/>
  <c r="O31" i="23"/>
  <c r="P31" i="23"/>
  <c r="Q31" i="23"/>
  <c r="R31" i="23"/>
  <c r="R34" i="23" s="1"/>
  <c r="S31" i="23"/>
  <c r="T31" i="23"/>
  <c r="U31" i="23"/>
  <c r="V31" i="23"/>
  <c r="W31" i="23"/>
  <c r="X31" i="23"/>
  <c r="Y31" i="23"/>
  <c r="Z31" i="23"/>
  <c r="Z34" i="23" s="1"/>
  <c r="AA31" i="23"/>
  <c r="AB31" i="23"/>
  <c r="AC31" i="23"/>
  <c r="AD31" i="23"/>
  <c r="AE31" i="23"/>
  <c r="AF31" i="23"/>
  <c r="AG31" i="23"/>
  <c r="AH31" i="23"/>
  <c r="AH34" i="23" s="1"/>
  <c r="AI31" i="23"/>
  <c r="AJ31" i="23"/>
  <c r="AK31" i="23"/>
  <c r="AL31" i="23"/>
  <c r="AM31" i="23"/>
  <c r="AN31" i="23"/>
  <c r="AO31" i="23"/>
  <c r="AP31" i="23"/>
  <c r="AQ31" i="23"/>
  <c r="AR31" i="23"/>
  <c r="AS31" i="23"/>
  <c r="AT31" i="23"/>
  <c r="AU31" i="23"/>
  <c r="AV31" i="23"/>
  <c r="AW31" i="23"/>
  <c r="AX31" i="23"/>
  <c r="AY31" i="23"/>
  <c r="AZ31" i="23"/>
  <c r="BA31" i="23"/>
  <c r="BB31" i="23"/>
  <c r="BC31" i="23"/>
  <c r="BD31" i="23"/>
  <c r="BE31" i="23"/>
  <c r="BF31" i="23"/>
  <c r="BG31" i="23"/>
  <c r="BH31" i="23"/>
  <c r="BI31" i="23"/>
  <c r="BJ31" i="23"/>
  <c r="BK31" i="23"/>
  <c r="BL31" i="23"/>
  <c r="BM31" i="23"/>
  <c r="BN31" i="23"/>
  <c r="BO31" i="23"/>
  <c r="BP31" i="23"/>
  <c r="BQ31" i="23"/>
  <c r="BR31" i="23"/>
  <c r="BS31" i="23"/>
  <c r="BT31" i="23"/>
  <c r="BU31" i="23"/>
  <c r="BV31" i="23"/>
  <c r="BW31" i="23"/>
  <c r="BX31" i="23"/>
  <c r="BY31" i="23"/>
  <c r="BZ31" i="23"/>
  <c r="CA31" i="23"/>
  <c r="CB31" i="23"/>
  <c r="CC31" i="23"/>
  <c r="CD31" i="23"/>
  <c r="B32" i="23"/>
  <c r="C32" i="23"/>
  <c r="D32" i="23"/>
  <c r="E32" i="23"/>
  <c r="E34" i="23" s="1"/>
  <c r="F32" i="23"/>
  <c r="G32" i="23"/>
  <c r="H32" i="23"/>
  <c r="I32" i="23"/>
  <c r="I34" i="23" s="1"/>
  <c r="J32" i="23"/>
  <c r="K32" i="23"/>
  <c r="L32" i="23"/>
  <c r="M32" i="23"/>
  <c r="M34" i="23" s="1"/>
  <c r="N32" i="23"/>
  <c r="O32" i="23"/>
  <c r="P32" i="23"/>
  <c r="Q32" i="23"/>
  <c r="Q34" i="23" s="1"/>
  <c r="R32" i="23"/>
  <c r="S32" i="23"/>
  <c r="T32" i="23"/>
  <c r="U32" i="23"/>
  <c r="U34" i="23" s="1"/>
  <c r="V32" i="23"/>
  <c r="W32" i="23"/>
  <c r="X32" i="23"/>
  <c r="Y32" i="23"/>
  <c r="Y34" i="23" s="1"/>
  <c r="Z32" i="23"/>
  <c r="AA32" i="23"/>
  <c r="AB32" i="23"/>
  <c r="AC32" i="23"/>
  <c r="AC34" i="23" s="1"/>
  <c r="AD32" i="23"/>
  <c r="AE32" i="23"/>
  <c r="AF32" i="23"/>
  <c r="AG32" i="23"/>
  <c r="AG34" i="23" s="1"/>
  <c r="AH32" i="23"/>
  <c r="AI32" i="23"/>
  <c r="AJ32" i="23"/>
  <c r="AK32" i="23"/>
  <c r="AK34" i="23" s="1"/>
  <c r="AL32" i="23"/>
  <c r="AM32" i="23"/>
  <c r="AN32" i="23"/>
  <c r="AO32" i="23"/>
  <c r="AP32" i="23"/>
  <c r="AQ32" i="23"/>
  <c r="AR32" i="23"/>
  <c r="AS32" i="23"/>
  <c r="AS34" i="23" s="1"/>
  <c r="AT32" i="23"/>
  <c r="AU32" i="23"/>
  <c r="AV32" i="23"/>
  <c r="AW32" i="23"/>
  <c r="AX32" i="23"/>
  <c r="AY32" i="23"/>
  <c r="AZ32" i="23"/>
  <c r="BA32" i="23"/>
  <c r="BA34" i="23" s="1"/>
  <c r="BB32" i="23"/>
  <c r="BC32" i="23"/>
  <c r="BD32" i="23"/>
  <c r="BE32" i="23"/>
  <c r="BF32" i="23"/>
  <c r="BG32" i="23"/>
  <c r="BH32" i="23"/>
  <c r="BI32" i="23"/>
  <c r="BI34" i="23" s="1"/>
  <c r="BJ32" i="23"/>
  <c r="BK32" i="23"/>
  <c r="BL32" i="23"/>
  <c r="BM32" i="23"/>
  <c r="BN32" i="23"/>
  <c r="BO32" i="23"/>
  <c r="BP32" i="23"/>
  <c r="BQ32" i="23"/>
  <c r="BQ34" i="23" s="1"/>
  <c r="BR32" i="23"/>
  <c r="BS32" i="23"/>
  <c r="BT32" i="23"/>
  <c r="BU32" i="23"/>
  <c r="BV32" i="23"/>
  <c r="BW32" i="23"/>
  <c r="BX32" i="23"/>
  <c r="BY32" i="23"/>
  <c r="BY34" i="23" s="1"/>
  <c r="BZ32" i="23"/>
  <c r="CA32" i="23"/>
  <c r="CB32" i="23"/>
  <c r="CC32" i="23"/>
  <c r="CD32" i="23"/>
  <c r="B33" i="23"/>
  <c r="C33" i="23"/>
  <c r="D33" i="23"/>
  <c r="D34" i="23" s="1"/>
  <c r="E33" i="23"/>
  <c r="F33" i="23"/>
  <c r="G33" i="23"/>
  <c r="H33" i="23"/>
  <c r="H34" i="23" s="1"/>
  <c r="I33" i="23"/>
  <c r="J33" i="23"/>
  <c r="K33" i="23"/>
  <c r="L33" i="23"/>
  <c r="L34" i="23" s="1"/>
  <c r="M33" i="23"/>
  <c r="N33" i="23"/>
  <c r="O33" i="23"/>
  <c r="P33" i="23"/>
  <c r="P34" i="23" s="1"/>
  <c r="Q33" i="23"/>
  <c r="R33" i="23"/>
  <c r="S33" i="23"/>
  <c r="T33" i="23"/>
  <c r="T34" i="23" s="1"/>
  <c r="U33" i="23"/>
  <c r="V33" i="23"/>
  <c r="W33" i="23"/>
  <c r="X33" i="23"/>
  <c r="X34" i="23" s="1"/>
  <c r="Y33" i="23"/>
  <c r="Z33" i="23"/>
  <c r="AA33" i="23"/>
  <c r="AB33" i="23"/>
  <c r="AB34" i="23" s="1"/>
  <c r="AC33" i="23"/>
  <c r="AD33" i="23"/>
  <c r="AE33" i="23"/>
  <c r="AF33" i="23"/>
  <c r="AF34" i="23" s="1"/>
  <c r="AG33" i="23"/>
  <c r="AH33" i="23"/>
  <c r="AI33" i="23"/>
  <c r="AJ33" i="23"/>
  <c r="AJ34" i="23" s="1"/>
  <c r="AK33" i="23"/>
  <c r="AL33" i="23"/>
  <c r="AM33" i="23"/>
  <c r="AN33" i="23"/>
  <c r="AN34" i="23" s="1"/>
  <c r="AO33" i="23"/>
  <c r="AP33" i="23"/>
  <c r="AQ33" i="23"/>
  <c r="AR33" i="23"/>
  <c r="AR34" i="23" s="1"/>
  <c r="AS33" i="23"/>
  <c r="AT33" i="23"/>
  <c r="AU33" i="23"/>
  <c r="AV33" i="23"/>
  <c r="AV34" i="23" s="1"/>
  <c r="AW33" i="23"/>
  <c r="AX33" i="23"/>
  <c r="AY33" i="23"/>
  <c r="AZ33" i="23"/>
  <c r="AZ34" i="23" s="1"/>
  <c r="BA33" i="23"/>
  <c r="BB33" i="23"/>
  <c r="BC33" i="23"/>
  <c r="BD33" i="23"/>
  <c r="BD34" i="23" s="1"/>
  <c r="BE33" i="23"/>
  <c r="BF33" i="23"/>
  <c r="BG33" i="23"/>
  <c r="BH33" i="23"/>
  <c r="BH34" i="23" s="1"/>
  <c r="BI33" i="23"/>
  <c r="BJ33" i="23"/>
  <c r="BK33" i="23"/>
  <c r="BL33" i="23"/>
  <c r="BL34" i="23" s="1"/>
  <c r="BM33" i="23"/>
  <c r="BN33" i="23"/>
  <c r="BO33" i="23"/>
  <c r="BP33" i="23"/>
  <c r="BP34" i="23" s="1"/>
  <c r="BQ33" i="23"/>
  <c r="BR33" i="23"/>
  <c r="BS33" i="23"/>
  <c r="BT33" i="23"/>
  <c r="BT34" i="23" s="1"/>
  <c r="BU33" i="23"/>
  <c r="BV33" i="23"/>
  <c r="BW33" i="23"/>
  <c r="BX33" i="23"/>
  <c r="BX34" i="23" s="1"/>
  <c r="BY33" i="23"/>
  <c r="BZ33" i="23"/>
  <c r="CA33" i="23"/>
  <c r="CB33" i="23"/>
  <c r="CB34" i="23" s="1"/>
  <c r="CC33" i="23"/>
  <c r="CD33" i="23"/>
  <c r="C34" i="23"/>
  <c r="F34" i="23"/>
  <c r="G34" i="23"/>
  <c r="K34" i="23"/>
  <c r="N34" i="23"/>
  <c r="O34" i="23"/>
  <c r="S34" i="23"/>
  <c r="V34" i="23"/>
  <c r="W34" i="23"/>
  <c r="AA34" i="23"/>
  <c r="AD34" i="23"/>
  <c r="AE34" i="23"/>
  <c r="AI34" i="23"/>
  <c r="AL34" i="23"/>
  <c r="AM34" i="23"/>
  <c r="AQ34" i="23"/>
  <c r="AT34" i="23"/>
  <c r="AU34" i="23"/>
  <c r="AY34" i="23"/>
  <c r="BB34" i="23"/>
  <c r="BC34" i="23"/>
  <c r="BG34" i="23"/>
  <c r="BJ34" i="23"/>
  <c r="BK34" i="23"/>
  <c r="BO34" i="23"/>
  <c r="BR34" i="23"/>
  <c r="BS34" i="23"/>
  <c r="BW34" i="23"/>
  <c r="BZ34" i="23"/>
  <c r="CA34" i="23"/>
  <c r="G48" i="23"/>
  <c r="G49" i="23"/>
  <c r="J49" i="23" s="1"/>
  <c r="G50" i="23"/>
  <c r="J50" i="23"/>
  <c r="G51" i="23"/>
  <c r="G52" i="23"/>
  <c r="J48" i="23" s="1"/>
  <c r="J5" i="22"/>
  <c r="K5" i="22"/>
  <c r="O5" i="22" s="1"/>
  <c r="M5" i="22"/>
  <c r="N5" i="22"/>
  <c r="R5" i="22"/>
  <c r="T5" i="22"/>
  <c r="U5" i="22"/>
  <c r="V5" i="22"/>
  <c r="J6" i="22"/>
  <c r="M6" i="22" s="1"/>
  <c r="K6" i="22"/>
  <c r="P6" i="22" s="1"/>
  <c r="N6" i="22"/>
  <c r="O6" i="22"/>
  <c r="S6" i="22"/>
  <c r="U6" i="22"/>
  <c r="V6" i="22"/>
  <c r="W6" i="22"/>
  <c r="K7" i="22"/>
  <c r="K14" i="22"/>
  <c r="K23" i="22"/>
  <c r="J33" i="22"/>
  <c r="J34" i="22"/>
  <c r="J35" i="22" s="1"/>
  <c r="J36" i="22" s="1"/>
  <c r="J37" i="22" s="1"/>
  <c r="J38" i="22" s="1"/>
  <c r="J39" i="22" s="1"/>
  <c r="J40" i="22" s="1"/>
  <c r="J41" i="22" s="1"/>
  <c r="J42" i="22" s="1"/>
  <c r="J43" i="22" s="1"/>
  <c r="K34" i="22"/>
  <c r="K43" i="22"/>
  <c r="K44" i="22"/>
  <c r="K52" i="22"/>
  <c r="J66" i="22"/>
  <c r="J67" i="22"/>
  <c r="AD67" i="22" s="1"/>
  <c r="K67" i="22"/>
  <c r="AE67" i="22"/>
  <c r="AE68" i="22"/>
  <c r="AE69" i="22"/>
  <c r="AE70" i="22"/>
  <c r="K72" i="22"/>
  <c r="AC72" i="22"/>
  <c r="AE72" i="22"/>
  <c r="AE73" i="22"/>
  <c r="AE74" i="22"/>
  <c r="AE75" i="22"/>
  <c r="K77" i="22"/>
  <c r="AE77" i="22"/>
  <c r="AE78" i="22"/>
  <c r="AE79" i="22"/>
  <c r="AE80" i="22"/>
  <c r="J83" i="22"/>
  <c r="J84" i="22"/>
  <c r="AD84" i="22" s="1"/>
  <c r="K84" i="22"/>
  <c r="AE84" i="22"/>
  <c r="AE85" i="22"/>
  <c r="AE86" i="22"/>
  <c r="AE87" i="22"/>
  <c r="K89" i="22"/>
  <c r="AE89" i="22"/>
  <c r="AE90" i="22"/>
  <c r="AE91" i="22"/>
  <c r="AE92" i="22"/>
  <c r="K94" i="22"/>
  <c r="AC94" i="22"/>
  <c r="AE94" i="22"/>
  <c r="AE95" i="22"/>
  <c r="AE96" i="22"/>
  <c r="AE97" i="22"/>
  <c r="H29" i="13"/>
  <c r="I29" i="13"/>
  <c r="J29" i="13"/>
  <c r="K29" i="13"/>
  <c r="L29" i="13"/>
  <c r="M29" i="13"/>
  <c r="N29" i="13"/>
  <c r="O29" i="13"/>
  <c r="P29" i="13"/>
  <c r="Q29" i="13"/>
  <c r="R29" i="13"/>
  <c r="S29" i="13"/>
  <c r="H22" i="13"/>
  <c r="I22" i="13"/>
  <c r="J22" i="13"/>
  <c r="K22" i="13"/>
  <c r="L22" i="13"/>
  <c r="M22" i="13"/>
  <c r="N22" i="13"/>
  <c r="O22" i="13"/>
  <c r="P22" i="13"/>
  <c r="Q22" i="13"/>
  <c r="R22" i="13"/>
  <c r="S22" i="13"/>
  <c r="T22" i="13"/>
  <c r="U22" i="13"/>
  <c r="V22" i="13"/>
  <c r="W22" i="13"/>
  <c r="X22" i="13"/>
  <c r="Y22" i="13"/>
  <c r="Z22" i="13"/>
  <c r="AA22" i="13"/>
  <c r="AB22" i="13"/>
  <c r="AC22" i="13"/>
  <c r="AD22" i="13"/>
  <c r="AE22" i="13"/>
  <c r="AF22" i="13"/>
  <c r="AG22" i="13"/>
  <c r="AH22" i="13"/>
  <c r="AI22" i="13"/>
  <c r="AJ22" i="13"/>
  <c r="AK22" i="13"/>
  <c r="AL22" i="13"/>
  <c r="AM22" i="13"/>
  <c r="AN22" i="13"/>
  <c r="AO22" i="13"/>
  <c r="AP22" i="13"/>
  <c r="AQ22" i="13"/>
  <c r="AR22" i="13"/>
  <c r="AS22" i="13"/>
  <c r="AT22" i="13"/>
  <c r="AU22" i="13"/>
  <c r="AV22" i="13"/>
  <c r="AW22" i="13"/>
  <c r="AX22" i="13"/>
  <c r="AY22" i="13"/>
  <c r="AZ22" i="13"/>
  <c r="BA22" i="13"/>
  <c r="BB22" i="13"/>
  <c r="BC22" i="13"/>
  <c r="H6" i="13"/>
  <c r="I6" i="13"/>
  <c r="J6" i="13"/>
  <c r="K6" i="13"/>
  <c r="L6" i="13"/>
  <c r="M6" i="13"/>
  <c r="N6" i="13"/>
  <c r="O6" i="13"/>
  <c r="P6" i="13"/>
  <c r="Q6" i="13"/>
  <c r="R6" i="13"/>
  <c r="S6" i="13"/>
  <c r="T6" i="13"/>
  <c r="U6" i="13"/>
  <c r="V6" i="13"/>
  <c r="W6" i="13"/>
  <c r="X6" i="13"/>
  <c r="Y6" i="13"/>
  <c r="Z6" i="13"/>
  <c r="AA6" i="13"/>
  <c r="AB6" i="13"/>
  <c r="AC6" i="13"/>
  <c r="AD6" i="13"/>
  <c r="AE6" i="13"/>
  <c r="AF6" i="13"/>
  <c r="AG6" i="13"/>
  <c r="AH6" i="13"/>
  <c r="AI6" i="13"/>
  <c r="AJ6" i="13"/>
  <c r="AK6" i="13"/>
  <c r="AL6" i="13"/>
  <c r="AM6" i="13"/>
  <c r="AN6" i="13"/>
  <c r="AO6" i="13"/>
  <c r="AP6" i="13"/>
  <c r="AQ6" i="13"/>
  <c r="AR6" i="13"/>
  <c r="AS6" i="13"/>
  <c r="AT6" i="13"/>
  <c r="AU6" i="13"/>
  <c r="AV6" i="13"/>
  <c r="AW6" i="13"/>
  <c r="AX6" i="13"/>
  <c r="AY6" i="13"/>
  <c r="AZ6" i="13"/>
  <c r="BA6" i="13"/>
  <c r="BB6" i="13"/>
  <c r="BC6" i="13"/>
  <c r="H47" i="13"/>
  <c r="I47" i="13"/>
  <c r="J47" i="13"/>
  <c r="K47" i="13"/>
  <c r="L47" i="13"/>
  <c r="M47" i="13"/>
  <c r="N47" i="13"/>
  <c r="O47" i="13"/>
  <c r="P47" i="13"/>
  <c r="Q47" i="13"/>
  <c r="R47" i="13"/>
  <c r="S47" i="13"/>
  <c r="T47" i="13"/>
  <c r="U47" i="13"/>
  <c r="V47" i="13"/>
  <c r="W47" i="13"/>
  <c r="X47" i="13"/>
  <c r="Y47" i="13"/>
  <c r="Z47" i="13"/>
  <c r="AA47" i="13"/>
  <c r="AB47" i="13"/>
  <c r="AC47" i="13"/>
  <c r="AD47" i="13"/>
  <c r="AE47" i="13"/>
  <c r="AF47" i="13"/>
  <c r="AG47" i="13"/>
  <c r="AH47" i="13"/>
  <c r="AI47" i="13"/>
  <c r="AJ47" i="13"/>
  <c r="AK47" i="13"/>
  <c r="AL47" i="13"/>
  <c r="AM47" i="13"/>
  <c r="AN47" i="13"/>
  <c r="AO47" i="13"/>
  <c r="AP47" i="13"/>
  <c r="AQ47" i="13"/>
  <c r="AR47" i="13"/>
  <c r="AS47" i="13"/>
  <c r="AT47" i="13"/>
  <c r="AU47" i="13"/>
  <c r="AV47" i="13"/>
  <c r="AW47" i="13"/>
  <c r="AX47" i="13"/>
  <c r="AY47" i="13"/>
  <c r="AZ47" i="13"/>
  <c r="BA47" i="13"/>
  <c r="BB47" i="13"/>
  <c r="BC47" i="13"/>
  <c r="U52" i="13"/>
  <c r="AC52" i="13"/>
  <c r="AK52" i="13"/>
  <c r="AS52" i="13"/>
  <c r="BA52" i="13"/>
  <c r="M53" i="13"/>
  <c r="U53" i="13"/>
  <c r="AC53" i="13"/>
  <c r="AK53" i="13"/>
  <c r="AS53" i="13"/>
  <c r="BA53" i="13"/>
  <c r="H28" i="13"/>
  <c r="I28" i="13"/>
  <c r="J28" i="13"/>
  <c r="K28" i="13"/>
  <c r="L28" i="13"/>
  <c r="M28" i="13"/>
  <c r="N28" i="13"/>
  <c r="O28" i="13"/>
  <c r="P28" i="13"/>
  <c r="Q28" i="13"/>
  <c r="R28" i="13"/>
  <c r="S28" i="13"/>
  <c r="T28" i="13"/>
  <c r="U28" i="13"/>
  <c r="V28" i="13"/>
  <c r="W28" i="13"/>
  <c r="X28" i="13"/>
  <c r="Y28" i="13"/>
  <c r="Z28" i="13"/>
  <c r="AA28" i="13"/>
  <c r="AB28" i="13"/>
  <c r="AC28" i="13"/>
  <c r="AD28" i="13"/>
  <c r="AE28" i="13"/>
  <c r="AF28" i="13"/>
  <c r="AG28" i="13"/>
  <c r="AH28" i="13"/>
  <c r="AI28" i="13"/>
  <c r="AJ28" i="13"/>
  <c r="AK28" i="13"/>
  <c r="AL28" i="13"/>
  <c r="AM28" i="13"/>
  <c r="AN28" i="13"/>
  <c r="AO28" i="13"/>
  <c r="AP28" i="13"/>
  <c r="AQ28" i="13"/>
  <c r="AR28" i="13"/>
  <c r="AS28" i="13"/>
  <c r="AT28" i="13"/>
  <c r="AU28" i="13"/>
  <c r="AV28" i="13"/>
  <c r="AW28" i="13"/>
  <c r="AX28" i="13"/>
  <c r="AY28" i="13"/>
  <c r="AZ28" i="13"/>
  <c r="BA28" i="13"/>
  <c r="BB28" i="13"/>
  <c r="BC28" i="13"/>
  <c r="H287" i="13"/>
  <c r="H291" i="13" s="1"/>
  <c r="I287" i="13"/>
  <c r="J287" i="13"/>
  <c r="J291" i="13" s="1"/>
  <c r="K287" i="13"/>
  <c r="L287" i="13"/>
  <c r="M287" i="13"/>
  <c r="N287" i="13"/>
  <c r="O287" i="13"/>
  <c r="O291" i="13" s="1"/>
  <c r="P287" i="13"/>
  <c r="P291" i="13" s="1"/>
  <c r="Q287" i="13"/>
  <c r="R287" i="13"/>
  <c r="R291" i="13" s="1"/>
  <c r="S287" i="13"/>
  <c r="T287" i="13"/>
  <c r="U287" i="13"/>
  <c r="V287" i="13"/>
  <c r="W287" i="13"/>
  <c r="W291" i="13" s="1"/>
  <c r="X287" i="13"/>
  <c r="X291" i="13" s="1"/>
  <c r="Y287" i="13"/>
  <c r="Z287" i="13"/>
  <c r="Z291" i="13" s="1"/>
  <c r="AA287" i="13"/>
  <c r="AB287" i="13"/>
  <c r="AC287" i="13"/>
  <c r="AD287" i="13"/>
  <c r="AE287" i="13"/>
  <c r="AE291" i="13" s="1"/>
  <c r="AF287" i="13"/>
  <c r="AF291" i="13" s="1"/>
  <c r="AG287" i="13"/>
  <c r="AH287" i="13"/>
  <c r="AH291" i="13" s="1"/>
  <c r="AI287" i="13"/>
  <c r="AJ287" i="13"/>
  <c r="AK287" i="13"/>
  <c r="AL287" i="13"/>
  <c r="AM287" i="13"/>
  <c r="AM291" i="13" s="1"/>
  <c r="AN287" i="13"/>
  <c r="AN291" i="13" s="1"/>
  <c r="AO287" i="13"/>
  <c r="AP287" i="13"/>
  <c r="AP291" i="13" s="1"/>
  <c r="AQ287" i="13"/>
  <c r="AR287" i="13"/>
  <c r="AS287" i="13"/>
  <c r="AT287" i="13"/>
  <c r="AU287" i="13"/>
  <c r="AU291" i="13" s="1"/>
  <c r="AV287" i="13"/>
  <c r="AV291" i="13" s="1"/>
  <c r="AW287" i="13"/>
  <c r="AX287" i="13"/>
  <c r="AX291" i="13" s="1"/>
  <c r="AY287" i="13"/>
  <c r="AZ287" i="13"/>
  <c r="BA287" i="13"/>
  <c r="BB287" i="13"/>
  <c r="BC287" i="13"/>
  <c r="T29" i="13"/>
  <c r="U29" i="13"/>
  <c r="W29" i="13"/>
  <c r="X29" i="13"/>
  <c r="Y29" i="13"/>
  <c r="Z29" i="13"/>
  <c r="AA29" i="13"/>
  <c r="AB29" i="13"/>
  <c r="AC29" i="13"/>
  <c r="AE29" i="13"/>
  <c r="AF29" i="13"/>
  <c r="AG29" i="13"/>
  <c r="AH29" i="13"/>
  <c r="AI29" i="13"/>
  <c r="AJ29" i="13"/>
  <c r="AK29" i="13"/>
  <c r="AM29" i="13"/>
  <c r="AN29" i="13"/>
  <c r="AO29" i="13"/>
  <c r="AP29" i="13"/>
  <c r="AQ29" i="13"/>
  <c r="AR29" i="13"/>
  <c r="AS29" i="13"/>
  <c r="AU29" i="13"/>
  <c r="AV29" i="13"/>
  <c r="AW29" i="13"/>
  <c r="AX29" i="13"/>
  <c r="AY29" i="13"/>
  <c r="AZ29" i="13"/>
  <c r="BA29" i="13"/>
  <c r="BC29" i="13"/>
  <c r="I291" i="13"/>
  <c r="K291" i="13"/>
  <c r="L291" i="13"/>
  <c r="M291" i="13"/>
  <c r="N291" i="13"/>
  <c r="Q291" i="13"/>
  <c r="S291" i="13"/>
  <c r="U291" i="13"/>
  <c r="Y291" i="13"/>
  <c r="AA291" i="13"/>
  <c r="AB291" i="13"/>
  <c r="AC291" i="13"/>
  <c r="AG291" i="13"/>
  <c r="AI291" i="13"/>
  <c r="AJ291" i="13"/>
  <c r="AK291" i="13"/>
  <c r="AO291" i="13"/>
  <c r="AQ291" i="13"/>
  <c r="AR291" i="13"/>
  <c r="AS291" i="13"/>
  <c r="AW291" i="13"/>
  <c r="AY291" i="13"/>
  <c r="BA291" i="13"/>
  <c r="BC291" i="13"/>
  <c r="H10" i="24"/>
  <c r="I10" i="24" s="1"/>
  <c r="DO10" i="24" s="1"/>
  <c r="AY10" i="24"/>
  <c r="AZ10" i="24"/>
  <c r="BA10" i="24"/>
  <c r="BB10" i="24"/>
  <c r="BC10" i="24"/>
  <c r="BD10" i="24"/>
  <c r="BE10" i="24"/>
  <c r="BF10" i="24"/>
  <c r="BG10" i="24"/>
  <c r="BH10" i="24"/>
  <c r="BI10" i="24"/>
  <c r="BJ10" i="24"/>
  <c r="BK10" i="24"/>
  <c r="BL10" i="24"/>
  <c r="BM10" i="24"/>
  <c r="BN10" i="24"/>
  <c r="BO10" i="24"/>
  <c r="BP10" i="24"/>
  <c r="BQ10" i="24"/>
  <c r="BR10" i="24"/>
  <c r="BS10" i="24"/>
  <c r="BT10" i="24"/>
  <c r="BU10" i="24"/>
  <c r="BV10" i="24"/>
  <c r="BW10" i="24"/>
  <c r="BX10" i="24"/>
  <c r="BY10" i="24"/>
  <c r="BZ10" i="24"/>
  <c r="CA10" i="24"/>
  <c r="CB10" i="24"/>
  <c r="CC10" i="24"/>
  <c r="CD10" i="24"/>
  <c r="CE10" i="24"/>
  <c r="CF10" i="24"/>
  <c r="CG10" i="24"/>
  <c r="CH10" i="24"/>
  <c r="CI10" i="24"/>
  <c r="CJ10" i="24"/>
  <c r="CK10" i="24"/>
  <c r="CL10" i="24"/>
  <c r="CM10" i="24"/>
  <c r="CN10" i="24"/>
  <c r="CO10" i="24"/>
  <c r="CP10" i="24"/>
  <c r="CQ10" i="24"/>
  <c r="CR10" i="24"/>
  <c r="CS10" i="24"/>
  <c r="CT10" i="24"/>
  <c r="CU10" i="24"/>
  <c r="CV10" i="24"/>
  <c r="CW10" i="24"/>
  <c r="CX10" i="24"/>
  <c r="CY10" i="24"/>
  <c r="CZ10" i="24"/>
  <c r="DA10" i="24"/>
  <c r="DB10" i="24"/>
  <c r="DC10" i="24"/>
  <c r="DD10" i="24"/>
  <c r="DE10" i="24"/>
  <c r="DF10" i="24"/>
  <c r="DM10" i="24"/>
  <c r="T15" i="24"/>
  <c r="AY15" i="24"/>
  <c r="BA15" i="24"/>
  <c r="BB15" i="24"/>
  <c r="BC15" i="24"/>
  <c r="BD15" i="24"/>
  <c r="O15" i="24" s="1"/>
  <c r="BE15" i="24"/>
  <c r="BG15" i="24"/>
  <c r="BH15" i="24"/>
  <c r="BI15" i="24"/>
  <c r="Q15" i="24" s="1"/>
  <c r="BJ15" i="24"/>
  <c r="BK15" i="24"/>
  <c r="BL15" i="24"/>
  <c r="BN15" i="24"/>
  <c r="S15" i="24" s="1"/>
  <c r="BO15" i="24"/>
  <c r="BP15" i="24"/>
  <c r="BQ15" i="24"/>
  <c r="BR15" i="24"/>
  <c r="BS15" i="24"/>
  <c r="BV15" i="24"/>
  <c r="BW15" i="24"/>
  <c r="BX15" i="24"/>
  <c r="BY15" i="24"/>
  <c r="BZ15" i="24"/>
  <c r="CA15" i="24"/>
  <c r="CB15" i="24"/>
  <c r="W15" i="24" s="1"/>
  <c r="CC15" i="24"/>
  <c r="X15" i="24" s="1"/>
  <c r="CD15" i="24"/>
  <c r="CE15" i="24"/>
  <c r="CF15" i="24"/>
  <c r="CG15" i="24"/>
  <c r="Y15" i="24" s="1"/>
  <c r="CH15" i="24"/>
  <c r="CI15" i="24"/>
  <c r="CJ15" i="24"/>
  <c r="CK15" i="24"/>
  <c r="CL15" i="24"/>
  <c r="AA15" i="24" s="1"/>
  <c r="CM15" i="24"/>
  <c r="CN15" i="24"/>
  <c r="CO15" i="24"/>
  <c r="AB15" i="24" s="1"/>
  <c r="CP15" i="24"/>
  <c r="CQ15" i="24"/>
  <c r="CT15" i="24"/>
  <c r="D20" i="24"/>
  <c r="F20" i="24"/>
  <c r="G20" i="24"/>
  <c r="H20" i="24"/>
  <c r="I20" i="24"/>
  <c r="J20" i="24"/>
  <c r="K20" i="24"/>
  <c r="L20" i="24"/>
  <c r="BK20" i="24"/>
  <c r="D21" i="24"/>
  <c r="G21" i="24"/>
  <c r="H21" i="24"/>
  <c r="I21" i="24"/>
  <c r="J21" i="24"/>
  <c r="K21" i="24"/>
  <c r="L21" i="24"/>
  <c r="D22" i="24"/>
  <c r="G22" i="24"/>
  <c r="H22" i="24"/>
  <c r="I22" i="24"/>
  <c r="J22" i="24"/>
  <c r="K22" i="24"/>
  <c r="L22" i="24"/>
  <c r="N22" i="24"/>
  <c r="O22" i="24"/>
  <c r="P22" i="24"/>
  <c r="Q22" i="24"/>
  <c r="Z22" i="24"/>
  <c r="AA22" i="24"/>
  <c r="AB22" i="24"/>
  <c r="AC22" i="24"/>
  <c r="AD22" i="24"/>
  <c r="AE22" i="24"/>
  <c r="AF22" i="24"/>
  <c r="AG22" i="24"/>
  <c r="AH22" i="24"/>
  <c r="AI22" i="24"/>
  <c r="AJ22" i="24"/>
  <c r="AK22" i="24"/>
  <c r="AL22" i="24"/>
  <c r="AM22" i="24"/>
  <c r="AN22" i="24"/>
  <c r="AO22" i="24"/>
  <c r="AP22" i="24"/>
  <c r="AQ22" i="24"/>
  <c r="AR22" i="24"/>
  <c r="AS22" i="24"/>
  <c r="AT22" i="24"/>
  <c r="AU22" i="24"/>
  <c r="AV22" i="24"/>
  <c r="AW22" i="24"/>
  <c r="D25" i="24"/>
  <c r="N25" i="24"/>
  <c r="O25" i="24"/>
  <c r="P25" i="24"/>
  <c r="Q25" i="24"/>
  <c r="AB25" i="24"/>
  <c r="AE25" i="24"/>
  <c r="AJ25" i="24"/>
  <c r="AM25" i="24"/>
  <c r="AR25" i="24"/>
  <c r="AU25" i="24"/>
  <c r="CI25" i="24"/>
  <c r="CJ25" i="24"/>
  <c r="CK25" i="24"/>
  <c r="CL26" i="24" s="1"/>
  <c r="CL25" i="24"/>
  <c r="CM25" i="24"/>
  <c r="CN26" i="24" s="1"/>
  <c r="CN25" i="24"/>
  <c r="CO25" i="24"/>
  <c r="CP25" i="24"/>
  <c r="CQ25" i="24"/>
  <c r="CR25" i="24"/>
  <c r="CS25" i="24"/>
  <c r="CT25" i="24"/>
  <c r="CU25" i="24"/>
  <c r="CV25" i="24"/>
  <c r="CW25" i="24"/>
  <c r="CX25" i="24"/>
  <c r="CY25" i="24"/>
  <c r="CZ25" i="24"/>
  <c r="DA25" i="24"/>
  <c r="DB25" i="24"/>
  <c r="DC25" i="24"/>
  <c r="DD26" i="24" s="1"/>
  <c r="DD25" i="24"/>
  <c r="DE25" i="24"/>
  <c r="DF25" i="24"/>
  <c r="DG25" i="24"/>
  <c r="DH25" i="24"/>
  <c r="DI25" i="24"/>
  <c r="DJ26" i="24" s="1"/>
  <c r="DJ25" i="24"/>
  <c r="DK25" i="24"/>
  <c r="DL26" i="24" s="1"/>
  <c r="DL25" i="24"/>
  <c r="DM26" i="24" s="1"/>
  <c r="DM25" i="24"/>
  <c r="DN25" i="24"/>
  <c r="DO25" i="24"/>
  <c r="DP25" i="24"/>
  <c r="DQ25" i="24"/>
  <c r="DR25" i="24"/>
  <c r="DS25" i="24"/>
  <c r="DT25" i="24"/>
  <c r="DU26" i="24" s="1"/>
  <c r="DV27" i="24" s="1"/>
  <c r="DU25" i="24"/>
  <c r="DV25" i="24"/>
  <c r="DW25" i="24"/>
  <c r="DX25" i="24"/>
  <c r="DY25" i="24"/>
  <c r="DZ25" i="24"/>
  <c r="EA25" i="24"/>
  <c r="EB26" i="24" s="1"/>
  <c r="EB25" i="24"/>
  <c r="EC25" i="24"/>
  <c r="ED25" i="24"/>
  <c r="EE25" i="24"/>
  <c r="AP25" i="24" s="1"/>
  <c r="EF25" i="24"/>
  <c r="EG25" i="24"/>
  <c r="EH26" i="24" s="1"/>
  <c r="EH25" i="24"/>
  <c r="EI25" i="24"/>
  <c r="EJ26" i="24" s="1"/>
  <c r="EK27" i="24" s="1"/>
  <c r="EJ25" i="24"/>
  <c r="EK26" i="24" s="1"/>
  <c r="EK25" i="24"/>
  <c r="EL25" i="24"/>
  <c r="EM25" i="24"/>
  <c r="EN25" i="24"/>
  <c r="EO25" i="24"/>
  <c r="EP25" i="24"/>
  <c r="EQ25" i="24"/>
  <c r="ER25" i="24"/>
  <c r="ES26" i="24" s="1"/>
  <c r="ET27" i="24" s="1"/>
  <c r="ES25" i="24"/>
  <c r="ET25" i="24"/>
  <c r="EU25" i="24"/>
  <c r="EV25" i="24"/>
  <c r="EW25" i="24"/>
  <c r="EX25" i="24"/>
  <c r="EY25" i="24"/>
  <c r="EZ26" i="24" s="1"/>
  <c r="EZ25" i="24"/>
  <c r="AW25" i="24" s="1"/>
  <c r="FA25" i="24"/>
  <c r="FB25" i="24"/>
  <c r="D26" i="24"/>
  <c r="N26" i="24"/>
  <c r="O26" i="24"/>
  <c r="P26" i="24"/>
  <c r="Q26" i="24"/>
  <c r="AM26" i="24"/>
  <c r="CJ26" i="24"/>
  <c r="CK27" i="24" s="1"/>
  <c r="CL28" i="24" s="1"/>
  <c r="CK26" i="24"/>
  <c r="CM26" i="24"/>
  <c r="CO26" i="24"/>
  <c r="CP26" i="24"/>
  <c r="CQ27" i="24" s="1"/>
  <c r="CQ26" i="24"/>
  <c r="CR27" i="24" s="1"/>
  <c r="CS28" i="24" s="1"/>
  <c r="CR26" i="24"/>
  <c r="CS26" i="24"/>
  <c r="CU26" i="24"/>
  <c r="CX26" i="24"/>
  <c r="CY27" i="24" s="1"/>
  <c r="CY26" i="24"/>
  <c r="CZ26" i="24"/>
  <c r="DA27" i="24" s="1"/>
  <c r="DA26" i="24"/>
  <c r="DC26" i="24"/>
  <c r="DF26" i="24"/>
  <c r="DG27" i="24" s="1"/>
  <c r="DG26" i="24"/>
  <c r="DH27" i="24" s="1"/>
  <c r="DI28" i="24" s="1"/>
  <c r="DH26" i="24"/>
  <c r="DI27" i="24" s="1"/>
  <c r="DI26" i="24"/>
  <c r="DK26" i="24"/>
  <c r="DN26" i="24"/>
  <c r="DO27" i="24" s="1"/>
  <c r="DO26" i="24"/>
  <c r="DP27" i="24" s="1"/>
  <c r="DQ28" i="24" s="1"/>
  <c r="DP26" i="24"/>
  <c r="DQ26" i="24"/>
  <c r="DS26" i="24"/>
  <c r="DV26" i="24"/>
  <c r="DW27" i="24" s="1"/>
  <c r="DW26" i="24"/>
  <c r="DX27" i="24" s="1"/>
  <c r="DY28" i="24" s="1"/>
  <c r="DX26" i="24"/>
  <c r="DY27" i="24" s="1"/>
  <c r="DY26" i="24"/>
  <c r="EA26" i="24"/>
  <c r="ED26" i="24"/>
  <c r="EE27" i="24" s="1"/>
  <c r="EE26" i="24"/>
  <c r="EF26" i="24"/>
  <c r="EG27" i="24" s="1"/>
  <c r="EG26" i="24"/>
  <c r="EI26" i="24"/>
  <c r="EL26" i="24"/>
  <c r="EM27" i="24" s="1"/>
  <c r="EN28" i="24" s="1"/>
  <c r="EM26" i="24"/>
  <c r="EN27" i="24" s="1"/>
  <c r="EO28" i="24" s="1"/>
  <c r="EN26" i="24"/>
  <c r="EO26" i="24"/>
  <c r="EQ26" i="24"/>
  <c r="ET26" i="24"/>
  <c r="EU27" i="24" s="1"/>
  <c r="EU26" i="24"/>
  <c r="EV27" i="24" s="1"/>
  <c r="EW28" i="24" s="1"/>
  <c r="EX29" i="24" s="1"/>
  <c r="EY30" i="24" s="1"/>
  <c r="EV26" i="24"/>
  <c r="EW27" i="24" s="1"/>
  <c r="EW26" i="24"/>
  <c r="EY26" i="24"/>
  <c r="FB26" i="24"/>
  <c r="D27" i="24"/>
  <c r="N27" i="24"/>
  <c r="O27" i="24"/>
  <c r="P27" i="24"/>
  <c r="Q27" i="24"/>
  <c r="CL27" i="24"/>
  <c r="CN27" i="24"/>
  <c r="CO28" i="24" s="1"/>
  <c r="CO27" i="24"/>
  <c r="CT27" i="24"/>
  <c r="CU28" i="24" s="1"/>
  <c r="CV27" i="24"/>
  <c r="CW28" i="24" s="1"/>
  <c r="CX29" i="24" s="1"/>
  <c r="DB27" i="24"/>
  <c r="DC28" i="24" s="1"/>
  <c r="DD29" i="24" s="1"/>
  <c r="DD27" i="24"/>
  <c r="DE27" i="24"/>
  <c r="DF28" i="24" s="1"/>
  <c r="DJ27" i="24"/>
  <c r="DK28" i="24" s="1"/>
  <c r="DL29" i="24" s="1"/>
  <c r="DM30" i="24" s="1"/>
  <c r="DL27" i="24"/>
  <c r="DM28" i="24" s="1"/>
  <c r="DM27" i="24"/>
  <c r="DR27" i="24"/>
  <c r="DT27" i="24"/>
  <c r="DU28" i="24" s="1"/>
  <c r="DV29" i="24" s="1"/>
  <c r="DZ27" i="24"/>
  <c r="EB27" i="24"/>
  <c r="EC27" i="24"/>
  <c r="ED28" i="24" s="1"/>
  <c r="EE29" i="24" s="1"/>
  <c r="EH27" i="24"/>
  <c r="EI28" i="24" s="1"/>
  <c r="EJ27" i="24"/>
  <c r="EK28" i="24" s="1"/>
  <c r="EP27" i="24"/>
  <c r="ER27" i="24"/>
  <c r="ES28" i="24" s="1"/>
  <c r="ET29" i="24" s="1"/>
  <c r="EX27" i="24"/>
  <c r="EZ27" i="24"/>
  <c r="FA27" i="24"/>
  <c r="FB28" i="24" s="1"/>
  <c r="D28" i="24"/>
  <c r="N28" i="24"/>
  <c r="O28" i="24"/>
  <c r="P28" i="24"/>
  <c r="Q28" i="24"/>
  <c r="R28" i="24"/>
  <c r="CM28" i="24"/>
  <c r="CN29" i="24" s="1"/>
  <c r="CR28" i="24"/>
  <c r="CZ28" i="24"/>
  <c r="DA29" i="24" s="1"/>
  <c r="DB30" i="24" s="1"/>
  <c r="DC31" i="24" s="1"/>
  <c r="DD32" i="24" s="1"/>
  <c r="DB28" i="24"/>
  <c r="DC29" i="24" s="1"/>
  <c r="DD30" i="24" s="1"/>
  <c r="DJ28" i="24"/>
  <c r="DP28" i="24"/>
  <c r="DS28" i="24"/>
  <c r="DX28" i="24"/>
  <c r="DY29" i="24" s="1"/>
  <c r="DZ28" i="24"/>
  <c r="EA29" i="24" s="1"/>
  <c r="EA28" i="24"/>
  <c r="EB29" i="24" s="1"/>
  <c r="EF28" i="24"/>
  <c r="EG29" i="24" s="1"/>
  <c r="EH30" i="24" s="1"/>
  <c r="EH28" i="24"/>
  <c r="EI29" i="24" s="1"/>
  <c r="EQ28" i="24"/>
  <c r="EV28" i="24"/>
  <c r="EY28" i="24"/>
  <c r="EZ29" i="24" s="1"/>
  <c r="FA30" i="24" s="1"/>
  <c r="FB31" i="24" s="1"/>
  <c r="D29" i="24"/>
  <c r="N29" i="24"/>
  <c r="O29" i="24"/>
  <c r="P29" i="24"/>
  <c r="Q29" i="24"/>
  <c r="R29" i="24"/>
  <c r="CS29" i="24"/>
  <c r="CT30" i="24" s="1"/>
  <c r="CU31" i="24" s="1"/>
  <c r="CT29" i="24"/>
  <c r="CU30" i="24" s="1"/>
  <c r="DG29" i="24"/>
  <c r="DJ29" i="24"/>
  <c r="DQ29" i="24"/>
  <c r="DR29" i="24"/>
  <c r="DS30" i="24" s="1"/>
  <c r="DZ29" i="24"/>
  <c r="EA30" i="24" s="1"/>
  <c r="EP29" i="24"/>
  <c r="EQ30" i="24" s="1"/>
  <c r="EW29" i="24"/>
  <c r="D30" i="24"/>
  <c r="N30" i="24"/>
  <c r="O30" i="24"/>
  <c r="P30" i="24"/>
  <c r="Q30" i="24"/>
  <c r="R30" i="24"/>
  <c r="CO30" i="24"/>
  <c r="CY30" i="24"/>
  <c r="DR30" i="24"/>
  <c r="DW30" i="24"/>
  <c r="DX31" i="24" s="1"/>
  <c r="DY32" i="24" s="1"/>
  <c r="EB30" i="24"/>
  <c r="EC30" i="24"/>
  <c r="EJ30" i="24"/>
  <c r="EK31" i="24" s="1"/>
  <c r="EL32" i="24" s="1"/>
  <c r="EM33" i="24" s="1"/>
  <c r="EN34" i="24" s="1"/>
  <c r="D31" i="24"/>
  <c r="N31" i="24"/>
  <c r="O31" i="24"/>
  <c r="P31" i="24"/>
  <c r="Q31" i="24"/>
  <c r="R31" i="24"/>
  <c r="S31" i="24"/>
  <c r="CV31" i="24"/>
  <c r="CW32" i="24" s="1"/>
  <c r="CZ31" i="24"/>
  <c r="DS31" i="24"/>
  <c r="DT31" i="24"/>
  <c r="DU32" i="24" s="1"/>
  <c r="EB31" i="24"/>
  <c r="EC32" i="24" s="1"/>
  <c r="ED31" i="24"/>
  <c r="ER31" i="24"/>
  <c r="ES32" i="24" s="1"/>
  <c r="EZ31" i="24"/>
  <c r="FA32" i="24" s="1"/>
  <c r="FB33" i="24" s="1"/>
  <c r="D32" i="24"/>
  <c r="N32" i="24"/>
  <c r="O32" i="24"/>
  <c r="P32" i="24"/>
  <c r="Q32" i="24"/>
  <c r="R32" i="24"/>
  <c r="S32" i="24"/>
  <c r="DA32" i="24"/>
  <c r="EE32" i="24"/>
  <c r="D33" i="24"/>
  <c r="N33" i="24"/>
  <c r="O33" i="24"/>
  <c r="P33" i="24"/>
  <c r="Q33" i="24"/>
  <c r="R33" i="24"/>
  <c r="S33" i="24"/>
  <c r="CX33" i="24"/>
  <c r="DB33" i="24"/>
  <c r="DC34" i="24" s="1"/>
  <c r="DD35" i="24" s="1"/>
  <c r="DV33" i="24"/>
  <c r="ED33" i="24"/>
  <c r="EE34" i="24" s="1"/>
  <c r="EF33" i="24"/>
  <c r="ET33" i="24"/>
  <c r="D34" i="24"/>
  <c r="N34" i="24"/>
  <c r="O34" i="24"/>
  <c r="P34" i="24"/>
  <c r="Q34" i="24"/>
  <c r="R34" i="24"/>
  <c r="S34" i="24"/>
  <c r="T34" i="24"/>
  <c r="EG34" i="24"/>
  <c r="D35" i="24"/>
  <c r="N35" i="24"/>
  <c r="O35" i="24"/>
  <c r="P35" i="24"/>
  <c r="Q35" i="24"/>
  <c r="R35" i="24"/>
  <c r="S35" i="24"/>
  <c r="T35" i="24"/>
  <c r="EH35" i="24"/>
  <c r="EI36" i="24" s="1"/>
  <c r="EJ37" i="24" s="1"/>
  <c r="D36" i="24"/>
  <c r="N36" i="24"/>
  <c r="O36" i="24"/>
  <c r="P36" i="24"/>
  <c r="Q36" i="24"/>
  <c r="R36" i="24"/>
  <c r="S36" i="24"/>
  <c r="T36" i="24"/>
  <c r="DE36" i="24"/>
  <c r="DF37" i="24" s="1"/>
  <c r="DG38" i="24" s="1"/>
  <c r="D37" i="24"/>
  <c r="E37" i="24"/>
  <c r="N37" i="24"/>
  <c r="O37" i="24"/>
  <c r="P37" i="24"/>
  <c r="Q37" i="24"/>
  <c r="R37" i="24"/>
  <c r="S37" i="24"/>
  <c r="T37" i="24"/>
  <c r="U37" i="24"/>
  <c r="D38" i="24"/>
  <c r="E38" i="24"/>
  <c r="N38" i="24"/>
  <c r="O38" i="24"/>
  <c r="P38" i="24"/>
  <c r="Q38" i="24"/>
  <c r="R38" i="24"/>
  <c r="S38" i="24"/>
  <c r="T38" i="24"/>
  <c r="U38" i="24"/>
  <c r="EK38" i="24"/>
  <c r="D39" i="24"/>
  <c r="E39" i="24"/>
  <c r="N39" i="24"/>
  <c r="O39" i="24"/>
  <c r="P39" i="24"/>
  <c r="Q39" i="24"/>
  <c r="R39" i="24"/>
  <c r="S39" i="24"/>
  <c r="T39" i="24"/>
  <c r="U39" i="24"/>
  <c r="D40" i="24"/>
  <c r="E40" i="24"/>
  <c r="N40" i="24"/>
  <c r="O40" i="24"/>
  <c r="P40" i="24"/>
  <c r="Q40" i="24"/>
  <c r="R40" i="24"/>
  <c r="S40" i="24"/>
  <c r="T40" i="24"/>
  <c r="U40" i="24"/>
  <c r="V40" i="24"/>
  <c r="D41" i="24"/>
  <c r="E41" i="24"/>
  <c r="N41" i="24"/>
  <c r="O41" i="24"/>
  <c r="P41" i="24"/>
  <c r="Q41" i="24"/>
  <c r="R41" i="24"/>
  <c r="S41" i="24"/>
  <c r="T41" i="24"/>
  <c r="U41" i="24"/>
  <c r="V41" i="24"/>
  <c r="D42" i="24"/>
  <c r="E42" i="24"/>
  <c r="N42" i="24"/>
  <c r="O42" i="24"/>
  <c r="P42" i="24"/>
  <c r="Q42" i="24"/>
  <c r="R42" i="24"/>
  <c r="S42" i="24"/>
  <c r="T42" i="24"/>
  <c r="U42" i="24"/>
  <c r="V42" i="24"/>
  <c r="D43" i="24"/>
  <c r="E43" i="24"/>
  <c r="N43" i="24"/>
  <c r="O43" i="24"/>
  <c r="P43" i="24"/>
  <c r="Q43" i="24"/>
  <c r="R43" i="24"/>
  <c r="S43" i="24"/>
  <c r="T43" i="24"/>
  <c r="U43" i="24"/>
  <c r="V43" i="24"/>
  <c r="W43" i="24"/>
  <c r="D44" i="24"/>
  <c r="E44" i="24"/>
  <c r="N44" i="24"/>
  <c r="O44" i="24"/>
  <c r="P44" i="24"/>
  <c r="Q44" i="24"/>
  <c r="R44" i="24"/>
  <c r="S44" i="24"/>
  <c r="T44" i="24"/>
  <c r="U44" i="24"/>
  <c r="V44" i="24"/>
  <c r="W44" i="24"/>
  <c r="D45" i="24"/>
  <c r="E45" i="24"/>
  <c r="N45" i="24"/>
  <c r="O45" i="24"/>
  <c r="P45" i="24"/>
  <c r="Q45" i="24"/>
  <c r="R45" i="24"/>
  <c r="S45" i="24"/>
  <c r="T45" i="24"/>
  <c r="U45" i="24"/>
  <c r="V45" i="24"/>
  <c r="W45" i="24"/>
  <c r="D46" i="24"/>
  <c r="E46" i="24"/>
  <c r="N46" i="24"/>
  <c r="O46" i="24"/>
  <c r="P46" i="24"/>
  <c r="Q46" i="24"/>
  <c r="R46" i="24"/>
  <c r="S46" i="24"/>
  <c r="T46" i="24"/>
  <c r="U46" i="24"/>
  <c r="V46" i="24"/>
  <c r="W46" i="24"/>
  <c r="X46" i="24"/>
  <c r="D47" i="24"/>
  <c r="E47" i="24"/>
  <c r="N47" i="24"/>
  <c r="O47" i="24"/>
  <c r="P47" i="24"/>
  <c r="Q47" i="24"/>
  <c r="R47" i="24"/>
  <c r="S47" i="24"/>
  <c r="T47" i="24"/>
  <c r="U47" i="24"/>
  <c r="V47" i="24"/>
  <c r="W47" i="24"/>
  <c r="X47" i="24"/>
  <c r="D48" i="24"/>
  <c r="E48" i="24"/>
  <c r="N48" i="24"/>
  <c r="O48" i="24"/>
  <c r="P48" i="24"/>
  <c r="Q48" i="24"/>
  <c r="R48" i="24"/>
  <c r="S48" i="24"/>
  <c r="T48" i="24"/>
  <c r="U48" i="24"/>
  <c r="V48" i="24"/>
  <c r="W48" i="24"/>
  <c r="X48" i="24"/>
  <c r="D49" i="24"/>
  <c r="E49" i="24"/>
  <c r="F49" i="24"/>
  <c r="N49" i="24"/>
  <c r="O49" i="24"/>
  <c r="P49" i="24"/>
  <c r="Q49" i="24"/>
  <c r="R49" i="24"/>
  <c r="S49" i="24"/>
  <c r="T49" i="24"/>
  <c r="U49" i="24"/>
  <c r="V49" i="24"/>
  <c r="W49" i="24"/>
  <c r="X49" i="24"/>
  <c r="Y49" i="24"/>
  <c r="D50" i="24"/>
  <c r="E50" i="24"/>
  <c r="F50" i="24"/>
  <c r="N50" i="24"/>
  <c r="O50" i="24"/>
  <c r="P50" i="24"/>
  <c r="Q50" i="24"/>
  <c r="R50" i="24"/>
  <c r="S50" i="24"/>
  <c r="T50" i="24"/>
  <c r="U50" i="24"/>
  <c r="V50" i="24"/>
  <c r="W50" i="24"/>
  <c r="X50" i="24"/>
  <c r="Y50" i="24"/>
  <c r="D51" i="24"/>
  <c r="E51" i="24"/>
  <c r="F51" i="24"/>
  <c r="N51" i="24"/>
  <c r="O51" i="24"/>
  <c r="P51" i="24"/>
  <c r="Q51" i="24"/>
  <c r="R51" i="24"/>
  <c r="S51" i="24"/>
  <c r="T51" i="24"/>
  <c r="U51" i="24"/>
  <c r="V51" i="24"/>
  <c r="W51" i="24"/>
  <c r="X51" i="24"/>
  <c r="Y51" i="24"/>
  <c r="D52" i="24"/>
  <c r="E52" i="24"/>
  <c r="F52" i="24"/>
  <c r="N52" i="24"/>
  <c r="O52" i="24"/>
  <c r="P52" i="24"/>
  <c r="Q52" i="24"/>
  <c r="R52" i="24"/>
  <c r="S52" i="24"/>
  <c r="T52" i="24"/>
  <c r="U52" i="24"/>
  <c r="V52" i="24"/>
  <c r="W52" i="24"/>
  <c r="X52" i="24"/>
  <c r="Y52" i="24"/>
  <c r="Z52" i="24"/>
  <c r="D53" i="24"/>
  <c r="E53" i="24"/>
  <c r="F53" i="24"/>
  <c r="N53" i="24"/>
  <c r="O53" i="24"/>
  <c r="P53" i="24"/>
  <c r="Q53" i="24"/>
  <c r="R53" i="24"/>
  <c r="S53" i="24"/>
  <c r="T53" i="24"/>
  <c r="U53" i="24"/>
  <c r="V53" i="24"/>
  <c r="W53" i="24"/>
  <c r="X53" i="24"/>
  <c r="Y53" i="24"/>
  <c r="Z53" i="24"/>
  <c r="D54" i="24"/>
  <c r="E54" i="24"/>
  <c r="F54" i="24"/>
  <c r="N54" i="24"/>
  <c r="O54" i="24"/>
  <c r="P54" i="24"/>
  <c r="Q54" i="24"/>
  <c r="R54" i="24"/>
  <c r="S54" i="24"/>
  <c r="T54" i="24"/>
  <c r="U54" i="24"/>
  <c r="V54" i="24"/>
  <c r="W54" i="24"/>
  <c r="X54" i="24"/>
  <c r="Y54" i="24"/>
  <c r="Z54" i="24"/>
  <c r="D55" i="24"/>
  <c r="E55" i="24"/>
  <c r="F55" i="24"/>
  <c r="N55" i="24"/>
  <c r="O55" i="24"/>
  <c r="P55" i="24"/>
  <c r="Q55" i="24"/>
  <c r="R55" i="24"/>
  <c r="S55" i="24"/>
  <c r="T55" i="24"/>
  <c r="U55" i="24"/>
  <c r="V55" i="24"/>
  <c r="W55" i="24"/>
  <c r="X55" i="24"/>
  <c r="Y55" i="24"/>
  <c r="Z55" i="24"/>
  <c r="AA55" i="24"/>
  <c r="D56" i="24"/>
  <c r="E56" i="24"/>
  <c r="F56" i="24"/>
  <c r="N56" i="24"/>
  <c r="O56" i="24"/>
  <c r="P56" i="24"/>
  <c r="Q56" i="24"/>
  <c r="R56" i="24"/>
  <c r="S56" i="24"/>
  <c r="T56" i="24"/>
  <c r="U56" i="24"/>
  <c r="V56" i="24"/>
  <c r="W56" i="24"/>
  <c r="X56" i="24"/>
  <c r="Y56" i="24"/>
  <c r="Z56" i="24"/>
  <c r="AA56" i="24"/>
  <c r="D57" i="24"/>
  <c r="E57" i="24"/>
  <c r="F57" i="24"/>
  <c r="N57" i="24"/>
  <c r="O57" i="24"/>
  <c r="P57" i="24"/>
  <c r="Q57" i="24"/>
  <c r="R57" i="24"/>
  <c r="S57" i="24"/>
  <c r="T57" i="24"/>
  <c r="U57" i="24"/>
  <c r="V57" i="24"/>
  <c r="W57" i="24"/>
  <c r="X57" i="24"/>
  <c r="Y57" i="24"/>
  <c r="Z57" i="24"/>
  <c r="AA57" i="24"/>
  <c r="D58" i="24"/>
  <c r="E58" i="24"/>
  <c r="F58" i="24"/>
  <c r="N58" i="24"/>
  <c r="O58" i="24"/>
  <c r="P58" i="24"/>
  <c r="Q58" i="24"/>
  <c r="R58" i="24"/>
  <c r="S58" i="24"/>
  <c r="T58" i="24"/>
  <c r="U58" i="24"/>
  <c r="V58" i="24"/>
  <c r="W58" i="24"/>
  <c r="X58" i="24"/>
  <c r="Y58" i="24"/>
  <c r="Z58" i="24"/>
  <c r="AA58" i="24"/>
  <c r="AB58" i="24"/>
  <c r="D59" i="24"/>
  <c r="E59" i="24"/>
  <c r="F59" i="24"/>
  <c r="N59" i="24"/>
  <c r="O59" i="24"/>
  <c r="P59" i="24"/>
  <c r="Q59" i="24"/>
  <c r="R59" i="24"/>
  <c r="S59" i="24"/>
  <c r="T59" i="24"/>
  <c r="U59" i="24"/>
  <c r="V59" i="24"/>
  <c r="W59" i="24"/>
  <c r="X59" i="24"/>
  <c r="Y59" i="24"/>
  <c r="Z59" i="24"/>
  <c r="AA59" i="24"/>
  <c r="AB59" i="24"/>
  <c r="D60" i="24"/>
  <c r="D61" i="24" s="1"/>
  <c r="E60" i="24"/>
  <c r="F60" i="24"/>
  <c r="N60" i="24"/>
  <c r="N61" i="24" s="1"/>
  <c r="O60" i="24"/>
  <c r="P60" i="24"/>
  <c r="Q60" i="24"/>
  <c r="Q61" i="24" s="1"/>
  <c r="R60" i="24"/>
  <c r="S60" i="24"/>
  <c r="T60" i="24"/>
  <c r="U60" i="24"/>
  <c r="V60" i="24"/>
  <c r="W60" i="24"/>
  <c r="X60" i="24"/>
  <c r="Y60" i="24"/>
  <c r="Z60" i="24"/>
  <c r="AA60" i="24"/>
  <c r="AB60" i="24"/>
  <c r="O61" i="24"/>
  <c r="P61" i="24"/>
  <c r="AY61" i="24"/>
  <c r="AZ61" i="24"/>
  <c r="BA61" i="24"/>
  <c r="BB61" i="24"/>
  <c r="BC61" i="24"/>
  <c r="BD61" i="24"/>
  <c r="BE61" i="24"/>
  <c r="BF61" i="24"/>
  <c r="BG61" i="24"/>
  <c r="BH61" i="24"/>
  <c r="BI61" i="24"/>
  <c r="BJ61" i="24"/>
  <c r="D63" i="24"/>
  <c r="E63" i="24"/>
  <c r="F63" i="24"/>
  <c r="N63" i="24"/>
  <c r="O63" i="24"/>
  <c r="P63" i="24"/>
  <c r="Q63" i="24"/>
  <c r="R63" i="24"/>
  <c r="S63" i="24"/>
  <c r="T63" i="24"/>
  <c r="U63" i="24"/>
  <c r="V63" i="24"/>
  <c r="W63" i="24"/>
  <c r="X63" i="24"/>
  <c r="Y63" i="24"/>
  <c r="D66" i="24"/>
  <c r="E66" i="24"/>
  <c r="F66" i="24"/>
  <c r="N66" i="24"/>
  <c r="O66" i="24"/>
  <c r="P66" i="24"/>
  <c r="Q66" i="24"/>
  <c r="R66" i="24"/>
  <c r="S66" i="24"/>
  <c r="T66" i="24"/>
  <c r="U66" i="24"/>
  <c r="V66" i="24"/>
  <c r="W66" i="24"/>
  <c r="X66" i="24"/>
  <c r="Y66" i="24"/>
  <c r="D67" i="24"/>
  <c r="E67" i="24"/>
  <c r="F67" i="24"/>
  <c r="N67" i="24"/>
  <c r="O67" i="24"/>
  <c r="P67" i="24"/>
  <c r="Q67" i="24"/>
  <c r="R67" i="24"/>
  <c r="S67" i="24"/>
  <c r="T67" i="24"/>
  <c r="U67" i="24"/>
  <c r="V67" i="24"/>
  <c r="W67" i="24"/>
  <c r="X67" i="24"/>
  <c r="Y67" i="24"/>
  <c r="D68" i="24"/>
  <c r="E68" i="24"/>
  <c r="F68" i="24"/>
  <c r="N68" i="24"/>
  <c r="O68" i="24"/>
  <c r="P68" i="24"/>
  <c r="Q68" i="24"/>
  <c r="R68" i="24"/>
  <c r="S68" i="24"/>
  <c r="T68" i="24"/>
  <c r="U68" i="24"/>
  <c r="V68" i="24"/>
  <c r="W68" i="24"/>
  <c r="X68" i="24"/>
  <c r="Y68" i="24"/>
  <c r="D69" i="24"/>
  <c r="E69" i="24"/>
  <c r="F69" i="24"/>
  <c r="N69" i="24"/>
  <c r="O69" i="24"/>
  <c r="P69" i="24"/>
  <c r="Q69" i="24"/>
  <c r="R69" i="24"/>
  <c r="S69" i="24"/>
  <c r="T69" i="24"/>
  <c r="U69" i="24"/>
  <c r="V69" i="24"/>
  <c r="W69" i="24"/>
  <c r="X69" i="24"/>
  <c r="Y69" i="24"/>
  <c r="Z69" i="24"/>
  <c r="D70" i="24"/>
  <c r="E70" i="24"/>
  <c r="F70" i="24"/>
  <c r="N70" i="24"/>
  <c r="O70" i="24"/>
  <c r="P70" i="24"/>
  <c r="Q70" i="24"/>
  <c r="R70" i="24"/>
  <c r="S70" i="24"/>
  <c r="T70" i="24"/>
  <c r="U70" i="24"/>
  <c r="V70" i="24"/>
  <c r="W70" i="24"/>
  <c r="X70" i="24"/>
  <c r="Y70" i="24"/>
  <c r="Z70" i="24"/>
  <c r="D71" i="24"/>
  <c r="E71" i="24"/>
  <c r="F71" i="24"/>
  <c r="N71" i="24"/>
  <c r="O71" i="24"/>
  <c r="P71" i="24"/>
  <c r="Q71" i="24"/>
  <c r="R71" i="24"/>
  <c r="S71" i="24"/>
  <c r="T71" i="24"/>
  <c r="U71" i="24"/>
  <c r="V71" i="24"/>
  <c r="W71" i="24"/>
  <c r="X71" i="24"/>
  <c r="Y71" i="24"/>
  <c r="Z71" i="24"/>
  <c r="D72" i="24"/>
  <c r="E72" i="24"/>
  <c r="F72" i="24"/>
  <c r="N72" i="24"/>
  <c r="O72" i="24"/>
  <c r="P72" i="24"/>
  <c r="Q72" i="24"/>
  <c r="R72" i="24"/>
  <c r="S72" i="24"/>
  <c r="T72" i="24"/>
  <c r="U72" i="24"/>
  <c r="V72" i="24"/>
  <c r="W72" i="24"/>
  <c r="X72" i="24"/>
  <c r="Y72" i="24"/>
  <c r="Z72" i="24"/>
  <c r="AA72" i="24"/>
  <c r="D73" i="24"/>
  <c r="E73" i="24"/>
  <c r="F73" i="24"/>
  <c r="N73" i="24"/>
  <c r="O73" i="24"/>
  <c r="P73" i="24"/>
  <c r="Q73" i="24"/>
  <c r="R73" i="24"/>
  <c r="S73" i="24"/>
  <c r="T73" i="24"/>
  <c r="U73" i="24"/>
  <c r="V73" i="24"/>
  <c r="W73" i="24"/>
  <c r="X73" i="24"/>
  <c r="Y73" i="24"/>
  <c r="Z73" i="24"/>
  <c r="AA73" i="24"/>
  <c r="D74" i="24"/>
  <c r="E74" i="24"/>
  <c r="F74" i="24"/>
  <c r="N74" i="24"/>
  <c r="O74" i="24"/>
  <c r="P74" i="24"/>
  <c r="Q74" i="24"/>
  <c r="R74" i="24"/>
  <c r="S74" i="24"/>
  <c r="T74" i="24"/>
  <c r="U74" i="24"/>
  <c r="V74" i="24"/>
  <c r="W74" i="24"/>
  <c r="X74" i="24"/>
  <c r="Y74" i="24"/>
  <c r="Z74" i="24"/>
  <c r="AA74" i="24"/>
  <c r="D75" i="24"/>
  <c r="E75" i="24"/>
  <c r="F75" i="24"/>
  <c r="N75" i="24"/>
  <c r="O75" i="24"/>
  <c r="P75" i="24"/>
  <c r="Q75" i="24"/>
  <c r="R75" i="24"/>
  <c r="S75" i="24"/>
  <c r="T75" i="24"/>
  <c r="U75" i="24"/>
  <c r="V75" i="24"/>
  <c r="W75" i="24"/>
  <c r="X75" i="24"/>
  <c r="Y75" i="24"/>
  <c r="Z75" i="24"/>
  <c r="AA75" i="24"/>
  <c r="AB75" i="24"/>
  <c r="D76" i="24"/>
  <c r="E76" i="24"/>
  <c r="F76" i="24"/>
  <c r="N76" i="24"/>
  <c r="O76" i="24"/>
  <c r="P76" i="24"/>
  <c r="Q76" i="24"/>
  <c r="R76" i="24"/>
  <c r="S76" i="24"/>
  <c r="T76" i="24"/>
  <c r="U76" i="24"/>
  <c r="V76" i="24"/>
  <c r="W76" i="24"/>
  <c r="X76" i="24"/>
  <c r="Y76" i="24"/>
  <c r="Z76" i="24"/>
  <c r="AA76" i="24"/>
  <c r="AB76" i="24"/>
  <c r="D77" i="24"/>
  <c r="E77" i="24"/>
  <c r="F77" i="24"/>
  <c r="N77" i="24"/>
  <c r="O77" i="24"/>
  <c r="P77" i="24"/>
  <c r="Q77" i="24"/>
  <c r="R77" i="24"/>
  <c r="S77" i="24"/>
  <c r="T77" i="24"/>
  <c r="U77" i="24"/>
  <c r="V77" i="24"/>
  <c r="W77" i="24"/>
  <c r="X77" i="24"/>
  <c r="Y77" i="24"/>
  <c r="Z77" i="24"/>
  <c r="AA77" i="24"/>
  <c r="AB77" i="24"/>
  <c r="D78" i="24"/>
  <c r="E78" i="24"/>
  <c r="F78" i="24"/>
  <c r="G78" i="24"/>
  <c r="N78" i="24"/>
  <c r="O78" i="24"/>
  <c r="P78" i="24"/>
  <c r="Q78" i="24"/>
  <c r="R78" i="24"/>
  <c r="S78" i="24"/>
  <c r="T78" i="24"/>
  <c r="U78" i="24"/>
  <c r="V78" i="24"/>
  <c r="W78" i="24"/>
  <c r="X78" i="24"/>
  <c r="Y78" i="24"/>
  <c r="Z78" i="24"/>
  <c r="AA78" i="24"/>
  <c r="AB78" i="24"/>
  <c r="AC78" i="24"/>
  <c r="D79" i="24"/>
  <c r="E79" i="24"/>
  <c r="F79" i="24"/>
  <c r="G79" i="24"/>
  <c r="N79" i="24"/>
  <c r="O79" i="24"/>
  <c r="P79" i="24"/>
  <c r="Q79" i="24"/>
  <c r="R79" i="24"/>
  <c r="S79" i="24"/>
  <c r="T79" i="24"/>
  <c r="U79" i="24"/>
  <c r="V79" i="24"/>
  <c r="W79" i="24"/>
  <c r="X79" i="24"/>
  <c r="Y79" i="24"/>
  <c r="Z79" i="24"/>
  <c r="AA79" i="24"/>
  <c r="AB79" i="24"/>
  <c r="AC79" i="24"/>
  <c r="D80" i="24"/>
  <c r="E80" i="24"/>
  <c r="F80" i="24"/>
  <c r="G80" i="24"/>
  <c r="N80" i="24"/>
  <c r="O80" i="24"/>
  <c r="P80" i="24"/>
  <c r="Q80" i="24"/>
  <c r="R80" i="24"/>
  <c r="S80" i="24"/>
  <c r="T80" i="24"/>
  <c r="U80" i="24"/>
  <c r="V80" i="24"/>
  <c r="W80" i="24"/>
  <c r="X80" i="24"/>
  <c r="Y80" i="24"/>
  <c r="Z80" i="24"/>
  <c r="AA80" i="24"/>
  <c r="AB80" i="24"/>
  <c r="AC80" i="24"/>
  <c r="D81" i="24"/>
  <c r="E81" i="24"/>
  <c r="F81" i="24"/>
  <c r="G81" i="24"/>
  <c r="N81" i="24"/>
  <c r="O81" i="24"/>
  <c r="P81" i="24"/>
  <c r="Q81" i="24"/>
  <c r="R81" i="24"/>
  <c r="S81" i="24"/>
  <c r="T81" i="24"/>
  <c r="U81" i="24"/>
  <c r="V81" i="24"/>
  <c r="W81" i="24"/>
  <c r="X81" i="24"/>
  <c r="Y81" i="24"/>
  <c r="Z81" i="24"/>
  <c r="AA81" i="24"/>
  <c r="AB81" i="24"/>
  <c r="AC81" i="24"/>
  <c r="AD81" i="24"/>
  <c r="D82" i="24"/>
  <c r="E82" i="24"/>
  <c r="F82" i="24"/>
  <c r="G82" i="24"/>
  <c r="N82" i="24"/>
  <c r="O82" i="24"/>
  <c r="P82" i="24"/>
  <c r="Q82" i="24"/>
  <c r="R82" i="24"/>
  <c r="S82" i="24"/>
  <c r="T82" i="24"/>
  <c r="U82" i="24"/>
  <c r="V82" i="24"/>
  <c r="W82" i="24"/>
  <c r="X82" i="24"/>
  <c r="Y82" i="24"/>
  <c r="Z82" i="24"/>
  <c r="AA82" i="24"/>
  <c r="AB82" i="24"/>
  <c r="AC82" i="24"/>
  <c r="AD82" i="24"/>
  <c r="D83" i="24"/>
  <c r="E83" i="24"/>
  <c r="F83" i="24"/>
  <c r="G83" i="24"/>
  <c r="N83" i="24"/>
  <c r="O83" i="24"/>
  <c r="P83" i="24"/>
  <c r="Q83" i="24"/>
  <c r="R83" i="24"/>
  <c r="S83" i="24"/>
  <c r="T83" i="24"/>
  <c r="U83" i="24"/>
  <c r="V83" i="24"/>
  <c r="W83" i="24"/>
  <c r="X83" i="24"/>
  <c r="Y83" i="24"/>
  <c r="Z83" i="24"/>
  <c r="AA83" i="24"/>
  <c r="AB83" i="24"/>
  <c r="AC83" i="24"/>
  <c r="AD83" i="24"/>
  <c r="D84" i="24"/>
  <c r="E84" i="24"/>
  <c r="F84" i="24"/>
  <c r="G84" i="24"/>
  <c r="N84" i="24"/>
  <c r="O84" i="24"/>
  <c r="P84" i="24"/>
  <c r="Q84" i="24"/>
  <c r="R84" i="24"/>
  <c r="S84" i="24"/>
  <c r="T84" i="24"/>
  <c r="U84" i="24"/>
  <c r="V84" i="24"/>
  <c r="W84" i="24"/>
  <c r="X84" i="24"/>
  <c r="Y84" i="24"/>
  <c r="Z84" i="24"/>
  <c r="AA84" i="24"/>
  <c r="AB84" i="24"/>
  <c r="AC84" i="24"/>
  <c r="AD84" i="24"/>
  <c r="AE84" i="24"/>
  <c r="D85" i="24"/>
  <c r="E85" i="24"/>
  <c r="F85" i="24"/>
  <c r="G85" i="24"/>
  <c r="N85" i="24"/>
  <c r="O85" i="24"/>
  <c r="P85" i="24"/>
  <c r="Q85" i="24"/>
  <c r="R85" i="24"/>
  <c r="S85" i="24"/>
  <c r="T85" i="24"/>
  <c r="U85" i="24"/>
  <c r="V85" i="24"/>
  <c r="W85" i="24"/>
  <c r="X85" i="24"/>
  <c r="Y85" i="24"/>
  <c r="Z85" i="24"/>
  <c r="AA85" i="24"/>
  <c r="AB85" i="24"/>
  <c r="AC85" i="24"/>
  <c r="AD85" i="24"/>
  <c r="AE85" i="24"/>
  <c r="D86" i="24"/>
  <c r="E86" i="24"/>
  <c r="F86" i="24"/>
  <c r="G86" i="24"/>
  <c r="N86" i="24"/>
  <c r="O86" i="24"/>
  <c r="P86" i="24"/>
  <c r="Q86" i="24"/>
  <c r="R86" i="24"/>
  <c r="S86" i="24"/>
  <c r="T86" i="24"/>
  <c r="U86" i="24"/>
  <c r="V86" i="24"/>
  <c r="W86" i="24"/>
  <c r="X86" i="24"/>
  <c r="Y86" i="24"/>
  <c r="Z86" i="24"/>
  <c r="AA86" i="24"/>
  <c r="AB86" i="24"/>
  <c r="AC86" i="24"/>
  <c r="AD86" i="24"/>
  <c r="AE86" i="24"/>
  <c r="D87" i="24"/>
  <c r="E87" i="24"/>
  <c r="F87" i="24"/>
  <c r="G87" i="24"/>
  <c r="N87" i="24"/>
  <c r="O87" i="24"/>
  <c r="P87" i="24"/>
  <c r="Q87" i="24"/>
  <c r="R87" i="24"/>
  <c r="S87" i="24"/>
  <c r="T87" i="24"/>
  <c r="U87" i="24"/>
  <c r="V87" i="24"/>
  <c r="W87" i="24"/>
  <c r="X87" i="24"/>
  <c r="Y87" i="24"/>
  <c r="Z87" i="24"/>
  <c r="AA87" i="24"/>
  <c r="AB87" i="24"/>
  <c r="AC87" i="24"/>
  <c r="AD87" i="24"/>
  <c r="AE87" i="24"/>
  <c r="AF87" i="24"/>
  <c r="D88" i="24"/>
  <c r="E88" i="24"/>
  <c r="F88" i="24"/>
  <c r="G88" i="24"/>
  <c r="N88" i="24"/>
  <c r="O88" i="24"/>
  <c r="P88" i="24"/>
  <c r="Q88" i="24"/>
  <c r="R88" i="24"/>
  <c r="S88" i="24"/>
  <c r="T88" i="24"/>
  <c r="U88" i="24"/>
  <c r="V88" i="24"/>
  <c r="W88" i="24"/>
  <c r="X88" i="24"/>
  <c r="Y88" i="24"/>
  <c r="Z88" i="24"/>
  <c r="AA88" i="24"/>
  <c r="AB88" i="24"/>
  <c r="AC88" i="24"/>
  <c r="AD88" i="24"/>
  <c r="AE88" i="24"/>
  <c r="AF88" i="24"/>
  <c r="D89" i="24"/>
  <c r="E89" i="24"/>
  <c r="F89" i="24"/>
  <c r="G89" i="24"/>
  <c r="N89" i="24"/>
  <c r="O89" i="24"/>
  <c r="P89" i="24"/>
  <c r="Q89" i="24"/>
  <c r="R89" i="24"/>
  <c r="S89" i="24"/>
  <c r="T89" i="24"/>
  <c r="U89" i="24"/>
  <c r="V89" i="24"/>
  <c r="W89" i="24"/>
  <c r="X89" i="24"/>
  <c r="Y89" i="24"/>
  <c r="Z89" i="24"/>
  <c r="AA89" i="24"/>
  <c r="AB89" i="24"/>
  <c r="AC89" i="24"/>
  <c r="AD89" i="24"/>
  <c r="AE89" i="24"/>
  <c r="AF89" i="24"/>
  <c r="D90" i="24"/>
  <c r="E90" i="24"/>
  <c r="F90" i="24"/>
  <c r="G90" i="24"/>
  <c r="H90" i="24"/>
  <c r="N90" i="24"/>
  <c r="O90" i="24"/>
  <c r="P90" i="24"/>
  <c r="Q90" i="24"/>
  <c r="R90" i="24"/>
  <c r="S90" i="24"/>
  <c r="T90" i="24"/>
  <c r="U90" i="24"/>
  <c r="V90" i="24"/>
  <c r="W90" i="24"/>
  <c r="X90" i="24"/>
  <c r="Y90" i="24"/>
  <c r="Z90" i="24"/>
  <c r="AA90" i="24"/>
  <c r="AB90" i="24"/>
  <c r="AC90" i="24"/>
  <c r="AD90" i="24"/>
  <c r="AE90" i="24"/>
  <c r="AF90" i="24"/>
  <c r="AG90" i="24"/>
  <c r="D91" i="24"/>
  <c r="E91" i="24"/>
  <c r="F91" i="24"/>
  <c r="G91" i="24"/>
  <c r="H91" i="24"/>
  <c r="N91" i="24"/>
  <c r="O91" i="24"/>
  <c r="P91" i="24"/>
  <c r="Q91" i="24"/>
  <c r="R91" i="24"/>
  <c r="S91" i="24"/>
  <c r="T91" i="24"/>
  <c r="U91" i="24"/>
  <c r="V91" i="24"/>
  <c r="W91" i="24"/>
  <c r="X91" i="24"/>
  <c r="Y91" i="24"/>
  <c r="Z91" i="24"/>
  <c r="AA91" i="24"/>
  <c r="AB91" i="24"/>
  <c r="AC91" i="24"/>
  <c r="AD91" i="24"/>
  <c r="AE91" i="24"/>
  <c r="AF91" i="24"/>
  <c r="AG91" i="24"/>
  <c r="D92" i="24"/>
  <c r="E92" i="24"/>
  <c r="F92" i="24"/>
  <c r="G92" i="24"/>
  <c r="H92" i="24"/>
  <c r="N92" i="24"/>
  <c r="O92" i="24"/>
  <c r="P92" i="24"/>
  <c r="Q92" i="24"/>
  <c r="R92" i="24"/>
  <c r="S92" i="24"/>
  <c r="T92" i="24"/>
  <c r="U92" i="24"/>
  <c r="V92" i="24"/>
  <c r="W92" i="24"/>
  <c r="X92" i="24"/>
  <c r="Y92" i="24"/>
  <c r="Z92" i="24"/>
  <c r="AA92" i="24"/>
  <c r="AB92" i="24"/>
  <c r="AC92" i="24"/>
  <c r="AD92" i="24"/>
  <c r="AE92" i="24"/>
  <c r="AF92" i="24"/>
  <c r="AG92" i="24"/>
  <c r="D93" i="24"/>
  <c r="E93" i="24"/>
  <c r="F93" i="24"/>
  <c r="G93" i="24"/>
  <c r="H93" i="24"/>
  <c r="N93" i="24"/>
  <c r="O93" i="24"/>
  <c r="P93" i="24"/>
  <c r="Q93" i="24"/>
  <c r="R93" i="24"/>
  <c r="S93" i="24"/>
  <c r="T93" i="24"/>
  <c r="U93" i="24"/>
  <c r="V93" i="24"/>
  <c r="W93" i="24"/>
  <c r="X93" i="24"/>
  <c r="Y93" i="24"/>
  <c r="Z93" i="24"/>
  <c r="AA93" i="24"/>
  <c r="AB93" i="24"/>
  <c r="AC93" i="24"/>
  <c r="AD93" i="24"/>
  <c r="AE93" i="24"/>
  <c r="AF93" i="24"/>
  <c r="AG93" i="24"/>
  <c r="AH93" i="24"/>
  <c r="D94" i="24"/>
  <c r="E94" i="24"/>
  <c r="F94" i="24"/>
  <c r="G94" i="24"/>
  <c r="H94" i="24"/>
  <c r="N94" i="24"/>
  <c r="O94" i="24"/>
  <c r="P94" i="24"/>
  <c r="Q94" i="24"/>
  <c r="R94" i="24"/>
  <c r="S94" i="24"/>
  <c r="T94" i="24"/>
  <c r="U94" i="24"/>
  <c r="V94" i="24"/>
  <c r="W94" i="24"/>
  <c r="X94" i="24"/>
  <c r="Y94" i="24"/>
  <c r="Z94" i="24"/>
  <c r="AA94" i="24"/>
  <c r="AB94" i="24"/>
  <c r="AC94" i="24"/>
  <c r="AD94" i="24"/>
  <c r="AE94" i="24"/>
  <c r="AF94" i="24"/>
  <c r="AG94" i="24"/>
  <c r="AH94" i="24"/>
  <c r="D95" i="24"/>
  <c r="E95" i="24"/>
  <c r="F95" i="24"/>
  <c r="G95" i="24"/>
  <c r="H95" i="24"/>
  <c r="N95" i="24"/>
  <c r="O95" i="24"/>
  <c r="P95" i="24"/>
  <c r="Q95" i="24"/>
  <c r="R95" i="24"/>
  <c r="S95" i="24"/>
  <c r="T95" i="24"/>
  <c r="U95" i="24"/>
  <c r="V95" i="24"/>
  <c r="W95" i="24"/>
  <c r="X95" i="24"/>
  <c r="Y95" i="24"/>
  <c r="Z95" i="24"/>
  <c r="AA95" i="24"/>
  <c r="AB95" i="24"/>
  <c r="AC95" i="24"/>
  <c r="AD95" i="24"/>
  <c r="AE95" i="24"/>
  <c r="AF95" i="24"/>
  <c r="AG95" i="24"/>
  <c r="AH95" i="24"/>
  <c r="D96" i="24"/>
  <c r="E96" i="24"/>
  <c r="F96" i="24"/>
  <c r="G96" i="24"/>
  <c r="H96" i="24"/>
  <c r="N96" i="24"/>
  <c r="O96" i="24"/>
  <c r="P96" i="24"/>
  <c r="Q96" i="24"/>
  <c r="R96" i="24"/>
  <c r="S96" i="24"/>
  <c r="T96" i="24"/>
  <c r="U96" i="24"/>
  <c r="V96" i="24"/>
  <c r="W96" i="24"/>
  <c r="X96" i="24"/>
  <c r="Y96" i="24"/>
  <c r="Z96" i="24"/>
  <c r="AA96" i="24"/>
  <c r="AB96" i="24"/>
  <c r="AC96" i="24"/>
  <c r="AD96" i="24"/>
  <c r="AE96" i="24"/>
  <c r="AF96" i="24"/>
  <c r="AG96" i="24"/>
  <c r="AH96" i="24"/>
  <c r="AI96" i="24"/>
  <c r="D97" i="24"/>
  <c r="E97" i="24"/>
  <c r="F97" i="24"/>
  <c r="G97" i="24"/>
  <c r="H97" i="24"/>
  <c r="N97" i="24"/>
  <c r="O97" i="24"/>
  <c r="P97" i="24"/>
  <c r="Q97" i="24"/>
  <c r="R97" i="24"/>
  <c r="S97" i="24"/>
  <c r="T97" i="24"/>
  <c r="U97" i="24"/>
  <c r="V97" i="24"/>
  <c r="W97" i="24"/>
  <c r="X97" i="24"/>
  <c r="Y97" i="24"/>
  <c r="Z97" i="24"/>
  <c r="AA97" i="24"/>
  <c r="AB97" i="24"/>
  <c r="AC97" i="24"/>
  <c r="AD97" i="24"/>
  <c r="AE97" i="24"/>
  <c r="AF97" i="24"/>
  <c r="AG97" i="24"/>
  <c r="AH97" i="24"/>
  <c r="AI97" i="24"/>
  <c r="D98" i="24"/>
  <c r="E98" i="24"/>
  <c r="F98" i="24"/>
  <c r="G98" i="24"/>
  <c r="H98" i="24"/>
  <c r="N98" i="24"/>
  <c r="O98" i="24"/>
  <c r="P98" i="24"/>
  <c r="Q98" i="24"/>
  <c r="R98" i="24"/>
  <c r="S98" i="24"/>
  <c r="T98" i="24"/>
  <c r="U98" i="24"/>
  <c r="V98" i="24"/>
  <c r="W98" i="24"/>
  <c r="X98" i="24"/>
  <c r="Y98" i="24"/>
  <c r="Z98" i="24"/>
  <c r="AA98" i="24"/>
  <c r="AB98" i="24"/>
  <c r="AC98" i="24"/>
  <c r="AD98" i="24"/>
  <c r="AE98" i="24"/>
  <c r="AF98" i="24"/>
  <c r="AG98" i="24"/>
  <c r="AH98" i="24"/>
  <c r="AI98" i="24"/>
  <c r="D99" i="24"/>
  <c r="E99" i="24"/>
  <c r="F99" i="24"/>
  <c r="G99" i="24"/>
  <c r="H99" i="24"/>
  <c r="N99" i="24"/>
  <c r="O99" i="24"/>
  <c r="P99" i="24"/>
  <c r="Q99" i="24"/>
  <c r="R99" i="24"/>
  <c r="S99" i="24"/>
  <c r="T99" i="24"/>
  <c r="U99" i="24"/>
  <c r="V99" i="24"/>
  <c r="W99" i="24"/>
  <c r="X99" i="24"/>
  <c r="Y99" i="24"/>
  <c r="Z99" i="24"/>
  <c r="AA99" i="24"/>
  <c r="AB99" i="24"/>
  <c r="AC99" i="24"/>
  <c r="AD99" i="24"/>
  <c r="AE99" i="24"/>
  <c r="AF99" i="24"/>
  <c r="AG99" i="24"/>
  <c r="AH99" i="24"/>
  <c r="AI99" i="24"/>
  <c r="AJ99" i="24"/>
  <c r="D100" i="24"/>
  <c r="E100" i="24"/>
  <c r="F100" i="24"/>
  <c r="G100" i="24"/>
  <c r="H100" i="24"/>
  <c r="N100" i="24"/>
  <c r="O100" i="24"/>
  <c r="P100" i="24"/>
  <c r="Q100" i="24"/>
  <c r="R100" i="24"/>
  <c r="S100" i="24"/>
  <c r="T100" i="24"/>
  <c r="U100" i="24"/>
  <c r="V100" i="24"/>
  <c r="W100" i="24"/>
  <c r="X100" i="24"/>
  <c r="Y100" i="24"/>
  <c r="Z100" i="24"/>
  <c r="AA100" i="24"/>
  <c r="AB100" i="24"/>
  <c r="AC100" i="24"/>
  <c r="AD100" i="24"/>
  <c r="AE100" i="24"/>
  <c r="AF100" i="24"/>
  <c r="AG100" i="24"/>
  <c r="AH100" i="24"/>
  <c r="AI100" i="24"/>
  <c r="AJ100" i="24"/>
  <c r="D101" i="24"/>
  <c r="E101" i="24"/>
  <c r="F101" i="24"/>
  <c r="G101" i="24"/>
  <c r="H101" i="24"/>
  <c r="N101" i="24"/>
  <c r="O101" i="24"/>
  <c r="P101" i="24"/>
  <c r="Q101" i="24"/>
  <c r="R101" i="24"/>
  <c r="S101" i="24"/>
  <c r="T101" i="24"/>
  <c r="U101" i="24"/>
  <c r="V101" i="24"/>
  <c r="W101" i="24"/>
  <c r="X101" i="24"/>
  <c r="Y101" i="24"/>
  <c r="Z101" i="24"/>
  <c r="AA101" i="24"/>
  <c r="AB101" i="24"/>
  <c r="AC101" i="24"/>
  <c r="AD101" i="24"/>
  <c r="AE101" i="24"/>
  <c r="AF101" i="24"/>
  <c r="AG101" i="24"/>
  <c r="AH101" i="24"/>
  <c r="AI101" i="24"/>
  <c r="AJ101" i="24"/>
  <c r="D102" i="24"/>
  <c r="E102" i="24"/>
  <c r="F102" i="24"/>
  <c r="G102" i="24"/>
  <c r="H102" i="24"/>
  <c r="I102" i="24"/>
  <c r="N102" i="24"/>
  <c r="O102" i="24"/>
  <c r="P102" i="24"/>
  <c r="Q102" i="24"/>
  <c r="R102" i="24"/>
  <c r="S102" i="24"/>
  <c r="T102" i="24"/>
  <c r="U102" i="24"/>
  <c r="V102" i="24"/>
  <c r="W102" i="24"/>
  <c r="X102" i="24"/>
  <c r="Y102" i="24"/>
  <c r="Z102" i="24"/>
  <c r="AA102" i="24"/>
  <c r="AB102" i="24"/>
  <c r="AC102" i="24"/>
  <c r="AD102" i="24"/>
  <c r="AE102" i="24"/>
  <c r="AF102" i="24"/>
  <c r="AG102" i="24"/>
  <c r="AH102" i="24"/>
  <c r="AI102" i="24"/>
  <c r="AJ102" i="24"/>
  <c r="AK102" i="24"/>
  <c r="D103" i="24"/>
  <c r="E103" i="24"/>
  <c r="F103" i="24"/>
  <c r="G103" i="24"/>
  <c r="H103" i="24"/>
  <c r="I103" i="24"/>
  <c r="N103" i="24"/>
  <c r="O103" i="24"/>
  <c r="P103" i="24"/>
  <c r="Q103" i="24"/>
  <c r="R103" i="24"/>
  <c r="S103" i="24"/>
  <c r="T103" i="24"/>
  <c r="U103" i="24"/>
  <c r="V103" i="24"/>
  <c r="W103" i="24"/>
  <c r="X103" i="24"/>
  <c r="Y103" i="24"/>
  <c r="Z103" i="24"/>
  <c r="AA103" i="24"/>
  <c r="AB103" i="24"/>
  <c r="AC103" i="24"/>
  <c r="AD103" i="24"/>
  <c r="AE103" i="24"/>
  <c r="AF103" i="24"/>
  <c r="AG103" i="24"/>
  <c r="AH103" i="24"/>
  <c r="AI103" i="24"/>
  <c r="AJ103" i="24"/>
  <c r="AK103" i="24"/>
  <c r="D104" i="24"/>
  <c r="E104" i="24"/>
  <c r="F104" i="24"/>
  <c r="G104" i="24"/>
  <c r="H104" i="24"/>
  <c r="I104" i="24"/>
  <c r="N104" i="24"/>
  <c r="O104" i="24"/>
  <c r="P104" i="24"/>
  <c r="Q104" i="24"/>
  <c r="R104" i="24"/>
  <c r="S104" i="24"/>
  <c r="T104" i="24"/>
  <c r="U104" i="24"/>
  <c r="V104" i="24"/>
  <c r="W104" i="24"/>
  <c r="X104" i="24"/>
  <c r="Y104" i="24"/>
  <c r="Z104" i="24"/>
  <c r="AA104" i="24"/>
  <c r="AB104" i="24"/>
  <c r="AC104" i="24"/>
  <c r="AD104" i="24"/>
  <c r="AE104" i="24"/>
  <c r="AF104" i="24"/>
  <c r="AG104" i="24"/>
  <c r="AH104" i="24"/>
  <c r="AI104" i="24"/>
  <c r="AJ104" i="24"/>
  <c r="AK104" i="24"/>
  <c r="D105" i="24"/>
  <c r="E105" i="24"/>
  <c r="F105" i="24"/>
  <c r="G105" i="24"/>
  <c r="H105" i="24"/>
  <c r="I105" i="24"/>
  <c r="N105" i="24"/>
  <c r="O105" i="24"/>
  <c r="P105" i="24"/>
  <c r="Q105" i="24"/>
  <c r="R105" i="24"/>
  <c r="S105" i="24"/>
  <c r="T105" i="24"/>
  <c r="U105" i="24"/>
  <c r="V105" i="24"/>
  <c r="W105" i="24"/>
  <c r="X105" i="24"/>
  <c r="Y105" i="24"/>
  <c r="Z105" i="24"/>
  <c r="AA105" i="24"/>
  <c r="AB105" i="24"/>
  <c r="AC105" i="24"/>
  <c r="AD105" i="24"/>
  <c r="AE105" i="24"/>
  <c r="AF105" i="24"/>
  <c r="AG105" i="24"/>
  <c r="AH105" i="24"/>
  <c r="AI105" i="24"/>
  <c r="AJ105" i="24"/>
  <c r="AK105" i="24"/>
  <c r="AL105" i="24"/>
  <c r="D106" i="24"/>
  <c r="E106" i="24"/>
  <c r="F106" i="24"/>
  <c r="G106" i="24"/>
  <c r="H106" i="24"/>
  <c r="I106" i="24"/>
  <c r="N106" i="24"/>
  <c r="O106" i="24"/>
  <c r="P106" i="24"/>
  <c r="Q106" i="24"/>
  <c r="R106" i="24"/>
  <c r="S106" i="24"/>
  <c r="T106" i="24"/>
  <c r="U106" i="24"/>
  <c r="V106" i="24"/>
  <c r="W106" i="24"/>
  <c r="X106" i="24"/>
  <c r="Y106" i="24"/>
  <c r="Z106" i="24"/>
  <c r="AA106" i="24"/>
  <c r="AB106" i="24"/>
  <c r="AC106" i="24"/>
  <c r="AD106" i="24"/>
  <c r="AE106" i="24"/>
  <c r="AF106" i="24"/>
  <c r="AG106" i="24"/>
  <c r="AH106" i="24"/>
  <c r="AI106" i="24"/>
  <c r="AJ106" i="24"/>
  <c r="AK106" i="24"/>
  <c r="AL106" i="24"/>
  <c r="D107" i="24"/>
  <c r="E107" i="24"/>
  <c r="F107" i="24"/>
  <c r="G107" i="24"/>
  <c r="H107" i="24"/>
  <c r="I107" i="24"/>
  <c r="N107" i="24"/>
  <c r="O107" i="24"/>
  <c r="P107" i="24"/>
  <c r="Q107" i="24"/>
  <c r="R107" i="24"/>
  <c r="S107" i="24"/>
  <c r="T107" i="24"/>
  <c r="U107" i="24"/>
  <c r="V107" i="24"/>
  <c r="W107" i="24"/>
  <c r="X107" i="24"/>
  <c r="Y107" i="24"/>
  <c r="Z107" i="24"/>
  <c r="AA107" i="24"/>
  <c r="AB107" i="24"/>
  <c r="AC107" i="24"/>
  <c r="AD107" i="24"/>
  <c r="AE107" i="24"/>
  <c r="AF107" i="24"/>
  <c r="AG107" i="24"/>
  <c r="AH107" i="24"/>
  <c r="AI107" i="24"/>
  <c r="AJ107" i="24"/>
  <c r="AK107" i="24"/>
  <c r="AL107" i="24"/>
  <c r="D108" i="24"/>
  <c r="E108" i="24"/>
  <c r="F108" i="24"/>
  <c r="G108" i="24"/>
  <c r="H108" i="24"/>
  <c r="I108" i="24"/>
  <c r="N108" i="24"/>
  <c r="O108" i="24"/>
  <c r="P108" i="24"/>
  <c r="Q108" i="24"/>
  <c r="R108" i="24"/>
  <c r="S108" i="24"/>
  <c r="T108" i="24"/>
  <c r="U108" i="24"/>
  <c r="V108" i="24"/>
  <c r="W108" i="24"/>
  <c r="X108" i="24"/>
  <c r="Y108" i="24"/>
  <c r="Z108" i="24"/>
  <c r="AA108" i="24"/>
  <c r="AB108" i="24"/>
  <c r="AC108" i="24"/>
  <c r="AD108" i="24"/>
  <c r="AE108" i="24"/>
  <c r="AF108" i="24"/>
  <c r="AG108" i="24"/>
  <c r="AH108" i="24"/>
  <c r="AI108" i="24"/>
  <c r="AJ108" i="24"/>
  <c r="AK108" i="24"/>
  <c r="AL108" i="24"/>
  <c r="AM108" i="24"/>
  <c r="D109" i="24"/>
  <c r="E109" i="24"/>
  <c r="F109" i="24"/>
  <c r="G109" i="24"/>
  <c r="H109" i="24"/>
  <c r="I109" i="24"/>
  <c r="N109" i="24"/>
  <c r="O109" i="24"/>
  <c r="P109" i="24"/>
  <c r="Q109" i="24"/>
  <c r="R109" i="24"/>
  <c r="S109" i="24"/>
  <c r="T109" i="24"/>
  <c r="U109" i="24"/>
  <c r="V109" i="24"/>
  <c r="W109" i="24"/>
  <c r="X109" i="24"/>
  <c r="Y109" i="24"/>
  <c r="Z109" i="24"/>
  <c r="AA109" i="24"/>
  <c r="AB109" i="24"/>
  <c r="AC109" i="24"/>
  <c r="AD109" i="24"/>
  <c r="AE109" i="24"/>
  <c r="AF109" i="24"/>
  <c r="AG109" i="24"/>
  <c r="AH109" i="24"/>
  <c r="AI109" i="24"/>
  <c r="AJ109" i="24"/>
  <c r="AK109" i="24"/>
  <c r="AL109" i="24"/>
  <c r="AM109" i="24"/>
  <c r="D110" i="24"/>
  <c r="E110" i="24"/>
  <c r="F110" i="24"/>
  <c r="G110" i="24"/>
  <c r="H110" i="24"/>
  <c r="I110" i="24"/>
  <c r="N110" i="24"/>
  <c r="O110" i="24"/>
  <c r="P110" i="24"/>
  <c r="Q110" i="24"/>
  <c r="R110" i="24"/>
  <c r="S110" i="24"/>
  <c r="T110" i="24"/>
  <c r="U110" i="24"/>
  <c r="V110" i="24"/>
  <c r="W110" i="24"/>
  <c r="X110" i="24"/>
  <c r="Y110" i="24"/>
  <c r="Z110" i="24"/>
  <c r="AA110" i="24"/>
  <c r="AB110" i="24"/>
  <c r="AC110" i="24"/>
  <c r="AD110" i="24"/>
  <c r="AE110" i="24"/>
  <c r="AF110" i="24"/>
  <c r="AG110" i="24"/>
  <c r="AH110" i="24"/>
  <c r="AI110" i="24"/>
  <c r="AJ110" i="24"/>
  <c r="AK110" i="24"/>
  <c r="AL110" i="24"/>
  <c r="AM110" i="24"/>
  <c r="D111" i="24"/>
  <c r="E111" i="24"/>
  <c r="F111" i="24"/>
  <c r="G111" i="24"/>
  <c r="H111" i="24"/>
  <c r="I111" i="24"/>
  <c r="N111" i="24"/>
  <c r="O111" i="24"/>
  <c r="P111" i="24"/>
  <c r="Q111" i="24"/>
  <c r="R111" i="24"/>
  <c r="S111" i="24"/>
  <c r="T111" i="24"/>
  <c r="U111" i="24"/>
  <c r="V111" i="24"/>
  <c r="W111" i="24"/>
  <c r="X111" i="24"/>
  <c r="Y111" i="24"/>
  <c r="Z111" i="24"/>
  <c r="AA111" i="24"/>
  <c r="AB111" i="24"/>
  <c r="AC111" i="24"/>
  <c r="AD111" i="24"/>
  <c r="AE111" i="24"/>
  <c r="AF111" i="24"/>
  <c r="AG111" i="24"/>
  <c r="AH111" i="24"/>
  <c r="AI111" i="24"/>
  <c r="AJ111" i="24"/>
  <c r="AK111" i="24"/>
  <c r="AL111" i="24"/>
  <c r="AM111" i="24"/>
  <c r="AN111" i="24"/>
  <c r="D112" i="24"/>
  <c r="E112" i="24"/>
  <c r="F112" i="24"/>
  <c r="G112" i="24"/>
  <c r="H112" i="24"/>
  <c r="I112" i="24"/>
  <c r="N112" i="24"/>
  <c r="O112" i="24"/>
  <c r="P112" i="24"/>
  <c r="Q112" i="24"/>
  <c r="R112" i="24"/>
  <c r="S112" i="24"/>
  <c r="T112" i="24"/>
  <c r="U112" i="24"/>
  <c r="V112" i="24"/>
  <c r="W112" i="24"/>
  <c r="X112" i="24"/>
  <c r="Y112" i="24"/>
  <c r="Z112" i="24"/>
  <c r="AA112" i="24"/>
  <c r="AB112" i="24"/>
  <c r="AC112" i="24"/>
  <c r="AD112" i="24"/>
  <c r="AE112" i="24"/>
  <c r="AF112" i="24"/>
  <c r="AG112" i="24"/>
  <c r="AH112" i="24"/>
  <c r="AI112" i="24"/>
  <c r="AJ112" i="24"/>
  <c r="AK112" i="24"/>
  <c r="AL112" i="24"/>
  <c r="AM112" i="24"/>
  <c r="AN112" i="24"/>
  <c r="D113" i="24"/>
  <c r="E113" i="24"/>
  <c r="F113" i="24"/>
  <c r="G113" i="24"/>
  <c r="H113" i="24"/>
  <c r="I113" i="24"/>
  <c r="N113" i="24"/>
  <c r="O113" i="24"/>
  <c r="P113" i="24"/>
  <c r="Q113" i="24"/>
  <c r="R113" i="24"/>
  <c r="S113" i="24"/>
  <c r="T113" i="24"/>
  <c r="U113" i="24"/>
  <c r="V113" i="24"/>
  <c r="W113" i="24"/>
  <c r="X113" i="24"/>
  <c r="Y113" i="24"/>
  <c r="Z113" i="24"/>
  <c r="AA113" i="24"/>
  <c r="AB113" i="24"/>
  <c r="AC113" i="24"/>
  <c r="AD113" i="24"/>
  <c r="AE113" i="24"/>
  <c r="AF113" i="24"/>
  <c r="AG113" i="24"/>
  <c r="AH113" i="24"/>
  <c r="AI113" i="24"/>
  <c r="AJ113" i="24"/>
  <c r="AK113" i="24"/>
  <c r="AL113" i="24"/>
  <c r="AM113" i="24"/>
  <c r="AN113" i="24"/>
  <c r="D114" i="24"/>
  <c r="E114" i="24"/>
  <c r="F114" i="24"/>
  <c r="G114" i="24"/>
  <c r="H114" i="24"/>
  <c r="I114" i="24"/>
  <c r="J114" i="24"/>
  <c r="N114" i="24"/>
  <c r="O114" i="24"/>
  <c r="P114" i="24"/>
  <c r="Q114" i="24"/>
  <c r="R114" i="24"/>
  <c r="S114" i="24"/>
  <c r="T114" i="24"/>
  <c r="U114" i="24"/>
  <c r="V114" i="24"/>
  <c r="W114" i="24"/>
  <c r="X114" i="24"/>
  <c r="Y114" i="24"/>
  <c r="Z114" i="24"/>
  <c r="AA114" i="24"/>
  <c r="AB114" i="24"/>
  <c r="AC114" i="24"/>
  <c r="AD114" i="24"/>
  <c r="AE114" i="24"/>
  <c r="AF114" i="24"/>
  <c r="AG114" i="24"/>
  <c r="AH114" i="24"/>
  <c r="AI114" i="24"/>
  <c r="AJ114" i="24"/>
  <c r="AK114" i="24"/>
  <c r="AL114" i="24"/>
  <c r="AM114" i="24"/>
  <c r="AN114" i="24"/>
  <c r="AO114" i="24"/>
  <c r="D115" i="24"/>
  <c r="E115" i="24"/>
  <c r="F115" i="24"/>
  <c r="G115" i="24"/>
  <c r="H115" i="24"/>
  <c r="I115" i="24"/>
  <c r="J115" i="24"/>
  <c r="N115" i="24"/>
  <c r="O115" i="24"/>
  <c r="P115" i="24"/>
  <c r="Q115" i="24"/>
  <c r="R115" i="24"/>
  <c r="S115" i="24"/>
  <c r="T115" i="24"/>
  <c r="U115" i="24"/>
  <c r="V115" i="24"/>
  <c r="W115" i="24"/>
  <c r="X115" i="24"/>
  <c r="Y115" i="24"/>
  <c r="Z115" i="24"/>
  <c r="AA115" i="24"/>
  <c r="AB115" i="24"/>
  <c r="AC115" i="24"/>
  <c r="AD115" i="24"/>
  <c r="AE115" i="24"/>
  <c r="AF115" i="24"/>
  <c r="AG115" i="24"/>
  <c r="AH115" i="24"/>
  <c r="AI115" i="24"/>
  <c r="AJ115" i="24"/>
  <c r="AK115" i="24"/>
  <c r="AL115" i="24"/>
  <c r="AM115" i="24"/>
  <c r="AN115" i="24"/>
  <c r="AO115" i="24"/>
  <c r="D116" i="24"/>
  <c r="E116" i="24"/>
  <c r="F116" i="24"/>
  <c r="G116" i="24"/>
  <c r="H116" i="24"/>
  <c r="I116" i="24"/>
  <c r="J116" i="24"/>
  <c r="N116" i="24"/>
  <c r="O116" i="24"/>
  <c r="P116" i="24"/>
  <c r="Q116" i="24"/>
  <c r="R116" i="24"/>
  <c r="S116" i="24"/>
  <c r="T116" i="24"/>
  <c r="U116" i="24"/>
  <c r="V116" i="24"/>
  <c r="W116" i="24"/>
  <c r="X116" i="24"/>
  <c r="Y116" i="24"/>
  <c r="Z116" i="24"/>
  <c r="AA116" i="24"/>
  <c r="AB116" i="24"/>
  <c r="AC116" i="24"/>
  <c r="AD116" i="24"/>
  <c r="AE116" i="24"/>
  <c r="AF116" i="24"/>
  <c r="AG116" i="24"/>
  <c r="AH116" i="24"/>
  <c r="AI116" i="24"/>
  <c r="AJ116" i="24"/>
  <c r="AK116" i="24"/>
  <c r="AL116" i="24"/>
  <c r="AM116" i="24"/>
  <c r="AN116" i="24"/>
  <c r="AO116" i="24"/>
  <c r="D117" i="24"/>
  <c r="E117" i="24"/>
  <c r="F117" i="24"/>
  <c r="G117" i="24"/>
  <c r="H117" i="24"/>
  <c r="I117" i="24"/>
  <c r="J117" i="24"/>
  <c r="N117" i="24"/>
  <c r="O117" i="24"/>
  <c r="P117" i="24"/>
  <c r="Q117" i="24"/>
  <c r="R117" i="24"/>
  <c r="S117" i="24"/>
  <c r="T117" i="24"/>
  <c r="U117" i="24"/>
  <c r="V117" i="24"/>
  <c r="W117" i="24"/>
  <c r="X117" i="24"/>
  <c r="Y117" i="24"/>
  <c r="Z117" i="24"/>
  <c r="AA117" i="24"/>
  <c r="AB117" i="24"/>
  <c r="AC117" i="24"/>
  <c r="AD117" i="24"/>
  <c r="AE117" i="24"/>
  <c r="AF117" i="24"/>
  <c r="AG117" i="24"/>
  <c r="AH117" i="24"/>
  <c r="AI117" i="24"/>
  <c r="AJ117" i="24"/>
  <c r="AK117" i="24"/>
  <c r="AL117" i="24"/>
  <c r="AM117" i="24"/>
  <c r="AN117" i="24"/>
  <c r="AO117" i="24"/>
  <c r="AP117" i="24"/>
  <c r="D118" i="24"/>
  <c r="E118" i="24"/>
  <c r="F118" i="24"/>
  <c r="G118" i="24"/>
  <c r="H118" i="24"/>
  <c r="I118" i="24"/>
  <c r="J118" i="24"/>
  <c r="N118" i="24"/>
  <c r="O118" i="24"/>
  <c r="P118" i="24"/>
  <c r="Q118" i="24"/>
  <c r="R118" i="24"/>
  <c r="S118" i="24"/>
  <c r="T118" i="24"/>
  <c r="U118" i="24"/>
  <c r="V118" i="24"/>
  <c r="W118" i="24"/>
  <c r="X118" i="24"/>
  <c r="Y118" i="24"/>
  <c r="Z118" i="24"/>
  <c r="AA118" i="24"/>
  <c r="AB118" i="24"/>
  <c r="AC118" i="24"/>
  <c r="AD118" i="24"/>
  <c r="AE118" i="24"/>
  <c r="AF118" i="24"/>
  <c r="AG118" i="24"/>
  <c r="AH118" i="24"/>
  <c r="AI118" i="24"/>
  <c r="AJ118" i="24"/>
  <c r="AK118" i="24"/>
  <c r="AL118" i="24"/>
  <c r="AM118" i="24"/>
  <c r="AN118" i="24"/>
  <c r="AO118" i="24"/>
  <c r="AP118" i="24"/>
  <c r="D119" i="24"/>
  <c r="E119" i="24"/>
  <c r="F119" i="24"/>
  <c r="G119" i="24"/>
  <c r="H119" i="24"/>
  <c r="I119" i="24"/>
  <c r="J119" i="24"/>
  <c r="N119" i="24"/>
  <c r="O119" i="24"/>
  <c r="P119" i="24"/>
  <c r="Q119" i="24"/>
  <c r="R119" i="24"/>
  <c r="S119" i="24"/>
  <c r="T119" i="24"/>
  <c r="U119" i="24"/>
  <c r="V119" i="24"/>
  <c r="W119" i="24"/>
  <c r="X119" i="24"/>
  <c r="Y119" i="24"/>
  <c r="Z119" i="24"/>
  <c r="AA119" i="24"/>
  <c r="AB119" i="24"/>
  <c r="AC119" i="24"/>
  <c r="AD119" i="24"/>
  <c r="AE119" i="24"/>
  <c r="AF119" i="24"/>
  <c r="AG119" i="24"/>
  <c r="AH119" i="24"/>
  <c r="AI119" i="24"/>
  <c r="AJ119" i="24"/>
  <c r="AK119" i="24"/>
  <c r="AL119" i="24"/>
  <c r="AM119" i="24"/>
  <c r="AN119" i="24"/>
  <c r="AO119" i="24"/>
  <c r="AP119" i="24"/>
  <c r="D120" i="24"/>
  <c r="E120" i="24"/>
  <c r="F120" i="24"/>
  <c r="G120" i="24"/>
  <c r="H120" i="24"/>
  <c r="I120" i="24"/>
  <c r="J120" i="24"/>
  <c r="N120" i="24"/>
  <c r="O120" i="24"/>
  <c r="P120" i="24"/>
  <c r="Q120" i="24"/>
  <c r="R120" i="24"/>
  <c r="S120" i="24"/>
  <c r="T120" i="24"/>
  <c r="U120" i="24"/>
  <c r="V120" i="24"/>
  <c r="W120" i="24"/>
  <c r="X120" i="24"/>
  <c r="Y120" i="24"/>
  <c r="Z120" i="24"/>
  <c r="AA120" i="24"/>
  <c r="AB120" i="24"/>
  <c r="AC120" i="24"/>
  <c r="AD120" i="24"/>
  <c r="AE120" i="24"/>
  <c r="AF120" i="24"/>
  <c r="AG120" i="24"/>
  <c r="AH120" i="24"/>
  <c r="AI120" i="24"/>
  <c r="AJ120" i="24"/>
  <c r="AK120" i="24"/>
  <c r="AL120" i="24"/>
  <c r="AM120" i="24"/>
  <c r="AN120" i="24"/>
  <c r="AO120" i="24"/>
  <c r="AP120" i="24"/>
  <c r="AQ120" i="24"/>
  <c r="D121" i="24"/>
  <c r="E121" i="24"/>
  <c r="F121" i="24"/>
  <c r="G121" i="24"/>
  <c r="H121" i="24"/>
  <c r="I121" i="24"/>
  <c r="J121" i="24"/>
  <c r="N121" i="24"/>
  <c r="O121" i="24"/>
  <c r="P121" i="24"/>
  <c r="Q121" i="24"/>
  <c r="R121" i="24"/>
  <c r="S121" i="24"/>
  <c r="T121" i="24"/>
  <c r="U121" i="24"/>
  <c r="V121" i="24"/>
  <c r="W121" i="24"/>
  <c r="X121" i="24"/>
  <c r="Y121" i="24"/>
  <c r="Z121" i="24"/>
  <c r="AA121" i="24"/>
  <c r="AB121" i="24"/>
  <c r="AC121" i="24"/>
  <c r="AD121" i="24"/>
  <c r="AE121" i="24"/>
  <c r="AF121" i="24"/>
  <c r="AG121" i="24"/>
  <c r="AH121" i="24"/>
  <c r="AI121" i="24"/>
  <c r="AJ121" i="24"/>
  <c r="AK121" i="24"/>
  <c r="AL121" i="24"/>
  <c r="AM121" i="24"/>
  <c r="AN121" i="24"/>
  <c r="AO121" i="24"/>
  <c r="AP121" i="24"/>
  <c r="AQ121" i="24"/>
  <c r="D122" i="24"/>
  <c r="E122" i="24"/>
  <c r="F122" i="24"/>
  <c r="G122" i="24"/>
  <c r="H122" i="24"/>
  <c r="I122" i="24"/>
  <c r="J122" i="24"/>
  <c r="N122" i="24"/>
  <c r="O122" i="24"/>
  <c r="P122" i="24"/>
  <c r="Q122" i="24"/>
  <c r="R122" i="24"/>
  <c r="S122" i="24"/>
  <c r="T122" i="24"/>
  <c r="U122" i="24"/>
  <c r="V122" i="24"/>
  <c r="W122" i="24"/>
  <c r="X122" i="24"/>
  <c r="Y122" i="24"/>
  <c r="Z122" i="24"/>
  <c r="AA122" i="24"/>
  <c r="AB122" i="24"/>
  <c r="AC122" i="24"/>
  <c r="AD122" i="24"/>
  <c r="AE122" i="24"/>
  <c r="AF122" i="24"/>
  <c r="AG122" i="24"/>
  <c r="AH122" i="24"/>
  <c r="AI122" i="24"/>
  <c r="AJ122" i="24"/>
  <c r="AK122" i="24"/>
  <c r="AL122" i="24"/>
  <c r="AM122" i="24"/>
  <c r="AN122" i="24"/>
  <c r="AO122" i="24"/>
  <c r="AP122" i="24"/>
  <c r="AQ122" i="24"/>
  <c r="D123" i="24"/>
  <c r="E123" i="24"/>
  <c r="F123" i="24"/>
  <c r="G123" i="24"/>
  <c r="H123" i="24"/>
  <c r="I123" i="24"/>
  <c r="J123" i="24"/>
  <c r="N123" i="24"/>
  <c r="O123" i="24"/>
  <c r="P123" i="24"/>
  <c r="Q123" i="24"/>
  <c r="R123" i="24"/>
  <c r="S123" i="24"/>
  <c r="T123" i="24"/>
  <c r="U123" i="24"/>
  <c r="V123" i="24"/>
  <c r="W123" i="24"/>
  <c r="X123" i="24"/>
  <c r="Y123" i="24"/>
  <c r="Z123" i="24"/>
  <c r="AA123" i="24"/>
  <c r="AB123" i="24"/>
  <c r="AC123" i="24"/>
  <c r="AD123" i="24"/>
  <c r="AE123" i="24"/>
  <c r="AF123" i="24"/>
  <c r="AG123" i="24"/>
  <c r="AH123" i="24"/>
  <c r="AI123" i="24"/>
  <c r="AJ123" i="24"/>
  <c r="AK123" i="24"/>
  <c r="AL123" i="24"/>
  <c r="AM123" i="24"/>
  <c r="AN123" i="24"/>
  <c r="AO123" i="24"/>
  <c r="AP123" i="24"/>
  <c r="AQ123" i="24"/>
  <c r="AR123" i="24"/>
  <c r="D124" i="24"/>
  <c r="E124" i="24"/>
  <c r="F124" i="24"/>
  <c r="G124" i="24"/>
  <c r="H124" i="24"/>
  <c r="I124" i="24"/>
  <c r="J124" i="24"/>
  <c r="N124" i="24"/>
  <c r="O124" i="24"/>
  <c r="P124" i="24"/>
  <c r="Q124" i="24"/>
  <c r="R124" i="24"/>
  <c r="S124" i="24"/>
  <c r="T124" i="24"/>
  <c r="U124" i="24"/>
  <c r="U126" i="24" s="1"/>
  <c r="V124" i="24"/>
  <c r="W124" i="24"/>
  <c r="X124" i="24"/>
  <c r="Y124" i="24"/>
  <c r="Z124" i="24"/>
  <c r="AA124" i="24"/>
  <c r="AB124" i="24"/>
  <c r="AC124" i="24"/>
  <c r="AD124" i="24"/>
  <c r="AE124" i="24"/>
  <c r="AF124" i="24"/>
  <c r="AG124" i="24"/>
  <c r="AH124" i="24"/>
  <c r="AI124" i="24"/>
  <c r="AJ124" i="24"/>
  <c r="AK124" i="24"/>
  <c r="AL124" i="24"/>
  <c r="AM124" i="24"/>
  <c r="AN124" i="24"/>
  <c r="AO124" i="24"/>
  <c r="AP124" i="24"/>
  <c r="AQ124" i="24"/>
  <c r="AR124" i="24"/>
  <c r="D125" i="24"/>
  <c r="E125" i="24"/>
  <c r="E126" i="24" s="1"/>
  <c r="F125" i="24"/>
  <c r="G125" i="24"/>
  <c r="H125" i="24"/>
  <c r="I125" i="24"/>
  <c r="J125" i="24"/>
  <c r="N125" i="24"/>
  <c r="O125" i="24"/>
  <c r="P125" i="24"/>
  <c r="Q125" i="24"/>
  <c r="Q126" i="24" s="1"/>
  <c r="R125" i="24"/>
  <c r="R126" i="24" s="1"/>
  <c r="S125" i="24"/>
  <c r="T125" i="24"/>
  <c r="U125" i="24"/>
  <c r="V125" i="24"/>
  <c r="W125" i="24"/>
  <c r="X125" i="24"/>
  <c r="Y125" i="24"/>
  <c r="Y126" i="24" s="1"/>
  <c r="Z125" i="24"/>
  <c r="AA125" i="24"/>
  <c r="AB125" i="24"/>
  <c r="AC125" i="24"/>
  <c r="AD125" i="24"/>
  <c r="AE125" i="24"/>
  <c r="AF125" i="24"/>
  <c r="AG125" i="24"/>
  <c r="AH125" i="24"/>
  <c r="AI125" i="24"/>
  <c r="AJ125" i="24"/>
  <c r="AK125" i="24"/>
  <c r="AL125" i="24"/>
  <c r="AM125" i="24"/>
  <c r="AN125" i="24"/>
  <c r="AO125" i="24"/>
  <c r="AP125" i="24"/>
  <c r="AQ125" i="24"/>
  <c r="AR125" i="24"/>
  <c r="D126" i="24"/>
  <c r="F126" i="24"/>
  <c r="N126" i="24"/>
  <c r="O126" i="24"/>
  <c r="P126" i="24"/>
  <c r="S126" i="24"/>
  <c r="T126" i="24"/>
  <c r="V126" i="24"/>
  <c r="W126" i="24"/>
  <c r="X126" i="24"/>
  <c r="AY126" i="24"/>
  <c r="AZ126" i="24"/>
  <c r="BA126" i="24"/>
  <c r="BB126" i="24"/>
  <c r="BC126" i="24"/>
  <c r="BD126" i="24"/>
  <c r="BE126" i="24"/>
  <c r="BF126" i="24"/>
  <c r="BG126" i="24"/>
  <c r="BH126" i="24"/>
  <c r="BI126" i="24"/>
  <c r="BJ126" i="24"/>
  <c r="BK126" i="24"/>
  <c r="BL126" i="24"/>
  <c r="BM126" i="24"/>
  <c r="BN126" i="24"/>
  <c r="BO126" i="24"/>
  <c r="BP126" i="24"/>
  <c r="BQ126" i="24"/>
  <c r="BR126" i="24"/>
  <c r="BS126" i="24"/>
  <c r="BT126" i="24"/>
  <c r="BU126" i="24"/>
  <c r="BV126" i="24"/>
  <c r="BW126" i="24"/>
  <c r="BX126" i="24"/>
  <c r="BY126" i="24"/>
  <c r="BZ126" i="24"/>
  <c r="CA126" i="24"/>
  <c r="CB126" i="24"/>
  <c r="CC126" i="24"/>
  <c r="CD126" i="24"/>
  <c r="CE126" i="24"/>
  <c r="CF126" i="24"/>
  <c r="CG126" i="24"/>
  <c r="CH126" i="24"/>
  <c r="K4" i="9"/>
  <c r="K11" i="9" s="1"/>
  <c r="U4" i="9"/>
  <c r="I5" i="9"/>
  <c r="S5" i="9" s="1"/>
  <c r="J5" i="9"/>
  <c r="I6" i="9"/>
  <c r="J6" i="9"/>
  <c r="M6" i="9"/>
  <c r="M7" i="9"/>
  <c r="K8" i="9"/>
  <c r="U8" i="9" s="1"/>
  <c r="P8" i="9"/>
  <c r="V8" i="9"/>
  <c r="M9" i="9"/>
  <c r="S9" i="9"/>
  <c r="V9" i="9"/>
  <c r="M17" i="9"/>
  <c r="P17" i="9"/>
  <c r="M18" i="9"/>
  <c r="P18" i="9"/>
  <c r="I19" i="9"/>
  <c r="J19" i="9"/>
  <c r="M19" i="9"/>
  <c r="P19" i="9"/>
  <c r="I20" i="9"/>
  <c r="J20" i="9"/>
  <c r="M20" i="9" s="1"/>
  <c r="P20" i="9"/>
  <c r="I21" i="9"/>
  <c r="I8" i="9" s="1"/>
  <c r="J21" i="9"/>
  <c r="J8" i="9" s="1"/>
  <c r="I22" i="9"/>
  <c r="J22" i="9"/>
  <c r="M22" i="9"/>
  <c r="P22" i="9"/>
  <c r="M23" i="9"/>
  <c r="M24" i="9"/>
  <c r="M25" i="9"/>
  <c r="M26" i="9"/>
  <c r="M27" i="9"/>
  <c r="I29" i="9"/>
  <c r="S6" i="9" s="1"/>
  <c r="K29" i="9"/>
  <c r="U9" i="9" s="1"/>
  <c r="L29" i="9"/>
  <c r="L4" i="9" s="1"/>
  <c r="P29" i="9"/>
  <c r="P31" i="9" s="1"/>
  <c r="M30" i="9"/>
  <c r="N30" i="9" s="1"/>
  <c r="K31" i="9"/>
  <c r="I33" i="9"/>
  <c r="J33" i="9"/>
  <c r="B12" i="4"/>
  <c r="C12" i="4"/>
  <c r="D12" i="4"/>
  <c r="B13" i="4"/>
  <c r="C13" i="4"/>
  <c r="D13" i="4"/>
  <c r="B14" i="4"/>
  <c r="C14" i="4"/>
  <c r="D14" i="4"/>
  <c r="B15" i="4"/>
  <c r="C15" i="4"/>
  <c r="D15" i="4"/>
  <c r="B16" i="4"/>
  <c r="C16" i="4"/>
  <c r="D16" i="4"/>
  <c r="B17" i="4"/>
  <c r="C17" i="4"/>
  <c r="D17" i="4"/>
  <c r="B20" i="4"/>
  <c r="C20" i="4"/>
  <c r="D20" i="4"/>
  <c r="B21" i="4"/>
  <c r="C21" i="4"/>
  <c r="D21" i="4"/>
  <c r="B22" i="4"/>
  <c r="C22" i="4"/>
  <c r="D22" i="4"/>
  <c r="B25" i="4"/>
  <c r="C25" i="4"/>
  <c r="D25" i="4"/>
  <c r="B26" i="4"/>
  <c r="C26" i="4"/>
  <c r="D26" i="4"/>
  <c r="B27" i="4"/>
  <c r="C27" i="4"/>
  <c r="D27" i="4"/>
  <c r="B28" i="4"/>
  <c r="C28" i="4"/>
  <c r="D28" i="4"/>
  <c r="B31" i="4"/>
  <c r="C31" i="4"/>
  <c r="D31" i="4"/>
  <c r="B32" i="4"/>
  <c r="C32" i="4"/>
  <c r="D32" i="4"/>
  <c r="B33" i="4"/>
  <c r="C33" i="4"/>
  <c r="D33" i="4"/>
  <c r="B34" i="4"/>
  <c r="C34" i="4"/>
  <c r="D34" i="4"/>
  <c r="B36" i="4"/>
  <c r="C36" i="4"/>
  <c r="D36" i="4"/>
  <c r="B42" i="4"/>
  <c r="C42" i="4"/>
  <c r="D42" i="4"/>
  <c r="B43" i="4"/>
  <c r="C43" i="4"/>
  <c r="D43" i="4"/>
  <c r="B44" i="4"/>
  <c r="C44" i="4"/>
  <c r="D44" i="4"/>
  <c r="B45" i="4"/>
  <c r="C45" i="4"/>
  <c r="D45" i="4"/>
  <c r="B46" i="4"/>
  <c r="C46" i="4"/>
  <c r="D46" i="4"/>
  <c r="B47" i="4"/>
  <c r="C47" i="4"/>
  <c r="D47" i="4"/>
  <c r="B50" i="4"/>
  <c r="C50" i="4"/>
  <c r="D50" i="4"/>
  <c r="B51" i="4"/>
  <c r="C51" i="4"/>
  <c r="D51" i="4"/>
  <c r="B54" i="4"/>
  <c r="C54" i="4"/>
  <c r="D54" i="4"/>
  <c r="B55" i="4"/>
  <c r="C55" i="4"/>
  <c r="D55" i="4"/>
  <c r="B56" i="4"/>
  <c r="C56" i="4"/>
  <c r="D56" i="4"/>
  <c r="B57" i="4"/>
  <c r="C57" i="4"/>
  <c r="D57" i="4"/>
  <c r="B58" i="4"/>
  <c r="C58" i="4"/>
  <c r="D58" i="4"/>
  <c r="B59" i="4"/>
  <c r="C59" i="4"/>
  <c r="D59" i="4"/>
  <c r="B60" i="4"/>
  <c r="C60" i="4"/>
  <c r="D60" i="4"/>
  <c r="B62" i="4"/>
  <c r="C62" i="4"/>
  <c r="D62" i="4"/>
  <c r="B66" i="4"/>
  <c r="C66" i="4"/>
  <c r="D66" i="4"/>
  <c r="F66" i="4"/>
  <c r="G66" i="4"/>
  <c r="H66" i="4"/>
  <c r="I66" i="4"/>
  <c r="J66" i="4"/>
  <c r="K66" i="4"/>
  <c r="L66" i="4"/>
  <c r="M66" i="4"/>
  <c r="N66" i="4"/>
  <c r="O66" i="4"/>
  <c r="P66" i="4"/>
  <c r="Q66" i="4"/>
  <c r="R66" i="4"/>
  <c r="S66" i="4"/>
  <c r="T66" i="4"/>
  <c r="U66" i="4"/>
  <c r="V66" i="4"/>
  <c r="W66" i="4"/>
  <c r="X66" i="4"/>
  <c r="Y66" i="4"/>
  <c r="Z66" i="4"/>
  <c r="AA66" i="4"/>
  <c r="AB66" i="4"/>
  <c r="AC66" i="4"/>
  <c r="AD66" i="4"/>
  <c r="AE66" i="4"/>
  <c r="AF66" i="4"/>
  <c r="AG66" i="4"/>
  <c r="AH66" i="4"/>
  <c r="AI66" i="4"/>
  <c r="AJ66" i="4"/>
  <c r="AK66" i="4"/>
  <c r="AL66" i="4"/>
  <c r="AM66" i="4"/>
  <c r="AN66" i="4"/>
  <c r="AO66" i="4"/>
  <c r="AP66" i="4"/>
  <c r="AQ66" i="4"/>
  <c r="AR66" i="4"/>
  <c r="B68" i="4"/>
  <c r="C68" i="4"/>
  <c r="D68" i="4"/>
  <c r="F68" i="4"/>
  <c r="G68" i="4"/>
  <c r="H68" i="4"/>
  <c r="I68" i="4"/>
  <c r="J68" i="4"/>
  <c r="K68" i="4"/>
  <c r="L68" i="4"/>
  <c r="M68" i="4"/>
  <c r="N68" i="4"/>
  <c r="O68" i="4"/>
  <c r="P68" i="4"/>
  <c r="Q68" i="4"/>
  <c r="R68" i="4"/>
  <c r="S68" i="4"/>
  <c r="T68" i="4"/>
  <c r="U68" i="4"/>
  <c r="V68" i="4"/>
  <c r="W68" i="4"/>
  <c r="X68" i="4"/>
  <c r="Y68" i="4"/>
  <c r="Z68" i="4"/>
  <c r="AA68" i="4"/>
  <c r="AB68" i="4"/>
  <c r="AC68" i="4"/>
  <c r="AD68" i="4"/>
  <c r="AE68" i="4"/>
  <c r="AF68" i="4"/>
  <c r="AG68" i="4"/>
  <c r="AH68" i="4"/>
  <c r="AI68" i="4"/>
  <c r="AJ68" i="4"/>
  <c r="AK68" i="4"/>
  <c r="AL68" i="4"/>
  <c r="AM68" i="4"/>
  <c r="AN68" i="4"/>
  <c r="AO68" i="4"/>
  <c r="AP68" i="4"/>
  <c r="AQ68" i="4"/>
  <c r="AR68" i="4"/>
  <c r="CO11" i="21"/>
  <c r="AB11" i="21" s="1"/>
  <c r="CP11" i="21"/>
  <c r="CQ11" i="21"/>
  <c r="CR11" i="21"/>
  <c r="AC11" i="21" s="1"/>
  <c r="CS11" i="21"/>
  <c r="CT11" i="21"/>
  <c r="CO12" i="21"/>
  <c r="AB12" i="21" s="1"/>
  <c r="CP12" i="21"/>
  <c r="CQ12" i="21"/>
  <c r="CR12" i="21"/>
  <c r="CS12" i="21"/>
  <c r="AC12" i="21" s="1"/>
  <c r="CT12" i="21"/>
  <c r="I22" i="21"/>
  <c r="J22" i="21" s="1"/>
  <c r="CU22" i="21"/>
  <c r="CV22" i="21"/>
  <c r="CW22" i="21"/>
  <c r="CX22" i="21"/>
  <c r="CY22" i="21"/>
  <c r="CZ22" i="21"/>
  <c r="DA22" i="21"/>
  <c r="DB22" i="21"/>
  <c r="DC22" i="21"/>
  <c r="DD22" i="21"/>
  <c r="DE22" i="21"/>
  <c r="DF22" i="21"/>
  <c r="DG22" i="21"/>
  <c r="DH22" i="21"/>
  <c r="DI22" i="21"/>
  <c r="DJ22" i="21"/>
  <c r="DK22" i="21"/>
  <c r="DL22" i="21"/>
  <c r="DM22" i="21"/>
  <c r="DN22" i="21"/>
  <c r="DO22" i="21"/>
  <c r="DP22" i="21"/>
  <c r="DQ22" i="21"/>
  <c r="DR22" i="21"/>
  <c r="K30" i="21"/>
  <c r="L30" i="21"/>
  <c r="AY30" i="21"/>
  <c r="AZ30" i="21"/>
  <c r="BA30" i="21"/>
  <c r="BB30" i="21"/>
  <c r="BC30" i="21"/>
  <c r="BD30" i="21"/>
  <c r="BE30" i="21"/>
  <c r="BF30" i="21"/>
  <c r="BG30" i="21"/>
  <c r="BH30" i="21"/>
  <c r="BI30" i="21"/>
  <c r="BJ30" i="21"/>
  <c r="BK30" i="21"/>
  <c r="BL30" i="21"/>
  <c r="BM30" i="21"/>
  <c r="BN30" i="21"/>
  <c r="BO30" i="21"/>
  <c r="BP30" i="21"/>
  <c r="BQ30" i="21"/>
  <c r="BR30" i="21"/>
  <c r="BS30" i="21"/>
  <c r="BT30" i="21"/>
  <c r="BU30" i="21"/>
  <c r="BV30" i="21"/>
  <c r="BW30" i="21"/>
  <c r="BX30" i="21"/>
  <c r="BY30" i="21"/>
  <c r="BZ30" i="21"/>
  <c r="CA30" i="21"/>
  <c r="CB30" i="21"/>
  <c r="CC30" i="21"/>
  <c r="CD30" i="21"/>
  <c r="CE30" i="21"/>
  <c r="CF30" i="21"/>
  <c r="CG30" i="21"/>
  <c r="CH30" i="21"/>
  <c r="CI30" i="21"/>
  <c r="CJ30" i="21"/>
  <c r="CK30" i="21"/>
  <c r="CL30" i="21"/>
  <c r="CM30" i="21"/>
  <c r="CN30" i="21"/>
  <c r="CO30" i="21"/>
  <c r="CP30" i="21"/>
  <c r="CQ30" i="21"/>
  <c r="CR30" i="21"/>
  <c r="CS30" i="21"/>
  <c r="CT30" i="21"/>
  <c r="CU30" i="21"/>
  <c r="CV30" i="21"/>
  <c r="CW30" i="21"/>
  <c r="CX30" i="21"/>
  <c r="CY30" i="21"/>
  <c r="CZ30" i="21"/>
  <c r="DA30" i="21"/>
  <c r="DB30" i="21"/>
  <c r="DC30" i="21"/>
  <c r="DD30" i="21"/>
  <c r="DE30" i="21"/>
  <c r="DF30" i="21"/>
  <c r="DG30" i="21"/>
  <c r="DH30" i="21"/>
  <c r="DI30" i="21"/>
  <c r="DJ30" i="21"/>
  <c r="DK30" i="21"/>
  <c r="DL30" i="21"/>
  <c r="DM30" i="21"/>
  <c r="DN30" i="21"/>
  <c r="DO30" i="21"/>
  <c r="DP30" i="21"/>
  <c r="DQ30" i="21"/>
  <c r="DR30" i="21"/>
  <c r="DS30" i="21"/>
  <c r="DT30" i="21"/>
  <c r="DU30" i="21"/>
  <c r="DV30" i="21"/>
  <c r="DW30" i="21"/>
  <c r="DX30" i="21"/>
  <c r="DY30" i="21"/>
  <c r="DZ30" i="21"/>
  <c r="EA30" i="21"/>
  <c r="EB30" i="21"/>
  <c r="EC30" i="21"/>
  <c r="ED30" i="21"/>
  <c r="EE30" i="21"/>
  <c r="EF30" i="21"/>
  <c r="EG30" i="21"/>
  <c r="EH30" i="21"/>
  <c r="EI30" i="21"/>
  <c r="EJ30" i="21"/>
  <c r="EK30" i="21"/>
  <c r="EL30" i="21"/>
  <c r="EM30" i="21"/>
  <c r="EN30" i="21"/>
  <c r="EO30" i="21"/>
  <c r="EP30" i="21"/>
  <c r="EQ30" i="21"/>
  <c r="ER30" i="21"/>
  <c r="ES30" i="21"/>
  <c r="ET30" i="21"/>
  <c r="EU30" i="21"/>
  <c r="EV30" i="21"/>
  <c r="EW30" i="21"/>
  <c r="EX30" i="21"/>
  <c r="EY30" i="21"/>
  <c r="EZ30" i="21"/>
  <c r="FA30" i="21"/>
  <c r="FB30" i="21"/>
  <c r="AY31" i="21"/>
  <c r="AZ31" i="21"/>
  <c r="BA31" i="21"/>
  <c r="BB31" i="21"/>
  <c r="BC31" i="21"/>
  <c r="BD31" i="21"/>
  <c r="BE31" i="21"/>
  <c r="BF31" i="21"/>
  <c r="BG31" i="21"/>
  <c r="BH31" i="21"/>
  <c r="BI31" i="21"/>
  <c r="BJ31" i="21"/>
  <c r="BK31" i="21"/>
  <c r="BL31" i="21"/>
  <c r="BM31" i="21"/>
  <c r="BN31" i="21"/>
  <c r="BO31" i="21"/>
  <c r="BP31" i="21"/>
  <c r="BQ31" i="21"/>
  <c r="BR31" i="21"/>
  <c r="BS31" i="21"/>
  <c r="BT31" i="21"/>
  <c r="BU31" i="21"/>
  <c r="BV31" i="21"/>
  <c r="BW31" i="21"/>
  <c r="BX31" i="21"/>
  <c r="BY31" i="21"/>
  <c r="BZ31" i="21"/>
  <c r="CA31" i="21"/>
  <c r="CB31" i="21"/>
  <c r="CC31" i="21"/>
  <c r="CD31" i="21"/>
  <c r="CE31" i="21"/>
  <c r="CF31" i="21"/>
  <c r="CG31" i="21"/>
  <c r="CH31" i="21"/>
  <c r="CI31" i="21"/>
  <c r="CJ31" i="21"/>
  <c r="CK31" i="21"/>
  <c r="CL31" i="21"/>
  <c r="CM31" i="21"/>
  <c r="CN31" i="21"/>
  <c r="CO31" i="21"/>
  <c r="CO26" i="21" s="1"/>
  <c r="CP31" i="21"/>
  <c r="CP26" i="21" s="1"/>
  <c r="CQ31" i="21"/>
  <c r="CQ26" i="21" s="1"/>
  <c r="CR31" i="21"/>
  <c r="CR26" i="21" s="1"/>
  <c r="AC26" i="21" s="1"/>
  <c r="AC31" i="21" s="1"/>
  <c r="CS31" i="21"/>
  <c r="CS26" i="21" s="1"/>
  <c r="CT31" i="21"/>
  <c r="CT26" i="21" s="1"/>
  <c r="CU31" i="21"/>
  <c r="CV31" i="21"/>
  <c r="CW31" i="21"/>
  <c r="CX31" i="21"/>
  <c r="CY31" i="21"/>
  <c r="CZ31" i="21"/>
  <c r="DA31" i="21"/>
  <c r="DB31" i="21"/>
  <c r="DC31" i="21"/>
  <c r="DD31" i="21"/>
  <c r="DE31" i="21"/>
  <c r="DF31" i="21"/>
  <c r="DG31" i="21"/>
  <c r="DH31" i="21"/>
  <c r="DI31" i="21"/>
  <c r="DJ31" i="21"/>
  <c r="DK31" i="21"/>
  <c r="DL31" i="21"/>
  <c r="DM31" i="21"/>
  <c r="DN31" i="21"/>
  <c r="DO31" i="21"/>
  <c r="DP31" i="21"/>
  <c r="DQ31" i="21"/>
  <c r="DR31" i="21"/>
  <c r="DS31" i="21"/>
  <c r="DT31" i="21"/>
  <c r="DU31" i="21"/>
  <c r="DV31" i="21"/>
  <c r="DW31" i="21"/>
  <c r="DX31" i="21"/>
  <c r="DY31" i="21"/>
  <c r="DZ31" i="21"/>
  <c r="EA31" i="21"/>
  <c r="EB31" i="21"/>
  <c r="EC31" i="21"/>
  <c r="ED31" i="21"/>
  <c r="EE31" i="21"/>
  <c r="EF31" i="21"/>
  <c r="EG31" i="21"/>
  <c r="EH31" i="21"/>
  <c r="EI31" i="21"/>
  <c r="EJ31" i="21"/>
  <c r="EK31" i="21"/>
  <c r="EL31" i="21"/>
  <c r="EM31" i="21"/>
  <c r="EN31" i="21"/>
  <c r="EO31" i="21"/>
  <c r="EP31" i="21"/>
  <c r="EQ31" i="21"/>
  <c r="ER31" i="21"/>
  <c r="ES31" i="21"/>
  <c r="ET31" i="21"/>
  <c r="EU31" i="21"/>
  <c r="EV31" i="21"/>
  <c r="EW31" i="21"/>
  <c r="EX31" i="21"/>
  <c r="EY31" i="21"/>
  <c r="EZ31" i="21"/>
  <c r="FA31" i="21"/>
  <c r="FB31" i="21"/>
  <c r="AY32" i="21"/>
  <c r="AZ32" i="21"/>
  <c r="BA32" i="21"/>
  <c r="BB32" i="21"/>
  <c r="BC32" i="21"/>
  <c r="BD32" i="21"/>
  <c r="BE32" i="21"/>
  <c r="BF32" i="21"/>
  <c r="BG32" i="21"/>
  <c r="BH32" i="21"/>
  <c r="BI32" i="21"/>
  <c r="BJ32" i="21"/>
  <c r="BK32" i="21"/>
  <c r="BL32" i="21"/>
  <c r="BM32" i="21"/>
  <c r="BN32" i="21"/>
  <c r="BO32" i="21"/>
  <c r="BP32" i="21"/>
  <c r="BQ32" i="21"/>
  <c r="BR32" i="21"/>
  <c r="BS32" i="21"/>
  <c r="BT32" i="21"/>
  <c r="BU32" i="21"/>
  <c r="BV32" i="21"/>
  <c r="BW32" i="21"/>
  <c r="BX32" i="21"/>
  <c r="BY32" i="21"/>
  <c r="BZ32" i="21"/>
  <c r="CA32" i="21"/>
  <c r="CB32" i="21"/>
  <c r="CC32" i="21"/>
  <c r="CD32" i="21"/>
  <c r="CE32" i="21"/>
  <c r="CF32" i="21"/>
  <c r="CG32" i="21"/>
  <c r="CH32" i="21"/>
  <c r="CI32" i="21"/>
  <c r="CJ32" i="21"/>
  <c r="CK32" i="21"/>
  <c r="CL32" i="21"/>
  <c r="CM32" i="21"/>
  <c r="CN32" i="21"/>
  <c r="CO32" i="21"/>
  <c r="CO27" i="21" s="1"/>
  <c r="CP32" i="21"/>
  <c r="CP27" i="21" s="1"/>
  <c r="CQ32" i="21"/>
  <c r="CQ27" i="21" s="1"/>
  <c r="CR32" i="21"/>
  <c r="CR27" i="21" s="1"/>
  <c r="CS32" i="21"/>
  <c r="CS27" i="21" s="1"/>
  <c r="CT32" i="21"/>
  <c r="CT27" i="21" s="1"/>
  <c r="CU32" i="21"/>
  <c r="CV32" i="21"/>
  <c r="CW32" i="21"/>
  <c r="CX32" i="21"/>
  <c r="CY32" i="21"/>
  <c r="CZ32" i="21"/>
  <c r="DA32" i="21"/>
  <c r="DB32" i="21"/>
  <c r="DC32" i="21"/>
  <c r="DD32" i="21"/>
  <c r="DE32" i="21"/>
  <c r="DF32" i="21"/>
  <c r="DG32" i="21"/>
  <c r="DH32" i="21"/>
  <c r="DI32" i="21"/>
  <c r="DJ32" i="21"/>
  <c r="DK32" i="21"/>
  <c r="DL32" i="21"/>
  <c r="DM32" i="21"/>
  <c r="DN32" i="21"/>
  <c r="DO32" i="21"/>
  <c r="DP32" i="21"/>
  <c r="DQ32" i="21"/>
  <c r="DR32" i="21"/>
  <c r="DS32" i="21"/>
  <c r="DT32" i="21"/>
  <c r="DU32" i="21"/>
  <c r="DV32" i="21"/>
  <c r="DW32" i="21"/>
  <c r="DX32" i="21"/>
  <c r="DY32" i="21"/>
  <c r="DZ32" i="21"/>
  <c r="EA32" i="21"/>
  <c r="EB32" i="21"/>
  <c r="EC32" i="21"/>
  <c r="ED32" i="21"/>
  <c r="EE32" i="21"/>
  <c r="EF32" i="21"/>
  <c r="EG32" i="21"/>
  <c r="EH32" i="21"/>
  <c r="EI32" i="21"/>
  <c r="EJ32" i="21"/>
  <c r="EK32" i="21"/>
  <c r="EL32" i="21"/>
  <c r="EM32" i="21"/>
  <c r="EN32" i="21"/>
  <c r="EO32" i="21"/>
  <c r="EP32" i="21"/>
  <c r="EQ32" i="21"/>
  <c r="ER32" i="21"/>
  <c r="ES32" i="21"/>
  <c r="ET32" i="21"/>
  <c r="EU32" i="21"/>
  <c r="EV32" i="21"/>
  <c r="EW32" i="21"/>
  <c r="EX32" i="21"/>
  <c r="EY32" i="21"/>
  <c r="EZ32" i="21"/>
  <c r="FA32" i="21"/>
  <c r="FB32" i="21"/>
  <c r="CO49" i="21"/>
  <c r="AB49" i="21" s="1"/>
  <c r="CP49" i="21"/>
  <c r="CQ49" i="21"/>
  <c r="CR49" i="21"/>
  <c r="CS49" i="21"/>
  <c r="AC49" i="21" s="1"/>
  <c r="CT49" i="21"/>
  <c r="AC54" i="21"/>
  <c r="CO54" i="21"/>
  <c r="AB54" i="21" s="1"/>
  <c r="CP54" i="21"/>
  <c r="CQ54" i="21"/>
  <c r="CR54" i="21"/>
  <c r="CS54" i="21"/>
  <c r="CT54" i="21"/>
  <c r="D76" i="19"/>
  <c r="E76" i="19"/>
  <c r="F76" i="19"/>
  <c r="G76" i="19"/>
  <c r="H76" i="19"/>
  <c r="I76" i="19"/>
  <c r="J76" i="19"/>
  <c r="K76" i="19"/>
  <c r="L76" i="19"/>
  <c r="BW76" i="19"/>
  <c r="CV76" i="19"/>
  <c r="DC76" i="19"/>
  <c r="EI76" i="19"/>
  <c r="AY77" i="19"/>
  <c r="AY76" i="19" s="1"/>
  <c r="AZ77" i="19"/>
  <c r="BA77" i="19"/>
  <c r="BA76" i="19" s="1"/>
  <c r="BB77" i="19"/>
  <c r="BB76" i="19" s="1"/>
  <c r="BC77" i="19"/>
  <c r="BC76" i="19" s="1"/>
  <c r="BD77" i="19"/>
  <c r="BD76" i="19" s="1"/>
  <c r="BE77" i="19"/>
  <c r="BE76" i="19" s="1"/>
  <c r="BF77" i="19"/>
  <c r="BF76" i="19" s="1"/>
  <c r="BG77" i="19"/>
  <c r="BG76" i="19" s="1"/>
  <c r="BH77" i="19"/>
  <c r="BI77" i="19"/>
  <c r="BI76" i="19" s="1"/>
  <c r="BJ77" i="19"/>
  <c r="BJ76" i="19" s="1"/>
  <c r="BK77" i="19"/>
  <c r="BK76" i="19" s="1"/>
  <c r="BL77" i="19"/>
  <c r="BL76" i="19" s="1"/>
  <c r="BM77" i="19"/>
  <c r="BM76" i="19" s="1"/>
  <c r="BN77" i="19"/>
  <c r="BN76" i="19" s="1"/>
  <c r="BO77" i="19"/>
  <c r="BO76" i="19" s="1"/>
  <c r="BP77" i="19"/>
  <c r="BQ77" i="19"/>
  <c r="BQ76" i="19" s="1"/>
  <c r="BR77" i="19"/>
  <c r="BR76" i="19" s="1"/>
  <c r="BS77" i="19"/>
  <c r="BS76" i="19" s="1"/>
  <c r="BT77" i="19"/>
  <c r="BT76" i="19" s="1"/>
  <c r="BU77" i="19"/>
  <c r="BU76" i="19" s="1"/>
  <c r="BV77" i="19"/>
  <c r="BV76" i="19" s="1"/>
  <c r="BW77" i="19"/>
  <c r="BX77" i="19"/>
  <c r="BY77" i="19"/>
  <c r="BY76" i="19" s="1"/>
  <c r="BZ77" i="19"/>
  <c r="BZ76" i="19" s="1"/>
  <c r="CA77" i="19"/>
  <c r="CA76" i="19" s="1"/>
  <c r="CB77" i="19"/>
  <c r="CB76" i="19" s="1"/>
  <c r="CC77" i="19"/>
  <c r="CC76" i="19" s="1"/>
  <c r="CD77" i="19"/>
  <c r="CD76" i="19" s="1"/>
  <c r="CE77" i="19"/>
  <c r="CE76" i="19" s="1"/>
  <c r="CF77" i="19"/>
  <c r="CG77" i="19"/>
  <c r="CG76" i="19" s="1"/>
  <c r="CH77" i="19"/>
  <c r="CH76" i="19" s="1"/>
  <c r="CI77" i="19"/>
  <c r="CI76" i="19" s="1"/>
  <c r="CJ77" i="19"/>
  <c r="CJ76" i="19" s="1"/>
  <c r="CK77" i="19"/>
  <c r="CK76" i="19" s="1"/>
  <c r="CL77" i="19"/>
  <c r="CL76" i="19" s="1"/>
  <c r="CM77" i="19"/>
  <c r="CM76" i="19" s="1"/>
  <c r="CN77" i="19"/>
  <c r="CO77" i="19"/>
  <c r="CO76" i="19" s="1"/>
  <c r="CP77" i="19"/>
  <c r="CP76" i="19" s="1"/>
  <c r="CQ77" i="19"/>
  <c r="CQ76" i="19" s="1"/>
  <c r="CR77" i="19"/>
  <c r="CR76" i="19" s="1"/>
  <c r="CS77" i="19"/>
  <c r="CS76" i="19" s="1"/>
  <c r="CT77" i="19"/>
  <c r="CT76" i="19" s="1"/>
  <c r="CU77" i="19"/>
  <c r="CU76" i="19" s="1"/>
  <c r="CV77" i="19"/>
  <c r="CW77" i="19"/>
  <c r="CW76" i="19" s="1"/>
  <c r="CX77" i="19"/>
  <c r="CX76" i="19" s="1"/>
  <c r="CY77" i="19"/>
  <c r="CY76" i="19" s="1"/>
  <c r="CZ77" i="19"/>
  <c r="CZ76" i="19" s="1"/>
  <c r="DA77" i="19"/>
  <c r="DA76" i="19" s="1"/>
  <c r="DB77" i="19"/>
  <c r="DB76" i="19" s="1"/>
  <c r="DC77" i="19"/>
  <c r="DD77" i="19"/>
  <c r="DE77" i="19"/>
  <c r="DE76" i="19" s="1"/>
  <c r="DF77" i="19"/>
  <c r="DF76" i="19" s="1"/>
  <c r="DG77" i="19"/>
  <c r="DG76" i="19" s="1"/>
  <c r="DH77" i="19"/>
  <c r="DH76" i="19" s="1"/>
  <c r="DI77" i="19"/>
  <c r="DI76" i="19" s="1"/>
  <c r="DJ77" i="19"/>
  <c r="DJ76" i="19" s="1"/>
  <c r="DK77" i="19"/>
  <c r="DK76" i="19" s="1"/>
  <c r="DL77" i="19"/>
  <c r="DM77" i="19"/>
  <c r="DM76" i="19" s="1"/>
  <c r="DN77" i="19"/>
  <c r="DN76" i="19" s="1"/>
  <c r="DO77" i="19"/>
  <c r="DO76" i="19" s="1"/>
  <c r="DP77" i="19"/>
  <c r="DP76" i="19" s="1"/>
  <c r="DQ77" i="19"/>
  <c r="DQ76" i="19" s="1"/>
  <c r="DR77" i="19"/>
  <c r="DR76" i="19" s="1"/>
  <c r="DS77" i="19"/>
  <c r="DS76" i="19" s="1"/>
  <c r="DT77" i="19"/>
  <c r="DU77" i="19"/>
  <c r="DU76" i="19" s="1"/>
  <c r="DV77" i="19"/>
  <c r="DV76" i="19" s="1"/>
  <c r="DW77" i="19"/>
  <c r="DW76" i="19" s="1"/>
  <c r="DX77" i="19"/>
  <c r="DX76" i="19" s="1"/>
  <c r="DY77" i="19"/>
  <c r="DY76" i="19" s="1"/>
  <c r="DZ77" i="19"/>
  <c r="DZ76" i="19" s="1"/>
  <c r="EA77" i="19"/>
  <c r="EA76" i="19" s="1"/>
  <c r="EB77" i="19"/>
  <c r="EC77" i="19"/>
  <c r="EC76" i="19" s="1"/>
  <c r="ED77" i="19"/>
  <c r="ED76" i="19" s="1"/>
  <c r="EE77" i="19"/>
  <c r="EE76" i="19" s="1"/>
  <c r="EF77" i="19"/>
  <c r="EF76" i="19" s="1"/>
  <c r="EG77" i="19"/>
  <c r="EG76" i="19" s="1"/>
  <c r="EH77" i="19"/>
  <c r="EH76" i="19" s="1"/>
  <c r="EI77" i="19"/>
  <c r="EJ77" i="19"/>
  <c r="EK77" i="19"/>
  <c r="EK76" i="19" s="1"/>
  <c r="EL77" i="19"/>
  <c r="EL76" i="19" s="1"/>
  <c r="EM77" i="19"/>
  <c r="EM76" i="19" s="1"/>
  <c r="EN77" i="19"/>
  <c r="EN76" i="19" s="1"/>
  <c r="EO77" i="19"/>
  <c r="EO76" i="19" s="1"/>
  <c r="EP77" i="19"/>
  <c r="EP76" i="19" s="1"/>
  <c r="EQ77" i="19"/>
  <c r="EQ76" i="19" s="1"/>
  <c r="ER77" i="19"/>
  <c r="ES77" i="19"/>
  <c r="ES76" i="19" s="1"/>
  <c r="ET77" i="19"/>
  <c r="ET76" i="19" s="1"/>
  <c r="EU77" i="19"/>
  <c r="EU76" i="19" s="1"/>
  <c r="EV77" i="19"/>
  <c r="EV76" i="19" s="1"/>
  <c r="EW77" i="19"/>
  <c r="EW76" i="19" s="1"/>
  <c r="EX77" i="19"/>
  <c r="EX76" i="19" s="1"/>
  <c r="EY77" i="19"/>
  <c r="EY76" i="19" s="1"/>
  <c r="EZ77" i="19"/>
  <c r="FA77" i="19"/>
  <c r="FA76" i="19" s="1"/>
  <c r="FB77" i="19"/>
  <c r="FB76" i="19" s="1"/>
  <c r="AY78" i="19"/>
  <c r="AZ78" i="19"/>
  <c r="BA78" i="19"/>
  <c r="BB78" i="19"/>
  <c r="BC78" i="19"/>
  <c r="BD78" i="19"/>
  <c r="BE78" i="19"/>
  <c r="BF78" i="19"/>
  <c r="BG78" i="19"/>
  <c r="BH78" i="19"/>
  <c r="BI78" i="19"/>
  <c r="BJ78" i="19"/>
  <c r="BK78" i="19"/>
  <c r="BL78" i="19"/>
  <c r="BM78" i="19"/>
  <c r="BN78" i="19"/>
  <c r="BO78" i="19"/>
  <c r="BP78" i="19"/>
  <c r="BQ78" i="19"/>
  <c r="BR78" i="19"/>
  <c r="BS78" i="19"/>
  <c r="BT78" i="19"/>
  <c r="BU78" i="19"/>
  <c r="BV78" i="19"/>
  <c r="BW78" i="19"/>
  <c r="BX78" i="19"/>
  <c r="BY78" i="19"/>
  <c r="BZ78" i="19"/>
  <c r="CA78" i="19"/>
  <c r="CB78" i="19"/>
  <c r="CC78" i="19"/>
  <c r="CD78" i="19"/>
  <c r="CE78" i="19"/>
  <c r="CF78" i="19"/>
  <c r="CG78" i="19"/>
  <c r="CH78" i="19"/>
  <c r="CI78" i="19"/>
  <c r="CJ78" i="19"/>
  <c r="CK78" i="19"/>
  <c r="CL78" i="19"/>
  <c r="CM78" i="19"/>
  <c r="CN78" i="19"/>
  <c r="CO78" i="19"/>
  <c r="CP78" i="19"/>
  <c r="CQ78" i="19"/>
  <c r="CR78" i="19"/>
  <c r="CS78" i="19"/>
  <c r="CT78" i="19"/>
  <c r="CU78" i="19"/>
  <c r="CV78" i="19"/>
  <c r="CW78" i="19"/>
  <c r="CX78" i="19"/>
  <c r="CY78" i="19"/>
  <c r="CZ78" i="19"/>
  <c r="DA78" i="19"/>
  <c r="DB78" i="19"/>
  <c r="DC78" i="19"/>
  <c r="DD78" i="19"/>
  <c r="DE78" i="19"/>
  <c r="DF78" i="19"/>
  <c r="DG78" i="19"/>
  <c r="DH78" i="19"/>
  <c r="DI78" i="19"/>
  <c r="DJ78" i="19"/>
  <c r="DK78" i="19"/>
  <c r="DL78" i="19"/>
  <c r="DM78" i="19"/>
  <c r="DN78" i="19"/>
  <c r="DO78" i="19"/>
  <c r="DP78" i="19"/>
  <c r="DQ78" i="19"/>
  <c r="DR78" i="19"/>
  <c r="DS78" i="19"/>
  <c r="DT78" i="19"/>
  <c r="DU78" i="19"/>
  <c r="DV78" i="19"/>
  <c r="DW78" i="19"/>
  <c r="DX78" i="19"/>
  <c r="DY78" i="19"/>
  <c r="DZ78" i="19"/>
  <c r="EA78" i="19"/>
  <c r="EB78" i="19"/>
  <c r="EC78" i="19"/>
  <c r="ED78" i="19"/>
  <c r="EE78" i="19"/>
  <c r="EF78" i="19"/>
  <c r="EG78" i="19"/>
  <c r="EH78" i="19"/>
  <c r="EI78" i="19"/>
  <c r="EJ78" i="19"/>
  <c r="EK78" i="19"/>
  <c r="EL78" i="19"/>
  <c r="EM78" i="19"/>
  <c r="EN78" i="19"/>
  <c r="EO78" i="19"/>
  <c r="EP78" i="19"/>
  <c r="EQ78" i="19"/>
  <c r="ER78" i="19"/>
  <c r="ES78" i="19"/>
  <c r="ET78" i="19"/>
  <c r="EU78" i="19"/>
  <c r="EV78" i="19"/>
  <c r="EW78" i="19"/>
  <c r="EX78" i="19"/>
  <c r="EY78" i="19"/>
  <c r="EZ78" i="19"/>
  <c r="FA78" i="19"/>
  <c r="FB78" i="19"/>
  <c r="AY79" i="19"/>
  <c r="AZ79" i="19"/>
  <c r="BA79" i="19"/>
  <c r="BB79" i="19"/>
  <c r="BC79" i="19"/>
  <c r="BD79" i="19"/>
  <c r="BE79" i="19"/>
  <c r="BF79" i="19"/>
  <c r="BG79" i="19"/>
  <c r="BH79" i="19"/>
  <c r="BI79" i="19"/>
  <c r="BJ79" i="19"/>
  <c r="BK79" i="19"/>
  <c r="BL79" i="19"/>
  <c r="BM79" i="19"/>
  <c r="BN79" i="19"/>
  <c r="BO79" i="19"/>
  <c r="BP79" i="19"/>
  <c r="BP76" i="19" s="1"/>
  <c r="BQ79" i="19"/>
  <c r="BR79" i="19"/>
  <c r="BS79" i="19"/>
  <c r="BT79" i="19"/>
  <c r="BU79" i="19"/>
  <c r="BV79" i="19"/>
  <c r="BW79" i="19"/>
  <c r="BX79" i="19"/>
  <c r="BX76" i="19" s="1"/>
  <c r="BY79" i="19"/>
  <c r="BZ79" i="19"/>
  <c r="CA79" i="19"/>
  <c r="CB79" i="19"/>
  <c r="CC79" i="19"/>
  <c r="CD79" i="19"/>
  <c r="CE79" i="19"/>
  <c r="CF79" i="19"/>
  <c r="CG79" i="19"/>
  <c r="CH79" i="19"/>
  <c r="CI79" i="19"/>
  <c r="CJ79" i="19"/>
  <c r="CK79" i="19"/>
  <c r="CL79" i="19"/>
  <c r="CM79" i="19"/>
  <c r="CN79" i="19"/>
  <c r="CO79" i="19"/>
  <c r="CP79" i="19"/>
  <c r="CQ79" i="19"/>
  <c r="CR79" i="19"/>
  <c r="CS79" i="19"/>
  <c r="CT79" i="19"/>
  <c r="CU79" i="19"/>
  <c r="CV79" i="19"/>
  <c r="CW79" i="19"/>
  <c r="CX79" i="19"/>
  <c r="CY79" i="19"/>
  <c r="CZ79" i="19"/>
  <c r="DA79" i="19"/>
  <c r="DB79" i="19"/>
  <c r="DC79" i="19"/>
  <c r="DD79" i="19"/>
  <c r="DE79" i="19"/>
  <c r="DF79" i="19"/>
  <c r="DG79" i="19"/>
  <c r="DH79" i="19"/>
  <c r="DI79" i="19"/>
  <c r="DJ79" i="19"/>
  <c r="DK79" i="19"/>
  <c r="DL79" i="19"/>
  <c r="DM79" i="19"/>
  <c r="DN79" i="19"/>
  <c r="DO79" i="19"/>
  <c r="DP79" i="19"/>
  <c r="DQ79" i="19"/>
  <c r="DR79" i="19"/>
  <c r="DS79" i="19"/>
  <c r="DT79" i="19"/>
  <c r="DU79" i="19"/>
  <c r="DV79" i="19"/>
  <c r="DW79" i="19"/>
  <c r="DX79" i="19"/>
  <c r="DY79" i="19"/>
  <c r="DZ79" i="19"/>
  <c r="EA79" i="19"/>
  <c r="EB79" i="19"/>
  <c r="EC79" i="19"/>
  <c r="ED79" i="19"/>
  <c r="EE79" i="19"/>
  <c r="EF79" i="19"/>
  <c r="EG79" i="19"/>
  <c r="EH79" i="19"/>
  <c r="EI79" i="19"/>
  <c r="EJ79" i="19"/>
  <c r="EJ76" i="19" s="1"/>
  <c r="EK79" i="19"/>
  <c r="EL79" i="19"/>
  <c r="EM79" i="19"/>
  <c r="EN79" i="19"/>
  <c r="EO79" i="19"/>
  <c r="EP79" i="19"/>
  <c r="EQ79" i="19"/>
  <c r="ER79" i="19"/>
  <c r="ES79" i="19"/>
  <c r="ET79" i="19"/>
  <c r="EU79" i="19"/>
  <c r="EV79" i="19"/>
  <c r="EW79" i="19"/>
  <c r="EX79" i="19"/>
  <c r="EY79" i="19"/>
  <c r="EZ79" i="19"/>
  <c r="FA79" i="19"/>
  <c r="FB79" i="19"/>
  <c r="D82" i="19"/>
  <c r="E82" i="19"/>
  <c r="F82" i="19"/>
  <c r="I82" i="19"/>
  <c r="L82" i="19"/>
  <c r="BW82" i="19"/>
  <c r="CE82" i="19"/>
  <c r="DC82" i="19"/>
  <c r="DJ82" i="19"/>
  <c r="DK82" i="19"/>
  <c r="EQ82" i="19"/>
  <c r="I83" i="19"/>
  <c r="DJ83" i="19" s="1"/>
  <c r="J83" i="19"/>
  <c r="K83" i="19"/>
  <c r="AY83" i="19"/>
  <c r="AZ83" i="19"/>
  <c r="AZ82" i="19" s="1"/>
  <c r="BA83" i="19"/>
  <c r="BB83" i="19"/>
  <c r="BC83" i="19"/>
  <c r="BC82" i="19" s="1"/>
  <c r="BD83" i="19"/>
  <c r="BD82" i="19" s="1"/>
  <c r="BE83" i="19"/>
  <c r="BE82" i="19" s="1"/>
  <c r="BF83" i="19"/>
  <c r="BG83" i="19"/>
  <c r="BH83" i="19"/>
  <c r="BH82" i="19" s="1"/>
  <c r="BI83" i="19"/>
  <c r="BJ83" i="19"/>
  <c r="BK83" i="19"/>
  <c r="BK82" i="19" s="1"/>
  <c r="BL83" i="19"/>
  <c r="BL82" i="19" s="1"/>
  <c r="BM83" i="19"/>
  <c r="BM82" i="19" s="1"/>
  <c r="BN83" i="19"/>
  <c r="BO83" i="19"/>
  <c r="BP83" i="19"/>
  <c r="BP82" i="19" s="1"/>
  <c r="BQ83" i="19"/>
  <c r="BR83" i="19"/>
  <c r="BS83" i="19"/>
  <c r="BS82" i="19" s="1"/>
  <c r="BT83" i="19"/>
  <c r="BT82" i="19" s="1"/>
  <c r="BU83" i="19"/>
  <c r="BU82" i="19" s="1"/>
  <c r="BV83" i="19"/>
  <c r="BW83" i="19"/>
  <c r="BX83" i="19"/>
  <c r="BX82" i="19" s="1"/>
  <c r="BY83" i="19"/>
  <c r="BZ83" i="19"/>
  <c r="CA83" i="19"/>
  <c r="CA82" i="19" s="1"/>
  <c r="CB83" i="19"/>
  <c r="CB82" i="19" s="1"/>
  <c r="CC83" i="19"/>
  <c r="CC82" i="19" s="1"/>
  <c r="CD83" i="19"/>
  <c r="CE83" i="19"/>
  <c r="CF83" i="19"/>
  <c r="CF82" i="19" s="1"/>
  <c r="CG83" i="19"/>
  <c r="CH83" i="19"/>
  <c r="CI83" i="19"/>
  <c r="CJ83" i="19"/>
  <c r="CK83" i="19"/>
  <c r="CL83" i="19"/>
  <c r="CM83" i="19"/>
  <c r="CN83" i="19"/>
  <c r="CO83" i="19"/>
  <c r="CP83" i="19"/>
  <c r="CQ83" i="19"/>
  <c r="CR83" i="19"/>
  <c r="CS83" i="19"/>
  <c r="CT83" i="19"/>
  <c r="CU83" i="19"/>
  <c r="CV83" i="19"/>
  <c r="CW83" i="19"/>
  <c r="CX83" i="19"/>
  <c r="CY83" i="19"/>
  <c r="CZ83" i="19"/>
  <c r="DA83" i="19"/>
  <c r="DB83" i="19"/>
  <c r="DC83" i="19"/>
  <c r="DD83" i="19"/>
  <c r="DE83" i="19"/>
  <c r="DF83" i="19"/>
  <c r="DG83" i="19"/>
  <c r="DH83" i="19"/>
  <c r="DI83" i="19"/>
  <c r="DI82" i="19" s="1"/>
  <c r="DK83" i="19"/>
  <c r="DL83" i="19"/>
  <c r="DL82" i="19" s="1"/>
  <c r="DN83" i="19"/>
  <c r="DO83" i="19"/>
  <c r="DP83" i="19"/>
  <c r="DP82" i="19" s="1"/>
  <c r="DQ83" i="19"/>
  <c r="DQ82" i="19" s="1"/>
  <c r="DR83" i="19"/>
  <c r="DS83" i="19"/>
  <c r="DT83" i="19"/>
  <c r="DU83" i="19"/>
  <c r="DV83" i="19"/>
  <c r="DW83" i="19"/>
  <c r="DW82" i="19" s="1"/>
  <c r="DX83" i="19"/>
  <c r="DY83" i="19"/>
  <c r="DZ83" i="19"/>
  <c r="EA83" i="19"/>
  <c r="EB83" i="19"/>
  <c r="EC83" i="19"/>
  <c r="EC82" i="19" s="1"/>
  <c r="ED83" i="19"/>
  <c r="EE83" i="19"/>
  <c r="EF83" i="19"/>
  <c r="EG83" i="19"/>
  <c r="EH83" i="19"/>
  <c r="EI83" i="19"/>
  <c r="EJ83" i="19"/>
  <c r="EK83" i="19"/>
  <c r="EK82" i="19" s="1"/>
  <c r="EL83" i="19"/>
  <c r="EM83" i="19"/>
  <c r="EN83" i="19"/>
  <c r="EO83" i="19"/>
  <c r="EP83" i="19"/>
  <c r="EQ83" i="19"/>
  <c r="ER83" i="19"/>
  <c r="ER82" i="19" s="1"/>
  <c r="ES83" i="19"/>
  <c r="ES82" i="19" s="1"/>
  <c r="ET83" i="19"/>
  <c r="EU83" i="19"/>
  <c r="EV83" i="19"/>
  <c r="EV82" i="19" s="1"/>
  <c r="EW83" i="19"/>
  <c r="EW82" i="19" s="1"/>
  <c r="EX83" i="19"/>
  <c r="EY83" i="19"/>
  <c r="EZ83" i="19"/>
  <c r="EZ82" i="19" s="1"/>
  <c r="FA83" i="19"/>
  <c r="FA82" i="19" s="1"/>
  <c r="FB83" i="19"/>
  <c r="G84" i="19"/>
  <c r="CL84" i="19" s="1"/>
  <c r="CL82" i="19" s="1"/>
  <c r="H84" i="19"/>
  <c r="H82" i="19" s="1"/>
  <c r="I84" i="19"/>
  <c r="DM84" i="19" s="1"/>
  <c r="J84" i="19"/>
  <c r="J82" i="19" s="1"/>
  <c r="K84" i="19"/>
  <c r="AY84" i="19"/>
  <c r="AY82" i="19" s="1"/>
  <c r="AZ84" i="19"/>
  <c r="BA84" i="19"/>
  <c r="BB84" i="19"/>
  <c r="BC84" i="19"/>
  <c r="BD84" i="19"/>
  <c r="BE84" i="19"/>
  <c r="BF84" i="19"/>
  <c r="BF82" i="19" s="1"/>
  <c r="BG84" i="19"/>
  <c r="BG82" i="19" s="1"/>
  <c r="BH84" i="19"/>
  <c r="BI84" i="19"/>
  <c r="BJ84" i="19"/>
  <c r="BK84" i="19"/>
  <c r="BL84" i="19"/>
  <c r="BM84" i="19"/>
  <c r="BN84" i="19"/>
  <c r="BN82" i="19" s="1"/>
  <c r="BO84" i="19"/>
  <c r="BO82" i="19" s="1"/>
  <c r="BP84" i="19"/>
  <c r="BQ84" i="19"/>
  <c r="BR84" i="19"/>
  <c r="BS84" i="19"/>
  <c r="BT84" i="19"/>
  <c r="BU84" i="19"/>
  <c r="BV84" i="19"/>
  <c r="BV82" i="19" s="1"/>
  <c r="BW84" i="19"/>
  <c r="BX84" i="19"/>
  <c r="BY84" i="19"/>
  <c r="BZ84" i="19"/>
  <c r="CA84" i="19"/>
  <c r="CB84" i="19"/>
  <c r="CC84" i="19"/>
  <c r="CD84" i="19"/>
  <c r="CD82" i="19" s="1"/>
  <c r="CE84" i="19"/>
  <c r="CF84" i="19"/>
  <c r="CG84" i="19"/>
  <c r="CH84" i="19"/>
  <c r="CM84" i="19"/>
  <c r="CT84" i="19"/>
  <c r="CT82" i="19" s="1"/>
  <c r="CU84" i="19"/>
  <c r="CU82" i="19" s="1"/>
  <c r="DB84" i="19"/>
  <c r="DB82" i="19" s="1"/>
  <c r="DC84" i="19"/>
  <c r="DG84" i="19"/>
  <c r="DI84" i="19"/>
  <c r="DJ84" i="19"/>
  <c r="DK84" i="19"/>
  <c r="DL84" i="19"/>
  <c r="DN84" i="19"/>
  <c r="DO84" i="19"/>
  <c r="DP84" i="19"/>
  <c r="DQ84" i="19"/>
  <c r="DR84" i="19"/>
  <c r="DR82" i="19" s="1"/>
  <c r="DS84" i="19"/>
  <c r="DT84" i="19"/>
  <c r="DU84" i="19"/>
  <c r="DV84" i="19"/>
  <c r="DW84" i="19"/>
  <c r="DX84" i="19"/>
  <c r="DY84" i="19"/>
  <c r="DZ84" i="19"/>
  <c r="EA84" i="19"/>
  <c r="EB84" i="19"/>
  <c r="EC84" i="19"/>
  <c r="ED84" i="19"/>
  <c r="EE84" i="19"/>
  <c r="EF84" i="19"/>
  <c r="EG84" i="19"/>
  <c r="EH84" i="19"/>
  <c r="EI84" i="19"/>
  <c r="EJ84" i="19"/>
  <c r="EK84" i="19"/>
  <c r="EL84" i="19"/>
  <c r="EM84" i="19"/>
  <c r="EN84" i="19"/>
  <c r="EO84" i="19"/>
  <c r="EP84" i="19"/>
  <c r="EQ84" i="19"/>
  <c r="ER84" i="19"/>
  <c r="ES84" i="19"/>
  <c r="ET84" i="19"/>
  <c r="EU84" i="19"/>
  <c r="EV84" i="19"/>
  <c r="EW84" i="19"/>
  <c r="EX84" i="19"/>
  <c r="EX82" i="19" s="1"/>
  <c r="EY84" i="19"/>
  <c r="EY82" i="19" s="1"/>
  <c r="EZ84" i="19"/>
  <c r="FA84" i="19"/>
  <c r="FB84" i="19"/>
  <c r="G85" i="19"/>
  <c r="CJ85" i="19" s="1"/>
  <c r="H85" i="19"/>
  <c r="I85" i="19"/>
  <c r="J85" i="19"/>
  <c r="K85" i="19"/>
  <c r="AY85" i="19"/>
  <c r="AZ85" i="19"/>
  <c r="BA85" i="19"/>
  <c r="BB85" i="19"/>
  <c r="BC85" i="19"/>
  <c r="BD85" i="19"/>
  <c r="BE85" i="19"/>
  <c r="BF85" i="19"/>
  <c r="BG85" i="19"/>
  <c r="BH85" i="19"/>
  <c r="BI85" i="19"/>
  <c r="BJ85" i="19"/>
  <c r="BK85" i="19"/>
  <c r="BL85" i="19"/>
  <c r="BM85" i="19"/>
  <c r="BN85" i="19"/>
  <c r="BO85" i="19"/>
  <c r="BP85" i="19"/>
  <c r="BQ85" i="19"/>
  <c r="BR85" i="19"/>
  <c r="BS85" i="19"/>
  <c r="BT85" i="19"/>
  <c r="BU85" i="19"/>
  <c r="BV85" i="19"/>
  <c r="BW85" i="19"/>
  <c r="BX85" i="19"/>
  <c r="BY85" i="19"/>
  <c r="BZ85" i="19"/>
  <c r="CA85" i="19"/>
  <c r="CB85" i="19"/>
  <c r="CC85" i="19"/>
  <c r="CD85" i="19"/>
  <c r="CE85" i="19"/>
  <c r="CF85" i="19"/>
  <c r="CG85" i="19"/>
  <c r="CH85" i="19"/>
  <c r="CI85" i="19"/>
  <c r="CL85" i="19"/>
  <c r="CO85" i="19"/>
  <c r="CP85" i="19"/>
  <c r="CQ85" i="19"/>
  <c r="CT85" i="19"/>
  <c r="CU85" i="19"/>
  <c r="CV85" i="19"/>
  <c r="CW85" i="19"/>
  <c r="CX85" i="19"/>
  <c r="CY85" i="19"/>
  <c r="CZ85" i="19"/>
  <c r="DA85" i="19"/>
  <c r="DB85" i="19"/>
  <c r="DC85" i="19"/>
  <c r="DD85" i="19"/>
  <c r="DE85" i="19"/>
  <c r="DF85" i="19"/>
  <c r="DG85" i="19"/>
  <c r="DH85" i="19"/>
  <c r="DI85" i="19"/>
  <c r="DJ85" i="19"/>
  <c r="DK85" i="19"/>
  <c r="DL85" i="19"/>
  <c r="DM85" i="19"/>
  <c r="DN85" i="19"/>
  <c r="DO85" i="19"/>
  <c r="DP85" i="19"/>
  <c r="DQ85" i="19"/>
  <c r="DR85" i="19"/>
  <c r="DU85" i="19"/>
  <c r="DV85" i="19"/>
  <c r="DW85" i="19"/>
  <c r="EC85" i="19"/>
  <c r="ED85" i="19"/>
  <c r="EE85" i="19"/>
  <c r="EK85" i="19"/>
  <c r="EL85" i="19"/>
  <c r="EM85" i="19"/>
  <c r="EQ85" i="19"/>
  <c r="ER85" i="19"/>
  <c r="ES85" i="19"/>
  <c r="ET85" i="19"/>
  <c r="EU85" i="19"/>
  <c r="EV85" i="19"/>
  <c r="EW85" i="19"/>
  <c r="EX85" i="19"/>
  <c r="EY85" i="19"/>
  <c r="EZ85" i="19"/>
  <c r="FA85" i="19"/>
  <c r="FB85" i="19"/>
  <c r="D88" i="19"/>
  <c r="E88" i="19"/>
  <c r="F88" i="19"/>
  <c r="AZ88" i="19"/>
  <c r="BA88" i="19"/>
  <c r="BB88" i="19"/>
  <c r="BI88" i="19"/>
  <c r="BQ88" i="19"/>
  <c r="BR88" i="19"/>
  <c r="BX88" i="19"/>
  <c r="BY88" i="19"/>
  <c r="CG88" i="19"/>
  <c r="AY89" i="19"/>
  <c r="AZ89" i="19"/>
  <c r="BA89" i="19"/>
  <c r="BB89" i="19"/>
  <c r="BC89" i="19"/>
  <c r="BC88" i="19" s="1"/>
  <c r="BD89" i="19"/>
  <c r="BE89" i="19"/>
  <c r="BF89" i="19"/>
  <c r="BF88" i="19" s="1"/>
  <c r="BG89" i="19"/>
  <c r="BH89" i="19"/>
  <c r="BI89" i="19"/>
  <c r="BJ89" i="19"/>
  <c r="BJ88" i="19" s="1"/>
  <c r="BK89" i="19"/>
  <c r="BK88" i="19" s="1"/>
  <c r="BL89" i="19"/>
  <c r="BM89" i="19"/>
  <c r="BN89" i="19"/>
  <c r="BN88" i="19" s="1"/>
  <c r="BO89" i="19"/>
  <c r="BP89" i="19"/>
  <c r="BQ89" i="19"/>
  <c r="BR89" i="19"/>
  <c r="BS89" i="19"/>
  <c r="BS88" i="19" s="1"/>
  <c r="BT89" i="19"/>
  <c r="BU89" i="19"/>
  <c r="BV89" i="19"/>
  <c r="BV88" i="19" s="1"/>
  <c r="BW89" i="19"/>
  <c r="BX89" i="19"/>
  <c r="BY89" i="19"/>
  <c r="BZ89" i="19"/>
  <c r="BZ88" i="19" s="1"/>
  <c r="CA89" i="19"/>
  <c r="CA88" i="19" s="1"/>
  <c r="CB89" i="19"/>
  <c r="CC89" i="19"/>
  <c r="CD89" i="19"/>
  <c r="CD88" i="19" s="1"/>
  <c r="CE89" i="19"/>
  <c r="CF89" i="19"/>
  <c r="CG89" i="19"/>
  <c r="CH89" i="19"/>
  <c r="CH88" i="19" s="1"/>
  <c r="AY90" i="19"/>
  <c r="AZ90" i="19"/>
  <c r="BA90" i="19"/>
  <c r="BB90" i="19"/>
  <c r="BC90" i="19"/>
  <c r="BD90" i="19"/>
  <c r="BE90" i="19"/>
  <c r="BE88" i="19" s="1"/>
  <c r="BF90" i="19"/>
  <c r="BG90" i="19"/>
  <c r="BH90" i="19"/>
  <c r="BI90" i="19"/>
  <c r="BJ90" i="19"/>
  <c r="BK90" i="19"/>
  <c r="BL90" i="19"/>
  <c r="BM90" i="19"/>
  <c r="BM88" i="19" s="1"/>
  <c r="BN90" i="19"/>
  <c r="BO90" i="19"/>
  <c r="BP90" i="19"/>
  <c r="BQ90" i="19"/>
  <c r="BR90" i="19"/>
  <c r="BS90" i="19"/>
  <c r="BT90" i="19"/>
  <c r="BU90" i="19"/>
  <c r="BU88" i="19" s="1"/>
  <c r="BV90" i="19"/>
  <c r="BW90" i="19"/>
  <c r="BX90" i="19"/>
  <c r="BY90" i="19"/>
  <c r="BZ90" i="19"/>
  <c r="CA90" i="19"/>
  <c r="CB90" i="19"/>
  <c r="CC90" i="19"/>
  <c r="CC88" i="19" s="1"/>
  <c r="CD90" i="19"/>
  <c r="CE90" i="19"/>
  <c r="CF90" i="19"/>
  <c r="CG90" i="19"/>
  <c r="CH90" i="19"/>
  <c r="AY91" i="19"/>
  <c r="AZ91" i="19"/>
  <c r="BA91" i="19"/>
  <c r="BB91" i="19"/>
  <c r="BC91" i="19"/>
  <c r="BD91" i="19"/>
  <c r="BE91" i="19"/>
  <c r="BF91" i="19"/>
  <c r="BG91" i="19"/>
  <c r="BH91" i="19"/>
  <c r="BH88" i="19" s="1"/>
  <c r="BI91" i="19"/>
  <c r="BJ91" i="19"/>
  <c r="BK91" i="19"/>
  <c r="BL91" i="19"/>
  <c r="BM91" i="19"/>
  <c r="BN91" i="19"/>
  <c r="BO91" i="19"/>
  <c r="BP91" i="19"/>
  <c r="BP88" i="19" s="1"/>
  <c r="BQ91" i="19"/>
  <c r="BR91" i="19"/>
  <c r="BS91" i="19"/>
  <c r="BT91" i="19"/>
  <c r="BU91" i="19"/>
  <c r="BV91" i="19"/>
  <c r="BW91" i="19"/>
  <c r="BX91" i="19"/>
  <c r="BY91" i="19"/>
  <c r="BZ91" i="19"/>
  <c r="CA91" i="19"/>
  <c r="CB91" i="19"/>
  <c r="CC91" i="19"/>
  <c r="CD91" i="19"/>
  <c r="CE91" i="19"/>
  <c r="CF91" i="19"/>
  <c r="CF88" i="19" s="1"/>
  <c r="CG91" i="19"/>
  <c r="CH91" i="19"/>
  <c r="D94" i="19"/>
  <c r="E94" i="19"/>
  <c r="F94" i="19"/>
  <c r="BE94" i="19"/>
  <c r="BM94" i="19"/>
  <c r="BN94" i="19"/>
  <c r="BU94" i="19"/>
  <c r="CC94" i="19"/>
  <c r="AY95" i="19"/>
  <c r="AY94" i="19" s="1"/>
  <c r="AZ95" i="19"/>
  <c r="BA95" i="19"/>
  <c r="BB95" i="19"/>
  <c r="BC95" i="19"/>
  <c r="BD95" i="19"/>
  <c r="BD94" i="19" s="1"/>
  <c r="BE95" i="19"/>
  <c r="BF95" i="19"/>
  <c r="BG95" i="19"/>
  <c r="BG94" i="19" s="1"/>
  <c r="BH95" i="19"/>
  <c r="BI95" i="19"/>
  <c r="BJ95" i="19"/>
  <c r="BK95" i="19"/>
  <c r="BL95" i="19"/>
  <c r="BL94" i="19" s="1"/>
  <c r="BM95" i="19"/>
  <c r="BN95" i="19"/>
  <c r="BO95" i="19"/>
  <c r="BO94" i="19" s="1"/>
  <c r="BP95" i="19"/>
  <c r="BQ95" i="19"/>
  <c r="BR95" i="19"/>
  <c r="BS95" i="19"/>
  <c r="BT95" i="19"/>
  <c r="BT94" i="19" s="1"/>
  <c r="BU95" i="19"/>
  <c r="BV95" i="19"/>
  <c r="BW95" i="19"/>
  <c r="BW94" i="19" s="1"/>
  <c r="BX95" i="19"/>
  <c r="BY95" i="19"/>
  <c r="BZ95" i="19"/>
  <c r="CA95" i="19"/>
  <c r="CB95" i="19"/>
  <c r="CB94" i="19" s="1"/>
  <c r="CC95" i="19"/>
  <c r="CD95" i="19"/>
  <c r="CE95" i="19"/>
  <c r="CE94" i="19" s="1"/>
  <c r="CF95" i="19"/>
  <c r="CG95" i="19"/>
  <c r="CH95" i="19"/>
  <c r="AY96" i="19"/>
  <c r="AZ96" i="19"/>
  <c r="BA96" i="19"/>
  <c r="BB96" i="19"/>
  <c r="BB94" i="19" s="1"/>
  <c r="BC96" i="19"/>
  <c r="BD96" i="19"/>
  <c r="BE96" i="19"/>
  <c r="BF96" i="19"/>
  <c r="BG96" i="19"/>
  <c r="BH96" i="19"/>
  <c r="BI96" i="19"/>
  <c r="BJ96" i="19"/>
  <c r="BJ94" i="19" s="1"/>
  <c r="BK96" i="19"/>
  <c r="BL96" i="19"/>
  <c r="BM96" i="19"/>
  <c r="BN96" i="19"/>
  <c r="BO96" i="19"/>
  <c r="BP96" i="19"/>
  <c r="BQ96" i="19"/>
  <c r="BR96" i="19"/>
  <c r="BR94" i="19" s="1"/>
  <c r="BS96" i="19"/>
  <c r="BT96" i="19"/>
  <c r="BU96" i="19"/>
  <c r="BV96" i="19"/>
  <c r="BW96" i="19"/>
  <c r="BX96" i="19"/>
  <c r="BY96" i="19"/>
  <c r="BZ96" i="19"/>
  <c r="BZ94" i="19" s="1"/>
  <c r="CA96" i="19"/>
  <c r="CB96" i="19"/>
  <c r="CC96" i="19"/>
  <c r="CD96" i="19"/>
  <c r="CE96" i="19"/>
  <c r="CF96" i="19"/>
  <c r="CG96" i="19"/>
  <c r="CH96" i="19"/>
  <c r="CH94" i="19" s="1"/>
  <c r="AY97" i="19"/>
  <c r="AZ97" i="19"/>
  <c r="BA97" i="19"/>
  <c r="BB97" i="19"/>
  <c r="BC97" i="19"/>
  <c r="BD97" i="19"/>
  <c r="BE97" i="19"/>
  <c r="BF97" i="19"/>
  <c r="BF94" i="19" s="1"/>
  <c r="BG97" i="19"/>
  <c r="BH97" i="19"/>
  <c r="BI97" i="19"/>
  <c r="BJ97" i="19"/>
  <c r="BK97" i="19"/>
  <c r="BL97" i="19"/>
  <c r="BM97" i="19"/>
  <c r="BN97" i="19"/>
  <c r="BO97" i="19"/>
  <c r="BP97" i="19"/>
  <c r="BQ97" i="19"/>
  <c r="BR97" i="19"/>
  <c r="BS97" i="19"/>
  <c r="BT97" i="19"/>
  <c r="BU97" i="19"/>
  <c r="BV97" i="19"/>
  <c r="BV94" i="19" s="1"/>
  <c r="BW97" i="19"/>
  <c r="BX97" i="19"/>
  <c r="BY97" i="19"/>
  <c r="BZ97" i="19"/>
  <c r="CA97" i="19"/>
  <c r="CB97" i="19"/>
  <c r="CC97" i="19"/>
  <c r="CD97" i="19"/>
  <c r="CD94" i="19" s="1"/>
  <c r="CE97" i="19"/>
  <c r="CF97" i="19"/>
  <c r="CG97" i="19"/>
  <c r="CH97" i="19"/>
  <c r="D150" i="19"/>
  <c r="E150" i="19"/>
  <c r="F150" i="19"/>
  <c r="G150" i="19"/>
  <c r="H150" i="19"/>
  <c r="I150" i="19"/>
  <c r="J150" i="19"/>
  <c r="K150" i="19"/>
  <c r="L150" i="19"/>
  <c r="BP150" i="19"/>
  <c r="BX150" i="19"/>
  <c r="CV150" i="19"/>
  <c r="DD150" i="19"/>
  <c r="EB150" i="19"/>
  <c r="EJ150" i="19"/>
  <c r="AY151" i="19"/>
  <c r="AY150" i="19" s="1"/>
  <c r="AZ151" i="19"/>
  <c r="AZ150" i="19" s="1"/>
  <c r="BA151" i="19"/>
  <c r="BB151" i="19"/>
  <c r="BB150" i="19" s="1"/>
  <c r="BC151" i="19"/>
  <c r="BC150" i="19" s="1"/>
  <c r="BD151" i="19"/>
  <c r="BD150" i="19" s="1"/>
  <c r="BE151" i="19"/>
  <c r="BE150" i="19" s="1"/>
  <c r="BF151" i="19"/>
  <c r="BF150" i="19" s="1"/>
  <c r="BG151" i="19"/>
  <c r="BG150" i="19" s="1"/>
  <c r="BH151" i="19"/>
  <c r="BH150" i="19" s="1"/>
  <c r="BI151" i="19"/>
  <c r="BI150" i="19" s="1"/>
  <c r="BJ151" i="19"/>
  <c r="BJ150" i="19" s="1"/>
  <c r="BK151" i="19"/>
  <c r="BK150" i="19" s="1"/>
  <c r="BL151" i="19"/>
  <c r="BL150" i="19" s="1"/>
  <c r="BM151" i="19"/>
  <c r="BM150" i="19" s="1"/>
  <c r="BN151" i="19"/>
  <c r="BN150" i="19" s="1"/>
  <c r="BO151" i="19"/>
  <c r="BO150" i="19" s="1"/>
  <c r="BP151" i="19"/>
  <c r="BQ151" i="19"/>
  <c r="BQ150" i="19" s="1"/>
  <c r="BR151" i="19"/>
  <c r="BR150" i="19" s="1"/>
  <c r="BS151" i="19"/>
  <c r="BS150" i="19" s="1"/>
  <c r="BT151" i="19"/>
  <c r="BT150" i="19" s="1"/>
  <c r="BU151" i="19"/>
  <c r="BU150" i="19" s="1"/>
  <c r="BV151" i="19"/>
  <c r="BV150" i="19" s="1"/>
  <c r="BW151" i="19"/>
  <c r="BW150" i="19" s="1"/>
  <c r="BX151" i="19"/>
  <c r="BY151" i="19"/>
  <c r="BY150" i="19" s="1"/>
  <c r="BZ151" i="19"/>
  <c r="BZ150" i="19" s="1"/>
  <c r="CA151" i="19"/>
  <c r="CA150" i="19" s="1"/>
  <c r="CB151" i="19"/>
  <c r="CB150" i="19" s="1"/>
  <c r="CC151" i="19"/>
  <c r="CC150" i="19" s="1"/>
  <c r="CD151" i="19"/>
  <c r="CD150" i="19" s="1"/>
  <c r="CE151" i="19"/>
  <c r="CE150" i="19" s="1"/>
  <c r="CF151" i="19"/>
  <c r="CF150" i="19" s="1"/>
  <c r="CG151" i="19"/>
  <c r="CG150" i="19" s="1"/>
  <c r="CH151" i="19"/>
  <c r="CH150" i="19" s="1"/>
  <c r="CI151" i="19"/>
  <c r="CI150" i="19" s="1"/>
  <c r="CJ151" i="19"/>
  <c r="CJ150" i="19" s="1"/>
  <c r="CK151" i="19"/>
  <c r="CK150" i="19" s="1"/>
  <c r="CL151" i="19"/>
  <c r="CL150" i="19" s="1"/>
  <c r="CM151" i="19"/>
  <c r="CM150" i="19" s="1"/>
  <c r="CN151" i="19"/>
  <c r="CN150" i="19" s="1"/>
  <c r="CO151" i="19"/>
  <c r="CO150" i="19" s="1"/>
  <c r="CP151" i="19"/>
  <c r="CP150" i="19" s="1"/>
  <c r="CQ151" i="19"/>
  <c r="CQ150" i="19" s="1"/>
  <c r="CR151" i="19"/>
  <c r="CR150" i="19" s="1"/>
  <c r="CS151" i="19"/>
  <c r="CS150" i="19" s="1"/>
  <c r="CT151" i="19"/>
  <c r="CT150" i="19" s="1"/>
  <c r="CU151" i="19"/>
  <c r="CU150" i="19" s="1"/>
  <c r="CV151" i="19"/>
  <c r="CW151" i="19"/>
  <c r="CW150" i="19" s="1"/>
  <c r="CX151" i="19"/>
  <c r="CX150" i="19" s="1"/>
  <c r="CY151" i="19"/>
  <c r="CY150" i="19" s="1"/>
  <c r="CZ151" i="19"/>
  <c r="CZ150" i="19" s="1"/>
  <c r="DA151" i="19"/>
  <c r="DA150" i="19" s="1"/>
  <c r="DB151" i="19"/>
  <c r="DB150" i="19" s="1"/>
  <c r="DC151" i="19"/>
  <c r="DC150" i="19" s="1"/>
  <c r="DD151" i="19"/>
  <c r="DE151" i="19"/>
  <c r="DE150" i="19" s="1"/>
  <c r="DF151" i="19"/>
  <c r="DF150" i="19" s="1"/>
  <c r="DG151" i="19"/>
  <c r="DG150" i="19" s="1"/>
  <c r="DH151" i="19"/>
  <c r="DH150" i="19" s="1"/>
  <c r="DI151" i="19"/>
  <c r="DI150" i="19" s="1"/>
  <c r="DJ151" i="19"/>
  <c r="DJ150" i="19" s="1"/>
  <c r="DK151" i="19"/>
  <c r="DK150" i="19" s="1"/>
  <c r="DL151" i="19"/>
  <c r="DL150" i="19" s="1"/>
  <c r="DM151" i="19"/>
  <c r="DM150" i="19" s="1"/>
  <c r="DN151" i="19"/>
  <c r="DN150" i="19" s="1"/>
  <c r="DO151" i="19"/>
  <c r="DO150" i="19" s="1"/>
  <c r="DP151" i="19"/>
  <c r="DP150" i="19" s="1"/>
  <c r="DQ151" i="19"/>
  <c r="DQ150" i="19" s="1"/>
  <c r="DR151" i="19"/>
  <c r="DR150" i="19" s="1"/>
  <c r="DS151" i="19"/>
  <c r="DS150" i="19" s="1"/>
  <c r="DT151" i="19"/>
  <c r="DT150" i="19" s="1"/>
  <c r="DU151" i="19"/>
  <c r="DU150" i="19" s="1"/>
  <c r="DV151" i="19"/>
  <c r="DV150" i="19" s="1"/>
  <c r="DW151" i="19"/>
  <c r="DW150" i="19" s="1"/>
  <c r="DX151" i="19"/>
  <c r="DX150" i="19" s="1"/>
  <c r="DY151" i="19"/>
  <c r="DY150" i="19" s="1"/>
  <c r="DZ151" i="19"/>
  <c r="DZ150" i="19" s="1"/>
  <c r="EA151" i="19"/>
  <c r="EA150" i="19" s="1"/>
  <c r="EB151" i="19"/>
  <c r="EC151" i="19"/>
  <c r="EC150" i="19" s="1"/>
  <c r="ED151" i="19"/>
  <c r="ED150" i="19" s="1"/>
  <c r="EE151" i="19"/>
  <c r="EE150" i="19" s="1"/>
  <c r="EF151" i="19"/>
  <c r="EF150" i="19" s="1"/>
  <c r="EG151" i="19"/>
  <c r="EG150" i="19" s="1"/>
  <c r="EH151" i="19"/>
  <c r="EH150" i="19" s="1"/>
  <c r="EI151" i="19"/>
  <c r="EI150" i="19" s="1"/>
  <c r="EJ151" i="19"/>
  <c r="EK151" i="19"/>
  <c r="EK150" i="19" s="1"/>
  <c r="EL151" i="19"/>
  <c r="EL150" i="19" s="1"/>
  <c r="EM151" i="19"/>
  <c r="EM150" i="19" s="1"/>
  <c r="EN151" i="19"/>
  <c r="EN150" i="19" s="1"/>
  <c r="EO151" i="19"/>
  <c r="EO150" i="19" s="1"/>
  <c r="EP151" i="19"/>
  <c r="EP150" i="19" s="1"/>
  <c r="EQ151" i="19"/>
  <c r="EQ150" i="19" s="1"/>
  <c r="ER151" i="19"/>
  <c r="ER150" i="19" s="1"/>
  <c r="ES151" i="19"/>
  <c r="ES150" i="19" s="1"/>
  <c r="ET151" i="19"/>
  <c r="ET150" i="19" s="1"/>
  <c r="EU151" i="19"/>
  <c r="EU150" i="19" s="1"/>
  <c r="EV151" i="19"/>
  <c r="EV150" i="19" s="1"/>
  <c r="EW151" i="19"/>
  <c r="EW150" i="19" s="1"/>
  <c r="EX151" i="19"/>
  <c r="EX150" i="19" s="1"/>
  <c r="EY151" i="19"/>
  <c r="EY150" i="19" s="1"/>
  <c r="EZ151" i="19"/>
  <c r="EZ150" i="19" s="1"/>
  <c r="FA151" i="19"/>
  <c r="FA150" i="19" s="1"/>
  <c r="FB151" i="19"/>
  <c r="FB150" i="19" s="1"/>
  <c r="AY152" i="19"/>
  <c r="AZ152" i="19"/>
  <c r="BA152" i="19"/>
  <c r="BB152" i="19"/>
  <c r="BC152" i="19"/>
  <c r="BD152" i="19"/>
  <c r="BE152" i="19"/>
  <c r="BF152" i="19"/>
  <c r="BG152" i="19"/>
  <c r="BH152" i="19"/>
  <c r="BI152" i="19"/>
  <c r="BJ152" i="19"/>
  <c r="BK152" i="19"/>
  <c r="BL152" i="19"/>
  <c r="BM152" i="19"/>
  <c r="BN152" i="19"/>
  <c r="BO152" i="19"/>
  <c r="BP152" i="19"/>
  <c r="BQ152" i="19"/>
  <c r="BR152" i="19"/>
  <c r="BS152" i="19"/>
  <c r="BT152" i="19"/>
  <c r="BU152" i="19"/>
  <c r="BV152" i="19"/>
  <c r="BW152" i="19"/>
  <c r="BX152" i="19"/>
  <c r="BY152" i="19"/>
  <c r="BZ152" i="19"/>
  <c r="CA152" i="19"/>
  <c r="CB152" i="19"/>
  <c r="CC152" i="19"/>
  <c r="CD152" i="19"/>
  <c r="CE152" i="19"/>
  <c r="CF152" i="19"/>
  <c r="CG152" i="19"/>
  <c r="CH152" i="19"/>
  <c r="CI152" i="19"/>
  <c r="CJ152" i="19"/>
  <c r="CK152" i="19"/>
  <c r="CL152" i="19"/>
  <c r="CM152" i="19"/>
  <c r="CN152" i="19"/>
  <c r="CO152" i="19"/>
  <c r="CP152" i="19"/>
  <c r="CQ152" i="19"/>
  <c r="CR152" i="19"/>
  <c r="CS152" i="19"/>
  <c r="CT152" i="19"/>
  <c r="CU152" i="19"/>
  <c r="CV152" i="19"/>
  <c r="CW152" i="19"/>
  <c r="CX152" i="19"/>
  <c r="CY152" i="19"/>
  <c r="CZ152" i="19"/>
  <c r="DA152" i="19"/>
  <c r="DB152" i="19"/>
  <c r="DC152" i="19"/>
  <c r="DD152" i="19"/>
  <c r="DE152" i="19"/>
  <c r="DF152" i="19"/>
  <c r="DG152" i="19"/>
  <c r="DH152" i="19"/>
  <c r="DI152" i="19"/>
  <c r="DJ152" i="19"/>
  <c r="DK152" i="19"/>
  <c r="DL152" i="19"/>
  <c r="DM152" i="19"/>
  <c r="DN152" i="19"/>
  <c r="DO152" i="19"/>
  <c r="DP152" i="19"/>
  <c r="DQ152" i="19"/>
  <c r="DR152" i="19"/>
  <c r="DS152" i="19"/>
  <c r="DT152" i="19"/>
  <c r="DU152" i="19"/>
  <c r="DV152" i="19"/>
  <c r="DW152" i="19"/>
  <c r="DX152" i="19"/>
  <c r="DY152" i="19"/>
  <c r="DZ152" i="19"/>
  <c r="EA152" i="19"/>
  <c r="EB152" i="19"/>
  <c r="EC152" i="19"/>
  <c r="ED152" i="19"/>
  <c r="EE152" i="19"/>
  <c r="EF152" i="19"/>
  <c r="EG152" i="19"/>
  <c r="EH152" i="19"/>
  <c r="EI152" i="19"/>
  <c r="EJ152" i="19"/>
  <c r="EK152" i="19"/>
  <c r="EL152" i="19"/>
  <c r="EM152" i="19"/>
  <c r="EN152" i="19"/>
  <c r="EO152" i="19"/>
  <c r="EP152" i="19"/>
  <c r="EQ152" i="19"/>
  <c r="ER152" i="19"/>
  <c r="ES152" i="19"/>
  <c r="ET152" i="19"/>
  <c r="EU152" i="19"/>
  <c r="EV152" i="19"/>
  <c r="EW152" i="19"/>
  <c r="EX152" i="19"/>
  <c r="EY152" i="19"/>
  <c r="EZ152" i="19"/>
  <c r="FA152" i="19"/>
  <c r="FB152" i="19"/>
  <c r="AY153" i="19"/>
  <c r="AZ153" i="19"/>
  <c r="BA153" i="19"/>
  <c r="BB153" i="19"/>
  <c r="BC153" i="19"/>
  <c r="BD153" i="19"/>
  <c r="BE153" i="19"/>
  <c r="BF153" i="19"/>
  <c r="BG153" i="19"/>
  <c r="BH153" i="19"/>
  <c r="BI153" i="19"/>
  <c r="BJ153" i="19"/>
  <c r="BK153" i="19"/>
  <c r="BL153" i="19"/>
  <c r="BM153" i="19"/>
  <c r="BN153" i="19"/>
  <c r="BO153" i="19"/>
  <c r="BP153" i="19"/>
  <c r="BQ153" i="19"/>
  <c r="BR153" i="19"/>
  <c r="BS153" i="19"/>
  <c r="BT153" i="19"/>
  <c r="BU153" i="19"/>
  <c r="BV153" i="19"/>
  <c r="BW153" i="19"/>
  <c r="BX153" i="19"/>
  <c r="BY153" i="19"/>
  <c r="BZ153" i="19"/>
  <c r="CA153" i="19"/>
  <c r="CB153" i="19"/>
  <c r="CC153" i="19"/>
  <c r="CD153" i="19"/>
  <c r="CE153" i="19"/>
  <c r="CF153" i="19"/>
  <c r="CG153" i="19"/>
  <c r="CH153" i="19"/>
  <c r="CI153" i="19"/>
  <c r="CJ153" i="19"/>
  <c r="CK153" i="19"/>
  <c r="CL153" i="19"/>
  <c r="CM153" i="19"/>
  <c r="CN153" i="19"/>
  <c r="CO153" i="19"/>
  <c r="CP153" i="19"/>
  <c r="CQ153" i="19"/>
  <c r="CR153" i="19"/>
  <c r="CS153" i="19"/>
  <c r="CT153" i="19"/>
  <c r="CU153" i="19"/>
  <c r="CV153" i="19"/>
  <c r="CW153" i="19"/>
  <c r="CX153" i="19"/>
  <c r="CY153" i="19"/>
  <c r="CZ153" i="19"/>
  <c r="DA153" i="19"/>
  <c r="DB153" i="19"/>
  <c r="DC153" i="19"/>
  <c r="DD153" i="19"/>
  <c r="DE153" i="19"/>
  <c r="DF153" i="19"/>
  <c r="DG153" i="19"/>
  <c r="DH153" i="19"/>
  <c r="DI153" i="19"/>
  <c r="DJ153" i="19"/>
  <c r="DK153" i="19"/>
  <c r="DL153" i="19"/>
  <c r="DM153" i="19"/>
  <c r="DN153" i="19"/>
  <c r="DO153" i="19"/>
  <c r="DP153" i="19"/>
  <c r="DQ153" i="19"/>
  <c r="DR153" i="19"/>
  <c r="DS153" i="19"/>
  <c r="DT153" i="19"/>
  <c r="DU153" i="19"/>
  <c r="DV153" i="19"/>
  <c r="DW153" i="19"/>
  <c r="DX153" i="19"/>
  <c r="DY153" i="19"/>
  <c r="DZ153" i="19"/>
  <c r="EA153" i="19"/>
  <c r="EB153" i="19"/>
  <c r="EC153" i="19"/>
  <c r="ED153" i="19"/>
  <c r="EE153" i="19"/>
  <c r="EF153" i="19"/>
  <c r="EG153" i="19"/>
  <c r="EH153" i="19"/>
  <c r="EI153" i="19"/>
  <c r="EJ153" i="19"/>
  <c r="EK153" i="19"/>
  <c r="EL153" i="19"/>
  <c r="EM153" i="19"/>
  <c r="EN153" i="19"/>
  <c r="EO153" i="19"/>
  <c r="EP153" i="19"/>
  <c r="EQ153" i="19"/>
  <c r="ER153" i="19"/>
  <c r="ES153" i="19"/>
  <c r="ET153" i="19"/>
  <c r="EU153" i="19"/>
  <c r="EV153" i="19"/>
  <c r="EW153" i="19"/>
  <c r="EX153" i="19"/>
  <c r="EY153" i="19"/>
  <c r="EZ153" i="19"/>
  <c r="FA153" i="19"/>
  <c r="FB153" i="19"/>
  <c r="D156" i="19"/>
  <c r="E156" i="19"/>
  <c r="F156" i="19"/>
  <c r="J156" i="19"/>
  <c r="L156" i="19"/>
  <c r="AY156" i="19"/>
  <c r="AZ156" i="19"/>
  <c r="BG156" i="19"/>
  <c r="BH156" i="19"/>
  <c r="BO156" i="19"/>
  <c r="BP156" i="19"/>
  <c r="BW156" i="19"/>
  <c r="BX156" i="19"/>
  <c r="CE156" i="19"/>
  <c r="CF156" i="19"/>
  <c r="CU156" i="19"/>
  <c r="DC156" i="19"/>
  <c r="DS156" i="19"/>
  <c r="DT156" i="19"/>
  <c r="EA156" i="19"/>
  <c r="EB156" i="19"/>
  <c r="EI156" i="19"/>
  <c r="EJ156" i="19"/>
  <c r="EQ156" i="19"/>
  <c r="ER156" i="19"/>
  <c r="EY156" i="19"/>
  <c r="EZ156" i="19"/>
  <c r="I157" i="19"/>
  <c r="J157" i="19"/>
  <c r="K157" i="19"/>
  <c r="AY157" i="19"/>
  <c r="AZ157" i="19"/>
  <c r="BA157" i="19"/>
  <c r="BB157" i="19"/>
  <c r="BC157" i="19"/>
  <c r="BD157" i="19"/>
  <c r="BD156" i="19" s="1"/>
  <c r="BE157" i="19"/>
  <c r="BF157" i="19"/>
  <c r="BF156" i="19" s="1"/>
  <c r="BG157" i="19"/>
  <c r="BH157" i="19"/>
  <c r="BI157" i="19"/>
  <c r="BJ157" i="19"/>
  <c r="BK157" i="19"/>
  <c r="BL157" i="19"/>
  <c r="BL156" i="19" s="1"/>
  <c r="BM157" i="19"/>
  <c r="BN157" i="19"/>
  <c r="BN156" i="19" s="1"/>
  <c r="BO157" i="19"/>
  <c r="BP157" i="19"/>
  <c r="BQ157" i="19"/>
  <c r="BR157" i="19"/>
  <c r="BS157" i="19"/>
  <c r="BT157" i="19"/>
  <c r="BT156" i="19" s="1"/>
  <c r="BU157" i="19"/>
  <c r="BV157" i="19"/>
  <c r="BV156" i="19" s="1"/>
  <c r="BW157" i="19"/>
  <c r="BX157" i="19"/>
  <c r="BY157" i="19"/>
  <c r="BZ157" i="19"/>
  <c r="CA157" i="19"/>
  <c r="CB157" i="19"/>
  <c r="CB156" i="19" s="1"/>
  <c r="CC157" i="19"/>
  <c r="CD157" i="19"/>
  <c r="CD156" i="19" s="1"/>
  <c r="CE157" i="19"/>
  <c r="CF157" i="19"/>
  <c r="CG157" i="19"/>
  <c r="CH157" i="19"/>
  <c r="CI157" i="19"/>
  <c r="CJ157" i="19"/>
  <c r="CK157" i="19"/>
  <c r="CL157" i="19"/>
  <c r="CL156" i="19" s="1"/>
  <c r="CM157" i="19"/>
  <c r="CN157" i="19"/>
  <c r="CO157" i="19"/>
  <c r="CP157" i="19"/>
  <c r="CQ157" i="19"/>
  <c r="CR157" i="19"/>
  <c r="CS157" i="19"/>
  <c r="CT157" i="19"/>
  <c r="CU157" i="19"/>
  <c r="CV157" i="19"/>
  <c r="CW157" i="19"/>
  <c r="CX157" i="19"/>
  <c r="CY157" i="19"/>
  <c r="CZ157" i="19"/>
  <c r="DA157" i="19"/>
  <c r="DA156" i="19" s="1"/>
  <c r="DB157" i="19"/>
  <c r="DB156" i="19" s="1"/>
  <c r="DC157" i="19"/>
  <c r="DD157" i="19"/>
  <c r="DE157" i="19"/>
  <c r="DF157" i="19"/>
  <c r="DG157" i="19"/>
  <c r="DH157" i="19"/>
  <c r="DI157" i="19"/>
  <c r="DJ157" i="19"/>
  <c r="DK157" i="19"/>
  <c r="DL157" i="19"/>
  <c r="DM157" i="19"/>
  <c r="DN157" i="19"/>
  <c r="DO157" i="19"/>
  <c r="DP157" i="19"/>
  <c r="DQ157" i="19"/>
  <c r="DR157" i="19"/>
  <c r="DS157" i="19"/>
  <c r="DT157" i="19"/>
  <c r="DU157" i="19"/>
  <c r="DV157" i="19"/>
  <c r="DV156" i="19" s="1"/>
  <c r="DW157" i="19"/>
  <c r="DX157" i="19"/>
  <c r="DX156" i="19" s="1"/>
  <c r="DY157" i="19"/>
  <c r="DZ157" i="19"/>
  <c r="DZ156" i="19" s="1"/>
  <c r="EA157" i="19"/>
  <c r="EB157" i="19"/>
  <c r="EC157" i="19"/>
  <c r="ED157" i="19"/>
  <c r="ED156" i="19" s="1"/>
  <c r="EE157" i="19"/>
  <c r="EF157" i="19"/>
  <c r="EF156" i="19" s="1"/>
  <c r="EG157" i="19"/>
  <c r="EH157" i="19"/>
  <c r="EH156" i="19" s="1"/>
  <c r="EI157" i="19"/>
  <c r="EJ157" i="19"/>
  <c r="EK157" i="19"/>
  <c r="EL157" i="19"/>
  <c r="EM157" i="19"/>
  <c r="EN157" i="19"/>
  <c r="EN156" i="19" s="1"/>
  <c r="EO157" i="19"/>
  <c r="EP157" i="19"/>
  <c r="EP156" i="19" s="1"/>
  <c r="EQ157" i="19"/>
  <c r="ER157" i="19"/>
  <c r="ES157" i="19"/>
  <c r="ET157" i="19"/>
  <c r="EU157" i="19"/>
  <c r="EV157" i="19"/>
  <c r="EV156" i="19" s="1"/>
  <c r="EW157" i="19"/>
  <c r="EX157" i="19"/>
  <c r="EX156" i="19" s="1"/>
  <c r="EY157" i="19"/>
  <c r="EZ157" i="19"/>
  <c r="FA157" i="19"/>
  <c r="FB157" i="19"/>
  <c r="H158" i="19"/>
  <c r="H156" i="19" s="1"/>
  <c r="I158" i="19"/>
  <c r="DO158" i="19" s="1"/>
  <c r="AY158" i="19"/>
  <c r="AZ158" i="19"/>
  <c r="BA158" i="19"/>
  <c r="BA156" i="19" s="1"/>
  <c r="BB158" i="19"/>
  <c r="BC158" i="19"/>
  <c r="BD158" i="19"/>
  <c r="BE158" i="19"/>
  <c r="BF158" i="19"/>
  <c r="BG158" i="19"/>
  <c r="BH158" i="19"/>
  <c r="BI158" i="19"/>
  <c r="BI156" i="19" s="1"/>
  <c r="BJ158" i="19"/>
  <c r="BK158" i="19"/>
  <c r="BL158" i="19"/>
  <c r="BM158" i="19"/>
  <c r="BN158" i="19"/>
  <c r="BO158" i="19"/>
  <c r="BP158" i="19"/>
  <c r="BQ158" i="19"/>
  <c r="BQ156" i="19" s="1"/>
  <c r="BR158" i="19"/>
  <c r="BS158" i="19"/>
  <c r="BT158" i="19"/>
  <c r="BU158" i="19"/>
  <c r="BV158" i="19"/>
  <c r="BW158" i="19"/>
  <c r="BX158" i="19"/>
  <c r="BY158" i="19"/>
  <c r="BY156" i="19" s="1"/>
  <c r="BZ158" i="19"/>
  <c r="CA158" i="19"/>
  <c r="CB158" i="19"/>
  <c r="CC158" i="19"/>
  <c r="CD158" i="19"/>
  <c r="CE158" i="19"/>
  <c r="CF158" i="19"/>
  <c r="CG158" i="19"/>
  <c r="CG156" i="19" s="1"/>
  <c r="CH158" i="19"/>
  <c r="CI158" i="19"/>
  <c r="CJ158" i="19"/>
  <c r="CK158" i="19"/>
  <c r="CL158" i="19"/>
  <c r="CM158" i="19"/>
  <c r="CN158" i="19"/>
  <c r="CO158" i="19"/>
  <c r="CP158" i="19"/>
  <c r="CQ158" i="19"/>
  <c r="CR158" i="19"/>
  <c r="CS158" i="19"/>
  <c r="CT158" i="19"/>
  <c r="CU158" i="19"/>
  <c r="CV158" i="19"/>
  <c r="CW158" i="19"/>
  <c r="CX158" i="19"/>
  <c r="CY158" i="19"/>
  <c r="CZ158" i="19"/>
  <c r="DA158" i="19"/>
  <c r="DB158" i="19"/>
  <c r="DC158" i="19"/>
  <c r="DD158" i="19"/>
  <c r="DE158" i="19"/>
  <c r="DF158" i="19"/>
  <c r="DS158" i="19"/>
  <c r="DT158" i="19"/>
  <c r="DU158" i="19"/>
  <c r="DU156" i="19" s="1"/>
  <c r="DV158" i="19"/>
  <c r="DW158" i="19"/>
  <c r="DX158" i="19"/>
  <c r="DY158" i="19"/>
  <c r="DZ158" i="19"/>
  <c r="EA158" i="19"/>
  <c r="EB158" i="19"/>
  <c r="EC158" i="19"/>
  <c r="EC156" i="19" s="1"/>
  <c r="ED158" i="19"/>
  <c r="EE158" i="19"/>
  <c r="EF158" i="19"/>
  <c r="EG158" i="19"/>
  <c r="EH158" i="19"/>
  <c r="EI158" i="19"/>
  <c r="EJ158" i="19"/>
  <c r="EK158" i="19"/>
  <c r="EK156" i="19" s="1"/>
  <c r="EL158" i="19"/>
  <c r="EM158" i="19"/>
  <c r="EN158" i="19"/>
  <c r="EO158" i="19"/>
  <c r="EP158" i="19"/>
  <c r="EQ158" i="19"/>
  <c r="ER158" i="19"/>
  <c r="ES158" i="19"/>
  <c r="ES156" i="19" s="1"/>
  <c r="ET158" i="19"/>
  <c r="EU158" i="19"/>
  <c r="EV158" i="19"/>
  <c r="EW158" i="19"/>
  <c r="EX158" i="19"/>
  <c r="EY158" i="19"/>
  <c r="EZ158" i="19"/>
  <c r="FA158" i="19"/>
  <c r="FA156" i="19" s="1"/>
  <c r="FB158" i="19"/>
  <c r="G159" i="19"/>
  <c r="H159" i="19"/>
  <c r="CV159" i="19" s="1"/>
  <c r="CV156" i="19" s="1"/>
  <c r="I159" i="19"/>
  <c r="J159" i="19"/>
  <c r="K159" i="19"/>
  <c r="K156" i="19" s="1"/>
  <c r="AY159" i="19"/>
  <c r="AZ159" i="19"/>
  <c r="BA159" i="19"/>
  <c r="BB159" i="19"/>
  <c r="BC159" i="19"/>
  <c r="BD159" i="19"/>
  <c r="BE159" i="19"/>
  <c r="BF159" i="19"/>
  <c r="BG159" i="19"/>
  <c r="BH159" i="19"/>
  <c r="BI159" i="19"/>
  <c r="BJ159" i="19"/>
  <c r="BK159" i="19"/>
  <c r="BL159" i="19"/>
  <c r="BM159" i="19"/>
  <c r="BN159" i="19"/>
  <c r="BO159" i="19"/>
  <c r="BP159" i="19"/>
  <c r="BQ159" i="19"/>
  <c r="BR159" i="19"/>
  <c r="BS159" i="19"/>
  <c r="BT159" i="19"/>
  <c r="BU159" i="19"/>
  <c r="BV159" i="19"/>
  <c r="BW159" i="19"/>
  <c r="BX159" i="19"/>
  <c r="BY159" i="19"/>
  <c r="BZ159" i="19"/>
  <c r="CA159" i="19"/>
  <c r="CB159" i="19"/>
  <c r="CC159" i="19"/>
  <c r="CD159" i="19"/>
  <c r="CE159" i="19"/>
  <c r="CF159" i="19"/>
  <c r="CG159" i="19"/>
  <c r="CH159" i="19"/>
  <c r="CK159" i="19"/>
  <c r="CL159" i="19"/>
  <c r="CS159" i="19"/>
  <c r="CU159" i="19"/>
  <c r="DA159" i="19"/>
  <c r="DB159" i="19"/>
  <c r="DC159" i="19"/>
  <c r="DG159" i="19"/>
  <c r="DH159" i="19"/>
  <c r="DI159" i="19"/>
  <c r="DJ159" i="19"/>
  <c r="DK159" i="19"/>
  <c r="DL159" i="19"/>
  <c r="DM159" i="19"/>
  <c r="DN159" i="19"/>
  <c r="DO159" i="19"/>
  <c r="DP159" i="19"/>
  <c r="DQ159" i="19"/>
  <c r="DR159" i="19"/>
  <c r="DS159" i="19"/>
  <c r="DT159" i="19"/>
  <c r="DU159" i="19"/>
  <c r="DV159" i="19"/>
  <c r="DW159" i="19"/>
  <c r="DX159" i="19"/>
  <c r="DY159" i="19"/>
  <c r="DZ159" i="19"/>
  <c r="EA159" i="19"/>
  <c r="EB159" i="19"/>
  <c r="EC159" i="19"/>
  <c r="ED159" i="19"/>
  <c r="EE159" i="19"/>
  <c r="EF159" i="19"/>
  <c r="EG159" i="19"/>
  <c r="EH159" i="19"/>
  <c r="EI159" i="19"/>
  <c r="EJ159" i="19"/>
  <c r="EK159" i="19"/>
  <c r="EL159" i="19"/>
  <c r="EM159" i="19"/>
  <c r="EN159" i="19"/>
  <c r="EO159" i="19"/>
  <c r="EP159" i="19"/>
  <c r="EQ159" i="19"/>
  <c r="ER159" i="19"/>
  <c r="ES159" i="19"/>
  <c r="ET159" i="19"/>
  <c r="EU159" i="19"/>
  <c r="EV159" i="19"/>
  <c r="EW159" i="19"/>
  <c r="EX159" i="19"/>
  <c r="EY159" i="19"/>
  <c r="EZ159" i="19"/>
  <c r="FA159" i="19"/>
  <c r="FB159" i="19"/>
  <c r="D162" i="19"/>
  <c r="E162" i="19"/>
  <c r="F162" i="19"/>
  <c r="BD162" i="19"/>
  <c r="BL162" i="19"/>
  <c r="BM162" i="19"/>
  <c r="BT162" i="19"/>
  <c r="CB162" i="19"/>
  <c r="AY163" i="19"/>
  <c r="AY162" i="19" s="1"/>
  <c r="AZ163" i="19"/>
  <c r="BA163" i="19"/>
  <c r="BB163" i="19"/>
  <c r="BC163" i="19"/>
  <c r="BD163" i="19"/>
  <c r="BE163" i="19"/>
  <c r="BF163" i="19"/>
  <c r="BF162" i="19" s="1"/>
  <c r="BG163" i="19"/>
  <c r="BG162" i="19" s="1"/>
  <c r="BH163" i="19"/>
  <c r="BI163" i="19"/>
  <c r="BJ163" i="19"/>
  <c r="BK163" i="19"/>
  <c r="BL163" i="19"/>
  <c r="BM163" i="19"/>
  <c r="BN163" i="19"/>
  <c r="BN162" i="19" s="1"/>
  <c r="BO163" i="19"/>
  <c r="BO162" i="19" s="1"/>
  <c r="BP163" i="19"/>
  <c r="BQ163" i="19"/>
  <c r="BR163" i="19"/>
  <c r="BS163" i="19"/>
  <c r="BT163" i="19"/>
  <c r="BU163" i="19"/>
  <c r="BV163" i="19"/>
  <c r="BV162" i="19" s="1"/>
  <c r="BW163" i="19"/>
  <c r="BW162" i="19" s="1"/>
  <c r="BX163" i="19"/>
  <c r="BY163" i="19"/>
  <c r="BZ163" i="19"/>
  <c r="CA163" i="19"/>
  <c r="CB163" i="19"/>
  <c r="CC163" i="19"/>
  <c r="CD163" i="19"/>
  <c r="CD162" i="19" s="1"/>
  <c r="CE163" i="19"/>
  <c r="CE162" i="19" s="1"/>
  <c r="CF163" i="19"/>
  <c r="CG163" i="19"/>
  <c r="CH163" i="19"/>
  <c r="AY164" i="19"/>
  <c r="AZ164" i="19"/>
  <c r="BA164" i="19"/>
  <c r="BB164" i="19"/>
  <c r="BC164" i="19"/>
  <c r="BD164" i="19"/>
  <c r="BE164" i="19"/>
  <c r="BF164" i="19"/>
  <c r="BG164" i="19"/>
  <c r="BH164" i="19"/>
  <c r="BI164" i="19"/>
  <c r="BJ164" i="19"/>
  <c r="BK164" i="19"/>
  <c r="BL164" i="19"/>
  <c r="BM164" i="19"/>
  <c r="BN164" i="19"/>
  <c r="BO164" i="19"/>
  <c r="BP164" i="19"/>
  <c r="BQ164" i="19"/>
  <c r="BR164" i="19"/>
  <c r="BS164" i="19"/>
  <c r="BT164" i="19"/>
  <c r="BU164" i="19"/>
  <c r="BV164" i="19"/>
  <c r="BW164" i="19"/>
  <c r="BX164" i="19"/>
  <c r="BY164" i="19"/>
  <c r="BZ164" i="19"/>
  <c r="CA164" i="19"/>
  <c r="CB164" i="19"/>
  <c r="CC164" i="19"/>
  <c r="CD164" i="19"/>
  <c r="CE164" i="19"/>
  <c r="CF164" i="19"/>
  <c r="CG164" i="19"/>
  <c r="CH164" i="19"/>
  <c r="AY165" i="19"/>
  <c r="AZ165" i="19"/>
  <c r="BA165" i="19"/>
  <c r="BB165" i="19"/>
  <c r="BC165" i="19"/>
  <c r="BD165" i="19"/>
  <c r="BE165" i="19"/>
  <c r="BE162" i="19" s="1"/>
  <c r="BF165" i="19"/>
  <c r="BG165" i="19"/>
  <c r="BH165" i="19"/>
  <c r="BI165" i="19"/>
  <c r="BJ165" i="19"/>
  <c r="BK165" i="19"/>
  <c r="BL165" i="19"/>
  <c r="BM165" i="19"/>
  <c r="BN165" i="19"/>
  <c r="BO165" i="19"/>
  <c r="BP165" i="19"/>
  <c r="BQ165" i="19"/>
  <c r="BR165" i="19"/>
  <c r="BS165" i="19"/>
  <c r="BT165" i="19"/>
  <c r="BU165" i="19"/>
  <c r="BU162" i="19" s="1"/>
  <c r="BV165" i="19"/>
  <c r="BW165" i="19"/>
  <c r="BX165" i="19"/>
  <c r="BY165" i="19"/>
  <c r="BZ165" i="19"/>
  <c r="CA165" i="19"/>
  <c r="CB165" i="19"/>
  <c r="CC165" i="19"/>
  <c r="CC162" i="19" s="1"/>
  <c r="CD165" i="19"/>
  <c r="CE165" i="19"/>
  <c r="CF165" i="19"/>
  <c r="CG165" i="19"/>
  <c r="CH165" i="19"/>
  <c r="D168" i="19"/>
  <c r="E168" i="19"/>
  <c r="F168" i="19"/>
  <c r="BA168" i="19"/>
  <c r="BB168" i="19"/>
  <c r="BD168" i="19"/>
  <c r="BI168" i="19"/>
  <c r="BL168" i="19"/>
  <c r="BQ168" i="19"/>
  <c r="BR168" i="19"/>
  <c r="BT168" i="19"/>
  <c r="BY168" i="19"/>
  <c r="CB168" i="19"/>
  <c r="CG168" i="19"/>
  <c r="AY169" i="19"/>
  <c r="AY168" i="19" s="1"/>
  <c r="AZ169" i="19"/>
  <c r="BA169" i="19"/>
  <c r="BB169" i="19"/>
  <c r="BC169" i="19"/>
  <c r="BD169" i="19"/>
  <c r="BE169" i="19"/>
  <c r="BF169" i="19"/>
  <c r="BG169" i="19"/>
  <c r="BG168" i="19" s="1"/>
  <c r="BH169" i="19"/>
  <c r="BI169" i="19"/>
  <c r="BJ169" i="19"/>
  <c r="BK169" i="19"/>
  <c r="BL169" i="19"/>
  <c r="BM169" i="19"/>
  <c r="BN169" i="19"/>
  <c r="BO169" i="19"/>
  <c r="BO168" i="19" s="1"/>
  <c r="BP169" i="19"/>
  <c r="BQ169" i="19"/>
  <c r="BR169" i="19"/>
  <c r="BS169" i="19"/>
  <c r="BT169" i="19"/>
  <c r="BU169" i="19"/>
  <c r="BV169" i="19"/>
  <c r="BW169" i="19"/>
  <c r="BW168" i="19" s="1"/>
  <c r="BX169" i="19"/>
  <c r="BY169" i="19"/>
  <c r="BZ169" i="19"/>
  <c r="CA169" i="19"/>
  <c r="CB169" i="19"/>
  <c r="CC169" i="19"/>
  <c r="CD169" i="19"/>
  <c r="CE169" i="19"/>
  <c r="CE168" i="19" s="1"/>
  <c r="CF169" i="19"/>
  <c r="CG169" i="19"/>
  <c r="CH169" i="19"/>
  <c r="AY170" i="19"/>
  <c r="AZ170" i="19"/>
  <c r="BA170" i="19"/>
  <c r="BB170" i="19"/>
  <c r="BC170" i="19"/>
  <c r="BD170" i="19"/>
  <c r="BE170" i="19"/>
  <c r="BF170" i="19"/>
  <c r="BG170" i="19"/>
  <c r="BH170" i="19"/>
  <c r="BI170" i="19"/>
  <c r="BJ170" i="19"/>
  <c r="BK170" i="19"/>
  <c r="BL170" i="19"/>
  <c r="BM170" i="19"/>
  <c r="BN170" i="19"/>
  <c r="BO170" i="19"/>
  <c r="BP170" i="19"/>
  <c r="BQ170" i="19"/>
  <c r="BR170" i="19"/>
  <c r="BS170" i="19"/>
  <c r="BT170" i="19"/>
  <c r="BU170" i="19"/>
  <c r="BV170" i="19"/>
  <c r="BW170" i="19"/>
  <c r="BX170" i="19"/>
  <c r="BY170" i="19"/>
  <c r="BZ170" i="19"/>
  <c r="CA170" i="19"/>
  <c r="CB170" i="19"/>
  <c r="CC170" i="19"/>
  <c r="CD170" i="19"/>
  <c r="CE170" i="19"/>
  <c r="CF170" i="19"/>
  <c r="CG170" i="19"/>
  <c r="CH170" i="19"/>
  <c r="AY171" i="19"/>
  <c r="AZ171" i="19"/>
  <c r="BA171" i="19"/>
  <c r="BB171" i="19"/>
  <c r="BC171" i="19"/>
  <c r="BD171" i="19"/>
  <c r="BE171" i="19"/>
  <c r="BF171" i="19"/>
  <c r="BG171" i="19"/>
  <c r="BH171" i="19"/>
  <c r="BI171" i="19"/>
  <c r="BJ171" i="19"/>
  <c r="BJ168" i="19" s="1"/>
  <c r="BK171" i="19"/>
  <c r="BL171" i="19"/>
  <c r="BM171" i="19"/>
  <c r="BN171" i="19"/>
  <c r="BO171" i="19"/>
  <c r="BP171" i="19"/>
  <c r="BQ171" i="19"/>
  <c r="BR171" i="19"/>
  <c r="BS171" i="19"/>
  <c r="BT171" i="19"/>
  <c r="BU171" i="19"/>
  <c r="BV171" i="19"/>
  <c r="BW171" i="19"/>
  <c r="BX171" i="19"/>
  <c r="BY171" i="19"/>
  <c r="BZ171" i="19"/>
  <c r="BZ168" i="19" s="1"/>
  <c r="CA171" i="19"/>
  <c r="CB171" i="19"/>
  <c r="CC171" i="19"/>
  <c r="CD171" i="19"/>
  <c r="CE171" i="19"/>
  <c r="CF171" i="19"/>
  <c r="CG171" i="19"/>
  <c r="CH171" i="19"/>
  <c r="CH168" i="19" s="1"/>
  <c r="D224" i="19"/>
  <c r="E224" i="19"/>
  <c r="F224" i="19"/>
  <c r="G224" i="19"/>
  <c r="H224" i="19"/>
  <c r="I224" i="19"/>
  <c r="J224" i="19"/>
  <c r="K224" i="19"/>
  <c r="L224" i="19"/>
  <c r="AY225" i="19"/>
  <c r="AZ225" i="19"/>
  <c r="AZ224" i="19" s="1"/>
  <c r="BA225" i="19"/>
  <c r="BA224" i="19" s="1"/>
  <c r="BB225" i="19"/>
  <c r="BB224" i="19" s="1"/>
  <c r="BC225" i="19"/>
  <c r="BC224" i="19" s="1"/>
  <c r="BD225" i="19"/>
  <c r="BD224" i="19" s="1"/>
  <c r="BE225" i="19"/>
  <c r="BE224" i="19" s="1"/>
  <c r="BF225" i="19"/>
  <c r="BF224" i="19" s="1"/>
  <c r="BG225" i="19"/>
  <c r="BH225" i="19"/>
  <c r="BH224" i="19" s="1"/>
  <c r="BI225" i="19"/>
  <c r="BI224" i="19" s="1"/>
  <c r="BJ225" i="19"/>
  <c r="BJ224" i="19" s="1"/>
  <c r="BK225" i="19"/>
  <c r="BK224" i="19" s="1"/>
  <c r="BL225" i="19"/>
  <c r="BL224" i="19" s="1"/>
  <c r="BM225" i="19"/>
  <c r="BM224" i="19" s="1"/>
  <c r="BN225" i="19"/>
  <c r="BN224" i="19" s="1"/>
  <c r="BO225" i="19"/>
  <c r="BP225" i="19"/>
  <c r="BP224" i="19" s="1"/>
  <c r="BQ225" i="19"/>
  <c r="BQ224" i="19" s="1"/>
  <c r="BR225" i="19"/>
  <c r="BR224" i="19" s="1"/>
  <c r="BS225" i="19"/>
  <c r="BS224" i="19" s="1"/>
  <c r="BT225" i="19"/>
  <c r="BT224" i="19" s="1"/>
  <c r="BU225" i="19"/>
  <c r="BU224" i="19" s="1"/>
  <c r="BV225" i="19"/>
  <c r="BV224" i="19" s="1"/>
  <c r="BW225" i="19"/>
  <c r="BX225" i="19"/>
  <c r="BX224" i="19" s="1"/>
  <c r="BY225" i="19"/>
  <c r="BY224" i="19" s="1"/>
  <c r="BZ225" i="19"/>
  <c r="BZ224" i="19" s="1"/>
  <c r="CA225" i="19"/>
  <c r="CA224" i="19" s="1"/>
  <c r="CB225" i="19"/>
  <c r="CB224" i="19" s="1"/>
  <c r="CC225" i="19"/>
  <c r="CC224" i="19" s="1"/>
  <c r="CD225" i="19"/>
  <c r="CD224" i="19" s="1"/>
  <c r="CE225" i="19"/>
  <c r="CF225" i="19"/>
  <c r="CF224" i="19" s="1"/>
  <c r="CG225" i="19"/>
  <c r="CG224" i="19" s="1"/>
  <c r="CH225" i="19"/>
  <c r="CH224" i="19" s="1"/>
  <c r="CI225" i="19"/>
  <c r="CI224" i="19" s="1"/>
  <c r="CJ225" i="19"/>
  <c r="CJ224" i="19" s="1"/>
  <c r="CK225" i="19"/>
  <c r="CK224" i="19" s="1"/>
  <c r="CL225" i="19"/>
  <c r="CL224" i="19" s="1"/>
  <c r="CM225" i="19"/>
  <c r="CN225" i="19"/>
  <c r="CN224" i="19" s="1"/>
  <c r="CO225" i="19"/>
  <c r="CO224" i="19" s="1"/>
  <c r="CP225" i="19"/>
  <c r="CP224" i="19" s="1"/>
  <c r="CQ225" i="19"/>
  <c r="CQ224" i="19" s="1"/>
  <c r="CR225" i="19"/>
  <c r="CR224" i="19" s="1"/>
  <c r="CS225" i="19"/>
  <c r="CS224" i="19" s="1"/>
  <c r="CT225" i="19"/>
  <c r="CT224" i="19" s="1"/>
  <c r="CU225" i="19"/>
  <c r="CV225" i="19"/>
  <c r="CV224" i="19" s="1"/>
  <c r="CW225" i="19"/>
  <c r="CW224" i="19" s="1"/>
  <c r="CX225" i="19"/>
  <c r="CX224" i="19" s="1"/>
  <c r="CY225" i="19"/>
  <c r="CY224" i="19" s="1"/>
  <c r="CZ225" i="19"/>
  <c r="CZ224" i="19" s="1"/>
  <c r="DA225" i="19"/>
  <c r="DA224" i="19" s="1"/>
  <c r="DB225" i="19"/>
  <c r="DB224" i="19" s="1"/>
  <c r="DC225" i="19"/>
  <c r="DD225" i="19"/>
  <c r="DD224" i="19" s="1"/>
  <c r="DE225" i="19"/>
  <c r="DE224" i="19" s="1"/>
  <c r="DF225" i="19"/>
  <c r="DF224" i="19" s="1"/>
  <c r="DG225" i="19"/>
  <c r="DG224" i="19" s="1"/>
  <c r="DH225" i="19"/>
  <c r="DH224" i="19" s="1"/>
  <c r="DI225" i="19"/>
  <c r="DI224" i="19" s="1"/>
  <c r="DJ225" i="19"/>
  <c r="DJ224" i="19" s="1"/>
  <c r="DK225" i="19"/>
  <c r="DL225" i="19"/>
  <c r="DL224" i="19" s="1"/>
  <c r="DM225" i="19"/>
  <c r="DM224" i="19" s="1"/>
  <c r="DN225" i="19"/>
  <c r="DN224" i="19" s="1"/>
  <c r="DO225" i="19"/>
  <c r="DO224" i="19" s="1"/>
  <c r="DP225" i="19"/>
  <c r="DP224" i="19" s="1"/>
  <c r="DQ225" i="19"/>
  <c r="DQ224" i="19" s="1"/>
  <c r="DR225" i="19"/>
  <c r="DR224" i="19" s="1"/>
  <c r="DS225" i="19"/>
  <c r="DT225" i="19"/>
  <c r="DT224" i="19" s="1"/>
  <c r="DU225" i="19"/>
  <c r="DU224" i="19" s="1"/>
  <c r="DV225" i="19"/>
  <c r="DV224" i="19" s="1"/>
  <c r="DW225" i="19"/>
  <c r="DW224" i="19" s="1"/>
  <c r="DX225" i="19"/>
  <c r="DX224" i="19" s="1"/>
  <c r="DY225" i="19"/>
  <c r="DY224" i="19" s="1"/>
  <c r="DZ225" i="19"/>
  <c r="DZ224" i="19" s="1"/>
  <c r="EA225" i="19"/>
  <c r="EA224" i="19" s="1"/>
  <c r="EB225" i="19"/>
  <c r="EB224" i="19" s="1"/>
  <c r="EC225" i="19"/>
  <c r="EC224" i="19" s="1"/>
  <c r="ED225" i="19"/>
  <c r="ED224" i="19" s="1"/>
  <c r="EE225" i="19"/>
  <c r="EE224" i="19" s="1"/>
  <c r="EF225" i="19"/>
  <c r="EF224" i="19" s="1"/>
  <c r="EG225" i="19"/>
  <c r="EG224" i="19" s="1"/>
  <c r="EH225" i="19"/>
  <c r="EH224" i="19" s="1"/>
  <c r="EI225" i="19"/>
  <c r="EJ225" i="19"/>
  <c r="EJ224" i="19" s="1"/>
  <c r="EK225" i="19"/>
  <c r="EK224" i="19" s="1"/>
  <c r="EL225" i="19"/>
  <c r="EL224" i="19" s="1"/>
  <c r="EM225" i="19"/>
  <c r="EM224" i="19" s="1"/>
  <c r="EN225" i="19"/>
  <c r="EN224" i="19" s="1"/>
  <c r="EO225" i="19"/>
  <c r="EO224" i="19" s="1"/>
  <c r="EP225" i="19"/>
  <c r="EP224" i="19" s="1"/>
  <c r="EQ225" i="19"/>
  <c r="ER225" i="19"/>
  <c r="ER224" i="19" s="1"/>
  <c r="ES225" i="19"/>
  <c r="ES224" i="19" s="1"/>
  <c r="ET225" i="19"/>
  <c r="ET224" i="19" s="1"/>
  <c r="EU225" i="19"/>
  <c r="EU224" i="19" s="1"/>
  <c r="EV225" i="19"/>
  <c r="EV224" i="19" s="1"/>
  <c r="EW225" i="19"/>
  <c r="EW224" i="19" s="1"/>
  <c r="EX225" i="19"/>
  <c r="EX224" i="19" s="1"/>
  <c r="EY225" i="19"/>
  <c r="EZ225" i="19"/>
  <c r="EZ224" i="19" s="1"/>
  <c r="FA225" i="19"/>
  <c r="FA224" i="19" s="1"/>
  <c r="FB225" i="19"/>
  <c r="FB224" i="19" s="1"/>
  <c r="AY226" i="19"/>
  <c r="AZ226" i="19"/>
  <c r="BA226" i="19"/>
  <c r="BB226" i="19"/>
  <c r="BC226" i="19"/>
  <c r="BD226" i="19"/>
  <c r="BE226" i="19"/>
  <c r="BF226" i="19"/>
  <c r="BG226" i="19"/>
  <c r="BH226" i="19"/>
  <c r="BI226" i="19"/>
  <c r="BJ226" i="19"/>
  <c r="BK226" i="19"/>
  <c r="BL226" i="19"/>
  <c r="BM226" i="19"/>
  <c r="BN226" i="19"/>
  <c r="BO226" i="19"/>
  <c r="BP226" i="19"/>
  <c r="BQ226" i="19"/>
  <c r="BR226" i="19"/>
  <c r="BS226" i="19"/>
  <c r="BT226" i="19"/>
  <c r="BU226" i="19"/>
  <c r="BV226" i="19"/>
  <c r="BW226" i="19"/>
  <c r="BX226" i="19"/>
  <c r="BY226" i="19"/>
  <c r="BZ226" i="19"/>
  <c r="CA226" i="19"/>
  <c r="CB226" i="19"/>
  <c r="CC226" i="19"/>
  <c r="CD226" i="19"/>
  <c r="CE226" i="19"/>
  <c r="CF226" i="19"/>
  <c r="CG226" i="19"/>
  <c r="CH226" i="19"/>
  <c r="CI226" i="19"/>
  <c r="CJ226" i="19"/>
  <c r="CK226" i="19"/>
  <c r="CL226" i="19"/>
  <c r="CM226" i="19"/>
  <c r="CN226" i="19"/>
  <c r="CO226" i="19"/>
  <c r="CP226" i="19"/>
  <c r="CQ226" i="19"/>
  <c r="CR226" i="19"/>
  <c r="CS226" i="19"/>
  <c r="CT226" i="19"/>
  <c r="CU226" i="19"/>
  <c r="CV226" i="19"/>
  <c r="CW226" i="19"/>
  <c r="CX226" i="19"/>
  <c r="CY226" i="19"/>
  <c r="CZ226" i="19"/>
  <c r="DA226" i="19"/>
  <c r="DB226" i="19"/>
  <c r="DC226" i="19"/>
  <c r="DD226" i="19"/>
  <c r="DE226" i="19"/>
  <c r="DF226" i="19"/>
  <c r="DG226" i="19"/>
  <c r="DH226" i="19"/>
  <c r="DI226" i="19"/>
  <c r="DJ226" i="19"/>
  <c r="DK226" i="19"/>
  <c r="DL226" i="19"/>
  <c r="DM226" i="19"/>
  <c r="DN226" i="19"/>
  <c r="DO226" i="19"/>
  <c r="DP226" i="19"/>
  <c r="DQ226" i="19"/>
  <c r="DR226" i="19"/>
  <c r="DS226" i="19"/>
  <c r="DT226" i="19"/>
  <c r="DU226" i="19"/>
  <c r="DV226" i="19"/>
  <c r="DW226" i="19"/>
  <c r="DX226" i="19"/>
  <c r="DY226" i="19"/>
  <c r="DZ226" i="19"/>
  <c r="EA226" i="19"/>
  <c r="EB226" i="19"/>
  <c r="EC226" i="19"/>
  <c r="ED226" i="19"/>
  <c r="EE226" i="19"/>
  <c r="EF226" i="19"/>
  <c r="EG226" i="19"/>
  <c r="EH226" i="19"/>
  <c r="EI226" i="19"/>
  <c r="EJ226" i="19"/>
  <c r="EK226" i="19"/>
  <c r="EL226" i="19"/>
  <c r="EM226" i="19"/>
  <c r="EN226" i="19"/>
  <c r="EO226" i="19"/>
  <c r="EP226" i="19"/>
  <c r="EQ226" i="19"/>
  <c r="ER226" i="19"/>
  <c r="ES226" i="19"/>
  <c r="ET226" i="19"/>
  <c r="EU226" i="19"/>
  <c r="EV226" i="19"/>
  <c r="EW226" i="19"/>
  <c r="EX226" i="19"/>
  <c r="EY226" i="19"/>
  <c r="EZ226" i="19"/>
  <c r="FA226" i="19"/>
  <c r="FB226" i="19"/>
  <c r="AY227" i="19"/>
  <c r="AZ227" i="19"/>
  <c r="BA227" i="19"/>
  <c r="BB227" i="19"/>
  <c r="BC227" i="19"/>
  <c r="BD227" i="19"/>
  <c r="BE227" i="19"/>
  <c r="BF227" i="19"/>
  <c r="BG227" i="19"/>
  <c r="BH227" i="19"/>
  <c r="BI227" i="19"/>
  <c r="BJ227" i="19"/>
  <c r="BK227" i="19"/>
  <c r="BL227" i="19"/>
  <c r="BM227" i="19"/>
  <c r="BN227" i="19"/>
  <c r="BO227" i="19"/>
  <c r="BO224" i="19" s="1"/>
  <c r="BP227" i="19"/>
  <c r="BQ227" i="19"/>
  <c r="BR227" i="19"/>
  <c r="BS227" i="19"/>
  <c r="BT227" i="19"/>
  <c r="BU227" i="19"/>
  <c r="BV227" i="19"/>
  <c r="BW227" i="19"/>
  <c r="BX227" i="19"/>
  <c r="BY227" i="19"/>
  <c r="BZ227" i="19"/>
  <c r="CA227" i="19"/>
  <c r="CB227" i="19"/>
  <c r="CC227" i="19"/>
  <c r="CD227" i="19"/>
  <c r="CE227" i="19"/>
  <c r="CF227" i="19"/>
  <c r="CG227" i="19"/>
  <c r="CH227" i="19"/>
  <c r="CI227" i="19"/>
  <c r="CJ227" i="19"/>
  <c r="CK227" i="19"/>
  <c r="CL227" i="19"/>
  <c r="CM227" i="19"/>
  <c r="CN227" i="19"/>
  <c r="CO227" i="19"/>
  <c r="CP227" i="19"/>
  <c r="CQ227" i="19"/>
  <c r="CR227" i="19"/>
  <c r="CS227" i="19"/>
  <c r="CT227" i="19"/>
  <c r="CU227" i="19"/>
  <c r="CV227" i="19"/>
  <c r="CW227" i="19"/>
  <c r="CX227" i="19"/>
  <c r="CY227" i="19"/>
  <c r="CZ227" i="19"/>
  <c r="DA227" i="19"/>
  <c r="DB227" i="19"/>
  <c r="DC227" i="19"/>
  <c r="DD227" i="19"/>
  <c r="DE227" i="19"/>
  <c r="DF227" i="19"/>
  <c r="DG227" i="19"/>
  <c r="DH227" i="19"/>
  <c r="DI227" i="19"/>
  <c r="DJ227" i="19"/>
  <c r="DK227" i="19"/>
  <c r="DL227" i="19"/>
  <c r="DM227" i="19"/>
  <c r="DN227" i="19"/>
  <c r="DO227" i="19"/>
  <c r="DP227" i="19"/>
  <c r="DQ227" i="19"/>
  <c r="DR227" i="19"/>
  <c r="DS227" i="19"/>
  <c r="DT227" i="19"/>
  <c r="DU227" i="19"/>
  <c r="DV227" i="19"/>
  <c r="DW227" i="19"/>
  <c r="DX227" i="19"/>
  <c r="DY227" i="19"/>
  <c r="DZ227" i="19"/>
  <c r="EA227" i="19"/>
  <c r="EB227" i="19"/>
  <c r="EC227" i="19"/>
  <c r="ED227" i="19"/>
  <c r="EE227" i="19"/>
  <c r="EF227" i="19"/>
  <c r="EG227" i="19"/>
  <c r="EH227" i="19"/>
  <c r="EI227" i="19"/>
  <c r="EJ227" i="19"/>
  <c r="EK227" i="19"/>
  <c r="EL227" i="19"/>
  <c r="EM227" i="19"/>
  <c r="EN227" i="19"/>
  <c r="EO227" i="19"/>
  <c r="EP227" i="19"/>
  <c r="EQ227" i="19"/>
  <c r="ER227" i="19"/>
  <c r="ES227" i="19"/>
  <c r="ET227" i="19"/>
  <c r="EU227" i="19"/>
  <c r="EV227" i="19"/>
  <c r="EW227" i="19"/>
  <c r="EX227" i="19"/>
  <c r="EY227" i="19"/>
  <c r="EZ227" i="19"/>
  <c r="FA227" i="19"/>
  <c r="FB227" i="19"/>
  <c r="D230" i="19"/>
  <c r="E230" i="19"/>
  <c r="F230" i="19"/>
  <c r="L230" i="19"/>
  <c r="BF230" i="19"/>
  <c r="BN230" i="19"/>
  <c r="BV230" i="19"/>
  <c r="CD230" i="19"/>
  <c r="CL230" i="19"/>
  <c r="CT230" i="19"/>
  <c r="DZ230" i="19"/>
  <c r="EX230" i="19"/>
  <c r="I231" i="19"/>
  <c r="DM231" i="19" s="1"/>
  <c r="DM230" i="19" s="1"/>
  <c r="J231" i="19"/>
  <c r="K231" i="19"/>
  <c r="EK231" i="19" s="1"/>
  <c r="AY231" i="19"/>
  <c r="AZ231" i="19"/>
  <c r="BA231" i="19"/>
  <c r="BB231" i="19"/>
  <c r="BC231" i="19"/>
  <c r="BC230" i="19" s="1"/>
  <c r="BD231" i="19"/>
  <c r="BD230" i="19" s="1"/>
  <c r="BE231" i="19"/>
  <c r="BE230" i="19" s="1"/>
  <c r="BF231" i="19"/>
  <c r="BG231" i="19"/>
  <c r="BH231" i="19"/>
  <c r="BI231" i="19"/>
  <c r="BJ231" i="19"/>
  <c r="BK231" i="19"/>
  <c r="BK230" i="19" s="1"/>
  <c r="BL231" i="19"/>
  <c r="BL230" i="19" s="1"/>
  <c r="BM231" i="19"/>
  <c r="BM230" i="19" s="1"/>
  <c r="BN231" i="19"/>
  <c r="BO231" i="19"/>
  <c r="BP231" i="19"/>
  <c r="BQ231" i="19"/>
  <c r="BR231" i="19"/>
  <c r="BS231" i="19"/>
  <c r="BS230" i="19" s="1"/>
  <c r="BT231" i="19"/>
  <c r="BT230" i="19" s="1"/>
  <c r="BU231" i="19"/>
  <c r="BU230" i="19" s="1"/>
  <c r="BV231" i="19"/>
  <c r="BW231" i="19"/>
  <c r="BX231" i="19"/>
  <c r="BY231" i="19"/>
  <c r="BZ231" i="19"/>
  <c r="CA231" i="19"/>
  <c r="CA230" i="19" s="1"/>
  <c r="CB231" i="19"/>
  <c r="CB230" i="19" s="1"/>
  <c r="CC231" i="19"/>
  <c r="CC230" i="19" s="1"/>
  <c r="CD231" i="19"/>
  <c r="CE231" i="19"/>
  <c r="CF231" i="19"/>
  <c r="CG231" i="19"/>
  <c r="CH231" i="19"/>
  <c r="CI231" i="19"/>
  <c r="CI230" i="19" s="1"/>
  <c r="CJ231" i="19"/>
  <c r="CJ230" i="19" s="1"/>
  <c r="CK231" i="19"/>
  <c r="CK230" i="19" s="1"/>
  <c r="CL231" i="19"/>
  <c r="CM231" i="19"/>
  <c r="CN231" i="19"/>
  <c r="CO231" i="19"/>
  <c r="CP231" i="19"/>
  <c r="CQ231" i="19"/>
  <c r="CQ230" i="19" s="1"/>
  <c r="CR231" i="19"/>
  <c r="CR230" i="19" s="1"/>
  <c r="CS231" i="19"/>
  <c r="CS230" i="19" s="1"/>
  <c r="CT231" i="19"/>
  <c r="CU231" i="19"/>
  <c r="CV231" i="19"/>
  <c r="CW231" i="19"/>
  <c r="CX231" i="19"/>
  <c r="CY231" i="19"/>
  <c r="CZ231" i="19"/>
  <c r="DA231" i="19"/>
  <c r="DB231" i="19"/>
  <c r="DC231" i="19"/>
  <c r="DD231" i="19"/>
  <c r="DE231" i="19"/>
  <c r="DF231" i="19"/>
  <c r="DG231" i="19"/>
  <c r="DH231" i="19"/>
  <c r="DI231" i="19"/>
  <c r="DJ231" i="19"/>
  <c r="DK231" i="19"/>
  <c r="DL231" i="19"/>
  <c r="DN231" i="19"/>
  <c r="DO231" i="19"/>
  <c r="DP231" i="19"/>
  <c r="DQ231" i="19"/>
  <c r="DR231" i="19"/>
  <c r="DS231" i="19"/>
  <c r="DT231" i="19"/>
  <c r="DU231" i="19"/>
  <c r="DV231" i="19"/>
  <c r="DW231" i="19"/>
  <c r="DW230" i="19" s="1"/>
  <c r="DX231" i="19"/>
  <c r="DY231" i="19"/>
  <c r="DZ231" i="19"/>
  <c r="EA231" i="19"/>
  <c r="EB231" i="19"/>
  <c r="EC231" i="19"/>
  <c r="ED231" i="19"/>
  <c r="EE231" i="19"/>
  <c r="EF231" i="19"/>
  <c r="EG231" i="19"/>
  <c r="EH231" i="19"/>
  <c r="EI231" i="19"/>
  <c r="EJ231" i="19"/>
  <c r="EL231" i="19"/>
  <c r="EM231" i="19"/>
  <c r="EN231" i="19"/>
  <c r="EO231" i="19"/>
  <c r="EP231" i="19"/>
  <c r="EQ231" i="19"/>
  <c r="ER231" i="19"/>
  <c r="ES231" i="19"/>
  <c r="ET231" i="19"/>
  <c r="EU231" i="19"/>
  <c r="EU230" i="19" s="1"/>
  <c r="EV231" i="19"/>
  <c r="EV230" i="19" s="1"/>
  <c r="EW231" i="19"/>
  <c r="EW230" i="19" s="1"/>
  <c r="EX231" i="19"/>
  <c r="EY231" i="19"/>
  <c r="EZ231" i="19"/>
  <c r="FA231" i="19"/>
  <c r="FB231" i="19"/>
  <c r="H232" i="19"/>
  <c r="H230" i="19" s="1"/>
  <c r="I232" i="19"/>
  <c r="DG232" i="19" s="1"/>
  <c r="J232" i="19"/>
  <c r="J230" i="19" s="1"/>
  <c r="K232" i="19"/>
  <c r="K230" i="19" s="1"/>
  <c r="AY232" i="19"/>
  <c r="AY230" i="19" s="1"/>
  <c r="AZ232" i="19"/>
  <c r="AZ230" i="19" s="1"/>
  <c r="BA232" i="19"/>
  <c r="BA230" i="19" s="1"/>
  <c r="BB232" i="19"/>
  <c r="BC232" i="19"/>
  <c r="BD232" i="19"/>
  <c r="BE232" i="19"/>
  <c r="BF232" i="19"/>
  <c r="BG232" i="19"/>
  <c r="BG230" i="19" s="1"/>
  <c r="BH232" i="19"/>
  <c r="BH230" i="19" s="1"/>
  <c r="BI232" i="19"/>
  <c r="BI230" i="19" s="1"/>
  <c r="BJ232" i="19"/>
  <c r="BK232" i="19"/>
  <c r="BL232" i="19"/>
  <c r="BM232" i="19"/>
  <c r="BN232" i="19"/>
  <c r="BO232" i="19"/>
  <c r="BO230" i="19" s="1"/>
  <c r="BP232" i="19"/>
  <c r="BP230" i="19" s="1"/>
  <c r="BQ232" i="19"/>
  <c r="BQ230" i="19" s="1"/>
  <c r="BR232" i="19"/>
  <c r="BS232" i="19"/>
  <c r="BT232" i="19"/>
  <c r="BU232" i="19"/>
  <c r="BV232" i="19"/>
  <c r="BW232" i="19"/>
  <c r="BW230" i="19" s="1"/>
  <c r="BX232" i="19"/>
  <c r="BX230" i="19" s="1"/>
  <c r="BY232" i="19"/>
  <c r="BY230" i="19" s="1"/>
  <c r="BZ232" i="19"/>
  <c r="CA232" i="19"/>
  <c r="CB232" i="19"/>
  <c r="CC232" i="19"/>
  <c r="CD232" i="19"/>
  <c r="CE232" i="19"/>
  <c r="CE230" i="19" s="1"/>
  <c r="CF232" i="19"/>
  <c r="CF230" i="19" s="1"/>
  <c r="CG232" i="19"/>
  <c r="CG230" i="19" s="1"/>
  <c r="CH232" i="19"/>
  <c r="CI232" i="19"/>
  <c r="CJ232" i="19"/>
  <c r="CK232" i="19"/>
  <c r="CL232" i="19"/>
  <c r="CM232" i="19"/>
  <c r="CM230" i="19" s="1"/>
  <c r="CN232" i="19"/>
  <c r="CO232" i="19"/>
  <c r="CO230" i="19" s="1"/>
  <c r="CP232" i="19"/>
  <c r="CQ232" i="19"/>
  <c r="CR232" i="19"/>
  <c r="CS232" i="19"/>
  <c r="CT232" i="19"/>
  <c r="CU232" i="19"/>
  <c r="CU230" i="19" s="1"/>
  <c r="DC232" i="19"/>
  <c r="DC230" i="19" s="1"/>
  <c r="DK232" i="19"/>
  <c r="DL232" i="19"/>
  <c r="DL230" i="19" s="1"/>
  <c r="DM232" i="19"/>
  <c r="DN232" i="19"/>
  <c r="DS232" i="19"/>
  <c r="DT232" i="19"/>
  <c r="DU232" i="19"/>
  <c r="DU230" i="19" s="1"/>
  <c r="DV232" i="19"/>
  <c r="DW232" i="19"/>
  <c r="DZ232" i="19"/>
  <c r="EA232" i="19"/>
  <c r="EB232" i="19"/>
  <c r="EC232" i="19"/>
  <c r="EC230" i="19" s="1"/>
  <c r="ED232" i="19"/>
  <c r="EE232" i="19"/>
  <c r="EH232" i="19"/>
  <c r="EI232" i="19"/>
  <c r="EJ232" i="19"/>
  <c r="EK232" i="19"/>
  <c r="EL232" i="19"/>
  <c r="EM232" i="19"/>
  <c r="EP232" i="19"/>
  <c r="EQ232" i="19"/>
  <c r="ER232" i="19"/>
  <c r="ER230" i="19" s="1"/>
  <c r="ES232" i="19"/>
  <c r="ES230" i="19" s="1"/>
  <c r="ET232" i="19"/>
  <c r="EU232" i="19"/>
  <c r="EV232" i="19"/>
  <c r="EW232" i="19"/>
  <c r="EX232" i="19"/>
  <c r="EY232" i="19"/>
  <c r="EZ232" i="19"/>
  <c r="EZ230" i="19" s="1"/>
  <c r="FA232" i="19"/>
  <c r="FA230" i="19" s="1"/>
  <c r="FB232" i="19"/>
  <c r="G233" i="19"/>
  <c r="CM233" i="19" s="1"/>
  <c r="H233" i="19"/>
  <c r="CV233" i="19" s="1"/>
  <c r="I233" i="19"/>
  <c r="J233" i="19"/>
  <c r="DT233" i="19" s="1"/>
  <c r="K233" i="19"/>
  <c r="AY233" i="19"/>
  <c r="AZ233" i="19"/>
  <c r="BA233" i="19"/>
  <c r="BB233" i="19"/>
  <c r="BC233" i="19"/>
  <c r="BD233" i="19"/>
  <c r="BE233" i="19"/>
  <c r="BF233" i="19"/>
  <c r="BG233" i="19"/>
  <c r="BH233" i="19"/>
  <c r="BI233" i="19"/>
  <c r="BJ233" i="19"/>
  <c r="BK233" i="19"/>
  <c r="BL233" i="19"/>
  <c r="BM233" i="19"/>
  <c r="BN233" i="19"/>
  <c r="BO233" i="19"/>
  <c r="BP233" i="19"/>
  <c r="BQ233" i="19"/>
  <c r="BR233" i="19"/>
  <c r="BS233" i="19"/>
  <c r="BT233" i="19"/>
  <c r="BU233" i="19"/>
  <c r="BV233" i="19"/>
  <c r="BW233" i="19"/>
  <c r="BX233" i="19"/>
  <c r="BY233" i="19"/>
  <c r="BZ233" i="19"/>
  <c r="CA233" i="19"/>
  <c r="CB233" i="19"/>
  <c r="CC233" i="19"/>
  <c r="CD233" i="19"/>
  <c r="CE233" i="19"/>
  <c r="CF233" i="19"/>
  <c r="CG233" i="19"/>
  <c r="CH233" i="19"/>
  <c r="CI233" i="19"/>
  <c r="CJ233" i="19"/>
  <c r="CK233" i="19"/>
  <c r="CL233" i="19"/>
  <c r="CO233" i="19"/>
  <c r="CP233" i="19"/>
  <c r="CQ233" i="19"/>
  <c r="CR233" i="19"/>
  <c r="CS233" i="19"/>
  <c r="CT233" i="19"/>
  <c r="CU233" i="19"/>
  <c r="CW233" i="19"/>
  <c r="CX233" i="19"/>
  <c r="CY233" i="19"/>
  <c r="CZ233" i="19"/>
  <c r="DA233" i="19"/>
  <c r="DB233" i="19"/>
  <c r="DC233" i="19"/>
  <c r="DE233" i="19"/>
  <c r="DF233" i="19"/>
  <c r="DG233" i="19"/>
  <c r="DH233" i="19"/>
  <c r="DI233" i="19"/>
  <c r="DJ233" i="19"/>
  <c r="DK233" i="19"/>
  <c r="DL233" i="19"/>
  <c r="DM233" i="19"/>
  <c r="DN233" i="19"/>
  <c r="DO233" i="19"/>
  <c r="DP233" i="19"/>
  <c r="DQ233" i="19"/>
  <c r="DR233" i="19"/>
  <c r="DS233" i="19"/>
  <c r="DU233" i="19"/>
  <c r="DV233" i="19"/>
  <c r="DW233" i="19"/>
  <c r="DX233" i="19"/>
  <c r="DY233" i="19"/>
  <c r="DZ233" i="19"/>
  <c r="EA233" i="19"/>
  <c r="EC233" i="19"/>
  <c r="ED233" i="19"/>
  <c r="EL233" i="19"/>
  <c r="EQ233" i="19"/>
  <c r="ER233" i="19"/>
  <c r="ES233" i="19"/>
  <c r="ET233" i="19"/>
  <c r="EU233" i="19"/>
  <c r="EV233" i="19"/>
  <c r="EW233" i="19"/>
  <c r="EX233" i="19"/>
  <c r="EY233" i="19"/>
  <c r="EZ233" i="19"/>
  <c r="FA233" i="19"/>
  <c r="FB233" i="19"/>
  <c r="D236" i="19"/>
  <c r="E236" i="19"/>
  <c r="F236" i="19"/>
  <c r="BA236" i="19"/>
  <c r="BI236" i="19"/>
  <c r="BQ236" i="19"/>
  <c r="BY236" i="19"/>
  <c r="CG236" i="19"/>
  <c r="AY237" i="19"/>
  <c r="AY236" i="19" s="1"/>
  <c r="AZ237" i="19"/>
  <c r="AZ236" i="19" s="1"/>
  <c r="BA237" i="19"/>
  <c r="BB237" i="19"/>
  <c r="BC237" i="19"/>
  <c r="BC236" i="19" s="1"/>
  <c r="BD237" i="19"/>
  <c r="BD236" i="19" s="1"/>
  <c r="BE237" i="19"/>
  <c r="BE236" i="19" s="1"/>
  <c r="BF237" i="19"/>
  <c r="BF236" i="19" s="1"/>
  <c r="BG237" i="19"/>
  <c r="BG236" i="19" s="1"/>
  <c r="BH237" i="19"/>
  <c r="BH236" i="19" s="1"/>
  <c r="BI237" i="19"/>
  <c r="BJ237" i="19"/>
  <c r="BK237" i="19"/>
  <c r="BK236" i="19" s="1"/>
  <c r="BL237" i="19"/>
  <c r="BL236" i="19" s="1"/>
  <c r="BM237" i="19"/>
  <c r="BN237" i="19"/>
  <c r="BN236" i="19" s="1"/>
  <c r="BO237" i="19"/>
  <c r="BO236" i="19" s="1"/>
  <c r="BP237" i="19"/>
  <c r="BP236" i="19" s="1"/>
  <c r="BQ237" i="19"/>
  <c r="BR237" i="19"/>
  <c r="BS237" i="19"/>
  <c r="BS236" i="19" s="1"/>
  <c r="BT237" i="19"/>
  <c r="BT236" i="19" s="1"/>
  <c r="BU237" i="19"/>
  <c r="BV237" i="19"/>
  <c r="BV236" i="19" s="1"/>
  <c r="BW237" i="19"/>
  <c r="BW236" i="19" s="1"/>
  <c r="BX237" i="19"/>
  <c r="BX236" i="19" s="1"/>
  <c r="BY237" i="19"/>
  <c r="BZ237" i="19"/>
  <c r="CA237" i="19"/>
  <c r="CA236" i="19" s="1"/>
  <c r="CB237" i="19"/>
  <c r="CB236" i="19" s="1"/>
  <c r="CC237" i="19"/>
  <c r="CD237" i="19"/>
  <c r="CD236" i="19" s="1"/>
  <c r="CE237" i="19"/>
  <c r="CE236" i="19" s="1"/>
  <c r="CF237" i="19"/>
  <c r="CF236" i="19" s="1"/>
  <c r="CG237" i="19"/>
  <c r="CH237" i="19"/>
  <c r="AY238" i="19"/>
  <c r="AZ238" i="19"/>
  <c r="BA238" i="19"/>
  <c r="BB238" i="19"/>
  <c r="BB236" i="19" s="1"/>
  <c r="BC238" i="19"/>
  <c r="BD238" i="19"/>
  <c r="BE238" i="19"/>
  <c r="BF238" i="19"/>
  <c r="BG238" i="19"/>
  <c r="BH238" i="19"/>
  <c r="BI238" i="19"/>
  <c r="BJ238" i="19"/>
  <c r="BJ236" i="19" s="1"/>
  <c r="BK238" i="19"/>
  <c r="BL238" i="19"/>
  <c r="BM238" i="19"/>
  <c r="BN238" i="19"/>
  <c r="BO238" i="19"/>
  <c r="BP238" i="19"/>
  <c r="BQ238" i="19"/>
  <c r="BR238" i="19"/>
  <c r="BR236" i="19" s="1"/>
  <c r="BS238" i="19"/>
  <c r="BT238" i="19"/>
  <c r="BU238" i="19"/>
  <c r="BV238" i="19"/>
  <c r="BW238" i="19"/>
  <c r="BX238" i="19"/>
  <c r="BY238" i="19"/>
  <c r="BZ238" i="19"/>
  <c r="BZ236" i="19" s="1"/>
  <c r="CA238" i="19"/>
  <c r="CB238" i="19"/>
  <c r="CC238" i="19"/>
  <c r="CD238" i="19"/>
  <c r="CE238" i="19"/>
  <c r="CF238" i="19"/>
  <c r="CG238" i="19"/>
  <c r="CH238" i="19"/>
  <c r="CH236" i="19" s="1"/>
  <c r="AY239" i="19"/>
  <c r="AZ239" i="19"/>
  <c r="BA239" i="19"/>
  <c r="BB239" i="19"/>
  <c r="BC239" i="19"/>
  <c r="BD239" i="19"/>
  <c r="BE239" i="19"/>
  <c r="BF239" i="19"/>
  <c r="BG239" i="19"/>
  <c r="BH239" i="19"/>
  <c r="BI239" i="19"/>
  <c r="BJ239" i="19"/>
  <c r="BK239" i="19"/>
  <c r="BL239" i="19"/>
  <c r="BM239" i="19"/>
  <c r="BN239" i="19"/>
  <c r="BO239" i="19"/>
  <c r="BP239" i="19"/>
  <c r="BQ239" i="19"/>
  <c r="BR239" i="19"/>
  <c r="BS239" i="19"/>
  <c r="BT239" i="19"/>
  <c r="BU239" i="19"/>
  <c r="BV239" i="19"/>
  <c r="BW239" i="19"/>
  <c r="BX239" i="19"/>
  <c r="BY239" i="19"/>
  <c r="BZ239" i="19"/>
  <c r="CA239" i="19"/>
  <c r="CB239" i="19"/>
  <c r="CC239" i="19"/>
  <c r="CD239" i="19"/>
  <c r="CE239" i="19"/>
  <c r="CF239" i="19"/>
  <c r="CG239" i="19"/>
  <c r="CH239" i="19"/>
  <c r="D242" i="19"/>
  <c r="E242" i="19"/>
  <c r="F242" i="19"/>
  <c r="BF242" i="19"/>
  <c r="BN242" i="19"/>
  <c r="BV242" i="19"/>
  <c r="CD242" i="19"/>
  <c r="AY243" i="19"/>
  <c r="AZ243" i="19"/>
  <c r="AZ242" i="19" s="1"/>
  <c r="BA243" i="19"/>
  <c r="BA242" i="19" s="1"/>
  <c r="BB243" i="19"/>
  <c r="BB242" i="19" s="1"/>
  <c r="BC243" i="19"/>
  <c r="BC242" i="19" s="1"/>
  <c r="BD243" i="19"/>
  <c r="BD242" i="19" s="1"/>
  <c r="BE243" i="19"/>
  <c r="BE242" i="19" s="1"/>
  <c r="BF243" i="19"/>
  <c r="BG243" i="19"/>
  <c r="BH243" i="19"/>
  <c r="BH242" i="19" s="1"/>
  <c r="BI243" i="19"/>
  <c r="BI242" i="19" s="1"/>
  <c r="BJ243" i="19"/>
  <c r="BJ242" i="19" s="1"/>
  <c r="BK243" i="19"/>
  <c r="BK242" i="19" s="1"/>
  <c r="BL243" i="19"/>
  <c r="BL242" i="19" s="1"/>
  <c r="BM243" i="19"/>
  <c r="BM242" i="19" s="1"/>
  <c r="BN243" i="19"/>
  <c r="BO243" i="19"/>
  <c r="BP243" i="19"/>
  <c r="BP242" i="19" s="1"/>
  <c r="BQ243" i="19"/>
  <c r="BQ242" i="19" s="1"/>
  <c r="BR243" i="19"/>
  <c r="BR242" i="19" s="1"/>
  <c r="BS243" i="19"/>
  <c r="BS242" i="19" s="1"/>
  <c r="BT243" i="19"/>
  <c r="BT242" i="19" s="1"/>
  <c r="BU243" i="19"/>
  <c r="BU242" i="19" s="1"/>
  <c r="BV243" i="19"/>
  <c r="BW243" i="19"/>
  <c r="BX243" i="19"/>
  <c r="BX242" i="19" s="1"/>
  <c r="BY243" i="19"/>
  <c r="BY242" i="19" s="1"/>
  <c r="BZ243" i="19"/>
  <c r="BZ242" i="19" s="1"/>
  <c r="CA243" i="19"/>
  <c r="CA242" i="19" s="1"/>
  <c r="CB243" i="19"/>
  <c r="CB242" i="19" s="1"/>
  <c r="CC243" i="19"/>
  <c r="CC242" i="19" s="1"/>
  <c r="CD243" i="19"/>
  <c r="CE243" i="19"/>
  <c r="CF243" i="19"/>
  <c r="CF242" i="19" s="1"/>
  <c r="CG243" i="19"/>
  <c r="CG242" i="19" s="1"/>
  <c r="CH243" i="19"/>
  <c r="CH242" i="19" s="1"/>
  <c r="AY244" i="19"/>
  <c r="AY242" i="19" s="1"/>
  <c r="AZ244" i="19"/>
  <c r="BA244" i="19"/>
  <c r="BB244" i="19"/>
  <c r="BC244" i="19"/>
  <c r="BD244" i="19"/>
  <c r="BE244" i="19"/>
  <c r="BF244" i="19"/>
  <c r="BG244" i="19"/>
  <c r="BG242" i="19" s="1"/>
  <c r="BH244" i="19"/>
  <c r="BI244" i="19"/>
  <c r="BJ244" i="19"/>
  <c r="BK244" i="19"/>
  <c r="BL244" i="19"/>
  <c r="BM244" i="19"/>
  <c r="BN244" i="19"/>
  <c r="BO244" i="19"/>
  <c r="BO242" i="19" s="1"/>
  <c r="BP244" i="19"/>
  <c r="BQ244" i="19"/>
  <c r="BR244" i="19"/>
  <c r="BS244" i="19"/>
  <c r="BT244" i="19"/>
  <c r="BU244" i="19"/>
  <c r="BV244" i="19"/>
  <c r="BW244" i="19"/>
  <c r="BW242" i="19" s="1"/>
  <c r="BX244" i="19"/>
  <c r="BY244" i="19"/>
  <c r="BZ244" i="19"/>
  <c r="CA244" i="19"/>
  <c r="CB244" i="19"/>
  <c r="CC244" i="19"/>
  <c r="CD244" i="19"/>
  <c r="CE244" i="19"/>
  <c r="CF244" i="19"/>
  <c r="CG244" i="19"/>
  <c r="CH244" i="19"/>
  <c r="AY245" i="19"/>
  <c r="AZ245" i="19"/>
  <c r="BA245" i="19"/>
  <c r="BB245" i="19"/>
  <c r="BC245" i="19"/>
  <c r="BD245" i="19"/>
  <c r="BE245" i="19"/>
  <c r="BF245" i="19"/>
  <c r="BG245" i="19"/>
  <c r="BH245" i="19"/>
  <c r="BI245" i="19"/>
  <c r="BJ245" i="19"/>
  <c r="BK245" i="19"/>
  <c r="BL245" i="19"/>
  <c r="BM245" i="19"/>
  <c r="BN245" i="19"/>
  <c r="BO245" i="19"/>
  <c r="BP245" i="19"/>
  <c r="BQ245" i="19"/>
  <c r="BR245" i="19"/>
  <c r="BS245" i="19"/>
  <c r="BT245" i="19"/>
  <c r="BU245" i="19"/>
  <c r="BV245" i="19"/>
  <c r="BW245" i="19"/>
  <c r="BX245" i="19"/>
  <c r="BY245" i="19"/>
  <c r="BZ245" i="19"/>
  <c r="CA245" i="19"/>
  <c r="CB245" i="19"/>
  <c r="CC245" i="19"/>
  <c r="CD245" i="19"/>
  <c r="CE245" i="19"/>
  <c r="CF245" i="19"/>
  <c r="CG245" i="19"/>
  <c r="CH245" i="19"/>
  <c r="CJ23" i="11"/>
  <c r="F32" i="11"/>
  <c r="O32" i="11"/>
  <c r="AY32" i="11"/>
  <c r="BD32" i="11"/>
  <c r="BG32" i="11"/>
  <c r="P32" i="11" s="1"/>
  <c r="BL32" i="11"/>
  <c r="BO32" i="11"/>
  <c r="BT32" i="11"/>
  <c r="BW32" i="11"/>
  <c r="CB32" i="11"/>
  <c r="W32" i="11" s="1"/>
  <c r="W158" i="11" s="1"/>
  <c r="CE32" i="11"/>
  <c r="X32" i="11" s="1"/>
  <c r="CJ32" i="11"/>
  <c r="CM32" i="11"/>
  <c r="CR32" i="11"/>
  <c r="N33" i="11"/>
  <c r="Q33" i="11"/>
  <c r="V33" i="11"/>
  <c r="Y33" i="11"/>
  <c r="AZ32" i="11"/>
  <c r="BA32" i="11"/>
  <c r="N32" i="11" s="1"/>
  <c r="BB32" i="11"/>
  <c r="BC32" i="11"/>
  <c r="P33" i="11"/>
  <c r="BF32" i="11"/>
  <c r="BH32" i="11"/>
  <c r="BI32" i="11"/>
  <c r="BJ32" i="11"/>
  <c r="BM32" i="11"/>
  <c r="R32" i="11" s="1"/>
  <c r="BN32" i="11"/>
  <c r="BP32" i="11"/>
  <c r="S32" i="11" s="1"/>
  <c r="BQ32" i="11"/>
  <c r="BR32" i="11"/>
  <c r="BS32" i="11"/>
  <c r="T32" i="11" s="1"/>
  <c r="BU32" i="11"/>
  <c r="BV32" i="11"/>
  <c r="BX32" i="11"/>
  <c r="BY32" i="11"/>
  <c r="V32" i="11" s="1"/>
  <c r="BZ32" i="11"/>
  <c r="CA32" i="11"/>
  <c r="X33" i="11"/>
  <c r="CD32" i="11"/>
  <c r="CF32" i="11"/>
  <c r="CG32" i="11"/>
  <c r="CH32" i="11"/>
  <c r="Y32" i="11" s="1"/>
  <c r="CK32" i="11"/>
  <c r="Z32" i="11" s="1"/>
  <c r="CL32" i="11"/>
  <c r="CN32" i="11"/>
  <c r="AA32" i="11" s="1"/>
  <c r="CO32" i="11"/>
  <c r="CP32" i="11"/>
  <c r="CQ32" i="11"/>
  <c r="AB32" i="11" s="1"/>
  <c r="CS32" i="11"/>
  <c r="CT32" i="11"/>
  <c r="CE40" i="11"/>
  <c r="I44" i="11"/>
  <c r="DG44" i="11" s="1"/>
  <c r="J44" i="11"/>
  <c r="K44" i="11" s="1"/>
  <c r="CU44" i="11"/>
  <c r="CV44" i="11"/>
  <c r="CW44" i="11"/>
  <c r="CX44" i="11"/>
  <c r="CY44" i="11"/>
  <c r="CZ44" i="11"/>
  <c r="DA44" i="11"/>
  <c r="DB44" i="11"/>
  <c r="DC44" i="11"/>
  <c r="DD44" i="11"/>
  <c r="DE44" i="11"/>
  <c r="DF44" i="11"/>
  <c r="DH44" i="11"/>
  <c r="DI44" i="11"/>
  <c r="DJ44" i="11"/>
  <c r="DK44" i="11"/>
  <c r="DL44" i="11"/>
  <c r="DM44" i="11"/>
  <c r="DN44" i="11"/>
  <c r="DP44" i="11"/>
  <c r="DQ44" i="11"/>
  <c r="DR44" i="11"/>
  <c r="DS44" i="11"/>
  <c r="DT44" i="11"/>
  <c r="DU44" i="11"/>
  <c r="DV44" i="11"/>
  <c r="DX44" i="11"/>
  <c r="DY44" i="11"/>
  <c r="DZ44" i="11"/>
  <c r="EA44" i="11"/>
  <c r="EB44" i="11"/>
  <c r="EC44" i="11"/>
  <c r="ED44" i="11"/>
  <c r="EO44" i="11"/>
  <c r="P62" i="11"/>
  <c r="X62" i="11"/>
  <c r="AY62" i="11"/>
  <c r="AY40" i="11" s="1"/>
  <c r="AZ62" i="11"/>
  <c r="AZ40" i="11" s="1"/>
  <c r="BA62" i="11"/>
  <c r="BA40" i="11" s="1"/>
  <c r="BB62" i="11"/>
  <c r="BB40" i="11" s="1"/>
  <c r="BC62" i="11"/>
  <c r="BC40" i="11" s="1"/>
  <c r="BD62" i="11"/>
  <c r="BD40" i="11" s="1"/>
  <c r="BE62" i="11"/>
  <c r="BF62" i="11"/>
  <c r="BF40" i="11" s="1"/>
  <c r="BG62" i="11"/>
  <c r="BG40" i="11" s="1"/>
  <c r="BH62" i="11"/>
  <c r="BH40" i="11" s="1"/>
  <c r="BI62" i="11"/>
  <c r="BI40" i="11" s="1"/>
  <c r="BJ62" i="11"/>
  <c r="BJ40" i="11" s="1"/>
  <c r="BK62" i="11"/>
  <c r="BK40" i="11" s="1"/>
  <c r="BL62" i="11"/>
  <c r="BL40" i="11" s="1"/>
  <c r="BM62" i="11"/>
  <c r="BN62" i="11"/>
  <c r="BN40" i="11" s="1"/>
  <c r="BO62" i="11"/>
  <c r="BO40" i="11" s="1"/>
  <c r="BP62" i="11"/>
  <c r="BP40" i="11" s="1"/>
  <c r="BQ62" i="11"/>
  <c r="BQ40" i="11" s="1"/>
  <c r="BR62" i="11"/>
  <c r="BR40" i="11" s="1"/>
  <c r="BS62" i="11"/>
  <c r="BS40" i="11" s="1"/>
  <c r="BT62" i="11"/>
  <c r="BT40" i="11" s="1"/>
  <c r="BU62" i="11"/>
  <c r="BV62" i="11"/>
  <c r="BV40" i="11" s="1"/>
  <c r="BW62" i="11"/>
  <c r="BW40" i="11" s="1"/>
  <c r="BX62" i="11"/>
  <c r="BX40" i="11" s="1"/>
  <c r="BY62" i="11"/>
  <c r="BY40" i="11" s="1"/>
  <c r="BZ62" i="11"/>
  <c r="BZ40" i="11" s="1"/>
  <c r="CA62" i="11"/>
  <c r="CA40" i="11" s="1"/>
  <c r="CB62" i="11"/>
  <c r="CB40" i="11" s="1"/>
  <c r="CC62" i="11"/>
  <c r="CD62" i="11"/>
  <c r="CD40" i="11" s="1"/>
  <c r="CE62" i="11"/>
  <c r="CF62" i="11"/>
  <c r="CF40" i="11" s="1"/>
  <c r="CG62" i="11"/>
  <c r="CG40" i="11" s="1"/>
  <c r="CH62" i="11"/>
  <c r="CH40" i="11" s="1"/>
  <c r="CI62" i="11"/>
  <c r="CI40" i="11" s="1"/>
  <c r="CJ62" i="11"/>
  <c r="CJ40" i="11" s="1"/>
  <c r="CK62" i="11"/>
  <c r="CL62" i="11"/>
  <c r="CL40" i="11" s="1"/>
  <c r="CM62" i="11"/>
  <c r="CM40" i="11" s="1"/>
  <c r="CN62" i="11"/>
  <c r="CN40" i="11" s="1"/>
  <c r="CO62" i="11"/>
  <c r="CO40" i="11" s="1"/>
  <c r="CP62" i="11"/>
  <c r="CP40" i="11" s="1"/>
  <c r="CQ62" i="11"/>
  <c r="CQ40" i="11" s="1"/>
  <c r="CR62" i="11"/>
  <c r="CR40" i="11" s="1"/>
  <c r="CS62" i="11"/>
  <c r="CT62" i="11"/>
  <c r="CT40" i="11" s="1"/>
  <c r="F64" i="11"/>
  <c r="W64" i="11"/>
  <c r="AU64" i="11"/>
  <c r="AY64" i="11"/>
  <c r="AZ64" i="11"/>
  <c r="BA64" i="11"/>
  <c r="N64" i="11" s="1"/>
  <c r="BB64" i="11"/>
  <c r="BC64" i="11"/>
  <c r="BD64" i="11"/>
  <c r="O64" i="11" s="1"/>
  <c r="BE64" i="11"/>
  <c r="P64" i="11" s="1"/>
  <c r="BF64" i="11"/>
  <c r="BG64" i="11"/>
  <c r="BH64" i="11"/>
  <c r="Q64" i="11" s="1"/>
  <c r="BI64" i="11"/>
  <c r="BJ64" i="11"/>
  <c r="BK64" i="11"/>
  <c r="R64" i="11" s="1"/>
  <c r="BL64" i="11"/>
  <c r="BM64" i="11"/>
  <c r="BN64" i="11"/>
  <c r="BO64" i="11"/>
  <c r="S64" i="11" s="1"/>
  <c r="BP64" i="11"/>
  <c r="BQ64" i="11"/>
  <c r="T64" i="11" s="1"/>
  <c r="BR64" i="11"/>
  <c r="BS64" i="11"/>
  <c r="BT64" i="11"/>
  <c r="U64" i="11" s="1"/>
  <c r="BU64" i="11"/>
  <c r="BV64" i="11"/>
  <c r="BW64" i="11"/>
  <c r="BX64" i="11"/>
  <c r="BY64" i="11"/>
  <c r="V64" i="11" s="1"/>
  <c r="BZ64" i="11"/>
  <c r="CA64" i="11"/>
  <c r="CB64" i="11"/>
  <c r="CC64" i="11"/>
  <c r="X64" i="11" s="1"/>
  <c r="CD64" i="11"/>
  <c r="CE64" i="11"/>
  <c r="CF64" i="11"/>
  <c r="Y64" i="11" s="1"/>
  <c r="CG64" i="11"/>
  <c r="CH64" i="11"/>
  <c r="CI64" i="11"/>
  <c r="G64" i="11" s="1"/>
  <c r="CJ64" i="11"/>
  <c r="CK64" i="11"/>
  <c r="CL64" i="11"/>
  <c r="AA64" i="11" s="1"/>
  <c r="CM64" i="11"/>
  <c r="CN64" i="11"/>
  <c r="CO64" i="11"/>
  <c r="AB64" i="11" s="1"/>
  <c r="CP64" i="11"/>
  <c r="CQ64" i="11"/>
  <c r="CR64" i="11"/>
  <c r="AC64" i="11" s="1"/>
  <c r="CS64" i="11"/>
  <c r="CT64" i="11"/>
  <c r="CU64" i="11"/>
  <c r="H64" i="11" s="1"/>
  <c r="CV64" i="11"/>
  <c r="CW64" i="11"/>
  <c r="AD64" i="11" s="1"/>
  <c r="CX64" i="11"/>
  <c r="CY64" i="11"/>
  <c r="CZ64" i="11"/>
  <c r="AE64" i="11" s="1"/>
  <c r="DA64" i="11"/>
  <c r="AF64" i="11" s="1"/>
  <c r="DB64" i="11"/>
  <c r="DC64" i="11"/>
  <c r="DD64" i="11"/>
  <c r="AG64" i="11" s="1"/>
  <c r="DE64" i="11"/>
  <c r="DF64" i="11"/>
  <c r="DG64" i="11"/>
  <c r="I64" i="11" s="1"/>
  <c r="DH64" i="11"/>
  <c r="DI64" i="11"/>
  <c r="DJ64" i="11"/>
  <c r="AI64" i="11" s="1"/>
  <c r="DK64" i="11"/>
  <c r="DL64" i="11"/>
  <c r="DM64" i="11"/>
  <c r="AJ64" i="11" s="1"/>
  <c r="DN64" i="11"/>
  <c r="DO64" i="11"/>
  <c r="DP64" i="11"/>
  <c r="AK64" i="11" s="1"/>
  <c r="DQ64" i="11"/>
  <c r="DR64" i="11"/>
  <c r="DS64" i="11"/>
  <c r="J64" i="11" s="1"/>
  <c r="DT64" i="11"/>
  <c r="DU64" i="11"/>
  <c r="AL64" i="11" s="1"/>
  <c r="DV64" i="11"/>
  <c r="DW64" i="11"/>
  <c r="DX64" i="11"/>
  <c r="AM64" i="11" s="1"/>
  <c r="DY64" i="11"/>
  <c r="AN64" i="11" s="1"/>
  <c r="DZ64" i="11"/>
  <c r="EA64" i="11"/>
  <c r="EB64" i="11"/>
  <c r="AO64" i="11" s="1"/>
  <c r="EC64" i="11"/>
  <c r="ED64" i="11"/>
  <c r="EE64" i="11"/>
  <c r="AP64" i="11" s="1"/>
  <c r="EF64" i="11"/>
  <c r="EG64" i="11"/>
  <c r="EH64" i="11"/>
  <c r="AQ64" i="11" s="1"/>
  <c r="EI64" i="11"/>
  <c r="EJ64" i="11"/>
  <c r="EK64" i="11"/>
  <c r="AR64" i="11" s="1"/>
  <c r="EL64" i="11"/>
  <c r="EM64" i="11"/>
  <c r="EN64" i="11"/>
  <c r="AS64" i="11" s="1"/>
  <c r="EO64" i="11"/>
  <c r="EP64" i="11"/>
  <c r="EQ64" i="11"/>
  <c r="L64" i="11" s="1"/>
  <c r="ER64" i="11"/>
  <c r="ES64" i="11"/>
  <c r="AT64" i="11" s="1"/>
  <c r="ET64" i="11"/>
  <c r="EU64" i="11"/>
  <c r="EV64" i="11"/>
  <c r="EW64" i="11"/>
  <c r="AV64" i="11" s="1"/>
  <c r="EX64" i="11"/>
  <c r="EY64" i="11"/>
  <c r="EZ64" i="11"/>
  <c r="AW64" i="11" s="1"/>
  <c r="FA64" i="11"/>
  <c r="FB64" i="11"/>
  <c r="V65" i="11"/>
  <c r="AY65" i="11"/>
  <c r="AY23" i="11" s="1"/>
  <c r="BA65" i="11"/>
  <c r="BA23" i="11" s="1"/>
  <c r="BB65" i="11"/>
  <c r="BB23" i="11" s="1"/>
  <c r="BC65" i="11"/>
  <c r="BD65" i="11"/>
  <c r="BD23" i="11" s="1"/>
  <c r="BE65" i="11"/>
  <c r="BE23" i="11" s="1"/>
  <c r="BG65" i="11"/>
  <c r="BG23" i="11" s="1"/>
  <c r="BH65" i="11"/>
  <c r="BH23" i="11" s="1"/>
  <c r="Q23" i="11" s="1"/>
  <c r="BI65" i="11"/>
  <c r="BI23" i="11" s="1"/>
  <c r="BJ65" i="11"/>
  <c r="BJ23" i="11" s="1"/>
  <c r="BK65" i="11"/>
  <c r="BL65" i="11"/>
  <c r="BL23" i="11" s="1"/>
  <c r="BN65" i="11"/>
  <c r="BN23" i="11" s="1"/>
  <c r="BO65" i="11"/>
  <c r="BO23" i="11" s="1"/>
  <c r="BP65" i="11"/>
  <c r="BP23" i="11" s="1"/>
  <c r="BQ65" i="11"/>
  <c r="BQ23" i="11" s="1"/>
  <c r="BR65" i="11"/>
  <c r="BR23" i="11" s="1"/>
  <c r="BS65" i="11"/>
  <c r="BV65" i="11"/>
  <c r="BV23" i="11" s="1"/>
  <c r="BW65" i="11"/>
  <c r="BW23" i="11" s="1"/>
  <c r="BX65" i="11"/>
  <c r="BX23" i="11" s="1"/>
  <c r="BY65" i="11"/>
  <c r="BY23" i="11" s="1"/>
  <c r="BZ65" i="11"/>
  <c r="BZ23" i="11" s="1"/>
  <c r="CA65" i="11"/>
  <c r="CB65" i="11"/>
  <c r="CB23" i="11" s="1"/>
  <c r="CC65" i="11"/>
  <c r="CC23" i="11" s="1"/>
  <c r="CD65" i="11"/>
  <c r="CD23" i="11" s="1"/>
  <c r="CE65" i="11"/>
  <c r="CE23" i="11" s="1"/>
  <c r="CF65" i="11"/>
  <c r="CF23" i="11" s="1"/>
  <c r="Y23" i="11" s="1"/>
  <c r="CG65" i="11"/>
  <c r="CG23" i="11" s="1"/>
  <c r="CH65" i="11"/>
  <c r="CH23" i="11" s="1"/>
  <c r="CI65" i="11"/>
  <c r="CJ65" i="11"/>
  <c r="CK65" i="11"/>
  <c r="CK23" i="11" s="1"/>
  <c r="CL65" i="11"/>
  <c r="CL23" i="11" s="1"/>
  <c r="CM65" i="11"/>
  <c r="CM23" i="11" s="1"/>
  <c r="CN65" i="11"/>
  <c r="CN23" i="11" s="1"/>
  <c r="CO65" i="11"/>
  <c r="CO23" i="11" s="1"/>
  <c r="CP65" i="11"/>
  <c r="CP23" i="11" s="1"/>
  <c r="CQ65" i="11"/>
  <c r="CT65" i="11"/>
  <c r="CT23" i="11" s="1"/>
  <c r="T69" i="11"/>
  <c r="BA69" i="11"/>
  <c r="N69" i="11" s="1"/>
  <c r="BF69" i="11"/>
  <c r="BI69" i="11"/>
  <c r="BN69" i="11"/>
  <c r="BQ69" i="11"/>
  <c r="BV69" i="11"/>
  <c r="U69" i="11" s="1"/>
  <c r="BY69" i="11"/>
  <c r="V69" i="11" s="1"/>
  <c r="CD69" i="11"/>
  <c r="CG69" i="11"/>
  <c r="CL69" i="11"/>
  <c r="CO69" i="11"/>
  <c r="CT69" i="11"/>
  <c r="AC69" i="11" s="1"/>
  <c r="S70" i="11"/>
  <c r="D70" i="11"/>
  <c r="AZ69" i="11"/>
  <c r="BB69" i="11"/>
  <c r="BC69" i="11"/>
  <c r="BD69" i="11"/>
  <c r="O69" i="11" s="1"/>
  <c r="BE69" i="11"/>
  <c r="BG69" i="11"/>
  <c r="P69" i="11" s="1"/>
  <c r="BJ69" i="11"/>
  <c r="BK69" i="11"/>
  <c r="BL69" i="11"/>
  <c r="BM69" i="11"/>
  <c r="R69" i="11" s="1"/>
  <c r="R156" i="11" s="1"/>
  <c r="BO69" i="11"/>
  <c r="BP69" i="11"/>
  <c r="S69" i="11" s="1"/>
  <c r="T70" i="11"/>
  <c r="BR69" i="11"/>
  <c r="BS69" i="11"/>
  <c r="U70" i="11"/>
  <c r="BU69" i="11"/>
  <c r="BU156" i="11" s="1"/>
  <c r="V70" i="11"/>
  <c r="BX69" i="11"/>
  <c r="BZ69" i="11"/>
  <c r="CA69" i="11"/>
  <c r="CB69" i="11"/>
  <c r="W69" i="11" s="1"/>
  <c r="CC69" i="11"/>
  <c r="CE69" i="11"/>
  <c r="X69" i="11" s="1"/>
  <c r="CH69" i="11"/>
  <c r="CI69" i="11"/>
  <c r="CJ69" i="11"/>
  <c r="CK69" i="11"/>
  <c r="Z69" i="11" s="1"/>
  <c r="Z156" i="11" s="1"/>
  <c r="CM69" i="11"/>
  <c r="CN69" i="11"/>
  <c r="AA69" i="11" s="1"/>
  <c r="AB70" i="11"/>
  <c r="CP69" i="11"/>
  <c r="CQ69" i="11"/>
  <c r="AB69" i="11" s="1"/>
  <c r="AC70" i="11"/>
  <c r="CS69" i="11"/>
  <c r="CS156" i="11" s="1"/>
  <c r="B71" i="11"/>
  <c r="BA74" i="11"/>
  <c r="N74" i="11" s="1"/>
  <c r="BD74" i="11"/>
  <c r="BI74" i="11"/>
  <c r="BL74" i="11"/>
  <c r="BQ74" i="11"/>
  <c r="BT74" i="11"/>
  <c r="BY74" i="11"/>
  <c r="V74" i="11" s="1"/>
  <c r="CB74" i="11"/>
  <c r="W74" i="11" s="1"/>
  <c r="W155" i="11" s="1"/>
  <c r="CG74" i="11"/>
  <c r="CJ74" i="11"/>
  <c r="CJ155" i="11" s="1"/>
  <c r="CO74" i="11"/>
  <c r="CR74" i="11"/>
  <c r="E75" i="11"/>
  <c r="N75" i="11"/>
  <c r="U75" i="11"/>
  <c r="V75" i="11"/>
  <c r="AC75" i="11"/>
  <c r="AY74" i="11"/>
  <c r="AZ74" i="11"/>
  <c r="O75" i="11"/>
  <c r="BC74" i="11"/>
  <c r="BE74" i="11"/>
  <c r="BF74" i="11"/>
  <c r="BG74" i="11"/>
  <c r="P74" i="11" s="1"/>
  <c r="Q75" i="11"/>
  <c r="BJ74" i="11"/>
  <c r="BM74" i="11"/>
  <c r="R74" i="11" s="1"/>
  <c r="R155" i="11" s="1"/>
  <c r="BN74" i="11"/>
  <c r="BO74" i="11"/>
  <c r="BP74" i="11"/>
  <c r="S74" i="11" s="1"/>
  <c r="BR74" i="11"/>
  <c r="BS74" i="11"/>
  <c r="T74" i="11" s="1"/>
  <c r="BU74" i="11"/>
  <c r="BV74" i="11"/>
  <c r="F75" i="11"/>
  <c r="BX74" i="11"/>
  <c r="W75" i="11"/>
  <c r="CA74" i="11"/>
  <c r="CC74" i="11"/>
  <c r="CD74" i="11"/>
  <c r="CE74" i="11"/>
  <c r="X74" i="11" s="1"/>
  <c r="Y75" i="11"/>
  <c r="CH74" i="11"/>
  <c r="Y74" i="11" s="1"/>
  <c r="CK74" i="11"/>
  <c r="Z74" i="11" s="1"/>
  <c r="Z155" i="11" s="1"/>
  <c r="CL74" i="11"/>
  <c r="CM74" i="11"/>
  <c r="CN74" i="11"/>
  <c r="AA74" i="11" s="1"/>
  <c r="CP74" i="11"/>
  <c r="CQ74" i="11"/>
  <c r="AB74" i="11" s="1"/>
  <c r="CS74" i="11"/>
  <c r="CT74" i="11"/>
  <c r="B76" i="11"/>
  <c r="B81" i="11" s="1"/>
  <c r="Z79" i="11"/>
  <c r="AY79" i="11"/>
  <c r="BD79" i="11"/>
  <c r="O79" i="11" s="1"/>
  <c r="BG79" i="11"/>
  <c r="P79" i="11" s="1"/>
  <c r="BL79" i="11"/>
  <c r="BO79" i="11"/>
  <c r="BT79" i="11"/>
  <c r="BW79" i="11"/>
  <c r="CB79" i="11"/>
  <c r="W79" i="11" s="1"/>
  <c r="CE79" i="11"/>
  <c r="X79" i="11" s="1"/>
  <c r="CJ79" i="11"/>
  <c r="CM79" i="11"/>
  <c r="CR79" i="11"/>
  <c r="N80" i="11"/>
  <c r="Q80" i="11"/>
  <c r="V80" i="11"/>
  <c r="Y80" i="11"/>
  <c r="AZ79" i="11"/>
  <c r="BA79" i="11"/>
  <c r="N79" i="11" s="1"/>
  <c r="BB79" i="11"/>
  <c r="BC79" i="11"/>
  <c r="BE79" i="11"/>
  <c r="BF79" i="11"/>
  <c r="BF157" i="11" s="1"/>
  <c r="BH79" i="11"/>
  <c r="BI79" i="11"/>
  <c r="BJ79" i="11"/>
  <c r="R80" i="11"/>
  <c r="BM79" i="11"/>
  <c r="R79" i="11" s="1"/>
  <c r="R157" i="11" s="1"/>
  <c r="BP79" i="11"/>
  <c r="S79" i="11" s="1"/>
  <c r="BQ79" i="11"/>
  <c r="BR79" i="11"/>
  <c r="BS79" i="11"/>
  <c r="T79" i="11" s="1"/>
  <c r="BU79" i="11"/>
  <c r="BV79" i="11"/>
  <c r="BX79" i="11"/>
  <c r="BY79" i="11"/>
  <c r="V79" i="11" s="1"/>
  <c r="BZ79" i="11"/>
  <c r="CA79" i="11"/>
  <c r="CC79" i="11"/>
  <c r="CD79" i="11"/>
  <c r="CD157" i="11" s="1"/>
  <c r="CD142" i="11" s="1"/>
  <c r="CF79" i="11"/>
  <c r="CG79" i="11"/>
  <c r="CH79" i="11"/>
  <c r="Z80" i="11"/>
  <c r="CK79" i="11"/>
  <c r="CN79" i="11"/>
  <c r="AA79" i="11" s="1"/>
  <c r="CO79" i="11"/>
  <c r="CP79" i="11"/>
  <c r="CQ79" i="11"/>
  <c r="AB79" i="11" s="1"/>
  <c r="CS79" i="11"/>
  <c r="CT79" i="11"/>
  <c r="F106" i="11"/>
  <c r="Q106" i="11"/>
  <c r="R106" i="11"/>
  <c r="Y106" i="11"/>
  <c r="Z106" i="11"/>
  <c r="AY107" i="11"/>
  <c r="N107" i="11" s="1"/>
  <c r="N106" i="11"/>
  <c r="BD107" i="11"/>
  <c r="D106" i="11"/>
  <c r="BL107" i="11"/>
  <c r="BO107" i="11"/>
  <c r="S106" i="11"/>
  <c r="T106" i="11"/>
  <c r="BT107" i="11"/>
  <c r="BW107" i="11"/>
  <c r="V107" i="11" s="1"/>
  <c r="V106" i="11"/>
  <c r="CB107" i="11"/>
  <c r="CJ107" i="11"/>
  <c r="CM107" i="11"/>
  <c r="AA106" i="11"/>
  <c r="AB106" i="11"/>
  <c r="CR107" i="11"/>
  <c r="E107" i="11"/>
  <c r="Q107" i="11"/>
  <c r="Y107" i="11"/>
  <c r="AZ107" i="11"/>
  <c r="BA107" i="11"/>
  <c r="BB107" i="11"/>
  <c r="BC107" i="11"/>
  <c r="BE107" i="11"/>
  <c r="BF107" i="11"/>
  <c r="BH107" i="11"/>
  <c r="BI107" i="11"/>
  <c r="BJ107" i="11"/>
  <c r="BK107" i="11"/>
  <c r="R107" i="11" s="1"/>
  <c r="BM107" i="11"/>
  <c r="BN107" i="11"/>
  <c r="S107" i="11" s="1"/>
  <c r="BP107" i="11"/>
  <c r="BQ107" i="11"/>
  <c r="T107" i="11" s="1"/>
  <c r="BR107" i="11"/>
  <c r="BS107" i="11"/>
  <c r="BU107" i="11"/>
  <c r="BV107" i="11"/>
  <c r="BX107" i="11"/>
  <c r="BY107" i="11"/>
  <c r="BZ107" i="11"/>
  <c r="W107" i="11" s="1"/>
  <c r="CA107" i="11"/>
  <c r="CC107" i="11"/>
  <c r="CD107" i="11"/>
  <c r="CF107" i="11"/>
  <c r="CG107" i="11"/>
  <c r="CH107" i="11"/>
  <c r="CI107" i="11"/>
  <c r="Z107" i="11" s="1"/>
  <c r="CK107" i="11"/>
  <c r="CL107" i="11"/>
  <c r="CN107" i="11"/>
  <c r="CO107" i="11"/>
  <c r="CP107" i="11"/>
  <c r="CQ107" i="11"/>
  <c r="CS107" i="11"/>
  <c r="CT107" i="11"/>
  <c r="CT114" i="11" s="1"/>
  <c r="B108" i="11"/>
  <c r="B113" i="11" s="1"/>
  <c r="B136" i="11" s="1"/>
  <c r="B141" i="11" s="1"/>
  <c r="G111" i="11"/>
  <c r="N111" i="11"/>
  <c r="P111" i="11"/>
  <c r="S111" i="11"/>
  <c r="S159" i="11" s="1"/>
  <c r="U111" i="11"/>
  <c r="V111" i="11"/>
  <c r="X111" i="11"/>
  <c r="AA111" i="11"/>
  <c r="AA159" i="11" s="1"/>
  <c r="AC111" i="11"/>
  <c r="BB112" i="11"/>
  <c r="BC112" i="11"/>
  <c r="BC114" i="11" s="1"/>
  <c r="O111" i="11"/>
  <c r="O159" i="11" s="1"/>
  <c r="BE112" i="11"/>
  <c r="D111" i="11"/>
  <c r="D159" i="11" s="1"/>
  <c r="BK112" i="11"/>
  <c r="R112" i="11" s="1"/>
  <c r="R114" i="11" s="1"/>
  <c r="BM112" i="11"/>
  <c r="BM114" i="11" s="1"/>
  <c r="BR112" i="11"/>
  <c r="BR114" i="11" s="1"/>
  <c r="T111" i="11"/>
  <c r="BU112" i="11"/>
  <c r="BU114" i="11" s="1"/>
  <c r="E111" i="11"/>
  <c r="E159" i="11" s="1"/>
  <c r="BZ112" i="11"/>
  <c r="CA112" i="11"/>
  <c r="CA114" i="11" s="1"/>
  <c r="W111" i="11"/>
  <c r="W159" i="11" s="1"/>
  <c r="CC112" i="11"/>
  <c r="CH112" i="11"/>
  <c r="CH114" i="11" s="1"/>
  <c r="CI112" i="11"/>
  <c r="Z112" i="11" s="1"/>
  <c r="Z114" i="11" s="1"/>
  <c r="CK112" i="11"/>
  <c r="CK114" i="11" s="1"/>
  <c r="CP112" i="11"/>
  <c r="CP114" i="11" s="1"/>
  <c r="AB111" i="11"/>
  <c r="CS112" i="11"/>
  <c r="CS114" i="11" s="1"/>
  <c r="AY112" i="11"/>
  <c r="BA112" i="11"/>
  <c r="BD112" i="11"/>
  <c r="BF112" i="11"/>
  <c r="BG112" i="11"/>
  <c r="BI112" i="11"/>
  <c r="BL112" i="11"/>
  <c r="BN112" i="11"/>
  <c r="BO112" i="11"/>
  <c r="BO114" i="11" s="1"/>
  <c r="BQ112" i="11"/>
  <c r="BT112" i="11"/>
  <c r="BV112" i="11"/>
  <c r="BW112" i="11"/>
  <c r="BY112" i="11"/>
  <c r="CB112" i="11"/>
  <c r="CD112" i="11"/>
  <c r="CE112" i="11"/>
  <c r="CG112" i="11"/>
  <c r="CJ112" i="11"/>
  <c r="CL112" i="11"/>
  <c r="CM112" i="11"/>
  <c r="CM114" i="11" s="1"/>
  <c r="CO112" i="11"/>
  <c r="CR112" i="11"/>
  <c r="AC112" i="11" s="1"/>
  <c r="CT112" i="11"/>
  <c r="BA114" i="11"/>
  <c r="BD114" i="11"/>
  <c r="BF114" i="11"/>
  <c r="BI114" i="11"/>
  <c r="BL114" i="11"/>
  <c r="BQ114" i="11"/>
  <c r="BT114" i="11"/>
  <c r="BV114" i="11"/>
  <c r="BY114" i="11"/>
  <c r="CB114" i="11"/>
  <c r="CD114" i="11"/>
  <c r="CG114" i="11"/>
  <c r="CJ114" i="11"/>
  <c r="CL114" i="11"/>
  <c r="CO114" i="11"/>
  <c r="CR114" i="11"/>
  <c r="AY125" i="11"/>
  <c r="AZ125" i="11"/>
  <c r="BA125" i="11"/>
  <c r="BB125" i="11"/>
  <c r="BC125" i="11"/>
  <c r="BD125" i="11"/>
  <c r="BE125" i="11"/>
  <c r="BF125" i="11"/>
  <c r="BG125" i="11"/>
  <c r="BH125" i="11"/>
  <c r="BI125" i="11"/>
  <c r="Q125" i="11" s="1"/>
  <c r="BJ125" i="11"/>
  <c r="BK125" i="11"/>
  <c r="BL125" i="11"/>
  <c r="BM125" i="11"/>
  <c r="BN125" i="11"/>
  <c r="BO125" i="11"/>
  <c r="BP125" i="11"/>
  <c r="BQ125" i="11"/>
  <c r="T125" i="11" s="1"/>
  <c r="BR125" i="11"/>
  <c r="BS125" i="11"/>
  <c r="BT125" i="11"/>
  <c r="BU125" i="11"/>
  <c r="BV125" i="11"/>
  <c r="BW125" i="11"/>
  <c r="BX125" i="11"/>
  <c r="BY125" i="11"/>
  <c r="BZ125" i="11"/>
  <c r="CA125" i="11"/>
  <c r="CB125" i="11"/>
  <c r="CC125" i="11"/>
  <c r="CD125" i="11"/>
  <c r="CE125" i="11"/>
  <c r="CF125" i="11"/>
  <c r="CG125" i="11"/>
  <c r="Y125" i="11" s="1"/>
  <c r="CH125" i="11"/>
  <c r="CI125" i="11"/>
  <c r="CJ125" i="11"/>
  <c r="CK125" i="11"/>
  <c r="CL125" i="11"/>
  <c r="CM125" i="11"/>
  <c r="CN125" i="11"/>
  <c r="CO125" i="11"/>
  <c r="AB125" i="11" s="1"/>
  <c r="CP125" i="11"/>
  <c r="CQ125" i="11"/>
  <c r="CR125" i="11"/>
  <c r="CS125" i="11"/>
  <c r="CT125" i="11"/>
  <c r="BL129" i="11"/>
  <c r="BT129" i="11"/>
  <c r="CB129" i="11"/>
  <c r="CJ129" i="11"/>
  <c r="CR129" i="11"/>
  <c r="BD130" i="11"/>
  <c r="BL130" i="11"/>
  <c r="BT130" i="11"/>
  <c r="CB130" i="11"/>
  <c r="CJ130" i="11"/>
  <c r="CJ149" i="11" s="1"/>
  <c r="CR130" i="11"/>
  <c r="CR149" i="11" s="1"/>
  <c r="D134" i="11"/>
  <c r="D161" i="11" s="1"/>
  <c r="R134" i="11"/>
  <c r="Z134" i="11"/>
  <c r="AY134" i="11"/>
  <c r="AZ134" i="11"/>
  <c r="BB134" i="11"/>
  <c r="BC134" i="11"/>
  <c r="BG134" i="11"/>
  <c r="P134" i="11" s="1"/>
  <c r="BH134" i="11"/>
  <c r="BJ134" i="11"/>
  <c r="Q134" i="11" s="1"/>
  <c r="Q161" i="11" s="1"/>
  <c r="BK134" i="11"/>
  <c r="BO134" i="11"/>
  <c r="BO161" i="11" s="1"/>
  <c r="BP134" i="11"/>
  <c r="S134" i="11" s="1"/>
  <c r="BR134" i="11"/>
  <c r="BS134" i="11"/>
  <c r="T134" i="11" s="1"/>
  <c r="BW134" i="11"/>
  <c r="BX134" i="11"/>
  <c r="BZ134" i="11"/>
  <c r="CA134" i="11"/>
  <c r="CE134" i="11"/>
  <c r="X134" i="11" s="1"/>
  <c r="X161" i="11" s="1"/>
  <c r="CF134" i="11"/>
  <c r="CH134" i="11"/>
  <c r="CI134" i="11"/>
  <c r="CM134" i="11"/>
  <c r="CN134" i="11"/>
  <c r="AA134" i="11" s="1"/>
  <c r="AA161" i="11" s="1"/>
  <c r="CP134" i="11"/>
  <c r="CQ134" i="11"/>
  <c r="AB134" i="11" s="1"/>
  <c r="R135" i="11"/>
  <c r="Y135" i="11"/>
  <c r="Z135" i="11"/>
  <c r="D135" i="11"/>
  <c r="BA134" i="11"/>
  <c r="N134" i="11" s="1"/>
  <c r="N161" i="11" s="1"/>
  <c r="O135" i="11"/>
  <c r="BD134" i="11"/>
  <c r="O134" i="11" s="1"/>
  <c r="BE134" i="11"/>
  <c r="BF134" i="11"/>
  <c r="BF161" i="11" s="1"/>
  <c r="BI134" i="11"/>
  <c r="BL134" i="11"/>
  <c r="BM134" i="11"/>
  <c r="BQ134" i="11"/>
  <c r="BT134" i="11"/>
  <c r="BU134" i="11"/>
  <c r="V135" i="11"/>
  <c r="BY134" i="11"/>
  <c r="V134" i="11" s="1"/>
  <c r="V161" i="11" s="1"/>
  <c r="W135" i="11"/>
  <c r="CB134" i="11"/>
  <c r="W134" i="11" s="1"/>
  <c r="CC134" i="11"/>
  <c r="CD134" i="11"/>
  <c r="CG134" i="11"/>
  <c r="CJ134" i="11"/>
  <c r="CK134" i="11"/>
  <c r="CO134" i="11"/>
  <c r="CR134" i="11"/>
  <c r="CS134" i="11"/>
  <c r="D139" i="11"/>
  <c r="D162" i="11" s="1"/>
  <c r="E139" i="11"/>
  <c r="G139" i="11"/>
  <c r="U139" i="11"/>
  <c r="U162" i="11" s="1"/>
  <c r="AC139" i="11"/>
  <c r="AC162" i="11" s="1"/>
  <c r="AZ139" i="11"/>
  <c r="BB139" i="11"/>
  <c r="BB162" i="11" s="1"/>
  <c r="BC139" i="11"/>
  <c r="BE139" i="11"/>
  <c r="BE162" i="11" s="1"/>
  <c r="BF139" i="11"/>
  <c r="BH139" i="11"/>
  <c r="BJ139" i="11"/>
  <c r="Q139" i="11" s="1"/>
  <c r="BK139" i="11"/>
  <c r="BM139" i="11"/>
  <c r="BN139" i="11"/>
  <c r="BP139" i="11"/>
  <c r="S139" i="11" s="1"/>
  <c r="S162" i="11" s="1"/>
  <c r="BR139" i="11"/>
  <c r="BR162" i="11" s="1"/>
  <c r="BS139" i="11"/>
  <c r="T139" i="11" s="1"/>
  <c r="BU139" i="11"/>
  <c r="BV139" i="11"/>
  <c r="BX139" i="11"/>
  <c r="BZ139" i="11"/>
  <c r="BZ162" i="11" s="1"/>
  <c r="CA139" i="11"/>
  <c r="CC139" i="11"/>
  <c r="CD139" i="11"/>
  <c r="CF139" i="11"/>
  <c r="CH139" i="11"/>
  <c r="CI139" i="11"/>
  <c r="CK139" i="11"/>
  <c r="Z139" i="11" s="1"/>
  <c r="CL139" i="11"/>
  <c r="CN139" i="11"/>
  <c r="AA139" i="11" s="1"/>
  <c r="AA162" i="11" s="1"/>
  <c r="CP139" i="11"/>
  <c r="CP162" i="11" s="1"/>
  <c r="CQ139" i="11"/>
  <c r="AB139" i="11" s="1"/>
  <c r="AB162" i="11" s="1"/>
  <c r="CS139" i="11"/>
  <c r="CT139" i="11"/>
  <c r="T140" i="11"/>
  <c r="W140" i="11"/>
  <c r="AY139" i="11"/>
  <c r="AY162" i="11" s="1"/>
  <c r="BD139" i="11"/>
  <c r="O139" i="11" s="1"/>
  <c r="P140" i="11"/>
  <c r="BG139" i="11"/>
  <c r="S140" i="11"/>
  <c r="BO139" i="11"/>
  <c r="BO162" i="11" s="1"/>
  <c r="BQ139" i="11"/>
  <c r="BQ162" i="11" s="1"/>
  <c r="BW139" i="11"/>
  <c r="BW162" i="11" s="1"/>
  <c r="BY139" i="11"/>
  <c r="V139" i="11" s="1"/>
  <c r="X140" i="11"/>
  <c r="CE139" i="11"/>
  <c r="AA140" i="11"/>
  <c r="CM139" i="11"/>
  <c r="CM162" i="11" s="1"/>
  <c r="CO139" i="11"/>
  <c r="CO162" i="11" s="1"/>
  <c r="I145" i="11"/>
  <c r="J145" i="11"/>
  <c r="CU145" i="11"/>
  <c r="CV145" i="11"/>
  <c r="CW145" i="11"/>
  <c r="CX145" i="11"/>
  <c r="CY145" i="11"/>
  <c r="CZ145" i="11"/>
  <c r="DA145" i="11"/>
  <c r="DB145" i="11"/>
  <c r="DC145" i="11"/>
  <c r="DD145" i="11"/>
  <c r="DE145" i="11"/>
  <c r="DF145" i="11"/>
  <c r="DG145" i="11"/>
  <c r="DH145" i="11"/>
  <c r="DI145" i="11"/>
  <c r="DJ145" i="11"/>
  <c r="DK145" i="11"/>
  <c r="DL145" i="11"/>
  <c r="DM145" i="11"/>
  <c r="DN145" i="11"/>
  <c r="DO145" i="11"/>
  <c r="DP145" i="11"/>
  <c r="DQ145" i="11"/>
  <c r="DR145" i="11"/>
  <c r="DT145" i="11"/>
  <c r="DY145" i="11"/>
  <c r="EB145" i="11"/>
  <c r="BL149" i="11"/>
  <c r="BT149" i="11"/>
  <c r="CB149" i="11"/>
  <c r="N155" i="11"/>
  <c r="P155" i="11"/>
  <c r="S155" i="11"/>
  <c r="T155" i="11"/>
  <c r="V155" i="11"/>
  <c r="X155" i="11"/>
  <c r="Y155" i="11"/>
  <c r="AA155" i="11"/>
  <c r="AB155" i="11"/>
  <c r="AY155" i="11"/>
  <c r="AZ155" i="11"/>
  <c r="BA155" i="11"/>
  <c r="BC155" i="11"/>
  <c r="BE155" i="11"/>
  <c r="BF155" i="11"/>
  <c r="BG155" i="11"/>
  <c r="BI155" i="11"/>
  <c r="BJ155" i="11"/>
  <c r="BJ142" i="11" s="1"/>
  <c r="BL155" i="11"/>
  <c r="BM155" i="11"/>
  <c r="BN155" i="11"/>
  <c r="BO155" i="11"/>
  <c r="BO142" i="11" s="1"/>
  <c r="BP155" i="11"/>
  <c r="BQ155" i="11"/>
  <c r="BR155" i="11"/>
  <c r="BR142" i="11" s="1"/>
  <c r="BS155" i="11"/>
  <c r="BT155" i="11"/>
  <c r="BU155" i="11"/>
  <c r="BV155" i="11"/>
  <c r="BX155" i="11"/>
  <c r="BY155" i="11"/>
  <c r="CA155" i="11"/>
  <c r="CB155" i="11"/>
  <c r="CC155" i="11"/>
  <c r="CD155" i="11"/>
  <c r="CE155" i="11"/>
  <c r="CG155" i="11"/>
  <c r="CH155" i="11"/>
  <c r="CK155" i="11"/>
  <c r="CL155" i="11"/>
  <c r="CM155" i="11"/>
  <c r="CN155" i="11"/>
  <c r="CO155" i="11"/>
  <c r="CP155" i="11"/>
  <c r="CP142" i="11" s="1"/>
  <c r="CQ155" i="11"/>
  <c r="CQ142" i="11" s="1"/>
  <c r="CR155" i="11"/>
  <c r="CS155" i="11"/>
  <c r="CT155" i="11"/>
  <c r="N156" i="11"/>
  <c r="O156" i="11"/>
  <c r="P156" i="11"/>
  <c r="S156" i="11"/>
  <c r="T156" i="11"/>
  <c r="T142" i="11" s="1"/>
  <c r="U156" i="11"/>
  <c r="V156" i="11"/>
  <c r="W156" i="11"/>
  <c r="X156" i="11"/>
  <c r="AA156" i="11"/>
  <c r="AB156" i="11"/>
  <c r="AC156" i="11"/>
  <c r="AZ156" i="11"/>
  <c r="BA156" i="11"/>
  <c r="BB156" i="11"/>
  <c r="BC156" i="11"/>
  <c r="BD156" i="11"/>
  <c r="BE156" i="11"/>
  <c r="BF156" i="11"/>
  <c r="BG156" i="11"/>
  <c r="BI156" i="11"/>
  <c r="BJ156" i="11"/>
  <c r="BK156" i="11"/>
  <c r="BL156" i="11"/>
  <c r="BN156" i="11"/>
  <c r="BO156" i="11"/>
  <c r="BP156" i="11"/>
  <c r="BQ156" i="11"/>
  <c r="BR156" i="11"/>
  <c r="BS156" i="11"/>
  <c r="BV156" i="11"/>
  <c r="BX156" i="11"/>
  <c r="BY156" i="11"/>
  <c r="BZ156" i="11"/>
  <c r="CA156" i="11"/>
  <c r="CB156" i="11"/>
  <c r="CC156" i="11"/>
  <c r="CD156" i="11"/>
  <c r="CE156" i="11"/>
  <c r="CG156" i="11"/>
  <c r="CH156" i="11"/>
  <c r="CI156" i="11"/>
  <c r="CJ156" i="11"/>
  <c r="CL156" i="11"/>
  <c r="CM156" i="11"/>
  <c r="CN156" i="11"/>
  <c r="CO156" i="11"/>
  <c r="CO142" i="11" s="1"/>
  <c r="CP156" i="11"/>
  <c r="CQ156" i="11"/>
  <c r="CT156" i="11"/>
  <c r="N157" i="11"/>
  <c r="O157" i="11"/>
  <c r="P157" i="11"/>
  <c r="S157" i="11"/>
  <c r="T157" i="11"/>
  <c r="V157" i="11"/>
  <c r="V163" i="11" s="1"/>
  <c r="W157" i="11"/>
  <c r="X157" i="11"/>
  <c r="Z157" i="11"/>
  <c r="AA157" i="11"/>
  <c r="AB157" i="11"/>
  <c r="AY157" i="11"/>
  <c r="AZ157" i="11"/>
  <c r="BA157" i="11"/>
  <c r="BB157" i="11"/>
  <c r="BC157" i="11"/>
  <c r="BD157" i="11"/>
  <c r="BE157" i="11"/>
  <c r="BG157" i="11"/>
  <c r="BH157" i="11"/>
  <c r="BI157" i="11"/>
  <c r="BJ157" i="11"/>
  <c r="BL157" i="11"/>
  <c r="BM157" i="11"/>
  <c r="BO157" i="11"/>
  <c r="BP157" i="11"/>
  <c r="BQ157" i="11"/>
  <c r="BR157" i="11"/>
  <c r="BS157" i="11"/>
  <c r="BS163" i="11" s="1"/>
  <c r="BS144" i="11" s="1"/>
  <c r="BS145" i="11" s="1"/>
  <c r="BT157" i="11"/>
  <c r="BU157" i="11"/>
  <c r="BW157" i="11"/>
  <c r="BX157" i="11"/>
  <c r="BY157" i="11"/>
  <c r="BZ157" i="11"/>
  <c r="CA157" i="11"/>
  <c r="CB157" i="11"/>
  <c r="CC157" i="11"/>
  <c r="CE157" i="11"/>
  <c r="CF157" i="11"/>
  <c r="CG157" i="11"/>
  <c r="CH157" i="11"/>
  <c r="CJ157" i="11"/>
  <c r="CK157" i="11"/>
  <c r="CM157" i="11"/>
  <c r="CN157" i="11"/>
  <c r="CO157" i="11"/>
  <c r="CP157" i="11"/>
  <c r="CQ157" i="11"/>
  <c r="CR157" i="11"/>
  <c r="CS157" i="11"/>
  <c r="F158" i="11"/>
  <c r="N158" i="11"/>
  <c r="O158" i="11"/>
  <c r="P158" i="11"/>
  <c r="R158" i="11"/>
  <c r="S158" i="11"/>
  <c r="S163" i="11" s="1"/>
  <c r="T158" i="11"/>
  <c r="V158" i="11"/>
  <c r="X158" i="11"/>
  <c r="Y158" i="11"/>
  <c r="Z158" i="11"/>
  <c r="AA158" i="11"/>
  <c r="AB158" i="11"/>
  <c r="AY158" i="11"/>
  <c r="AZ158" i="11"/>
  <c r="BA158" i="11"/>
  <c r="BB158" i="11"/>
  <c r="BC158" i="11"/>
  <c r="BD158" i="11"/>
  <c r="BF158" i="11"/>
  <c r="BG158" i="11"/>
  <c r="BH158" i="11"/>
  <c r="BI158" i="11"/>
  <c r="BJ158" i="11"/>
  <c r="BL158" i="11"/>
  <c r="BM158" i="11"/>
  <c r="BN158" i="11"/>
  <c r="BO158" i="11"/>
  <c r="BP158" i="11"/>
  <c r="BQ158" i="11"/>
  <c r="BR158" i="11"/>
  <c r="BS158" i="11"/>
  <c r="BT158" i="11"/>
  <c r="BU158" i="11"/>
  <c r="BV158" i="11"/>
  <c r="BW158" i="11"/>
  <c r="BX158" i="11"/>
  <c r="BY158" i="11"/>
  <c r="BZ158" i="11"/>
  <c r="CA158" i="11"/>
  <c r="CB158" i="11"/>
  <c r="CD158" i="11"/>
  <c r="CE158" i="11"/>
  <c r="CF158" i="11"/>
  <c r="CG158" i="11"/>
  <c r="CH158" i="11"/>
  <c r="CJ158" i="11"/>
  <c r="CK158" i="11"/>
  <c r="CL158" i="11"/>
  <c r="CM158" i="11"/>
  <c r="CN158" i="11"/>
  <c r="CO158" i="11"/>
  <c r="CP158" i="11"/>
  <c r="CQ158" i="11"/>
  <c r="CR158" i="11"/>
  <c r="CS158" i="11"/>
  <c r="CT158" i="11"/>
  <c r="G159" i="11"/>
  <c r="N159" i="11"/>
  <c r="P159" i="11"/>
  <c r="T159" i="11"/>
  <c r="U159" i="11"/>
  <c r="V159" i="11"/>
  <c r="X159" i="11"/>
  <c r="AB159" i="11"/>
  <c r="AC159" i="11"/>
  <c r="AY159" i="11"/>
  <c r="BA159" i="11"/>
  <c r="BB159" i="11"/>
  <c r="BC159" i="11"/>
  <c r="BD159" i="11"/>
  <c r="BE159" i="11"/>
  <c r="BF159" i="11"/>
  <c r="BG159" i="11"/>
  <c r="BI159" i="11"/>
  <c r="BJ159" i="11"/>
  <c r="BK159" i="11"/>
  <c r="BL159" i="11"/>
  <c r="BM159" i="11"/>
  <c r="BN159" i="11"/>
  <c r="BO159" i="11"/>
  <c r="BO163" i="11" s="1"/>
  <c r="BO144" i="11" s="1"/>
  <c r="BQ159" i="11"/>
  <c r="BR159" i="11"/>
  <c r="BS159" i="11"/>
  <c r="BT159" i="11"/>
  <c r="BU159" i="11"/>
  <c r="BV159" i="11"/>
  <c r="BW159" i="11"/>
  <c r="BY159" i="11"/>
  <c r="BZ159" i="11"/>
  <c r="CA159" i="11"/>
  <c r="CB159" i="11"/>
  <c r="CC159" i="11"/>
  <c r="CD159" i="11"/>
  <c r="CE159" i="11"/>
  <c r="CG159" i="11"/>
  <c r="CH159" i="11"/>
  <c r="CI159" i="11"/>
  <c r="CJ159" i="11"/>
  <c r="CK159" i="11"/>
  <c r="CL159" i="11"/>
  <c r="CM159" i="11"/>
  <c r="CO159" i="11"/>
  <c r="CP159" i="11"/>
  <c r="CQ159" i="11"/>
  <c r="CR159" i="11"/>
  <c r="CS159" i="11"/>
  <c r="CT159" i="11"/>
  <c r="D160" i="11"/>
  <c r="F160" i="11"/>
  <c r="N160" i="11"/>
  <c r="Q160" i="11"/>
  <c r="R160" i="11"/>
  <c r="S160" i="11"/>
  <c r="T160" i="11"/>
  <c r="V160" i="11"/>
  <c r="Y160" i="11"/>
  <c r="Z160" i="11"/>
  <c r="AA160" i="11"/>
  <c r="AB160" i="11"/>
  <c r="AY160" i="11"/>
  <c r="AZ160" i="11"/>
  <c r="BA160" i="11"/>
  <c r="BB160" i="11"/>
  <c r="BC160" i="11"/>
  <c r="BD160" i="11"/>
  <c r="BE160" i="11"/>
  <c r="BF160" i="11"/>
  <c r="BG160" i="11"/>
  <c r="BH160" i="11"/>
  <c r="BI160" i="11"/>
  <c r="BJ160" i="11"/>
  <c r="BK160" i="11"/>
  <c r="BL160" i="11"/>
  <c r="BM160" i="11"/>
  <c r="BN160" i="11"/>
  <c r="BO160" i="11"/>
  <c r="BP160" i="11"/>
  <c r="BQ160" i="11"/>
  <c r="BR160" i="11"/>
  <c r="BS160" i="11"/>
  <c r="BT160" i="11"/>
  <c r="BU160" i="11"/>
  <c r="BV160" i="11"/>
  <c r="BW160" i="11"/>
  <c r="BX160" i="11"/>
  <c r="BY160" i="11"/>
  <c r="BZ160" i="11"/>
  <c r="CA160" i="11"/>
  <c r="CB160" i="11"/>
  <c r="CC160" i="11"/>
  <c r="CD160" i="11"/>
  <c r="CE160" i="11"/>
  <c r="CF160" i="11"/>
  <c r="CG160" i="11"/>
  <c r="CH160" i="11"/>
  <c r="CI160" i="11"/>
  <c r="CJ160" i="11"/>
  <c r="CK160" i="11"/>
  <c r="CL160" i="11"/>
  <c r="CM160" i="11"/>
  <c r="CN160" i="11"/>
  <c r="CO160" i="11"/>
  <c r="CP160" i="11"/>
  <c r="CQ160" i="11"/>
  <c r="CR160" i="11"/>
  <c r="CS160" i="11"/>
  <c r="CT160" i="11"/>
  <c r="O161" i="11"/>
  <c r="P161" i="11"/>
  <c r="R161" i="11"/>
  <c r="S161" i="11"/>
  <c r="T161" i="11"/>
  <c r="W161" i="11"/>
  <c r="Z161" i="11"/>
  <c r="AB161" i="11"/>
  <c r="AB142" i="11" s="1"/>
  <c r="AY161" i="11"/>
  <c r="AZ161" i="11"/>
  <c r="BA161" i="11"/>
  <c r="BB161" i="11"/>
  <c r="BC161" i="11"/>
  <c r="BD161" i="11"/>
  <c r="BE161" i="11"/>
  <c r="BG161" i="11"/>
  <c r="BH161" i="11"/>
  <c r="BI161" i="11"/>
  <c r="BJ161" i="11"/>
  <c r="BK161" i="11"/>
  <c r="BL161" i="11"/>
  <c r="BM161" i="11"/>
  <c r="BP161" i="11"/>
  <c r="BQ161" i="11"/>
  <c r="BR161" i="11"/>
  <c r="BS161" i="11"/>
  <c r="BT161" i="11"/>
  <c r="BU161" i="11"/>
  <c r="BW161" i="11"/>
  <c r="BX161" i="11"/>
  <c r="BY161" i="11"/>
  <c r="BZ161" i="11"/>
  <c r="CA161" i="11"/>
  <c r="CB161" i="11"/>
  <c r="CC161" i="11"/>
  <c r="CD161" i="11"/>
  <c r="CF161" i="11"/>
  <c r="CG161" i="11"/>
  <c r="CH161" i="11"/>
  <c r="CI161" i="11"/>
  <c r="CJ161" i="11"/>
  <c r="CK161" i="11"/>
  <c r="CM161" i="11"/>
  <c r="CN161" i="11"/>
  <c r="CO161" i="11"/>
  <c r="CP161" i="11"/>
  <c r="CQ161" i="11"/>
  <c r="CR161" i="11"/>
  <c r="CS161" i="11"/>
  <c r="E162" i="11"/>
  <c r="G162" i="11"/>
  <c r="O162" i="11"/>
  <c r="Q162" i="11"/>
  <c r="T162" i="11"/>
  <c r="V162" i="11"/>
  <c r="Z162" i="11"/>
  <c r="AZ162" i="11"/>
  <c r="BC162" i="11"/>
  <c r="BC163" i="11" s="1"/>
  <c r="BC144" i="11" s="1"/>
  <c r="BC145" i="11" s="1"/>
  <c r="BD162" i="11"/>
  <c r="BF162" i="11"/>
  <c r="BH162" i="11"/>
  <c r="BJ162" i="11"/>
  <c r="BK162" i="11"/>
  <c r="BN162" i="11"/>
  <c r="BP162" i="11"/>
  <c r="BS162" i="11"/>
  <c r="BU162" i="11"/>
  <c r="BV162" i="11"/>
  <c r="BX162" i="11"/>
  <c r="CA162" i="11"/>
  <c r="CC162" i="11"/>
  <c r="CD162" i="11"/>
  <c r="CF162" i="11"/>
  <c r="CH162" i="11"/>
  <c r="CI162" i="11"/>
  <c r="CK162" i="11"/>
  <c r="CL162" i="11"/>
  <c r="CN162" i="11"/>
  <c r="CQ162" i="11"/>
  <c r="CQ163" i="11" s="1"/>
  <c r="CQ144" i="11" s="1"/>
  <c r="CQ145" i="11" s="1"/>
  <c r="CS162" i="11"/>
  <c r="CT162" i="11"/>
  <c r="BJ163" i="11"/>
  <c r="BJ144" i="11" s="1"/>
  <c r="BJ145" i="11" s="1"/>
  <c r="BR163" i="11"/>
  <c r="BR144" i="11" s="1"/>
  <c r="BR145" i="11" s="1"/>
  <c r="CH163" i="11"/>
  <c r="CH144" i="11" s="1"/>
  <c r="CH145" i="11" s="1"/>
  <c r="CP163" i="11"/>
  <c r="CP144" i="11" s="1"/>
  <c r="CP145" i="11" s="1"/>
  <c r="N8" i="15"/>
  <c r="Q8" i="15"/>
  <c r="V8" i="15"/>
  <c r="AY8" i="15"/>
  <c r="AZ8" i="15"/>
  <c r="BA8" i="15"/>
  <c r="BB8" i="15"/>
  <c r="BC8" i="15"/>
  <c r="BD8" i="15"/>
  <c r="BE8" i="15"/>
  <c r="BF8" i="15"/>
  <c r="BG8" i="15"/>
  <c r="BH8" i="15"/>
  <c r="BI8" i="15"/>
  <c r="BJ8" i="15"/>
  <c r="BK8" i="15"/>
  <c r="BL8" i="15"/>
  <c r="BM8" i="15"/>
  <c r="BN8" i="15"/>
  <c r="S8" i="15" s="1"/>
  <c r="BO8" i="15"/>
  <c r="BP8" i="15"/>
  <c r="BQ8" i="15"/>
  <c r="BR8" i="15"/>
  <c r="BS8" i="15"/>
  <c r="BT8" i="15"/>
  <c r="U8" i="15" s="1"/>
  <c r="BU8" i="15"/>
  <c r="BV8" i="15"/>
  <c r="BW8" i="15"/>
  <c r="BX8" i="15"/>
  <c r="BY8" i="15"/>
  <c r="BZ8" i="15"/>
  <c r="CA8" i="15"/>
  <c r="CB8" i="15"/>
  <c r="CC8" i="15"/>
  <c r="CD8" i="15"/>
  <c r="CE8" i="15"/>
  <c r="CF8" i="15"/>
  <c r="CG8" i="15"/>
  <c r="CH8" i="15"/>
  <c r="CI8" i="15"/>
  <c r="CJ8" i="15"/>
  <c r="CK8" i="15"/>
  <c r="CL8" i="15"/>
  <c r="AA8" i="15" s="1"/>
  <c r="CM8" i="15"/>
  <c r="CN8" i="15"/>
  <c r="U9" i="15"/>
  <c r="AY9" i="15"/>
  <c r="AY44" i="19" s="1"/>
  <c r="AZ9" i="15"/>
  <c r="AZ44" i="19" s="1"/>
  <c r="BA9" i="15"/>
  <c r="BA44" i="19" s="1"/>
  <c r="BB9" i="15"/>
  <c r="BC9" i="15"/>
  <c r="BC44" i="19" s="1"/>
  <c r="BD9" i="15"/>
  <c r="BD44" i="19" s="1"/>
  <c r="BE9" i="15"/>
  <c r="BE44" i="19" s="1"/>
  <c r="BF9" i="15"/>
  <c r="BF44" i="19" s="1"/>
  <c r="BG9" i="15"/>
  <c r="BG44" i="19" s="1"/>
  <c r="BH9" i="15"/>
  <c r="BH44" i="19" s="1"/>
  <c r="BI9" i="15"/>
  <c r="BI44" i="19" s="1"/>
  <c r="BJ9" i="15"/>
  <c r="BK9" i="15"/>
  <c r="BK44" i="19" s="1"/>
  <c r="BL9" i="15"/>
  <c r="BL44" i="19" s="1"/>
  <c r="BM9" i="15"/>
  <c r="BM44" i="19" s="1"/>
  <c r="BN9" i="15"/>
  <c r="BN44" i="19" s="1"/>
  <c r="BO9" i="15"/>
  <c r="BO44" i="19" s="1"/>
  <c r="BP9" i="15"/>
  <c r="BP44" i="19" s="1"/>
  <c r="BQ9" i="15"/>
  <c r="BQ44" i="19" s="1"/>
  <c r="BR9" i="15"/>
  <c r="BS9" i="15"/>
  <c r="BS44" i="19" s="1"/>
  <c r="BT9" i="15"/>
  <c r="BT44" i="19" s="1"/>
  <c r="BU9" i="15"/>
  <c r="BU44" i="19" s="1"/>
  <c r="BV9" i="15"/>
  <c r="BV44" i="19" s="1"/>
  <c r="BW9" i="15"/>
  <c r="BW44" i="19" s="1"/>
  <c r="BX9" i="15"/>
  <c r="BX44" i="19" s="1"/>
  <c r="BY9" i="15"/>
  <c r="BY44" i="19" s="1"/>
  <c r="BZ9" i="15"/>
  <c r="CA9" i="15"/>
  <c r="CA44" i="19" s="1"/>
  <c r="CB9" i="15"/>
  <c r="CB44" i="19" s="1"/>
  <c r="CC9" i="15"/>
  <c r="CC44" i="19" s="1"/>
  <c r="CD9" i="15"/>
  <c r="CD44" i="19" s="1"/>
  <c r="CE9" i="15"/>
  <c r="CE44" i="19" s="1"/>
  <c r="CF9" i="15"/>
  <c r="CF44" i="19" s="1"/>
  <c r="CG9" i="15"/>
  <c r="CG44" i="19" s="1"/>
  <c r="CH9" i="15"/>
  <c r="CI9" i="15"/>
  <c r="CI44" i="19" s="1"/>
  <c r="CJ9" i="15"/>
  <c r="CJ44" i="19" s="1"/>
  <c r="CK9" i="15"/>
  <c r="CK44" i="19" s="1"/>
  <c r="CL9" i="15"/>
  <c r="CL44" i="19" s="1"/>
  <c r="CM9" i="15"/>
  <c r="CM44" i="19" s="1"/>
  <c r="CN9" i="15"/>
  <c r="CN44" i="19" s="1"/>
  <c r="T10" i="15"/>
  <c r="AY10" i="15"/>
  <c r="AY45" i="19" s="1"/>
  <c r="AZ10" i="15"/>
  <c r="AZ45" i="19" s="1"/>
  <c r="BA10" i="15"/>
  <c r="BB10" i="15"/>
  <c r="BB45" i="19" s="1"/>
  <c r="BC10" i="15"/>
  <c r="BC45" i="19" s="1"/>
  <c r="BD10" i="15"/>
  <c r="BD45" i="19" s="1"/>
  <c r="BE10" i="15"/>
  <c r="BE45" i="19" s="1"/>
  <c r="BF10" i="15"/>
  <c r="BF45" i="19" s="1"/>
  <c r="BG10" i="15"/>
  <c r="BG45" i="19" s="1"/>
  <c r="BH10" i="15"/>
  <c r="BH45" i="19" s="1"/>
  <c r="BI10" i="15"/>
  <c r="BJ10" i="15"/>
  <c r="BJ45" i="19" s="1"/>
  <c r="BK10" i="15"/>
  <c r="BK45" i="19" s="1"/>
  <c r="BL10" i="15"/>
  <c r="BL45" i="19" s="1"/>
  <c r="BM10" i="15"/>
  <c r="BM45" i="19" s="1"/>
  <c r="BN10" i="15"/>
  <c r="BN45" i="19" s="1"/>
  <c r="BO10" i="15"/>
  <c r="BO45" i="19" s="1"/>
  <c r="BP10" i="15"/>
  <c r="BP45" i="19" s="1"/>
  <c r="BQ10" i="15"/>
  <c r="BR10" i="15"/>
  <c r="BR45" i="19" s="1"/>
  <c r="BS10" i="15"/>
  <c r="BS45" i="19" s="1"/>
  <c r="BT10" i="15"/>
  <c r="BT45" i="19" s="1"/>
  <c r="BU10" i="15"/>
  <c r="BU45" i="19" s="1"/>
  <c r="BV10" i="15"/>
  <c r="BV45" i="19" s="1"/>
  <c r="BW10" i="15"/>
  <c r="BW45" i="19" s="1"/>
  <c r="BX10" i="15"/>
  <c r="BX45" i="19" s="1"/>
  <c r="BY10" i="15"/>
  <c r="BZ10" i="15"/>
  <c r="BZ45" i="19" s="1"/>
  <c r="CA10" i="15"/>
  <c r="CA45" i="19" s="1"/>
  <c r="CB10" i="15"/>
  <c r="CB45" i="19" s="1"/>
  <c r="CC10" i="15"/>
  <c r="CC45" i="19" s="1"/>
  <c r="CD10" i="15"/>
  <c r="CD45" i="19" s="1"/>
  <c r="CE10" i="15"/>
  <c r="CE45" i="19" s="1"/>
  <c r="CF10" i="15"/>
  <c r="CF45" i="19" s="1"/>
  <c r="CG10" i="15"/>
  <c r="CH10" i="15"/>
  <c r="CH45" i="19" s="1"/>
  <c r="CI10" i="15"/>
  <c r="CI45" i="19" s="1"/>
  <c r="CJ10" i="15"/>
  <c r="CJ45" i="19" s="1"/>
  <c r="CK10" i="15"/>
  <c r="CK45" i="19" s="1"/>
  <c r="CL10" i="15"/>
  <c r="CL45" i="19" s="1"/>
  <c r="CM10" i="15"/>
  <c r="CM45" i="19" s="1"/>
  <c r="CN10" i="15"/>
  <c r="CN45" i="19" s="1"/>
  <c r="S11" i="15"/>
  <c r="AY11" i="15"/>
  <c r="AY46" i="19" s="1"/>
  <c r="AZ11" i="15"/>
  <c r="BA11" i="15"/>
  <c r="BA46" i="19" s="1"/>
  <c r="BB11" i="15"/>
  <c r="BB46" i="19" s="1"/>
  <c r="BC11" i="15"/>
  <c r="BC46" i="19" s="1"/>
  <c r="BD11" i="15"/>
  <c r="BD46" i="19" s="1"/>
  <c r="BE11" i="15"/>
  <c r="BE46" i="19" s="1"/>
  <c r="BF11" i="15"/>
  <c r="BF46" i="19" s="1"/>
  <c r="BG11" i="15"/>
  <c r="BG46" i="19" s="1"/>
  <c r="BH11" i="15"/>
  <c r="BI11" i="15"/>
  <c r="BI46" i="19" s="1"/>
  <c r="BJ11" i="15"/>
  <c r="BJ46" i="19" s="1"/>
  <c r="BK11" i="15"/>
  <c r="BK46" i="19" s="1"/>
  <c r="BL11" i="15"/>
  <c r="BL46" i="19" s="1"/>
  <c r="BM11" i="15"/>
  <c r="BM46" i="19" s="1"/>
  <c r="BN11" i="15"/>
  <c r="BN46" i="19" s="1"/>
  <c r="BO11" i="15"/>
  <c r="BO46" i="19" s="1"/>
  <c r="BP11" i="15"/>
  <c r="BQ11" i="15"/>
  <c r="BQ46" i="19" s="1"/>
  <c r="BR11" i="15"/>
  <c r="BR46" i="19" s="1"/>
  <c r="BS11" i="15"/>
  <c r="BS46" i="19" s="1"/>
  <c r="BT11" i="15"/>
  <c r="BT46" i="19" s="1"/>
  <c r="BU11" i="15"/>
  <c r="BU46" i="19" s="1"/>
  <c r="BV11" i="15"/>
  <c r="BV46" i="19" s="1"/>
  <c r="BW11" i="15"/>
  <c r="BW46" i="19" s="1"/>
  <c r="BX11" i="15"/>
  <c r="BY11" i="15"/>
  <c r="BY46" i="19" s="1"/>
  <c r="BZ11" i="15"/>
  <c r="BZ46" i="19" s="1"/>
  <c r="CA11" i="15"/>
  <c r="CA46" i="19" s="1"/>
  <c r="CB11" i="15"/>
  <c r="CB46" i="19" s="1"/>
  <c r="CC11" i="15"/>
  <c r="CC46" i="19" s="1"/>
  <c r="CD11" i="15"/>
  <c r="CD46" i="19" s="1"/>
  <c r="CE11" i="15"/>
  <c r="CE46" i="19" s="1"/>
  <c r="CF11" i="15"/>
  <c r="CG11" i="15"/>
  <c r="CG46" i="19" s="1"/>
  <c r="CH11" i="15"/>
  <c r="CH46" i="19" s="1"/>
  <c r="CI11" i="15"/>
  <c r="CI46" i="19" s="1"/>
  <c r="CJ11" i="15"/>
  <c r="CJ46" i="19" s="1"/>
  <c r="CK11" i="15"/>
  <c r="CK46" i="19" s="1"/>
  <c r="CL11" i="15"/>
  <c r="CL46" i="19" s="1"/>
  <c r="CM11" i="15"/>
  <c r="CM46" i="19" s="1"/>
  <c r="CN11" i="15"/>
  <c r="CH12" i="15"/>
  <c r="CH47" i="19" s="1"/>
  <c r="CH18" i="15"/>
  <c r="AY19" i="15"/>
  <c r="AZ19" i="15"/>
  <c r="BA19" i="15"/>
  <c r="BB19" i="15"/>
  <c r="BC19" i="15"/>
  <c r="BD19" i="15"/>
  <c r="BE19" i="15"/>
  <c r="BF19" i="15"/>
  <c r="BG19" i="15"/>
  <c r="BH19" i="15"/>
  <c r="BI19" i="15"/>
  <c r="BJ19" i="15"/>
  <c r="BK19" i="15"/>
  <c r="R19" i="15" s="1"/>
  <c r="BL19" i="15"/>
  <c r="BM19" i="15"/>
  <c r="BN19" i="15"/>
  <c r="S19" i="15" s="1"/>
  <c r="BO19" i="15"/>
  <c r="BP19" i="15"/>
  <c r="BQ19" i="15"/>
  <c r="T19" i="15" s="1"/>
  <c r="BR19" i="15"/>
  <c r="BS19" i="15"/>
  <c r="BT19" i="15"/>
  <c r="BU19" i="15"/>
  <c r="BV19" i="15"/>
  <c r="BW19" i="15"/>
  <c r="BX19" i="15"/>
  <c r="BY19" i="15"/>
  <c r="BZ19" i="15"/>
  <c r="CA19" i="15"/>
  <c r="W19" i="15" s="1"/>
  <c r="CB19" i="15"/>
  <c r="CC19" i="15"/>
  <c r="CD19" i="15"/>
  <c r="CE19" i="15"/>
  <c r="CF19" i="15"/>
  <c r="CG19" i="15"/>
  <c r="CH19" i="15"/>
  <c r="CI19" i="15"/>
  <c r="CJ19" i="15"/>
  <c r="CK19" i="15"/>
  <c r="CL19" i="15"/>
  <c r="AA19" i="15" s="1"/>
  <c r="CM19" i="15"/>
  <c r="CN19" i="15"/>
  <c r="AY20" i="15"/>
  <c r="AY52" i="19" s="1"/>
  <c r="AZ20" i="15"/>
  <c r="BA20" i="15"/>
  <c r="BA52" i="19" s="1"/>
  <c r="BA179" i="19" s="1"/>
  <c r="BB20" i="15"/>
  <c r="BB52" i="19" s="1"/>
  <c r="BC20" i="15"/>
  <c r="BC52" i="19" s="1"/>
  <c r="BC179" i="19" s="1"/>
  <c r="BD20" i="15"/>
  <c r="BD52" i="19" s="1"/>
  <c r="BD179" i="19" s="1"/>
  <c r="BE20" i="15"/>
  <c r="BE52" i="19" s="1"/>
  <c r="BF20" i="15"/>
  <c r="BF52" i="19" s="1"/>
  <c r="BF179" i="19" s="1"/>
  <c r="BG20" i="15"/>
  <c r="BG52" i="19" s="1"/>
  <c r="BG179" i="19" s="1"/>
  <c r="BH20" i="15"/>
  <c r="BI20" i="15"/>
  <c r="BI52" i="19" s="1"/>
  <c r="BI179" i="19" s="1"/>
  <c r="BJ20" i="15"/>
  <c r="BJ52" i="19" s="1"/>
  <c r="BJ179" i="19" s="1"/>
  <c r="BK20" i="15"/>
  <c r="BK52" i="19" s="1"/>
  <c r="BL20" i="15"/>
  <c r="BL52" i="19" s="1"/>
  <c r="BL179" i="19" s="1"/>
  <c r="BM20" i="15"/>
  <c r="BM52" i="19" s="1"/>
  <c r="BM179" i="19" s="1"/>
  <c r="BN20" i="15"/>
  <c r="BN52" i="19" s="1"/>
  <c r="BO20" i="15"/>
  <c r="BO52" i="19" s="1"/>
  <c r="BO179" i="19" s="1"/>
  <c r="BP20" i="15"/>
  <c r="S20" i="15" s="1"/>
  <c r="BQ20" i="15"/>
  <c r="BQ52" i="19" s="1"/>
  <c r="BR20" i="15"/>
  <c r="BR52" i="19" s="1"/>
  <c r="BR179" i="19" s="1"/>
  <c r="BS20" i="15"/>
  <c r="BS52" i="19" s="1"/>
  <c r="BS179" i="19" s="1"/>
  <c r="BT20" i="15"/>
  <c r="BT52" i="19" s="1"/>
  <c r="BU20" i="15"/>
  <c r="BU52" i="19" s="1"/>
  <c r="BU179" i="19" s="1"/>
  <c r="BV20" i="15"/>
  <c r="BV52" i="19" s="1"/>
  <c r="BV179" i="19" s="1"/>
  <c r="BW20" i="15"/>
  <c r="BW52" i="19" s="1"/>
  <c r="BX20" i="15"/>
  <c r="BY20" i="15"/>
  <c r="BY52" i="19" s="1"/>
  <c r="BY179" i="19" s="1"/>
  <c r="BZ20" i="15"/>
  <c r="BZ52" i="19" s="1"/>
  <c r="CA20" i="15"/>
  <c r="CA52" i="19" s="1"/>
  <c r="CA179" i="19" s="1"/>
  <c r="CB20" i="15"/>
  <c r="CB52" i="19" s="1"/>
  <c r="CB179" i="19" s="1"/>
  <c r="CC20" i="15"/>
  <c r="CC52" i="19" s="1"/>
  <c r="CD20" i="15"/>
  <c r="CD52" i="19" s="1"/>
  <c r="CD179" i="19" s="1"/>
  <c r="CE20" i="15"/>
  <c r="CE52" i="19" s="1"/>
  <c r="CE179" i="19" s="1"/>
  <c r="CF20" i="15"/>
  <c r="CG20" i="15"/>
  <c r="CG52" i="19" s="1"/>
  <c r="CG179" i="19" s="1"/>
  <c r="CH20" i="15"/>
  <c r="CH52" i="19" s="1"/>
  <c r="CH179" i="19" s="1"/>
  <c r="CI20" i="15"/>
  <c r="CI52" i="19" s="1"/>
  <c r="CJ20" i="15"/>
  <c r="CJ52" i="19" s="1"/>
  <c r="CJ179" i="19" s="1"/>
  <c r="CK20" i="15"/>
  <c r="CK52" i="19" s="1"/>
  <c r="CK179" i="19" s="1"/>
  <c r="CL20" i="15"/>
  <c r="CL52" i="19" s="1"/>
  <c r="CM20" i="15"/>
  <c r="CM52" i="19" s="1"/>
  <c r="CM179" i="19" s="1"/>
  <c r="CN20" i="15"/>
  <c r="AA20" i="15" s="1"/>
  <c r="R21" i="15"/>
  <c r="Z21" i="15"/>
  <c r="AY21" i="15"/>
  <c r="AZ21" i="15"/>
  <c r="AZ53" i="19" s="1"/>
  <c r="AZ185" i="19" s="1"/>
  <c r="BA21" i="15"/>
  <c r="BA53" i="19" s="1"/>
  <c r="BA185" i="19" s="1"/>
  <c r="BB21" i="15"/>
  <c r="BB53" i="19" s="1"/>
  <c r="BC21" i="15"/>
  <c r="BC53" i="19" s="1"/>
  <c r="BC185" i="19" s="1"/>
  <c r="BD21" i="15"/>
  <c r="BD53" i="19" s="1"/>
  <c r="BD185" i="19" s="1"/>
  <c r="BE21" i="15"/>
  <c r="BE53" i="19" s="1"/>
  <c r="BF21" i="15"/>
  <c r="BF53" i="19" s="1"/>
  <c r="BF185" i="19" s="1"/>
  <c r="BG21" i="15"/>
  <c r="BH21" i="15"/>
  <c r="BH53" i="19" s="1"/>
  <c r="BI21" i="15"/>
  <c r="BI53" i="19" s="1"/>
  <c r="BI185" i="19" s="1"/>
  <c r="BJ21" i="15"/>
  <c r="BJ53" i="19" s="1"/>
  <c r="BJ185" i="19" s="1"/>
  <c r="BK21" i="15"/>
  <c r="BK53" i="19" s="1"/>
  <c r="BL21" i="15"/>
  <c r="BL53" i="19" s="1"/>
  <c r="BL185" i="19" s="1"/>
  <c r="BM21" i="15"/>
  <c r="BM53" i="19" s="1"/>
  <c r="BM185" i="19" s="1"/>
  <c r="BN21" i="15"/>
  <c r="BN53" i="19" s="1"/>
  <c r="BO21" i="15"/>
  <c r="BP21" i="15"/>
  <c r="BP53" i="19" s="1"/>
  <c r="BP185" i="19" s="1"/>
  <c r="BQ21" i="15"/>
  <c r="BQ53" i="19" s="1"/>
  <c r="BR21" i="15"/>
  <c r="BR53" i="19" s="1"/>
  <c r="BR185" i="19" s="1"/>
  <c r="BS21" i="15"/>
  <c r="BS53" i="19" s="1"/>
  <c r="BS185" i="19" s="1"/>
  <c r="BT21" i="15"/>
  <c r="BT53" i="19" s="1"/>
  <c r="BU21" i="15"/>
  <c r="BU53" i="19" s="1"/>
  <c r="BU185" i="19" s="1"/>
  <c r="BV21" i="15"/>
  <c r="BV53" i="19" s="1"/>
  <c r="BV185" i="19" s="1"/>
  <c r="BW21" i="15"/>
  <c r="BX21" i="15"/>
  <c r="BX53" i="19" s="1"/>
  <c r="BX185" i="19" s="1"/>
  <c r="BY21" i="15"/>
  <c r="BY53" i="19" s="1"/>
  <c r="BY185" i="19" s="1"/>
  <c r="BZ21" i="15"/>
  <c r="BZ53" i="19" s="1"/>
  <c r="CA21" i="15"/>
  <c r="CA53" i="19" s="1"/>
  <c r="CA185" i="19" s="1"/>
  <c r="CB21" i="15"/>
  <c r="CB53" i="19" s="1"/>
  <c r="CB185" i="19" s="1"/>
  <c r="CC21" i="15"/>
  <c r="CC53" i="19" s="1"/>
  <c r="CD21" i="15"/>
  <c r="CD53" i="19" s="1"/>
  <c r="CD185" i="19" s="1"/>
  <c r="CE21" i="15"/>
  <c r="CF21" i="15"/>
  <c r="CF53" i="19" s="1"/>
  <c r="CG21" i="15"/>
  <c r="CG53" i="19" s="1"/>
  <c r="CG185" i="19" s="1"/>
  <c r="CH21" i="15"/>
  <c r="CH53" i="19" s="1"/>
  <c r="CH185" i="19" s="1"/>
  <c r="CI21" i="15"/>
  <c r="CI53" i="19" s="1"/>
  <c r="CJ21" i="15"/>
  <c r="CJ53" i="19" s="1"/>
  <c r="CJ185" i="19" s="1"/>
  <c r="CK21" i="15"/>
  <c r="CK53" i="19" s="1"/>
  <c r="CK185" i="19" s="1"/>
  <c r="CL21" i="15"/>
  <c r="CL53" i="19" s="1"/>
  <c r="CM21" i="15"/>
  <c r="CN21" i="15"/>
  <c r="CN53" i="19" s="1"/>
  <c r="CN185" i="19" s="1"/>
  <c r="Q22" i="15"/>
  <c r="Y22" i="15"/>
  <c r="AY22" i="15"/>
  <c r="AY54" i="19" s="1"/>
  <c r="AZ22" i="15"/>
  <c r="AZ54" i="19" s="1"/>
  <c r="AZ191" i="19" s="1"/>
  <c r="BA22" i="15"/>
  <c r="BA54" i="19" s="1"/>
  <c r="BA191" i="19" s="1"/>
  <c r="BB22" i="15"/>
  <c r="BB54" i="19" s="1"/>
  <c r="BC22" i="15"/>
  <c r="BC54" i="19" s="1"/>
  <c r="BC191" i="19" s="1"/>
  <c r="BD22" i="15"/>
  <c r="BD54" i="19" s="1"/>
  <c r="BD191" i="19" s="1"/>
  <c r="BE22" i="15"/>
  <c r="BE54" i="19" s="1"/>
  <c r="BF22" i="15"/>
  <c r="BG22" i="15"/>
  <c r="BG54" i="19" s="1"/>
  <c r="BG191" i="19" s="1"/>
  <c r="BH22" i="15"/>
  <c r="BH54" i="19" s="1"/>
  <c r="BI22" i="15"/>
  <c r="BI54" i="19" s="1"/>
  <c r="BI191" i="19" s="1"/>
  <c r="BJ22" i="15"/>
  <c r="BJ54" i="19" s="1"/>
  <c r="BJ191" i="19" s="1"/>
  <c r="BK22" i="15"/>
  <c r="BK54" i="19" s="1"/>
  <c r="BL22" i="15"/>
  <c r="BL54" i="19" s="1"/>
  <c r="BL191" i="19" s="1"/>
  <c r="BM22" i="15"/>
  <c r="BM54" i="19" s="1"/>
  <c r="BM191" i="19" s="1"/>
  <c r="BN22" i="15"/>
  <c r="BO22" i="15"/>
  <c r="BO54" i="19" s="1"/>
  <c r="BO191" i="19" s="1"/>
  <c r="BP22" i="15"/>
  <c r="BP54" i="19" s="1"/>
  <c r="BP191" i="19" s="1"/>
  <c r="BQ22" i="15"/>
  <c r="BQ54" i="19" s="1"/>
  <c r="BR22" i="15"/>
  <c r="BR54" i="19" s="1"/>
  <c r="BR191" i="19" s="1"/>
  <c r="BS22" i="15"/>
  <c r="BS54" i="19" s="1"/>
  <c r="BS191" i="19" s="1"/>
  <c r="BT22" i="15"/>
  <c r="BT54" i="19" s="1"/>
  <c r="BU22" i="15"/>
  <c r="BU54" i="19" s="1"/>
  <c r="BU191" i="19" s="1"/>
  <c r="BV22" i="15"/>
  <c r="BW22" i="15"/>
  <c r="BW54" i="19" s="1"/>
  <c r="BX22" i="15"/>
  <c r="BX54" i="19" s="1"/>
  <c r="BX191" i="19" s="1"/>
  <c r="BY22" i="15"/>
  <c r="BY54" i="19" s="1"/>
  <c r="BY191" i="19" s="1"/>
  <c r="BZ22" i="15"/>
  <c r="BZ54" i="19" s="1"/>
  <c r="CA22" i="15"/>
  <c r="CA54" i="19" s="1"/>
  <c r="CA191" i="19" s="1"/>
  <c r="CB22" i="15"/>
  <c r="CB54" i="19" s="1"/>
  <c r="CB191" i="19" s="1"/>
  <c r="CC22" i="15"/>
  <c r="CC54" i="19" s="1"/>
  <c r="CD22" i="15"/>
  <c r="CE22" i="15"/>
  <c r="CE54" i="19" s="1"/>
  <c r="CE191" i="19" s="1"/>
  <c r="CF22" i="15"/>
  <c r="CF54" i="19" s="1"/>
  <c r="CG22" i="15"/>
  <c r="CG54" i="19" s="1"/>
  <c r="CG191" i="19" s="1"/>
  <c r="CH22" i="15"/>
  <c r="CH54" i="19" s="1"/>
  <c r="CH191" i="19" s="1"/>
  <c r="CI22" i="15"/>
  <c r="CI54" i="19" s="1"/>
  <c r="CJ22" i="15"/>
  <c r="CJ54" i="19" s="1"/>
  <c r="CJ191" i="19" s="1"/>
  <c r="CK22" i="15"/>
  <c r="CK54" i="19" s="1"/>
  <c r="CK191" i="19" s="1"/>
  <c r="CL22" i="15"/>
  <c r="CM22" i="15"/>
  <c r="CM54" i="19" s="1"/>
  <c r="CM191" i="19" s="1"/>
  <c r="CN22" i="15"/>
  <c r="CH23" i="15"/>
  <c r="CH55" i="19" s="1"/>
  <c r="CH29" i="15"/>
  <c r="R30" i="15"/>
  <c r="Z30" i="15"/>
  <c r="AY30" i="15"/>
  <c r="AZ30" i="15"/>
  <c r="BA30" i="15"/>
  <c r="BB30" i="15"/>
  <c r="O30" i="15" s="1"/>
  <c r="BC30" i="15"/>
  <c r="BD30" i="15"/>
  <c r="BE30" i="15"/>
  <c r="BF30" i="15"/>
  <c r="BG30" i="15"/>
  <c r="BH30" i="15"/>
  <c r="BI30" i="15"/>
  <c r="BJ30" i="15"/>
  <c r="BK30" i="15"/>
  <c r="BL30" i="15"/>
  <c r="BM30" i="15"/>
  <c r="BN30" i="15"/>
  <c r="BO30" i="15"/>
  <c r="BP30" i="15"/>
  <c r="BQ30" i="15"/>
  <c r="BR30" i="15"/>
  <c r="BS30" i="15"/>
  <c r="BT30" i="15"/>
  <c r="BU30" i="15"/>
  <c r="BV30" i="15"/>
  <c r="BW30" i="15"/>
  <c r="BX30" i="15"/>
  <c r="BY30" i="15"/>
  <c r="BZ30" i="15"/>
  <c r="W30" i="15" s="1"/>
  <c r="CA30" i="15"/>
  <c r="CB30" i="15"/>
  <c r="CC30" i="15"/>
  <c r="CD30" i="15"/>
  <c r="CE30" i="15"/>
  <c r="CF30" i="15"/>
  <c r="CG30" i="15"/>
  <c r="CH30" i="15"/>
  <c r="CI30" i="15"/>
  <c r="CJ30" i="15"/>
  <c r="CK30" i="15"/>
  <c r="CL30" i="15"/>
  <c r="CM30" i="15"/>
  <c r="CN30" i="15"/>
  <c r="Q31" i="15"/>
  <c r="AY31" i="15"/>
  <c r="AY60" i="19" s="1"/>
  <c r="AZ31" i="15"/>
  <c r="BA31" i="15"/>
  <c r="BA60" i="19" s="1"/>
  <c r="BA253" i="19" s="1"/>
  <c r="BB31" i="15"/>
  <c r="BB60" i="19" s="1"/>
  <c r="BC31" i="15"/>
  <c r="BC60" i="19" s="1"/>
  <c r="BC253" i="19" s="1"/>
  <c r="BD31" i="15"/>
  <c r="BD60" i="19" s="1"/>
  <c r="BD253" i="19" s="1"/>
  <c r="BE31" i="15"/>
  <c r="BE60" i="19" s="1"/>
  <c r="BF31" i="15"/>
  <c r="BF42" i="15" s="1"/>
  <c r="BG31" i="15"/>
  <c r="BG60" i="19" s="1"/>
  <c r="BG253" i="19" s="1"/>
  <c r="BH31" i="15"/>
  <c r="BI31" i="15"/>
  <c r="BI60" i="19" s="1"/>
  <c r="BI253" i="19" s="1"/>
  <c r="BJ31" i="15"/>
  <c r="BJ60" i="19" s="1"/>
  <c r="BJ253" i="19" s="1"/>
  <c r="BK31" i="15"/>
  <c r="BK60" i="19" s="1"/>
  <c r="BL31" i="15"/>
  <c r="BL60" i="19" s="1"/>
  <c r="BL253" i="19" s="1"/>
  <c r="BM31" i="15"/>
  <c r="BM60" i="19" s="1"/>
  <c r="BM253" i="19" s="1"/>
  <c r="BN31" i="15"/>
  <c r="S31" i="15" s="1"/>
  <c r="BO31" i="15"/>
  <c r="BO60" i="19" s="1"/>
  <c r="BO253" i="19" s="1"/>
  <c r="BP31" i="15"/>
  <c r="BQ31" i="15"/>
  <c r="BQ60" i="19" s="1"/>
  <c r="BR31" i="15"/>
  <c r="BR60" i="19" s="1"/>
  <c r="BR253" i="19" s="1"/>
  <c r="BS31" i="15"/>
  <c r="BS60" i="19" s="1"/>
  <c r="BS253" i="19" s="1"/>
  <c r="BT31" i="15"/>
  <c r="BT60" i="19" s="1"/>
  <c r="BU31" i="15"/>
  <c r="BU60" i="19" s="1"/>
  <c r="BU253" i="19" s="1"/>
  <c r="BV31" i="15"/>
  <c r="BW31" i="15"/>
  <c r="BW60" i="19" s="1"/>
  <c r="BX31" i="15"/>
  <c r="BY31" i="15"/>
  <c r="BY60" i="19" s="1"/>
  <c r="BY253" i="19" s="1"/>
  <c r="BZ31" i="15"/>
  <c r="BZ60" i="19" s="1"/>
  <c r="CA31" i="15"/>
  <c r="CA60" i="19" s="1"/>
  <c r="CA253" i="19" s="1"/>
  <c r="CB31" i="15"/>
  <c r="CB60" i="19" s="1"/>
  <c r="CB253" i="19" s="1"/>
  <c r="CC31" i="15"/>
  <c r="CC60" i="19" s="1"/>
  <c r="CD31" i="15"/>
  <c r="CE31" i="15"/>
  <c r="CE60" i="19" s="1"/>
  <c r="CE253" i="19" s="1"/>
  <c r="CF31" i="15"/>
  <c r="CG31" i="15"/>
  <c r="CG60" i="19" s="1"/>
  <c r="CG253" i="19" s="1"/>
  <c r="CH31" i="15"/>
  <c r="CH60" i="19" s="1"/>
  <c r="CH253" i="19" s="1"/>
  <c r="CI31" i="15"/>
  <c r="CI60" i="19" s="1"/>
  <c r="CJ31" i="15"/>
  <c r="CJ60" i="19" s="1"/>
  <c r="CJ253" i="19" s="1"/>
  <c r="CK31" i="15"/>
  <c r="CK60" i="19" s="1"/>
  <c r="CK253" i="19" s="1"/>
  <c r="CL31" i="15"/>
  <c r="AA31" i="15" s="1"/>
  <c r="CM31" i="15"/>
  <c r="CM60" i="19" s="1"/>
  <c r="CM253" i="19" s="1"/>
  <c r="CN31" i="15"/>
  <c r="P32" i="15"/>
  <c r="R32" i="15"/>
  <c r="X32" i="15"/>
  <c r="Z32" i="15"/>
  <c r="AY32" i="15"/>
  <c r="AZ32" i="15"/>
  <c r="AZ61" i="19" s="1"/>
  <c r="AZ259" i="19" s="1"/>
  <c r="BA32" i="15"/>
  <c r="BA61" i="19" s="1"/>
  <c r="BA259" i="19" s="1"/>
  <c r="BB32" i="15"/>
  <c r="BB61" i="19" s="1"/>
  <c r="BC32" i="15"/>
  <c r="BC61" i="19" s="1"/>
  <c r="BC259" i="19" s="1"/>
  <c r="BD32" i="15"/>
  <c r="BD61" i="19" s="1"/>
  <c r="BD259" i="19" s="1"/>
  <c r="BE32" i="15"/>
  <c r="BF32" i="15"/>
  <c r="BF61" i="19" s="1"/>
  <c r="BF259" i="19" s="1"/>
  <c r="BG32" i="15"/>
  <c r="BG61" i="19" s="1"/>
  <c r="BG259" i="19" s="1"/>
  <c r="BH32" i="15"/>
  <c r="BH61" i="19" s="1"/>
  <c r="BI32" i="15"/>
  <c r="BI61" i="19" s="1"/>
  <c r="BI259" i="19" s="1"/>
  <c r="BJ32" i="15"/>
  <c r="BJ61" i="19" s="1"/>
  <c r="BJ259" i="19" s="1"/>
  <c r="BK32" i="15"/>
  <c r="BK61" i="19" s="1"/>
  <c r="BL32" i="15"/>
  <c r="BL61" i="19" s="1"/>
  <c r="BL259" i="19" s="1"/>
  <c r="BM32" i="15"/>
  <c r="BN32" i="15"/>
  <c r="BN61" i="19" s="1"/>
  <c r="BO32" i="15"/>
  <c r="BP32" i="15"/>
  <c r="BP61" i="19" s="1"/>
  <c r="BP259" i="19" s="1"/>
  <c r="BQ32" i="15"/>
  <c r="BQ61" i="19" s="1"/>
  <c r="BR32" i="15"/>
  <c r="BR61" i="19" s="1"/>
  <c r="BR259" i="19" s="1"/>
  <c r="BS32" i="15"/>
  <c r="BS61" i="19" s="1"/>
  <c r="BS259" i="19" s="1"/>
  <c r="BT32" i="15"/>
  <c r="BT61" i="19" s="1"/>
  <c r="BU32" i="15"/>
  <c r="BV32" i="15"/>
  <c r="BV61" i="19" s="1"/>
  <c r="BV259" i="19" s="1"/>
  <c r="BW32" i="15"/>
  <c r="BX32" i="15"/>
  <c r="BX61" i="19" s="1"/>
  <c r="BX259" i="19" s="1"/>
  <c r="BY32" i="15"/>
  <c r="BY61" i="19" s="1"/>
  <c r="BY259" i="19" s="1"/>
  <c r="BZ32" i="15"/>
  <c r="BZ61" i="19" s="1"/>
  <c r="CA32" i="15"/>
  <c r="CA61" i="19" s="1"/>
  <c r="CA259" i="19" s="1"/>
  <c r="CB32" i="15"/>
  <c r="CB61" i="19" s="1"/>
  <c r="CB259" i="19" s="1"/>
  <c r="CC32" i="15"/>
  <c r="CD32" i="15"/>
  <c r="CD61" i="19" s="1"/>
  <c r="CD259" i="19" s="1"/>
  <c r="CE32" i="15"/>
  <c r="CE61" i="19" s="1"/>
  <c r="CE259" i="19" s="1"/>
  <c r="CF32" i="15"/>
  <c r="CF61" i="19" s="1"/>
  <c r="CG32" i="15"/>
  <c r="CG61" i="19" s="1"/>
  <c r="CG259" i="19" s="1"/>
  <c r="CH32" i="15"/>
  <c r="CH61" i="19" s="1"/>
  <c r="CH259" i="19" s="1"/>
  <c r="CI32" i="15"/>
  <c r="CI61" i="19" s="1"/>
  <c r="CJ32" i="15"/>
  <c r="CJ61" i="19" s="1"/>
  <c r="CJ259" i="19" s="1"/>
  <c r="CK32" i="15"/>
  <c r="CL32" i="15"/>
  <c r="CL61" i="19" s="1"/>
  <c r="CM32" i="15"/>
  <c r="CM61" i="19" s="1"/>
  <c r="CM259" i="19" s="1"/>
  <c r="CN32" i="15"/>
  <c r="CN61" i="19" s="1"/>
  <c r="CN259" i="19" s="1"/>
  <c r="F33" i="15"/>
  <c r="O33" i="15"/>
  <c r="Q33" i="15"/>
  <c r="W33" i="15"/>
  <c r="Y33" i="15"/>
  <c r="AY33" i="15"/>
  <c r="AY62" i="19" s="1"/>
  <c r="AZ33" i="15"/>
  <c r="AZ62" i="19" s="1"/>
  <c r="AZ265" i="19" s="1"/>
  <c r="BA33" i="15"/>
  <c r="BA62" i="19" s="1"/>
  <c r="BA265" i="19" s="1"/>
  <c r="BB33" i="15"/>
  <c r="BB62" i="19" s="1"/>
  <c r="BC33" i="15"/>
  <c r="BC62" i="19" s="1"/>
  <c r="BC265" i="19" s="1"/>
  <c r="BD33" i="15"/>
  <c r="BE33" i="15"/>
  <c r="BE62" i="19" s="1"/>
  <c r="BF33" i="15"/>
  <c r="BG33" i="15"/>
  <c r="BG62" i="19" s="1"/>
  <c r="BG265" i="19" s="1"/>
  <c r="BH33" i="15"/>
  <c r="BH62" i="19" s="1"/>
  <c r="BI33" i="15"/>
  <c r="BI62" i="19" s="1"/>
  <c r="BI265" i="19" s="1"/>
  <c r="BJ33" i="15"/>
  <c r="BJ62" i="19" s="1"/>
  <c r="BJ265" i="19" s="1"/>
  <c r="BK33" i="15"/>
  <c r="BK62" i="19" s="1"/>
  <c r="BL33" i="15"/>
  <c r="BM33" i="15"/>
  <c r="BM62" i="19" s="1"/>
  <c r="BM265" i="19" s="1"/>
  <c r="BN33" i="15"/>
  <c r="BO33" i="15"/>
  <c r="BO62" i="19" s="1"/>
  <c r="BO265" i="19" s="1"/>
  <c r="BP33" i="15"/>
  <c r="BP62" i="19" s="1"/>
  <c r="BP265" i="19" s="1"/>
  <c r="BQ33" i="15"/>
  <c r="BQ62" i="19" s="1"/>
  <c r="BR33" i="15"/>
  <c r="BR62" i="19" s="1"/>
  <c r="BR265" i="19" s="1"/>
  <c r="BS33" i="15"/>
  <c r="BS62" i="19" s="1"/>
  <c r="BS265" i="19" s="1"/>
  <c r="BT33" i="15"/>
  <c r="BU33" i="15"/>
  <c r="BU62" i="19" s="1"/>
  <c r="BU265" i="19" s="1"/>
  <c r="BV33" i="15"/>
  <c r="BW33" i="15"/>
  <c r="BW62" i="19" s="1"/>
  <c r="BX33" i="15"/>
  <c r="BX62" i="19" s="1"/>
  <c r="BX265" i="19" s="1"/>
  <c r="BY33" i="15"/>
  <c r="BY62" i="19" s="1"/>
  <c r="BY265" i="19" s="1"/>
  <c r="BZ33" i="15"/>
  <c r="BZ62" i="19" s="1"/>
  <c r="CA33" i="15"/>
  <c r="CA62" i="19" s="1"/>
  <c r="CA265" i="19" s="1"/>
  <c r="CB33" i="15"/>
  <c r="CC33" i="15"/>
  <c r="CC62" i="19" s="1"/>
  <c r="CD33" i="15"/>
  <c r="CE33" i="15"/>
  <c r="CE62" i="19" s="1"/>
  <c r="CE265" i="19" s="1"/>
  <c r="CF33" i="15"/>
  <c r="CF62" i="19" s="1"/>
  <c r="CG33" i="15"/>
  <c r="CG62" i="19" s="1"/>
  <c r="CG265" i="19" s="1"/>
  <c r="CH33" i="15"/>
  <c r="CH62" i="19" s="1"/>
  <c r="CH265" i="19" s="1"/>
  <c r="CI33" i="15"/>
  <c r="CI62" i="19" s="1"/>
  <c r="CJ33" i="15"/>
  <c r="CK33" i="15"/>
  <c r="CK62" i="19" s="1"/>
  <c r="CK265" i="19" s="1"/>
  <c r="CL33" i="15"/>
  <c r="CM33" i="15"/>
  <c r="CM62" i="19" s="1"/>
  <c r="CM265" i="19" s="1"/>
  <c r="CN33" i="15"/>
  <c r="CN62" i="19" s="1"/>
  <c r="CN265" i="19" s="1"/>
  <c r="CH34" i="15"/>
  <c r="CH63" i="19" s="1"/>
  <c r="AY41" i="15"/>
  <c r="AZ41" i="15"/>
  <c r="BB41" i="15"/>
  <c r="BD41" i="15"/>
  <c r="BE41" i="15"/>
  <c r="BF41" i="15"/>
  <c r="BG41" i="15"/>
  <c r="BH41" i="15"/>
  <c r="BJ41" i="15"/>
  <c r="BL41" i="15"/>
  <c r="BM41" i="15"/>
  <c r="BN41" i="15"/>
  <c r="BO41" i="15"/>
  <c r="BP41" i="15"/>
  <c r="BR41" i="15"/>
  <c r="BT41" i="15"/>
  <c r="BU41" i="15"/>
  <c r="BV41" i="15"/>
  <c r="BW41" i="15"/>
  <c r="BX41" i="15"/>
  <c r="BZ41" i="15"/>
  <c r="CB41" i="15"/>
  <c r="CC41" i="15"/>
  <c r="X41" i="15" s="1"/>
  <c r="CD41" i="15"/>
  <c r="CE41" i="15"/>
  <c r="CF41" i="15"/>
  <c r="CH41" i="15"/>
  <c r="CJ41" i="15"/>
  <c r="CK41" i="15"/>
  <c r="CL41" i="15"/>
  <c r="CM41" i="15"/>
  <c r="CN41" i="15"/>
  <c r="AY42" i="15"/>
  <c r="BA42" i="15"/>
  <c r="BC42" i="15"/>
  <c r="BD42" i="15"/>
  <c r="BE42" i="15"/>
  <c r="BG42" i="15"/>
  <c r="BI42" i="15"/>
  <c r="BK42" i="15"/>
  <c r="BL42" i="15"/>
  <c r="BM42" i="15"/>
  <c r="BO42" i="15"/>
  <c r="BQ42" i="15"/>
  <c r="BS42" i="15"/>
  <c r="BT42" i="15"/>
  <c r="BU42" i="15"/>
  <c r="BV42" i="15"/>
  <c r="BW42" i="15"/>
  <c r="BY42" i="15"/>
  <c r="CA42" i="15"/>
  <c r="CB42" i="15"/>
  <c r="CC42" i="15"/>
  <c r="CD42" i="15"/>
  <c r="CE42" i="15"/>
  <c r="CG42" i="15"/>
  <c r="CI42" i="15"/>
  <c r="CJ42" i="15"/>
  <c r="CK42" i="15"/>
  <c r="CM42" i="15"/>
  <c r="AZ43" i="15"/>
  <c r="BB43" i="15"/>
  <c r="BC43" i="15"/>
  <c r="BD43" i="15"/>
  <c r="BE43" i="15"/>
  <c r="BF43" i="15"/>
  <c r="BH43" i="15"/>
  <c r="BJ43" i="15"/>
  <c r="BK43" i="15"/>
  <c r="BL43" i="15"/>
  <c r="BM43" i="15"/>
  <c r="BN43" i="15"/>
  <c r="BP43" i="15"/>
  <c r="BR43" i="15"/>
  <c r="BS43" i="15"/>
  <c r="BT43" i="15"/>
  <c r="BU43" i="15"/>
  <c r="U43" i="15" s="1"/>
  <c r="BV43" i="15"/>
  <c r="BX43" i="15"/>
  <c r="BZ43" i="15"/>
  <c r="CA43" i="15"/>
  <c r="CB43" i="15"/>
  <c r="CC43" i="15"/>
  <c r="CD43" i="15"/>
  <c r="CF43" i="15"/>
  <c r="CH43" i="15"/>
  <c r="CI43" i="15"/>
  <c r="CJ43" i="15"/>
  <c r="CK43" i="15"/>
  <c r="CL43" i="15"/>
  <c r="BA44" i="15"/>
  <c r="BB44" i="15"/>
  <c r="BC44" i="15"/>
  <c r="BD44" i="15"/>
  <c r="BE44" i="15"/>
  <c r="BI44" i="15"/>
  <c r="BJ44" i="15"/>
  <c r="BK44" i="15"/>
  <c r="BL44" i="15"/>
  <c r="BM44" i="15"/>
  <c r="BQ44" i="15"/>
  <c r="BR44" i="15"/>
  <c r="BS44" i="15"/>
  <c r="BT44" i="15"/>
  <c r="BU44" i="15"/>
  <c r="BY44" i="15"/>
  <c r="BZ44" i="15"/>
  <c r="CA44" i="15"/>
  <c r="CB44" i="15"/>
  <c r="CC44" i="15"/>
  <c r="CG44" i="15"/>
  <c r="CH44" i="15"/>
  <c r="CJ44" i="15"/>
  <c r="CK44" i="15"/>
  <c r="AY53" i="15"/>
  <c r="AZ53" i="15"/>
  <c r="BA53" i="15"/>
  <c r="BD53" i="15"/>
  <c r="BE53" i="15"/>
  <c r="BF53" i="15"/>
  <c r="BG53" i="15"/>
  <c r="BH53" i="15"/>
  <c r="BI53" i="15"/>
  <c r="BL53" i="15"/>
  <c r="BM53" i="15"/>
  <c r="BN53" i="15"/>
  <c r="BO53" i="15"/>
  <c r="BP53" i="15"/>
  <c r="BQ53" i="15"/>
  <c r="BT53" i="15"/>
  <c r="BU53" i="15"/>
  <c r="BV53" i="15"/>
  <c r="BW53" i="15"/>
  <c r="BX53" i="15"/>
  <c r="BY53" i="15"/>
  <c r="CB53" i="15"/>
  <c r="CC53" i="15"/>
  <c r="X53" i="15" s="1"/>
  <c r="CD53" i="15"/>
  <c r="CE53" i="15"/>
  <c r="CF53" i="15"/>
  <c r="CG53" i="15"/>
  <c r="CJ53" i="15"/>
  <c r="CK53" i="15"/>
  <c r="CL53" i="15"/>
  <c r="CM53" i="15"/>
  <c r="CN53" i="15"/>
  <c r="X54" i="15"/>
  <c r="AY54" i="15"/>
  <c r="BB54" i="15"/>
  <c r="BC54" i="15"/>
  <c r="BD54" i="15"/>
  <c r="BE54" i="15"/>
  <c r="P54" i="15" s="1"/>
  <c r="BF54" i="15"/>
  <c r="BG54" i="15"/>
  <c r="BJ54" i="15"/>
  <c r="BK54" i="15"/>
  <c r="BL54" i="15"/>
  <c r="BM54" i="15"/>
  <c r="BN54" i="15"/>
  <c r="BN66" i="15" s="1"/>
  <c r="BO54" i="15"/>
  <c r="BR54" i="15"/>
  <c r="BR66" i="15" s="1"/>
  <c r="BS54" i="15"/>
  <c r="BT54" i="15"/>
  <c r="BU54" i="15"/>
  <c r="BV54" i="15"/>
  <c r="BV66" i="15" s="1"/>
  <c r="BW54" i="15"/>
  <c r="BZ54" i="15"/>
  <c r="W54" i="15" s="1"/>
  <c r="CA54" i="15"/>
  <c r="CM66" i="15" s="1"/>
  <c r="CB54" i="15"/>
  <c r="CC54" i="15"/>
  <c r="CD54" i="15"/>
  <c r="CD66" i="15" s="1"/>
  <c r="CE54" i="15"/>
  <c r="CH54" i="15"/>
  <c r="CH66" i="15" s="1"/>
  <c r="CI54" i="15"/>
  <c r="CJ54" i="15"/>
  <c r="CK54" i="15"/>
  <c r="CL54" i="15"/>
  <c r="CL66" i="15" s="1"/>
  <c r="CM54" i="15"/>
  <c r="O55" i="15"/>
  <c r="BB55" i="15"/>
  <c r="BC55" i="15"/>
  <c r="BD55" i="15"/>
  <c r="BE55" i="15"/>
  <c r="BJ55" i="15"/>
  <c r="BK55" i="15"/>
  <c r="BL55" i="15"/>
  <c r="BM55" i="15"/>
  <c r="BR55" i="15"/>
  <c r="BS55" i="15"/>
  <c r="BT55" i="15"/>
  <c r="BU55" i="15"/>
  <c r="BZ55" i="15"/>
  <c r="CA55" i="15"/>
  <c r="CB55" i="15"/>
  <c r="CC55" i="15"/>
  <c r="CH55" i="15"/>
  <c r="CI55" i="15"/>
  <c r="Z55" i="15" s="1"/>
  <c r="CJ55" i="15"/>
  <c r="CK55" i="15"/>
  <c r="BM65" i="15"/>
  <c r="BQ65" i="15"/>
  <c r="BU65" i="15"/>
  <c r="BY65" i="15"/>
  <c r="CC65" i="15"/>
  <c r="CG65" i="15"/>
  <c r="CK65" i="15"/>
  <c r="BW66" i="15"/>
  <c r="CE66" i="15"/>
  <c r="I71" i="15"/>
  <c r="J71" i="15" s="1"/>
  <c r="AY71" i="15"/>
  <c r="AZ71" i="15"/>
  <c r="BA71" i="15"/>
  <c r="BD71" i="15"/>
  <c r="BE71" i="15"/>
  <c r="BF71" i="15"/>
  <c r="BG71" i="15"/>
  <c r="BH71" i="15"/>
  <c r="BI71" i="15"/>
  <c r="BL71" i="15"/>
  <c r="BM71" i="15"/>
  <c r="BN71" i="15"/>
  <c r="BO71" i="15"/>
  <c r="BP71" i="15"/>
  <c r="BQ71" i="15"/>
  <c r="BT71" i="15"/>
  <c r="BU71" i="15"/>
  <c r="BV71" i="15"/>
  <c r="BW71" i="15"/>
  <c r="BX71" i="15"/>
  <c r="BY71" i="15"/>
  <c r="CB71" i="15"/>
  <c r="CC71" i="15"/>
  <c r="CD71" i="15"/>
  <c r="CE71" i="15"/>
  <c r="CF71" i="15"/>
  <c r="CG71" i="15"/>
  <c r="CJ71" i="15"/>
  <c r="CK71" i="15"/>
  <c r="CL71" i="15"/>
  <c r="CM71" i="15"/>
  <c r="CN71" i="15"/>
  <c r="CU71" i="15"/>
  <c r="CV71" i="15"/>
  <c r="CW71" i="15"/>
  <c r="CX71" i="15"/>
  <c r="CY71" i="15"/>
  <c r="CZ71" i="15"/>
  <c r="DA71" i="15"/>
  <c r="DB71" i="15"/>
  <c r="DC71" i="15"/>
  <c r="DD71" i="15"/>
  <c r="DE71" i="15"/>
  <c r="DF71" i="15"/>
  <c r="DI71" i="15"/>
  <c r="DK71" i="15"/>
  <c r="DL71" i="15"/>
  <c r="DQ71" i="15"/>
  <c r="J72" i="15"/>
  <c r="EB72" i="15" s="1"/>
  <c r="AA72" i="15"/>
  <c r="AY72" i="15"/>
  <c r="AZ72" i="15"/>
  <c r="BB72" i="15"/>
  <c r="BC72" i="15"/>
  <c r="BD72" i="15"/>
  <c r="BE72" i="15"/>
  <c r="BF72" i="15"/>
  <c r="BG72" i="15"/>
  <c r="BH72" i="15"/>
  <c r="BJ72" i="15"/>
  <c r="BK72" i="15"/>
  <c r="BL72" i="15"/>
  <c r="BM72" i="15"/>
  <c r="BN72" i="15"/>
  <c r="BO72" i="15"/>
  <c r="BP72" i="15"/>
  <c r="BR72" i="15"/>
  <c r="BS72" i="15"/>
  <c r="BT72" i="15"/>
  <c r="BU72" i="15"/>
  <c r="BV72" i="15"/>
  <c r="BW72" i="15"/>
  <c r="BX72" i="15"/>
  <c r="BZ72" i="15"/>
  <c r="CA72" i="15"/>
  <c r="CB72" i="15"/>
  <c r="CC72" i="15"/>
  <c r="CD72" i="15"/>
  <c r="CE72" i="15"/>
  <c r="CF72" i="15"/>
  <c r="CH72" i="15"/>
  <c r="CI72" i="15"/>
  <c r="CJ72" i="15"/>
  <c r="CK72" i="15"/>
  <c r="CL72" i="15"/>
  <c r="CM72" i="15"/>
  <c r="CN72" i="15"/>
  <c r="DG72" i="15"/>
  <c r="DH72" i="15"/>
  <c r="DI72" i="15"/>
  <c r="DJ72" i="15"/>
  <c r="DK72" i="15"/>
  <c r="DL72" i="15"/>
  <c r="DM72" i="15"/>
  <c r="DN72" i="15"/>
  <c r="DO72" i="15"/>
  <c r="DP72" i="15"/>
  <c r="DQ72" i="15"/>
  <c r="DR72" i="15"/>
  <c r="DS72" i="15"/>
  <c r="DT72" i="15"/>
  <c r="DY72" i="15"/>
  <c r="EA72" i="15"/>
  <c r="L73" i="15"/>
  <c r="AZ73" i="15"/>
  <c r="BB73" i="15"/>
  <c r="BC73" i="15"/>
  <c r="BD73" i="15"/>
  <c r="BE73" i="15"/>
  <c r="BH73" i="15"/>
  <c r="BJ73" i="15"/>
  <c r="BK73" i="15"/>
  <c r="BL73" i="15"/>
  <c r="BM73" i="15"/>
  <c r="BP73" i="15"/>
  <c r="BR73" i="15"/>
  <c r="BS73" i="15"/>
  <c r="BT73" i="15"/>
  <c r="BU73" i="15"/>
  <c r="BX73" i="15"/>
  <c r="BZ73" i="15"/>
  <c r="CA73" i="15"/>
  <c r="CB73" i="15"/>
  <c r="CC73" i="15"/>
  <c r="CF73" i="15"/>
  <c r="CH73" i="15"/>
  <c r="CI73" i="15"/>
  <c r="CJ73" i="15"/>
  <c r="CK73" i="15"/>
  <c r="CN73" i="15"/>
  <c r="CU73" i="15"/>
  <c r="CV73" i="15"/>
  <c r="CW73" i="15"/>
  <c r="CX73" i="15"/>
  <c r="CY73" i="15"/>
  <c r="CZ73" i="15"/>
  <c r="DA73" i="15"/>
  <c r="DB73" i="15"/>
  <c r="DC73" i="15"/>
  <c r="DD73" i="15"/>
  <c r="DE73" i="15"/>
  <c r="DF73" i="15"/>
  <c r="DG73" i="15"/>
  <c r="DH73" i="15"/>
  <c r="DI73" i="15"/>
  <c r="DJ73" i="15"/>
  <c r="DK73" i="15"/>
  <c r="DL73" i="15"/>
  <c r="DM73" i="15"/>
  <c r="DN73" i="15"/>
  <c r="DO73" i="15"/>
  <c r="DP73" i="15"/>
  <c r="DQ73" i="15"/>
  <c r="DR73" i="15"/>
  <c r="DS73" i="15"/>
  <c r="DT73" i="15"/>
  <c r="DU73" i="15"/>
  <c r="DV73" i="15"/>
  <c r="DW73" i="15"/>
  <c r="DX73" i="15"/>
  <c r="DY73" i="15"/>
  <c r="DZ73" i="15"/>
  <c r="EA73" i="15"/>
  <c r="EB73" i="15"/>
  <c r="EC73" i="15"/>
  <c r="ED73" i="15"/>
  <c r="EE73" i="15"/>
  <c r="EF73" i="15"/>
  <c r="EG73" i="15"/>
  <c r="EH73" i="15"/>
  <c r="EI73" i="15"/>
  <c r="EJ73" i="15"/>
  <c r="EK73" i="15"/>
  <c r="EL73" i="15"/>
  <c r="EM73" i="15"/>
  <c r="EN73" i="15"/>
  <c r="EO73" i="15"/>
  <c r="EP73" i="15"/>
  <c r="ER73" i="15"/>
  <c r="Y77" i="15"/>
  <c r="AY77" i="15"/>
  <c r="AZ77" i="15"/>
  <c r="BA77" i="15"/>
  <c r="BB77" i="15"/>
  <c r="BD77" i="15"/>
  <c r="BD80" i="15" s="1"/>
  <c r="BE77" i="15"/>
  <c r="P77" i="15" s="1"/>
  <c r="BF77" i="15"/>
  <c r="BF80" i="15" s="1"/>
  <c r="BG77" i="15"/>
  <c r="BH77" i="15"/>
  <c r="BI77" i="15"/>
  <c r="Q77" i="15" s="1"/>
  <c r="BJ77" i="15"/>
  <c r="BL77" i="15"/>
  <c r="BM77" i="15"/>
  <c r="BN77" i="15"/>
  <c r="BN80" i="15" s="1"/>
  <c r="BO77" i="15"/>
  <c r="BP77" i="15"/>
  <c r="BQ77" i="15"/>
  <c r="BR77" i="15"/>
  <c r="BT77" i="15"/>
  <c r="BU77" i="15"/>
  <c r="BV77" i="15"/>
  <c r="BW77" i="15"/>
  <c r="V77" i="15" s="1"/>
  <c r="BX77" i="15"/>
  <c r="BY77" i="15"/>
  <c r="BZ77" i="15"/>
  <c r="CB77" i="15"/>
  <c r="CC77" i="15"/>
  <c r="X77" i="15" s="1"/>
  <c r="X80" i="15" s="1"/>
  <c r="CD77" i="15"/>
  <c r="CD80" i="15" s="1"/>
  <c r="CE77" i="15"/>
  <c r="CF77" i="15"/>
  <c r="CF80" i="15" s="1"/>
  <c r="CG77" i="15"/>
  <c r="CH77" i="15"/>
  <c r="CJ77" i="15"/>
  <c r="CK77" i="15"/>
  <c r="CL77" i="15"/>
  <c r="CL80" i="15" s="1"/>
  <c r="CM77" i="15"/>
  <c r="CN77" i="15"/>
  <c r="N78" i="15"/>
  <c r="O78" i="15"/>
  <c r="AA78" i="15"/>
  <c r="AY78" i="15"/>
  <c r="AZ78" i="15"/>
  <c r="BA78" i="15"/>
  <c r="BB78" i="15"/>
  <c r="BC78" i="15"/>
  <c r="BD78" i="15"/>
  <c r="BE78" i="15"/>
  <c r="P78" i="15" s="1"/>
  <c r="BF78" i="15"/>
  <c r="BG78" i="15"/>
  <c r="BH78" i="15"/>
  <c r="BI78" i="15"/>
  <c r="BJ78" i="15"/>
  <c r="BK78" i="15"/>
  <c r="BL78" i="15"/>
  <c r="BM78" i="15"/>
  <c r="BN78" i="15"/>
  <c r="BO78" i="15"/>
  <c r="S78" i="15" s="1"/>
  <c r="BP78" i="15"/>
  <c r="BQ78" i="15"/>
  <c r="T78" i="15" s="1"/>
  <c r="BR78" i="15"/>
  <c r="BS78" i="15"/>
  <c r="BT78" i="15"/>
  <c r="BU78" i="15"/>
  <c r="BU80" i="15" s="1"/>
  <c r="BV78" i="15"/>
  <c r="BW78" i="15"/>
  <c r="BX78" i="15"/>
  <c r="BY78" i="15"/>
  <c r="BZ78" i="15"/>
  <c r="CA78" i="15"/>
  <c r="W78" i="15" s="1"/>
  <c r="CB78" i="15"/>
  <c r="CC78" i="15"/>
  <c r="X78" i="15" s="1"/>
  <c r="CD78" i="15"/>
  <c r="CE78" i="15"/>
  <c r="CF78" i="15"/>
  <c r="CG78" i="15"/>
  <c r="CH78" i="15"/>
  <c r="CI78" i="15"/>
  <c r="CJ78" i="15"/>
  <c r="CK78" i="15"/>
  <c r="Z78" i="15" s="1"/>
  <c r="CL78" i="15"/>
  <c r="CM78" i="15"/>
  <c r="CN78" i="15"/>
  <c r="R79" i="15"/>
  <c r="S79" i="15"/>
  <c r="AA79" i="15"/>
  <c r="AY79" i="15"/>
  <c r="AZ79" i="15"/>
  <c r="BB79" i="15"/>
  <c r="O79" i="15" s="1"/>
  <c r="BC79" i="15"/>
  <c r="BD79" i="15"/>
  <c r="BE79" i="15"/>
  <c r="BF79" i="15"/>
  <c r="BG79" i="15"/>
  <c r="BG80" i="15" s="1"/>
  <c r="BH79" i="15"/>
  <c r="BJ79" i="15"/>
  <c r="BJ80" i="15" s="1"/>
  <c r="BK79" i="15"/>
  <c r="BL79" i="15"/>
  <c r="BM79" i="15"/>
  <c r="BN79" i="15"/>
  <c r="BO79" i="15"/>
  <c r="BP79" i="15"/>
  <c r="BR79" i="15"/>
  <c r="BR80" i="15" s="1"/>
  <c r="BS79" i="15"/>
  <c r="BT79" i="15"/>
  <c r="U79" i="15" s="1"/>
  <c r="BU79" i="15"/>
  <c r="BV79" i="15"/>
  <c r="BW79" i="15"/>
  <c r="BX79" i="15"/>
  <c r="BZ79" i="15"/>
  <c r="W79" i="15" s="1"/>
  <c r="CA79" i="15"/>
  <c r="CB79" i="15"/>
  <c r="CC79" i="15"/>
  <c r="X79" i="15" s="1"/>
  <c r="CD79" i="15"/>
  <c r="CE79" i="15"/>
  <c r="CF79" i="15"/>
  <c r="CH79" i="15"/>
  <c r="CI79" i="15"/>
  <c r="CJ79" i="15"/>
  <c r="CK79" i="15"/>
  <c r="CL79" i="15"/>
  <c r="CM79" i="15"/>
  <c r="CN79" i="15"/>
  <c r="AY80" i="15"/>
  <c r="BB80" i="15"/>
  <c r="BV80" i="15"/>
  <c r="BW80" i="15"/>
  <c r="CE80" i="15"/>
  <c r="CH80" i="15"/>
  <c r="CM80" i="15"/>
  <c r="Q83" i="15"/>
  <c r="Y83" i="15"/>
  <c r="AA83" i="15"/>
  <c r="AY83" i="15"/>
  <c r="AZ83" i="15"/>
  <c r="BA83" i="15"/>
  <c r="BB83" i="15"/>
  <c r="BB86" i="15" s="1"/>
  <c r="BC83" i="15"/>
  <c r="BD83" i="15"/>
  <c r="BD86" i="15" s="1"/>
  <c r="BE83" i="15"/>
  <c r="BE86" i="15" s="1"/>
  <c r="BF83" i="15"/>
  <c r="BG83" i="15"/>
  <c r="BH83" i="15"/>
  <c r="BI83" i="15"/>
  <c r="BJ83" i="15"/>
  <c r="BK83" i="15"/>
  <c r="BL83" i="15"/>
  <c r="BL86" i="15" s="1"/>
  <c r="BM83" i="15"/>
  <c r="BM86" i="15" s="1"/>
  <c r="BN83" i="15"/>
  <c r="S83" i="15" s="1"/>
  <c r="BO83" i="15"/>
  <c r="BP83" i="15"/>
  <c r="BQ83" i="15"/>
  <c r="T83" i="15" s="1"/>
  <c r="BR83" i="15"/>
  <c r="BS83" i="15"/>
  <c r="BT83" i="15"/>
  <c r="BT86" i="15" s="1"/>
  <c r="BU83" i="15"/>
  <c r="BU86" i="15" s="1"/>
  <c r="BV83" i="15"/>
  <c r="BV86" i="15" s="1"/>
  <c r="BW83" i="15"/>
  <c r="BX83" i="15"/>
  <c r="BY83" i="15"/>
  <c r="BZ83" i="15"/>
  <c r="W83" i="15" s="1"/>
  <c r="CA83" i="15"/>
  <c r="CB83" i="15"/>
  <c r="CB86" i="15" s="1"/>
  <c r="CC83" i="15"/>
  <c r="CD83" i="15"/>
  <c r="CE83" i="15"/>
  <c r="CF83" i="15"/>
  <c r="CG83" i="15"/>
  <c r="CH83" i="15"/>
  <c r="CH86" i="15" s="1"/>
  <c r="CI83" i="15"/>
  <c r="CJ83" i="15"/>
  <c r="CJ86" i="15" s="1"/>
  <c r="CK83" i="15"/>
  <c r="CK86" i="15" s="1"/>
  <c r="CL83" i="15"/>
  <c r="CM83" i="15"/>
  <c r="CN83" i="15"/>
  <c r="O84" i="15"/>
  <c r="R84" i="15"/>
  <c r="S84" i="15"/>
  <c r="AY84" i="15"/>
  <c r="AZ84" i="15"/>
  <c r="BA84" i="15"/>
  <c r="BA86" i="15" s="1"/>
  <c r="BB84" i="15"/>
  <c r="BC84" i="15"/>
  <c r="BD84" i="15"/>
  <c r="BE84" i="15"/>
  <c r="BF84" i="15"/>
  <c r="BG84" i="15"/>
  <c r="P84" i="15" s="1"/>
  <c r="BH84" i="15"/>
  <c r="Q84" i="15" s="1"/>
  <c r="BI84" i="15"/>
  <c r="BJ84" i="15"/>
  <c r="BK84" i="15"/>
  <c r="BL84" i="15"/>
  <c r="BM84" i="15"/>
  <c r="BN84" i="15"/>
  <c r="BO84" i="15"/>
  <c r="BO86" i="15" s="1"/>
  <c r="BP84" i="15"/>
  <c r="BQ84" i="15"/>
  <c r="T84" i="15" s="1"/>
  <c r="BR84" i="15"/>
  <c r="BS84" i="15"/>
  <c r="BT84" i="15"/>
  <c r="BU84" i="15"/>
  <c r="BV84" i="15"/>
  <c r="BW84" i="15"/>
  <c r="V84" i="15" s="1"/>
  <c r="BX84" i="15"/>
  <c r="BY84" i="15"/>
  <c r="BY86" i="15" s="1"/>
  <c r="BZ84" i="15"/>
  <c r="CA84" i="15"/>
  <c r="W84" i="15" s="1"/>
  <c r="CB84" i="15"/>
  <c r="CC84" i="15"/>
  <c r="X84" i="15" s="1"/>
  <c r="CD84" i="15"/>
  <c r="CE84" i="15"/>
  <c r="CE86" i="15" s="1"/>
  <c r="CF84" i="15"/>
  <c r="Y84" i="15" s="1"/>
  <c r="CG84" i="15"/>
  <c r="CG86" i="15" s="1"/>
  <c r="CH84" i="15"/>
  <c r="CI84" i="15"/>
  <c r="CJ84" i="15"/>
  <c r="CK84" i="15"/>
  <c r="Z84" i="15" s="1"/>
  <c r="CL84" i="15"/>
  <c r="CM84" i="15"/>
  <c r="AA84" i="15" s="1"/>
  <c r="CN84" i="15"/>
  <c r="N85" i="15"/>
  <c r="U85" i="15"/>
  <c r="V85" i="15"/>
  <c r="AY85" i="15"/>
  <c r="AZ85" i="15"/>
  <c r="D85" i="15" s="1"/>
  <c r="BA85" i="15"/>
  <c r="BB85" i="15"/>
  <c r="BC85" i="15"/>
  <c r="BC86" i="15" s="1"/>
  <c r="BD85" i="15"/>
  <c r="BE85" i="15"/>
  <c r="P85" i="15" s="1"/>
  <c r="BF85" i="15"/>
  <c r="BG85" i="15"/>
  <c r="BH85" i="15"/>
  <c r="Q85" i="15" s="1"/>
  <c r="BI85" i="15"/>
  <c r="BJ85" i="15"/>
  <c r="BJ86" i="15" s="1"/>
  <c r="BK85" i="15"/>
  <c r="BL85" i="15"/>
  <c r="BM85" i="15"/>
  <c r="BN85" i="15"/>
  <c r="BO85" i="15"/>
  <c r="BP85" i="15"/>
  <c r="S85" i="15" s="1"/>
  <c r="BQ85" i="15"/>
  <c r="BR85" i="15"/>
  <c r="BS85" i="15"/>
  <c r="BS86" i="15" s="1"/>
  <c r="BT85" i="15"/>
  <c r="BU85" i="15"/>
  <c r="BV85" i="15"/>
  <c r="BW85" i="15"/>
  <c r="BX85" i="15"/>
  <c r="BY85" i="15"/>
  <c r="BZ85" i="15"/>
  <c r="BZ86" i="15" s="1"/>
  <c r="CA85" i="15"/>
  <c r="CA86" i="15" s="1"/>
  <c r="CB85" i="15"/>
  <c r="CC85" i="15"/>
  <c r="X85" i="15" s="1"/>
  <c r="CD85" i="15"/>
  <c r="CE85" i="15"/>
  <c r="CF85" i="15"/>
  <c r="CG85" i="15"/>
  <c r="CH85" i="15"/>
  <c r="Y85" i="15" s="1"/>
  <c r="CI85" i="15"/>
  <c r="CJ85" i="15"/>
  <c r="CK85" i="15"/>
  <c r="CL85" i="15"/>
  <c r="AA85" i="15" s="1"/>
  <c r="CM85" i="15"/>
  <c r="CN85" i="15"/>
  <c r="Q86" i="15"/>
  <c r="BF86" i="15"/>
  <c r="BG86" i="15"/>
  <c r="BI86" i="15"/>
  <c r="BQ86" i="15"/>
  <c r="BR86" i="15"/>
  <c r="CD86" i="15"/>
  <c r="CL86" i="15"/>
  <c r="CM86" i="15"/>
  <c r="CH91" i="15"/>
  <c r="CH92" i="15"/>
  <c r="D97" i="15"/>
  <c r="O97" i="15"/>
  <c r="W97" i="15"/>
  <c r="X97" i="15"/>
  <c r="AY97" i="15"/>
  <c r="AZ97" i="15"/>
  <c r="BA97" i="15"/>
  <c r="BA99" i="15" s="1"/>
  <c r="BB97" i="15"/>
  <c r="BC97" i="15"/>
  <c r="BD97" i="15"/>
  <c r="BE97" i="15"/>
  <c r="BF97" i="15"/>
  <c r="P97" i="15" s="1"/>
  <c r="BG97" i="15"/>
  <c r="BH97" i="15"/>
  <c r="BI97" i="15"/>
  <c r="BI99" i="15" s="1"/>
  <c r="BJ97" i="15"/>
  <c r="BJ100" i="15" s="1"/>
  <c r="BK97" i="15"/>
  <c r="BL97" i="15"/>
  <c r="BM97" i="15"/>
  <c r="R97" i="15" s="1"/>
  <c r="BN97" i="15"/>
  <c r="BN99" i="15" s="1"/>
  <c r="BO97" i="15"/>
  <c r="BP97" i="15"/>
  <c r="BQ97" i="15"/>
  <c r="BQ99" i="15" s="1"/>
  <c r="BR97" i="15"/>
  <c r="BS97" i="15"/>
  <c r="BT97" i="15"/>
  <c r="BU97" i="15"/>
  <c r="BV97" i="15"/>
  <c r="BV99" i="15" s="1"/>
  <c r="BV100" i="15" s="1"/>
  <c r="BW97" i="15"/>
  <c r="BX97" i="15"/>
  <c r="BY97" i="15"/>
  <c r="BY99" i="15" s="1"/>
  <c r="BZ97" i="15"/>
  <c r="BZ99" i="15" s="1"/>
  <c r="BZ100" i="15" s="1"/>
  <c r="CA97" i="15"/>
  <c r="CB97" i="15"/>
  <c r="CC97" i="15"/>
  <c r="CD97" i="15"/>
  <c r="CE97" i="15"/>
  <c r="CE99" i="15" s="1"/>
  <c r="CE100" i="15" s="1"/>
  <c r="CF97" i="15"/>
  <c r="CG97" i="15"/>
  <c r="CG99" i="15" s="1"/>
  <c r="CH97" i="15"/>
  <c r="CH99" i="15" s="1"/>
  <c r="CH100" i="15" s="1"/>
  <c r="CI97" i="15"/>
  <c r="CJ97" i="15"/>
  <c r="CK97" i="15"/>
  <c r="CL97" i="15"/>
  <c r="CM97" i="15"/>
  <c r="CM100" i="15" s="1"/>
  <c r="CN97" i="15"/>
  <c r="Q98" i="15"/>
  <c r="S98" i="15"/>
  <c r="T98" i="15"/>
  <c r="V98" i="15"/>
  <c r="AA98" i="15"/>
  <c r="AY98" i="15"/>
  <c r="AZ98" i="15"/>
  <c r="BA98" i="15"/>
  <c r="BB98" i="15"/>
  <c r="BC98" i="15"/>
  <c r="O98" i="15" s="1"/>
  <c r="BD98" i="15"/>
  <c r="BD99" i="15" s="1"/>
  <c r="BD100" i="15" s="1"/>
  <c r="BE98" i="15"/>
  <c r="BF98" i="15"/>
  <c r="BG98" i="15"/>
  <c r="BH98" i="15"/>
  <c r="BI98" i="15"/>
  <c r="BJ98" i="15"/>
  <c r="BK98" i="15"/>
  <c r="E98" i="15" s="1"/>
  <c r="BL98" i="15"/>
  <c r="BM98" i="15"/>
  <c r="BM99" i="15" s="1"/>
  <c r="BM100" i="15" s="1"/>
  <c r="BN98" i="15"/>
  <c r="BO98" i="15"/>
  <c r="BP98" i="15"/>
  <c r="BQ98" i="15"/>
  <c r="BR98" i="15"/>
  <c r="BS98" i="15"/>
  <c r="BT98" i="15"/>
  <c r="BU98" i="15"/>
  <c r="BV98" i="15"/>
  <c r="BW98" i="15"/>
  <c r="F98" i="15" s="1"/>
  <c r="BX98" i="15"/>
  <c r="BY98" i="15"/>
  <c r="BZ98" i="15"/>
  <c r="CA98" i="15"/>
  <c r="W98" i="15" s="1"/>
  <c r="CB98" i="15"/>
  <c r="CB99" i="15" s="1"/>
  <c r="CB100" i="15" s="1"/>
  <c r="CC98" i="15"/>
  <c r="CD98" i="15"/>
  <c r="CE98" i="15"/>
  <c r="CF98" i="15"/>
  <c r="Y98" i="15" s="1"/>
  <c r="CG98" i="15"/>
  <c r="CH98" i="15"/>
  <c r="CI98" i="15"/>
  <c r="CI99" i="15" s="1"/>
  <c r="CI100" i="15" s="1"/>
  <c r="CJ98" i="15"/>
  <c r="CJ99" i="15" s="1"/>
  <c r="CJ100" i="15" s="1"/>
  <c r="CK98" i="15"/>
  <c r="CK99" i="15" s="1"/>
  <c r="CL98" i="15"/>
  <c r="CM98" i="15"/>
  <c r="CN98" i="15"/>
  <c r="BB99" i="15"/>
  <c r="BB100" i="15" s="1"/>
  <c r="BC99" i="15"/>
  <c r="BC100" i="15" s="1"/>
  <c r="BJ99" i="15"/>
  <c r="BK99" i="15"/>
  <c r="BK100" i="15" s="1"/>
  <c r="BL99" i="15"/>
  <c r="BL100" i="15" s="1"/>
  <c r="BR99" i="15"/>
  <c r="BR100" i="15" s="1"/>
  <c r="BS99" i="15"/>
  <c r="BS100" i="15" s="1"/>
  <c r="BT99" i="15"/>
  <c r="BT100" i="15" s="1"/>
  <c r="BU99" i="15"/>
  <c r="BU100" i="15" s="1"/>
  <c r="CD99" i="15"/>
  <c r="CD100" i="15" s="1"/>
  <c r="CL99" i="15"/>
  <c r="CM99" i="15"/>
  <c r="BN100" i="15"/>
  <c r="BY100" i="15"/>
  <c r="CG100" i="15"/>
  <c r="U103" i="15"/>
  <c r="AZ103" i="15"/>
  <c r="BA103" i="15"/>
  <c r="BB103" i="15"/>
  <c r="BC103" i="15"/>
  <c r="BD103" i="15"/>
  <c r="O103" i="15" s="1"/>
  <c r="BE103" i="15"/>
  <c r="BE105" i="15" s="1"/>
  <c r="BF103" i="15"/>
  <c r="BH103" i="15"/>
  <c r="BI103" i="15"/>
  <c r="BJ103" i="15"/>
  <c r="BK103" i="15"/>
  <c r="BL103" i="15"/>
  <c r="BM103" i="15"/>
  <c r="BM105" i="15" s="1"/>
  <c r="BN103" i="15"/>
  <c r="BP103" i="15"/>
  <c r="BQ103" i="15"/>
  <c r="BR103" i="15"/>
  <c r="BS103" i="15"/>
  <c r="BT103" i="15"/>
  <c r="BU103" i="15"/>
  <c r="BV103" i="15"/>
  <c r="BX103" i="15"/>
  <c r="BX105" i="15" s="1"/>
  <c r="BY103" i="15"/>
  <c r="BY105" i="15" s="1"/>
  <c r="BZ103" i="15"/>
  <c r="CA103" i="15"/>
  <c r="CA105" i="15" s="1"/>
  <c r="CB103" i="15"/>
  <c r="CC103" i="15"/>
  <c r="CD103" i="15"/>
  <c r="CF103" i="15"/>
  <c r="Y103" i="15" s="1"/>
  <c r="CG103" i="15"/>
  <c r="CG105" i="15" s="1"/>
  <c r="CH103" i="15"/>
  <c r="CH105" i="15" s="1"/>
  <c r="CI103" i="15"/>
  <c r="CJ103" i="15"/>
  <c r="CJ105" i="15" s="1"/>
  <c r="CJ106" i="15" s="1"/>
  <c r="CK103" i="15"/>
  <c r="CL103" i="15"/>
  <c r="CN103" i="15"/>
  <c r="O104" i="15"/>
  <c r="V104" i="15"/>
  <c r="AY104" i="15"/>
  <c r="AZ104" i="15"/>
  <c r="BA104" i="15"/>
  <c r="BA105" i="15" s="1"/>
  <c r="BA106" i="15" s="1"/>
  <c r="BB104" i="15"/>
  <c r="BC104" i="15"/>
  <c r="BD104" i="15"/>
  <c r="BE104" i="15"/>
  <c r="BG104" i="15"/>
  <c r="BH104" i="15"/>
  <c r="BI104" i="15"/>
  <c r="BJ104" i="15"/>
  <c r="BJ105" i="15" s="1"/>
  <c r="BK104" i="15"/>
  <c r="R104" i="15" s="1"/>
  <c r="BL104" i="15"/>
  <c r="BM104" i="15"/>
  <c r="BO104" i="15"/>
  <c r="BP104" i="15"/>
  <c r="BQ104" i="15"/>
  <c r="BR104" i="15"/>
  <c r="BS104" i="15"/>
  <c r="BS105" i="15" s="1"/>
  <c r="BS106" i="15" s="1"/>
  <c r="BT104" i="15"/>
  <c r="BU104" i="15"/>
  <c r="BW104" i="15"/>
  <c r="BX104" i="15"/>
  <c r="BY104" i="15"/>
  <c r="BZ104" i="15"/>
  <c r="CA104" i="15"/>
  <c r="W104" i="15" s="1"/>
  <c r="CB104" i="15"/>
  <c r="CB105" i="15" s="1"/>
  <c r="CB106" i="15" s="1"/>
  <c r="CC104" i="15"/>
  <c r="CE104" i="15"/>
  <c r="CF104" i="15"/>
  <c r="CG104" i="15"/>
  <c r="CH104" i="15"/>
  <c r="CI104" i="15"/>
  <c r="CJ104" i="15"/>
  <c r="CK104" i="15"/>
  <c r="CK105" i="15" s="1"/>
  <c r="CK106" i="15" s="1"/>
  <c r="CM104" i="15"/>
  <c r="BB105" i="15"/>
  <c r="BB106" i="15" s="1"/>
  <c r="BC105" i="15"/>
  <c r="BC106" i="15" s="1"/>
  <c r="BD105" i="15"/>
  <c r="BK105" i="15"/>
  <c r="BK106" i="15" s="1"/>
  <c r="BL105" i="15"/>
  <c r="BL106" i="15" s="1"/>
  <c r="BT105" i="15"/>
  <c r="BT106" i="15" s="1"/>
  <c r="CF105" i="15"/>
  <c r="CF106" i="15" s="1"/>
  <c r="BD106" i="15"/>
  <c r="BE106" i="15"/>
  <c r="BM106" i="15"/>
  <c r="N109" i="15"/>
  <c r="N112" i="15" s="1"/>
  <c r="P109" i="15"/>
  <c r="Q109" i="15"/>
  <c r="V109" i="15"/>
  <c r="Y109" i="15"/>
  <c r="AY109" i="15"/>
  <c r="AY111" i="15" s="1"/>
  <c r="AY112" i="15" s="1"/>
  <c r="AZ109" i="15"/>
  <c r="BA109" i="15"/>
  <c r="BB109" i="15"/>
  <c r="BC109" i="15"/>
  <c r="BC112" i="15" s="1"/>
  <c r="BD109" i="15"/>
  <c r="BE109" i="15"/>
  <c r="BF109" i="15"/>
  <c r="BF111" i="15" s="1"/>
  <c r="BG109" i="15"/>
  <c r="BG111" i="15" s="1"/>
  <c r="BG112" i="15" s="1"/>
  <c r="BH109" i="15"/>
  <c r="BI109" i="15"/>
  <c r="BJ109" i="15"/>
  <c r="BK109" i="15"/>
  <c r="BK112" i="15" s="1"/>
  <c r="BL109" i="15"/>
  <c r="BM109" i="15"/>
  <c r="BN109" i="15"/>
  <c r="S109" i="15" s="1"/>
  <c r="BO109" i="15"/>
  <c r="BO111" i="15" s="1"/>
  <c r="BO112" i="15" s="1"/>
  <c r="BP109" i="15"/>
  <c r="BQ109" i="15"/>
  <c r="T109" i="15" s="1"/>
  <c r="BR109" i="15"/>
  <c r="BS109" i="15"/>
  <c r="BS112" i="15" s="1"/>
  <c r="BT109" i="15"/>
  <c r="BU109" i="15"/>
  <c r="BV109" i="15"/>
  <c r="BV111" i="15" s="1"/>
  <c r="BW109" i="15"/>
  <c r="BW111" i="15" s="1"/>
  <c r="BW112" i="15" s="1"/>
  <c r="BX109" i="15"/>
  <c r="BY109" i="15"/>
  <c r="BZ109" i="15"/>
  <c r="CA109" i="15"/>
  <c r="CA112" i="15" s="1"/>
  <c r="CB109" i="15"/>
  <c r="CC109" i="15"/>
  <c r="CD109" i="15"/>
  <c r="CD111" i="15" s="1"/>
  <c r="CE109" i="15"/>
  <c r="CE111" i="15" s="1"/>
  <c r="CE112" i="15" s="1"/>
  <c r="CF109" i="15"/>
  <c r="CG109" i="15"/>
  <c r="CH109" i="15"/>
  <c r="CI109" i="15"/>
  <c r="CI112" i="15" s="1"/>
  <c r="CJ109" i="15"/>
  <c r="CK109" i="15"/>
  <c r="CL109" i="15"/>
  <c r="AA109" i="15" s="1"/>
  <c r="CM109" i="15"/>
  <c r="CM111" i="15" s="1"/>
  <c r="CM112" i="15" s="1"/>
  <c r="CN109" i="15"/>
  <c r="N110" i="15"/>
  <c r="O110" i="15"/>
  <c r="V110" i="15"/>
  <c r="AY110" i="15"/>
  <c r="AZ110" i="15"/>
  <c r="BA110" i="15"/>
  <c r="BB110" i="15"/>
  <c r="BC110" i="15"/>
  <c r="BD110" i="15"/>
  <c r="BE110" i="15"/>
  <c r="P110" i="15" s="1"/>
  <c r="BF110" i="15"/>
  <c r="BG110" i="15"/>
  <c r="BH110" i="15"/>
  <c r="BI110" i="15"/>
  <c r="Q110" i="15" s="1"/>
  <c r="BJ110" i="15"/>
  <c r="BK110" i="15"/>
  <c r="BL110" i="15"/>
  <c r="BM110" i="15"/>
  <c r="BN110" i="15"/>
  <c r="S110" i="15" s="1"/>
  <c r="BO110" i="15"/>
  <c r="BP110" i="15"/>
  <c r="BQ110" i="15"/>
  <c r="T110" i="15" s="1"/>
  <c r="BR110" i="15"/>
  <c r="BS110" i="15"/>
  <c r="BT110" i="15"/>
  <c r="U110" i="15" s="1"/>
  <c r="BU110" i="15"/>
  <c r="BV110" i="15"/>
  <c r="BW110" i="15"/>
  <c r="BX110" i="15"/>
  <c r="BY110" i="15"/>
  <c r="BZ110" i="15"/>
  <c r="CA110" i="15"/>
  <c r="CB110" i="15"/>
  <c r="F110" i="15" s="1"/>
  <c r="CC110" i="15"/>
  <c r="X110" i="15" s="1"/>
  <c r="CD110" i="15"/>
  <c r="CE110" i="15"/>
  <c r="CF110" i="15"/>
  <c r="CG110" i="15"/>
  <c r="Y110" i="15" s="1"/>
  <c r="CH110" i="15"/>
  <c r="CI110" i="15"/>
  <c r="CJ110" i="15"/>
  <c r="CK110" i="15"/>
  <c r="CL110" i="15"/>
  <c r="AA110" i="15" s="1"/>
  <c r="CM110" i="15"/>
  <c r="CN110" i="15"/>
  <c r="N111" i="15"/>
  <c r="V111" i="15"/>
  <c r="AZ111" i="15"/>
  <c r="BA111" i="15"/>
  <c r="BB111" i="15"/>
  <c r="BC111" i="15"/>
  <c r="BH111" i="15"/>
  <c r="BI111" i="15"/>
  <c r="BJ111" i="15"/>
  <c r="BK111" i="15"/>
  <c r="BP111" i="15"/>
  <c r="BQ111" i="15"/>
  <c r="BR111" i="15"/>
  <c r="BS111" i="15"/>
  <c r="BX111" i="15"/>
  <c r="BY111" i="15"/>
  <c r="BZ111" i="15"/>
  <c r="CA111" i="15"/>
  <c r="CF111" i="15"/>
  <c r="CG111" i="15"/>
  <c r="CH111" i="15"/>
  <c r="CI111" i="15"/>
  <c r="CN111" i="15"/>
  <c r="AZ112" i="15"/>
  <c r="BA112" i="15"/>
  <c r="BB112" i="15"/>
  <c r="BH112" i="15"/>
  <c r="BI112" i="15"/>
  <c r="BJ112" i="15"/>
  <c r="BP112" i="15"/>
  <c r="BQ112" i="15"/>
  <c r="BR112" i="15"/>
  <c r="BX112" i="15"/>
  <c r="BY112" i="15"/>
  <c r="BZ112" i="15"/>
  <c r="CF112" i="15"/>
  <c r="CG112" i="15"/>
  <c r="CH112" i="15"/>
  <c r="CN112" i="15"/>
  <c r="R9" i="1"/>
  <c r="S9" i="1"/>
  <c r="U9" i="1"/>
  <c r="Z9" i="1"/>
  <c r="AA9" i="1"/>
  <c r="AC9" i="1"/>
  <c r="G9" i="1"/>
  <c r="AB9" i="1"/>
  <c r="D10" i="1"/>
  <c r="C5" i="8" s="1"/>
  <c r="E10" i="1"/>
  <c r="D5" i="8" s="1"/>
  <c r="F10" i="1"/>
  <c r="E5" i="8" s="1"/>
  <c r="G10" i="1"/>
  <c r="F5" i="8" s="1"/>
  <c r="H10" i="1"/>
  <c r="G5" i="8" s="1"/>
  <c r="I10" i="1"/>
  <c r="H5" i="8" s="1"/>
  <c r="J10" i="1"/>
  <c r="I5" i="8" s="1"/>
  <c r="K10" i="1"/>
  <c r="J5" i="8" s="1"/>
  <c r="L10" i="1"/>
  <c r="N10" i="1"/>
  <c r="O10" i="1"/>
  <c r="P10" i="1"/>
  <c r="Q10" i="1"/>
  <c r="R10" i="1"/>
  <c r="S10" i="1"/>
  <c r="T10" i="1"/>
  <c r="U10" i="1"/>
  <c r="V10" i="1"/>
  <c r="W10" i="1"/>
  <c r="X10" i="1"/>
  <c r="Y10" i="1"/>
  <c r="Z10" i="1"/>
  <c r="AA10" i="1"/>
  <c r="AB10" i="1"/>
  <c r="AC10" i="1"/>
  <c r="AD10" i="1"/>
  <c r="AE10" i="1"/>
  <c r="AF10" i="1"/>
  <c r="AG10" i="1"/>
  <c r="AH10" i="1"/>
  <c r="AI10" i="1"/>
  <c r="AJ10" i="1"/>
  <c r="AK10" i="1"/>
  <c r="AL10" i="1"/>
  <c r="AM10" i="1"/>
  <c r="AN10" i="1"/>
  <c r="AO10" i="1"/>
  <c r="AP10" i="1"/>
  <c r="AQ10" i="1"/>
  <c r="AR10" i="1"/>
  <c r="AS10" i="1"/>
  <c r="AT10" i="1"/>
  <c r="AU10" i="1"/>
  <c r="AV10" i="1"/>
  <c r="AW10" i="1"/>
  <c r="U11" i="1"/>
  <c r="AY11" i="1"/>
  <c r="AZ11" i="1"/>
  <c r="BB11" i="1"/>
  <c r="BD11" i="1"/>
  <c r="BD11" i="11" s="1"/>
  <c r="BE11" i="1"/>
  <c r="BE11" i="11" s="1"/>
  <c r="BF11" i="1"/>
  <c r="BG11" i="1"/>
  <c r="BH11" i="1"/>
  <c r="BJ11" i="1"/>
  <c r="BL11" i="1"/>
  <c r="BM11" i="1"/>
  <c r="BM11" i="11" s="1"/>
  <c r="BN11" i="1"/>
  <c r="BO11" i="1"/>
  <c r="BP11" i="1"/>
  <c r="BR11" i="1"/>
  <c r="BT11" i="1"/>
  <c r="BT11" i="11" s="1"/>
  <c r="BU11" i="1"/>
  <c r="BU11" i="11" s="1"/>
  <c r="BV11" i="1"/>
  <c r="BW11" i="1"/>
  <c r="BX11" i="1"/>
  <c r="BZ11" i="1"/>
  <c r="CB11" i="1"/>
  <c r="CB11" i="11" s="1"/>
  <c r="CC11" i="1"/>
  <c r="CC11" i="11" s="1"/>
  <c r="CD11" i="1"/>
  <c r="CD11" i="11" s="1"/>
  <c r="CE11" i="1"/>
  <c r="CF11" i="1"/>
  <c r="CH11" i="1"/>
  <c r="CJ11" i="1"/>
  <c r="CJ11" i="11" s="1"/>
  <c r="CK11" i="1"/>
  <c r="CK11" i="11" s="1"/>
  <c r="CL11" i="1"/>
  <c r="CM11" i="1"/>
  <c r="CN11" i="1"/>
  <c r="AY12" i="1"/>
  <c r="AY21" i="1" s="1"/>
  <c r="BA12" i="1"/>
  <c r="BC12" i="1"/>
  <c r="BD12" i="1"/>
  <c r="BE12" i="1"/>
  <c r="BG12" i="1"/>
  <c r="BG21" i="1" s="1"/>
  <c r="BI12" i="1"/>
  <c r="BK12" i="1"/>
  <c r="BM12" i="1"/>
  <c r="BO12" i="1"/>
  <c r="BO21" i="1" s="1"/>
  <c r="BQ12" i="1"/>
  <c r="BS12" i="1"/>
  <c r="BT12" i="1"/>
  <c r="BU12" i="1"/>
  <c r="BW12" i="1"/>
  <c r="BY12" i="1"/>
  <c r="CA12" i="1"/>
  <c r="CB12" i="1"/>
  <c r="CC12" i="1"/>
  <c r="X12" i="1" s="1"/>
  <c r="CD12" i="1"/>
  <c r="CE12" i="1"/>
  <c r="CE21" i="1" s="1"/>
  <c r="CG12" i="1"/>
  <c r="CI12" i="1"/>
  <c r="CJ12" i="1"/>
  <c r="CK12" i="1"/>
  <c r="CM12" i="1"/>
  <c r="CM21" i="1" s="1"/>
  <c r="R13" i="1"/>
  <c r="BB13" i="1"/>
  <c r="O13" i="1" s="1"/>
  <c r="BC13" i="1"/>
  <c r="BD13" i="1"/>
  <c r="BE13" i="1"/>
  <c r="BJ13" i="1"/>
  <c r="BK13" i="1"/>
  <c r="BL13" i="1"/>
  <c r="BM13" i="1"/>
  <c r="BR13" i="1"/>
  <c r="BT13" i="1"/>
  <c r="BU13" i="1"/>
  <c r="BZ13" i="1"/>
  <c r="W13" i="1" s="1"/>
  <c r="CA13" i="1"/>
  <c r="CB13" i="1"/>
  <c r="CH13" i="1"/>
  <c r="CJ13" i="1"/>
  <c r="CK13" i="1"/>
  <c r="BE14" i="1"/>
  <c r="BE9" i="11" s="1"/>
  <c r="BE82" i="11" s="1"/>
  <c r="BM14" i="1"/>
  <c r="BM9" i="11" s="1"/>
  <c r="BM82" i="11" s="1"/>
  <c r="BU14" i="1"/>
  <c r="BU9" i="11" s="1"/>
  <c r="BU82" i="11" s="1"/>
  <c r="CK14" i="1"/>
  <c r="CK9" i="11" s="1"/>
  <c r="CK82" i="11" s="1"/>
  <c r="R17" i="1"/>
  <c r="T17" i="1"/>
  <c r="U17" i="1"/>
  <c r="Z17" i="1"/>
  <c r="AC17" i="1"/>
  <c r="O17" i="1"/>
  <c r="P17" i="1"/>
  <c r="BG20" i="1"/>
  <c r="Q17" i="1"/>
  <c r="BO20" i="1"/>
  <c r="W17" i="1"/>
  <c r="X17" i="1"/>
  <c r="CD20" i="1"/>
  <c r="CE20" i="1"/>
  <c r="Y17" i="1"/>
  <c r="CM20" i="1"/>
  <c r="AB17" i="1"/>
  <c r="CU17" i="1"/>
  <c r="CV17" i="1"/>
  <c r="CW17" i="1"/>
  <c r="DD17" i="1"/>
  <c r="DE17" i="1"/>
  <c r="BD20" i="1"/>
  <c r="BE20" i="1"/>
  <c r="BM20" i="1"/>
  <c r="BT20" i="1"/>
  <c r="BU20" i="1"/>
  <c r="CB20" i="1"/>
  <c r="CC20" i="1"/>
  <c r="CJ20" i="1"/>
  <c r="CK20" i="1"/>
  <c r="CU20" i="1"/>
  <c r="CV20" i="1"/>
  <c r="CW20" i="1"/>
  <c r="CX20" i="1"/>
  <c r="CX17" i="1" s="1"/>
  <c r="CY20" i="1"/>
  <c r="CZ20" i="1"/>
  <c r="CZ17" i="1" s="1"/>
  <c r="CZ30" i="1" s="1"/>
  <c r="DA20" i="1"/>
  <c r="DB20" i="1"/>
  <c r="DC20" i="1"/>
  <c r="DD20" i="1"/>
  <c r="DE20" i="1"/>
  <c r="DF20" i="1"/>
  <c r="DF17" i="1" s="1"/>
  <c r="DG20" i="1"/>
  <c r="DH20" i="1"/>
  <c r="DI20" i="1"/>
  <c r="DJ20" i="1"/>
  <c r="DK20" i="1"/>
  <c r="DL20" i="1"/>
  <c r="DM20" i="1"/>
  <c r="DN20" i="1"/>
  <c r="DO20" i="1"/>
  <c r="DP20" i="1"/>
  <c r="DQ20" i="1"/>
  <c r="DR20" i="1"/>
  <c r="DS20" i="1"/>
  <c r="DT20" i="1"/>
  <c r="DU20" i="1"/>
  <c r="DV20" i="1"/>
  <c r="DW20" i="1"/>
  <c r="DX20" i="1"/>
  <c r="DY20" i="1"/>
  <c r="DZ20" i="1"/>
  <c r="EA20" i="1"/>
  <c r="EB20" i="1"/>
  <c r="EC20" i="1"/>
  <c r="ED20" i="1"/>
  <c r="EE20" i="1"/>
  <c r="EF20" i="1"/>
  <c r="EG20" i="1"/>
  <c r="EH20" i="1"/>
  <c r="EI20" i="1"/>
  <c r="EJ20" i="1"/>
  <c r="EK20" i="1"/>
  <c r="EL20" i="1"/>
  <c r="EM20" i="1"/>
  <c r="EN20" i="1"/>
  <c r="EO20" i="1"/>
  <c r="EP20" i="1"/>
  <c r="EQ20" i="1"/>
  <c r="ER20" i="1"/>
  <c r="ES20" i="1"/>
  <c r="ET20" i="1"/>
  <c r="EU20" i="1"/>
  <c r="EV20" i="1"/>
  <c r="EW20" i="1"/>
  <c r="EX20" i="1"/>
  <c r="EY20" i="1"/>
  <c r="EZ20" i="1"/>
  <c r="FA20" i="1"/>
  <c r="FB20" i="1"/>
  <c r="I21" i="1"/>
  <c r="J21" i="1"/>
  <c r="K21" i="1"/>
  <c r="L21" i="1"/>
  <c r="AD21" i="1"/>
  <c r="BD21" i="1"/>
  <c r="BE21" i="1"/>
  <c r="BM21" i="1"/>
  <c r="BT21" i="1"/>
  <c r="BU21" i="1"/>
  <c r="CB21" i="1"/>
  <c r="CC21" i="1"/>
  <c r="CD21" i="1"/>
  <c r="CJ21" i="1"/>
  <c r="CK21" i="1"/>
  <c r="CU21" i="1"/>
  <c r="CU56" i="15" s="1"/>
  <c r="CV21" i="1"/>
  <c r="CV56" i="15" s="1"/>
  <c r="CW21" i="1"/>
  <c r="CW56" i="15" s="1"/>
  <c r="CX21" i="1"/>
  <c r="CX56" i="15" s="1"/>
  <c r="CY21" i="1"/>
  <c r="CY56" i="15" s="1"/>
  <c r="CZ21" i="1"/>
  <c r="CZ56" i="15" s="1"/>
  <c r="DD21" i="1"/>
  <c r="DD56" i="15" s="1"/>
  <c r="DE21" i="1"/>
  <c r="DE56" i="15" s="1"/>
  <c r="DF21" i="1"/>
  <c r="DF56" i="15" s="1"/>
  <c r="AD23" i="1"/>
  <c r="AE23" i="1"/>
  <c r="AG23" i="1"/>
  <c r="BA28" i="1"/>
  <c r="BB28" i="1"/>
  <c r="BI28" i="1"/>
  <c r="BJ28" i="1"/>
  <c r="BQ28" i="1"/>
  <c r="BR28" i="1"/>
  <c r="BY28" i="1"/>
  <c r="BZ28" i="1"/>
  <c r="CG28" i="1"/>
  <c r="CH28" i="1"/>
  <c r="CO28" i="1"/>
  <c r="CP28" i="1"/>
  <c r="R29" i="1"/>
  <c r="Z29" i="1"/>
  <c r="AY38" i="11"/>
  <c r="BA38" i="11"/>
  <c r="BB38" i="11"/>
  <c r="BC38" i="11"/>
  <c r="BD38" i="11"/>
  <c r="BE38" i="11"/>
  <c r="BF38" i="11"/>
  <c r="BG38" i="11"/>
  <c r="BI38" i="11"/>
  <c r="BJ38" i="11"/>
  <c r="BK38" i="11"/>
  <c r="BL38" i="11"/>
  <c r="BM38" i="11"/>
  <c r="BN38" i="11"/>
  <c r="BO38" i="11"/>
  <c r="S29" i="1"/>
  <c r="BQ38" i="11"/>
  <c r="BR38" i="11"/>
  <c r="BS38" i="11"/>
  <c r="BT38" i="11"/>
  <c r="BU38" i="11"/>
  <c r="BV38" i="11"/>
  <c r="BW38" i="11"/>
  <c r="BY38" i="11"/>
  <c r="BZ38" i="11"/>
  <c r="CA38" i="11"/>
  <c r="CB38" i="11"/>
  <c r="CC38" i="11"/>
  <c r="CD38" i="11"/>
  <c r="CE38" i="11"/>
  <c r="CG38" i="11"/>
  <c r="CH38" i="11"/>
  <c r="CI38" i="11"/>
  <c r="CJ38" i="11"/>
  <c r="CK38" i="11"/>
  <c r="CL38" i="11"/>
  <c r="CM38" i="11"/>
  <c r="CO38" i="11"/>
  <c r="CP38" i="11"/>
  <c r="CQ38" i="11"/>
  <c r="CR38" i="11"/>
  <c r="CS38" i="11"/>
  <c r="CT38" i="11"/>
  <c r="Q30" i="1"/>
  <c r="R30" i="1"/>
  <c r="Y30" i="1"/>
  <c r="Z30" i="1"/>
  <c r="AZ27" i="11"/>
  <c r="BA27" i="11"/>
  <c r="BB27" i="11"/>
  <c r="BC27" i="11"/>
  <c r="BD27" i="11"/>
  <c r="BE27" i="11"/>
  <c r="BF27" i="11"/>
  <c r="BH27" i="11"/>
  <c r="BI27" i="11"/>
  <c r="BJ27" i="11"/>
  <c r="BK27" i="11"/>
  <c r="BL27" i="11"/>
  <c r="BM27" i="11"/>
  <c r="BN27" i="11"/>
  <c r="BP27" i="11"/>
  <c r="BQ27" i="11"/>
  <c r="BR27" i="11"/>
  <c r="BS27" i="11"/>
  <c r="BT27" i="11"/>
  <c r="BU27" i="11"/>
  <c r="BV27" i="11"/>
  <c r="BX27" i="11"/>
  <c r="BY27" i="11"/>
  <c r="BZ27" i="11"/>
  <c r="CA27" i="11"/>
  <c r="CB27" i="11"/>
  <c r="CC27" i="11"/>
  <c r="CD27" i="11"/>
  <c r="CF27" i="11"/>
  <c r="CG27" i="11"/>
  <c r="CH27" i="11"/>
  <c r="CI27" i="11"/>
  <c r="CJ27" i="11"/>
  <c r="CK27" i="11"/>
  <c r="CL27" i="11"/>
  <c r="CN27" i="11"/>
  <c r="CO27" i="11"/>
  <c r="CP27" i="11"/>
  <c r="CQ27" i="11"/>
  <c r="CR27" i="11"/>
  <c r="CS27" i="11"/>
  <c r="CT27" i="11"/>
  <c r="H31" i="1"/>
  <c r="I31" i="1"/>
  <c r="J31" i="1"/>
  <c r="K31" i="1"/>
  <c r="L31" i="1"/>
  <c r="P31" i="1"/>
  <c r="Q31" i="1"/>
  <c r="Y31" i="1"/>
  <c r="AD31" i="1"/>
  <c r="AE31" i="1"/>
  <c r="AF31" i="1"/>
  <c r="AG31" i="1"/>
  <c r="AH31" i="1"/>
  <c r="AI31" i="1"/>
  <c r="AJ31" i="1"/>
  <c r="AK31" i="1"/>
  <c r="AL31" i="1"/>
  <c r="AM31" i="1"/>
  <c r="AN31" i="1"/>
  <c r="AO31" i="1"/>
  <c r="AP31" i="1"/>
  <c r="AQ31" i="1"/>
  <c r="AR31" i="1"/>
  <c r="AS31" i="1"/>
  <c r="AT31" i="1"/>
  <c r="AU31" i="1"/>
  <c r="AV31" i="1"/>
  <c r="AW31" i="1"/>
  <c r="D31" i="1"/>
  <c r="O31" i="1"/>
  <c r="R31" i="1"/>
  <c r="S31" i="1"/>
  <c r="T31" i="1"/>
  <c r="U31" i="1"/>
  <c r="V31" i="1"/>
  <c r="F31" i="1"/>
  <c r="X31" i="1"/>
  <c r="Z31" i="1"/>
  <c r="AA31" i="1"/>
  <c r="AB31" i="1"/>
  <c r="AC31" i="1"/>
  <c r="Q46" i="1"/>
  <c r="Y46" i="1"/>
  <c r="AY46" i="1"/>
  <c r="BA46" i="1"/>
  <c r="BB46" i="1"/>
  <c r="BD46" i="1"/>
  <c r="BE46" i="1"/>
  <c r="BG46" i="1"/>
  <c r="BH46" i="1"/>
  <c r="BI46" i="1"/>
  <c r="BJ46" i="1"/>
  <c r="BL46" i="1"/>
  <c r="BN46" i="1"/>
  <c r="S46" i="1" s="1"/>
  <c r="BO46" i="1"/>
  <c r="BP46" i="1"/>
  <c r="BQ46" i="1"/>
  <c r="BR46" i="1"/>
  <c r="BV46" i="1"/>
  <c r="BW46" i="1"/>
  <c r="V46" i="1" s="1"/>
  <c r="BX46" i="1"/>
  <c r="BY46" i="1"/>
  <c r="BZ46" i="1"/>
  <c r="CB46" i="1"/>
  <c r="CC46" i="1"/>
  <c r="CD46" i="1"/>
  <c r="CE46" i="1"/>
  <c r="CF46" i="1"/>
  <c r="CG46" i="1"/>
  <c r="CH46" i="1"/>
  <c r="CJ46" i="1"/>
  <c r="CK46" i="1"/>
  <c r="CL46" i="1"/>
  <c r="AA46" i="1" s="1"/>
  <c r="CM46" i="1"/>
  <c r="CN46" i="1"/>
  <c r="CO46" i="1"/>
  <c r="CP46" i="1"/>
  <c r="CT46" i="1"/>
  <c r="BE52" i="1"/>
  <c r="BM52" i="1"/>
  <c r="BU52" i="1"/>
  <c r="CK52" i="1"/>
  <c r="CU52" i="1"/>
  <c r="CV52" i="1"/>
  <c r="CW52" i="1"/>
  <c r="CX52" i="1"/>
  <c r="CY52" i="1"/>
  <c r="CZ52" i="1"/>
  <c r="DA52" i="1"/>
  <c r="DB52" i="1"/>
  <c r="DC52" i="1"/>
  <c r="DD52" i="1"/>
  <c r="DE52" i="1"/>
  <c r="DF52" i="1"/>
  <c r="DG52" i="1"/>
  <c r="DH52" i="1"/>
  <c r="DI52" i="1"/>
  <c r="DJ52" i="1"/>
  <c r="DK52" i="1"/>
  <c r="DL52" i="1"/>
  <c r="DM52" i="1"/>
  <c r="DN52" i="1"/>
  <c r="DO52" i="1"/>
  <c r="DP52" i="1"/>
  <c r="DQ52" i="1"/>
  <c r="DR52" i="1"/>
  <c r="DS52" i="1"/>
  <c r="DT52" i="1"/>
  <c r="DU52" i="1"/>
  <c r="DV52" i="1"/>
  <c r="DW52" i="1"/>
  <c r="DX52" i="1"/>
  <c r="DY52" i="1"/>
  <c r="DZ52" i="1"/>
  <c r="EA52" i="1"/>
  <c r="EB52" i="1"/>
  <c r="EC52" i="1"/>
  <c r="ED52" i="1"/>
  <c r="EE52" i="1"/>
  <c r="EF52" i="1"/>
  <c r="EG52" i="1"/>
  <c r="EH52" i="1"/>
  <c r="EI52" i="1"/>
  <c r="EJ52" i="1"/>
  <c r="EK52" i="1"/>
  <c r="EL52" i="1"/>
  <c r="EM52" i="1"/>
  <c r="EN52" i="1"/>
  <c r="EO52" i="1"/>
  <c r="EP52" i="1"/>
  <c r="EQ52" i="1"/>
  <c r="ER52" i="1"/>
  <c r="ES52" i="1"/>
  <c r="ET52" i="1"/>
  <c r="EU52" i="1"/>
  <c r="EV52" i="1"/>
  <c r="EW52" i="1"/>
  <c r="EX52" i="1"/>
  <c r="EY52" i="1"/>
  <c r="EZ52" i="1"/>
  <c r="FA52" i="1"/>
  <c r="FB52" i="1"/>
  <c r="R53" i="1"/>
  <c r="Z53" i="1"/>
  <c r="AY53" i="1"/>
  <c r="AZ53" i="1"/>
  <c r="BA53" i="1"/>
  <c r="BB53" i="1"/>
  <c r="BC53" i="1"/>
  <c r="BD53" i="1"/>
  <c r="BG53" i="1"/>
  <c r="BH53" i="1"/>
  <c r="BI53" i="1"/>
  <c r="BJ53" i="1"/>
  <c r="BK53" i="1"/>
  <c r="BL53" i="1"/>
  <c r="BO53" i="1"/>
  <c r="BP53" i="1"/>
  <c r="BQ53" i="1"/>
  <c r="BR53" i="1"/>
  <c r="BS53" i="1"/>
  <c r="BT53" i="1"/>
  <c r="BW53" i="1"/>
  <c r="BX53" i="1"/>
  <c r="BY53" i="1"/>
  <c r="BZ53" i="1"/>
  <c r="CA53" i="1"/>
  <c r="CB53" i="1"/>
  <c r="CE53" i="1"/>
  <c r="CF53" i="1"/>
  <c r="CG53" i="1"/>
  <c r="CH53" i="1"/>
  <c r="CI53" i="1"/>
  <c r="CJ53" i="1"/>
  <c r="CM53" i="1"/>
  <c r="CN53" i="1"/>
  <c r="CO53" i="1"/>
  <c r="CP53" i="1"/>
  <c r="CQ53" i="1"/>
  <c r="CR53" i="1"/>
  <c r="CU53" i="1"/>
  <c r="CU30" i="1" s="1"/>
  <c r="CV53" i="1"/>
  <c r="CV30" i="1" s="1"/>
  <c r="CW53" i="1"/>
  <c r="CX53" i="1"/>
  <c r="CY53" i="1"/>
  <c r="CZ53" i="1"/>
  <c r="DA53" i="1"/>
  <c r="DB53" i="1"/>
  <c r="DC53" i="1"/>
  <c r="DD53" i="1"/>
  <c r="DD30" i="1" s="1"/>
  <c r="DE53" i="1"/>
  <c r="DF53" i="1"/>
  <c r="DG53" i="1"/>
  <c r="DH53" i="1"/>
  <c r="DI53" i="1"/>
  <c r="DJ53" i="1"/>
  <c r="DK53" i="1"/>
  <c r="DL53" i="1"/>
  <c r="DM53" i="1"/>
  <c r="DN53" i="1"/>
  <c r="DO53" i="1"/>
  <c r="DP53" i="1"/>
  <c r="DQ53" i="1"/>
  <c r="DR53" i="1"/>
  <c r="DS53" i="1"/>
  <c r="DT53" i="1"/>
  <c r="DU53" i="1"/>
  <c r="DV53" i="1"/>
  <c r="DW53" i="1"/>
  <c r="DX53" i="1"/>
  <c r="DY53" i="1"/>
  <c r="DZ53" i="1"/>
  <c r="EA53" i="1"/>
  <c r="EB53" i="1"/>
  <c r="EC53" i="1"/>
  <c r="ED53" i="1"/>
  <c r="EE53" i="1"/>
  <c r="EF53" i="1"/>
  <c r="EG53" i="1"/>
  <c r="EH53" i="1"/>
  <c r="EI53" i="1"/>
  <c r="EJ53" i="1"/>
  <c r="EK53" i="1"/>
  <c r="EL53" i="1"/>
  <c r="EM53" i="1"/>
  <c r="EN53" i="1"/>
  <c r="EO53" i="1"/>
  <c r="EP53" i="1"/>
  <c r="EQ53" i="1"/>
  <c r="ER53" i="1"/>
  <c r="ES53" i="1"/>
  <c r="ET53" i="1"/>
  <c r="EU53" i="1"/>
  <c r="EV53" i="1"/>
  <c r="EW53" i="1"/>
  <c r="EX53" i="1"/>
  <c r="EY53" i="1"/>
  <c r="EZ53" i="1"/>
  <c r="FA53" i="1"/>
  <c r="FB53" i="1"/>
  <c r="D63" i="1"/>
  <c r="N63" i="1"/>
  <c r="V64" i="1"/>
  <c r="AA64" i="1"/>
  <c r="AY64" i="1"/>
  <c r="AZ64" i="1"/>
  <c r="N64" i="1" s="1"/>
  <c r="BA64" i="1"/>
  <c r="BB64" i="1"/>
  <c r="BB74" i="1" s="1"/>
  <c r="BC64" i="1"/>
  <c r="BD64" i="1"/>
  <c r="BE64" i="1"/>
  <c r="BE71" i="1" s="1"/>
  <c r="BF64" i="1"/>
  <c r="BG64" i="1"/>
  <c r="BH64" i="1"/>
  <c r="BI64" i="1"/>
  <c r="BJ64" i="1"/>
  <c r="BJ74" i="1" s="1"/>
  <c r="BK64" i="1"/>
  <c r="BL64" i="1"/>
  <c r="BM64" i="1"/>
  <c r="BN64" i="1"/>
  <c r="S64" i="1" s="1"/>
  <c r="BO64" i="1"/>
  <c r="BP64" i="1"/>
  <c r="BQ64" i="1"/>
  <c r="BR64" i="1"/>
  <c r="BR74" i="1" s="1"/>
  <c r="BS64" i="1"/>
  <c r="BT64" i="1"/>
  <c r="BU64" i="1"/>
  <c r="BU71" i="1" s="1"/>
  <c r="BV64" i="1"/>
  <c r="BV71" i="1" s="1"/>
  <c r="BW64" i="1"/>
  <c r="BX64" i="1"/>
  <c r="F64" i="1" s="1"/>
  <c r="BY64" i="1"/>
  <c r="BZ64" i="1"/>
  <c r="BZ74" i="1" s="1"/>
  <c r="CA64" i="1"/>
  <c r="CB64" i="1"/>
  <c r="CC64" i="1"/>
  <c r="X64" i="1" s="1"/>
  <c r="CD64" i="1"/>
  <c r="CE64" i="1"/>
  <c r="CF64" i="1"/>
  <c r="Y64" i="1" s="1"/>
  <c r="CG64" i="1"/>
  <c r="CH64" i="1"/>
  <c r="CH74" i="1" s="1"/>
  <c r="CI64" i="1"/>
  <c r="CJ64" i="1"/>
  <c r="CK64" i="1"/>
  <c r="CL64" i="1"/>
  <c r="CM64" i="1"/>
  <c r="CN64" i="1"/>
  <c r="CS64" i="1"/>
  <c r="CS71" i="1" s="1"/>
  <c r="CT64" i="1"/>
  <c r="CT71" i="1" s="1"/>
  <c r="AY65" i="1"/>
  <c r="AY68" i="1" s="1"/>
  <c r="AZ63" i="1" s="1"/>
  <c r="AZ68" i="1" s="1"/>
  <c r="BA63" i="1" s="1"/>
  <c r="BA68" i="1" s="1"/>
  <c r="BB63" i="1" s="1"/>
  <c r="AZ65" i="1"/>
  <c r="BA65" i="1"/>
  <c r="BB65" i="1"/>
  <c r="BC65" i="1"/>
  <c r="BD65" i="1"/>
  <c r="BE65" i="1"/>
  <c r="BG65" i="1"/>
  <c r="BH65" i="1"/>
  <c r="Q65" i="1" s="1"/>
  <c r="BI65" i="1"/>
  <c r="BJ65" i="1"/>
  <c r="BK65" i="1"/>
  <c r="R65" i="1" s="1"/>
  <c r="BL65" i="1"/>
  <c r="BM65" i="1"/>
  <c r="BO65" i="1"/>
  <c r="BP65" i="1"/>
  <c r="BQ65" i="1"/>
  <c r="T65" i="1" s="1"/>
  <c r="BR65" i="1"/>
  <c r="BS65" i="1"/>
  <c r="BT65" i="1"/>
  <c r="BU65" i="1"/>
  <c r="BV65" i="1"/>
  <c r="BW65" i="1"/>
  <c r="BX65" i="1"/>
  <c r="BY65" i="1"/>
  <c r="BY71" i="1" s="1"/>
  <c r="BZ65" i="1"/>
  <c r="W65" i="1" s="1"/>
  <c r="CA65" i="1"/>
  <c r="CB65" i="1"/>
  <c r="CC65" i="1"/>
  <c r="CE65" i="1"/>
  <c r="CF65" i="1"/>
  <c r="CG65" i="1"/>
  <c r="CH65" i="1"/>
  <c r="CI65" i="1"/>
  <c r="CJ65" i="1"/>
  <c r="CK65" i="1"/>
  <c r="Z65" i="1" s="1"/>
  <c r="CM65" i="1"/>
  <c r="CN65" i="1"/>
  <c r="CO65" i="1"/>
  <c r="CS65" i="1"/>
  <c r="CT65" i="1"/>
  <c r="H66" i="1"/>
  <c r="I66" i="1"/>
  <c r="J66" i="1"/>
  <c r="K66" i="1"/>
  <c r="L66" i="1"/>
  <c r="Q66" i="1"/>
  <c r="V66" i="1"/>
  <c r="AD66" i="1"/>
  <c r="AE66" i="1"/>
  <c r="AF66" i="1"/>
  <c r="AG66" i="1"/>
  <c r="AH66" i="1"/>
  <c r="AI66" i="1"/>
  <c r="AJ66" i="1"/>
  <c r="AK66" i="1"/>
  <c r="AL66" i="1"/>
  <c r="AM66" i="1"/>
  <c r="AN66" i="1"/>
  <c r="AO66" i="1"/>
  <c r="AP66" i="1"/>
  <c r="AQ66" i="1"/>
  <c r="AR66" i="1"/>
  <c r="AS66" i="1"/>
  <c r="AT66" i="1"/>
  <c r="AU66" i="1"/>
  <c r="AV66" i="1"/>
  <c r="AW66" i="1"/>
  <c r="AY66" i="1"/>
  <c r="D66" i="1" s="1"/>
  <c r="AZ66" i="1"/>
  <c r="BA66" i="1"/>
  <c r="BB66" i="1"/>
  <c r="BC66" i="1"/>
  <c r="BD66" i="1"/>
  <c r="O66" i="1" s="1"/>
  <c r="BE66" i="1"/>
  <c r="BF66" i="1"/>
  <c r="BG66" i="1"/>
  <c r="BH66" i="1"/>
  <c r="BI66" i="1"/>
  <c r="BJ66" i="1"/>
  <c r="BK66" i="1"/>
  <c r="BL66" i="1"/>
  <c r="R66" i="1" s="1"/>
  <c r="BM66" i="1"/>
  <c r="BN66" i="1"/>
  <c r="S66" i="1" s="1"/>
  <c r="BO66" i="1"/>
  <c r="BP66" i="1"/>
  <c r="BQ66" i="1"/>
  <c r="T66" i="1" s="1"/>
  <c r="BR66" i="1"/>
  <c r="BS66" i="1"/>
  <c r="BT66" i="1"/>
  <c r="U66" i="1" s="1"/>
  <c r="BU66" i="1"/>
  <c r="BV66" i="1"/>
  <c r="BW66" i="1"/>
  <c r="F66" i="1" s="1"/>
  <c r="BX66" i="1"/>
  <c r="BY66" i="1"/>
  <c r="BZ66" i="1"/>
  <c r="W66" i="1" s="1"/>
  <c r="CA66" i="1"/>
  <c r="CB66" i="1"/>
  <c r="CC66" i="1"/>
  <c r="CD66" i="1"/>
  <c r="CE66" i="1"/>
  <c r="CF66" i="1"/>
  <c r="Y66" i="1" s="1"/>
  <c r="CG66" i="1"/>
  <c r="CH66" i="1"/>
  <c r="CI66" i="1"/>
  <c r="CJ66" i="1"/>
  <c r="Z66" i="1" s="1"/>
  <c r="CK66" i="1"/>
  <c r="CL66" i="1"/>
  <c r="AA66" i="1" s="1"/>
  <c r="CM66" i="1"/>
  <c r="CN66" i="1"/>
  <c r="CO66" i="1"/>
  <c r="AB66" i="1" s="1"/>
  <c r="CP66" i="1"/>
  <c r="CQ66" i="1"/>
  <c r="CR66" i="1"/>
  <c r="AC66" i="1" s="1"/>
  <c r="CS66" i="1"/>
  <c r="CT66" i="1"/>
  <c r="H67" i="1"/>
  <c r="I67" i="1"/>
  <c r="J67" i="1"/>
  <c r="K67" i="1"/>
  <c r="L67" i="1"/>
  <c r="R67" i="1"/>
  <c r="AD67" i="1"/>
  <c r="AE67" i="1"/>
  <c r="AF67" i="1"/>
  <c r="AG67" i="1"/>
  <c r="AH67" i="1"/>
  <c r="AI67" i="1"/>
  <c r="AJ67" i="1"/>
  <c r="AK67" i="1"/>
  <c r="AL67" i="1"/>
  <c r="AM67" i="1"/>
  <c r="AN67" i="1"/>
  <c r="AO67" i="1"/>
  <c r="AP67" i="1"/>
  <c r="AQ67" i="1"/>
  <c r="AR67" i="1"/>
  <c r="AS67" i="1"/>
  <c r="AT67" i="1"/>
  <c r="AU67" i="1"/>
  <c r="AV67" i="1"/>
  <c r="AW67" i="1"/>
  <c r="AY67" i="1"/>
  <c r="AZ67" i="1"/>
  <c r="BA67" i="1"/>
  <c r="N67" i="1" s="1"/>
  <c r="BB67" i="1"/>
  <c r="BC67" i="1"/>
  <c r="O67" i="1" s="1"/>
  <c r="D45" i="7" s="1"/>
  <c r="BD67" i="1"/>
  <c r="BE67" i="1"/>
  <c r="P67" i="1" s="1"/>
  <c r="BF67" i="1"/>
  <c r="BG67" i="1"/>
  <c r="BH67" i="1"/>
  <c r="BI67" i="1"/>
  <c r="Q67" i="1" s="1"/>
  <c r="F45" i="25" s="1"/>
  <c r="BJ67" i="1"/>
  <c r="BK67" i="1"/>
  <c r="E67" i="1" s="1"/>
  <c r="BL67" i="1"/>
  <c r="BM67" i="1"/>
  <c r="BN67" i="1"/>
  <c r="BO67" i="1"/>
  <c r="BP67" i="1"/>
  <c r="BQ67" i="1"/>
  <c r="T67" i="1" s="1"/>
  <c r="BR67" i="1"/>
  <c r="BS67" i="1"/>
  <c r="BT67" i="1"/>
  <c r="U67" i="1" s="1"/>
  <c r="BU67" i="1"/>
  <c r="BV67" i="1"/>
  <c r="BW67" i="1"/>
  <c r="F67" i="1" s="1"/>
  <c r="BX67" i="1"/>
  <c r="BY67" i="1"/>
  <c r="V67" i="1" s="1"/>
  <c r="BZ67" i="1"/>
  <c r="CA67" i="1"/>
  <c r="W67" i="1" s="1"/>
  <c r="L45" i="7" s="1"/>
  <c r="CB67" i="1"/>
  <c r="CC67" i="1"/>
  <c r="X67" i="1" s="1"/>
  <c r="CD67" i="1"/>
  <c r="CE67" i="1"/>
  <c r="CF67" i="1"/>
  <c r="CG67" i="1"/>
  <c r="Y67" i="1" s="1"/>
  <c r="N45" i="25" s="1"/>
  <c r="CH67" i="1"/>
  <c r="CI67" i="1"/>
  <c r="G67" i="1" s="1"/>
  <c r="CJ67" i="1"/>
  <c r="CK67" i="1"/>
  <c r="CL67" i="1"/>
  <c r="AA67" i="1" s="1"/>
  <c r="CM67" i="1"/>
  <c r="CN67" i="1"/>
  <c r="CO67" i="1"/>
  <c r="AB67" i="1" s="1"/>
  <c r="CP67" i="1"/>
  <c r="CQ67" i="1"/>
  <c r="CR67" i="1"/>
  <c r="AC67" i="1" s="1"/>
  <c r="CS67" i="1"/>
  <c r="CT67" i="1"/>
  <c r="AZ71" i="1"/>
  <c r="BA71" i="1"/>
  <c r="BC71" i="1"/>
  <c r="BD71" i="1"/>
  <c r="BG71" i="1"/>
  <c r="BI71" i="1"/>
  <c r="BJ71" i="1"/>
  <c r="BL71" i="1"/>
  <c r="BM71" i="1"/>
  <c r="BO71" i="1"/>
  <c r="BP71" i="1"/>
  <c r="BS71" i="1"/>
  <c r="BW71" i="1"/>
  <c r="V71" i="1" s="1"/>
  <c r="BX71" i="1"/>
  <c r="CA71" i="1"/>
  <c r="CB71" i="1"/>
  <c r="CE71" i="1"/>
  <c r="CF71" i="1"/>
  <c r="CG71" i="1"/>
  <c r="CI71" i="1"/>
  <c r="Z71" i="1" s="1"/>
  <c r="CJ71" i="1"/>
  <c r="CK71" i="1"/>
  <c r="CM71" i="1"/>
  <c r="CN71" i="1"/>
  <c r="BA74" i="1"/>
  <c r="BI74" i="1"/>
  <c r="BQ74" i="1"/>
  <c r="BY74" i="1"/>
  <c r="CG74" i="1"/>
  <c r="CU74" i="1"/>
  <c r="CV74" i="1"/>
  <c r="CW74" i="1"/>
  <c r="CX74" i="1"/>
  <c r="CY74" i="1"/>
  <c r="CZ74" i="1"/>
  <c r="DA74" i="1"/>
  <c r="DB74" i="1"/>
  <c r="DC74" i="1"/>
  <c r="DD74" i="1"/>
  <c r="DE74" i="1"/>
  <c r="DF74" i="1"/>
  <c r="DG74" i="1"/>
  <c r="DH74" i="1"/>
  <c r="DI74" i="1"/>
  <c r="DJ74" i="1"/>
  <c r="DK74" i="1"/>
  <c r="DL74" i="1"/>
  <c r="DM74" i="1"/>
  <c r="DN74" i="1"/>
  <c r="DO74" i="1"/>
  <c r="DP74" i="1"/>
  <c r="DQ74" i="1"/>
  <c r="DR74" i="1"/>
  <c r="DS74" i="1"/>
  <c r="DT74" i="1"/>
  <c r="DU74" i="1"/>
  <c r="DV74" i="1"/>
  <c r="DW74" i="1"/>
  <c r="DX74" i="1"/>
  <c r="DY74" i="1"/>
  <c r="DZ74" i="1"/>
  <c r="EA74" i="1"/>
  <c r="EB74" i="1"/>
  <c r="EC74" i="1"/>
  <c r="ED74" i="1"/>
  <c r="EE74" i="1"/>
  <c r="EF74" i="1"/>
  <c r="EG74" i="1"/>
  <c r="EH74" i="1"/>
  <c r="EI74" i="1"/>
  <c r="EJ74" i="1"/>
  <c r="EK74" i="1"/>
  <c r="EL74" i="1"/>
  <c r="EM74" i="1"/>
  <c r="EN74" i="1"/>
  <c r="EO74" i="1"/>
  <c r="EP74" i="1"/>
  <c r="EQ74" i="1"/>
  <c r="ER74" i="1"/>
  <c r="ES74" i="1"/>
  <c r="ET74" i="1"/>
  <c r="EU74" i="1"/>
  <c r="EV74" i="1"/>
  <c r="EW74" i="1"/>
  <c r="EX74" i="1"/>
  <c r="EY74" i="1"/>
  <c r="EZ74" i="1"/>
  <c r="FA74" i="1"/>
  <c r="FB74" i="1"/>
  <c r="CU75" i="1"/>
  <c r="CV75" i="1"/>
  <c r="CW75" i="1"/>
  <c r="CX75" i="1"/>
  <c r="CY75" i="1"/>
  <c r="CZ75" i="1"/>
  <c r="DA75" i="1"/>
  <c r="DB75" i="1"/>
  <c r="DC75" i="1"/>
  <c r="DD75" i="1"/>
  <c r="DE75" i="1"/>
  <c r="DF75" i="1"/>
  <c r="DG75" i="1"/>
  <c r="DH75" i="1"/>
  <c r="DI75" i="1"/>
  <c r="DJ75" i="1"/>
  <c r="DK75" i="1"/>
  <c r="DL75" i="1"/>
  <c r="DM75" i="1"/>
  <c r="DN75" i="1"/>
  <c r="DO75" i="1"/>
  <c r="DP75" i="1"/>
  <c r="DQ75" i="1"/>
  <c r="DR75" i="1"/>
  <c r="DS75" i="1"/>
  <c r="DT75" i="1"/>
  <c r="DU75" i="1"/>
  <c r="DV75" i="1"/>
  <c r="DW75" i="1"/>
  <c r="DX75" i="1"/>
  <c r="DY75" i="1"/>
  <c r="DZ75" i="1"/>
  <c r="EA75" i="1"/>
  <c r="EB75" i="1"/>
  <c r="EC75" i="1"/>
  <c r="ED75" i="1"/>
  <c r="EE75" i="1"/>
  <c r="EF75" i="1"/>
  <c r="EG75" i="1"/>
  <c r="EH75" i="1"/>
  <c r="EI75" i="1"/>
  <c r="EJ75" i="1"/>
  <c r="EK75" i="1"/>
  <c r="EL75" i="1"/>
  <c r="EM75" i="1"/>
  <c r="EN75" i="1"/>
  <c r="EO75" i="1"/>
  <c r="EP75" i="1"/>
  <c r="EQ75" i="1"/>
  <c r="ER75" i="1"/>
  <c r="ES75" i="1"/>
  <c r="ET75" i="1"/>
  <c r="EU75" i="1"/>
  <c r="EV75" i="1"/>
  <c r="EW75" i="1"/>
  <c r="EX75" i="1"/>
  <c r="EY75" i="1"/>
  <c r="EZ75" i="1"/>
  <c r="FA75" i="1"/>
  <c r="FB75" i="1"/>
  <c r="BD88" i="1"/>
  <c r="BE88" i="1"/>
  <c r="BM88" i="1"/>
  <c r="BT88" i="1"/>
  <c r="BU88" i="1"/>
  <c r="CB88" i="1"/>
  <c r="CJ88" i="1"/>
  <c r="CK88" i="1"/>
  <c r="BI91" i="1"/>
  <c r="BJ91" i="1"/>
  <c r="CG91" i="1"/>
  <c r="BC97" i="1"/>
  <c r="BD97" i="1"/>
  <c r="BE97" i="1"/>
  <c r="BK97" i="1"/>
  <c r="BM97" i="1"/>
  <c r="BT97" i="1"/>
  <c r="BU97" i="1"/>
  <c r="CA97" i="1"/>
  <c r="CB97" i="1"/>
  <c r="CJ97" i="1"/>
  <c r="CK97" i="1"/>
  <c r="BB98" i="1"/>
  <c r="BC98" i="1"/>
  <c r="BD98" i="1"/>
  <c r="BE98" i="1"/>
  <c r="BJ98" i="1"/>
  <c r="BK98" i="1"/>
  <c r="BL98" i="1"/>
  <c r="BM98" i="1"/>
  <c r="BR98" i="1"/>
  <c r="BT98" i="1"/>
  <c r="BU98" i="1"/>
  <c r="BZ98" i="1"/>
  <c r="CA98" i="1"/>
  <c r="CB98" i="1"/>
  <c r="CH98" i="1"/>
  <c r="CJ98" i="1"/>
  <c r="CK98" i="1"/>
  <c r="AY99" i="1"/>
  <c r="BI102" i="1"/>
  <c r="BJ102" i="1"/>
  <c r="CG102" i="1"/>
  <c r="D106" i="1"/>
  <c r="N106" i="1"/>
  <c r="H107" i="1"/>
  <c r="I107" i="1"/>
  <c r="J107" i="1"/>
  <c r="K107" i="1"/>
  <c r="L107" i="1"/>
  <c r="S107" i="1"/>
  <c r="AA107" i="1"/>
  <c r="AD107" i="1"/>
  <c r="AE107" i="1"/>
  <c r="AF107" i="1"/>
  <c r="AG107" i="1"/>
  <c r="AH107" i="1"/>
  <c r="AI107" i="1"/>
  <c r="AJ107" i="1"/>
  <c r="AK107" i="1"/>
  <c r="AL107" i="1"/>
  <c r="AM107" i="1"/>
  <c r="AN107" i="1"/>
  <c r="AO107" i="1"/>
  <c r="AP107" i="1"/>
  <c r="AQ107" i="1"/>
  <c r="AR107" i="1"/>
  <c r="AS107" i="1"/>
  <c r="AT107" i="1"/>
  <c r="AU107" i="1"/>
  <c r="AV107" i="1"/>
  <c r="AW107" i="1"/>
  <c r="O107" i="1"/>
  <c r="P107" i="1"/>
  <c r="Q107" i="1"/>
  <c r="E107" i="1"/>
  <c r="R107" i="1"/>
  <c r="T107" i="1"/>
  <c r="U107" i="1"/>
  <c r="W107" i="1"/>
  <c r="X107" i="1"/>
  <c r="Y107" i="1"/>
  <c r="G107" i="1"/>
  <c r="AB107" i="1"/>
  <c r="AC107" i="1"/>
  <c r="N108" i="1"/>
  <c r="U108" i="1"/>
  <c r="U112" i="1" s="1"/>
  <c r="V108" i="1"/>
  <c r="AC108" i="1"/>
  <c r="P108" i="1"/>
  <c r="Q108" i="1"/>
  <c r="BJ112" i="1"/>
  <c r="R108" i="1"/>
  <c r="S108" i="1"/>
  <c r="BR112" i="1"/>
  <c r="X108" i="1"/>
  <c r="Y108" i="1"/>
  <c r="CH112" i="1"/>
  <c r="AA108" i="1"/>
  <c r="D109" i="1"/>
  <c r="D99" i="1" s="1"/>
  <c r="R109" i="1"/>
  <c r="U109" i="1"/>
  <c r="Z109" i="1"/>
  <c r="AC109" i="1"/>
  <c r="N109" i="1"/>
  <c r="P109" i="1"/>
  <c r="E109" i="1"/>
  <c r="S109" i="1"/>
  <c r="V109" i="1"/>
  <c r="X109" i="1"/>
  <c r="G109" i="1"/>
  <c r="AA109" i="1"/>
  <c r="AY112" i="1"/>
  <c r="AZ112" i="1"/>
  <c r="BD112" i="1"/>
  <c r="BE112" i="1"/>
  <c r="BF112" i="1"/>
  <c r="BG112" i="1"/>
  <c r="BH112" i="1"/>
  <c r="BL112" i="1"/>
  <c r="BM112" i="1"/>
  <c r="BN112" i="1"/>
  <c r="BO112" i="1"/>
  <c r="BP112" i="1"/>
  <c r="BT112" i="1"/>
  <c r="BU112" i="1"/>
  <c r="BV112" i="1"/>
  <c r="BW112" i="1"/>
  <c r="BX112" i="1"/>
  <c r="CB112" i="1"/>
  <c r="CC112" i="1"/>
  <c r="CD112" i="1"/>
  <c r="CE112" i="1"/>
  <c r="CF112" i="1"/>
  <c r="CJ112" i="1"/>
  <c r="CK112" i="1"/>
  <c r="CL112" i="1"/>
  <c r="CM112" i="1"/>
  <c r="CN112" i="1"/>
  <c r="R114" i="1"/>
  <c r="BC114" i="1"/>
  <c r="BD114" i="1"/>
  <c r="BE114" i="1"/>
  <c r="BK114" i="1"/>
  <c r="BL114" i="1"/>
  <c r="BM114" i="1"/>
  <c r="BT114" i="1"/>
  <c r="BU114" i="1"/>
  <c r="CA114" i="1"/>
  <c r="CB114" i="1"/>
  <c r="CJ114" i="1"/>
  <c r="CK114" i="1"/>
  <c r="N119" i="1"/>
  <c r="P119" i="1"/>
  <c r="Q119" i="1"/>
  <c r="V119" i="1"/>
  <c r="X119" i="1"/>
  <c r="Y119" i="1"/>
  <c r="AY119" i="1"/>
  <c r="AZ119" i="1"/>
  <c r="BA119" i="1"/>
  <c r="BC119" i="1"/>
  <c r="BE119" i="1"/>
  <c r="BF119" i="1"/>
  <c r="BG119" i="1"/>
  <c r="BI119" i="1"/>
  <c r="BJ119" i="1"/>
  <c r="D119" i="1" s="1"/>
  <c r="BL119" i="1"/>
  <c r="BM119" i="1"/>
  <c r="R119" i="1" s="1"/>
  <c r="BN119" i="1"/>
  <c r="BO119" i="1"/>
  <c r="BP119" i="1"/>
  <c r="S119" i="1" s="1"/>
  <c r="BQ119" i="1"/>
  <c r="BR119" i="1"/>
  <c r="BS119" i="1"/>
  <c r="T119" i="1" s="1"/>
  <c r="BT119" i="1"/>
  <c r="BU119" i="1"/>
  <c r="BV119" i="1"/>
  <c r="BX119" i="1"/>
  <c r="BY119" i="1"/>
  <c r="CA119" i="1"/>
  <c r="CB119" i="1"/>
  <c r="W119" i="1" s="1"/>
  <c r="CC119" i="1"/>
  <c r="CD119" i="1"/>
  <c r="CE119" i="1"/>
  <c r="CG119" i="1"/>
  <c r="CH119" i="1"/>
  <c r="F119" i="1" s="1"/>
  <c r="CJ119" i="1"/>
  <c r="CK119" i="1"/>
  <c r="Z119" i="1" s="1"/>
  <c r="CL119" i="1"/>
  <c r="CM119" i="1"/>
  <c r="CN119" i="1"/>
  <c r="AA119" i="1" s="1"/>
  <c r="CO119" i="1"/>
  <c r="CP119" i="1"/>
  <c r="CQ119" i="1"/>
  <c r="AB119" i="1" s="1"/>
  <c r="CR119" i="1"/>
  <c r="CS119" i="1"/>
  <c r="CT119" i="1"/>
  <c r="G120" i="1"/>
  <c r="P120" i="1"/>
  <c r="U120" i="1"/>
  <c r="X120" i="1"/>
  <c r="AC120" i="1"/>
  <c r="AZ120" i="1"/>
  <c r="BA120" i="1"/>
  <c r="N120" i="1" s="1"/>
  <c r="BB120" i="1"/>
  <c r="BC120" i="1"/>
  <c r="BD120" i="1"/>
  <c r="O120" i="1" s="1"/>
  <c r="BE120" i="1"/>
  <c r="BF120" i="1"/>
  <c r="BG120" i="1"/>
  <c r="BI120" i="1"/>
  <c r="BJ120" i="1"/>
  <c r="Q120" i="1" s="1"/>
  <c r="BK120" i="1"/>
  <c r="BL120" i="1"/>
  <c r="BN120" i="1"/>
  <c r="BO120" i="1"/>
  <c r="BP120" i="1"/>
  <c r="S120" i="1" s="1"/>
  <c r="BQ120" i="1"/>
  <c r="BR120" i="1"/>
  <c r="BS120" i="1"/>
  <c r="T120" i="1" s="1"/>
  <c r="BU120" i="1"/>
  <c r="BV120" i="1"/>
  <c r="E120" i="1" s="1"/>
  <c r="BX120" i="1"/>
  <c r="BY120" i="1"/>
  <c r="V120" i="1" s="1"/>
  <c r="BZ120" i="1"/>
  <c r="CA120" i="1"/>
  <c r="CB120" i="1"/>
  <c r="W120" i="1" s="1"/>
  <c r="CC120" i="1"/>
  <c r="CD120" i="1"/>
  <c r="CE120" i="1"/>
  <c r="CG120" i="1"/>
  <c r="CH120" i="1"/>
  <c r="Y120" i="1" s="1"/>
  <c r="CI120" i="1"/>
  <c r="CJ120" i="1"/>
  <c r="CL120" i="1"/>
  <c r="CM120" i="1"/>
  <c r="CN120" i="1"/>
  <c r="AA120" i="1" s="1"/>
  <c r="CO120" i="1"/>
  <c r="CP120" i="1"/>
  <c r="CQ120" i="1"/>
  <c r="AB120" i="1" s="1"/>
  <c r="CS120" i="1"/>
  <c r="CT120" i="1"/>
  <c r="F121" i="1"/>
  <c r="O121" i="1"/>
  <c r="P121" i="1"/>
  <c r="T121" i="1"/>
  <c r="X121" i="1"/>
  <c r="AB121" i="1"/>
  <c r="AY121" i="1"/>
  <c r="AZ121" i="1"/>
  <c r="BA121" i="1"/>
  <c r="N121" i="1" s="1"/>
  <c r="BB121" i="1"/>
  <c r="BC121" i="1"/>
  <c r="BD121" i="1"/>
  <c r="BE121" i="1"/>
  <c r="BF121" i="1"/>
  <c r="BG121" i="1"/>
  <c r="BH121" i="1"/>
  <c r="BI121" i="1"/>
  <c r="BJ121" i="1"/>
  <c r="Q121" i="1" s="1"/>
  <c r="BL121" i="1"/>
  <c r="BM121" i="1"/>
  <c r="R121" i="1" s="1"/>
  <c r="BO121" i="1"/>
  <c r="BP121" i="1"/>
  <c r="S121" i="1" s="1"/>
  <c r="BQ121" i="1"/>
  <c r="BR121" i="1"/>
  <c r="BS121" i="1"/>
  <c r="BT121" i="1"/>
  <c r="BU121" i="1"/>
  <c r="BW121" i="1"/>
  <c r="BX121" i="1"/>
  <c r="BY121" i="1"/>
  <c r="V121" i="1" s="1"/>
  <c r="BZ121" i="1"/>
  <c r="CA121" i="1"/>
  <c r="CB121" i="1"/>
  <c r="W121" i="1" s="1"/>
  <c r="CC121" i="1"/>
  <c r="CD121" i="1"/>
  <c r="CE121" i="1"/>
  <c r="CF121" i="1"/>
  <c r="CG121" i="1"/>
  <c r="CH121" i="1"/>
  <c r="Y121" i="1" s="1"/>
  <c r="CJ121" i="1"/>
  <c r="CK121" i="1"/>
  <c r="Z121" i="1" s="1"/>
  <c r="CM121" i="1"/>
  <c r="CN121" i="1"/>
  <c r="AA121" i="1" s="1"/>
  <c r="CO121" i="1"/>
  <c r="CP121" i="1"/>
  <c r="CQ121" i="1"/>
  <c r="CR121" i="1"/>
  <c r="CS121" i="1"/>
  <c r="E122" i="1"/>
  <c r="N122" i="1"/>
  <c r="U122" i="1"/>
  <c r="V122" i="1"/>
  <c r="AC122" i="1"/>
  <c r="AY122" i="1"/>
  <c r="AZ122" i="1"/>
  <c r="BA122" i="1"/>
  <c r="BB122" i="1"/>
  <c r="BC122" i="1"/>
  <c r="BD122" i="1"/>
  <c r="O122" i="1" s="1"/>
  <c r="BF122" i="1"/>
  <c r="BG122" i="1"/>
  <c r="P122" i="1" s="1"/>
  <c r="BH122" i="1"/>
  <c r="BI122" i="1"/>
  <c r="BJ122" i="1"/>
  <c r="Q122" i="1" s="1"/>
  <c r="BL122" i="1"/>
  <c r="BM122" i="1"/>
  <c r="R122" i="1" s="1"/>
  <c r="BN122" i="1"/>
  <c r="BO122" i="1"/>
  <c r="BP122" i="1"/>
  <c r="S122" i="1" s="1"/>
  <c r="BQ122" i="1"/>
  <c r="BR122" i="1"/>
  <c r="BS122" i="1"/>
  <c r="T122" i="1" s="1"/>
  <c r="BT122" i="1"/>
  <c r="BU122" i="1"/>
  <c r="BV122" i="1"/>
  <c r="BW122" i="1"/>
  <c r="BX122" i="1"/>
  <c r="BY122" i="1"/>
  <c r="BZ122" i="1"/>
  <c r="CA122" i="1"/>
  <c r="CB122" i="1"/>
  <c r="W122" i="1" s="1"/>
  <c r="CD122" i="1"/>
  <c r="CE122" i="1"/>
  <c r="X122" i="1" s="1"/>
  <c r="CF122" i="1"/>
  <c r="CG122" i="1"/>
  <c r="CH122" i="1"/>
  <c r="F122" i="1" s="1"/>
  <c r="CJ122" i="1"/>
  <c r="CK122" i="1"/>
  <c r="Z122" i="1" s="1"/>
  <c r="CL122" i="1"/>
  <c r="CM122" i="1"/>
  <c r="CN122" i="1"/>
  <c r="AA122" i="1" s="1"/>
  <c r="CO122" i="1"/>
  <c r="CP122" i="1"/>
  <c r="CQ122" i="1"/>
  <c r="AB122" i="1" s="1"/>
  <c r="CR122" i="1"/>
  <c r="CS122" i="1"/>
  <c r="CT122" i="1"/>
  <c r="G122" i="1" s="1"/>
  <c r="D123" i="1"/>
  <c r="E123" i="1"/>
  <c r="R123" i="1"/>
  <c r="T123" i="1"/>
  <c r="U123" i="1"/>
  <c r="Z123" i="1"/>
  <c r="AB123" i="1"/>
  <c r="AC123" i="1"/>
  <c r="AY123" i="1"/>
  <c r="BA123" i="1"/>
  <c r="N123" i="1" s="1"/>
  <c r="BB123" i="1"/>
  <c r="BC123" i="1"/>
  <c r="BD123" i="1"/>
  <c r="O123" i="1" s="1"/>
  <c r="BE123" i="1"/>
  <c r="BF123" i="1"/>
  <c r="BG123" i="1"/>
  <c r="P123" i="1" s="1"/>
  <c r="BI123" i="1"/>
  <c r="BJ123" i="1"/>
  <c r="Q123" i="1" s="1"/>
  <c r="BK123" i="1"/>
  <c r="BL123" i="1"/>
  <c r="BM123" i="1"/>
  <c r="BN123" i="1"/>
  <c r="BO123" i="1"/>
  <c r="BQ123" i="1"/>
  <c r="BR123" i="1"/>
  <c r="BS123" i="1"/>
  <c r="BT123" i="1"/>
  <c r="BU123" i="1"/>
  <c r="BV123" i="1"/>
  <c r="BW123" i="1"/>
  <c r="BY123" i="1"/>
  <c r="V123" i="1" s="1"/>
  <c r="BZ123" i="1"/>
  <c r="CA123" i="1"/>
  <c r="CB123" i="1"/>
  <c r="W123" i="1" s="1"/>
  <c r="CC123" i="1"/>
  <c r="CD123" i="1"/>
  <c r="CE123" i="1"/>
  <c r="X123" i="1" s="1"/>
  <c r="CG123" i="1"/>
  <c r="CH123" i="1"/>
  <c r="CI123" i="1"/>
  <c r="CJ123" i="1"/>
  <c r="CK123" i="1"/>
  <c r="CL123" i="1"/>
  <c r="CM123" i="1"/>
  <c r="CO123" i="1"/>
  <c r="CP123" i="1"/>
  <c r="CQ123" i="1"/>
  <c r="CR123" i="1"/>
  <c r="CS123" i="1"/>
  <c r="CT123" i="1"/>
  <c r="G123" i="1" s="1"/>
  <c r="Q124" i="1"/>
  <c r="T124" i="1"/>
  <c r="Y124" i="1"/>
  <c r="AB124" i="1"/>
  <c r="AY124" i="1"/>
  <c r="AZ124" i="1"/>
  <c r="BA124" i="1"/>
  <c r="N124" i="1" s="1"/>
  <c r="BB124" i="1"/>
  <c r="BC124" i="1"/>
  <c r="BD124" i="1"/>
  <c r="O124" i="1" s="1"/>
  <c r="BE124" i="1"/>
  <c r="BF124" i="1"/>
  <c r="BG124" i="1"/>
  <c r="P124" i="1" s="1"/>
  <c r="BH124" i="1"/>
  <c r="BI124" i="1"/>
  <c r="BJ124" i="1"/>
  <c r="D124" i="1" s="1"/>
  <c r="BK124" i="1"/>
  <c r="BL124" i="1"/>
  <c r="BM124" i="1"/>
  <c r="R124" i="1" s="1"/>
  <c r="BN124" i="1"/>
  <c r="BO124" i="1"/>
  <c r="BP124" i="1"/>
  <c r="S124" i="1" s="1"/>
  <c r="BQ124" i="1"/>
  <c r="BR124" i="1"/>
  <c r="BS124" i="1"/>
  <c r="BT124" i="1"/>
  <c r="BU124" i="1"/>
  <c r="BV124" i="1"/>
  <c r="U124" i="1" s="1"/>
  <c r="BW124" i="1"/>
  <c r="BX124" i="1"/>
  <c r="BY124" i="1"/>
  <c r="V124" i="1" s="1"/>
  <c r="BZ124" i="1"/>
  <c r="CA124" i="1"/>
  <c r="CB124" i="1"/>
  <c r="W124" i="1" s="1"/>
  <c r="CC124" i="1"/>
  <c r="CD124" i="1"/>
  <c r="CE124" i="1"/>
  <c r="X124" i="1" s="1"/>
  <c r="CF124" i="1"/>
  <c r="CG124" i="1"/>
  <c r="CH124" i="1"/>
  <c r="F124" i="1" s="1"/>
  <c r="CI124" i="1"/>
  <c r="CJ124" i="1"/>
  <c r="CK124" i="1"/>
  <c r="Z124" i="1" s="1"/>
  <c r="CL124" i="1"/>
  <c r="CM124" i="1"/>
  <c r="CN124" i="1"/>
  <c r="AA124" i="1" s="1"/>
  <c r="CO124" i="1"/>
  <c r="CP124" i="1"/>
  <c r="CQ124" i="1"/>
  <c r="CR124" i="1"/>
  <c r="CS124" i="1"/>
  <c r="CT124" i="1"/>
  <c r="AC124" i="1" s="1"/>
  <c r="P125" i="1"/>
  <c r="S125" i="1"/>
  <c r="T125" i="1"/>
  <c r="AB125" i="1"/>
  <c r="AY125" i="1"/>
  <c r="AZ125" i="1"/>
  <c r="BA125" i="1"/>
  <c r="N125" i="1" s="1"/>
  <c r="BB125" i="1"/>
  <c r="BC125" i="1"/>
  <c r="BD125" i="1"/>
  <c r="O125" i="1" s="1"/>
  <c r="BE125" i="1"/>
  <c r="BF125" i="1"/>
  <c r="BG125" i="1"/>
  <c r="BH125" i="1"/>
  <c r="BI125" i="1"/>
  <c r="BJ125" i="1"/>
  <c r="D125" i="1" s="1"/>
  <c r="BK125" i="1"/>
  <c r="BL125" i="1"/>
  <c r="BM125" i="1"/>
  <c r="R125" i="1" s="1"/>
  <c r="BO125" i="1"/>
  <c r="BP125" i="1"/>
  <c r="BQ125" i="1"/>
  <c r="BR125" i="1"/>
  <c r="BS125" i="1"/>
  <c r="BT125" i="1"/>
  <c r="BU125" i="1"/>
  <c r="BW125" i="1"/>
  <c r="BX125" i="1"/>
  <c r="BY125" i="1"/>
  <c r="V125" i="1" s="1"/>
  <c r="BZ125" i="1"/>
  <c r="CA125" i="1"/>
  <c r="CB125" i="1"/>
  <c r="W125" i="1" s="1"/>
  <c r="CC125" i="1"/>
  <c r="CD125" i="1"/>
  <c r="CF125" i="1"/>
  <c r="CG125" i="1"/>
  <c r="CH125" i="1"/>
  <c r="F125" i="1" s="1"/>
  <c r="CI125" i="1"/>
  <c r="CJ125" i="1"/>
  <c r="CK125" i="1"/>
  <c r="Z125" i="1" s="1"/>
  <c r="CM125" i="1"/>
  <c r="CN125" i="1"/>
  <c r="AA125" i="1" s="1"/>
  <c r="CO125" i="1"/>
  <c r="CP125" i="1"/>
  <c r="CQ125" i="1"/>
  <c r="CR125" i="1"/>
  <c r="CS125" i="1"/>
  <c r="F126" i="1"/>
  <c r="Q126" i="1"/>
  <c r="Y126" i="1"/>
  <c r="Z126" i="1"/>
  <c r="AY126" i="1"/>
  <c r="AZ126" i="1"/>
  <c r="BB126" i="1"/>
  <c r="BC126" i="1"/>
  <c r="BD126" i="1"/>
  <c r="O126" i="1" s="1"/>
  <c r="BE126" i="1"/>
  <c r="BF126" i="1"/>
  <c r="BH126" i="1"/>
  <c r="BJ126" i="1"/>
  <c r="D126" i="1" s="1"/>
  <c r="BK126" i="1"/>
  <c r="BN126" i="1"/>
  <c r="BO126" i="1"/>
  <c r="BP126" i="1"/>
  <c r="S126" i="1" s="1"/>
  <c r="BQ126" i="1"/>
  <c r="BR126" i="1"/>
  <c r="BS126" i="1"/>
  <c r="T126" i="1" s="1"/>
  <c r="BU126" i="1"/>
  <c r="BV126" i="1"/>
  <c r="U126" i="1" s="1"/>
  <c r="BW126" i="1"/>
  <c r="BX126" i="1"/>
  <c r="BZ126" i="1"/>
  <c r="CA126" i="1"/>
  <c r="CC126" i="1"/>
  <c r="CD126" i="1"/>
  <c r="CF126" i="1"/>
  <c r="CH126" i="1"/>
  <c r="CI126" i="1"/>
  <c r="CK126" i="1"/>
  <c r="CL126" i="1"/>
  <c r="CM126" i="1"/>
  <c r="CN126" i="1"/>
  <c r="AA126" i="1" s="1"/>
  <c r="CO126" i="1"/>
  <c r="CP126" i="1"/>
  <c r="CQ126" i="1"/>
  <c r="AB126" i="1" s="1"/>
  <c r="CS126" i="1"/>
  <c r="CT126" i="1"/>
  <c r="AC126" i="1" s="1"/>
  <c r="BC127" i="1"/>
  <c r="BJ127" i="1"/>
  <c r="BO127" i="1"/>
  <c r="BR127" i="1"/>
  <c r="BS127" i="1"/>
  <c r="CH127" i="1"/>
  <c r="CP127" i="1"/>
  <c r="CQ127" i="1"/>
  <c r="AH6" i="7"/>
  <c r="AI6" i="7"/>
  <c r="AK6" i="7"/>
  <c r="N7" i="7"/>
  <c r="BL7" i="7"/>
  <c r="CH7" i="7"/>
  <c r="CI7" i="7"/>
  <c r="CJ7" i="7"/>
  <c r="N8" i="7"/>
  <c r="BL8" i="7"/>
  <c r="CH8" i="7"/>
  <c r="CI8" i="7"/>
  <c r="CJ8" i="7"/>
  <c r="CK8" i="7"/>
  <c r="X9" i="7"/>
  <c r="Z9" i="7"/>
  <c r="AA9" i="7"/>
  <c r="CH9" i="7"/>
  <c r="CI9" i="7"/>
  <c r="CJ9" i="7"/>
  <c r="BY16" i="7" s="1"/>
  <c r="BZ10" i="7"/>
  <c r="CH10" i="7"/>
  <c r="CI10" i="7"/>
  <c r="CJ10" i="7"/>
  <c r="DD10" i="7"/>
  <c r="ES10" i="7"/>
  <c r="CI11" i="7"/>
  <c r="CJ11" i="7"/>
  <c r="CK11" i="7"/>
  <c r="CH12" i="7"/>
  <c r="CI12" i="7"/>
  <c r="CJ12" i="7"/>
  <c r="BY13" i="7"/>
  <c r="BZ13" i="7"/>
  <c r="CH13" i="7"/>
  <c r="CI13" i="7"/>
  <c r="CI39" i="7" s="1"/>
  <c r="CJ13" i="7"/>
  <c r="DD13" i="7"/>
  <c r="CH14" i="7"/>
  <c r="CH39" i="7" s="1"/>
  <c r="CI14" i="7"/>
  <c r="CJ14" i="7"/>
  <c r="CK14" i="7"/>
  <c r="CJ15" i="7"/>
  <c r="HI15" i="7"/>
  <c r="HJ15" i="7"/>
  <c r="BW16" i="7"/>
  <c r="BX16" i="7"/>
  <c r="EG18" i="7"/>
  <c r="EH18" i="7"/>
  <c r="EI18" i="7"/>
  <c r="EG19" i="7"/>
  <c r="EQ20" i="7"/>
  <c r="ER20" i="7"/>
  <c r="ES20" i="7"/>
  <c r="EQ21" i="7"/>
  <c r="BM23" i="7"/>
  <c r="EH23" i="7"/>
  <c r="EI23" i="7"/>
  <c r="EJ23" i="7"/>
  <c r="EG24" i="7"/>
  <c r="EJ24" i="7"/>
  <c r="HI24" i="7"/>
  <c r="HJ24" i="7"/>
  <c r="HN24" i="7"/>
  <c r="EQ25" i="7"/>
  <c r="ER25" i="7"/>
  <c r="ES25" i="7"/>
  <c r="ET25" i="7"/>
  <c r="EG26" i="7"/>
  <c r="ER26" i="7"/>
  <c r="ES28" i="7"/>
  <c r="HI34" i="7"/>
  <c r="HJ34" i="7"/>
  <c r="CH37" i="7"/>
  <c r="CJ37" i="7"/>
  <c r="CI38" i="7"/>
  <c r="CJ38" i="7"/>
  <c r="CJ39" i="7"/>
  <c r="CJ40" i="7"/>
  <c r="F45" i="7"/>
  <c r="G45" i="7"/>
  <c r="I45" i="7"/>
  <c r="N45" i="7"/>
  <c r="P45" i="7"/>
  <c r="Q45" i="7"/>
  <c r="S45" i="7"/>
  <c r="T45" i="7"/>
  <c r="U45" i="7"/>
  <c r="V45" i="7"/>
  <c r="W45" i="7"/>
  <c r="X45" i="7"/>
  <c r="Y45" i="7"/>
  <c r="Z45" i="7"/>
  <c r="AA45" i="7"/>
  <c r="AB45" i="7"/>
  <c r="AC45" i="7"/>
  <c r="AD45" i="7"/>
  <c r="AE45" i="7"/>
  <c r="AF45" i="7"/>
  <c r="AG45" i="7"/>
  <c r="AK6" i="25"/>
  <c r="BX10" i="25"/>
  <c r="BY10" i="25"/>
  <c r="CJ10" i="25"/>
  <c r="CH11" i="25"/>
  <c r="CI11" i="25"/>
  <c r="CK11" i="25"/>
  <c r="AH12" i="25"/>
  <c r="CH12" i="25"/>
  <c r="CH38" i="25" s="1"/>
  <c r="CJ12" i="25"/>
  <c r="BW13" i="25"/>
  <c r="CH13" i="25"/>
  <c r="CH14" i="25"/>
  <c r="CI14" i="25"/>
  <c r="CK14" i="25"/>
  <c r="GY15" i="25"/>
  <c r="GZ15" i="25"/>
  <c r="HA15" i="25"/>
  <c r="HB15" i="25"/>
  <c r="HC15" i="25"/>
  <c r="HD15" i="25"/>
  <c r="HE15" i="25"/>
  <c r="HF15" i="25"/>
  <c r="EG18" i="25"/>
  <c r="EI18" i="25"/>
  <c r="EH19" i="25"/>
  <c r="EQ20" i="25"/>
  <c r="EQ21" i="25"/>
  <c r="EG23" i="25"/>
  <c r="EH23" i="25"/>
  <c r="EJ23" i="25"/>
  <c r="GY24" i="25"/>
  <c r="GZ24" i="25"/>
  <c r="HA24" i="25"/>
  <c r="HB24" i="25"/>
  <c r="HC24" i="25"/>
  <c r="HD24" i="25"/>
  <c r="HE24" i="25"/>
  <c r="HF24" i="25"/>
  <c r="EQ25" i="25"/>
  <c r="ER25" i="25"/>
  <c r="ET25" i="25"/>
  <c r="EU31" i="25"/>
  <c r="EV31" i="25"/>
  <c r="EW31" i="25"/>
  <c r="GY34" i="25"/>
  <c r="GZ34" i="25"/>
  <c r="HA34" i="25"/>
  <c r="HB34" i="25"/>
  <c r="HC34" i="25"/>
  <c r="HD34" i="25"/>
  <c r="HE34" i="25"/>
  <c r="HF34" i="25"/>
  <c r="CH39" i="25"/>
  <c r="D45" i="25"/>
  <c r="G45" i="25"/>
  <c r="I45" i="25"/>
  <c r="L45" i="25"/>
  <c r="P45" i="25"/>
  <c r="Q45" i="25"/>
  <c r="S45" i="25"/>
  <c r="T45" i="25"/>
  <c r="U45" i="25"/>
  <c r="V45" i="25"/>
  <c r="W45" i="25"/>
  <c r="X45" i="25"/>
  <c r="Y45" i="25"/>
  <c r="Z45" i="25"/>
  <c r="AA45" i="25"/>
  <c r="AB45" i="25"/>
  <c r="AC45" i="25"/>
  <c r="AD45" i="25"/>
  <c r="AE45" i="25"/>
  <c r="AF45" i="25"/>
  <c r="AG45" i="25"/>
  <c r="D2" i="30"/>
  <c r="A3" i="30"/>
  <c r="D3" i="30"/>
  <c r="A4" i="30"/>
  <c r="A5" i="30" s="1"/>
  <c r="D4" i="30"/>
  <c r="D5" i="30"/>
  <c r="D6" i="30"/>
  <c r="D7" i="30"/>
  <c r="D8" i="30"/>
  <c r="D9" i="30"/>
  <c r="D10" i="30"/>
  <c r="D11" i="30"/>
  <c r="D12" i="30"/>
  <c r="D13" i="30"/>
  <c r="R2" i="29"/>
  <c r="S2" i="29" s="1"/>
  <c r="T2" i="29" s="1"/>
  <c r="U2" i="29" s="1"/>
  <c r="D9" i="29"/>
  <c r="N9" i="29"/>
  <c r="AY10" i="29"/>
  <c r="D10" i="29" s="1"/>
  <c r="AZ10" i="29"/>
  <c r="BA10" i="29"/>
  <c r="BB10" i="29"/>
  <c r="BC10" i="29"/>
  <c r="BD10" i="29"/>
  <c r="O10" i="29" s="1"/>
  <c r="BE10" i="29"/>
  <c r="P10" i="29" s="1"/>
  <c r="BF10" i="29"/>
  <c r="BG10" i="29"/>
  <c r="BH10" i="29"/>
  <c r="Q10" i="29" s="1"/>
  <c r="BI10" i="29"/>
  <c r="BJ10" i="29"/>
  <c r="BK10" i="29"/>
  <c r="E10" i="29" s="1"/>
  <c r="BL10" i="29"/>
  <c r="R10" i="29" s="1"/>
  <c r="BM10" i="29"/>
  <c r="BN10" i="29"/>
  <c r="S10" i="29" s="1"/>
  <c r="BO10" i="29"/>
  <c r="BP10" i="29"/>
  <c r="BQ10" i="29"/>
  <c r="T10" i="29" s="1"/>
  <c r="BR10" i="29"/>
  <c r="BS10" i="29"/>
  <c r="BT10" i="29"/>
  <c r="U10" i="29" s="1"/>
  <c r="BU10" i="29"/>
  <c r="BV10" i="29"/>
  <c r="BW10" i="29"/>
  <c r="V10" i="29" s="1"/>
  <c r="BX10" i="29"/>
  <c r="BY10" i="29"/>
  <c r="BZ10" i="29"/>
  <c r="CA10" i="29"/>
  <c r="CB10" i="29"/>
  <c r="F10" i="29" s="1"/>
  <c r="CC10" i="29"/>
  <c r="X10" i="29" s="1"/>
  <c r="CD10" i="29"/>
  <c r="CE10" i="29"/>
  <c r="CF10" i="29"/>
  <c r="Y10" i="29" s="1"/>
  <c r="CG10" i="29"/>
  <c r="CH10" i="29"/>
  <c r="CI10" i="29"/>
  <c r="CJ10" i="29"/>
  <c r="Z10" i="29" s="1"/>
  <c r="CK10" i="29"/>
  <c r="CL10" i="29"/>
  <c r="AA10" i="29" s="1"/>
  <c r="CM10" i="29"/>
  <c r="CN10" i="29"/>
  <c r="CO10" i="29"/>
  <c r="AB10" i="29" s="1"/>
  <c r="CP10" i="29"/>
  <c r="CQ10" i="29"/>
  <c r="CR10" i="29"/>
  <c r="AC10" i="29" s="1"/>
  <c r="CS10" i="29"/>
  <c r="CT10" i="29"/>
  <c r="D12" i="29"/>
  <c r="BD12" i="29" s="1"/>
  <c r="BB12" i="29"/>
  <c r="BJ12" i="29"/>
  <c r="D16" i="29"/>
  <c r="N16" i="29"/>
  <c r="U17" i="29"/>
  <c r="AC17" i="29"/>
  <c r="AY17" i="29"/>
  <c r="D17" i="29" s="1"/>
  <c r="AZ17" i="29"/>
  <c r="BA17" i="29"/>
  <c r="BB17" i="29"/>
  <c r="O17" i="29" s="1"/>
  <c r="BC17" i="29"/>
  <c r="BD17" i="29"/>
  <c r="BE17" i="29"/>
  <c r="P17" i="29" s="1"/>
  <c r="BF17" i="29"/>
  <c r="BG17" i="29"/>
  <c r="BH17" i="29"/>
  <c r="Q17" i="29" s="1"/>
  <c r="BI17" i="29"/>
  <c r="BJ17" i="29"/>
  <c r="BK17" i="29"/>
  <c r="R17" i="29" s="1"/>
  <c r="BL17" i="29"/>
  <c r="BM17" i="29"/>
  <c r="BN17" i="29"/>
  <c r="S17" i="29" s="1"/>
  <c r="BO17" i="29"/>
  <c r="BP17" i="29"/>
  <c r="BQ17" i="29"/>
  <c r="T17" i="29" s="1"/>
  <c r="BR17" i="29"/>
  <c r="BS17" i="29"/>
  <c r="BT17" i="29"/>
  <c r="BU17" i="29"/>
  <c r="BV17" i="29"/>
  <c r="BW17" i="29"/>
  <c r="V17" i="29" s="1"/>
  <c r="BX17" i="29"/>
  <c r="BY17" i="29"/>
  <c r="BZ17" i="29"/>
  <c r="W17" i="29" s="1"/>
  <c r="CA17" i="29"/>
  <c r="CB17" i="29"/>
  <c r="CC17" i="29"/>
  <c r="X17" i="29" s="1"/>
  <c r="CD17" i="29"/>
  <c r="CE17" i="29"/>
  <c r="CF17" i="29"/>
  <c r="Y17" i="29" s="1"/>
  <c r="CG17" i="29"/>
  <c r="CH17" i="29"/>
  <c r="CI17" i="29"/>
  <c r="G17" i="29" s="1"/>
  <c r="CJ17" i="29"/>
  <c r="CK17" i="29"/>
  <c r="CL17" i="29"/>
  <c r="AA17" i="29" s="1"/>
  <c r="CM17" i="29"/>
  <c r="CN17" i="29"/>
  <c r="CO17" i="29"/>
  <c r="AB17" i="29" s="1"/>
  <c r="CP17" i="29"/>
  <c r="CQ17" i="29"/>
  <c r="CR17" i="29"/>
  <c r="CS17" i="29"/>
  <c r="CT17" i="29"/>
  <c r="D19" i="29"/>
  <c r="AY19" i="29"/>
  <c r="N19" i="29" s="1"/>
  <c r="AZ19" i="29"/>
  <c r="BA19" i="29"/>
  <c r="BB19" i="29"/>
  <c r="O19" i="29" s="1"/>
  <c r="BC19" i="29"/>
  <c r="BD19" i="29"/>
  <c r="BE19" i="29"/>
  <c r="BF19" i="29"/>
  <c r="BG19" i="29"/>
  <c r="BH19" i="29"/>
  <c r="BI19" i="29"/>
  <c r="BJ19" i="29"/>
  <c r="D23" i="29"/>
  <c r="N23" i="29"/>
  <c r="AY24" i="29"/>
  <c r="D24" i="29" s="1"/>
  <c r="AZ24" i="29"/>
  <c r="BA24" i="29"/>
  <c r="BB24" i="29"/>
  <c r="O24" i="29" s="1"/>
  <c r="BC24" i="29"/>
  <c r="BD24" i="29"/>
  <c r="BE24" i="29"/>
  <c r="P24" i="29" s="1"/>
  <c r="BF24" i="29"/>
  <c r="BG24" i="29"/>
  <c r="BH24" i="29"/>
  <c r="BI24" i="29"/>
  <c r="Q24" i="29" s="1"/>
  <c r="BJ24" i="29"/>
  <c r="BK24" i="29"/>
  <c r="E24" i="29" s="1"/>
  <c r="BL24" i="29"/>
  <c r="BM24" i="29"/>
  <c r="BN24" i="29"/>
  <c r="S24" i="29" s="1"/>
  <c r="BO24" i="29"/>
  <c r="BP24" i="29"/>
  <c r="BQ24" i="29"/>
  <c r="T24" i="29" s="1"/>
  <c r="BR24" i="29"/>
  <c r="BS24" i="29"/>
  <c r="BT24" i="29"/>
  <c r="BU24" i="29"/>
  <c r="U24" i="29" s="1"/>
  <c r="BV24" i="29"/>
  <c r="BW24" i="29"/>
  <c r="V24" i="29" s="1"/>
  <c r="BX24" i="29"/>
  <c r="BY24" i="29"/>
  <c r="BZ24" i="29"/>
  <c r="W24" i="29" s="1"/>
  <c r="CA24" i="29"/>
  <c r="CB24" i="29"/>
  <c r="CC24" i="29"/>
  <c r="X24" i="29" s="1"/>
  <c r="CD24" i="29"/>
  <c r="CE24" i="29"/>
  <c r="CF24" i="29"/>
  <c r="CG24" i="29"/>
  <c r="Y24" i="29" s="1"/>
  <c r="CH24" i="29"/>
  <c r="CI24" i="29"/>
  <c r="G24" i="29" s="1"/>
  <c r="CJ24" i="29"/>
  <c r="CK24" i="29"/>
  <c r="CL24" i="29"/>
  <c r="AA24" i="29" s="1"/>
  <c r="CM24" i="29"/>
  <c r="CN24" i="29"/>
  <c r="CO24" i="29"/>
  <c r="AB24" i="29" s="1"/>
  <c r="CP24" i="29"/>
  <c r="CQ24" i="29"/>
  <c r="CR24" i="29"/>
  <c r="CS24" i="29"/>
  <c r="AC24" i="29" s="1"/>
  <c r="CT24" i="29"/>
  <c r="D26" i="29"/>
  <c r="AY26" i="29"/>
  <c r="AZ26" i="29"/>
  <c r="BA26" i="29"/>
  <c r="BB26" i="29"/>
  <c r="O26" i="29" s="1"/>
  <c r="BC26" i="29"/>
  <c r="BD26" i="29"/>
  <c r="BE26" i="29"/>
  <c r="BF26" i="29"/>
  <c r="BG26" i="29"/>
  <c r="BH26" i="29"/>
  <c r="BI26" i="29"/>
  <c r="BJ26" i="29"/>
  <c r="AY30" i="29"/>
  <c r="N30" i="29" s="1"/>
  <c r="U31" i="29"/>
  <c r="AY31" i="29"/>
  <c r="D31" i="29" s="1"/>
  <c r="AZ31" i="29"/>
  <c r="BA31" i="29"/>
  <c r="BB31" i="29"/>
  <c r="O31" i="29" s="1"/>
  <c r="BC31" i="29"/>
  <c r="BD31" i="29"/>
  <c r="BE31" i="29"/>
  <c r="P31" i="29" s="1"/>
  <c r="BF31" i="29"/>
  <c r="BG31" i="29"/>
  <c r="BH31" i="29"/>
  <c r="Q31" i="29" s="1"/>
  <c r="BI31" i="29"/>
  <c r="BJ31" i="29"/>
  <c r="BK31" i="29"/>
  <c r="E31" i="29" s="1"/>
  <c r="BL31" i="29"/>
  <c r="BM31" i="29"/>
  <c r="BN31" i="29"/>
  <c r="S31" i="29" s="1"/>
  <c r="BO31" i="29"/>
  <c r="BP31" i="29"/>
  <c r="BQ31" i="29"/>
  <c r="T31" i="29" s="1"/>
  <c r="BR31" i="29"/>
  <c r="BS31" i="29"/>
  <c r="BT31" i="29"/>
  <c r="BU31" i="29"/>
  <c r="BV31" i="29"/>
  <c r="BW31" i="29"/>
  <c r="V31" i="29" s="1"/>
  <c r="BX31" i="29"/>
  <c r="BY31" i="29"/>
  <c r="BZ31" i="29"/>
  <c r="W31" i="29" s="1"/>
  <c r="CA31" i="29"/>
  <c r="CB31" i="29"/>
  <c r="CC31" i="29"/>
  <c r="X31" i="29" s="1"/>
  <c r="CD31" i="29"/>
  <c r="CE31" i="29"/>
  <c r="CF31" i="29"/>
  <c r="Y31" i="29" s="1"/>
  <c r="CG31" i="29"/>
  <c r="CH31" i="29"/>
  <c r="CI31" i="29"/>
  <c r="G31" i="29" s="1"/>
  <c r="CJ31" i="29"/>
  <c r="CK31" i="29"/>
  <c r="CL31" i="29"/>
  <c r="AA31" i="29" s="1"/>
  <c r="CM31" i="29"/>
  <c r="CN31" i="29"/>
  <c r="CO31" i="29"/>
  <c r="AB31" i="29" s="1"/>
  <c r="CP31" i="29"/>
  <c r="CQ31" i="29"/>
  <c r="CR31" i="29"/>
  <c r="CS31" i="29"/>
  <c r="AC31" i="29" s="1"/>
  <c r="CT31" i="29"/>
  <c r="BB33" i="29"/>
  <c r="D42" i="29"/>
  <c r="E42" i="29"/>
  <c r="F42" i="29"/>
  <c r="G42" i="29"/>
  <c r="H42" i="29"/>
  <c r="N42" i="29"/>
  <c r="O42" i="29"/>
  <c r="P42" i="29"/>
  <c r="Q42" i="29"/>
  <c r="R42" i="29"/>
  <c r="S42" i="29"/>
  <c r="T42" i="29"/>
  <c r="U42" i="29"/>
  <c r="V42" i="29"/>
  <c r="W42" i="29"/>
  <c r="X42" i="29"/>
  <c r="Y42" i="29"/>
  <c r="Z42" i="29"/>
  <c r="AA42" i="29"/>
  <c r="AB42" i="29"/>
  <c r="AC42" i="29"/>
  <c r="AD42" i="29"/>
  <c r="AE42" i="29"/>
  <c r="AF42" i="29"/>
  <c r="AG42" i="29"/>
  <c r="AY45" i="29"/>
  <c r="AZ45" i="29"/>
  <c r="BA45" i="29"/>
  <c r="BB45" i="29"/>
  <c r="BC45" i="29"/>
  <c r="BD45" i="29"/>
  <c r="BE45" i="29"/>
  <c r="BF45" i="29"/>
  <c r="BG45" i="29"/>
  <c r="BH45" i="29"/>
  <c r="BI45" i="29"/>
  <c r="BJ45" i="29"/>
  <c r="BK45" i="29"/>
  <c r="BL45" i="29"/>
  <c r="BM45" i="29"/>
  <c r="BN45" i="29"/>
  <c r="BO45" i="29"/>
  <c r="BP45" i="29"/>
  <c r="BQ45" i="29"/>
  <c r="BR45" i="29"/>
  <c r="BS45" i="29"/>
  <c r="BT45" i="29"/>
  <c r="BU45" i="29"/>
  <c r="BV45" i="29"/>
  <c r="BW45" i="29"/>
  <c r="BX45" i="29"/>
  <c r="BY45" i="29"/>
  <c r="BZ45" i="29"/>
  <c r="CA45" i="29"/>
  <c r="CB45" i="29"/>
  <c r="CC45" i="29"/>
  <c r="CD45" i="29"/>
  <c r="CE45" i="29"/>
  <c r="CF45" i="29"/>
  <c r="CG45" i="29"/>
  <c r="CH45" i="29"/>
  <c r="CI45" i="29"/>
  <c r="CJ45" i="29"/>
  <c r="CK45" i="29"/>
  <c r="CL45" i="29"/>
  <c r="CM45" i="29"/>
  <c r="CN45" i="29"/>
  <c r="CO45" i="29"/>
  <c r="CP45" i="29"/>
  <c r="CQ45" i="29"/>
  <c r="CR45" i="29"/>
  <c r="CS45" i="29"/>
  <c r="CT45" i="29"/>
  <c r="CU45" i="29"/>
  <c r="CV45" i="29"/>
  <c r="CW45" i="29"/>
  <c r="CX45" i="29"/>
  <c r="CY45" i="29"/>
  <c r="CZ45" i="29"/>
  <c r="DA45" i="29"/>
  <c r="DB45" i="29"/>
  <c r="DC45" i="29"/>
  <c r="DD45" i="29"/>
  <c r="DE45" i="29"/>
  <c r="DF45" i="29"/>
  <c r="DG45" i="29"/>
  <c r="DH45" i="29"/>
  <c r="DI45" i="29"/>
  <c r="DJ45" i="29"/>
  <c r="DK45" i="29"/>
  <c r="DL45" i="29"/>
  <c r="DM45" i="29"/>
  <c r="DN45" i="29"/>
  <c r="DO45" i="29"/>
  <c r="DP45" i="29"/>
  <c r="DQ45" i="29"/>
  <c r="DR45" i="29"/>
  <c r="DS45" i="29"/>
  <c r="DT45" i="29"/>
  <c r="DU45" i="29"/>
  <c r="DV45" i="29"/>
  <c r="DW45" i="29"/>
  <c r="DX45" i="29"/>
  <c r="DY45" i="29"/>
  <c r="DZ45" i="29"/>
  <c r="EA45" i="29"/>
  <c r="EB45" i="29"/>
  <c r="EC45" i="29"/>
  <c r="ED45" i="29"/>
  <c r="EE45" i="29"/>
  <c r="EF45" i="29"/>
  <c r="EG45" i="29"/>
  <c r="EH45" i="29"/>
  <c r="EI45" i="29"/>
  <c r="EJ45" i="29"/>
  <c r="EK45" i="29"/>
  <c r="EL45" i="29"/>
  <c r="EM45" i="29"/>
  <c r="EN45" i="29"/>
  <c r="EO45" i="29"/>
  <c r="EP45" i="29"/>
  <c r="EQ45" i="29"/>
  <c r="ER45" i="29"/>
  <c r="ES45" i="29"/>
  <c r="ET45" i="29"/>
  <c r="EU45" i="29"/>
  <c r="EV45" i="29"/>
  <c r="EW45" i="29"/>
  <c r="EX45" i="29"/>
  <c r="EY45" i="29"/>
  <c r="EZ45" i="29"/>
  <c r="FA45" i="29"/>
  <c r="FB45" i="29"/>
  <c r="AY46" i="29"/>
  <c r="AZ46" i="29"/>
  <c r="BA46" i="29"/>
  <c r="BB46" i="29"/>
  <c r="BC46" i="29"/>
  <c r="BD46" i="29"/>
  <c r="BE46" i="29"/>
  <c r="BF46" i="29"/>
  <c r="BG46" i="29"/>
  <c r="BH46" i="29"/>
  <c r="BI46" i="29"/>
  <c r="BJ46" i="29"/>
  <c r="BK46" i="29"/>
  <c r="BL46" i="29"/>
  <c r="BM46" i="29"/>
  <c r="BN46" i="29"/>
  <c r="BO46" i="29"/>
  <c r="BP46" i="29"/>
  <c r="BQ46" i="29"/>
  <c r="BR46" i="29"/>
  <c r="BS46" i="29"/>
  <c r="BT46" i="29"/>
  <c r="BU46" i="29"/>
  <c r="BV46" i="29"/>
  <c r="BW46" i="29"/>
  <c r="BX46" i="29"/>
  <c r="BY46" i="29"/>
  <c r="BZ46" i="29"/>
  <c r="CA46" i="29"/>
  <c r="CB46" i="29"/>
  <c r="CC46" i="29"/>
  <c r="CD46" i="29"/>
  <c r="CE46" i="29"/>
  <c r="CF46" i="29"/>
  <c r="CG46" i="29"/>
  <c r="CH46" i="29"/>
  <c r="CI46" i="29"/>
  <c r="CJ46" i="29"/>
  <c r="CK46" i="29"/>
  <c r="CL46" i="29"/>
  <c r="CM46" i="29"/>
  <c r="CN46" i="29"/>
  <c r="CO46" i="29"/>
  <c r="CP46" i="29"/>
  <c r="CQ46" i="29"/>
  <c r="CR46" i="29"/>
  <c r="CS46" i="29"/>
  <c r="CT46" i="29"/>
  <c r="CU46" i="29"/>
  <c r="CV46" i="29"/>
  <c r="CW46" i="29"/>
  <c r="CX46" i="29"/>
  <c r="CY46" i="29"/>
  <c r="CZ46" i="29"/>
  <c r="DA46" i="29"/>
  <c r="DB46" i="29"/>
  <c r="DC46" i="29"/>
  <c r="DD46" i="29"/>
  <c r="DE46" i="29"/>
  <c r="DF46" i="29"/>
  <c r="DG46" i="29"/>
  <c r="DH46" i="29"/>
  <c r="DI46" i="29"/>
  <c r="DJ46" i="29"/>
  <c r="DK46" i="29"/>
  <c r="DL46" i="29"/>
  <c r="DM46" i="29"/>
  <c r="DN46" i="29"/>
  <c r="DO46" i="29"/>
  <c r="DP46" i="29"/>
  <c r="DQ46" i="29"/>
  <c r="DR46" i="29"/>
  <c r="DS46" i="29"/>
  <c r="DT46" i="29"/>
  <c r="DU46" i="29"/>
  <c r="DV46" i="29"/>
  <c r="DW46" i="29"/>
  <c r="DX46" i="29"/>
  <c r="DY46" i="29"/>
  <c r="DZ46" i="29"/>
  <c r="EA46" i="29"/>
  <c r="EB46" i="29"/>
  <c r="EC46" i="29"/>
  <c r="ED46" i="29"/>
  <c r="EE46" i="29"/>
  <c r="EF46" i="29"/>
  <c r="EG46" i="29"/>
  <c r="EH46" i="29"/>
  <c r="EI46" i="29"/>
  <c r="EJ46" i="29"/>
  <c r="EK46" i="29"/>
  <c r="EL46" i="29"/>
  <c r="EM46" i="29"/>
  <c r="EN46" i="29"/>
  <c r="EO46" i="29"/>
  <c r="EP46" i="29"/>
  <c r="EQ46" i="29"/>
  <c r="ER46" i="29"/>
  <c r="ES46" i="29"/>
  <c r="ET46" i="29"/>
  <c r="EU46" i="29"/>
  <c r="EV46" i="29"/>
  <c r="EW46" i="29"/>
  <c r="EX46" i="29"/>
  <c r="EY46" i="29"/>
  <c r="EZ46" i="29"/>
  <c r="FA46" i="29"/>
  <c r="FB46" i="29"/>
  <c r="AY47" i="29"/>
  <c r="AZ47" i="29"/>
  <c r="BA47" i="29"/>
  <c r="BB47" i="29"/>
  <c r="BC47" i="29"/>
  <c r="BD47" i="29"/>
  <c r="BE47" i="29"/>
  <c r="BF47" i="29"/>
  <c r="BG47" i="29"/>
  <c r="BH47" i="29"/>
  <c r="BI47" i="29"/>
  <c r="BJ47" i="29"/>
  <c r="BK47" i="29"/>
  <c r="BL47" i="29"/>
  <c r="BM47" i="29"/>
  <c r="BN47" i="29"/>
  <c r="BO47" i="29"/>
  <c r="BP47" i="29"/>
  <c r="BQ47" i="29"/>
  <c r="BR47" i="29"/>
  <c r="BS47" i="29"/>
  <c r="BT47" i="29"/>
  <c r="BU47" i="29"/>
  <c r="BV47" i="29"/>
  <c r="BW47" i="29"/>
  <c r="BX47" i="29"/>
  <c r="BY47" i="29"/>
  <c r="BZ47" i="29"/>
  <c r="CA47" i="29"/>
  <c r="CB47" i="29"/>
  <c r="CC47" i="29"/>
  <c r="CD47" i="29"/>
  <c r="CE47" i="29"/>
  <c r="CF47" i="29"/>
  <c r="CG47" i="29"/>
  <c r="CH47" i="29"/>
  <c r="CI47" i="29"/>
  <c r="CJ47" i="29"/>
  <c r="CK47" i="29"/>
  <c r="CL47" i="29"/>
  <c r="CM47" i="29"/>
  <c r="CN47" i="29"/>
  <c r="CO47" i="29"/>
  <c r="CP47" i="29"/>
  <c r="CQ47" i="29"/>
  <c r="CR47" i="29"/>
  <c r="CS47" i="29"/>
  <c r="CT47" i="29"/>
  <c r="CU47" i="29"/>
  <c r="CV47" i="29"/>
  <c r="CW47" i="29"/>
  <c r="CX47" i="29"/>
  <c r="CY47" i="29"/>
  <c r="CZ47" i="29"/>
  <c r="DA47" i="29"/>
  <c r="DB47" i="29"/>
  <c r="DC47" i="29"/>
  <c r="DD47" i="29"/>
  <c r="DE47" i="29"/>
  <c r="DF47" i="29"/>
  <c r="DG47" i="29"/>
  <c r="DH47" i="29"/>
  <c r="DI47" i="29"/>
  <c r="DJ47" i="29"/>
  <c r="DK47" i="29"/>
  <c r="DL47" i="29"/>
  <c r="DM47" i="29"/>
  <c r="DN47" i="29"/>
  <c r="DO47" i="29"/>
  <c r="DP47" i="29"/>
  <c r="DQ47" i="29"/>
  <c r="DR47" i="29"/>
  <c r="DS47" i="29"/>
  <c r="DT47" i="29"/>
  <c r="DU47" i="29"/>
  <c r="DV47" i="29"/>
  <c r="DW47" i="29"/>
  <c r="DX47" i="29"/>
  <c r="DY47" i="29"/>
  <c r="DZ47" i="29"/>
  <c r="EA47" i="29"/>
  <c r="EB47" i="29"/>
  <c r="EC47" i="29"/>
  <c r="ED47" i="29"/>
  <c r="EE47" i="29"/>
  <c r="EF47" i="29"/>
  <c r="EG47" i="29"/>
  <c r="EH47" i="29"/>
  <c r="EI47" i="29"/>
  <c r="EJ47" i="29"/>
  <c r="EK47" i="29"/>
  <c r="EL47" i="29"/>
  <c r="EM47" i="29"/>
  <c r="EN47" i="29"/>
  <c r="EO47" i="29"/>
  <c r="EP47" i="29"/>
  <c r="EQ47" i="29"/>
  <c r="ER47" i="29"/>
  <c r="ES47" i="29"/>
  <c r="ET47" i="29"/>
  <c r="EU47" i="29"/>
  <c r="EV47" i="29"/>
  <c r="EW47" i="29"/>
  <c r="EX47" i="29"/>
  <c r="EY47" i="29"/>
  <c r="EZ47" i="29"/>
  <c r="FA47" i="29"/>
  <c r="FB47" i="29"/>
  <c r="D51" i="29"/>
  <c r="E51" i="29"/>
  <c r="F51" i="29"/>
  <c r="G51" i="29"/>
  <c r="H51" i="29"/>
  <c r="I51" i="29"/>
  <c r="J51" i="29"/>
  <c r="K51" i="29"/>
  <c r="L51" i="29"/>
  <c r="N51" i="29"/>
  <c r="O51" i="29"/>
  <c r="P51" i="29"/>
  <c r="Q51" i="29"/>
  <c r="R51" i="29"/>
  <c r="S51" i="29"/>
  <c r="T51" i="29"/>
  <c r="U51" i="29"/>
  <c r="V51" i="29"/>
  <c r="W51" i="29"/>
  <c r="X51" i="29"/>
  <c r="Y51" i="29"/>
  <c r="Z51" i="29"/>
  <c r="AA51" i="29"/>
  <c r="AB51" i="29"/>
  <c r="AC51" i="29"/>
  <c r="AD51" i="29"/>
  <c r="AE51" i="29"/>
  <c r="AF51" i="29"/>
  <c r="AG51" i="29"/>
  <c r="AH51" i="29"/>
  <c r="AI51" i="29"/>
  <c r="AJ51" i="29"/>
  <c r="AK51" i="29"/>
  <c r="AL51" i="29"/>
  <c r="AM51" i="29"/>
  <c r="AN51" i="29"/>
  <c r="AO51" i="29"/>
  <c r="AP51" i="29"/>
  <c r="AQ51" i="29"/>
  <c r="AR51" i="29"/>
  <c r="AS51" i="29"/>
  <c r="AT51" i="29"/>
  <c r="AU51" i="29"/>
  <c r="AV51" i="29"/>
  <c r="AW51" i="29"/>
  <c r="AJ56" i="29"/>
  <c r="CU56" i="29"/>
  <c r="CV56" i="29"/>
  <c r="CW56" i="29"/>
  <c r="CX56" i="29"/>
  <c r="CY56" i="29"/>
  <c r="CZ56" i="29"/>
  <c r="DA56" i="29"/>
  <c r="DB56" i="29"/>
  <c r="DC56" i="29"/>
  <c r="DD56" i="29"/>
  <c r="DE56" i="29"/>
  <c r="DF56" i="29"/>
  <c r="DG56" i="29" s="1"/>
  <c r="DP56" i="29"/>
  <c r="DQ56" i="29"/>
  <c r="DR56" i="29"/>
  <c r="DS56" i="29"/>
  <c r="DT56" i="29"/>
  <c r="DU56" i="29"/>
  <c r="DV56" i="29"/>
  <c r="DW56" i="29"/>
  <c r="DX56" i="29"/>
  <c r="DY56" i="29"/>
  <c r="DZ56" i="29"/>
  <c r="EA56" i="29"/>
  <c r="EB56" i="29"/>
  <c r="EC56" i="29"/>
  <c r="ED56" i="29"/>
  <c r="EE56" i="29"/>
  <c r="EF56" i="29"/>
  <c r="EG56" i="29"/>
  <c r="EH56" i="29"/>
  <c r="EI56" i="29"/>
  <c r="EJ56" i="29"/>
  <c r="EK56" i="29"/>
  <c r="EL56" i="29"/>
  <c r="EM56" i="29"/>
  <c r="EN56" i="29"/>
  <c r="EO56" i="29"/>
  <c r="EP56" i="29"/>
  <c r="EQ56" i="29"/>
  <c r="ER56" i="29"/>
  <c r="ES56" i="29"/>
  <c r="ET56" i="29"/>
  <c r="AU56" i="29" s="1"/>
  <c r="EU56" i="29"/>
  <c r="EV56" i="29"/>
  <c r="EW56" i="29"/>
  <c r="EX56" i="29"/>
  <c r="EY56" i="29"/>
  <c r="EZ56" i="29"/>
  <c r="FA56" i="29"/>
  <c r="FB56" i="29"/>
  <c r="AJ57" i="29"/>
  <c r="AK57" i="29"/>
  <c r="CU57" i="29"/>
  <c r="CV57" i="29"/>
  <c r="CW57" i="29"/>
  <c r="CX57" i="29"/>
  <c r="CY57" i="29"/>
  <c r="CZ57" i="29"/>
  <c r="DA57" i="29"/>
  <c r="DB57" i="29"/>
  <c r="DC57" i="29"/>
  <c r="DD57" i="29"/>
  <c r="DE57" i="29"/>
  <c r="DF57" i="29"/>
  <c r="DG57" i="29" s="1"/>
  <c r="DS57" i="29"/>
  <c r="DT57" i="29"/>
  <c r="DU57" i="29"/>
  <c r="DV57" i="29"/>
  <c r="DW57" i="29"/>
  <c r="DX57" i="29"/>
  <c r="DY57" i="29"/>
  <c r="DZ57" i="29"/>
  <c r="EA57" i="29"/>
  <c r="EB57" i="29"/>
  <c r="AO57" i="29" s="1"/>
  <c r="EC57" i="29"/>
  <c r="ED57" i="29"/>
  <c r="EE57" i="29"/>
  <c r="EF57" i="29"/>
  <c r="EG57" i="29"/>
  <c r="EH57" i="29"/>
  <c r="EI57" i="29"/>
  <c r="EJ57" i="29"/>
  <c r="EK57" i="29"/>
  <c r="EL57" i="29"/>
  <c r="EM57" i="29"/>
  <c r="EN57" i="29"/>
  <c r="EO57" i="29"/>
  <c r="EP57" i="29"/>
  <c r="EQ57" i="29"/>
  <c r="ER57" i="29"/>
  <c r="ES57" i="29"/>
  <c r="ET57" i="29"/>
  <c r="EU57" i="29"/>
  <c r="EV57" i="29"/>
  <c r="EW57" i="29"/>
  <c r="EX57" i="29"/>
  <c r="EY57" i="29"/>
  <c r="EZ57" i="29"/>
  <c r="AW57" i="29" s="1"/>
  <c r="FA57" i="29"/>
  <c r="FB57" i="29"/>
  <c r="D58" i="29"/>
  <c r="E58" i="29"/>
  <c r="F58" i="29"/>
  <c r="G58" i="29"/>
  <c r="N58" i="29"/>
  <c r="O58" i="29"/>
  <c r="P58" i="29"/>
  <c r="Q58" i="29"/>
  <c r="R58" i="29"/>
  <c r="S58" i="29"/>
  <c r="T58" i="29"/>
  <c r="U58" i="29"/>
  <c r="V58" i="29"/>
  <c r="W58" i="29"/>
  <c r="X58" i="29"/>
  <c r="Y58" i="29"/>
  <c r="Z58" i="29"/>
  <c r="AA58" i="29"/>
  <c r="AB58" i="29"/>
  <c r="AC58" i="29"/>
  <c r="AK61" i="29"/>
  <c r="CU61" i="29"/>
  <c r="CV61" i="29"/>
  <c r="CW61" i="29"/>
  <c r="CX61" i="29"/>
  <c r="CY61" i="29"/>
  <c r="CZ61" i="29"/>
  <c r="DA61" i="29"/>
  <c r="DB61" i="29"/>
  <c r="DC61" i="29"/>
  <c r="DD61" i="29"/>
  <c r="DE61" i="29"/>
  <c r="DF61" i="29"/>
  <c r="DG61" i="29" s="1"/>
  <c r="DM61" i="29"/>
  <c r="DN61" i="29"/>
  <c r="DO61" i="29"/>
  <c r="DS61" i="29"/>
  <c r="DT61" i="29"/>
  <c r="DU61" i="29"/>
  <c r="DV61" i="29"/>
  <c r="DW61" i="29"/>
  <c r="DX61" i="29"/>
  <c r="DY61" i="29"/>
  <c r="DZ61" i="29"/>
  <c r="EA61" i="29"/>
  <c r="EB61" i="29"/>
  <c r="EC61" i="29"/>
  <c r="ED61" i="29"/>
  <c r="EE61" i="29"/>
  <c r="EF61" i="29"/>
  <c r="EG61" i="29"/>
  <c r="EH61" i="29"/>
  <c r="EI61" i="29"/>
  <c r="EJ61" i="29"/>
  <c r="EK61" i="29"/>
  <c r="EL61" i="29"/>
  <c r="EM61" i="29"/>
  <c r="EN61" i="29"/>
  <c r="EO61" i="29"/>
  <c r="EP61" i="29"/>
  <c r="EQ61" i="29"/>
  <c r="ER61" i="29"/>
  <c r="ES61" i="29"/>
  <c r="ET61" i="29"/>
  <c r="EU61" i="29"/>
  <c r="EV61" i="29"/>
  <c r="EW61" i="29"/>
  <c r="EX61" i="29"/>
  <c r="EY61" i="29"/>
  <c r="EZ61" i="29"/>
  <c r="FA61" i="29"/>
  <c r="FB61" i="29"/>
  <c r="AJ62" i="29"/>
  <c r="AK62" i="29"/>
  <c r="CU62" i="29"/>
  <c r="CV62" i="29"/>
  <c r="CW62" i="29"/>
  <c r="CX62" i="29"/>
  <c r="CY62" i="29"/>
  <c r="CZ62" i="29"/>
  <c r="DA62" i="29"/>
  <c r="DB62" i="29"/>
  <c r="DC62" i="29"/>
  <c r="DD62" i="29"/>
  <c r="DE62" i="29"/>
  <c r="DF62" i="29"/>
  <c r="DG62" i="29" s="1"/>
  <c r="DS62" i="29"/>
  <c r="DT62" i="29"/>
  <c r="DU62" i="29"/>
  <c r="DV62" i="29"/>
  <c r="DW62" i="29"/>
  <c r="DX62" i="29"/>
  <c r="DY62" i="29"/>
  <c r="DZ62" i="29"/>
  <c r="EA62" i="29"/>
  <c r="EB62" i="29"/>
  <c r="EC62" i="29"/>
  <c r="ED62" i="29"/>
  <c r="EE62" i="29"/>
  <c r="EF62" i="29"/>
  <c r="EG62" i="29"/>
  <c r="EH62" i="29"/>
  <c r="EI62" i="29"/>
  <c r="EJ62" i="29"/>
  <c r="EK62" i="29"/>
  <c r="EL62" i="29"/>
  <c r="EM62" i="29"/>
  <c r="EN62" i="29"/>
  <c r="EO62" i="29"/>
  <c r="EP62" i="29"/>
  <c r="EQ62" i="29"/>
  <c r="ER62" i="29"/>
  <c r="ES62" i="29"/>
  <c r="ET62" i="29"/>
  <c r="EU62" i="29"/>
  <c r="EV62" i="29"/>
  <c r="EW62" i="29"/>
  <c r="EX62" i="29"/>
  <c r="EY62" i="29"/>
  <c r="EZ62" i="29"/>
  <c r="FA62" i="29"/>
  <c r="FB62" i="29"/>
  <c r="D63" i="29"/>
  <c r="E63" i="29"/>
  <c r="F63" i="29"/>
  <c r="G63" i="29"/>
  <c r="N63" i="29"/>
  <c r="O63" i="29"/>
  <c r="P63" i="29"/>
  <c r="Q63" i="29"/>
  <c r="R63" i="29"/>
  <c r="S63" i="29"/>
  <c r="T63" i="29"/>
  <c r="U63" i="29"/>
  <c r="V63" i="29"/>
  <c r="W63" i="29"/>
  <c r="X63" i="29"/>
  <c r="Y63" i="29"/>
  <c r="Z63" i="29"/>
  <c r="AA63" i="29"/>
  <c r="AB63" i="29"/>
  <c r="AC63" i="29"/>
  <c r="AG66" i="29"/>
  <c r="AH66" i="29"/>
  <c r="AI66" i="29"/>
  <c r="AK66" i="29"/>
  <c r="CU66" i="29"/>
  <c r="CV66" i="29"/>
  <c r="CW66" i="29"/>
  <c r="CX66" i="29"/>
  <c r="CY66" i="29"/>
  <c r="CZ66" i="29"/>
  <c r="DA66" i="29"/>
  <c r="DB66" i="29"/>
  <c r="DC66" i="29"/>
  <c r="DM66" i="29"/>
  <c r="DN66" i="29"/>
  <c r="DO66" i="29"/>
  <c r="DS66" i="29"/>
  <c r="DT66" i="29"/>
  <c r="DU66" i="29"/>
  <c r="DV66" i="29"/>
  <c r="DW66" i="29"/>
  <c r="DX66" i="29"/>
  <c r="DY66" i="29"/>
  <c r="DZ66" i="29"/>
  <c r="EA66" i="29"/>
  <c r="EB66" i="29"/>
  <c r="EC66" i="29"/>
  <c r="ED66" i="29"/>
  <c r="AO66" i="29" s="1"/>
  <c r="EE66" i="29"/>
  <c r="EF66" i="29"/>
  <c r="EG66" i="29"/>
  <c r="EH66" i="29"/>
  <c r="EI66" i="29"/>
  <c r="EJ66" i="29"/>
  <c r="EK66" i="29"/>
  <c r="EL66" i="29"/>
  <c r="EM66" i="29"/>
  <c r="EN66" i="29"/>
  <c r="EO66" i="29"/>
  <c r="EP66" i="29"/>
  <c r="EQ66" i="29"/>
  <c r="ER66" i="29"/>
  <c r="ES66" i="29"/>
  <c r="ET66" i="29"/>
  <c r="EU66" i="29"/>
  <c r="EV66" i="29"/>
  <c r="EW66" i="29"/>
  <c r="EX66" i="29"/>
  <c r="EY66" i="29"/>
  <c r="EZ66" i="29"/>
  <c r="FA66" i="29"/>
  <c r="FB66" i="29"/>
  <c r="AG67" i="29"/>
  <c r="AH67" i="29"/>
  <c r="AI67" i="29"/>
  <c r="AJ67" i="29"/>
  <c r="AK67" i="29"/>
  <c r="CU67" i="29"/>
  <c r="CV67" i="29"/>
  <c r="CW67" i="29"/>
  <c r="CX67" i="29"/>
  <c r="CY67" i="29"/>
  <c r="CZ67" i="29"/>
  <c r="DA67" i="29"/>
  <c r="DB67" i="29"/>
  <c r="DC67" i="29"/>
  <c r="DS67" i="29"/>
  <c r="DT67" i="29"/>
  <c r="DU67" i="29"/>
  <c r="DV67" i="29"/>
  <c r="DW67" i="29"/>
  <c r="DX67" i="29"/>
  <c r="DY67" i="29"/>
  <c r="DZ67" i="29"/>
  <c r="EA67" i="29"/>
  <c r="EB67" i="29"/>
  <c r="EC67" i="29"/>
  <c r="ED67" i="29"/>
  <c r="EE67" i="29"/>
  <c r="EF67" i="29"/>
  <c r="EG67" i="29"/>
  <c r="EH67" i="29"/>
  <c r="EI67" i="29"/>
  <c r="EJ67" i="29"/>
  <c r="EK67" i="29"/>
  <c r="EL67" i="29"/>
  <c r="EM67" i="29"/>
  <c r="EN67" i="29"/>
  <c r="EO67" i="29"/>
  <c r="EP67" i="29"/>
  <c r="EQ67" i="29"/>
  <c r="ER67" i="29"/>
  <c r="ES67" i="29"/>
  <c r="ET67" i="29"/>
  <c r="EU67" i="29"/>
  <c r="EV67" i="29"/>
  <c r="EW67" i="29"/>
  <c r="EX67" i="29"/>
  <c r="EY67" i="29"/>
  <c r="EZ67" i="29"/>
  <c r="FA67" i="29"/>
  <c r="FB67" i="29"/>
  <c r="D68" i="29"/>
  <c r="E68" i="29"/>
  <c r="F68" i="29"/>
  <c r="G68" i="29"/>
  <c r="N68" i="29"/>
  <c r="N70" i="29" s="1"/>
  <c r="O68" i="29"/>
  <c r="P68" i="29"/>
  <c r="Q68" i="29"/>
  <c r="R68" i="29"/>
  <c r="S68" i="29"/>
  <c r="S70" i="29" s="1"/>
  <c r="T68" i="29"/>
  <c r="T70" i="29" s="1"/>
  <c r="U68" i="29"/>
  <c r="U70" i="29" s="1"/>
  <c r="V68" i="29"/>
  <c r="V70" i="29" s="1"/>
  <c r="W68" i="29"/>
  <c r="X68" i="29"/>
  <c r="Y68" i="29"/>
  <c r="Z68" i="29"/>
  <c r="AA68" i="29"/>
  <c r="AA70" i="29" s="1"/>
  <c r="AB68" i="29"/>
  <c r="AB70" i="29" s="1"/>
  <c r="AC68" i="29"/>
  <c r="AC70" i="29" s="1"/>
  <c r="O70" i="29"/>
  <c r="P70" i="29"/>
  <c r="Q70" i="29"/>
  <c r="R70" i="29"/>
  <c r="W70" i="29"/>
  <c r="X70" i="29"/>
  <c r="Y70" i="29"/>
  <c r="Z70" i="29"/>
  <c r="AY70" i="29"/>
  <c r="AZ70" i="29"/>
  <c r="BA70" i="29"/>
  <c r="BB70" i="29"/>
  <c r="BC70" i="29"/>
  <c r="BD70" i="29"/>
  <c r="BE70" i="29"/>
  <c r="BF70" i="29"/>
  <c r="BG70" i="29"/>
  <c r="BH70" i="29"/>
  <c r="BI70" i="29"/>
  <c r="BJ70" i="29"/>
  <c r="BK70" i="29"/>
  <c r="BL70" i="29"/>
  <c r="BM70" i="29"/>
  <c r="BN70" i="29"/>
  <c r="BO70" i="29"/>
  <c r="BP70" i="29"/>
  <c r="BQ70" i="29"/>
  <c r="BR70" i="29"/>
  <c r="BS70" i="29"/>
  <c r="BT70" i="29"/>
  <c r="BU70" i="29"/>
  <c r="BV70" i="29"/>
  <c r="BW70" i="29"/>
  <c r="BX70" i="29"/>
  <c r="BY70" i="29"/>
  <c r="BZ70" i="29"/>
  <c r="CA70" i="29"/>
  <c r="CB70" i="29"/>
  <c r="CC70" i="29"/>
  <c r="CD70" i="29"/>
  <c r="CE70" i="29"/>
  <c r="CF70" i="29"/>
  <c r="CG70" i="29"/>
  <c r="CH70" i="29"/>
  <c r="CI70" i="29"/>
  <c r="CJ70" i="29"/>
  <c r="CK70" i="29"/>
  <c r="CL70" i="29"/>
  <c r="CM70" i="29"/>
  <c r="CN70" i="29"/>
  <c r="CO70" i="29"/>
  <c r="CP70" i="29"/>
  <c r="CQ70" i="29"/>
  <c r="CR70" i="29"/>
  <c r="CS70" i="29"/>
  <c r="CT70" i="29"/>
  <c r="G81" i="29"/>
  <c r="B84" i="29"/>
  <c r="J85" i="29" s="1"/>
  <c r="L85" i="29"/>
  <c r="N91" i="29"/>
  <c r="O91" i="29"/>
  <c r="Q91" i="29"/>
  <c r="V91" i="29"/>
  <c r="W91" i="29"/>
  <c r="Y91" i="29"/>
  <c r="AD91" i="29"/>
  <c r="AE91" i="29"/>
  <c r="AG91" i="29"/>
  <c r="AL91" i="29"/>
  <c r="AM91" i="29"/>
  <c r="AO91" i="29"/>
  <c r="AT91" i="29"/>
  <c r="AU91" i="29"/>
  <c r="AW91" i="29"/>
  <c r="D91" i="29"/>
  <c r="BA98" i="29"/>
  <c r="BA28" i="29" s="1"/>
  <c r="P91" i="29"/>
  <c r="BI98" i="29"/>
  <c r="BI28" i="29" s="1"/>
  <c r="R91" i="29"/>
  <c r="S91" i="29"/>
  <c r="BQ98" i="29"/>
  <c r="BQ28" i="29" s="1"/>
  <c r="U91" i="29"/>
  <c r="F91" i="29"/>
  <c r="BY98" i="29"/>
  <c r="BY28" i="29" s="1"/>
  <c r="X91" i="29"/>
  <c r="CG98" i="29"/>
  <c r="CG28" i="29" s="1"/>
  <c r="Z91" i="29"/>
  <c r="AA91" i="29"/>
  <c r="CO98" i="29"/>
  <c r="CO28" i="29" s="1"/>
  <c r="AC91" i="29"/>
  <c r="CW98" i="29"/>
  <c r="CW28" i="29" s="1"/>
  <c r="AF91" i="29"/>
  <c r="DE98" i="29"/>
  <c r="DE28" i="29" s="1"/>
  <c r="AH91" i="29"/>
  <c r="AI91" i="29"/>
  <c r="AJ91" i="29"/>
  <c r="AK91" i="29"/>
  <c r="DU98" i="29"/>
  <c r="DU28" i="29" s="1"/>
  <c r="AN91" i="29"/>
  <c r="EC98" i="29"/>
  <c r="EC28" i="29" s="1"/>
  <c r="AP91" i="29"/>
  <c r="AQ91" i="29"/>
  <c r="EK98" i="29"/>
  <c r="EK28" i="29" s="1"/>
  <c r="AS91" i="29"/>
  <c r="ES98" i="29"/>
  <c r="ES28" i="29" s="1"/>
  <c r="AV91" i="29"/>
  <c r="FA98" i="29"/>
  <c r="FA28" i="29" s="1"/>
  <c r="J92" i="29"/>
  <c r="U92" i="29"/>
  <c r="AC92" i="29"/>
  <c r="AK92" i="29"/>
  <c r="AS92" i="29"/>
  <c r="AY55" i="29"/>
  <c r="D92" i="29"/>
  <c r="BA55" i="29"/>
  <c r="O92" i="29"/>
  <c r="BC55" i="29"/>
  <c r="BD55" i="29"/>
  <c r="BE55" i="29"/>
  <c r="BF55" i="29"/>
  <c r="BG55" i="29"/>
  <c r="Q92" i="29"/>
  <c r="BI55" i="29"/>
  <c r="BJ55" i="29"/>
  <c r="BK55" i="29"/>
  <c r="BL55" i="29"/>
  <c r="BM55" i="29"/>
  <c r="BN55" i="29"/>
  <c r="S55" i="29" s="1"/>
  <c r="BO55" i="29"/>
  <c r="BP55" i="29"/>
  <c r="T92" i="29"/>
  <c r="BR55" i="29"/>
  <c r="BS55" i="29"/>
  <c r="BT55" i="29"/>
  <c r="BU55" i="29"/>
  <c r="BV55" i="29"/>
  <c r="BW55" i="29"/>
  <c r="BX55" i="29"/>
  <c r="BY55" i="29"/>
  <c r="W92" i="29"/>
  <c r="CA55" i="29"/>
  <c r="CB55" i="29"/>
  <c r="CC55" i="29"/>
  <c r="CD55" i="29"/>
  <c r="CE55" i="29"/>
  <c r="Y92" i="29"/>
  <c r="CG55" i="29"/>
  <c r="CH55" i="29"/>
  <c r="CI55" i="29"/>
  <c r="CJ55" i="29"/>
  <c r="CK55" i="29"/>
  <c r="CL55" i="29"/>
  <c r="AA55" i="29" s="1"/>
  <c r="CM55" i="29"/>
  <c r="CN55" i="29"/>
  <c r="AB92" i="29"/>
  <c r="CP55" i="29"/>
  <c r="CQ55" i="29"/>
  <c r="CR55" i="29"/>
  <c r="CS55" i="29"/>
  <c r="CT55" i="29"/>
  <c r="CU55" i="29"/>
  <c r="H92" i="29"/>
  <c r="CW55" i="29"/>
  <c r="AE92" i="29"/>
  <c r="CY55" i="29"/>
  <c r="CY58" i="29" s="1"/>
  <c r="CY10" i="29" s="1"/>
  <c r="CZ55" i="29"/>
  <c r="DA55" i="29"/>
  <c r="DB55" i="29"/>
  <c r="DB58" i="29" s="1"/>
  <c r="DB10" i="29" s="1"/>
  <c r="DC55" i="29"/>
  <c r="DC58" i="29" s="1"/>
  <c r="DC10" i="29" s="1"/>
  <c r="AG92" i="29"/>
  <c r="DE55" i="29"/>
  <c r="DF55" i="29"/>
  <c r="DF58" i="29" s="1"/>
  <c r="DF10" i="29" s="1"/>
  <c r="DG55" i="29"/>
  <c r="DH55" i="29"/>
  <c r="DI55" i="29"/>
  <c r="DJ55" i="29"/>
  <c r="DK55" i="29"/>
  <c r="DL55" i="29"/>
  <c r="AJ92" i="29"/>
  <c r="DN55" i="29"/>
  <c r="DN58" i="29" s="1"/>
  <c r="DN10" i="29" s="1"/>
  <c r="DO55" i="29"/>
  <c r="DO58" i="29" s="1"/>
  <c r="DO10" i="29" s="1"/>
  <c r="DP55" i="29"/>
  <c r="DQ55" i="29"/>
  <c r="DQ58" i="29" s="1"/>
  <c r="DQ10" i="29" s="1"/>
  <c r="DR55" i="29"/>
  <c r="DR58" i="29" s="1"/>
  <c r="DR10" i="29" s="1"/>
  <c r="DS55" i="29"/>
  <c r="DT55" i="29"/>
  <c r="DT58" i="29" s="1"/>
  <c r="DT10" i="29" s="1"/>
  <c r="DU55" i="29"/>
  <c r="DU58" i="29" s="1"/>
  <c r="DU10" i="29" s="1"/>
  <c r="AM92" i="29"/>
  <c r="DW55" i="29"/>
  <c r="DW58" i="29" s="1"/>
  <c r="DW10" i="29" s="1"/>
  <c r="DX55" i="29"/>
  <c r="DX58" i="29" s="1"/>
  <c r="DX10" i="29" s="1"/>
  <c r="DY55" i="29"/>
  <c r="DZ55" i="29"/>
  <c r="DZ58" i="29" s="1"/>
  <c r="DZ10" i="29" s="1"/>
  <c r="EA55" i="29"/>
  <c r="AO92" i="29"/>
  <c r="EC55" i="29"/>
  <c r="EC58" i="29" s="1"/>
  <c r="EC10" i="29" s="1"/>
  <c r="ED55" i="29"/>
  <c r="EE55" i="29"/>
  <c r="EF55" i="29"/>
  <c r="EF58" i="29" s="1"/>
  <c r="EF10" i="29" s="1"/>
  <c r="EG55" i="29"/>
  <c r="EH55" i="29"/>
  <c r="EI55" i="29"/>
  <c r="EJ55" i="29"/>
  <c r="EJ58" i="29" s="1"/>
  <c r="EJ10" i="29" s="1"/>
  <c r="AR92" i="29"/>
  <c r="EL55" i="29"/>
  <c r="EM55" i="29"/>
  <c r="EM58" i="29" s="1"/>
  <c r="EM10" i="29" s="1"/>
  <c r="EN55" i="29"/>
  <c r="EO55" i="29"/>
  <c r="EP55" i="29"/>
  <c r="EP58" i="29" s="1"/>
  <c r="EP10" i="29" s="1"/>
  <c r="EQ55" i="29"/>
  <c r="L92" i="29"/>
  <c r="ES55" i="29"/>
  <c r="ES58" i="29" s="1"/>
  <c r="ES10" i="29" s="1"/>
  <c r="AU92" i="29"/>
  <c r="EU55" i="29"/>
  <c r="EU58" i="29" s="1"/>
  <c r="EU10" i="29" s="1"/>
  <c r="EV55" i="29"/>
  <c r="EV58" i="29" s="1"/>
  <c r="EV10" i="29" s="1"/>
  <c r="EW55" i="29"/>
  <c r="EX55" i="29"/>
  <c r="EX58" i="29" s="1"/>
  <c r="EX10" i="29" s="1"/>
  <c r="EY55" i="29"/>
  <c r="AW92" i="29"/>
  <c r="FA55" i="29"/>
  <c r="FA58" i="29" s="1"/>
  <c r="FA10" i="29" s="1"/>
  <c r="FB55" i="29"/>
  <c r="I93" i="29"/>
  <c r="I74" i="29" s="1"/>
  <c r="R93" i="29"/>
  <c r="Z93" i="29"/>
  <c r="AH93" i="29"/>
  <c r="AP93" i="29"/>
  <c r="P93" i="29"/>
  <c r="Q93" i="29"/>
  <c r="E93" i="29"/>
  <c r="E74" i="29" s="1"/>
  <c r="BO74" i="29"/>
  <c r="BO78" i="29" s="1"/>
  <c r="T93" i="29"/>
  <c r="BS74" i="29"/>
  <c r="BS78" i="29" s="1"/>
  <c r="X93" i="29"/>
  <c r="Y93" i="29"/>
  <c r="AB93" i="29"/>
  <c r="H93" i="29"/>
  <c r="H74" i="29" s="1"/>
  <c r="AF93" i="29"/>
  <c r="DC74" i="29"/>
  <c r="AG93" i="29"/>
  <c r="DK74" i="29"/>
  <c r="AJ93" i="29"/>
  <c r="DN74" i="29"/>
  <c r="AN93" i="29"/>
  <c r="AO93" i="29"/>
  <c r="AR93" i="29"/>
  <c r="AV93" i="29"/>
  <c r="AW93" i="29"/>
  <c r="H94" i="29"/>
  <c r="Q94" i="29"/>
  <c r="Y94" i="29"/>
  <c r="AG94" i="29"/>
  <c r="AO94" i="29"/>
  <c r="AW94" i="29"/>
  <c r="D94" i="29"/>
  <c r="N94" i="29"/>
  <c r="O94" i="29"/>
  <c r="P94" i="29"/>
  <c r="R94" i="29"/>
  <c r="S94" i="29"/>
  <c r="T94" i="29"/>
  <c r="U94" i="29"/>
  <c r="F94" i="29"/>
  <c r="W94" i="29"/>
  <c r="X94" i="29"/>
  <c r="G94" i="29"/>
  <c r="AA94" i="29"/>
  <c r="AB94" i="29"/>
  <c r="AC94" i="29"/>
  <c r="CT96" i="29"/>
  <c r="AD94" i="29"/>
  <c r="AE94" i="29"/>
  <c r="AF94" i="29"/>
  <c r="DB96" i="29"/>
  <c r="I94" i="29"/>
  <c r="AI94" i="29"/>
  <c r="AJ94" i="29"/>
  <c r="AK94" i="29"/>
  <c r="DR96" i="29"/>
  <c r="J94" i="29"/>
  <c r="AM94" i="29"/>
  <c r="AN94" i="29"/>
  <c r="DZ96" i="29"/>
  <c r="AP94" i="29"/>
  <c r="AQ94" i="29"/>
  <c r="AR94" i="29"/>
  <c r="AS94" i="29"/>
  <c r="EP96" i="29"/>
  <c r="L94" i="29"/>
  <c r="AT94" i="29"/>
  <c r="AU94" i="29"/>
  <c r="AV94" i="29"/>
  <c r="EX96" i="29"/>
  <c r="AF95" i="29"/>
  <c r="N95" i="29"/>
  <c r="O95" i="29"/>
  <c r="BE98" i="29"/>
  <c r="BE28" i="29" s="1"/>
  <c r="BG98" i="29"/>
  <c r="BG28" i="29" s="1"/>
  <c r="Q95" i="29"/>
  <c r="E95" i="29"/>
  <c r="BM98" i="29"/>
  <c r="BM28" i="29" s="1"/>
  <c r="BO98" i="29"/>
  <c r="BO28" i="29" s="1"/>
  <c r="T95" i="29"/>
  <c r="BU98" i="29"/>
  <c r="BU28" i="29" s="1"/>
  <c r="V95" i="29"/>
  <c r="W95" i="29"/>
  <c r="X95" i="29"/>
  <c r="CE98" i="29"/>
  <c r="CE28" i="29" s="1"/>
  <c r="Y95" i="29"/>
  <c r="CI96" i="29"/>
  <c r="CK98" i="29"/>
  <c r="CK28" i="29" s="1"/>
  <c r="CM98" i="29"/>
  <c r="CM28" i="29" s="1"/>
  <c r="AB95" i="29"/>
  <c r="CQ96" i="29"/>
  <c r="CS98" i="29"/>
  <c r="CS28" i="29" s="1"/>
  <c r="AD95" i="29"/>
  <c r="AE95" i="29"/>
  <c r="CY96" i="29"/>
  <c r="DA98" i="29"/>
  <c r="DA28" i="29" s="1"/>
  <c r="DC98" i="29"/>
  <c r="DC28" i="29" s="1"/>
  <c r="AG95" i="29"/>
  <c r="DG96" i="29"/>
  <c r="DI98" i="29"/>
  <c r="DI28" i="29" s="1"/>
  <c r="DK98" i="29"/>
  <c r="DK28" i="29" s="1"/>
  <c r="AJ95" i="29"/>
  <c r="DO96" i="29"/>
  <c r="DQ98" i="29"/>
  <c r="DQ28" i="29" s="1"/>
  <c r="AL95" i="29"/>
  <c r="AM95" i="29"/>
  <c r="DW96" i="29"/>
  <c r="AN95" i="29"/>
  <c r="EA98" i="29"/>
  <c r="EA28" i="29" s="1"/>
  <c r="AO95" i="29"/>
  <c r="EE96" i="29"/>
  <c r="EG98" i="29"/>
  <c r="EG28" i="29" s="1"/>
  <c r="EI98" i="29"/>
  <c r="EI28" i="29" s="1"/>
  <c r="AR95" i="29"/>
  <c r="EO98" i="29"/>
  <c r="EO28" i="29" s="1"/>
  <c r="AT95" i="29"/>
  <c r="AU95" i="29"/>
  <c r="EW98" i="29"/>
  <c r="EW28" i="29" s="1"/>
  <c r="EY98" i="29"/>
  <c r="EY28" i="29" s="1"/>
  <c r="AW95" i="29"/>
  <c r="AY96" i="29"/>
  <c r="BA96" i="29"/>
  <c r="BB96" i="29"/>
  <c r="BC96" i="29"/>
  <c r="BD96" i="29"/>
  <c r="BE96" i="29"/>
  <c r="BF96" i="29"/>
  <c r="BG96" i="29"/>
  <c r="BI96" i="29"/>
  <c r="BJ96" i="29"/>
  <c r="BK96" i="29"/>
  <c r="BL96" i="29"/>
  <c r="BM96" i="29"/>
  <c r="BN96" i="29"/>
  <c r="BO96" i="29"/>
  <c r="BQ96" i="29"/>
  <c r="BR96" i="29"/>
  <c r="BS96" i="29"/>
  <c r="BT96" i="29"/>
  <c r="BU96" i="29"/>
  <c r="BV96" i="29"/>
  <c r="BW96" i="29"/>
  <c r="BY96" i="29"/>
  <c r="BZ96" i="29"/>
  <c r="CA96" i="29"/>
  <c r="CB96" i="29"/>
  <c r="CC96" i="29"/>
  <c r="CD96" i="29"/>
  <c r="CE96" i="29"/>
  <c r="CG96" i="29"/>
  <c r="CJ96" i="29"/>
  <c r="CP96" i="29"/>
  <c r="CR96" i="29"/>
  <c r="CX96" i="29"/>
  <c r="CZ96" i="29"/>
  <c r="DF96" i="29"/>
  <c r="DH96" i="29"/>
  <c r="DN96" i="29"/>
  <c r="DP96" i="29"/>
  <c r="DV96" i="29"/>
  <c r="DX96" i="29"/>
  <c r="ED96" i="29"/>
  <c r="EF96" i="29"/>
  <c r="EL96" i="29"/>
  <c r="EM96" i="29"/>
  <c r="EN96" i="29"/>
  <c r="ET96" i="29"/>
  <c r="EU96" i="29"/>
  <c r="EV96" i="29"/>
  <c r="FB96" i="29"/>
  <c r="AZ98" i="29"/>
  <c r="AZ28" i="29" s="1"/>
  <c r="BB98" i="29"/>
  <c r="BB28" i="29" s="1"/>
  <c r="BC98" i="29"/>
  <c r="BC28" i="29" s="1"/>
  <c r="BD98" i="29"/>
  <c r="BD28" i="29" s="1"/>
  <c r="BF98" i="29"/>
  <c r="BF28" i="29" s="1"/>
  <c r="BH98" i="29"/>
  <c r="BH28" i="29" s="1"/>
  <c r="BJ98" i="29"/>
  <c r="BJ28" i="29" s="1"/>
  <c r="BK98" i="29"/>
  <c r="BK28" i="29" s="1"/>
  <c r="BL98" i="29"/>
  <c r="BL28" i="29" s="1"/>
  <c r="BN98" i="29"/>
  <c r="BN28" i="29" s="1"/>
  <c r="BP98" i="29"/>
  <c r="BP28" i="29" s="1"/>
  <c r="BR98" i="29"/>
  <c r="BR28" i="29" s="1"/>
  <c r="BS98" i="29"/>
  <c r="BS28" i="29" s="1"/>
  <c r="BT98" i="29"/>
  <c r="BT28" i="29" s="1"/>
  <c r="BV98" i="29"/>
  <c r="BV28" i="29" s="1"/>
  <c r="BX98" i="29"/>
  <c r="BX28" i="29" s="1"/>
  <c r="BZ98" i="29"/>
  <c r="BZ28" i="29" s="1"/>
  <c r="CA98" i="29"/>
  <c r="CA28" i="29" s="1"/>
  <c r="CB98" i="29"/>
  <c r="CB28" i="29" s="1"/>
  <c r="CD98" i="29"/>
  <c r="CD28" i="29" s="1"/>
  <c r="CF98" i="29"/>
  <c r="CF28" i="29" s="1"/>
  <c r="CH98" i="29"/>
  <c r="CH28" i="29" s="1"/>
  <c r="CI98" i="29"/>
  <c r="CI28" i="29" s="1"/>
  <c r="CJ98" i="29"/>
  <c r="CJ28" i="29" s="1"/>
  <c r="CL98" i="29"/>
  <c r="CL28" i="29" s="1"/>
  <c r="CN98" i="29"/>
  <c r="CN28" i="29" s="1"/>
  <c r="CP98" i="29"/>
  <c r="CP28" i="29" s="1"/>
  <c r="CQ98" i="29"/>
  <c r="CQ28" i="29" s="1"/>
  <c r="CR98" i="29"/>
  <c r="CR28" i="29" s="1"/>
  <c r="CT98" i="29"/>
  <c r="CT28" i="29" s="1"/>
  <c r="CV98" i="29"/>
  <c r="CV28" i="29" s="1"/>
  <c r="CX98" i="29"/>
  <c r="CX28" i="29" s="1"/>
  <c r="CY98" i="29"/>
  <c r="CY28" i="29" s="1"/>
  <c r="CZ98" i="29"/>
  <c r="CZ28" i="29" s="1"/>
  <c r="DB98" i="29"/>
  <c r="DB28" i="29" s="1"/>
  <c r="DD98" i="29"/>
  <c r="DD28" i="29" s="1"/>
  <c r="DF98" i="29"/>
  <c r="DF28" i="29" s="1"/>
  <c r="DG98" i="29"/>
  <c r="DG28" i="29" s="1"/>
  <c r="DH98" i="29"/>
  <c r="DH28" i="29" s="1"/>
  <c r="DJ98" i="29"/>
  <c r="DJ28" i="29" s="1"/>
  <c r="DL98" i="29"/>
  <c r="DL28" i="29" s="1"/>
  <c r="DN98" i="29"/>
  <c r="DN28" i="29" s="1"/>
  <c r="DO98" i="29"/>
  <c r="DO28" i="29" s="1"/>
  <c r="DP98" i="29"/>
  <c r="DP28" i="29" s="1"/>
  <c r="DR98" i="29"/>
  <c r="DR28" i="29" s="1"/>
  <c r="DT98" i="29"/>
  <c r="DT28" i="29" s="1"/>
  <c r="DV98" i="29"/>
  <c r="DV28" i="29" s="1"/>
  <c r="DW98" i="29"/>
  <c r="DW28" i="29" s="1"/>
  <c r="DX98" i="29"/>
  <c r="DX28" i="29" s="1"/>
  <c r="DZ98" i="29"/>
  <c r="DZ28" i="29" s="1"/>
  <c r="EB98" i="29"/>
  <c r="EB28" i="29" s="1"/>
  <c r="ED98" i="29"/>
  <c r="ED28" i="29" s="1"/>
  <c r="EE98" i="29"/>
  <c r="EE28" i="29" s="1"/>
  <c r="EF98" i="29"/>
  <c r="EF28" i="29" s="1"/>
  <c r="EH98" i="29"/>
  <c r="EH28" i="29" s="1"/>
  <c r="EJ98" i="29"/>
  <c r="EJ28" i="29" s="1"/>
  <c r="EL98" i="29"/>
  <c r="EL28" i="29" s="1"/>
  <c r="EM98" i="29"/>
  <c r="EM28" i="29" s="1"/>
  <c r="EN98" i="29"/>
  <c r="EN28" i="29" s="1"/>
  <c r="EP98" i="29"/>
  <c r="EP28" i="29" s="1"/>
  <c r="ER98" i="29"/>
  <c r="ER28" i="29" s="1"/>
  <c r="ET98" i="29"/>
  <c r="ET28" i="29" s="1"/>
  <c r="EU98" i="29"/>
  <c r="EU28" i="29" s="1"/>
  <c r="EV98" i="29"/>
  <c r="EV28" i="29" s="1"/>
  <c r="EX98" i="29"/>
  <c r="EX28" i="29" s="1"/>
  <c r="EZ98" i="29"/>
  <c r="EZ28" i="29" s="1"/>
  <c r="FB98" i="29"/>
  <c r="FB28" i="29" s="1"/>
  <c r="G101" i="29"/>
  <c r="R101" i="29"/>
  <c r="S101" i="29"/>
  <c r="U101" i="29"/>
  <c r="Z101" i="29"/>
  <c r="AA101" i="29"/>
  <c r="AC101" i="29"/>
  <c r="AH101" i="29"/>
  <c r="AI101" i="29"/>
  <c r="AK101" i="29"/>
  <c r="AP101" i="29"/>
  <c r="AQ101" i="29"/>
  <c r="AS101" i="29"/>
  <c r="N101" i="29"/>
  <c r="O101" i="29"/>
  <c r="P101" i="29"/>
  <c r="Q101" i="29"/>
  <c r="E101" i="29"/>
  <c r="BM108" i="29"/>
  <c r="BM21" i="29" s="1"/>
  <c r="T101" i="29"/>
  <c r="BU108" i="29"/>
  <c r="BU21" i="29" s="1"/>
  <c r="V101" i="29"/>
  <c r="W101" i="29"/>
  <c r="CC108" i="29"/>
  <c r="CC21" i="29" s="1"/>
  <c r="Y101" i="29"/>
  <c r="CK108" i="29"/>
  <c r="CK21" i="29" s="1"/>
  <c r="AB101" i="29"/>
  <c r="CS108" i="29"/>
  <c r="CS21" i="29" s="1"/>
  <c r="AD101" i="29"/>
  <c r="AE101" i="29"/>
  <c r="DA108" i="29"/>
  <c r="DA21" i="29" s="1"/>
  <c r="AG101" i="29"/>
  <c r="DI108" i="29"/>
  <c r="DI21" i="29" s="1"/>
  <c r="AJ101" i="29"/>
  <c r="DQ108" i="29"/>
  <c r="DQ21" i="29" s="1"/>
  <c r="AL101" i="29"/>
  <c r="AM101" i="29"/>
  <c r="AN101" i="29"/>
  <c r="AO101" i="29"/>
  <c r="EG108" i="29"/>
  <c r="EG21" i="29" s="1"/>
  <c r="AR101" i="29"/>
  <c r="EO108" i="29"/>
  <c r="EO21" i="29" s="1"/>
  <c r="AT101" i="29"/>
  <c r="AU101" i="29"/>
  <c r="EW108" i="29"/>
  <c r="EW21" i="29" s="1"/>
  <c r="AW101" i="29"/>
  <c r="F102" i="29"/>
  <c r="Q102" i="29"/>
  <c r="Y102" i="29"/>
  <c r="AG102" i="29"/>
  <c r="AO102" i="29"/>
  <c r="AW102" i="29"/>
  <c r="D102" i="29"/>
  <c r="AZ60" i="29"/>
  <c r="BA60" i="29"/>
  <c r="BB60" i="29"/>
  <c r="O60" i="29" s="1"/>
  <c r="BC60" i="29"/>
  <c r="BD60" i="29"/>
  <c r="BE60" i="29"/>
  <c r="P60" i="29" s="1"/>
  <c r="BF60" i="29"/>
  <c r="BG60" i="29"/>
  <c r="BH60" i="29"/>
  <c r="BI60" i="29"/>
  <c r="BJ60" i="29"/>
  <c r="BK60" i="29"/>
  <c r="BL60" i="29"/>
  <c r="BM60" i="29"/>
  <c r="BN60" i="29"/>
  <c r="BO60" i="29"/>
  <c r="BP60" i="29"/>
  <c r="BQ60" i="29"/>
  <c r="BR60" i="29"/>
  <c r="BS60" i="29"/>
  <c r="U102" i="29"/>
  <c r="BU60" i="29"/>
  <c r="BV60" i="29"/>
  <c r="V102" i="29"/>
  <c r="BX60" i="29"/>
  <c r="BY60" i="29"/>
  <c r="BZ60" i="29"/>
  <c r="CA60" i="29"/>
  <c r="W102" i="29"/>
  <c r="CC60" i="29"/>
  <c r="X60" i="29" s="1"/>
  <c r="CD60" i="29"/>
  <c r="CE60" i="29"/>
  <c r="CF60" i="29"/>
  <c r="CG60" i="29"/>
  <c r="CH60" i="29"/>
  <c r="CI60" i="29"/>
  <c r="CJ60" i="29"/>
  <c r="CK60" i="29"/>
  <c r="CL60" i="29"/>
  <c r="CM60" i="29"/>
  <c r="CN60" i="29"/>
  <c r="CO60" i="29"/>
  <c r="CP60" i="29"/>
  <c r="CQ60" i="29"/>
  <c r="AC102" i="29"/>
  <c r="CS60" i="29"/>
  <c r="CT60" i="29"/>
  <c r="AD102" i="29"/>
  <c r="CV60" i="29"/>
  <c r="CV63" i="29" s="1"/>
  <c r="CV17" i="29" s="1"/>
  <c r="CW60" i="29"/>
  <c r="CW63" i="29" s="1"/>
  <c r="CW17" i="29" s="1"/>
  <c r="CX60" i="29"/>
  <c r="CY60" i="29"/>
  <c r="CY63" i="29" s="1"/>
  <c r="CY17" i="29" s="1"/>
  <c r="CZ60" i="29"/>
  <c r="DA60" i="29"/>
  <c r="DB60" i="29"/>
  <c r="DB63" i="29" s="1"/>
  <c r="DB17" i="29" s="1"/>
  <c r="DC60" i="29"/>
  <c r="DD60" i="29"/>
  <c r="DE60" i="29"/>
  <c r="DE63" i="29" s="1"/>
  <c r="DE17" i="29" s="1"/>
  <c r="DF60" i="29"/>
  <c r="DF63" i="29" s="1"/>
  <c r="DF17" i="29" s="1"/>
  <c r="DG60" i="29"/>
  <c r="DH60" i="29"/>
  <c r="DI60" i="29"/>
  <c r="DJ60" i="29"/>
  <c r="DK60" i="29"/>
  <c r="DL60" i="29"/>
  <c r="DM60" i="29"/>
  <c r="DN60" i="29"/>
  <c r="DO60" i="29"/>
  <c r="DO63" i="29" s="1"/>
  <c r="DO17" i="29" s="1"/>
  <c r="AK102" i="29"/>
  <c r="DQ60" i="29"/>
  <c r="DQ63" i="29" s="1"/>
  <c r="DQ17" i="29" s="1"/>
  <c r="DR60" i="29"/>
  <c r="DR63" i="29" s="1"/>
  <c r="DR17" i="29" s="1"/>
  <c r="AL102" i="29"/>
  <c r="DT60" i="29"/>
  <c r="DT63" i="29" s="1"/>
  <c r="DT17" i="29" s="1"/>
  <c r="DU60" i="29"/>
  <c r="DU63" i="29" s="1"/>
  <c r="DU17" i="29" s="1"/>
  <c r="DV60" i="29"/>
  <c r="DW60" i="29"/>
  <c r="AM102" i="29"/>
  <c r="DY60" i="29"/>
  <c r="DZ60" i="29"/>
  <c r="EA60" i="29"/>
  <c r="EA63" i="29" s="1"/>
  <c r="EA17" i="29" s="1"/>
  <c r="EB60" i="29"/>
  <c r="EC60" i="29"/>
  <c r="EC63" i="29" s="1"/>
  <c r="EC17" i="29" s="1"/>
  <c r="ED60" i="29"/>
  <c r="ED63" i="29" s="1"/>
  <c r="ED17" i="29" s="1"/>
  <c r="EE60" i="29"/>
  <c r="EF60" i="29"/>
  <c r="EF63" i="29" s="1"/>
  <c r="EF17" i="29" s="1"/>
  <c r="EG60" i="29"/>
  <c r="EG63" i="29" s="1"/>
  <c r="EG17" i="29" s="1"/>
  <c r="EH60" i="29"/>
  <c r="EI60" i="29"/>
  <c r="EI63" i="29" s="1"/>
  <c r="EI17" i="29" s="1"/>
  <c r="EJ60" i="29"/>
  <c r="EJ63" i="29" s="1"/>
  <c r="EJ17" i="29" s="1"/>
  <c r="EK60" i="29"/>
  <c r="EL60" i="29"/>
  <c r="EL63" i="29" s="1"/>
  <c r="EL17" i="29" s="1"/>
  <c r="EM60" i="29"/>
  <c r="AS102" i="29"/>
  <c r="EO60" i="29"/>
  <c r="EO63" i="29" s="1"/>
  <c r="EO17" i="29" s="1"/>
  <c r="EP60" i="29"/>
  <c r="AT102" i="29"/>
  <c r="ER60" i="29"/>
  <c r="ER63" i="29" s="1"/>
  <c r="ER17" i="29" s="1"/>
  <c r="L102" i="29"/>
  <c r="ET60" i="29"/>
  <c r="EU60" i="29"/>
  <c r="EV60" i="29"/>
  <c r="EV63" i="29" s="1"/>
  <c r="EV17" i="29" s="1"/>
  <c r="EW60" i="29"/>
  <c r="EX60" i="29"/>
  <c r="EY60" i="29"/>
  <c r="EY63" i="29" s="1"/>
  <c r="EY17" i="29" s="1"/>
  <c r="EZ60" i="29"/>
  <c r="FA60" i="29"/>
  <c r="FA63" i="29" s="1"/>
  <c r="FA17" i="29" s="1"/>
  <c r="FB60" i="29"/>
  <c r="FB63" i="29" s="1"/>
  <c r="FB17" i="29" s="1"/>
  <c r="E103" i="29"/>
  <c r="E75" i="29" s="1"/>
  <c r="N103" i="29"/>
  <c r="V103" i="29"/>
  <c r="AD103" i="29"/>
  <c r="AL103" i="29"/>
  <c r="AT103" i="29"/>
  <c r="D103" i="29"/>
  <c r="D75" i="29" s="1"/>
  <c r="O103" i="29"/>
  <c r="BG75" i="29"/>
  <c r="BG79" i="29" s="1"/>
  <c r="BG18" i="29" s="1"/>
  <c r="BM75" i="29"/>
  <c r="BM79" i="29" s="1"/>
  <c r="BM18" i="29" s="1"/>
  <c r="BO75" i="29"/>
  <c r="BO79" i="29" s="1"/>
  <c r="BO18" i="29" s="1"/>
  <c r="BP75" i="29"/>
  <c r="BP79" i="29" s="1"/>
  <c r="BP18" i="29" s="1"/>
  <c r="T103" i="29"/>
  <c r="BU75" i="29"/>
  <c r="BU79" i="29" s="1"/>
  <c r="BU18" i="29" s="1"/>
  <c r="F103" i="29"/>
  <c r="F75" i="29" s="1"/>
  <c r="W103" i="29"/>
  <c r="CE75" i="29"/>
  <c r="CE79" i="29" s="1"/>
  <c r="CE18" i="29" s="1"/>
  <c r="AB103" i="29"/>
  <c r="AE103" i="29"/>
  <c r="AJ103" i="29"/>
  <c r="AM103" i="29"/>
  <c r="AR103" i="29"/>
  <c r="L103" i="29"/>
  <c r="L75" i="29" s="1"/>
  <c r="AU103" i="29"/>
  <c r="EY75" i="29"/>
  <c r="D104" i="29"/>
  <c r="L104" i="29"/>
  <c r="U104" i="29"/>
  <c r="AC104" i="29"/>
  <c r="AK104" i="29"/>
  <c r="AS104" i="29"/>
  <c r="N104" i="29"/>
  <c r="O104" i="29"/>
  <c r="P104" i="29"/>
  <c r="Q104" i="29"/>
  <c r="E104" i="29"/>
  <c r="R104" i="29"/>
  <c r="S104" i="29"/>
  <c r="T104" i="29"/>
  <c r="V104" i="29"/>
  <c r="F104" i="29"/>
  <c r="X104" i="29"/>
  <c r="Y104" i="29"/>
  <c r="G104" i="29"/>
  <c r="AA104" i="29"/>
  <c r="AB104" i="29"/>
  <c r="CP106" i="29"/>
  <c r="AD104" i="29"/>
  <c r="AE104" i="29"/>
  <c r="AF104" i="29"/>
  <c r="AG104" i="29"/>
  <c r="DF106" i="29"/>
  <c r="I104" i="29"/>
  <c r="AI104" i="29"/>
  <c r="AJ104" i="29"/>
  <c r="DN106" i="29"/>
  <c r="J104" i="29"/>
  <c r="AM104" i="29"/>
  <c r="AN104" i="29"/>
  <c r="AO104" i="29"/>
  <c r="ED106" i="29"/>
  <c r="K104" i="29"/>
  <c r="AP104" i="29"/>
  <c r="AQ104" i="29"/>
  <c r="AR104" i="29"/>
  <c r="EL106" i="29"/>
  <c r="AT104" i="29"/>
  <c r="AU104" i="29"/>
  <c r="AV104" i="29"/>
  <c r="AW104" i="29"/>
  <c r="FB106" i="29"/>
  <c r="K105" i="29"/>
  <c r="D105" i="29"/>
  <c r="BA108" i="29"/>
  <c r="BA21" i="29" s="1"/>
  <c r="O105" i="29"/>
  <c r="BC108" i="29"/>
  <c r="BC21" i="29" s="1"/>
  <c r="P105" i="29"/>
  <c r="BI108" i="29"/>
  <c r="BI21" i="29" s="1"/>
  <c r="R105" i="29"/>
  <c r="S105" i="29"/>
  <c r="BQ108" i="29"/>
  <c r="BQ21" i="29" s="1"/>
  <c r="BS108" i="29"/>
  <c r="BS21" i="29" s="1"/>
  <c r="U105" i="29"/>
  <c r="F105" i="29"/>
  <c r="BY108" i="29"/>
  <c r="BY21" i="29" s="1"/>
  <c r="W105" i="29"/>
  <c r="CA108" i="29"/>
  <c r="CA21" i="29" s="1"/>
  <c r="X105" i="29"/>
  <c r="CG108" i="29"/>
  <c r="CG21" i="29" s="1"/>
  <c r="Z105" i="29"/>
  <c r="AA105" i="29"/>
  <c r="CM106" i="29"/>
  <c r="AB105" i="29"/>
  <c r="CQ108" i="29"/>
  <c r="CQ21" i="29" s="1"/>
  <c r="AC105" i="29"/>
  <c r="CU106" i="29"/>
  <c r="CW108" i="29"/>
  <c r="CW21" i="29" s="1"/>
  <c r="AE105" i="29"/>
  <c r="CY108" i="29"/>
  <c r="CY21" i="29" s="1"/>
  <c r="AF105" i="29"/>
  <c r="DC106" i="29"/>
  <c r="DE108" i="29"/>
  <c r="DE21" i="29" s="1"/>
  <c r="I105" i="29"/>
  <c r="AI105" i="29"/>
  <c r="DK106" i="29"/>
  <c r="DM108" i="29"/>
  <c r="DM21" i="29" s="1"/>
  <c r="DO108" i="29"/>
  <c r="DO21" i="29" s="1"/>
  <c r="AK105" i="29"/>
  <c r="J105" i="29"/>
  <c r="DU108" i="29"/>
  <c r="DU21" i="29" s="1"/>
  <c r="AM105" i="29"/>
  <c r="DW108" i="29"/>
  <c r="DW21" i="29" s="1"/>
  <c r="AN105" i="29"/>
  <c r="EA106" i="29"/>
  <c r="EC108" i="29"/>
  <c r="EC21" i="29" s="1"/>
  <c r="AP105" i="29"/>
  <c r="AQ105" i="29"/>
  <c r="EI106" i="29"/>
  <c r="EK108" i="29"/>
  <c r="EK21" i="29" s="1"/>
  <c r="EM108" i="29"/>
  <c r="EM21" i="29" s="1"/>
  <c r="AS105" i="29"/>
  <c r="EQ106" i="29"/>
  <c r="ES108" i="29"/>
  <c r="ES21" i="29" s="1"/>
  <c r="AU105" i="29"/>
  <c r="EU108" i="29"/>
  <c r="EU21" i="29" s="1"/>
  <c r="AV105" i="29"/>
  <c r="EY106" i="29"/>
  <c r="FA108" i="29"/>
  <c r="FA21" i="29" s="1"/>
  <c r="AY106" i="29"/>
  <c r="AZ106" i="29"/>
  <c r="BA106" i="29"/>
  <c r="BB106" i="29"/>
  <c r="BC106" i="29"/>
  <c r="BE106" i="29"/>
  <c r="BF106" i="29"/>
  <c r="BG106" i="29"/>
  <c r="BH106" i="29"/>
  <c r="BI106" i="29"/>
  <c r="BJ106" i="29"/>
  <c r="BK106" i="29"/>
  <c r="BM106" i="29"/>
  <c r="BN106" i="29"/>
  <c r="BO106" i="29"/>
  <c r="BP106" i="29"/>
  <c r="BQ106" i="29"/>
  <c r="BR106" i="29"/>
  <c r="BS106" i="29"/>
  <c r="BU106" i="29"/>
  <c r="BV106" i="29"/>
  <c r="BW106" i="29"/>
  <c r="BX106" i="29"/>
  <c r="BY106" i="29"/>
  <c r="BZ106" i="29"/>
  <c r="CA106" i="29"/>
  <c r="CC106" i="29"/>
  <c r="CD106" i="29"/>
  <c r="CE106" i="29"/>
  <c r="CF106" i="29"/>
  <c r="CG106" i="29"/>
  <c r="CL106" i="29"/>
  <c r="CN106" i="29"/>
  <c r="CT106" i="29"/>
  <c r="CV106" i="29"/>
  <c r="DB106" i="29"/>
  <c r="DD106" i="29"/>
  <c r="DJ106" i="29"/>
  <c r="DL106" i="29"/>
  <c r="DR106" i="29"/>
  <c r="DT106" i="29"/>
  <c r="DZ106" i="29"/>
  <c r="EB106" i="29"/>
  <c r="EH106" i="29"/>
  <c r="EJ106" i="29"/>
  <c r="EP106" i="29"/>
  <c r="ER106" i="29"/>
  <c r="EX106" i="29"/>
  <c r="EZ106" i="29"/>
  <c r="AY108" i="29"/>
  <c r="AY21" i="29" s="1"/>
  <c r="AZ108" i="29"/>
  <c r="AZ21" i="29" s="1"/>
  <c r="BB108" i="29"/>
  <c r="BB21" i="29" s="1"/>
  <c r="BD108" i="29"/>
  <c r="BD21" i="29" s="1"/>
  <c r="BF108" i="29"/>
  <c r="BF21" i="29" s="1"/>
  <c r="BG108" i="29"/>
  <c r="BG21" i="29" s="1"/>
  <c r="BH108" i="29"/>
  <c r="BH21" i="29" s="1"/>
  <c r="BJ108" i="29"/>
  <c r="BJ21" i="29" s="1"/>
  <c r="BL108" i="29"/>
  <c r="BL21" i="29" s="1"/>
  <c r="BN108" i="29"/>
  <c r="BN21" i="29" s="1"/>
  <c r="BO108" i="29"/>
  <c r="BO21" i="29" s="1"/>
  <c r="BP108" i="29"/>
  <c r="BP21" i="29" s="1"/>
  <c r="BR108" i="29"/>
  <c r="BR21" i="29" s="1"/>
  <c r="BT108" i="29"/>
  <c r="BT21" i="29" s="1"/>
  <c r="BV108" i="29"/>
  <c r="BV21" i="29" s="1"/>
  <c r="BW108" i="29"/>
  <c r="BW21" i="29" s="1"/>
  <c r="BX108" i="29"/>
  <c r="BX21" i="29" s="1"/>
  <c r="BZ108" i="29"/>
  <c r="BZ21" i="29" s="1"/>
  <c r="CB108" i="29"/>
  <c r="CB21" i="29" s="1"/>
  <c r="CD108" i="29"/>
  <c r="CD21" i="29" s="1"/>
  <c r="CE108" i="29"/>
  <c r="CE21" i="29" s="1"/>
  <c r="CF108" i="29"/>
  <c r="CF21" i="29" s="1"/>
  <c r="CH108" i="29"/>
  <c r="CH21" i="29" s="1"/>
  <c r="CJ108" i="29"/>
  <c r="CJ21" i="29" s="1"/>
  <c r="CL108" i="29"/>
  <c r="CL21" i="29" s="1"/>
  <c r="CM108" i="29"/>
  <c r="CM21" i="29" s="1"/>
  <c r="CN108" i="29"/>
  <c r="CN21" i="29" s="1"/>
  <c r="CP108" i="29"/>
  <c r="CP21" i="29" s="1"/>
  <c r="CR108" i="29"/>
  <c r="CR21" i="29" s="1"/>
  <c r="CT108" i="29"/>
  <c r="CT21" i="29" s="1"/>
  <c r="CU108" i="29"/>
  <c r="CU21" i="29" s="1"/>
  <c r="CV108" i="29"/>
  <c r="CV21" i="29" s="1"/>
  <c r="CX108" i="29"/>
  <c r="CX21" i="29" s="1"/>
  <c r="CZ108" i="29"/>
  <c r="CZ21" i="29" s="1"/>
  <c r="DB108" i="29"/>
  <c r="DB21" i="29" s="1"/>
  <c r="DC108" i="29"/>
  <c r="DC21" i="29" s="1"/>
  <c r="DD108" i="29"/>
  <c r="DD21" i="29" s="1"/>
  <c r="DF108" i="29"/>
  <c r="DF21" i="29" s="1"/>
  <c r="DH108" i="29"/>
  <c r="DH21" i="29" s="1"/>
  <c r="DJ108" i="29"/>
  <c r="DJ21" i="29" s="1"/>
  <c r="DK108" i="29"/>
  <c r="DK21" i="29" s="1"/>
  <c r="DL108" i="29"/>
  <c r="DL21" i="29" s="1"/>
  <c r="DN108" i="29"/>
  <c r="DN21" i="29" s="1"/>
  <c r="DP108" i="29"/>
  <c r="DP21" i="29" s="1"/>
  <c r="DR108" i="29"/>
  <c r="DR21" i="29" s="1"/>
  <c r="DS108" i="29"/>
  <c r="DS21" i="29" s="1"/>
  <c r="DT108" i="29"/>
  <c r="DT21" i="29" s="1"/>
  <c r="DV108" i="29"/>
  <c r="DV21" i="29" s="1"/>
  <c r="DX108" i="29"/>
  <c r="DX21" i="29" s="1"/>
  <c r="DZ108" i="29"/>
  <c r="DZ21" i="29" s="1"/>
  <c r="EA108" i="29"/>
  <c r="EA21" i="29" s="1"/>
  <c r="EB108" i="29"/>
  <c r="EB21" i="29" s="1"/>
  <c r="ED108" i="29"/>
  <c r="ED21" i="29" s="1"/>
  <c r="EF108" i="29"/>
  <c r="EF21" i="29" s="1"/>
  <c r="EH108" i="29"/>
  <c r="EH21" i="29" s="1"/>
  <c r="EI108" i="29"/>
  <c r="EI21" i="29" s="1"/>
  <c r="EJ108" i="29"/>
  <c r="EJ21" i="29" s="1"/>
  <c r="EL108" i="29"/>
  <c r="EL21" i="29" s="1"/>
  <c r="EN108" i="29"/>
  <c r="EN21" i="29" s="1"/>
  <c r="EP108" i="29"/>
  <c r="EP21" i="29" s="1"/>
  <c r="EQ108" i="29"/>
  <c r="EQ21" i="29" s="1"/>
  <c r="ER108" i="29"/>
  <c r="ER21" i="29" s="1"/>
  <c r="ET108" i="29"/>
  <c r="ET21" i="29" s="1"/>
  <c r="EV108" i="29"/>
  <c r="EV21" i="29" s="1"/>
  <c r="EX108" i="29"/>
  <c r="EX21" i="29" s="1"/>
  <c r="EY108" i="29"/>
  <c r="EY21" i="29" s="1"/>
  <c r="EZ108" i="29"/>
  <c r="EZ21" i="29" s="1"/>
  <c r="FB108" i="29"/>
  <c r="FB21" i="29" s="1"/>
  <c r="N111" i="29"/>
  <c r="Q111" i="29"/>
  <c r="V111" i="29"/>
  <c r="Y111" i="29"/>
  <c r="AD111" i="29"/>
  <c r="AG111" i="29"/>
  <c r="AL111" i="29"/>
  <c r="AO111" i="29"/>
  <c r="AT111" i="29"/>
  <c r="AW111" i="29"/>
  <c r="D111" i="29"/>
  <c r="BA118" i="29"/>
  <c r="O111" i="29"/>
  <c r="P111" i="29"/>
  <c r="BI118" i="29"/>
  <c r="R111" i="29"/>
  <c r="S111" i="29"/>
  <c r="BQ118" i="29"/>
  <c r="U111" i="29"/>
  <c r="F111" i="29"/>
  <c r="BY118" i="29"/>
  <c r="W111" i="29"/>
  <c r="X111" i="29"/>
  <c r="CG118" i="29"/>
  <c r="Z111" i="29"/>
  <c r="AA111" i="29"/>
  <c r="CO118" i="29"/>
  <c r="AC111" i="29"/>
  <c r="CW118" i="29"/>
  <c r="AE111" i="29"/>
  <c r="AF111" i="29"/>
  <c r="DE118" i="29"/>
  <c r="AH111" i="29"/>
  <c r="AI111" i="29"/>
  <c r="DM118" i="29"/>
  <c r="AK111" i="29"/>
  <c r="DU118" i="29"/>
  <c r="AM111" i="29"/>
  <c r="AN111" i="29"/>
  <c r="EC118" i="29"/>
  <c r="AP111" i="29"/>
  <c r="AQ111" i="29"/>
  <c r="EK118" i="29"/>
  <c r="AS111" i="29"/>
  <c r="ES118" i="29"/>
  <c r="AU111" i="29"/>
  <c r="AV111" i="29"/>
  <c r="FA118" i="29"/>
  <c r="J112" i="29"/>
  <c r="U112" i="29"/>
  <c r="AC112" i="29"/>
  <c r="AK112" i="29"/>
  <c r="AS112" i="29"/>
  <c r="N112" i="29"/>
  <c r="D112" i="29"/>
  <c r="BA65" i="29"/>
  <c r="BB65" i="29"/>
  <c r="BC65" i="29"/>
  <c r="BD65" i="29"/>
  <c r="BE65" i="29"/>
  <c r="BF65" i="29"/>
  <c r="BG65" i="29"/>
  <c r="Q112" i="29"/>
  <c r="BI65" i="29"/>
  <c r="BJ65" i="29"/>
  <c r="R112" i="29"/>
  <c r="BL65" i="29"/>
  <c r="BM65" i="29"/>
  <c r="BN65" i="29"/>
  <c r="BO65" i="29"/>
  <c r="S112" i="29"/>
  <c r="BQ65" i="29"/>
  <c r="T65" i="29" s="1"/>
  <c r="BR65" i="29"/>
  <c r="BS65" i="29"/>
  <c r="BT65" i="29"/>
  <c r="U65" i="29" s="1"/>
  <c r="BU65" i="29"/>
  <c r="BV65" i="29"/>
  <c r="V112" i="29"/>
  <c r="BX65" i="29"/>
  <c r="BY65" i="29"/>
  <c r="BZ65" i="29"/>
  <c r="CA65" i="29"/>
  <c r="CB65" i="29"/>
  <c r="CC65" i="29"/>
  <c r="CD65" i="29"/>
  <c r="CE65" i="29"/>
  <c r="Y112" i="29"/>
  <c r="CG65" i="29"/>
  <c r="CH65" i="29"/>
  <c r="Z112" i="29"/>
  <c r="CJ65" i="29"/>
  <c r="CK65" i="29"/>
  <c r="CL65" i="29"/>
  <c r="CM65" i="29"/>
  <c r="AA112" i="29"/>
  <c r="CO65" i="29"/>
  <c r="AB65" i="29" s="1"/>
  <c r="CP65" i="29"/>
  <c r="CQ65" i="29"/>
  <c r="CR65" i="29"/>
  <c r="AC65" i="29" s="1"/>
  <c r="CS65" i="29"/>
  <c r="CT65" i="29"/>
  <c r="AD112" i="29"/>
  <c r="H112" i="29"/>
  <c r="CW65" i="29"/>
  <c r="CW68" i="29" s="1"/>
  <c r="CX65" i="29"/>
  <c r="CY65" i="29"/>
  <c r="CY68" i="29" s="1"/>
  <c r="CZ65" i="29"/>
  <c r="CZ68" i="29" s="1"/>
  <c r="DA65" i="29"/>
  <c r="DB65" i="29"/>
  <c r="DB68" i="29" s="1"/>
  <c r="DC65" i="29"/>
  <c r="DC68" i="29" s="1"/>
  <c r="AG112" i="29"/>
  <c r="DE65" i="29"/>
  <c r="DE68" i="29" s="1"/>
  <c r="DF65" i="29"/>
  <c r="DF68" i="29" s="1"/>
  <c r="I112" i="29"/>
  <c r="DH65" i="29"/>
  <c r="DH68" i="29" s="1"/>
  <c r="DI65" i="29"/>
  <c r="DI68" i="29" s="1"/>
  <c r="DJ65" i="29"/>
  <c r="DK65" i="29"/>
  <c r="DK68" i="29" s="1"/>
  <c r="AI112" i="29"/>
  <c r="DM65" i="29"/>
  <c r="DN65" i="29"/>
  <c r="DN68" i="29" s="1"/>
  <c r="DO65" i="29"/>
  <c r="DO68" i="29" s="1"/>
  <c r="DP65" i="29"/>
  <c r="DQ65" i="29"/>
  <c r="DQ68" i="29" s="1"/>
  <c r="DR65" i="29"/>
  <c r="DR68" i="29" s="1"/>
  <c r="AL112" i="29"/>
  <c r="DT116" i="29"/>
  <c r="DU65" i="29"/>
  <c r="DV65" i="29"/>
  <c r="DW65" i="29"/>
  <c r="DX65" i="29"/>
  <c r="DY65" i="29"/>
  <c r="DZ65" i="29"/>
  <c r="EA65" i="29"/>
  <c r="EA68" i="29" s="1"/>
  <c r="AO112" i="29"/>
  <c r="EC65" i="29"/>
  <c r="ED65" i="29"/>
  <c r="ED68" i="29" s="1"/>
  <c r="AP112" i="29"/>
  <c r="EF65" i="29"/>
  <c r="EG65" i="29"/>
  <c r="EG68" i="29" s="1"/>
  <c r="EH65" i="29"/>
  <c r="EI65" i="29"/>
  <c r="EI68" i="29" s="1"/>
  <c r="EJ116" i="29"/>
  <c r="EK65" i="29"/>
  <c r="EL65" i="29"/>
  <c r="EL68" i="29" s="1"/>
  <c r="EM65" i="29"/>
  <c r="EN65" i="29"/>
  <c r="EO65" i="29"/>
  <c r="EO68" i="29" s="1"/>
  <c r="EP65" i="29"/>
  <c r="AT112" i="29"/>
  <c r="L112" i="29"/>
  <c r="ES65" i="29"/>
  <c r="ET65" i="29"/>
  <c r="EU65" i="29"/>
  <c r="EV65" i="29"/>
  <c r="EW65" i="29"/>
  <c r="EX65" i="29"/>
  <c r="EY65" i="29"/>
  <c r="EY68" i="29" s="1"/>
  <c r="AW112" i="29"/>
  <c r="FA65" i="29"/>
  <c r="FB65" i="29"/>
  <c r="FB68" i="29" s="1"/>
  <c r="I113" i="29"/>
  <c r="I76" i="29" s="1"/>
  <c r="R113" i="29"/>
  <c r="Z113" i="29"/>
  <c r="AH113" i="29"/>
  <c r="AP113" i="29"/>
  <c r="P113" i="29"/>
  <c r="Q113" i="29"/>
  <c r="S113" i="29"/>
  <c r="T113" i="29"/>
  <c r="X113" i="29"/>
  <c r="Y113" i="29"/>
  <c r="G113" i="29"/>
  <c r="G76" i="29" s="1"/>
  <c r="AA113" i="29"/>
  <c r="CN76" i="29"/>
  <c r="CN80" i="29" s="1"/>
  <c r="CN25" i="29" s="1"/>
  <c r="AB113" i="29"/>
  <c r="CP76" i="29"/>
  <c r="CP80" i="29" s="1"/>
  <c r="CP25" i="29" s="1"/>
  <c r="CR76" i="29"/>
  <c r="H113" i="29"/>
  <c r="H76" i="29" s="1"/>
  <c r="CV76" i="29"/>
  <c r="CV80" i="29" s="1"/>
  <c r="CV25" i="29" s="1"/>
  <c r="CX76" i="29"/>
  <c r="AF113" i="29"/>
  <c r="DC76" i="29"/>
  <c r="DC80" i="29" s="1"/>
  <c r="DC25" i="29" s="1"/>
  <c r="AG113" i="29"/>
  <c r="DF76" i="29"/>
  <c r="DF80" i="29" s="1"/>
  <c r="DF25" i="29" s="1"/>
  <c r="AI113" i="29"/>
  <c r="AJ113" i="29"/>
  <c r="DN76" i="29"/>
  <c r="J113" i="29"/>
  <c r="J76" i="29" s="1"/>
  <c r="DT76" i="29"/>
  <c r="AN113" i="29"/>
  <c r="EA76" i="29"/>
  <c r="AO113" i="29"/>
  <c r="AQ113" i="29"/>
  <c r="AR113" i="29"/>
  <c r="AV113" i="29"/>
  <c r="AW113" i="29"/>
  <c r="H114" i="29"/>
  <c r="Q114" i="29"/>
  <c r="Y114" i="29"/>
  <c r="AG114" i="29"/>
  <c r="AO114" i="29"/>
  <c r="AW114" i="29"/>
  <c r="D114" i="29"/>
  <c r="N114" i="29"/>
  <c r="O114" i="29"/>
  <c r="P114" i="29"/>
  <c r="R114" i="29"/>
  <c r="S114" i="29"/>
  <c r="T114" i="29"/>
  <c r="U114" i="29"/>
  <c r="F114" i="29"/>
  <c r="W114" i="29"/>
  <c r="X114" i="29"/>
  <c r="G114" i="29"/>
  <c r="AA114" i="29"/>
  <c r="AB114" i="29"/>
  <c r="AC114" i="29"/>
  <c r="CT116" i="29"/>
  <c r="AD114" i="29"/>
  <c r="AE114" i="29"/>
  <c r="AF114" i="29"/>
  <c r="DB116" i="29"/>
  <c r="I114" i="29"/>
  <c r="AI114" i="29"/>
  <c r="AJ114" i="29"/>
  <c r="AK114" i="29"/>
  <c r="DR116" i="29"/>
  <c r="J114" i="29"/>
  <c r="AM114" i="29"/>
  <c r="AN114" i="29"/>
  <c r="DZ116" i="29"/>
  <c r="AP114" i="29"/>
  <c r="AQ114" i="29"/>
  <c r="AR114" i="29"/>
  <c r="AS114" i="29"/>
  <c r="EP116" i="29"/>
  <c r="L114" i="29"/>
  <c r="AU114" i="29"/>
  <c r="AV114" i="29"/>
  <c r="EX116" i="29"/>
  <c r="G115" i="29"/>
  <c r="N115" i="29"/>
  <c r="O115" i="29"/>
  <c r="BE118" i="29"/>
  <c r="BG118" i="29"/>
  <c r="Q115" i="29"/>
  <c r="E115" i="29"/>
  <c r="BM118" i="29"/>
  <c r="BO118" i="29"/>
  <c r="T115" i="29"/>
  <c r="BU118" i="29"/>
  <c r="V115" i="29"/>
  <c r="W115" i="29"/>
  <c r="X115" i="29"/>
  <c r="CE118" i="29"/>
  <c r="Y115" i="29"/>
  <c r="CI116" i="29"/>
  <c r="CK118" i="29"/>
  <c r="AA115" i="29"/>
  <c r="CM118" i="29"/>
  <c r="AB115" i="29"/>
  <c r="CQ116" i="29"/>
  <c r="CS118" i="29"/>
  <c r="AD115" i="29"/>
  <c r="AE115" i="29"/>
  <c r="CY116" i="29"/>
  <c r="DA118" i="29"/>
  <c r="DC118" i="29"/>
  <c r="AG115" i="29"/>
  <c r="DG116" i="29"/>
  <c r="DI118" i="29"/>
  <c r="AI115" i="29"/>
  <c r="DK118" i="29"/>
  <c r="AJ115" i="29"/>
  <c r="DO116" i="29"/>
  <c r="DQ118" i="29"/>
  <c r="AL115" i="29"/>
  <c r="AM115" i="29"/>
  <c r="DW116" i="29"/>
  <c r="AN115" i="29"/>
  <c r="EA118" i="29"/>
  <c r="AO115" i="29"/>
  <c r="EE116" i="29"/>
  <c r="EG118" i="29"/>
  <c r="AQ115" i="29"/>
  <c r="EI118" i="29"/>
  <c r="AR115" i="29"/>
  <c r="EM116" i="29"/>
  <c r="EO118" i="29"/>
  <c r="AT115" i="29"/>
  <c r="AU115" i="29"/>
  <c r="EU116" i="29"/>
  <c r="EW118" i="29"/>
  <c r="EY118" i="29"/>
  <c r="AW115" i="29"/>
  <c r="AY116" i="29"/>
  <c r="BA116" i="29"/>
  <c r="BB116" i="29"/>
  <c r="BC116" i="29"/>
  <c r="BD116" i="29"/>
  <c r="BE116" i="29"/>
  <c r="BF116" i="29"/>
  <c r="BG116" i="29"/>
  <c r="BI116" i="29"/>
  <c r="BJ116" i="29"/>
  <c r="BK116" i="29"/>
  <c r="BL116" i="29"/>
  <c r="BM116" i="29"/>
  <c r="BN116" i="29"/>
  <c r="BO116" i="29"/>
  <c r="BQ116" i="29"/>
  <c r="BR116" i="29"/>
  <c r="BS116" i="29"/>
  <c r="BT116" i="29"/>
  <c r="BU116" i="29"/>
  <c r="BV116" i="29"/>
  <c r="BW116" i="29"/>
  <c r="BY116" i="29"/>
  <c r="BZ116" i="29"/>
  <c r="CA116" i="29"/>
  <c r="CB116" i="29"/>
  <c r="CC116" i="29"/>
  <c r="CD116" i="29"/>
  <c r="CE116" i="29"/>
  <c r="CG116" i="29"/>
  <c r="CJ116" i="29"/>
  <c r="CP116" i="29"/>
  <c r="CR116" i="29"/>
  <c r="CX116" i="29"/>
  <c r="CZ116" i="29"/>
  <c r="DF116" i="29"/>
  <c r="DH116" i="29"/>
  <c r="DN116" i="29"/>
  <c r="DP116" i="29"/>
  <c r="DV116" i="29"/>
  <c r="DX116" i="29"/>
  <c r="ED116" i="29"/>
  <c r="EF116" i="29"/>
  <c r="EL116" i="29"/>
  <c r="EN116" i="29"/>
  <c r="ET116" i="29"/>
  <c r="EV116" i="29"/>
  <c r="FB116" i="29"/>
  <c r="AZ118" i="29"/>
  <c r="BB118" i="29"/>
  <c r="BC118" i="29"/>
  <c r="BD118" i="29"/>
  <c r="BF118" i="29"/>
  <c r="BH118" i="29"/>
  <c r="BJ118" i="29"/>
  <c r="BK118" i="29"/>
  <c r="BL118" i="29"/>
  <c r="BN118" i="29"/>
  <c r="BP118" i="29"/>
  <c r="BR118" i="29"/>
  <c r="BS118" i="29"/>
  <c r="BT118" i="29"/>
  <c r="BV118" i="29"/>
  <c r="BX118" i="29"/>
  <c r="BZ118" i="29"/>
  <c r="CA118" i="29"/>
  <c r="CB118" i="29"/>
  <c r="CD118" i="29"/>
  <c r="CF118" i="29"/>
  <c r="CH118" i="29"/>
  <c r="CI118" i="29"/>
  <c r="CJ118" i="29"/>
  <c r="CL118" i="29"/>
  <c r="CN118" i="29"/>
  <c r="CP118" i="29"/>
  <c r="CQ118" i="29"/>
  <c r="CR118" i="29"/>
  <c r="CT118" i="29"/>
  <c r="CV118" i="29"/>
  <c r="CX118" i="29"/>
  <c r="CY118" i="29"/>
  <c r="CZ118" i="29"/>
  <c r="DB118" i="29"/>
  <c r="DD118" i="29"/>
  <c r="DF118" i="29"/>
  <c r="DG118" i="29"/>
  <c r="DH118" i="29"/>
  <c r="DJ118" i="29"/>
  <c r="DL118" i="29"/>
  <c r="DN118" i="29"/>
  <c r="DO118" i="29"/>
  <c r="DP118" i="29"/>
  <c r="DR118" i="29"/>
  <c r="DT118" i="29"/>
  <c r="DV118" i="29"/>
  <c r="DW118" i="29"/>
  <c r="DX118" i="29"/>
  <c r="DZ118" i="29"/>
  <c r="EB118" i="29"/>
  <c r="ED118" i="29"/>
  <c r="EE118" i="29"/>
  <c r="EF118" i="29"/>
  <c r="EH118" i="29"/>
  <c r="EJ118" i="29"/>
  <c r="EL118" i="29"/>
  <c r="EM118" i="29"/>
  <c r="EN118" i="29"/>
  <c r="EP118" i="29"/>
  <c r="ER118" i="29"/>
  <c r="ET118" i="29"/>
  <c r="EU118" i="29"/>
  <c r="EV118" i="29"/>
  <c r="EX118" i="29"/>
  <c r="EZ118" i="29"/>
  <c r="FB118" i="29"/>
  <c r="H134" i="29"/>
  <c r="I134" i="29" s="1"/>
  <c r="J134" i="29" s="1"/>
  <c r="K134" i="29" s="1"/>
  <c r="L134" i="29" s="1"/>
  <c r="H135" i="29"/>
  <c r="I135" i="29" s="1"/>
  <c r="J135" i="29" s="1"/>
  <c r="K135" i="29" s="1"/>
  <c r="L135" i="29" s="1"/>
  <c r="H136" i="29"/>
  <c r="I136" i="29"/>
  <c r="J136" i="29" s="1"/>
  <c r="K136" i="29" s="1"/>
  <c r="L136" i="29" s="1"/>
  <c r="J144" i="29"/>
  <c r="K144" i="29" s="1"/>
  <c r="L144" i="29" s="1"/>
  <c r="J145" i="29"/>
  <c r="K145" i="29" s="1"/>
  <c r="L145" i="29" s="1"/>
  <c r="J146" i="29"/>
  <c r="K146" i="29" s="1"/>
  <c r="L146" i="29" s="1"/>
  <c r="J149" i="29"/>
  <c r="K149" i="29" s="1"/>
  <c r="L149" i="29" s="1"/>
  <c r="J150" i="29"/>
  <c r="K150" i="29" s="1"/>
  <c r="L150" i="29" s="1"/>
  <c r="J151" i="29"/>
  <c r="K151" i="29"/>
  <c r="L151" i="29" s="1"/>
  <c r="G160" i="29"/>
  <c r="G161" i="29"/>
  <c r="G162" i="29"/>
  <c r="K164" i="29"/>
  <c r="L164" i="29"/>
  <c r="G170" i="29"/>
  <c r="I170" i="29"/>
  <c r="K170" i="29"/>
  <c r="L170" i="29"/>
  <c r="H170" i="29"/>
  <c r="J170" i="29"/>
  <c r="D66" i="28"/>
  <c r="F64" i="28"/>
  <c r="F84" i="28" s="1"/>
  <c r="J44" i="28"/>
  <c r="M66" i="28"/>
  <c r="O64" i="28"/>
  <c r="O84" i="28" s="1"/>
  <c r="R44" i="28"/>
  <c r="U66" i="28"/>
  <c r="W64" i="28"/>
  <c r="W84" i="28" s="1"/>
  <c r="Z44" i="28"/>
  <c r="C44" i="28"/>
  <c r="E44" i="28"/>
  <c r="L44" i="28"/>
  <c r="N44" i="28"/>
  <c r="T44" i="28"/>
  <c r="V44" i="28"/>
  <c r="AB44" i="28"/>
  <c r="G44" i="28"/>
  <c r="I44" i="28"/>
  <c r="I45" i="28" s="1"/>
  <c r="K44" i="28"/>
  <c r="K45" i="28" s="1"/>
  <c r="P44" i="28"/>
  <c r="Q44" i="28"/>
  <c r="Q45" i="28" s="1"/>
  <c r="S44" i="28"/>
  <c r="S45" i="28" s="1"/>
  <c r="X44" i="28"/>
  <c r="Y44" i="28"/>
  <c r="Y45" i="28" s="1"/>
  <c r="AA44" i="28"/>
  <c r="AA45" i="28" s="1"/>
  <c r="G45" i="28"/>
  <c r="P45" i="28"/>
  <c r="X45" i="28"/>
  <c r="I53" i="28"/>
  <c r="I69" i="28" s="1"/>
  <c r="K63" i="28"/>
  <c r="K83" i="28" s="1"/>
  <c r="Q53" i="28"/>
  <c r="Q69" i="28" s="1"/>
  <c r="S63" i="28"/>
  <c r="S83" i="28" s="1"/>
  <c r="Y53" i="28"/>
  <c r="Y69" i="28" s="1"/>
  <c r="AA63" i="28"/>
  <c r="AA83" i="28" s="1"/>
  <c r="G64" i="28"/>
  <c r="G84" i="28" s="1"/>
  <c r="J53" i="28"/>
  <c r="J69" i="28" s="1"/>
  <c r="P64" i="28"/>
  <c r="P84" i="28" s="1"/>
  <c r="R53" i="28"/>
  <c r="R69" i="28" s="1"/>
  <c r="X64" i="28"/>
  <c r="X84" i="28" s="1"/>
  <c r="Z53" i="28"/>
  <c r="Z69" i="28" s="1"/>
  <c r="F65" i="28"/>
  <c r="F85" i="28" s="1"/>
  <c r="I65" i="28"/>
  <c r="I85" i="28" s="1"/>
  <c r="O65" i="28"/>
  <c r="O85" i="28" s="1"/>
  <c r="Q65" i="28"/>
  <c r="Q85" i="28" s="1"/>
  <c r="W65" i="28"/>
  <c r="W85" i="28" s="1"/>
  <c r="Y65" i="28"/>
  <c r="Y85" i="28" s="1"/>
  <c r="E66" i="28"/>
  <c r="E86" i="28" s="1"/>
  <c r="G66" i="28"/>
  <c r="G86" i="28" s="1"/>
  <c r="N66" i="28"/>
  <c r="P66" i="28"/>
  <c r="V66" i="28"/>
  <c r="V86" i="28" s="1"/>
  <c r="X66" i="28"/>
  <c r="D67" i="28"/>
  <c r="D87" i="28" s="1"/>
  <c r="F67" i="28"/>
  <c r="F87" i="28" s="1"/>
  <c r="M67" i="28"/>
  <c r="M87" i="28" s="1"/>
  <c r="O67" i="28"/>
  <c r="U67" i="28"/>
  <c r="U87" i="28" s="1"/>
  <c r="W67" i="28"/>
  <c r="C68" i="28"/>
  <c r="C88" i="28" s="1"/>
  <c r="E68" i="28"/>
  <c r="E88" i="28" s="1"/>
  <c r="L68" i="28"/>
  <c r="L88" i="28" s="1"/>
  <c r="N68" i="28"/>
  <c r="N88" i="28" s="1"/>
  <c r="T68" i="28"/>
  <c r="T88" i="28" s="1"/>
  <c r="V68" i="28"/>
  <c r="V88" i="28" s="1"/>
  <c r="AB68" i="28"/>
  <c r="AB88" i="28" s="1"/>
  <c r="K53" i="28"/>
  <c r="K69" i="28" s="1"/>
  <c r="S53" i="28"/>
  <c r="S69" i="28" s="1"/>
  <c r="AA53" i="28"/>
  <c r="AA69" i="28" s="1"/>
  <c r="C59" i="28"/>
  <c r="D59" i="28"/>
  <c r="E59" i="28"/>
  <c r="F59" i="28"/>
  <c r="G59" i="28"/>
  <c r="I59" i="28"/>
  <c r="J59" i="28"/>
  <c r="K59" i="28"/>
  <c r="L59" i="28"/>
  <c r="M59" i="28"/>
  <c r="N59" i="28"/>
  <c r="O59" i="28"/>
  <c r="P59" i="28"/>
  <c r="Q59" i="28"/>
  <c r="R59" i="28"/>
  <c r="S59" i="28"/>
  <c r="T59" i="28"/>
  <c r="U59" i="28"/>
  <c r="V59" i="28"/>
  <c r="W59" i="28"/>
  <c r="X59" i="28"/>
  <c r="Y59" i="28"/>
  <c r="Z59" i="28"/>
  <c r="AA59" i="28"/>
  <c r="AB59" i="28"/>
  <c r="C60" i="28"/>
  <c r="C82" i="28" s="1"/>
  <c r="E60" i="28"/>
  <c r="E82" i="28" s="1"/>
  <c r="G60" i="28"/>
  <c r="I60" i="28"/>
  <c r="J60" i="28"/>
  <c r="K60" i="28"/>
  <c r="L60" i="28"/>
  <c r="L82" i="28" s="1"/>
  <c r="N60" i="28"/>
  <c r="N82" i="28" s="1"/>
  <c r="P60" i="28"/>
  <c r="Q60" i="28"/>
  <c r="R60" i="28"/>
  <c r="S60" i="28"/>
  <c r="T60" i="28"/>
  <c r="T82" i="28" s="1"/>
  <c r="V60" i="28"/>
  <c r="V82" i="28" s="1"/>
  <c r="X60" i="28"/>
  <c r="Y60" i="28"/>
  <c r="Z60" i="28"/>
  <c r="AA60" i="28"/>
  <c r="AB60" i="28"/>
  <c r="AB82" i="28" s="1"/>
  <c r="G61" i="28"/>
  <c r="I61" i="28"/>
  <c r="K61" i="28"/>
  <c r="P61" i="28"/>
  <c r="Q61" i="28"/>
  <c r="S61" i="28"/>
  <c r="X61" i="28"/>
  <c r="Y61" i="28"/>
  <c r="AA61" i="28"/>
  <c r="C63" i="28"/>
  <c r="C83" i="28" s="1"/>
  <c r="E63" i="28"/>
  <c r="G63" i="28"/>
  <c r="J63" i="28"/>
  <c r="J83" i="28" s="1"/>
  <c r="L63" i="28"/>
  <c r="N63" i="28"/>
  <c r="P63" i="28"/>
  <c r="R63" i="28"/>
  <c r="R83" i="28" s="1"/>
  <c r="T63" i="28"/>
  <c r="V63" i="28"/>
  <c r="X63" i="28"/>
  <c r="Z63" i="28"/>
  <c r="Z83" i="28" s="1"/>
  <c r="AB63" i="28"/>
  <c r="C64" i="28"/>
  <c r="E64" i="28"/>
  <c r="I64" i="28"/>
  <c r="I84" i="28" s="1"/>
  <c r="K64" i="28"/>
  <c r="K84" i="28" s="1"/>
  <c r="L64" i="28"/>
  <c r="N64" i="28"/>
  <c r="Q64" i="28"/>
  <c r="Q84" i="28" s="1"/>
  <c r="S64" i="28"/>
  <c r="S84" i="28" s="1"/>
  <c r="T64" i="28"/>
  <c r="V64" i="28"/>
  <c r="Y64" i="28"/>
  <c r="Y84" i="28" s="1"/>
  <c r="AA64" i="28"/>
  <c r="AA84" i="28" s="1"/>
  <c r="AB64" i="28"/>
  <c r="C65" i="28"/>
  <c r="E65" i="28"/>
  <c r="G65" i="28"/>
  <c r="G85" i="28" s="1"/>
  <c r="J65" i="28"/>
  <c r="J85" i="28" s="1"/>
  <c r="K65" i="28"/>
  <c r="L65" i="28"/>
  <c r="N65" i="28"/>
  <c r="P65" i="28"/>
  <c r="P85" i="28" s="1"/>
  <c r="R65" i="28"/>
  <c r="R85" i="28" s="1"/>
  <c r="S65" i="28"/>
  <c r="T65" i="28"/>
  <c r="V65" i="28"/>
  <c r="X65" i="28"/>
  <c r="X85" i="28" s="1"/>
  <c r="Z65" i="28"/>
  <c r="Z85" i="28" s="1"/>
  <c r="AA65" i="28"/>
  <c r="AB65" i="28"/>
  <c r="C66" i="28"/>
  <c r="F66" i="28"/>
  <c r="F86" i="28" s="1"/>
  <c r="I66" i="28"/>
  <c r="J66" i="28"/>
  <c r="K66" i="28"/>
  <c r="L66" i="28"/>
  <c r="O66" i="28"/>
  <c r="Q66" i="28"/>
  <c r="R66" i="28"/>
  <c r="S66" i="28"/>
  <c r="T66" i="28"/>
  <c r="W66" i="28"/>
  <c r="W86" i="28" s="1"/>
  <c r="Y66" i="28"/>
  <c r="Y86" i="28" s="1"/>
  <c r="Z66" i="28"/>
  <c r="AA66" i="28"/>
  <c r="AB66" i="28"/>
  <c r="C67" i="28"/>
  <c r="E67" i="28"/>
  <c r="E87" i="28" s="1"/>
  <c r="G67" i="28"/>
  <c r="G87" i="28" s="1"/>
  <c r="I67" i="28"/>
  <c r="J67" i="28"/>
  <c r="K67" i="28"/>
  <c r="L67" i="28"/>
  <c r="N67" i="28"/>
  <c r="N87" i="28" s="1"/>
  <c r="P67" i="28"/>
  <c r="P87" i="28" s="1"/>
  <c r="Q67" i="28"/>
  <c r="R67" i="28"/>
  <c r="S67" i="28"/>
  <c r="T67" i="28"/>
  <c r="V67" i="28"/>
  <c r="V87" i="28" s="1"/>
  <c r="X67" i="28"/>
  <c r="X87" i="28" s="1"/>
  <c r="Y67" i="28"/>
  <c r="Z67" i="28"/>
  <c r="AA67" i="28"/>
  <c r="AB67" i="28"/>
  <c r="D68" i="28"/>
  <c r="D88" i="28" s="1"/>
  <c r="F68" i="28"/>
  <c r="F88" i="28" s="1"/>
  <c r="G68" i="28"/>
  <c r="I68" i="28"/>
  <c r="J68" i="28"/>
  <c r="K68" i="28"/>
  <c r="M68" i="28"/>
  <c r="O68" i="28"/>
  <c r="O88" i="28" s="1"/>
  <c r="P68" i="28"/>
  <c r="Q68" i="28"/>
  <c r="R68" i="28"/>
  <c r="S68" i="28"/>
  <c r="U68" i="28"/>
  <c r="W68" i="28"/>
  <c r="W88" i="28" s="1"/>
  <c r="X68" i="28"/>
  <c r="Y68" i="28"/>
  <c r="Z68" i="28"/>
  <c r="AA68" i="28"/>
  <c r="I74" i="28"/>
  <c r="I82" i="28" s="1"/>
  <c r="J74" i="28"/>
  <c r="K74" i="28"/>
  <c r="L74" i="28"/>
  <c r="M74" i="28"/>
  <c r="N74" i="28"/>
  <c r="O74" i="28"/>
  <c r="P74" i="28"/>
  <c r="P82" i="28" s="1"/>
  <c r="Q74" i="28"/>
  <c r="Q82" i="28" s="1"/>
  <c r="R74" i="28"/>
  <c r="S74" i="28"/>
  <c r="T74" i="28"/>
  <c r="U74" i="28"/>
  <c r="V74" i="28"/>
  <c r="W74" i="28"/>
  <c r="X74" i="28"/>
  <c r="X82" i="28" s="1"/>
  <c r="Y74" i="28"/>
  <c r="Y82" i="28" s="1"/>
  <c r="Z74" i="28"/>
  <c r="AA74" i="28"/>
  <c r="AB74" i="28"/>
  <c r="I75" i="28"/>
  <c r="J75" i="28"/>
  <c r="K75" i="28"/>
  <c r="L75" i="28"/>
  <c r="L83" i="28" s="1"/>
  <c r="M75" i="28"/>
  <c r="N75" i="28"/>
  <c r="N83" i="28" s="1"/>
  <c r="O75" i="28"/>
  <c r="P75" i="28"/>
  <c r="P83" i="28" s="1"/>
  <c r="Q75" i="28"/>
  <c r="R75" i="28"/>
  <c r="S75" i="28"/>
  <c r="T75" i="28"/>
  <c r="T83" i="28" s="1"/>
  <c r="U75" i="28"/>
  <c r="V75" i="28"/>
  <c r="V83" i="28" s="1"/>
  <c r="W75" i="28"/>
  <c r="X75" i="28"/>
  <c r="X83" i="28" s="1"/>
  <c r="Y75" i="28"/>
  <c r="Z75" i="28"/>
  <c r="AA75" i="28"/>
  <c r="AB75" i="28"/>
  <c r="AB83" i="28" s="1"/>
  <c r="I76" i="28"/>
  <c r="J76" i="28"/>
  <c r="K76" i="28"/>
  <c r="L76" i="28"/>
  <c r="M76" i="28"/>
  <c r="N76" i="28"/>
  <c r="O76" i="28"/>
  <c r="P76" i="28"/>
  <c r="Q76" i="28"/>
  <c r="R76" i="28"/>
  <c r="S76" i="28"/>
  <c r="T76" i="28"/>
  <c r="U76" i="28"/>
  <c r="V76" i="28"/>
  <c r="W76" i="28"/>
  <c r="X76" i="28"/>
  <c r="Y76" i="28"/>
  <c r="Z76" i="28"/>
  <c r="AA76" i="28"/>
  <c r="AB76" i="28"/>
  <c r="I77" i="28"/>
  <c r="J77" i="28"/>
  <c r="K77" i="28"/>
  <c r="L77" i="28"/>
  <c r="L85" i="28" s="1"/>
  <c r="M77" i="28"/>
  <c r="N77" i="28"/>
  <c r="N85" i="28" s="1"/>
  <c r="O77" i="28"/>
  <c r="P77" i="28"/>
  <c r="Q77" i="28"/>
  <c r="R77" i="28"/>
  <c r="S77" i="28"/>
  <c r="T77" i="28"/>
  <c r="T85" i="28" s="1"/>
  <c r="U77" i="28"/>
  <c r="V77" i="28"/>
  <c r="V85" i="28" s="1"/>
  <c r="W77" i="28"/>
  <c r="X77" i="28"/>
  <c r="Y77" i="28"/>
  <c r="Z77" i="28"/>
  <c r="AA77" i="28"/>
  <c r="AB77" i="28"/>
  <c r="AB85" i="28" s="1"/>
  <c r="C78" i="28"/>
  <c r="I78" i="28" s="1"/>
  <c r="I86" i="28" s="1"/>
  <c r="D78" i="28"/>
  <c r="D86" i="28" s="1"/>
  <c r="E78" i="28"/>
  <c r="Q78" i="28" s="1"/>
  <c r="Q86" i="28" s="1"/>
  <c r="F78" i="28"/>
  <c r="X78" i="28" s="1"/>
  <c r="X86" i="28" s="1"/>
  <c r="G78" i="28"/>
  <c r="Z78" i="28" s="1"/>
  <c r="Z86" i="28" s="1"/>
  <c r="K78" i="28"/>
  <c r="K86" i="28" s="1"/>
  <c r="L78" i="28"/>
  <c r="M78" i="28"/>
  <c r="M86" i="28" s="1"/>
  <c r="S78" i="28"/>
  <c r="S86" i="28" s="1"/>
  <c r="T78" i="28"/>
  <c r="U78" i="28"/>
  <c r="V78" i="28"/>
  <c r="W78" i="28"/>
  <c r="Y78" i="28"/>
  <c r="AA78" i="28"/>
  <c r="AA86" i="28" s="1"/>
  <c r="AB78" i="28"/>
  <c r="I79" i="28"/>
  <c r="I87" i="28" s="1"/>
  <c r="J79" i="28"/>
  <c r="K79" i="28"/>
  <c r="L79" i="28"/>
  <c r="M79" i="28"/>
  <c r="N79" i="28"/>
  <c r="O79" i="28"/>
  <c r="O87" i="28" s="1"/>
  <c r="P79" i="28"/>
  <c r="Q79" i="28"/>
  <c r="Q87" i="28" s="1"/>
  <c r="R79" i="28"/>
  <c r="S79" i="28"/>
  <c r="T79" i="28"/>
  <c r="U79" i="28"/>
  <c r="V79" i="28"/>
  <c r="W79" i="28"/>
  <c r="W87" i="28" s="1"/>
  <c r="X79" i="28"/>
  <c r="Y79" i="28"/>
  <c r="Y87" i="28" s="1"/>
  <c r="Z79" i="28"/>
  <c r="AA79" i="28"/>
  <c r="AB79" i="28"/>
  <c r="I80" i="28"/>
  <c r="J80" i="28"/>
  <c r="K80" i="28"/>
  <c r="K88" i="28" s="1"/>
  <c r="L80" i="28"/>
  <c r="M80" i="28"/>
  <c r="M88" i="28" s="1"/>
  <c r="N80" i="28"/>
  <c r="O80" i="28"/>
  <c r="P80" i="28"/>
  <c r="Q80" i="28"/>
  <c r="R80" i="28"/>
  <c r="S80" i="28"/>
  <c r="S88" i="28" s="1"/>
  <c r="T80" i="28"/>
  <c r="U80" i="28"/>
  <c r="U88" i="28" s="1"/>
  <c r="V80" i="28"/>
  <c r="W80" i="28"/>
  <c r="X80" i="28"/>
  <c r="Y80" i="28"/>
  <c r="Z80" i="28"/>
  <c r="AA80" i="28"/>
  <c r="AA88" i="28" s="1"/>
  <c r="AB80" i="28"/>
  <c r="G82" i="28"/>
  <c r="J82" i="28"/>
  <c r="K82" i="28"/>
  <c r="R82" i="28"/>
  <c r="S82" i="28"/>
  <c r="Z82" i="28"/>
  <c r="AA82" i="28"/>
  <c r="E83" i="28"/>
  <c r="G83" i="28"/>
  <c r="C84" i="28"/>
  <c r="E84" i="28"/>
  <c r="L84" i="28"/>
  <c r="N84" i="28"/>
  <c r="T84" i="28"/>
  <c r="V84" i="28"/>
  <c r="AB84" i="28"/>
  <c r="C85" i="28"/>
  <c r="E85" i="28"/>
  <c r="K85" i="28"/>
  <c r="S85" i="28"/>
  <c r="AA85" i="28"/>
  <c r="C86" i="28"/>
  <c r="L86" i="28"/>
  <c r="T86" i="28"/>
  <c r="AB86" i="28"/>
  <c r="C87" i="28"/>
  <c r="J87" i="28"/>
  <c r="K87" i="28"/>
  <c r="L87" i="28"/>
  <c r="R87" i="28"/>
  <c r="S87" i="28"/>
  <c r="T87" i="28"/>
  <c r="Z87" i="28"/>
  <c r="AA87" i="28"/>
  <c r="AB87" i="28"/>
  <c r="G88" i="28"/>
  <c r="I88" i="28"/>
  <c r="J88" i="28"/>
  <c r="P88" i="28"/>
  <c r="Q88" i="28"/>
  <c r="R88" i="28"/>
  <c r="X88" i="28"/>
  <c r="Y88" i="28"/>
  <c r="Z88" i="28"/>
  <c r="I94" i="28"/>
  <c r="N94" i="28"/>
  <c r="Q94" i="28"/>
  <c r="X94" i="28"/>
  <c r="Z94" i="28"/>
  <c r="K94" i="28"/>
  <c r="L94" i="28"/>
  <c r="M94" i="28"/>
  <c r="S94" i="28"/>
  <c r="T94" i="28"/>
  <c r="U94" i="28"/>
  <c r="V94" i="28"/>
  <c r="W94" i="28"/>
  <c r="Y94" i="28"/>
  <c r="AA94" i="28"/>
  <c r="AB94" i="28"/>
  <c r="I95" i="28"/>
  <c r="P95" i="28"/>
  <c r="Q95" i="28"/>
  <c r="Y95" i="28"/>
  <c r="J95" i="28"/>
  <c r="L95" i="28"/>
  <c r="M95" i="28"/>
  <c r="R95" i="28"/>
  <c r="S95" i="28"/>
  <c r="T95" i="28"/>
  <c r="U95" i="28"/>
  <c r="V95" i="28"/>
  <c r="W95" i="28"/>
  <c r="X95" i="28"/>
  <c r="Z95" i="28"/>
  <c r="AA95" i="28"/>
  <c r="AB95" i="28"/>
  <c r="S13" i="39"/>
  <c r="AF13" i="39"/>
  <c r="R14" i="39"/>
  <c r="R18" i="39"/>
  <c r="D14" i="38"/>
  <c r="AC14" i="38"/>
  <c r="F15" i="38"/>
  <c r="H16" i="38"/>
  <c r="J17" i="38"/>
  <c r="J29" i="35" s="1"/>
  <c r="D18" i="38"/>
  <c r="D31" i="35" s="1"/>
  <c r="AC18" i="38"/>
  <c r="AC31" i="35" s="1"/>
  <c r="AC22" i="38"/>
  <c r="AD22" i="38"/>
  <c r="AE22" i="38"/>
  <c r="AC23" i="38"/>
  <c r="AD23" i="38"/>
  <c r="AE23" i="38"/>
  <c r="AC24" i="38"/>
  <c r="AD24" i="38"/>
  <c r="AD16" i="38" s="1"/>
  <c r="AE24" i="38"/>
  <c r="AC25" i="38"/>
  <c r="AC27" i="38" s="1"/>
  <c r="AD25" i="38"/>
  <c r="AE25" i="38"/>
  <c r="S26" i="38"/>
  <c r="AC26" i="38"/>
  <c r="AD26" i="38"/>
  <c r="AD18" i="38" s="1"/>
  <c r="AE26" i="38"/>
  <c r="D27" i="38"/>
  <c r="E27" i="38"/>
  <c r="E66" i="38" s="1"/>
  <c r="AC66" i="38" s="1"/>
  <c r="F27" i="38"/>
  <c r="G27" i="38"/>
  <c r="H27" i="38"/>
  <c r="I27" i="38"/>
  <c r="J27" i="38"/>
  <c r="K27" i="38"/>
  <c r="L27" i="38"/>
  <c r="M27" i="38"/>
  <c r="M66" i="38" s="1"/>
  <c r="N27" i="38"/>
  <c r="O27" i="38"/>
  <c r="P27" i="38"/>
  <c r="Q27" i="38"/>
  <c r="R27" i="38"/>
  <c r="AD27" i="38"/>
  <c r="AE27" i="38"/>
  <c r="G30" i="38"/>
  <c r="G36" i="38" s="1"/>
  <c r="O30" i="38"/>
  <c r="D31" i="38"/>
  <c r="E31" i="38"/>
  <c r="E14" i="38" s="1"/>
  <c r="F31" i="38"/>
  <c r="F14" i="38" s="1"/>
  <c r="G31" i="38"/>
  <c r="G14" i="38" s="1"/>
  <c r="H31" i="38"/>
  <c r="H14" i="38" s="1"/>
  <c r="H27" i="35" s="1"/>
  <c r="I31" i="38"/>
  <c r="AD31" i="38" s="1"/>
  <c r="J31" i="38"/>
  <c r="J14" i="38" s="1"/>
  <c r="K31" i="38"/>
  <c r="K14" i="38" s="1"/>
  <c r="Q31" i="38"/>
  <c r="Q14" i="38" s="1"/>
  <c r="AC31" i="38"/>
  <c r="D32" i="38"/>
  <c r="D15" i="38" s="1"/>
  <c r="E32" i="38"/>
  <c r="E15" i="38" s="1"/>
  <c r="F32" i="38"/>
  <c r="G32" i="38"/>
  <c r="G15" i="38" s="1"/>
  <c r="H32" i="38"/>
  <c r="H15" i="38" s="1"/>
  <c r="I32" i="38"/>
  <c r="I15" i="38" s="1"/>
  <c r="J32" i="38"/>
  <c r="J15" i="38" s="1"/>
  <c r="K32" i="38"/>
  <c r="AD32" i="38" s="1"/>
  <c r="S32" i="38"/>
  <c r="AA32" i="38"/>
  <c r="D33" i="38"/>
  <c r="D16" i="38" s="1"/>
  <c r="E33" i="38"/>
  <c r="AC33" i="38" s="1"/>
  <c r="F33" i="38"/>
  <c r="F16" i="38" s="1"/>
  <c r="G33" i="38"/>
  <c r="G16" i="38" s="1"/>
  <c r="H33" i="38"/>
  <c r="I33" i="38"/>
  <c r="I16" i="38" s="1"/>
  <c r="J33" i="38"/>
  <c r="J16" i="38" s="1"/>
  <c r="K33" i="38"/>
  <c r="K16" i="38" s="1"/>
  <c r="M33" i="38"/>
  <c r="M16" i="38" s="1"/>
  <c r="U33" i="38"/>
  <c r="AD33" i="38"/>
  <c r="D34" i="38"/>
  <c r="D17" i="38" s="1"/>
  <c r="D29" i="35" s="1"/>
  <c r="E34" i="38"/>
  <c r="E17" i="38" s="1"/>
  <c r="E29" i="35" s="1"/>
  <c r="F34" i="38"/>
  <c r="F17" i="38" s="1"/>
  <c r="F29" i="35" s="1"/>
  <c r="G34" i="38"/>
  <c r="G17" i="38" s="1"/>
  <c r="G29" i="35" s="1"/>
  <c r="H34" i="38"/>
  <c r="H17" i="38" s="1"/>
  <c r="I34" i="38"/>
  <c r="AD34" i="38" s="1"/>
  <c r="J34" i="38"/>
  <c r="K34" i="38"/>
  <c r="K17" i="38" s="1"/>
  <c r="K29" i="35" s="1"/>
  <c r="O34" i="38"/>
  <c r="O17" i="38" s="1"/>
  <c r="O29" i="35" s="1"/>
  <c r="W34" i="38"/>
  <c r="D35" i="38"/>
  <c r="E35" i="38"/>
  <c r="E18" i="38" s="1"/>
  <c r="E31" i="35" s="1"/>
  <c r="F35" i="38"/>
  <c r="F18" i="38" s="1"/>
  <c r="F31" i="35" s="1"/>
  <c r="G35" i="38"/>
  <c r="G18" i="38" s="1"/>
  <c r="G31" i="35" s="1"/>
  <c r="H35" i="38"/>
  <c r="H18" i="38" s="1"/>
  <c r="H31" i="35" s="1"/>
  <c r="I35" i="38"/>
  <c r="AD35" i="38" s="1"/>
  <c r="J35" i="38"/>
  <c r="J18" i="38" s="1"/>
  <c r="K35" i="38"/>
  <c r="K18" i="38" s="1"/>
  <c r="K31" i="35" s="1"/>
  <c r="Q35" i="38"/>
  <c r="Q18" i="38" s="1"/>
  <c r="Q31" i="35" s="1"/>
  <c r="AC35" i="38"/>
  <c r="E41" i="38"/>
  <c r="F41" i="38"/>
  <c r="F61" i="38" s="1"/>
  <c r="G41" i="38"/>
  <c r="H41" i="38"/>
  <c r="I41" i="38"/>
  <c r="J41" i="38"/>
  <c r="K41" i="38"/>
  <c r="L41" i="38"/>
  <c r="M41" i="38"/>
  <c r="N41" i="38"/>
  <c r="N61" i="38" s="1"/>
  <c r="O41" i="38"/>
  <c r="P41" i="38"/>
  <c r="Q41" i="38"/>
  <c r="R41" i="38"/>
  <c r="S41" i="38"/>
  <c r="S22" i="38" s="1"/>
  <c r="AC41" i="38"/>
  <c r="AD41" i="38"/>
  <c r="AE41" i="38"/>
  <c r="AF41" i="38"/>
  <c r="E42" i="38"/>
  <c r="F42" i="38"/>
  <c r="G42" i="38"/>
  <c r="H42" i="38"/>
  <c r="I42" i="38"/>
  <c r="I62" i="38" s="1"/>
  <c r="AD62" i="38" s="1"/>
  <c r="J42" i="38"/>
  <c r="K42" i="38"/>
  <c r="AD42" i="38" s="1"/>
  <c r="AD46" i="38" s="1"/>
  <c r="L42" i="38"/>
  <c r="M42" i="38"/>
  <c r="N42" i="38"/>
  <c r="O42" i="38"/>
  <c r="P42" i="38"/>
  <c r="Q42" i="38"/>
  <c r="Q62" i="38" s="1"/>
  <c r="R42" i="38"/>
  <c r="S42" i="38"/>
  <c r="AF42" i="38" s="1"/>
  <c r="AF46" i="38" s="1"/>
  <c r="AC42" i="38"/>
  <c r="AE42" i="38"/>
  <c r="E43" i="38"/>
  <c r="F43" i="38"/>
  <c r="G43" i="38"/>
  <c r="H43" i="38"/>
  <c r="I43" i="38"/>
  <c r="J43" i="38"/>
  <c r="K43" i="38"/>
  <c r="L43" i="38"/>
  <c r="L63" i="38" s="1"/>
  <c r="AE63" i="38" s="1"/>
  <c r="M43" i="38"/>
  <c r="N43" i="38"/>
  <c r="O43" i="38"/>
  <c r="P43" i="38"/>
  <c r="Q43" i="38"/>
  <c r="R43" i="38"/>
  <c r="S43" i="38"/>
  <c r="S24" i="38" s="1"/>
  <c r="AC43" i="38"/>
  <c r="AD43" i="38"/>
  <c r="AE43" i="38"/>
  <c r="AF43" i="38"/>
  <c r="E44" i="38"/>
  <c r="F44" i="38"/>
  <c r="G44" i="38"/>
  <c r="G64" i="38" s="1"/>
  <c r="H44" i="38"/>
  <c r="I44" i="38"/>
  <c r="J44" i="38"/>
  <c r="K44" i="38"/>
  <c r="L44" i="38"/>
  <c r="M44" i="38"/>
  <c r="N44" i="38"/>
  <c r="O44" i="38"/>
  <c r="AE44" i="38" s="1"/>
  <c r="P44" i="38"/>
  <c r="Q44" i="38"/>
  <c r="R44" i="38"/>
  <c r="S44" i="38"/>
  <c r="S25" i="38" s="1"/>
  <c r="T44" i="38"/>
  <c r="U44" i="38"/>
  <c r="V44" i="38"/>
  <c r="W44" i="38"/>
  <c r="AG44" i="38" s="1"/>
  <c r="Y44" i="38"/>
  <c r="AD44" i="38"/>
  <c r="AF44" i="38"/>
  <c r="E45" i="38"/>
  <c r="F45" i="38"/>
  <c r="G45" i="38"/>
  <c r="H45" i="38"/>
  <c r="I45" i="38"/>
  <c r="J45" i="38"/>
  <c r="J65" i="38" s="1"/>
  <c r="K45" i="38"/>
  <c r="L45" i="38"/>
  <c r="M45" i="38"/>
  <c r="N45" i="38"/>
  <c r="O45" i="38"/>
  <c r="P45" i="38"/>
  <c r="Q45" i="38"/>
  <c r="R45" i="38"/>
  <c r="R65" i="38" s="1"/>
  <c r="S45" i="38"/>
  <c r="AC45" i="38"/>
  <c r="AD45" i="38"/>
  <c r="AE45" i="38"/>
  <c r="AF45" i="38"/>
  <c r="E46" i="38"/>
  <c r="G46" i="38"/>
  <c r="M46" i="38"/>
  <c r="O46" i="38"/>
  <c r="T49" i="38"/>
  <c r="T41" i="38" s="1"/>
  <c r="U49" i="38"/>
  <c r="AC49" i="38"/>
  <c r="AD49" i="38"/>
  <c r="N15" i="34" s="1"/>
  <c r="N20" i="34" s="1"/>
  <c r="AE49" i="38"/>
  <c r="AF49" i="38"/>
  <c r="AF54" i="38" s="1"/>
  <c r="AH49" i="38"/>
  <c r="T50" i="38"/>
  <c r="T42" i="38" s="1"/>
  <c r="AC50" i="38"/>
  <c r="AD50" i="38"/>
  <c r="AE50" i="38"/>
  <c r="AF50" i="38"/>
  <c r="AH50" i="38"/>
  <c r="AH54" i="38" s="1"/>
  <c r="AC51" i="38"/>
  <c r="AD51" i="38"/>
  <c r="AE51" i="38"/>
  <c r="AF51" i="38"/>
  <c r="T51" i="38" s="1"/>
  <c r="X52" i="38"/>
  <c r="X44" i="38" s="1"/>
  <c r="Y52" i="38"/>
  <c r="Z52" i="38" s="1"/>
  <c r="AC52" i="38"/>
  <c r="AD52" i="38"/>
  <c r="AE52" i="38"/>
  <c r="AF52" i="38"/>
  <c r="AC53" i="38"/>
  <c r="AD53" i="38"/>
  <c r="AE53" i="38"/>
  <c r="AF53" i="38"/>
  <c r="P19" i="34" s="1"/>
  <c r="AH53" i="38"/>
  <c r="D54" i="38"/>
  <c r="E54" i="38"/>
  <c r="F46" i="38" s="1"/>
  <c r="F54" i="38"/>
  <c r="G54" i="38"/>
  <c r="H46" i="38" s="1"/>
  <c r="H54" i="38"/>
  <c r="I46" i="38" s="1"/>
  <c r="I54" i="38"/>
  <c r="J46" i="38" s="1"/>
  <c r="J54" i="38"/>
  <c r="K46" i="38" s="1"/>
  <c r="K54" i="38"/>
  <c r="L46" i="38" s="1"/>
  <c r="L66" i="38" s="1"/>
  <c r="AE66" i="38" s="1"/>
  <c r="L54" i="38"/>
  <c r="M54" i="38"/>
  <c r="N46" i="38" s="1"/>
  <c r="N66" i="38" s="1"/>
  <c r="N54" i="38"/>
  <c r="O54" i="38"/>
  <c r="P46" i="38" s="1"/>
  <c r="P66" i="38" s="1"/>
  <c r="P54" i="38"/>
  <c r="Q46" i="38" s="1"/>
  <c r="Q66" i="38" s="1"/>
  <c r="Q54" i="38"/>
  <c r="R46" i="38" s="1"/>
  <c r="R66" i="38" s="1"/>
  <c r="R54" i="38"/>
  <c r="S46" i="38" s="1"/>
  <c r="S54" i="38"/>
  <c r="S47" i="38" s="1"/>
  <c r="AC54" i="38"/>
  <c r="AE54" i="38"/>
  <c r="AG54" i="38"/>
  <c r="D61" i="38"/>
  <c r="E61" i="38"/>
  <c r="G61" i="38"/>
  <c r="H61" i="38"/>
  <c r="I61" i="38"/>
  <c r="J61" i="38"/>
  <c r="K61" i="38"/>
  <c r="L61" i="38"/>
  <c r="AE61" i="38" s="1"/>
  <c r="O25" i="34" s="1"/>
  <c r="M61" i="38"/>
  <c r="O61" i="38"/>
  <c r="P61" i="38"/>
  <c r="Q61" i="38"/>
  <c r="R61" i="38"/>
  <c r="AD61" i="38"/>
  <c r="N25" i="34" s="1"/>
  <c r="AF61" i="38"/>
  <c r="AG61" i="38" s="1"/>
  <c r="D62" i="38"/>
  <c r="AC62" i="38" s="1"/>
  <c r="M26" i="34" s="1"/>
  <c r="E62" i="38"/>
  <c r="F62" i="38"/>
  <c r="G62" i="38"/>
  <c r="H62" i="38"/>
  <c r="J62" i="38"/>
  <c r="K62" i="38"/>
  <c r="L62" i="38"/>
  <c r="AE62" i="38" s="1"/>
  <c r="O26" i="34" s="1"/>
  <c r="M62" i="38"/>
  <c r="N62" i="38"/>
  <c r="O62" i="38"/>
  <c r="P62" i="38"/>
  <c r="R62" i="38"/>
  <c r="D63" i="38"/>
  <c r="AC63" i="38" s="1"/>
  <c r="M27" i="34" s="1"/>
  <c r="E63" i="38"/>
  <c r="F63" i="38"/>
  <c r="G63" i="38"/>
  <c r="H63" i="38"/>
  <c r="I63" i="38"/>
  <c r="J63" i="38"/>
  <c r="AD63" i="38" s="1"/>
  <c r="N27" i="34" s="1"/>
  <c r="K63" i="38"/>
  <c r="M63" i="38"/>
  <c r="N63" i="38"/>
  <c r="O63" i="38"/>
  <c r="P63" i="38"/>
  <c r="Q63" i="38"/>
  <c r="R63" i="38"/>
  <c r="AF63" i="38" s="1"/>
  <c r="D64" i="38"/>
  <c r="E64" i="38"/>
  <c r="AC64" i="38" s="1"/>
  <c r="M28" i="34" s="1"/>
  <c r="F64" i="38"/>
  <c r="H64" i="38"/>
  <c r="I64" i="38"/>
  <c r="J64" i="38"/>
  <c r="K64" i="38"/>
  <c r="L64" i="38"/>
  <c r="M64" i="38"/>
  <c r="N64" i="38"/>
  <c r="P64" i="38"/>
  <c r="AF64" i="38" s="1"/>
  <c r="AG64" i="38" s="1"/>
  <c r="Q64" i="38"/>
  <c r="R64" i="38"/>
  <c r="AD64" i="38"/>
  <c r="D65" i="38"/>
  <c r="E65" i="38"/>
  <c r="F65" i="38"/>
  <c r="G65" i="38"/>
  <c r="H65" i="38"/>
  <c r="I65" i="38"/>
  <c r="K65" i="38"/>
  <c r="L65" i="38"/>
  <c r="M65" i="38"/>
  <c r="N65" i="38"/>
  <c r="O65" i="38"/>
  <c r="P65" i="38"/>
  <c r="AF65" i="38" s="1"/>
  <c r="Q65" i="38"/>
  <c r="AC65" i="38"/>
  <c r="AE65" i="38"/>
  <c r="D66" i="38"/>
  <c r="F66" i="38"/>
  <c r="G66" i="38"/>
  <c r="H66" i="38"/>
  <c r="I66" i="38"/>
  <c r="K66" i="38"/>
  <c r="O66" i="38"/>
  <c r="AC71" i="38"/>
  <c r="M40" i="34" s="1"/>
  <c r="M42" i="34" s="1"/>
  <c r="AD71" i="38"/>
  <c r="AE71" i="38"/>
  <c r="AE73" i="38" s="1"/>
  <c r="S72" i="38"/>
  <c r="T72" i="38"/>
  <c r="U72" i="38"/>
  <c r="U20" i="35" s="1"/>
  <c r="V72" i="38"/>
  <c r="W72" i="38"/>
  <c r="X72" i="38"/>
  <c r="Y72" i="38"/>
  <c r="Z72" i="38"/>
  <c r="AA72" i="38"/>
  <c r="AC72" i="38"/>
  <c r="AD72" i="38"/>
  <c r="AD73" i="38" s="1"/>
  <c r="AE72" i="38"/>
  <c r="D73" i="38"/>
  <c r="D30" i="38" s="1"/>
  <c r="E73" i="38"/>
  <c r="E30" i="38" s="1"/>
  <c r="F73" i="38"/>
  <c r="F30" i="38" s="1"/>
  <c r="G73" i="38"/>
  <c r="H73" i="38"/>
  <c r="H30" i="38" s="1"/>
  <c r="I73" i="38"/>
  <c r="I30" i="38" s="1"/>
  <c r="J73" i="38"/>
  <c r="K73" i="38"/>
  <c r="K30" i="38" s="1"/>
  <c r="L73" i="38"/>
  <c r="L30" i="38" s="1"/>
  <c r="M73" i="38"/>
  <c r="M30" i="38" s="1"/>
  <c r="N73" i="38"/>
  <c r="N30" i="38" s="1"/>
  <c r="O73" i="38"/>
  <c r="P73" i="38"/>
  <c r="P30" i="38" s="1"/>
  <c r="Q73" i="38"/>
  <c r="Q30" i="38" s="1"/>
  <c r="R73" i="38"/>
  <c r="S77" i="38"/>
  <c r="T77" i="38"/>
  <c r="U77" i="38"/>
  <c r="U81" i="38" s="1"/>
  <c r="X77" i="38"/>
  <c r="Y77" i="38" s="1"/>
  <c r="AE77" i="38"/>
  <c r="T78" i="38"/>
  <c r="U78" i="38" s="1"/>
  <c r="V78" i="38" s="1"/>
  <c r="W78" i="38" s="1"/>
  <c r="X78" i="38"/>
  <c r="Y78" i="38" s="1"/>
  <c r="Z78" i="38" s="1"/>
  <c r="AA78" i="38" s="1"/>
  <c r="AE78" i="38"/>
  <c r="AE81" i="38" s="1"/>
  <c r="S79" i="38"/>
  <c r="T79" i="38"/>
  <c r="U79" i="38"/>
  <c r="V79" i="38"/>
  <c r="W79" i="38"/>
  <c r="X79" i="38"/>
  <c r="Y79" i="38"/>
  <c r="Z79" i="38"/>
  <c r="AA79" i="38"/>
  <c r="AE79" i="38"/>
  <c r="S80" i="38"/>
  <c r="T80" i="38"/>
  <c r="U80" i="38"/>
  <c r="V80" i="38"/>
  <c r="W80" i="38"/>
  <c r="X80" i="38"/>
  <c r="X81" i="38" s="1"/>
  <c r="Y80" i="38"/>
  <c r="Z80" i="38"/>
  <c r="AA80" i="38"/>
  <c r="AE80" i="38"/>
  <c r="L81" i="38"/>
  <c r="L31" i="38" s="1"/>
  <c r="M81" i="38"/>
  <c r="M31" i="38" s="1"/>
  <c r="M14" i="38" s="1"/>
  <c r="N81" i="38"/>
  <c r="N31" i="38" s="1"/>
  <c r="N14" i="38" s="1"/>
  <c r="O81" i="38"/>
  <c r="O31" i="38" s="1"/>
  <c r="O14" i="38" s="1"/>
  <c r="P81" i="38"/>
  <c r="P31" i="38" s="1"/>
  <c r="Q81" i="38"/>
  <c r="R81" i="38"/>
  <c r="R31" i="38" s="1"/>
  <c r="R14" i="38" s="1"/>
  <c r="S81" i="38"/>
  <c r="S31" i="38" s="1"/>
  <c r="AC81" i="38"/>
  <c r="AD81" i="38"/>
  <c r="AF81" i="38"/>
  <c r="AG81" i="38"/>
  <c r="AH81" i="38"/>
  <c r="S85" i="38"/>
  <c r="T85" i="38"/>
  <c r="T90" i="38" s="1"/>
  <c r="U85" i="38"/>
  <c r="V85" i="38"/>
  <c r="W85" i="38"/>
  <c r="X85" i="38"/>
  <c r="Y85" i="38"/>
  <c r="Z85" i="38"/>
  <c r="Z90" i="38" s="1"/>
  <c r="AA85" i="38"/>
  <c r="AE85" i="38"/>
  <c r="AE90" i="38" s="1"/>
  <c r="S86" i="38"/>
  <c r="T86" i="38"/>
  <c r="U86" i="38"/>
  <c r="V86" i="38"/>
  <c r="W86" i="38"/>
  <c r="X86" i="38"/>
  <c r="X90" i="38" s="1"/>
  <c r="Y86" i="38"/>
  <c r="Z86" i="38"/>
  <c r="AA86" i="38"/>
  <c r="AE86" i="38"/>
  <c r="S87" i="38"/>
  <c r="T87" i="38"/>
  <c r="U87" i="38"/>
  <c r="V87" i="38"/>
  <c r="V90" i="38" s="1"/>
  <c r="W87" i="38"/>
  <c r="X87" i="38"/>
  <c r="Y87" i="38"/>
  <c r="Z87" i="38"/>
  <c r="AA87" i="38"/>
  <c r="AE87" i="38"/>
  <c r="S88" i="38"/>
  <c r="T88" i="38"/>
  <c r="U88" i="38"/>
  <c r="V88" i="38"/>
  <c r="W88" i="38"/>
  <c r="X88" i="38"/>
  <c r="Y88" i="38"/>
  <c r="Z88" i="38"/>
  <c r="AA88" i="38"/>
  <c r="AE88" i="38"/>
  <c r="O53" i="34" s="1"/>
  <c r="O55" i="34" s="1"/>
  <c r="S89" i="38"/>
  <c r="T89" i="38"/>
  <c r="U89" i="38"/>
  <c r="V89" i="38"/>
  <c r="W89" i="38"/>
  <c r="X89" i="38"/>
  <c r="Y89" i="38"/>
  <c r="Z89" i="38"/>
  <c r="AA89" i="38"/>
  <c r="AE89" i="38"/>
  <c r="L90" i="38"/>
  <c r="L32" i="38" s="1"/>
  <c r="M90" i="38"/>
  <c r="M32" i="38" s="1"/>
  <c r="M15" i="38" s="1"/>
  <c r="N90" i="38"/>
  <c r="N32" i="38" s="1"/>
  <c r="N15" i="38" s="1"/>
  <c r="O90" i="38"/>
  <c r="O32" i="38" s="1"/>
  <c r="O15" i="38" s="1"/>
  <c r="P90" i="38"/>
  <c r="P32" i="38" s="1"/>
  <c r="Q90" i="38"/>
  <c r="Q32" i="38" s="1"/>
  <c r="Q15" i="38" s="1"/>
  <c r="R90" i="38"/>
  <c r="R32" i="38" s="1"/>
  <c r="R15" i="38" s="1"/>
  <c r="S90" i="38"/>
  <c r="U90" i="38"/>
  <c r="U32" i="38" s="1"/>
  <c r="W90" i="38"/>
  <c r="W32" i="38" s="1"/>
  <c r="Y90" i="38"/>
  <c r="Y32" i="38" s="1"/>
  <c r="AA90" i="38"/>
  <c r="AC90" i="38"/>
  <c r="AD90" i="38"/>
  <c r="AF90" i="38"/>
  <c r="AG90" i="38"/>
  <c r="AH90" i="38"/>
  <c r="S94" i="38"/>
  <c r="T94" i="38"/>
  <c r="T97" i="38" s="1"/>
  <c r="U94" i="38"/>
  <c r="V94" i="38"/>
  <c r="V97" i="38" s="1"/>
  <c r="W94" i="38"/>
  <c r="X94" i="38"/>
  <c r="Y94" i="38"/>
  <c r="Z94" i="38"/>
  <c r="AA94" i="38"/>
  <c r="AE94" i="38"/>
  <c r="AE97" i="38" s="1"/>
  <c r="S95" i="38"/>
  <c r="T95" i="38"/>
  <c r="U95" i="38"/>
  <c r="V95" i="38"/>
  <c r="W95" i="38"/>
  <c r="X95" i="38"/>
  <c r="Y95" i="38"/>
  <c r="Z95" i="38"/>
  <c r="Z97" i="38" s="1"/>
  <c r="AA95" i="38"/>
  <c r="AE95" i="38"/>
  <c r="S96" i="38"/>
  <c r="T96" i="38"/>
  <c r="U96" i="38"/>
  <c r="V96" i="38"/>
  <c r="W96" i="38"/>
  <c r="X96" i="38"/>
  <c r="X97" i="38" s="1"/>
  <c r="Y96" i="38"/>
  <c r="Z96" i="38"/>
  <c r="AA96" i="38"/>
  <c r="AE96" i="38"/>
  <c r="L97" i="38"/>
  <c r="L33" i="38" s="1"/>
  <c r="M97" i="38"/>
  <c r="N97" i="38"/>
  <c r="N33" i="38" s="1"/>
  <c r="N16" i="38" s="1"/>
  <c r="O97" i="38"/>
  <c r="P97" i="38"/>
  <c r="P33" i="38" s="1"/>
  <c r="Q97" i="38"/>
  <c r="Q33" i="38" s="1"/>
  <c r="Q16" i="38" s="1"/>
  <c r="R97" i="38"/>
  <c r="R33" i="38" s="1"/>
  <c r="R16" i="38" s="1"/>
  <c r="S97" i="38"/>
  <c r="S33" i="38" s="1"/>
  <c r="U97" i="38"/>
  <c r="W97" i="38"/>
  <c r="Y97" i="38"/>
  <c r="Y33" i="38" s="1"/>
  <c r="AA97" i="38"/>
  <c r="AA33" i="38" s="1"/>
  <c r="AC97" i="38"/>
  <c r="AD97" i="38"/>
  <c r="AF97" i="38"/>
  <c r="AG97" i="38"/>
  <c r="AH97" i="38"/>
  <c r="S101" i="38"/>
  <c r="T101" i="38"/>
  <c r="T106" i="38" s="1"/>
  <c r="U101" i="38"/>
  <c r="V101" i="38"/>
  <c r="W101" i="38"/>
  <c r="X101" i="38"/>
  <c r="Y101" i="38"/>
  <c r="Z101" i="38"/>
  <c r="Z106" i="38" s="1"/>
  <c r="AA101" i="38"/>
  <c r="AE101" i="38"/>
  <c r="AE106" i="38" s="1"/>
  <c r="S102" i="38"/>
  <c r="T102" i="38"/>
  <c r="U102" i="38"/>
  <c r="V102" i="38"/>
  <c r="W102" i="38"/>
  <c r="X102" i="38"/>
  <c r="X106" i="38" s="1"/>
  <c r="Y102" i="38"/>
  <c r="Z102" i="38"/>
  <c r="AA102" i="38"/>
  <c r="AE102" i="38"/>
  <c r="S103" i="38"/>
  <c r="T103" i="38"/>
  <c r="U103" i="38"/>
  <c r="V103" i="38"/>
  <c r="V106" i="38" s="1"/>
  <c r="W103" i="38"/>
  <c r="X103" i="38"/>
  <c r="Y103" i="38"/>
  <c r="Z103" i="38"/>
  <c r="AA103" i="38"/>
  <c r="AE103" i="38"/>
  <c r="S104" i="38"/>
  <c r="T104" i="38"/>
  <c r="U104" i="38"/>
  <c r="V104" i="38"/>
  <c r="W104" i="38"/>
  <c r="X104" i="38"/>
  <c r="Y104" i="38"/>
  <c r="Z104" i="38"/>
  <c r="AA104" i="38"/>
  <c r="AE104" i="38"/>
  <c r="O65" i="34" s="1"/>
  <c r="O67" i="34" s="1"/>
  <c r="S105" i="38"/>
  <c r="T105" i="38"/>
  <c r="U105" i="38"/>
  <c r="V105" i="38"/>
  <c r="W105" i="38"/>
  <c r="X105" i="38"/>
  <c r="Y105" i="38"/>
  <c r="Z105" i="38"/>
  <c r="AA105" i="38"/>
  <c r="AE105" i="38"/>
  <c r="L106" i="38"/>
  <c r="L34" i="38" s="1"/>
  <c r="M106" i="38"/>
  <c r="M34" i="38" s="1"/>
  <c r="M17" i="38" s="1"/>
  <c r="M29" i="35" s="1"/>
  <c r="N106" i="38"/>
  <c r="N34" i="38" s="1"/>
  <c r="N17" i="38" s="1"/>
  <c r="N29" i="35" s="1"/>
  <c r="O106" i="38"/>
  <c r="P106" i="38"/>
  <c r="P34" i="38" s="1"/>
  <c r="Q106" i="38"/>
  <c r="R106" i="38"/>
  <c r="R34" i="38" s="1"/>
  <c r="R17" i="38" s="1"/>
  <c r="R29" i="35" s="1"/>
  <c r="S106" i="38"/>
  <c r="S34" i="38" s="1"/>
  <c r="U106" i="38"/>
  <c r="U34" i="38" s="1"/>
  <c r="W106" i="38"/>
  <c r="Y106" i="38"/>
  <c r="AA106" i="38"/>
  <c r="AA34" i="38" s="1"/>
  <c r="AC106" i="38"/>
  <c r="AD106" i="38"/>
  <c r="AF106" i="38"/>
  <c r="AG106" i="38"/>
  <c r="AH106" i="38"/>
  <c r="S110" i="38"/>
  <c r="T110" i="38"/>
  <c r="T115" i="38" s="1"/>
  <c r="U110" i="38"/>
  <c r="V110" i="38"/>
  <c r="W110" i="38"/>
  <c r="X110" i="38"/>
  <c r="Y110" i="38"/>
  <c r="Z110" i="38"/>
  <c r="AA110" i="38"/>
  <c r="AE110" i="38"/>
  <c r="AE115" i="38" s="1"/>
  <c r="S111" i="38"/>
  <c r="T111" i="38"/>
  <c r="U111" i="38"/>
  <c r="V111" i="38"/>
  <c r="W111" i="38"/>
  <c r="X111" i="38"/>
  <c r="Y111" i="38"/>
  <c r="Z111" i="38"/>
  <c r="AA111" i="38"/>
  <c r="AE111" i="38"/>
  <c r="S112" i="38"/>
  <c r="T112" i="38"/>
  <c r="U112" i="38"/>
  <c r="V112" i="38"/>
  <c r="W112" i="38"/>
  <c r="X112" i="38"/>
  <c r="X115" i="38" s="1"/>
  <c r="Y112" i="38"/>
  <c r="Z112" i="38"/>
  <c r="AA112" i="38"/>
  <c r="AE112" i="38"/>
  <c r="S113" i="38"/>
  <c r="T113" i="38"/>
  <c r="U113" i="38"/>
  <c r="V113" i="38"/>
  <c r="W113" i="38"/>
  <c r="X113" i="38"/>
  <c r="Y113" i="38"/>
  <c r="Z113" i="38"/>
  <c r="AA113" i="38"/>
  <c r="AE113" i="38"/>
  <c r="S114" i="38"/>
  <c r="T114" i="38"/>
  <c r="U114" i="38" s="1"/>
  <c r="X114" i="38"/>
  <c r="Y114" i="38" s="1"/>
  <c r="AE114" i="38"/>
  <c r="O73" i="34" s="1"/>
  <c r="L115" i="38"/>
  <c r="L35" i="38" s="1"/>
  <c r="M115" i="38"/>
  <c r="M35" i="38" s="1"/>
  <c r="M18" i="38" s="1"/>
  <c r="M31" i="35" s="1"/>
  <c r="N115" i="38"/>
  <c r="N35" i="38" s="1"/>
  <c r="N18" i="38" s="1"/>
  <c r="N31" i="35" s="1"/>
  <c r="O115" i="38"/>
  <c r="O35" i="38" s="1"/>
  <c r="O18" i="38" s="1"/>
  <c r="O31" i="35" s="1"/>
  <c r="P115" i="38"/>
  <c r="P35" i="38" s="1"/>
  <c r="Q115" i="38"/>
  <c r="R115" i="38"/>
  <c r="R35" i="38" s="1"/>
  <c r="R18" i="38" s="1"/>
  <c r="S115" i="38"/>
  <c r="AC115" i="38"/>
  <c r="AD115" i="38"/>
  <c r="AF115" i="38"/>
  <c r="AG115" i="38"/>
  <c r="AH115" i="38"/>
  <c r="D13" i="37"/>
  <c r="E13" i="37"/>
  <c r="F13" i="37"/>
  <c r="G13" i="37"/>
  <c r="AC13" i="37" s="1"/>
  <c r="H13" i="37"/>
  <c r="I13" i="37"/>
  <c r="J13" i="37"/>
  <c r="K13" i="37"/>
  <c r="L13" i="37"/>
  <c r="M13" i="37"/>
  <c r="N13" i="37"/>
  <c r="O13" i="37"/>
  <c r="AE13" i="37" s="1"/>
  <c r="P13" i="37"/>
  <c r="Q13" i="37"/>
  <c r="R13" i="37"/>
  <c r="AD13" i="37"/>
  <c r="I14" i="37"/>
  <c r="I17" i="37" s="1"/>
  <c r="Q14" i="37"/>
  <c r="Q17" i="37" s="1"/>
  <c r="D15" i="37"/>
  <c r="E15" i="37"/>
  <c r="F15" i="37"/>
  <c r="G15" i="37"/>
  <c r="H15" i="37"/>
  <c r="I15" i="37"/>
  <c r="J15" i="37"/>
  <c r="K15" i="37"/>
  <c r="AD15" i="37" s="1"/>
  <c r="L15" i="37"/>
  <c r="M15" i="37"/>
  <c r="N15" i="37"/>
  <c r="O15" i="37"/>
  <c r="P15" i="37"/>
  <c r="Q15" i="37"/>
  <c r="R15" i="37"/>
  <c r="AC15" i="37"/>
  <c r="AE15" i="37"/>
  <c r="D16" i="37"/>
  <c r="E16" i="37"/>
  <c r="AC16" i="37" s="1"/>
  <c r="F16" i="37"/>
  <c r="G16" i="37"/>
  <c r="H16" i="37"/>
  <c r="I16" i="37"/>
  <c r="J16" i="37"/>
  <c r="K16" i="37"/>
  <c r="L16" i="37"/>
  <c r="M16" i="37"/>
  <c r="AE16" i="37" s="1"/>
  <c r="N16" i="37"/>
  <c r="O16" i="37"/>
  <c r="P16" i="37"/>
  <c r="Q16" i="37"/>
  <c r="R16" i="37"/>
  <c r="S16" i="37"/>
  <c r="T16" i="37"/>
  <c r="U16" i="37"/>
  <c r="AG16" i="37" s="1"/>
  <c r="V16" i="37"/>
  <c r="W16" i="37"/>
  <c r="X16" i="37"/>
  <c r="Y16" i="37"/>
  <c r="Z16" i="37"/>
  <c r="AA16" i="37"/>
  <c r="AD16" i="37"/>
  <c r="AF16" i="37"/>
  <c r="AH16" i="37"/>
  <c r="H24" i="37"/>
  <c r="P24" i="37"/>
  <c r="J25" i="37"/>
  <c r="R25" i="37"/>
  <c r="D26" i="37"/>
  <c r="L26" i="37"/>
  <c r="T26" i="37"/>
  <c r="F27" i="37"/>
  <c r="N27" i="37"/>
  <c r="H28" i="37"/>
  <c r="P28" i="37"/>
  <c r="J29" i="37"/>
  <c r="R29" i="37"/>
  <c r="Z29" i="37"/>
  <c r="D30" i="37"/>
  <c r="D41" i="37" s="1"/>
  <c r="L30" i="37"/>
  <c r="AC32" i="37"/>
  <c r="AD32" i="37"/>
  <c r="AE32" i="37"/>
  <c r="AF32" i="37"/>
  <c r="AG32" i="37"/>
  <c r="Z28" i="34" s="1"/>
  <c r="AH32" i="37"/>
  <c r="K36" i="37"/>
  <c r="AC45" i="37"/>
  <c r="AC52" i="37" s="1"/>
  <c r="AD45" i="37" s="1"/>
  <c r="AC46" i="37"/>
  <c r="AD46" i="37"/>
  <c r="AE46" i="37"/>
  <c r="AC47" i="37"/>
  <c r="AD47" i="37"/>
  <c r="AE47" i="37"/>
  <c r="AF47" i="37"/>
  <c r="AG47" i="37"/>
  <c r="AH47" i="37"/>
  <c r="AC48" i="37"/>
  <c r="AD48" i="37"/>
  <c r="AE48" i="37"/>
  <c r="AC49" i="37"/>
  <c r="AD49" i="37"/>
  <c r="AE49" i="37"/>
  <c r="AC50" i="37"/>
  <c r="AD50" i="37"/>
  <c r="AE50" i="37"/>
  <c r="AF50" i="37"/>
  <c r="AG50" i="37"/>
  <c r="AH50" i="37"/>
  <c r="AC51" i="37"/>
  <c r="AC60" i="37" s="1"/>
  <c r="AD51" i="37"/>
  <c r="AE51" i="37"/>
  <c r="D52" i="37"/>
  <c r="D31" i="37" s="1"/>
  <c r="D33" i="37" s="1"/>
  <c r="E52" i="37"/>
  <c r="E31" i="37" s="1"/>
  <c r="E33" i="37" s="1"/>
  <c r="E10" i="35" s="1"/>
  <c r="F52" i="37"/>
  <c r="J53" i="37" s="1"/>
  <c r="G52" i="37"/>
  <c r="G31" i="37" s="1"/>
  <c r="G33" i="37" s="1"/>
  <c r="G10" i="35" s="1"/>
  <c r="H52" i="37"/>
  <c r="I52" i="37"/>
  <c r="I31" i="37" s="1"/>
  <c r="I33" i="37" s="1"/>
  <c r="J52" i="37"/>
  <c r="J31" i="37" s="1"/>
  <c r="J33" i="37" s="1"/>
  <c r="K52" i="37"/>
  <c r="K53" i="37" s="1"/>
  <c r="L52" i="37"/>
  <c r="L31" i="37" s="1"/>
  <c r="L33" i="37" s="1"/>
  <c r="M52" i="37"/>
  <c r="M31" i="37" s="1"/>
  <c r="M33" i="37" s="1"/>
  <c r="N52" i="37"/>
  <c r="R53" i="37" s="1"/>
  <c r="O52" i="37"/>
  <c r="O31" i="37" s="1"/>
  <c r="P52" i="37"/>
  <c r="Q52" i="37"/>
  <c r="Q31" i="37" s="1"/>
  <c r="R52" i="37"/>
  <c r="S45" i="37" s="1"/>
  <c r="H53" i="37"/>
  <c r="I53" i="37"/>
  <c r="L53" i="37"/>
  <c r="M53" i="37"/>
  <c r="O53" i="37"/>
  <c r="P53" i="37"/>
  <c r="Q53" i="37"/>
  <c r="AC55" i="37"/>
  <c r="AD55" i="37"/>
  <c r="AE55" i="37"/>
  <c r="D57" i="37"/>
  <c r="E57" i="37"/>
  <c r="F57" i="37"/>
  <c r="G57" i="37"/>
  <c r="H57" i="37"/>
  <c r="I57" i="37"/>
  <c r="J57" i="37"/>
  <c r="K57" i="37"/>
  <c r="L57" i="37"/>
  <c r="M57" i="37"/>
  <c r="N57" i="37"/>
  <c r="O57" i="37"/>
  <c r="P57" i="37"/>
  <c r="Q57" i="37"/>
  <c r="R57" i="37"/>
  <c r="D58" i="37"/>
  <c r="E58" i="37"/>
  <c r="F58" i="37"/>
  <c r="G58" i="37"/>
  <c r="H58" i="37"/>
  <c r="I58" i="37"/>
  <c r="J58" i="37"/>
  <c r="K58" i="37"/>
  <c r="L58" i="37"/>
  <c r="M58" i="37"/>
  <c r="N58" i="37"/>
  <c r="O58" i="37"/>
  <c r="P58" i="37"/>
  <c r="Q58" i="37"/>
  <c r="R58" i="37"/>
  <c r="T58" i="37"/>
  <c r="U58" i="37"/>
  <c r="V58" i="37"/>
  <c r="W58" i="37"/>
  <c r="AA58" i="37"/>
  <c r="AH58" i="37"/>
  <c r="Y58" i="37" s="1"/>
  <c r="D59" i="37"/>
  <c r="E59" i="37"/>
  <c r="F59" i="37"/>
  <c r="G59" i="37"/>
  <c r="H59" i="37"/>
  <c r="I59" i="37"/>
  <c r="J59" i="37"/>
  <c r="K59" i="37"/>
  <c r="L59" i="37"/>
  <c r="M59" i="37"/>
  <c r="N59" i="37"/>
  <c r="O59" i="37"/>
  <c r="P59" i="37"/>
  <c r="Q59" i="37"/>
  <c r="R59" i="37"/>
  <c r="T59" i="37"/>
  <c r="U59" i="37"/>
  <c r="V59" i="37"/>
  <c r="W59" i="37"/>
  <c r="AH59" i="37"/>
  <c r="X59" i="37" s="1"/>
  <c r="D60" i="37"/>
  <c r="E60" i="37"/>
  <c r="F60" i="37"/>
  <c r="G60" i="37"/>
  <c r="H60" i="37"/>
  <c r="I60" i="37"/>
  <c r="J60" i="37"/>
  <c r="K60" i="37"/>
  <c r="L60" i="37"/>
  <c r="M60" i="37"/>
  <c r="N60" i="37"/>
  <c r="O60" i="37"/>
  <c r="P60" i="37"/>
  <c r="Q60" i="37"/>
  <c r="R60" i="37"/>
  <c r="S65" i="37"/>
  <c r="AC65" i="37"/>
  <c r="AC66" i="37"/>
  <c r="AC72" i="37" s="1"/>
  <c r="AD65" i="37" s="1"/>
  <c r="AD66" i="37"/>
  <c r="AE66" i="37"/>
  <c r="AE104" i="37" s="1"/>
  <c r="AC67" i="37"/>
  <c r="AD67" i="37"/>
  <c r="AE67" i="37"/>
  <c r="AE105" i="37" s="1"/>
  <c r="AF67" i="37"/>
  <c r="AG67" i="37"/>
  <c r="AG105" i="37" s="1"/>
  <c r="AH67" i="37"/>
  <c r="AC68" i="37"/>
  <c r="AD68" i="37"/>
  <c r="AE68" i="37"/>
  <c r="AC69" i="37"/>
  <c r="AD69" i="37"/>
  <c r="AE69" i="37"/>
  <c r="AC70" i="37"/>
  <c r="AC108" i="37" s="1"/>
  <c r="AD70" i="37"/>
  <c r="AE70" i="37"/>
  <c r="AF70" i="37"/>
  <c r="AG70" i="37"/>
  <c r="AH70" i="37"/>
  <c r="AC71" i="37"/>
  <c r="AD71" i="37"/>
  <c r="AE71" i="37"/>
  <c r="D72" i="37"/>
  <c r="E72" i="37"/>
  <c r="I73" i="37" s="1"/>
  <c r="F72" i="37"/>
  <c r="G72" i="37"/>
  <c r="H72" i="37"/>
  <c r="I72" i="37"/>
  <c r="J72" i="37"/>
  <c r="J73" i="37" s="1"/>
  <c r="K72" i="37"/>
  <c r="L72" i="37"/>
  <c r="M72" i="37"/>
  <c r="Q73" i="37" s="1"/>
  <c r="N72" i="37"/>
  <c r="O72" i="37"/>
  <c r="O73" i="37" s="1"/>
  <c r="P72" i="37"/>
  <c r="Q72" i="37"/>
  <c r="R72" i="37"/>
  <c r="R73" i="37" s="1"/>
  <c r="H73" i="37"/>
  <c r="K73" i="37"/>
  <c r="L73" i="37"/>
  <c r="N73" i="37"/>
  <c r="P73" i="37"/>
  <c r="AC75" i="37"/>
  <c r="AD75" i="37"/>
  <c r="AE75" i="37"/>
  <c r="D77" i="37"/>
  <c r="E77" i="37"/>
  <c r="F77" i="37"/>
  <c r="G77" i="37"/>
  <c r="H77" i="37"/>
  <c r="I77" i="37"/>
  <c r="J77" i="37"/>
  <c r="K77" i="37"/>
  <c r="L77" i="37"/>
  <c r="M77" i="37"/>
  <c r="N77" i="37"/>
  <c r="O77" i="37"/>
  <c r="P77" i="37"/>
  <c r="Q77" i="37"/>
  <c r="R77" i="37"/>
  <c r="AC77" i="37"/>
  <c r="D78" i="37"/>
  <c r="E78" i="37"/>
  <c r="F78" i="37"/>
  <c r="G78" i="37"/>
  <c r="H78" i="37"/>
  <c r="I78" i="37"/>
  <c r="J78" i="37"/>
  <c r="K78" i="37"/>
  <c r="L78" i="37"/>
  <c r="M78" i="37"/>
  <c r="N78" i="37"/>
  <c r="O78" i="37"/>
  <c r="P78" i="37"/>
  <c r="Q78" i="37"/>
  <c r="R78" i="37"/>
  <c r="T78" i="37"/>
  <c r="U78" i="37"/>
  <c r="V78" i="37"/>
  <c r="W78" i="37"/>
  <c r="X78" i="37"/>
  <c r="Y78" i="37"/>
  <c r="Z78" i="37"/>
  <c r="AA78" i="37"/>
  <c r="AC78" i="37"/>
  <c r="D79" i="37"/>
  <c r="E79" i="37"/>
  <c r="F79" i="37"/>
  <c r="G79" i="37"/>
  <c r="H79" i="37"/>
  <c r="I79" i="37"/>
  <c r="J79" i="37"/>
  <c r="K79" i="37"/>
  <c r="L79" i="37"/>
  <c r="M79" i="37"/>
  <c r="N79" i="37"/>
  <c r="O79" i="37"/>
  <c r="P79" i="37"/>
  <c r="Q79" i="37"/>
  <c r="R79" i="37"/>
  <c r="T79" i="37"/>
  <c r="U79" i="37"/>
  <c r="V79" i="37"/>
  <c r="W79" i="37"/>
  <c r="X79" i="37"/>
  <c r="Y79" i="37"/>
  <c r="Z79" i="37"/>
  <c r="AA79" i="37"/>
  <c r="AC79" i="37"/>
  <c r="D80" i="37"/>
  <c r="E80" i="37"/>
  <c r="F80" i="37"/>
  <c r="G80" i="37"/>
  <c r="H80" i="37"/>
  <c r="I80" i="37"/>
  <c r="J80" i="37"/>
  <c r="K80" i="37"/>
  <c r="L80" i="37"/>
  <c r="M80" i="37"/>
  <c r="N80" i="37"/>
  <c r="O80" i="37"/>
  <c r="P80" i="37"/>
  <c r="Q80" i="37"/>
  <c r="R80" i="37"/>
  <c r="AC80" i="37"/>
  <c r="AC84" i="37"/>
  <c r="AC91" i="37" s="1"/>
  <c r="AD84" i="37" s="1"/>
  <c r="AC85" i="37"/>
  <c r="AD85" i="37"/>
  <c r="AD104" i="37" s="1"/>
  <c r="AE85" i="37"/>
  <c r="AC86" i="37"/>
  <c r="AD86" i="37"/>
  <c r="AE86" i="37"/>
  <c r="AF86" i="37"/>
  <c r="AF105" i="37" s="1"/>
  <c r="AG86" i="37"/>
  <c r="AH86" i="37"/>
  <c r="AH105" i="37" s="1"/>
  <c r="AC87" i="37"/>
  <c r="AD87" i="37"/>
  <c r="AE87" i="37"/>
  <c r="AC88" i="37"/>
  <c r="AD88" i="37"/>
  <c r="AE88" i="37"/>
  <c r="AC89" i="37"/>
  <c r="AD89" i="37"/>
  <c r="AD108" i="37" s="1"/>
  <c r="AE89" i="37"/>
  <c r="AF89" i="37"/>
  <c r="AG89" i="37"/>
  <c r="AH89" i="37"/>
  <c r="AC90" i="37"/>
  <c r="AC109" i="37" s="1"/>
  <c r="AD90" i="37"/>
  <c r="AE90" i="37"/>
  <c r="D91" i="37"/>
  <c r="E91" i="37"/>
  <c r="F91" i="37"/>
  <c r="J92" i="37" s="1"/>
  <c r="G91" i="37"/>
  <c r="H91" i="37"/>
  <c r="H92" i="37" s="1"/>
  <c r="I91" i="37"/>
  <c r="J91" i="37"/>
  <c r="K91" i="37"/>
  <c r="L91" i="37"/>
  <c r="M91" i="37"/>
  <c r="N91" i="37"/>
  <c r="R92" i="37" s="1"/>
  <c r="O91" i="37"/>
  <c r="P91" i="37"/>
  <c r="P92" i="37" s="1"/>
  <c r="Q91" i="37"/>
  <c r="R91" i="37"/>
  <c r="S84" i="37" s="1"/>
  <c r="I92" i="37"/>
  <c r="K92" i="37"/>
  <c r="L92" i="37"/>
  <c r="M92" i="37"/>
  <c r="O92" i="37"/>
  <c r="Q92" i="37"/>
  <c r="AC94" i="37"/>
  <c r="AD94" i="37"/>
  <c r="AE94" i="37"/>
  <c r="D96" i="37"/>
  <c r="E96" i="37"/>
  <c r="F96" i="37"/>
  <c r="G96" i="37"/>
  <c r="H96" i="37"/>
  <c r="I96" i="37"/>
  <c r="J96" i="37"/>
  <c r="K96" i="37"/>
  <c r="L96" i="37"/>
  <c r="M96" i="37"/>
  <c r="N96" i="37"/>
  <c r="O96" i="37"/>
  <c r="P96" i="37"/>
  <c r="Q96" i="37"/>
  <c r="R96" i="37"/>
  <c r="D97" i="37"/>
  <c r="E97" i="37"/>
  <c r="F97" i="37"/>
  <c r="G97" i="37"/>
  <c r="H97" i="37"/>
  <c r="I97" i="37"/>
  <c r="J97" i="37"/>
  <c r="K97" i="37"/>
  <c r="L97" i="37"/>
  <c r="M97" i="37"/>
  <c r="N97" i="37"/>
  <c r="O97" i="37"/>
  <c r="P97" i="37"/>
  <c r="Q97" i="37"/>
  <c r="R97" i="37"/>
  <c r="T97" i="37"/>
  <c r="U97" i="37"/>
  <c r="V97" i="37"/>
  <c r="W97" i="37"/>
  <c r="X97" i="37"/>
  <c r="Y97" i="37"/>
  <c r="Z97" i="37"/>
  <c r="AA97" i="37"/>
  <c r="D98" i="37"/>
  <c r="E98" i="37"/>
  <c r="F98" i="37"/>
  <c r="G98" i="37"/>
  <c r="H98" i="37"/>
  <c r="I98" i="37"/>
  <c r="J98" i="37"/>
  <c r="K98" i="37"/>
  <c r="L98" i="37"/>
  <c r="M98" i="37"/>
  <c r="N98" i="37"/>
  <c r="O98" i="37"/>
  <c r="P98" i="37"/>
  <c r="Q98" i="37"/>
  <c r="R98" i="37"/>
  <c r="T98" i="37"/>
  <c r="U98" i="37"/>
  <c r="V98" i="37"/>
  <c r="W98" i="37"/>
  <c r="X98" i="37"/>
  <c r="Y98" i="37"/>
  <c r="Z98" i="37"/>
  <c r="AA98" i="37"/>
  <c r="D99" i="37"/>
  <c r="E99" i="37"/>
  <c r="F99" i="37"/>
  <c r="G99" i="37"/>
  <c r="H99" i="37"/>
  <c r="I99" i="37"/>
  <c r="J99" i="37"/>
  <c r="K99" i="37"/>
  <c r="L99" i="37"/>
  <c r="M99" i="37"/>
  <c r="N99" i="37"/>
  <c r="O99" i="37"/>
  <c r="P99" i="37"/>
  <c r="Q99" i="37"/>
  <c r="R99" i="37"/>
  <c r="AC99" i="37"/>
  <c r="D103" i="37"/>
  <c r="D24" i="37" s="1"/>
  <c r="AC24" i="37" s="1"/>
  <c r="E103" i="37"/>
  <c r="E24" i="37" s="1"/>
  <c r="F103" i="37"/>
  <c r="F24" i="37" s="1"/>
  <c r="G103" i="37"/>
  <c r="G24" i="37" s="1"/>
  <c r="H103" i="37"/>
  <c r="H115" i="37" s="1"/>
  <c r="I103" i="37"/>
  <c r="I24" i="37" s="1"/>
  <c r="J103" i="37"/>
  <c r="J24" i="37" s="1"/>
  <c r="K103" i="37"/>
  <c r="K24" i="37" s="1"/>
  <c r="L103" i="37"/>
  <c r="L24" i="37" s="1"/>
  <c r="M103" i="37"/>
  <c r="M24" i="37" s="1"/>
  <c r="N103" i="37"/>
  <c r="N24" i="37" s="1"/>
  <c r="O103" i="37"/>
  <c r="O24" i="37" s="1"/>
  <c r="P103" i="37"/>
  <c r="P115" i="37" s="1"/>
  <c r="Q103" i="37"/>
  <c r="Q24" i="37" s="1"/>
  <c r="R103" i="37"/>
  <c r="R24" i="37" s="1"/>
  <c r="D104" i="37"/>
  <c r="D25" i="37" s="1"/>
  <c r="AC25" i="37" s="1"/>
  <c r="V22" i="34" s="1"/>
  <c r="E104" i="37"/>
  <c r="E25" i="37" s="1"/>
  <c r="F104" i="37"/>
  <c r="F25" i="37" s="1"/>
  <c r="G104" i="37"/>
  <c r="G25" i="37" s="1"/>
  <c r="H104" i="37"/>
  <c r="H25" i="37" s="1"/>
  <c r="AD25" i="37" s="1"/>
  <c r="W22" i="34" s="1"/>
  <c r="I104" i="37"/>
  <c r="I25" i="37" s="1"/>
  <c r="J104" i="37"/>
  <c r="J110" i="37" s="1"/>
  <c r="K104" i="37"/>
  <c r="K25" i="37" s="1"/>
  <c r="L104" i="37"/>
  <c r="L25" i="37" s="1"/>
  <c r="AE25" i="37" s="1"/>
  <c r="M104" i="37"/>
  <c r="M25" i="37" s="1"/>
  <c r="N104" i="37"/>
  <c r="N25" i="37" s="1"/>
  <c r="O104" i="37"/>
  <c r="O25" i="37" s="1"/>
  <c r="P104" i="37"/>
  <c r="P25" i="37" s="1"/>
  <c r="Q104" i="37"/>
  <c r="Q25" i="37" s="1"/>
  <c r="R104" i="37"/>
  <c r="R110" i="37" s="1"/>
  <c r="D105" i="37"/>
  <c r="E105" i="37"/>
  <c r="E26" i="37" s="1"/>
  <c r="AC26" i="37" s="1"/>
  <c r="V23" i="34" s="1"/>
  <c r="F105" i="37"/>
  <c r="F26" i="37" s="1"/>
  <c r="G105" i="37"/>
  <c r="G26" i="37" s="1"/>
  <c r="H105" i="37"/>
  <c r="H26" i="37" s="1"/>
  <c r="I105" i="37"/>
  <c r="I26" i="37" s="1"/>
  <c r="J105" i="37"/>
  <c r="J26" i="37" s="1"/>
  <c r="K105" i="37"/>
  <c r="K26" i="37" s="1"/>
  <c r="L105" i="37"/>
  <c r="M105" i="37"/>
  <c r="M26" i="37" s="1"/>
  <c r="N105" i="37"/>
  <c r="N26" i="37" s="1"/>
  <c r="O105" i="37"/>
  <c r="O26" i="37" s="1"/>
  <c r="P105" i="37"/>
  <c r="P26" i="37" s="1"/>
  <c r="Q105" i="37"/>
  <c r="Q26" i="37" s="1"/>
  <c r="R105" i="37"/>
  <c r="R26" i="37" s="1"/>
  <c r="S105" i="37"/>
  <c r="S26" i="37" s="1"/>
  <c r="T105" i="37"/>
  <c r="U105" i="37"/>
  <c r="U26" i="37" s="1"/>
  <c r="V105" i="37"/>
  <c r="V26" i="37" s="1"/>
  <c r="W105" i="37"/>
  <c r="W26" i="37" s="1"/>
  <c r="X105" i="37"/>
  <c r="X26" i="37" s="1"/>
  <c r="Y105" i="37"/>
  <c r="Y26" i="37" s="1"/>
  <c r="Z105" i="37"/>
  <c r="Z26" i="37" s="1"/>
  <c r="AA105" i="37"/>
  <c r="AA26" i="37" s="1"/>
  <c r="AC105" i="37"/>
  <c r="AD105" i="37"/>
  <c r="D106" i="37"/>
  <c r="D27" i="37" s="1"/>
  <c r="E106" i="37"/>
  <c r="E27" i="37" s="1"/>
  <c r="E38" i="37" s="1"/>
  <c r="F106" i="37"/>
  <c r="F115" i="37" s="1"/>
  <c r="G106" i="37"/>
  <c r="G27" i="37" s="1"/>
  <c r="G38" i="37" s="1"/>
  <c r="H106" i="37"/>
  <c r="H27" i="37" s="1"/>
  <c r="I106" i="37"/>
  <c r="I27" i="37" s="1"/>
  <c r="I38" i="37" s="1"/>
  <c r="J106" i="37"/>
  <c r="J27" i="37" s="1"/>
  <c r="J38" i="37" s="1"/>
  <c r="K106" i="37"/>
  <c r="K27" i="37" s="1"/>
  <c r="K38" i="37" s="1"/>
  <c r="L106" i="37"/>
  <c r="L27" i="37" s="1"/>
  <c r="M106" i="37"/>
  <c r="M27" i="37" s="1"/>
  <c r="M38" i="37" s="1"/>
  <c r="N106" i="37"/>
  <c r="N115" i="37" s="1"/>
  <c r="O106" i="37"/>
  <c r="O27" i="37" s="1"/>
  <c r="O38" i="37" s="1"/>
  <c r="P106" i="37"/>
  <c r="P27" i="37" s="1"/>
  <c r="Q106" i="37"/>
  <c r="Q27" i="37" s="1"/>
  <c r="Q38" i="37" s="1"/>
  <c r="R106" i="37"/>
  <c r="R27" i="37" s="1"/>
  <c r="R38" i="37" s="1"/>
  <c r="AC106" i="37"/>
  <c r="AD106" i="37"/>
  <c r="AE106" i="37"/>
  <c r="D107" i="37"/>
  <c r="D28" i="37" s="1"/>
  <c r="E107" i="37"/>
  <c r="E28" i="37" s="1"/>
  <c r="F107" i="37"/>
  <c r="F28" i="37" s="1"/>
  <c r="G107" i="37"/>
  <c r="G28" i="37" s="1"/>
  <c r="H107" i="37"/>
  <c r="H116" i="37" s="1"/>
  <c r="I107" i="37"/>
  <c r="I28" i="37" s="1"/>
  <c r="J107" i="37"/>
  <c r="J28" i="37" s="1"/>
  <c r="K107" i="37"/>
  <c r="K28" i="37" s="1"/>
  <c r="L107" i="37"/>
  <c r="L28" i="37" s="1"/>
  <c r="M107" i="37"/>
  <c r="M28" i="37" s="1"/>
  <c r="N107" i="37"/>
  <c r="N28" i="37" s="1"/>
  <c r="O107" i="37"/>
  <c r="O28" i="37" s="1"/>
  <c r="P107" i="37"/>
  <c r="P116" i="37" s="1"/>
  <c r="Q107" i="37"/>
  <c r="Q28" i="37" s="1"/>
  <c r="R107" i="37"/>
  <c r="R28" i="37" s="1"/>
  <c r="AC107" i="37"/>
  <c r="AD107" i="37"/>
  <c r="AE107" i="37"/>
  <c r="D108" i="37"/>
  <c r="D29" i="37" s="1"/>
  <c r="E108" i="37"/>
  <c r="E29" i="37" s="1"/>
  <c r="F108" i="37"/>
  <c r="F29" i="37" s="1"/>
  <c r="G108" i="37"/>
  <c r="G29" i="37" s="1"/>
  <c r="H108" i="37"/>
  <c r="H29" i="37" s="1"/>
  <c r="I108" i="37"/>
  <c r="I29" i="37" s="1"/>
  <c r="J108" i="37"/>
  <c r="K108" i="37"/>
  <c r="K29" i="37" s="1"/>
  <c r="L108" i="37"/>
  <c r="L29" i="37" s="1"/>
  <c r="M108" i="37"/>
  <c r="M29" i="37" s="1"/>
  <c r="N108" i="37"/>
  <c r="N29" i="37" s="1"/>
  <c r="O108" i="37"/>
  <c r="O29" i="37" s="1"/>
  <c r="P108" i="37"/>
  <c r="P29" i="37" s="1"/>
  <c r="Q108" i="37"/>
  <c r="Q29" i="37" s="1"/>
  <c r="R108" i="37"/>
  <c r="S108" i="37"/>
  <c r="S29" i="37" s="1"/>
  <c r="T108" i="37"/>
  <c r="T29" i="37" s="1"/>
  <c r="U108" i="37"/>
  <c r="U29" i="37" s="1"/>
  <c r="V108" i="37"/>
  <c r="V29" i="37" s="1"/>
  <c r="W108" i="37"/>
  <c r="W29" i="37" s="1"/>
  <c r="X108" i="37"/>
  <c r="X29" i="37" s="1"/>
  <c r="Y108" i="37"/>
  <c r="Y29" i="37" s="1"/>
  <c r="Z108" i="37"/>
  <c r="AA108" i="37"/>
  <c r="AA29" i="37" s="1"/>
  <c r="AE108" i="37"/>
  <c r="AF108" i="37"/>
  <c r="AG108" i="37"/>
  <c r="AH108" i="37"/>
  <c r="D109" i="37"/>
  <c r="D118" i="37" s="1"/>
  <c r="E109" i="37"/>
  <c r="E30" i="37" s="1"/>
  <c r="F109" i="37"/>
  <c r="F30" i="37" s="1"/>
  <c r="G109" i="37"/>
  <c r="G30" i="37" s="1"/>
  <c r="G41" i="37" s="1"/>
  <c r="H109" i="37"/>
  <c r="H30" i="37" s="1"/>
  <c r="I109" i="37"/>
  <c r="I30" i="37" s="1"/>
  <c r="J109" i="37"/>
  <c r="J30" i="37" s="1"/>
  <c r="J41" i="37" s="1"/>
  <c r="K109" i="37"/>
  <c r="K30" i="37" s="1"/>
  <c r="K41" i="37" s="1"/>
  <c r="L109" i="37"/>
  <c r="L118" i="37" s="1"/>
  <c r="M109" i="37"/>
  <c r="M30" i="37" s="1"/>
  <c r="N109" i="37"/>
  <c r="N30" i="37" s="1"/>
  <c r="O109" i="37"/>
  <c r="O30" i="37" s="1"/>
  <c r="O41" i="37" s="1"/>
  <c r="P109" i="37"/>
  <c r="P30" i="37" s="1"/>
  <c r="Q109" i="37"/>
  <c r="Q30" i="37" s="1"/>
  <c r="R109" i="37"/>
  <c r="R30" i="37" s="1"/>
  <c r="R41" i="37" s="1"/>
  <c r="D110" i="37"/>
  <c r="E110" i="37"/>
  <c r="G110" i="37"/>
  <c r="I110" i="37"/>
  <c r="I111" i="37" s="1"/>
  <c r="L110" i="37"/>
  <c r="M110" i="37"/>
  <c r="O110" i="37"/>
  <c r="Q110" i="37"/>
  <c r="Q111" i="37" s="1"/>
  <c r="M111" i="37"/>
  <c r="D113" i="37"/>
  <c r="D36" i="37" s="1"/>
  <c r="E113" i="37"/>
  <c r="AC113" i="37" s="1"/>
  <c r="F113" i="37"/>
  <c r="F36" i="37" s="1"/>
  <c r="G113" i="37"/>
  <c r="G14" i="37" s="1"/>
  <c r="G17" i="37" s="1"/>
  <c r="H113" i="37"/>
  <c r="H14" i="37" s="1"/>
  <c r="I113" i="37"/>
  <c r="I36" i="37" s="1"/>
  <c r="J113" i="37"/>
  <c r="J36" i="37" s="1"/>
  <c r="K113" i="37"/>
  <c r="K14" i="37" s="1"/>
  <c r="K17" i="37" s="1"/>
  <c r="K14" i="35" s="1"/>
  <c r="K15" i="35" s="1"/>
  <c r="L113" i="37"/>
  <c r="L36" i="37" s="1"/>
  <c r="M113" i="37"/>
  <c r="AE113" i="37" s="1"/>
  <c r="N113" i="37"/>
  <c r="N36" i="37" s="1"/>
  <c r="O113" i="37"/>
  <c r="O14" i="37" s="1"/>
  <c r="O17" i="37" s="1"/>
  <c r="P113" i="37"/>
  <c r="P14" i="37" s="1"/>
  <c r="Q113" i="37"/>
  <c r="Q36" i="37" s="1"/>
  <c r="R113" i="37"/>
  <c r="R36" i="37" s="1"/>
  <c r="AD113" i="37"/>
  <c r="E115" i="37"/>
  <c r="G115" i="37"/>
  <c r="I115" i="37"/>
  <c r="J115" i="37"/>
  <c r="K115" i="37"/>
  <c r="M115" i="37"/>
  <c r="O115" i="37"/>
  <c r="Q115" i="37"/>
  <c r="R115" i="37"/>
  <c r="D116" i="37"/>
  <c r="E116" i="37"/>
  <c r="G116" i="37"/>
  <c r="I116" i="37"/>
  <c r="J116" i="37"/>
  <c r="K116" i="37"/>
  <c r="L116" i="37"/>
  <c r="M116" i="37"/>
  <c r="O116" i="37"/>
  <c r="Q116" i="37"/>
  <c r="R116" i="37"/>
  <c r="E117" i="37"/>
  <c r="G117" i="37"/>
  <c r="I117" i="37"/>
  <c r="K117" i="37"/>
  <c r="M117" i="37"/>
  <c r="O117" i="37"/>
  <c r="Q117" i="37"/>
  <c r="E118" i="37"/>
  <c r="G118" i="37"/>
  <c r="I118" i="37"/>
  <c r="K118" i="37"/>
  <c r="M118" i="37"/>
  <c r="O118" i="37"/>
  <c r="Q118" i="37"/>
  <c r="AC122" i="37"/>
  <c r="AC123" i="37"/>
  <c r="AD123" i="37"/>
  <c r="AE123" i="37"/>
  <c r="AC124" i="37"/>
  <c r="AD124" i="37"/>
  <c r="AE124" i="37"/>
  <c r="AF124" i="37"/>
  <c r="AG124" i="37"/>
  <c r="AH124" i="37"/>
  <c r="AC125" i="37"/>
  <c r="AC137" i="37" s="1"/>
  <c r="AD125" i="37"/>
  <c r="AE125" i="37"/>
  <c r="AC126" i="37"/>
  <c r="AD126" i="37"/>
  <c r="AE126" i="37"/>
  <c r="AC127" i="37"/>
  <c r="AD127" i="37"/>
  <c r="AE127" i="37"/>
  <c r="AF127" i="37"/>
  <c r="AG127" i="37"/>
  <c r="AH127" i="37"/>
  <c r="AC128" i="37"/>
  <c r="AD128" i="37"/>
  <c r="AE128" i="37"/>
  <c r="D129" i="37"/>
  <c r="E129" i="37"/>
  <c r="F129" i="37"/>
  <c r="G129" i="37"/>
  <c r="H129" i="37"/>
  <c r="L130" i="37" s="1"/>
  <c r="I129" i="37"/>
  <c r="I130" i="37" s="1"/>
  <c r="J129" i="37"/>
  <c r="J130" i="37" s="1"/>
  <c r="K129" i="37"/>
  <c r="L129" i="37"/>
  <c r="M129" i="37"/>
  <c r="M130" i="37" s="1"/>
  <c r="N129" i="37"/>
  <c r="O129" i="37"/>
  <c r="P129" i="37"/>
  <c r="P130" i="37" s="1"/>
  <c r="Q129" i="37"/>
  <c r="Q130" i="37" s="1"/>
  <c r="R129" i="37"/>
  <c r="K130" i="37"/>
  <c r="N130" i="37"/>
  <c r="O130" i="37"/>
  <c r="AC132" i="37"/>
  <c r="AD132" i="37"/>
  <c r="AE132" i="37"/>
  <c r="D134" i="37"/>
  <c r="E134" i="37"/>
  <c r="F134" i="37"/>
  <c r="G134" i="37"/>
  <c r="H134" i="37"/>
  <c r="I134" i="37"/>
  <c r="J134" i="37"/>
  <c r="K134" i="37"/>
  <c r="L134" i="37"/>
  <c r="M134" i="37"/>
  <c r="N134" i="37"/>
  <c r="O134" i="37"/>
  <c r="P134" i="37"/>
  <c r="Q134" i="37"/>
  <c r="R134" i="37"/>
  <c r="AC134" i="37"/>
  <c r="D135" i="37"/>
  <c r="E135" i="37"/>
  <c r="F135" i="37"/>
  <c r="G135" i="37"/>
  <c r="H135" i="37"/>
  <c r="I135" i="37"/>
  <c r="J135" i="37"/>
  <c r="K135" i="37"/>
  <c r="L135" i="37"/>
  <c r="M135" i="37"/>
  <c r="N135" i="37"/>
  <c r="O135" i="37"/>
  <c r="P135" i="37"/>
  <c r="Q135" i="37"/>
  <c r="R135" i="37"/>
  <c r="T135" i="37"/>
  <c r="U135" i="37"/>
  <c r="V135" i="37"/>
  <c r="W135" i="37"/>
  <c r="X135" i="37"/>
  <c r="Y135" i="37"/>
  <c r="Z135" i="37"/>
  <c r="AA135" i="37"/>
  <c r="AC135" i="37"/>
  <c r="D136" i="37"/>
  <c r="E136" i="37"/>
  <c r="F136" i="37"/>
  <c r="G136" i="37"/>
  <c r="H136" i="37"/>
  <c r="I136" i="37"/>
  <c r="J136" i="37"/>
  <c r="K136" i="37"/>
  <c r="L136" i="37"/>
  <c r="M136" i="37"/>
  <c r="N136" i="37"/>
  <c r="O136" i="37"/>
  <c r="P136" i="37"/>
  <c r="Q136" i="37"/>
  <c r="R136" i="37"/>
  <c r="T136" i="37"/>
  <c r="U136" i="37"/>
  <c r="V136" i="37"/>
  <c r="W136" i="37"/>
  <c r="X136" i="37"/>
  <c r="Y136" i="37"/>
  <c r="Z136" i="37"/>
  <c r="AA136" i="37"/>
  <c r="AC136" i="37"/>
  <c r="D137" i="37"/>
  <c r="E137" i="37"/>
  <c r="F137" i="37"/>
  <c r="G137" i="37"/>
  <c r="H137" i="37"/>
  <c r="I137" i="37"/>
  <c r="J137" i="37"/>
  <c r="K137" i="37"/>
  <c r="L137" i="37"/>
  <c r="M137" i="37"/>
  <c r="N137" i="37"/>
  <c r="O137" i="37"/>
  <c r="P137" i="37"/>
  <c r="Q137" i="37"/>
  <c r="R137" i="37"/>
  <c r="AC140" i="37"/>
  <c r="AD140" i="37"/>
  <c r="AE140" i="37"/>
  <c r="AF140" i="37"/>
  <c r="AG140" i="37"/>
  <c r="AH140" i="37"/>
  <c r="J13" i="36"/>
  <c r="R13" i="36"/>
  <c r="L14" i="36"/>
  <c r="F15" i="36"/>
  <c r="N15" i="36"/>
  <c r="E24" i="36"/>
  <c r="E13" i="36" s="1"/>
  <c r="F24" i="36"/>
  <c r="F13" i="36" s="1"/>
  <c r="G24" i="36"/>
  <c r="H24" i="36"/>
  <c r="H13" i="36" s="1"/>
  <c r="I24" i="36"/>
  <c r="I13" i="36" s="1"/>
  <c r="J24" i="36"/>
  <c r="K24" i="36"/>
  <c r="K13" i="36" s="1"/>
  <c r="L24" i="36"/>
  <c r="M24" i="36"/>
  <c r="M13" i="36" s="1"/>
  <c r="N24" i="36"/>
  <c r="N13" i="36" s="1"/>
  <c r="O24" i="36"/>
  <c r="P24" i="36"/>
  <c r="P13" i="36" s="1"/>
  <c r="Q24" i="36"/>
  <c r="Q13" i="36" s="1"/>
  <c r="R24" i="36"/>
  <c r="S24" i="36"/>
  <c r="S13" i="36" s="1"/>
  <c r="E25" i="36"/>
  <c r="E14" i="36" s="1"/>
  <c r="F25" i="36"/>
  <c r="G25" i="36"/>
  <c r="G14" i="36" s="1"/>
  <c r="H25" i="36"/>
  <c r="H14" i="36" s="1"/>
  <c r="I25" i="36"/>
  <c r="J25" i="36"/>
  <c r="J14" i="36" s="1"/>
  <c r="K25" i="36"/>
  <c r="L25" i="36"/>
  <c r="M25" i="36"/>
  <c r="M14" i="36" s="1"/>
  <c r="N25" i="36"/>
  <c r="O25" i="36"/>
  <c r="O14" i="36" s="1"/>
  <c r="P25" i="36"/>
  <c r="P14" i="36" s="1"/>
  <c r="Q25" i="36"/>
  <c r="R25" i="36"/>
  <c r="R14" i="36" s="1"/>
  <c r="S25" i="36"/>
  <c r="Y25" i="36"/>
  <c r="AD25" i="36"/>
  <c r="AF25" i="36"/>
  <c r="E26" i="36"/>
  <c r="E15" i="36" s="1"/>
  <c r="F26" i="36"/>
  <c r="G26" i="36"/>
  <c r="G15" i="36" s="1"/>
  <c r="H26" i="36"/>
  <c r="I26" i="36"/>
  <c r="I15" i="36" s="1"/>
  <c r="J26" i="36"/>
  <c r="J15" i="36" s="1"/>
  <c r="K26" i="36"/>
  <c r="L26" i="36"/>
  <c r="L15" i="36" s="1"/>
  <c r="M26" i="36"/>
  <c r="M15" i="36" s="1"/>
  <c r="N26" i="36"/>
  <c r="O26" i="36"/>
  <c r="O15" i="36" s="1"/>
  <c r="P26" i="36"/>
  <c r="Q26" i="36"/>
  <c r="Q15" i="36" s="1"/>
  <c r="R26" i="36"/>
  <c r="R15" i="36" s="1"/>
  <c r="S26" i="36"/>
  <c r="AD26" i="36"/>
  <c r="E27" i="36"/>
  <c r="F27" i="36"/>
  <c r="H27" i="36"/>
  <c r="J27" i="36"/>
  <c r="L27" i="36"/>
  <c r="M27" i="36"/>
  <c r="N27" i="36"/>
  <c r="P27" i="36"/>
  <c r="R27" i="36"/>
  <c r="J28" i="36"/>
  <c r="L28" i="36"/>
  <c r="N28" i="36"/>
  <c r="P28" i="36"/>
  <c r="R28" i="36"/>
  <c r="F30" i="36"/>
  <c r="H30" i="36"/>
  <c r="J30" i="36"/>
  <c r="L30" i="36"/>
  <c r="N30" i="36"/>
  <c r="P30" i="36"/>
  <c r="R30" i="36"/>
  <c r="F31" i="36"/>
  <c r="H31" i="36"/>
  <c r="J31" i="36"/>
  <c r="L31" i="36"/>
  <c r="N31" i="36"/>
  <c r="P31" i="36"/>
  <c r="R31" i="36"/>
  <c r="F32" i="36"/>
  <c r="H32" i="36"/>
  <c r="J32" i="36"/>
  <c r="L32" i="36"/>
  <c r="N32" i="36"/>
  <c r="P32" i="36"/>
  <c r="R32" i="36"/>
  <c r="E35" i="36"/>
  <c r="F35" i="36"/>
  <c r="AD35" i="36" s="1"/>
  <c r="G35" i="36"/>
  <c r="H35" i="36"/>
  <c r="I35" i="36"/>
  <c r="J35" i="36"/>
  <c r="K35" i="36"/>
  <c r="L35" i="36"/>
  <c r="M35" i="36"/>
  <c r="N35" i="36"/>
  <c r="AF35" i="36" s="1"/>
  <c r="O35" i="36"/>
  <c r="P35" i="36"/>
  <c r="Q35" i="36"/>
  <c r="R35" i="36"/>
  <c r="S35" i="36"/>
  <c r="E36" i="36"/>
  <c r="F36" i="36"/>
  <c r="G36" i="36"/>
  <c r="H36" i="36"/>
  <c r="I36" i="36"/>
  <c r="J36" i="36"/>
  <c r="K36" i="36"/>
  <c r="L36" i="36"/>
  <c r="M36" i="36"/>
  <c r="N36" i="36"/>
  <c r="O36" i="36"/>
  <c r="P36" i="36"/>
  <c r="Q36" i="36"/>
  <c r="R36" i="36"/>
  <c r="S36" i="36"/>
  <c r="AE36" i="36"/>
  <c r="E37" i="36"/>
  <c r="F37" i="36"/>
  <c r="G37" i="36"/>
  <c r="H37" i="36"/>
  <c r="I37" i="36"/>
  <c r="J37" i="36"/>
  <c r="AE37" i="36" s="1"/>
  <c r="K37" i="36"/>
  <c r="L37" i="36"/>
  <c r="M37" i="36"/>
  <c r="N37" i="36"/>
  <c r="O37" i="36"/>
  <c r="P37" i="36"/>
  <c r="Q37" i="36"/>
  <c r="R37" i="36"/>
  <c r="R43" i="36" s="1"/>
  <c r="S37" i="36"/>
  <c r="E38" i="36"/>
  <c r="G38" i="36"/>
  <c r="I38" i="36"/>
  <c r="J38" i="36"/>
  <c r="K38" i="36"/>
  <c r="M38" i="36"/>
  <c r="O38" i="36"/>
  <c r="Q38" i="36"/>
  <c r="R38" i="36"/>
  <c r="S38" i="36"/>
  <c r="I39" i="36"/>
  <c r="K39" i="36"/>
  <c r="M39" i="36"/>
  <c r="O39" i="36"/>
  <c r="Q39" i="36"/>
  <c r="S39" i="36"/>
  <c r="E41" i="36"/>
  <c r="G41" i="36"/>
  <c r="I41" i="36"/>
  <c r="K41" i="36"/>
  <c r="M41" i="36"/>
  <c r="O41" i="36"/>
  <c r="Q41" i="36"/>
  <c r="S41" i="36"/>
  <c r="E42" i="36"/>
  <c r="G42" i="36"/>
  <c r="I42" i="36"/>
  <c r="K42" i="36"/>
  <c r="M42" i="36"/>
  <c r="O42" i="36"/>
  <c r="Q42" i="36"/>
  <c r="S42" i="36"/>
  <c r="E43" i="36"/>
  <c r="G43" i="36"/>
  <c r="I43" i="36"/>
  <c r="K43" i="36"/>
  <c r="M43" i="36"/>
  <c r="O43" i="36"/>
  <c r="Q43" i="36"/>
  <c r="S43" i="36"/>
  <c r="AD50" i="36"/>
  <c r="AE50" i="36"/>
  <c r="AF50" i="36"/>
  <c r="AG50" i="36"/>
  <c r="AD51" i="36"/>
  <c r="AE51" i="36"/>
  <c r="AF51" i="36"/>
  <c r="E52" i="36"/>
  <c r="E133" i="36" s="1"/>
  <c r="F52" i="36"/>
  <c r="G52" i="36"/>
  <c r="H52" i="36"/>
  <c r="I52" i="36"/>
  <c r="J52" i="36"/>
  <c r="K52" i="36"/>
  <c r="L52" i="36"/>
  <c r="M52" i="36"/>
  <c r="M53" i="36" s="1"/>
  <c r="N52" i="36"/>
  <c r="O52" i="36"/>
  <c r="P52" i="36"/>
  <c r="Q52" i="36"/>
  <c r="R52" i="36"/>
  <c r="S52" i="36"/>
  <c r="AD52" i="36"/>
  <c r="AE53" i="36" s="1"/>
  <c r="AE52" i="36"/>
  <c r="AF52" i="36"/>
  <c r="I53" i="36"/>
  <c r="J53" i="36"/>
  <c r="L53" i="36"/>
  <c r="N53" i="36"/>
  <c r="P53" i="36"/>
  <c r="Q53" i="36"/>
  <c r="R53" i="36"/>
  <c r="AF53" i="36"/>
  <c r="U58" i="36"/>
  <c r="V58" i="36"/>
  <c r="V59" i="36" s="1"/>
  <c r="W58" i="36"/>
  <c r="AA59" i="36" s="1"/>
  <c r="X58" i="36"/>
  <c r="Y58" i="36"/>
  <c r="Z58" i="36"/>
  <c r="AA58" i="36"/>
  <c r="AB58" i="36"/>
  <c r="AE58" i="36"/>
  <c r="E16" i="34" s="1"/>
  <c r="AF58" i="36"/>
  <c r="AG58" i="36"/>
  <c r="G16" i="34" s="1"/>
  <c r="M59" i="36"/>
  <c r="N59" i="36"/>
  <c r="O59" i="36"/>
  <c r="P59" i="36"/>
  <c r="Q59" i="36"/>
  <c r="R59" i="36"/>
  <c r="S59" i="36"/>
  <c r="T59" i="36"/>
  <c r="X59" i="36"/>
  <c r="Z59" i="36"/>
  <c r="AB59" i="36"/>
  <c r="AI59" i="36"/>
  <c r="K60" i="36"/>
  <c r="L60" i="36"/>
  <c r="M60" i="36"/>
  <c r="N60" i="36"/>
  <c r="O60" i="36"/>
  <c r="P60" i="36"/>
  <c r="Q60" i="36"/>
  <c r="R60" i="36"/>
  <c r="S60" i="36"/>
  <c r="U60" i="36"/>
  <c r="V60" i="36" s="1"/>
  <c r="Y60" i="36"/>
  <c r="Z60" i="36" s="1"/>
  <c r="AE60" i="36"/>
  <c r="E18" i="34" s="1"/>
  <c r="AG60" i="36"/>
  <c r="E61" i="36"/>
  <c r="F61" i="36"/>
  <c r="G61" i="36"/>
  <c r="H61" i="36"/>
  <c r="I61" i="36"/>
  <c r="J61" i="36"/>
  <c r="K61" i="36"/>
  <c r="L61" i="36"/>
  <c r="M61" i="36"/>
  <c r="N61" i="36"/>
  <c r="O61" i="36"/>
  <c r="P61" i="36"/>
  <c r="Q61" i="36"/>
  <c r="R61" i="36"/>
  <c r="S61" i="36"/>
  <c r="U61" i="36"/>
  <c r="V61" i="36"/>
  <c r="W61" i="36"/>
  <c r="X61" i="36"/>
  <c r="Y61" i="36"/>
  <c r="Z61" i="36"/>
  <c r="AA61" i="36"/>
  <c r="AB61" i="36"/>
  <c r="AD61" i="36"/>
  <c r="AD62" i="36"/>
  <c r="AE62" i="36"/>
  <c r="AF62" i="36"/>
  <c r="AG62" i="36"/>
  <c r="T63" i="36"/>
  <c r="T50" i="36" s="1"/>
  <c r="Y63" i="36"/>
  <c r="Y50" i="36" s="1"/>
  <c r="AD63" i="36"/>
  <c r="AE63" i="36"/>
  <c r="AE61" i="36" s="1"/>
  <c r="E19" i="34" s="1"/>
  <c r="AF63" i="36"/>
  <c r="AG63" i="36"/>
  <c r="AD64" i="36"/>
  <c r="AE64" i="36"/>
  <c r="AF64" i="36"/>
  <c r="AG64" i="36"/>
  <c r="AH64" i="36"/>
  <c r="AI64" i="36"/>
  <c r="U65" i="36"/>
  <c r="V65" i="36"/>
  <c r="W65" i="36"/>
  <c r="X65" i="36"/>
  <c r="Y65" i="36"/>
  <c r="Z65" i="36"/>
  <c r="AA65" i="36"/>
  <c r="AB65" i="36"/>
  <c r="AD65" i="36"/>
  <c r="AE65" i="36"/>
  <c r="AF65" i="36"/>
  <c r="AG65" i="36"/>
  <c r="AD66" i="36"/>
  <c r="AE66" i="36"/>
  <c r="AF66" i="36"/>
  <c r="AG66" i="36"/>
  <c r="AH66" i="36"/>
  <c r="AI66" i="36"/>
  <c r="E67" i="36"/>
  <c r="F67" i="36"/>
  <c r="G67" i="36"/>
  <c r="H67" i="36"/>
  <c r="I67" i="36"/>
  <c r="J67" i="36"/>
  <c r="K67" i="36"/>
  <c r="L67" i="36"/>
  <c r="M67" i="36"/>
  <c r="N67" i="36"/>
  <c r="O67" i="36"/>
  <c r="P67" i="36"/>
  <c r="Q67" i="36"/>
  <c r="R67" i="36"/>
  <c r="S67" i="36"/>
  <c r="T62" i="36" s="1"/>
  <c r="T67" i="36" s="1"/>
  <c r="AD67" i="36"/>
  <c r="AE67" i="36"/>
  <c r="AF67" i="36"/>
  <c r="E68" i="36"/>
  <c r="F68" i="36"/>
  <c r="G68" i="36"/>
  <c r="H68" i="36"/>
  <c r="I68" i="36"/>
  <c r="J68" i="36"/>
  <c r="K68" i="36"/>
  <c r="L68" i="36"/>
  <c r="M68" i="36"/>
  <c r="N68" i="36"/>
  <c r="O68" i="36"/>
  <c r="P68" i="36"/>
  <c r="Q68" i="36"/>
  <c r="R68" i="36"/>
  <c r="S68" i="36"/>
  <c r="T74" i="36"/>
  <c r="S66" i="37" s="1"/>
  <c r="AF66" i="37" s="1"/>
  <c r="Y74" i="36"/>
  <c r="AD74" i="36"/>
  <c r="AE74" i="36"/>
  <c r="AF74" i="36"/>
  <c r="AG74" i="36"/>
  <c r="AD75" i="36"/>
  <c r="AE75" i="36"/>
  <c r="AF75" i="36"/>
  <c r="E76" i="36"/>
  <c r="F76" i="36"/>
  <c r="G76" i="36"/>
  <c r="H76" i="36"/>
  <c r="I76" i="36"/>
  <c r="J76" i="36"/>
  <c r="K76" i="36"/>
  <c r="L76" i="36"/>
  <c r="L134" i="36" s="1"/>
  <c r="M76" i="36"/>
  <c r="N76" i="36"/>
  <c r="O76" i="36"/>
  <c r="P76" i="36"/>
  <c r="Q76" i="36"/>
  <c r="R76" i="36"/>
  <c r="S76" i="36"/>
  <c r="AD76" i="36"/>
  <c r="AE76" i="36"/>
  <c r="I77" i="36"/>
  <c r="K77" i="36"/>
  <c r="M77" i="36"/>
  <c r="O77" i="36"/>
  <c r="P77" i="36"/>
  <c r="Q77" i="36"/>
  <c r="S77" i="36"/>
  <c r="AE77" i="36"/>
  <c r="AD79" i="36"/>
  <c r="E82" i="36"/>
  <c r="F82" i="36"/>
  <c r="G82" i="36"/>
  <c r="H82" i="36"/>
  <c r="I82" i="36"/>
  <c r="J82" i="36"/>
  <c r="K82" i="36"/>
  <c r="L82" i="36"/>
  <c r="M82" i="36"/>
  <c r="N82" i="36"/>
  <c r="O82" i="36"/>
  <c r="P82" i="36"/>
  <c r="Q82" i="36"/>
  <c r="R82" i="36"/>
  <c r="S82" i="36"/>
  <c r="U82" i="36"/>
  <c r="Y82" i="36"/>
  <c r="Z82" i="36"/>
  <c r="AA82" i="36" s="1"/>
  <c r="AD82" i="36"/>
  <c r="D31" i="34" s="1"/>
  <c r="AE82" i="36"/>
  <c r="AD83" i="36"/>
  <c r="AE83" i="36"/>
  <c r="AF83" i="36"/>
  <c r="AG83" i="36"/>
  <c r="U84" i="36"/>
  <c r="V84" i="36"/>
  <c r="W84" i="36"/>
  <c r="X84" i="36"/>
  <c r="Y84" i="36"/>
  <c r="Z84" i="36"/>
  <c r="AA84" i="36"/>
  <c r="AB84" i="36"/>
  <c r="AD84" i="36"/>
  <c r="AE84" i="36"/>
  <c r="AF84" i="36"/>
  <c r="AG84" i="36"/>
  <c r="AG82" i="36" s="1"/>
  <c r="G31" i="34" s="1"/>
  <c r="AD85" i="36"/>
  <c r="AE85" i="36"/>
  <c r="AF85" i="36"/>
  <c r="AG85" i="36"/>
  <c r="AH85" i="36"/>
  <c r="AI85" i="36"/>
  <c r="U86" i="36"/>
  <c r="V86" i="36"/>
  <c r="W86" i="36"/>
  <c r="X86" i="36"/>
  <c r="AD86" i="36"/>
  <c r="AE86" i="36"/>
  <c r="AF86" i="36"/>
  <c r="AG86" i="36"/>
  <c r="AD87" i="36"/>
  <c r="AE87" i="36"/>
  <c r="AF87" i="36"/>
  <c r="AG87" i="36"/>
  <c r="AH87" i="36"/>
  <c r="AI87" i="36"/>
  <c r="E88" i="36"/>
  <c r="F88" i="36"/>
  <c r="G88" i="36"/>
  <c r="H88" i="36"/>
  <c r="I88" i="36"/>
  <c r="J88" i="36"/>
  <c r="K88" i="36"/>
  <c r="L88" i="36"/>
  <c r="AE88" i="36" s="1"/>
  <c r="M88" i="36"/>
  <c r="N88" i="36"/>
  <c r="O88" i="36"/>
  <c r="P88" i="36"/>
  <c r="Q88" i="36"/>
  <c r="R88" i="36"/>
  <c r="S88" i="36"/>
  <c r="T83" i="36" s="1"/>
  <c r="T88" i="36" s="1"/>
  <c r="AD88" i="36"/>
  <c r="AF88" i="36"/>
  <c r="E90" i="36"/>
  <c r="F90" i="36"/>
  <c r="G90" i="36"/>
  <c r="H90" i="36"/>
  <c r="I90" i="36"/>
  <c r="J90" i="36"/>
  <c r="K90" i="36"/>
  <c r="L90" i="36"/>
  <c r="M90" i="36"/>
  <c r="N90" i="36"/>
  <c r="O90" i="36"/>
  <c r="P90" i="36"/>
  <c r="Q90" i="36"/>
  <c r="R90" i="36"/>
  <c r="S90" i="36"/>
  <c r="AD90" i="36"/>
  <c r="AG93" i="36"/>
  <c r="AH93" i="36"/>
  <c r="AI93" i="36"/>
  <c r="I28" i="34" s="1"/>
  <c r="S94" i="36"/>
  <c r="T95" i="36" s="1"/>
  <c r="AG95" i="36" s="1"/>
  <c r="T94" i="36"/>
  <c r="V94" i="36"/>
  <c r="W94" i="36"/>
  <c r="X94" i="36"/>
  <c r="Y94" i="36"/>
  <c r="Z94" i="36"/>
  <c r="AA94" i="36"/>
  <c r="AB94" i="36"/>
  <c r="AG94" i="36"/>
  <c r="G26" i="34" s="1"/>
  <c r="AH94" i="36"/>
  <c r="S95" i="36"/>
  <c r="V95" i="36"/>
  <c r="W95" i="36"/>
  <c r="X95" i="36"/>
  <c r="Y96" i="36" s="1"/>
  <c r="Y95" i="36"/>
  <c r="Z96" i="36" s="1"/>
  <c r="Z95" i="36"/>
  <c r="AA95" i="36"/>
  <c r="S96" i="36"/>
  <c r="S97" i="36" s="1"/>
  <c r="S98" i="36" s="1"/>
  <c r="T96" i="36"/>
  <c r="V96" i="36"/>
  <c r="W96" i="36"/>
  <c r="AA96" i="36"/>
  <c r="AB96" i="36"/>
  <c r="AG96" i="36"/>
  <c r="U97" i="36"/>
  <c r="V97" i="36"/>
  <c r="V98" i="36" s="1"/>
  <c r="U98" i="36"/>
  <c r="T106" i="36"/>
  <c r="S85" i="37" s="1"/>
  <c r="Y106" i="36"/>
  <c r="AD106" i="36"/>
  <c r="AE106" i="36"/>
  <c r="AF106" i="36"/>
  <c r="AG106" i="36"/>
  <c r="AD107" i="36"/>
  <c r="AE107" i="36"/>
  <c r="AF107" i="36"/>
  <c r="E108" i="36"/>
  <c r="F108" i="36"/>
  <c r="G108" i="36"/>
  <c r="H108" i="36"/>
  <c r="I108" i="36"/>
  <c r="J108" i="36"/>
  <c r="K108" i="36"/>
  <c r="L108" i="36"/>
  <c r="L109" i="36" s="1"/>
  <c r="M108" i="36"/>
  <c r="N108" i="36"/>
  <c r="O108" i="36"/>
  <c r="P108" i="36"/>
  <c r="Q108" i="36"/>
  <c r="R108" i="36"/>
  <c r="S108" i="36"/>
  <c r="AD108" i="36"/>
  <c r="AE108" i="36"/>
  <c r="I109" i="36"/>
  <c r="K109" i="36"/>
  <c r="M109" i="36"/>
  <c r="O109" i="36"/>
  <c r="P109" i="36"/>
  <c r="Q109" i="36"/>
  <c r="S109" i="36"/>
  <c r="AE109" i="36"/>
  <c r="E114" i="36"/>
  <c r="F114" i="36"/>
  <c r="G114" i="36"/>
  <c r="H114" i="36"/>
  <c r="I114" i="36"/>
  <c r="J114" i="36"/>
  <c r="K114" i="36"/>
  <c r="L114" i="36"/>
  <c r="M114" i="36"/>
  <c r="N114" i="36"/>
  <c r="O114" i="36"/>
  <c r="P114" i="36"/>
  <c r="Q114" i="36"/>
  <c r="R114" i="36"/>
  <c r="S114" i="36"/>
  <c r="U114" i="36"/>
  <c r="Y114" i="36"/>
  <c r="Z114" i="36"/>
  <c r="AA114" i="36" s="1"/>
  <c r="AD114" i="36"/>
  <c r="D42" i="34" s="1"/>
  <c r="AD115" i="36"/>
  <c r="AE115" i="36"/>
  <c r="AF115" i="36"/>
  <c r="AG115" i="36"/>
  <c r="U116" i="36"/>
  <c r="V116" i="36"/>
  <c r="W116" i="36"/>
  <c r="X116" i="36"/>
  <c r="Y116" i="36"/>
  <c r="Z116" i="36"/>
  <c r="AA116" i="36"/>
  <c r="AB116" i="36"/>
  <c r="AD116" i="36"/>
  <c r="AE116" i="36"/>
  <c r="AE114" i="36" s="1"/>
  <c r="E42" i="34" s="1"/>
  <c r="AF116" i="36"/>
  <c r="AG116" i="36"/>
  <c r="AG114" i="36" s="1"/>
  <c r="G42" i="34" s="1"/>
  <c r="AD117" i="36"/>
  <c r="AE117" i="36"/>
  <c r="AF117" i="36"/>
  <c r="AG117" i="36"/>
  <c r="AH117" i="36"/>
  <c r="AI117" i="36"/>
  <c r="U118" i="36"/>
  <c r="V118" i="36"/>
  <c r="W118" i="36"/>
  <c r="X118" i="36"/>
  <c r="Y118" i="36"/>
  <c r="Z118" i="36"/>
  <c r="AA118" i="36"/>
  <c r="AB118" i="36"/>
  <c r="AD118" i="36"/>
  <c r="AE118" i="36"/>
  <c r="AF118" i="36"/>
  <c r="AG118" i="36"/>
  <c r="AD119" i="36"/>
  <c r="AE119" i="36"/>
  <c r="AF119" i="36"/>
  <c r="AG119" i="36"/>
  <c r="AH119" i="36"/>
  <c r="AI119" i="36"/>
  <c r="E120" i="36"/>
  <c r="F120" i="36"/>
  <c r="G120" i="36"/>
  <c r="H120" i="36"/>
  <c r="AD120" i="36" s="1"/>
  <c r="I120" i="36"/>
  <c r="J120" i="36"/>
  <c r="K120" i="36"/>
  <c r="L120" i="36"/>
  <c r="M120" i="36"/>
  <c r="N120" i="36"/>
  <c r="O120" i="36"/>
  <c r="P120" i="36"/>
  <c r="AF120" i="36" s="1"/>
  <c r="Q120" i="36"/>
  <c r="R120" i="36"/>
  <c r="S120" i="36"/>
  <c r="T115" i="36" s="1"/>
  <c r="T120" i="36" s="1"/>
  <c r="AE120" i="36"/>
  <c r="E122" i="36"/>
  <c r="F122" i="36"/>
  <c r="G122" i="36"/>
  <c r="H122" i="36"/>
  <c r="I122" i="36"/>
  <c r="J122" i="36"/>
  <c r="K122" i="36"/>
  <c r="L122" i="36"/>
  <c r="M122" i="36"/>
  <c r="N122" i="36"/>
  <c r="O122" i="36"/>
  <c r="P122" i="36"/>
  <c r="Q122" i="36"/>
  <c r="R122" i="36"/>
  <c r="S122" i="36"/>
  <c r="U122" i="36"/>
  <c r="V122" i="36"/>
  <c r="W122" i="36"/>
  <c r="X122" i="36"/>
  <c r="AD125" i="36"/>
  <c r="D39" i="34" s="1"/>
  <c r="AE125" i="36"/>
  <c r="AF125" i="36"/>
  <c r="AG125" i="36"/>
  <c r="AH125" i="36"/>
  <c r="AI125" i="36"/>
  <c r="F126" i="36"/>
  <c r="G126" i="36"/>
  <c r="H126" i="36"/>
  <c r="H127" i="36" s="1"/>
  <c r="I128" i="36" s="1"/>
  <c r="I126" i="36"/>
  <c r="J126" i="36"/>
  <c r="K126" i="36"/>
  <c r="L126" i="36"/>
  <c r="M126" i="36"/>
  <c r="N126" i="36"/>
  <c r="AF126" i="36" s="1"/>
  <c r="F37" i="34" s="1"/>
  <c r="O126" i="36"/>
  <c r="P126" i="36"/>
  <c r="P127" i="36" s="1"/>
  <c r="Q128" i="36" s="1"/>
  <c r="Q126" i="36"/>
  <c r="R126" i="36"/>
  <c r="S126" i="36"/>
  <c r="U126" i="36"/>
  <c r="V126" i="36"/>
  <c r="W126" i="36"/>
  <c r="X126" i="36"/>
  <c r="Y126" i="36"/>
  <c r="Z127" i="36" s="1"/>
  <c r="Z126" i="36"/>
  <c r="AA126" i="36"/>
  <c r="AB126" i="36"/>
  <c r="AE126" i="36"/>
  <c r="AG126" i="36"/>
  <c r="E127" i="36"/>
  <c r="G127" i="36"/>
  <c r="I127" i="36"/>
  <c r="J127" i="36"/>
  <c r="K127" i="36"/>
  <c r="L127" i="36"/>
  <c r="M127" i="36"/>
  <c r="O127" i="36"/>
  <c r="Q127" i="36"/>
  <c r="R127" i="36"/>
  <c r="S127" i="36"/>
  <c r="T127" i="36"/>
  <c r="U127" i="36"/>
  <c r="V127" i="36"/>
  <c r="W127" i="36"/>
  <c r="Y127" i="36"/>
  <c r="AA127" i="36"/>
  <c r="AB127" i="36"/>
  <c r="E128" i="36"/>
  <c r="F128" i="36"/>
  <c r="H128" i="36"/>
  <c r="K128" i="36"/>
  <c r="M128" i="36"/>
  <c r="N128" i="36"/>
  <c r="P128" i="36"/>
  <c r="S128" i="36"/>
  <c r="U128" i="36"/>
  <c r="AH128" i="36" s="1"/>
  <c r="V128" i="36"/>
  <c r="W128" i="36"/>
  <c r="X128" i="36"/>
  <c r="E129" i="36"/>
  <c r="M129" i="36"/>
  <c r="U129" i="36"/>
  <c r="V129" i="36"/>
  <c r="V130" i="36"/>
  <c r="V121" i="36" s="1"/>
  <c r="F133" i="36"/>
  <c r="G133" i="36"/>
  <c r="H133" i="36"/>
  <c r="I133" i="36"/>
  <c r="J133" i="36"/>
  <c r="L133" i="36"/>
  <c r="N133" i="36"/>
  <c r="O133" i="36"/>
  <c r="P133" i="36"/>
  <c r="Q133" i="36"/>
  <c r="R133" i="36"/>
  <c r="E134" i="36"/>
  <c r="AD134" i="36" s="1"/>
  <c r="F134" i="36"/>
  <c r="G134" i="36"/>
  <c r="H134" i="36"/>
  <c r="I134" i="36"/>
  <c r="K134" i="36"/>
  <c r="M134" i="36"/>
  <c r="AF134" i="36" s="1"/>
  <c r="N134" i="36"/>
  <c r="O134" i="36"/>
  <c r="P134" i="36"/>
  <c r="Q134" i="36"/>
  <c r="S134" i="36"/>
  <c r="E135" i="36"/>
  <c r="F135" i="36"/>
  <c r="G135" i="36"/>
  <c r="H135" i="36"/>
  <c r="I135" i="36"/>
  <c r="K135" i="36"/>
  <c r="M135" i="36"/>
  <c r="N135" i="36"/>
  <c r="O135" i="36"/>
  <c r="P135" i="36"/>
  <c r="Q135" i="36"/>
  <c r="S135" i="36"/>
  <c r="F136" i="36"/>
  <c r="G136" i="36"/>
  <c r="N136" i="36"/>
  <c r="O136" i="36"/>
  <c r="AD144" i="36"/>
  <c r="AE144" i="36"/>
  <c r="AF144" i="36"/>
  <c r="AD145" i="36"/>
  <c r="AE145" i="36"/>
  <c r="AF145" i="36"/>
  <c r="E146" i="36"/>
  <c r="F146" i="36"/>
  <c r="G146" i="36"/>
  <c r="H146" i="36"/>
  <c r="I146" i="36"/>
  <c r="J146" i="36"/>
  <c r="K146" i="36"/>
  <c r="L146" i="36"/>
  <c r="L147" i="36" s="1"/>
  <c r="M146" i="36"/>
  <c r="N146" i="36"/>
  <c r="O146" i="36"/>
  <c r="P146" i="36"/>
  <c r="Q146" i="36"/>
  <c r="R146" i="36"/>
  <c r="R147" i="36" s="1"/>
  <c r="S146" i="36"/>
  <c r="AD146" i="36"/>
  <c r="AE146" i="36"/>
  <c r="I147" i="36"/>
  <c r="K147" i="36"/>
  <c r="M147" i="36"/>
  <c r="O147" i="36"/>
  <c r="P147" i="36"/>
  <c r="Q147" i="36"/>
  <c r="S147" i="36"/>
  <c r="AE147" i="36"/>
  <c r="AD149" i="36"/>
  <c r="U152" i="36"/>
  <c r="V152" i="36"/>
  <c r="W152" i="36"/>
  <c r="X152" i="36"/>
  <c r="Y152" i="36"/>
  <c r="Z152" i="36" s="1"/>
  <c r="AD152" i="36"/>
  <c r="AE152" i="36"/>
  <c r="AF152" i="36"/>
  <c r="AG152" i="36"/>
  <c r="U153" i="36"/>
  <c r="V153" i="36"/>
  <c r="W153" i="36"/>
  <c r="X153" i="36"/>
  <c r="X155" i="36" s="1"/>
  <c r="X144" i="36" s="1"/>
  <c r="Y153" i="36"/>
  <c r="Z153" i="36"/>
  <c r="AA153" i="36"/>
  <c r="AB153" i="36"/>
  <c r="AD154" i="36"/>
  <c r="AE154" i="36"/>
  <c r="AF154" i="36"/>
  <c r="AG154" i="36"/>
  <c r="T155" i="36"/>
  <c r="U155" i="36"/>
  <c r="U144" i="36" s="1"/>
  <c r="V155" i="36"/>
  <c r="V144" i="36" s="1"/>
  <c r="W155" i="36"/>
  <c r="Y155" i="36"/>
  <c r="AD155" i="36"/>
  <c r="AD153" i="36" s="1"/>
  <c r="D50" i="34" s="1"/>
  <c r="AE155" i="36"/>
  <c r="AE153" i="36" s="1"/>
  <c r="E50" i="34" s="1"/>
  <c r="AF155" i="36"/>
  <c r="AF153" i="36" s="1"/>
  <c r="F50" i="34" s="1"/>
  <c r="AD156" i="36"/>
  <c r="AE156" i="36"/>
  <c r="AF156" i="36"/>
  <c r="AG156" i="36"/>
  <c r="AH156" i="36"/>
  <c r="AI156" i="36"/>
  <c r="U157" i="36"/>
  <c r="V157" i="36"/>
  <c r="W157" i="36"/>
  <c r="X157" i="36"/>
  <c r="Y157" i="36"/>
  <c r="Z157" i="36"/>
  <c r="AA157" i="36"/>
  <c r="AB157" i="36"/>
  <c r="AD157" i="36"/>
  <c r="AE157" i="36"/>
  <c r="AF157" i="36"/>
  <c r="AG157" i="36"/>
  <c r="AD158" i="36"/>
  <c r="AE158" i="36"/>
  <c r="AF158" i="36"/>
  <c r="AG158" i="36"/>
  <c r="AH158" i="36"/>
  <c r="AI158" i="36"/>
  <c r="E159" i="36"/>
  <c r="F159" i="36"/>
  <c r="G159" i="36"/>
  <c r="H159" i="36"/>
  <c r="AD159" i="36" s="1"/>
  <c r="I159" i="36"/>
  <c r="J159" i="36"/>
  <c r="K159" i="36"/>
  <c r="L159" i="36"/>
  <c r="M159" i="36"/>
  <c r="N159" i="36"/>
  <c r="O159" i="36"/>
  <c r="P159" i="36"/>
  <c r="AF159" i="36" s="1"/>
  <c r="Q159" i="36"/>
  <c r="R159" i="36"/>
  <c r="S159" i="36"/>
  <c r="T154" i="36" s="1"/>
  <c r="T159" i="36" s="1"/>
  <c r="AE159" i="36"/>
  <c r="E160" i="36"/>
  <c r="F160" i="36"/>
  <c r="G160" i="36"/>
  <c r="H160" i="36"/>
  <c r="I160" i="36"/>
  <c r="J160" i="36"/>
  <c r="K160" i="36"/>
  <c r="L160" i="36"/>
  <c r="M160" i="36"/>
  <c r="N160" i="36"/>
  <c r="O160" i="36"/>
  <c r="P160" i="36"/>
  <c r="Q160" i="36"/>
  <c r="R160" i="36"/>
  <c r="S160" i="36"/>
  <c r="U160" i="36"/>
  <c r="V160" i="36" s="1"/>
  <c r="W160" i="36" s="1"/>
  <c r="X160" i="36" s="1"/>
  <c r="Y160" i="36"/>
  <c r="AD160" i="36"/>
  <c r="E161" i="36"/>
  <c r="F161" i="36"/>
  <c r="G161" i="36"/>
  <c r="H161" i="36"/>
  <c r="I161" i="36"/>
  <c r="J161" i="36"/>
  <c r="K161" i="36"/>
  <c r="L161" i="36"/>
  <c r="M161" i="36"/>
  <c r="N161" i="36"/>
  <c r="O161" i="36"/>
  <c r="P161" i="36"/>
  <c r="Q161" i="36"/>
  <c r="R161" i="36"/>
  <c r="S161" i="36"/>
  <c r="W161" i="36"/>
  <c r="X161" i="36"/>
  <c r="Z161" i="36"/>
  <c r="AA161" i="36"/>
  <c r="AB161" i="36" s="1"/>
  <c r="AD161" i="36"/>
  <c r="D10" i="35"/>
  <c r="L10" i="35"/>
  <c r="AC10" i="35"/>
  <c r="D19" i="35"/>
  <c r="D21" i="35" s="1"/>
  <c r="E19" i="35"/>
  <c r="F19" i="35"/>
  <c r="G19" i="35"/>
  <c r="H19" i="35"/>
  <c r="I19" i="35"/>
  <c r="J19" i="35"/>
  <c r="K19" i="35"/>
  <c r="L19" i="35"/>
  <c r="AE19" i="35" s="1"/>
  <c r="M19" i="35"/>
  <c r="N19" i="35"/>
  <c r="O19" i="35"/>
  <c r="P19" i="35"/>
  <c r="Q19" i="35"/>
  <c r="R19" i="35"/>
  <c r="AD19" i="35"/>
  <c r="D20" i="35"/>
  <c r="AC20" i="35" s="1"/>
  <c r="E20" i="35"/>
  <c r="F20" i="35"/>
  <c r="G20" i="35"/>
  <c r="H20" i="35"/>
  <c r="I20" i="35"/>
  <c r="J20" i="35"/>
  <c r="K20" i="35"/>
  <c r="L20" i="35"/>
  <c r="AE20" i="35" s="1"/>
  <c r="M20" i="35"/>
  <c r="N20" i="35"/>
  <c r="O20" i="35"/>
  <c r="P20" i="35"/>
  <c r="Q20" i="35"/>
  <c r="R20" i="35"/>
  <c r="S20" i="35"/>
  <c r="T20" i="35"/>
  <c r="V20" i="35"/>
  <c r="W20" i="35"/>
  <c r="X20" i="35"/>
  <c r="Y20" i="35"/>
  <c r="Z20" i="35"/>
  <c r="AA20" i="35"/>
  <c r="AD20" i="35"/>
  <c r="AF20" i="35"/>
  <c r="AH20" i="35"/>
  <c r="E21" i="35"/>
  <c r="F21" i="35"/>
  <c r="G21" i="35"/>
  <c r="H21" i="35"/>
  <c r="I21" i="35"/>
  <c r="J21" i="35"/>
  <c r="K21" i="35"/>
  <c r="M21" i="35"/>
  <c r="N21" i="35"/>
  <c r="O21" i="35"/>
  <c r="P21" i="35"/>
  <c r="Q21" i="35"/>
  <c r="R21" i="35"/>
  <c r="AD21" i="35"/>
  <c r="F27" i="35"/>
  <c r="N27" i="35"/>
  <c r="N33" i="35" s="1"/>
  <c r="H29" i="35"/>
  <c r="J31" i="35"/>
  <c r="R31" i="35"/>
  <c r="S36" i="35"/>
  <c r="W36" i="35"/>
  <c r="AA36" i="35"/>
  <c r="AC36" i="35"/>
  <c r="AD36" i="35"/>
  <c r="W58" i="34" s="1"/>
  <c r="AE36" i="35"/>
  <c r="AC37" i="35"/>
  <c r="AD37" i="35"/>
  <c r="AE37" i="35"/>
  <c r="AF37" i="35"/>
  <c r="AG37" i="35"/>
  <c r="AH37" i="35"/>
  <c r="AE42" i="35"/>
  <c r="AC48" i="35"/>
  <c r="V69" i="34" s="1"/>
  <c r="AD48" i="35"/>
  <c r="AE48" i="35"/>
  <c r="L49" i="35"/>
  <c r="T49" i="35"/>
  <c r="X49" i="35"/>
  <c r="AC53" i="35"/>
  <c r="AD53" i="35"/>
  <c r="AE53" i="35"/>
  <c r="AF53" i="35"/>
  <c r="AG53" i="35"/>
  <c r="AH53" i="35"/>
  <c r="AA74" i="34" s="1"/>
  <c r="T14" i="34"/>
  <c r="M15" i="34"/>
  <c r="M20" i="34" s="1"/>
  <c r="O15" i="34"/>
  <c r="P15" i="34"/>
  <c r="Q15" i="34"/>
  <c r="R15" i="34"/>
  <c r="T15" i="34"/>
  <c r="F16" i="34"/>
  <c r="H16" i="34"/>
  <c r="I16" i="34"/>
  <c r="M16" i="34"/>
  <c r="N16" i="34"/>
  <c r="O16" i="34"/>
  <c r="P16" i="34"/>
  <c r="Q16" i="34"/>
  <c r="T16" i="34"/>
  <c r="E17" i="34"/>
  <c r="I17" i="34"/>
  <c r="M17" i="34"/>
  <c r="N17" i="34"/>
  <c r="O17" i="34"/>
  <c r="P17" i="34"/>
  <c r="Q17" i="34"/>
  <c r="Q20" i="34" s="1"/>
  <c r="R17" i="34"/>
  <c r="G18" i="34"/>
  <c r="H18" i="34"/>
  <c r="I18" i="34"/>
  <c r="M18" i="34"/>
  <c r="N18" i="34"/>
  <c r="O18" i="34"/>
  <c r="P18" i="34"/>
  <c r="Q18" i="34"/>
  <c r="R18" i="34"/>
  <c r="D19" i="34"/>
  <c r="H19" i="34"/>
  <c r="I19" i="34"/>
  <c r="M19" i="34"/>
  <c r="N19" i="34"/>
  <c r="O19" i="34"/>
  <c r="Q19" i="34"/>
  <c r="R19" i="34"/>
  <c r="H20" i="34"/>
  <c r="I20" i="34"/>
  <c r="V21" i="34"/>
  <c r="X22" i="34"/>
  <c r="P25" i="34"/>
  <c r="H26" i="34"/>
  <c r="N26" i="34"/>
  <c r="O27" i="34"/>
  <c r="G28" i="34"/>
  <c r="H28" i="34"/>
  <c r="N28" i="34"/>
  <c r="P28" i="34"/>
  <c r="V28" i="34"/>
  <c r="W28" i="34"/>
  <c r="X28" i="34"/>
  <c r="Y28" i="34"/>
  <c r="AA28" i="34"/>
  <c r="M29" i="34"/>
  <c r="O29" i="34"/>
  <c r="E31" i="34"/>
  <c r="H31" i="34"/>
  <c r="I31" i="34"/>
  <c r="D32" i="34"/>
  <c r="E32" i="34"/>
  <c r="F32" i="34"/>
  <c r="G32" i="34"/>
  <c r="H32" i="34"/>
  <c r="I32" i="34"/>
  <c r="M32" i="34"/>
  <c r="N32" i="34"/>
  <c r="O32" i="34"/>
  <c r="D33" i="34"/>
  <c r="H33" i="34"/>
  <c r="I33" i="34"/>
  <c r="M33" i="34"/>
  <c r="N33" i="34"/>
  <c r="O33" i="34"/>
  <c r="M34" i="34"/>
  <c r="N34" i="34"/>
  <c r="O34" i="34"/>
  <c r="M35" i="34"/>
  <c r="N35" i="34"/>
  <c r="O35" i="34"/>
  <c r="M36" i="34"/>
  <c r="N36" i="34"/>
  <c r="O36" i="34"/>
  <c r="E37" i="34"/>
  <c r="G37" i="34"/>
  <c r="E39" i="34"/>
  <c r="F39" i="34"/>
  <c r="G39" i="34"/>
  <c r="H39" i="34"/>
  <c r="I39" i="34"/>
  <c r="N40" i="34"/>
  <c r="O40" i="34"/>
  <c r="M41" i="34"/>
  <c r="N41" i="34"/>
  <c r="N42" i="34" s="1"/>
  <c r="O41" i="34"/>
  <c r="P41" i="34"/>
  <c r="Q41" i="34"/>
  <c r="R41" i="34"/>
  <c r="W41" i="34"/>
  <c r="H42" i="34"/>
  <c r="I42" i="34"/>
  <c r="O42" i="34"/>
  <c r="W42" i="34"/>
  <c r="W43" i="34" s="1"/>
  <c r="Y42" i="34"/>
  <c r="AA42" i="34"/>
  <c r="D43" i="34"/>
  <c r="E43" i="34"/>
  <c r="F43" i="34"/>
  <c r="G43" i="34"/>
  <c r="H43" i="34"/>
  <c r="I43" i="34"/>
  <c r="H44" i="34"/>
  <c r="I44" i="34"/>
  <c r="O44" i="34"/>
  <c r="P44" i="34"/>
  <c r="Q44" i="34"/>
  <c r="R44" i="34"/>
  <c r="P45" i="34"/>
  <c r="Q45" i="34"/>
  <c r="R45" i="34"/>
  <c r="O46" i="34"/>
  <c r="P46" i="34"/>
  <c r="Q46" i="34"/>
  <c r="R46" i="34"/>
  <c r="O47" i="34"/>
  <c r="P47" i="34"/>
  <c r="Q47" i="34"/>
  <c r="R47" i="34"/>
  <c r="M48" i="34"/>
  <c r="N48" i="34"/>
  <c r="Q48" i="34"/>
  <c r="R48" i="34"/>
  <c r="D49" i="34"/>
  <c r="E49" i="34"/>
  <c r="F49" i="34"/>
  <c r="G49" i="34"/>
  <c r="H49" i="34"/>
  <c r="I49" i="34"/>
  <c r="H50" i="34"/>
  <c r="I50" i="34"/>
  <c r="O50" i="34"/>
  <c r="P50" i="34"/>
  <c r="Q50" i="34"/>
  <c r="R50" i="34"/>
  <c r="D51" i="34"/>
  <c r="H51" i="34"/>
  <c r="I51" i="34"/>
  <c r="O51" i="34"/>
  <c r="P51" i="34"/>
  <c r="Q51" i="34"/>
  <c r="R51" i="34"/>
  <c r="O52" i="34"/>
  <c r="P52" i="34"/>
  <c r="Q52" i="34"/>
  <c r="R52" i="34"/>
  <c r="P53" i="34"/>
  <c r="P55" i="34" s="1"/>
  <c r="Q53" i="34"/>
  <c r="R53" i="34"/>
  <c r="O54" i="34"/>
  <c r="P54" i="34"/>
  <c r="Q54" i="34"/>
  <c r="R54" i="34"/>
  <c r="M55" i="34"/>
  <c r="N55" i="34"/>
  <c r="Q55" i="34"/>
  <c r="R55" i="34"/>
  <c r="P57" i="34"/>
  <c r="Q57" i="34"/>
  <c r="R57" i="34"/>
  <c r="R60" i="34" s="1"/>
  <c r="O58" i="34"/>
  <c r="P58" i="34"/>
  <c r="Q58" i="34"/>
  <c r="R58" i="34"/>
  <c r="V58" i="34"/>
  <c r="X58" i="34"/>
  <c r="Y58" i="34"/>
  <c r="Z58" i="34"/>
  <c r="AA58" i="34"/>
  <c r="O59" i="34"/>
  <c r="P59" i="34"/>
  <c r="Q59" i="34"/>
  <c r="Q60" i="34" s="1"/>
  <c r="R59" i="34"/>
  <c r="M60" i="34"/>
  <c r="N60" i="34"/>
  <c r="P60" i="34"/>
  <c r="O62" i="34"/>
  <c r="P62" i="34"/>
  <c r="Q62" i="34"/>
  <c r="R62" i="34"/>
  <c r="O63" i="34"/>
  <c r="P63" i="34"/>
  <c r="Q63" i="34"/>
  <c r="R63" i="34"/>
  <c r="V63" i="34"/>
  <c r="W63" i="34"/>
  <c r="X63" i="34"/>
  <c r="O64" i="34"/>
  <c r="P64" i="34"/>
  <c r="P67" i="34" s="1"/>
  <c r="Q64" i="34"/>
  <c r="R64" i="34"/>
  <c r="V64" i="34"/>
  <c r="W64" i="34"/>
  <c r="P65" i="34"/>
  <c r="Q65" i="34"/>
  <c r="R65" i="34"/>
  <c r="O66" i="34"/>
  <c r="P66" i="34"/>
  <c r="Q66" i="34"/>
  <c r="R66" i="34"/>
  <c r="M67" i="34"/>
  <c r="N67" i="34"/>
  <c r="Q67" i="34"/>
  <c r="P69" i="34"/>
  <c r="Q69" i="34"/>
  <c r="R69" i="34"/>
  <c r="W69" i="34"/>
  <c r="X69" i="34"/>
  <c r="O70" i="34"/>
  <c r="P70" i="34"/>
  <c r="Q70" i="34"/>
  <c r="R70" i="34"/>
  <c r="O71" i="34"/>
  <c r="P71" i="34"/>
  <c r="P74" i="34" s="1"/>
  <c r="Q71" i="34"/>
  <c r="R71" i="34"/>
  <c r="O72" i="34"/>
  <c r="P72" i="34"/>
  <c r="Q72" i="34"/>
  <c r="R72" i="34"/>
  <c r="P73" i="34"/>
  <c r="Q73" i="34"/>
  <c r="R73" i="34"/>
  <c r="M74" i="34"/>
  <c r="N74" i="34"/>
  <c r="Q74" i="34"/>
  <c r="V74" i="34"/>
  <c r="W74" i="34"/>
  <c r="X74" i="34"/>
  <c r="Y74" i="34"/>
  <c r="Z74" i="34"/>
  <c r="J5" i="41"/>
  <c r="K5" i="41"/>
  <c r="M5" i="41" s="1"/>
  <c r="J6" i="41"/>
  <c r="L6" i="41" s="1"/>
  <c r="K6" i="41"/>
  <c r="M6" i="41" s="1"/>
  <c r="J7" i="41"/>
  <c r="K7" i="41"/>
  <c r="M7" i="41" s="1"/>
  <c r="J8" i="41"/>
  <c r="L8" i="41" s="1"/>
  <c r="K8" i="41"/>
  <c r="M8" i="41" s="1"/>
  <c r="J9" i="41"/>
  <c r="K9" i="41"/>
  <c r="M9" i="41" s="1"/>
  <c r="J10" i="41"/>
  <c r="L10" i="41" s="1"/>
  <c r="K10" i="41"/>
  <c r="M10" i="41" s="1"/>
  <c r="J11" i="41"/>
  <c r="K11" i="41"/>
  <c r="M11" i="41" s="1"/>
  <c r="J12" i="41"/>
  <c r="L12" i="41" s="1"/>
  <c r="K12" i="41"/>
  <c r="M12" i="41" s="1"/>
  <c r="J13" i="41"/>
  <c r="K13" i="41"/>
  <c r="M13" i="41" s="1"/>
  <c r="J14" i="41"/>
  <c r="L14" i="41" s="1"/>
  <c r="K14" i="41"/>
  <c r="M14" i="41" s="1"/>
  <c r="J15" i="41"/>
  <c r="K15" i="41"/>
  <c r="M15" i="41" s="1"/>
  <c r="J16" i="41"/>
  <c r="L16" i="41" s="1"/>
  <c r="K16" i="41"/>
  <c r="M16" i="41" s="1"/>
  <c r="J17" i="41"/>
  <c r="K17" i="41"/>
  <c r="M17" i="41" s="1"/>
  <c r="J18" i="41"/>
  <c r="L18" i="41" s="1"/>
  <c r="K18" i="41"/>
  <c r="M18" i="41" s="1"/>
  <c r="J19" i="41"/>
  <c r="K19" i="41"/>
  <c r="M19" i="41" s="1"/>
  <c r="J20" i="41"/>
  <c r="L20" i="41" s="1"/>
  <c r="K20" i="41"/>
  <c r="M20" i="41" s="1"/>
  <c r="J21" i="41"/>
  <c r="K21" i="41"/>
  <c r="M21" i="41" s="1"/>
  <c r="J22" i="41"/>
  <c r="L22" i="41" s="1"/>
  <c r="K22" i="41"/>
  <c r="M22" i="41" s="1"/>
  <c r="J23" i="41"/>
  <c r="K23" i="41"/>
  <c r="M23" i="41" s="1"/>
  <c r="J24" i="41"/>
  <c r="L24" i="41" s="1"/>
  <c r="K24" i="41"/>
  <c r="M24" i="41" s="1"/>
  <c r="J25" i="41"/>
  <c r="K25" i="41"/>
  <c r="M25" i="41" s="1"/>
  <c r="J26" i="41"/>
  <c r="L26" i="41" s="1"/>
  <c r="K26" i="41"/>
  <c r="M26" i="41" s="1"/>
  <c r="J27" i="41"/>
  <c r="K27" i="41"/>
  <c r="M27" i="41" s="1"/>
  <c r="J28" i="41"/>
  <c r="L28" i="41" s="1"/>
  <c r="K28" i="41"/>
  <c r="M28" i="41" s="1"/>
  <c r="J29" i="41"/>
  <c r="K29" i="41"/>
  <c r="M29" i="41" s="1"/>
  <c r="J30" i="41"/>
  <c r="L30" i="41" s="1"/>
  <c r="K30" i="41"/>
  <c r="M30" i="41" s="1"/>
  <c r="J31" i="41"/>
  <c r="K31" i="41"/>
  <c r="M31" i="41" s="1"/>
  <c r="J32" i="41"/>
  <c r="L32" i="41" s="1"/>
  <c r="K32" i="41"/>
  <c r="M32" i="41" s="1"/>
  <c r="J33" i="41"/>
  <c r="K33" i="41"/>
  <c r="M33" i="41" s="1"/>
  <c r="J34" i="41"/>
  <c r="L34" i="41" s="1"/>
  <c r="K34" i="41"/>
  <c r="M34" i="41" s="1"/>
  <c r="J35" i="41"/>
  <c r="K35" i="41"/>
  <c r="M35" i="41" s="1"/>
  <c r="J36" i="41"/>
  <c r="L36" i="41" s="1"/>
  <c r="K36" i="41"/>
  <c r="M36" i="41" s="1"/>
  <c r="J37" i="41"/>
  <c r="K37" i="41"/>
  <c r="M37" i="41" s="1"/>
  <c r="J38" i="41"/>
  <c r="L38" i="41" s="1"/>
  <c r="K38" i="41"/>
  <c r="M38" i="41" s="1"/>
  <c r="J39" i="41"/>
  <c r="K39" i="41"/>
  <c r="M39" i="41" s="1"/>
  <c r="J40" i="41"/>
  <c r="L40" i="41" s="1"/>
  <c r="K40" i="41"/>
  <c r="M40" i="41" s="1"/>
  <c r="J41" i="41"/>
  <c r="K41" i="41"/>
  <c r="M41" i="41" s="1"/>
  <c r="J42" i="41"/>
  <c r="L42" i="41" s="1"/>
  <c r="K42" i="41"/>
  <c r="M42" i="41" s="1"/>
  <c r="J43" i="41"/>
  <c r="K43" i="41"/>
  <c r="M43" i="41" s="1"/>
  <c r="J44" i="41"/>
  <c r="L44" i="41" s="1"/>
  <c r="K44" i="41"/>
  <c r="M44" i="41" s="1"/>
  <c r="J45" i="41"/>
  <c r="K45" i="41"/>
  <c r="M45" i="41" s="1"/>
  <c r="J46" i="41"/>
  <c r="L46" i="41" s="1"/>
  <c r="K46" i="41"/>
  <c r="M46" i="41" s="1"/>
  <c r="J47" i="41"/>
  <c r="K47" i="41"/>
  <c r="M47" i="41" s="1"/>
  <c r="J48" i="41"/>
  <c r="L48" i="41" s="1"/>
  <c r="K48" i="41"/>
  <c r="M48" i="41" s="1"/>
  <c r="J49" i="41"/>
  <c r="K49" i="41"/>
  <c r="M49" i="41" s="1"/>
  <c r="J50" i="41"/>
  <c r="L50" i="41" s="1"/>
  <c r="K50" i="41"/>
  <c r="M50" i="41" s="1"/>
  <c r="J51" i="41"/>
  <c r="K51" i="41"/>
  <c r="M51" i="41" s="1"/>
  <c r="J52" i="41"/>
  <c r="L52" i="41" s="1"/>
  <c r="K52" i="41"/>
  <c r="M52" i="41" s="1"/>
  <c r="J53" i="41"/>
  <c r="K53" i="41"/>
  <c r="M53" i="41" s="1"/>
  <c r="J54" i="41"/>
  <c r="L54" i="41" s="1"/>
  <c r="K54" i="41"/>
  <c r="M54" i="41" s="1"/>
  <c r="J55" i="41"/>
  <c r="K55" i="41"/>
  <c r="M55" i="41" s="1"/>
  <c r="J56" i="41"/>
  <c r="L56" i="41" s="1"/>
  <c r="K56" i="41"/>
  <c r="M56" i="41" s="1"/>
  <c r="J57" i="41"/>
  <c r="K57" i="41"/>
  <c r="M57" i="41" s="1"/>
  <c r="J58" i="41"/>
  <c r="L58" i="41" s="1"/>
  <c r="K58" i="41"/>
  <c r="M58" i="41" s="1"/>
  <c r="J59" i="41"/>
  <c r="K59" i="41"/>
  <c r="M59" i="41" s="1"/>
  <c r="J60" i="41"/>
  <c r="L60" i="41" s="1"/>
  <c r="K60" i="41"/>
  <c r="M60" i="41" s="1"/>
  <c r="J61" i="41"/>
  <c r="K61" i="41"/>
  <c r="M61" i="41" s="1"/>
  <c r="J62" i="41"/>
  <c r="L62" i="41" s="1"/>
  <c r="K62" i="41"/>
  <c r="M62" i="41" s="1"/>
  <c r="J63" i="41"/>
  <c r="K63" i="41"/>
  <c r="M63" i="41" s="1"/>
  <c r="J64" i="41"/>
  <c r="L64" i="41" s="1"/>
  <c r="K64" i="41"/>
  <c r="M64" i="41" s="1"/>
  <c r="J65" i="41"/>
  <c r="K65" i="41"/>
  <c r="M65" i="41" s="1"/>
  <c r="J66" i="41"/>
  <c r="L66" i="41" s="1"/>
  <c r="K66" i="41"/>
  <c r="M66" i="41" s="1"/>
  <c r="J67" i="41"/>
  <c r="K67" i="41"/>
  <c r="M67" i="41" s="1"/>
  <c r="J68" i="41"/>
  <c r="L68" i="41" s="1"/>
  <c r="K68" i="41"/>
  <c r="M68" i="41" s="1"/>
  <c r="J69" i="41"/>
  <c r="K69" i="41"/>
  <c r="M69" i="41" s="1"/>
  <c r="J70" i="41"/>
  <c r="L70" i="41" s="1"/>
  <c r="K70" i="41"/>
  <c r="M70" i="41" s="1"/>
  <c r="J71" i="41"/>
  <c r="K71" i="41"/>
  <c r="M71" i="41" s="1"/>
  <c r="J72" i="41"/>
  <c r="L72" i="41" s="1"/>
  <c r="K72" i="41"/>
  <c r="M72" i="41" s="1"/>
  <c r="J73" i="41"/>
  <c r="K73" i="41"/>
  <c r="M73" i="41" s="1"/>
  <c r="J74" i="41"/>
  <c r="L74" i="41" s="1"/>
  <c r="K74" i="41"/>
  <c r="M74" i="41" s="1"/>
  <c r="J75" i="41"/>
  <c r="K75" i="41"/>
  <c r="M75" i="41" s="1"/>
  <c r="J76" i="41"/>
  <c r="L76" i="41" s="1"/>
  <c r="K76" i="41"/>
  <c r="M76" i="41" s="1"/>
  <c r="J77" i="41"/>
  <c r="K77" i="41"/>
  <c r="M77" i="41" s="1"/>
  <c r="J78" i="41"/>
  <c r="L78" i="41" s="1"/>
  <c r="K78" i="41"/>
  <c r="M78" i="41" s="1"/>
  <c r="J79" i="41"/>
  <c r="K79" i="41"/>
  <c r="M79" i="41" s="1"/>
  <c r="J80" i="41"/>
  <c r="L80" i="41" s="1"/>
  <c r="K80" i="41"/>
  <c r="M80" i="41" s="1"/>
  <c r="J81" i="41"/>
  <c r="K81" i="41"/>
  <c r="M81" i="41" s="1"/>
  <c r="J82" i="41"/>
  <c r="L82" i="41" s="1"/>
  <c r="K82" i="41"/>
  <c r="M82" i="41" s="1"/>
  <c r="J83" i="41"/>
  <c r="K83" i="41"/>
  <c r="M83" i="41" s="1"/>
  <c r="J84" i="41"/>
  <c r="L84" i="41" s="1"/>
  <c r="K84" i="41"/>
  <c r="M84" i="41" s="1"/>
  <c r="J85" i="41"/>
  <c r="K85" i="41"/>
  <c r="M85" i="41" s="1"/>
  <c r="J86" i="41"/>
  <c r="L86" i="41" s="1"/>
  <c r="K86" i="41"/>
  <c r="M86" i="41" s="1"/>
  <c r="J87" i="41"/>
  <c r="K87" i="41"/>
  <c r="M87" i="41" s="1"/>
  <c r="J88" i="41"/>
  <c r="L88" i="41" s="1"/>
  <c r="K88" i="41"/>
  <c r="M88" i="41" s="1"/>
  <c r="J89" i="41"/>
  <c r="K89" i="41"/>
  <c r="M89" i="41" s="1"/>
  <c r="J90" i="41"/>
  <c r="L90" i="41" s="1"/>
  <c r="K90" i="41"/>
  <c r="M90" i="41" s="1"/>
  <c r="J91" i="41"/>
  <c r="K91" i="41"/>
  <c r="M91" i="41" s="1"/>
  <c r="J92" i="41"/>
  <c r="L92" i="41" s="1"/>
  <c r="K92" i="41"/>
  <c r="M92" i="41" s="1"/>
  <c r="J93" i="41"/>
  <c r="K93" i="41"/>
  <c r="M93" i="41" s="1"/>
  <c r="J94" i="41"/>
  <c r="L94" i="41" s="1"/>
  <c r="K94" i="41"/>
  <c r="M94" i="41" s="1"/>
  <c r="J95" i="41"/>
  <c r="K95" i="41"/>
  <c r="M95" i="41" s="1"/>
  <c r="J96" i="41"/>
  <c r="L96" i="41" s="1"/>
  <c r="K96" i="41"/>
  <c r="M96" i="41" s="1"/>
  <c r="J97" i="41"/>
  <c r="K97" i="41"/>
  <c r="M97" i="41" s="1"/>
  <c r="J98" i="41"/>
  <c r="L98" i="41" s="1"/>
  <c r="K98" i="41"/>
  <c r="M98" i="41" s="1"/>
  <c r="J99" i="41"/>
  <c r="K99" i="41"/>
  <c r="M99" i="41" s="1"/>
  <c r="J100" i="41"/>
  <c r="L100" i="41" s="1"/>
  <c r="K100" i="41"/>
  <c r="M100" i="41" s="1"/>
  <c r="J101" i="41"/>
  <c r="K101" i="41"/>
  <c r="M101" i="41" s="1"/>
  <c r="J102" i="41"/>
  <c r="L102" i="41" s="1"/>
  <c r="K102" i="41"/>
  <c r="M102" i="41" s="1"/>
  <c r="J103" i="41"/>
  <c r="K103" i="41"/>
  <c r="M103" i="41" s="1"/>
  <c r="J104" i="41"/>
  <c r="L104" i="41" s="1"/>
  <c r="K104" i="41"/>
  <c r="M104" i="41" s="1"/>
  <c r="J105" i="41"/>
  <c r="K105" i="41"/>
  <c r="M105" i="41" s="1"/>
  <c r="J106" i="41"/>
  <c r="L106" i="41" s="1"/>
  <c r="K106" i="41"/>
  <c r="M106" i="41" s="1"/>
  <c r="J107" i="41"/>
  <c r="K107" i="41"/>
  <c r="M107" i="41" s="1"/>
  <c r="J108" i="41"/>
  <c r="L108" i="41" s="1"/>
  <c r="K108" i="41"/>
  <c r="M108" i="41" s="1"/>
  <c r="J109" i="41"/>
  <c r="K109" i="41"/>
  <c r="M109" i="41" s="1"/>
  <c r="J110" i="41"/>
  <c r="L110" i="41" s="1"/>
  <c r="K110" i="41"/>
  <c r="M110" i="41" s="1"/>
  <c r="J111" i="41"/>
  <c r="K111" i="41"/>
  <c r="M111" i="41" s="1"/>
  <c r="J112" i="41"/>
  <c r="L112" i="41" s="1"/>
  <c r="K112" i="41"/>
  <c r="M112" i="41" s="1"/>
  <c r="J113" i="41"/>
  <c r="K113" i="41"/>
  <c r="M113" i="41" s="1"/>
  <c r="J114" i="41"/>
  <c r="L114" i="41" s="1"/>
  <c r="K114" i="41"/>
  <c r="M114" i="41" s="1"/>
  <c r="J115" i="41"/>
  <c r="K115" i="41"/>
  <c r="M115" i="41" s="1"/>
  <c r="J116" i="41"/>
  <c r="L116" i="41" s="1"/>
  <c r="K116" i="41"/>
  <c r="M116" i="41" s="1"/>
  <c r="J117" i="41"/>
  <c r="K117" i="41"/>
  <c r="M117" i="41" s="1"/>
  <c r="J118" i="41"/>
  <c r="L118" i="41" s="1"/>
  <c r="K118" i="41"/>
  <c r="M118" i="41" s="1"/>
  <c r="J119" i="41"/>
  <c r="K119" i="41"/>
  <c r="M119" i="41" s="1"/>
  <c r="J120" i="41"/>
  <c r="L120" i="41" s="1"/>
  <c r="K120" i="41"/>
  <c r="M120" i="41" s="1"/>
  <c r="J121" i="41"/>
  <c r="K121" i="41"/>
  <c r="M121" i="41" s="1"/>
  <c r="J122" i="41"/>
  <c r="L122" i="41" s="1"/>
  <c r="K122" i="41"/>
  <c r="M122" i="41" s="1"/>
  <c r="J123" i="41"/>
  <c r="K123" i="41"/>
  <c r="M123" i="41" s="1"/>
  <c r="J124" i="41"/>
  <c r="L124" i="41" s="1"/>
  <c r="K124" i="41"/>
  <c r="M124" i="41" s="1"/>
  <c r="J125" i="41"/>
  <c r="K125" i="41"/>
  <c r="M125" i="41" s="1"/>
  <c r="J126" i="41"/>
  <c r="L126" i="41" s="1"/>
  <c r="K126" i="41"/>
  <c r="M126" i="41" s="1"/>
  <c r="K128" i="41"/>
  <c r="B129" i="41"/>
  <c r="D129" i="41"/>
  <c r="F129" i="41"/>
  <c r="H129" i="41"/>
  <c r="I129" i="41"/>
  <c r="B131" i="41"/>
  <c r="J131" i="41" s="1"/>
  <c r="C131" i="41"/>
  <c r="E131" i="41"/>
  <c r="G131" i="41"/>
  <c r="B132" i="41"/>
  <c r="I10" i="40"/>
  <c r="C11" i="40"/>
  <c r="C14" i="40"/>
  <c r="C15" i="40"/>
  <c r="C16" i="40"/>
  <c r="A1" i="26"/>
  <c r="H50" i="26"/>
  <c r="I50" i="26" s="1"/>
  <c r="J50" i="26" s="1"/>
  <c r="K50" i="26" s="1"/>
  <c r="L50" i="26" s="1"/>
  <c r="M50" i="26" s="1"/>
  <c r="N50" i="26" s="1"/>
  <c r="O50" i="26" s="1"/>
  <c r="T50" i="26"/>
  <c r="P240" i="26" l="1"/>
  <c r="P249" i="26" s="1"/>
  <c r="P258" i="26" s="1"/>
  <c r="P242" i="26"/>
  <c r="P251" i="26" s="1"/>
  <c r="P260" i="26" s="1"/>
  <c r="P241" i="26"/>
  <c r="P250" i="26" s="1"/>
  <c r="P259" i="26" s="1"/>
  <c r="W79" i="26"/>
  <c r="AE79" i="26"/>
  <c r="AF79" i="26"/>
  <c r="Q79" i="26"/>
  <c r="Y79" i="26"/>
  <c r="U79" i="26"/>
  <c r="AC79" i="26"/>
  <c r="R79" i="26"/>
  <c r="Z79" i="26"/>
  <c r="S79" i="26"/>
  <c r="AA79" i="26"/>
  <c r="AD79" i="26"/>
  <c r="K200" i="26"/>
  <c r="L198" i="26" s="1"/>
  <c r="L200" i="26" s="1"/>
  <c r="V79" i="26"/>
  <c r="X214" i="26"/>
  <c r="AF214" i="26"/>
  <c r="T212" i="26"/>
  <c r="AB212" i="26"/>
  <c r="AJ212" i="26"/>
  <c r="AR212" i="26"/>
  <c r="AZ212" i="26"/>
  <c r="Q214" i="26"/>
  <c r="Y214" i="26"/>
  <c r="AG214" i="26"/>
  <c r="U212" i="26"/>
  <c r="AC212" i="26"/>
  <c r="AK212" i="26"/>
  <c r="AS212" i="26"/>
  <c r="AT212" i="26"/>
  <c r="V214" i="26"/>
  <c r="Z214" i="26"/>
  <c r="AH212" i="26"/>
  <c r="S214" i="26"/>
  <c r="AA214" i="26"/>
  <c r="AI214" i="26"/>
  <c r="W212" i="26"/>
  <c r="AE212" i="26"/>
  <c r="AM212" i="26"/>
  <c r="AU212" i="26"/>
  <c r="U214" i="26"/>
  <c r="AC214" i="26"/>
  <c r="Q212" i="26"/>
  <c r="AG212" i="26"/>
  <c r="AO212" i="26"/>
  <c r="R212" i="26"/>
  <c r="T214" i="26"/>
  <c r="AB214" i="26"/>
  <c r="X212" i="26"/>
  <c r="AF212" i="26"/>
  <c r="AN212" i="26"/>
  <c r="AV212" i="26"/>
  <c r="Y212" i="26"/>
  <c r="AD214" i="26"/>
  <c r="AP212" i="26"/>
  <c r="AW212" i="26"/>
  <c r="Z212" i="26"/>
  <c r="W214" i="26"/>
  <c r="AE214" i="26"/>
  <c r="S212" i="26"/>
  <c r="AA212" i="26"/>
  <c r="AI212" i="26"/>
  <c r="AQ212" i="26"/>
  <c r="AY212" i="26"/>
  <c r="R214" i="26"/>
  <c r="AH214" i="26"/>
  <c r="V212" i="26"/>
  <c r="AD212" i="26"/>
  <c r="AL212" i="26"/>
  <c r="AX212" i="26"/>
  <c r="AK209" i="26"/>
  <c r="AL209" i="26"/>
  <c r="AM209" i="26"/>
  <c r="AN209" i="26"/>
  <c r="AR209" i="26" s="1"/>
  <c r="AH209" i="26"/>
  <c r="AI209" i="26"/>
  <c r="AG209" i="26"/>
  <c r="AJ209" i="26"/>
  <c r="AN208" i="26"/>
  <c r="AL208" i="26"/>
  <c r="AN210" i="26"/>
  <c r="AG210" i="26"/>
  <c r="AG208" i="26"/>
  <c r="AH210" i="26"/>
  <c r="AH208" i="26"/>
  <c r="AI210" i="26"/>
  <c r="AI208" i="26"/>
  <c r="AK208" i="26"/>
  <c r="AL210" i="26"/>
  <c r="AM208" i="26"/>
  <c r="AJ210" i="26"/>
  <c r="AJ208" i="26"/>
  <c r="AK210" i="26"/>
  <c r="AG137" i="26"/>
  <c r="AM210" i="26"/>
  <c r="U90" i="26"/>
  <c r="U178" i="26"/>
  <c r="Y178" i="26"/>
  <c r="Y90" i="26"/>
  <c r="AC178" i="26"/>
  <c r="AC90" i="26"/>
  <c r="AG178" i="26"/>
  <c r="AG90" i="26"/>
  <c r="Q178" i="26"/>
  <c r="Q90" i="26"/>
  <c r="AK178" i="26"/>
  <c r="AK90" i="26"/>
  <c r="AW178" i="26"/>
  <c r="AW90" i="26"/>
  <c r="AO178" i="26"/>
  <c r="AO90" i="26"/>
  <c r="AS178" i="26"/>
  <c r="AS90" i="26"/>
  <c r="V81" i="26"/>
  <c r="AD81" i="26"/>
  <c r="U68" i="26"/>
  <c r="AC68" i="26"/>
  <c r="AK68" i="26"/>
  <c r="V68" i="26"/>
  <c r="AD68" i="26"/>
  <c r="AL68" i="26"/>
  <c r="W68" i="26"/>
  <c r="AE68" i="26"/>
  <c r="AM68" i="26"/>
  <c r="X68" i="26"/>
  <c r="AF68" i="26"/>
  <c r="AN68" i="26"/>
  <c r="AO68" i="26" s="1"/>
  <c r="AP68" i="26" s="1"/>
  <c r="AQ68" i="26" s="1"/>
  <c r="AR68" i="26" s="1"/>
  <c r="AS68" i="26" s="1"/>
  <c r="AT68" i="26" s="1"/>
  <c r="AU68" i="26" s="1"/>
  <c r="AV68" i="26" s="1"/>
  <c r="AW68" i="26" s="1"/>
  <c r="AX68" i="26" s="1"/>
  <c r="AY68" i="26" s="1"/>
  <c r="AZ68" i="26" s="1"/>
  <c r="Y68" i="26"/>
  <c r="AG68" i="26"/>
  <c r="Q68" i="26"/>
  <c r="R68" i="26"/>
  <c r="Z68" i="26"/>
  <c r="AH68" i="26"/>
  <c r="S68" i="26"/>
  <c r="AA68" i="26"/>
  <c r="AI68" i="26"/>
  <c r="T68" i="26"/>
  <c r="AB68" i="26"/>
  <c r="AJ68" i="26"/>
  <c r="T81" i="26"/>
  <c r="AB81" i="26"/>
  <c r="V95" i="26"/>
  <c r="G140" i="26"/>
  <c r="H139" i="26"/>
  <c r="J137" i="26"/>
  <c r="V140" i="26"/>
  <c r="AD140" i="26"/>
  <c r="AL140" i="26"/>
  <c r="AP140" i="26" s="1"/>
  <c r="AT140" i="26" s="1"/>
  <c r="AX140" i="26" s="1"/>
  <c r="V139" i="26"/>
  <c r="AD139" i="26"/>
  <c r="AL139" i="26"/>
  <c r="V137" i="26"/>
  <c r="AD137" i="26"/>
  <c r="AL137" i="26"/>
  <c r="AP137" i="26" s="1"/>
  <c r="AT137" i="26" s="1"/>
  <c r="AX137" i="26" s="1"/>
  <c r="H140" i="26"/>
  <c r="I139" i="26"/>
  <c r="K137" i="26"/>
  <c r="W140" i="26"/>
  <c r="AE140" i="26"/>
  <c r="AM140" i="26"/>
  <c r="AQ140" i="26" s="1"/>
  <c r="AU140" i="26" s="1"/>
  <c r="AY140" i="26" s="1"/>
  <c r="W139" i="26"/>
  <c r="AE139" i="26"/>
  <c r="AM139" i="26"/>
  <c r="W137" i="26"/>
  <c r="AE137" i="26"/>
  <c r="AM137" i="26"/>
  <c r="AQ137" i="26" s="1"/>
  <c r="AU137" i="26" s="1"/>
  <c r="AY137" i="26" s="1"/>
  <c r="I140" i="26"/>
  <c r="J139" i="26"/>
  <c r="L137" i="26"/>
  <c r="X140" i="26"/>
  <c r="AF140" i="26"/>
  <c r="AN140" i="26"/>
  <c r="AR140" i="26" s="1"/>
  <c r="AV140" i="26" s="1"/>
  <c r="AZ140" i="26" s="1"/>
  <c r="X139" i="26"/>
  <c r="AF139" i="26"/>
  <c r="AN139" i="26"/>
  <c r="X137" i="26"/>
  <c r="AF137" i="26"/>
  <c r="AN137" i="26"/>
  <c r="AR137" i="26" s="1"/>
  <c r="AV137" i="26" s="1"/>
  <c r="AZ137" i="26" s="1"/>
  <c r="K139" i="26"/>
  <c r="Q140" i="26"/>
  <c r="Y140" i="26"/>
  <c r="AG140" i="26"/>
  <c r="Q139" i="26"/>
  <c r="Y139" i="26"/>
  <c r="AG139" i="26"/>
  <c r="Q137" i="26"/>
  <c r="Y137" i="26"/>
  <c r="J140" i="26"/>
  <c r="K140" i="26"/>
  <c r="L139" i="26"/>
  <c r="R140" i="26"/>
  <c r="Z140" i="26"/>
  <c r="AH140" i="26"/>
  <c r="R139" i="26"/>
  <c r="Z139" i="26"/>
  <c r="AH139" i="26"/>
  <c r="R137" i="26"/>
  <c r="Z137" i="26"/>
  <c r="AH137" i="26"/>
  <c r="L140" i="26"/>
  <c r="G137" i="26"/>
  <c r="S140" i="26"/>
  <c r="AA140" i="26"/>
  <c r="AI140" i="26"/>
  <c r="S139" i="26"/>
  <c r="AA139" i="26"/>
  <c r="AI139" i="26"/>
  <c r="S137" i="26"/>
  <c r="AA137" i="26"/>
  <c r="AI137" i="26"/>
  <c r="H137" i="26"/>
  <c r="T140" i="26"/>
  <c r="AB140" i="26"/>
  <c r="AJ140" i="26"/>
  <c r="T139" i="26"/>
  <c r="AB139" i="26"/>
  <c r="AJ139" i="26"/>
  <c r="T137" i="26"/>
  <c r="AB137" i="26"/>
  <c r="AJ137" i="26"/>
  <c r="G139" i="26"/>
  <c r="I137" i="26"/>
  <c r="U140" i="26"/>
  <c r="AC140" i="26"/>
  <c r="AK140" i="26"/>
  <c r="AO140" i="26" s="1"/>
  <c r="U139" i="26"/>
  <c r="AC139" i="26"/>
  <c r="AK139" i="26"/>
  <c r="U137" i="26"/>
  <c r="AC137" i="26"/>
  <c r="AK137" i="26"/>
  <c r="AO137" i="26" s="1"/>
  <c r="AL189" i="26"/>
  <c r="AL207" i="26" s="1"/>
  <c r="Y130" i="26"/>
  <c r="S80" i="26"/>
  <c r="AR132" i="26"/>
  <c r="R131" i="26"/>
  <c r="R157" i="26" s="1"/>
  <c r="AA80" i="26"/>
  <c r="AK134" i="26"/>
  <c r="Q130" i="26"/>
  <c r="AJ132" i="26"/>
  <c r="I131" i="26"/>
  <c r="I157" i="26" s="1"/>
  <c r="AC134" i="26"/>
  <c r="AG130" i="26"/>
  <c r="AZ132" i="26"/>
  <c r="Z131" i="26"/>
  <c r="Z157" i="26" s="1"/>
  <c r="AS134" i="26"/>
  <c r="AO130" i="26"/>
  <c r="N133" i="26"/>
  <c r="AH131" i="26"/>
  <c r="AH157" i="26" s="1"/>
  <c r="AW130" i="26"/>
  <c r="W133" i="26"/>
  <c r="AP131" i="26"/>
  <c r="AP157" i="26" s="1"/>
  <c r="K132" i="26"/>
  <c r="AE133" i="26"/>
  <c r="AX131" i="26"/>
  <c r="AX157" i="26" s="1"/>
  <c r="T132" i="26"/>
  <c r="AM133" i="26"/>
  <c r="L134" i="26"/>
  <c r="H130" i="26"/>
  <c r="AB132" i="26"/>
  <c r="AU133" i="26"/>
  <c r="U134" i="26"/>
  <c r="I130" i="26"/>
  <c r="R130" i="26"/>
  <c r="Z130" i="26"/>
  <c r="AH130" i="26"/>
  <c r="AP130" i="26"/>
  <c r="AX130" i="26"/>
  <c r="L132" i="26"/>
  <c r="U132" i="26"/>
  <c r="AC132" i="26"/>
  <c r="AK132" i="26"/>
  <c r="AS132" i="26"/>
  <c r="G133" i="26"/>
  <c r="O133" i="26"/>
  <c r="X133" i="26"/>
  <c r="AF133" i="26"/>
  <c r="AN133" i="26"/>
  <c r="AV133" i="26"/>
  <c r="J131" i="26"/>
  <c r="J157" i="26" s="1"/>
  <c r="S131" i="26"/>
  <c r="S157" i="26" s="1"/>
  <c r="AA131" i="26"/>
  <c r="AA157" i="26" s="1"/>
  <c r="AI131" i="26"/>
  <c r="AI157" i="26" s="1"/>
  <c r="AQ131" i="26"/>
  <c r="AQ157" i="26" s="1"/>
  <c r="AY131" i="26"/>
  <c r="AY157" i="26" s="1"/>
  <c r="M134" i="26"/>
  <c r="V134" i="26"/>
  <c r="AD134" i="26"/>
  <c r="AL134" i="26"/>
  <c r="AT134" i="26"/>
  <c r="T78" i="26"/>
  <c r="AB78" i="26"/>
  <c r="J130" i="26"/>
  <c r="S130" i="26"/>
  <c r="AA130" i="26"/>
  <c r="AI130" i="26"/>
  <c r="AQ130" i="26"/>
  <c r="AY130" i="26"/>
  <c r="M132" i="26"/>
  <c r="V132" i="26"/>
  <c r="AD132" i="26"/>
  <c r="AL132" i="26"/>
  <c r="AT132" i="26"/>
  <c r="H133" i="26"/>
  <c r="Q133" i="26"/>
  <c r="Y133" i="26"/>
  <c r="AG133" i="26"/>
  <c r="AO133" i="26"/>
  <c r="AW133" i="26"/>
  <c r="K131" i="26"/>
  <c r="K157" i="26" s="1"/>
  <c r="T131" i="26"/>
  <c r="T157" i="26" s="1"/>
  <c r="AB131" i="26"/>
  <c r="AB157" i="26" s="1"/>
  <c r="AJ131" i="26"/>
  <c r="AJ157" i="26" s="1"/>
  <c r="AR131" i="26"/>
  <c r="AR157" i="26" s="1"/>
  <c r="AZ131" i="26"/>
  <c r="AZ157" i="26" s="1"/>
  <c r="N134" i="26"/>
  <c r="W134" i="26"/>
  <c r="AE134" i="26"/>
  <c r="AM134" i="26"/>
  <c r="AU134" i="26"/>
  <c r="K130" i="26"/>
  <c r="T130" i="26"/>
  <c r="AB130" i="26"/>
  <c r="AJ130" i="26"/>
  <c r="AJ156" i="26" s="1"/>
  <c r="AR130" i="26"/>
  <c r="AZ130" i="26"/>
  <c r="N132" i="26"/>
  <c r="W132" i="26"/>
  <c r="AE132" i="26"/>
  <c r="AM132" i="26"/>
  <c r="AU132" i="26"/>
  <c r="I133" i="26"/>
  <c r="R133" i="26"/>
  <c r="Z133" i="26"/>
  <c r="AH133" i="26"/>
  <c r="AP133" i="26"/>
  <c r="AX133" i="26"/>
  <c r="L131" i="26"/>
  <c r="L157" i="26" s="1"/>
  <c r="U131" i="26"/>
  <c r="U157" i="26" s="1"/>
  <c r="AC131" i="26"/>
  <c r="AC157" i="26" s="1"/>
  <c r="AK131" i="26"/>
  <c r="AK157" i="26" s="1"/>
  <c r="AS131" i="26"/>
  <c r="AS157" i="26" s="1"/>
  <c r="G134" i="26"/>
  <c r="O134" i="26"/>
  <c r="X134" i="26"/>
  <c r="AF134" i="26"/>
  <c r="AN134" i="26"/>
  <c r="AV134" i="26"/>
  <c r="L130" i="26"/>
  <c r="U130" i="26"/>
  <c r="AC130" i="26"/>
  <c r="AK130" i="26"/>
  <c r="AS130" i="26"/>
  <c r="G132" i="26"/>
  <c r="O132" i="26"/>
  <c r="X132" i="26"/>
  <c r="AF132" i="26"/>
  <c r="AN132" i="26"/>
  <c r="AV132" i="26"/>
  <c r="J133" i="26"/>
  <c r="S133" i="26"/>
  <c r="AA133" i="26"/>
  <c r="AI133" i="26"/>
  <c r="AQ133" i="26"/>
  <c r="AY133" i="26"/>
  <c r="M131" i="26"/>
  <c r="M157" i="26" s="1"/>
  <c r="V131" i="26"/>
  <c r="V157" i="26" s="1"/>
  <c r="AD131" i="26"/>
  <c r="AD157" i="26" s="1"/>
  <c r="AL131" i="26"/>
  <c r="AL157" i="26" s="1"/>
  <c r="AT131" i="26"/>
  <c r="AT157" i="26" s="1"/>
  <c r="H134" i="26"/>
  <c r="Q134" i="26"/>
  <c r="Y134" i="26"/>
  <c r="AG134" i="26"/>
  <c r="AO134" i="26"/>
  <c r="AW134" i="26"/>
  <c r="M130" i="26"/>
  <c r="V130" i="26"/>
  <c r="AD130" i="26"/>
  <c r="AL130" i="26"/>
  <c r="AT130" i="26"/>
  <c r="H132" i="26"/>
  <c r="Q132" i="26"/>
  <c r="Y132" i="26"/>
  <c r="AG132" i="26"/>
  <c r="AO132" i="26"/>
  <c r="AW132" i="26"/>
  <c r="K133" i="26"/>
  <c r="T133" i="26"/>
  <c r="AB133" i="26"/>
  <c r="AJ133" i="26"/>
  <c r="AR133" i="26"/>
  <c r="AZ133" i="26"/>
  <c r="N131" i="26"/>
  <c r="N157" i="26" s="1"/>
  <c r="W131" i="26"/>
  <c r="W157" i="26" s="1"/>
  <c r="AE131" i="26"/>
  <c r="AE157" i="26" s="1"/>
  <c r="AM131" i="26"/>
  <c r="AM157" i="26" s="1"/>
  <c r="AU131" i="26"/>
  <c r="AU157" i="26" s="1"/>
  <c r="I134" i="26"/>
  <c r="R134" i="26"/>
  <c r="Z134" i="26"/>
  <c r="AH134" i="26"/>
  <c r="AP134" i="26"/>
  <c r="AX134" i="26"/>
  <c r="N130" i="26"/>
  <c r="W130" i="26"/>
  <c r="AE130" i="26"/>
  <c r="AM130" i="26"/>
  <c r="AU130" i="26"/>
  <c r="I132" i="26"/>
  <c r="R132" i="26"/>
  <c r="Z132" i="26"/>
  <c r="AH132" i="26"/>
  <c r="AP132" i="26"/>
  <c r="AX132" i="26"/>
  <c r="L133" i="26"/>
  <c r="U133" i="26"/>
  <c r="AC133" i="26"/>
  <c r="AK133" i="26"/>
  <c r="AS133" i="26"/>
  <c r="G131" i="26"/>
  <c r="G157" i="26" s="1"/>
  <c r="O131" i="26"/>
  <c r="O157" i="26" s="1"/>
  <c r="X131" i="26"/>
  <c r="X157" i="26" s="1"/>
  <c r="AF131" i="26"/>
  <c r="AF157" i="26" s="1"/>
  <c r="AN131" i="26"/>
  <c r="AN157" i="26" s="1"/>
  <c r="AV131" i="26"/>
  <c r="AV157" i="26" s="1"/>
  <c r="J134" i="26"/>
  <c r="S134" i="26"/>
  <c r="AA134" i="26"/>
  <c r="AI134" i="26"/>
  <c r="AQ134" i="26"/>
  <c r="AY134" i="26"/>
  <c r="G130" i="26"/>
  <c r="O130" i="26"/>
  <c r="X130" i="26"/>
  <c r="AF130" i="26"/>
  <c r="AN130" i="26"/>
  <c r="AV130" i="26"/>
  <c r="J132" i="26"/>
  <c r="S132" i="26"/>
  <c r="AA132" i="26"/>
  <c r="AI132" i="26"/>
  <c r="AQ132" i="26"/>
  <c r="AY132" i="26"/>
  <c r="M133" i="26"/>
  <c r="V133" i="26"/>
  <c r="AD133" i="26"/>
  <c r="AL133" i="26"/>
  <c r="AT133" i="26"/>
  <c r="H131" i="26"/>
  <c r="H157" i="26" s="1"/>
  <c r="Q131" i="26"/>
  <c r="Q157" i="26" s="1"/>
  <c r="Y131" i="26"/>
  <c r="Y157" i="26" s="1"/>
  <c r="AG131" i="26"/>
  <c r="AG157" i="26" s="1"/>
  <c r="AO131" i="26"/>
  <c r="AO157" i="26" s="1"/>
  <c r="AW131" i="26"/>
  <c r="AW157" i="26" s="1"/>
  <c r="K134" i="26"/>
  <c r="T134" i="26"/>
  <c r="AB134" i="26"/>
  <c r="AJ134" i="26"/>
  <c r="AR134" i="26"/>
  <c r="AZ134" i="26"/>
  <c r="U80" i="26"/>
  <c r="AC80" i="26"/>
  <c r="R78" i="26"/>
  <c r="Z78" i="26"/>
  <c r="EX68" i="29"/>
  <c r="EX24" i="29" s="1"/>
  <c r="EP68" i="29"/>
  <c r="DZ68" i="29"/>
  <c r="DZ70" i="29" s="1"/>
  <c r="CZ63" i="29"/>
  <c r="CZ17" i="29" s="1"/>
  <c r="EO58" i="29"/>
  <c r="EO10" i="29" s="1"/>
  <c r="EG58" i="29"/>
  <c r="EG10" i="29" s="1"/>
  <c r="EU63" i="29"/>
  <c r="EU17" i="29" s="1"/>
  <c r="EM63" i="29"/>
  <c r="EM17" i="29" s="1"/>
  <c r="DW63" i="29"/>
  <c r="DW17" i="29" s="1"/>
  <c r="CZ58" i="29"/>
  <c r="CZ10" i="29" s="1"/>
  <c r="EV68" i="29"/>
  <c r="EF68" i="29"/>
  <c r="DX68" i="29"/>
  <c r="DN63" i="29"/>
  <c r="DN17" i="29" s="1"/>
  <c r="G70" i="29"/>
  <c r="G163" i="29"/>
  <c r="EU68" i="29"/>
  <c r="EM68" i="29"/>
  <c r="DW68" i="29"/>
  <c r="FB58" i="29"/>
  <c r="FB10" i="29" s="1"/>
  <c r="EL58" i="29"/>
  <c r="EL10" i="29" s="1"/>
  <c r="ED58" i="29"/>
  <c r="ED10" i="29" s="1"/>
  <c r="DE58" i="29"/>
  <c r="DE10" i="29" s="1"/>
  <c r="CW58" i="29"/>
  <c r="CW10" i="29" s="1"/>
  <c r="FA68" i="29"/>
  <c r="ES68" i="29"/>
  <c r="EC68" i="29"/>
  <c r="DU68" i="29"/>
  <c r="DC63" i="29"/>
  <c r="DC17" i="29" s="1"/>
  <c r="EX63" i="29"/>
  <c r="EX17" i="29" s="1"/>
  <c r="EP63" i="29"/>
  <c r="EP17" i="29" s="1"/>
  <c r="DZ63" i="29"/>
  <c r="DZ17" i="29" s="1"/>
  <c r="EY58" i="29"/>
  <c r="EY10" i="29" s="1"/>
  <c r="EI58" i="29"/>
  <c r="EI10" i="29" s="1"/>
  <c r="EA58" i="29"/>
  <c r="EA10" i="29" s="1"/>
  <c r="AU67" i="29"/>
  <c r="AS62" i="29"/>
  <c r="AQ61" i="29"/>
  <c r="AF61" i="29"/>
  <c r="AQ56" i="29"/>
  <c r="AO56" i="29"/>
  <c r="AV66" i="29"/>
  <c r="AN66" i="29"/>
  <c r="AD56" i="29"/>
  <c r="AP62" i="29"/>
  <c r="AD62" i="29"/>
  <c r="AE62" i="29"/>
  <c r="AT61" i="29"/>
  <c r="AL61" i="29"/>
  <c r="AW67" i="29"/>
  <c r="AO67" i="29"/>
  <c r="AU62" i="29"/>
  <c r="AM62" i="29"/>
  <c r="AV61" i="29"/>
  <c r="AN61" i="29"/>
  <c r="AV57" i="29"/>
  <c r="AN57" i="29"/>
  <c r="Q26" i="29"/>
  <c r="DO74" i="29"/>
  <c r="DG74" i="29"/>
  <c r="AH74" i="29" s="1"/>
  <c r="AR62" i="29"/>
  <c r="AF62" i="29"/>
  <c r="AS61" i="29"/>
  <c r="AJ61" i="29"/>
  <c r="AD57" i="29"/>
  <c r="AD67" i="29"/>
  <c r="AW62" i="29"/>
  <c r="AO62" i="29"/>
  <c r="AV67" i="29"/>
  <c r="AN67" i="29"/>
  <c r="AT66" i="29"/>
  <c r="AL66" i="29"/>
  <c r="AN62" i="29"/>
  <c r="AQ66" i="29"/>
  <c r="AP56" i="29"/>
  <c r="AE56" i="29"/>
  <c r="AR56" i="29"/>
  <c r="BJ33" i="29"/>
  <c r="AQ62" i="29"/>
  <c r="AU61" i="29"/>
  <c r="AR61" i="29"/>
  <c r="AM61" i="29"/>
  <c r="AP57" i="29"/>
  <c r="AF56" i="29"/>
  <c r="BD33" i="29"/>
  <c r="AT67" i="29"/>
  <c r="AS66" i="29"/>
  <c r="AJ66" i="29"/>
  <c r="AV62" i="29"/>
  <c r="AO61" i="29"/>
  <c r="AG61" i="29"/>
  <c r="AU57" i="29"/>
  <c r="AM57" i="29"/>
  <c r="AV56" i="29"/>
  <c r="AN56" i="29"/>
  <c r="N26" i="29"/>
  <c r="I156" i="29"/>
  <c r="AQ67" i="29"/>
  <c r="AR66" i="29"/>
  <c r="AP66" i="29"/>
  <c r="AD66" i="29"/>
  <c r="AG62" i="29"/>
  <c r="AW61" i="29"/>
  <c r="AD61" i="29"/>
  <c r="AR57" i="29"/>
  <c r="AF57" i="29"/>
  <c r="AS56" i="29"/>
  <c r="AK56" i="29"/>
  <c r="P19" i="29"/>
  <c r="DL74" i="29"/>
  <c r="AU66" i="29"/>
  <c r="AM66" i="29"/>
  <c r="AT57" i="29"/>
  <c r="AL57" i="29"/>
  <c r="P26" i="29"/>
  <c r="DL76" i="29"/>
  <c r="EW75" i="29"/>
  <c r="CC75" i="29"/>
  <c r="BE75" i="29"/>
  <c r="AS67" i="29"/>
  <c r="AF67" i="29"/>
  <c r="AF66" i="29"/>
  <c r="AM56" i="29"/>
  <c r="DR74" i="29"/>
  <c r="DJ74" i="29"/>
  <c r="AP67" i="29"/>
  <c r="AM67" i="29"/>
  <c r="AE67" i="29"/>
  <c r="AW66" i="29"/>
  <c r="AS57" i="29"/>
  <c r="AQ57" i="29"/>
  <c r="AE57" i="29"/>
  <c r="AG56" i="29"/>
  <c r="DZ76" i="29"/>
  <c r="DR76" i="29"/>
  <c r="DJ76" i="29"/>
  <c r="DB76" i="29"/>
  <c r="DB80" i="29" s="1"/>
  <c r="DB25" i="29" s="1"/>
  <c r="CT76" i="29"/>
  <c r="CT80" i="29" s="1"/>
  <c r="CT25" i="29" s="1"/>
  <c r="CL76" i="29"/>
  <c r="CL80" i="29" s="1"/>
  <c r="EU75" i="29"/>
  <c r="CA75" i="29"/>
  <c r="CA79" i="29" s="1"/>
  <c r="CA18" i="29" s="1"/>
  <c r="BS75" i="29"/>
  <c r="BS79" i="29" s="1"/>
  <c r="BS18" i="29" s="1"/>
  <c r="BK75" i="29"/>
  <c r="BK79" i="29" s="1"/>
  <c r="BC75" i="29"/>
  <c r="BC79" i="29" s="1"/>
  <c r="BC18" i="29" s="1"/>
  <c r="DQ74" i="29"/>
  <c r="DI74" i="29"/>
  <c r="BU74" i="29"/>
  <c r="BU78" i="29" s="1"/>
  <c r="BU11" i="29" s="1"/>
  <c r="BM74" i="29"/>
  <c r="BM78" i="29" s="1"/>
  <c r="BM11" i="29" s="1"/>
  <c r="AW56" i="29"/>
  <c r="DP74" i="29"/>
  <c r="DH74" i="29"/>
  <c r="AR67" i="29"/>
  <c r="AL67" i="29"/>
  <c r="AE66" i="29"/>
  <c r="AT62" i="29"/>
  <c r="AL62" i="29"/>
  <c r="AP61" i="29"/>
  <c r="AE61" i="29"/>
  <c r="AG57" i="29"/>
  <c r="AT56" i="29"/>
  <c r="AL56" i="29"/>
  <c r="Q19" i="29"/>
  <c r="R80" i="26"/>
  <c r="Z80" i="26"/>
  <c r="V108" i="26"/>
  <c r="G107" i="26"/>
  <c r="AD108" i="26"/>
  <c r="O107" i="26"/>
  <c r="AL108" i="26"/>
  <c r="I95" i="26"/>
  <c r="X107" i="26"/>
  <c r="L111" i="26"/>
  <c r="AF107" i="26"/>
  <c r="U111" i="26"/>
  <c r="AN107" i="26"/>
  <c r="AC111" i="26"/>
  <c r="AV107" i="26"/>
  <c r="AK111" i="26"/>
  <c r="J108" i="26"/>
  <c r="AS111" i="26"/>
  <c r="K95" i="26"/>
  <c r="H107" i="26"/>
  <c r="Q107" i="26"/>
  <c r="Y107" i="26"/>
  <c r="AG107" i="26"/>
  <c r="AO107" i="26"/>
  <c r="AW107" i="26"/>
  <c r="K108" i="26"/>
  <c r="W108" i="26"/>
  <c r="AE108" i="26"/>
  <c r="AM108" i="26"/>
  <c r="M111" i="26"/>
  <c r="V111" i="26"/>
  <c r="AD111" i="26"/>
  <c r="AL111" i="26"/>
  <c r="AT111" i="26"/>
  <c r="AH95" i="26"/>
  <c r="I107" i="26"/>
  <c r="R107" i="26"/>
  <c r="Z107" i="26"/>
  <c r="AH107" i="26"/>
  <c r="AP107" i="26"/>
  <c r="AX107" i="26"/>
  <c r="L108" i="26"/>
  <c r="X108" i="26"/>
  <c r="AF108" i="26"/>
  <c r="AN108" i="26"/>
  <c r="N111" i="26"/>
  <c r="W111" i="26"/>
  <c r="AE111" i="26"/>
  <c r="AM111" i="26"/>
  <c r="AU111" i="26"/>
  <c r="U95" i="26"/>
  <c r="J107" i="26"/>
  <c r="S107" i="26"/>
  <c r="AA107" i="26"/>
  <c r="AI107" i="26"/>
  <c r="AQ107" i="26"/>
  <c r="AY107" i="26"/>
  <c r="Q108" i="26"/>
  <c r="Y108" i="26"/>
  <c r="AG108" i="26"/>
  <c r="G111" i="26"/>
  <c r="O111" i="26"/>
  <c r="X111" i="26"/>
  <c r="AF111" i="26"/>
  <c r="AN111" i="26"/>
  <c r="AV111" i="26"/>
  <c r="T95" i="26"/>
  <c r="K107" i="26"/>
  <c r="T107" i="26"/>
  <c r="AB107" i="26"/>
  <c r="AJ107" i="26"/>
  <c r="AR107" i="26"/>
  <c r="AZ107" i="26"/>
  <c r="R108" i="26"/>
  <c r="Z108" i="26"/>
  <c r="AH108" i="26"/>
  <c r="H111" i="26"/>
  <c r="Q111" i="26"/>
  <c r="Y111" i="26"/>
  <c r="AG111" i="26"/>
  <c r="AO111" i="26"/>
  <c r="AW111" i="26"/>
  <c r="L107" i="26"/>
  <c r="U107" i="26"/>
  <c r="AC107" i="26"/>
  <c r="AK107" i="26"/>
  <c r="AS107" i="26"/>
  <c r="G108" i="26"/>
  <c r="S108" i="26"/>
  <c r="AA108" i="26"/>
  <c r="AI108" i="26"/>
  <c r="I111" i="26"/>
  <c r="R111" i="26"/>
  <c r="Z111" i="26"/>
  <c r="AH111" i="26"/>
  <c r="AP111" i="26"/>
  <c r="AX111" i="26"/>
  <c r="M107" i="26"/>
  <c r="V107" i="26"/>
  <c r="AD107" i="26"/>
  <c r="AL107" i="26"/>
  <c r="AT107" i="26"/>
  <c r="H108" i="26"/>
  <c r="T108" i="26"/>
  <c r="AB108" i="26"/>
  <c r="AJ108" i="26"/>
  <c r="J111" i="26"/>
  <c r="S111" i="26"/>
  <c r="AA111" i="26"/>
  <c r="AI111" i="26"/>
  <c r="AQ111" i="26"/>
  <c r="AY111" i="26"/>
  <c r="N107" i="26"/>
  <c r="W107" i="26"/>
  <c r="AE107" i="26"/>
  <c r="AM107" i="26"/>
  <c r="AU107" i="26"/>
  <c r="I108" i="26"/>
  <c r="U108" i="26"/>
  <c r="AC108" i="26"/>
  <c r="AK108" i="26"/>
  <c r="K111" i="26"/>
  <c r="T111" i="26"/>
  <c r="AB111" i="26"/>
  <c r="AJ111" i="26"/>
  <c r="AR111" i="26"/>
  <c r="AZ111" i="26"/>
  <c r="U81" i="26"/>
  <c r="AC81" i="26"/>
  <c r="AK95" i="26"/>
  <c r="R95" i="26"/>
  <c r="T80" i="26"/>
  <c r="AB80" i="26"/>
  <c r="AJ95" i="26"/>
  <c r="AC95" i="26"/>
  <c r="AB95" i="26"/>
  <c r="H95" i="26"/>
  <c r="Z95" i="26"/>
  <c r="J95" i="26"/>
  <c r="AI95" i="26"/>
  <c r="AA95" i="26"/>
  <c r="S95" i="26"/>
  <c r="L95" i="26"/>
  <c r="AG95" i="26"/>
  <c r="Y95" i="26"/>
  <c r="Q95" i="26"/>
  <c r="Q119" i="26" s="1"/>
  <c r="AN95" i="26"/>
  <c r="AF95" i="26"/>
  <c r="X95" i="26"/>
  <c r="Q81" i="26"/>
  <c r="AM95" i="26"/>
  <c r="AE95" i="26"/>
  <c r="W95" i="26"/>
  <c r="R81" i="26"/>
  <c r="Z81" i="26"/>
  <c r="G95" i="26"/>
  <c r="AL95" i="26"/>
  <c r="AD95" i="26"/>
  <c r="Y80" i="26"/>
  <c r="V78" i="26"/>
  <c r="AD78" i="26"/>
  <c r="S78" i="26"/>
  <c r="AA78" i="26"/>
  <c r="W78" i="26"/>
  <c r="AE78" i="26"/>
  <c r="W81" i="26"/>
  <c r="AE81" i="26"/>
  <c r="V80" i="26"/>
  <c r="AD80" i="26"/>
  <c r="U78" i="26"/>
  <c r="AC78" i="26"/>
  <c r="H78" i="26"/>
  <c r="X79" i="26"/>
  <c r="Q80" i="26"/>
  <c r="G78" i="26"/>
  <c r="X78" i="26"/>
  <c r="AF78" i="26"/>
  <c r="Q78" i="26"/>
  <c r="Y78" i="26"/>
  <c r="I78" i="26"/>
  <c r="X81" i="26"/>
  <c r="AF81" i="26"/>
  <c r="W80" i="26"/>
  <c r="AE80" i="26"/>
  <c r="Y81" i="26"/>
  <c r="X80" i="26"/>
  <c r="AF80" i="26"/>
  <c r="S81" i="26"/>
  <c r="AA81" i="26"/>
  <c r="W66" i="26"/>
  <c r="W82" i="26" s="1"/>
  <c r="AE66" i="26"/>
  <c r="AE82" i="26" s="1"/>
  <c r="AM66" i="26"/>
  <c r="G65" i="26"/>
  <c r="I64" i="26"/>
  <c r="I80" i="26" s="1"/>
  <c r="K64" i="26"/>
  <c r="K63" i="26"/>
  <c r="Q66" i="26"/>
  <c r="Q82" i="26" s="1"/>
  <c r="J64" i="26"/>
  <c r="J80" i="26" s="1"/>
  <c r="I65" i="26"/>
  <c r="K65" i="26"/>
  <c r="K68" i="26" s="1"/>
  <c r="H63" i="26"/>
  <c r="H79" i="26" s="1"/>
  <c r="J63" i="26"/>
  <c r="J79" i="26" s="1"/>
  <c r="L63" i="26"/>
  <c r="H65" i="26"/>
  <c r="J65" i="26"/>
  <c r="L65" i="26"/>
  <c r="L68" i="26" s="1"/>
  <c r="T66" i="26"/>
  <c r="T82" i="26" s="1"/>
  <c r="AB66" i="26"/>
  <c r="AB82" i="26" s="1"/>
  <c r="AJ66" i="26"/>
  <c r="H64" i="26"/>
  <c r="H80" i="26" s="1"/>
  <c r="L64" i="26"/>
  <c r="AL66" i="26"/>
  <c r="G63" i="26"/>
  <c r="G79" i="26" s="1"/>
  <c r="I63" i="26"/>
  <c r="I79" i="26" s="1"/>
  <c r="AF66" i="26"/>
  <c r="AF82" i="26" s="1"/>
  <c r="K23" i="26"/>
  <c r="Y66" i="26"/>
  <c r="Y82" i="26" s="1"/>
  <c r="AG66" i="26"/>
  <c r="X66" i="26"/>
  <c r="X82" i="26" s="1"/>
  <c r="U66" i="26"/>
  <c r="U82" i="26" s="1"/>
  <c r="AC66" i="26"/>
  <c r="AC82" i="26" s="1"/>
  <c r="AK66" i="26"/>
  <c r="R66" i="26"/>
  <c r="R82" i="26" s="1"/>
  <c r="Z66" i="26"/>
  <c r="Z82" i="26" s="1"/>
  <c r="AH66" i="26"/>
  <c r="G64" i="26"/>
  <c r="G80" i="26" s="1"/>
  <c r="AN66" i="26"/>
  <c r="V66" i="26"/>
  <c r="V82" i="26" s="1"/>
  <c r="AD66" i="26"/>
  <c r="AD82" i="26" s="1"/>
  <c r="J62" i="26"/>
  <c r="J78" i="26" s="1"/>
  <c r="S66" i="26"/>
  <c r="S82" i="26" s="1"/>
  <c r="AA66" i="26"/>
  <c r="AA82" i="26" s="1"/>
  <c r="AI66" i="26"/>
  <c r="K25" i="26"/>
  <c r="F25" i="26" s="1"/>
  <c r="J224" i="26" s="1"/>
  <c r="J226" i="26" s="1"/>
  <c r="J229" i="26" s="1"/>
  <c r="AU94" i="26"/>
  <c r="AU86" i="26" s="1"/>
  <c r="R182" i="26"/>
  <c r="J99" i="26"/>
  <c r="H98" i="26"/>
  <c r="S99" i="26"/>
  <c r="AB183" i="26"/>
  <c r="M189" i="26"/>
  <c r="M207" i="26" s="1"/>
  <c r="AP273" i="26"/>
  <c r="Q98" i="26"/>
  <c r="AA99" i="26"/>
  <c r="N94" i="26"/>
  <c r="Y98" i="26"/>
  <c r="AI99" i="26"/>
  <c r="AL184" i="26"/>
  <c r="W94" i="26"/>
  <c r="W86" i="26" s="1"/>
  <c r="AG98" i="26"/>
  <c r="AQ99" i="26"/>
  <c r="AE94" i="26"/>
  <c r="AE86" i="26" s="1"/>
  <c r="AO98" i="26"/>
  <c r="AY99" i="26"/>
  <c r="AZ162" i="26"/>
  <c r="G181" i="26"/>
  <c r="G206" i="26" s="1"/>
  <c r="AV185" i="26"/>
  <c r="AM94" i="26"/>
  <c r="AM86" i="26" s="1"/>
  <c r="AW98" i="26"/>
  <c r="G94" i="26"/>
  <c r="O94" i="26"/>
  <c r="X94" i="26"/>
  <c r="X86" i="26" s="1"/>
  <c r="AF94" i="26"/>
  <c r="AF86" i="26" s="1"/>
  <c r="J86" i="26" s="1"/>
  <c r="J192" i="26" s="1"/>
  <c r="J194" i="26" s="1"/>
  <c r="AN94" i="26"/>
  <c r="AN86" i="26" s="1"/>
  <c r="L86" i="26" s="1"/>
  <c r="L192" i="26" s="1"/>
  <c r="L194" i="26" s="1"/>
  <c r="AV94" i="26"/>
  <c r="AV86" i="26" s="1"/>
  <c r="N86" i="26" s="1"/>
  <c r="N192" i="26" s="1"/>
  <c r="N194" i="26" s="1"/>
  <c r="I98" i="26"/>
  <c r="R98" i="26"/>
  <c r="Z98" i="26"/>
  <c r="AH98" i="26"/>
  <c r="AP98" i="26"/>
  <c r="AX98" i="26"/>
  <c r="K99" i="26"/>
  <c r="T99" i="26"/>
  <c r="AB99" i="26"/>
  <c r="AJ99" i="26"/>
  <c r="AR99" i="26"/>
  <c r="AZ99" i="26"/>
  <c r="Z182" i="26"/>
  <c r="AJ183" i="26"/>
  <c r="AT184" i="26"/>
  <c r="K187" i="26"/>
  <c r="V189" i="26"/>
  <c r="V207" i="26" s="1"/>
  <c r="AX273" i="26"/>
  <c r="H94" i="26"/>
  <c r="Q94" i="26"/>
  <c r="Q86" i="26" s="1"/>
  <c r="Y94" i="26"/>
  <c r="Y86" i="26" s="1"/>
  <c r="AG94" i="26"/>
  <c r="AG86" i="26" s="1"/>
  <c r="AO94" i="26"/>
  <c r="AO86" i="26" s="1"/>
  <c r="AW94" i="26"/>
  <c r="AW86" i="26" s="1"/>
  <c r="J98" i="26"/>
  <c r="S98" i="26"/>
  <c r="AA98" i="26"/>
  <c r="AI98" i="26"/>
  <c r="AQ98" i="26"/>
  <c r="AY98" i="26"/>
  <c r="L99" i="26"/>
  <c r="U99" i="26"/>
  <c r="AC99" i="26"/>
  <c r="AK99" i="26"/>
  <c r="AS99" i="26"/>
  <c r="X181" i="26"/>
  <c r="X206" i="26" s="1"/>
  <c r="AH182" i="26"/>
  <c r="AR183" i="26"/>
  <c r="I186" i="26"/>
  <c r="T187" i="26"/>
  <c r="AD189" i="26"/>
  <c r="AD207" i="26" s="1"/>
  <c r="I94" i="26"/>
  <c r="R94" i="26"/>
  <c r="R86" i="26" s="1"/>
  <c r="Z94" i="26"/>
  <c r="Z86" i="26" s="1"/>
  <c r="AH94" i="26"/>
  <c r="AH86" i="26" s="1"/>
  <c r="AP94" i="26"/>
  <c r="AP86" i="26" s="1"/>
  <c r="AX94" i="26"/>
  <c r="AX86" i="26" s="1"/>
  <c r="K98" i="26"/>
  <c r="T98" i="26"/>
  <c r="AB98" i="26"/>
  <c r="AJ98" i="26"/>
  <c r="AR98" i="26"/>
  <c r="AZ98" i="26"/>
  <c r="M99" i="26"/>
  <c r="V99" i="26"/>
  <c r="AD99" i="26"/>
  <c r="AL99" i="26"/>
  <c r="AT99" i="26"/>
  <c r="K162" i="26"/>
  <c r="AF181" i="26"/>
  <c r="AF206" i="26" s="1"/>
  <c r="AP182" i="26"/>
  <c r="AZ183" i="26"/>
  <c r="G185" i="26"/>
  <c r="G214" i="26" s="1"/>
  <c r="R186" i="26"/>
  <c r="AB187" i="26"/>
  <c r="AV273" i="26"/>
  <c r="AN273" i="26"/>
  <c r="AF273" i="26"/>
  <c r="X273" i="26"/>
  <c r="O273" i="26"/>
  <c r="G273" i="26"/>
  <c r="AZ189" i="26"/>
  <c r="AZ207" i="26" s="1"/>
  <c r="AR189" i="26"/>
  <c r="AR207" i="26" s="1"/>
  <c r="AJ189" i="26"/>
  <c r="AJ207" i="26" s="1"/>
  <c r="AB189" i="26"/>
  <c r="AB207" i="26" s="1"/>
  <c r="T189" i="26"/>
  <c r="T207" i="26" s="1"/>
  <c r="K189" i="26"/>
  <c r="K207" i="26" s="1"/>
  <c r="AX187" i="26"/>
  <c r="AP187" i="26"/>
  <c r="AH187" i="26"/>
  <c r="Z187" i="26"/>
  <c r="R187" i="26"/>
  <c r="I187" i="26"/>
  <c r="AF186" i="26"/>
  <c r="X186" i="26"/>
  <c r="G186" i="26"/>
  <c r="AT185" i="26"/>
  <c r="AL185" i="26"/>
  <c r="AD185" i="26"/>
  <c r="V185" i="26"/>
  <c r="M185" i="26"/>
  <c r="AZ184" i="26"/>
  <c r="AR184" i="26"/>
  <c r="AJ184" i="26"/>
  <c r="AB184" i="26"/>
  <c r="T184" i="26"/>
  <c r="K184" i="26"/>
  <c r="AX183" i="26"/>
  <c r="AP183" i="26"/>
  <c r="AH183" i="26"/>
  <c r="Z183" i="26"/>
  <c r="R183" i="26"/>
  <c r="I183" i="26"/>
  <c r="AV182" i="26"/>
  <c r="AN182" i="26"/>
  <c r="AF182" i="26"/>
  <c r="X182" i="26"/>
  <c r="O182" i="26"/>
  <c r="G182" i="26"/>
  <c r="AD181" i="26"/>
  <c r="AD206" i="26" s="1"/>
  <c r="V181" i="26"/>
  <c r="V206" i="26" s="1"/>
  <c r="AX162" i="26"/>
  <c r="AP162" i="26"/>
  <c r="AH162" i="26"/>
  <c r="Z162" i="26"/>
  <c r="R162" i="26"/>
  <c r="I162" i="26"/>
  <c r="AU273" i="26"/>
  <c r="AM273" i="26"/>
  <c r="AE273" i="26"/>
  <c r="W273" i="26"/>
  <c r="N273" i="26"/>
  <c r="AY189" i="26"/>
  <c r="AY207" i="26" s="1"/>
  <c r="AQ189" i="26"/>
  <c r="AQ207" i="26" s="1"/>
  <c r="AI189" i="26"/>
  <c r="AI207" i="26" s="1"/>
  <c r="AA189" i="26"/>
  <c r="AA207" i="26" s="1"/>
  <c r="S189" i="26"/>
  <c r="S207" i="26" s="1"/>
  <c r="J189" i="26"/>
  <c r="J207" i="26" s="1"/>
  <c r="AW187" i="26"/>
  <c r="AO187" i="26"/>
  <c r="AG187" i="26"/>
  <c r="Y187" i="26"/>
  <c r="Q187" i="26"/>
  <c r="H187" i="26"/>
  <c r="AE186" i="26"/>
  <c r="W186" i="26"/>
  <c r="AS185" i="26"/>
  <c r="AK185" i="26"/>
  <c r="AC185" i="26"/>
  <c r="U185" i="26"/>
  <c r="L185" i="26"/>
  <c r="AY184" i="26"/>
  <c r="AQ184" i="26"/>
  <c r="AI184" i="26"/>
  <c r="AA184" i="26"/>
  <c r="S184" i="26"/>
  <c r="J184" i="26"/>
  <c r="J212" i="26" s="1"/>
  <c r="AW183" i="26"/>
  <c r="AO183" i="26"/>
  <c r="AG183" i="26"/>
  <c r="Y183" i="26"/>
  <c r="Q183" i="26"/>
  <c r="H183" i="26"/>
  <c r="AU182" i="26"/>
  <c r="AM182" i="26"/>
  <c r="AE182" i="26"/>
  <c r="W182" i="26"/>
  <c r="N182" i="26"/>
  <c r="AC181" i="26"/>
  <c r="AC206" i="26" s="1"/>
  <c r="J206" i="26" s="1"/>
  <c r="U181" i="26"/>
  <c r="U206" i="26" s="1"/>
  <c r="AW162" i="26"/>
  <c r="AO162" i="26"/>
  <c r="AG162" i="26"/>
  <c r="Y162" i="26"/>
  <c r="Q162" i="26"/>
  <c r="H162" i="26"/>
  <c r="AT273" i="26"/>
  <c r="AL273" i="26"/>
  <c r="AD273" i="26"/>
  <c r="V273" i="26"/>
  <c r="M273" i="26"/>
  <c r="AX189" i="26"/>
  <c r="AX207" i="26" s="1"/>
  <c r="AP189" i="26"/>
  <c r="AP207" i="26" s="1"/>
  <c r="AH189" i="26"/>
  <c r="AH207" i="26" s="1"/>
  <c r="Z189" i="26"/>
  <c r="Z207" i="26" s="1"/>
  <c r="R189" i="26"/>
  <c r="R207" i="26" s="1"/>
  <c r="I189" i="26"/>
  <c r="I207" i="26" s="1"/>
  <c r="AV187" i="26"/>
  <c r="AN187" i="26"/>
  <c r="AF187" i="26"/>
  <c r="X187" i="26"/>
  <c r="O187" i="26"/>
  <c r="G187" i="26"/>
  <c r="AD186" i="26"/>
  <c r="V186" i="26"/>
  <c r="AZ185" i="26"/>
  <c r="AR185" i="26"/>
  <c r="AB185" i="26"/>
  <c r="T185" i="26"/>
  <c r="AX184" i="26"/>
  <c r="AP184" i="26"/>
  <c r="AH184" i="26"/>
  <c r="Z184" i="26"/>
  <c r="R184" i="26"/>
  <c r="I184" i="26"/>
  <c r="I212" i="26" s="1"/>
  <c r="AV183" i="26"/>
  <c r="AN183" i="26"/>
  <c r="AF183" i="26"/>
  <c r="X183" i="26"/>
  <c r="O183" i="26"/>
  <c r="G183" i="26"/>
  <c r="AT182" i="26"/>
  <c r="AL182" i="26"/>
  <c r="AD182" i="26"/>
  <c r="V182" i="26"/>
  <c r="M182" i="26"/>
  <c r="AB181" i="26"/>
  <c r="AB206" i="26" s="1"/>
  <c r="T181" i="26"/>
  <c r="T206" i="26" s="1"/>
  <c r="K181" i="26"/>
  <c r="AV162" i="26"/>
  <c r="AN162" i="26"/>
  <c r="AF162" i="26"/>
  <c r="X162" i="26"/>
  <c r="O162" i="26"/>
  <c r="G162" i="26"/>
  <c r="AS273" i="26"/>
  <c r="AK273" i="26"/>
  <c r="AC273" i="26"/>
  <c r="U273" i="26"/>
  <c r="L273" i="26"/>
  <c r="AW189" i="26"/>
  <c r="AW207" i="26" s="1"/>
  <c r="AO189" i="26"/>
  <c r="AO207" i="26" s="1"/>
  <c r="AG189" i="26"/>
  <c r="AG207" i="26" s="1"/>
  <c r="Y189" i="26"/>
  <c r="Y207" i="26" s="1"/>
  <c r="Q189" i="26"/>
  <c r="Q207" i="26" s="1"/>
  <c r="H189" i="26"/>
  <c r="H207" i="26" s="1"/>
  <c r="AU187" i="26"/>
  <c r="AM187" i="26"/>
  <c r="AE187" i="26"/>
  <c r="W187" i="26"/>
  <c r="N187" i="26"/>
  <c r="AC186" i="26"/>
  <c r="U186" i="26"/>
  <c r="AY185" i="26"/>
  <c r="AQ185" i="26"/>
  <c r="AI185" i="26"/>
  <c r="AA185" i="26"/>
  <c r="S185" i="26"/>
  <c r="J185" i="26"/>
  <c r="J214" i="26" s="1"/>
  <c r="AW184" i="26"/>
  <c r="AO184" i="26"/>
  <c r="AG184" i="26"/>
  <c r="Y184" i="26"/>
  <c r="Q184" i="26"/>
  <c r="H184" i="26"/>
  <c r="H212" i="26" s="1"/>
  <c r="AU183" i="26"/>
  <c r="AM183" i="26"/>
  <c r="AE183" i="26"/>
  <c r="W183" i="26"/>
  <c r="N183" i="26"/>
  <c r="AS182" i="26"/>
  <c r="AK182" i="26"/>
  <c r="AC182" i="26"/>
  <c r="U182" i="26"/>
  <c r="L182" i="26"/>
  <c r="AA181" i="26"/>
  <c r="AA206" i="26" s="1"/>
  <c r="S181" i="26"/>
  <c r="S206" i="26" s="1"/>
  <c r="J181" i="26"/>
  <c r="AU162" i="26"/>
  <c r="AM162" i="26"/>
  <c r="AE162" i="26"/>
  <c r="W162" i="26"/>
  <c r="N162" i="26"/>
  <c r="M22" i="26"/>
  <c r="AZ273" i="26"/>
  <c r="AR273" i="26"/>
  <c r="AJ273" i="26"/>
  <c r="AB273" i="26"/>
  <c r="T273" i="26"/>
  <c r="K273" i="26"/>
  <c r="AV189" i="26"/>
  <c r="AV207" i="26" s="1"/>
  <c r="AN189" i="26"/>
  <c r="AN207" i="26" s="1"/>
  <c r="AF189" i="26"/>
  <c r="AF207" i="26" s="1"/>
  <c r="X189" i="26"/>
  <c r="X207" i="26" s="1"/>
  <c r="O189" i="26"/>
  <c r="O207" i="26" s="1"/>
  <c r="G189" i="26"/>
  <c r="G207" i="26" s="1"/>
  <c r="AT187" i="26"/>
  <c r="AL187" i="26"/>
  <c r="AD187" i="26"/>
  <c r="V187" i="26"/>
  <c r="M187" i="26"/>
  <c r="AB186" i="26"/>
  <c r="T186" i="26"/>
  <c r="AX185" i="26"/>
  <c r="AP185" i="26"/>
  <c r="AH185" i="26"/>
  <c r="Z185" i="26"/>
  <c r="R185" i="26"/>
  <c r="I185" i="26"/>
  <c r="I214" i="26" s="1"/>
  <c r="AV184" i="26"/>
  <c r="AN184" i="26"/>
  <c r="AF184" i="26"/>
  <c r="X184" i="26"/>
  <c r="O184" i="26"/>
  <c r="G184" i="26"/>
  <c r="G212" i="26" s="1"/>
  <c r="AT183" i="26"/>
  <c r="AL183" i="26"/>
  <c r="AD183" i="26"/>
  <c r="V183" i="26"/>
  <c r="M183" i="26"/>
  <c r="AZ182" i="26"/>
  <c r="AR182" i="26"/>
  <c r="AJ182" i="26"/>
  <c r="AB182" i="26"/>
  <c r="T182" i="26"/>
  <c r="K182" i="26"/>
  <c r="Z181" i="26"/>
  <c r="Z206" i="26" s="1"/>
  <c r="R181" i="26"/>
  <c r="R206" i="26" s="1"/>
  <c r="I181" i="26"/>
  <c r="I206" i="26" s="1"/>
  <c r="AT162" i="26"/>
  <c r="AL162" i="26"/>
  <c r="AD162" i="26"/>
  <c r="V162" i="26"/>
  <c r="M162" i="26"/>
  <c r="F22" i="26"/>
  <c r="F27" i="26" s="1"/>
  <c r="AY273" i="26"/>
  <c r="AQ273" i="26"/>
  <c r="AI273" i="26"/>
  <c r="AA273" i="26"/>
  <c r="S273" i="26"/>
  <c r="J273" i="26"/>
  <c r="AU189" i="26"/>
  <c r="AU207" i="26" s="1"/>
  <c r="AM189" i="26"/>
  <c r="AM207" i="26" s="1"/>
  <c r="AE189" i="26"/>
  <c r="AE207" i="26" s="1"/>
  <c r="W189" i="26"/>
  <c r="W207" i="26" s="1"/>
  <c r="N189" i="26"/>
  <c r="N207" i="26" s="1"/>
  <c r="AS187" i="26"/>
  <c r="AK187" i="26"/>
  <c r="AC187" i="26"/>
  <c r="U187" i="26"/>
  <c r="L187" i="26"/>
  <c r="AA186" i="26"/>
  <c r="S186" i="26"/>
  <c r="J186" i="26"/>
  <c r="J195" i="26" s="1"/>
  <c r="AW185" i="26"/>
  <c r="AO185" i="26"/>
  <c r="AG185" i="26"/>
  <c r="Y185" i="26"/>
  <c r="Q185" i="26"/>
  <c r="H185" i="26"/>
  <c r="H214" i="26" s="1"/>
  <c r="AU184" i="26"/>
  <c r="AM184" i="26"/>
  <c r="AE184" i="26"/>
  <c r="W184" i="26"/>
  <c r="N184" i="26"/>
  <c r="AS183" i="26"/>
  <c r="AK183" i="26"/>
  <c r="AC183" i="26"/>
  <c r="U183" i="26"/>
  <c r="L183" i="26"/>
  <c r="AY182" i="26"/>
  <c r="AQ182" i="26"/>
  <c r="AI182" i="26"/>
  <c r="AA182" i="26"/>
  <c r="S182" i="26"/>
  <c r="J182" i="26"/>
  <c r="AG181" i="26"/>
  <c r="Y181" i="26"/>
  <c r="Y206" i="26" s="1"/>
  <c r="Q181" i="26"/>
  <c r="Q206" i="26" s="1"/>
  <c r="H181" i="26"/>
  <c r="H206" i="26" s="1"/>
  <c r="AS162" i="26"/>
  <c r="AK162" i="26"/>
  <c r="AC162" i="26"/>
  <c r="U162" i="26"/>
  <c r="L162" i="26"/>
  <c r="AW273" i="26"/>
  <c r="AO273" i="26"/>
  <c r="AG273" i="26"/>
  <c r="Y273" i="26"/>
  <c r="Q273" i="26"/>
  <c r="H273" i="26"/>
  <c r="AS189" i="26"/>
  <c r="AS207" i="26" s="1"/>
  <c r="AK189" i="26"/>
  <c r="AK207" i="26" s="1"/>
  <c r="AC189" i="26"/>
  <c r="AC207" i="26" s="1"/>
  <c r="U189" i="26"/>
  <c r="U207" i="26" s="1"/>
  <c r="L189" i="26"/>
  <c r="L207" i="26" s="1"/>
  <c r="AY187" i="26"/>
  <c r="AQ187" i="26"/>
  <c r="AI187" i="26"/>
  <c r="AA187" i="26"/>
  <c r="S187" i="26"/>
  <c r="J187" i="26"/>
  <c r="Y186" i="26"/>
  <c r="Q186" i="26"/>
  <c r="H186" i="26"/>
  <c r="AU185" i="26"/>
  <c r="AM185" i="26"/>
  <c r="AE185" i="26"/>
  <c r="W185" i="26"/>
  <c r="N185" i="26"/>
  <c r="AS184" i="26"/>
  <c r="AK184" i="26"/>
  <c r="AC184" i="26"/>
  <c r="U184" i="26"/>
  <c r="L184" i="26"/>
  <c r="AY183" i="26"/>
  <c r="AQ183" i="26"/>
  <c r="AI183" i="26"/>
  <c r="AA183" i="26"/>
  <c r="S183" i="26"/>
  <c r="J183" i="26"/>
  <c r="AW182" i="26"/>
  <c r="AO182" i="26"/>
  <c r="AG182" i="26"/>
  <c r="Y182" i="26"/>
  <c r="Q182" i="26"/>
  <c r="H182" i="26"/>
  <c r="AE181" i="26"/>
  <c r="AE206" i="26" s="1"/>
  <c r="W181" i="26"/>
  <c r="W206" i="26" s="1"/>
  <c r="AY162" i="26"/>
  <c r="AQ162" i="26"/>
  <c r="AI162" i="26"/>
  <c r="AA162" i="26"/>
  <c r="S162" i="26"/>
  <c r="J162" i="26"/>
  <c r="J94" i="26"/>
  <c r="S94" i="26"/>
  <c r="S86" i="26" s="1"/>
  <c r="AA94" i="26"/>
  <c r="AA86" i="26" s="1"/>
  <c r="AI94" i="26"/>
  <c r="AI86" i="26" s="1"/>
  <c r="AQ94" i="26"/>
  <c r="AQ86" i="26" s="1"/>
  <c r="AY94" i="26"/>
  <c r="AY86" i="26" s="1"/>
  <c r="L98" i="26"/>
  <c r="U98" i="26"/>
  <c r="AC98" i="26"/>
  <c r="AK98" i="26"/>
  <c r="AS98" i="26"/>
  <c r="N99" i="26"/>
  <c r="W99" i="26"/>
  <c r="AE99" i="26"/>
  <c r="AM99" i="26"/>
  <c r="AU99" i="26"/>
  <c r="T162" i="26"/>
  <c r="AX182" i="26"/>
  <c r="O185" i="26"/>
  <c r="Z186" i="26"/>
  <c r="AJ187" i="26"/>
  <c r="AT189" i="26"/>
  <c r="AT207" i="26" s="1"/>
  <c r="I273" i="26"/>
  <c r="K94" i="26"/>
  <c r="T94" i="26"/>
  <c r="T86" i="26" s="1"/>
  <c r="AB94" i="26"/>
  <c r="AB86" i="26" s="1"/>
  <c r="I86" i="26" s="1"/>
  <c r="I192" i="26" s="1"/>
  <c r="I194" i="26" s="1"/>
  <c r="AJ94" i="26"/>
  <c r="AJ86" i="26" s="1"/>
  <c r="K86" i="26" s="1"/>
  <c r="K192" i="26" s="1"/>
  <c r="K194" i="26" s="1"/>
  <c r="AR94" i="26"/>
  <c r="AR86" i="26" s="1"/>
  <c r="M86" i="26" s="1"/>
  <c r="M192" i="26" s="1"/>
  <c r="M194" i="26" s="1"/>
  <c r="AZ94" i="26"/>
  <c r="AZ86" i="26" s="1"/>
  <c r="O86" i="26" s="1"/>
  <c r="O192" i="26" s="1"/>
  <c r="O194" i="26" s="1"/>
  <c r="M98" i="26"/>
  <c r="V98" i="26"/>
  <c r="AD98" i="26"/>
  <c r="AL98" i="26"/>
  <c r="AT98" i="26"/>
  <c r="G99" i="26"/>
  <c r="O99" i="26"/>
  <c r="X99" i="26"/>
  <c r="AF99" i="26"/>
  <c r="AN99" i="26"/>
  <c r="AV99" i="26"/>
  <c r="AB162" i="26"/>
  <c r="M184" i="26"/>
  <c r="X185" i="26"/>
  <c r="AR187" i="26"/>
  <c r="R273" i="26"/>
  <c r="L94" i="26"/>
  <c r="U94" i="26"/>
  <c r="U86" i="26" s="1"/>
  <c r="AC94" i="26"/>
  <c r="AC86" i="26" s="1"/>
  <c r="AK94" i="26"/>
  <c r="AK86" i="26" s="1"/>
  <c r="AS94" i="26"/>
  <c r="AS86" i="26" s="1"/>
  <c r="N98" i="26"/>
  <c r="W98" i="26"/>
  <c r="AE98" i="26"/>
  <c r="AM98" i="26"/>
  <c r="AU98" i="26"/>
  <c r="H99" i="26"/>
  <c r="Q99" i="26"/>
  <c r="Y99" i="26"/>
  <c r="AG99" i="26"/>
  <c r="AO99" i="26"/>
  <c r="AW99" i="26"/>
  <c r="AJ162" i="26"/>
  <c r="K183" i="26"/>
  <c r="V184" i="26"/>
  <c r="AF185" i="26"/>
  <c r="AZ187" i="26"/>
  <c r="Z273" i="26"/>
  <c r="M94" i="26"/>
  <c r="V94" i="26"/>
  <c r="V86" i="26" s="1"/>
  <c r="AD94" i="26"/>
  <c r="AD86" i="26" s="1"/>
  <c r="AL94" i="26"/>
  <c r="AL86" i="26" s="1"/>
  <c r="AT94" i="26"/>
  <c r="AT86" i="26" s="1"/>
  <c r="G98" i="26"/>
  <c r="O98" i="26"/>
  <c r="X98" i="26"/>
  <c r="AF98" i="26"/>
  <c r="AN98" i="26"/>
  <c r="AV98" i="26"/>
  <c r="I99" i="26"/>
  <c r="R99" i="26"/>
  <c r="Z99" i="26"/>
  <c r="AH99" i="26"/>
  <c r="AP99" i="26"/>
  <c r="AX99" i="26"/>
  <c r="AR162" i="26"/>
  <c r="I182" i="26"/>
  <c r="T183" i="26"/>
  <c r="AD184" i="26"/>
  <c r="AN185" i="26"/>
  <c r="AH273" i="26"/>
  <c r="I15" i="26"/>
  <c r="H32" i="26"/>
  <c r="K23" i="35"/>
  <c r="AJ20" i="35"/>
  <c r="V42" i="34"/>
  <c r="Z160" i="36"/>
  <c r="AA160" i="36" s="1"/>
  <c r="AB160" i="36" s="1"/>
  <c r="Y144" i="36"/>
  <c r="AF160" i="36"/>
  <c r="F51" i="34" s="1"/>
  <c r="AF146" i="36"/>
  <c r="AF147" i="36" s="1"/>
  <c r="AB114" i="36"/>
  <c r="AB106" i="36" s="1"/>
  <c r="AA106" i="36"/>
  <c r="M39" i="37"/>
  <c r="M40" i="37"/>
  <c r="AD77" i="37"/>
  <c r="AD80" i="37"/>
  <c r="AD72" i="37"/>
  <c r="AD78" i="37"/>
  <c r="AE79" i="36"/>
  <c r="AE90" i="36" s="1"/>
  <c r="E33" i="34" s="1"/>
  <c r="AA52" i="38"/>
  <c r="AA44" i="38"/>
  <c r="AF22" i="38"/>
  <c r="S14" i="38"/>
  <c r="EA24" i="29"/>
  <c r="AV60" i="29"/>
  <c r="EW63" i="29"/>
  <c r="AF60" i="29"/>
  <c r="DA63" i="29"/>
  <c r="S50" i="26"/>
  <c r="R50" i="26" s="1"/>
  <c r="Q50" i="26" s="1"/>
  <c r="U50" i="26"/>
  <c r="V50" i="26" s="1"/>
  <c r="W50" i="26" s="1"/>
  <c r="X50" i="26" s="1"/>
  <c r="Y50" i="26" s="1"/>
  <c r="Z50" i="26" s="1"/>
  <c r="AA50" i="26" s="1"/>
  <c r="AB50" i="26" s="1"/>
  <c r="AC50" i="26" s="1"/>
  <c r="AD50" i="26" s="1"/>
  <c r="AE50" i="26" s="1"/>
  <c r="AF50" i="26" s="1"/>
  <c r="AG50" i="26" s="1"/>
  <c r="AH50" i="26" s="1"/>
  <c r="AI50" i="26" s="1"/>
  <c r="AJ50" i="26" s="1"/>
  <c r="AK50" i="26" s="1"/>
  <c r="AL50" i="26" s="1"/>
  <c r="AM50" i="26" s="1"/>
  <c r="AN50" i="26" s="1"/>
  <c r="AO50" i="26" s="1"/>
  <c r="AP50" i="26" s="1"/>
  <c r="AQ50" i="26" s="1"/>
  <c r="AR50" i="26" s="1"/>
  <c r="AS50" i="26" s="1"/>
  <c r="AT50" i="26" s="1"/>
  <c r="AU50" i="26" s="1"/>
  <c r="AV50" i="26" s="1"/>
  <c r="AW50" i="26" s="1"/>
  <c r="AX50" i="26" s="1"/>
  <c r="AY50" i="26" s="1"/>
  <c r="AZ50" i="26" s="1"/>
  <c r="J132" i="41"/>
  <c r="H136" i="36"/>
  <c r="AD135" i="36"/>
  <c r="AG120" i="36"/>
  <c r="U115" i="36"/>
  <c r="AF114" i="36"/>
  <c r="F42" i="34" s="1"/>
  <c r="AF108" i="36"/>
  <c r="AF109" i="36" s="1"/>
  <c r="AH95" i="36"/>
  <c r="W97" i="36"/>
  <c r="W98" i="36" s="1"/>
  <c r="X96" i="36"/>
  <c r="Y24" i="36"/>
  <c r="X46" i="37"/>
  <c r="O27" i="36"/>
  <c r="O13" i="36"/>
  <c r="AD24" i="36"/>
  <c r="G30" i="36"/>
  <c r="G27" i="36"/>
  <c r="G13" i="36"/>
  <c r="P17" i="37"/>
  <c r="H17" i="37"/>
  <c r="P41" i="37"/>
  <c r="AD30" i="37"/>
  <c r="H41" i="37"/>
  <c r="AG29" i="37"/>
  <c r="Z26" i="34" s="1"/>
  <c r="AE29" i="37"/>
  <c r="X26" i="34" s="1"/>
  <c r="AC29" i="37"/>
  <c r="V26" i="34" s="1"/>
  <c r="N39" i="37"/>
  <c r="N40" i="37"/>
  <c r="F39" i="37"/>
  <c r="F40" i="37"/>
  <c r="P38" i="37"/>
  <c r="AD27" i="37"/>
  <c r="H38" i="37"/>
  <c r="O33" i="37"/>
  <c r="Q14" i="35"/>
  <c r="Q15" i="35" s="1"/>
  <c r="Q82" i="38"/>
  <c r="Q98" i="38"/>
  <c r="Q116" i="38"/>
  <c r="Q74" i="38"/>
  <c r="Z114" i="38"/>
  <c r="AA114" i="38" s="1"/>
  <c r="AA115" i="38" s="1"/>
  <c r="Y115" i="38"/>
  <c r="V32" i="38"/>
  <c r="X32" i="38"/>
  <c r="Z32" i="38"/>
  <c r="AF31" i="38"/>
  <c r="P14" i="38"/>
  <c r="P27" i="35" s="1"/>
  <c r="K36" i="38"/>
  <c r="K13" i="38"/>
  <c r="AD65" i="38"/>
  <c r="N29" i="34" s="1"/>
  <c r="T64" i="38"/>
  <c r="T25" i="38" s="1"/>
  <c r="V64" i="38"/>
  <c r="V25" i="38" s="1"/>
  <c r="V17" i="38" s="1"/>
  <c r="V29" i="35" s="1"/>
  <c r="U64" i="38"/>
  <c r="W64" i="38"/>
  <c r="Q28" i="34"/>
  <c r="AH64" i="38"/>
  <c r="U25" i="38"/>
  <c r="U17" i="38" s="1"/>
  <c r="U29" i="35" s="1"/>
  <c r="AB61" i="28"/>
  <c r="AB45" i="28"/>
  <c r="T61" i="28"/>
  <c r="T45" i="28"/>
  <c r="L61" i="28"/>
  <c r="L45" i="28"/>
  <c r="C61" i="28"/>
  <c r="C45" i="28"/>
  <c r="S118" i="29"/>
  <c r="AW116" i="29"/>
  <c r="AO116" i="29"/>
  <c r="AG116" i="29"/>
  <c r="H156" i="29"/>
  <c r="Y116" i="29"/>
  <c r="Q116" i="29"/>
  <c r="EV75" i="29"/>
  <c r="CB75" i="29"/>
  <c r="CB79" i="29" s="1"/>
  <c r="CB18" i="29" s="1"/>
  <c r="BT75" i="29"/>
  <c r="BL75" i="29"/>
  <c r="BL79" i="29" s="1"/>
  <c r="BL18" i="29" s="1"/>
  <c r="BD75" i="29"/>
  <c r="BD79" i="29" s="1"/>
  <c r="BD18" i="29" s="1"/>
  <c r="EH63" i="29"/>
  <c r="AQ60" i="29"/>
  <c r="AI60" i="29"/>
  <c r="AA60" i="29"/>
  <c r="S60" i="29"/>
  <c r="Q106" i="29"/>
  <c r="AI74" i="29"/>
  <c r="DB74" i="29"/>
  <c r="BV74" i="29"/>
  <c r="BV78" i="29" s="1"/>
  <c r="BN74" i="29"/>
  <c r="EQ58" i="29"/>
  <c r="L55" i="29"/>
  <c r="EA31" i="29"/>
  <c r="AL55" i="29"/>
  <c r="DS58" i="29"/>
  <c r="AD55" i="29"/>
  <c r="CU58" i="29"/>
  <c r="V55" i="29"/>
  <c r="DH57" i="29"/>
  <c r="DI57" i="29" s="1"/>
  <c r="DJ57" i="29" s="1"/>
  <c r="AC19" i="35"/>
  <c r="S15" i="36"/>
  <c r="E39" i="37"/>
  <c r="E40" i="37"/>
  <c r="AG65" i="38"/>
  <c r="P29" i="34"/>
  <c r="EY24" i="29"/>
  <c r="EY31" i="29" s="1"/>
  <c r="EY70" i="29"/>
  <c r="DK24" i="29"/>
  <c r="R75" i="29"/>
  <c r="AN60" i="29"/>
  <c r="DY63" i="29"/>
  <c r="AP98" i="29"/>
  <c r="V70" i="34"/>
  <c r="F33" i="35"/>
  <c r="U26" i="36"/>
  <c r="T123" i="37"/>
  <c r="P136" i="36"/>
  <c r="AF135" i="36"/>
  <c r="K129" i="36"/>
  <c r="S46" i="37"/>
  <c r="T24" i="36"/>
  <c r="AA60" i="36"/>
  <c r="Z63" i="36"/>
  <c r="AF59" i="36"/>
  <c r="F17" i="34" s="1"/>
  <c r="J41" i="36"/>
  <c r="J42" i="36"/>
  <c r="M20" i="36"/>
  <c r="AF13" i="36"/>
  <c r="M16" i="36"/>
  <c r="AD13" i="36"/>
  <c r="E19" i="36"/>
  <c r="E16" i="36"/>
  <c r="E20" i="36" s="1"/>
  <c r="N41" i="37"/>
  <c r="F41" i="37"/>
  <c r="AE28" i="37"/>
  <c r="L40" i="37"/>
  <c r="L39" i="37"/>
  <c r="D40" i="37"/>
  <c r="AC28" i="37"/>
  <c r="D39" i="37"/>
  <c r="AH26" i="37"/>
  <c r="AA23" i="34" s="1"/>
  <c r="AF26" i="37"/>
  <c r="Y23" i="34" s="1"/>
  <c r="AD26" i="37"/>
  <c r="W23" i="34" s="1"/>
  <c r="AD91" i="37"/>
  <c r="AD103" i="37"/>
  <c r="AD99" i="37"/>
  <c r="AD97" i="37"/>
  <c r="AE111" i="36"/>
  <c r="AE122" i="36" s="1"/>
  <c r="E44" i="34" s="1"/>
  <c r="AD96" i="37"/>
  <c r="AD98" i="37"/>
  <c r="M10" i="35"/>
  <c r="M34" i="37"/>
  <c r="H40" i="37"/>
  <c r="P18" i="38"/>
  <c r="P31" i="35" s="1"/>
  <c r="AF33" i="38"/>
  <c r="P16" i="38"/>
  <c r="Q36" i="38"/>
  <c r="Q13" i="38"/>
  <c r="I36" i="38"/>
  <c r="I13" i="38"/>
  <c r="AF62" i="38"/>
  <c r="S17" i="38"/>
  <c r="S29" i="35" s="1"/>
  <c r="AF25" i="38"/>
  <c r="K32" i="35"/>
  <c r="Q27" i="35"/>
  <c r="AC15" i="38"/>
  <c r="R118" i="29"/>
  <c r="DQ76" i="29"/>
  <c r="DI76" i="29"/>
  <c r="CS76" i="29"/>
  <c r="CS80" i="29" s="1"/>
  <c r="CS25" i="29" s="1"/>
  <c r="CK76" i="29"/>
  <c r="CK80" i="29" s="1"/>
  <c r="CK25" i="29" s="1"/>
  <c r="EX70" i="29"/>
  <c r="EP24" i="29"/>
  <c r="EP70" i="29"/>
  <c r="EH68" i="29"/>
  <c r="DZ24" i="29"/>
  <c r="DZ31" i="29" s="1"/>
  <c r="DR24" i="29"/>
  <c r="DR70" i="29"/>
  <c r="DJ68" i="29"/>
  <c r="DB24" i="29"/>
  <c r="DB70" i="29"/>
  <c r="AA65" i="29"/>
  <c r="FB75" i="29"/>
  <c r="CH75" i="29"/>
  <c r="CH79" i="29" s="1"/>
  <c r="CH18" i="29" s="1"/>
  <c r="BR75" i="29"/>
  <c r="BR79" i="29" s="1"/>
  <c r="BR18" i="29" s="1"/>
  <c r="BJ75" i="29"/>
  <c r="BJ79" i="29" s="1"/>
  <c r="BJ18" i="29" s="1"/>
  <c r="AK74" i="29"/>
  <c r="CZ74" i="29"/>
  <c r="BT74" i="29"/>
  <c r="BL74" i="29"/>
  <c r="BL78" i="29" s="1"/>
  <c r="AV55" i="29"/>
  <c r="EW58" i="29"/>
  <c r="AN55" i="29"/>
  <c r="DY58" i="29"/>
  <c r="AF55" i="29"/>
  <c r="DA58" i="29"/>
  <c r="X55" i="29"/>
  <c r="P55" i="29"/>
  <c r="AI96" i="29"/>
  <c r="DH61" i="29"/>
  <c r="DI61" i="29" s="1"/>
  <c r="DJ61" i="29" s="1"/>
  <c r="X41" i="34"/>
  <c r="AE21" i="35"/>
  <c r="U123" i="37"/>
  <c r="V26" i="36"/>
  <c r="X35" i="38"/>
  <c r="N116" i="29"/>
  <c r="R98" i="29"/>
  <c r="DB31" i="29"/>
  <c r="C132" i="41"/>
  <c r="L123" i="41"/>
  <c r="L119" i="41"/>
  <c r="L115" i="41"/>
  <c r="L111" i="41"/>
  <c r="L107" i="41"/>
  <c r="L103" i="41"/>
  <c r="L99" i="41"/>
  <c r="L95" i="41"/>
  <c r="L91" i="41"/>
  <c r="L87" i="41"/>
  <c r="C21" i="40" s="1"/>
  <c r="L83" i="41"/>
  <c r="L79" i="41"/>
  <c r="L75" i="41"/>
  <c r="L71" i="41"/>
  <c r="L67" i="41"/>
  <c r="L63" i="41"/>
  <c r="L59" i="41"/>
  <c r="L55" i="41"/>
  <c r="L51" i="41"/>
  <c r="L47" i="41"/>
  <c r="L43" i="41"/>
  <c r="L39" i="41"/>
  <c r="L35" i="41"/>
  <c r="L31" i="41"/>
  <c r="L27" i="41"/>
  <c r="L23" i="41"/>
  <c r="L19" i="41"/>
  <c r="L15" i="41"/>
  <c r="L11" i="41"/>
  <c r="L7" i="41"/>
  <c r="R67" i="34"/>
  <c r="O20" i="34"/>
  <c r="AG155" i="36"/>
  <c r="AG153" i="36" s="1"/>
  <c r="G50" i="34" s="1"/>
  <c r="T144" i="36"/>
  <c r="Q136" i="36"/>
  <c r="E130" i="36"/>
  <c r="E121" i="36" s="1"/>
  <c r="U106" i="36"/>
  <c r="V114" i="36"/>
  <c r="AB82" i="36"/>
  <c r="AB74" i="36" s="1"/>
  <c r="AA74" i="36"/>
  <c r="AF82" i="36"/>
  <c r="F31" i="34" s="1"/>
  <c r="AF76" i="36"/>
  <c r="AF77" i="36" s="1"/>
  <c r="V63" i="36"/>
  <c r="W60" i="36"/>
  <c r="U63" i="36"/>
  <c r="Y59" i="36"/>
  <c r="U59" i="36"/>
  <c r="S53" i="36"/>
  <c r="S133" i="36"/>
  <c r="S136" i="36" s="1"/>
  <c r="O53" i="36"/>
  <c r="K53" i="36"/>
  <c r="K133" i="36"/>
  <c r="K136" i="36" s="1"/>
  <c r="AF37" i="36"/>
  <c r="P43" i="36"/>
  <c r="P15" i="36"/>
  <c r="H15" i="36"/>
  <c r="AD37" i="36"/>
  <c r="I21" i="36"/>
  <c r="AF24" i="36"/>
  <c r="M41" i="37"/>
  <c r="E41" i="37"/>
  <c r="AC30" i="37"/>
  <c r="K40" i="37"/>
  <c r="K39" i="37"/>
  <c r="S90" i="37"/>
  <c r="S88" i="37"/>
  <c r="T111" i="36"/>
  <c r="T107" i="36" s="1"/>
  <c r="S103" i="37"/>
  <c r="AD79" i="37"/>
  <c r="N38" i="37"/>
  <c r="AE34" i="38"/>
  <c r="AE17" i="38" s="1"/>
  <c r="L17" i="38"/>
  <c r="L29" i="35" s="1"/>
  <c r="O98" i="38"/>
  <c r="X33" i="38"/>
  <c r="Z33" i="38"/>
  <c r="T33" i="38"/>
  <c r="AG33" i="38" s="1"/>
  <c r="M27" i="35"/>
  <c r="P13" i="38"/>
  <c r="P36" i="38"/>
  <c r="H13" i="38"/>
  <c r="H19" i="38" s="1"/>
  <c r="H36" i="38"/>
  <c r="P27" i="34"/>
  <c r="AG63" i="38"/>
  <c r="U43" i="38"/>
  <c r="U51" i="38"/>
  <c r="T54" i="38"/>
  <c r="T43" i="38"/>
  <c r="O30" i="35"/>
  <c r="AC29" i="35"/>
  <c r="AD17" i="38"/>
  <c r="Z61" i="28"/>
  <c r="Z45" i="28"/>
  <c r="R61" i="28"/>
  <c r="R45" i="28"/>
  <c r="J61" i="28"/>
  <c r="J45" i="28"/>
  <c r="DX76" i="29"/>
  <c r="DP76" i="29"/>
  <c r="DH76" i="29"/>
  <c r="CZ76" i="29"/>
  <c r="CZ80" i="29" s="1"/>
  <c r="CZ25" i="29" s="1"/>
  <c r="CR80" i="29"/>
  <c r="EW68" i="29"/>
  <c r="AV65" i="29"/>
  <c r="EO24" i="29"/>
  <c r="EO31" i="29" s="1"/>
  <c r="EO70" i="29"/>
  <c r="EG24" i="29"/>
  <c r="EG31" i="29" s="1"/>
  <c r="DY68" i="29"/>
  <c r="AN65" i="29"/>
  <c r="DQ24" i="29"/>
  <c r="DQ31" i="29" s="1"/>
  <c r="DQ70" i="29"/>
  <c r="DI24" i="29"/>
  <c r="DA68" i="29"/>
  <c r="AF65" i="29"/>
  <c r="X65" i="29"/>
  <c r="P65" i="29"/>
  <c r="AI116" i="29"/>
  <c r="AA116" i="29"/>
  <c r="AW108" i="29"/>
  <c r="Q108" i="29"/>
  <c r="FA75" i="29"/>
  <c r="ES75" i="29"/>
  <c r="CG75" i="29"/>
  <c r="CG79" i="29" s="1"/>
  <c r="CG18" i="29" s="1"/>
  <c r="BY75" i="29"/>
  <c r="BY79" i="29" s="1"/>
  <c r="BY18" i="29" s="1"/>
  <c r="BI75" i="29"/>
  <c r="BI79" i="29" s="1"/>
  <c r="BI18" i="29" s="1"/>
  <c r="BA75" i="29"/>
  <c r="BA79" i="29" s="1"/>
  <c r="BA18" i="29" s="1"/>
  <c r="EE63" i="29"/>
  <c r="AP60" i="29"/>
  <c r="DG63" i="29"/>
  <c r="AH60" i="29"/>
  <c r="Z60" i="29"/>
  <c r="R60" i="29"/>
  <c r="AN106" i="29"/>
  <c r="AM98" i="29"/>
  <c r="CY74" i="29"/>
  <c r="BS11" i="29"/>
  <c r="EN58" i="29"/>
  <c r="AS55" i="29"/>
  <c r="DP58" i="29"/>
  <c r="AK55" i="29"/>
  <c r="AC55" i="29"/>
  <c r="U55" i="29"/>
  <c r="AF96" i="29"/>
  <c r="DH62" i="29"/>
  <c r="DI62" i="29" s="1"/>
  <c r="DJ62" i="29" s="1"/>
  <c r="I136" i="36"/>
  <c r="AE133" i="36"/>
  <c r="E136" i="36"/>
  <c r="AD133" i="36"/>
  <c r="AD136" i="36" s="1"/>
  <c r="M30" i="36"/>
  <c r="L43" i="35"/>
  <c r="M28" i="36"/>
  <c r="M31" i="36"/>
  <c r="G82" i="38"/>
  <c r="G98" i="38"/>
  <c r="G116" i="38"/>
  <c r="G74" i="38"/>
  <c r="G91" i="38"/>
  <c r="G107" i="38"/>
  <c r="G14" i="35"/>
  <c r="G15" i="35" s="1"/>
  <c r="G23" i="35" s="1"/>
  <c r="P15" i="38"/>
  <c r="AF32" i="38"/>
  <c r="X31" i="38"/>
  <c r="AD15" i="38"/>
  <c r="DC24" i="29"/>
  <c r="DC31" i="29" s="1"/>
  <c r="DC70" i="29"/>
  <c r="AB98" i="29"/>
  <c r="EP31" i="29"/>
  <c r="EH58" i="29"/>
  <c r="AQ55" i="29"/>
  <c r="DR31" i="29"/>
  <c r="AI55" i="29"/>
  <c r="E132" i="41"/>
  <c r="G132" i="41"/>
  <c r="P48" i="34"/>
  <c r="P20" i="34"/>
  <c r="AC49" i="35"/>
  <c r="L21" i="35"/>
  <c r="U154" i="36"/>
  <c r="AG159" i="36"/>
  <c r="W144" i="36"/>
  <c r="AH144" i="36" s="1"/>
  <c r="S129" i="36"/>
  <c r="J128" i="36"/>
  <c r="I130" i="36"/>
  <c r="I121" i="36" s="1"/>
  <c r="I129" i="36"/>
  <c r="AE127" i="36"/>
  <c r="R109" i="36"/>
  <c r="R135" i="36"/>
  <c r="N109" i="36"/>
  <c r="J109" i="36"/>
  <c r="J135" i="36"/>
  <c r="T97" i="36"/>
  <c r="AG97" i="36" s="1"/>
  <c r="P38" i="36"/>
  <c r="H38" i="36"/>
  <c r="H41" i="36" s="1"/>
  <c r="S27" i="36"/>
  <c r="K27" i="36"/>
  <c r="AH29" i="37"/>
  <c r="AA26" i="34" s="1"/>
  <c r="AF29" i="37"/>
  <c r="Y26" i="34" s="1"/>
  <c r="AD29" i="37"/>
  <c r="W26" i="34" s="1"/>
  <c r="R40" i="37"/>
  <c r="R39" i="37"/>
  <c r="J40" i="37"/>
  <c r="J39" i="37"/>
  <c r="L38" i="37"/>
  <c r="AE27" i="37"/>
  <c r="AC27" i="37"/>
  <c r="D38" i="37"/>
  <c r="AC31" i="37"/>
  <c r="AC117" i="37"/>
  <c r="AD59" i="37"/>
  <c r="AD52" i="37"/>
  <c r="AD58" i="37"/>
  <c r="AD60" i="37"/>
  <c r="AE55" i="36"/>
  <c r="AE68" i="36" s="1"/>
  <c r="E20" i="34" s="1"/>
  <c r="AD57" i="37"/>
  <c r="L41" i="37"/>
  <c r="F38" i="37"/>
  <c r="T34" i="38"/>
  <c r="AG34" i="38" s="1"/>
  <c r="L14" i="38"/>
  <c r="AE31" i="38"/>
  <c r="AE14" i="38" s="1"/>
  <c r="AC61" i="38"/>
  <c r="M25" i="34" s="1"/>
  <c r="K30" i="35"/>
  <c r="J27" i="35"/>
  <c r="AD14" i="38"/>
  <c r="D27" i="35"/>
  <c r="U86" i="28"/>
  <c r="DW76" i="29"/>
  <c r="DO76" i="29"/>
  <c r="DG76" i="29"/>
  <c r="CY76" i="29"/>
  <c r="CY80" i="29" s="1"/>
  <c r="CY25" i="29" s="1"/>
  <c r="CQ76" i="29"/>
  <c r="CQ80" i="29" s="1"/>
  <c r="CQ25" i="29" s="1"/>
  <c r="CI76" i="29"/>
  <c r="EV24" i="29"/>
  <c r="EV31" i="29" s="1"/>
  <c r="EV70" i="29"/>
  <c r="AS65" i="29"/>
  <c r="EN68" i="29"/>
  <c r="EF24" i="29"/>
  <c r="EF31" i="29" s="1"/>
  <c r="EF70" i="29"/>
  <c r="DX24" i="29"/>
  <c r="AK65" i="29"/>
  <c r="DP68" i="29"/>
  <c r="DH24" i="29"/>
  <c r="CZ24" i="29"/>
  <c r="CZ31" i="29" s="1"/>
  <c r="CZ70" i="29"/>
  <c r="AV108" i="29"/>
  <c r="EZ75" i="29"/>
  <c r="ER75" i="29"/>
  <c r="CF75" i="29"/>
  <c r="BX75" i="29"/>
  <c r="BX79" i="29" s="1"/>
  <c r="BX18" i="29" s="1"/>
  <c r="BH75" i="29"/>
  <c r="AZ75" i="29"/>
  <c r="AZ79" i="29" s="1"/>
  <c r="AZ18" i="29" s="1"/>
  <c r="ET63" i="29"/>
  <c r="AU60" i="29"/>
  <c r="DV63" i="29"/>
  <c r="CX63" i="29"/>
  <c r="AE60" i="29"/>
  <c r="AG98" i="29"/>
  <c r="DF74" i="29"/>
  <c r="CX74" i="29"/>
  <c r="AE74" i="29" s="1"/>
  <c r="BR74" i="29"/>
  <c r="BR78" i="29" s="1"/>
  <c r="EE58" i="29"/>
  <c r="AP55" i="29"/>
  <c r="K55" i="29"/>
  <c r="DG58" i="29"/>
  <c r="AH55" i="29"/>
  <c r="Z55" i="29"/>
  <c r="R55" i="29"/>
  <c r="K32" i="36"/>
  <c r="AE26" i="36"/>
  <c r="K15" i="36"/>
  <c r="O116" i="38"/>
  <c r="O18" i="37"/>
  <c r="O74" i="38"/>
  <c r="O91" i="38"/>
  <c r="O107" i="38"/>
  <c r="O14" i="35"/>
  <c r="O15" i="35" s="1"/>
  <c r="O32" i="35" s="1"/>
  <c r="R74" i="34"/>
  <c r="AE128" i="36"/>
  <c r="AF85" i="37"/>
  <c r="AF104" i="37" s="1"/>
  <c r="S104" i="37"/>
  <c r="AG88" i="36"/>
  <c r="U83" i="36"/>
  <c r="U74" i="36"/>
  <c r="V82" i="36"/>
  <c r="L136" i="36"/>
  <c r="U62" i="36"/>
  <c r="AH62" i="36" s="1"/>
  <c r="AG67" i="36"/>
  <c r="AF60" i="36"/>
  <c r="F18" i="34" s="1"/>
  <c r="AF61" i="36"/>
  <c r="F19" i="34" s="1"/>
  <c r="R41" i="36"/>
  <c r="Q43" i="35"/>
  <c r="R42" i="36"/>
  <c r="R20" i="36"/>
  <c r="K116" i="38"/>
  <c r="K18" i="37"/>
  <c r="K74" i="38"/>
  <c r="K82" i="38"/>
  <c r="K98" i="38"/>
  <c r="K107" i="38"/>
  <c r="K91" i="38"/>
  <c r="Q39" i="37"/>
  <c r="Q40" i="37"/>
  <c r="I39" i="37"/>
  <c r="I40" i="37"/>
  <c r="T55" i="36"/>
  <c r="T51" i="36" s="1"/>
  <c r="T52" i="36" s="1"/>
  <c r="S49" i="37"/>
  <c r="J10" i="35"/>
  <c r="AG26" i="37"/>
  <c r="Z23" i="34" s="1"/>
  <c r="L15" i="38"/>
  <c r="AE32" i="38"/>
  <c r="AE15" i="38" s="1"/>
  <c r="Y81" i="38"/>
  <c r="Z77" i="38"/>
  <c r="N36" i="38"/>
  <c r="N13" i="38"/>
  <c r="N19" i="38" s="1"/>
  <c r="F36" i="38"/>
  <c r="F13" i="38"/>
  <c r="F19" i="38" s="1"/>
  <c r="AF24" i="38"/>
  <c r="S16" i="38"/>
  <c r="ED76" i="29"/>
  <c r="DV76" i="29"/>
  <c r="CX80" i="29"/>
  <c r="EU24" i="29"/>
  <c r="EU31" i="29" s="1"/>
  <c r="EU70" i="29"/>
  <c r="EM24" i="29"/>
  <c r="EM31" i="29" s="1"/>
  <c r="EM70" i="29"/>
  <c r="DW24" i="29"/>
  <c r="DW31" i="29" s="1"/>
  <c r="DW70" i="29"/>
  <c r="DO24" i="29"/>
  <c r="DO31" i="29" s="1"/>
  <c r="DO70" i="29"/>
  <c r="CY24" i="29"/>
  <c r="CY31" i="29" s="1"/>
  <c r="CY70" i="29"/>
  <c r="AN108" i="29"/>
  <c r="L155" i="29"/>
  <c r="AR60" i="29"/>
  <c r="EK63" i="29"/>
  <c r="AJ60" i="29"/>
  <c r="DM63" i="29"/>
  <c r="AB60" i="29"/>
  <c r="T60" i="29"/>
  <c r="DE74" i="29"/>
  <c r="CW74" i="29"/>
  <c r="AU96" i="29"/>
  <c r="AM96" i="29"/>
  <c r="U49" i="35"/>
  <c r="W123" i="37"/>
  <c r="X26" i="36"/>
  <c r="N147" i="36"/>
  <c r="J147" i="36"/>
  <c r="AG127" i="36"/>
  <c r="R128" i="36"/>
  <c r="Q129" i="36"/>
  <c r="Q130" i="36" s="1"/>
  <c r="Q121" i="36" s="1"/>
  <c r="Z98" i="36"/>
  <c r="Z97" i="36"/>
  <c r="AA98" i="36"/>
  <c r="AI94" i="36"/>
  <c r="I26" i="34" s="1"/>
  <c r="AB95" i="36"/>
  <c r="AA97" i="36"/>
  <c r="AF36" i="36"/>
  <c r="N14" i="36"/>
  <c r="AD36" i="36"/>
  <c r="F14" i="36"/>
  <c r="E30" i="36"/>
  <c r="E31" i="36"/>
  <c r="AG25" i="36"/>
  <c r="Q14" i="36"/>
  <c r="I14" i="36"/>
  <c r="AE25" i="36"/>
  <c r="Q16" i="36"/>
  <c r="Q17" i="36" s="1"/>
  <c r="Q19" i="36"/>
  <c r="I16" i="36"/>
  <c r="I17" i="36" s="1"/>
  <c r="I19" i="36"/>
  <c r="Q33" i="37"/>
  <c r="Q6" i="37"/>
  <c r="I34" i="37"/>
  <c r="I10" i="35"/>
  <c r="I11" i="35" s="1"/>
  <c r="AE26" i="37"/>
  <c r="X23" i="34" s="1"/>
  <c r="AE35" i="38"/>
  <c r="AE18" i="38" s="1"/>
  <c r="L18" i="38"/>
  <c r="L31" i="35" s="1"/>
  <c r="Q107" i="38"/>
  <c r="V34" i="38"/>
  <c r="X34" i="38"/>
  <c r="Z34" i="38"/>
  <c r="L16" i="38"/>
  <c r="T32" i="38"/>
  <c r="AG32" i="38" s="1"/>
  <c r="R27" i="35"/>
  <c r="U31" i="38"/>
  <c r="M36" i="38"/>
  <c r="M13" i="38"/>
  <c r="M19" i="38" s="1"/>
  <c r="E36" i="38"/>
  <c r="E13" i="38"/>
  <c r="T61" i="38"/>
  <c r="U61" i="38" s="1"/>
  <c r="V61" i="38" s="1"/>
  <c r="W61" i="38" s="1"/>
  <c r="AH61" i="38"/>
  <c r="Q25" i="34"/>
  <c r="AE46" i="38"/>
  <c r="H33" i="35"/>
  <c r="V53" i="34"/>
  <c r="V61" i="28"/>
  <c r="V45" i="28"/>
  <c r="N61" i="28"/>
  <c r="N45" i="28"/>
  <c r="E61" i="28"/>
  <c r="E45" i="28"/>
  <c r="EC76" i="29"/>
  <c r="DU76" i="29"/>
  <c r="DE76" i="29"/>
  <c r="DE80" i="29" s="1"/>
  <c r="DE25" i="29" s="1"/>
  <c r="CW76" i="29"/>
  <c r="CW80" i="29" s="1"/>
  <c r="CW25" i="29" s="1"/>
  <c r="FB24" i="29"/>
  <c r="FB31" i="29" s="1"/>
  <c r="FB70" i="29"/>
  <c r="AU65" i="29"/>
  <c r="ET68" i="29"/>
  <c r="EL24" i="29"/>
  <c r="EL31" i="29" s="1"/>
  <c r="EL70" i="29"/>
  <c r="ED24" i="29"/>
  <c r="ED31" i="29" s="1"/>
  <c r="ED70" i="29"/>
  <c r="AM65" i="29"/>
  <c r="DV68" i="29"/>
  <c r="DN24" i="29"/>
  <c r="DN31" i="29" s="1"/>
  <c r="DN70" i="29"/>
  <c r="DF24" i="29"/>
  <c r="DF31" i="29" s="1"/>
  <c r="DF70" i="29"/>
  <c r="AE65" i="29"/>
  <c r="CX68" i="29"/>
  <c r="W65" i="29"/>
  <c r="O65" i="29"/>
  <c r="J156" i="29"/>
  <c r="AH116" i="29"/>
  <c r="EX75" i="29"/>
  <c r="AV75" i="29" s="1"/>
  <c r="CD75" i="29"/>
  <c r="CD79" i="29" s="1"/>
  <c r="CD18" i="29" s="1"/>
  <c r="BV75" i="29"/>
  <c r="BV79" i="29" s="1"/>
  <c r="BV18" i="29" s="1"/>
  <c r="BN75" i="29"/>
  <c r="BF75" i="29"/>
  <c r="BF79" i="29" s="1"/>
  <c r="BF18" i="29" s="1"/>
  <c r="AW60" i="29"/>
  <c r="EZ63" i="29"/>
  <c r="AO60" i="29"/>
  <c r="EB63" i="29"/>
  <c r="AG60" i="29"/>
  <c r="DD63" i="29"/>
  <c r="Y60" i="29"/>
  <c r="Q60" i="29"/>
  <c r="AM106" i="29"/>
  <c r="AE106" i="29"/>
  <c r="AL98" i="29"/>
  <c r="CV74" i="29"/>
  <c r="BP74" i="29"/>
  <c r="BP78" i="29" s="1"/>
  <c r="DH56" i="29"/>
  <c r="DI56" i="29" s="1"/>
  <c r="DJ56" i="29" s="1"/>
  <c r="L13" i="36"/>
  <c r="AE35" i="36"/>
  <c r="L38" i="36"/>
  <c r="N16" i="36"/>
  <c r="N19" i="36"/>
  <c r="I91" i="38"/>
  <c r="I107" i="38"/>
  <c r="I14" i="35"/>
  <c r="I15" i="35" s="1"/>
  <c r="I98" i="38"/>
  <c r="I116" i="38"/>
  <c r="I74" i="38"/>
  <c r="I82" i="38"/>
  <c r="V114" i="38"/>
  <c r="W114" i="38" s="1"/>
  <c r="W115" i="38" s="1"/>
  <c r="U115" i="38"/>
  <c r="T35" i="38"/>
  <c r="V33" i="38"/>
  <c r="R74" i="38"/>
  <c r="EI24" i="29"/>
  <c r="EI31" i="29" s="1"/>
  <c r="EI70" i="29"/>
  <c r="K129" i="41"/>
  <c r="M129" i="41" s="1"/>
  <c r="L125" i="41"/>
  <c r="L121" i="41"/>
  <c r="L117" i="41"/>
  <c r="L113" i="41"/>
  <c r="L109" i="41"/>
  <c r="L105" i="41"/>
  <c r="L101" i="41"/>
  <c r="L97" i="41"/>
  <c r="L93" i="41"/>
  <c r="L89" i="41"/>
  <c r="L85" i="41"/>
  <c r="L81" i="41"/>
  <c r="L77" i="41"/>
  <c r="L73" i="41"/>
  <c r="L69" i="41"/>
  <c r="L65" i="41"/>
  <c r="L61" i="41"/>
  <c r="L57" i="41"/>
  <c r="L53" i="41"/>
  <c r="L49" i="41"/>
  <c r="L45" i="41"/>
  <c r="L41" i="41"/>
  <c r="L37" i="41"/>
  <c r="L33" i="41"/>
  <c r="L29" i="41"/>
  <c r="L25" i="41"/>
  <c r="L21" i="41"/>
  <c r="C22" i="40" s="1"/>
  <c r="L17" i="41"/>
  <c r="L13" i="41"/>
  <c r="L9" i="41"/>
  <c r="L5" i="41"/>
  <c r="AG20" i="35"/>
  <c r="Z42" i="34" s="1"/>
  <c r="AK20" i="35"/>
  <c r="X42" i="34"/>
  <c r="Z155" i="36"/>
  <c r="AA152" i="36"/>
  <c r="AA128" i="36"/>
  <c r="AA129" i="36" s="1"/>
  <c r="AA130" i="36" s="1"/>
  <c r="AA121" i="36" s="1"/>
  <c r="M130" i="36"/>
  <c r="M121" i="36" s="1"/>
  <c r="Z128" i="36"/>
  <c r="AI127" i="36"/>
  <c r="X127" i="36"/>
  <c r="AH126" i="36"/>
  <c r="H37" i="34" s="1"/>
  <c r="W129" i="36"/>
  <c r="W130" i="36" s="1"/>
  <c r="W121" i="36" s="1"/>
  <c r="N129" i="36"/>
  <c r="N127" i="36"/>
  <c r="AD126" i="36"/>
  <c r="D37" i="34" s="1"/>
  <c r="F130" i="36"/>
  <c r="F121" i="36" s="1"/>
  <c r="F129" i="36"/>
  <c r="F127" i="36"/>
  <c r="AI96" i="36"/>
  <c r="R134" i="36"/>
  <c r="R136" i="36" s="1"/>
  <c r="R77" i="36"/>
  <c r="N77" i="36"/>
  <c r="J134" i="36"/>
  <c r="J77" i="36"/>
  <c r="AG61" i="36"/>
  <c r="G19" i="34" s="1"/>
  <c r="AD41" i="36"/>
  <c r="AD38" i="36"/>
  <c r="M21" i="36"/>
  <c r="AF15" i="36"/>
  <c r="AD15" i="36"/>
  <c r="E21" i="36"/>
  <c r="P16" i="36"/>
  <c r="J19" i="36"/>
  <c r="Q41" i="37"/>
  <c r="I41" i="37"/>
  <c r="O40" i="37"/>
  <c r="O39" i="37"/>
  <c r="G40" i="37"/>
  <c r="G39" i="37"/>
  <c r="R111" i="37"/>
  <c r="H31" i="37"/>
  <c r="H33" i="37" s="1"/>
  <c r="P17" i="38"/>
  <c r="P29" i="35" s="1"/>
  <c r="AF34" i="38"/>
  <c r="AE30" i="38"/>
  <c r="L36" i="38"/>
  <c r="L13" i="38"/>
  <c r="L19" i="38" s="1"/>
  <c r="D36" i="38"/>
  <c r="D13" i="38"/>
  <c r="D19" i="38" s="1"/>
  <c r="AC30" i="38"/>
  <c r="G27" i="35"/>
  <c r="AC16" i="38"/>
  <c r="FA24" i="29"/>
  <c r="FA31" i="29" s="1"/>
  <c r="FA70" i="29"/>
  <c r="ES24" i="29"/>
  <c r="AR65" i="29"/>
  <c r="EK68" i="29"/>
  <c r="EC24" i="29"/>
  <c r="EC31" i="29" s="1"/>
  <c r="EC70" i="29"/>
  <c r="DU24" i="29"/>
  <c r="DU31" i="29" s="1"/>
  <c r="DU70" i="29"/>
  <c r="AJ65" i="29"/>
  <c r="DM68" i="29"/>
  <c r="DE24" i="29"/>
  <c r="DE31" i="29" s="1"/>
  <c r="DE70" i="29"/>
  <c r="CW24" i="29"/>
  <c r="CW31" i="29" s="1"/>
  <c r="CW70" i="29"/>
  <c r="O116" i="29"/>
  <c r="X108" i="29"/>
  <c r="CC79" i="29"/>
  <c r="BE79" i="29"/>
  <c r="AJ106" i="29"/>
  <c r="AA98" i="29"/>
  <c r="BO11" i="29"/>
  <c r="AW96" i="29"/>
  <c r="AO96" i="29"/>
  <c r="AG96" i="29"/>
  <c r="H154" i="29"/>
  <c r="Y96" i="29"/>
  <c r="Q96" i="29"/>
  <c r="AJ96" i="29"/>
  <c r="AQ112" i="29"/>
  <c r="AQ116" i="29" s="1"/>
  <c r="AR111" i="29"/>
  <c r="AJ111" i="29"/>
  <c r="AU102" i="29"/>
  <c r="AU106" i="29" s="1"/>
  <c r="O102" i="29"/>
  <c r="O106" i="29" s="1"/>
  <c r="X101" i="29"/>
  <c r="AV95" i="29"/>
  <c r="AW98" i="29" s="1"/>
  <c r="P95" i="29"/>
  <c r="Q98" i="29" s="1"/>
  <c r="AQ92" i="29"/>
  <c r="AQ96" i="29" s="1"/>
  <c r="S92" i="29"/>
  <c r="S96" i="29" s="1"/>
  <c r="AR91" i="29"/>
  <c r="AR96" i="29" s="1"/>
  <c r="O57" i="34"/>
  <c r="O60" i="34" s="1"/>
  <c r="Y49" i="35"/>
  <c r="AJ42" i="35"/>
  <c r="AE160" i="36"/>
  <c r="E51" i="34" s="1"/>
  <c r="AH155" i="36"/>
  <c r="AH59" i="36"/>
  <c r="H17" i="34" s="1"/>
  <c r="W59" i="36"/>
  <c r="S122" i="37"/>
  <c r="S24" i="37" s="1"/>
  <c r="R118" i="37"/>
  <c r="J118" i="37"/>
  <c r="P117" i="37"/>
  <c r="H117" i="37"/>
  <c r="N116" i="37"/>
  <c r="F116" i="37"/>
  <c r="L115" i="37"/>
  <c r="D115" i="37"/>
  <c r="AC59" i="37"/>
  <c r="X58" i="37"/>
  <c r="P36" i="37"/>
  <c r="H36" i="37"/>
  <c r="AD36" i="37" s="1"/>
  <c r="AD28" i="37"/>
  <c r="N14" i="37"/>
  <c r="N17" i="37" s="1"/>
  <c r="F14" i="37"/>
  <c r="F17" i="37" s="1"/>
  <c r="T81" i="38"/>
  <c r="T53" i="38"/>
  <c r="U50" i="38"/>
  <c r="R47" i="38"/>
  <c r="AC44" i="38"/>
  <c r="AC46" i="38" s="1"/>
  <c r="AC34" i="38"/>
  <c r="W25" i="38"/>
  <c r="W17" i="38" s="1"/>
  <c r="W29" i="35" s="1"/>
  <c r="I18" i="38"/>
  <c r="I31" i="35" s="1"/>
  <c r="I32" i="35" s="1"/>
  <c r="E16" i="38"/>
  <c r="E27" i="35" s="1"/>
  <c r="K15" i="38"/>
  <c r="K27" i="35" s="1"/>
  <c r="I14" i="38"/>
  <c r="I27" i="35" s="1"/>
  <c r="O13" i="38"/>
  <c r="G13" i="38"/>
  <c r="G19" i="38" s="1"/>
  <c r="O95" i="28"/>
  <c r="P94" i="28"/>
  <c r="P78" i="28"/>
  <c r="P86" i="28" s="1"/>
  <c r="U65" i="28"/>
  <c r="U85" i="28" s="1"/>
  <c r="M65" i="28"/>
  <c r="M85" i="28" s="1"/>
  <c r="D65" i="28"/>
  <c r="D85" i="28" s="1"/>
  <c r="W63" i="28"/>
  <c r="W83" i="28" s="1"/>
  <c r="O63" i="28"/>
  <c r="O83" i="28" s="1"/>
  <c r="F63" i="28"/>
  <c r="F83" i="28" s="1"/>
  <c r="X53" i="28"/>
  <c r="X69" i="28" s="1"/>
  <c r="P53" i="28"/>
  <c r="P69" i="28" s="1"/>
  <c r="G53" i="28"/>
  <c r="FA116" i="29"/>
  <c r="ES116" i="29"/>
  <c r="EK116" i="29"/>
  <c r="EC116" i="29"/>
  <c r="DU116" i="29"/>
  <c r="DM116" i="29"/>
  <c r="DE116" i="29"/>
  <c r="CW116" i="29"/>
  <c r="CO116" i="29"/>
  <c r="AS115" i="29"/>
  <c r="AU118" i="29" s="1"/>
  <c r="AK115" i="29"/>
  <c r="AC115" i="29"/>
  <c r="AE118" i="29" s="1"/>
  <c r="U115" i="29"/>
  <c r="L115" i="29"/>
  <c r="D115" i="29"/>
  <c r="D118" i="29" s="1"/>
  <c r="AT114" i="29"/>
  <c r="AL114" i="29"/>
  <c r="AO118" i="29" s="1"/>
  <c r="V114" i="29"/>
  <c r="Y118" i="29" s="1"/>
  <c r="E114" i="29"/>
  <c r="AU113" i="29"/>
  <c r="AM113" i="29"/>
  <c r="AE113" i="29"/>
  <c r="W113" i="29"/>
  <c r="O113" i="29"/>
  <c r="F113" i="29"/>
  <c r="F76" i="29" s="1"/>
  <c r="CE76" i="29" s="1"/>
  <c r="CE80" i="29" s="1"/>
  <c r="CE25" i="29" s="1"/>
  <c r="AV112" i="29"/>
  <c r="AV116" i="29" s="1"/>
  <c r="AN112" i="29"/>
  <c r="AN116" i="29" s="1"/>
  <c r="AF112" i="29"/>
  <c r="AF116" i="29" s="1"/>
  <c r="X112" i="29"/>
  <c r="X116" i="29" s="1"/>
  <c r="P112" i="29"/>
  <c r="P116" i="29" s="1"/>
  <c r="G112" i="29"/>
  <c r="G156" i="29" s="1"/>
  <c r="EW106" i="29"/>
  <c r="EO106" i="29"/>
  <c r="EG106" i="29"/>
  <c r="DY106" i="29"/>
  <c r="DQ106" i="29"/>
  <c r="DI106" i="29"/>
  <c r="DA106" i="29"/>
  <c r="CS106" i="29"/>
  <c r="CK106" i="29"/>
  <c r="AW105" i="29"/>
  <c r="AO105" i="29"/>
  <c r="AR108" i="29" s="1"/>
  <c r="AG105" i="29"/>
  <c r="Y105" i="29"/>
  <c r="Q105" i="29"/>
  <c r="T108" i="29" s="1"/>
  <c r="H105" i="29"/>
  <c r="AH104" i="29"/>
  <c r="AK108" i="29" s="1"/>
  <c r="Z104" i="29"/>
  <c r="AC108" i="29" s="1"/>
  <c r="AQ103" i="29"/>
  <c r="AI103" i="29"/>
  <c r="AA103" i="29"/>
  <c r="S103" i="29"/>
  <c r="J103" i="29"/>
  <c r="J75" i="29" s="1"/>
  <c r="EB75" i="29" s="1"/>
  <c r="AR102" i="29"/>
  <c r="AR106" i="29" s="1"/>
  <c r="AJ102" i="29"/>
  <c r="AB102" i="29"/>
  <c r="AB106" i="29" s="1"/>
  <c r="T102" i="29"/>
  <c r="T106" i="29" s="1"/>
  <c r="K102" i="29"/>
  <c r="D101" i="29"/>
  <c r="D106" i="29" s="1"/>
  <c r="FA96" i="29"/>
  <c r="ES96" i="29"/>
  <c r="EK96" i="29"/>
  <c r="EC96" i="29"/>
  <c r="DU96" i="29"/>
  <c r="DM96" i="29"/>
  <c r="DE96" i="29"/>
  <c r="CW96" i="29"/>
  <c r="CO96" i="29"/>
  <c r="AS95" i="29"/>
  <c r="AV98" i="29" s="1"/>
  <c r="AK95" i="29"/>
  <c r="AC95" i="29"/>
  <c r="AE98" i="29" s="1"/>
  <c r="U95" i="29"/>
  <c r="L95" i="29"/>
  <c r="D95" i="29"/>
  <c r="D98" i="29" s="1"/>
  <c r="AL94" i="29"/>
  <c r="AO98" i="29" s="1"/>
  <c r="V94" i="29"/>
  <c r="Y98" i="29" s="1"/>
  <c r="E94" i="29"/>
  <c r="AU93" i="29"/>
  <c r="AM93" i="29"/>
  <c r="AE93" i="29"/>
  <c r="AE96" i="29" s="1"/>
  <c r="W93" i="29"/>
  <c r="W96" i="29" s="1"/>
  <c r="O93" i="29"/>
  <c r="O96" i="29" s="1"/>
  <c r="F93" i="29"/>
  <c r="F74" i="29" s="1"/>
  <c r="BY74" i="29" s="1"/>
  <c r="BY78" i="29" s="1"/>
  <c r="AV92" i="29"/>
  <c r="AV96" i="29" s="1"/>
  <c r="AN92" i="29"/>
  <c r="AN96" i="29" s="1"/>
  <c r="AF92" i="29"/>
  <c r="X92" i="29"/>
  <c r="X96" i="29" s="1"/>
  <c r="P92" i="29"/>
  <c r="P96" i="29" s="1"/>
  <c r="G92" i="29"/>
  <c r="I85" i="29"/>
  <c r="DM76" i="29"/>
  <c r="AJ76" i="29" s="1"/>
  <c r="CO76" i="29"/>
  <c r="ET75" i="29"/>
  <c r="AU75" i="29" s="1"/>
  <c r="BZ75" i="29"/>
  <c r="BB75" i="29"/>
  <c r="BK74" i="29"/>
  <c r="EZ65" i="29"/>
  <c r="ER65" i="29"/>
  <c r="ER68" i="29" s="1"/>
  <c r="EJ65" i="29"/>
  <c r="EJ68" i="29" s="1"/>
  <c r="EB65" i="29"/>
  <c r="DT65" i="29"/>
  <c r="DT68" i="29" s="1"/>
  <c r="DL65" i="29"/>
  <c r="DL68" i="29" s="1"/>
  <c r="DD65" i="29"/>
  <c r="CV65" i="29"/>
  <c r="CV68" i="29" s="1"/>
  <c r="CN65" i="29"/>
  <c r="CF65" i="29"/>
  <c r="Y65" i="29" s="1"/>
  <c r="BP65" i="29"/>
  <c r="S65" i="29" s="1"/>
  <c r="BH65" i="29"/>
  <c r="Q65" i="29" s="1"/>
  <c r="AZ65" i="29"/>
  <c r="ES60" i="29"/>
  <c r="ES63" i="29" s="1"/>
  <c r="ES17" i="29" s="1"/>
  <c r="ES31" i="29" s="1"/>
  <c r="ET55" i="29"/>
  <c r="DV55" i="29"/>
  <c r="CX55" i="29"/>
  <c r="BZ55" i="29"/>
  <c r="W55" i="29" s="1"/>
  <c r="BB55" i="29"/>
  <c r="O55" i="29" s="1"/>
  <c r="T111" i="29"/>
  <c r="AR105" i="29"/>
  <c r="AU108" i="29" s="1"/>
  <c r="AJ105" i="29"/>
  <c r="T105" i="29"/>
  <c r="U108" i="29" s="1"/>
  <c r="AV101" i="29"/>
  <c r="AA92" i="29"/>
  <c r="AA96" i="29" s="1"/>
  <c r="T91" i="29"/>
  <c r="T96" i="29" s="1"/>
  <c r="L135" i="36"/>
  <c r="M133" i="36"/>
  <c r="S130" i="36"/>
  <c r="S121" i="36" s="1"/>
  <c r="K130" i="36"/>
  <c r="K121" i="36" s="1"/>
  <c r="L77" i="36"/>
  <c r="AG59" i="36"/>
  <c r="G17" i="34" s="1"/>
  <c r="N38" i="36"/>
  <c r="R39" i="36" s="1"/>
  <c r="F38" i="36"/>
  <c r="F43" i="36" s="1"/>
  <c r="Q27" i="36"/>
  <c r="I27" i="36"/>
  <c r="AF26" i="36"/>
  <c r="R130" i="37"/>
  <c r="AC129" i="37"/>
  <c r="AD122" i="37" s="1"/>
  <c r="P110" i="37"/>
  <c r="P111" i="37" s="1"/>
  <c r="H110" i="37"/>
  <c r="H111" i="37" s="1"/>
  <c r="AE109" i="37"/>
  <c r="AC104" i="37"/>
  <c r="AC98" i="37"/>
  <c r="AC96" i="37"/>
  <c r="X66" i="37"/>
  <c r="AA59" i="37"/>
  <c r="AC57" i="37"/>
  <c r="O36" i="37"/>
  <c r="G36" i="37"/>
  <c r="R31" i="37"/>
  <c r="M14" i="37"/>
  <c r="M17" i="37" s="1"/>
  <c r="M74" i="38" s="1"/>
  <c r="E14" i="37"/>
  <c r="E17" i="37" s="1"/>
  <c r="I18" i="37" s="1"/>
  <c r="AF26" i="38"/>
  <c r="N95" i="28"/>
  <c r="O94" i="28"/>
  <c r="O78" i="28"/>
  <c r="O86" i="28" s="1"/>
  <c r="U64" i="28"/>
  <c r="U84" i="28" s="1"/>
  <c r="M64" i="28"/>
  <c r="M84" i="28" s="1"/>
  <c r="D64" i="28"/>
  <c r="D84" i="28" s="1"/>
  <c r="W53" i="28"/>
  <c r="W69" i="28" s="1"/>
  <c r="O53" i="28"/>
  <c r="O69" i="28" s="1"/>
  <c r="F53" i="28"/>
  <c r="W44" i="28"/>
  <c r="O44" i="28"/>
  <c r="F44" i="28"/>
  <c r="EZ116" i="29"/>
  <c r="ER116" i="29"/>
  <c r="EB116" i="29"/>
  <c r="DL116" i="29"/>
  <c r="DD116" i="29"/>
  <c r="CV116" i="29"/>
  <c r="CN116" i="29"/>
  <c r="CF116" i="29"/>
  <c r="BX116" i="29"/>
  <c r="BP116" i="29"/>
  <c r="BH116" i="29"/>
  <c r="AZ116" i="29"/>
  <c r="K115" i="29"/>
  <c r="AT113" i="29"/>
  <c r="AT116" i="29" s="1"/>
  <c r="AL113" i="29"/>
  <c r="AL116" i="29" s="1"/>
  <c r="AD113" i="29"/>
  <c r="AD116" i="29" s="1"/>
  <c r="V113" i="29"/>
  <c r="V116" i="29" s="1"/>
  <c r="N113" i="29"/>
  <c r="E113" i="29"/>
  <c r="E76" i="29" s="1"/>
  <c r="BT76" i="29" s="1"/>
  <c r="AU112" i="29"/>
  <c r="AU116" i="29" s="1"/>
  <c r="AM112" i="29"/>
  <c r="AM116" i="29" s="1"/>
  <c r="AE112" i="29"/>
  <c r="AE116" i="29" s="1"/>
  <c r="W112" i="29"/>
  <c r="W116" i="29" s="1"/>
  <c r="O112" i="29"/>
  <c r="F112" i="29"/>
  <c r="G111" i="29"/>
  <c r="EV106" i="29"/>
  <c r="EN106" i="29"/>
  <c r="EF106" i="29"/>
  <c r="DX106" i="29"/>
  <c r="DP106" i="29"/>
  <c r="DH106" i="29"/>
  <c r="CZ106" i="29"/>
  <c r="CR106" i="29"/>
  <c r="CJ106" i="29"/>
  <c r="CB106" i="29"/>
  <c r="BT106" i="29"/>
  <c r="BL106" i="29"/>
  <c r="BD106" i="29"/>
  <c r="G105" i="29"/>
  <c r="G108" i="29" s="1"/>
  <c r="H104" i="29"/>
  <c r="AP103" i="29"/>
  <c r="AH103" i="29"/>
  <c r="Z103" i="29"/>
  <c r="R103" i="29"/>
  <c r="I103" i="29"/>
  <c r="I75" i="29" s="1"/>
  <c r="DL75" i="29" s="1"/>
  <c r="AQ102" i="29"/>
  <c r="AQ106" i="29" s="1"/>
  <c r="AI102" i="29"/>
  <c r="AA102" i="29"/>
  <c r="AA106" i="29" s="1"/>
  <c r="S102" i="29"/>
  <c r="S106" i="29" s="1"/>
  <c r="J102" i="29"/>
  <c r="J155" i="29" s="1"/>
  <c r="EZ96" i="29"/>
  <c r="ER96" i="29"/>
  <c r="EJ96" i="29"/>
  <c r="EB96" i="29"/>
  <c r="DT96" i="29"/>
  <c r="DL96" i="29"/>
  <c r="DD96" i="29"/>
  <c r="CV96" i="29"/>
  <c r="CN96" i="29"/>
  <c r="CF96" i="29"/>
  <c r="BX96" i="29"/>
  <c r="BP96" i="29"/>
  <c r="BH96" i="29"/>
  <c r="AZ96" i="29"/>
  <c r="K95" i="29"/>
  <c r="AT93" i="29"/>
  <c r="AL93" i="29"/>
  <c r="AD93" i="29"/>
  <c r="V93" i="29"/>
  <c r="N93" i="29"/>
  <c r="F92" i="29"/>
  <c r="G91" i="29"/>
  <c r="H85" i="29"/>
  <c r="EB76" i="29"/>
  <c r="AO76" i="29" s="1"/>
  <c r="DD76" i="29"/>
  <c r="DM75" i="29"/>
  <c r="BQ75" i="29"/>
  <c r="EQ65" i="29"/>
  <c r="DS65" i="29"/>
  <c r="CU65" i="29"/>
  <c r="BW65" i="29"/>
  <c r="AY65" i="29"/>
  <c r="EK55" i="29"/>
  <c r="DM55" i="29"/>
  <c r="CO55" i="29"/>
  <c r="AB55" i="29" s="1"/>
  <c r="BQ55" i="29"/>
  <c r="T55" i="29" s="1"/>
  <c r="AB111" i="29"/>
  <c r="AE102" i="29"/>
  <c r="AF101" i="29"/>
  <c r="G95" i="29"/>
  <c r="G98" i="29" s="1"/>
  <c r="AI92" i="29"/>
  <c r="AB91" i="29"/>
  <c r="AB96" i="29" s="1"/>
  <c r="O69" i="34"/>
  <c r="O74" i="34" s="1"/>
  <c r="O45" i="34"/>
  <c r="O48" i="34" s="1"/>
  <c r="P129" i="36"/>
  <c r="AF129" i="36" s="1"/>
  <c r="H129" i="36"/>
  <c r="AD129" i="36" s="1"/>
  <c r="AI126" i="36"/>
  <c r="I37" i="34" s="1"/>
  <c r="AD111" i="36"/>
  <c r="AD122" i="36" s="1"/>
  <c r="D44" i="34" s="1"/>
  <c r="Z106" i="36"/>
  <c r="Y97" i="36"/>
  <c r="Y98" i="36" s="1"/>
  <c r="Z74" i="36"/>
  <c r="J43" i="36"/>
  <c r="P42" i="36"/>
  <c r="H42" i="36"/>
  <c r="N41" i="36"/>
  <c r="F41" i="36"/>
  <c r="M32" i="36"/>
  <c r="E32" i="36"/>
  <c r="K31" i="36"/>
  <c r="Q30" i="36"/>
  <c r="I30" i="36"/>
  <c r="T25" i="36"/>
  <c r="P118" i="37"/>
  <c r="H118" i="37"/>
  <c r="N117" i="37"/>
  <c r="F117" i="37"/>
  <c r="AD109" i="37"/>
  <c r="X85" i="37"/>
  <c r="S69" i="37"/>
  <c r="Z59" i="37"/>
  <c r="L14" i="37"/>
  <c r="D14" i="37"/>
  <c r="AD54" i="38"/>
  <c r="Z44" i="38"/>
  <c r="R30" i="38"/>
  <c r="J30" i="38"/>
  <c r="AD30" i="38" s="1"/>
  <c r="S23" i="38"/>
  <c r="S27" i="38" s="1"/>
  <c r="S66" i="38" s="1"/>
  <c r="AF66" i="38" s="1"/>
  <c r="N78" i="28"/>
  <c r="N86" i="28" s="1"/>
  <c r="U63" i="28"/>
  <c r="U83" i="28" s="1"/>
  <c r="M63" i="28"/>
  <c r="M83" i="28" s="1"/>
  <c r="D63" i="28"/>
  <c r="D83" i="28" s="1"/>
  <c r="W60" i="28"/>
  <c r="W82" i="28" s="1"/>
  <c r="O60" i="28"/>
  <c r="O82" i="28" s="1"/>
  <c r="F60" i="28"/>
  <c r="F82" i="28" s="1"/>
  <c r="V53" i="28"/>
  <c r="V69" i="28" s="1"/>
  <c r="N53" i="28"/>
  <c r="N69" i="28" s="1"/>
  <c r="E53" i="28"/>
  <c r="EY116" i="29"/>
  <c r="EQ116" i="29"/>
  <c r="EI116" i="29"/>
  <c r="EA116" i="29"/>
  <c r="DS116" i="29"/>
  <c r="DK116" i="29"/>
  <c r="DC116" i="29"/>
  <c r="CU116" i="29"/>
  <c r="CM116" i="29"/>
  <c r="S115" i="29"/>
  <c r="S116" i="29" s="1"/>
  <c r="J115" i="29"/>
  <c r="K114" i="29"/>
  <c r="AS113" i="29"/>
  <c r="AK113" i="29"/>
  <c r="AK116" i="29" s="1"/>
  <c r="AC113" i="29"/>
  <c r="AC116" i="29" s="1"/>
  <c r="U113" i="29"/>
  <c r="U116" i="29" s="1"/>
  <c r="L113" i="29"/>
  <c r="L76" i="29" s="1"/>
  <c r="FB76" i="29" s="1"/>
  <c r="D113" i="29"/>
  <c r="D76" i="29" s="1"/>
  <c r="BC76" i="29" s="1"/>
  <c r="BC80" i="29" s="1"/>
  <c r="BC25" i="29" s="1"/>
  <c r="E112" i="29"/>
  <c r="DY108" i="29"/>
  <c r="DY21" i="29" s="1"/>
  <c r="BE108" i="29"/>
  <c r="BE21" i="29" s="1"/>
  <c r="EU106" i="29"/>
  <c r="EM106" i="29"/>
  <c r="EE106" i="29"/>
  <c r="DW106" i="29"/>
  <c r="DO106" i="29"/>
  <c r="DG106" i="29"/>
  <c r="CY106" i="29"/>
  <c r="CQ106" i="29"/>
  <c r="CI106" i="29"/>
  <c r="AW103" i="29"/>
  <c r="AW106" i="29" s="1"/>
  <c r="AO103" i="29"/>
  <c r="AG103" i="29"/>
  <c r="AG106" i="29" s="1"/>
  <c r="Y103" i="29"/>
  <c r="Y106" i="29" s="1"/>
  <c r="Q103" i="29"/>
  <c r="H103" i="29"/>
  <c r="H75" i="29" s="1"/>
  <c r="CY75" i="29" s="1"/>
  <c r="CY79" i="29" s="1"/>
  <c r="CY18" i="29" s="1"/>
  <c r="AP102" i="29"/>
  <c r="AP106" i="29" s="1"/>
  <c r="AH102" i="29"/>
  <c r="Z102" i="29"/>
  <c r="R102" i="29"/>
  <c r="R106" i="29" s="1"/>
  <c r="I102" i="29"/>
  <c r="I155" i="29" s="1"/>
  <c r="DM98" i="29"/>
  <c r="DM28" i="29" s="1"/>
  <c r="EY96" i="29"/>
  <c r="EQ96" i="29"/>
  <c r="EI96" i="29"/>
  <c r="EA96" i="29"/>
  <c r="DS96" i="29"/>
  <c r="DK96" i="29"/>
  <c r="DC96" i="29"/>
  <c r="CU96" i="29"/>
  <c r="CM96" i="29"/>
  <c r="AQ95" i="29"/>
  <c r="AT98" i="29" s="1"/>
  <c r="AI95" i="29"/>
  <c r="AA95" i="29"/>
  <c r="AD98" i="29" s="1"/>
  <c r="S95" i="29"/>
  <c r="J95" i="29"/>
  <c r="K94" i="29"/>
  <c r="AS93" i="29"/>
  <c r="AS96" i="29" s="1"/>
  <c r="AK93" i="29"/>
  <c r="AK96" i="29" s="1"/>
  <c r="AC93" i="29"/>
  <c r="AC96" i="29" s="1"/>
  <c r="U93" i="29"/>
  <c r="U96" i="29" s="1"/>
  <c r="L93" i="29"/>
  <c r="L74" i="29" s="1"/>
  <c r="EQ74" i="29" s="1"/>
  <c r="D93" i="29"/>
  <c r="D74" i="29" s="1"/>
  <c r="BF74" i="29" s="1"/>
  <c r="BF78" i="29" s="1"/>
  <c r="AT92" i="29"/>
  <c r="AT96" i="29" s="1"/>
  <c r="AL92" i="29"/>
  <c r="AD92" i="29"/>
  <c r="AD96" i="29" s="1"/>
  <c r="V92" i="29"/>
  <c r="V96" i="29" s="1"/>
  <c r="N92" i="29"/>
  <c r="N96" i="29" s="1"/>
  <c r="E92" i="29"/>
  <c r="G85" i="29"/>
  <c r="DS76" i="29"/>
  <c r="DK76" i="29"/>
  <c r="AI76" i="29" s="1"/>
  <c r="CU76" i="29"/>
  <c r="CM76" i="29"/>
  <c r="CM80" i="29" s="1"/>
  <c r="CM25" i="29" s="1"/>
  <c r="DM74" i="29"/>
  <c r="AJ74" i="29" s="1"/>
  <c r="BQ74" i="29"/>
  <c r="EQ60" i="29"/>
  <c r="DS60" i="29"/>
  <c r="CU60" i="29"/>
  <c r="BW60" i="29"/>
  <c r="AY60" i="29"/>
  <c r="EZ55" i="29"/>
  <c r="ER55" i="29"/>
  <c r="ER58" i="29" s="1"/>
  <c r="ER10" i="29" s="1"/>
  <c r="EB55" i="29"/>
  <c r="DD55" i="29"/>
  <c r="CV55" i="29"/>
  <c r="CV58" i="29" s="1"/>
  <c r="CV10" i="29" s="1"/>
  <c r="CF55" i="29"/>
  <c r="Y55" i="29" s="1"/>
  <c r="BH55" i="29"/>
  <c r="Q55" i="29" s="1"/>
  <c r="AZ55" i="29"/>
  <c r="N55" i="29" s="1"/>
  <c r="A6" i="30"/>
  <c r="AV115" i="29"/>
  <c r="AF115" i="29"/>
  <c r="AG118" i="29" s="1"/>
  <c r="P115" i="29"/>
  <c r="Q118" i="29" s="1"/>
  <c r="T79" i="36"/>
  <c r="T75" i="36" s="1"/>
  <c r="AD55" i="36"/>
  <c r="AD68" i="36" s="1"/>
  <c r="D20" i="34" s="1"/>
  <c r="R16" i="36"/>
  <c r="R17" i="36" s="1"/>
  <c r="J16" i="36"/>
  <c r="J21" i="36" s="1"/>
  <c r="H130" i="37"/>
  <c r="N110" i="37"/>
  <c r="N111" i="37" s="1"/>
  <c r="F110" i="37"/>
  <c r="J111" i="37" s="1"/>
  <c r="N92" i="37"/>
  <c r="M73" i="37"/>
  <c r="Y59" i="37"/>
  <c r="N53" i="37"/>
  <c r="M36" i="37"/>
  <c r="AE36" i="37" s="1"/>
  <c r="E36" i="37"/>
  <c r="AC36" i="37" s="1"/>
  <c r="AE30" i="37"/>
  <c r="AC73" i="38"/>
  <c r="O64" i="38"/>
  <c r="AE64" i="38" s="1"/>
  <c r="O28" i="34" s="1"/>
  <c r="S35" i="38"/>
  <c r="AF35" i="38" s="1"/>
  <c r="Y34" i="38"/>
  <c r="Q34" i="38"/>
  <c r="Q17" i="38" s="1"/>
  <c r="Q29" i="35" s="1"/>
  <c r="W33" i="38"/>
  <c r="O33" i="38"/>
  <c r="O16" i="38" s="1"/>
  <c r="O27" i="35" s="1"/>
  <c r="AC17" i="38"/>
  <c r="U53" i="28"/>
  <c r="U69" i="28" s="1"/>
  <c r="M53" i="28"/>
  <c r="M69" i="28" s="1"/>
  <c r="D53" i="28"/>
  <c r="U44" i="28"/>
  <c r="M44" i="28"/>
  <c r="D44" i="28"/>
  <c r="EH116" i="29"/>
  <c r="DJ116" i="29"/>
  <c r="CL116" i="29"/>
  <c r="AP115" i="29"/>
  <c r="AQ118" i="29" s="1"/>
  <c r="AH115" i="29"/>
  <c r="Z115" i="29"/>
  <c r="R115" i="29"/>
  <c r="R116" i="29" s="1"/>
  <c r="I115" i="29"/>
  <c r="K113" i="29"/>
  <c r="K76" i="29" s="1"/>
  <c r="EF76" i="29" s="1"/>
  <c r="E111" i="29"/>
  <c r="E116" i="29" s="1"/>
  <c r="ET106" i="29"/>
  <c r="DV106" i="29"/>
  <c r="CX106" i="29"/>
  <c r="AT105" i="29"/>
  <c r="AT106" i="29" s="1"/>
  <c r="AL105" i="29"/>
  <c r="AD105" i="29"/>
  <c r="AE108" i="29" s="1"/>
  <c r="V105" i="29"/>
  <c r="V106" i="29" s="1"/>
  <c r="N105" i="29"/>
  <c r="E105" i="29"/>
  <c r="E108" i="29" s="1"/>
  <c r="W104" i="29"/>
  <c r="Z108" i="29" s="1"/>
  <c r="AV103" i="29"/>
  <c r="AN103" i="29"/>
  <c r="AF103" i="29"/>
  <c r="X103" i="29"/>
  <c r="P103" i="29"/>
  <c r="G103" i="29"/>
  <c r="G75" i="29" s="1"/>
  <c r="CJ75" i="29" s="1"/>
  <c r="CJ79" i="29" s="1"/>
  <c r="CJ18" i="29" s="1"/>
  <c r="H102" i="29"/>
  <c r="H155" i="29" s="1"/>
  <c r="EH96" i="29"/>
  <c r="DJ96" i="29"/>
  <c r="CL96" i="29"/>
  <c r="AP95" i="29"/>
  <c r="AQ98" i="29" s="1"/>
  <c r="AH95" i="29"/>
  <c r="Z95" i="29"/>
  <c r="R95" i="29"/>
  <c r="T98" i="29" s="1"/>
  <c r="I95" i="29"/>
  <c r="K93" i="29"/>
  <c r="K74" i="29" s="1"/>
  <c r="EL74" i="29" s="1"/>
  <c r="E91" i="29"/>
  <c r="EQ75" i="29"/>
  <c r="AT75" i="29" s="1"/>
  <c r="BW75" i="29"/>
  <c r="AY75" i="29"/>
  <c r="DD74" i="29"/>
  <c r="AG74" i="29" s="1"/>
  <c r="CF74" i="29"/>
  <c r="BH74" i="29"/>
  <c r="Q127" i="1"/>
  <c r="P130" i="36"/>
  <c r="H130" i="36"/>
  <c r="AB128" i="36"/>
  <c r="T128" i="36"/>
  <c r="L128" i="36"/>
  <c r="AG24" i="36"/>
  <c r="N118" i="37"/>
  <c r="F118" i="37"/>
  <c r="L117" i="37"/>
  <c r="D117" i="37"/>
  <c r="AC97" i="37"/>
  <c r="AC58" i="37"/>
  <c r="P39" i="37"/>
  <c r="H39" i="37"/>
  <c r="R14" i="37"/>
  <c r="R17" i="37" s="1"/>
  <c r="J14" i="37"/>
  <c r="J17" i="37" s="1"/>
  <c r="V77" i="38"/>
  <c r="E74" i="38"/>
  <c r="V49" i="38"/>
  <c r="V41" i="38" s="1"/>
  <c r="V22" i="38" s="1"/>
  <c r="AC32" i="38"/>
  <c r="K95" i="28"/>
  <c r="Z64" i="28"/>
  <c r="Z84" i="28" s="1"/>
  <c r="R64" i="28"/>
  <c r="R84" i="28" s="1"/>
  <c r="J64" i="28"/>
  <c r="J84" i="28" s="1"/>
  <c r="U60" i="28"/>
  <c r="U82" i="28" s="1"/>
  <c r="M60" i="28"/>
  <c r="M82" i="28" s="1"/>
  <c r="D60" i="28"/>
  <c r="D82" i="28" s="1"/>
  <c r="AB53" i="28"/>
  <c r="AB69" i="28" s="1"/>
  <c r="T53" i="28"/>
  <c r="T69" i="28" s="1"/>
  <c r="L53" i="28"/>
  <c r="L69" i="28" s="1"/>
  <c r="C53" i="28"/>
  <c r="EQ118" i="29"/>
  <c r="DS118" i="29"/>
  <c r="CU118" i="29"/>
  <c r="BW118" i="29"/>
  <c r="AY118" i="29"/>
  <c r="EW116" i="29"/>
  <c r="EO116" i="29"/>
  <c r="EG116" i="29"/>
  <c r="DY116" i="29"/>
  <c r="DQ116" i="29"/>
  <c r="DI116" i="29"/>
  <c r="DA116" i="29"/>
  <c r="CS116" i="29"/>
  <c r="CK116" i="29"/>
  <c r="H115" i="29"/>
  <c r="AH114" i="29"/>
  <c r="AK118" i="29" s="1"/>
  <c r="Z114" i="29"/>
  <c r="AC118" i="29" s="1"/>
  <c r="AR112" i="29"/>
  <c r="AJ112" i="29"/>
  <c r="AB112" i="29"/>
  <c r="T112" i="29"/>
  <c r="K112" i="29"/>
  <c r="EE108" i="29"/>
  <c r="EE21" i="29" s="1"/>
  <c r="DG108" i="29"/>
  <c r="DG21" i="29" s="1"/>
  <c r="CI108" i="29"/>
  <c r="CI21" i="29" s="1"/>
  <c r="BK108" i="29"/>
  <c r="BK21" i="29" s="1"/>
  <c r="FA106" i="29"/>
  <c r="ES106" i="29"/>
  <c r="EK106" i="29"/>
  <c r="EC106" i="29"/>
  <c r="DU106" i="29"/>
  <c r="DM106" i="29"/>
  <c r="DE106" i="29"/>
  <c r="CW106" i="29"/>
  <c r="CO106" i="29"/>
  <c r="L105" i="29"/>
  <c r="AL104" i="29"/>
  <c r="AL108" i="29" s="1"/>
  <c r="AV102" i="29"/>
  <c r="AN102" i="29"/>
  <c r="AF102" i="29"/>
  <c r="X102" i="29"/>
  <c r="P102" i="29"/>
  <c r="P106" i="29" s="1"/>
  <c r="G102" i="29"/>
  <c r="EQ98" i="29"/>
  <c r="EQ28" i="29" s="1"/>
  <c r="DS98" i="29"/>
  <c r="DS28" i="29" s="1"/>
  <c r="CU98" i="29"/>
  <c r="CU28" i="29" s="1"/>
  <c r="BW98" i="29"/>
  <c r="BW28" i="29" s="1"/>
  <c r="AY98" i="29"/>
  <c r="AY28" i="29" s="1"/>
  <c r="EW96" i="29"/>
  <c r="EO96" i="29"/>
  <c r="EG96" i="29"/>
  <c r="DY96" i="29"/>
  <c r="DQ96" i="29"/>
  <c r="DI96" i="29"/>
  <c r="DA96" i="29"/>
  <c r="CS96" i="29"/>
  <c r="CK96" i="29"/>
  <c r="H95" i="29"/>
  <c r="AH94" i="29"/>
  <c r="AK98" i="29" s="1"/>
  <c r="Z94" i="29"/>
  <c r="Z98" i="29" s="1"/>
  <c r="AQ93" i="29"/>
  <c r="AI93" i="29"/>
  <c r="AA93" i="29"/>
  <c r="S93" i="29"/>
  <c r="J93" i="29"/>
  <c r="J74" i="29" s="1"/>
  <c r="DZ74" i="29" s="1"/>
  <c r="K92" i="29"/>
  <c r="DY76" i="29"/>
  <c r="AN76" i="29" s="1"/>
  <c r="DA76" i="29"/>
  <c r="CC76" i="29"/>
  <c r="BE76" i="29"/>
  <c r="CU74" i="29"/>
  <c r="AD74" i="29" s="1"/>
  <c r="Q28" i="29"/>
  <c r="CJ76" i="29"/>
  <c r="CJ80" i="29" s="1"/>
  <c r="CJ25" i="29" s="1"/>
  <c r="EE65" i="29"/>
  <c r="DG65" i="29"/>
  <c r="CI65" i="29"/>
  <c r="BK65" i="29"/>
  <c r="EN60" i="29"/>
  <c r="DX60" i="29"/>
  <c r="DX63" i="29" s="1"/>
  <c r="DX17" i="29" s="1"/>
  <c r="DX31" i="29" s="1"/>
  <c r="DP60" i="29"/>
  <c r="CR60" i="29"/>
  <c r="AC60" i="29" s="1"/>
  <c r="CB60" i="29"/>
  <c r="W60" i="29" s="1"/>
  <c r="BT60" i="29"/>
  <c r="U60" i="29" s="1"/>
  <c r="N31" i="37"/>
  <c r="R16" i="34"/>
  <c r="R20" i="34" s="1"/>
  <c r="AE24" i="36"/>
  <c r="S14" i="36"/>
  <c r="S16" i="36" s="1"/>
  <c r="K14" i="36"/>
  <c r="R117" i="37"/>
  <c r="J117" i="37"/>
  <c r="K110" i="37"/>
  <c r="Z58" i="37"/>
  <c r="P40" i="37"/>
  <c r="J66" i="38"/>
  <c r="AD66" i="38" s="1"/>
  <c r="U41" i="38"/>
  <c r="I17" i="38"/>
  <c r="I29" i="35" s="1"/>
  <c r="I30" i="35" s="1"/>
  <c r="R94" i="28"/>
  <c r="J94" i="28"/>
  <c r="R78" i="28"/>
  <c r="R86" i="28" s="1"/>
  <c r="J78" i="28"/>
  <c r="J86" i="28" s="1"/>
  <c r="Y63" i="28"/>
  <c r="Y83" i="28" s="1"/>
  <c r="Q63" i="28"/>
  <c r="Q83" i="28" s="1"/>
  <c r="I63" i="28"/>
  <c r="I83" i="28" s="1"/>
  <c r="DY118" i="29"/>
  <c r="CC118" i="29"/>
  <c r="F115" i="29"/>
  <c r="F118" i="29" s="1"/>
  <c r="AH112" i="29"/>
  <c r="CO108" i="29"/>
  <c r="CO21" i="29" s="1"/>
  <c r="DS106" i="29"/>
  <c r="AS103" i="29"/>
  <c r="AS106" i="29" s="1"/>
  <c r="AK103" i="29"/>
  <c r="AK106" i="29" s="1"/>
  <c r="AC103" i="29"/>
  <c r="AC106" i="29" s="1"/>
  <c r="U103" i="29"/>
  <c r="U106" i="29" s="1"/>
  <c r="N102" i="29"/>
  <c r="N106" i="29" s="1"/>
  <c r="E102" i="29"/>
  <c r="E106" i="29" s="1"/>
  <c r="F101" i="29"/>
  <c r="F106" i="29" s="1"/>
  <c r="DY98" i="29"/>
  <c r="DY28" i="29" s="1"/>
  <c r="CC98" i="29"/>
  <c r="CC28" i="29" s="1"/>
  <c r="F95" i="29"/>
  <c r="F98" i="29" s="1"/>
  <c r="AP92" i="29"/>
  <c r="AP96" i="29" s="1"/>
  <c r="AH92" i="29"/>
  <c r="Z92" i="29"/>
  <c r="Z96" i="29" s="1"/>
  <c r="R92" i="29"/>
  <c r="R96" i="29" s="1"/>
  <c r="I92" i="29"/>
  <c r="I154" i="29" s="1"/>
  <c r="K85" i="29"/>
  <c r="EW74" i="29"/>
  <c r="DA74" i="29"/>
  <c r="AF74" i="29" s="1"/>
  <c r="BE74" i="29"/>
  <c r="U130" i="36"/>
  <c r="U121" i="36" s="1"/>
  <c r="AC103" i="37"/>
  <c r="AC118" i="37" s="1"/>
  <c r="Q91" i="38"/>
  <c r="O82" i="38"/>
  <c r="AH105" i="29"/>
  <c r="K103" i="29"/>
  <c r="K75" i="29" s="1"/>
  <c r="EI75" i="29" s="1"/>
  <c r="G93" i="29"/>
  <c r="G74" i="29" s="1"/>
  <c r="CR74" i="29" s="1"/>
  <c r="D30" i="29"/>
  <c r="Z24" i="29"/>
  <c r="R24" i="29"/>
  <c r="F17" i="29"/>
  <c r="BC12" i="29"/>
  <c r="BC33" i="29" s="1"/>
  <c r="O33" i="29" s="1"/>
  <c r="G10" i="29"/>
  <c r="CI15" i="7"/>
  <c r="CI37" i="7"/>
  <c r="CI40" i="7" s="1"/>
  <c r="CI42" i="7" s="1"/>
  <c r="G108" i="1"/>
  <c r="Z108" i="1"/>
  <c r="BM74" i="1"/>
  <c r="N17" i="29"/>
  <c r="E17" i="29"/>
  <c r="W10" i="29"/>
  <c r="BC99" i="1"/>
  <c r="W108" i="1"/>
  <c r="O108" i="1"/>
  <c r="Z31" i="29"/>
  <c r="R31" i="29"/>
  <c r="BI12" i="29"/>
  <c r="BI33" i="29" s="1"/>
  <c r="BA12" i="29"/>
  <c r="BA33" i="29" s="1"/>
  <c r="N10" i="29"/>
  <c r="AB127" i="1"/>
  <c r="F127" i="1"/>
  <c r="CH114" i="1"/>
  <c r="W109" i="1"/>
  <c r="BZ114" i="1"/>
  <c r="BR114" i="1"/>
  <c r="BJ114" i="1"/>
  <c r="O109" i="1"/>
  <c r="BB114" i="1"/>
  <c r="AB108" i="1"/>
  <c r="T108" i="1"/>
  <c r="K45" i="7"/>
  <c r="K45" i="25"/>
  <c r="C45" i="7"/>
  <c r="C45" i="25"/>
  <c r="BY91" i="1"/>
  <c r="BY102" i="1"/>
  <c r="BB68" i="1"/>
  <c r="BC63" i="1" s="1"/>
  <c r="BC68" i="1" s="1"/>
  <c r="BD63" i="1" s="1"/>
  <c r="BD68" i="1" s="1"/>
  <c r="BE63" i="1" s="1"/>
  <c r="O63" i="1"/>
  <c r="F24" i="29"/>
  <c r="BH12" i="29"/>
  <c r="AZ12" i="29"/>
  <c r="AZ33" i="29" s="1"/>
  <c r="U119" i="1"/>
  <c r="E119" i="1"/>
  <c r="F108" i="1"/>
  <c r="D108" i="1"/>
  <c r="N24" i="29"/>
  <c r="BG12" i="29"/>
  <c r="BG33" i="29" s="1"/>
  <c r="AY12" i="29"/>
  <c r="AZ99" i="1"/>
  <c r="E108" i="1"/>
  <c r="V107" i="1"/>
  <c r="D107" i="1"/>
  <c r="F31" i="29"/>
  <c r="Z17" i="29"/>
  <c r="BF12" i="29"/>
  <c r="BF33" i="29" s="1"/>
  <c r="CJ42" i="7"/>
  <c r="EI28" i="7"/>
  <c r="CJ44" i="7"/>
  <c r="F123" i="1"/>
  <c r="Y123" i="1"/>
  <c r="Y127" i="1" s="1"/>
  <c r="N46" i="25"/>
  <c r="N31" i="29"/>
  <c r="BE12" i="29"/>
  <c r="T127" i="1"/>
  <c r="M45" i="25"/>
  <c r="M45" i="7"/>
  <c r="E45" i="25"/>
  <c r="E45" i="7"/>
  <c r="AJ6" i="7"/>
  <c r="AC119" i="1"/>
  <c r="G119" i="1"/>
  <c r="R45" i="7"/>
  <c r="R45" i="25"/>
  <c r="J45" i="7"/>
  <c r="J45" i="25"/>
  <c r="CU27" i="11"/>
  <c r="Y71" i="1"/>
  <c r="D67" i="1"/>
  <c r="U64" i="1"/>
  <c r="AA111" i="15"/>
  <c r="AA112" i="15" s="1"/>
  <c r="S111" i="15"/>
  <c r="S112" i="15"/>
  <c r="Z85" i="15"/>
  <c r="CI86" i="15"/>
  <c r="BK86" i="15"/>
  <c r="E85" i="15"/>
  <c r="R85" i="15"/>
  <c r="D83" i="15"/>
  <c r="E79" i="15"/>
  <c r="X43" i="15"/>
  <c r="CC13" i="1"/>
  <c r="BS13" i="1"/>
  <c r="V71" i="15"/>
  <c r="D122" i="1"/>
  <c r="F120" i="1"/>
  <c r="AB109" i="1"/>
  <c r="T109" i="1"/>
  <c r="Z107" i="1"/>
  <c r="BA102" i="1"/>
  <c r="BA91" i="1"/>
  <c r="E66" i="1"/>
  <c r="O65" i="1"/>
  <c r="T64" i="1"/>
  <c r="AD17" i="1"/>
  <c r="V17" i="1"/>
  <c r="D17" i="1"/>
  <c r="R110" i="15"/>
  <c r="W110" i="15"/>
  <c r="CK111" i="15"/>
  <c r="CK112" i="15" s="1"/>
  <c r="CC111" i="15"/>
  <c r="CC112" i="15" s="1"/>
  <c r="BU111" i="15"/>
  <c r="BU112" i="15" s="1"/>
  <c r="BM111" i="15"/>
  <c r="BM112" i="15"/>
  <c r="BE111" i="15"/>
  <c r="BE112" i="15" s="1"/>
  <c r="Z104" i="15"/>
  <c r="F104" i="15"/>
  <c r="T104" i="15"/>
  <c r="BJ106" i="15"/>
  <c r="W100" i="15"/>
  <c r="O85" i="15"/>
  <c r="E78" i="15"/>
  <c r="CN80" i="15"/>
  <c r="AA77" i="15"/>
  <c r="AA80" i="15" s="1"/>
  <c r="BM80" i="15"/>
  <c r="S72" i="15"/>
  <c r="G126" i="1"/>
  <c r="Y125" i="1"/>
  <c r="Q125" i="1"/>
  <c r="D121" i="1"/>
  <c r="AY110" i="1"/>
  <c r="AZ106" i="1" s="1"/>
  <c r="AZ110" i="1" s="1"/>
  <c r="BA106" i="1" s="1"/>
  <c r="BA110" i="1" s="1"/>
  <c r="BB106" i="1" s="1"/>
  <c r="BB110" i="1" s="1"/>
  <c r="BC106" i="1" s="1"/>
  <c r="BC110" i="1" s="1"/>
  <c r="BD106" i="1" s="1"/>
  <c r="CC71" i="1"/>
  <c r="BT71" i="1"/>
  <c r="BK71" i="1"/>
  <c r="BB71" i="1"/>
  <c r="X66" i="1"/>
  <c r="P66" i="1"/>
  <c r="N66" i="1"/>
  <c r="N68" i="1" s="1"/>
  <c r="N65" i="1"/>
  <c r="C46" i="25" s="1"/>
  <c r="Z64" i="1"/>
  <c r="R64" i="1"/>
  <c r="DD27" i="11"/>
  <c r="CV27" i="11"/>
  <c r="G31" i="1"/>
  <c r="X21" i="1"/>
  <c r="D110" i="15"/>
  <c r="CJ111" i="15"/>
  <c r="CB111" i="15"/>
  <c r="BT111" i="15"/>
  <c r="BL111" i="15"/>
  <c r="BL112" i="15" s="1"/>
  <c r="BD111" i="15"/>
  <c r="BI106" i="15"/>
  <c r="O99" i="15"/>
  <c r="O100" i="15" s="1"/>
  <c r="S86" i="15"/>
  <c r="CE74" i="15"/>
  <c r="D120" i="1"/>
  <c r="D127" i="1" s="1"/>
  <c r="V65" i="1"/>
  <c r="Q64" i="1"/>
  <c r="E64" i="1"/>
  <c r="CN38" i="11"/>
  <c r="CN28" i="1"/>
  <c r="CF38" i="11"/>
  <c r="Y29" i="1"/>
  <c r="CF28" i="1"/>
  <c r="CF91" i="1" s="1"/>
  <c r="BX38" i="11"/>
  <c r="BX28" i="1"/>
  <c r="BP38" i="11"/>
  <c r="BP28" i="1"/>
  <c r="BH38" i="11"/>
  <c r="Q29" i="1"/>
  <c r="BH28" i="1"/>
  <c r="AZ38" i="11"/>
  <c r="N38" i="11" s="1"/>
  <c r="AZ28" i="1"/>
  <c r="F4" i="8"/>
  <c r="Y111" i="15"/>
  <c r="Z103" i="15"/>
  <c r="CI105" i="15"/>
  <c r="CI106" i="15"/>
  <c r="W103" i="15"/>
  <c r="BZ105" i="15"/>
  <c r="BZ106" i="15"/>
  <c r="BQ106" i="15"/>
  <c r="BQ105" i="15"/>
  <c r="T103" i="15"/>
  <c r="Q103" i="15"/>
  <c r="BH105" i="15"/>
  <c r="BH106" i="15" s="1"/>
  <c r="X83" i="15"/>
  <c r="X86" i="15" s="1"/>
  <c r="CC86" i="15"/>
  <c r="CI35" i="21"/>
  <c r="CI43" i="19"/>
  <c r="Z8" i="15"/>
  <c r="CI77" i="15"/>
  <c r="CI41" i="15"/>
  <c r="CI71" i="15"/>
  <c r="CI53" i="15"/>
  <c r="CA35" i="21"/>
  <c r="CA43" i="19"/>
  <c r="CA77" i="15"/>
  <c r="CA41" i="15"/>
  <c r="CA71" i="15"/>
  <c r="CA53" i="15"/>
  <c r="BS35" i="21"/>
  <c r="BS43" i="19"/>
  <c r="BS77" i="15"/>
  <c r="BS80" i="15" s="1"/>
  <c r="BS41" i="15"/>
  <c r="BS71" i="15"/>
  <c r="BS53" i="15"/>
  <c r="BK35" i="21"/>
  <c r="BK43" i="19"/>
  <c r="R8" i="15"/>
  <c r="BK77" i="15"/>
  <c r="BK41" i="15"/>
  <c r="BK71" i="15"/>
  <c r="BK53" i="15"/>
  <c r="E8" i="15"/>
  <c r="BC35" i="21"/>
  <c r="BC43" i="19"/>
  <c r="O8" i="15"/>
  <c r="BC77" i="15"/>
  <c r="BC41" i="15"/>
  <c r="BC71" i="15"/>
  <c r="BC53" i="15"/>
  <c r="AC125" i="11"/>
  <c r="G125" i="11"/>
  <c r="Z125" i="11"/>
  <c r="W125" i="11"/>
  <c r="F125" i="11"/>
  <c r="U125" i="11"/>
  <c r="R125" i="11"/>
  <c r="O125" i="11"/>
  <c r="E126" i="1"/>
  <c r="G124" i="1"/>
  <c r="Y109" i="1"/>
  <c r="Q109" i="1"/>
  <c r="F107" i="1"/>
  <c r="BR71" i="1"/>
  <c r="Z67" i="1"/>
  <c r="G66" i="1"/>
  <c r="U65" i="1"/>
  <c r="P64" i="1"/>
  <c r="D64" i="1"/>
  <c r="E31" i="1"/>
  <c r="D109" i="15"/>
  <c r="X109" i="15"/>
  <c r="CN100" i="15"/>
  <c r="CN99" i="15"/>
  <c r="CF100" i="15"/>
  <c r="Y97" i="15"/>
  <c r="CF99" i="15"/>
  <c r="BX100" i="15"/>
  <c r="BX99" i="15"/>
  <c r="BP99" i="15"/>
  <c r="BP100" i="15" s="1"/>
  <c r="BH100" i="15"/>
  <c r="Q97" i="15"/>
  <c r="BH99" i="15"/>
  <c r="AZ99" i="15"/>
  <c r="AZ100" i="15" s="1"/>
  <c r="F85" i="15"/>
  <c r="AA86" i="15"/>
  <c r="CK80" i="15"/>
  <c r="Z54" i="15"/>
  <c r="CI66" i="15"/>
  <c r="BM56" i="15"/>
  <c r="BM60" i="15" s="1"/>
  <c r="BO66" i="15"/>
  <c r="Y122" i="1"/>
  <c r="N107" i="1"/>
  <c r="N110" i="1" s="1"/>
  <c r="O106" i="1" s="1"/>
  <c r="CK102" i="1"/>
  <c r="BZ71" i="1"/>
  <c r="BQ71" i="1"/>
  <c r="BH71" i="1"/>
  <c r="AY71" i="1"/>
  <c r="Y65" i="1"/>
  <c r="N46" i="7" s="1"/>
  <c r="O64" i="1"/>
  <c r="CM27" i="11"/>
  <c r="CM29" i="11" s="1"/>
  <c r="CM30" i="11" s="1"/>
  <c r="CE27" i="11"/>
  <c r="BW27" i="11"/>
  <c r="V30" i="1"/>
  <c r="F30" i="1"/>
  <c r="BO27" i="11"/>
  <c r="BO29" i="11" s="1"/>
  <c r="BO30" i="11" s="1"/>
  <c r="BG27" i="11"/>
  <c r="AY27" i="11"/>
  <c r="D30" i="1"/>
  <c r="N30" i="1"/>
  <c r="CZ27" i="11"/>
  <c r="DE30" i="1"/>
  <c r="G17" i="1"/>
  <c r="E17" i="1"/>
  <c r="T111" i="15"/>
  <c r="T112" i="15" s="1"/>
  <c r="V112" i="15"/>
  <c r="X98" i="15"/>
  <c r="X99" i="15" s="1"/>
  <c r="X100" i="15" s="1"/>
  <c r="CC99" i="15"/>
  <c r="CC100" i="15" s="1"/>
  <c r="BE99" i="15"/>
  <c r="BE100" i="15" s="1"/>
  <c r="P98" i="15"/>
  <c r="P99" i="15" s="1"/>
  <c r="P100" i="15" s="1"/>
  <c r="Y86" i="15"/>
  <c r="F78" i="15"/>
  <c r="E124" i="1"/>
  <c r="BZ112" i="1"/>
  <c r="BB112" i="1"/>
  <c r="F109" i="1"/>
  <c r="BE74" i="1"/>
  <c r="CH71" i="1"/>
  <c r="S67" i="1"/>
  <c r="W64" i="1"/>
  <c r="CY17" i="1"/>
  <c r="CY30" i="1" s="1"/>
  <c r="AG17" i="1"/>
  <c r="T9" i="1"/>
  <c r="Q111" i="15"/>
  <c r="O105" i="15"/>
  <c r="O106" i="15" s="1"/>
  <c r="AA97" i="15"/>
  <c r="W86" i="15"/>
  <c r="DZ71" i="15"/>
  <c r="K71" i="15"/>
  <c r="DU71" i="15"/>
  <c r="EC71" i="15"/>
  <c r="DV71" i="15"/>
  <c r="ED71" i="15"/>
  <c r="DW71" i="15"/>
  <c r="DX71" i="15"/>
  <c r="DS71" i="15"/>
  <c r="DT71" i="15"/>
  <c r="DY71" i="15"/>
  <c r="EA71" i="15"/>
  <c r="EB71" i="15"/>
  <c r="R42" i="15"/>
  <c r="BL12" i="1"/>
  <c r="BF12" i="1"/>
  <c r="BF20" i="1" s="1"/>
  <c r="X46" i="1"/>
  <c r="AA29" i="1"/>
  <c r="DF30" i="1"/>
  <c r="AE17" i="1"/>
  <c r="CX30" i="1"/>
  <c r="CW30" i="1"/>
  <c r="P111" i="15"/>
  <c r="P112" i="15" s="1"/>
  <c r="W85" i="15"/>
  <c r="P83" i="15"/>
  <c r="P86" i="15" s="1"/>
  <c r="U44" i="15"/>
  <c r="BV12" i="1"/>
  <c r="CN54" i="19"/>
  <c r="CN191" i="19" s="1"/>
  <c r="CN104" i="15"/>
  <c r="CN105" i="15" s="1"/>
  <c r="CN106" i="15" s="1"/>
  <c r="Y54" i="19"/>
  <c r="CF191" i="19"/>
  <c r="CD29" i="11"/>
  <c r="CD30" i="11" s="1"/>
  <c r="V38" i="11"/>
  <c r="F38" i="11"/>
  <c r="AA17" i="1"/>
  <c r="S17" i="1"/>
  <c r="E110" i="15"/>
  <c r="W109" i="15"/>
  <c r="O109" i="15"/>
  <c r="F109" i="15"/>
  <c r="N104" i="15"/>
  <c r="U98" i="15"/>
  <c r="V97" i="15"/>
  <c r="N97" i="15"/>
  <c r="D84" i="15"/>
  <c r="F84" i="15"/>
  <c r="O83" i="15"/>
  <c r="O86" i="15" s="1"/>
  <c r="U78" i="15"/>
  <c r="BL80" i="15"/>
  <c r="BL67" i="15"/>
  <c r="O54" i="15"/>
  <c r="AA53" i="15"/>
  <c r="CB56" i="15"/>
  <c r="CN65" i="15"/>
  <c r="CB59" i="15"/>
  <c r="CB65" i="15"/>
  <c r="AA43" i="15"/>
  <c r="CA36" i="23"/>
  <c r="CA37" i="23" s="1"/>
  <c r="U62" i="22"/>
  <c r="CK9" i="24"/>
  <c r="CK11" i="24" s="1"/>
  <c r="BE36" i="23"/>
  <c r="BO9" i="24"/>
  <c r="BO11" i="24" s="1"/>
  <c r="BO13" i="24" s="1"/>
  <c r="BO21" i="24" s="1"/>
  <c r="BO22" i="24" s="1"/>
  <c r="BO25" i="24" s="1"/>
  <c r="S41" i="15"/>
  <c r="AU36" i="23"/>
  <c r="AU37" i="23" s="1"/>
  <c r="BE9" i="24"/>
  <c r="CE260" i="19"/>
  <c r="CE261" i="19"/>
  <c r="CE262" i="19"/>
  <c r="CE263" i="19"/>
  <c r="BW61" i="19"/>
  <c r="V32" i="15"/>
  <c r="F32" i="15"/>
  <c r="BO61" i="19"/>
  <c r="BO259" i="19" s="1"/>
  <c r="S32" i="15"/>
  <c r="BG260" i="19"/>
  <c r="BG261" i="19"/>
  <c r="BG262" i="19"/>
  <c r="BG263" i="19"/>
  <c r="AY61" i="19"/>
  <c r="D32" i="15"/>
  <c r="N32" i="15"/>
  <c r="W73" i="15"/>
  <c r="CH58" i="19"/>
  <c r="CH37" i="15"/>
  <c r="CG34" i="15"/>
  <c r="CM53" i="19"/>
  <c r="CM185" i="19" s="1"/>
  <c r="CM43" i="15"/>
  <c r="CM103" i="15"/>
  <c r="CE53" i="19"/>
  <c r="CE185" i="19" s="1"/>
  <c r="CE43" i="15"/>
  <c r="CE103" i="15"/>
  <c r="BW53" i="19"/>
  <c r="V21" i="15"/>
  <c r="BW43" i="15"/>
  <c r="F21" i="15"/>
  <c r="BW103" i="15"/>
  <c r="BO53" i="19"/>
  <c r="BO185" i="19" s="1"/>
  <c r="BO43" i="15"/>
  <c r="BO103" i="15"/>
  <c r="BG53" i="19"/>
  <c r="BG185" i="19" s="1"/>
  <c r="BG43" i="15"/>
  <c r="P43" i="15" s="1"/>
  <c r="BG103" i="15"/>
  <c r="AY53" i="19"/>
  <c r="D21" i="15"/>
  <c r="N21" i="15"/>
  <c r="AY43" i="15"/>
  <c r="AY103" i="15"/>
  <c r="CH44" i="19"/>
  <c r="CH71" i="15"/>
  <c r="CH42" i="15"/>
  <c r="CH53" i="15"/>
  <c r="CH15" i="15"/>
  <c r="BZ44" i="19"/>
  <c r="W9" i="15"/>
  <c r="BZ71" i="15"/>
  <c r="BZ42" i="15"/>
  <c r="BZ53" i="15"/>
  <c r="BR44" i="19"/>
  <c r="BR71" i="15"/>
  <c r="BR42" i="15"/>
  <c r="BR53" i="15"/>
  <c r="BJ44" i="19"/>
  <c r="BJ71" i="15"/>
  <c r="BJ42" i="15"/>
  <c r="BJ53" i="15"/>
  <c r="BB44" i="19"/>
  <c r="O9" i="15"/>
  <c r="BB71" i="15"/>
  <c r="BB42" i="15"/>
  <c r="BB53" i="15"/>
  <c r="CM163" i="11"/>
  <c r="BQ142" i="11"/>
  <c r="W112" i="11"/>
  <c r="W114" i="11" s="1"/>
  <c r="BZ114" i="11"/>
  <c r="O112" i="11"/>
  <c r="BB114" i="11"/>
  <c r="W31" i="1"/>
  <c r="X27" i="11"/>
  <c r="BU29" i="11"/>
  <c r="BU30" i="11" s="1"/>
  <c r="P27" i="11"/>
  <c r="X30" i="1"/>
  <c r="P30" i="1"/>
  <c r="G30" i="1"/>
  <c r="AA38" i="11"/>
  <c r="S38" i="11"/>
  <c r="CM28" i="1"/>
  <c r="CE28" i="1"/>
  <c r="BW28" i="1"/>
  <c r="BO28" i="1"/>
  <c r="BG28" i="1"/>
  <c r="AY28" i="1"/>
  <c r="E109" i="15"/>
  <c r="Q104" i="15"/>
  <c r="R98" i="15"/>
  <c r="R99" i="15" s="1"/>
  <c r="R100" i="15" s="1"/>
  <c r="U97" i="15"/>
  <c r="T85" i="15"/>
  <c r="T86" i="15" s="1"/>
  <c r="E84" i="15"/>
  <c r="Z83" i="15"/>
  <c r="Z86" i="15" s="1"/>
  <c r="E83" i="15"/>
  <c r="E86" i="15" s="1"/>
  <c r="BT80" i="15"/>
  <c r="BT74" i="15" s="1"/>
  <c r="U77" i="15"/>
  <c r="U80" i="15" s="1"/>
  <c r="ES73" i="15"/>
  <c r="FA73" i="15"/>
  <c r="EV73" i="15"/>
  <c r="EW73" i="15"/>
  <c r="EX73" i="15"/>
  <c r="EQ73" i="15"/>
  <c r="EY73" i="15"/>
  <c r="BU56" i="15"/>
  <c r="BU60" i="15" s="1"/>
  <c r="U54" i="15"/>
  <c r="R54" i="15"/>
  <c r="BK66" i="15"/>
  <c r="P53" i="15"/>
  <c r="T44" i="15"/>
  <c r="U42" i="15"/>
  <c r="CG37" i="21"/>
  <c r="CG59" i="19"/>
  <c r="CG247" i="19" s="1"/>
  <c r="CG73" i="15"/>
  <c r="CG79" i="15"/>
  <c r="CG80" i="15" s="1"/>
  <c r="Y30" i="15"/>
  <c r="Y73" i="15" s="1"/>
  <c r="CG55" i="15"/>
  <c r="BY37" i="21"/>
  <c r="BY59" i="19"/>
  <c r="BY247" i="19" s="1"/>
  <c r="BY73" i="15"/>
  <c r="BY79" i="15"/>
  <c r="BY55" i="15"/>
  <c r="BQ37" i="21"/>
  <c r="BQ59" i="19"/>
  <c r="BQ73" i="15"/>
  <c r="BQ79" i="15"/>
  <c r="BQ55" i="15"/>
  <c r="BI37" i="21"/>
  <c r="BI59" i="19"/>
  <c r="BI247" i="19" s="1"/>
  <c r="BI73" i="15"/>
  <c r="BI79" i="15"/>
  <c r="BI80" i="15" s="1"/>
  <c r="Q30" i="15"/>
  <c r="Q73" i="15" s="1"/>
  <c r="BI55" i="15"/>
  <c r="BA37" i="21"/>
  <c r="BA59" i="19"/>
  <c r="BA247" i="19" s="1"/>
  <c r="BA73" i="15"/>
  <c r="BA79" i="15"/>
  <c r="BA80" i="15" s="1"/>
  <c r="BA55" i="15"/>
  <c r="CL54" i="19"/>
  <c r="AA22" i="15"/>
  <c r="CL44" i="15"/>
  <c r="CL104" i="15"/>
  <c r="CD54" i="19"/>
  <c r="CD191" i="19" s="1"/>
  <c r="CD44" i="15"/>
  <c r="X44" i="15" s="1"/>
  <c r="CD104" i="15"/>
  <c r="BV54" i="19"/>
  <c r="BV191" i="19" s="1"/>
  <c r="BV44" i="15"/>
  <c r="BV104" i="15"/>
  <c r="BV105" i="15" s="1"/>
  <c r="BV106" i="15" s="1"/>
  <c r="BN54" i="19"/>
  <c r="S22" i="15"/>
  <c r="BN44" i="15"/>
  <c r="BN104" i="15"/>
  <c r="BF54" i="19"/>
  <c r="BF191" i="19" s="1"/>
  <c r="BF44" i="15"/>
  <c r="BF104" i="15"/>
  <c r="P104" i="15" s="1"/>
  <c r="CG45" i="19"/>
  <c r="CG43" i="15"/>
  <c r="BY45" i="19"/>
  <c r="F10" i="15"/>
  <c r="BY43" i="15"/>
  <c r="BQ45" i="19"/>
  <c r="BQ43" i="15"/>
  <c r="BI45" i="19"/>
  <c r="Q10" i="15"/>
  <c r="BI43" i="15"/>
  <c r="BA45" i="19"/>
  <c r="N10" i="15"/>
  <c r="BA43" i="15"/>
  <c r="D9" i="15"/>
  <c r="X107" i="11"/>
  <c r="CT53" i="1"/>
  <c r="CL53" i="1"/>
  <c r="CD53" i="1"/>
  <c r="BV53" i="1"/>
  <c r="BN53" i="1"/>
  <c r="BF53" i="1"/>
  <c r="Y53" i="1"/>
  <c r="Q53" i="1"/>
  <c r="N31" i="1"/>
  <c r="AC27" i="11"/>
  <c r="U27" i="11"/>
  <c r="W30" i="1"/>
  <c r="O30" i="1"/>
  <c r="X38" i="11"/>
  <c r="P38" i="11"/>
  <c r="X29" i="1"/>
  <c r="P29" i="1"/>
  <c r="G29" i="1"/>
  <c r="CT28" i="1"/>
  <c r="CL28" i="1"/>
  <c r="CD28" i="1"/>
  <c r="BV28" i="1"/>
  <c r="BN28" i="1"/>
  <c r="BF28" i="1"/>
  <c r="Z12" i="1"/>
  <c r="R12" i="1"/>
  <c r="AA11" i="1"/>
  <c r="S11" i="1"/>
  <c r="Y9" i="1"/>
  <c r="Q9" i="1"/>
  <c r="U109" i="15"/>
  <c r="CA106" i="15"/>
  <c r="BR105" i="15"/>
  <c r="BR106" i="15" s="1"/>
  <c r="BI105" i="15"/>
  <c r="AZ105" i="15"/>
  <c r="AZ106" i="15" s="1"/>
  <c r="CL100" i="15"/>
  <c r="CA99" i="15"/>
  <c r="CA100" i="15" s="1"/>
  <c r="AY99" i="15"/>
  <c r="W99" i="15"/>
  <c r="Z98" i="15"/>
  <c r="T97" i="15"/>
  <c r="CC80" i="15"/>
  <c r="Z79" i="15"/>
  <c r="V78" i="15"/>
  <c r="CB80" i="15"/>
  <c r="CB74" i="15" s="1"/>
  <c r="D77" i="15"/>
  <c r="AZ80" i="15"/>
  <c r="CJ56" i="15"/>
  <c r="CJ59" i="15"/>
  <c r="CJ65" i="15"/>
  <c r="BN65" i="15"/>
  <c r="S53" i="15"/>
  <c r="BD56" i="15"/>
  <c r="BD62" i="15" s="1"/>
  <c r="BP65" i="15"/>
  <c r="BD59" i="15"/>
  <c r="W44" i="15"/>
  <c r="W43" i="15"/>
  <c r="S43" i="15"/>
  <c r="X42" i="15"/>
  <c r="BM36" i="23"/>
  <c r="BW9" i="24"/>
  <c r="BC36" i="23"/>
  <c r="BM9" i="24"/>
  <c r="BM11" i="24" s="1"/>
  <c r="BM13" i="24" s="1"/>
  <c r="BM21" i="24" s="1"/>
  <c r="BM22" i="24" s="1"/>
  <c r="BM25" i="24" s="1"/>
  <c r="CK61" i="19"/>
  <c r="CK259" i="19" s="1"/>
  <c r="CC61" i="19"/>
  <c r="BU61" i="19"/>
  <c r="BU259" i="19" s="1"/>
  <c r="BM61" i="19"/>
  <c r="BM259" i="19" s="1"/>
  <c r="BE61" i="19"/>
  <c r="T30" i="15"/>
  <c r="CN46" i="19"/>
  <c r="CN44" i="15"/>
  <c r="CF46" i="19"/>
  <c r="Y11" i="15"/>
  <c r="CF44" i="15"/>
  <c r="BX46" i="19"/>
  <c r="V11" i="15"/>
  <c r="BX44" i="15"/>
  <c r="BP46" i="19"/>
  <c r="E46" i="19" s="1"/>
  <c r="BP44" i="15"/>
  <c r="BH46" i="19"/>
  <c r="Q11" i="15"/>
  <c r="BH44" i="15"/>
  <c r="AZ46" i="19"/>
  <c r="D11" i="15"/>
  <c r="N11" i="15"/>
  <c r="AZ44" i="15"/>
  <c r="BY142" i="11"/>
  <c r="AB163" i="11"/>
  <c r="BF142" i="11"/>
  <c r="BF163" i="11"/>
  <c r="CS53" i="1"/>
  <c r="CK53" i="1"/>
  <c r="CC53" i="1"/>
  <c r="BU53" i="1"/>
  <c r="BM53" i="1"/>
  <c r="BE53" i="1"/>
  <c r="Z27" i="11"/>
  <c r="R27" i="11"/>
  <c r="E30" i="1"/>
  <c r="AC38" i="11"/>
  <c r="CB45" i="11"/>
  <c r="U38" i="11"/>
  <c r="BD45" i="11"/>
  <c r="W29" i="1"/>
  <c r="O29" i="1"/>
  <c r="F29" i="1"/>
  <c r="CS28" i="1"/>
  <c r="CS91" i="1" s="1"/>
  <c r="CK28" i="1"/>
  <c r="CC28" i="1"/>
  <c r="BU28" i="1"/>
  <c r="BU102" i="1" s="1"/>
  <c r="BM28" i="1"/>
  <c r="BE28" i="1"/>
  <c r="BW21" i="1"/>
  <c r="BW20" i="1"/>
  <c r="AY20" i="1"/>
  <c r="CJ14" i="1"/>
  <c r="CB14" i="1"/>
  <c r="BT14" i="1"/>
  <c r="BD14" i="1"/>
  <c r="BD10" i="11" s="1"/>
  <c r="CM11" i="11"/>
  <c r="CE11" i="11"/>
  <c r="BW11" i="11"/>
  <c r="BO11" i="11"/>
  <c r="BG11" i="11"/>
  <c r="AY11" i="11"/>
  <c r="CK10" i="11"/>
  <c r="BU10" i="11"/>
  <c r="BM10" i="11"/>
  <c r="BE10" i="11"/>
  <c r="X9" i="1"/>
  <c r="P9" i="1"/>
  <c r="CD112" i="15"/>
  <c r="BV112" i="15"/>
  <c r="BF112" i="15"/>
  <c r="Y112" i="15"/>
  <c r="Q112" i="15"/>
  <c r="CH106" i="15"/>
  <c r="BU105" i="15"/>
  <c r="BU106" i="15" s="1"/>
  <c r="CK100" i="15"/>
  <c r="BA100" i="15"/>
  <c r="BG99" i="15"/>
  <c r="BG100" i="15" s="1"/>
  <c r="S97" i="15"/>
  <c r="BN86" i="15"/>
  <c r="U84" i="15"/>
  <c r="N84" i="15"/>
  <c r="U83" i="15"/>
  <c r="U86" i="15" s="1"/>
  <c r="P79" i="15"/>
  <c r="P80" i="15" s="1"/>
  <c r="CJ80" i="15"/>
  <c r="CJ74" i="15" s="1"/>
  <c r="BH80" i="15"/>
  <c r="N77" i="15"/>
  <c r="FB73" i="15"/>
  <c r="BU61" i="15"/>
  <c r="P55" i="15"/>
  <c r="CC56" i="15"/>
  <c r="CC60" i="15" s="1"/>
  <c r="BS66" i="15"/>
  <c r="BW56" i="15"/>
  <c r="Z43" i="15"/>
  <c r="CL42" i="15"/>
  <c r="T42" i="15"/>
  <c r="CL62" i="19"/>
  <c r="AA33" i="15"/>
  <c r="CD62" i="19"/>
  <c r="CD265" i="19" s="1"/>
  <c r="BV62" i="19"/>
  <c r="BV265" i="19" s="1"/>
  <c r="BN62" i="19"/>
  <c r="S33" i="15"/>
  <c r="BF62" i="19"/>
  <c r="BF265" i="19" s="1"/>
  <c r="CM37" i="21"/>
  <c r="CM59" i="19"/>
  <c r="CM247" i="19" s="1"/>
  <c r="CM55" i="15"/>
  <c r="CM73" i="15"/>
  <c r="CE37" i="21"/>
  <c r="CE59" i="19"/>
  <c r="CE247" i="19" s="1"/>
  <c r="CE55" i="15"/>
  <c r="CE73" i="15"/>
  <c r="BW37" i="21"/>
  <c r="BW59" i="19"/>
  <c r="V30" i="15"/>
  <c r="F30" i="15"/>
  <c r="BW55" i="15"/>
  <c r="BW73" i="15"/>
  <c r="BO37" i="21"/>
  <c r="BO59" i="19"/>
  <c r="BO247" i="19" s="1"/>
  <c r="BO55" i="15"/>
  <c r="BO73" i="15"/>
  <c r="BG37" i="21"/>
  <c r="BG59" i="19"/>
  <c r="BG247" i="19" s="1"/>
  <c r="BG55" i="15"/>
  <c r="BG56" i="15" s="1"/>
  <c r="BG73" i="15"/>
  <c r="AY37" i="21"/>
  <c r="AY59" i="19"/>
  <c r="D30" i="15"/>
  <c r="N30" i="15"/>
  <c r="AY55" i="15"/>
  <c r="AY73" i="15"/>
  <c r="D8" i="15"/>
  <c r="AA163" i="11"/>
  <c r="BX142" i="11"/>
  <c r="X139" i="11"/>
  <c r="X162" i="11" s="1"/>
  <c r="CE162" i="11"/>
  <c r="CE126" i="1" s="1"/>
  <c r="X126" i="1" s="1"/>
  <c r="BG162" i="11"/>
  <c r="P139" i="11"/>
  <c r="P162" i="11" s="1"/>
  <c r="W27" i="11"/>
  <c r="O27" i="11"/>
  <c r="AC30" i="1"/>
  <c r="U30" i="1"/>
  <c r="G38" i="11"/>
  <c r="Z38" i="11"/>
  <c r="E38" i="11"/>
  <c r="R38" i="11"/>
  <c r="V29" i="1"/>
  <c r="N29" i="1"/>
  <c r="E29" i="1"/>
  <c r="CR28" i="1"/>
  <c r="CJ28" i="1"/>
  <c r="CB28" i="1"/>
  <c r="CB91" i="1" s="1"/>
  <c r="BT28" i="1"/>
  <c r="BL28" i="1"/>
  <c r="BD28" i="1"/>
  <c r="AG21" i="1"/>
  <c r="CZ19" i="1"/>
  <c r="F17" i="1"/>
  <c r="CD72" i="11"/>
  <c r="CD77" i="11"/>
  <c r="BV11" i="11"/>
  <c r="BF11" i="11"/>
  <c r="CB10" i="11"/>
  <c r="BT10" i="11"/>
  <c r="W9" i="1"/>
  <c r="O9" i="1"/>
  <c r="F9" i="1"/>
  <c r="CL111" i="15"/>
  <c r="CL112" i="15" s="1"/>
  <c r="BN111" i="15"/>
  <c r="BN112" i="15" s="1"/>
  <c r="Z110" i="15"/>
  <c r="CG106" i="15"/>
  <c r="BY106" i="15"/>
  <c r="BP105" i="15"/>
  <c r="BP106" i="15" s="1"/>
  <c r="Y104" i="15"/>
  <c r="Y105" i="15" s="1"/>
  <c r="Y106" i="15" s="1"/>
  <c r="CC105" i="15"/>
  <c r="CC106" i="15" s="1"/>
  <c r="R103" i="15"/>
  <c r="P103" i="15"/>
  <c r="BI100" i="15"/>
  <c r="AY100" i="15"/>
  <c r="BO99" i="15"/>
  <c r="BO100" i="15" s="1"/>
  <c r="BF99" i="15"/>
  <c r="E97" i="15"/>
  <c r="BW86" i="15"/>
  <c r="CN86" i="15"/>
  <c r="CF86" i="15"/>
  <c r="V83" i="15"/>
  <c r="V86" i="15" s="1"/>
  <c r="BX86" i="15"/>
  <c r="BP86" i="15"/>
  <c r="BH86" i="15"/>
  <c r="N83" i="15"/>
  <c r="N86" i="15" s="1"/>
  <c r="AZ86" i="15"/>
  <c r="BZ80" i="15"/>
  <c r="BO80" i="15"/>
  <c r="BE80" i="15"/>
  <c r="Y78" i="15"/>
  <c r="Q78" i="15"/>
  <c r="BP80" i="15"/>
  <c r="S77" i="15"/>
  <c r="S80" i="15" s="1"/>
  <c r="EZ73" i="15"/>
  <c r="CV68" i="15"/>
  <c r="CJ61" i="15"/>
  <c r="CJ67" i="15"/>
  <c r="BD61" i="15"/>
  <c r="CB60" i="15"/>
  <c r="BV65" i="15"/>
  <c r="BL56" i="15"/>
  <c r="BX65" i="15"/>
  <c r="BL59" i="15"/>
  <c r="BL65" i="15"/>
  <c r="O44" i="15"/>
  <c r="O43" i="15"/>
  <c r="P42" i="15"/>
  <c r="BU36" i="23"/>
  <c r="O62" i="22"/>
  <c r="CE9" i="24"/>
  <c r="CE11" i="24" s="1"/>
  <c r="CE13" i="24" s="1"/>
  <c r="CE21" i="24" s="1"/>
  <c r="CE22" i="24" s="1"/>
  <c r="CE25" i="24" s="1"/>
  <c r="BK36" i="23"/>
  <c r="BU9" i="24"/>
  <c r="BU11" i="24" s="1"/>
  <c r="BU13" i="24" s="1"/>
  <c r="BU21" i="24" s="1"/>
  <c r="BU22" i="24" s="1"/>
  <c r="BU25" i="24" s="1"/>
  <c r="AO36" i="23"/>
  <c r="AY9" i="24"/>
  <c r="CN60" i="19"/>
  <c r="CN253" i="19" s="1"/>
  <c r="CN55" i="15"/>
  <c r="CF60" i="19"/>
  <c r="CF55" i="15"/>
  <c r="BX60" i="19"/>
  <c r="BX253" i="19" s="1"/>
  <c r="F31" i="15"/>
  <c r="BX55" i="15"/>
  <c r="BP60" i="19"/>
  <c r="BP253" i="19" s="1"/>
  <c r="BP55" i="15"/>
  <c r="BH60" i="19"/>
  <c r="BH55" i="15"/>
  <c r="BT67" i="15" s="1"/>
  <c r="AZ60" i="19"/>
  <c r="AZ253" i="19" s="1"/>
  <c r="D31" i="15"/>
  <c r="N31" i="15"/>
  <c r="AZ55" i="15"/>
  <c r="Y31" i="15"/>
  <c r="AB27" i="11"/>
  <c r="T27" i="11"/>
  <c r="BQ29" i="11"/>
  <c r="BQ30" i="11" s="1"/>
  <c r="AB30" i="1"/>
  <c r="T30" i="1"/>
  <c r="W38" i="11"/>
  <c r="O38" i="11"/>
  <c r="AC29" i="1"/>
  <c r="U29" i="1"/>
  <c r="D29" i="1"/>
  <c r="CQ28" i="1"/>
  <c r="AB28" i="1" s="1"/>
  <c r="CI28" i="1"/>
  <c r="CA28" i="1"/>
  <c r="BS28" i="1"/>
  <c r="T28" i="1" s="1"/>
  <c r="BK28" i="1"/>
  <c r="BC28" i="1"/>
  <c r="O28" i="1" s="1"/>
  <c r="CW19" i="1"/>
  <c r="N17" i="1"/>
  <c r="CK77" i="11"/>
  <c r="CK72" i="11"/>
  <c r="CC77" i="11"/>
  <c r="CC72" i="11"/>
  <c r="BU77" i="11"/>
  <c r="BU72" i="11"/>
  <c r="BM77" i="11"/>
  <c r="BM72" i="11"/>
  <c r="BE77" i="11"/>
  <c r="BE72" i="11"/>
  <c r="X11" i="1"/>
  <c r="X20" i="1" s="1"/>
  <c r="P11" i="1"/>
  <c r="V9" i="1"/>
  <c r="E9" i="1"/>
  <c r="CJ112" i="15"/>
  <c r="CB112" i="15"/>
  <c r="BT112" i="15"/>
  <c r="BD112" i="15"/>
  <c r="Z109" i="15"/>
  <c r="R109" i="15"/>
  <c r="BX106" i="15"/>
  <c r="E103" i="15"/>
  <c r="BQ100" i="15"/>
  <c r="BW99" i="15"/>
  <c r="BW100" i="15" s="1"/>
  <c r="D98" i="15"/>
  <c r="D99" i="15" s="1"/>
  <c r="D100" i="15" s="1"/>
  <c r="N98" i="15"/>
  <c r="Z97" i="15"/>
  <c r="D78" i="15"/>
  <c r="R78" i="15"/>
  <c r="BX80" i="15"/>
  <c r="F77" i="15"/>
  <c r="EU73" i="15"/>
  <c r="DZ72" i="15"/>
  <c r="K72" i="15"/>
  <c r="DU72" i="15"/>
  <c r="EC72" i="15"/>
  <c r="DV72" i="15"/>
  <c r="ED72" i="15"/>
  <c r="DW72" i="15"/>
  <c r="DX72" i="15"/>
  <c r="DJ71" i="15"/>
  <c r="DR71" i="15"/>
  <c r="DM71" i="15"/>
  <c r="DN71" i="15"/>
  <c r="DG71" i="15"/>
  <c r="DO71" i="15"/>
  <c r="DH71" i="15"/>
  <c r="DP71" i="15"/>
  <c r="W55" i="15"/>
  <c r="CK56" i="15"/>
  <c r="CA66" i="15"/>
  <c r="BE56" i="15"/>
  <c r="BE62" i="15" s="1"/>
  <c r="BE60" i="15"/>
  <c r="CE56" i="15"/>
  <c r="BU59" i="15"/>
  <c r="D53" i="15"/>
  <c r="R43" i="15"/>
  <c r="Z42" i="15"/>
  <c r="BN42" i="15"/>
  <c r="P41" i="15"/>
  <c r="CJ62" i="19"/>
  <c r="CJ265" i="19" s="1"/>
  <c r="CB62" i="19"/>
  <c r="CB265" i="19" s="1"/>
  <c r="BT62" i="19"/>
  <c r="U33" i="15"/>
  <c r="BL62" i="19"/>
  <c r="BL265" i="19" s="1"/>
  <c r="BD62" i="19"/>
  <c r="BD265" i="19" s="1"/>
  <c r="CG36" i="21"/>
  <c r="CG51" i="19"/>
  <c r="CG173" i="19" s="1"/>
  <c r="CG41" i="15"/>
  <c r="CG72" i="15"/>
  <c r="CG54" i="15"/>
  <c r="BY36" i="21"/>
  <c r="BY51" i="19"/>
  <c r="BY173" i="19" s="1"/>
  <c r="BY41" i="15"/>
  <c r="F41" i="15" s="1"/>
  <c r="BY72" i="15"/>
  <c r="BY54" i="15"/>
  <c r="BQ36" i="21"/>
  <c r="BQ51" i="19"/>
  <c r="BQ41" i="15"/>
  <c r="BQ72" i="15"/>
  <c r="BQ54" i="15"/>
  <c r="BI36" i="21"/>
  <c r="BI51" i="19"/>
  <c r="BI173" i="19" s="1"/>
  <c r="BI41" i="15"/>
  <c r="BI72" i="15"/>
  <c r="BI54" i="15"/>
  <c r="BA36" i="21"/>
  <c r="BA51" i="19"/>
  <c r="BA173" i="19" s="1"/>
  <c r="BA41" i="15"/>
  <c r="D41" i="15" s="1"/>
  <c r="BA72" i="15"/>
  <c r="BA54" i="15"/>
  <c r="BM66" i="15" s="1"/>
  <c r="CJ163" i="11"/>
  <c r="R139" i="11"/>
  <c r="R162" i="11" s="1"/>
  <c r="BM162" i="11"/>
  <c r="BM126" i="1" s="1"/>
  <c r="R126" i="1" s="1"/>
  <c r="Y27" i="11"/>
  <c r="Q27" i="11"/>
  <c r="BH29" i="11"/>
  <c r="BH30" i="11" s="1"/>
  <c r="AA30" i="1"/>
  <c r="S30" i="1"/>
  <c r="AB38" i="11"/>
  <c r="T38" i="11"/>
  <c r="AB29" i="1"/>
  <c r="T29" i="1"/>
  <c r="AE21" i="1"/>
  <c r="CJ77" i="11"/>
  <c r="CJ72" i="11"/>
  <c r="CB77" i="11"/>
  <c r="CB72" i="11"/>
  <c r="BT77" i="11"/>
  <c r="BT72" i="11"/>
  <c r="BL11" i="11"/>
  <c r="BD77" i="11"/>
  <c r="BD72" i="11"/>
  <c r="BF100" i="15"/>
  <c r="F97" i="15"/>
  <c r="AY86" i="15"/>
  <c r="F83" i="15"/>
  <c r="F86" i="15" s="1"/>
  <c r="ET73" i="15"/>
  <c r="CH67" i="15"/>
  <c r="CJ60" i="15"/>
  <c r="W66" i="15"/>
  <c r="BD60" i="15"/>
  <c r="CD65" i="15"/>
  <c r="BT56" i="15"/>
  <c r="BT61" i="15" s="1"/>
  <c r="CF65" i="15"/>
  <c r="BT59" i="15"/>
  <c r="U53" i="15"/>
  <c r="BT65" i="15"/>
  <c r="V42" i="15"/>
  <c r="CC36" i="23"/>
  <c r="W62" i="22"/>
  <c r="CM9" i="24"/>
  <c r="CM11" i="24" s="1"/>
  <c r="AA41" i="15"/>
  <c r="BS36" i="23"/>
  <c r="M62" i="22"/>
  <c r="CC9" i="24"/>
  <c r="AW36" i="23"/>
  <c r="BG9" i="24"/>
  <c r="BG11" i="24" s="1"/>
  <c r="BG13" i="24" s="1"/>
  <c r="CL60" i="19"/>
  <c r="CL55" i="15"/>
  <c r="CL73" i="15"/>
  <c r="CD60" i="19"/>
  <c r="CD253" i="19" s="1"/>
  <c r="CD55" i="15"/>
  <c r="X55" i="15" s="1"/>
  <c r="CD73" i="15"/>
  <c r="BV60" i="19"/>
  <c r="BV253" i="19" s="1"/>
  <c r="BV55" i="15"/>
  <c r="BV56" i="15" s="1"/>
  <c r="BV73" i="15"/>
  <c r="BN60" i="19"/>
  <c r="BN55" i="15"/>
  <c r="BN73" i="15"/>
  <c r="BF60" i="19"/>
  <c r="BF253" i="19" s="1"/>
  <c r="BF55" i="15"/>
  <c r="BF56" i="15" s="1"/>
  <c r="BF73" i="15"/>
  <c r="CN52" i="19"/>
  <c r="CN179" i="19" s="1"/>
  <c r="CN42" i="15"/>
  <c r="CD36" i="23" s="1"/>
  <c r="CD37" i="23" s="1"/>
  <c r="CN54" i="15"/>
  <c r="CF52" i="19"/>
  <c r="CF42" i="15"/>
  <c r="BV36" i="23" s="1"/>
  <c r="CF54" i="15"/>
  <c r="Y20" i="15"/>
  <c r="BX52" i="19"/>
  <c r="BX179" i="19" s="1"/>
  <c r="BX42" i="15"/>
  <c r="BX54" i="15"/>
  <c r="BP52" i="19"/>
  <c r="BP179" i="19" s="1"/>
  <c r="BP42" i="15"/>
  <c r="BP54" i="15"/>
  <c r="E54" i="15" s="1"/>
  <c r="BH52" i="19"/>
  <c r="BH42" i="15"/>
  <c r="BH54" i="15"/>
  <c r="Q20" i="15"/>
  <c r="AZ52" i="19"/>
  <c r="AZ179" i="19" s="1"/>
  <c r="N20" i="15"/>
  <c r="AZ42" i="15"/>
  <c r="AZ54" i="15"/>
  <c r="CH50" i="19"/>
  <c r="CH25" i="15"/>
  <c r="CG23" i="15"/>
  <c r="AA11" i="15"/>
  <c r="U71" i="15"/>
  <c r="CC163" i="11"/>
  <c r="AC79" i="11"/>
  <c r="AC157" i="11" s="1"/>
  <c r="CK9" i="7" s="1"/>
  <c r="BZ16" i="7" s="1"/>
  <c r="G79" i="11"/>
  <c r="G157" i="11" s="1"/>
  <c r="CT157" i="11"/>
  <c r="AA80" i="11"/>
  <c r="CL79" i="11"/>
  <c r="CL157" i="11" s="1"/>
  <c r="CD163" i="11"/>
  <c r="U79" i="11"/>
  <c r="U157" i="11" s="1"/>
  <c r="E79" i="11"/>
  <c r="E157" i="11" s="1"/>
  <c r="BV157" i="11"/>
  <c r="S80" i="11"/>
  <c r="BN79" i="11"/>
  <c r="BN157" i="11" s="1"/>
  <c r="CS163" i="11"/>
  <c r="BU163" i="11"/>
  <c r="CC61" i="15"/>
  <c r="BE61" i="15"/>
  <c r="CE59" i="15"/>
  <c r="BW59" i="15"/>
  <c r="AY59" i="15"/>
  <c r="V53" i="15"/>
  <c r="N53" i="15"/>
  <c r="N42" i="15"/>
  <c r="BZ36" i="23"/>
  <c r="T62" i="22"/>
  <c r="CJ9" i="24"/>
  <c r="CJ11" i="24" s="1"/>
  <c r="BR36" i="23"/>
  <c r="CB9" i="24"/>
  <c r="CB11" i="24" s="1"/>
  <c r="CB13" i="24" s="1"/>
  <c r="CB21" i="24" s="1"/>
  <c r="CB22" i="24" s="1"/>
  <c r="CB25" i="24" s="1"/>
  <c r="BJ36" i="23"/>
  <c r="BT9" i="24"/>
  <c r="BB36" i="23"/>
  <c r="BL9" i="24"/>
  <c r="BL11" i="24" s="1"/>
  <c r="BL13" i="24" s="1"/>
  <c r="BL21" i="24" s="1"/>
  <c r="BL22" i="24" s="1"/>
  <c r="BL25" i="24" s="1"/>
  <c r="AT36" i="23"/>
  <c r="BD9" i="24"/>
  <c r="BD11" i="24" s="1"/>
  <c r="BD13" i="24" s="1"/>
  <c r="Z62" i="19"/>
  <c r="CI265" i="19"/>
  <c r="CA266" i="19"/>
  <c r="CA267" i="19"/>
  <c r="CA269" i="19"/>
  <c r="CA268" i="19"/>
  <c r="BS266" i="19"/>
  <c r="BS267" i="19"/>
  <c r="BS269" i="19"/>
  <c r="BS268" i="19"/>
  <c r="R62" i="19"/>
  <c r="BK265" i="19"/>
  <c r="BC266" i="19"/>
  <c r="BC267" i="19"/>
  <c r="BC269" i="19"/>
  <c r="BC268" i="19"/>
  <c r="V33" i="15"/>
  <c r="N33" i="15"/>
  <c r="E33" i="15"/>
  <c r="CB260" i="19"/>
  <c r="CB261" i="19"/>
  <c r="CB262" i="19"/>
  <c r="CB263" i="19"/>
  <c r="BT259" i="19"/>
  <c r="BL260" i="19"/>
  <c r="BL261" i="19"/>
  <c r="BL262" i="19"/>
  <c r="BL263" i="19"/>
  <c r="BD260" i="19"/>
  <c r="BD261" i="19"/>
  <c r="BD262" i="19"/>
  <c r="BD263" i="19"/>
  <c r="W32" i="15"/>
  <c r="O32" i="15"/>
  <c r="CK254" i="19"/>
  <c r="CK255" i="19"/>
  <c r="CK257" i="19"/>
  <c r="CK256" i="19"/>
  <c r="X60" i="19"/>
  <c r="CC253" i="19"/>
  <c r="BU254" i="19"/>
  <c r="BU255" i="19"/>
  <c r="BU257" i="19"/>
  <c r="BU256" i="19"/>
  <c r="BM254" i="19"/>
  <c r="BM255" i="19"/>
  <c r="BM257" i="19"/>
  <c r="BM256" i="19"/>
  <c r="BE253" i="19"/>
  <c r="X31" i="15"/>
  <c r="P31" i="15"/>
  <c r="CL37" i="21"/>
  <c r="CL59" i="19"/>
  <c r="CD37" i="21"/>
  <c r="CD59" i="19"/>
  <c r="CD247" i="19" s="1"/>
  <c r="BV37" i="21"/>
  <c r="BV59" i="19"/>
  <c r="BV247" i="19" s="1"/>
  <c r="BN37" i="21"/>
  <c r="BN59" i="19"/>
  <c r="BF37" i="21"/>
  <c r="BF59" i="19"/>
  <c r="BF247" i="19" s="1"/>
  <c r="X54" i="19"/>
  <c r="CC191" i="19"/>
  <c r="BU195" i="19"/>
  <c r="BU193" i="19"/>
  <c r="BU194" i="19"/>
  <c r="BM195" i="19"/>
  <c r="BM193" i="19"/>
  <c r="BM194" i="19"/>
  <c r="P54" i="19"/>
  <c r="BE191" i="19"/>
  <c r="X22" i="15"/>
  <c r="P22" i="15"/>
  <c r="AA53" i="19"/>
  <c r="CL185" i="19"/>
  <c r="CD186" i="19"/>
  <c r="CD187" i="19"/>
  <c r="CD188" i="19"/>
  <c r="CD189" i="19"/>
  <c r="BV186" i="19"/>
  <c r="BV187" i="19"/>
  <c r="BV188" i="19"/>
  <c r="BV189" i="19"/>
  <c r="S53" i="19"/>
  <c r="BN185" i="19"/>
  <c r="BF186" i="19"/>
  <c r="BF187" i="19"/>
  <c r="BF188" i="19"/>
  <c r="BF189" i="19"/>
  <c r="Y21" i="15"/>
  <c r="Q21" i="15"/>
  <c r="CM181" i="19"/>
  <c r="CM182" i="19"/>
  <c r="CE180" i="19"/>
  <c r="CE181" i="19"/>
  <c r="CE183" i="19"/>
  <c r="CE182" i="19"/>
  <c r="BW179" i="19"/>
  <c r="BO180" i="19"/>
  <c r="BO181" i="19"/>
  <c r="BO183" i="19"/>
  <c r="BO182" i="19"/>
  <c r="BG180" i="19"/>
  <c r="BG181" i="19"/>
  <c r="BG183" i="19"/>
  <c r="BG182" i="19"/>
  <c r="D52" i="19"/>
  <c r="N52" i="19"/>
  <c r="AY179" i="19"/>
  <c r="Z20" i="15"/>
  <c r="R20" i="15"/>
  <c r="CN36" i="21"/>
  <c r="CN51" i="19"/>
  <c r="CN173" i="19" s="1"/>
  <c r="CF36" i="21"/>
  <c r="CF51" i="19"/>
  <c r="BX36" i="21"/>
  <c r="BX51" i="19"/>
  <c r="BX173" i="19" s="1"/>
  <c r="BP36" i="21"/>
  <c r="BP51" i="19"/>
  <c r="BP173" i="19" s="1"/>
  <c r="BH36" i="21"/>
  <c r="BH51" i="19"/>
  <c r="AZ36" i="21"/>
  <c r="AZ51" i="19"/>
  <c r="AZ173" i="19" s="1"/>
  <c r="CM70" i="19"/>
  <c r="CM117" i="19"/>
  <c r="CE70" i="19"/>
  <c r="CE117" i="19"/>
  <c r="V46" i="19"/>
  <c r="F46" i="19"/>
  <c r="BW70" i="19"/>
  <c r="BW117" i="19"/>
  <c r="BO70" i="19"/>
  <c r="BO117" i="19"/>
  <c r="BG70" i="19"/>
  <c r="BG117" i="19"/>
  <c r="D46" i="19"/>
  <c r="N46" i="19"/>
  <c r="AY70" i="19"/>
  <c r="AY117" i="19"/>
  <c r="Z11" i="15"/>
  <c r="R11" i="15"/>
  <c r="CN69" i="19"/>
  <c r="CN111" i="19"/>
  <c r="CF69" i="19"/>
  <c r="CF111" i="19"/>
  <c r="BX69" i="19"/>
  <c r="BX111" i="19"/>
  <c r="BP69" i="19"/>
  <c r="BP111" i="19"/>
  <c r="Q45" i="19"/>
  <c r="BH69" i="19"/>
  <c r="BH111" i="19"/>
  <c r="AZ69" i="19"/>
  <c r="AZ111" i="19"/>
  <c r="AA10" i="15"/>
  <c r="S10" i="15"/>
  <c r="CG68" i="19"/>
  <c r="CG105" i="19"/>
  <c r="BY68" i="19"/>
  <c r="BY105" i="19"/>
  <c r="T44" i="19"/>
  <c r="BQ68" i="19"/>
  <c r="BQ105" i="19"/>
  <c r="BI68" i="19"/>
  <c r="BI105" i="19"/>
  <c r="BA68" i="19"/>
  <c r="BA105" i="19"/>
  <c r="T9" i="15"/>
  <c r="CH35" i="21"/>
  <c r="CH43" i="19"/>
  <c r="BZ35" i="21"/>
  <c r="BZ43" i="19"/>
  <c r="BR35" i="21"/>
  <c r="BR43" i="19"/>
  <c r="BJ35" i="21"/>
  <c r="BJ43" i="19"/>
  <c r="BB35" i="21"/>
  <c r="BB43" i="19"/>
  <c r="CI7" i="15"/>
  <c r="CO163" i="11"/>
  <c r="BQ163" i="11"/>
  <c r="T163" i="11"/>
  <c r="CK156" i="11"/>
  <c r="BE142" i="11"/>
  <c r="O140" i="11"/>
  <c r="AC135" i="11"/>
  <c r="ET21" i="7" s="1"/>
  <c r="CT134" i="11"/>
  <c r="CL134" i="11"/>
  <c r="CL161" i="11" s="1"/>
  <c r="CL125" i="1" s="1"/>
  <c r="AA135" i="11"/>
  <c r="ER21" i="7" s="1"/>
  <c r="U135" i="11"/>
  <c r="BV134" i="11"/>
  <c r="BN134" i="11"/>
  <c r="BN161" i="11" s="1"/>
  <c r="BN125" i="1" s="1"/>
  <c r="S135" i="11"/>
  <c r="T135" i="11"/>
  <c r="E125" i="11"/>
  <c r="AY56" i="15"/>
  <c r="CH266" i="19"/>
  <c r="CH267" i="19"/>
  <c r="CH268" i="19"/>
  <c r="CH269" i="19"/>
  <c r="BZ265" i="19"/>
  <c r="BR266" i="19"/>
  <c r="BR267" i="19"/>
  <c r="BR268" i="19"/>
  <c r="BR269" i="19"/>
  <c r="BJ266" i="19"/>
  <c r="BJ267" i="19"/>
  <c r="BJ268" i="19"/>
  <c r="BJ269" i="19"/>
  <c r="O62" i="19"/>
  <c r="BB265" i="19"/>
  <c r="D33" i="15"/>
  <c r="Z61" i="19"/>
  <c r="CI259" i="19"/>
  <c r="CA261" i="19"/>
  <c r="CA262" i="19"/>
  <c r="CA263" i="19"/>
  <c r="CA260" i="19"/>
  <c r="BS261" i="19"/>
  <c r="BS262" i="19"/>
  <c r="BS263" i="19"/>
  <c r="BS260" i="19"/>
  <c r="R61" i="19"/>
  <c r="BK259" i="19"/>
  <c r="BC261" i="19"/>
  <c r="BC262" i="19"/>
  <c r="BC263" i="19"/>
  <c r="BC260" i="19"/>
  <c r="E32" i="15"/>
  <c r="CJ254" i="19"/>
  <c r="CJ255" i="19"/>
  <c r="CJ256" i="19"/>
  <c r="CJ257" i="19"/>
  <c r="CB254" i="19"/>
  <c r="CB255" i="19"/>
  <c r="CB256" i="19"/>
  <c r="CB257" i="19"/>
  <c r="BT253" i="19"/>
  <c r="BL254" i="19"/>
  <c r="BL255" i="19"/>
  <c r="BL256" i="19"/>
  <c r="BL257" i="19"/>
  <c r="BD254" i="19"/>
  <c r="BD255" i="19"/>
  <c r="BD256" i="19"/>
  <c r="BD257" i="19"/>
  <c r="W31" i="15"/>
  <c r="O31" i="15"/>
  <c r="CK37" i="21"/>
  <c r="CK59" i="19"/>
  <c r="CK247" i="19" s="1"/>
  <c r="CC37" i="21"/>
  <c r="CC59" i="19"/>
  <c r="BU37" i="21"/>
  <c r="BU59" i="19"/>
  <c r="BU247" i="19" s="1"/>
  <c r="BM37" i="21"/>
  <c r="BM59" i="19"/>
  <c r="BM247" i="19" s="1"/>
  <c r="BE37" i="21"/>
  <c r="BE59" i="19"/>
  <c r="X30" i="15"/>
  <c r="P30" i="15"/>
  <c r="CB192" i="19"/>
  <c r="CB193" i="19"/>
  <c r="CB194" i="19"/>
  <c r="CB195" i="19"/>
  <c r="BT191" i="19"/>
  <c r="BL192" i="19"/>
  <c r="BL193" i="19"/>
  <c r="BL194" i="19"/>
  <c r="BL195" i="19"/>
  <c r="BD192" i="19"/>
  <c r="BD194" i="19"/>
  <c r="BD193" i="19"/>
  <c r="BD195" i="19"/>
  <c r="W22" i="15"/>
  <c r="O22" i="15"/>
  <c r="F22" i="15"/>
  <c r="X53" i="19"/>
  <c r="CC185" i="19"/>
  <c r="BU186" i="19"/>
  <c r="BU187" i="19"/>
  <c r="BU188" i="19"/>
  <c r="BU189" i="19"/>
  <c r="BM186" i="19"/>
  <c r="BM187" i="19"/>
  <c r="BM188" i="19"/>
  <c r="BM189" i="19"/>
  <c r="P53" i="19"/>
  <c r="BE185" i="19"/>
  <c r="X21" i="15"/>
  <c r="P21" i="15"/>
  <c r="AA52" i="19"/>
  <c r="CL179" i="19"/>
  <c r="CD181" i="19"/>
  <c r="CD182" i="19"/>
  <c r="CD180" i="19"/>
  <c r="CD183" i="19"/>
  <c r="BV181" i="19"/>
  <c r="BV180" i="19"/>
  <c r="BV182" i="19"/>
  <c r="BV183" i="19"/>
  <c r="BN179" i="19"/>
  <c r="BF181" i="19"/>
  <c r="BF180" i="19"/>
  <c r="BF182" i="19"/>
  <c r="BF183" i="19"/>
  <c r="CM36" i="21"/>
  <c r="CM51" i="19"/>
  <c r="CM173" i="19" s="1"/>
  <c r="CE36" i="21"/>
  <c r="CE51" i="19"/>
  <c r="CE173" i="19" s="1"/>
  <c r="BW36" i="21"/>
  <c r="BW51" i="19"/>
  <c r="BO36" i="21"/>
  <c r="BO51" i="19"/>
  <c r="BO173" i="19" s="1"/>
  <c r="BG36" i="21"/>
  <c r="BG51" i="19"/>
  <c r="BG173" i="19" s="1"/>
  <c r="AY36" i="21"/>
  <c r="AY51" i="19"/>
  <c r="Z19" i="15"/>
  <c r="AA46" i="19"/>
  <c r="CL117" i="19"/>
  <c r="CD70" i="19"/>
  <c r="CD117" i="19"/>
  <c r="BV117" i="19"/>
  <c r="S46" i="19"/>
  <c r="BN70" i="19"/>
  <c r="BN117" i="19"/>
  <c r="BF117" i="19"/>
  <c r="CM69" i="19"/>
  <c r="CM111" i="19"/>
  <c r="CE69" i="19"/>
  <c r="CE111" i="19"/>
  <c r="V45" i="19"/>
  <c r="BW111" i="19"/>
  <c r="BO69" i="19"/>
  <c r="BO111" i="19"/>
  <c r="BG69" i="19"/>
  <c r="BG111" i="19"/>
  <c r="D45" i="19"/>
  <c r="N45" i="19"/>
  <c r="AY69" i="19"/>
  <c r="AY111" i="19"/>
  <c r="Z10" i="15"/>
  <c r="R10" i="15"/>
  <c r="CN68" i="19"/>
  <c r="CN105" i="19"/>
  <c r="Y44" i="19"/>
  <c r="CF105" i="19"/>
  <c r="BX105" i="19"/>
  <c r="BP105" i="19"/>
  <c r="Q44" i="19"/>
  <c r="BH105" i="19"/>
  <c r="AZ68" i="19"/>
  <c r="AZ105" i="19"/>
  <c r="AA9" i="15"/>
  <c r="S9" i="15"/>
  <c r="CG35" i="21"/>
  <c r="CG43" i="19"/>
  <c r="BY35" i="21"/>
  <c r="BY43" i="19"/>
  <c r="BQ35" i="21"/>
  <c r="BQ43" i="19"/>
  <c r="BI35" i="21"/>
  <c r="BI43" i="19"/>
  <c r="BA35" i="21"/>
  <c r="BA43" i="19"/>
  <c r="T8" i="15"/>
  <c r="T71" i="15" s="1"/>
  <c r="CH7" i="15"/>
  <c r="BY162" i="11"/>
  <c r="BY126" i="1" s="1"/>
  <c r="V126" i="1" s="1"/>
  <c r="V127" i="1" s="1"/>
  <c r="CE161" i="11"/>
  <c r="CE125" i="1" s="1"/>
  <c r="X125" i="1" s="1"/>
  <c r="X127" i="1" s="1"/>
  <c r="CN142" i="11"/>
  <c r="BU142" i="11"/>
  <c r="BC142" i="11"/>
  <c r="S142" i="11"/>
  <c r="BW114" i="11"/>
  <c r="V112" i="11"/>
  <c r="V114" i="11" s="1"/>
  <c r="CN112" i="11"/>
  <c r="CN114" i="11" s="1"/>
  <c r="CN159" i="11"/>
  <c r="CN123" i="1" s="1"/>
  <c r="AA123" i="1" s="1"/>
  <c r="AA127" i="1" s="1"/>
  <c r="CF112" i="11"/>
  <c r="CF159" i="11"/>
  <c r="CF123" i="1" s="1"/>
  <c r="BX112" i="11"/>
  <c r="BX114" i="11" s="1"/>
  <c r="BX159" i="11"/>
  <c r="BX123" i="1" s="1"/>
  <c r="BP112" i="11"/>
  <c r="BP114" i="11" s="1"/>
  <c r="BP159" i="11"/>
  <c r="BP123" i="1" s="1"/>
  <c r="S123" i="1" s="1"/>
  <c r="S127" i="1" s="1"/>
  <c r="BH112" i="11"/>
  <c r="BH159" i="11"/>
  <c r="BH123" i="1" s="1"/>
  <c r="AZ112" i="11"/>
  <c r="AZ114" i="11" s="1"/>
  <c r="AZ159" i="11"/>
  <c r="AZ123" i="1" s="1"/>
  <c r="R83" i="15"/>
  <c r="R86" i="15" s="1"/>
  <c r="BZ66" i="15"/>
  <c r="CC59" i="15"/>
  <c r="BE59" i="15"/>
  <c r="R55" i="15"/>
  <c r="AA54" i="15"/>
  <c r="S54" i="15"/>
  <c r="CM44" i="15"/>
  <c r="CE44" i="15"/>
  <c r="BW44" i="15"/>
  <c r="BO44" i="15"/>
  <c r="BG44" i="15"/>
  <c r="AY44" i="15"/>
  <c r="BD94" i="15" s="1"/>
  <c r="R44" i="15"/>
  <c r="CN43" i="15"/>
  <c r="BX36" i="23"/>
  <c r="R62" i="22"/>
  <c r="CH9" i="24"/>
  <c r="CH11" i="24" s="1"/>
  <c r="CH13" i="24" s="1"/>
  <c r="CH21" i="24" s="1"/>
  <c r="CH22" i="24" s="1"/>
  <c r="CH25" i="24" s="1"/>
  <c r="BP36" i="23"/>
  <c r="BZ9" i="24"/>
  <c r="BH36" i="23"/>
  <c r="BH37" i="23" s="1"/>
  <c r="BR9" i="24"/>
  <c r="BR11" i="24" s="1"/>
  <c r="BR13" i="24" s="1"/>
  <c r="BR21" i="24" s="1"/>
  <c r="BR22" i="24" s="1"/>
  <c r="BR25" i="24" s="1"/>
  <c r="AZ36" i="23"/>
  <c r="BJ9" i="24"/>
  <c r="BJ11" i="24" s="1"/>
  <c r="BJ13" i="24" s="1"/>
  <c r="AR36" i="23"/>
  <c r="BB9" i="24"/>
  <c r="U41" i="15"/>
  <c r="CH36" i="15"/>
  <c r="CG266" i="19"/>
  <c r="CG267" i="19"/>
  <c r="CG268" i="19"/>
  <c r="CG269" i="19"/>
  <c r="BY266" i="19"/>
  <c r="BY267" i="19"/>
  <c r="BY268" i="19"/>
  <c r="BY269" i="19"/>
  <c r="T62" i="19"/>
  <c r="BQ265" i="19"/>
  <c r="BI266" i="19"/>
  <c r="BI267" i="19"/>
  <c r="BI268" i="19"/>
  <c r="BI269" i="19"/>
  <c r="BA266" i="19"/>
  <c r="BA267" i="19"/>
  <c r="BA268" i="19"/>
  <c r="BA269" i="19"/>
  <c r="T33" i="15"/>
  <c r="CH262" i="19"/>
  <c r="CH263" i="19"/>
  <c r="CH261" i="19"/>
  <c r="CH260" i="19"/>
  <c r="W61" i="19"/>
  <c r="BZ259" i="19"/>
  <c r="BR262" i="19"/>
  <c r="BR263" i="19"/>
  <c r="BR261" i="19"/>
  <c r="BR260" i="19"/>
  <c r="BJ262" i="19"/>
  <c r="BJ263" i="19"/>
  <c r="BJ261" i="19"/>
  <c r="BJ260" i="19"/>
  <c r="O61" i="19"/>
  <c r="BB259" i="19"/>
  <c r="U32" i="15"/>
  <c r="Z60" i="19"/>
  <c r="CI253" i="19"/>
  <c r="CA254" i="19"/>
  <c r="CA255" i="19"/>
  <c r="CA256" i="19"/>
  <c r="CA257" i="19"/>
  <c r="BS254" i="19"/>
  <c r="BS255" i="19"/>
  <c r="BS256" i="19"/>
  <c r="BS257" i="19"/>
  <c r="R60" i="19"/>
  <c r="BK253" i="19"/>
  <c r="BC254" i="19"/>
  <c r="BC255" i="19"/>
  <c r="BC256" i="19"/>
  <c r="BC257" i="19"/>
  <c r="V31" i="15"/>
  <c r="E31" i="15"/>
  <c r="CJ37" i="21"/>
  <c r="CJ59" i="19"/>
  <c r="CJ247" i="19" s="1"/>
  <c r="CB37" i="21"/>
  <c r="CB59" i="19"/>
  <c r="CB247" i="19" s="1"/>
  <c r="BT37" i="21"/>
  <c r="BT59" i="19"/>
  <c r="BL37" i="21"/>
  <c r="BL59" i="19"/>
  <c r="BL247" i="19" s="1"/>
  <c r="BD37" i="21"/>
  <c r="BD59" i="19"/>
  <c r="BD247" i="19" s="1"/>
  <c r="Z54" i="19"/>
  <c r="CI191" i="19"/>
  <c r="CA192" i="19"/>
  <c r="CA193" i="19"/>
  <c r="CA194" i="19"/>
  <c r="CA195" i="19"/>
  <c r="BS193" i="19"/>
  <c r="BS195" i="19"/>
  <c r="BS194" i="19"/>
  <c r="R54" i="19"/>
  <c r="BK191" i="19"/>
  <c r="BC192" i="19"/>
  <c r="BC193" i="19"/>
  <c r="BC194" i="19"/>
  <c r="BC195" i="19"/>
  <c r="V22" i="15"/>
  <c r="N22" i="15"/>
  <c r="E22" i="15"/>
  <c r="CB187" i="19"/>
  <c r="CB188" i="19"/>
  <c r="CB189" i="19"/>
  <c r="CB186" i="19"/>
  <c r="U53" i="19"/>
  <c r="BT185" i="19"/>
  <c r="BL187" i="19"/>
  <c r="BL188" i="19"/>
  <c r="BL189" i="19"/>
  <c r="BL186" i="19"/>
  <c r="BD187" i="19"/>
  <c r="BD188" i="19"/>
  <c r="BD189" i="19"/>
  <c r="BD186" i="19"/>
  <c r="W21" i="15"/>
  <c r="O21" i="15"/>
  <c r="CK181" i="19"/>
  <c r="CK183" i="19"/>
  <c r="CK182" i="19"/>
  <c r="X52" i="19"/>
  <c r="CC179" i="19"/>
  <c r="BU181" i="19"/>
  <c r="BU183" i="19"/>
  <c r="BU182" i="19"/>
  <c r="BM180" i="19"/>
  <c r="BM183" i="19"/>
  <c r="BM181" i="19"/>
  <c r="BM182" i="19"/>
  <c r="P52" i="19"/>
  <c r="BE179" i="19"/>
  <c r="X20" i="15"/>
  <c r="P20" i="15"/>
  <c r="CL36" i="21"/>
  <c r="CL51" i="19"/>
  <c r="CD36" i="21"/>
  <c r="CD51" i="19"/>
  <c r="CD173" i="19" s="1"/>
  <c r="BV36" i="21"/>
  <c r="BV51" i="19"/>
  <c r="BV173" i="19" s="1"/>
  <c r="BN36" i="21"/>
  <c r="BN51" i="19"/>
  <c r="BF36" i="21"/>
  <c r="BF51" i="19"/>
  <c r="BF173" i="19" s="1"/>
  <c r="Y19" i="15"/>
  <c r="Y72" i="15" s="1"/>
  <c r="Q19" i="15"/>
  <c r="CK70" i="19"/>
  <c r="CK117" i="19"/>
  <c r="X46" i="19"/>
  <c r="CC70" i="19"/>
  <c r="CC117" i="19"/>
  <c r="BU70" i="19"/>
  <c r="BU117" i="19"/>
  <c r="BM70" i="19"/>
  <c r="BM117" i="19"/>
  <c r="P46" i="19"/>
  <c r="BE70" i="19"/>
  <c r="BE117" i="19"/>
  <c r="X11" i="15"/>
  <c r="P11" i="15"/>
  <c r="AA45" i="19"/>
  <c r="CL69" i="19"/>
  <c r="CL111" i="19"/>
  <c r="CD69" i="19"/>
  <c r="CD111" i="19"/>
  <c r="BV69" i="19"/>
  <c r="BV111" i="19"/>
  <c r="S45" i="19"/>
  <c r="BN69" i="19"/>
  <c r="BN111" i="19"/>
  <c r="BF69" i="19"/>
  <c r="BF111" i="19"/>
  <c r="Y10" i="15"/>
  <c r="CM68" i="19"/>
  <c r="CM105" i="19"/>
  <c r="CE68" i="19"/>
  <c r="CE105" i="19"/>
  <c r="V44" i="19"/>
  <c r="F44" i="19"/>
  <c r="BW68" i="19"/>
  <c r="BW105" i="19"/>
  <c r="BO68" i="19"/>
  <c r="BO105" i="19"/>
  <c r="BG68" i="19"/>
  <c r="BG105" i="19"/>
  <c r="D44" i="19"/>
  <c r="N44" i="19"/>
  <c r="AY68" i="19"/>
  <c r="AY105" i="19"/>
  <c r="Z9" i="15"/>
  <c r="R9" i="15"/>
  <c r="CN35" i="21"/>
  <c r="CN43" i="19"/>
  <c r="CF35" i="21"/>
  <c r="CF43" i="19"/>
  <c r="BX35" i="21"/>
  <c r="BX43" i="19"/>
  <c r="BP35" i="21"/>
  <c r="BP43" i="19"/>
  <c r="BH35" i="21"/>
  <c r="BH43" i="19"/>
  <c r="AZ35" i="21"/>
  <c r="AZ43" i="19"/>
  <c r="CM142" i="11"/>
  <c r="CC142" i="11"/>
  <c r="CR141" i="11"/>
  <c r="AC140" i="11"/>
  <c r="ET26" i="7" s="1"/>
  <c r="CR139" i="11"/>
  <c r="CR162" i="11" s="1"/>
  <c r="CR126" i="1" s="1"/>
  <c r="G140" i="11"/>
  <c r="ET26" i="25" s="1"/>
  <c r="CJ141" i="11"/>
  <c r="Z140" i="11"/>
  <c r="EQ26" i="7" s="1"/>
  <c r="CJ139" i="11"/>
  <c r="CJ162" i="11" s="1"/>
  <c r="CJ126" i="1" s="1"/>
  <c r="CB141" i="11"/>
  <c r="CB139" i="11"/>
  <c r="BT141" i="11"/>
  <c r="U140" i="11"/>
  <c r="BT139" i="11"/>
  <c r="BT162" i="11" s="1"/>
  <c r="BT126" i="1" s="1"/>
  <c r="BL141" i="11"/>
  <c r="R140" i="11"/>
  <c r="BL139" i="11"/>
  <c r="BL162" i="11" s="1"/>
  <c r="BL126" i="1" s="1"/>
  <c r="F140" i="11"/>
  <c r="ES26" i="25" s="1"/>
  <c r="Y139" i="11"/>
  <c r="Y162" i="11" s="1"/>
  <c r="F139" i="11"/>
  <c r="Q135" i="11"/>
  <c r="F134" i="11"/>
  <c r="Y134" i="11"/>
  <c r="Y161" i="11" s="1"/>
  <c r="AA112" i="11"/>
  <c r="O74" i="11"/>
  <c r="O155" i="11" s="1"/>
  <c r="BD155" i="11"/>
  <c r="Y62" i="19"/>
  <c r="CF265" i="19"/>
  <c r="BX266" i="19"/>
  <c r="BX267" i="19"/>
  <c r="BX268" i="19"/>
  <c r="BX269" i="19"/>
  <c r="BP266" i="19"/>
  <c r="BP267" i="19"/>
  <c r="BP268" i="19"/>
  <c r="BP269" i="19"/>
  <c r="Q62" i="19"/>
  <c r="BH265" i="19"/>
  <c r="AZ266" i="19"/>
  <c r="AZ267" i="19"/>
  <c r="AZ268" i="19"/>
  <c r="AZ269" i="19"/>
  <c r="CG263" i="19"/>
  <c r="CG260" i="19"/>
  <c r="CG262" i="19"/>
  <c r="CG261" i="19"/>
  <c r="BY263" i="19"/>
  <c r="BY260" i="19"/>
  <c r="BY262" i="19"/>
  <c r="BY261" i="19"/>
  <c r="T61" i="19"/>
  <c r="BQ259" i="19"/>
  <c r="BI263" i="19"/>
  <c r="BI260" i="19"/>
  <c r="BI262" i="19"/>
  <c r="BI261" i="19"/>
  <c r="BA263" i="19"/>
  <c r="BA260" i="19"/>
  <c r="BA262" i="19"/>
  <c r="BA261" i="19"/>
  <c r="T32" i="15"/>
  <c r="CH255" i="19"/>
  <c r="CH256" i="19"/>
  <c r="CH257" i="19"/>
  <c r="W60" i="19"/>
  <c r="BZ253" i="19"/>
  <c r="BR255" i="19"/>
  <c r="BR256" i="19"/>
  <c r="BR257" i="19"/>
  <c r="BJ255" i="19"/>
  <c r="BJ256" i="19"/>
  <c r="BJ257" i="19"/>
  <c r="O60" i="19"/>
  <c r="BB253" i="19"/>
  <c r="U31" i="15"/>
  <c r="CI37" i="21"/>
  <c r="CI59" i="19"/>
  <c r="CA37" i="21"/>
  <c r="CA59" i="19"/>
  <c r="CA247" i="19" s="1"/>
  <c r="BS37" i="21"/>
  <c r="BS59" i="19"/>
  <c r="BS247" i="19" s="1"/>
  <c r="BK37" i="21"/>
  <c r="BK59" i="19"/>
  <c r="BC37" i="21"/>
  <c r="BC59" i="19"/>
  <c r="BC247" i="19" s="1"/>
  <c r="E30" i="15"/>
  <c r="CH192" i="19"/>
  <c r="CH193" i="19"/>
  <c r="CH194" i="19"/>
  <c r="CH195" i="19"/>
  <c r="W54" i="19"/>
  <c r="BZ191" i="19"/>
  <c r="BR192" i="19"/>
  <c r="BR193" i="19"/>
  <c r="BR194" i="19"/>
  <c r="BR195" i="19"/>
  <c r="BJ192" i="19"/>
  <c r="BJ193" i="19"/>
  <c r="BJ194" i="19"/>
  <c r="BJ195" i="19"/>
  <c r="O54" i="19"/>
  <c r="BB191" i="19"/>
  <c r="U22" i="15"/>
  <c r="D22" i="15"/>
  <c r="Z53" i="19"/>
  <c r="CI185" i="19"/>
  <c r="CA188" i="19"/>
  <c r="CA189" i="19"/>
  <c r="CA187" i="19"/>
  <c r="BS188" i="19"/>
  <c r="BS189" i="19"/>
  <c r="BS186" i="19"/>
  <c r="BS187" i="19"/>
  <c r="E53" i="19"/>
  <c r="R53" i="19"/>
  <c r="BK185" i="19"/>
  <c r="BC188" i="19"/>
  <c r="BC189" i="19"/>
  <c r="BC187" i="19"/>
  <c r="E21" i="15"/>
  <c r="CJ181" i="19"/>
  <c r="CJ182" i="19"/>
  <c r="CB180" i="19"/>
  <c r="CB182" i="19"/>
  <c r="CB181" i="19"/>
  <c r="CB183" i="19"/>
  <c r="U52" i="19"/>
  <c r="BT179" i="19"/>
  <c r="BL182" i="19"/>
  <c r="BL180" i="19"/>
  <c r="BL181" i="19"/>
  <c r="BL183" i="19"/>
  <c r="BD181" i="19"/>
  <c r="BD180" i="19"/>
  <c r="BD182" i="19"/>
  <c r="BD183" i="19"/>
  <c r="W20" i="15"/>
  <c r="O20" i="15"/>
  <c r="F20" i="15"/>
  <c r="CK36" i="21"/>
  <c r="CK51" i="19"/>
  <c r="CK173" i="19" s="1"/>
  <c r="CC36" i="21"/>
  <c r="CC51" i="19"/>
  <c r="BU36" i="21"/>
  <c r="BU51" i="19"/>
  <c r="BU173" i="19" s="1"/>
  <c r="BM36" i="21"/>
  <c r="BM51" i="19"/>
  <c r="BM173" i="19" s="1"/>
  <c r="BE36" i="21"/>
  <c r="BE51" i="19"/>
  <c r="X19" i="15"/>
  <c r="X72" i="15" s="1"/>
  <c r="P19" i="15"/>
  <c r="P72" i="15" s="1"/>
  <c r="CJ70" i="19"/>
  <c r="CJ117" i="19"/>
  <c r="CB117" i="19"/>
  <c r="U46" i="19"/>
  <c r="BT70" i="19"/>
  <c r="BT117" i="19"/>
  <c r="BL70" i="19"/>
  <c r="BL117" i="19"/>
  <c r="BD70" i="19"/>
  <c r="BD117" i="19"/>
  <c r="W11" i="15"/>
  <c r="O11" i="15"/>
  <c r="F11" i="15"/>
  <c r="CK69" i="19"/>
  <c r="CK111" i="19"/>
  <c r="X45" i="19"/>
  <c r="CC69" i="19"/>
  <c r="X69" i="19" s="1"/>
  <c r="CC111" i="19"/>
  <c r="BU111" i="19"/>
  <c r="BM69" i="19"/>
  <c r="BM111" i="19"/>
  <c r="P45" i="19"/>
  <c r="BE69" i="19"/>
  <c r="P69" i="19" s="1"/>
  <c r="BE111" i="19"/>
  <c r="X10" i="15"/>
  <c r="P10" i="15"/>
  <c r="AA44" i="19"/>
  <c r="CL105" i="19"/>
  <c r="CD68" i="19"/>
  <c r="CD105" i="19"/>
  <c r="BV105" i="19"/>
  <c r="S44" i="19"/>
  <c r="BN68" i="19"/>
  <c r="BN105" i="19"/>
  <c r="BF105" i="19"/>
  <c r="Y9" i="15"/>
  <c r="Q9" i="15"/>
  <c r="CM35" i="21"/>
  <c r="CM43" i="19"/>
  <c r="CE35" i="21"/>
  <c r="CE43" i="19"/>
  <c r="BW35" i="21"/>
  <c r="BW43" i="19"/>
  <c r="BO35" i="21"/>
  <c r="BO43" i="19"/>
  <c r="BG35" i="21"/>
  <c r="BG43" i="19"/>
  <c r="AY35" i="21"/>
  <c r="AY43" i="19"/>
  <c r="BS142" i="11"/>
  <c r="AA142" i="11"/>
  <c r="ER28" i="7" s="1"/>
  <c r="K145" i="11"/>
  <c r="DU145" i="11"/>
  <c r="EC145" i="11"/>
  <c r="DV145" i="11"/>
  <c r="ED145" i="11"/>
  <c r="DW145" i="11"/>
  <c r="DX145" i="11"/>
  <c r="DZ145" i="11"/>
  <c r="DS145" i="11"/>
  <c r="EA145" i="11"/>
  <c r="E140" i="11"/>
  <c r="ER26" i="25" s="1"/>
  <c r="G135" i="11"/>
  <c r="ET21" i="25" s="1"/>
  <c r="E135" i="11"/>
  <c r="ER21" i="25" s="1"/>
  <c r="U112" i="11"/>
  <c r="X62" i="22"/>
  <c r="BN36" i="23"/>
  <c r="BX9" i="24"/>
  <c r="BX11" i="24" s="1"/>
  <c r="BX13" i="24" s="1"/>
  <c r="BX21" i="24" s="1"/>
  <c r="BX22" i="24" s="1"/>
  <c r="BX25" i="24" s="1"/>
  <c r="BF36" i="23"/>
  <c r="BP9" i="24"/>
  <c r="BP11" i="24" s="1"/>
  <c r="BP13" i="24" s="1"/>
  <c r="BP21" i="24" s="1"/>
  <c r="BP22" i="24" s="1"/>
  <c r="BP25" i="24" s="1"/>
  <c r="AX36" i="23"/>
  <c r="BH9" i="24"/>
  <c r="AP36" i="23"/>
  <c r="AZ9" i="24"/>
  <c r="AZ11" i="24" s="1"/>
  <c r="AZ13" i="24" s="1"/>
  <c r="CE266" i="19"/>
  <c r="CE267" i="19"/>
  <c r="CE268" i="19"/>
  <c r="CE269" i="19"/>
  <c r="V62" i="19"/>
  <c r="BW265" i="19"/>
  <c r="BO266" i="19"/>
  <c r="BO267" i="19"/>
  <c r="BO268" i="19"/>
  <c r="BO269" i="19"/>
  <c r="BG266" i="19"/>
  <c r="BG267" i="19"/>
  <c r="BG268" i="19"/>
  <c r="BG269" i="19"/>
  <c r="D62" i="19"/>
  <c r="N62" i="19"/>
  <c r="AY265" i="19"/>
  <c r="Z33" i="15"/>
  <c r="R33" i="15"/>
  <c r="Y61" i="19"/>
  <c r="CF259" i="19"/>
  <c r="BX260" i="19"/>
  <c r="BX261" i="19"/>
  <c r="BX263" i="19"/>
  <c r="BX262" i="19"/>
  <c r="BP260" i="19"/>
  <c r="BP261" i="19"/>
  <c r="BP263" i="19"/>
  <c r="BP262" i="19"/>
  <c r="Q61" i="19"/>
  <c r="BH259" i="19"/>
  <c r="AZ260" i="19"/>
  <c r="AZ261" i="19"/>
  <c r="AZ263" i="19"/>
  <c r="AZ262" i="19"/>
  <c r="AA32" i="15"/>
  <c r="CG254" i="19"/>
  <c r="CG255" i="19"/>
  <c r="CG256" i="19"/>
  <c r="CG257" i="19"/>
  <c r="BY256" i="19"/>
  <c r="BY257" i="19"/>
  <c r="BY255" i="19"/>
  <c r="BY254" i="19"/>
  <c r="T60" i="19"/>
  <c r="BQ253" i="19"/>
  <c r="BI254" i="19"/>
  <c r="BI256" i="19"/>
  <c r="BI257" i="19"/>
  <c r="BI255" i="19"/>
  <c r="BA254" i="19"/>
  <c r="BA256" i="19"/>
  <c r="BA255" i="19"/>
  <c r="BA257" i="19"/>
  <c r="T31" i="15"/>
  <c r="CH37" i="21"/>
  <c r="CH59" i="19"/>
  <c r="CH247" i="19" s="1"/>
  <c r="BZ37" i="21"/>
  <c r="BZ59" i="19"/>
  <c r="BR37" i="21"/>
  <c r="BR59" i="19"/>
  <c r="BR247" i="19" s="1"/>
  <c r="BJ37" i="21"/>
  <c r="BJ59" i="19"/>
  <c r="BJ247" i="19" s="1"/>
  <c r="BB37" i="21"/>
  <c r="BB59" i="19"/>
  <c r="U30" i="15"/>
  <c r="U73" i="15" s="1"/>
  <c r="CI29" i="15"/>
  <c r="CI36" i="15" s="1"/>
  <c r="CG192" i="19"/>
  <c r="CG193" i="19"/>
  <c r="CG194" i="19"/>
  <c r="CG195" i="19"/>
  <c r="BY192" i="19"/>
  <c r="BY193" i="19"/>
  <c r="BY194" i="19"/>
  <c r="BY195" i="19"/>
  <c r="T54" i="19"/>
  <c r="BQ191" i="19"/>
  <c r="BI192" i="19"/>
  <c r="BI193" i="19"/>
  <c r="BI194" i="19"/>
  <c r="BI195" i="19"/>
  <c r="BA192" i="19"/>
  <c r="BA193" i="19"/>
  <c r="BA194" i="19"/>
  <c r="BA195" i="19"/>
  <c r="T22" i="15"/>
  <c r="CH189" i="19"/>
  <c r="CH187" i="19"/>
  <c r="CH188" i="19"/>
  <c r="W53" i="19"/>
  <c r="BZ185" i="19"/>
  <c r="BR189" i="19"/>
  <c r="BR187" i="19"/>
  <c r="BR188" i="19"/>
  <c r="BJ189" i="19"/>
  <c r="BJ187" i="19"/>
  <c r="BJ188" i="19"/>
  <c r="O53" i="19"/>
  <c r="BB185" i="19"/>
  <c r="U21" i="15"/>
  <c r="Z52" i="19"/>
  <c r="CI179" i="19"/>
  <c r="CA180" i="19"/>
  <c r="CA182" i="19"/>
  <c r="CA183" i="19"/>
  <c r="CA181" i="19"/>
  <c r="BS181" i="19"/>
  <c r="BS182" i="19"/>
  <c r="BS183" i="19"/>
  <c r="E52" i="19"/>
  <c r="R52" i="19"/>
  <c r="BK179" i="19"/>
  <c r="BC181" i="19"/>
  <c r="BC182" i="19"/>
  <c r="BC183" i="19"/>
  <c r="V20" i="15"/>
  <c r="E20" i="15"/>
  <c r="CJ36" i="21"/>
  <c r="CJ51" i="19"/>
  <c r="CJ173" i="19" s="1"/>
  <c r="CB36" i="21"/>
  <c r="CB51" i="19"/>
  <c r="CB173" i="19" s="1"/>
  <c r="BT36" i="21"/>
  <c r="BT51" i="19"/>
  <c r="BL36" i="21"/>
  <c r="BL51" i="19"/>
  <c r="BL173" i="19" s="1"/>
  <c r="BD36" i="21"/>
  <c r="BD51" i="19"/>
  <c r="BD173" i="19" s="1"/>
  <c r="O19" i="15"/>
  <c r="F19" i="15"/>
  <c r="CH71" i="19"/>
  <c r="Z46" i="19"/>
  <c r="CI70" i="19"/>
  <c r="CI117" i="19"/>
  <c r="CA70" i="19"/>
  <c r="CA117" i="19"/>
  <c r="BS70" i="19"/>
  <c r="BS117" i="19"/>
  <c r="R46" i="19"/>
  <c r="BK70" i="19"/>
  <c r="BK117" i="19"/>
  <c r="BC70" i="19"/>
  <c r="BC117" i="19"/>
  <c r="E11" i="15"/>
  <c r="CJ69" i="19"/>
  <c r="CJ111" i="19"/>
  <c r="CB69" i="19"/>
  <c r="CB111" i="19"/>
  <c r="U45" i="19"/>
  <c r="BT69" i="19"/>
  <c r="BT111" i="19"/>
  <c r="BL69" i="19"/>
  <c r="BL111" i="19"/>
  <c r="BD69" i="19"/>
  <c r="BD111" i="19"/>
  <c r="W10" i="15"/>
  <c r="O10" i="15"/>
  <c r="CK68" i="19"/>
  <c r="CK105" i="19"/>
  <c r="X44" i="19"/>
  <c r="CC68" i="19"/>
  <c r="CC105" i="19"/>
  <c r="BU68" i="19"/>
  <c r="BU105" i="19"/>
  <c r="BM68" i="19"/>
  <c r="BM105" i="19"/>
  <c r="P44" i="19"/>
  <c r="BE68" i="19"/>
  <c r="BE105" i="19"/>
  <c r="X9" i="15"/>
  <c r="P9" i="15"/>
  <c r="CL35" i="21"/>
  <c r="CL43" i="19"/>
  <c r="CD35" i="21"/>
  <c r="CD43" i="19"/>
  <c r="BV35" i="21"/>
  <c r="BV43" i="19"/>
  <c r="BN35" i="21"/>
  <c r="BN43" i="19"/>
  <c r="BF35" i="21"/>
  <c r="BF43" i="19"/>
  <c r="Y8" i="15"/>
  <c r="CS142" i="11"/>
  <c r="CK142" i="11"/>
  <c r="CA142" i="11"/>
  <c r="V125" i="11"/>
  <c r="BO145" i="11"/>
  <c r="D125" i="11"/>
  <c r="N125" i="11"/>
  <c r="CC114" i="11"/>
  <c r="X112" i="11"/>
  <c r="BE114" i="11"/>
  <c r="P112" i="11"/>
  <c r="BX192" i="19"/>
  <c r="BX193" i="19"/>
  <c r="BX194" i="19"/>
  <c r="BX195" i="19"/>
  <c r="BP193" i="19"/>
  <c r="BP194" i="19"/>
  <c r="BP195" i="19"/>
  <c r="Q54" i="19"/>
  <c r="BH191" i="19"/>
  <c r="AZ193" i="19"/>
  <c r="AZ194" i="19"/>
  <c r="AZ195" i="19"/>
  <c r="CG188" i="19"/>
  <c r="CG187" i="19"/>
  <c r="CG189" i="19"/>
  <c r="BY188" i="19"/>
  <c r="BY187" i="19"/>
  <c r="BY189" i="19"/>
  <c r="T53" i="19"/>
  <c r="BQ185" i="19"/>
  <c r="BI186" i="19"/>
  <c r="BI188" i="19"/>
  <c r="BI189" i="19"/>
  <c r="BI187" i="19"/>
  <c r="BA188" i="19"/>
  <c r="BA187" i="19"/>
  <c r="BA189" i="19"/>
  <c r="T21" i="15"/>
  <c r="CH180" i="19"/>
  <c r="CH181" i="19"/>
  <c r="CH182" i="19"/>
  <c r="CH183" i="19"/>
  <c r="W52" i="19"/>
  <c r="BZ179" i="19"/>
  <c r="BR181" i="19"/>
  <c r="BR182" i="19"/>
  <c r="BR183" i="19"/>
  <c r="BJ182" i="19"/>
  <c r="BJ183" i="19"/>
  <c r="BJ181" i="19"/>
  <c r="O52" i="19"/>
  <c r="BB179" i="19"/>
  <c r="U20" i="15"/>
  <c r="D20" i="15"/>
  <c r="CI36" i="21"/>
  <c r="CI51" i="19"/>
  <c r="CA36" i="21"/>
  <c r="CA51" i="19"/>
  <c r="CA173" i="19" s="1"/>
  <c r="BS36" i="21"/>
  <c r="BS51" i="19"/>
  <c r="BS173" i="19" s="1"/>
  <c r="BK36" i="21"/>
  <c r="BK51" i="19"/>
  <c r="BC36" i="21"/>
  <c r="BC51" i="19"/>
  <c r="BC173" i="19" s="1"/>
  <c r="V19" i="15"/>
  <c r="V72" i="15" s="1"/>
  <c r="N19" i="15"/>
  <c r="N72" i="15" s="1"/>
  <c r="E19" i="15"/>
  <c r="CI14" i="15"/>
  <c r="CH70" i="19"/>
  <c r="CH117" i="19"/>
  <c r="W46" i="19"/>
  <c r="BZ70" i="19"/>
  <c r="BZ117" i="19"/>
  <c r="BR70" i="19"/>
  <c r="BR117" i="19"/>
  <c r="BJ70" i="19"/>
  <c r="BJ117" i="19"/>
  <c r="O46" i="19"/>
  <c r="BB70" i="19"/>
  <c r="O70" i="19" s="1"/>
  <c r="BB117" i="19"/>
  <c r="U11" i="15"/>
  <c r="Z45" i="19"/>
  <c r="CI69" i="19"/>
  <c r="CI111" i="19"/>
  <c r="CA69" i="19"/>
  <c r="CA111" i="19"/>
  <c r="BS69" i="19"/>
  <c r="BS111" i="19"/>
  <c r="R45" i="19"/>
  <c r="E45" i="19"/>
  <c r="BK69" i="19"/>
  <c r="BK111" i="19"/>
  <c r="BC69" i="19"/>
  <c r="BC111" i="19"/>
  <c r="V10" i="15"/>
  <c r="E10" i="15"/>
  <c r="CJ68" i="19"/>
  <c r="CJ105" i="19"/>
  <c r="CB68" i="19"/>
  <c r="CB105" i="19"/>
  <c r="U44" i="19"/>
  <c r="BT68" i="19"/>
  <c r="BT105" i="19"/>
  <c r="BL68" i="19"/>
  <c r="BL105" i="19"/>
  <c r="BD68" i="19"/>
  <c r="BD105" i="19"/>
  <c r="F9" i="15"/>
  <c r="CK35" i="21"/>
  <c r="CK43" i="19"/>
  <c r="CC35" i="21"/>
  <c r="CC43" i="19"/>
  <c r="BU35" i="21"/>
  <c r="BU43" i="19"/>
  <c r="BM35" i="21"/>
  <c r="BM43" i="19"/>
  <c r="BE35" i="21"/>
  <c r="BE43" i="19"/>
  <c r="X8" i="15"/>
  <c r="X71" i="15" s="1"/>
  <c r="P8" i="15"/>
  <c r="P71" i="15" s="1"/>
  <c r="CR142" i="11"/>
  <c r="AY142" i="11"/>
  <c r="Y140" i="11"/>
  <c r="CG139" i="11"/>
  <c r="CG162" i="11" s="1"/>
  <c r="CG126" i="1" s="1"/>
  <c r="Q140" i="11"/>
  <c r="BI139" i="11"/>
  <c r="BA139" i="11"/>
  <c r="D140" i="11"/>
  <c r="EQ26" i="25" s="1"/>
  <c r="AB140" i="11"/>
  <c r="ES26" i="7" s="1"/>
  <c r="AB135" i="11"/>
  <c r="ES21" i="7" s="1"/>
  <c r="AA125" i="11"/>
  <c r="S125" i="11"/>
  <c r="AY114" i="11"/>
  <c r="CH45" i="15"/>
  <c r="CI44" i="15"/>
  <c r="CB36" i="23"/>
  <c r="V62" i="22"/>
  <c r="CL9" i="24"/>
  <c r="BT36" i="23"/>
  <c r="N62" i="22"/>
  <c r="CD9" i="24"/>
  <c r="CD11" i="24" s="1"/>
  <c r="CD13" i="24" s="1"/>
  <c r="CD21" i="24" s="1"/>
  <c r="CD22" i="24" s="1"/>
  <c r="CD25" i="24" s="1"/>
  <c r="BL36" i="23"/>
  <c r="BL37" i="23" s="1"/>
  <c r="BV9" i="24"/>
  <c r="BV11" i="24" s="1"/>
  <c r="BV13" i="24" s="1"/>
  <c r="BV21" i="24" s="1"/>
  <c r="BV22" i="24" s="1"/>
  <c r="BV25" i="24" s="1"/>
  <c r="BD36" i="23"/>
  <c r="BN9" i="24"/>
  <c r="AV36" i="23"/>
  <c r="AV37" i="23" s="1"/>
  <c r="BF9" i="24"/>
  <c r="BF11" i="24" s="1"/>
  <c r="BF13" i="24" s="1"/>
  <c r="Y41" i="15"/>
  <c r="Q41" i="15"/>
  <c r="X62" i="19"/>
  <c r="CC265" i="19"/>
  <c r="BU268" i="19"/>
  <c r="BU269" i="19"/>
  <c r="BU267" i="19"/>
  <c r="BU266" i="19"/>
  <c r="BM268" i="19"/>
  <c r="BM269" i="19"/>
  <c r="BM267" i="19"/>
  <c r="BM266" i="19"/>
  <c r="P62" i="19"/>
  <c r="BE265" i="19"/>
  <c r="X33" i="15"/>
  <c r="P33" i="15"/>
  <c r="AA61" i="19"/>
  <c r="CL259" i="19"/>
  <c r="CD260" i="19"/>
  <c r="CD261" i="19"/>
  <c r="CD262" i="19"/>
  <c r="CD263" i="19"/>
  <c r="BV260" i="19"/>
  <c r="BV261" i="19"/>
  <c r="BV262" i="19"/>
  <c r="BV263" i="19"/>
  <c r="S61" i="19"/>
  <c r="BN259" i="19"/>
  <c r="BF260" i="19"/>
  <c r="BF261" i="19"/>
  <c r="BF262" i="19"/>
  <c r="BF263" i="19"/>
  <c r="Y32" i="15"/>
  <c r="Q32" i="15"/>
  <c r="CM254" i="19"/>
  <c r="CM256" i="19"/>
  <c r="CM257" i="19"/>
  <c r="CM255" i="19"/>
  <c r="CE254" i="19"/>
  <c r="CE255" i="19"/>
  <c r="CE256" i="19"/>
  <c r="CE257" i="19"/>
  <c r="F60" i="19"/>
  <c r="BW253" i="19"/>
  <c r="BO254" i="19"/>
  <c r="BO255" i="19"/>
  <c r="BO256" i="19"/>
  <c r="BO257" i="19"/>
  <c r="BG254" i="19"/>
  <c r="BG256" i="19"/>
  <c r="BG257" i="19"/>
  <c r="BG255" i="19"/>
  <c r="N60" i="19"/>
  <c r="AY253" i="19"/>
  <c r="Z31" i="15"/>
  <c r="Z73" i="15" s="1"/>
  <c r="R31" i="15"/>
  <c r="CN37" i="21"/>
  <c r="CN59" i="19"/>
  <c r="CN247" i="19" s="1"/>
  <c r="CF37" i="21"/>
  <c r="CF59" i="19"/>
  <c r="BX37" i="21"/>
  <c r="BX59" i="19"/>
  <c r="BX247" i="19" s="1"/>
  <c r="BP37" i="21"/>
  <c r="BP59" i="19"/>
  <c r="BP247" i="19" s="1"/>
  <c r="BH37" i="21"/>
  <c r="BH59" i="19"/>
  <c r="AZ37" i="21"/>
  <c r="AZ59" i="19"/>
  <c r="AZ247" i="19" s="1"/>
  <c r="AA30" i="15"/>
  <c r="S30" i="15"/>
  <c r="S73" i="15" s="1"/>
  <c r="CH26" i="15"/>
  <c r="CE193" i="19"/>
  <c r="CE194" i="19"/>
  <c r="CE195" i="19"/>
  <c r="CE192" i="19"/>
  <c r="V54" i="19"/>
  <c r="F54" i="19"/>
  <c r="BW191" i="19"/>
  <c r="BO193" i="19"/>
  <c r="BO194" i="19"/>
  <c r="BO195" i="19"/>
  <c r="BO192" i="19"/>
  <c r="BG193" i="19"/>
  <c r="BG194" i="19"/>
  <c r="BG195" i="19"/>
  <c r="BG192" i="19"/>
  <c r="D54" i="19"/>
  <c r="N54" i="19"/>
  <c r="AY191" i="19"/>
  <c r="Z22" i="15"/>
  <c r="R22" i="15"/>
  <c r="Y53" i="19"/>
  <c r="CF185" i="19"/>
  <c r="BX186" i="19"/>
  <c r="BX187" i="19"/>
  <c r="BX189" i="19"/>
  <c r="BX188" i="19"/>
  <c r="BP186" i="19"/>
  <c r="BP187" i="19"/>
  <c r="BP189" i="19"/>
  <c r="BP188" i="19"/>
  <c r="Q53" i="19"/>
  <c r="BH185" i="19"/>
  <c r="AZ187" i="19"/>
  <c r="AZ189" i="19"/>
  <c r="AZ188" i="19"/>
  <c r="AA21" i="15"/>
  <c r="S21" i="15"/>
  <c r="CG180" i="19"/>
  <c r="CG181" i="19"/>
  <c r="CG182" i="19"/>
  <c r="CG183" i="19"/>
  <c r="BY180" i="19"/>
  <c r="BY181" i="19"/>
  <c r="BY182" i="19"/>
  <c r="BY183" i="19"/>
  <c r="T52" i="19"/>
  <c r="BQ179" i="19"/>
  <c r="BI180" i="19"/>
  <c r="BI181" i="19"/>
  <c r="BI182" i="19"/>
  <c r="BI183" i="19"/>
  <c r="BA180" i="19"/>
  <c r="BA181" i="19"/>
  <c r="BA182" i="19"/>
  <c r="BA183" i="19"/>
  <c r="T20" i="15"/>
  <c r="CH36" i="21"/>
  <c r="CH51" i="19"/>
  <c r="CH173" i="19" s="1"/>
  <c r="BZ36" i="21"/>
  <c r="BZ51" i="19"/>
  <c r="BR36" i="21"/>
  <c r="BR51" i="19"/>
  <c r="BR173" i="19" s="1"/>
  <c r="BJ36" i="21"/>
  <c r="BJ51" i="19"/>
  <c r="BJ173" i="19" s="1"/>
  <c r="BB36" i="21"/>
  <c r="BB51" i="19"/>
  <c r="U19" i="15"/>
  <c r="D19" i="15"/>
  <c r="CI18" i="15"/>
  <c r="CH14" i="15"/>
  <c r="CG70" i="19"/>
  <c r="CG117" i="19"/>
  <c r="BY70" i="19"/>
  <c r="BY117" i="19"/>
  <c r="T46" i="19"/>
  <c r="BQ70" i="19"/>
  <c r="BQ117" i="19"/>
  <c r="BI70" i="19"/>
  <c r="BI117" i="19"/>
  <c r="BA70" i="19"/>
  <c r="BA117" i="19"/>
  <c r="T11" i="15"/>
  <c r="CH69" i="19"/>
  <c r="CH111" i="19"/>
  <c r="W45" i="19"/>
  <c r="BZ69" i="19"/>
  <c r="W69" i="19" s="1"/>
  <c r="BZ111" i="19"/>
  <c r="BR69" i="19"/>
  <c r="BR111" i="19"/>
  <c r="BJ69" i="19"/>
  <c r="BJ111" i="19"/>
  <c r="O45" i="19"/>
  <c r="BB69" i="19"/>
  <c r="O69" i="19" s="1"/>
  <c r="BB111" i="19"/>
  <c r="U10" i="15"/>
  <c r="D10" i="15"/>
  <c r="Z44" i="19"/>
  <c r="CI68" i="19"/>
  <c r="CI105" i="19"/>
  <c r="CA68" i="19"/>
  <c r="CA105" i="19"/>
  <c r="BS68" i="19"/>
  <c r="BS105" i="19"/>
  <c r="R44" i="19"/>
  <c r="E44" i="19"/>
  <c r="BK68" i="19"/>
  <c r="BK105" i="19"/>
  <c r="BC68" i="19"/>
  <c r="BC105" i="19"/>
  <c r="V9" i="15"/>
  <c r="N9" i="15"/>
  <c r="E9" i="15"/>
  <c r="CJ35" i="21"/>
  <c r="CJ43" i="19"/>
  <c r="CB35" i="21"/>
  <c r="CB43" i="19"/>
  <c r="BT35" i="21"/>
  <c r="BT43" i="19"/>
  <c r="BL35" i="21"/>
  <c r="BL43" i="19"/>
  <c r="BD35" i="21"/>
  <c r="BD43" i="19"/>
  <c r="W8" i="15"/>
  <c r="W71" i="15" s="1"/>
  <c r="F8" i="15"/>
  <c r="CA163" i="11"/>
  <c r="BM156" i="11"/>
  <c r="BM142" i="11" s="1"/>
  <c r="CH142" i="11"/>
  <c r="BG142" i="11"/>
  <c r="V142" i="11"/>
  <c r="X125" i="11"/>
  <c r="P125" i="11"/>
  <c r="S112" i="11"/>
  <c r="S114" i="11" s="1"/>
  <c r="G112" i="11"/>
  <c r="CI114" i="11"/>
  <c r="BK114" i="11"/>
  <c r="V140" i="11"/>
  <c r="N140" i="11"/>
  <c r="Z111" i="11"/>
  <c r="R111" i="11"/>
  <c r="R159" i="11" s="1"/>
  <c r="R142" i="11" s="1"/>
  <c r="AA107" i="11"/>
  <c r="EH19" i="7" s="1"/>
  <c r="AC107" i="11"/>
  <c r="EJ19" i="7" s="1"/>
  <c r="U107" i="11"/>
  <c r="W106" i="11"/>
  <c r="W160" i="11" s="1"/>
  <c r="AA70" i="11"/>
  <c r="BX13" i="7" s="1"/>
  <c r="CQ23" i="11"/>
  <c r="CQ46" i="1" s="1"/>
  <c r="CI23" i="11"/>
  <c r="Z65" i="11"/>
  <c r="CA23" i="11"/>
  <c r="CA46" i="1" s="1"/>
  <c r="CS40" i="11"/>
  <c r="CS45" i="11" s="1"/>
  <c r="AC62" i="11"/>
  <c r="CK40" i="11"/>
  <c r="CK45" i="11" s="1"/>
  <c r="CC40" i="11"/>
  <c r="BU40" i="11"/>
  <c r="BU45" i="11" s="1"/>
  <c r="U62" i="11"/>
  <c r="BM40" i="11"/>
  <c r="BM90" i="11"/>
  <c r="BE40" i="11"/>
  <c r="D40" i="11" s="1"/>
  <c r="Y111" i="11"/>
  <c r="Y159" i="11" s="1"/>
  <c r="Q111" i="11"/>
  <c r="Q159" i="11" s="1"/>
  <c r="AC80" i="11"/>
  <c r="U80" i="11"/>
  <c r="G75" i="11"/>
  <c r="BZ10" i="25" s="1"/>
  <c r="Z75" i="11"/>
  <c r="BW10" i="7" s="1"/>
  <c r="CI74" i="11"/>
  <c r="CI155" i="11" s="1"/>
  <c r="R75" i="11"/>
  <c r="BK74" i="11"/>
  <c r="BK155" i="11" s="1"/>
  <c r="W23" i="11"/>
  <c r="D64" i="11"/>
  <c r="CJ45" i="11"/>
  <c r="BL45" i="11"/>
  <c r="Q74" i="11"/>
  <c r="Q155" i="11" s="1"/>
  <c r="D74" i="11"/>
  <c r="D155" i="11" s="1"/>
  <c r="F69" i="11"/>
  <c r="F156" i="11" s="1"/>
  <c r="Y69" i="11"/>
  <c r="Y156" i="11" s="1"/>
  <c r="Y163" i="11" s="1"/>
  <c r="D69" i="11"/>
  <c r="D156" i="11" s="1"/>
  <c r="Q69" i="11"/>
  <c r="Q156" i="11" s="1"/>
  <c r="X135" i="11"/>
  <c r="P135" i="11"/>
  <c r="CQ112" i="11"/>
  <c r="CQ114" i="11" s="1"/>
  <c r="BS112" i="11"/>
  <c r="BS114" i="11" s="1"/>
  <c r="F111" i="11"/>
  <c r="O107" i="11"/>
  <c r="O106" i="11"/>
  <c r="O160" i="11" s="1"/>
  <c r="F79" i="11"/>
  <c r="F157" i="11" s="1"/>
  <c r="Y79" i="11"/>
  <c r="Y157" i="11" s="1"/>
  <c r="D79" i="11"/>
  <c r="D157" i="11" s="1"/>
  <c r="Q79" i="11"/>
  <c r="Q157" i="11" s="1"/>
  <c r="AB75" i="11"/>
  <c r="BY10" i="7" s="1"/>
  <c r="T75" i="11"/>
  <c r="F135" i="11"/>
  <c r="ES21" i="25" s="1"/>
  <c r="BJ112" i="11"/>
  <c r="BJ114" i="11" s="1"/>
  <c r="Y70" i="11"/>
  <c r="CF69" i="11"/>
  <c r="CF156" i="11" s="1"/>
  <c r="CF120" i="1" s="1"/>
  <c r="Q70" i="11"/>
  <c r="BH69" i="11"/>
  <c r="BH156" i="11" s="1"/>
  <c r="BH120" i="1" s="1"/>
  <c r="BC23" i="11"/>
  <c r="BC46" i="1" s="1"/>
  <c r="K64" i="11"/>
  <c r="G62" i="11"/>
  <c r="N135" i="11"/>
  <c r="BN114" i="11"/>
  <c r="CE107" i="11"/>
  <c r="F107" i="11" s="1"/>
  <c r="EI19" i="25" s="1"/>
  <c r="X106" i="11"/>
  <c r="X160" i="11" s="1"/>
  <c r="X163" i="11" s="1"/>
  <c r="BG107" i="11"/>
  <c r="P107" i="11" s="1"/>
  <c r="P106" i="11"/>
  <c r="P160" i="11" s="1"/>
  <c r="P163" i="11" s="1"/>
  <c r="BK23" i="11"/>
  <c r="O23" i="11"/>
  <c r="AB107" i="11"/>
  <c r="EI19" i="7" s="1"/>
  <c r="G107" i="11"/>
  <c r="EJ19" i="25" s="1"/>
  <c r="AC106" i="11"/>
  <c r="G106" i="11"/>
  <c r="U106" i="11"/>
  <c r="U160" i="11" s="1"/>
  <c r="E106" i="11"/>
  <c r="F80" i="11"/>
  <c r="D80" i="11"/>
  <c r="G74" i="11"/>
  <c r="G155" i="11" s="1"/>
  <c r="AC74" i="11"/>
  <c r="AC155" i="11" s="1"/>
  <c r="U74" i="11"/>
  <c r="U155" i="11" s="1"/>
  <c r="E74" i="11"/>
  <c r="E155" i="11" s="1"/>
  <c r="F74" i="11"/>
  <c r="F155" i="11" s="1"/>
  <c r="BS23" i="11"/>
  <c r="BS46" i="1" s="1"/>
  <c r="T46" i="1" s="1"/>
  <c r="CM45" i="11"/>
  <c r="BW45" i="11"/>
  <c r="V40" i="11"/>
  <c r="V45" i="11" s="1"/>
  <c r="F40" i="11"/>
  <c r="F45" i="11" s="1"/>
  <c r="BO45" i="11"/>
  <c r="BG45" i="11"/>
  <c r="AY45" i="11"/>
  <c r="N40" i="11"/>
  <c r="X80" i="11"/>
  <c r="P80" i="11"/>
  <c r="G80" i="11"/>
  <c r="D75" i="11"/>
  <c r="BW10" i="25" s="1"/>
  <c r="Z70" i="11"/>
  <c r="BW13" i="7" s="1"/>
  <c r="R70" i="11"/>
  <c r="E64" i="11"/>
  <c r="U40" i="11"/>
  <c r="U45" i="11" s="1"/>
  <c r="W62" i="11"/>
  <c r="O62" i="11"/>
  <c r="F62" i="11"/>
  <c r="BT45" i="11"/>
  <c r="EI44" i="11"/>
  <c r="EJ44" i="11"/>
  <c r="EK44" i="11"/>
  <c r="L44" i="11"/>
  <c r="EL44" i="11"/>
  <c r="EE44" i="11"/>
  <c r="EM44" i="11"/>
  <c r="EF44" i="11"/>
  <c r="EN44" i="11"/>
  <c r="EH44" i="11"/>
  <c r="EP44" i="11"/>
  <c r="G33" i="11"/>
  <c r="Z33" i="11"/>
  <c r="CI32" i="11"/>
  <c r="CI158" i="11" s="1"/>
  <c r="CI122" i="1" s="1"/>
  <c r="R33" i="11"/>
  <c r="BK32" i="11"/>
  <c r="BK158" i="11" s="1"/>
  <c r="BK122" i="1" s="1"/>
  <c r="W80" i="11"/>
  <c r="O80" i="11"/>
  <c r="BZ74" i="11"/>
  <c r="BZ155" i="11" s="1"/>
  <c r="BB74" i="11"/>
  <c r="BB155" i="11" s="1"/>
  <c r="BW69" i="11"/>
  <c r="BW156" i="11" s="1"/>
  <c r="BW120" i="1" s="1"/>
  <c r="AY69" i="11"/>
  <c r="AY156" i="11" s="1"/>
  <c r="AB23" i="11"/>
  <c r="T23" i="11"/>
  <c r="AB65" i="11"/>
  <c r="T65" i="11"/>
  <c r="CQ45" i="11"/>
  <c r="CI45" i="11"/>
  <c r="CA45" i="11"/>
  <c r="BS45" i="11"/>
  <c r="E40" i="11"/>
  <c r="E45" i="11" s="1"/>
  <c r="BK45" i="11"/>
  <c r="BC45" i="11"/>
  <c r="V62" i="11"/>
  <c r="N62" i="11"/>
  <c r="E62" i="11"/>
  <c r="Q32" i="11"/>
  <c r="Q158" i="11" s="1"/>
  <c r="D32" i="11"/>
  <c r="D158" i="11" s="1"/>
  <c r="E80" i="11"/>
  <c r="AA75" i="11"/>
  <c r="BX10" i="7" s="1"/>
  <c r="S75" i="11"/>
  <c r="X70" i="11"/>
  <c r="P70" i="11"/>
  <c r="G70" i="11"/>
  <c r="BZ13" i="25" s="1"/>
  <c r="AA65" i="11"/>
  <c r="S65" i="11"/>
  <c r="CP45" i="11"/>
  <c r="CH45" i="11"/>
  <c r="W40" i="11"/>
  <c r="W45" i="11" s="1"/>
  <c r="BZ45" i="11"/>
  <c r="BR45" i="11"/>
  <c r="BJ45" i="11"/>
  <c r="O40" i="11"/>
  <c r="O45" i="11" s="1"/>
  <c r="BB45" i="11"/>
  <c r="D62" i="11"/>
  <c r="CE45" i="11"/>
  <c r="CI79" i="11"/>
  <c r="CI157" i="11" s="1"/>
  <c r="CI121" i="1" s="1"/>
  <c r="BK79" i="11"/>
  <c r="BK157" i="11" s="1"/>
  <c r="BK121" i="1" s="1"/>
  <c r="CF74" i="11"/>
  <c r="CF155" i="11" s="1"/>
  <c r="BH74" i="11"/>
  <c r="BH155" i="11" s="1"/>
  <c r="W70" i="11"/>
  <c r="O70" i="11"/>
  <c r="F70" i="11"/>
  <c r="BY13" i="25" s="1"/>
  <c r="G69" i="11"/>
  <c r="G156" i="11" s="1"/>
  <c r="V23" i="11"/>
  <c r="AB40" i="11"/>
  <c r="AB45" i="11" s="1"/>
  <c r="CO45" i="11"/>
  <c r="CG45" i="11"/>
  <c r="BY45" i="11"/>
  <c r="T40" i="11"/>
  <c r="T45" i="11" s="1"/>
  <c r="BQ45" i="11"/>
  <c r="BI45" i="11"/>
  <c r="BA45" i="11"/>
  <c r="AB62" i="11"/>
  <c r="T62" i="11"/>
  <c r="EG44" i="11"/>
  <c r="AB80" i="11"/>
  <c r="T80" i="11"/>
  <c r="BW74" i="11"/>
  <c r="BW155" i="11" s="1"/>
  <c r="N70" i="11"/>
  <c r="E70" i="11"/>
  <c r="BX13" i="25" s="1"/>
  <c r="CR69" i="11"/>
  <c r="CR156" i="11" s="1"/>
  <c r="BT69" i="11"/>
  <c r="BT156" i="11" s="1"/>
  <c r="BT142" i="11" s="1"/>
  <c r="AA23" i="11"/>
  <c r="S23" i="11"/>
  <c r="Y65" i="11"/>
  <c r="Q65" i="11"/>
  <c r="AH64" i="11"/>
  <c r="Z64" i="11"/>
  <c r="CN45" i="11"/>
  <c r="CF45" i="11"/>
  <c r="Y40" i="11"/>
  <c r="BX45" i="11"/>
  <c r="BP45" i="11"/>
  <c r="BH45" i="11"/>
  <c r="Q40" i="11"/>
  <c r="AA62" i="11"/>
  <c r="S62" i="11"/>
  <c r="F33" i="11"/>
  <c r="E33" i="11"/>
  <c r="F23" i="11"/>
  <c r="X75" i="11"/>
  <c r="P75" i="11"/>
  <c r="E69" i="11"/>
  <c r="E156" i="11" s="1"/>
  <c r="X23" i="11"/>
  <c r="X65" i="11"/>
  <c r="Z62" i="11"/>
  <c r="R62" i="11"/>
  <c r="CR45" i="11"/>
  <c r="AC32" i="11"/>
  <c r="AC158" i="11" s="1"/>
  <c r="CK10" i="7" s="1"/>
  <c r="G32" i="11"/>
  <c r="G158" i="11" s="1"/>
  <c r="U32" i="11"/>
  <c r="U158" i="11" s="1"/>
  <c r="E32" i="11"/>
  <c r="E158" i="11" s="1"/>
  <c r="W65" i="11"/>
  <c r="O65" i="11"/>
  <c r="F65" i="11"/>
  <c r="CT45" i="11"/>
  <c r="CL45" i="11"/>
  <c r="AA40" i="11"/>
  <c r="CD45" i="11"/>
  <c r="BV45" i="11"/>
  <c r="BN45" i="11"/>
  <c r="S40" i="11"/>
  <c r="S45" i="11" s="1"/>
  <c r="BF45" i="11"/>
  <c r="Y62" i="11"/>
  <c r="Q62" i="11"/>
  <c r="W33" i="11"/>
  <c r="O33" i="11"/>
  <c r="CC32" i="11"/>
  <c r="CC158" i="11" s="1"/>
  <c r="CC122" i="1" s="1"/>
  <c r="BE32" i="11"/>
  <c r="BE158" i="11" s="1"/>
  <c r="AC33" i="11"/>
  <c r="U33" i="11"/>
  <c r="D33" i="11"/>
  <c r="DW44" i="11"/>
  <c r="DO44" i="11"/>
  <c r="AB33" i="11"/>
  <c r="T33" i="11"/>
  <c r="AA33" i="11"/>
  <c r="S33" i="11"/>
  <c r="EG230" i="19"/>
  <c r="DY230" i="19"/>
  <c r="DH230" i="19"/>
  <c r="EY224" i="19"/>
  <c r="EQ224" i="19"/>
  <c r="EI224" i="19"/>
  <c r="DS224" i="19"/>
  <c r="DK224" i="19"/>
  <c r="DC224" i="19"/>
  <c r="CU224" i="19"/>
  <c r="CM224" i="19"/>
  <c r="CE224" i="19"/>
  <c r="BW224" i="19"/>
  <c r="BG224" i="19"/>
  <c r="AY224" i="19"/>
  <c r="EY230" i="19"/>
  <c r="EQ230" i="19"/>
  <c r="DI230" i="19"/>
  <c r="CE242" i="19"/>
  <c r="DX230" i="19"/>
  <c r="DP230" i="19"/>
  <c r="DG230" i="19"/>
  <c r="CY230" i="19"/>
  <c r="CC236" i="19"/>
  <c r="BU236" i="19"/>
  <c r="BM236" i="19"/>
  <c r="EN230" i="19"/>
  <c r="DF230" i="19"/>
  <c r="CP230" i="19"/>
  <c r="CH230" i="19"/>
  <c r="CH254" i="19" s="1"/>
  <c r="BZ230" i="19"/>
  <c r="BR230" i="19"/>
  <c r="BR254" i="19" s="1"/>
  <c r="BJ230" i="19"/>
  <c r="BJ254" i="19" s="1"/>
  <c r="BB230" i="19"/>
  <c r="EF233" i="19"/>
  <c r="EN233" i="19"/>
  <c r="EG233" i="19"/>
  <c r="EO233" i="19"/>
  <c r="EH233" i="19"/>
  <c r="EH230" i="19" s="1"/>
  <c r="EP233" i="19"/>
  <c r="EP230" i="19" s="1"/>
  <c r="EI233" i="19"/>
  <c r="EJ233" i="19"/>
  <c r="EJ230" i="19" s="1"/>
  <c r="EK233" i="19"/>
  <c r="EK230" i="19" s="1"/>
  <c r="EE233" i="19"/>
  <c r="EE230" i="19" s="1"/>
  <c r="EM233" i="19"/>
  <c r="CW232" i="19"/>
  <c r="CW230" i="19" s="1"/>
  <c r="DE232" i="19"/>
  <c r="DE230" i="19" s="1"/>
  <c r="CX232" i="19"/>
  <c r="CX230" i="19" s="1"/>
  <c r="DF232" i="19"/>
  <c r="CY232" i="19"/>
  <c r="CZ232" i="19"/>
  <c r="CZ230" i="19" s="1"/>
  <c r="DA232" i="19"/>
  <c r="DA230" i="19" s="1"/>
  <c r="DB232" i="19"/>
  <c r="DB230" i="19" s="1"/>
  <c r="CV232" i="19"/>
  <c r="CV230" i="19" s="1"/>
  <c r="DD232" i="19"/>
  <c r="EM230" i="19"/>
  <c r="ED230" i="19"/>
  <c r="DV230" i="19"/>
  <c r="DN230" i="19"/>
  <c r="DT230" i="19"/>
  <c r="FB230" i="19"/>
  <c r="ET230" i="19"/>
  <c r="EL230" i="19"/>
  <c r="DK230" i="19"/>
  <c r="EI230" i="19"/>
  <c r="EA230" i="19"/>
  <c r="DS230" i="19"/>
  <c r="I230" i="19"/>
  <c r="DR232" i="19"/>
  <c r="DR230" i="19" s="1"/>
  <c r="DJ232" i="19"/>
  <c r="DJ230" i="19" s="1"/>
  <c r="G230" i="19"/>
  <c r="EB233" i="19"/>
  <c r="EB230" i="19" s="1"/>
  <c r="DD233" i="19"/>
  <c r="CN233" i="19"/>
  <c r="CN230" i="19" s="1"/>
  <c r="EO232" i="19"/>
  <c r="EO230" i="19" s="1"/>
  <c r="EG232" i="19"/>
  <c r="DY232" i="19"/>
  <c r="DQ232" i="19"/>
  <c r="DQ230" i="19" s="1"/>
  <c r="DI232" i="19"/>
  <c r="EN232" i="19"/>
  <c r="EF232" i="19"/>
  <c r="EF230" i="19" s="1"/>
  <c r="DX232" i="19"/>
  <c r="DP232" i="19"/>
  <c r="DH232" i="19"/>
  <c r="CC168" i="19"/>
  <c r="BU168" i="19"/>
  <c r="BU192" i="19" s="1"/>
  <c r="BM168" i="19"/>
  <c r="BM192" i="19" s="1"/>
  <c r="BE168" i="19"/>
  <c r="DO232" i="19"/>
  <c r="DO230" i="19" s="1"/>
  <c r="DR156" i="19"/>
  <c r="BA150" i="19"/>
  <c r="DH158" i="19"/>
  <c r="DH156" i="19" s="1"/>
  <c r="DP158" i="19"/>
  <c r="DI158" i="19"/>
  <c r="DQ158" i="19"/>
  <c r="DQ156" i="19" s="1"/>
  <c r="DJ158" i="19"/>
  <c r="DJ156" i="19" s="1"/>
  <c r="DR158" i="19"/>
  <c r="DK158" i="19"/>
  <c r="DK156" i="19" s="1"/>
  <c r="DL158" i="19"/>
  <c r="DL156" i="19" s="1"/>
  <c r="DM158" i="19"/>
  <c r="DM156" i="19" s="1"/>
  <c r="DG158" i="19"/>
  <c r="DG156" i="19" s="1"/>
  <c r="I156" i="19"/>
  <c r="DN158" i="19"/>
  <c r="DN156" i="19" s="1"/>
  <c r="DP156" i="19"/>
  <c r="CD168" i="19"/>
  <c r="BV168" i="19"/>
  <c r="BN168" i="19"/>
  <c r="BF168" i="19"/>
  <c r="EW156" i="19"/>
  <c r="EO156" i="19"/>
  <c r="EG156" i="19"/>
  <c r="DY156" i="19"/>
  <c r="DI156" i="19"/>
  <c r="CS156" i="19"/>
  <c r="CK156" i="19"/>
  <c r="CK180" i="19" s="1"/>
  <c r="CC156" i="19"/>
  <c r="BU156" i="19"/>
  <c r="BU180" i="19" s="1"/>
  <c r="BM156" i="19"/>
  <c r="BE156" i="19"/>
  <c r="CA162" i="19"/>
  <c r="CA186" i="19" s="1"/>
  <c r="BS162" i="19"/>
  <c r="BK162" i="19"/>
  <c r="BC162" i="19"/>
  <c r="BC186" i="19" s="1"/>
  <c r="EU156" i="19"/>
  <c r="EM156" i="19"/>
  <c r="EE156" i="19"/>
  <c r="DW156" i="19"/>
  <c r="DO156" i="19"/>
  <c r="CQ156" i="19"/>
  <c r="CA156" i="19"/>
  <c r="BS156" i="19"/>
  <c r="BS180" i="19" s="1"/>
  <c r="BK156" i="19"/>
  <c r="BC156" i="19"/>
  <c r="BC180" i="19" s="1"/>
  <c r="CA168" i="19"/>
  <c r="BS168" i="19"/>
  <c r="BS192" i="19" s="1"/>
  <c r="BK168" i="19"/>
  <c r="BC168" i="19"/>
  <c r="CH162" i="19"/>
  <c r="CH186" i="19" s="1"/>
  <c r="BZ162" i="19"/>
  <c r="BR162" i="19"/>
  <c r="BR186" i="19" s="1"/>
  <c r="BJ162" i="19"/>
  <c r="BJ186" i="19" s="1"/>
  <c r="BB162" i="19"/>
  <c r="FB156" i="19"/>
  <c r="ET156" i="19"/>
  <c r="EL156" i="19"/>
  <c r="CX156" i="19"/>
  <c r="CP156" i="19"/>
  <c r="CH156" i="19"/>
  <c r="BZ156" i="19"/>
  <c r="BR156" i="19"/>
  <c r="BR180" i="19" s="1"/>
  <c r="BJ156" i="19"/>
  <c r="BJ180" i="19" s="1"/>
  <c r="BB156" i="19"/>
  <c r="CG162" i="19"/>
  <c r="CG186" i="19" s="1"/>
  <c r="BY162" i="19"/>
  <c r="BY186" i="19" s="1"/>
  <c r="BQ162" i="19"/>
  <c r="BI162" i="19"/>
  <c r="BA162" i="19"/>
  <c r="BA186" i="19" s="1"/>
  <c r="CM159" i="19"/>
  <c r="CM156" i="19" s="1"/>
  <c r="CM180" i="19" s="1"/>
  <c r="CN159" i="19"/>
  <c r="CN156" i="19" s="1"/>
  <c r="CO159" i="19"/>
  <c r="CP159" i="19"/>
  <c r="G156" i="19"/>
  <c r="CI159" i="19"/>
  <c r="CI156" i="19" s="1"/>
  <c r="CQ159" i="19"/>
  <c r="CJ159" i="19"/>
  <c r="CJ183" i="19" s="1"/>
  <c r="CR159" i="19"/>
  <c r="CR156" i="19" s="1"/>
  <c r="CF162" i="19"/>
  <c r="BX162" i="19"/>
  <c r="BP162" i="19"/>
  <c r="BH162" i="19"/>
  <c r="AZ162" i="19"/>
  <c r="AZ186" i="19" s="1"/>
  <c r="CW156" i="19"/>
  <c r="CO156" i="19"/>
  <c r="CF168" i="19"/>
  <c r="BX168" i="19"/>
  <c r="BP168" i="19"/>
  <c r="BP192" i="19" s="1"/>
  <c r="BH168" i="19"/>
  <c r="AZ168" i="19"/>
  <c r="AZ192" i="19" s="1"/>
  <c r="CT159" i="19"/>
  <c r="CT156" i="19" s="1"/>
  <c r="CZ159" i="19"/>
  <c r="CZ156" i="19" s="1"/>
  <c r="CE88" i="19"/>
  <c r="BW88" i="19"/>
  <c r="BO88" i="19"/>
  <c r="BG88" i="19"/>
  <c r="AY88" i="19"/>
  <c r="EB76" i="19"/>
  <c r="DD76" i="19"/>
  <c r="CY159" i="19"/>
  <c r="CY156" i="19" s="1"/>
  <c r="DF159" i="19"/>
  <c r="DF156" i="19" s="1"/>
  <c r="CX159" i="19"/>
  <c r="DE159" i="19"/>
  <c r="DE156" i="19" s="1"/>
  <c r="CW159" i="19"/>
  <c r="EB82" i="19"/>
  <c r="DD159" i="19"/>
  <c r="DD156" i="19" s="1"/>
  <c r="CM82" i="19"/>
  <c r="DU82" i="19"/>
  <c r="DA82" i="19"/>
  <c r="DZ82" i="19"/>
  <c r="EZ76" i="19"/>
  <c r="ER76" i="19"/>
  <c r="DT76" i="19"/>
  <c r="DL76" i="19"/>
  <c r="CN76" i="19"/>
  <c r="CF76" i="19"/>
  <c r="BH76" i="19"/>
  <c r="AZ76" i="19"/>
  <c r="DH82" i="19"/>
  <c r="K82" i="19"/>
  <c r="CA94" i="19"/>
  <c r="BS94" i="19"/>
  <c r="BK94" i="19"/>
  <c r="BC94" i="19"/>
  <c r="CB88" i="19"/>
  <c r="BT88" i="19"/>
  <c r="BL88" i="19"/>
  <c r="BD88" i="19"/>
  <c r="EF85" i="19"/>
  <c r="EN85" i="19"/>
  <c r="EG85" i="19"/>
  <c r="EG82" i="19" s="1"/>
  <c r="EO85" i="19"/>
  <c r="EO82" i="19" s="1"/>
  <c r="EH85" i="19"/>
  <c r="EH82" i="19" s="1"/>
  <c r="EP85" i="19"/>
  <c r="EP82" i="19" s="1"/>
  <c r="EI85" i="19"/>
  <c r="EI82" i="19" s="1"/>
  <c r="EJ85" i="19"/>
  <c r="EJ82" i="19" s="1"/>
  <c r="DY82" i="19"/>
  <c r="DG82" i="19"/>
  <c r="DX85" i="19"/>
  <c r="DX82" i="19" s="1"/>
  <c r="DY85" i="19"/>
  <c r="DZ85" i="19"/>
  <c r="DS85" i="19"/>
  <c r="DS82" i="19" s="1"/>
  <c r="EA85" i="19"/>
  <c r="EA82" i="19" s="1"/>
  <c r="DT85" i="19"/>
  <c r="DT82" i="19" s="1"/>
  <c r="EB85" i="19"/>
  <c r="CV84" i="19"/>
  <c r="DD84" i="19"/>
  <c r="DD82" i="19" s="1"/>
  <c r="CW84" i="19"/>
  <c r="CW82" i="19" s="1"/>
  <c r="DE84" i="19"/>
  <c r="CX84" i="19"/>
  <c r="CX82" i="19" s="1"/>
  <c r="DF84" i="19"/>
  <c r="CY84" i="19"/>
  <c r="CY82" i="19" s="1"/>
  <c r="CZ84" i="19"/>
  <c r="CZ82" i="19" s="1"/>
  <c r="DA84" i="19"/>
  <c r="EN82" i="19"/>
  <c r="EF82" i="19"/>
  <c r="DF82" i="19"/>
  <c r="CH82" i="19"/>
  <c r="BZ82" i="19"/>
  <c r="BR82" i="19"/>
  <c r="BJ82" i="19"/>
  <c r="BB82" i="19"/>
  <c r="CG94" i="19"/>
  <c r="BY94" i="19"/>
  <c r="BQ94" i="19"/>
  <c r="BI94" i="19"/>
  <c r="BA94" i="19"/>
  <c r="CN84" i="19"/>
  <c r="CO84" i="19"/>
  <c r="CP84" i="19"/>
  <c r="CP82" i="19" s="1"/>
  <c r="CI84" i="19"/>
  <c r="CI82" i="19" s="1"/>
  <c r="CQ84" i="19"/>
  <c r="CQ82" i="19" s="1"/>
  <c r="CJ84" i="19"/>
  <c r="CJ82" i="19" s="1"/>
  <c r="CR84" i="19"/>
  <c r="CR82" i="19" s="1"/>
  <c r="G82" i="19"/>
  <c r="CK84" i="19"/>
  <c r="CK82" i="19" s="1"/>
  <c r="CS84" i="19"/>
  <c r="CS82" i="19" s="1"/>
  <c r="EU82" i="19"/>
  <c r="EM82" i="19"/>
  <c r="EE82" i="19"/>
  <c r="DO82" i="19"/>
  <c r="DE82" i="19"/>
  <c r="CO82" i="19"/>
  <c r="CG82" i="19"/>
  <c r="BY82" i="19"/>
  <c r="BQ82" i="19"/>
  <c r="BI82" i="19"/>
  <c r="BA82" i="19"/>
  <c r="CF94" i="19"/>
  <c r="BX94" i="19"/>
  <c r="BP94" i="19"/>
  <c r="BH94" i="19"/>
  <c r="AZ94" i="19"/>
  <c r="FB82" i="19"/>
  <c r="ET82" i="19"/>
  <c r="EL82" i="19"/>
  <c r="ED82" i="19"/>
  <c r="DV82" i="19"/>
  <c r="DN82" i="19"/>
  <c r="CV82" i="19"/>
  <c r="CN82" i="19"/>
  <c r="CN85" i="19"/>
  <c r="CM85" i="19"/>
  <c r="DH84" i="19"/>
  <c r="DM83" i="19"/>
  <c r="DM82" i="19" s="1"/>
  <c r="CS85" i="19"/>
  <c r="CK85" i="19"/>
  <c r="CR85" i="19"/>
  <c r="AC27" i="21"/>
  <c r="AC32" i="21" s="1"/>
  <c r="HN34" i="7" s="1"/>
  <c r="T5" i="9"/>
  <c r="DZ22" i="21"/>
  <c r="DS22" i="21"/>
  <c r="EA22" i="21"/>
  <c r="DT22" i="21"/>
  <c r="EB22" i="21"/>
  <c r="K22" i="21"/>
  <c r="DU22" i="21"/>
  <c r="EC22" i="21"/>
  <c r="DV22" i="21"/>
  <c r="ED22" i="21"/>
  <c r="DW22" i="21"/>
  <c r="DX22" i="21"/>
  <c r="DY22" i="21"/>
  <c r="M8" i="9"/>
  <c r="S8" i="9"/>
  <c r="AB27" i="21"/>
  <c r="AB32" i="21" s="1"/>
  <c r="HM34" i="7" s="1"/>
  <c r="AB26" i="21"/>
  <c r="AB31" i="21" s="1"/>
  <c r="HM24" i="7" s="1"/>
  <c r="V4" i="9"/>
  <c r="L11" i="9"/>
  <c r="L31" i="9"/>
  <c r="Y18" i="9"/>
  <c r="Z18" i="9" s="1"/>
  <c r="V7" i="9"/>
  <c r="V6" i="9"/>
  <c r="P5" i="9"/>
  <c r="P4" i="9" s="1"/>
  <c r="U7" i="9"/>
  <c r="U6" i="9"/>
  <c r="I4" i="9"/>
  <c r="Y23" i="9"/>
  <c r="Z23" i="9" s="1"/>
  <c r="M21" i="9"/>
  <c r="M29" i="9" s="1"/>
  <c r="Y19" i="9"/>
  <c r="Z19" i="9" s="1"/>
  <c r="M5" i="9"/>
  <c r="I34" i="9"/>
  <c r="I31" i="9"/>
  <c r="J29" i="9"/>
  <c r="S7" i="9"/>
  <c r="V5" i="9"/>
  <c r="U5" i="9"/>
  <c r="Y22" i="9"/>
  <c r="Z22" i="9" s="1"/>
  <c r="P6" i="9"/>
  <c r="D14" i="24"/>
  <c r="BJ14" i="24"/>
  <c r="BB14" i="24"/>
  <c r="BI14" i="24"/>
  <c r="BA14" i="24"/>
  <c r="BH14" i="24"/>
  <c r="AZ14" i="24"/>
  <c r="BG14" i="24"/>
  <c r="AY14" i="24"/>
  <c r="BF14" i="24"/>
  <c r="BE14" i="24"/>
  <c r="BD14" i="24"/>
  <c r="BC14" i="24"/>
  <c r="EF35" i="24"/>
  <c r="EG36" i="24" s="1"/>
  <c r="EH37" i="24" s="1"/>
  <c r="AM27" i="24"/>
  <c r="DW28" i="24"/>
  <c r="DH39" i="24"/>
  <c r="DI40" i="24" s="1"/>
  <c r="DJ41" i="24" s="1"/>
  <c r="EL39" i="24"/>
  <c r="EM40" i="24" s="1"/>
  <c r="EN41" i="24" s="1"/>
  <c r="EO35" i="24"/>
  <c r="EP36" i="24" s="1"/>
  <c r="EQ37" i="24" s="1"/>
  <c r="DE33" i="24"/>
  <c r="DF34" i="24" s="1"/>
  <c r="DG35" i="24" s="1"/>
  <c r="AN29" i="24"/>
  <c r="DZ30" i="24"/>
  <c r="EA31" i="24" s="1"/>
  <c r="EB32" i="24" s="1"/>
  <c r="CV29" i="24"/>
  <c r="CW30" i="24" s="1"/>
  <c r="CX31" i="24" s="1"/>
  <c r="FA26" i="24"/>
  <c r="DQ27" i="24"/>
  <c r="EJ29" i="24"/>
  <c r="EK30" i="24" s="1"/>
  <c r="CP29" i="24"/>
  <c r="CQ30" i="24" s="1"/>
  <c r="CR31" i="24" s="1"/>
  <c r="EO29" i="24"/>
  <c r="EP30" i="24" s="1"/>
  <c r="EQ31" i="24" s="1"/>
  <c r="CP27" i="24"/>
  <c r="AB26" i="24"/>
  <c r="V15" i="24"/>
  <c r="F15" i="24"/>
  <c r="BB29" i="13"/>
  <c r="BB291" i="13"/>
  <c r="AT29" i="13"/>
  <c r="AT291" i="13"/>
  <c r="AL29" i="13"/>
  <c r="AL291" i="13"/>
  <c r="AD29" i="13"/>
  <c r="AD291" i="13"/>
  <c r="V29" i="13"/>
  <c r="V291" i="13"/>
  <c r="AX36" i="13"/>
  <c r="CO98" i="11" s="1"/>
  <c r="AP36" i="13"/>
  <c r="CG98" i="11" s="1"/>
  <c r="AH36" i="13"/>
  <c r="BY98" i="11" s="1"/>
  <c r="Z36" i="13"/>
  <c r="BQ98" i="11" s="1"/>
  <c r="R36" i="13"/>
  <c r="BI98" i="11" s="1"/>
  <c r="CY34" i="24"/>
  <c r="CZ35" i="24" s="1"/>
  <c r="DA36" i="24" s="1"/>
  <c r="EC31" i="24"/>
  <c r="ED32" i="24" s="1"/>
  <c r="EE33" i="24" s="1"/>
  <c r="CP31" i="24"/>
  <c r="CQ32" i="24" s="1"/>
  <c r="CR33" i="24" s="1"/>
  <c r="EX30" i="24"/>
  <c r="EY31" i="24" s="1"/>
  <c r="EZ32" i="24" s="1"/>
  <c r="DH30" i="24"/>
  <c r="DI31" i="24" s="1"/>
  <c r="DJ32" i="24" s="1"/>
  <c r="ER29" i="24"/>
  <c r="ES30" i="24" s="1"/>
  <c r="ET31" i="24" s="1"/>
  <c r="DK29" i="24"/>
  <c r="DL30" i="24" s="1"/>
  <c r="DM31" i="24" s="1"/>
  <c r="EF30" i="24"/>
  <c r="EG31" i="24" s="1"/>
  <c r="EH32" i="24" s="1"/>
  <c r="DN31" i="24"/>
  <c r="DO32" i="24" s="1"/>
  <c r="DP33" i="24" s="1"/>
  <c r="EX28" i="24"/>
  <c r="CZ27" i="24"/>
  <c r="AE26" i="24"/>
  <c r="AU27" i="24"/>
  <c r="EU28" i="24"/>
  <c r="EL27" i="24"/>
  <c r="AR26" i="24"/>
  <c r="AO25" i="24"/>
  <c r="EC26" i="24"/>
  <c r="DN27" i="24"/>
  <c r="AJ26" i="24"/>
  <c r="AG25" i="24"/>
  <c r="DE26" i="24"/>
  <c r="CW26" i="24"/>
  <c r="AD25" i="24"/>
  <c r="AT25" i="24"/>
  <c r="DW34" i="24"/>
  <c r="DX35" i="24" s="1"/>
  <c r="DY36" i="24" s="1"/>
  <c r="DZ33" i="24"/>
  <c r="EA34" i="24" s="1"/>
  <c r="EB35" i="24" s="1"/>
  <c r="DE31" i="24"/>
  <c r="DF32" i="24" s="1"/>
  <c r="DG33" i="24" s="1"/>
  <c r="EL28" i="24"/>
  <c r="EM29" i="24" s="1"/>
  <c r="EN30" i="24" s="1"/>
  <c r="AR27" i="24"/>
  <c r="EU34" i="24"/>
  <c r="EV35" i="24" s="1"/>
  <c r="EW36" i="24" s="1"/>
  <c r="CV32" i="24"/>
  <c r="CW33" i="24" s="1"/>
  <c r="CX34" i="24" s="1"/>
  <c r="EI31" i="24"/>
  <c r="EJ32" i="24" s="1"/>
  <c r="EK33" i="24" s="1"/>
  <c r="FA28" i="24"/>
  <c r="FB29" i="24" s="1"/>
  <c r="CM29" i="24"/>
  <c r="CN30" i="24" s="1"/>
  <c r="CO31" i="24" s="1"/>
  <c r="DE30" i="24"/>
  <c r="DF31" i="24" s="1"/>
  <c r="DG32" i="24" s="1"/>
  <c r="EF27" i="24"/>
  <c r="AP26" i="24"/>
  <c r="EU30" i="24"/>
  <c r="EV31" i="24" s="1"/>
  <c r="EW32" i="24" s="1"/>
  <c r="AH27" i="24"/>
  <c r="DH28" i="24"/>
  <c r="DK30" i="24"/>
  <c r="DL31" i="24" s="1"/>
  <c r="DM32" i="24" s="1"/>
  <c r="EC28" i="24"/>
  <c r="ED29" i="24" s="1"/>
  <c r="EE30" i="24" s="1"/>
  <c r="EO27" i="24"/>
  <c r="J26" i="24"/>
  <c r="DT32" i="24"/>
  <c r="DU33" i="24" s="1"/>
  <c r="DV34" i="24" s="1"/>
  <c r="DE28" i="24"/>
  <c r="DF29" i="24" s="1"/>
  <c r="DG30" i="24" s="1"/>
  <c r="AH26" i="24"/>
  <c r="K25" i="24"/>
  <c r="J36" i="13"/>
  <c r="BA98" i="11" s="1"/>
  <c r="AX35" i="13"/>
  <c r="AP35" i="13"/>
  <c r="AH35" i="13"/>
  <c r="Z35" i="13"/>
  <c r="R35" i="13"/>
  <c r="J35" i="13"/>
  <c r="AX40" i="13"/>
  <c r="CO102" i="11" s="1"/>
  <c r="AP40" i="13"/>
  <c r="CG102" i="11" s="1"/>
  <c r="CG118" i="11" s="1"/>
  <c r="AH40" i="13"/>
  <c r="BY102" i="11" s="1"/>
  <c r="BY118" i="11" s="1"/>
  <c r="Z40" i="13"/>
  <c r="BQ102" i="11" s="1"/>
  <c r="R40" i="13"/>
  <c r="BI102" i="11" s="1"/>
  <c r="DT29" i="24"/>
  <c r="DU30" i="24" s="1"/>
  <c r="DV31" i="24" s="1"/>
  <c r="ER26" i="24"/>
  <c r="L25" i="24"/>
  <c r="J25" i="24"/>
  <c r="DT26" i="24"/>
  <c r="H25" i="24"/>
  <c r="CV26" i="24"/>
  <c r="AD26" i="24" s="1"/>
  <c r="AQ27" i="24"/>
  <c r="CS27" i="24"/>
  <c r="AQ25" i="24"/>
  <c r="AI25" i="24"/>
  <c r="AA25" i="24"/>
  <c r="AN28" i="24"/>
  <c r="EL29" i="24"/>
  <c r="EM30" i="24" s="1"/>
  <c r="EN31" i="24" s="1"/>
  <c r="DN28" i="24"/>
  <c r="DO29" i="24" s="1"/>
  <c r="DP30" i="24" s="1"/>
  <c r="AJ27" i="24"/>
  <c r="AU26" i="24"/>
  <c r="AV25" i="24"/>
  <c r="EX26" i="24"/>
  <c r="L26" i="24" s="1"/>
  <c r="EP26" i="24"/>
  <c r="K26" i="24" s="1"/>
  <c r="AS25" i="24"/>
  <c r="AQ26" i="24"/>
  <c r="EI27" i="24"/>
  <c r="AN25" i="24"/>
  <c r="DZ26" i="24"/>
  <c r="DR26" i="24"/>
  <c r="I26" i="24" s="1"/>
  <c r="AK25" i="24"/>
  <c r="AI26" i="24"/>
  <c r="DK27" i="24"/>
  <c r="AF25" i="24"/>
  <c r="DB26" i="24"/>
  <c r="CT26" i="24"/>
  <c r="AC25" i="24"/>
  <c r="AA26" i="24"/>
  <c r="CM27" i="24"/>
  <c r="AL25" i="24"/>
  <c r="DN29" i="24"/>
  <c r="DO30" i="24" s="1"/>
  <c r="DP31" i="24" s="1"/>
  <c r="CP28" i="24"/>
  <c r="CQ29" i="24" s="1"/>
  <c r="CR30" i="24" s="1"/>
  <c r="AB27" i="24"/>
  <c r="I25" i="24"/>
  <c r="G25" i="24"/>
  <c r="T291" i="13"/>
  <c r="J40" i="13"/>
  <c r="BA102" i="11" s="1"/>
  <c r="AX39" i="13"/>
  <c r="CO101" i="11" s="1"/>
  <c r="AP39" i="13"/>
  <c r="CG101" i="11" s="1"/>
  <c r="CG113" i="11" s="1"/>
  <c r="AH39" i="13"/>
  <c r="BY101" i="11" s="1"/>
  <c r="BY113" i="11" s="1"/>
  <c r="Z39" i="13"/>
  <c r="BQ101" i="11" s="1"/>
  <c r="R39" i="13"/>
  <c r="BI101" i="11" s="1"/>
  <c r="BI113" i="11" s="1"/>
  <c r="J39" i="13"/>
  <c r="BA101" i="11" s="1"/>
  <c r="BA113" i="11" s="1"/>
  <c r="AX26" i="13"/>
  <c r="AP26" i="13"/>
  <c r="AH26" i="13"/>
  <c r="Z26" i="13"/>
  <c r="R26" i="13"/>
  <c r="J26" i="13"/>
  <c r="AT26" i="24"/>
  <c r="AL26" i="24"/>
  <c r="AH25" i="24"/>
  <c r="Z25" i="24"/>
  <c r="Z15" i="24"/>
  <c r="DH10" i="24"/>
  <c r="DP10" i="24"/>
  <c r="DI10" i="24"/>
  <c r="DQ10" i="24"/>
  <c r="DJ10" i="24"/>
  <c r="DR10" i="24"/>
  <c r="DK10" i="24"/>
  <c r="J10" i="24"/>
  <c r="DL10" i="24"/>
  <c r="DN10" i="24"/>
  <c r="DG10" i="24"/>
  <c r="AZ291" i="13"/>
  <c r="AX25" i="13"/>
  <c r="AP25" i="13"/>
  <c r="AH25" i="13"/>
  <c r="Z25" i="13"/>
  <c r="R25" i="13"/>
  <c r="J25" i="13"/>
  <c r="AX12" i="13"/>
  <c r="CO52" i="11" s="1"/>
  <c r="AP12" i="13"/>
  <c r="CG52" i="11" s="1"/>
  <c r="AH12" i="13"/>
  <c r="BY52" i="11" s="1"/>
  <c r="Z12" i="13"/>
  <c r="R12" i="13"/>
  <c r="BI52" i="11" s="1"/>
  <c r="J12" i="13"/>
  <c r="BA52" i="11" s="1"/>
  <c r="AX11" i="13"/>
  <c r="AP11" i="13"/>
  <c r="AH11" i="13"/>
  <c r="Z11" i="13"/>
  <c r="R11" i="13"/>
  <c r="J11" i="13"/>
  <c r="AX16" i="13"/>
  <c r="CO56" i="11" s="1"/>
  <c r="AP16" i="13"/>
  <c r="CG56" i="11" s="1"/>
  <c r="AH16" i="13"/>
  <c r="BY56" i="11" s="1"/>
  <c r="Z16" i="13"/>
  <c r="BQ56" i="11" s="1"/>
  <c r="R16" i="13"/>
  <c r="BI56" i="11" s="1"/>
  <c r="J16" i="13"/>
  <c r="BA56" i="11" s="1"/>
  <c r="AX17" i="13"/>
  <c r="CO57" i="11" s="1"/>
  <c r="AP17" i="13"/>
  <c r="CG57" i="11" s="1"/>
  <c r="AH17" i="13"/>
  <c r="BY57" i="11" s="1"/>
  <c r="Z17" i="13"/>
  <c r="BQ57" i="11" s="1"/>
  <c r="R17" i="13"/>
  <c r="BI57" i="11" s="1"/>
  <c r="BI88" i="11" s="1"/>
  <c r="J17" i="13"/>
  <c r="BA57" i="11" s="1"/>
  <c r="AX15" i="13"/>
  <c r="CO55" i="11" s="1"/>
  <c r="AP15" i="13"/>
  <c r="CG55" i="11" s="1"/>
  <c r="CG76" i="11" s="1"/>
  <c r="AH15" i="13"/>
  <c r="BY55" i="11" s="1"/>
  <c r="BY76" i="11" s="1"/>
  <c r="Z15" i="13"/>
  <c r="BQ55" i="11" s="1"/>
  <c r="R15" i="13"/>
  <c r="BI55" i="11" s="1"/>
  <c r="BI76" i="11" s="1"/>
  <c r="J15" i="13"/>
  <c r="BA55" i="11" s="1"/>
  <c r="BA76" i="11" s="1"/>
  <c r="AX53" i="13"/>
  <c r="CO130" i="11" s="1"/>
  <c r="AP53" i="13"/>
  <c r="CG130" i="11" s="1"/>
  <c r="AH53" i="13"/>
  <c r="BY130" i="11" s="1"/>
  <c r="Z53" i="13"/>
  <c r="BQ130" i="11" s="1"/>
  <c r="R53" i="13"/>
  <c r="BI130" i="11" s="1"/>
  <c r="BI149" i="11" s="1"/>
  <c r="J53" i="13"/>
  <c r="BA130" i="11" s="1"/>
  <c r="AX52" i="13"/>
  <c r="CO129" i="11" s="1"/>
  <c r="AP52" i="13"/>
  <c r="CG129" i="11" s="1"/>
  <c r="CG141" i="11" s="1"/>
  <c r="AH52" i="13"/>
  <c r="BY129" i="11" s="1"/>
  <c r="BY141" i="11" s="1"/>
  <c r="Z52" i="13"/>
  <c r="BQ129" i="11" s="1"/>
  <c r="R52" i="13"/>
  <c r="BI129" i="11" s="1"/>
  <c r="BI141" i="11" s="1"/>
  <c r="J52" i="13"/>
  <c r="BA129" i="11" s="1"/>
  <c r="BA141" i="11" s="1"/>
  <c r="AX48" i="13"/>
  <c r="CO126" i="11" s="1"/>
  <c r="AP48" i="13"/>
  <c r="CG126" i="11" s="1"/>
  <c r="AH48" i="13"/>
  <c r="BY126" i="11" s="1"/>
  <c r="Z48" i="13"/>
  <c r="BQ126" i="11" s="1"/>
  <c r="R48" i="13"/>
  <c r="BI126" i="11" s="1"/>
  <c r="J48" i="13"/>
  <c r="BA126" i="11" s="1"/>
  <c r="AX49" i="13"/>
  <c r="CO124" i="11" s="1"/>
  <c r="AP49" i="13"/>
  <c r="CG124" i="11" s="1"/>
  <c r="AH49" i="13"/>
  <c r="BY124" i="11" s="1"/>
  <c r="Z49" i="13"/>
  <c r="BQ124" i="11" s="1"/>
  <c r="R49" i="13"/>
  <c r="BI124" i="11" s="1"/>
  <c r="J49" i="13"/>
  <c r="BA124" i="11" s="1"/>
  <c r="AX46" i="13"/>
  <c r="AP46" i="13"/>
  <c r="AH46" i="13"/>
  <c r="Z46" i="13"/>
  <c r="R46" i="13"/>
  <c r="J46" i="13"/>
  <c r="AX5" i="13"/>
  <c r="CO28" i="11" s="1"/>
  <c r="AP5" i="13"/>
  <c r="CG28" i="11" s="1"/>
  <c r="AH5" i="13"/>
  <c r="BY28" i="11" s="1"/>
  <c r="Z5" i="13"/>
  <c r="BQ28" i="11" s="1"/>
  <c r="R5" i="13"/>
  <c r="BI28" i="11" s="1"/>
  <c r="J5" i="13"/>
  <c r="BA28" i="11" s="1"/>
  <c r="BA29" i="11" s="1"/>
  <c r="BA30" i="11" s="1"/>
  <c r="AX21" i="13"/>
  <c r="CO61" i="11" s="1"/>
  <c r="AP21" i="13"/>
  <c r="CG61" i="11" s="1"/>
  <c r="AH21" i="13"/>
  <c r="BY61" i="11" s="1"/>
  <c r="Z21" i="13"/>
  <c r="BQ61" i="11" s="1"/>
  <c r="R21" i="13"/>
  <c r="BI61" i="11" s="1"/>
  <c r="BI89" i="11" s="1"/>
  <c r="J21" i="13"/>
  <c r="BA61" i="11" s="1"/>
  <c r="BA89" i="11" s="1"/>
  <c r="AX20" i="13"/>
  <c r="CO60" i="11" s="1"/>
  <c r="AP20" i="13"/>
  <c r="CG60" i="11" s="1"/>
  <c r="AH20" i="13"/>
  <c r="BY60" i="11" s="1"/>
  <c r="Z20" i="13"/>
  <c r="BQ60" i="11" s="1"/>
  <c r="R20" i="13"/>
  <c r="BI60" i="11" s="1"/>
  <c r="J20" i="13"/>
  <c r="BA60" i="11" s="1"/>
  <c r="AX4" i="13"/>
  <c r="AP4" i="13"/>
  <c r="AH4" i="13"/>
  <c r="Z4" i="13"/>
  <c r="R4" i="13"/>
  <c r="AW36" i="13"/>
  <c r="CN98" i="11" s="1"/>
  <c r="AO36" i="13"/>
  <c r="CF98" i="11" s="1"/>
  <c r="AG36" i="13"/>
  <c r="BX98" i="11" s="1"/>
  <c r="Y36" i="13"/>
  <c r="BP98" i="11" s="1"/>
  <c r="Q36" i="13"/>
  <c r="BH98" i="11" s="1"/>
  <c r="I36" i="13"/>
  <c r="AZ98" i="11" s="1"/>
  <c r="AW35" i="13"/>
  <c r="AO35" i="13"/>
  <c r="AG35" i="13"/>
  <c r="Y35" i="13"/>
  <c r="Q35" i="13"/>
  <c r="I35" i="13"/>
  <c r="AW40" i="13"/>
  <c r="CN102" i="11" s="1"/>
  <c r="CN118" i="11" s="1"/>
  <c r="AO40" i="13"/>
  <c r="CF102" i="11" s="1"/>
  <c r="AG40" i="13"/>
  <c r="BX102" i="11" s="1"/>
  <c r="BX118" i="11" s="1"/>
  <c r="Y40" i="13"/>
  <c r="BP102" i="11" s="1"/>
  <c r="BP118" i="11" s="1"/>
  <c r="Q40" i="13"/>
  <c r="BH102" i="11" s="1"/>
  <c r="I40" i="13"/>
  <c r="AZ102" i="11" s="1"/>
  <c r="AW39" i="13"/>
  <c r="CN101" i="11" s="1"/>
  <c r="CN113" i="11" s="1"/>
  <c r="AO39" i="13"/>
  <c r="CF101" i="11" s="1"/>
  <c r="AG39" i="13"/>
  <c r="BX101" i="11" s="1"/>
  <c r="BX113" i="11" s="1"/>
  <c r="Y39" i="13"/>
  <c r="BP101" i="11" s="1"/>
  <c r="BP113" i="11" s="1"/>
  <c r="Q39" i="13"/>
  <c r="BH101" i="11" s="1"/>
  <c r="I39" i="13"/>
  <c r="AZ101" i="11" s="1"/>
  <c r="AW26" i="13"/>
  <c r="AO26" i="13"/>
  <c r="AG26" i="13"/>
  <c r="Y26" i="13"/>
  <c r="Q26" i="13"/>
  <c r="I26" i="13"/>
  <c r="AW25" i="13"/>
  <c r="AO25" i="13"/>
  <c r="AG25" i="13"/>
  <c r="Y25" i="13"/>
  <c r="Q25" i="13"/>
  <c r="I25" i="13"/>
  <c r="AW12" i="13"/>
  <c r="CN52" i="11" s="1"/>
  <c r="AO12" i="13"/>
  <c r="CF52" i="11" s="1"/>
  <c r="AG12" i="13"/>
  <c r="BX52" i="11" s="1"/>
  <c r="Y12" i="13"/>
  <c r="Q12" i="13"/>
  <c r="BH52" i="11" s="1"/>
  <c r="I12" i="13"/>
  <c r="AZ52" i="11" s="1"/>
  <c r="AW11" i="13"/>
  <c r="AO11" i="13"/>
  <c r="AG11" i="13"/>
  <c r="Y11" i="13"/>
  <c r="Q11" i="13"/>
  <c r="I11" i="13"/>
  <c r="AW16" i="13"/>
  <c r="CN56" i="11" s="1"/>
  <c r="AO16" i="13"/>
  <c r="CF56" i="11" s="1"/>
  <c r="AG16" i="13"/>
  <c r="BX56" i="11" s="1"/>
  <c r="Y16" i="13"/>
  <c r="BP56" i="11" s="1"/>
  <c r="Q16" i="13"/>
  <c r="BH56" i="11" s="1"/>
  <c r="I16" i="13"/>
  <c r="AZ56" i="11" s="1"/>
  <c r="AW17" i="13"/>
  <c r="CN57" i="11" s="1"/>
  <c r="CN88" i="11" s="1"/>
  <c r="AO17" i="13"/>
  <c r="CF57" i="11" s="1"/>
  <c r="AG17" i="13"/>
  <c r="BX57" i="11" s="1"/>
  <c r="Y17" i="13"/>
  <c r="BP57" i="11" s="1"/>
  <c r="Q17" i="13"/>
  <c r="BH57" i="11" s="1"/>
  <c r="I17" i="13"/>
  <c r="AZ57" i="11" s="1"/>
  <c r="AZ88" i="11" s="1"/>
  <c r="AW15" i="13"/>
  <c r="CN55" i="11" s="1"/>
  <c r="CN76" i="11" s="1"/>
  <c r="AO15" i="13"/>
  <c r="CF55" i="11" s="1"/>
  <c r="AG15" i="13"/>
  <c r="BX55" i="11" s="1"/>
  <c r="BX76" i="11" s="1"/>
  <c r="Y15" i="13"/>
  <c r="BP55" i="11" s="1"/>
  <c r="BP76" i="11" s="1"/>
  <c r="Q15" i="13"/>
  <c r="BH55" i="11" s="1"/>
  <c r="I15" i="13"/>
  <c r="AZ55" i="11" s="1"/>
  <c r="AZ76" i="11" s="1"/>
  <c r="AW53" i="13"/>
  <c r="CN130" i="11" s="1"/>
  <c r="AO53" i="13"/>
  <c r="CF130" i="11" s="1"/>
  <c r="AG53" i="13"/>
  <c r="BX130" i="11" s="1"/>
  <c r="BX149" i="11" s="1"/>
  <c r="Y53" i="13"/>
  <c r="BP130" i="11" s="1"/>
  <c r="Q53" i="13"/>
  <c r="BH130" i="11" s="1"/>
  <c r="I53" i="13"/>
  <c r="AZ130" i="11" s="1"/>
  <c r="AZ149" i="11" s="1"/>
  <c r="AW52" i="13"/>
  <c r="CN129" i="11" s="1"/>
  <c r="CN141" i="11" s="1"/>
  <c r="AO52" i="13"/>
  <c r="CF129" i="11" s="1"/>
  <c r="AG52" i="13"/>
  <c r="BX129" i="11" s="1"/>
  <c r="BX141" i="11" s="1"/>
  <c r="Y52" i="13"/>
  <c r="BP129" i="11" s="1"/>
  <c r="BP141" i="11" s="1"/>
  <c r="Q52" i="13"/>
  <c r="BH129" i="11" s="1"/>
  <c r="I52" i="13"/>
  <c r="AZ129" i="11" s="1"/>
  <c r="AZ141" i="11" s="1"/>
  <c r="AW48" i="13"/>
  <c r="CN126" i="11" s="1"/>
  <c r="AO48" i="13"/>
  <c r="CF126" i="11" s="1"/>
  <c r="AG48" i="13"/>
  <c r="BX126" i="11" s="1"/>
  <c r="Y48" i="13"/>
  <c r="BP126" i="11" s="1"/>
  <c r="Q48" i="13"/>
  <c r="BH126" i="11" s="1"/>
  <c r="I48" i="13"/>
  <c r="AZ126" i="11" s="1"/>
  <c r="AW49" i="13"/>
  <c r="CN124" i="11" s="1"/>
  <c r="AO49" i="13"/>
  <c r="CF124" i="11" s="1"/>
  <c r="AG49" i="13"/>
  <c r="BX124" i="11" s="1"/>
  <c r="Y49" i="13"/>
  <c r="BP124" i="11" s="1"/>
  <c r="Q49" i="13"/>
  <c r="BH124" i="11" s="1"/>
  <c r="I49" i="13"/>
  <c r="AZ124" i="11" s="1"/>
  <c r="AW46" i="13"/>
  <c r="AO46" i="13"/>
  <c r="AG46" i="13"/>
  <c r="Y46" i="13"/>
  <c r="Q46" i="13"/>
  <c r="I46" i="13"/>
  <c r="AW5" i="13"/>
  <c r="CN28" i="11" s="1"/>
  <c r="CN29" i="11" s="1"/>
  <c r="CN30" i="11" s="1"/>
  <c r="AO5" i="13"/>
  <c r="CF28" i="11" s="1"/>
  <c r="AG5" i="13"/>
  <c r="BX28" i="11" s="1"/>
  <c r="Y5" i="13"/>
  <c r="BP28" i="11" s="1"/>
  <c r="Q5" i="13"/>
  <c r="BH28" i="11" s="1"/>
  <c r="I5" i="13"/>
  <c r="AZ28" i="11" s="1"/>
  <c r="AW21" i="13"/>
  <c r="CN61" i="11" s="1"/>
  <c r="CN89" i="11" s="1"/>
  <c r="AO21" i="13"/>
  <c r="CF61" i="11" s="1"/>
  <c r="AG21" i="13"/>
  <c r="BX61" i="11" s="1"/>
  <c r="Y21" i="13"/>
  <c r="BP61" i="11" s="1"/>
  <c r="Q21" i="13"/>
  <c r="BH61" i="11" s="1"/>
  <c r="I21" i="13"/>
  <c r="AZ61" i="11" s="1"/>
  <c r="AZ89" i="11" s="1"/>
  <c r="AW20" i="13"/>
  <c r="CN60" i="11" s="1"/>
  <c r="AO20" i="13"/>
  <c r="CF60" i="11" s="1"/>
  <c r="AG20" i="13"/>
  <c r="BX60" i="11" s="1"/>
  <c r="Y20" i="13"/>
  <c r="BP60" i="11" s="1"/>
  <c r="Q20" i="13"/>
  <c r="BH60" i="11" s="1"/>
  <c r="I20" i="13"/>
  <c r="AZ60" i="11" s="1"/>
  <c r="AW4" i="13"/>
  <c r="AO4" i="13"/>
  <c r="AG4" i="13"/>
  <c r="Y4" i="13"/>
  <c r="Q4" i="13"/>
  <c r="AV36" i="13"/>
  <c r="CM98" i="11" s="1"/>
  <c r="AN36" i="13"/>
  <c r="CE98" i="11" s="1"/>
  <c r="AF36" i="13"/>
  <c r="BW98" i="11" s="1"/>
  <c r="X36" i="13"/>
  <c r="BO98" i="11" s="1"/>
  <c r="P36" i="13"/>
  <c r="BG98" i="11" s="1"/>
  <c r="H36" i="13"/>
  <c r="AY98" i="11" s="1"/>
  <c r="AV35" i="13"/>
  <c r="AN35" i="13"/>
  <c r="AF35" i="13"/>
  <c r="X35" i="13"/>
  <c r="P35" i="13"/>
  <c r="H35" i="13"/>
  <c r="AV40" i="13"/>
  <c r="CM102" i="11" s="1"/>
  <c r="CM118" i="11" s="1"/>
  <c r="AN40" i="13"/>
  <c r="CE102" i="11" s="1"/>
  <c r="CE118" i="11" s="1"/>
  <c r="AF40" i="13"/>
  <c r="BW102" i="11" s="1"/>
  <c r="X40" i="13"/>
  <c r="BO102" i="11" s="1"/>
  <c r="BO118" i="11" s="1"/>
  <c r="P40" i="13"/>
  <c r="BG102" i="11" s="1"/>
  <c r="BG118" i="11" s="1"/>
  <c r="H40" i="13"/>
  <c r="AY102" i="11" s="1"/>
  <c r="AV39" i="13"/>
  <c r="CM101" i="11" s="1"/>
  <c r="CM113" i="11" s="1"/>
  <c r="AN39" i="13"/>
  <c r="CE101" i="11" s="1"/>
  <c r="CE113" i="11" s="1"/>
  <c r="AF39" i="13"/>
  <c r="BW101" i="11" s="1"/>
  <c r="X39" i="13"/>
  <c r="BO101" i="11" s="1"/>
  <c r="BO113" i="11" s="1"/>
  <c r="P39" i="13"/>
  <c r="BG101" i="11" s="1"/>
  <c r="BG113" i="11" s="1"/>
  <c r="H39" i="13"/>
  <c r="AY101" i="11" s="1"/>
  <c r="AV26" i="13"/>
  <c r="AN26" i="13"/>
  <c r="AF26" i="13"/>
  <c r="X26" i="13"/>
  <c r="P26" i="13"/>
  <c r="H26" i="13"/>
  <c r="AV25" i="13"/>
  <c r="AN25" i="13"/>
  <c r="AF25" i="13"/>
  <c r="X25" i="13"/>
  <c r="P25" i="13"/>
  <c r="H25" i="13"/>
  <c r="AV12" i="13"/>
  <c r="CM52" i="11" s="1"/>
  <c r="AN12" i="13"/>
  <c r="CE52" i="11" s="1"/>
  <c r="AF12" i="13"/>
  <c r="BW52" i="11" s="1"/>
  <c r="X12" i="13"/>
  <c r="BO52" i="11" s="1"/>
  <c r="P12" i="13"/>
  <c r="H12" i="13"/>
  <c r="AY52" i="11" s="1"/>
  <c r="AV11" i="13"/>
  <c r="AN11" i="13"/>
  <c r="AF11" i="13"/>
  <c r="X11" i="13"/>
  <c r="P11" i="13"/>
  <c r="H11" i="13"/>
  <c r="AV16" i="13"/>
  <c r="CM56" i="11" s="1"/>
  <c r="AN16" i="13"/>
  <c r="CE56" i="11" s="1"/>
  <c r="AF16" i="13"/>
  <c r="BW56" i="11" s="1"/>
  <c r="X16" i="13"/>
  <c r="BO56" i="11" s="1"/>
  <c r="P16" i="13"/>
  <c r="BG56" i="11" s="1"/>
  <c r="H16" i="13"/>
  <c r="AY56" i="11" s="1"/>
  <c r="AV17" i="13"/>
  <c r="CM57" i="11" s="1"/>
  <c r="AN17" i="13"/>
  <c r="CE57" i="11" s="1"/>
  <c r="CE88" i="11" s="1"/>
  <c r="AF17" i="13"/>
  <c r="BW57" i="11" s="1"/>
  <c r="X17" i="13"/>
  <c r="BO57" i="11" s="1"/>
  <c r="P17" i="13"/>
  <c r="BG57" i="11" s="1"/>
  <c r="H17" i="13"/>
  <c r="AY57" i="11" s="1"/>
  <c r="AV15" i="13"/>
  <c r="CM55" i="11" s="1"/>
  <c r="CM76" i="11" s="1"/>
  <c r="AN15" i="13"/>
  <c r="CE55" i="11" s="1"/>
  <c r="CE76" i="11" s="1"/>
  <c r="AF15" i="13"/>
  <c r="BW55" i="11" s="1"/>
  <c r="X15" i="13"/>
  <c r="BO55" i="11" s="1"/>
  <c r="BO76" i="11" s="1"/>
  <c r="P15" i="13"/>
  <c r="BG55" i="11" s="1"/>
  <c r="BG76" i="11" s="1"/>
  <c r="H15" i="13"/>
  <c r="AY55" i="11" s="1"/>
  <c r="AV53" i="13"/>
  <c r="CM130" i="11" s="1"/>
  <c r="AN53" i="13"/>
  <c r="CE130" i="11" s="1"/>
  <c r="AF53" i="13"/>
  <c r="BW130" i="11" s="1"/>
  <c r="X53" i="13"/>
  <c r="BO130" i="11" s="1"/>
  <c r="BO149" i="11" s="1"/>
  <c r="P53" i="13"/>
  <c r="BG130" i="11" s="1"/>
  <c r="H53" i="13"/>
  <c r="AY130" i="11" s="1"/>
  <c r="AV52" i="13"/>
  <c r="CM129" i="11" s="1"/>
  <c r="CM141" i="11" s="1"/>
  <c r="AN52" i="13"/>
  <c r="CE129" i="11" s="1"/>
  <c r="CE141" i="11" s="1"/>
  <c r="AF52" i="13"/>
  <c r="BW129" i="11" s="1"/>
  <c r="X52" i="13"/>
  <c r="BO129" i="11" s="1"/>
  <c r="BO141" i="11" s="1"/>
  <c r="P52" i="13"/>
  <c r="BG129" i="11" s="1"/>
  <c r="BG141" i="11" s="1"/>
  <c r="H52" i="13"/>
  <c r="AY129" i="11" s="1"/>
  <c r="AV48" i="13"/>
  <c r="CM126" i="11" s="1"/>
  <c r="AN48" i="13"/>
  <c r="CE126" i="11" s="1"/>
  <c r="AF48" i="13"/>
  <c r="BW126" i="11" s="1"/>
  <c r="X48" i="13"/>
  <c r="BO126" i="11" s="1"/>
  <c r="P48" i="13"/>
  <c r="BG126" i="11" s="1"/>
  <c r="H48" i="13"/>
  <c r="AY126" i="11" s="1"/>
  <c r="AV49" i="13"/>
  <c r="CM124" i="11" s="1"/>
  <c r="AN49" i="13"/>
  <c r="CE124" i="11" s="1"/>
  <c r="AF49" i="13"/>
  <c r="BW124" i="11" s="1"/>
  <c r="X49" i="13"/>
  <c r="BO124" i="11" s="1"/>
  <c r="P49" i="13"/>
  <c r="BG124" i="11" s="1"/>
  <c r="H49" i="13"/>
  <c r="AY124" i="11" s="1"/>
  <c r="AV46" i="13"/>
  <c r="AN46" i="13"/>
  <c r="AF46" i="13"/>
  <c r="X46" i="13"/>
  <c r="P46" i="13"/>
  <c r="H46" i="13"/>
  <c r="AV5" i="13"/>
  <c r="CM28" i="11" s="1"/>
  <c r="AN5" i="13"/>
  <c r="CE28" i="11" s="1"/>
  <c r="AF5" i="13"/>
  <c r="BW28" i="11" s="1"/>
  <c r="X5" i="13"/>
  <c r="BO28" i="11" s="1"/>
  <c r="P5" i="13"/>
  <c r="BG28" i="11" s="1"/>
  <c r="H5" i="13"/>
  <c r="AY28" i="11" s="1"/>
  <c r="AV21" i="13"/>
  <c r="CM61" i="11" s="1"/>
  <c r="AN21" i="13"/>
  <c r="CE61" i="11" s="1"/>
  <c r="CE89" i="11" s="1"/>
  <c r="AF21" i="13"/>
  <c r="BW61" i="11" s="1"/>
  <c r="X21" i="13"/>
  <c r="BO61" i="11" s="1"/>
  <c r="P21" i="13"/>
  <c r="BG61" i="11" s="1"/>
  <c r="H21" i="13"/>
  <c r="AY61" i="11" s="1"/>
  <c r="AV20" i="13"/>
  <c r="CM60" i="11" s="1"/>
  <c r="AN20" i="13"/>
  <c r="CE60" i="11" s="1"/>
  <c r="AF20" i="13"/>
  <c r="BW60" i="11" s="1"/>
  <c r="X20" i="13"/>
  <c r="BO60" i="11" s="1"/>
  <c r="P20" i="13"/>
  <c r="BG60" i="11" s="1"/>
  <c r="H20" i="13"/>
  <c r="AY60" i="11" s="1"/>
  <c r="AV4" i="13"/>
  <c r="AN4" i="13"/>
  <c r="AF4" i="13"/>
  <c r="X4" i="13"/>
  <c r="P4" i="13"/>
  <c r="BC36" i="13"/>
  <c r="CT98" i="11" s="1"/>
  <c r="AU36" i="13"/>
  <c r="CL98" i="11" s="1"/>
  <c r="AM36" i="13"/>
  <c r="CD98" i="11" s="1"/>
  <c r="AE36" i="13"/>
  <c r="BV98" i="11" s="1"/>
  <c r="W36" i="13"/>
  <c r="BN98" i="11" s="1"/>
  <c r="O36" i="13"/>
  <c r="BF98" i="11" s="1"/>
  <c r="BC35" i="13"/>
  <c r="AU35" i="13"/>
  <c r="AM35" i="13"/>
  <c r="AE35" i="13"/>
  <c r="W35" i="13"/>
  <c r="O35" i="13"/>
  <c r="BC40" i="13"/>
  <c r="CT102" i="11" s="1"/>
  <c r="AU40" i="13"/>
  <c r="CL102" i="11" s="1"/>
  <c r="AM40" i="13"/>
  <c r="CD102" i="11" s="1"/>
  <c r="CD118" i="11" s="1"/>
  <c r="AE40" i="13"/>
  <c r="BV102" i="11" s="1"/>
  <c r="W40" i="13"/>
  <c r="BN102" i="11" s="1"/>
  <c r="O40" i="13"/>
  <c r="BF102" i="11" s="1"/>
  <c r="BF118" i="11" s="1"/>
  <c r="BC39" i="13"/>
  <c r="CT101" i="11" s="1"/>
  <c r="CT113" i="11" s="1"/>
  <c r="AU39" i="13"/>
  <c r="CL101" i="11" s="1"/>
  <c r="AM39" i="13"/>
  <c r="CD101" i="11" s="1"/>
  <c r="CD113" i="11" s="1"/>
  <c r="AE39" i="13"/>
  <c r="BV101" i="11" s="1"/>
  <c r="BV113" i="11" s="1"/>
  <c r="W39" i="13"/>
  <c r="BN101" i="11" s="1"/>
  <c r="O39" i="13"/>
  <c r="BF101" i="11" s="1"/>
  <c r="BF113" i="11" s="1"/>
  <c r="BC26" i="13"/>
  <c r="AU26" i="13"/>
  <c r="AM26" i="13"/>
  <c r="AE26" i="13"/>
  <c r="W26" i="13"/>
  <c r="O26" i="13"/>
  <c r="BC25" i="13"/>
  <c r="AU25" i="13"/>
  <c r="AM25" i="13"/>
  <c r="AE25" i="13"/>
  <c r="W25" i="13"/>
  <c r="O25" i="13"/>
  <c r="BC12" i="13"/>
  <c r="AU12" i="13"/>
  <c r="CL52" i="11" s="1"/>
  <c r="AM12" i="13"/>
  <c r="CD52" i="11" s="1"/>
  <c r="AE12" i="13"/>
  <c r="BV52" i="11" s="1"/>
  <c r="W12" i="13"/>
  <c r="BN52" i="11" s="1"/>
  <c r="O12" i="13"/>
  <c r="BC11" i="13"/>
  <c r="AU11" i="13"/>
  <c r="AM11" i="13"/>
  <c r="AE11" i="13"/>
  <c r="W11" i="13"/>
  <c r="O11" i="13"/>
  <c r="BC16" i="13"/>
  <c r="CT56" i="11" s="1"/>
  <c r="AU16" i="13"/>
  <c r="CL56" i="11" s="1"/>
  <c r="AM16" i="13"/>
  <c r="CD56" i="11" s="1"/>
  <c r="AE16" i="13"/>
  <c r="BV56" i="11" s="1"/>
  <c r="W16" i="13"/>
  <c r="BN56" i="11" s="1"/>
  <c r="O16" i="13"/>
  <c r="BF56" i="11" s="1"/>
  <c r="BC17" i="13"/>
  <c r="CT57" i="11" s="1"/>
  <c r="CT88" i="11" s="1"/>
  <c r="AU17" i="13"/>
  <c r="CL57" i="11" s="1"/>
  <c r="AM17" i="13"/>
  <c r="CD57" i="11" s="1"/>
  <c r="CD88" i="11" s="1"/>
  <c r="AE17" i="13"/>
  <c r="BV57" i="11" s="1"/>
  <c r="BV88" i="11" s="1"/>
  <c r="W17" i="13"/>
  <c r="BN57" i="11" s="1"/>
  <c r="O17" i="13"/>
  <c r="BF57" i="11" s="1"/>
  <c r="BC15" i="13"/>
  <c r="CT55" i="11" s="1"/>
  <c r="CT76" i="11" s="1"/>
  <c r="AU15" i="13"/>
  <c r="CL55" i="11" s="1"/>
  <c r="AM15" i="13"/>
  <c r="CD55" i="11" s="1"/>
  <c r="CD76" i="11" s="1"/>
  <c r="AE15" i="13"/>
  <c r="BV55" i="11" s="1"/>
  <c r="BV76" i="11" s="1"/>
  <c r="W15" i="13"/>
  <c r="BN55" i="11" s="1"/>
  <c r="O15" i="13"/>
  <c r="BF55" i="11" s="1"/>
  <c r="BF76" i="11" s="1"/>
  <c r="BC53" i="13"/>
  <c r="CT130" i="11" s="1"/>
  <c r="AU53" i="13"/>
  <c r="CL130" i="11" s="1"/>
  <c r="AM53" i="13"/>
  <c r="CD130" i="11" s="1"/>
  <c r="AE53" i="13"/>
  <c r="BV130" i="11" s="1"/>
  <c r="BV149" i="11" s="1"/>
  <c r="W53" i="13"/>
  <c r="BN130" i="11" s="1"/>
  <c r="O53" i="13"/>
  <c r="BF130" i="11" s="1"/>
  <c r="BC52" i="13"/>
  <c r="CT129" i="11" s="1"/>
  <c r="CT141" i="11" s="1"/>
  <c r="AU52" i="13"/>
  <c r="CL129" i="11" s="1"/>
  <c r="AM52" i="13"/>
  <c r="CD129" i="11" s="1"/>
  <c r="CD141" i="11" s="1"/>
  <c r="AE52" i="13"/>
  <c r="BV129" i="11" s="1"/>
  <c r="BV141" i="11" s="1"/>
  <c r="W52" i="13"/>
  <c r="BN129" i="11" s="1"/>
  <c r="O52" i="13"/>
  <c r="BF129" i="11" s="1"/>
  <c r="BF141" i="11" s="1"/>
  <c r="BC48" i="13"/>
  <c r="CT126" i="11" s="1"/>
  <c r="AU48" i="13"/>
  <c r="CL126" i="11" s="1"/>
  <c r="AM48" i="13"/>
  <c r="CD126" i="11" s="1"/>
  <c r="AE48" i="13"/>
  <c r="BV126" i="11" s="1"/>
  <c r="W48" i="13"/>
  <c r="BN126" i="11" s="1"/>
  <c r="S126" i="11" s="1"/>
  <c r="O48" i="13"/>
  <c r="BF126" i="11" s="1"/>
  <c r="BC49" i="13"/>
  <c r="CT124" i="11" s="1"/>
  <c r="AU49" i="13"/>
  <c r="CL124" i="11" s="1"/>
  <c r="AM49" i="13"/>
  <c r="CD124" i="11" s="1"/>
  <c r="AE49" i="13"/>
  <c r="BV124" i="11" s="1"/>
  <c r="W49" i="13"/>
  <c r="BN124" i="11" s="1"/>
  <c r="O49" i="13"/>
  <c r="BF124" i="11" s="1"/>
  <c r="BC46" i="13"/>
  <c r="AU46" i="13"/>
  <c r="AM46" i="13"/>
  <c r="AE46" i="13"/>
  <c r="W46" i="13"/>
  <c r="O46" i="13"/>
  <c r="BC5" i="13"/>
  <c r="CT28" i="11" s="1"/>
  <c r="CT29" i="11" s="1"/>
  <c r="CT30" i="11" s="1"/>
  <c r="AU5" i="13"/>
  <c r="CL28" i="11" s="1"/>
  <c r="CL29" i="11" s="1"/>
  <c r="CL30" i="11" s="1"/>
  <c r="AM5" i="13"/>
  <c r="CD28" i="11" s="1"/>
  <c r="AE5" i="13"/>
  <c r="BV28" i="11" s="1"/>
  <c r="W5" i="13"/>
  <c r="BN28" i="11" s="1"/>
  <c r="O5" i="13"/>
  <c r="BF28" i="11" s="1"/>
  <c r="BC21" i="13"/>
  <c r="CT61" i="11" s="1"/>
  <c r="CT89" i="11" s="1"/>
  <c r="AU21" i="13"/>
  <c r="CL61" i="11" s="1"/>
  <c r="AM21" i="13"/>
  <c r="CD61" i="11" s="1"/>
  <c r="CD89" i="11" s="1"/>
  <c r="AE21" i="13"/>
  <c r="BV61" i="11" s="1"/>
  <c r="BV89" i="11" s="1"/>
  <c r="W21" i="13"/>
  <c r="BN61" i="11" s="1"/>
  <c r="O21" i="13"/>
  <c r="BF61" i="11" s="1"/>
  <c r="BC20" i="13"/>
  <c r="CT60" i="11" s="1"/>
  <c r="AU20" i="13"/>
  <c r="CL60" i="11" s="1"/>
  <c r="AM20" i="13"/>
  <c r="CD60" i="11" s="1"/>
  <c r="AE20" i="13"/>
  <c r="BV60" i="11" s="1"/>
  <c r="W20" i="13"/>
  <c r="BN60" i="11" s="1"/>
  <c r="O20" i="13"/>
  <c r="BF60" i="11" s="1"/>
  <c r="BC4" i="13"/>
  <c r="AU4" i="13"/>
  <c r="AM4" i="13"/>
  <c r="AE4" i="13"/>
  <c r="W4" i="13"/>
  <c r="BB36" i="13"/>
  <c r="CS98" i="11" s="1"/>
  <c r="AT36" i="13"/>
  <c r="CK98" i="11" s="1"/>
  <c r="AL36" i="13"/>
  <c r="CC98" i="11" s="1"/>
  <c r="AD36" i="13"/>
  <c r="BU98" i="11" s="1"/>
  <c r="V36" i="13"/>
  <c r="BM98" i="11" s="1"/>
  <c r="N36" i="13"/>
  <c r="BE98" i="11" s="1"/>
  <c r="BB35" i="13"/>
  <c r="AT35" i="13"/>
  <c r="AL35" i="13"/>
  <c r="AD35" i="13"/>
  <c r="V35" i="13"/>
  <c r="N35" i="13"/>
  <c r="BB40" i="13"/>
  <c r="CS102" i="11" s="1"/>
  <c r="AT40" i="13"/>
  <c r="CK102" i="11" s="1"/>
  <c r="AL40" i="13"/>
  <c r="CC102" i="11" s="1"/>
  <c r="AD40" i="13"/>
  <c r="BU102" i="11" s="1"/>
  <c r="BU118" i="11" s="1"/>
  <c r="V40" i="13"/>
  <c r="BM102" i="11" s="1"/>
  <c r="N40" i="13"/>
  <c r="BE102" i="11" s="1"/>
  <c r="BB39" i="13"/>
  <c r="CS101" i="11" s="1"/>
  <c r="CS113" i="11" s="1"/>
  <c r="AT39" i="13"/>
  <c r="CK101" i="11" s="1"/>
  <c r="CK113" i="11" s="1"/>
  <c r="AL39" i="13"/>
  <c r="CC101" i="11" s="1"/>
  <c r="AD39" i="13"/>
  <c r="BU101" i="11" s="1"/>
  <c r="BU113" i="11" s="1"/>
  <c r="V39" i="13"/>
  <c r="BM101" i="11" s="1"/>
  <c r="BM113" i="11" s="1"/>
  <c r="N39" i="13"/>
  <c r="BE101" i="11" s="1"/>
  <c r="BB26" i="13"/>
  <c r="AT26" i="13"/>
  <c r="AL26" i="13"/>
  <c r="AD26" i="13"/>
  <c r="V26" i="13"/>
  <c r="N26" i="13"/>
  <c r="BB25" i="13"/>
  <c r="AT25" i="13"/>
  <c r="AL25" i="13"/>
  <c r="AD25" i="13"/>
  <c r="V25" i="13"/>
  <c r="N25" i="13"/>
  <c r="BB12" i="13"/>
  <c r="CS52" i="11" s="1"/>
  <c r="AT12" i="13"/>
  <c r="AL12" i="13"/>
  <c r="CC52" i="11" s="1"/>
  <c r="AD12" i="13"/>
  <c r="BU52" i="11" s="1"/>
  <c r="V12" i="13"/>
  <c r="BM52" i="11" s="1"/>
  <c r="N12" i="13"/>
  <c r="BE52" i="11" s="1"/>
  <c r="BB11" i="13"/>
  <c r="AT11" i="13"/>
  <c r="AL11" i="13"/>
  <c r="AD11" i="13"/>
  <c r="V11" i="13"/>
  <c r="N11" i="13"/>
  <c r="BB16" i="13"/>
  <c r="CS56" i="11" s="1"/>
  <c r="AT16" i="13"/>
  <c r="CK56" i="11" s="1"/>
  <c r="AL16" i="13"/>
  <c r="CC56" i="11" s="1"/>
  <c r="AD16" i="13"/>
  <c r="BU56" i="11" s="1"/>
  <c r="V16" i="13"/>
  <c r="BM56" i="11" s="1"/>
  <c r="N16" i="13"/>
  <c r="BE56" i="11" s="1"/>
  <c r="BB17" i="13"/>
  <c r="CS57" i="11" s="1"/>
  <c r="CS88" i="11" s="1"/>
  <c r="AT17" i="13"/>
  <c r="CK57" i="11" s="1"/>
  <c r="CK88" i="11" s="1"/>
  <c r="AL17" i="13"/>
  <c r="CC57" i="11" s="1"/>
  <c r="AD17" i="13"/>
  <c r="BU57" i="11" s="1"/>
  <c r="BU88" i="11" s="1"/>
  <c r="V17" i="13"/>
  <c r="BM57" i="11" s="1"/>
  <c r="BM88" i="11" s="1"/>
  <c r="N17" i="13"/>
  <c r="BE57" i="11" s="1"/>
  <c r="BB15" i="13"/>
  <c r="CS55" i="11" s="1"/>
  <c r="CS76" i="11" s="1"/>
  <c r="AT15" i="13"/>
  <c r="CK55" i="11" s="1"/>
  <c r="CK76" i="11" s="1"/>
  <c r="AL15" i="13"/>
  <c r="CC55" i="11" s="1"/>
  <c r="AD15" i="13"/>
  <c r="BU55" i="11" s="1"/>
  <c r="BU76" i="11" s="1"/>
  <c r="V15" i="13"/>
  <c r="BM55" i="11" s="1"/>
  <c r="BM76" i="11" s="1"/>
  <c r="N15" i="13"/>
  <c r="BE55" i="11" s="1"/>
  <c r="BB53" i="13"/>
  <c r="CS130" i="11" s="1"/>
  <c r="CS149" i="11" s="1"/>
  <c r="AT53" i="13"/>
  <c r="CK130" i="11" s="1"/>
  <c r="AL53" i="13"/>
  <c r="CC130" i="11" s="1"/>
  <c r="AD53" i="13"/>
  <c r="BU130" i="11" s="1"/>
  <c r="V53" i="13"/>
  <c r="BM130" i="11" s="1"/>
  <c r="BM149" i="11" s="1"/>
  <c r="N53" i="13"/>
  <c r="BE130" i="11" s="1"/>
  <c r="BB52" i="13"/>
  <c r="CS129" i="11" s="1"/>
  <c r="AT52" i="13"/>
  <c r="CK129" i="11" s="1"/>
  <c r="CK141" i="11" s="1"/>
  <c r="AL52" i="13"/>
  <c r="CC129" i="11" s="1"/>
  <c r="AD52" i="13"/>
  <c r="BU129" i="11" s="1"/>
  <c r="V52" i="13"/>
  <c r="BM129" i="11" s="1"/>
  <c r="BM141" i="11" s="1"/>
  <c r="N52" i="13"/>
  <c r="BE129" i="11" s="1"/>
  <c r="BB48" i="13"/>
  <c r="CS126" i="11" s="1"/>
  <c r="AT48" i="13"/>
  <c r="CK126" i="11" s="1"/>
  <c r="AL48" i="13"/>
  <c r="CC126" i="11" s="1"/>
  <c r="AD48" i="13"/>
  <c r="BU126" i="11" s="1"/>
  <c r="V48" i="13"/>
  <c r="BM126" i="11" s="1"/>
  <c r="N48" i="13"/>
  <c r="BE126" i="11" s="1"/>
  <c r="P126" i="11" s="1"/>
  <c r="BB49" i="13"/>
  <c r="CS124" i="11" s="1"/>
  <c r="AT49" i="13"/>
  <c r="CK124" i="11" s="1"/>
  <c r="AL49" i="13"/>
  <c r="CC124" i="11" s="1"/>
  <c r="AD49" i="13"/>
  <c r="BU124" i="11" s="1"/>
  <c r="V49" i="13"/>
  <c r="BM124" i="11" s="1"/>
  <c r="N49" i="13"/>
  <c r="BE124" i="11" s="1"/>
  <c r="BB46" i="13"/>
  <c r="AT46" i="13"/>
  <c r="AL46" i="13"/>
  <c r="AD46" i="13"/>
  <c r="V46" i="13"/>
  <c r="N46" i="13"/>
  <c r="BB5" i="13"/>
  <c r="CS28" i="11" s="1"/>
  <c r="AT5" i="13"/>
  <c r="CK28" i="11" s="1"/>
  <c r="CK29" i="11" s="1"/>
  <c r="CK30" i="11" s="1"/>
  <c r="AL5" i="13"/>
  <c r="CC28" i="11" s="1"/>
  <c r="CC29" i="11" s="1"/>
  <c r="CC30" i="11" s="1"/>
  <c r="AD5" i="13"/>
  <c r="BU28" i="11" s="1"/>
  <c r="V5" i="13"/>
  <c r="BM28" i="11" s="1"/>
  <c r="N5" i="13"/>
  <c r="BE28" i="11" s="1"/>
  <c r="BB21" i="13"/>
  <c r="CS61" i="11" s="1"/>
  <c r="CS89" i="11" s="1"/>
  <c r="AT21" i="13"/>
  <c r="CK61" i="11" s="1"/>
  <c r="CK89" i="11" s="1"/>
  <c r="AL21" i="13"/>
  <c r="CC61" i="11" s="1"/>
  <c r="AD21" i="13"/>
  <c r="BU61" i="11" s="1"/>
  <c r="BU89" i="11" s="1"/>
  <c r="V21" i="13"/>
  <c r="BM61" i="11" s="1"/>
  <c r="BM89" i="11" s="1"/>
  <c r="N21" i="13"/>
  <c r="BE61" i="11" s="1"/>
  <c r="BB20" i="13"/>
  <c r="CS60" i="11" s="1"/>
  <c r="CS81" i="11" s="1"/>
  <c r="AT20" i="13"/>
  <c r="CK60" i="11" s="1"/>
  <c r="CK81" i="11" s="1"/>
  <c r="AL20" i="13"/>
  <c r="CC60" i="11" s="1"/>
  <c r="AD20" i="13"/>
  <c r="BU60" i="11" s="1"/>
  <c r="BU81" i="11" s="1"/>
  <c r="V20" i="13"/>
  <c r="BM60" i="11" s="1"/>
  <c r="BM81" i="11" s="1"/>
  <c r="N20" i="13"/>
  <c r="BE60" i="11" s="1"/>
  <c r="BB4" i="13"/>
  <c r="AT4" i="13"/>
  <c r="AL4" i="13"/>
  <c r="AD4" i="13"/>
  <c r="V4" i="13"/>
  <c r="N4" i="13"/>
  <c r="BA36" i="13"/>
  <c r="CR98" i="11" s="1"/>
  <c r="AS36" i="13"/>
  <c r="CJ98" i="11" s="1"/>
  <c r="AK36" i="13"/>
  <c r="CB98" i="11" s="1"/>
  <c r="AC36" i="13"/>
  <c r="BT98" i="11" s="1"/>
  <c r="U36" i="13"/>
  <c r="BL98" i="11" s="1"/>
  <c r="M36" i="13"/>
  <c r="BD98" i="11" s="1"/>
  <c r="BA35" i="13"/>
  <c r="AS35" i="13"/>
  <c r="AK35" i="13"/>
  <c r="AC35" i="13"/>
  <c r="U35" i="13"/>
  <c r="M35" i="13"/>
  <c r="BA40" i="13"/>
  <c r="CR102" i="11" s="1"/>
  <c r="AS40" i="13"/>
  <c r="CJ102" i="11" s="1"/>
  <c r="AK40" i="13"/>
  <c r="CB102" i="11" s="1"/>
  <c r="CB118" i="11" s="1"/>
  <c r="AC40" i="13"/>
  <c r="BT102" i="11" s="1"/>
  <c r="U40" i="13"/>
  <c r="BL102" i="11" s="1"/>
  <c r="M40" i="13"/>
  <c r="BD102" i="11" s="1"/>
  <c r="BD118" i="11" s="1"/>
  <c r="BA39" i="13"/>
  <c r="CR101" i="11" s="1"/>
  <c r="AS39" i="13"/>
  <c r="CJ101" i="11" s="1"/>
  <c r="CJ113" i="11" s="1"/>
  <c r="AK39" i="13"/>
  <c r="CB101" i="11" s="1"/>
  <c r="CB113" i="11" s="1"/>
  <c r="AC39" i="13"/>
  <c r="BT101" i="11" s="1"/>
  <c r="U39" i="13"/>
  <c r="BL101" i="11" s="1"/>
  <c r="BL113" i="11" s="1"/>
  <c r="M39" i="13"/>
  <c r="BD101" i="11" s="1"/>
  <c r="BD113" i="11" s="1"/>
  <c r="BA26" i="13"/>
  <c r="AS26" i="13"/>
  <c r="AK26" i="13"/>
  <c r="AC26" i="13"/>
  <c r="U26" i="13"/>
  <c r="M26" i="13"/>
  <c r="BA25" i="13"/>
  <c r="AS25" i="13"/>
  <c r="AK25" i="13"/>
  <c r="AC25" i="13"/>
  <c r="U25" i="13"/>
  <c r="M25" i="13"/>
  <c r="BA12" i="13"/>
  <c r="CR52" i="11" s="1"/>
  <c r="AS12" i="13"/>
  <c r="AK12" i="13"/>
  <c r="CB52" i="11" s="1"/>
  <c r="AC12" i="13"/>
  <c r="BT52" i="11" s="1"/>
  <c r="U12" i="13"/>
  <c r="BL52" i="11" s="1"/>
  <c r="M12" i="13"/>
  <c r="BD52" i="11" s="1"/>
  <c r="BA11" i="13"/>
  <c r="AS11" i="13"/>
  <c r="AK11" i="13"/>
  <c r="AC11" i="13"/>
  <c r="U11" i="13"/>
  <c r="M11" i="13"/>
  <c r="BA16" i="13"/>
  <c r="CR56" i="11" s="1"/>
  <c r="AS16" i="13"/>
  <c r="CJ56" i="11" s="1"/>
  <c r="AK16" i="13"/>
  <c r="CB56" i="11" s="1"/>
  <c r="AC16" i="13"/>
  <c r="BT56" i="11" s="1"/>
  <c r="U16" i="13"/>
  <c r="BL56" i="11" s="1"/>
  <c r="M16" i="13"/>
  <c r="BD56" i="11" s="1"/>
  <c r="BA17" i="13"/>
  <c r="CR57" i="11" s="1"/>
  <c r="AS17" i="13"/>
  <c r="CJ57" i="11" s="1"/>
  <c r="CJ88" i="11" s="1"/>
  <c r="AK17" i="13"/>
  <c r="CB57" i="11" s="1"/>
  <c r="AC17" i="13"/>
  <c r="BT57" i="11" s="1"/>
  <c r="U17" i="13"/>
  <c r="BL57" i="11" s="1"/>
  <c r="BL88" i="11" s="1"/>
  <c r="M17" i="13"/>
  <c r="BD57" i="11" s="1"/>
  <c r="BA15" i="13"/>
  <c r="CR55" i="11" s="1"/>
  <c r="AS15" i="13"/>
  <c r="CJ55" i="11" s="1"/>
  <c r="CJ76" i="11" s="1"/>
  <c r="AK15" i="13"/>
  <c r="CB55" i="11" s="1"/>
  <c r="CB76" i="11" s="1"/>
  <c r="AC15" i="13"/>
  <c r="BT55" i="11" s="1"/>
  <c r="U15" i="13"/>
  <c r="BL55" i="11" s="1"/>
  <c r="BL76" i="11" s="1"/>
  <c r="M15" i="13"/>
  <c r="BD55" i="11" s="1"/>
  <c r="BD76" i="11" s="1"/>
  <c r="M52" i="13"/>
  <c r="BD129" i="11" s="1"/>
  <c r="BD141" i="11" s="1"/>
  <c r="BA48" i="13"/>
  <c r="CR126" i="11" s="1"/>
  <c r="AS48" i="13"/>
  <c r="CJ126" i="11" s="1"/>
  <c r="AK48" i="13"/>
  <c r="CB126" i="11" s="1"/>
  <c r="AC48" i="13"/>
  <c r="BT126" i="11" s="1"/>
  <c r="U48" i="13"/>
  <c r="BL126" i="11" s="1"/>
  <c r="M48" i="13"/>
  <c r="BD126" i="11" s="1"/>
  <c r="BA49" i="13"/>
  <c r="CR124" i="11" s="1"/>
  <c r="AS49" i="13"/>
  <c r="CJ124" i="11" s="1"/>
  <c r="AK49" i="13"/>
  <c r="CB124" i="11" s="1"/>
  <c r="AC49" i="13"/>
  <c r="BT124" i="11" s="1"/>
  <c r="U49" i="13"/>
  <c r="BL124" i="11" s="1"/>
  <c r="M49" i="13"/>
  <c r="BD124" i="11" s="1"/>
  <c r="BA46" i="13"/>
  <c r="AS46" i="13"/>
  <c r="AK46" i="13"/>
  <c r="AC46" i="13"/>
  <c r="U46" i="13"/>
  <c r="M46" i="13"/>
  <c r="BA5" i="13"/>
  <c r="CR28" i="11" s="1"/>
  <c r="AS5" i="13"/>
  <c r="CJ28" i="11" s="1"/>
  <c r="CJ29" i="11" s="1"/>
  <c r="CJ30" i="11" s="1"/>
  <c r="AK5" i="13"/>
  <c r="CB28" i="11" s="1"/>
  <c r="AC5" i="13"/>
  <c r="BT28" i="11" s="1"/>
  <c r="U5" i="13"/>
  <c r="BL28" i="11" s="1"/>
  <c r="M5" i="13"/>
  <c r="BD28" i="11" s="1"/>
  <c r="BD29" i="11" s="1"/>
  <c r="BD30" i="11" s="1"/>
  <c r="BA21" i="13"/>
  <c r="CR61" i="11" s="1"/>
  <c r="AS21" i="13"/>
  <c r="CJ61" i="11" s="1"/>
  <c r="AK21" i="13"/>
  <c r="CB61" i="11" s="1"/>
  <c r="AC21" i="13"/>
  <c r="BT61" i="11" s="1"/>
  <c r="U21" i="13"/>
  <c r="BL61" i="11" s="1"/>
  <c r="BL89" i="11" s="1"/>
  <c r="M21" i="13"/>
  <c r="BD61" i="11" s="1"/>
  <c r="BA20" i="13"/>
  <c r="CR60" i="11" s="1"/>
  <c r="AS20" i="13"/>
  <c r="CJ60" i="11" s="1"/>
  <c r="AK20" i="13"/>
  <c r="CB60" i="11" s="1"/>
  <c r="AC20" i="13"/>
  <c r="BT60" i="11" s="1"/>
  <c r="U20" i="13"/>
  <c r="BL60" i="11" s="1"/>
  <c r="M20" i="13"/>
  <c r="BD60" i="11" s="1"/>
  <c r="BA4" i="13"/>
  <c r="AS4" i="13"/>
  <c r="AK4" i="13"/>
  <c r="AC4" i="13"/>
  <c r="U4" i="13"/>
  <c r="M4" i="13"/>
  <c r="AZ36" i="13"/>
  <c r="CQ98" i="11" s="1"/>
  <c r="AR36" i="13"/>
  <c r="CI98" i="11" s="1"/>
  <c r="AJ36" i="13"/>
  <c r="CA98" i="11" s="1"/>
  <c r="AB36" i="13"/>
  <c r="BS98" i="11" s="1"/>
  <c r="T36" i="13"/>
  <c r="BK98" i="11" s="1"/>
  <c r="L36" i="13"/>
  <c r="BC98" i="11" s="1"/>
  <c r="AZ35" i="13"/>
  <c r="AR35" i="13"/>
  <c r="AJ35" i="13"/>
  <c r="AB35" i="13"/>
  <c r="T35" i="13"/>
  <c r="L35" i="13"/>
  <c r="AZ40" i="13"/>
  <c r="CQ102" i="11" s="1"/>
  <c r="CQ118" i="11" s="1"/>
  <c r="AR40" i="13"/>
  <c r="CI102" i="11" s="1"/>
  <c r="AJ40" i="13"/>
  <c r="CA102" i="11" s="1"/>
  <c r="AB40" i="13"/>
  <c r="BS102" i="11" s="1"/>
  <c r="T40" i="13"/>
  <c r="BK102" i="11" s="1"/>
  <c r="L40" i="13"/>
  <c r="BC102" i="11" s="1"/>
  <c r="BC118" i="11" s="1"/>
  <c r="AZ39" i="13"/>
  <c r="CQ101" i="11" s="1"/>
  <c r="CQ113" i="11" s="1"/>
  <c r="AR39" i="13"/>
  <c r="CI101" i="11" s="1"/>
  <c r="AJ39" i="13"/>
  <c r="CA101" i="11" s="1"/>
  <c r="CA113" i="11" s="1"/>
  <c r="AB39" i="13"/>
  <c r="BS101" i="11" s="1"/>
  <c r="BS113" i="11" s="1"/>
  <c r="T39" i="13"/>
  <c r="BK101" i="11" s="1"/>
  <c r="L39" i="13"/>
  <c r="BC101" i="11" s="1"/>
  <c r="BC113" i="11" s="1"/>
  <c r="AZ26" i="13"/>
  <c r="AR26" i="13"/>
  <c r="AJ26" i="13"/>
  <c r="AB26" i="13"/>
  <c r="T26" i="13"/>
  <c r="L26" i="13"/>
  <c r="AZ25" i="13"/>
  <c r="AR25" i="13"/>
  <c r="AJ25" i="13"/>
  <c r="AB25" i="13"/>
  <c r="T25" i="13"/>
  <c r="L25" i="13"/>
  <c r="AZ12" i="13"/>
  <c r="CQ52" i="11" s="1"/>
  <c r="AR12" i="13"/>
  <c r="AJ12" i="13"/>
  <c r="AB12" i="13"/>
  <c r="BS52" i="11" s="1"/>
  <c r="T12" i="13"/>
  <c r="L12" i="13"/>
  <c r="BC52" i="11" s="1"/>
  <c r="AZ11" i="13"/>
  <c r="AR11" i="13"/>
  <c r="AJ11" i="13"/>
  <c r="AB11" i="13"/>
  <c r="T11" i="13"/>
  <c r="L11" i="13"/>
  <c r="AZ16" i="13"/>
  <c r="CQ56" i="11" s="1"/>
  <c r="AR16" i="13"/>
  <c r="CI56" i="11" s="1"/>
  <c r="AJ16" i="13"/>
  <c r="CA56" i="11" s="1"/>
  <c r="AB16" i="13"/>
  <c r="BS56" i="11" s="1"/>
  <c r="T16" i="13"/>
  <c r="BK56" i="11" s="1"/>
  <c r="L16" i="13"/>
  <c r="BC56" i="11" s="1"/>
  <c r="AZ17" i="13"/>
  <c r="CQ57" i="11" s="1"/>
  <c r="AR17" i="13"/>
  <c r="CI57" i="11" s="1"/>
  <c r="AJ17" i="13"/>
  <c r="CA57" i="11" s="1"/>
  <c r="AB17" i="13"/>
  <c r="BS57" i="11" s="1"/>
  <c r="BS88" i="11" s="1"/>
  <c r="T17" i="13"/>
  <c r="BK57" i="11" s="1"/>
  <c r="L17" i="13"/>
  <c r="BC57" i="11" s="1"/>
  <c r="AZ15" i="13"/>
  <c r="CQ55" i="11" s="1"/>
  <c r="CQ76" i="11" s="1"/>
  <c r="AR15" i="13"/>
  <c r="CI55" i="11" s="1"/>
  <c r="AJ15" i="13"/>
  <c r="CA55" i="11" s="1"/>
  <c r="CA76" i="11" s="1"/>
  <c r="AB15" i="13"/>
  <c r="BS55" i="11" s="1"/>
  <c r="BS76" i="11" s="1"/>
  <c r="T15" i="13"/>
  <c r="BK55" i="11" s="1"/>
  <c r="L15" i="13"/>
  <c r="BC55" i="11" s="1"/>
  <c r="BC76" i="11" s="1"/>
  <c r="AZ53" i="13"/>
  <c r="CQ130" i="11" s="1"/>
  <c r="CQ149" i="11" s="1"/>
  <c r="AR53" i="13"/>
  <c r="CI130" i="11" s="1"/>
  <c r="AJ53" i="13"/>
  <c r="CA130" i="11" s="1"/>
  <c r="CA149" i="11" s="1"/>
  <c r="AB53" i="13"/>
  <c r="BS130" i="11" s="1"/>
  <c r="BS149" i="11" s="1"/>
  <c r="T53" i="13"/>
  <c r="BK130" i="11" s="1"/>
  <c r="L53" i="13"/>
  <c r="BC130" i="11" s="1"/>
  <c r="AZ52" i="13"/>
  <c r="CQ129" i="11" s="1"/>
  <c r="CQ141" i="11" s="1"/>
  <c r="AR52" i="13"/>
  <c r="CI129" i="11" s="1"/>
  <c r="AJ52" i="13"/>
  <c r="CA129" i="11" s="1"/>
  <c r="CA141" i="11" s="1"/>
  <c r="AB52" i="13"/>
  <c r="BS129" i="11" s="1"/>
  <c r="BS141" i="11" s="1"/>
  <c r="T52" i="13"/>
  <c r="BK129" i="11" s="1"/>
  <c r="L52" i="13"/>
  <c r="BC129" i="11" s="1"/>
  <c r="BC141" i="11" s="1"/>
  <c r="AZ48" i="13"/>
  <c r="CQ126" i="11" s="1"/>
  <c r="AR48" i="13"/>
  <c r="CI126" i="11" s="1"/>
  <c r="AJ48" i="13"/>
  <c r="CA126" i="11" s="1"/>
  <c r="AB48" i="13"/>
  <c r="BS126" i="11" s="1"/>
  <c r="T48" i="13"/>
  <c r="BK126" i="11" s="1"/>
  <c r="L48" i="13"/>
  <c r="BC126" i="11" s="1"/>
  <c r="AZ49" i="13"/>
  <c r="CQ124" i="11" s="1"/>
  <c r="AR49" i="13"/>
  <c r="CI124" i="11" s="1"/>
  <c r="AJ49" i="13"/>
  <c r="CA124" i="11" s="1"/>
  <c r="AB49" i="13"/>
  <c r="BS124" i="11" s="1"/>
  <c r="T49" i="13"/>
  <c r="BK124" i="11" s="1"/>
  <c r="L49" i="13"/>
  <c r="BC124" i="11" s="1"/>
  <c r="AZ46" i="13"/>
  <c r="AR46" i="13"/>
  <c r="AJ46" i="13"/>
  <c r="AB46" i="13"/>
  <c r="T46" i="13"/>
  <c r="L46" i="13"/>
  <c r="AZ5" i="13"/>
  <c r="CQ28" i="11" s="1"/>
  <c r="AR5" i="13"/>
  <c r="CI28" i="11" s="1"/>
  <c r="AJ5" i="13"/>
  <c r="CA28" i="11" s="1"/>
  <c r="AB5" i="13"/>
  <c r="BS28" i="11" s="1"/>
  <c r="T5" i="13"/>
  <c r="BK28" i="11" s="1"/>
  <c r="BK29" i="11" s="1"/>
  <c r="BK30" i="11" s="1"/>
  <c r="L5" i="13"/>
  <c r="BC28" i="11" s="1"/>
  <c r="BC29" i="11" s="1"/>
  <c r="BC30" i="11" s="1"/>
  <c r="AZ21" i="13"/>
  <c r="CQ61" i="11" s="1"/>
  <c r="AR21" i="13"/>
  <c r="CI61" i="11" s="1"/>
  <c r="AJ21" i="13"/>
  <c r="CA61" i="11" s="1"/>
  <c r="AB21" i="13"/>
  <c r="BS61" i="11" s="1"/>
  <c r="BS89" i="11" s="1"/>
  <c r="T21" i="13"/>
  <c r="BK61" i="11" s="1"/>
  <c r="L21" i="13"/>
  <c r="BC61" i="11" s="1"/>
  <c r="AZ20" i="13"/>
  <c r="CQ60" i="11" s="1"/>
  <c r="AR20" i="13"/>
  <c r="CI60" i="11" s="1"/>
  <c r="AJ20" i="13"/>
  <c r="CA60" i="11" s="1"/>
  <c r="AB20" i="13"/>
  <c r="BS60" i="11" s="1"/>
  <c r="T20" i="13"/>
  <c r="BK60" i="11" s="1"/>
  <c r="L20" i="13"/>
  <c r="BC60" i="11" s="1"/>
  <c r="AY36" i="13"/>
  <c r="CP98" i="11" s="1"/>
  <c r="AQ36" i="13"/>
  <c r="CH98" i="11" s="1"/>
  <c r="AI36" i="13"/>
  <c r="BZ98" i="11" s="1"/>
  <c r="AA36" i="13"/>
  <c r="BR98" i="11" s="1"/>
  <c r="S36" i="13"/>
  <c r="BJ98" i="11" s="1"/>
  <c r="K36" i="13"/>
  <c r="BB98" i="11" s="1"/>
  <c r="AY35" i="13"/>
  <c r="AQ35" i="13"/>
  <c r="AI35" i="13"/>
  <c r="AA35" i="13"/>
  <c r="S35" i="13"/>
  <c r="K35" i="13"/>
  <c r="AY40" i="13"/>
  <c r="CP102" i="11" s="1"/>
  <c r="AQ40" i="13"/>
  <c r="CH102" i="11" s="1"/>
  <c r="AI40" i="13"/>
  <c r="BZ102" i="11" s="1"/>
  <c r="AA40" i="13"/>
  <c r="BR102" i="11" s="1"/>
  <c r="BR118" i="11" s="1"/>
  <c r="S40" i="13"/>
  <c r="BJ102" i="11" s="1"/>
  <c r="BJ118" i="11" s="1"/>
  <c r="K40" i="13"/>
  <c r="BB102" i="11" s="1"/>
  <c r="AY39" i="13"/>
  <c r="CP101" i="11" s="1"/>
  <c r="CP113" i="11" s="1"/>
  <c r="AQ39" i="13"/>
  <c r="CH101" i="11" s="1"/>
  <c r="CH113" i="11" s="1"/>
  <c r="AI39" i="13"/>
  <c r="BZ101" i="11" s="1"/>
  <c r="AA39" i="13"/>
  <c r="BR101" i="11" s="1"/>
  <c r="BR113" i="11" s="1"/>
  <c r="S39" i="13"/>
  <c r="BJ101" i="11" s="1"/>
  <c r="BJ113" i="11" s="1"/>
  <c r="K39" i="13"/>
  <c r="BB101" i="11" s="1"/>
  <c r="AY26" i="13"/>
  <c r="AQ26" i="13"/>
  <c r="AI26" i="13"/>
  <c r="AA26" i="13"/>
  <c r="S26" i="13"/>
  <c r="K26" i="13"/>
  <c r="AY25" i="13"/>
  <c r="AQ25" i="13"/>
  <c r="AI25" i="13"/>
  <c r="AA25" i="13"/>
  <c r="S25" i="13"/>
  <c r="K25" i="13"/>
  <c r="AY12" i="13"/>
  <c r="AQ12" i="13"/>
  <c r="CH52" i="11" s="1"/>
  <c r="AI12" i="13"/>
  <c r="AA12" i="13"/>
  <c r="BR52" i="11" s="1"/>
  <c r="S12" i="13"/>
  <c r="BJ52" i="11" s="1"/>
  <c r="K12" i="13"/>
  <c r="BB52" i="11" s="1"/>
  <c r="AY11" i="13"/>
  <c r="AQ11" i="13"/>
  <c r="AI11" i="13"/>
  <c r="AA11" i="13"/>
  <c r="S11" i="13"/>
  <c r="K11" i="13"/>
  <c r="AY16" i="13"/>
  <c r="CP56" i="11" s="1"/>
  <c r="AQ16" i="13"/>
  <c r="CH56" i="11" s="1"/>
  <c r="AI16" i="13"/>
  <c r="BZ56" i="11" s="1"/>
  <c r="AA16" i="13"/>
  <c r="BR56" i="11" s="1"/>
  <c r="S16" i="13"/>
  <c r="BJ56" i="11" s="1"/>
  <c r="K16" i="13"/>
  <c r="BB56" i="11" s="1"/>
  <c r="AY17" i="13"/>
  <c r="CP57" i="11" s="1"/>
  <c r="AQ17" i="13"/>
  <c r="CH57" i="11" s="1"/>
  <c r="CH88" i="11" s="1"/>
  <c r="AI17" i="13"/>
  <c r="BZ57" i="11" s="1"/>
  <c r="AA17" i="13"/>
  <c r="BR57" i="11" s="1"/>
  <c r="S17" i="13"/>
  <c r="BJ57" i="11" s="1"/>
  <c r="BJ88" i="11" s="1"/>
  <c r="K17" i="13"/>
  <c r="BB57" i="11" s="1"/>
  <c r="AY15" i="13"/>
  <c r="CP55" i="11" s="1"/>
  <c r="CP76" i="11" s="1"/>
  <c r="AQ15" i="13"/>
  <c r="CH55" i="11" s="1"/>
  <c r="CH76" i="11" s="1"/>
  <c r="AI15" i="13"/>
  <c r="BZ55" i="11" s="1"/>
  <c r="AA15" i="13"/>
  <c r="BR55" i="11" s="1"/>
  <c r="BR76" i="11" s="1"/>
  <c r="S15" i="13"/>
  <c r="BJ55" i="11" s="1"/>
  <c r="BJ76" i="11" s="1"/>
  <c r="K15" i="13"/>
  <c r="BB55" i="11" s="1"/>
  <c r="AY53" i="13"/>
  <c r="CP130" i="11" s="1"/>
  <c r="CP149" i="11" s="1"/>
  <c r="AQ53" i="13"/>
  <c r="CH130" i="11" s="1"/>
  <c r="CH149" i="11" s="1"/>
  <c r="AI53" i="13"/>
  <c r="BZ130" i="11" s="1"/>
  <c r="AA53" i="13"/>
  <c r="BR130" i="11" s="1"/>
  <c r="S53" i="13"/>
  <c r="BJ130" i="11" s="1"/>
  <c r="K53" i="13"/>
  <c r="BB130" i="11" s="1"/>
  <c r="AY52" i="13"/>
  <c r="CP129" i="11" s="1"/>
  <c r="CP141" i="11" s="1"/>
  <c r="AQ52" i="13"/>
  <c r="CH129" i="11" s="1"/>
  <c r="CH141" i="11" s="1"/>
  <c r="AI52" i="13"/>
  <c r="BZ129" i="11" s="1"/>
  <c r="AA52" i="13"/>
  <c r="BR129" i="11" s="1"/>
  <c r="BR141" i="11" s="1"/>
  <c r="S52" i="13"/>
  <c r="BJ129" i="11" s="1"/>
  <c r="BJ141" i="11" s="1"/>
  <c r="K52" i="13"/>
  <c r="BB129" i="11" s="1"/>
  <c r="AY48" i="13"/>
  <c r="CP126" i="11" s="1"/>
  <c r="AQ48" i="13"/>
  <c r="CH126" i="11" s="1"/>
  <c r="AI48" i="13"/>
  <c r="BZ126" i="11" s="1"/>
  <c r="W126" i="11" s="1"/>
  <c r="AA48" i="13"/>
  <c r="BR126" i="11" s="1"/>
  <c r="S48" i="13"/>
  <c r="BJ126" i="11" s="1"/>
  <c r="K48" i="13"/>
  <c r="BB126" i="11" s="1"/>
  <c r="O126" i="11" s="1"/>
  <c r="AY49" i="13"/>
  <c r="CP124" i="11" s="1"/>
  <c r="AQ49" i="13"/>
  <c r="CH124" i="11" s="1"/>
  <c r="AI49" i="13"/>
  <c r="BZ124" i="11" s="1"/>
  <c r="AA49" i="13"/>
  <c r="BR124" i="11" s="1"/>
  <c r="S49" i="13"/>
  <c r="BJ124" i="11" s="1"/>
  <c r="K49" i="13"/>
  <c r="BB124" i="11" s="1"/>
  <c r="AY46" i="13"/>
  <c r="AQ46" i="13"/>
  <c r="AI46" i="13"/>
  <c r="AA46" i="13"/>
  <c r="S46" i="13"/>
  <c r="K46" i="13"/>
  <c r="AY5" i="13"/>
  <c r="CP28" i="11" s="1"/>
  <c r="AQ5" i="13"/>
  <c r="CH28" i="11" s="1"/>
  <c r="AI5" i="13"/>
  <c r="BZ28" i="11" s="1"/>
  <c r="AA5" i="13"/>
  <c r="BR28" i="11" s="1"/>
  <c r="BR29" i="11" s="1"/>
  <c r="BR30" i="11" s="1"/>
  <c r="S5" i="13"/>
  <c r="BJ28" i="11" s="1"/>
  <c r="BJ29" i="11" s="1"/>
  <c r="BJ30" i="11" s="1"/>
  <c r="K5" i="13"/>
  <c r="BB28" i="11" s="1"/>
  <c r="AY21" i="13"/>
  <c r="CP61" i="11" s="1"/>
  <c r="AQ21" i="13"/>
  <c r="CH61" i="11" s="1"/>
  <c r="CH89" i="11" s="1"/>
  <c r="AI21" i="13"/>
  <c r="BZ61" i="11" s="1"/>
  <c r="AA21" i="13"/>
  <c r="BR61" i="11" s="1"/>
  <c r="S21" i="13"/>
  <c r="BJ61" i="11" s="1"/>
  <c r="BJ89" i="11" s="1"/>
  <c r="K21" i="13"/>
  <c r="BB61" i="11" s="1"/>
  <c r="AY20" i="13"/>
  <c r="CP60" i="11" s="1"/>
  <c r="AQ20" i="13"/>
  <c r="CH60" i="11" s="1"/>
  <c r="AI20" i="13"/>
  <c r="BZ60" i="11" s="1"/>
  <c r="AA20" i="13"/>
  <c r="BR60" i="11" s="1"/>
  <c r="S20" i="13"/>
  <c r="BJ60" i="11" s="1"/>
  <c r="K20" i="13"/>
  <c r="BB60" i="11" s="1"/>
  <c r="AY4" i="13"/>
  <c r="AQ4" i="13"/>
  <c r="AI4" i="13"/>
  <c r="AA4" i="13"/>
  <c r="S4" i="13"/>
  <c r="K4" i="13"/>
  <c r="AZ4" i="13"/>
  <c r="AR4" i="13"/>
  <c r="AJ4" i="13"/>
  <c r="AB4" i="13"/>
  <c r="T4" i="13"/>
  <c r="L4" i="13"/>
  <c r="J4" i="13"/>
  <c r="I4" i="13"/>
  <c r="H4" i="13"/>
  <c r="O4" i="13"/>
  <c r="J44" i="22"/>
  <c r="X44" i="22" s="1"/>
  <c r="U43" i="22"/>
  <c r="R43" i="22"/>
  <c r="S43" i="22"/>
  <c r="X43" i="22"/>
  <c r="Y43" i="22"/>
  <c r="N43" i="22"/>
  <c r="P43" i="22"/>
  <c r="J85" i="22"/>
  <c r="K73" i="22"/>
  <c r="AC77" i="22"/>
  <c r="M43" i="22"/>
  <c r="AC89" i="22"/>
  <c r="P44" i="22"/>
  <c r="W44" i="22"/>
  <c r="O44" i="22"/>
  <c r="Q44" i="22"/>
  <c r="AC84" i="22"/>
  <c r="K95" i="22"/>
  <c r="J68" i="22"/>
  <c r="K68" i="22"/>
  <c r="K53" i="22"/>
  <c r="K45" i="22"/>
  <c r="Y34" i="22"/>
  <c r="Y7" i="22"/>
  <c r="S7" i="22"/>
  <c r="K8" i="22"/>
  <c r="T7" i="22"/>
  <c r="K90" i="22"/>
  <c r="K78" i="22"/>
  <c r="U34" i="22"/>
  <c r="K15" i="22"/>
  <c r="K85" i="22"/>
  <c r="AC67" i="22"/>
  <c r="U44" i="22"/>
  <c r="N34" i="22"/>
  <c r="V34" i="22"/>
  <c r="O34" i="22"/>
  <c r="W34" i="22"/>
  <c r="P34" i="22"/>
  <c r="X34" i="22"/>
  <c r="R34" i="22"/>
  <c r="Q34" i="22"/>
  <c r="K35" i="22"/>
  <c r="M34" i="22"/>
  <c r="S34" i="22"/>
  <c r="T34" i="22"/>
  <c r="K24" i="22"/>
  <c r="V43" i="22"/>
  <c r="O43" i="22"/>
  <c r="W43" i="22"/>
  <c r="T43" i="22"/>
  <c r="Q43" i="22"/>
  <c r="CA40" i="23"/>
  <c r="CB41" i="23"/>
  <c r="CL12" i="21" s="1"/>
  <c r="AV41" i="23"/>
  <c r="BF12" i="21" s="1"/>
  <c r="AU42" i="23"/>
  <c r="BE11" i="21" s="1"/>
  <c r="J7" i="22"/>
  <c r="R7" i="22" s="1"/>
  <c r="T6" i="22"/>
  <c r="BK40" i="23"/>
  <c r="BX40" i="23"/>
  <c r="BP40" i="23"/>
  <c r="BH40" i="23"/>
  <c r="AZ40" i="23"/>
  <c r="AR40" i="23"/>
  <c r="R49" i="18"/>
  <c r="R43" i="18"/>
  <c r="S37" i="18"/>
  <c r="J57" i="2"/>
  <c r="D25" i="18"/>
  <c r="C24" i="18"/>
  <c r="BL42" i="23"/>
  <c r="BV11" i="21" s="1"/>
  <c r="BH41" i="23"/>
  <c r="BR12" i="21" s="1"/>
  <c r="R20" i="18"/>
  <c r="S5" i="22"/>
  <c r="CA41" i="23"/>
  <c r="CK12" i="21" s="1"/>
  <c r="AU41" i="23"/>
  <c r="BE12" i="21" s="1"/>
  <c r="S22" i="18"/>
  <c r="CB40" i="23"/>
  <c r="BT40" i="23"/>
  <c r="BL40" i="23"/>
  <c r="BD40" i="23"/>
  <c r="AV40" i="23"/>
  <c r="CC34" i="23"/>
  <c r="CC41" i="23"/>
  <c r="CM12" i="21" s="1"/>
  <c r="BU34" i="23"/>
  <c r="BU41" i="23" s="1"/>
  <c r="CE12" i="21" s="1"/>
  <c r="BM34" i="23"/>
  <c r="BE34" i="23"/>
  <c r="BE41" i="23"/>
  <c r="BO12" i="21" s="1"/>
  <c r="AW34" i="23"/>
  <c r="AW41" i="23"/>
  <c r="BG12" i="21" s="1"/>
  <c r="AO34" i="23"/>
  <c r="AO41" i="23" s="1"/>
  <c r="AY12" i="21" s="1"/>
  <c r="CD34" i="23"/>
  <c r="BV34" i="23"/>
  <c r="BN34" i="23"/>
  <c r="BN40" i="23"/>
  <c r="BF34" i="23"/>
  <c r="BF40" i="23" s="1"/>
  <c r="AX34" i="23"/>
  <c r="AP34" i="23"/>
  <c r="AP40" i="23"/>
  <c r="T47" i="18"/>
  <c r="R22" i="18"/>
  <c r="R6" i="22"/>
  <c r="Y5" i="22"/>
  <c r="Q5" i="22"/>
  <c r="CA42" i="23"/>
  <c r="CK11" i="21" s="1"/>
  <c r="AU40" i="23"/>
  <c r="S20" i="18"/>
  <c r="Y6" i="22"/>
  <c r="Q6" i="22"/>
  <c r="X5" i="22"/>
  <c r="P5" i="22"/>
  <c r="BH42" i="23"/>
  <c r="BR11" i="21" s="1"/>
  <c r="AV42" i="23"/>
  <c r="BF11" i="21" s="1"/>
  <c r="BX41" i="23"/>
  <c r="CH12" i="21" s="1"/>
  <c r="BL41" i="23"/>
  <c r="BV12" i="21" s="1"/>
  <c r="AR41" i="23"/>
  <c r="BB12" i="21" s="1"/>
  <c r="E25" i="18"/>
  <c r="X6" i="22"/>
  <c r="W5" i="22"/>
  <c r="S21" i="18"/>
  <c r="V37" i="18"/>
  <c r="W37" i="18"/>
  <c r="U37" i="18"/>
  <c r="C59" i="2"/>
  <c r="E28" i="2"/>
  <c r="E27" i="2"/>
  <c r="S47" i="18"/>
  <c r="D34" i="18" s="1"/>
  <c r="T37" i="18"/>
  <c r="W36" i="18"/>
  <c r="R35" i="18"/>
  <c r="R54" i="2"/>
  <c r="L27" i="2"/>
  <c r="M27" i="2"/>
  <c r="AA40" i="18"/>
  <c r="V36" i="18"/>
  <c r="AD30" i="18"/>
  <c r="AT77" i="2"/>
  <c r="AT68" i="2"/>
  <c r="U36" i="18"/>
  <c r="E34" i="18"/>
  <c r="AC30" i="18"/>
  <c r="AP54" i="2"/>
  <c r="CL65" i="1" s="1"/>
  <c r="CL71" i="1" s="1"/>
  <c r="J54" i="2"/>
  <c r="BF65" i="1" s="1"/>
  <c r="T36" i="18"/>
  <c r="W35" i="18"/>
  <c r="AB30" i="18"/>
  <c r="AV53" i="2"/>
  <c r="AF40" i="18"/>
  <c r="S36" i="18"/>
  <c r="V35" i="18"/>
  <c r="AH54" i="2"/>
  <c r="AV54" i="2"/>
  <c r="E30" i="2"/>
  <c r="F26" i="2" s="1"/>
  <c r="F30" i="2" s="1"/>
  <c r="G26" i="2" s="1"/>
  <c r="G30" i="2" s="1"/>
  <c r="H26" i="2" s="1"/>
  <c r="N27" i="2"/>
  <c r="AV10" i="2"/>
  <c r="CR15" i="24" s="1"/>
  <c r="AW10" i="2"/>
  <c r="CS15" i="24" s="1"/>
  <c r="CS65" i="11" s="1"/>
  <c r="X10" i="2"/>
  <c r="BT15" i="24" s="1"/>
  <c r="Y10" i="2"/>
  <c r="BU15" i="24" s="1"/>
  <c r="BU65" i="11" s="1"/>
  <c r="R36" i="18"/>
  <c r="U35" i="18"/>
  <c r="S31" i="18"/>
  <c r="V38" i="18" s="1"/>
  <c r="E59" i="2"/>
  <c r="R31" i="18"/>
  <c r="R38" i="18" s="1"/>
  <c r="AS52" i="2"/>
  <c r="D59" i="2"/>
  <c r="D10" i="2"/>
  <c r="AZ15" i="24" s="1"/>
  <c r="Q7" i="2"/>
  <c r="Q10" i="2" s="1"/>
  <c r="BM15" i="24" s="1"/>
  <c r="BM65" i="11" s="1"/>
  <c r="AU54" i="2"/>
  <c r="CQ65" i="1" s="1"/>
  <c r="AU53" i="2"/>
  <c r="CQ64" i="1" s="1"/>
  <c r="K27" i="2"/>
  <c r="AT54" i="2"/>
  <c r="CP65" i="1" s="1"/>
  <c r="AT53" i="2"/>
  <c r="CP64" i="1" s="1"/>
  <c r="H23" i="2"/>
  <c r="J10" i="2"/>
  <c r="BF15" i="24" s="1"/>
  <c r="BF65" i="11" s="1"/>
  <c r="AS53" i="2"/>
  <c r="J196" i="26" l="1"/>
  <c r="J202" i="26" s="1"/>
  <c r="AG186" i="26"/>
  <c r="AH181" i="26" s="1"/>
  <c r="AH186" i="26" s="1"/>
  <c r="AI181" i="26" s="1"/>
  <c r="AI186" i="26" s="1"/>
  <c r="AJ181" i="26" s="1"/>
  <c r="M198" i="26"/>
  <c r="M200" i="26" s="1"/>
  <c r="L209" i="26"/>
  <c r="K210" i="26"/>
  <c r="L210" i="26"/>
  <c r="K209" i="26"/>
  <c r="K208" i="26"/>
  <c r="AV209" i="26"/>
  <c r="M209" i="26"/>
  <c r="L208" i="26"/>
  <c r="L103" i="26"/>
  <c r="H35" i="26"/>
  <c r="F28" i="26"/>
  <c r="M23" i="26"/>
  <c r="G23" i="26" s="1"/>
  <c r="K224" i="26" s="1"/>
  <c r="K226" i="26" s="1"/>
  <c r="K228" i="26" s="1"/>
  <c r="K28" i="26"/>
  <c r="X158" i="26"/>
  <c r="V158" i="26"/>
  <c r="T114" i="26"/>
  <c r="U103" i="26"/>
  <c r="AR103" i="26"/>
  <c r="AH114" i="26"/>
  <c r="AE156" i="26"/>
  <c r="V103" i="26"/>
  <c r="U114" i="26"/>
  <c r="AJ103" i="26"/>
  <c r="K114" i="26"/>
  <c r="AN156" i="26"/>
  <c r="AR156" i="26"/>
  <c r="L158" i="26"/>
  <c r="AY159" i="26"/>
  <c r="AC103" i="26"/>
  <c r="AZ103" i="26"/>
  <c r="J103" i="26"/>
  <c r="AY103" i="26"/>
  <c r="K103" i="26"/>
  <c r="AI103" i="26"/>
  <c r="AP103" i="26"/>
  <c r="AF103" i="26"/>
  <c r="AE103" i="26"/>
  <c r="AN114" i="26"/>
  <c r="AM114" i="26"/>
  <c r="AD114" i="26"/>
  <c r="AL159" i="26"/>
  <c r="J159" i="26"/>
  <c r="AP159" i="26"/>
  <c r="AK158" i="26"/>
  <c r="AB103" i="26"/>
  <c r="AT103" i="26"/>
  <c r="T103" i="26"/>
  <c r="AQ103" i="26"/>
  <c r="AS103" i="26"/>
  <c r="AV156" i="26"/>
  <c r="AZ156" i="26"/>
  <c r="AA103" i="26"/>
  <c r="AO159" i="26"/>
  <c r="AX156" i="26"/>
  <c r="AH118" i="26"/>
  <c r="AH103" i="26"/>
  <c r="X103" i="26"/>
  <c r="AU103" i="26"/>
  <c r="AG114" i="26"/>
  <c r="AE114" i="26"/>
  <c r="AV159" i="26"/>
  <c r="AC158" i="26"/>
  <c r="Z103" i="26"/>
  <c r="AW103" i="26"/>
  <c r="O103" i="26"/>
  <c r="U158" i="26"/>
  <c r="AM103" i="26"/>
  <c r="AL118" i="26"/>
  <c r="AL103" i="26"/>
  <c r="R118" i="26"/>
  <c r="R103" i="26"/>
  <c r="AO103" i="26"/>
  <c r="G103" i="26"/>
  <c r="N103" i="26"/>
  <c r="AJ114" i="26"/>
  <c r="AA114" i="26"/>
  <c r="R114" i="26"/>
  <c r="L114" i="26"/>
  <c r="AD118" i="26"/>
  <c r="AD103" i="26"/>
  <c r="I118" i="26"/>
  <c r="I103" i="26"/>
  <c r="AG103" i="26"/>
  <c r="AF156" i="26"/>
  <c r="Z158" i="26"/>
  <c r="AK103" i="26"/>
  <c r="S103" i="26"/>
  <c r="Y103" i="26"/>
  <c r="W103" i="26"/>
  <c r="M103" i="26"/>
  <c r="Q103" i="26"/>
  <c r="AV103" i="26"/>
  <c r="AX103" i="26"/>
  <c r="H103" i="26"/>
  <c r="AN103" i="26"/>
  <c r="I114" i="26"/>
  <c r="Q114" i="26"/>
  <c r="AI114" i="26"/>
  <c r="Z114" i="26"/>
  <c r="Y114" i="26"/>
  <c r="X114" i="26"/>
  <c r="W114" i="26"/>
  <c r="V114" i="26"/>
  <c r="AK114" i="26"/>
  <c r="AB114" i="26"/>
  <c r="S114" i="26"/>
  <c r="J114" i="26"/>
  <c r="K159" i="26"/>
  <c r="AQ159" i="26"/>
  <c r="AB158" i="26"/>
  <c r="AC114" i="26"/>
  <c r="G114" i="26"/>
  <c r="X156" i="26"/>
  <c r="M118" i="26"/>
  <c r="H114" i="26"/>
  <c r="AL114" i="26"/>
  <c r="AU156" i="26"/>
  <c r="AS140" i="26"/>
  <c r="AS159" i="26" s="1"/>
  <c r="M140" i="26"/>
  <c r="M159" i="26" s="1"/>
  <c r="AF114" i="26"/>
  <c r="M137" i="26"/>
  <c r="M156" i="26" s="1"/>
  <c r="AS137" i="26"/>
  <c r="AS156" i="26" s="1"/>
  <c r="AG159" i="26"/>
  <c r="W159" i="26"/>
  <c r="G158" i="26"/>
  <c r="S158" i="26"/>
  <c r="AM156" i="26"/>
  <c r="AR159" i="26"/>
  <c r="R156" i="26"/>
  <c r="H143" i="26"/>
  <c r="AT118" i="26"/>
  <c r="Z118" i="26"/>
  <c r="O118" i="26"/>
  <c r="AB159" i="26"/>
  <c r="U156" i="26"/>
  <c r="AF158" i="26"/>
  <c r="AD158" i="26"/>
  <c r="O144" i="26"/>
  <c r="AW144" i="26" s="1"/>
  <c r="AX144" i="26" s="1"/>
  <c r="AY144" i="26" s="1"/>
  <c r="AZ144" i="26" s="1"/>
  <c r="M144" i="26"/>
  <c r="AO144" i="26" s="1"/>
  <c r="AP144" i="26" s="1"/>
  <c r="AQ144" i="26" s="1"/>
  <c r="AR144" i="26" s="1"/>
  <c r="AR139" i="26" s="1"/>
  <c r="AG158" i="26"/>
  <c r="N144" i="26"/>
  <c r="AS144" i="26" s="1"/>
  <c r="AT144" i="26" s="1"/>
  <c r="AU144" i="26" s="1"/>
  <c r="AV144" i="26" s="1"/>
  <c r="AO62" i="26"/>
  <c r="AO65" i="26" s="1"/>
  <c r="AO66" i="26" s="1"/>
  <c r="L143" i="26"/>
  <c r="J143" i="26"/>
  <c r="AI158" i="26"/>
  <c r="V156" i="26"/>
  <c r="AH156" i="26"/>
  <c r="I143" i="26"/>
  <c r="U159" i="26"/>
  <c r="AX159" i="26"/>
  <c r="AM159" i="26"/>
  <c r="AP118" i="26"/>
  <c r="Y158" i="26"/>
  <c r="AK156" i="26"/>
  <c r="T158" i="26"/>
  <c r="K143" i="26"/>
  <c r="J158" i="26"/>
  <c r="AO156" i="26"/>
  <c r="H158" i="26"/>
  <c r="R159" i="26"/>
  <c r="AF159" i="26"/>
  <c r="K158" i="26"/>
  <c r="V118" i="26"/>
  <c r="R158" i="26"/>
  <c r="AM158" i="26"/>
  <c r="T156" i="26"/>
  <c r="AY156" i="26"/>
  <c r="S159" i="26"/>
  <c r="Y156" i="26"/>
  <c r="H159" i="26"/>
  <c r="AI156" i="26"/>
  <c r="AD159" i="26"/>
  <c r="G81" i="26"/>
  <c r="G68" i="26"/>
  <c r="I81" i="26"/>
  <c r="I68" i="26"/>
  <c r="J81" i="26"/>
  <c r="J68" i="26"/>
  <c r="H81" i="26"/>
  <c r="H68" i="26"/>
  <c r="AL156" i="26"/>
  <c r="I159" i="26"/>
  <c r="X159" i="26"/>
  <c r="AJ118" i="26"/>
  <c r="AK159" i="26"/>
  <c r="G159" i="26"/>
  <c r="W122" i="26"/>
  <c r="W125" i="26" s="1"/>
  <c r="AA158" i="26"/>
  <c r="G156" i="26"/>
  <c r="AZ159" i="26"/>
  <c r="AE158" i="26"/>
  <c r="AQ156" i="26"/>
  <c r="Z156" i="26"/>
  <c r="AI118" i="26"/>
  <c r="AJ158" i="26"/>
  <c r="AS118" i="26"/>
  <c r="AG118" i="26"/>
  <c r="AJ159" i="26"/>
  <c r="Q158" i="26"/>
  <c r="AC156" i="26"/>
  <c r="AH159" i="26"/>
  <c r="AA156" i="26"/>
  <c r="I156" i="26"/>
  <c r="Q156" i="26"/>
  <c r="V159" i="26"/>
  <c r="AN158" i="26"/>
  <c r="AL158" i="26"/>
  <c r="AE159" i="26"/>
  <c r="AH158" i="26"/>
  <c r="T159" i="26"/>
  <c r="AT156" i="26"/>
  <c r="L156" i="26"/>
  <c r="J156" i="26"/>
  <c r="AU159" i="26"/>
  <c r="AD156" i="26"/>
  <c r="AI159" i="26"/>
  <c r="AB156" i="26"/>
  <c r="AP156" i="26"/>
  <c r="H156" i="26"/>
  <c r="AG156" i="26"/>
  <c r="AC159" i="26"/>
  <c r="I158" i="26"/>
  <c r="AA159" i="26"/>
  <c r="Y159" i="26"/>
  <c r="K156" i="26"/>
  <c r="Q159" i="26"/>
  <c r="L159" i="26"/>
  <c r="W158" i="26"/>
  <c r="AT159" i="26"/>
  <c r="W156" i="26"/>
  <c r="Z159" i="26"/>
  <c r="S156" i="26"/>
  <c r="AN159" i="26"/>
  <c r="AA118" i="26"/>
  <c r="AB141" i="26"/>
  <c r="AB160" i="26" s="1"/>
  <c r="AG141" i="26"/>
  <c r="W141" i="26"/>
  <c r="W160" i="26" s="1"/>
  <c r="AK118" i="26"/>
  <c r="V119" i="26"/>
  <c r="AB118" i="26"/>
  <c r="H141" i="26"/>
  <c r="H160" i="26" s="1"/>
  <c r="AJ141" i="26"/>
  <c r="AJ160" i="26" s="1"/>
  <c r="AE141" i="26"/>
  <c r="AE160" i="26" s="1"/>
  <c r="S141" i="26"/>
  <c r="S160" i="26" s="1"/>
  <c r="AF141" i="26"/>
  <c r="AF160" i="26" s="1"/>
  <c r="K141" i="26"/>
  <c r="K160" i="26" s="1"/>
  <c r="AD141" i="26"/>
  <c r="AD160" i="26" s="1"/>
  <c r="T141" i="26"/>
  <c r="T160" i="26" s="1"/>
  <c r="AI141" i="26"/>
  <c r="AI160" i="26" s="1"/>
  <c r="Y141" i="26"/>
  <c r="Y160" i="26" s="1"/>
  <c r="AA141" i="26"/>
  <c r="AA160" i="26" s="1"/>
  <c r="G141" i="26"/>
  <c r="G160" i="26" s="1"/>
  <c r="Q141" i="26"/>
  <c r="Q160" i="26" s="1"/>
  <c r="AN141" i="26"/>
  <c r="AN160" i="26" s="1"/>
  <c r="AL141" i="26"/>
  <c r="AL160" i="26" s="1"/>
  <c r="L141" i="26"/>
  <c r="L160" i="26" s="1"/>
  <c r="J141" i="26"/>
  <c r="J160" i="26" s="1"/>
  <c r="AK141" i="26"/>
  <c r="AK160" i="26" s="1"/>
  <c r="AH141" i="26"/>
  <c r="AH160" i="26" s="1"/>
  <c r="X141" i="26"/>
  <c r="X160" i="26" s="1"/>
  <c r="V141" i="26"/>
  <c r="V160" i="26" s="1"/>
  <c r="AC141" i="26"/>
  <c r="AC160" i="26" s="1"/>
  <c r="I141" i="26"/>
  <c r="I160" i="26" s="1"/>
  <c r="Z141" i="26"/>
  <c r="Z160" i="26" s="1"/>
  <c r="U141" i="26"/>
  <c r="U160" i="26" s="1"/>
  <c r="R141" i="26"/>
  <c r="R160" i="26" s="1"/>
  <c r="AM141" i="26"/>
  <c r="AM160" i="26" s="1"/>
  <c r="AR118" i="26"/>
  <c r="AC119" i="26"/>
  <c r="AQ118" i="26"/>
  <c r="AO118" i="26"/>
  <c r="G119" i="26"/>
  <c r="AK122" i="26"/>
  <c r="AK125" i="26" s="1"/>
  <c r="S118" i="26"/>
  <c r="AC118" i="26"/>
  <c r="Q118" i="26"/>
  <c r="T118" i="26"/>
  <c r="K122" i="26"/>
  <c r="K125" i="26" s="1"/>
  <c r="V122" i="26"/>
  <c r="V125" i="26" s="1"/>
  <c r="AC122" i="26"/>
  <c r="AC125" i="26" s="1"/>
  <c r="AF122" i="26"/>
  <c r="AF125" i="26" s="1"/>
  <c r="AA122" i="26"/>
  <c r="AA125" i="26" s="1"/>
  <c r="W119" i="26"/>
  <c r="Y119" i="26"/>
  <c r="L118" i="26"/>
  <c r="AF118" i="26"/>
  <c r="K118" i="26"/>
  <c r="AJ122" i="26"/>
  <c r="AJ125" i="26" s="1"/>
  <c r="AL119" i="26"/>
  <c r="J118" i="26"/>
  <c r="AI122" i="26"/>
  <c r="AI125" i="26" s="1"/>
  <c r="AV118" i="26"/>
  <c r="U118" i="26"/>
  <c r="U122" i="26"/>
  <c r="U125" i="26" s="1"/>
  <c r="H118" i="26"/>
  <c r="H119" i="26"/>
  <c r="AF119" i="26"/>
  <c r="T122" i="26"/>
  <c r="T125" i="26" s="1"/>
  <c r="AQ122" i="26"/>
  <c r="AQ125" i="26" s="1"/>
  <c r="Y118" i="26"/>
  <c r="W118" i="26"/>
  <c r="R119" i="26"/>
  <c r="O122" i="26"/>
  <c r="O125" i="26" s="1"/>
  <c r="S122" i="26"/>
  <c r="S125" i="26" s="1"/>
  <c r="AT122" i="26"/>
  <c r="AT125" i="26" s="1"/>
  <c r="J122" i="26"/>
  <c r="J125" i="26" s="1"/>
  <c r="L119" i="26"/>
  <c r="AJ119" i="26"/>
  <c r="AD122" i="26"/>
  <c r="AD125" i="26" s="1"/>
  <c r="AA119" i="26"/>
  <c r="AS122" i="26"/>
  <c r="AS125" i="26" s="1"/>
  <c r="AY122" i="26"/>
  <c r="AY125" i="26" s="1"/>
  <c r="AX118" i="26"/>
  <c r="AW118" i="26"/>
  <c r="AV122" i="26"/>
  <c r="AV125" i="26" s="1"/>
  <c r="AU122" i="26"/>
  <c r="AU125" i="26" s="1"/>
  <c r="AZ122" i="26"/>
  <c r="AZ125" i="26" s="1"/>
  <c r="AE119" i="26"/>
  <c r="AG119" i="26"/>
  <c r="AN122" i="26"/>
  <c r="AN125" i="26" s="1"/>
  <c r="AM122" i="26"/>
  <c r="AM125" i="26" s="1"/>
  <c r="AL122" i="26"/>
  <c r="AL125" i="26" s="1"/>
  <c r="AN118" i="26"/>
  <c r="AU118" i="26"/>
  <c r="AM119" i="26"/>
  <c r="AM118" i="26"/>
  <c r="AD119" i="26"/>
  <c r="X118" i="26"/>
  <c r="M122" i="26"/>
  <c r="M125" i="26" s="1"/>
  <c r="L122" i="26"/>
  <c r="L125" i="26" s="1"/>
  <c r="G122" i="26"/>
  <c r="G125" i="26" s="1"/>
  <c r="AZ118" i="26"/>
  <c r="AY118" i="26"/>
  <c r="AN119" i="26"/>
  <c r="J119" i="26"/>
  <c r="T119" i="26"/>
  <c r="U119" i="26"/>
  <c r="AH119" i="26"/>
  <c r="K119" i="26"/>
  <c r="N118" i="26"/>
  <c r="AB119" i="26"/>
  <c r="I119" i="26"/>
  <c r="AR122" i="26"/>
  <c r="AR125" i="26" s="1"/>
  <c r="AW122" i="26"/>
  <c r="AW125" i="26" s="1"/>
  <c r="AE122" i="26"/>
  <c r="AE125" i="26" s="1"/>
  <c r="AX122" i="26"/>
  <c r="AX125" i="26" s="1"/>
  <c r="AO122" i="26"/>
  <c r="AO125" i="26" s="1"/>
  <c r="S119" i="26"/>
  <c r="X122" i="26"/>
  <c r="X125" i="26" s="1"/>
  <c r="AB122" i="26"/>
  <c r="AB125" i="26" s="1"/>
  <c r="AP122" i="26"/>
  <c r="AP125" i="26" s="1"/>
  <c r="AE118" i="26"/>
  <c r="H122" i="26"/>
  <c r="H125" i="26" s="1"/>
  <c r="X119" i="26"/>
  <c r="N122" i="26"/>
  <c r="N125" i="26" s="1"/>
  <c r="AH122" i="26"/>
  <c r="AH125" i="26" s="1"/>
  <c r="Q122" i="26"/>
  <c r="Q125" i="26" s="1"/>
  <c r="AI119" i="26"/>
  <c r="Z122" i="26"/>
  <c r="Z125" i="26" s="1"/>
  <c r="G97" i="26"/>
  <c r="G100" i="26" s="1"/>
  <c r="G118" i="26"/>
  <c r="R122" i="26"/>
  <c r="R125" i="26" s="1"/>
  <c r="Z119" i="26"/>
  <c r="AK119" i="26"/>
  <c r="I122" i="26"/>
  <c r="AG122" i="26"/>
  <c r="AG125" i="26" s="1"/>
  <c r="Y122" i="26"/>
  <c r="Y125" i="26" s="1"/>
  <c r="K154" i="29"/>
  <c r="EX31" i="29"/>
  <c r="CF76" i="29"/>
  <c r="EG70" i="29"/>
  <c r="EW76" i="29"/>
  <c r="EA70" i="29"/>
  <c r="G155" i="29"/>
  <c r="I157" i="29"/>
  <c r="EZ74" i="29"/>
  <c r="BO76" i="29"/>
  <c r="BO80" i="29" s="1"/>
  <c r="BO25" i="29" s="1"/>
  <c r="BO32" i="29" s="1"/>
  <c r="BP39" i="29" s="1"/>
  <c r="DJ58" i="29"/>
  <c r="CC74" i="29"/>
  <c r="DI63" i="29"/>
  <c r="DI17" i="29" s="1"/>
  <c r="X75" i="29"/>
  <c r="DH63" i="29"/>
  <c r="DH17" i="29" s="1"/>
  <c r="AC76" i="29"/>
  <c r="AH61" i="29"/>
  <c r="Q21" i="29"/>
  <c r="DJ63" i="29"/>
  <c r="DJ17" i="29" s="1"/>
  <c r="AH62" i="29"/>
  <c r="EJ76" i="29"/>
  <c r="CG74" i="29"/>
  <c r="CG78" i="29" s="1"/>
  <c r="CB76" i="29"/>
  <c r="CB80" i="29" s="1"/>
  <c r="CB25" i="29" s="1"/>
  <c r="DN75" i="29"/>
  <c r="BU76" i="29"/>
  <c r="BU80" i="29" s="1"/>
  <c r="BU25" i="29" s="1"/>
  <c r="DP75" i="29"/>
  <c r="EQ76" i="29"/>
  <c r="DW75" i="29"/>
  <c r="P75" i="29"/>
  <c r="ET74" i="29"/>
  <c r="AH76" i="29"/>
  <c r="L154" i="29"/>
  <c r="D116" i="29"/>
  <c r="DO75" i="29"/>
  <c r="DU74" i="29"/>
  <c r="EN74" i="29"/>
  <c r="EH74" i="29"/>
  <c r="CS75" i="29"/>
  <c r="CS79" i="29" s="1"/>
  <c r="CS18" i="29" s="1"/>
  <c r="BX74" i="29"/>
  <c r="BX78" i="29" s="1"/>
  <c r="BV76" i="29"/>
  <c r="BV80" i="29" s="1"/>
  <c r="BV25" i="29" s="1"/>
  <c r="EY74" i="29"/>
  <c r="DQ75" i="29"/>
  <c r="EJ75" i="29"/>
  <c r="BK76" i="29"/>
  <c r="BK80" i="29" s="1"/>
  <c r="AK76" i="29"/>
  <c r="EG76" i="29"/>
  <c r="F116" i="29"/>
  <c r="ER74" i="29"/>
  <c r="CL75" i="29"/>
  <c r="CG76" i="29"/>
  <c r="CG80" i="29" s="1"/>
  <c r="CG25" i="29" s="1"/>
  <c r="BB76" i="29"/>
  <c r="BZ74" i="29"/>
  <c r="BZ78" i="29" s="1"/>
  <c r="EM74" i="29"/>
  <c r="EH76" i="29"/>
  <c r="F96" i="29"/>
  <c r="K155" i="29"/>
  <c r="AZ76" i="29"/>
  <c r="AZ80" i="29" s="1"/>
  <c r="AZ25" i="29" s="1"/>
  <c r="DJ75" i="29"/>
  <c r="EN76" i="29"/>
  <c r="CR75" i="29"/>
  <c r="I97" i="26"/>
  <c r="G110" i="26"/>
  <c r="G112" i="26" s="1"/>
  <c r="H110" i="26"/>
  <c r="H112" i="26" s="1"/>
  <c r="I110" i="26"/>
  <c r="I112" i="26" s="1"/>
  <c r="H97" i="26"/>
  <c r="I66" i="26"/>
  <c r="I82" i="26" s="1"/>
  <c r="K66" i="26"/>
  <c r="H66" i="26"/>
  <c r="H82" i="26" s="1"/>
  <c r="L66" i="26"/>
  <c r="J66" i="26"/>
  <c r="J82" i="26" s="1"/>
  <c r="G66" i="26"/>
  <c r="G82" i="26" s="1"/>
  <c r="F26" i="26"/>
  <c r="J33" i="26"/>
  <c r="H14" i="26"/>
  <c r="I14" i="26"/>
  <c r="I18" i="26"/>
  <c r="H43" i="26" s="1"/>
  <c r="J22" i="26"/>
  <c r="I22" i="26"/>
  <c r="H22" i="26"/>
  <c r="G22" i="26"/>
  <c r="BT80" i="29"/>
  <c r="BD109" i="11"/>
  <c r="BD137" i="11"/>
  <c r="CR78" i="29"/>
  <c r="BF11" i="29"/>
  <c r="AG25" i="38"/>
  <c r="T17" i="38"/>
  <c r="T29" i="35" s="1"/>
  <c r="BV62" i="15"/>
  <c r="BV60" i="15"/>
  <c r="BV74" i="15"/>
  <c r="BV59" i="15"/>
  <c r="S19" i="36"/>
  <c r="BY11" i="29"/>
  <c r="CL91" i="1"/>
  <c r="CL102" i="1"/>
  <c r="AA71" i="1"/>
  <c r="P6" i="7"/>
  <c r="AT37" i="7" s="1"/>
  <c r="BN6" i="7"/>
  <c r="AD36" i="38"/>
  <c r="AD13" i="38"/>
  <c r="AD19" i="38" s="1"/>
  <c r="CE27" i="21"/>
  <c r="CQ17" i="21"/>
  <c r="CE54" i="21"/>
  <c r="P11" i="9"/>
  <c r="BF62" i="15"/>
  <c r="BF60" i="15"/>
  <c r="BF59" i="15"/>
  <c r="BF74" i="15"/>
  <c r="K33" i="35"/>
  <c r="K34" i="35" s="1"/>
  <c r="K28" i="35"/>
  <c r="T53" i="36"/>
  <c r="T133" i="36"/>
  <c r="BP10" i="21"/>
  <c r="X56" i="15"/>
  <c r="BG62" i="15"/>
  <c r="BG60" i="15"/>
  <c r="BG74" i="15"/>
  <c r="BG59" i="15"/>
  <c r="C44" i="7"/>
  <c r="C44" i="25"/>
  <c r="O28" i="35"/>
  <c r="O33" i="35"/>
  <c r="O34" i="35" s="1"/>
  <c r="E33" i="35"/>
  <c r="AY27" i="21"/>
  <c r="AY54" i="21"/>
  <c r="BV37" i="23"/>
  <c r="BV40" i="23"/>
  <c r="W6" i="9"/>
  <c r="W7" i="9"/>
  <c r="W9" i="9"/>
  <c r="CP74" i="1"/>
  <c r="CP71" i="1"/>
  <c r="AC95" i="22"/>
  <c r="K96" i="22"/>
  <c r="AJ8" i="13"/>
  <c r="CA39" i="11"/>
  <c r="W129" i="11"/>
  <c r="W141" i="11" s="1"/>
  <c r="BZ141" i="11"/>
  <c r="AJ55" i="13"/>
  <c r="CA123" i="11"/>
  <c r="R98" i="11"/>
  <c r="E98" i="11"/>
  <c r="AY149" i="11"/>
  <c r="D130" i="11"/>
  <c r="N130" i="11"/>
  <c r="N101" i="11"/>
  <c r="D101" i="11"/>
  <c r="AY113" i="11"/>
  <c r="Q55" i="13"/>
  <c r="BH123" i="11"/>
  <c r="Q31" i="13"/>
  <c r="BH51" i="11"/>
  <c r="Z8" i="13"/>
  <c r="BQ39" i="11"/>
  <c r="CU27" i="24"/>
  <c r="BL107" i="19"/>
  <c r="BL108" i="19"/>
  <c r="BL109" i="19"/>
  <c r="BL106" i="19"/>
  <c r="BS175" i="19"/>
  <c r="BS205" i="19" s="1"/>
  <c r="BS176" i="19"/>
  <c r="BS206" i="19" s="1"/>
  <c r="BS177" i="19"/>
  <c r="BS207" i="19" s="1"/>
  <c r="BS174" i="19"/>
  <c r="BS204" i="19" s="1"/>
  <c r="BS203" i="19"/>
  <c r="CB115" i="19"/>
  <c r="CB112" i="19"/>
  <c r="CB113" i="19"/>
  <c r="CB114" i="19"/>
  <c r="BL174" i="19"/>
  <c r="BL204" i="19" s="1"/>
  <c r="BL175" i="19"/>
  <c r="BL205" i="19" s="1"/>
  <c r="BL176" i="19"/>
  <c r="BL206" i="19" s="1"/>
  <c r="BL177" i="19"/>
  <c r="BL207" i="19" s="1"/>
  <c r="BL203" i="19"/>
  <c r="W59" i="19"/>
  <c r="BZ247" i="19"/>
  <c r="CM67" i="19"/>
  <c r="CM99" i="19"/>
  <c r="Z37" i="21"/>
  <c r="BG112" i="19"/>
  <c r="BG113" i="19"/>
  <c r="BG114" i="19"/>
  <c r="BG115" i="19"/>
  <c r="Z72" i="15"/>
  <c r="DC10" i="7"/>
  <c r="DC13" i="7"/>
  <c r="DC11" i="7"/>
  <c r="CC26" i="24"/>
  <c r="AA60" i="19"/>
  <c r="CL253" i="19"/>
  <c r="CK62" i="15"/>
  <c r="E99" i="15"/>
  <c r="E100" i="15" s="1"/>
  <c r="CK109" i="11"/>
  <c r="CK137" i="11"/>
  <c r="AS36" i="23"/>
  <c r="BC9" i="24"/>
  <c r="BC11" i="24" s="1"/>
  <c r="BC13" i="24" s="1"/>
  <c r="O41" i="15"/>
  <c r="BC11" i="1"/>
  <c r="CA34" i="21"/>
  <c r="CA39" i="21" s="1"/>
  <c r="F46" i="25"/>
  <c r="F46" i="7"/>
  <c r="O114" i="1"/>
  <c r="R99" i="1"/>
  <c r="BS91" i="1"/>
  <c r="AB129" i="36"/>
  <c r="AI129" i="36" s="1"/>
  <c r="AB130" i="36"/>
  <c r="V60" i="29"/>
  <c r="F60" i="29"/>
  <c r="R36" i="38"/>
  <c r="R13" i="38"/>
  <c r="R19" i="38" s="1"/>
  <c r="X104" i="37"/>
  <c r="Z25" i="36"/>
  <c r="Y85" i="37"/>
  <c r="AF18" i="38"/>
  <c r="P36" i="34"/>
  <c r="AD134" i="37"/>
  <c r="AE149" i="36"/>
  <c r="AE161" i="36" s="1"/>
  <c r="AD129" i="37"/>
  <c r="AD135" i="37"/>
  <c r="DL24" i="29"/>
  <c r="W75" i="29"/>
  <c r="BZ79" i="29"/>
  <c r="I28" i="35"/>
  <c r="I33" i="35"/>
  <c r="I34" i="35" s="1"/>
  <c r="V50" i="38"/>
  <c r="V42" i="38"/>
  <c r="AT118" i="29"/>
  <c r="V16" i="34"/>
  <c r="AA155" i="36"/>
  <c r="AA144" i="36" s="1"/>
  <c r="AB152" i="36"/>
  <c r="AB155" i="36" s="1"/>
  <c r="AB144" i="36" s="1"/>
  <c r="EB17" i="29"/>
  <c r="AO17" i="29" s="1"/>
  <c r="AO63" i="29"/>
  <c r="CL79" i="29"/>
  <c r="AH96" i="29"/>
  <c r="CG11" i="29"/>
  <c r="AS116" i="29"/>
  <c r="CX25" i="29"/>
  <c r="AE25" i="29" s="1"/>
  <c r="AE80" i="29"/>
  <c r="AF16" i="38"/>
  <c r="P34" i="34"/>
  <c r="AC27" i="35"/>
  <c r="D33" i="35"/>
  <c r="AD137" i="37"/>
  <c r="S30" i="36"/>
  <c r="R43" i="35"/>
  <c r="S28" i="36"/>
  <c r="AH154" i="36"/>
  <c r="U159" i="36"/>
  <c r="V154" i="36" s="1"/>
  <c r="V159" i="36" s="1"/>
  <c r="W154" i="36" s="1"/>
  <c r="W159" i="36" s="1"/>
  <c r="X154" i="36" s="1"/>
  <c r="X159" i="36" s="1"/>
  <c r="G24" i="35"/>
  <c r="DA24" i="29"/>
  <c r="AF24" i="29" s="1"/>
  <c r="DA70" i="29"/>
  <c r="AF68" i="29"/>
  <c r="AF17" i="38"/>
  <c r="P35" i="34"/>
  <c r="AE84" i="37"/>
  <c r="AD92" i="37"/>
  <c r="AB60" i="36"/>
  <c r="AB63" i="36" s="1"/>
  <c r="AA63" i="36"/>
  <c r="W65" i="38"/>
  <c r="AH65" i="38"/>
  <c r="T65" i="38"/>
  <c r="U65" i="38"/>
  <c r="V65" i="38"/>
  <c r="Q29" i="34"/>
  <c r="BN78" i="29"/>
  <c r="S74" i="29"/>
  <c r="CR79" i="29"/>
  <c r="P33" i="35"/>
  <c r="Q23" i="35"/>
  <c r="CK74" i="29"/>
  <c r="CK78" i="29" s="1"/>
  <c r="Y26" i="36"/>
  <c r="X123" i="37"/>
  <c r="R42" i="18"/>
  <c r="C26" i="18" s="1"/>
  <c r="R48" i="18"/>
  <c r="C35" i="18" s="1"/>
  <c r="AT67" i="2"/>
  <c r="CR65" i="1"/>
  <c r="V41" i="18"/>
  <c r="AS67" i="2"/>
  <c r="U43" i="18"/>
  <c r="F24" i="18" s="1"/>
  <c r="AU43" i="23"/>
  <c r="BE10" i="21"/>
  <c r="CL10" i="21"/>
  <c r="CK27" i="21"/>
  <c r="CK54" i="21"/>
  <c r="BV26" i="21"/>
  <c r="BV49" i="21"/>
  <c r="AP57" i="2"/>
  <c r="BE26" i="21"/>
  <c r="BE49" i="21"/>
  <c r="O35" i="22"/>
  <c r="W35" i="22"/>
  <c r="P35" i="22"/>
  <c r="X35" i="22"/>
  <c r="Q35" i="22"/>
  <c r="Y35" i="22"/>
  <c r="S35" i="22"/>
  <c r="R35" i="22"/>
  <c r="T35" i="22"/>
  <c r="U35" i="22"/>
  <c r="V35" i="22"/>
  <c r="M35" i="22"/>
  <c r="N35" i="22"/>
  <c r="K36" i="22"/>
  <c r="K86" i="22"/>
  <c r="AC85" i="22"/>
  <c r="AC78" i="22"/>
  <c r="K79" i="22"/>
  <c r="V7" i="22"/>
  <c r="Y44" i="22"/>
  <c r="AC73" i="22"/>
  <c r="K74" i="22"/>
  <c r="O8" i="13"/>
  <c r="BF39" i="11"/>
  <c r="AR8" i="13"/>
  <c r="CI39" i="11"/>
  <c r="BB90" i="11"/>
  <c r="O60" i="11"/>
  <c r="O81" i="11" s="1"/>
  <c r="BB81" i="11"/>
  <c r="BR89" i="11"/>
  <c r="CH17" i="11"/>
  <c r="CH35" i="1" s="1"/>
  <c r="CH34" i="11"/>
  <c r="O124" i="11"/>
  <c r="O55" i="11"/>
  <c r="O76" i="11" s="1"/>
  <c r="BB76" i="11"/>
  <c r="BR88" i="11"/>
  <c r="O52" i="11"/>
  <c r="O102" i="11"/>
  <c r="BB118" i="11"/>
  <c r="AA42" i="13"/>
  <c r="BR97" i="11"/>
  <c r="BC89" i="11"/>
  <c r="BS17" i="11"/>
  <c r="BS35" i="1" s="1"/>
  <c r="BS34" i="11"/>
  <c r="AR55" i="13"/>
  <c r="CI123" i="11"/>
  <c r="G130" i="11"/>
  <c r="Z130" i="11"/>
  <c r="CI149" i="11"/>
  <c r="BC88" i="11"/>
  <c r="AR31" i="13"/>
  <c r="CI51" i="11"/>
  <c r="G101" i="11"/>
  <c r="CI113" i="11"/>
  <c r="Z101" i="11"/>
  <c r="L42" i="13"/>
  <c r="BC97" i="11"/>
  <c r="AS8" i="13"/>
  <c r="CJ39" i="11"/>
  <c r="BD89" i="11"/>
  <c r="BT34" i="11"/>
  <c r="BT17" i="11"/>
  <c r="BT35" i="1" s="1"/>
  <c r="U28" i="11"/>
  <c r="AS55" i="13"/>
  <c r="CJ123" i="11"/>
  <c r="CB88" i="11"/>
  <c r="AC56" i="11"/>
  <c r="BL118" i="11"/>
  <c r="AK42" i="13"/>
  <c r="CB97" i="11"/>
  <c r="AC98" i="11"/>
  <c r="CC89" i="11"/>
  <c r="X61" i="11"/>
  <c r="CS34" i="11"/>
  <c r="CS17" i="11"/>
  <c r="CS35" i="1" s="1"/>
  <c r="X126" i="11"/>
  <c r="CS141" i="11"/>
  <c r="AC129" i="11"/>
  <c r="CC88" i="11"/>
  <c r="X57" i="11"/>
  <c r="BM118" i="11"/>
  <c r="AL42" i="13"/>
  <c r="CC97" i="11"/>
  <c r="BV81" i="11"/>
  <c r="BV90" i="11"/>
  <c r="AA61" i="11"/>
  <c r="CL89" i="11"/>
  <c r="O55" i="13"/>
  <c r="BF123" i="11"/>
  <c r="AA126" i="11"/>
  <c r="ER11" i="7" s="1"/>
  <c r="BF149" i="11"/>
  <c r="CL88" i="11"/>
  <c r="AA57" i="11"/>
  <c r="O31" i="13"/>
  <c r="BF51" i="11"/>
  <c r="BV118" i="11"/>
  <c r="AU42" i="13"/>
  <c r="CL97" i="11"/>
  <c r="P8" i="13"/>
  <c r="BG39" i="11"/>
  <c r="BW81" i="11"/>
  <c r="V60" i="11"/>
  <c r="V81" i="11" s="1"/>
  <c r="F60" i="11"/>
  <c r="F81" i="11" s="1"/>
  <c r="BW90" i="11"/>
  <c r="CM89" i="11"/>
  <c r="P55" i="13"/>
  <c r="BG123" i="11"/>
  <c r="V124" i="11"/>
  <c r="F124" i="11"/>
  <c r="BG149" i="11"/>
  <c r="V55" i="11"/>
  <c r="V76" i="11" s="1"/>
  <c r="F55" i="11"/>
  <c r="F76" i="11" s="1"/>
  <c r="BW76" i="11"/>
  <c r="CM88" i="11"/>
  <c r="P31" i="13"/>
  <c r="BG51" i="11"/>
  <c r="V52" i="11"/>
  <c r="V102" i="11"/>
  <c r="F102" i="11"/>
  <c r="BW118" i="11"/>
  <c r="AV42" i="13"/>
  <c r="CM97" i="11"/>
  <c r="Y8" i="13"/>
  <c r="BP39" i="11"/>
  <c r="CF90" i="11"/>
  <c r="CF81" i="11"/>
  <c r="Y60" i="11"/>
  <c r="Y81" i="11" s="1"/>
  <c r="AZ34" i="11"/>
  <c r="AZ17" i="11"/>
  <c r="AZ35" i="1" s="1"/>
  <c r="Y55" i="13"/>
  <c r="BP123" i="11"/>
  <c r="Y124" i="11"/>
  <c r="BP149" i="11"/>
  <c r="Y55" i="11"/>
  <c r="Y76" i="11" s="1"/>
  <c r="CF76" i="11"/>
  <c r="Y31" i="13"/>
  <c r="BP51" i="11"/>
  <c r="Y52" i="11"/>
  <c r="Y102" i="11"/>
  <c r="CF118" i="11"/>
  <c r="AH8" i="13"/>
  <c r="BY39" i="11"/>
  <c r="AB60" i="11"/>
  <c r="AB81" i="11" s="1"/>
  <c r="CO90" i="11"/>
  <c r="CO81" i="11"/>
  <c r="BI34" i="11"/>
  <c r="BI17" i="11"/>
  <c r="BI35" i="1" s="1"/>
  <c r="AH55" i="13"/>
  <c r="BY123" i="11"/>
  <c r="AB124" i="11"/>
  <c r="BY149" i="11"/>
  <c r="AB55" i="11"/>
  <c r="AB76" i="11" s="1"/>
  <c r="CO76" i="11"/>
  <c r="AH31" i="13"/>
  <c r="BY51" i="11"/>
  <c r="T101" i="11"/>
  <c r="BQ113" i="11"/>
  <c r="AF26" i="24"/>
  <c r="DC27" i="24"/>
  <c r="EJ28" i="24"/>
  <c r="DQ31" i="24"/>
  <c r="DR32" i="24" s="1"/>
  <c r="DS33" i="24" s="1"/>
  <c r="ES27" i="24"/>
  <c r="AB102" i="11"/>
  <c r="CO118" i="11"/>
  <c r="K27" i="24"/>
  <c r="DI29" i="24"/>
  <c r="EG28" i="24"/>
  <c r="EC36" i="24"/>
  <c r="ED37" i="24" s="1"/>
  <c r="EE38" i="24" s="1"/>
  <c r="CS32" i="24"/>
  <c r="CT33" i="24" s="1"/>
  <c r="CU34" i="24" s="1"/>
  <c r="AK27" i="24"/>
  <c r="DR28" i="24"/>
  <c r="AO31" i="24"/>
  <c r="AA45" i="11"/>
  <c r="CK10" i="25"/>
  <c r="CR163" i="11"/>
  <c r="CR120" i="1"/>
  <c r="BH142" i="11"/>
  <c r="BH163" i="11"/>
  <c r="BH119" i="1"/>
  <c r="Z40" i="11"/>
  <c r="Z45" i="11" s="1"/>
  <c r="AY163" i="11"/>
  <c r="AY120" i="1"/>
  <c r="U142" i="11"/>
  <c r="U163" i="11"/>
  <c r="AC160" i="11"/>
  <c r="CK12" i="7" s="1"/>
  <c r="CK38" i="7" s="1"/>
  <c r="EJ18" i="7"/>
  <c r="D107" i="11"/>
  <c r="EG19" i="25" s="1"/>
  <c r="BM45" i="11"/>
  <c r="R40" i="11"/>
  <c r="R45" i="11" s="1"/>
  <c r="CS90" i="11"/>
  <c r="Z23" i="11"/>
  <c r="CI46" i="1"/>
  <c r="U43" i="19"/>
  <c r="BT67" i="19"/>
  <c r="BT99" i="19"/>
  <c r="BZ112" i="19"/>
  <c r="W111" i="19"/>
  <c r="BZ113" i="19"/>
  <c r="BZ114" i="19"/>
  <c r="BZ115" i="19"/>
  <c r="BI119" i="19"/>
  <c r="BI121" i="19"/>
  <c r="BI118" i="19"/>
  <c r="BI120" i="19"/>
  <c r="BJ174" i="19"/>
  <c r="BJ204" i="19" s="1"/>
  <c r="BJ176" i="19"/>
  <c r="BJ206" i="19" s="1"/>
  <c r="BJ177" i="19"/>
  <c r="BJ207" i="19" s="1"/>
  <c r="BJ175" i="19"/>
  <c r="BJ205" i="19" s="1"/>
  <c r="BJ203" i="19"/>
  <c r="Q37" i="21"/>
  <c r="V60" i="19"/>
  <c r="CC268" i="19"/>
  <c r="CC269" i="19"/>
  <c r="X265" i="19"/>
  <c r="CC267" i="19"/>
  <c r="CC266" i="19"/>
  <c r="BT37" i="23"/>
  <c r="BT42" i="23"/>
  <c r="CD11" i="21" s="1"/>
  <c r="BT41" i="23"/>
  <c r="CD12" i="21" s="1"/>
  <c r="D112" i="11"/>
  <c r="N139" i="11"/>
  <c r="BA162" i="11"/>
  <c r="X43" i="19"/>
  <c r="CC67" i="19"/>
  <c r="CC99" i="19"/>
  <c r="BS112" i="19"/>
  <c r="BS114" i="19"/>
  <c r="BS115" i="19"/>
  <c r="BS113" i="19"/>
  <c r="BZ118" i="19"/>
  <c r="W117" i="19"/>
  <c r="BZ121" i="19"/>
  <c r="BZ120" i="19"/>
  <c r="BZ119" i="19"/>
  <c r="E72" i="15"/>
  <c r="DD10" i="25"/>
  <c r="DD13" i="25"/>
  <c r="T185" i="19"/>
  <c r="BQ186" i="19"/>
  <c r="T186" i="19" s="1"/>
  <c r="BQ188" i="19"/>
  <c r="T188" i="19" s="1"/>
  <c r="BQ189" i="19"/>
  <c r="T189" i="19" s="1"/>
  <c r="BQ187" i="19"/>
  <c r="T187" i="19" s="1"/>
  <c r="EQ10" i="25"/>
  <c r="AZ142" i="11"/>
  <c r="BN34" i="21"/>
  <c r="S35" i="21"/>
  <c r="BN40" i="21"/>
  <c r="BD115" i="19"/>
  <c r="BD112" i="19"/>
  <c r="BD113" i="19"/>
  <c r="BD114" i="19"/>
  <c r="CI181" i="19"/>
  <c r="CI182" i="19"/>
  <c r="CI183" i="19"/>
  <c r="CI180" i="19"/>
  <c r="Z179" i="19"/>
  <c r="W37" i="21"/>
  <c r="BW266" i="19"/>
  <c r="BW267" i="19"/>
  <c r="BW268" i="19"/>
  <c r="V265" i="19"/>
  <c r="BW269" i="19"/>
  <c r="F265" i="19"/>
  <c r="BF37" i="23"/>
  <c r="P142" i="11"/>
  <c r="BG34" i="21"/>
  <c r="BG39" i="21" s="1"/>
  <c r="CM34" i="21"/>
  <c r="CM39" i="21" s="1"/>
  <c r="CM40" i="21"/>
  <c r="BV107" i="19"/>
  <c r="BV108" i="19"/>
  <c r="BV106" i="19"/>
  <c r="BV109" i="19"/>
  <c r="BU69" i="19"/>
  <c r="CB118" i="19"/>
  <c r="CB121" i="19"/>
  <c r="CB119" i="19"/>
  <c r="CB120" i="19"/>
  <c r="P36" i="21"/>
  <c r="R59" i="19"/>
  <c r="E59" i="19"/>
  <c r="BK247" i="19"/>
  <c r="BH266" i="19"/>
  <c r="Q266" i="19" s="1"/>
  <c r="BH267" i="19"/>
  <c r="Q267" i="19" s="1"/>
  <c r="BH268" i="19"/>
  <c r="Q268" i="19" s="1"/>
  <c r="BH269" i="19"/>
  <c r="Q269" i="19" s="1"/>
  <c r="Q265" i="19"/>
  <c r="CI37" i="15"/>
  <c r="BL142" i="11"/>
  <c r="BP67" i="19"/>
  <c r="BP99" i="19"/>
  <c r="BO106" i="19"/>
  <c r="BO107" i="19"/>
  <c r="BO108" i="19"/>
  <c r="BO109" i="19"/>
  <c r="CM107" i="19"/>
  <c r="CM106" i="19"/>
  <c r="CM108" i="19"/>
  <c r="CM109" i="19"/>
  <c r="BV113" i="19"/>
  <c r="BV114" i="19"/>
  <c r="BV115" i="19"/>
  <c r="BV112" i="19"/>
  <c r="BF174" i="19"/>
  <c r="BF175" i="19"/>
  <c r="BF177" i="19"/>
  <c r="BF176" i="19"/>
  <c r="BF203" i="19"/>
  <c r="AA51" i="19"/>
  <c r="CL173" i="19"/>
  <c r="BK192" i="19"/>
  <c r="BK193" i="19"/>
  <c r="R191" i="19"/>
  <c r="BK194" i="19"/>
  <c r="BK195" i="19"/>
  <c r="BZ262" i="19"/>
  <c r="W262" i="19" s="1"/>
  <c r="BZ263" i="19"/>
  <c r="W263" i="19" s="1"/>
  <c r="W259" i="19"/>
  <c r="BZ261" i="19"/>
  <c r="W261" i="19" s="1"/>
  <c r="W237" i="19" s="1"/>
  <c r="BZ260" i="19"/>
  <c r="W260" i="19" s="1"/>
  <c r="BP37" i="23"/>
  <c r="BP41" i="23"/>
  <c r="BZ12" i="21" s="1"/>
  <c r="BP42" i="23"/>
  <c r="BZ11" i="21" s="1"/>
  <c r="BA40" i="21"/>
  <c r="BA34" i="21"/>
  <c r="BA39" i="21" s="1"/>
  <c r="CG34" i="21"/>
  <c r="CG39" i="21" s="1"/>
  <c r="BP106" i="19"/>
  <c r="BP107" i="19"/>
  <c r="BP108" i="19"/>
  <c r="BP109" i="19"/>
  <c r="BV118" i="19"/>
  <c r="BV119" i="19"/>
  <c r="BV121" i="19"/>
  <c r="BV120" i="19"/>
  <c r="D51" i="19"/>
  <c r="N51" i="19"/>
  <c r="AY173" i="19"/>
  <c r="CE177" i="19"/>
  <c r="CE174" i="19"/>
  <c r="CE203" i="19"/>
  <c r="CE176" i="19"/>
  <c r="CE175" i="19"/>
  <c r="S179" i="19"/>
  <c r="BN181" i="19"/>
  <c r="BN182" i="19"/>
  <c r="BN183" i="19"/>
  <c r="BN180" i="19"/>
  <c r="P37" i="21"/>
  <c r="E134" i="11"/>
  <c r="U134" i="11"/>
  <c r="U161" i="11" s="1"/>
  <c r="BV161" i="11"/>
  <c r="BV125" i="1" s="1"/>
  <c r="CE142" i="11"/>
  <c r="W43" i="19"/>
  <c r="BZ67" i="19"/>
  <c r="BZ99" i="19"/>
  <c r="BO121" i="19"/>
  <c r="BO120" i="19"/>
  <c r="BO118" i="19"/>
  <c r="BO119" i="19"/>
  <c r="BX176" i="19"/>
  <c r="BX177" i="19"/>
  <c r="BX203" i="19"/>
  <c r="BX174" i="19"/>
  <c r="BX175" i="19"/>
  <c r="AY180" i="19"/>
  <c r="AY181" i="19"/>
  <c r="N179" i="19"/>
  <c r="AY183" i="19"/>
  <c r="AY182" i="19"/>
  <c r="P253" i="19"/>
  <c r="BE254" i="19"/>
  <c r="BE255" i="19"/>
  <c r="BE257" i="19"/>
  <c r="BE256" i="19"/>
  <c r="BR37" i="23"/>
  <c r="BR42" i="23"/>
  <c r="CB11" i="21" s="1"/>
  <c r="BR40" i="23"/>
  <c r="BR41" i="23"/>
  <c r="CB12" i="21" s="1"/>
  <c r="CK9" i="25"/>
  <c r="BZ16" i="25" s="1"/>
  <c r="Q54" i="15"/>
  <c r="BH56" i="15"/>
  <c r="BT66" i="15"/>
  <c r="BX66" i="15"/>
  <c r="BX56" i="15"/>
  <c r="BX74" i="15" s="1"/>
  <c r="CJ66" i="15"/>
  <c r="V54" i="15"/>
  <c r="Z66" i="15" s="1"/>
  <c r="CM13" i="24"/>
  <c r="CM63" i="24"/>
  <c r="CM66" i="24" s="1"/>
  <c r="O8" i="7"/>
  <c r="BM8" i="7"/>
  <c r="AA53" i="1"/>
  <c r="AY36" i="23"/>
  <c r="BI9" i="24"/>
  <c r="BI11" i="24" s="1"/>
  <c r="BI13" i="24" s="1"/>
  <c r="BI11" i="1"/>
  <c r="BY66" i="15"/>
  <c r="CK66" i="15"/>
  <c r="BY56" i="15"/>
  <c r="CK68" i="15" s="1"/>
  <c r="CG175" i="19"/>
  <c r="CG205" i="19" s="1"/>
  <c r="CG177" i="19"/>
  <c r="CG207" i="19" s="1"/>
  <c r="CG176" i="19"/>
  <c r="CG206" i="19" s="1"/>
  <c r="CG203" i="19"/>
  <c r="CG174" i="19"/>
  <c r="CG204" i="19" s="1"/>
  <c r="CE62" i="15"/>
  <c r="CE60" i="15"/>
  <c r="CA91" i="1"/>
  <c r="CA102" i="1"/>
  <c r="CA74" i="1"/>
  <c r="Q60" i="19"/>
  <c r="BH253" i="19"/>
  <c r="Y55" i="15"/>
  <c r="CF67" i="15"/>
  <c r="N41" i="15"/>
  <c r="BU37" i="23"/>
  <c r="D59" i="19"/>
  <c r="N59" i="19"/>
  <c r="AY247" i="19"/>
  <c r="BO248" i="19"/>
  <c r="BO249" i="19"/>
  <c r="BO250" i="19"/>
  <c r="BO251" i="19"/>
  <c r="BO277" i="19"/>
  <c r="AA42" i="15"/>
  <c r="CL12" i="1"/>
  <c r="BT9" i="11"/>
  <c r="BT82" i="11" s="1"/>
  <c r="BT52" i="1"/>
  <c r="P28" i="1"/>
  <c r="BS29" i="11"/>
  <c r="BS30" i="11" s="1"/>
  <c r="Q44" i="15"/>
  <c r="BH94" i="15"/>
  <c r="BH13" i="1"/>
  <c r="BC37" i="23"/>
  <c r="BC41" i="23"/>
  <c r="BM12" i="21" s="1"/>
  <c r="BC40" i="23"/>
  <c r="BC42" i="23"/>
  <c r="BM11" i="21" s="1"/>
  <c r="G28" i="1"/>
  <c r="BO7" i="25"/>
  <c r="Q7" i="25"/>
  <c r="BT29" i="11"/>
  <c r="BT30" i="11" s="1"/>
  <c r="T45" i="19"/>
  <c r="BQ69" i="19"/>
  <c r="T69" i="19" s="1"/>
  <c r="BQ111" i="19"/>
  <c r="CD194" i="19"/>
  <c r="CD195" i="19"/>
  <c r="CD192" i="19"/>
  <c r="CD193" i="19"/>
  <c r="T37" i="21"/>
  <c r="CK59" i="15"/>
  <c r="U99" i="15"/>
  <c r="U100" i="15" s="1"/>
  <c r="CM91" i="1"/>
  <c r="CM102" i="1"/>
  <c r="CM74" i="1"/>
  <c r="BR56" i="15"/>
  <c r="BR65" i="15"/>
  <c r="BR59" i="15"/>
  <c r="D103" i="15"/>
  <c r="N103" i="15"/>
  <c r="AY105" i="15"/>
  <c r="AY106" i="15" s="1"/>
  <c r="BG186" i="19"/>
  <c r="BG187" i="19"/>
  <c r="BG188" i="19"/>
  <c r="BG189" i="19"/>
  <c r="F43" i="15"/>
  <c r="V43" i="15"/>
  <c r="BW94" i="15"/>
  <c r="BW13" i="1"/>
  <c r="CM106" i="15"/>
  <c r="CM105" i="15"/>
  <c r="BP26" i="24"/>
  <c r="BQ27" i="24" s="1"/>
  <c r="BL74" i="15"/>
  <c r="CW27" i="11"/>
  <c r="AE9" i="7"/>
  <c r="H45" i="25"/>
  <c r="H45" i="7"/>
  <c r="P8" i="25"/>
  <c r="BN8" i="25"/>
  <c r="F53" i="1"/>
  <c r="W71" i="1"/>
  <c r="BZ91" i="1"/>
  <c r="BZ102" i="1"/>
  <c r="BM61" i="15"/>
  <c r="BF105" i="15"/>
  <c r="BF106" i="15" s="1"/>
  <c r="EQ10" i="7"/>
  <c r="O77" i="15"/>
  <c r="O80" i="15" s="1"/>
  <c r="BC80" i="15"/>
  <c r="R77" i="15"/>
  <c r="R80" i="15" s="1"/>
  <c r="E77" i="15"/>
  <c r="E80" i="15" s="1"/>
  <c r="BK80" i="15"/>
  <c r="BS67" i="19"/>
  <c r="BS99" i="19"/>
  <c r="Z53" i="15"/>
  <c r="CI65" i="15"/>
  <c r="CI56" i="15"/>
  <c r="T72" i="15"/>
  <c r="Q28" i="1"/>
  <c r="BH74" i="1"/>
  <c r="BS101" i="1"/>
  <c r="K46" i="7"/>
  <c r="K46" i="25"/>
  <c r="BD74" i="15"/>
  <c r="CC14" i="1"/>
  <c r="CC97" i="1"/>
  <c r="CC88" i="1"/>
  <c r="CC114" i="1"/>
  <c r="CC98" i="1"/>
  <c r="EH28" i="7"/>
  <c r="CS102" i="1"/>
  <c r="N33" i="37"/>
  <c r="N6" i="37"/>
  <c r="AK60" i="29"/>
  <c r="DP63" i="29"/>
  <c r="AD130" i="36"/>
  <c r="H121" i="36"/>
  <c r="EB74" i="29"/>
  <c r="X27" i="34"/>
  <c r="AD60" i="29"/>
  <c r="H60" i="29"/>
  <c r="CU63" i="29"/>
  <c r="AD117" i="37"/>
  <c r="AD118" i="37"/>
  <c r="AI106" i="36"/>
  <c r="BQ79" i="29"/>
  <c r="T75" i="29"/>
  <c r="EZ76" i="29"/>
  <c r="U42" i="38"/>
  <c r="DT24" i="29"/>
  <c r="DT31" i="29" s="1"/>
  <c r="DT70" i="29"/>
  <c r="CX75" i="29"/>
  <c r="G154" i="29"/>
  <c r="G157" i="29" s="1"/>
  <c r="U53" i="38"/>
  <c r="T45" i="38"/>
  <c r="T26" i="38" s="1"/>
  <c r="U45" i="38"/>
  <c r="U26" i="38" s="1"/>
  <c r="X106" i="29"/>
  <c r="BW74" i="29"/>
  <c r="AR98" i="29"/>
  <c r="DA75" i="29"/>
  <c r="BP76" i="29"/>
  <c r="BP80" i="29" s="1"/>
  <c r="BP25" i="29" s="1"/>
  <c r="AF29" i="35"/>
  <c r="H16" i="36"/>
  <c r="X16" i="34"/>
  <c r="AD127" i="36"/>
  <c r="G128" i="36"/>
  <c r="AI155" i="36"/>
  <c r="Z144" i="36"/>
  <c r="AI144" i="36" s="1"/>
  <c r="N17" i="36"/>
  <c r="AH56" i="29"/>
  <c r="AZ74" i="29"/>
  <c r="AZ78" i="29" s="1"/>
  <c r="V98" i="29"/>
  <c r="CT75" i="29"/>
  <c r="CT79" i="29" s="1"/>
  <c r="CT18" i="29" s="1"/>
  <c r="AF108" i="29"/>
  <c r="AP116" i="29"/>
  <c r="ET24" i="29"/>
  <c r="AU24" i="29" s="1"/>
  <c r="AU68" i="29"/>
  <c r="CM75" i="29"/>
  <c r="CM79" i="29" s="1"/>
  <c r="CM18" i="29" s="1"/>
  <c r="S108" i="29"/>
  <c r="AE76" i="29"/>
  <c r="AC115" i="37"/>
  <c r="G55" i="29"/>
  <c r="CH74" i="29"/>
  <c r="CH78" i="29" s="1"/>
  <c r="FB74" i="29"/>
  <c r="CX17" i="29"/>
  <c r="AE17" i="29" s="1"/>
  <c r="AE63" i="29"/>
  <c r="Y75" i="29"/>
  <c r="CF79" i="29"/>
  <c r="BS76" i="29"/>
  <c r="BS80" i="29" s="1"/>
  <c r="EE76" i="29"/>
  <c r="AP76" i="29" s="1"/>
  <c r="DH58" i="29"/>
  <c r="DH10" i="29" s="1"/>
  <c r="DH31" i="29" s="1"/>
  <c r="BC74" i="29"/>
  <c r="BC78" i="29" s="1"/>
  <c r="DW74" i="29"/>
  <c r="AU98" i="29"/>
  <c r="I60" i="29"/>
  <c r="V108" i="29"/>
  <c r="CR25" i="29"/>
  <c r="AC25" i="29" s="1"/>
  <c r="AC80" i="29"/>
  <c r="EV76" i="29"/>
  <c r="T22" i="38"/>
  <c r="H43" i="36"/>
  <c r="Z66" i="37"/>
  <c r="AG133" i="36"/>
  <c r="BU81" i="29"/>
  <c r="BU85" i="29" s="1"/>
  <c r="DI58" i="29"/>
  <c r="DI10" i="29" s="1"/>
  <c r="DI31" i="29" s="1"/>
  <c r="BD74" i="29"/>
  <c r="BD78" i="29" s="1"/>
  <c r="DX74" i="29"/>
  <c r="ED75" i="29"/>
  <c r="EO76" i="29"/>
  <c r="AP118" i="29"/>
  <c r="M49" i="35"/>
  <c r="M11" i="35"/>
  <c r="V14" i="34"/>
  <c r="EO74" i="29"/>
  <c r="CU10" i="29"/>
  <c r="AD58" i="29"/>
  <c r="BV11" i="29"/>
  <c r="BV32" i="29" s="1"/>
  <c r="BW39" i="29" s="1"/>
  <c r="BV81" i="29"/>
  <c r="BV85" i="29" s="1"/>
  <c r="EP74" i="29"/>
  <c r="CZ75" i="29"/>
  <c r="CZ79" i="29" s="1"/>
  <c r="CZ18" i="29" s="1"/>
  <c r="R108" i="29"/>
  <c r="EY76" i="29"/>
  <c r="Y35" i="38"/>
  <c r="O10" i="35"/>
  <c r="W27" i="34"/>
  <c r="G16" i="36"/>
  <c r="AS98" i="29"/>
  <c r="D108" i="29"/>
  <c r="S18" i="38"/>
  <c r="S31" i="35" s="1"/>
  <c r="Z115" i="38"/>
  <c r="V44" i="18"/>
  <c r="G27" i="18" s="1"/>
  <c r="K54" i="22"/>
  <c r="AD85" i="22"/>
  <c r="J86" i="22"/>
  <c r="AJ31" i="13"/>
  <c r="CA51" i="11"/>
  <c r="AK8" i="13"/>
  <c r="CB39" i="11"/>
  <c r="U57" i="11"/>
  <c r="BT88" i="11"/>
  <c r="AC42" i="13"/>
  <c r="BT97" i="11"/>
  <c r="S124" i="11"/>
  <c r="BO81" i="11"/>
  <c r="BO90" i="11"/>
  <c r="AN42" i="13"/>
  <c r="CE97" i="11"/>
  <c r="CG148" i="11"/>
  <c r="CG87" i="11"/>
  <c r="AB98" i="11"/>
  <c r="O36" i="21"/>
  <c r="BU107" i="19"/>
  <c r="BU108" i="19"/>
  <c r="BU106" i="19"/>
  <c r="BU109" i="19"/>
  <c r="Z70" i="19"/>
  <c r="P51" i="19"/>
  <c r="BE173" i="19"/>
  <c r="W139" i="11"/>
  <c r="W162" i="11" s="1"/>
  <c r="CB162" i="11"/>
  <c r="BH40" i="21"/>
  <c r="Q35" i="21"/>
  <c r="BH34" i="21"/>
  <c r="BH42" i="21" s="1"/>
  <c r="BU118" i="19"/>
  <c r="BU119" i="19"/>
  <c r="BU120" i="19"/>
  <c r="BU121" i="19"/>
  <c r="BT187" i="19"/>
  <c r="U187" i="19" s="1"/>
  <c r="BT188" i="19"/>
  <c r="U188" i="19" s="1"/>
  <c r="BT189" i="19"/>
  <c r="U189" i="19" s="1"/>
  <c r="U185" i="19"/>
  <c r="BT186" i="19"/>
  <c r="U186" i="19" s="1"/>
  <c r="BD251" i="19"/>
  <c r="BD248" i="19"/>
  <c r="BD250" i="19"/>
  <c r="BD249" i="19"/>
  <c r="BD277" i="19"/>
  <c r="BK254" i="19"/>
  <c r="BK255" i="19"/>
  <c r="R253" i="19"/>
  <c r="BK256" i="19"/>
  <c r="BK257" i="19"/>
  <c r="T265" i="19"/>
  <c r="BQ266" i="19"/>
  <c r="T266" i="19" s="1"/>
  <c r="BQ267" i="19"/>
  <c r="T267" i="19" s="1"/>
  <c r="BQ268" i="19"/>
  <c r="T268" i="19" s="1"/>
  <c r="BQ269" i="19"/>
  <c r="T269" i="19" s="1"/>
  <c r="BZ11" i="24"/>
  <c r="CG67" i="19"/>
  <c r="CG99" i="19"/>
  <c r="CN107" i="19"/>
  <c r="CN106" i="19"/>
  <c r="CN108" i="19"/>
  <c r="CN109" i="19"/>
  <c r="V36" i="21"/>
  <c r="F36" i="21"/>
  <c r="CO144" i="11"/>
  <c r="CO127" i="1"/>
  <c r="BP112" i="19"/>
  <c r="BP113" i="19"/>
  <c r="BP114" i="19"/>
  <c r="BP115" i="19"/>
  <c r="BS74" i="1"/>
  <c r="P8" i="7"/>
  <c r="BN8" i="7"/>
  <c r="AB53" i="1"/>
  <c r="BX256" i="19"/>
  <c r="BX257" i="19"/>
  <c r="BX254" i="19"/>
  <c r="BX255" i="19"/>
  <c r="BG163" i="11"/>
  <c r="BG126" i="1"/>
  <c r="P126" i="1" s="1"/>
  <c r="P127" i="1" s="1"/>
  <c r="CA67" i="15"/>
  <c r="BO67" i="15"/>
  <c r="S104" i="15"/>
  <c r="E104" i="15"/>
  <c r="AO40" i="23"/>
  <c r="AO42" i="23"/>
  <c r="AY11" i="21" s="1"/>
  <c r="BU40" i="23"/>
  <c r="BU42" i="23"/>
  <c r="CE11" i="21" s="1"/>
  <c r="CP17" i="11"/>
  <c r="CP35" i="1" s="1"/>
  <c r="CP34" i="11"/>
  <c r="BZ88" i="11"/>
  <c r="W57" i="11"/>
  <c r="R61" i="11"/>
  <c r="BK89" i="11"/>
  <c r="E61" i="11"/>
  <c r="CA17" i="11"/>
  <c r="CA35" i="1" s="1"/>
  <c r="CA34" i="11"/>
  <c r="AZ55" i="13"/>
  <c r="CQ123" i="11"/>
  <c r="CQ148" i="11" s="1"/>
  <c r="R126" i="11"/>
  <c r="E126" i="11"/>
  <c r="ER11" i="25" s="1"/>
  <c r="BK88" i="11"/>
  <c r="E57" i="11"/>
  <c r="R57" i="11"/>
  <c r="AZ31" i="13"/>
  <c r="CQ51" i="11"/>
  <c r="CQ87" i="11" s="1"/>
  <c r="T42" i="13"/>
  <c r="BK97" i="11"/>
  <c r="BK117" i="11" s="1"/>
  <c r="BA8" i="13"/>
  <c r="CR39" i="11"/>
  <c r="CB34" i="11"/>
  <c r="CB17" i="11"/>
  <c r="CB35" i="1" s="1"/>
  <c r="BA55" i="13"/>
  <c r="CR123" i="11"/>
  <c r="U55" i="11"/>
  <c r="U76" i="11" s="1"/>
  <c r="BT76" i="11"/>
  <c r="M31" i="13"/>
  <c r="BD51" i="11"/>
  <c r="U52" i="11"/>
  <c r="U102" i="11"/>
  <c r="BT118" i="11"/>
  <c r="AS42" i="13"/>
  <c r="CJ97" i="11"/>
  <c r="N8" i="13"/>
  <c r="BE39" i="11"/>
  <c r="N55" i="13"/>
  <c r="BE123" i="11"/>
  <c r="P130" i="11"/>
  <c r="BE149" i="11"/>
  <c r="N31" i="13"/>
  <c r="BE51" i="11"/>
  <c r="P101" i="11"/>
  <c r="P113" i="11" s="1"/>
  <c r="BE113" i="11"/>
  <c r="AT42" i="13"/>
  <c r="CK97" i="11"/>
  <c r="W8" i="13"/>
  <c r="BN39" i="11"/>
  <c r="CD81" i="11"/>
  <c r="CD90" i="11"/>
  <c r="W55" i="13"/>
  <c r="BN123" i="11"/>
  <c r="S130" i="11"/>
  <c r="BN149" i="11"/>
  <c r="W31" i="13"/>
  <c r="BN51" i="11"/>
  <c r="S101" i="11"/>
  <c r="S113" i="11" s="1"/>
  <c r="BN113" i="11"/>
  <c r="BC42" i="13"/>
  <c r="CT97" i="11"/>
  <c r="X8" i="13"/>
  <c r="BO39" i="11"/>
  <c r="CE81" i="11"/>
  <c r="CE90" i="11"/>
  <c r="AY34" i="11"/>
  <c r="AY17" i="11"/>
  <c r="AY35" i="1" s="1"/>
  <c r="N28" i="11"/>
  <c r="D28" i="11"/>
  <c r="X55" i="13"/>
  <c r="BO123" i="11"/>
  <c r="N129" i="11"/>
  <c r="N141" i="11" s="1"/>
  <c r="AY141" i="11"/>
  <c r="D129" i="11"/>
  <c r="D56" i="11"/>
  <c r="BI91" i="11" s="1"/>
  <c r="N56" i="11"/>
  <c r="X31" i="13"/>
  <c r="BO51" i="11"/>
  <c r="D98" i="11"/>
  <c r="N98" i="11"/>
  <c r="AG8" i="13"/>
  <c r="BX39" i="11"/>
  <c r="CN90" i="11"/>
  <c r="CN81" i="11"/>
  <c r="Q28" i="11"/>
  <c r="BH34" i="11"/>
  <c r="BH17" i="11"/>
  <c r="BH35" i="1" s="1"/>
  <c r="AG55" i="13"/>
  <c r="BX123" i="11"/>
  <c r="Q129" i="11"/>
  <c r="Q141" i="11" s="1"/>
  <c r="BH141" i="11"/>
  <c r="BH91" i="11"/>
  <c r="Q56" i="11"/>
  <c r="AG31" i="13"/>
  <c r="BX51" i="11"/>
  <c r="Q98" i="11"/>
  <c r="AP8" i="13"/>
  <c r="CG39" i="11"/>
  <c r="T28" i="11"/>
  <c r="BQ34" i="11"/>
  <c r="BQ17" i="11"/>
  <c r="BQ35" i="1" s="1"/>
  <c r="AP55" i="13"/>
  <c r="CG123" i="11"/>
  <c r="T129" i="11"/>
  <c r="T141" i="11" s="1"/>
  <c r="BQ141" i="11"/>
  <c r="CG149" i="11"/>
  <c r="BA88" i="11"/>
  <c r="T56" i="11"/>
  <c r="AP31" i="13"/>
  <c r="CG51" i="11"/>
  <c r="R15" i="24"/>
  <c r="EO32" i="24"/>
  <c r="EP33" i="24" s="1"/>
  <c r="EQ34" i="24" s="1"/>
  <c r="J42" i="13"/>
  <c r="BA97" i="11"/>
  <c r="AP27" i="24"/>
  <c r="EX37" i="24"/>
  <c r="EY38" i="24" s="1"/>
  <c r="EZ39" i="24" s="1"/>
  <c r="DO28" i="24"/>
  <c r="DA28" i="24"/>
  <c r="DB37" i="24"/>
  <c r="DC38" i="24" s="1"/>
  <c r="DD39" i="24" s="1"/>
  <c r="AK26" i="24"/>
  <c r="W8" i="9"/>
  <c r="CI8" i="25"/>
  <c r="AZ45" i="11"/>
  <c r="CF142" i="11"/>
  <c r="CF163" i="11"/>
  <c r="CF119" i="1"/>
  <c r="CK7" i="7"/>
  <c r="CJ9" i="25"/>
  <c r="BY16" i="25" s="1"/>
  <c r="BU90" i="11"/>
  <c r="Z159" i="11"/>
  <c r="EG23" i="7"/>
  <c r="CA144" i="11"/>
  <c r="CA145" i="11" s="1"/>
  <c r="CA127" i="1"/>
  <c r="BT40" i="21"/>
  <c r="U35" i="21"/>
  <c r="BT34" i="21"/>
  <c r="BC106" i="19"/>
  <c r="BC107" i="19"/>
  <c r="BC108" i="19"/>
  <c r="BC109" i="19"/>
  <c r="CA106" i="19"/>
  <c r="CA108" i="19"/>
  <c r="CA109" i="19"/>
  <c r="CA107" i="19"/>
  <c r="BB112" i="19"/>
  <c r="O111" i="19"/>
  <c r="BB113" i="19"/>
  <c r="BB114" i="19"/>
  <c r="BB115" i="19"/>
  <c r="T179" i="19"/>
  <c r="BQ180" i="19"/>
  <c r="T180" i="19" s="1"/>
  <c r="BQ181" i="19"/>
  <c r="T181" i="19" s="1"/>
  <c r="BQ182" i="19"/>
  <c r="T182" i="19" s="1"/>
  <c r="BQ183" i="19"/>
  <c r="T183" i="19" s="1"/>
  <c r="Q185" i="19"/>
  <c r="BH186" i="19"/>
  <c r="Q186" i="19" s="1"/>
  <c r="BH187" i="19"/>
  <c r="Q187" i="19" s="1"/>
  <c r="BH189" i="19"/>
  <c r="Q189" i="19" s="1"/>
  <c r="BH188" i="19"/>
  <c r="Q188" i="19" s="1"/>
  <c r="BP248" i="19"/>
  <c r="BP249" i="19"/>
  <c r="BP250" i="19"/>
  <c r="BP251" i="19"/>
  <c r="BP277" i="19"/>
  <c r="AA259" i="19"/>
  <c r="CL11" i="24"/>
  <c r="CE114" i="11"/>
  <c r="BI142" i="11"/>
  <c r="BI162" i="11"/>
  <c r="CC34" i="21"/>
  <c r="X35" i="21"/>
  <c r="CC40" i="21"/>
  <c r="U105" i="19"/>
  <c r="BT108" i="19"/>
  <c r="U108" i="19" s="1"/>
  <c r="U84" i="19" s="1"/>
  <c r="BT106" i="19"/>
  <c r="BT109" i="19"/>
  <c r="U109" i="19" s="1"/>
  <c r="BT107" i="19"/>
  <c r="BB118" i="19"/>
  <c r="O117" i="19"/>
  <c r="BB121" i="19"/>
  <c r="BB119" i="19"/>
  <c r="BB120" i="19"/>
  <c r="CA175" i="19"/>
  <c r="CA205" i="19" s="1"/>
  <c r="CA176" i="19"/>
  <c r="CA206" i="19" s="1"/>
  <c r="CA177" i="19"/>
  <c r="CA207" i="19" s="1"/>
  <c r="CA203" i="19"/>
  <c r="CA174" i="19"/>
  <c r="CA204" i="19" s="1"/>
  <c r="BZ180" i="19"/>
  <c r="W180" i="19" s="1"/>
  <c r="BZ182" i="19"/>
  <c r="W182" i="19" s="1"/>
  <c r="BZ183" i="19"/>
  <c r="W183" i="19" s="1"/>
  <c r="BZ181" i="19"/>
  <c r="W181" i="19" s="1"/>
  <c r="W179" i="19"/>
  <c r="P114" i="11"/>
  <c r="BV67" i="19"/>
  <c r="BV99" i="19"/>
  <c r="X105" i="19"/>
  <c r="CC106" i="19"/>
  <c r="CC108" i="19"/>
  <c r="CC109" i="19"/>
  <c r="CC107" i="19"/>
  <c r="U51" i="19"/>
  <c r="BT173" i="19"/>
  <c r="O59" i="19"/>
  <c r="BB247" i="19"/>
  <c r="CH248" i="19"/>
  <c r="CH278" i="19" s="1"/>
  <c r="CH249" i="19"/>
  <c r="CH279" i="19" s="1"/>
  <c r="CH250" i="19"/>
  <c r="CH280" i="19" s="1"/>
  <c r="CH277" i="19"/>
  <c r="CH251" i="19"/>
  <c r="CH281" i="19" s="1"/>
  <c r="F62" i="19"/>
  <c r="BY26" i="24"/>
  <c r="BZ27" i="24" s="1"/>
  <c r="U114" i="11"/>
  <c r="BO67" i="19"/>
  <c r="BO99" i="19"/>
  <c r="Q71" i="15"/>
  <c r="BV68" i="19"/>
  <c r="C67" i="18"/>
  <c r="CC114" i="19"/>
  <c r="CC115" i="19"/>
  <c r="CC112" i="19"/>
  <c r="X111" i="19"/>
  <c r="CC113" i="19"/>
  <c r="BD118" i="19"/>
  <c r="BD119" i="19"/>
  <c r="BD121" i="19"/>
  <c r="BD120" i="19"/>
  <c r="CB70" i="19"/>
  <c r="W70" i="19" s="1"/>
  <c r="BM174" i="19"/>
  <c r="BM204" i="19" s="1"/>
  <c r="BM175" i="19"/>
  <c r="BM205" i="19" s="1"/>
  <c r="BM176" i="19"/>
  <c r="BM206" i="19" s="1"/>
  <c r="BM177" i="19"/>
  <c r="BM207" i="19" s="1"/>
  <c r="BM203" i="19"/>
  <c r="E37" i="21"/>
  <c r="R37" i="21"/>
  <c r="BB254" i="19"/>
  <c r="O254" i="19" s="1"/>
  <c r="O253" i="19"/>
  <c r="BB255" i="19"/>
  <c r="O255" i="19" s="1"/>
  <c r="BB256" i="19"/>
  <c r="O256" i="19" s="1"/>
  <c r="BB257" i="19"/>
  <c r="O257" i="19" s="1"/>
  <c r="BD142" i="11"/>
  <c r="BD163" i="11"/>
  <c r="BD119" i="1"/>
  <c r="O119" i="1" s="1"/>
  <c r="O127" i="1" s="1"/>
  <c r="BP34" i="21"/>
  <c r="BP39" i="21" s="1"/>
  <c r="D67" i="18"/>
  <c r="X117" i="19"/>
  <c r="CC118" i="19"/>
  <c r="CC119" i="19"/>
  <c r="CC121" i="19"/>
  <c r="CC120" i="19"/>
  <c r="AA36" i="21"/>
  <c r="E54" i="19"/>
  <c r="BL251" i="19"/>
  <c r="BL248" i="19"/>
  <c r="BL250" i="19"/>
  <c r="BL249" i="19"/>
  <c r="BL277" i="19"/>
  <c r="E60" i="19"/>
  <c r="O9" i="24"/>
  <c r="BB11" i="24"/>
  <c r="CI26" i="24"/>
  <c r="V44" i="15"/>
  <c r="F44" i="15"/>
  <c r="BZ94" i="15"/>
  <c r="CA94" i="15"/>
  <c r="CH94" i="15"/>
  <c r="BH114" i="11"/>
  <c r="Q112" i="11"/>
  <c r="Q114" i="11" s="1"/>
  <c r="BI99" i="19"/>
  <c r="BI67" i="19"/>
  <c r="S71" i="15"/>
  <c r="BP68" i="19"/>
  <c r="BO112" i="19"/>
  <c r="BO113" i="19"/>
  <c r="BO114" i="19"/>
  <c r="BO115" i="19"/>
  <c r="BV70" i="19"/>
  <c r="N36" i="21"/>
  <c r="D36" i="21"/>
  <c r="S52" i="19"/>
  <c r="CC186" i="19"/>
  <c r="CC187" i="19"/>
  <c r="CC188" i="19"/>
  <c r="CC189" i="19"/>
  <c r="X185" i="19"/>
  <c r="BM250" i="19"/>
  <c r="BM251" i="19"/>
  <c r="BM249" i="19"/>
  <c r="BM248" i="19"/>
  <c r="BM277" i="19"/>
  <c r="BB266" i="19"/>
  <c r="O265" i="19"/>
  <c r="BB267" i="19"/>
  <c r="BB268" i="19"/>
  <c r="BB269" i="19"/>
  <c r="CK163" i="11"/>
  <c r="CK120" i="1"/>
  <c r="Z120" i="1" s="1"/>
  <c r="Z127" i="1" s="1"/>
  <c r="CI42" i="19"/>
  <c r="G7" i="15"/>
  <c r="Z7" i="15"/>
  <c r="Z12" i="15" s="1"/>
  <c r="CI12" i="15"/>
  <c r="CI40" i="15"/>
  <c r="CI15" i="15"/>
  <c r="CI90" i="15"/>
  <c r="W35" i="21"/>
  <c r="BZ34" i="21"/>
  <c r="BQ107" i="19"/>
  <c r="BQ109" i="19"/>
  <c r="BQ106" i="19"/>
  <c r="BQ108" i="19"/>
  <c r="BX112" i="19"/>
  <c r="BX113" i="19"/>
  <c r="BX114" i="19"/>
  <c r="BX115" i="19"/>
  <c r="CD249" i="19"/>
  <c r="CD250" i="19"/>
  <c r="CD251" i="19"/>
  <c r="CD248" i="19"/>
  <c r="CD277" i="19"/>
  <c r="P60" i="19"/>
  <c r="CJ13" i="24"/>
  <c r="CJ63" i="24"/>
  <c r="CJ66" i="24" s="1"/>
  <c r="BV163" i="11"/>
  <c r="BV121" i="1"/>
  <c r="Q42" i="15"/>
  <c r="BH12" i="1"/>
  <c r="F42" i="15"/>
  <c r="DY10" i="25" s="1"/>
  <c r="BX12" i="1"/>
  <c r="CN66" i="15"/>
  <c r="CN56" i="15"/>
  <c r="AZ29" i="11"/>
  <c r="AZ30" i="11" s="1"/>
  <c r="BA56" i="15"/>
  <c r="BA60" i="15" s="1"/>
  <c r="BI175" i="19"/>
  <c r="BI205" i="19" s="1"/>
  <c r="BI177" i="19"/>
  <c r="BI207" i="19" s="1"/>
  <c r="BI176" i="19"/>
  <c r="BI206" i="19" s="1"/>
  <c r="BI203" i="19"/>
  <c r="BI174" i="19"/>
  <c r="BI204" i="19" s="1"/>
  <c r="CG41" i="21"/>
  <c r="BL269" i="19"/>
  <c r="BL266" i="19"/>
  <c r="BL268" i="19"/>
  <c r="BL267" i="19"/>
  <c r="Z28" i="1"/>
  <c r="CI91" i="1"/>
  <c r="CI102" i="1"/>
  <c r="CI74" i="1"/>
  <c r="BI29" i="11"/>
  <c r="BI30" i="11" s="1"/>
  <c r="BP67" i="15"/>
  <c r="BL62" i="15"/>
  <c r="BF72" i="11"/>
  <c r="BF77" i="11"/>
  <c r="BD74" i="1"/>
  <c r="BD102" i="1"/>
  <c r="BO101" i="1"/>
  <c r="D37" i="21"/>
  <c r="N37" i="21"/>
  <c r="CE61" i="15"/>
  <c r="CE67" i="15"/>
  <c r="CD267" i="19"/>
  <c r="CD268" i="19"/>
  <c r="CD269" i="19"/>
  <c r="CD266" i="19"/>
  <c r="BM59" i="15"/>
  <c r="CK61" i="15"/>
  <c r="AY72" i="11"/>
  <c r="AY77" i="11"/>
  <c r="CB9" i="11"/>
  <c r="CB82" i="11" s="1"/>
  <c r="CB52" i="1"/>
  <c r="BM102" i="1"/>
  <c r="CA29" i="11"/>
  <c r="CA30" i="11" s="1"/>
  <c r="BX94" i="15"/>
  <c r="BX13" i="1"/>
  <c r="Y46" i="19"/>
  <c r="CF70" i="19"/>
  <c r="Y70" i="19" s="1"/>
  <c r="CF117" i="19"/>
  <c r="P61" i="19"/>
  <c r="BE259" i="19"/>
  <c r="CB29" i="11"/>
  <c r="CB30" i="11" s="1"/>
  <c r="BA69" i="19"/>
  <c r="BA111" i="19"/>
  <c r="BY94" i="15"/>
  <c r="BY13" i="1"/>
  <c r="BV94" i="15"/>
  <c r="BV13" i="1"/>
  <c r="BA61" i="15"/>
  <c r="BM67" i="15"/>
  <c r="BY61" i="15"/>
  <c r="BY67" i="15"/>
  <c r="CK67" i="15"/>
  <c r="Q8" i="25"/>
  <c r="BO8" i="25"/>
  <c r="G53" i="1"/>
  <c r="O44" i="19"/>
  <c r="BB68" i="19"/>
  <c r="O68" i="19" s="1"/>
  <c r="BB105" i="19"/>
  <c r="BR12" i="1"/>
  <c r="W44" i="19"/>
  <c r="BZ68" i="19"/>
  <c r="W68" i="19" s="1"/>
  <c r="BZ105" i="19"/>
  <c r="D43" i="15"/>
  <c r="AY94" i="15"/>
  <c r="AY13" i="1"/>
  <c r="N43" i="15"/>
  <c r="CM13" i="1"/>
  <c r="BO260" i="19"/>
  <c r="BO261" i="19"/>
  <c r="BO262" i="19"/>
  <c r="BO263" i="19"/>
  <c r="BE37" i="23"/>
  <c r="CB62" i="15"/>
  <c r="BL60" i="15"/>
  <c r="F111" i="15"/>
  <c r="F112" i="15"/>
  <c r="D38" i="11"/>
  <c r="D45" i="11" s="1"/>
  <c r="AA27" i="11"/>
  <c r="CX27" i="11"/>
  <c r="AE30" i="1"/>
  <c r="BL20" i="1"/>
  <c r="BL21" i="1"/>
  <c r="BL97" i="1"/>
  <c r="BL88" i="1"/>
  <c r="U104" i="15"/>
  <c r="U105" i="15" s="1"/>
  <c r="U106" i="15" s="1"/>
  <c r="CY27" i="11"/>
  <c r="CH102" i="1"/>
  <c r="CH91" i="1"/>
  <c r="N53" i="1"/>
  <c r="T53" i="15"/>
  <c r="ET10" i="25"/>
  <c r="O71" i="15"/>
  <c r="R71" i="15"/>
  <c r="BS34" i="21"/>
  <c r="BS39" i="21" s="1"/>
  <c r="W105" i="15"/>
  <c r="W106" i="15"/>
  <c r="P12" i="1"/>
  <c r="P20" i="1" s="1"/>
  <c r="BX74" i="1"/>
  <c r="BX91" i="1"/>
  <c r="BX102" i="1"/>
  <c r="Y38" i="11"/>
  <c r="Y79" i="15"/>
  <c r="Y80" i="15" s="1"/>
  <c r="BM74" i="15"/>
  <c r="CC94" i="15"/>
  <c r="P12" i="29"/>
  <c r="BE33" i="29"/>
  <c r="P33" i="29" s="1"/>
  <c r="BA99" i="1"/>
  <c r="BE78" i="29"/>
  <c r="K111" i="37"/>
  <c r="O111" i="37"/>
  <c r="V81" i="38"/>
  <c r="W77" i="38"/>
  <c r="W81" i="38" s="1"/>
  <c r="AF130" i="36"/>
  <c r="P121" i="36"/>
  <c r="A7" i="30"/>
  <c r="AL60" i="29"/>
  <c r="DS63" i="29"/>
  <c r="J60" i="29"/>
  <c r="AD76" i="29"/>
  <c r="CU80" i="29"/>
  <c r="U54" i="38"/>
  <c r="AJ55" i="29"/>
  <c r="DM58" i="29"/>
  <c r="CO75" i="29"/>
  <c r="G116" i="29"/>
  <c r="E91" i="38"/>
  <c r="E107" i="38"/>
  <c r="E14" i="35"/>
  <c r="E15" i="35" s="1"/>
  <c r="E116" i="38"/>
  <c r="E82" i="38"/>
  <c r="E98" i="38"/>
  <c r="AV106" i="29"/>
  <c r="AO65" i="29"/>
  <c r="EB68" i="29"/>
  <c r="DV75" i="29"/>
  <c r="AW118" i="29"/>
  <c r="G69" i="28"/>
  <c r="T31" i="38"/>
  <c r="Z49" i="35"/>
  <c r="CE74" i="29"/>
  <c r="CE78" i="29" s="1"/>
  <c r="S98" i="29"/>
  <c r="DI75" i="29"/>
  <c r="EK24" i="29"/>
  <c r="AR24" i="29" s="1"/>
  <c r="AR68" i="29"/>
  <c r="BX76" i="29"/>
  <c r="BX80" i="29" s="1"/>
  <c r="BX25" i="29" s="1"/>
  <c r="AC36" i="38"/>
  <c r="AC13" i="38"/>
  <c r="AC19" i="38" s="1"/>
  <c r="Y128" i="36"/>
  <c r="X130" i="36"/>
  <c r="X129" i="36"/>
  <c r="AH129" i="36" s="1"/>
  <c r="AH127" i="36"/>
  <c r="CS74" i="29"/>
  <c r="CS78" i="29" s="1"/>
  <c r="BN76" i="29"/>
  <c r="L42" i="36"/>
  <c r="L39" i="36"/>
  <c r="L43" i="36"/>
  <c r="DK56" i="29"/>
  <c r="BP11" i="29"/>
  <c r="BP32" i="29" s="1"/>
  <c r="BQ39" i="29" s="1"/>
  <c r="BP81" i="29"/>
  <c r="BP85" i="29" s="1"/>
  <c r="EZ17" i="29"/>
  <c r="AW17" i="29" s="1"/>
  <c r="AW63" i="29"/>
  <c r="DB75" i="29"/>
  <c r="DB79" i="29" s="1"/>
  <c r="DB18" i="29" s="1"/>
  <c r="X61" i="38"/>
  <c r="Y61" i="38" s="1"/>
  <c r="Z61" i="38" s="1"/>
  <c r="AA61" i="38" s="1"/>
  <c r="R25" i="34"/>
  <c r="R33" i="35"/>
  <c r="R130" i="36"/>
  <c r="R121" i="36" s="1"/>
  <c r="R129" i="36"/>
  <c r="J154" i="29"/>
  <c r="J157" i="29" s="1"/>
  <c r="J158" i="29" s="1"/>
  <c r="CU75" i="29"/>
  <c r="AA108" i="29"/>
  <c r="AM76" i="29"/>
  <c r="EE10" i="29"/>
  <c r="AP58" i="29"/>
  <c r="CP74" i="29"/>
  <c r="CP78" i="29" s="1"/>
  <c r="AM60" i="29"/>
  <c r="CN75" i="29"/>
  <c r="CN79" i="29" s="1"/>
  <c r="CN18" i="29" s="1"/>
  <c r="AW75" i="29"/>
  <c r="CA76" i="29"/>
  <c r="CA80" i="29" s="1"/>
  <c r="CA25" i="29" s="1"/>
  <c r="EM76" i="29"/>
  <c r="J33" i="35"/>
  <c r="L27" i="35"/>
  <c r="AC33" i="37"/>
  <c r="AD24" i="37"/>
  <c r="AD41" i="37" s="1"/>
  <c r="O43" i="35"/>
  <c r="S43" i="35" s="1"/>
  <c r="P41" i="36"/>
  <c r="P39" i="36"/>
  <c r="EG74" i="29"/>
  <c r="EE74" i="29"/>
  <c r="DG17" i="29"/>
  <c r="AH63" i="29"/>
  <c r="CW75" i="29"/>
  <c r="CW79" i="29" s="1"/>
  <c r="CW18" i="29" s="1"/>
  <c r="Y108" i="29"/>
  <c r="T118" i="29"/>
  <c r="AC41" i="37"/>
  <c r="V27" i="34"/>
  <c r="P21" i="36"/>
  <c r="AA66" i="37"/>
  <c r="T26" i="36"/>
  <c r="AG144" i="36"/>
  <c r="S123" i="37"/>
  <c r="AF123" i="37" s="1"/>
  <c r="C23" i="40"/>
  <c r="C26" i="40" s="1"/>
  <c r="C6" i="40"/>
  <c r="BU32" i="29"/>
  <c r="BV39" i="29" s="1"/>
  <c r="CD76" i="29"/>
  <c r="CD80" i="29" s="1"/>
  <c r="CD25" i="29" s="1"/>
  <c r="BL11" i="29"/>
  <c r="EF74" i="29"/>
  <c r="EL75" i="29"/>
  <c r="BM76" i="29"/>
  <c r="BM80" i="29" s="1"/>
  <c r="AB118" i="29"/>
  <c r="AS118" i="29"/>
  <c r="X25" i="34"/>
  <c r="M17" i="36"/>
  <c r="R21" i="36"/>
  <c r="AH98" i="29"/>
  <c r="BK18" i="29"/>
  <c r="R79" i="29"/>
  <c r="AA76" i="29"/>
  <c r="H55" i="29"/>
  <c r="CD74" i="29"/>
  <c r="CD78" i="29" s="1"/>
  <c r="EX74" i="29"/>
  <c r="EH17" i="29"/>
  <c r="AQ17" i="29" s="1"/>
  <c r="AQ63" i="29"/>
  <c r="DH75" i="29"/>
  <c r="F108" i="29"/>
  <c r="L156" i="29"/>
  <c r="AR118" i="29"/>
  <c r="AA35" i="38"/>
  <c r="G31" i="36"/>
  <c r="G32" i="36"/>
  <c r="F130" i="41"/>
  <c r="AL106" i="29"/>
  <c r="AM108" i="29"/>
  <c r="V115" i="38"/>
  <c r="H27" i="2"/>
  <c r="H30" i="2" s="1"/>
  <c r="I26" i="2" s="1"/>
  <c r="I30" i="2" s="1"/>
  <c r="J26" i="2" s="1"/>
  <c r="J30" i="2" s="1"/>
  <c r="K26" i="2" s="1"/>
  <c r="K30" i="2" s="1"/>
  <c r="L26" i="2" s="1"/>
  <c r="L30" i="2" s="1"/>
  <c r="M26" i="2" s="1"/>
  <c r="M30" i="2" s="1"/>
  <c r="N26" i="2" s="1"/>
  <c r="N30" i="2" s="1"/>
  <c r="H28" i="2"/>
  <c r="R44" i="18"/>
  <c r="C27" i="18" s="1"/>
  <c r="T43" i="18"/>
  <c r="E24" i="18" s="1"/>
  <c r="T49" i="18"/>
  <c r="W28" i="11"/>
  <c r="BZ17" i="11"/>
  <c r="BZ35" i="1" s="1"/>
  <c r="BZ34" i="11"/>
  <c r="AY31" i="13"/>
  <c r="CP51" i="11"/>
  <c r="CQ90" i="11"/>
  <c r="CQ81" i="11"/>
  <c r="AC124" i="11"/>
  <c r="CR148" i="11"/>
  <c r="BE148" i="11"/>
  <c r="P124" i="11"/>
  <c r="BE87" i="11"/>
  <c r="S60" i="11"/>
  <c r="S81" i="11" s="1"/>
  <c r="BN81" i="11"/>
  <c r="BN90" i="11"/>
  <c r="S55" i="11"/>
  <c r="S76" i="11" s="1"/>
  <c r="BN76" i="11"/>
  <c r="AM42" i="13"/>
  <c r="CD97" i="11"/>
  <c r="BX90" i="11"/>
  <c r="BX81" i="11"/>
  <c r="AW42" i="13"/>
  <c r="CN97" i="11"/>
  <c r="BA91" i="11"/>
  <c r="BT163" i="11"/>
  <c r="BT120" i="1"/>
  <c r="Q59" i="19"/>
  <c r="BH247" i="19"/>
  <c r="BU34" i="21"/>
  <c r="BU39" i="21" s="1"/>
  <c r="BB180" i="19"/>
  <c r="O180" i="19" s="1"/>
  <c r="BB181" i="19"/>
  <c r="O181" i="19" s="1"/>
  <c r="O179" i="19"/>
  <c r="BB182" i="19"/>
  <c r="O182" i="19" s="1"/>
  <c r="BB183" i="19"/>
  <c r="O183" i="19" s="1"/>
  <c r="S43" i="19"/>
  <c r="BN67" i="19"/>
  <c r="S67" i="19" s="1"/>
  <c r="BN99" i="19"/>
  <c r="R70" i="19"/>
  <c r="EK145" i="11"/>
  <c r="L145" i="11"/>
  <c r="EL145" i="11"/>
  <c r="EE145" i="11"/>
  <c r="EM145" i="11"/>
  <c r="EF145" i="11"/>
  <c r="EN145" i="11"/>
  <c r="EH145" i="11"/>
  <c r="EP145" i="11"/>
  <c r="EI145" i="11"/>
  <c r="EG145" i="11"/>
  <c r="EJ145" i="11"/>
  <c r="EO145" i="11"/>
  <c r="EX31" i="25"/>
  <c r="CC180" i="19"/>
  <c r="X180" i="19" s="1"/>
  <c r="X156" i="19" s="1"/>
  <c r="X179" i="19"/>
  <c r="CC183" i="19"/>
  <c r="X183" i="19" s="1"/>
  <c r="X159" i="19" s="1"/>
  <c r="CC182" i="19"/>
  <c r="X182" i="19" s="1"/>
  <c r="X158" i="19" s="1"/>
  <c r="CC181" i="19"/>
  <c r="X181" i="19" s="1"/>
  <c r="X157" i="19" s="1"/>
  <c r="CJ251" i="19"/>
  <c r="CJ248" i="19"/>
  <c r="CJ250" i="19"/>
  <c r="CJ249" i="19"/>
  <c r="CJ277" i="19"/>
  <c r="BA99" i="19"/>
  <c r="BA67" i="19"/>
  <c r="BE186" i="19"/>
  <c r="P186" i="19" s="1"/>
  <c r="BE187" i="19"/>
  <c r="P187" i="19" s="1"/>
  <c r="BE188" i="19"/>
  <c r="P188" i="19" s="1"/>
  <c r="P164" i="19" s="1"/>
  <c r="BE189" i="19"/>
  <c r="P189" i="19" s="1"/>
  <c r="P185" i="19"/>
  <c r="BN142" i="11"/>
  <c r="BN163" i="11"/>
  <c r="BN121" i="1"/>
  <c r="Y52" i="19"/>
  <c r="CF179" i="19"/>
  <c r="BB27" i="21"/>
  <c r="BB54" i="21"/>
  <c r="BF41" i="23"/>
  <c r="BP12" i="21" s="1"/>
  <c r="BF42" i="23"/>
  <c r="BP11" i="21" s="1"/>
  <c r="AC68" i="22"/>
  <c r="K69" i="22"/>
  <c r="AZ8" i="13"/>
  <c r="CQ39" i="11"/>
  <c r="AI42" i="13"/>
  <c r="BZ97" i="11"/>
  <c r="CQ71" i="1"/>
  <c r="CQ74" i="1"/>
  <c r="BU23" i="11"/>
  <c r="BU46" i="1" s="1"/>
  <c r="F59" i="2"/>
  <c r="S42" i="18"/>
  <c r="S48" i="18"/>
  <c r="D35" i="18" s="1"/>
  <c r="AA65" i="1"/>
  <c r="V49" i="18"/>
  <c r="V43" i="18"/>
  <c r="G24" i="18" s="1"/>
  <c r="BV27" i="21"/>
  <c r="BV54" i="21"/>
  <c r="BX10" i="21"/>
  <c r="BG27" i="21"/>
  <c r="BG54" i="21"/>
  <c r="CM27" i="21"/>
  <c r="CM54" i="21"/>
  <c r="BB10" i="21"/>
  <c r="J8" i="22"/>
  <c r="J9" i="22" s="1"/>
  <c r="J10" i="22" s="1"/>
  <c r="J11" i="22" s="1"/>
  <c r="J12" i="22" s="1"/>
  <c r="J13" i="22" s="1"/>
  <c r="J14" i="22" s="1"/>
  <c r="O7" i="22"/>
  <c r="W7" i="22"/>
  <c r="X7" i="22"/>
  <c r="CL17" i="21"/>
  <c r="CL27" i="21"/>
  <c r="CL54" i="21"/>
  <c r="K25" i="22"/>
  <c r="Q7" i="22"/>
  <c r="BR90" i="11"/>
  <c r="BR81" i="11"/>
  <c r="AQ42" i="13"/>
  <c r="CH97" i="11"/>
  <c r="CI17" i="11"/>
  <c r="CI35" i="1" s="1"/>
  <c r="G28" i="11"/>
  <c r="Z28" i="11"/>
  <c r="Z29" i="11" s="1"/>
  <c r="Z30" i="11" s="1"/>
  <c r="CI34" i="11"/>
  <c r="U126" i="11"/>
  <c r="U31" i="13"/>
  <c r="BL51" i="11"/>
  <c r="BL87" i="11" s="1"/>
  <c r="CC81" i="11"/>
  <c r="X60" i="11"/>
  <c r="V55" i="13"/>
  <c r="BM123" i="11"/>
  <c r="X55" i="11"/>
  <c r="X76" i="11" s="1"/>
  <c r="CC76" i="11"/>
  <c r="V31" i="13"/>
  <c r="BM51" i="11"/>
  <c r="BM87" i="11" s="1"/>
  <c r="X102" i="11"/>
  <c r="CC118" i="11"/>
  <c r="AE8" i="13"/>
  <c r="BV39" i="11"/>
  <c r="BF34" i="11"/>
  <c r="BF17" i="11"/>
  <c r="BF35" i="1" s="1"/>
  <c r="AA124" i="11"/>
  <c r="AA55" i="11"/>
  <c r="AA76" i="11" s="1"/>
  <c r="CL76" i="11"/>
  <c r="AE31" i="13"/>
  <c r="BV51" i="11"/>
  <c r="CM81" i="11"/>
  <c r="CM90" i="11"/>
  <c r="AF55" i="13"/>
  <c r="BW123" i="11"/>
  <c r="AF31" i="13"/>
  <c r="BW51" i="11"/>
  <c r="BW87" i="11" s="1"/>
  <c r="AO8" i="13"/>
  <c r="CF39" i="11"/>
  <c r="AO55" i="13"/>
  <c r="CF123" i="11"/>
  <c r="Y101" i="11"/>
  <c r="CF113" i="11"/>
  <c r="AX8" i="13"/>
  <c r="CO39" i="11"/>
  <c r="BY34" i="11"/>
  <c r="BY17" i="11"/>
  <c r="BY35" i="1" s="1"/>
  <c r="AX31" i="13"/>
  <c r="CO51" i="11"/>
  <c r="R42" i="13"/>
  <c r="BI97" i="11"/>
  <c r="AS27" i="24"/>
  <c r="EP28" i="24"/>
  <c r="DZ37" i="24"/>
  <c r="EA38" i="24" s="1"/>
  <c r="EB39" i="24" s="1"/>
  <c r="ED27" i="24"/>
  <c r="AO26" i="24"/>
  <c r="EY29" i="24"/>
  <c r="AV28" i="24"/>
  <c r="FA33" i="24"/>
  <c r="FB34" i="24" s="1"/>
  <c r="FB27" i="24"/>
  <c r="I11" i="9"/>
  <c r="S4" i="9"/>
  <c r="BB142" i="11"/>
  <c r="BB163" i="11"/>
  <c r="BB119" i="1"/>
  <c r="CK7" i="25"/>
  <c r="F71" i="15"/>
  <c r="CU10" i="25"/>
  <c r="CU13" i="25"/>
  <c r="CB67" i="19"/>
  <c r="CB99" i="19"/>
  <c r="BQ119" i="19"/>
  <c r="BQ121" i="19"/>
  <c r="T117" i="19"/>
  <c r="BQ120" i="19"/>
  <c r="BQ118" i="19"/>
  <c r="BR174" i="19"/>
  <c r="BR204" i="19" s="1"/>
  <c r="BR176" i="19"/>
  <c r="BR206" i="19" s="1"/>
  <c r="BR177" i="19"/>
  <c r="BR207" i="19" s="1"/>
  <c r="BR175" i="19"/>
  <c r="BR205" i="19" s="1"/>
  <c r="BR203" i="19"/>
  <c r="BP42" i="21"/>
  <c r="DM10" i="7"/>
  <c r="DM13" i="7"/>
  <c r="DM11" i="7"/>
  <c r="S9" i="24"/>
  <c r="BN11" i="24"/>
  <c r="P43" i="19"/>
  <c r="BE67" i="19"/>
  <c r="BE99" i="19"/>
  <c r="CK67" i="19"/>
  <c r="CK99" i="19"/>
  <c r="U68" i="19"/>
  <c r="BC112" i="19"/>
  <c r="BC113" i="19"/>
  <c r="BC114" i="19"/>
  <c r="BC115" i="19"/>
  <c r="CA112" i="19"/>
  <c r="CA113" i="19"/>
  <c r="CA114" i="19"/>
  <c r="CA115" i="19"/>
  <c r="CA41" i="21"/>
  <c r="BV34" i="21"/>
  <c r="BV39" i="21" s="1"/>
  <c r="BV40" i="21"/>
  <c r="P105" i="19"/>
  <c r="BE106" i="19"/>
  <c r="BE107" i="19"/>
  <c r="BE108" i="19"/>
  <c r="BE109" i="19"/>
  <c r="X68" i="19"/>
  <c r="BL115" i="19"/>
  <c r="BL112" i="19"/>
  <c r="BL113" i="19"/>
  <c r="BL114" i="19"/>
  <c r="BS118" i="19"/>
  <c r="BS119" i="19"/>
  <c r="BS121" i="19"/>
  <c r="BS120" i="19"/>
  <c r="BT41" i="21"/>
  <c r="U36" i="21"/>
  <c r="O37" i="21"/>
  <c r="BN37" i="23"/>
  <c r="U130" i="11"/>
  <c r="BO34" i="21"/>
  <c r="BO39" i="21" s="1"/>
  <c r="CD107" i="19"/>
  <c r="CD106" i="19"/>
  <c r="CD108" i="19"/>
  <c r="CD109" i="19"/>
  <c r="BE114" i="19"/>
  <c r="BE115" i="19"/>
  <c r="P111" i="19"/>
  <c r="BE112" i="19"/>
  <c r="BE113" i="19"/>
  <c r="BS248" i="19"/>
  <c r="BS278" i="19" s="1"/>
  <c r="BS249" i="19"/>
  <c r="BS279" i="19" s="1"/>
  <c r="BS251" i="19"/>
  <c r="BS281" i="19" s="1"/>
  <c r="BS250" i="19"/>
  <c r="BS280" i="19" s="1"/>
  <c r="BS277" i="19"/>
  <c r="BQ263" i="19"/>
  <c r="T263" i="19" s="1"/>
  <c r="T259" i="19"/>
  <c r="BQ260" i="19"/>
  <c r="T260" i="19" s="1"/>
  <c r="BQ262" i="19"/>
  <c r="T262" i="19" s="1"/>
  <c r="BQ261" i="19"/>
  <c r="T261" i="19" s="1"/>
  <c r="CF266" i="19"/>
  <c r="Y266" i="19" s="1"/>
  <c r="CF267" i="19"/>
  <c r="Y267" i="19" s="1"/>
  <c r="CF268" i="19"/>
  <c r="Y268" i="19" s="1"/>
  <c r="CF269" i="19"/>
  <c r="Y269" i="19" s="1"/>
  <c r="Y265" i="19"/>
  <c r="O142" i="11"/>
  <c r="O163" i="11"/>
  <c r="BX67" i="19"/>
  <c r="BX99" i="19"/>
  <c r="N105" i="19"/>
  <c r="AY106" i="19"/>
  <c r="AY108" i="19"/>
  <c r="AY107" i="19"/>
  <c r="AY109" i="19"/>
  <c r="V105" i="19"/>
  <c r="BW107" i="19"/>
  <c r="BW106" i="19"/>
  <c r="BW108" i="19"/>
  <c r="BW109" i="19"/>
  <c r="CD113" i="19"/>
  <c r="CD114" i="19"/>
  <c r="CD115" i="19"/>
  <c r="CD112" i="19"/>
  <c r="P117" i="19"/>
  <c r="BE118" i="19"/>
  <c r="BE120" i="19"/>
  <c r="BE121" i="19"/>
  <c r="BE119" i="19"/>
  <c r="X70" i="19"/>
  <c r="S51" i="19"/>
  <c r="BN173" i="19"/>
  <c r="CI254" i="19"/>
  <c r="CI255" i="19"/>
  <c r="Z253" i="19"/>
  <c r="CI256" i="19"/>
  <c r="CI257" i="19"/>
  <c r="AR37" i="23"/>
  <c r="AR42" i="23"/>
  <c r="BB11" i="21" s="1"/>
  <c r="BG114" i="11"/>
  <c r="BI34" i="21"/>
  <c r="BI39" i="21" s="1"/>
  <c r="AA71" i="15"/>
  <c r="CT11" i="7"/>
  <c r="CT13" i="7"/>
  <c r="CT10" i="7"/>
  <c r="BX107" i="19"/>
  <c r="BX106" i="19"/>
  <c r="BX109" i="19"/>
  <c r="BX108" i="19"/>
  <c r="Z90" i="15"/>
  <c r="CD118" i="19"/>
  <c r="CD119" i="19"/>
  <c r="CD121" i="19"/>
  <c r="CD120" i="19"/>
  <c r="BG177" i="19"/>
  <c r="BG207" i="19" s="1"/>
  <c r="BG174" i="19"/>
  <c r="BG204" i="19" s="1"/>
  <c r="BG176" i="19"/>
  <c r="BG206" i="19" s="1"/>
  <c r="BG203" i="19"/>
  <c r="BG175" i="19"/>
  <c r="BG205" i="19" s="1"/>
  <c r="CM177" i="19"/>
  <c r="CM174" i="19"/>
  <c r="CM203" i="19"/>
  <c r="CM175" i="19"/>
  <c r="CM176" i="19"/>
  <c r="AA179" i="19"/>
  <c r="CL181" i="19"/>
  <c r="CL180" i="19"/>
  <c r="CL182" i="19"/>
  <c r="CL183" i="19"/>
  <c r="U191" i="19"/>
  <c r="BT192" i="19"/>
  <c r="BT195" i="19"/>
  <c r="BT194" i="19"/>
  <c r="U194" i="19" s="1"/>
  <c r="BT193" i="19"/>
  <c r="BK261" i="19"/>
  <c r="BK262" i="19"/>
  <c r="R259" i="19"/>
  <c r="BK263" i="19"/>
  <c r="BK260" i="19"/>
  <c r="E259" i="19"/>
  <c r="AY62" i="15"/>
  <c r="AY60" i="15"/>
  <c r="O43" i="19"/>
  <c r="BB67" i="19"/>
  <c r="BB99" i="19"/>
  <c r="CH67" i="19"/>
  <c r="CH99" i="19"/>
  <c r="AZ112" i="19"/>
  <c r="AZ113" i="19"/>
  <c r="AZ114" i="19"/>
  <c r="AZ115" i="19"/>
  <c r="AY121" i="19"/>
  <c r="AY119" i="19"/>
  <c r="AY120" i="19"/>
  <c r="AY118" i="19"/>
  <c r="BW121" i="19"/>
  <c r="BW120" i="19"/>
  <c r="BW118" i="19"/>
  <c r="BW119" i="19"/>
  <c r="AZ176" i="19"/>
  <c r="AZ203" i="19"/>
  <c r="AZ174" i="19"/>
  <c r="AZ175" i="19"/>
  <c r="AZ177" i="19"/>
  <c r="Y51" i="19"/>
  <c r="CF173" i="19"/>
  <c r="D68" i="18"/>
  <c r="X253" i="19"/>
  <c r="CC254" i="19"/>
  <c r="CC255" i="19"/>
  <c r="CC257" i="19"/>
  <c r="CC256" i="19"/>
  <c r="BT260" i="19"/>
  <c r="BT261" i="19"/>
  <c r="BT262" i="19"/>
  <c r="BT263" i="19"/>
  <c r="U259" i="19"/>
  <c r="AT37" i="23"/>
  <c r="AT40" i="23"/>
  <c r="AT41" i="23"/>
  <c r="BD12" i="21" s="1"/>
  <c r="AT42" i="23"/>
  <c r="BD11" i="21" s="1"/>
  <c r="CI9" i="25"/>
  <c r="BX16" i="25" s="1"/>
  <c r="CC144" i="11"/>
  <c r="CC127" i="1"/>
  <c r="CC101" i="1" s="1"/>
  <c r="D54" i="15"/>
  <c r="E66" i="15" s="1"/>
  <c r="AZ56" i="15"/>
  <c r="AZ74" i="15" s="1"/>
  <c r="BL66" i="15"/>
  <c r="N54" i="15"/>
  <c r="Q52" i="19"/>
  <c r="BH179" i="19"/>
  <c r="D179" i="19" s="1"/>
  <c r="BX180" i="19"/>
  <c r="BX181" i="19"/>
  <c r="BX182" i="19"/>
  <c r="BX183" i="19"/>
  <c r="CN12" i="1"/>
  <c r="BN67" i="15"/>
  <c r="S55" i="15"/>
  <c r="W67" i="15" s="1"/>
  <c r="CD67" i="15"/>
  <c r="CC37" i="23"/>
  <c r="BL77" i="11"/>
  <c r="BL72" i="11"/>
  <c r="BI41" i="21"/>
  <c r="BO36" i="23"/>
  <c r="BY9" i="24"/>
  <c r="BY11" i="24" s="1"/>
  <c r="BY13" i="24" s="1"/>
  <c r="BY21" i="24" s="1"/>
  <c r="BY22" i="24" s="1"/>
  <c r="BY25" i="24" s="1"/>
  <c r="BY11" i="1"/>
  <c r="E105" i="15"/>
  <c r="E106" i="15" s="1"/>
  <c r="Y142" i="11"/>
  <c r="Y60" i="19"/>
  <c r="CF253" i="19"/>
  <c r="AY11" i="24"/>
  <c r="Z9" i="25"/>
  <c r="BL91" i="1"/>
  <c r="BL102" i="1"/>
  <c r="BL74" i="1"/>
  <c r="BZ29" i="11"/>
  <c r="BZ30" i="11" s="1"/>
  <c r="CE248" i="19"/>
  <c r="CE278" i="19" s="1"/>
  <c r="CE249" i="19"/>
  <c r="CE279" i="19" s="1"/>
  <c r="CE250" i="19"/>
  <c r="CE280" i="19" s="1"/>
  <c r="CE251" i="19"/>
  <c r="CE281" i="19" s="1"/>
  <c r="CE277" i="19"/>
  <c r="BF267" i="19"/>
  <c r="BF268" i="19"/>
  <c r="BF269" i="19"/>
  <c r="BF266" i="19"/>
  <c r="BW60" i="15"/>
  <c r="BW62" i="15"/>
  <c r="BG72" i="11"/>
  <c r="BG77" i="11"/>
  <c r="CJ9" i="11"/>
  <c r="CJ82" i="11" s="1"/>
  <c r="CJ52" i="1"/>
  <c r="BU74" i="1"/>
  <c r="AZ94" i="15"/>
  <c r="AZ13" i="1"/>
  <c r="X61" i="19"/>
  <c r="CC259" i="19"/>
  <c r="V41" i="15"/>
  <c r="BF74" i="1"/>
  <c r="Q43" i="15"/>
  <c r="BI94" i="15"/>
  <c r="BI13" i="1"/>
  <c r="S44" i="15"/>
  <c r="BK94" i="15"/>
  <c r="BU94" i="15"/>
  <c r="BM94" i="15"/>
  <c r="BN13" i="1"/>
  <c r="BN94" i="15"/>
  <c r="BV194" i="19"/>
  <c r="BV195" i="19"/>
  <c r="BV192" i="19"/>
  <c r="BV193" i="19"/>
  <c r="AA104" i="15"/>
  <c r="CL105" i="15"/>
  <c r="CL106" i="15" s="1"/>
  <c r="BA74" i="15"/>
  <c r="BI248" i="19"/>
  <c r="BI278" i="19" s="1"/>
  <c r="BI249" i="19"/>
  <c r="BI279" i="19" s="1"/>
  <c r="BI250" i="19"/>
  <c r="BI280" i="19" s="1"/>
  <c r="BI251" i="19"/>
  <c r="BI281" i="19" s="1"/>
  <c r="BI277" i="19"/>
  <c r="V79" i="15"/>
  <c r="V80" i="15" s="1"/>
  <c r="V74" i="15" s="1"/>
  <c r="BY80" i="15"/>
  <c r="BY74" i="15" s="1"/>
  <c r="F79" i="15"/>
  <c r="F80" i="15" s="1"/>
  <c r="CG248" i="19"/>
  <c r="CG278" i="19" s="1"/>
  <c r="CG249" i="19"/>
  <c r="CG279" i="19" s="1"/>
  <c r="CG250" i="19"/>
  <c r="CG280" i="19" s="1"/>
  <c r="CG251" i="19"/>
  <c r="CG281" i="19" s="1"/>
  <c r="CG277" i="19"/>
  <c r="P53" i="1"/>
  <c r="BO105" i="15"/>
  <c r="BO106" i="15" s="1"/>
  <c r="V53" i="19"/>
  <c r="F53" i="19"/>
  <c r="BW185" i="19"/>
  <c r="CK13" i="24"/>
  <c r="CK63" i="24"/>
  <c r="CK66" i="24" s="1"/>
  <c r="O111" i="15"/>
  <c r="O112" i="15" s="1"/>
  <c r="Y9" i="7"/>
  <c r="AC9" i="7"/>
  <c r="BM7" i="7"/>
  <c r="O7" i="7"/>
  <c r="Y9" i="25"/>
  <c r="D53" i="1"/>
  <c r="N8" i="25"/>
  <c r="BL8" i="25"/>
  <c r="V53" i="1"/>
  <c r="AB46" i="1"/>
  <c r="BM62" i="15"/>
  <c r="BM68" i="15"/>
  <c r="X111" i="15"/>
  <c r="X112" i="15" s="1"/>
  <c r="O45" i="25"/>
  <c r="O45" i="7"/>
  <c r="BC67" i="19"/>
  <c r="BC99" i="19"/>
  <c r="E43" i="19"/>
  <c r="R43" i="19"/>
  <c r="BK67" i="19"/>
  <c r="BK99" i="19"/>
  <c r="CA65" i="15"/>
  <c r="CM65" i="15"/>
  <c r="CA56" i="15"/>
  <c r="CA59" i="15" s="1"/>
  <c r="BY36" i="23"/>
  <c r="S62" i="22"/>
  <c r="CI9" i="24"/>
  <c r="Z41" i="15"/>
  <c r="CI11" i="1"/>
  <c r="Q105" i="15"/>
  <c r="Q106" i="15" s="1"/>
  <c r="CN74" i="1"/>
  <c r="CN91" i="1"/>
  <c r="CN102" i="1"/>
  <c r="G46" i="25"/>
  <c r="G46" i="7"/>
  <c r="O71" i="1"/>
  <c r="BB102" i="1"/>
  <c r="BB91" i="1"/>
  <c r="AB65" i="1"/>
  <c r="BH33" i="29"/>
  <c r="Q33" i="29" s="1"/>
  <c r="Q12" i="29"/>
  <c r="BU91" i="1"/>
  <c r="CC78" i="29"/>
  <c r="X74" i="29"/>
  <c r="AS60" i="29"/>
  <c r="EN63" i="29"/>
  <c r="C69" i="28"/>
  <c r="J91" i="38"/>
  <c r="J107" i="38"/>
  <c r="J14" i="35"/>
  <c r="J15" i="35" s="1"/>
  <c r="J82" i="38"/>
  <c r="J98" i="38"/>
  <c r="J116" i="38"/>
  <c r="J18" i="37"/>
  <c r="N75" i="29"/>
  <c r="AY79" i="29"/>
  <c r="D61" i="28"/>
  <c r="D45" i="28"/>
  <c r="AG55" i="29"/>
  <c r="DD58" i="29"/>
  <c r="L60" i="29"/>
  <c r="AT60" i="29"/>
  <c r="EQ63" i="29"/>
  <c r="AL96" i="29"/>
  <c r="S31" i="36"/>
  <c r="AF106" i="29"/>
  <c r="AR55" i="29"/>
  <c r="EK58" i="29"/>
  <c r="K58" i="29" s="1"/>
  <c r="AJ75" i="29"/>
  <c r="G96" i="29"/>
  <c r="M91" i="38"/>
  <c r="M107" i="38"/>
  <c r="M14" i="35"/>
  <c r="M15" i="35" s="1"/>
  <c r="Q16" i="35" s="1"/>
  <c r="M18" i="37"/>
  <c r="M82" i="38"/>
  <c r="M98" i="38"/>
  <c r="M116" i="38"/>
  <c r="I28" i="36"/>
  <c r="I32" i="36"/>
  <c r="EJ24" i="29"/>
  <c r="EJ31" i="29" s="1"/>
  <c r="EJ70" i="29"/>
  <c r="F116" i="38"/>
  <c r="F74" i="38"/>
  <c r="F91" i="38"/>
  <c r="F107" i="38"/>
  <c r="F14" i="35"/>
  <c r="F15" i="35" s="1"/>
  <c r="F82" i="38"/>
  <c r="F98" i="38"/>
  <c r="L157" i="29"/>
  <c r="L158" i="29" s="1"/>
  <c r="CM74" i="29"/>
  <c r="CM78" i="29" s="1"/>
  <c r="BE18" i="29"/>
  <c r="P18" i="29" s="1"/>
  <c r="P79" i="29"/>
  <c r="H10" i="35"/>
  <c r="H34" i="37"/>
  <c r="AD106" i="29"/>
  <c r="AJ118" i="29"/>
  <c r="AE38" i="36"/>
  <c r="BX11" i="29"/>
  <c r="BX32" i="29" s="1"/>
  <c r="BY39" i="29" s="1"/>
  <c r="BX81" i="29"/>
  <c r="BX85" i="29" s="1"/>
  <c r="DV24" i="29"/>
  <c r="AM24" i="29" s="1"/>
  <c r="AM68" i="29"/>
  <c r="AH34" i="38"/>
  <c r="AB97" i="36"/>
  <c r="AI97" i="36" s="1"/>
  <c r="AB98" i="36"/>
  <c r="AI98" i="36" s="1"/>
  <c r="AI95" i="36"/>
  <c r="DC75" i="29"/>
  <c r="DC79" i="29" s="1"/>
  <c r="DC18" i="29" s="1"/>
  <c r="AI108" i="29"/>
  <c r="BB80" i="29"/>
  <c r="AF49" i="37"/>
  <c r="K21" i="36"/>
  <c r="DV17" i="29"/>
  <c r="AM17" i="29" s="1"/>
  <c r="AM63" i="29"/>
  <c r="CV75" i="29"/>
  <c r="CV79" i="29" s="1"/>
  <c r="CV18" i="29" s="1"/>
  <c r="DH70" i="29"/>
  <c r="EN24" i="29"/>
  <c r="AS24" i="29" s="1"/>
  <c r="AS68" i="29"/>
  <c r="Z76" i="29"/>
  <c r="CI80" i="29"/>
  <c r="EU76" i="29"/>
  <c r="K16" i="36"/>
  <c r="DJ10" i="29"/>
  <c r="AD138" i="36"/>
  <c r="AD139" i="36" s="1"/>
  <c r="DP10" i="29"/>
  <c r="AK58" i="29"/>
  <c r="K60" i="29"/>
  <c r="DE75" i="29"/>
  <c r="DE79" i="29" s="1"/>
  <c r="DE18" i="29" s="1"/>
  <c r="AD108" i="29"/>
  <c r="T47" i="38"/>
  <c r="U46" i="38"/>
  <c r="T36" i="36"/>
  <c r="T108" i="36"/>
  <c r="S87" i="37"/>
  <c r="AG107" i="36"/>
  <c r="DY10" i="29"/>
  <c r="AN58" i="29"/>
  <c r="U74" i="29"/>
  <c r="BT78" i="29"/>
  <c r="AS74" i="29"/>
  <c r="X14" i="34"/>
  <c r="S25" i="37"/>
  <c r="AF25" i="37" s="1"/>
  <c r="Y22" i="34" s="1"/>
  <c r="AF46" i="37"/>
  <c r="CL25" i="29"/>
  <c r="AA25" i="29" s="1"/>
  <c r="AA80" i="29"/>
  <c r="DK57" i="29"/>
  <c r="DL57" i="29" s="1"/>
  <c r="CL74" i="29"/>
  <c r="AJ98" i="29"/>
  <c r="AO106" i="29"/>
  <c r="AH108" i="29"/>
  <c r="X25" i="37"/>
  <c r="DA17" i="29"/>
  <c r="AF17" i="29" s="1"/>
  <c r="AF63" i="29"/>
  <c r="P32" i="34"/>
  <c r="AF14" i="38"/>
  <c r="F16" i="36"/>
  <c r="J17" i="36" s="1"/>
  <c r="U38" i="18"/>
  <c r="AX41" i="23"/>
  <c r="BH12" i="21" s="1"/>
  <c r="AX42" i="23"/>
  <c r="BH11" i="21" s="1"/>
  <c r="CD41" i="23"/>
  <c r="CN12" i="21" s="1"/>
  <c r="CD42" i="23"/>
  <c r="CN11" i="21" s="1"/>
  <c r="BM40" i="23"/>
  <c r="BM42" i="23"/>
  <c r="BW11" i="21" s="1"/>
  <c r="BT43" i="23"/>
  <c r="CD10" i="21"/>
  <c r="P12" i="21"/>
  <c r="BE27" i="21"/>
  <c r="BE54" i="21"/>
  <c r="BR27" i="21"/>
  <c r="BR17" i="21"/>
  <c r="BR54" i="21"/>
  <c r="BU10" i="21"/>
  <c r="AY55" i="13"/>
  <c r="CP123" i="11"/>
  <c r="BK17" i="11"/>
  <c r="BK35" i="1" s="1"/>
  <c r="R28" i="11"/>
  <c r="E28" i="11"/>
  <c r="BK34" i="11"/>
  <c r="E56" i="11"/>
  <c r="BP91" i="11" s="1"/>
  <c r="R56" i="11"/>
  <c r="BL34" i="11"/>
  <c r="BL17" i="11"/>
  <c r="BL35" i="1" s="1"/>
  <c r="CJ91" i="11"/>
  <c r="CK34" i="11"/>
  <c r="CK17" i="11"/>
  <c r="CK35" i="1" s="1"/>
  <c r="P102" i="11"/>
  <c r="P118" i="11" s="1"/>
  <c r="BE118" i="11"/>
  <c r="CT34" i="11"/>
  <c r="CT17" i="11"/>
  <c r="CT35" i="1" s="1"/>
  <c r="CT91" i="11"/>
  <c r="S102" i="11"/>
  <c r="S118" i="11" s="1"/>
  <c r="BN118" i="11"/>
  <c r="H55" i="13"/>
  <c r="AY123" i="11"/>
  <c r="BA34" i="11"/>
  <c r="BA17" i="11"/>
  <c r="BA35" i="1" s="1"/>
  <c r="DK42" i="24"/>
  <c r="DL43" i="24" s="1"/>
  <c r="DM44" i="24" s="1"/>
  <c r="CN248" i="19"/>
  <c r="CN249" i="19"/>
  <c r="CN250" i="19"/>
  <c r="CN251" i="19"/>
  <c r="CN277" i="19"/>
  <c r="BN260" i="19"/>
  <c r="S260" i="19" s="1"/>
  <c r="S259" i="19"/>
  <c r="BN261" i="19"/>
  <c r="S261" i="19" s="1"/>
  <c r="BN262" i="19"/>
  <c r="S262" i="19" s="1"/>
  <c r="BN263" i="19"/>
  <c r="S263" i="19" s="1"/>
  <c r="BU114" i="19"/>
  <c r="BU115" i="19"/>
  <c r="BU113" i="19"/>
  <c r="BU112" i="19"/>
  <c r="CF114" i="11"/>
  <c r="Y112" i="11"/>
  <c r="Y114" i="11" s="1"/>
  <c r="BR34" i="21"/>
  <c r="BR39" i="21" s="1"/>
  <c r="BV249" i="19"/>
  <c r="BV250" i="19"/>
  <c r="BV251" i="19"/>
  <c r="BV248" i="19"/>
  <c r="BV277" i="19"/>
  <c r="CT121" i="1"/>
  <c r="V37" i="21"/>
  <c r="F37" i="21"/>
  <c r="BN26" i="24"/>
  <c r="U29" i="11"/>
  <c r="U30" i="11" s="1"/>
  <c r="CG69" i="19"/>
  <c r="CG111" i="19"/>
  <c r="BO56" i="15"/>
  <c r="CE74" i="1"/>
  <c r="CE91" i="1"/>
  <c r="CE102" i="1"/>
  <c r="CP101" i="1"/>
  <c r="T71" i="1"/>
  <c r="BQ91" i="1"/>
  <c r="BQ102" i="1"/>
  <c r="J46" i="7"/>
  <c r="J46" i="25"/>
  <c r="N12" i="29"/>
  <c r="AY33" i="29"/>
  <c r="BE68" i="1"/>
  <c r="P63" i="1"/>
  <c r="L65" i="29"/>
  <c r="AT65" i="29"/>
  <c r="EQ68" i="29"/>
  <c r="T38" i="18"/>
  <c r="AH57" i="2"/>
  <c r="CD65" i="1"/>
  <c r="P65" i="1"/>
  <c r="R57" i="2"/>
  <c r="BN65" i="1"/>
  <c r="W49" i="18"/>
  <c r="W43" i="18"/>
  <c r="H24" i="18" s="1"/>
  <c r="BZ89" i="11"/>
  <c r="W61" i="11"/>
  <c r="K8" i="13"/>
  <c r="BB39" i="11"/>
  <c r="K55" i="13"/>
  <c r="BB123" i="11"/>
  <c r="BB149" i="11"/>
  <c r="O130" i="11"/>
  <c r="K31" i="13"/>
  <c r="BB51" i="11"/>
  <c r="Z56" i="11"/>
  <c r="G56" i="11"/>
  <c r="CS91" i="11" s="1"/>
  <c r="G98" i="11"/>
  <c r="Z98" i="11"/>
  <c r="CJ34" i="11"/>
  <c r="CJ17" i="11"/>
  <c r="CJ35" i="1" s="1"/>
  <c r="V8" i="13"/>
  <c r="BM39" i="11"/>
  <c r="X124" i="11"/>
  <c r="X52" i="11"/>
  <c r="BB42" i="13"/>
  <c r="CS97" i="11"/>
  <c r="AA60" i="11"/>
  <c r="AA81" i="11" s="1"/>
  <c r="CL81" i="11"/>
  <c r="CL90" i="11"/>
  <c r="AE55" i="13"/>
  <c r="BV123" i="11"/>
  <c r="BV148" i="11" s="1"/>
  <c r="BF91" i="11"/>
  <c r="AA52" i="11"/>
  <c r="CL118" i="11"/>
  <c r="AA102" i="11"/>
  <c r="AF8" i="13"/>
  <c r="BW39" i="11"/>
  <c r="BG34" i="11"/>
  <c r="BG17" i="11"/>
  <c r="BG35" i="1" s="1"/>
  <c r="BW149" i="11"/>
  <c r="V130" i="11"/>
  <c r="F130" i="11"/>
  <c r="BG91" i="11"/>
  <c r="V101" i="11"/>
  <c r="V113" i="11" s="1"/>
  <c r="F101" i="11"/>
  <c r="BW113" i="11"/>
  <c r="BP34" i="11"/>
  <c r="BP17" i="11"/>
  <c r="BP35" i="1" s="1"/>
  <c r="Y130" i="11"/>
  <c r="CF149" i="11"/>
  <c r="AO31" i="13"/>
  <c r="CF51" i="11"/>
  <c r="I42" i="13"/>
  <c r="AZ97" i="11"/>
  <c r="AZ117" i="11" s="1"/>
  <c r="AX55" i="13"/>
  <c r="CO123" i="11"/>
  <c r="CO149" i="11"/>
  <c r="AB130" i="11"/>
  <c r="DL28" i="24"/>
  <c r="P15" i="24"/>
  <c r="I27" i="24"/>
  <c r="DN32" i="24"/>
  <c r="DO33" i="24" s="1"/>
  <c r="DP34" i="24" s="1"/>
  <c r="DH36" i="24"/>
  <c r="DI37" i="24" s="1"/>
  <c r="DJ38" i="24" s="1"/>
  <c r="DX29" i="24"/>
  <c r="CJ156" i="19"/>
  <c r="CJ180" i="19" s="1"/>
  <c r="G40" i="11"/>
  <c r="G45" i="11" s="1"/>
  <c r="EQ44" i="11"/>
  <c r="EY44" i="11"/>
  <c r="ER44" i="11"/>
  <c r="EZ44" i="11"/>
  <c r="ES44" i="11"/>
  <c r="FA44" i="11"/>
  <c r="ET44" i="11"/>
  <c r="FB44" i="11"/>
  <c r="EU44" i="11"/>
  <c r="EV44" i="11"/>
  <c r="EX44" i="11"/>
  <c r="EW44" i="11"/>
  <c r="AS57" i="2"/>
  <c r="U15" i="24"/>
  <c r="BT65" i="11"/>
  <c r="E65" i="11" s="1"/>
  <c r="H59" i="2"/>
  <c r="CH27" i="21"/>
  <c r="CT17" i="21"/>
  <c r="CH17" i="21"/>
  <c r="CH54" i="21"/>
  <c r="CK26" i="21"/>
  <c r="CK49" i="21"/>
  <c r="BN41" i="23"/>
  <c r="BX12" i="21" s="1"/>
  <c r="BN42" i="23"/>
  <c r="BX11" i="21" s="1"/>
  <c r="AW40" i="23"/>
  <c r="AW42" i="23"/>
  <c r="BG11" i="21" s="1"/>
  <c r="CC40" i="23"/>
  <c r="CC42" i="23"/>
  <c r="CM11" i="21" s="1"/>
  <c r="S43" i="18"/>
  <c r="D24" i="18" s="1"/>
  <c r="BJ10" i="21"/>
  <c r="CA43" i="23"/>
  <c r="CK10" i="21"/>
  <c r="K16" i="22"/>
  <c r="N7" i="22"/>
  <c r="N44" i="22"/>
  <c r="J8" i="13"/>
  <c r="BA39" i="11"/>
  <c r="S8" i="13"/>
  <c r="BJ39" i="11"/>
  <c r="BZ90" i="11"/>
  <c r="W60" i="11"/>
  <c r="W81" i="11" s="1"/>
  <c r="BZ81" i="11"/>
  <c r="CP89" i="11"/>
  <c r="S55" i="13"/>
  <c r="BJ123" i="11"/>
  <c r="BJ148" i="11" s="1"/>
  <c r="W124" i="11"/>
  <c r="BJ149" i="11"/>
  <c r="W55" i="11"/>
  <c r="W76" i="11" s="1"/>
  <c r="BZ76" i="11"/>
  <c r="CP88" i="11"/>
  <c r="S31" i="13"/>
  <c r="BJ51" i="11"/>
  <c r="BZ52" i="11"/>
  <c r="W102" i="11"/>
  <c r="BZ118" i="11"/>
  <c r="AY42" i="13"/>
  <c r="CP97" i="11"/>
  <c r="CP117" i="11" s="1"/>
  <c r="E60" i="11"/>
  <c r="E81" i="11" s="1"/>
  <c r="BK90" i="11"/>
  <c r="BK81" i="11"/>
  <c r="R60" i="11"/>
  <c r="R81" i="11" s="1"/>
  <c r="CA89" i="11"/>
  <c r="CQ17" i="11"/>
  <c r="CQ35" i="1" s="1"/>
  <c r="CQ34" i="11"/>
  <c r="E124" i="11"/>
  <c r="R124" i="11"/>
  <c r="R55" i="11"/>
  <c r="R76" i="11" s="1"/>
  <c r="E55" i="11"/>
  <c r="E76" i="11" s="1"/>
  <c r="BK76" i="11"/>
  <c r="CA88" i="11"/>
  <c r="BK52" i="11"/>
  <c r="E102" i="11"/>
  <c r="R102" i="11"/>
  <c r="BK118" i="11"/>
  <c r="AJ42" i="13"/>
  <c r="CA97" i="11"/>
  <c r="BL90" i="11"/>
  <c r="BL81" i="11"/>
  <c r="CB89" i="11"/>
  <c r="CR34" i="11"/>
  <c r="CR17" i="11"/>
  <c r="CR35" i="1" s="1"/>
  <c r="AC28" i="11"/>
  <c r="BD91" i="11"/>
  <c r="AC31" i="13"/>
  <c r="BT51" i="11"/>
  <c r="BT87" i="11" s="1"/>
  <c r="CJ52" i="11"/>
  <c r="U101" i="11"/>
  <c r="U113" i="11" s="1"/>
  <c r="BT113" i="11"/>
  <c r="CJ118" i="11"/>
  <c r="AD8" i="13"/>
  <c r="BU39" i="11"/>
  <c r="P28" i="11"/>
  <c r="BE34" i="11"/>
  <c r="BE17" i="11"/>
  <c r="BE35" i="1" s="1"/>
  <c r="AD55" i="13"/>
  <c r="BU123" i="11"/>
  <c r="BE141" i="11"/>
  <c r="P129" i="11"/>
  <c r="P141" i="11" s="1"/>
  <c r="BU149" i="11"/>
  <c r="P56" i="11"/>
  <c r="BE91" i="11"/>
  <c r="P91" i="11" s="1"/>
  <c r="AD31" i="13"/>
  <c r="BU51" i="11"/>
  <c r="BU87" i="11" s="1"/>
  <c r="CK52" i="11"/>
  <c r="CK118" i="11"/>
  <c r="P98" i="11"/>
  <c r="AM8" i="13"/>
  <c r="CD39" i="11"/>
  <c r="CT81" i="11"/>
  <c r="CT90" i="11"/>
  <c r="BN34" i="11"/>
  <c r="BN17" i="11"/>
  <c r="BN35" i="1" s="1"/>
  <c r="S28" i="11"/>
  <c r="AM55" i="13"/>
  <c r="CD123" i="11"/>
  <c r="CD148" i="11" s="1"/>
  <c r="S129" i="11"/>
  <c r="S141" i="11" s="1"/>
  <c r="BN141" i="11"/>
  <c r="CD149" i="11"/>
  <c r="S56" i="11"/>
  <c r="BN91" i="11"/>
  <c r="AM31" i="13"/>
  <c r="CD51" i="11"/>
  <c r="CD87" i="11" s="1"/>
  <c r="CT52" i="11"/>
  <c r="CT118" i="11"/>
  <c r="S98" i="11"/>
  <c r="AN8" i="13"/>
  <c r="CE39" i="11"/>
  <c r="D61" i="11"/>
  <c r="N61" i="11"/>
  <c r="AY89" i="11"/>
  <c r="BO34" i="11"/>
  <c r="BO17" i="11"/>
  <c r="BO35" i="1" s="1"/>
  <c r="AN55" i="13"/>
  <c r="AN58" i="13" s="1"/>
  <c r="AN59" i="13" s="1"/>
  <c r="AN60" i="13" s="1"/>
  <c r="CE123" i="11"/>
  <c r="D126" i="11"/>
  <c r="EQ11" i="25" s="1"/>
  <c r="N126" i="11"/>
  <c r="CE149" i="11"/>
  <c r="D57" i="11"/>
  <c r="N57" i="11"/>
  <c r="AY88" i="11"/>
  <c r="BO91" i="11"/>
  <c r="AN31" i="13"/>
  <c r="CE51" i="11"/>
  <c r="H42" i="13"/>
  <c r="AY97" i="11"/>
  <c r="AW8" i="13"/>
  <c r="CN39" i="11"/>
  <c r="Q61" i="11"/>
  <c r="BH89" i="11"/>
  <c r="BX34" i="11"/>
  <c r="BX17" i="11"/>
  <c r="BX35" i="1" s="1"/>
  <c r="AW55" i="13"/>
  <c r="AW58" i="13" s="1"/>
  <c r="AW59" i="13" s="1"/>
  <c r="AW60" i="13" s="1"/>
  <c r="CN123" i="11"/>
  <c r="CN148" i="11" s="1"/>
  <c r="Q126" i="11"/>
  <c r="CN149" i="11"/>
  <c r="Q57" i="11"/>
  <c r="BH88" i="11"/>
  <c r="AW31" i="13"/>
  <c r="CN51" i="11"/>
  <c r="CN87" i="11" s="1"/>
  <c r="Q42" i="13"/>
  <c r="BH97" i="11"/>
  <c r="BH117" i="11" s="1"/>
  <c r="BA90" i="11"/>
  <c r="BA81" i="11"/>
  <c r="BQ89" i="11"/>
  <c r="T61" i="11"/>
  <c r="CG34" i="11"/>
  <c r="CG17" i="11"/>
  <c r="CG35" i="1" s="1"/>
  <c r="T126" i="11"/>
  <c r="T57" i="11"/>
  <c r="BQ88" i="11"/>
  <c r="DX10" i="24"/>
  <c r="DY10" i="24"/>
  <c r="DZ10" i="24"/>
  <c r="DS10" i="24"/>
  <c r="EA10" i="24"/>
  <c r="DT10" i="24"/>
  <c r="EB10" i="24"/>
  <c r="DV10" i="24"/>
  <c r="ED10" i="24"/>
  <c r="K10" i="24"/>
  <c r="DW10" i="24"/>
  <c r="EC10" i="24"/>
  <c r="DU10" i="24"/>
  <c r="AB101" i="11"/>
  <c r="CO113" i="11"/>
  <c r="EQ27" i="24"/>
  <c r="H26" i="24"/>
  <c r="CW27" i="24"/>
  <c r="CX28" i="24" s="1"/>
  <c r="DW32" i="24"/>
  <c r="DX33" i="24" s="1"/>
  <c r="DY34" i="24" s="1"/>
  <c r="Z42" i="13"/>
  <c r="BQ97" i="11"/>
  <c r="DH31" i="24"/>
  <c r="DI32" i="24" s="1"/>
  <c r="DJ33" i="24" s="1"/>
  <c r="AS26" i="24"/>
  <c r="AI27" i="24"/>
  <c r="DH33" i="24"/>
  <c r="DI34" i="24" s="1"/>
  <c r="DJ35" i="24" s="1"/>
  <c r="EO31" i="24"/>
  <c r="EP32" i="24" s="1"/>
  <c r="EQ33" i="24" s="1"/>
  <c r="CS34" i="24"/>
  <c r="CT35" i="24" s="1"/>
  <c r="CU36" i="24" s="1"/>
  <c r="BI117" i="11"/>
  <c r="EL31" i="24"/>
  <c r="ER38" i="24"/>
  <c r="ES39" i="24" s="1"/>
  <c r="ET40" i="24" s="1"/>
  <c r="T9" i="9"/>
  <c r="T6" i="9"/>
  <c r="T7" i="9"/>
  <c r="J31" i="9"/>
  <c r="J4" i="9"/>
  <c r="M4" i="9" s="1"/>
  <c r="DD230" i="19"/>
  <c r="R90" i="11"/>
  <c r="BW142" i="11"/>
  <c r="BW163" i="11"/>
  <c r="BW119" i="1"/>
  <c r="BZ142" i="11"/>
  <c r="BZ163" i="11"/>
  <c r="BZ119" i="1"/>
  <c r="AC40" i="11"/>
  <c r="AC45" i="11" s="1"/>
  <c r="N45" i="11"/>
  <c r="O46" i="1"/>
  <c r="CH8" i="25"/>
  <c r="CB40" i="21"/>
  <c r="CB34" i="21"/>
  <c r="CB39" i="21" s="1"/>
  <c r="BK106" i="19"/>
  <c r="R105" i="19"/>
  <c r="BK108" i="19"/>
  <c r="BK109" i="19"/>
  <c r="BK107" i="19"/>
  <c r="CI106" i="19"/>
  <c r="Z105" i="19"/>
  <c r="CI108" i="19"/>
  <c r="CI109" i="19"/>
  <c r="CI107" i="19"/>
  <c r="CH112" i="19"/>
  <c r="CH113" i="19"/>
  <c r="CH115" i="19"/>
  <c r="CH114" i="19"/>
  <c r="T70" i="19"/>
  <c r="CI50" i="19"/>
  <c r="G18" i="15"/>
  <c r="CI25" i="15"/>
  <c r="Z18" i="15"/>
  <c r="Z23" i="15" s="1"/>
  <c r="CI23" i="15"/>
  <c r="CI26" i="15"/>
  <c r="CI91" i="15"/>
  <c r="BR41" i="21"/>
  <c r="Y185" i="19"/>
  <c r="CF186" i="19"/>
  <c r="Y186" i="19" s="1"/>
  <c r="CF187" i="19"/>
  <c r="Y187" i="19" s="1"/>
  <c r="CF189" i="19"/>
  <c r="Y189" i="19" s="1"/>
  <c r="CF188" i="19"/>
  <c r="Y188" i="19" s="1"/>
  <c r="AY193" i="19"/>
  <c r="D191" i="19"/>
  <c r="AY194" i="19"/>
  <c r="N191" i="19"/>
  <c r="AY195" i="19"/>
  <c r="AY192" i="19"/>
  <c r="BX248" i="19"/>
  <c r="BX278" i="19" s="1"/>
  <c r="BX249" i="19"/>
  <c r="BX279" i="19" s="1"/>
  <c r="BX250" i="19"/>
  <c r="BX280" i="19" s="1"/>
  <c r="BX251" i="19"/>
  <c r="BX281" i="19" s="1"/>
  <c r="BX277" i="19"/>
  <c r="N253" i="19"/>
  <c r="AY254" i="19"/>
  <c r="D253" i="19"/>
  <c r="AY256" i="19"/>
  <c r="AY255" i="19"/>
  <c r="AY257" i="19"/>
  <c r="BD37" i="23"/>
  <c r="BD41" i="23"/>
  <c r="BN12" i="21" s="1"/>
  <c r="BD42" i="23"/>
  <c r="BN11" i="21" s="1"/>
  <c r="CB42" i="23"/>
  <c r="CL11" i="21" s="1"/>
  <c r="CB37" i="23"/>
  <c r="ER10" i="7"/>
  <c r="BE34" i="21"/>
  <c r="P35" i="21"/>
  <c r="BE40" i="21"/>
  <c r="CK34" i="21"/>
  <c r="CK39" i="21" s="1"/>
  <c r="CK40" i="21"/>
  <c r="CH118" i="19"/>
  <c r="CH120" i="19"/>
  <c r="CH121" i="19"/>
  <c r="CH119" i="19"/>
  <c r="BC175" i="19"/>
  <c r="BC205" i="19" s="1"/>
  <c r="BC176" i="19"/>
  <c r="BC206" i="19" s="1"/>
  <c r="BC177" i="19"/>
  <c r="BC207" i="19" s="1"/>
  <c r="BC174" i="19"/>
  <c r="BC204" i="19" s="1"/>
  <c r="BC203" i="19"/>
  <c r="Z51" i="19"/>
  <c r="CI173" i="19"/>
  <c r="X114" i="11"/>
  <c r="CD67" i="19"/>
  <c r="CD99" i="19"/>
  <c r="DE10" i="25"/>
  <c r="DE11" i="25" s="1"/>
  <c r="F72" i="15"/>
  <c r="DE13" i="25"/>
  <c r="CB174" i="19"/>
  <c r="CB204" i="19" s="1"/>
  <c r="CB175" i="19"/>
  <c r="CB205" i="19" s="1"/>
  <c r="CB176" i="19"/>
  <c r="CB206" i="19" s="1"/>
  <c r="CB177" i="19"/>
  <c r="CB207" i="19" s="1"/>
  <c r="CB203" i="19"/>
  <c r="BJ248" i="19"/>
  <c r="BJ278" i="19" s="1"/>
  <c r="BJ249" i="19"/>
  <c r="BJ279" i="19" s="1"/>
  <c r="BJ250" i="19"/>
  <c r="BJ280" i="19" s="1"/>
  <c r="BJ251" i="19"/>
  <c r="BJ281" i="19" s="1"/>
  <c r="BJ277" i="19"/>
  <c r="Q259" i="19"/>
  <c r="BH260" i="19"/>
  <c r="Q260" i="19" s="1"/>
  <c r="BH261" i="19"/>
  <c r="Q261" i="19" s="1"/>
  <c r="BH263" i="19"/>
  <c r="Q263" i="19" s="1"/>
  <c r="BH262" i="19"/>
  <c r="Q262" i="19" s="1"/>
  <c r="CF9" i="24"/>
  <c r="CB142" i="11"/>
  <c r="V43" i="19"/>
  <c r="F43" i="19"/>
  <c r="BW67" i="19"/>
  <c r="BW99" i="19"/>
  <c r="BF106" i="19"/>
  <c r="BF107" i="19"/>
  <c r="BF108" i="19"/>
  <c r="BF109" i="19"/>
  <c r="BL118" i="19"/>
  <c r="BL119" i="19"/>
  <c r="BL120" i="19"/>
  <c r="BL121" i="19"/>
  <c r="BU174" i="19"/>
  <c r="BU204" i="19" s="1"/>
  <c r="BU175" i="19"/>
  <c r="BU205" i="19" s="1"/>
  <c r="BU176" i="19"/>
  <c r="BU206" i="19" s="1"/>
  <c r="BU177" i="19"/>
  <c r="BU207" i="19" s="1"/>
  <c r="BU203" i="19"/>
  <c r="DD11" i="7"/>
  <c r="BK188" i="19"/>
  <c r="R185" i="19"/>
  <c r="BK189" i="19"/>
  <c r="BK186" i="19"/>
  <c r="E185" i="19"/>
  <c r="BK187" i="19"/>
  <c r="BB192" i="19"/>
  <c r="O192" i="19" s="1"/>
  <c r="O168" i="19" s="1"/>
  <c r="O191" i="19"/>
  <c r="BB193" i="19"/>
  <c r="O193" i="19" s="1"/>
  <c r="O169" i="19" s="1"/>
  <c r="BB194" i="19"/>
  <c r="O194" i="19" s="1"/>
  <c r="O170" i="19" s="1"/>
  <c r="BB195" i="19"/>
  <c r="O195" i="19" s="1"/>
  <c r="BS42" i="21"/>
  <c r="BZ254" i="19"/>
  <c r="W254" i="19" s="1"/>
  <c r="W253" i="19"/>
  <c r="BZ255" i="19"/>
  <c r="W255" i="19" s="1"/>
  <c r="BZ256" i="19"/>
  <c r="W256" i="19" s="1"/>
  <c r="BZ257" i="19"/>
  <c r="W257" i="19" s="1"/>
  <c r="CJ142" i="11"/>
  <c r="BX40" i="21"/>
  <c r="BX34" i="21"/>
  <c r="BX39" i="21" s="1"/>
  <c r="N68" i="19"/>
  <c r="BF113" i="19"/>
  <c r="BF114" i="19"/>
  <c r="BF115" i="19"/>
  <c r="BF112" i="19"/>
  <c r="S36" i="21"/>
  <c r="BN41" i="21"/>
  <c r="Z191" i="19"/>
  <c r="U59" i="19"/>
  <c r="BT247" i="19"/>
  <c r="BX37" i="23"/>
  <c r="BX42" i="23"/>
  <c r="CH11" i="21" s="1"/>
  <c r="F112" i="11"/>
  <c r="T43" i="19"/>
  <c r="BQ99" i="19"/>
  <c r="BQ67" i="19"/>
  <c r="AZ107" i="19"/>
  <c r="AZ106" i="19"/>
  <c r="AZ108" i="19"/>
  <c r="AZ109" i="19"/>
  <c r="BX68" i="19"/>
  <c r="V68" i="19" s="1"/>
  <c r="AY112" i="19"/>
  <c r="AY113" i="19"/>
  <c r="AY114" i="19"/>
  <c r="N111" i="19"/>
  <c r="AY115" i="19"/>
  <c r="BW69" i="19"/>
  <c r="BF118" i="19"/>
  <c r="BF120" i="19"/>
  <c r="BF121" i="19"/>
  <c r="BF119" i="19"/>
  <c r="BG41" i="21"/>
  <c r="CM41" i="21"/>
  <c r="U54" i="19"/>
  <c r="BU250" i="19"/>
  <c r="BU251" i="19"/>
  <c r="BU281" i="19" s="1"/>
  <c r="BU249" i="19"/>
  <c r="BU248" i="19"/>
  <c r="BU277" i="19"/>
  <c r="BT254" i="19"/>
  <c r="BT255" i="19"/>
  <c r="U253" i="19"/>
  <c r="BT256" i="19"/>
  <c r="BT257" i="19"/>
  <c r="BZ266" i="19"/>
  <c r="W265" i="19"/>
  <c r="BZ267" i="19"/>
  <c r="BZ268" i="19"/>
  <c r="BZ269" i="19"/>
  <c r="AB112" i="11"/>
  <c r="O35" i="21"/>
  <c r="BB40" i="21"/>
  <c r="BB34" i="21"/>
  <c r="BB42" i="21" s="1"/>
  <c r="CH40" i="21"/>
  <c r="CH34" i="21"/>
  <c r="CH39" i="21" s="1"/>
  <c r="CF112" i="19"/>
  <c r="CF113" i="19"/>
  <c r="CF114" i="19"/>
  <c r="CF115" i="19"/>
  <c r="Y111" i="19"/>
  <c r="Y36" i="21"/>
  <c r="BW180" i="19"/>
  <c r="BW181" i="19"/>
  <c r="V179" i="19"/>
  <c r="BW183" i="19"/>
  <c r="F179" i="19"/>
  <c r="BW182" i="19"/>
  <c r="CM183" i="19"/>
  <c r="BE195" i="19"/>
  <c r="P191" i="19"/>
  <c r="BE193" i="19"/>
  <c r="BE194" i="19"/>
  <c r="BE192" i="19"/>
  <c r="BF249" i="19"/>
  <c r="BF250" i="19"/>
  <c r="BF251" i="19"/>
  <c r="BF248" i="19"/>
  <c r="BF277" i="19"/>
  <c r="AA59" i="19"/>
  <c r="CL247" i="19"/>
  <c r="U61" i="19"/>
  <c r="BK266" i="19"/>
  <c r="BK267" i="19"/>
  <c r="R265" i="19"/>
  <c r="BK269" i="19"/>
  <c r="BK268" i="19"/>
  <c r="BM26" i="24"/>
  <c r="BN27" i="24" s="1"/>
  <c r="BZ37" i="23"/>
  <c r="BZ40" i="23"/>
  <c r="BZ42" i="23"/>
  <c r="CJ11" i="21" s="1"/>
  <c r="BZ41" i="23"/>
  <c r="CJ12" i="21" s="1"/>
  <c r="R163" i="11"/>
  <c r="BA142" i="11"/>
  <c r="AZ12" i="1"/>
  <c r="CN180" i="19"/>
  <c r="CN181" i="19"/>
  <c r="CN182" i="19"/>
  <c r="CN183" i="19"/>
  <c r="S60" i="19"/>
  <c r="BN253" i="19"/>
  <c r="CD254" i="19"/>
  <c r="CD257" i="19"/>
  <c r="CD255" i="19"/>
  <c r="CD256" i="19"/>
  <c r="AW37" i="23"/>
  <c r="Q29" i="11"/>
  <c r="Q30" i="11" s="1"/>
  <c r="CN163" i="11"/>
  <c r="AQ36" i="23"/>
  <c r="BA9" i="24"/>
  <c r="BA11" i="24" s="1"/>
  <c r="BA13" i="24" s="1"/>
  <c r="BA11" i="1"/>
  <c r="BQ66" i="15"/>
  <c r="T54" i="15"/>
  <c r="BQ56" i="15"/>
  <c r="CC66" i="15"/>
  <c r="BY175" i="19"/>
  <c r="BY205" i="19" s="1"/>
  <c r="BY177" i="19"/>
  <c r="BY207" i="19" s="1"/>
  <c r="BY203" i="19"/>
  <c r="BY174" i="19"/>
  <c r="BY204" i="19" s="1"/>
  <c r="BY176" i="19"/>
  <c r="BY206" i="19" s="1"/>
  <c r="D28" i="1"/>
  <c r="BL7" i="25"/>
  <c r="N7" i="25"/>
  <c r="T29" i="11"/>
  <c r="T30" i="11" s="1"/>
  <c r="BV142" i="11"/>
  <c r="BP255" i="19"/>
  <c r="BP256" i="19"/>
  <c r="BP257" i="19"/>
  <c r="BP254" i="19"/>
  <c r="CN67" i="15"/>
  <c r="CN61" i="15"/>
  <c r="AO37" i="23"/>
  <c r="BE74" i="15"/>
  <c r="BT109" i="11"/>
  <c r="BT137" i="11"/>
  <c r="BV72" i="11"/>
  <c r="BV77" i="11"/>
  <c r="U28" i="1"/>
  <c r="BT74" i="1"/>
  <c r="W29" i="11"/>
  <c r="W30" i="11" s="1"/>
  <c r="CG142" i="11"/>
  <c r="R73" i="15"/>
  <c r="BG61" i="15"/>
  <c r="BS67" i="15"/>
  <c r="V55" i="15"/>
  <c r="BW61" i="15"/>
  <c r="CI67" i="15"/>
  <c r="F55" i="15"/>
  <c r="BW67" i="15"/>
  <c r="S99" i="15"/>
  <c r="S100" i="15" s="1"/>
  <c r="BE109" i="11"/>
  <c r="BE137" i="11"/>
  <c r="BO72" i="11"/>
  <c r="BO77" i="11"/>
  <c r="X28" i="1"/>
  <c r="E53" i="1"/>
  <c r="BM8" i="25"/>
  <c r="O8" i="25"/>
  <c r="CI29" i="11"/>
  <c r="CI30" i="11" s="1"/>
  <c r="Q46" i="19"/>
  <c r="BH70" i="19"/>
  <c r="Q70" i="19" s="1"/>
  <c r="BH117" i="19"/>
  <c r="V9" i="24"/>
  <c r="BW11" i="24"/>
  <c r="CJ62" i="15"/>
  <c r="CJ68" i="15"/>
  <c r="U111" i="15"/>
  <c r="U112" i="15" s="1"/>
  <c r="S28" i="1"/>
  <c r="BN74" i="1"/>
  <c r="O53" i="1"/>
  <c r="AC29" i="11"/>
  <c r="AC30" i="11" s="1"/>
  <c r="BI42" i="21"/>
  <c r="CG42" i="21"/>
  <c r="R66" i="15"/>
  <c r="E111" i="15"/>
  <c r="E112" i="15" s="1"/>
  <c r="N28" i="1"/>
  <c r="AY74" i="1"/>
  <c r="BJ101" i="1"/>
  <c r="X53" i="1"/>
  <c r="CS29" i="11"/>
  <c r="CS30" i="11" s="1"/>
  <c r="CM144" i="11"/>
  <c r="CM145" i="11" s="1"/>
  <c r="CM127" i="1"/>
  <c r="BJ56" i="15"/>
  <c r="BJ59" i="15" s="1"/>
  <c r="Q53" i="15"/>
  <c r="BR68" i="19"/>
  <c r="T68" i="19" s="1"/>
  <c r="BR105" i="19"/>
  <c r="CH56" i="15"/>
  <c r="CH65" i="15"/>
  <c r="Y53" i="15"/>
  <c r="CH59" i="15"/>
  <c r="E43" i="15"/>
  <c r="BO13" i="1"/>
  <c r="BO94" i="15"/>
  <c r="CG63" i="19"/>
  <c r="CG29" i="15"/>
  <c r="D61" i="19"/>
  <c r="N61" i="19"/>
  <c r="AY259" i="19"/>
  <c r="CL56" i="15"/>
  <c r="BL61" i="15"/>
  <c r="W111" i="15"/>
  <c r="W112" i="15" s="1"/>
  <c r="BF29" i="11"/>
  <c r="BF30" i="11" s="1"/>
  <c r="CE163" i="11"/>
  <c r="BU74" i="15"/>
  <c r="DF27" i="11"/>
  <c r="AA9" i="25"/>
  <c r="AY29" i="11"/>
  <c r="AY30" i="11" s="1"/>
  <c r="D27" i="11"/>
  <c r="D29" i="11" s="1"/>
  <c r="D30" i="11" s="1"/>
  <c r="N27" i="11"/>
  <c r="N29" i="11" s="1"/>
  <c r="N30" i="11" s="1"/>
  <c r="BW29" i="11"/>
  <c r="BW30" i="11" s="1"/>
  <c r="F27" i="11"/>
  <c r="V27" i="11"/>
  <c r="D46" i="7"/>
  <c r="O74" i="1"/>
  <c r="D46" i="25"/>
  <c r="O110" i="1"/>
  <c r="P106" i="1" s="1"/>
  <c r="P110" i="1" s="1"/>
  <c r="Q106" i="1" s="1"/>
  <c r="Q110" i="1" s="1"/>
  <c r="R106" i="1" s="1"/>
  <c r="F54" i="15"/>
  <c r="D111" i="15"/>
  <c r="D112" i="15"/>
  <c r="BR91" i="1"/>
  <c r="BR102" i="1"/>
  <c r="T99" i="1"/>
  <c r="BC34" i="21"/>
  <c r="BC39" i="21" s="1"/>
  <c r="R35" i="21"/>
  <c r="BK40" i="21"/>
  <c r="BK34" i="21"/>
  <c r="BK42" i="21" s="1"/>
  <c r="E35" i="21"/>
  <c r="Z77" i="15"/>
  <c r="Z80" i="15" s="1"/>
  <c r="CI80" i="15"/>
  <c r="CI74" i="15" s="1"/>
  <c r="O46" i="25"/>
  <c r="Z74" i="1"/>
  <c r="O46" i="7"/>
  <c r="BK91" i="1"/>
  <c r="BK102" i="1"/>
  <c r="R71" i="1"/>
  <c r="AZ163" i="11"/>
  <c r="CN74" i="15"/>
  <c r="BS94" i="15"/>
  <c r="AY74" i="15"/>
  <c r="BL14" i="1"/>
  <c r="BM91" i="1"/>
  <c r="E65" i="29"/>
  <c r="R65" i="29"/>
  <c r="BE80" i="29"/>
  <c r="R91" i="38"/>
  <c r="R107" i="38"/>
  <c r="R14" i="35"/>
  <c r="R15" i="35" s="1"/>
  <c r="R82" i="38"/>
  <c r="R98" i="38"/>
  <c r="R116" i="38"/>
  <c r="R18" i="37"/>
  <c r="V75" i="29"/>
  <c r="BW79" i="29"/>
  <c r="M61" i="28"/>
  <c r="M45" i="28"/>
  <c r="Q30" i="35"/>
  <c r="AO55" i="29"/>
  <c r="EB58" i="29"/>
  <c r="BQ78" i="29"/>
  <c r="T74" i="29"/>
  <c r="AL76" i="29"/>
  <c r="E69" i="28"/>
  <c r="AC14" i="37"/>
  <c r="AC17" i="37" s="1"/>
  <c r="AC74" i="38" s="1"/>
  <c r="D17" i="37"/>
  <c r="Y66" i="37"/>
  <c r="AH66" i="37" s="1"/>
  <c r="D65" i="29"/>
  <c r="N65" i="29"/>
  <c r="EK75" i="29"/>
  <c r="AI106" i="29"/>
  <c r="F61" i="28"/>
  <c r="F45" i="28"/>
  <c r="R6" i="37"/>
  <c r="R33" i="37"/>
  <c r="Q28" i="36"/>
  <c r="Q32" i="36"/>
  <c r="P43" i="35"/>
  <c r="ER24" i="29"/>
  <c r="ER70" i="29"/>
  <c r="BQ76" i="29"/>
  <c r="N116" i="38"/>
  <c r="N18" i="37"/>
  <c r="N74" i="38"/>
  <c r="N91" i="38"/>
  <c r="N107" i="38"/>
  <c r="N14" i="35"/>
  <c r="N15" i="35" s="1"/>
  <c r="N82" i="38"/>
  <c r="N98" i="38"/>
  <c r="T149" i="36"/>
  <c r="T145" i="36" s="1"/>
  <c r="S126" i="37"/>
  <c r="AF126" i="37" s="1"/>
  <c r="S128" i="37"/>
  <c r="AJ116" i="29"/>
  <c r="DS74" i="29"/>
  <c r="AI98" i="29"/>
  <c r="DY75" i="29"/>
  <c r="DM24" i="29"/>
  <c r="AJ24" i="29" s="1"/>
  <c r="DM70" i="29"/>
  <c r="AJ68" i="29"/>
  <c r="ES70" i="29"/>
  <c r="ER76" i="29"/>
  <c r="P31" i="37"/>
  <c r="P19" i="36"/>
  <c r="AE134" i="36"/>
  <c r="J136" i="36"/>
  <c r="AF118" i="29"/>
  <c r="I23" i="35"/>
  <c r="I16" i="35"/>
  <c r="L19" i="36"/>
  <c r="L16" i="36"/>
  <c r="CN74" i="29"/>
  <c r="CN78" i="29" s="1"/>
  <c r="DR75" i="29"/>
  <c r="AK75" i="29" s="1"/>
  <c r="E19" i="38"/>
  <c r="R19" i="36"/>
  <c r="I20" i="36"/>
  <c r="AE14" i="36"/>
  <c r="F42" i="36"/>
  <c r="V49" i="35"/>
  <c r="EC74" i="29"/>
  <c r="DM17" i="29"/>
  <c r="AJ17" i="29" s="1"/>
  <c r="AJ63" i="29"/>
  <c r="DK75" i="29"/>
  <c r="AI75" i="29" s="1"/>
  <c r="AQ108" i="29"/>
  <c r="BJ76" i="29"/>
  <c r="BJ80" i="29" s="1"/>
  <c r="BJ25" i="29" s="1"/>
  <c r="EL76" i="29"/>
  <c r="AG51" i="36"/>
  <c r="S48" i="37"/>
  <c r="T35" i="36"/>
  <c r="V74" i="36"/>
  <c r="W82" i="36"/>
  <c r="AG128" i="36"/>
  <c r="I55" i="29"/>
  <c r="DD75" i="29"/>
  <c r="AC38" i="37"/>
  <c r="V24" i="34"/>
  <c r="AE135" i="36"/>
  <c r="J130" i="36"/>
  <c r="J121" i="36" s="1"/>
  <c r="J129" i="36"/>
  <c r="U98" i="29"/>
  <c r="CA74" i="29"/>
  <c r="CA78" i="29" s="1"/>
  <c r="EU74" i="29"/>
  <c r="AU74" i="29" s="1"/>
  <c r="DU75" i="29"/>
  <c r="AG108" i="29"/>
  <c r="EW24" i="29"/>
  <c r="AV24" i="29" s="1"/>
  <c r="EW70" i="29"/>
  <c r="AV68" i="29"/>
  <c r="O36" i="38"/>
  <c r="V51" i="38"/>
  <c r="AH33" i="38"/>
  <c r="L34" i="37"/>
  <c r="AF88" i="37"/>
  <c r="S107" i="37"/>
  <c r="AE15" i="36"/>
  <c r="U67" i="36"/>
  <c r="V62" i="36" s="1"/>
  <c r="U50" i="36"/>
  <c r="V106" i="36"/>
  <c r="W114" i="36"/>
  <c r="AN118" i="29"/>
  <c r="X43" i="34"/>
  <c r="CB74" i="29"/>
  <c r="CB78" i="29" s="1"/>
  <c r="EV74" i="29"/>
  <c r="AQ65" i="29"/>
  <c r="U118" i="29"/>
  <c r="P26" i="34"/>
  <c r="AG62" i="38"/>
  <c r="M19" i="36"/>
  <c r="J39" i="36"/>
  <c r="F34" i="35"/>
  <c r="EM75" i="29"/>
  <c r="EP76" i="29"/>
  <c r="AH57" i="29"/>
  <c r="EQ10" i="29"/>
  <c r="AT58" i="29"/>
  <c r="CT74" i="29"/>
  <c r="CT78" i="29" s="1"/>
  <c r="X98" i="29"/>
  <c r="DX75" i="29"/>
  <c r="AP108" i="29"/>
  <c r="AY76" i="29"/>
  <c r="AA118" i="29"/>
  <c r="G30" i="35"/>
  <c r="Q18" i="37"/>
  <c r="AD14" i="37"/>
  <c r="AD17" i="37" s="1"/>
  <c r="AD30" i="36"/>
  <c r="AD27" i="36"/>
  <c r="AA25" i="36"/>
  <c r="Z85" i="37"/>
  <c r="Z104" i="37" s="1"/>
  <c r="T42" i="18"/>
  <c r="T48" i="18"/>
  <c r="E35" i="18" s="1"/>
  <c r="J69" i="22"/>
  <c r="AD68" i="22"/>
  <c r="AY8" i="13"/>
  <c r="CP39" i="11"/>
  <c r="S42" i="13"/>
  <c r="BJ97" i="11"/>
  <c r="BK141" i="11"/>
  <c r="R129" i="11"/>
  <c r="R141" i="11" s="1"/>
  <c r="E129" i="11"/>
  <c r="AC60" i="11"/>
  <c r="AC81" i="11" s="1"/>
  <c r="CR90" i="11"/>
  <c r="CR81" i="11"/>
  <c r="BD87" i="11"/>
  <c r="BE76" i="11"/>
  <c r="P55" i="11"/>
  <c r="P76" i="11" s="1"/>
  <c r="AD42" i="13"/>
  <c r="BU97" i="11"/>
  <c r="H31" i="13"/>
  <c r="AY51" i="11"/>
  <c r="Q8" i="13"/>
  <c r="BH39" i="11"/>
  <c r="Q130" i="11"/>
  <c r="Q149" i="11" s="1"/>
  <c r="BH149" i="11"/>
  <c r="Q101" i="11"/>
  <c r="Q113" i="11" s="1"/>
  <c r="BH113" i="11"/>
  <c r="Z55" i="13"/>
  <c r="Z58" i="13" s="1"/>
  <c r="Z59" i="13" s="1"/>
  <c r="Z60" i="13" s="1"/>
  <c r="BQ123" i="11"/>
  <c r="Z31" i="13"/>
  <c r="BQ51" i="11"/>
  <c r="BA117" i="11"/>
  <c r="G160" i="11"/>
  <c r="EJ18" i="25"/>
  <c r="Q163" i="11"/>
  <c r="Q142" i="11"/>
  <c r="BM163" i="11"/>
  <c r="BM120" i="1"/>
  <c r="R120" i="1" s="1"/>
  <c r="R127" i="1" s="1"/>
  <c r="CH41" i="21"/>
  <c r="CI58" i="19"/>
  <c r="G29" i="15"/>
  <c r="Z29" i="15"/>
  <c r="Z34" i="15" s="1"/>
  <c r="CI92" i="15"/>
  <c r="CI34" i="15"/>
  <c r="P59" i="19"/>
  <c r="BE247" i="19"/>
  <c r="BP41" i="21"/>
  <c r="BF254" i="19"/>
  <c r="BF255" i="19"/>
  <c r="BF257" i="19"/>
  <c r="BF256" i="19"/>
  <c r="DX13" i="7"/>
  <c r="DX10" i="7"/>
  <c r="BW36" i="23"/>
  <c r="Q62" i="22"/>
  <c r="CG9" i="24"/>
  <c r="CG11" i="24" s="1"/>
  <c r="CG13" i="24" s="1"/>
  <c r="CG21" i="24" s="1"/>
  <c r="CG22" i="24" s="1"/>
  <c r="CG25" i="24" s="1"/>
  <c r="CG11" i="1"/>
  <c r="CB269" i="19"/>
  <c r="CB266" i="19"/>
  <c r="CB268" i="19"/>
  <c r="CB267" i="19"/>
  <c r="E28" i="1"/>
  <c r="O7" i="25"/>
  <c r="BM7" i="25"/>
  <c r="BP70" i="19"/>
  <c r="E70" i="19" s="1"/>
  <c r="BP117" i="19"/>
  <c r="BU260" i="19"/>
  <c r="BU261" i="19"/>
  <c r="BU262" i="19"/>
  <c r="BU263" i="19"/>
  <c r="T99" i="15"/>
  <c r="T100" i="15"/>
  <c r="CT91" i="1"/>
  <c r="CT102" i="1"/>
  <c r="CT74" i="1"/>
  <c r="CD94" i="15"/>
  <c r="CD13" i="1"/>
  <c r="X13" i="1" s="1"/>
  <c r="AA54" i="19"/>
  <c r="CL191" i="19"/>
  <c r="T59" i="19"/>
  <c r="BQ247" i="19"/>
  <c r="EH71" i="15"/>
  <c r="EP71" i="15"/>
  <c r="EK71" i="15"/>
  <c r="L71" i="15"/>
  <c r="EL71" i="15"/>
  <c r="EE71" i="15"/>
  <c r="EM71" i="15"/>
  <c r="EF71" i="15"/>
  <c r="EN71" i="15"/>
  <c r="EJ71" i="15"/>
  <c r="EO71" i="15"/>
  <c r="EG71" i="15"/>
  <c r="EI71" i="15"/>
  <c r="L46" i="7"/>
  <c r="L46" i="25"/>
  <c r="T74" i="1"/>
  <c r="I46" i="25"/>
  <c r="I46" i="7"/>
  <c r="AD27" i="11"/>
  <c r="H8" i="13"/>
  <c r="AY39" i="11"/>
  <c r="P7" i="22"/>
  <c r="I8" i="13"/>
  <c r="AZ39" i="11"/>
  <c r="BR148" i="11"/>
  <c r="O101" i="11"/>
  <c r="O113" i="11" s="1"/>
  <c r="BB113" i="11"/>
  <c r="BD90" i="11"/>
  <c r="BD81" i="11"/>
  <c r="BD148" i="11"/>
  <c r="AZ10" i="21"/>
  <c r="BO27" i="21"/>
  <c r="BO54" i="21"/>
  <c r="AV43" i="23"/>
  <c r="BF10" i="21"/>
  <c r="BH43" i="23"/>
  <c r="BR10" i="21"/>
  <c r="U7" i="22"/>
  <c r="K46" i="22"/>
  <c r="T44" i="22"/>
  <c r="L8" i="13"/>
  <c r="BC39" i="11"/>
  <c r="AA8" i="13"/>
  <c r="BR39" i="11"/>
  <c r="CH90" i="11"/>
  <c r="CH81" i="11"/>
  <c r="O28" i="11"/>
  <c r="BB17" i="11"/>
  <c r="BB35" i="1" s="1"/>
  <c r="BB34" i="11"/>
  <c r="AA55" i="13"/>
  <c r="BR123" i="11"/>
  <c r="O129" i="11"/>
  <c r="O141" i="11" s="1"/>
  <c r="BB141" i="11"/>
  <c r="BR149" i="11"/>
  <c r="O56" i="11"/>
  <c r="BB91" i="11"/>
  <c r="AA31" i="13"/>
  <c r="BR51" i="11"/>
  <c r="CH118" i="11"/>
  <c r="O98" i="11"/>
  <c r="BS90" i="11"/>
  <c r="BS81" i="11"/>
  <c r="Z61" i="11"/>
  <c r="CI89" i="11"/>
  <c r="G61" i="11"/>
  <c r="L55" i="13"/>
  <c r="L58" i="13" s="1"/>
  <c r="L59" i="13" s="1"/>
  <c r="L60" i="13" s="1"/>
  <c r="BC123" i="11"/>
  <c r="BC148" i="11" s="1"/>
  <c r="Z126" i="11"/>
  <c r="EQ11" i="7" s="1"/>
  <c r="G126" i="11"/>
  <c r="BC149" i="11"/>
  <c r="CI88" i="11"/>
  <c r="G57" i="11"/>
  <c r="Z57" i="11"/>
  <c r="L31" i="13"/>
  <c r="BC51" i="11"/>
  <c r="BS118" i="11"/>
  <c r="AR42" i="13"/>
  <c r="CI97" i="11"/>
  <c r="M8" i="13"/>
  <c r="BD39" i="11"/>
  <c r="U60" i="11"/>
  <c r="U81" i="11" s="1"/>
  <c r="BT90" i="11"/>
  <c r="BT81" i="11"/>
  <c r="CJ89" i="11"/>
  <c r="M55" i="13"/>
  <c r="BD123" i="11"/>
  <c r="U124" i="11"/>
  <c r="AC55" i="11"/>
  <c r="AC76" i="11" s="1"/>
  <c r="CR76" i="11"/>
  <c r="BL91" i="11"/>
  <c r="AK31" i="13"/>
  <c r="CB51" i="11"/>
  <c r="AC52" i="11"/>
  <c r="AC102" i="11"/>
  <c r="CR118" i="11"/>
  <c r="AL8" i="13"/>
  <c r="CC39" i="11"/>
  <c r="BM34" i="11"/>
  <c r="BM17" i="11"/>
  <c r="BM35" i="1" s="1"/>
  <c r="AL55" i="13"/>
  <c r="CC123" i="11"/>
  <c r="CC148" i="11" s="1"/>
  <c r="X130" i="11"/>
  <c r="CC149" i="11"/>
  <c r="BM91" i="11"/>
  <c r="AL31" i="13"/>
  <c r="CC51" i="11"/>
  <c r="X101" i="11"/>
  <c r="X113" i="11" s="1"/>
  <c r="CC113" i="11"/>
  <c r="CS118" i="11"/>
  <c r="AU8" i="13"/>
  <c r="CL39" i="11"/>
  <c r="BF89" i="11"/>
  <c r="BV34" i="11"/>
  <c r="BV17" i="11"/>
  <c r="BV35" i="1" s="1"/>
  <c r="AU55" i="13"/>
  <c r="AU58" i="13" s="1"/>
  <c r="AU59" i="13" s="1"/>
  <c r="AU60" i="13" s="1"/>
  <c r="CL123" i="11"/>
  <c r="CL148" i="11" s="1"/>
  <c r="AA130" i="11"/>
  <c r="CL149" i="11"/>
  <c r="BF88" i="11"/>
  <c r="BV91" i="11"/>
  <c r="AU31" i="13"/>
  <c r="CL51" i="11"/>
  <c r="CL87" i="11" s="1"/>
  <c r="AA101" i="11"/>
  <c r="CL113" i="11"/>
  <c r="O42" i="13"/>
  <c r="BF97" i="11"/>
  <c r="AV8" i="13"/>
  <c r="CM39" i="11"/>
  <c r="BG89" i="11"/>
  <c r="F28" i="11"/>
  <c r="BW34" i="11"/>
  <c r="BW17" i="11"/>
  <c r="BW35" i="1" s="1"/>
  <c r="V28" i="11"/>
  <c r="AV55" i="13"/>
  <c r="AV58" i="13" s="1"/>
  <c r="AV59" i="13" s="1"/>
  <c r="AV60" i="13" s="1"/>
  <c r="CM123" i="11"/>
  <c r="V129" i="11"/>
  <c r="V141" i="11" s="1"/>
  <c r="F129" i="11"/>
  <c r="BW141" i="11"/>
  <c r="CM149" i="11"/>
  <c r="BG88" i="11"/>
  <c r="V56" i="11"/>
  <c r="BW91" i="11"/>
  <c r="F56" i="11"/>
  <c r="BX91" i="11" s="1"/>
  <c r="CV91" i="11" s="1"/>
  <c r="DH91" i="11" s="1"/>
  <c r="DT91" i="11" s="1"/>
  <c r="EF91" i="11" s="1"/>
  <c r="ER91" i="11" s="1"/>
  <c r="AV31" i="13"/>
  <c r="CM51" i="11"/>
  <c r="P42" i="13"/>
  <c r="BG97" i="11"/>
  <c r="BG117" i="11" s="1"/>
  <c r="F98" i="11"/>
  <c r="V98" i="11"/>
  <c r="AZ90" i="11"/>
  <c r="AZ81" i="11"/>
  <c r="BP89" i="11"/>
  <c r="Y28" i="11"/>
  <c r="Y29" i="11" s="1"/>
  <c r="Y30" i="11" s="1"/>
  <c r="CF34" i="11"/>
  <c r="CF17" i="11"/>
  <c r="CF35" i="1" s="1"/>
  <c r="Y129" i="11"/>
  <c r="Y141" i="11" s="1"/>
  <c r="CF141" i="11"/>
  <c r="BP88" i="11"/>
  <c r="CF91" i="11"/>
  <c r="Y56" i="11"/>
  <c r="AZ118" i="11"/>
  <c r="Y42" i="13"/>
  <c r="BP97" i="11"/>
  <c r="Y98" i="11"/>
  <c r="BI90" i="11"/>
  <c r="BI81" i="11"/>
  <c r="BY89" i="11"/>
  <c r="AB28" i="11"/>
  <c r="AB29" i="11" s="1"/>
  <c r="AB30" i="11" s="1"/>
  <c r="CO34" i="11"/>
  <c r="CO17" i="11"/>
  <c r="CO35" i="1" s="1"/>
  <c r="AB129" i="11"/>
  <c r="CO141" i="11"/>
  <c r="BY88" i="11"/>
  <c r="AB56" i="11"/>
  <c r="CO91" i="11"/>
  <c r="BA118" i="11"/>
  <c r="CN28" i="24"/>
  <c r="AA27" i="24"/>
  <c r="AV26" i="24"/>
  <c r="EY27" i="24"/>
  <c r="CT28" i="24"/>
  <c r="AC27" i="24"/>
  <c r="BI118" i="11"/>
  <c r="AH42" i="13"/>
  <c r="BY97" i="11"/>
  <c r="DW35" i="24"/>
  <c r="DX36" i="24" s="1"/>
  <c r="DY37" i="24" s="1"/>
  <c r="EX33" i="24"/>
  <c r="EY34" i="24" s="1"/>
  <c r="EZ35" i="24" s="1"/>
  <c r="EL34" i="24"/>
  <c r="EM35" i="24" s="1"/>
  <c r="EN36" i="24" s="1"/>
  <c r="AW26" i="24"/>
  <c r="DQ34" i="24"/>
  <c r="DR35" i="24" s="1"/>
  <c r="DS36" i="24" s="1"/>
  <c r="EU32" i="24"/>
  <c r="EV33" i="24" s="1"/>
  <c r="EW34" i="24" s="1"/>
  <c r="T98" i="11"/>
  <c r="BQ117" i="11"/>
  <c r="M31" i="9"/>
  <c r="M35" i="9" s="1"/>
  <c r="P34" i="9" s="1"/>
  <c r="T8" i="9"/>
  <c r="EH22" i="21"/>
  <c r="EP22" i="21"/>
  <c r="EI22" i="21"/>
  <c r="EJ22" i="21"/>
  <c r="EK22" i="21"/>
  <c r="L22" i="21"/>
  <c r="EL22" i="21"/>
  <c r="EE22" i="21"/>
  <c r="EM22" i="21"/>
  <c r="EF22" i="21"/>
  <c r="EN22" i="21"/>
  <c r="EG22" i="21"/>
  <c r="EO22" i="21"/>
  <c r="J34" i="9"/>
  <c r="CK8" i="25"/>
  <c r="F159" i="11"/>
  <c r="EI23" i="25"/>
  <c r="BK142" i="11"/>
  <c r="BK163" i="11"/>
  <c r="BK119" i="1"/>
  <c r="CC90" i="11"/>
  <c r="F46" i="1"/>
  <c r="W46" i="1"/>
  <c r="W163" i="11"/>
  <c r="BD67" i="19"/>
  <c r="BD99" i="19"/>
  <c r="CJ67" i="19"/>
  <c r="CJ99" i="19"/>
  <c r="R68" i="19"/>
  <c r="E68" i="19"/>
  <c r="Z68" i="19"/>
  <c r="BJ112" i="19"/>
  <c r="BJ113" i="19"/>
  <c r="BJ114" i="19"/>
  <c r="BJ115" i="19"/>
  <c r="D72" i="15"/>
  <c r="DC10" i="25"/>
  <c r="DC13" i="25"/>
  <c r="W51" i="19"/>
  <c r="BZ173" i="19"/>
  <c r="AA73" i="15"/>
  <c r="DN11" i="7"/>
  <c r="DN13" i="7"/>
  <c r="DN10" i="7"/>
  <c r="BX42" i="21"/>
  <c r="D60" i="19"/>
  <c r="BW26" i="24"/>
  <c r="Z44" i="15"/>
  <c r="CI13" i="1"/>
  <c r="CI47" i="15"/>
  <c r="AC130" i="11"/>
  <c r="BM67" i="19"/>
  <c r="BM99" i="19"/>
  <c r="CB106" i="19"/>
  <c r="CB108" i="19"/>
  <c r="CB109" i="19"/>
  <c r="CB107" i="19"/>
  <c r="E111" i="19"/>
  <c r="BK112" i="19"/>
  <c r="BK115" i="19"/>
  <c r="R111" i="19"/>
  <c r="BK113" i="19"/>
  <c r="BK114" i="19"/>
  <c r="Z111" i="19"/>
  <c r="BJ118" i="19"/>
  <c r="BJ119" i="19"/>
  <c r="BJ121" i="19"/>
  <c r="BJ120" i="19"/>
  <c r="BC41" i="21"/>
  <c r="Z36" i="21"/>
  <c r="CI41" i="21"/>
  <c r="Y71" i="15"/>
  <c r="CD34" i="21"/>
  <c r="CD39" i="21" s="1"/>
  <c r="CK106" i="19"/>
  <c r="CK108" i="19"/>
  <c r="CK109" i="19"/>
  <c r="CK107" i="19"/>
  <c r="BT115" i="19"/>
  <c r="U115" i="19" s="1"/>
  <c r="U111" i="19"/>
  <c r="BT113" i="19"/>
  <c r="U113" i="19" s="1"/>
  <c r="BT114" i="19"/>
  <c r="U114" i="19" s="1"/>
  <c r="BT112" i="19"/>
  <c r="U112" i="19" s="1"/>
  <c r="BC118" i="19"/>
  <c r="BC119" i="19"/>
  <c r="BC121" i="19"/>
  <c r="BC120" i="19"/>
  <c r="CA118" i="19"/>
  <c r="CA119" i="19"/>
  <c r="CA121" i="19"/>
  <c r="CA120" i="19"/>
  <c r="O72" i="15"/>
  <c r="CB41" i="21"/>
  <c r="BB189" i="19"/>
  <c r="O189" i="19" s="1"/>
  <c r="O165" i="19" s="1"/>
  <c r="O185" i="19"/>
  <c r="BB187" i="19"/>
  <c r="O187" i="19" s="1"/>
  <c r="O163" i="19" s="1"/>
  <c r="BB188" i="19"/>
  <c r="O188" i="19" s="1"/>
  <c r="O164" i="19" s="1"/>
  <c r="BB186" i="19"/>
  <c r="O186" i="19" s="1"/>
  <c r="O162" i="19" s="1"/>
  <c r="T253" i="19"/>
  <c r="BQ255" i="19"/>
  <c r="T255" i="19" s="1"/>
  <c r="BQ256" i="19"/>
  <c r="T256" i="19" s="1"/>
  <c r="BQ257" i="19"/>
  <c r="T257" i="19" s="1"/>
  <c r="BQ254" i="19"/>
  <c r="T254" i="19" s="1"/>
  <c r="Z92" i="15"/>
  <c r="AP37" i="23"/>
  <c r="P62" i="22"/>
  <c r="F35" i="21"/>
  <c r="BW34" i="21"/>
  <c r="BW42" i="21" s="1"/>
  <c r="V35" i="21"/>
  <c r="BF68" i="19"/>
  <c r="P68" i="19" s="1"/>
  <c r="CL106" i="19"/>
  <c r="AA106" i="19" s="1"/>
  <c r="AA82" i="19" s="1"/>
  <c r="AA105" i="19"/>
  <c r="CL108" i="19"/>
  <c r="AA108" i="19" s="1"/>
  <c r="CL109" i="19"/>
  <c r="AA109" i="19" s="1"/>
  <c r="CL107" i="19"/>
  <c r="AA107" i="19" s="1"/>
  <c r="AA83" i="19" s="1"/>
  <c r="BU41" i="21"/>
  <c r="U179" i="19"/>
  <c r="BT180" i="19"/>
  <c r="U180" i="19" s="1"/>
  <c r="U156" i="19" s="1"/>
  <c r="BT181" i="19"/>
  <c r="U181" i="19" s="1"/>
  <c r="U157" i="19" s="1"/>
  <c r="BT182" i="19"/>
  <c r="U182" i="19" s="1"/>
  <c r="U158" i="19" s="1"/>
  <c r="BT183" i="19"/>
  <c r="U183" i="19" s="1"/>
  <c r="U159" i="19" s="1"/>
  <c r="CA248" i="19"/>
  <c r="CA278" i="19" s="1"/>
  <c r="CA249" i="19"/>
  <c r="CA279" i="19" s="1"/>
  <c r="CA251" i="19"/>
  <c r="CA281" i="19" s="1"/>
  <c r="CA250" i="19"/>
  <c r="CA280" i="19" s="1"/>
  <c r="CA277" i="19"/>
  <c r="F161" i="11"/>
  <c r="ES20" i="25"/>
  <c r="AZ67" i="19"/>
  <c r="AZ99" i="19"/>
  <c r="Y43" i="19"/>
  <c r="CF67" i="19"/>
  <c r="Y67" i="19" s="1"/>
  <c r="CF99" i="19"/>
  <c r="AA111" i="19"/>
  <c r="BV174" i="19"/>
  <c r="BV204" i="19" s="1"/>
  <c r="BV175" i="19"/>
  <c r="BV205" i="19" s="1"/>
  <c r="BV203" i="19"/>
  <c r="BV177" i="19"/>
  <c r="BV207" i="19" s="1"/>
  <c r="BV176" i="19"/>
  <c r="BV206" i="19" s="1"/>
  <c r="U37" i="21"/>
  <c r="BT42" i="21"/>
  <c r="AZ37" i="23"/>
  <c r="AZ42" i="23"/>
  <c r="BJ11" i="21" s="1"/>
  <c r="BV16" i="21" s="1"/>
  <c r="AZ41" i="23"/>
  <c r="BJ12" i="21" s="1"/>
  <c r="CN13" i="1"/>
  <c r="S60" i="15"/>
  <c r="S66" i="15"/>
  <c r="BQ34" i="21"/>
  <c r="BQ41" i="21" s="1"/>
  <c r="T35" i="21"/>
  <c r="CF107" i="19"/>
  <c r="CF109" i="19"/>
  <c r="CF106" i="19"/>
  <c r="CF108" i="19"/>
  <c r="N69" i="19"/>
  <c r="BW112" i="19"/>
  <c r="BW113" i="19"/>
  <c r="BW114" i="19"/>
  <c r="BW115" i="19"/>
  <c r="F111" i="19"/>
  <c r="BF70" i="19"/>
  <c r="P70" i="19" s="1"/>
  <c r="BO177" i="19"/>
  <c r="BO174" i="19"/>
  <c r="BO204" i="19" s="1"/>
  <c r="BO203" i="19"/>
  <c r="BO175" i="19"/>
  <c r="BO205" i="19" s="1"/>
  <c r="BO176" i="19"/>
  <c r="BU42" i="21"/>
  <c r="U60" i="19"/>
  <c r="E61" i="19"/>
  <c r="W62" i="19"/>
  <c r="ER10" i="25"/>
  <c r="G134" i="11"/>
  <c r="CT161" i="11"/>
  <c r="CT125" i="1" s="1"/>
  <c r="AC134" i="11"/>
  <c r="BQ144" i="11"/>
  <c r="BQ127" i="1"/>
  <c r="BQ101" i="1" s="1"/>
  <c r="BJ67" i="19"/>
  <c r="BJ99" i="19"/>
  <c r="BY107" i="19"/>
  <c r="BY106" i="19"/>
  <c r="BY109" i="19"/>
  <c r="BY108" i="19"/>
  <c r="BH112" i="19"/>
  <c r="BH113" i="19"/>
  <c r="BH114" i="19"/>
  <c r="BH115" i="19"/>
  <c r="Y69" i="19"/>
  <c r="Q51" i="19"/>
  <c r="BH173" i="19"/>
  <c r="CN176" i="19"/>
  <c r="CN174" i="19"/>
  <c r="CN203" i="19"/>
  <c r="CN175" i="19"/>
  <c r="CN177" i="19"/>
  <c r="F52" i="19"/>
  <c r="BN186" i="19"/>
  <c r="S185" i="19"/>
  <c r="BN187" i="19"/>
  <c r="BN188" i="19"/>
  <c r="S188" i="19" s="1"/>
  <c r="S164" i="19" s="1"/>
  <c r="BN189" i="19"/>
  <c r="AA37" i="21"/>
  <c r="BB37" i="23"/>
  <c r="BB41" i="23"/>
  <c r="BL12" i="21" s="1"/>
  <c r="BB40" i="23"/>
  <c r="BB42" i="23"/>
  <c r="BL11" i="21" s="1"/>
  <c r="BU144" i="11"/>
  <c r="BU145" i="11" s="1"/>
  <c r="BU127" i="1"/>
  <c r="BU100" i="1" s="1"/>
  <c r="CD144" i="11"/>
  <c r="CD145" i="11" s="1"/>
  <c r="CD127" i="1"/>
  <c r="CD101" i="1" s="1"/>
  <c r="BP66" i="15"/>
  <c r="BP56" i="15"/>
  <c r="BP74" i="15" s="1"/>
  <c r="CB66" i="15"/>
  <c r="X9" i="24"/>
  <c r="CC11" i="24"/>
  <c r="BT62" i="15"/>
  <c r="BT68" i="15"/>
  <c r="BP29" i="11"/>
  <c r="BP30" i="11" s="1"/>
  <c r="BP163" i="11"/>
  <c r="BA175" i="19"/>
  <c r="BA205" i="19" s="1"/>
  <c r="BA177" i="19"/>
  <c r="BA207" i="19" s="1"/>
  <c r="BA203" i="19"/>
  <c r="BA174" i="19"/>
  <c r="BA204" i="19" s="1"/>
  <c r="BA176" i="19"/>
  <c r="BA206" i="19" s="1"/>
  <c r="BR94" i="15"/>
  <c r="D4" i="8"/>
  <c r="AI6" i="25"/>
  <c r="P11" i="11"/>
  <c r="P112" i="1"/>
  <c r="BY29" i="11"/>
  <c r="BY30" i="11" s="1"/>
  <c r="BL163" i="11"/>
  <c r="BX61" i="15"/>
  <c r="BX67" i="15"/>
  <c r="BV26" i="24"/>
  <c r="BW27" i="24" s="1"/>
  <c r="E44" i="15"/>
  <c r="BO74" i="15"/>
  <c r="P105" i="15"/>
  <c r="P106" i="15" s="1"/>
  <c r="CB109" i="11"/>
  <c r="CB137" i="11"/>
  <c r="CM101" i="1"/>
  <c r="CB74" i="1"/>
  <c r="U53" i="1"/>
  <c r="CH29" i="11"/>
  <c r="CH30" i="11" s="1"/>
  <c r="AC114" i="11"/>
  <c r="EJ26" i="7" s="1"/>
  <c r="BG248" i="19"/>
  <c r="BG278" i="19" s="1"/>
  <c r="BG249" i="19"/>
  <c r="BG279" i="19" s="1"/>
  <c r="BG250" i="19"/>
  <c r="BG280" i="19" s="1"/>
  <c r="BG251" i="19"/>
  <c r="BG281" i="19" s="1"/>
  <c r="BG277" i="19"/>
  <c r="F73" i="15"/>
  <c r="DO10" i="25"/>
  <c r="DO13" i="25"/>
  <c r="AA62" i="19"/>
  <c r="CL265" i="19"/>
  <c r="BL94" i="15"/>
  <c r="BH74" i="15"/>
  <c r="BM109" i="11"/>
  <c r="BM137" i="11"/>
  <c r="BW72" i="11"/>
  <c r="BW77" i="11"/>
  <c r="G27" i="11"/>
  <c r="G29" i="11" s="1"/>
  <c r="G30" i="11" s="1"/>
  <c r="BX70" i="19"/>
  <c r="V70" i="19" s="1"/>
  <c r="BX117" i="19"/>
  <c r="F117" i="19" s="1"/>
  <c r="BM260" i="19"/>
  <c r="BM261" i="19"/>
  <c r="BM262" i="19"/>
  <c r="BM263" i="19"/>
  <c r="BM37" i="23"/>
  <c r="BT60" i="15"/>
  <c r="D79" i="15"/>
  <c r="D80" i="15" s="1"/>
  <c r="D74" i="15" s="1"/>
  <c r="S112" i="1"/>
  <c r="BV74" i="1"/>
  <c r="BV91" i="1"/>
  <c r="BV102" i="1"/>
  <c r="W53" i="1"/>
  <c r="CR29" i="11"/>
  <c r="CR30" i="11" s="1"/>
  <c r="N71" i="15"/>
  <c r="BY69" i="19"/>
  <c r="BY111" i="19"/>
  <c r="V111" i="19" s="1"/>
  <c r="BF13" i="1"/>
  <c r="BF94" i="15"/>
  <c r="S54" i="19"/>
  <c r="BN191" i="19"/>
  <c r="E191" i="19" s="1"/>
  <c r="CD105" i="15"/>
  <c r="CD106" i="15" s="1"/>
  <c r="X104" i="15"/>
  <c r="BA248" i="19"/>
  <c r="BA278" i="19" s="1"/>
  <c r="BA249" i="19"/>
  <c r="BA279" i="19" s="1"/>
  <c r="BA250" i="19"/>
  <c r="BA280" i="19" s="1"/>
  <c r="BA251" i="19"/>
  <c r="BA281" i="19" s="1"/>
  <c r="BA277" i="19"/>
  <c r="BQ61" i="15"/>
  <c r="BQ67" i="15"/>
  <c r="T55" i="15"/>
  <c r="X67" i="15" s="1"/>
  <c r="CC67" i="15"/>
  <c r="BY248" i="19"/>
  <c r="BY278" i="19" s="1"/>
  <c r="BY249" i="19"/>
  <c r="BY279" i="19" s="1"/>
  <c r="BY250" i="19"/>
  <c r="BY280" i="19" s="1"/>
  <c r="BY251" i="19"/>
  <c r="BY281" i="19" s="1"/>
  <c r="BY277" i="19"/>
  <c r="CB94" i="15"/>
  <c r="U66" i="15"/>
  <c r="BG74" i="1"/>
  <c r="BG91" i="1"/>
  <c r="BG102" i="1"/>
  <c r="BR101" i="1"/>
  <c r="BE29" i="11"/>
  <c r="BE30" i="11" s="1"/>
  <c r="BJ12" i="1"/>
  <c r="CH48" i="15"/>
  <c r="CH12" i="1"/>
  <c r="D53" i="19"/>
  <c r="N53" i="19"/>
  <c r="AY185" i="19"/>
  <c r="BO186" i="19"/>
  <c r="BO187" i="19"/>
  <c r="BO188" i="19"/>
  <c r="BO189" i="19"/>
  <c r="CE106" i="15"/>
  <c r="X103" i="15"/>
  <c r="CE105" i="15"/>
  <c r="V61" i="19"/>
  <c r="F61" i="19"/>
  <c r="BW259" i="19"/>
  <c r="AA65" i="15"/>
  <c r="CB67" i="15"/>
  <c r="BN29" i="11"/>
  <c r="BN30" i="11" s="1"/>
  <c r="CF192" i="19"/>
  <c r="Y192" i="19" s="1"/>
  <c r="CF193" i="19"/>
  <c r="Y193" i="19" s="1"/>
  <c r="CF194" i="19"/>
  <c r="Y194" i="19" s="1"/>
  <c r="CF195" i="19"/>
  <c r="Y195" i="19" s="1"/>
  <c r="Y191" i="19"/>
  <c r="C69" i="18"/>
  <c r="N79" i="15"/>
  <c r="N80" i="15" s="1"/>
  <c r="N74" i="15" s="1"/>
  <c r="BS102" i="1"/>
  <c r="CB102" i="1"/>
  <c r="DE27" i="11"/>
  <c r="Y100" i="15"/>
  <c r="Y99" i="15"/>
  <c r="ET10" i="7"/>
  <c r="E71" i="15"/>
  <c r="CT10" i="25"/>
  <c r="CT13" i="25"/>
  <c r="BS59" i="15"/>
  <c r="BS65" i="15"/>
  <c r="BS56" i="15"/>
  <c r="CE65" i="15"/>
  <c r="BQ36" i="23"/>
  <c r="CA9" i="24"/>
  <c r="CA11" i="24" s="1"/>
  <c r="CA13" i="24" s="1"/>
  <c r="CA21" i="24" s="1"/>
  <c r="CA22" i="24" s="1"/>
  <c r="CA25" i="24" s="1"/>
  <c r="W41" i="15"/>
  <c r="DX11" i="7" s="1"/>
  <c r="CA11" i="1"/>
  <c r="Z71" i="15"/>
  <c r="CS10" i="7"/>
  <c r="CS13" i="7"/>
  <c r="CS11" i="7"/>
  <c r="BW74" i="15"/>
  <c r="T105" i="15"/>
  <c r="T106" i="15" s="1"/>
  <c r="AZ74" i="1"/>
  <c r="AZ91" i="1"/>
  <c r="AZ102" i="1"/>
  <c r="Q38" i="11"/>
  <c r="Q45" i="11" s="1"/>
  <c r="D65" i="1"/>
  <c r="U71" i="1"/>
  <c r="BT91" i="1"/>
  <c r="BT102" i="1"/>
  <c r="CC74" i="1"/>
  <c r="BS114" i="1"/>
  <c r="BS98" i="1"/>
  <c r="BS97" i="1"/>
  <c r="P44" i="15"/>
  <c r="D86" i="15"/>
  <c r="W28" i="1"/>
  <c r="CK91" i="1"/>
  <c r="Q99" i="1"/>
  <c r="D110" i="1"/>
  <c r="DY74" i="29"/>
  <c r="U22" i="38"/>
  <c r="K20" i="36"/>
  <c r="G65" i="29"/>
  <c r="Z65" i="29"/>
  <c r="CC80" i="29"/>
  <c r="X76" i="29"/>
  <c r="K156" i="29"/>
  <c r="K157" i="29" s="1"/>
  <c r="K158" i="29" s="1"/>
  <c r="U61" i="28"/>
  <c r="U45" i="28"/>
  <c r="O12" i="29"/>
  <c r="ER31" i="29"/>
  <c r="CO74" i="29"/>
  <c r="EI76" i="29"/>
  <c r="AQ76" i="29" s="1"/>
  <c r="Z106" i="29"/>
  <c r="AE14" i="37"/>
  <c r="AE17" i="37" s="1"/>
  <c r="L17" i="37"/>
  <c r="AI74" i="36"/>
  <c r="AB116" i="29"/>
  <c r="V65" i="29"/>
  <c r="F65" i="29"/>
  <c r="BH76" i="29"/>
  <c r="O61" i="28"/>
  <c r="O45" i="28"/>
  <c r="AE55" i="29"/>
  <c r="CX58" i="29"/>
  <c r="H58" i="29" s="1"/>
  <c r="AW65" i="29"/>
  <c r="EZ68" i="29"/>
  <c r="CO80" i="29"/>
  <c r="AB76" i="29"/>
  <c r="E98" i="29"/>
  <c r="AD39" i="37"/>
  <c r="W25" i="34"/>
  <c r="AD40" i="37"/>
  <c r="AR116" i="29"/>
  <c r="H157" i="29"/>
  <c r="AY74" i="29"/>
  <c r="EA74" i="29"/>
  <c r="CC18" i="29"/>
  <c r="X18" i="29" s="1"/>
  <c r="X79" i="29"/>
  <c r="EG75" i="29"/>
  <c r="V118" i="29"/>
  <c r="AF127" i="36"/>
  <c r="O128" i="36"/>
  <c r="DG75" i="29"/>
  <c r="AH75" i="29" s="1"/>
  <c r="U35" i="38"/>
  <c r="L41" i="36"/>
  <c r="G106" i="29"/>
  <c r="DD17" i="29"/>
  <c r="AG17" i="29" s="1"/>
  <c r="AG63" i="29"/>
  <c r="S75" i="29"/>
  <c r="BN79" i="29"/>
  <c r="DZ75" i="29"/>
  <c r="AS108" i="29"/>
  <c r="CX24" i="29"/>
  <c r="AE24" i="29" s="1"/>
  <c r="AE68" i="29"/>
  <c r="CX70" i="29"/>
  <c r="BA76" i="29"/>
  <c r="BA80" i="29" s="1"/>
  <c r="BA25" i="29" s="1"/>
  <c r="ES76" i="29"/>
  <c r="I31" i="36"/>
  <c r="AD42" i="36"/>
  <c r="BA74" i="29"/>
  <c r="BA78" i="29" s="1"/>
  <c r="ES74" i="29"/>
  <c r="AT74" i="29" s="1"/>
  <c r="DS75" i="29"/>
  <c r="BR76" i="29"/>
  <c r="BR80" i="29" s="1"/>
  <c r="BR25" i="29" s="1"/>
  <c r="ET76" i="29"/>
  <c r="AU76" i="29" s="1"/>
  <c r="AD31" i="35"/>
  <c r="S51" i="37"/>
  <c r="T66" i="37"/>
  <c r="Z129" i="36"/>
  <c r="Z130" i="36" s="1"/>
  <c r="Z121" i="36" s="1"/>
  <c r="O16" i="35"/>
  <c r="O23" i="35"/>
  <c r="DG10" i="29"/>
  <c r="AH58" i="29"/>
  <c r="BB74" i="29"/>
  <c r="DV74" i="29"/>
  <c r="AM74" i="29" s="1"/>
  <c r="ET17" i="29"/>
  <c r="AU17" i="29" s="1"/>
  <c r="AU63" i="29"/>
  <c r="DP24" i="29"/>
  <c r="AK24" i="29" s="1"/>
  <c r="AK68" i="29"/>
  <c r="DP70" i="29"/>
  <c r="W118" i="29"/>
  <c r="AE45" i="37"/>
  <c r="AD53" i="37"/>
  <c r="X24" i="34"/>
  <c r="EX76" i="29"/>
  <c r="AV76" i="29" s="1"/>
  <c r="AE136" i="36"/>
  <c r="CI74" i="29"/>
  <c r="E60" i="29"/>
  <c r="EE17" i="29"/>
  <c r="AP63" i="29"/>
  <c r="K63" i="29"/>
  <c r="EC75" i="29"/>
  <c r="AO75" i="29" s="1"/>
  <c r="BD76" i="29"/>
  <c r="BD80" i="29" s="1"/>
  <c r="BD25" i="29" s="1"/>
  <c r="P19" i="38"/>
  <c r="S99" i="37"/>
  <c r="AF90" i="37"/>
  <c r="Q21" i="36"/>
  <c r="X60" i="36"/>
  <c r="X63" i="36" s="1"/>
  <c r="W63" i="36"/>
  <c r="T85" i="37"/>
  <c r="U25" i="36"/>
  <c r="D96" i="29"/>
  <c r="CJ74" i="29"/>
  <c r="CJ78" i="29" s="1"/>
  <c r="AB108" i="29"/>
  <c r="EH24" i="29"/>
  <c r="AQ24" i="29" s="1"/>
  <c r="EH70" i="29"/>
  <c r="AQ68" i="29"/>
  <c r="Z118" i="29"/>
  <c r="Q28" i="35"/>
  <c r="Q33" i="35"/>
  <c r="Q34" i="35" s="1"/>
  <c r="I19" i="38"/>
  <c r="AF31" i="35"/>
  <c r="AD29" i="35"/>
  <c r="W108" i="29"/>
  <c r="X118" i="29"/>
  <c r="S21" i="36"/>
  <c r="D55" i="29"/>
  <c r="AT55" i="29"/>
  <c r="AF98" i="29"/>
  <c r="BT79" i="29"/>
  <c r="U75" i="29"/>
  <c r="EF75" i="29"/>
  <c r="BG76" i="29"/>
  <c r="BG80" i="29" s="1"/>
  <c r="BG25" i="29" s="1"/>
  <c r="AI118" i="29"/>
  <c r="AH32" i="38"/>
  <c r="H82" i="38"/>
  <c r="H98" i="38"/>
  <c r="H116" i="38"/>
  <c r="H18" i="37"/>
  <c r="H74" i="38"/>
  <c r="H91" i="38"/>
  <c r="H107" i="38"/>
  <c r="H14" i="35"/>
  <c r="O19" i="36"/>
  <c r="O16" i="36"/>
  <c r="Y30" i="36"/>
  <c r="Y27" i="36"/>
  <c r="U120" i="36"/>
  <c r="V115" i="36" s="1"/>
  <c r="V120" i="36" s="1"/>
  <c r="W115" i="36" s="1"/>
  <c r="W120" i="36" s="1"/>
  <c r="X115" i="36" s="1"/>
  <c r="X120" i="36" s="1"/>
  <c r="AH115" i="36"/>
  <c r="EW17" i="29"/>
  <c r="AV17" i="29" s="1"/>
  <c r="AV63" i="29"/>
  <c r="AD73" i="37"/>
  <c r="AE65" i="37"/>
  <c r="AA85" i="37"/>
  <c r="AA104" i="37" s="1"/>
  <c r="AB25" i="36"/>
  <c r="K16" i="35"/>
  <c r="U47" i="18"/>
  <c r="F34" i="18" s="1"/>
  <c r="U41" i="18"/>
  <c r="W56" i="11"/>
  <c r="BZ91" i="11"/>
  <c r="W98" i="11"/>
  <c r="BZ117" i="11"/>
  <c r="AK55" i="13"/>
  <c r="AK58" i="13" s="1"/>
  <c r="AK59" i="13" s="1"/>
  <c r="AK60" i="13" s="1"/>
  <c r="CB123" i="11"/>
  <c r="CB148" i="11" s="1"/>
  <c r="BE81" i="11"/>
  <c r="P60" i="11"/>
  <c r="CK117" i="11"/>
  <c r="BO148" i="11"/>
  <c r="BO87" i="11"/>
  <c r="BX148" i="11"/>
  <c r="BX87" i="11"/>
  <c r="CG90" i="11"/>
  <c r="CG81" i="11"/>
  <c r="BQ149" i="11"/>
  <c r="T130" i="11"/>
  <c r="T149" i="11" s="1"/>
  <c r="AJ32" i="24"/>
  <c r="DN33" i="24"/>
  <c r="DO34" i="24" s="1"/>
  <c r="DP35" i="24" s="1"/>
  <c r="CP32" i="24"/>
  <c r="CQ33" i="24" s="1"/>
  <c r="CR34" i="24" s="1"/>
  <c r="CI7" i="25"/>
  <c r="BK46" i="1"/>
  <c r="CH9" i="25"/>
  <c r="BW16" i="25" s="1"/>
  <c r="G114" i="11"/>
  <c r="EJ24" i="25"/>
  <c r="BL40" i="21"/>
  <c r="BL34" i="21"/>
  <c r="BL39" i="21" s="1"/>
  <c r="BS106" i="19"/>
  <c r="BS108" i="19"/>
  <c r="BS109" i="19"/>
  <c r="BS107" i="19"/>
  <c r="CG119" i="19"/>
  <c r="CG120" i="19"/>
  <c r="CG118" i="19"/>
  <c r="CG121" i="19"/>
  <c r="BQ26" i="24"/>
  <c r="BG67" i="19"/>
  <c r="BG99" i="19"/>
  <c r="CK174" i="19"/>
  <c r="CK175" i="19"/>
  <c r="CK176" i="19"/>
  <c r="CK177" i="19"/>
  <c r="CK203" i="19"/>
  <c r="BC42" i="21"/>
  <c r="CN40" i="21"/>
  <c r="CN34" i="21"/>
  <c r="CN39" i="21" s="1"/>
  <c r="CE112" i="19"/>
  <c r="CE113" i="19"/>
  <c r="CE114" i="19"/>
  <c r="CE115" i="19"/>
  <c r="CK250" i="19"/>
  <c r="CK251" i="19"/>
  <c r="CK249" i="19"/>
  <c r="CK248" i="19"/>
  <c r="CK277" i="19"/>
  <c r="BI107" i="19"/>
  <c r="BI109" i="19"/>
  <c r="BI106" i="19"/>
  <c r="BI108" i="19"/>
  <c r="BV254" i="19"/>
  <c r="BV257" i="19"/>
  <c r="BV255" i="19"/>
  <c r="BV256" i="19"/>
  <c r="S53" i="1"/>
  <c r="T36" i="21"/>
  <c r="D73" i="15"/>
  <c r="DM10" i="25"/>
  <c r="DM13" i="25"/>
  <c r="BV267" i="19"/>
  <c r="BV268" i="19"/>
  <c r="BV269" i="19"/>
  <c r="BV266" i="19"/>
  <c r="BD9" i="11"/>
  <c r="BD82" i="11" s="1"/>
  <c r="BD52" i="1"/>
  <c r="S56" i="15"/>
  <c r="S65" i="15"/>
  <c r="S59" i="15"/>
  <c r="E55" i="15"/>
  <c r="BG13" i="1"/>
  <c r="BG94" i="15"/>
  <c r="E46" i="7"/>
  <c r="P74" i="1"/>
  <c r="E46" i="25"/>
  <c r="BA36" i="23"/>
  <c r="BK9" i="24"/>
  <c r="E41" i="15"/>
  <c r="R41" i="15"/>
  <c r="BK11" i="1"/>
  <c r="Z35" i="21"/>
  <c r="CI40" i="21"/>
  <c r="CI34" i="21"/>
  <c r="CI42" i="21" s="1"/>
  <c r="BF27" i="21"/>
  <c r="BF54" i="21"/>
  <c r="BJ90" i="11"/>
  <c r="BJ81" i="11"/>
  <c r="BC90" i="11"/>
  <c r="BC81" i="11"/>
  <c r="CI141" i="11"/>
  <c r="Z129" i="11"/>
  <c r="G129" i="11"/>
  <c r="BC87" i="11"/>
  <c r="AB42" i="13"/>
  <c r="BS97" i="11"/>
  <c r="U61" i="11"/>
  <c r="U89" i="11" s="1"/>
  <c r="BT89" i="11"/>
  <c r="AC57" i="11"/>
  <c r="AC88" i="11" s="1"/>
  <c r="CR88" i="11"/>
  <c r="BA42" i="13"/>
  <c r="CR97" i="11"/>
  <c r="AS66" i="2"/>
  <c r="CO64" i="1"/>
  <c r="BM23" i="11"/>
  <c r="BM46" i="1" s="1"/>
  <c r="CS23" i="11"/>
  <c r="CS46" i="1" s="1"/>
  <c r="AT66" i="2"/>
  <c r="CR64" i="1"/>
  <c r="V42" i="18"/>
  <c r="G26" i="18" s="1"/>
  <c r="V48" i="18"/>
  <c r="G35" i="18" s="1"/>
  <c r="R41" i="18"/>
  <c r="R47" i="18" s="1"/>
  <c r="C34" i="18" s="1"/>
  <c r="BF26" i="21"/>
  <c r="BF49" i="21"/>
  <c r="BF23" i="11"/>
  <c r="N15" i="24"/>
  <c r="AZ65" i="11"/>
  <c r="AC15" i="24"/>
  <c r="CR65" i="11"/>
  <c r="G59" i="2"/>
  <c r="U42" i="18"/>
  <c r="F26" i="18" s="1"/>
  <c r="BR16" i="21"/>
  <c r="BR26" i="21"/>
  <c r="BR49" i="21"/>
  <c r="AP41" i="23"/>
  <c r="AZ12" i="21" s="1"/>
  <c r="AP42" i="23"/>
  <c r="AZ11" i="21" s="1"/>
  <c r="BV41" i="23"/>
  <c r="CF12" i="21" s="1"/>
  <c r="BV42" i="23"/>
  <c r="CF11" i="21" s="1"/>
  <c r="BE40" i="23"/>
  <c r="BE42" i="23"/>
  <c r="BO11" i="21" s="1"/>
  <c r="BD43" i="23"/>
  <c r="BN10" i="21"/>
  <c r="BP43" i="23"/>
  <c r="BZ10" i="21"/>
  <c r="V44" i="22"/>
  <c r="AC90" i="22"/>
  <c r="K91" i="22"/>
  <c r="M7" i="22"/>
  <c r="T8" i="13"/>
  <c r="BK39" i="11"/>
  <c r="AI8" i="13"/>
  <c r="BZ39" i="11"/>
  <c r="CP90" i="11"/>
  <c r="CP81" i="11"/>
  <c r="BJ17" i="11"/>
  <c r="BJ35" i="1" s="1"/>
  <c r="BJ34" i="11"/>
  <c r="AI55" i="13"/>
  <c r="BZ123" i="11"/>
  <c r="CP148" i="11"/>
  <c r="BZ149" i="11"/>
  <c r="W130" i="11"/>
  <c r="W149" i="11" s="1"/>
  <c r="BJ91" i="11"/>
  <c r="AI31" i="13"/>
  <c r="BZ51" i="11"/>
  <c r="CP52" i="11"/>
  <c r="CP87" i="11" s="1"/>
  <c r="W101" i="11"/>
  <c r="W113" i="11" s="1"/>
  <c r="BZ113" i="11"/>
  <c r="CP118" i="11"/>
  <c r="BJ117" i="11"/>
  <c r="CA90" i="11"/>
  <c r="CA81" i="11"/>
  <c r="CQ89" i="11"/>
  <c r="T55" i="13"/>
  <c r="BK123" i="11"/>
  <c r="CA148" i="11"/>
  <c r="R130" i="11"/>
  <c r="R149" i="11" s="1"/>
  <c r="E130" i="11"/>
  <c r="BK149" i="11"/>
  <c r="CQ88" i="11"/>
  <c r="T31" i="13"/>
  <c r="BK51" i="11"/>
  <c r="CA52" i="11"/>
  <c r="CA87" i="11" s="1"/>
  <c r="E101" i="11"/>
  <c r="R101" i="11"/>
  <c r="R113" i="11" s="1"/>
  <c r="BK113" i="11"/>
  <c r="CA118" i="11"/>
  <c r="AZ42" i="13"/>
  <c r="CQ97" i="11"/>
  <c r="CQ117" i="11" s="1"/>
  <c r="U8" i="13"/>
  <c r="BL39" i="11"/>
  <c r="CB90" i="11"/>
  <c r="CB81" i="11"/>
  <c r="AC61" i="11"/>
  <c r="AC89" i="11" s="1"/>
  <c r="CR89" i="11"/>
  <c r="U55" i="13"/>
  <c r="BL123" i="11"/>
  <c r="AC126" i="11"/>
  <c r="ET11" i="7" s="1"/>
  <c r="BD88" i="11"/>
  <c r="U56" i="11"/>
  <c r="BT91" i="11"/>
  <c r="U91" i="11" s="1"/>
  <c r="AS31" i="13"/>
  <c r="CJ51" i="11"/>
  <c r="M42" i="13"/>
  <c r="BD97" i="11"/>
  <c r="U98" i="11"/>
  <c r="BT117" i="11"/>
  <c r="AT8" i="13"/>
  <c r="CK39" i="11"/>
  <c r="BE89" i="11"/>
  <c r="P61" i="11"/>
  <c r="P89" i="11" s="1"/>
  <c r="BU34" i="11"/>
  <c r="BU17" i="11"/>
  <c r="BU35" i="1" s="1"/>
  <c r="AT55" i="13"/>
  <c r="CK123" i="11"/>
  <c r="CK148" i="11" s="1"/>
  <c r="BU141" i="11"/>
  <c r="U129" i="11"/>
  <c r="U141" i="11" s="1"/>
  <c r="CK149" i="11"/>
  <c r="BE88" i="11"/>
  <c r="P57" i="11"/>
  <c r="P88" i="11" s="1"/>
  <c r="BU91" i="11"/>
  <c r="AT31" i="13"/>
  <c r="CK51" i="11"/>
  <c r="N42" i="13"/>
  <c r="BE97" i="11"/>
  <c r="BU117" i="11"/>
  <c r="BC8" i="13"/>
  <c r="CT39" i="11"/>
  <c r="S61" i="11"/>
  <c r="S89" i="11" s="1"/>
  <c r="BN89" i="11"/>
  <c r="CD34" i="11"/>
  <c r="CD17" i="11"/>
  <c r="CD35" i="1" s="1"/>
  <c r="BC55" i="13"/>
  <c r="CT123" i="11"/>
  <c r="CT149" i="11"/>
  <c r="BN88" i="11"/>
  <c r="S57" i="11"/>
  <c r="S88" i="11" s="1"/>
  <c r="CD91" i="11"/>
  <c r="BC31" i="13"/>
  <c r="CT51" i="11"/>
  <c r="W42" i="13"/>
  <c r="BN97" i="11"/>
  <c r="BN117" i="11" s="1"/>
  <c r="CD117" i="11"/>
  <c r="D60" i="11"/>
  <c r="D81" i="11" s="1"/>
  <c r="AY81" i="11"/>
  <c r="N60" i="11"/>
  <c r="N81" i="11" s="1"/>
  <c r="AY90" i="11"/>
  <c r="BO89" i="11"/>
  <c r="CE34" i="11"/>
  <c r="CE17" i="11"/>
  <c r="CE35" i="1" s="1"/>
  <c r="D124" i="11"/>
  <c r="N124" i="11"/>
  <c r="AY148" i="11"/>
  <c r="D55" i="11"/>
  <c r="D76" i="11" s="1"/>
  <c r="N55" i="11"/>
  <c r="N76" i="11" s="1"/>
  <c r="AY76" i="11"/>
  <c r="BO88" i="11"/>
  <c r="CE91" i="11"/>
  <c r="N52" i="11"/>
  <c r="AY87" i="11"/>
  <c r="D102" i="11"/>
  <c r="N102" i="11"/>
  <c r="N118" i="11" s="1"/>
  <c r="AY118" i="11"/>
  <c r="X42" i="13"/>
  <c r="BO97" i="11"/>
  <c r="CE117" i="11"/>
  <c r="BH90" i="11"/>
  <c r="BH81" i="11"/>
  <c r="Q60" i="11"/>
  <c r="Q81" i="11" s="1"/>
  <c r="BX89" i="11"/>
  <c r="CN34" i="11"/>
  <c r="CN17" i="11"/>
  <c r="CN35" i="1" s="1"/>
  <c r="BH148" i="11"/>
  <c r="Q124" i="11"/>
  <c r="Q55" i="11"/>
  <c r="Q76" i="11" s="1"/>
  <c r="BH76" i="11"/>
  <c r="BX88" i="11"/>
  <c r="CN91" i="11"/>
  <c r="Q52" i="11"/>
  <c r="BH87" i="11"/>
  <c r="Q102" i="11"/>
  <c r="Q118" i="11" s="1"/>
  <c r="BH118" i="11"/>
  <c r="AG42" i="13"/>
  <c r="BX97" i="11"/>
  <c r="CN117" i="11"/>
  <c r="T60" i="11"/>
  <c r="T81" i="11" s="1"/>
  <c r="BQ90" i="11"/>
  <c r="BQ81" i="11"/>
  <c r="CG89" i="11"/>
  <c r="J55" i="13"/>
  <c r="BA123" i="11"/>
  <c r="T124" i="11"/>
  <c r="BQ148" i="11"/>
  <c r="BA149" i="11"/>
  <c r="T55" i="11"/>
  <c r="T76" i="11" s="1"/>
  <c r="BQ76" i="11"/>
  <c r="CG88" i="11"/>
  <c r="J31" i="13"/>
  <c r="BA51" i="11"/>
  <c r="BQ52" i="11"/>
  <c r="CS31" i="24"/>
  <c r="CT32" i="24" s="1"/>
  <c r="CU33" i="24" s="1"/>
  <c r="DS27" i="24"/>
  <c r="AC26" i="24"/>
  <c r="DU27" i="24"/>
  <c r="T102" i="11"/>
  <c r="T118" i="11" s="1"/>
  <c r="BQ118" i="11"/>
  <c r="AP42" i="13"/>
  <c r="CG97" i="11"/>
  <c r="D15" i="24"/>
  <c r="EF31" i="24"/>
  <c r="EG32" i="24" s="1"/>
  <c r="EH33" i="24" s="1"/>
  <c r="DH34" i="24"/>
  <c r="DI35" i="24" s="1"/>
  <c r="DJ36" i="24" s="1"/>
  <c r="CX27" i="24"/>
  <c r="EM28" i="24"/>
  <c r="EF34" i="24"/>
  <c r="BY117" i="11"/>
  <c r="CQ28" i="24"/>
  <c r="AB28" i="24" s="1"/>
  <c r="CY32" i="24"/>
  <c r="CZ33" i="24" s="1"/>
  <c r="DA34" i="24" s="1"/>
  <c r="EO42" i="24"/>
  <c r="EP43" i="24" s="1"/>
  <c r="EQ44" i="24" s="1"/>
  <c r="EI38" i="24"/>
  <c r="EJ39" i="24" s="1"/>
  <c r="EK40" i="24" s="1"/>
  <c r="Q6" i="9"/>
  <c r="G21" i="8" s="1"/>
  <c r="BE163" i="11"/>
  <c r="BE122" i="1"/>
  <c r="P65" i="11"/>
  <c r="D90" i="11"/>
  <c r="E160" i="11"/>
  <c r="EH18" i="25"/>
  <c r="CJ8" i="25"/>
  <c r="BE90" i="11"/>
  <c r="X40" i="11"/>
  <c r="X45" i="11" s="1"/>
  <c r="CC45" i="11"/>
  <c r="E112" i="11"/>
  <c r="BP142" i="11"/>
  <c r="BD34" i="21"/>
  <c r="BD39" i="21" s="1"/>
  <c r="CJ34" i="21"/>
  <c r="CJ39" i="21" s="1"/>
  <c r="BY119" i="19"/>
  <c r="BY118" i="19"/>
  <c r="BY120" i="19"/>
  <c r="BY121" i="19"/>
  <c r="U72" i="15"/>
  <c r="W36" i="21"/>
  <c r="BZ41" i="21"/>
  <c r="AZ248" i="19"/>
  <c r="AZ249" i="19"/>
  <c r="AZ279" i="19" s="1"/>
  <c r="AZ250" i="19"/>
  <c r="AZ280" i="19" s="1"/>
  <c r="AZ251" i="19"/>
  <c r="AZ277" i="19"/>
  <c r="Y59" i="19"/>
  <c r="CF247" i="19"/>
  <c r="D69" i="18"/>
  <c r="X142" i="11"/>
  <c r="BM34" i="21"/>
  <c r="BM39" i="21" s="1"/>
  <c r="BD107" i="19"/>
  <c r="BD108" i="19"/>
  <c r="BD109" i="19"/>
  <c r="BD106" i="19"/>
  <c r="E69" i="19"/>
  <c r="R69" i="19"/>
  <c r="Z69" i="19"/>
  <c r="E51" i="19"/>
  <c r="R51" i="19"/>
  <c r="BK173" i="19"/>
  <c r="T112" i="11"/>
  <c r="T114" i="11" s="1"/>
  <c r="BF67" i="19"/>
  <c r="BF99" i="19"/>
  <c r="AA43" i="19"/>
  <c r="CL67" i="19"/>
  <c r="CL99" i="19"/>
  <c r="BM107" i="19"/>
  <c r="BM108" i="19"/>
  <c r="BM109" i="19"/>
  <c r="BM106" i="19"/>
  <c r="U69" i="19"/>
  <c r="BD174" i="19"/>
  <c r="BD204" i="19" s="1"/>
  <c r="BD175" i="19"/>
  <c r="BD205" i="19" s="1"/>
  <c r="BD176" i="19"/>
  <c r="BD206" i="19" s="1"/>
  <c r="BD177" i="19"/>
  <c r="BD207" i="19" s="1"/>
  <c r="BD203" i="19"/>
  <c r="CJ174" i="19"/>
  <c r="CJ175" i="19"/>
  <c r="CJ176" i="19"/>
  <c r="CJ177" i="19"/>
  <c r="CJ203" i="19"/>
  <c r="E179" i="19"/>
  <c r="BK182" i="19"/>
  <c r="R179" i="19"/>
  <c r="BK183" i="19"/>
  <c r="BK181" i="19"/>
  <c r="BK180" i="19"/>
  <c r="T191" i="19"/>
  <c r="BQ192" i="19"/>
  <c r="T192" i="19" s="1"/>
  <c r="T168" i="19" s="1"/>
  <c r="BQ193" i="19"/>
  <c r="T193" i="19" s="1"/>
  <c r="T169" i="19" s="1"/>
  <c r="BQ194" i="19"/>
  <c r="T194" i="19" s="1"/>
  <c r="T170" i="19" s="1"/>
  <c r="BQ195" i="19"/>
  <c r="T195" i="19" s="1"/>
  <c r="BR248" i="19"/>
  <c r="BR278" i="19" s="1"/>
  <c r="BR249" i="19"/>
  <c r="BR279" i="19" s="1"/>
  <c r="BR250" i="19"/>
  <c r="BR280" i="19" s="1"/>
  <c r="BR251" i="19"/>
  <c r="BR281" i="19" s="1"/>
  <c r="BR277" i="19"/>
  <c r="Y259" i="19"/>
  <c r="CF260" i="19"/>
  <c r="Y260" i="19" s="1"/>
  <c r="Y236" i="19" s="1"/>
  <c r="CF261" i="19"/>
  <c r="Y261" i="19" s="1"/>
  <c r="Y237" i="19" s="1"/>
  <c r="CF263" i="19"/>
  <c r="Y263" i="19" s="1"/>
  <c r="Y239" i="19" s="1"/>
  <c r="CF262" i="19"/>
  <c r="Y262" i="19" s="1"/>
  <c r="Y238" i="19" s="1"/>
  <c r="AY266" i="19"/>
  <c r="AY267" i="19"/>
  <c r="D265" i="19"/>
  <c r="AY268" i="19"/>
  <c r="N265" i="19"/>
  <c r="AY269" i="19"/>
  <c r="BH11" i="24"/>
  <c r="Q9" i="24"/>
  <c r="D43" i="19"/>
  <c r="N43" i="19"/>
  <c r="AY67" i="19"/>
  <c r="AY99" i="19"/>
  <c r="CE67" i="19"/>
  <c r="CE99" i="19"/>
  <c r="S105" i="19"/>
  <c r="BN107" i="19"/>
  <c r="S107" i="19" s="1"/>
  <c r="S83" i="19" s="1"/>
  <c r="BN108" i="19"/>
  <c r="S108" i="19" s="1"/>
  <c r="S84" i="19" s="1"/>
  <c r="BN109" i="19"/>
  <c r="S109" i="19" s="1"/>
  <c r="S85" i="19" s="1"/>
  <c r="BN106" i="19"/>
  <c r="S106" i="19" s="1"/>
  <c r="S82" i="19" s="1"/>
  <c r="CL68" i="19"/>
  <c r="AA68" i="19" s="1"/>
  <c r="BM114" i="19"/>
  <c r="BM115" i="19"/>
  <c r="BM113" i="19"/>
  <c r="BM112" i="19"/>
  <c r="BT118" i="19"/>
  <c r="U118" i="19" s="1"/>
  <c r="U94" i="19" s="1"/>
  <c r="BT119" i="19"/>
  <c r="U119" i="19" s="1"/>
  <c r="U95" i="19" s="1"/>
  <c r="U117" i="19"/>
  <c r="BT121" i="19"/>
  <c r="U121" i="19" s="1"/>
  <c r="BT120" i="19"/>
  <c r="U120" i="19" s="1"/>
  <c r="U96" i="19" s="1"/>
  <c r="X51" i="19"/>
  <c r="CC173" i="19"/>
  <c r="BZ192" i="19"/>
  <c r="W192" i="19" s="1"/>
  <c r="W168" i="19" s="1"/>
  <c r="W191" i="19"/>
  <c r="BZ193" i="19"/>
  <c r="W193" i="19" s="1"/>
  <c r="W169" i="19" s="1"/>
  <c r="BZ194" i="19"/>
  <c r="W194" i="19" s="1"/>
  <c r="W170" i="19" s="1"/>
  <c r="BZ195" i="19"/>
  <c r="W195" i="19" s="1"/>
  <c r="E73" i="15"/>
  <c r="DN10" i="25"/>
  <c r="DN13" i="25"/>
  <c r="CA42" i="21"/>
  <c r="AZ40" i="21"/>
  <c r="AZ34" i="21"/>
  <c r="AZ39" i="21" s="1"/>
  <c r="Y35" i="21"/>
  <c r="CF34" i="21"/>
  <c r="CF41" i="21" s="1"/>
  <c r="S111" i="19"/>
  <c r="BN113" i="19"/>
  <c r="S113" i="19" s="1"/>
  <c r="BN114" i="19"/>
  <c r="S114" i="19" s="1"/>
  <c r="BN115" i="19"/>
  <c r="S115" i="19" s="1"/>
  <c r="S91" i="19" s="1"/>
  <c r="BN112" i="19"/>
  <c r="S112" i="19" s="1"/>
  <c r="S88" i="19" s="1"/>
  <c r="AA69" i="19"/>
  <c r="BM118" i="19"/>
  <c r="BM121" i="19"/>
  <c r="BM119" i="19"/>
  <c r="BM120" i="19"/>
  <c r="BV41" i="21"/>
  <c r="BE180" i="19"/>
  <c r="P180" i="19" s="1"/>
  <c r="P156" i="19" s="1"/>
  <c r="P179" i="19"/>
  <c r="BE181" i="19"/>
  <c r="P181" i="19" s="1"/>
  <c r="P157" i="19" s="1"/>
  <c r="BE183" i="19"/>
  <c r="P183" i="19" s="1"/>
  <c r="P159" i="19" s="1"/>
  <c r="BE182" i="19"/>
  <c r="P182" i="19" s="1"/>
  <c r="P158" i="19" s="1"/>
  <c r="CB251" i="19"/>
  <c r="CB281" i="19" s="1"/>
  <c r="CB248" i="19"/>
  <c r="CB278" i="19" s="1"/>
  <c r="CB250" i="19"/>
  <c r="CB280" i="19" s="1"/>
  <c r="CB249" i="19"/>
  <c r="CB279" i="19" s="1"/>
  <c r="CB277" i="19"/>
  <c r="BS26" i="24"/>
  <c r="BT27" i="24" s="1"/>
  <c r="AA66" i="15"/>
  <c r="CH42" i="19"/>
  <c r="CH66" i="19" s="1"/>
  <c r="CG12" i="15"/>
  <c r="CH40" i="15"/>
  <c r="CH47" i="15" s="1"/>
  <c r="CH90" i="15"/>
  <c r="BY67" i="19"/>
  <c r="BY99" i="19"/>
  <c r="BH106" i="19"/>
  <c r="BH109" i="19"/>
  <c r="BH107" i="19"/>
  <c r="BH108" i="19"/>
  <c r="CF68" i="19"/>
  <c r="F45" i="19"/>
  <c r="BN118" i="19"/>
  <c r="S117" i="19"/>
  <c r="BN120" i="19"/>
  <c r="BN119" i="19"/>
  <c r="BN121" i="19"/>
  <c r="CL70" i="19"/>
  <c r="BO41" i="21"/>
  <c r="P73" i="15"/>
  <c r="X59" i="19"/>
  <c r="CC247" i="19"/>
  <c r="Z259" i="19"/>
  <c r="BY163" i="11"/>
  <c r="BJ34" i="21"/>
  <c r="BJ39" i="21" s="1"/>
  <c r="BA107" i="19"/>
  <c r="BA109" i="19"/>
  <c r="BA106" i="19"/>
  <c r="BA108" i="19"/>
  <c r="Y45" i="19"/>
  <c r="BH41" i="21"/>
  <c r="Q36" i="21"/>
  <c r="CN41" i="21"/>
  <c r="V52" i="19"/>
  <c r="CC195" i="19"/>
  <c r="X195" i="19" s="1"/>
  <c r="X191" i="19"/>
  <c r="CC193" i="19"/>
  <c r="X193" i="19" s="1"/>
  <c r="X169" i="19" s="1"/>
  <c r="CC192" i="19"/>
  <c r="X192" i="19" s="1"/>
  <c r="X168" i="19" s="1"/>
  <c r="CC194" i="19"/>
  <c r="X194" i="19" s="1"/>
  <c r="X170" i="19" s="1"/>
  <c r="S59" i="19"/>
  <c r="BN247" i="19"/>
  <c r="E62" i="19"/>
  <c r="U9" i="24"/>
  <c r="BT11" i="24"/>
  <c r="N56" i="15"/>
  <c r="N62" i="15" s="1"/>
  <c r="CL142" i="11"/>
  <c r="CL163" i="11"/>
  <c r="CL121" i="1"/>
  <c r="AZ180" i="19"/>
  <c r="AZ181" i="19"/>
  <c r="AZ182" i="19"/>
  <c r="AZ183" i="19"/>
  <c r="BP12" i="1"/>
  <c r="Y54" i="15"/>
  <c r="CF66" i="15"/>
  <c r="CF56" i="15"/>
  <c r="CF60" i="15" s="1"/>
  <c r="BT94" i="15"/>
  <c r="U94" i="15" s="1"/>
  <c r="BR67" i="15"/>
  <c r="BX29" i="11"/>
  <c r="BX30" i="11" s="1"/>
  <c r="BX163" i="11"/>
  <c r="BA41" i="21"/>
  <c r="BG36" i="23"/>
  <c r="BQ9" i="24"/>
  <c r="T41" i="15"/>
  <c r="BQ11" i="1"/>
  <c r="CG66" i="15"/>
  <c r="CG56" i="15"/>
  <c r="CG60" i="15"/>
  <c r="U62" i="19"/>
  <c r="BT265" i="19"/>
  <c r="Z99" i="15"/>
  <c r="Z100" i="15" s="1"/>
  <c r="R111" i="15"/>
  <c r="R112" i="15"/>
  <c r="X11" i="11"/>
  <c r="X112" i="1"/>
  <c r="BC91" i="1"/>
  <c r="BC102" i="1"/>
  <c r="BC74" i="1"/>
  <c r="Q7" i="7"/>
  <c r="BO7" i="7"/>
  <c r="CG29" i="11"/>
  <c r="CG30" i="11" s="1"/>
  <c r="AZ256" i="19"/>
  <c r="AZ255" i="19"/>
  <c r="AZ257" i="19"/>
  <c r="AZ254" i="19"/>
  <c r="CN254" i="19"/>
  <c r="CN256" i="19"/>
  <c r="CN257" i="19"/>
  <c r="CN255" i="19"/>
  <c r="BK41" i="23"/>
  <c r="BU12" i="21" s="1"/>
  <c r="BK37" i="23"/>
  <c r="BK42" i="23"/>
  <c r="BU11" i="21" s="1"/>
  <c r="R105" i="15"/>
  <c r="R106" i="15" s="1"/>
  <c r="CJ10" i="11"/>
  <c r="CJ91" i="1"/>
  <c r="CJ102" i="1"/>
  <c r="CJ74" i="1"/>
  <c r="Q8" i="7"/>
  <c r="BO8" i="7"/>
  <c r="AC53" i="1"/>
  <c r="CP29" i="11"/>
  <c r="CP30" i="11" s="1"/>
  <c r="BD149" i="11"/>
  <c r="D71" i="15"/>
  <c r="CS10" i="25"/>
  <c r="CS13" i="25"/>
  <c r="N55" i="15"/>
  <c r="AY61" i="15"/>
  <c r="BK67" i="15"/>
  <c r="D55" i="15"/>
  <c r="BG42" i="21"/>
  <c r="V73" i="15"/>
  <c r="CM61" i="15"/>
  <c r="CM67" i="15"/>
  <c r="S62" i="19"/>
  <c r="BN265" i="19"/>
  <c r="E265" i="19" s="1"/>
  <c r="BU109" i="11"/>
  <c r="BU137" i="11"/>
  <c r="CE72" i="11"/>
  <c r="CE77" i="11"/>
  <c r="CS74" i="1"/>
  <c r="E27" i="11"/>
  <c r="E29" i="11" s="1"/>
  <c r="E30" i="11" s="1"/>
  <c r="CQ29" i="11"/>
  <c r="CQ30" i="11" s="1"/>
  <c r="BF144" i="11"/>
  <c r="BF145" i="11" s="1"/>
  <c r="BF127" i="1"/>
  <c r="BP13" i="1"/>
  <c r="BP94" i="15"/>
  <c r="CZ94" i="15" s="1"/>
  <c r="CN70" i="19"/>
  <c r="CN117" i="19"/>
  <c r="AA117" i="19" s="1"/>
  <c r="AA112" i="1"/>
  <c r="CO101" i="1"/>
  <c r="CD74" i="1"/>
  <c r="BI69" i="19"/>
  <c r="D69" i="19" s="1"/>
  <c r="BI111" i="19"/>
  <c r="Q111" i="19" s="1"/>
  <c r="Y43" i="15"/>
  <c r="CG94" i="15"/>
  <c r="CG13" i="1"/>
  <c r="BF194" i="19"/>
  <c r="BF195" i="19"/>
  <c r="BF192" i="19"/>
  <c r="BF193" i="19"/>
  <c r="AA44" i="15"/>
  <c r="CL13" i="1"/>
  <c r="BA42" i="21"/>
  <c r="T79" i="15"/>
  <c r="BQ80" i="15"/>
  <c r="BQ74" i="15" s="1"/>
  <c r="BO74" i="1"/>
  <c r="BO91" i="1"/>
  <c r="BO102" i="1"/>
  <c r="P29" i="11"/>
  <c r="P30" i="11" s="1"/>
  <c r="BB56" i="15"/>
  <c r="BB59" i="15"/>
  <c r="O53" i="15"/>
  <c r="BZ56" i="15"/>
  <c r="BZ65" i="15"/>
  <c r="W53" i="15"/>
  <c r="F53" i="15"/>
  <c r="BZ59" i="15"/>
  <c r="CE94" i="15"/>
  <c r="CE13" i="1"/>
  <c r="P9" i="24"/>
  <c r="BE11" i="24"/>
  <c r="D42" i="15"/>
  <c r="DW10" i="25" s="1"/>
  <c r="CL65" i="15"/>
  <c r="CB61" i="15"/>
  <c r="N100" i="15"/>
  <c r="N99" i="15"/>
  <c r="S27" i="11"/>
  <c r="S29" i="11" s="1"/>
  <c r="S30" i="11" s="1"/>
  <c r="BV21" i="1"/>
  <c r="BV14" i="1"/>
  <c r="BV97" i="1"/>
  <c r="U12" i="1"/>
  <c r="BV88" i="1"/>
  <c r="Q79" i="15"/>
  <c r="Q80" i="15" s="1"/>
  <c r="BF21" i="1"/>
  <c r="BF14" i="1"/>
  <c r="BF97" i="1"/>
  <c r="BF88" i="1"/>
  <c r="AA99" i="15"/>
  <c r="AA100" i="15" s="1"/>
  <c r="T77" i="15"/>
  <c r="T80" i="15" s="1"/>
  <c r="BG29" i="11"/>
  <c r="BG30" i="11" s="1"/>
  <c r="CE29" i="11"/>
  <c r="CE30" i="11" s="1"/>
  <c r="N71" i="1"/>
  <c r="AY91" i="1"/>
  <c r="AY102" i="1"/>
  <c r="CM56" i="15"/>
  <c r="Q100" i="15"/>
  <c r="Q99" i="15"/>
  <c r="ES10" i="25"/>
  <c r="BC59" i="15"/>
  <c r="BC56" i="15"/>
  <c r="BO65" i="15"/>
  <c r="R53" i="15"/>
  <c r="BK59" i="15"/>
  <c r="BK65" i="15"/>
  <c r="E53" i="15"/>
  <c r="BW65" i="15"/>
  <c r="BK56" i="15"/>
  <c r="W77" i="15"/>
  <c r="W80" i="15" s="1"/>
  <c r="CA80" i="15"/>
  <c r="CA74" i="15" s="1"/>
  <c r="Z106" i="15"/>
  <c r="Z105" i="15"/>
  <c r="BP74" i="1"/>
  <c r="BP91" i="1"/>
  <c r="BP102" i="1"/>
  <c r="CA101" i="1"/>
  <c r="Y28" i="1"/>
  <c r="Y91" i="1" s="1"/>
  <c r="CF74" i="1"/>
  <c r="CF102" i="1"/>
  <c r="CQ101" i="1"/>
  <c r="BV20" i="1"/>
  <c r="CC91" i="1"/>
  <c r="CC102" i="1"/>
  <c r="AA103" i="15"/>
  <c r="S99" i="1"/>
  <c r="C46" i="7"/>
  <c r="BE102" i="1"/>
  <c r="CK74" i="1"/>
  <c r="AC110" i="37"/>
  <c r="AC116" i="37"/>
  <c r="AV74" i="29"/>
  <c r="T46" i="38"/>
  <c r="S20" i="36"/>
  <c r="DG68" i="29"/>
  <c r="I65" i="29"/>
  <c r="AH65" i="29"/>
  <c r="DA80" i="29"/>
  <c r="AF76" i="29"/>
  <c r="AO108" i="29"/>
  <c r="L129" i="36"/>
  <c r="AE129" i="36" s="1"/>
  <c r="BH78" i="29"/>
  <c r="E96" i="29"/>
  <c r="D69" i="28"/>
  <c r="T76" i="36"/>
  <c r="S68" i="37"/>
  <c r="AG75" i="36"/>
  <c r="AW55" i="29"/>
  <c r="EZ58" i="29"/>
  <c r="AH106" i="29"/>
  <c r="AF23" i="38"/>
  <c r="AF27" i="38" s="1"/>
  <c r="S15" i="38"/>
  <c r="S27" i="35" s="1"/>
  <c r="AD136" i="37"/>
  <c r="F31" i="37"/>
  <c r="F33" i="37" s="1"/>
  <c r="AD65" i="29"/>
  <c r="CU68" i="29"/>
  <c r="H65" i="29"/>
  <c r="CF80" i="29"/>
  <c r="W61" i="28"/>
  <c r="W45" i="28"/>
  <c r="N39" i="36"/>
  <c r="N43" i="36"/>
  <c r="M43" i="35"/>
  <c r="AF133" i="36"/>
  <c r="AF136" i="36" s="1"/>
  <c r="AF138" i="36" s="1"/>
  <c r="AF139" i="36" s="1"/>
  <c r="M136" i="36"/>
  <c r="T116" i="29"/>
  <c r="AM55" i="29"/>
  <c r="DV58" i="29"/>
  <c r="DV70" i="29" s="1"/>
  <c r="CV24" i="29"/>
  <c r="CV31" i="29" s="1"/>
  <c r="CV70" i="29"/>
  <c r="R74" i="29"/>
  <c r="BK78" i="29"/>
  <c r="K31" i="37"/>
  <c r="BG74" i="29"/>
  <c r="BG78" i="29" s="1"/>
  <c r="EI74" i="29"/>
  <c r="EO75" i="29"/>
  <c r="AD118" i="29"/>
  <c r="P20" i="36"/>
  <c r="AF38" i="36"/>
  <c r="AF43" i="36" s="1"/>
  <c r="L131" i="41"/>
  <c r="M128" i="41"/>
  <c r="B130" i="41"/>
  <c r="D130" i="41"/>
  <c r="I130" i="41"/>
  <c r="EE75" i="29"/>
  <c r="AP75" i="29" s="1"/>
  <c r="W35" i="38"/>
  <c r="DT74" i="29"/>
  <c r="EH75" i="29"/>
  <c r="AQ75" i="29" s="1"/>
  <c r="BI76" i="29"/>
  <c r="BI80" i="29" s="1"/>
  <c r="BI25" i="29" s="1"/>
  <c r="FA76" i="29"/>
  <c r="AD27" i="35"/>
  <c r="AE13" i="36"/>
  <c r="Q20" i="36"/>
  <c r="N20" i="36"/>
  <c r="BI74" i="29"/>
  <c r="BI78" i="29" s="1"/>
  <c r="FA74" i="29"/>
  <c r="AW74" i="29" s="1"/>
  <c r="EK17" i="29"/>
  <c r="AR17" i="29" s="1"/>
  <c r="AR63" i="29"/>
  <c r="EA75" i="29"/>
  <c r="BZ76" i="29"/>
  <c r="AA77" i="38"/>
  <c r="AA81" i="38" s="1"/>
  <c r="Z81" i="38"/>
  <c r="AH83" i="36"/>
  <c r="U88" i="36"/>
  <c r="V83" i="36" s="1"/>
  <c r="V88" i="36" s="1"/>
  <c r="W83" i="36" s="1"/>
  <c r="W88" i="36" s="1"/>
  <c r="X83" i="36" s="1"/>
  <c r="X88" i="36" s="1"/>
  <c r="BJ74" i="29"/>
  <c r="BJ78" i="29" s="1"/>
  <c r="ED74" i="29"/>
  <c r="DT75" i="29"/>
  <c r="V123" i="37"/>
  <c r="W26" i="36"/>
  <c r="AH26" i="36" s="1"/>
  <c r="EH10" i="29"/>
  <c r="AQ58" i="29"/>
  <c r="CI75" i="29"/>
  <c r="CQ74" i="29"/>
  <c r="CQ78" i="29" s="1"/>
  <c r="W98" i="29"/>
  <c r="DY24" i="29"/>
  <c r="AN24" i="29" s="1"/>
  <c r="DY70" i="29"/>
  <c r="AN68" i="29"/>
  <c r="BL76" i="29"/>
  <c r="BL80" i="29" s="1"/>
  <c r="BL25" i="29" s="1"/>
  <c r="AH63" i="38"/>
  <c r="T63" i="38"/>
  <c r="T24" i="38" s="1"/>
  <c r="U63" i="38"/>
  <c r="U24" i="38" s="1"/>
  <c r="U16" i="38" s="1"/>
  <c r="Q27" i="34"/>
  <c r="V63" i="38"/>
  <c r="W63" i="38"/>
  <c r="M28" i="35"/>
  <c r="M33" i="35"/>
  <c r="M34" i="35" s="1"/>
  <c r="N21" i="36"/>
  <c r="V50" i="36"/>
  <c r="V67" i="36"/>
  <c r="W62" i="36" s="1"/>
  <c r="CQ75" i="29"/>
  <c r="CQ79" i="29" s="1"/>
  <c r="CQ18" i="29" s="1"/>
  <c r="J74" i="38"/>
  <c r="L111" i="37"/>
  <c r="CP75" i="29"/>
  <c r="CP79" i="29" s="1"/>
  <c r="CP18" i="29" s="1"/>
  <c r="AJ108" i="29"/>
  <c r="AI65" i="29"/>
  <c r="G118" i="29"/>
  <c r="V25" i="34"/>
  <c r="V32" i="34" s="1"/>
  <c r="AC40" i="37"/>
  <c r="AC39" i="37"/>
  <c r="AD14" i="36"/>
  <c r="S32" i="36"/>
  <c r="J55" i="29"/>
  <c r="AN98" i="29"/>
  <c r="EN75" i="29"/>
  <c r="BW76" i="29"/>
  <c r="K19" i="38"/>
  <c r="W24" i="34"/>
  <c r="AD38" i="37"/>
  <c r="P82" i="38"/>
  <c r="P98" i="38"/>
  <c r="P116" i="38"/>
  <c r="P18" i="37"/>
  <c r="P74" i="38"/>
  <c r="P91" i="38"/>
  <c r="P107" i="38"/>
  <c r="P14" i="35"/>
  <c r="O31" i="36"/>
  <c r="N43" i="35"/>
  <c r="O28" i="36"/>
  <c r="O32" i="36"/>
  <c r="BF76" i="29"/>
  <c r="BF80" i="29" s="1"/>
  <c r="BF25" i="29" s="1"/>
  <c r="AH44" i="38"/>
  <c r="K24" i="35"/>
  <c r="K39" i="35"/>
  <c r="W41" i="18"/>
  <c r="W47" i="18" s="1"/>
  <c r="H34" i="18" s="1"/>
  <c r="W42" i="18"/>
  <c r="H26" i="18" s="1"/>
  <c r="W38" i="18"/>
  <c r="AX40" i="23"/>
  <c r="CD40" i="23"/>
  <c r="BM41" i="23"/>
  <c r="BW12" i="21" s="1"/>
  <c r="BL43" i="23"/>
  <c r="BV10" i="21"/>
  <c r="S38" i="18"/>
  <c r="BX43" i="23"/>
  <c r="CH10" i="21"/>
  <c r="R8" i="22"/>
  <c r="S8" i="22"/>
  <c r="K9" i="22"/>
  <c r="T8" i="22"/>
  <c r="N8" i="22"/>
  <c r="V8" i="22"/>
  <c r="O8" i="22"/>
  <c r="M8" i="22"/>
  <c r="U8" i="22"/>
  <c r="W8" i="22"/>
  <c r="X8" i="22"/>
  <c r="Y8" i="22"/>
  <c r="P8" i="22"/>
  <c r="Q8" i="22"/>
  <c r="J45" i="22"/>
  <c r="J46" i="22" s="1"/>
  <c r="J47" i="22" s="1"/>
  <c r="J48" i="22" s="1"/>
  <c r="J49" i="22" s="1"/>
  <c r="J50" i="22" s="1"/>
  <c r="J51" i="22" s="1"/>
  <c r="J52" i="22" s="1"/>
  <c r="M44" i="22"/>
  <c r="R44" i="22"/>
  <c r="S44" i="22"/>
  <c r="AB8" i="13"/>
  <c r="BS39" i="11"/>
  <c r="AQ8" i="13"/>
  <c r="CH39" i="11"/>
  <c r="BB89" i="11"/>
  <c r="O61" i="11"/>
  <c r="O89" i="11" s="1"/>
  <c r="BR17" i="11"/>
  <c r="BR35" i="1" s="1"/>
  <c r="BR34" i="11"/>
  <c r="AQ55" i="13"/>
  <c r="AQ58" i="13" s="1"/>
  <c r="CH123" i="11"/>
  <c r="CH148" i="11" s="1"/>
  <c r="BB88" i="11"/>
  <c r="O57" i="11"/>
  <c r="O88" i="11" s="1"/>
  <c r="BR91" i="11"/>
  <c r="AQ31" i="13"/>
  <c r="CH51" i="11"/>
  <c r="K42" i="13"/>
  <c r="BB97" i="11"/>
  <c r="BB117" i="11" s="1"/>
  <c r="BR117" i="11"/>
  <c r="CI90" i="11"/>
  <c r="G60" i="11"/>
  <c r="G81" i="11" s="1"/>
  <c r="H81" i="11" s="1"/>
  <c r="CI81" i="11"/>
  <c r="Z60" i="11"/>
  <c r="Z81" i="11" s="1"/>
  <c r="BC17" i="11"/>
  <c r="BC35" i="1" s="1"/>
  <c r="BC34" i="11"/>
  <c r="AB55" i="13"/>
  <c r="AB58" i="13" s="1"/>
  <c r="AB59" i="13" s="1"/>
  <c r="AB60" i="13" s="1"/>
  <c r="BS123" i="11"/>
  <c r="CI148" i="11"/>
  <c r="Z124" i="11"/>
  <c r="G124" i="11"/>
  <c r="Z55" i="11"/>
  <c r="Z76" i="11" s="1"/>
  <c r="CI76" i="11"/>
  <c r="G55" i="11"/>
  <c r="G76" i="11" s="1"/>
  <c r="H76" i="11" s="1"/>
  <c r="BC91" i="11"/>
  <c r="AB31" i="13"/>
  <c r="BS51" i="11"/>
  <c r="CI52" i="11"/>
  <c r="G102" i="11"/>
  <c r="Z102" i="11"/>
  <c r="CI118" i="11"/>
  <c r="BC117" i="11"/>
  <c r="AC8" i="13"/>
  <c r="BT39" i="11"/>
  <c r="CJ90" i="11"/>
  <c r="CJ81" i="11"/>
  <c r="BD34" i="11"/>
  <c r="BD17" i="11"/>
  <c r="BD35" i="1" s="1"/>
  <c r="AC55" i="13"/>
  <c r="AC58" i="13" s="1"/>
  <c r="AC59" i="13" s="1"/>
  <c r="AC60" i="13" s="1"/>
  <c r="BT123" i="11"/>
  <c r="CJ148" i="11"/>
  <c r="CB91" i="11"/>
  <c r="BA31" i="13"/>
  <c r="CR51" i="11"/>
  <c r="CR87" i="11" s="1"/>
  <c r="CR113" i="11"/>
  <c r="AC101" i="11"/>
  <c r="U42" i="13"/>
  <c r="BL97" i="11"/>
  <c r="CB117" i="11"/>
  <c r="BB8" i="13"/>
  <c r="CS39" i="11"/>
  <c r="X28" i="11"/>
  <c r="X29" i="11" s="1"/>
  <c r="X30" i="11" s="1"/>
  <c r="CC34" i="11"/>
  <c r="CC17" i="11"/>
  <c r="CC35" i="1" s="1"/>
  <c r="BB55" i="13"/>
  <c r="BB58" i="13" s="1"/>
  <c r="BB59" i="13" s="1"/>
  <c r="BB60" i="13" s="1"/>
  <c r="CS123" i="11"/>
  <c r="CC141" i="11"/>
  <c r="X129" i="11"/>
  <c r="X141" i="11" s="1"/>
  <c r="X56" i="11"/>
  <c r="X84" i="11" s="1"/>
  <c r="CC91" i="11"/>
  <c r="BB31" i="13"/>
  <c r="CS51" i="11"/>
  <c r="CS87" i="11" s="1"/>
  <c r="V42" i="13"/>
  <c r="BM97" i="11"/>
  <c r="X98" i="11"/>
  <c r="CC117" i="11"/>
  <c r="BF81" i="11"/>
  <c r="BF90" i="11"/>
  <c r="CL34" i="11"/>
  <c r="CL17" i="11"/>
  <c r="CL35" i="1" s="1"/>
  <c r="AA28" i="11"/>
  <c r="BF148" i="11"/>
  <c r="AA129" i="11"/>
  <c r="CL141" i="11"/>
  <c r="AA56" i="11"/>
  <c r="CL91" i="11"/>
  <c r="BF52" i="11"/>
  <c r="BF87" i="11" s="1"/>
  <c r="AE42" i="13"/>
  <c r="BV97" i="11"/>
  <c r="AA98" i="11"/>
  <c r="CL117" i="11"/>
  <c r="BG81" i="11"/>
  <c r="BG90" i="11"/>
  <c r="V61" i="11"/>
  <c r="V89" i="11" s="1"/>
  <c r="F61" i="11"/>
  <c r="F89" i="11" s="1"/>
  <c r="BW89" i="11"/>
  <c r="CM34" i="11"/>
  <c r="CM17" i="11"/>
  <c r="CM35" i="1" s="1"/>
  <c r="BG148" i="11"/>
  <c r="F126" i="11"/>
  <c r="ES11" i="25" s="1"/>
  <c r="V126" i="11"/>
  <c r="V57" i="11"/>
  <c r="V88" i="11" s="1"/>
  <c r="F57" i="11"/>
  <c r="F88" i="11" s="1"/>
  <c r="BW88" i="11"/>
  <c r="CM91" i="11"/>
  <c r="BG52" i="11"/>
  <c r="BG87" i="11" s="1"/>
  <c r="AF42" i="13"/>
  <c r="BW97" i="11"/>
  <c r="BW117" i="11" s="1"/>
  <c r="CM117" i="11"/>
  <c r="BP90" i="11"/>
  <c r="BP81" i="11"/>
  <c r="Y61" i="11"/>
  <c r="Y89" i="11" s="1"/>
  <c r="CF89" i="11"/>
  <c r="I55" i="13"/>
  <c r="I58" i="13" s="1"/>
  <c r="I59" i="13" s="1"/>
  <c r="I60" i="13" s="1"/>
  <c r="AZ123" i="11"/>
  <c r="AZ148" i="11" s="1"/>
  <c r="BP148" i="11"/>
  <c r="Y126" i="11"/>
  <c r="Y57" i="11"/>
  <c r="Y88" i="11" s="1"/>
  <c r="CF88" i="11"/>
  <c r="I31" i="13"/>
  <c r="AZ51" i="11"/>
  <c r="BP52" i="11"/>
  <c r="BP87" i="11" s="1"/>
  <c r="AZ113" i="11"/>
  <c r="AO42" i="13"/>
  <c r="CF97" i="11"/>
  <c r="CF117" i="11" s="1"/>
  <c r="R8" i="13"/>
  <c r="BI39" i="11"/>
  <c r="BY90" i="11"/>
  <c r="BY81" i="11"/>
  <c r="CO89" i="11"/>
  <c r="AB61" i="11"/>
  <c r="AB89" i="11" s="1"/>
  <c r="R55" i="13"/>
  <c r="BI123" i="11"/>
  <c r="BI148" i="11" s="1"/>
  <c r="BY148" i="11"/>
  <c r="AB126" i="11"/>
  <c r="ES11" i="7" s="1"/>
  <c r="AB57" i="11"/>
  <c r="AB88" i="11" s="1"/>
  <c r="CO88" i="11"/>
  <c r="R31" i="13"/>
  <c r="BI51" i="11"/>
  <c r="BI87" i="11" s="1"/>
  <c r="BY87" i="11"/>
  <c r="E15" i="24"/>
  <c r="DQ32" i="24"/>
  <c r="DR33" i="24" s="1"/>
  <c r="DS34" i="24" s="1"/>
  <c r="AN26" i="24"/>
  <c r="EA27" i="24"/>
  <c r="AX42" i="13"/>
  <c r="CO97" i="11"/>
  <c r="G15" i="24"/>
  <c r="AI29" i="24"/>
  <c r="CY35" i="24"/>
  <c r="CZ36" i="24" s="1"/>
  <c r="DA37" i="24" s="1"/>
  <c r="DF27" i="24"/>
  <c r="AG26" i="24"/>
  <c r="EV29" i="24"/>
  <c r="EI33" i="24"/>
  <c r="EJ34" i="24" s="1"/>
  <c r="EK35" i="24" s="1"/>
  <c r="DK33" i="24"/>
  <c r="DL34" i="24" s="1"/>
  <c r="DM35" i="24" s="1"/>
  <c r="CG117" i="11"/>
  <c r="ER32" i="24"/>
  <c r="ES33" i="24" s="1"/>
  <c r="ET34" i="24" s="1"/>
  <c r="EC33" i="24"/>
  <c r="ED34" i="24" s="1"/>
  <c r="EE35" i="24" s="1"/>
  <c r="AO32" i="24"/>
  <c r="W5" i="9"/>
  <c r="Q5" i="9"/>
  <c r="G20" i="8" s="1"/>
  <c r="CI10" i="25"/>
  <c r="Y45" i="11"/>
  <c r="D169" i="11"/>
  <c r="CH10" i="25"/>
  <c r="F142" i="11"/>
  <c r="ES28" i="25" s="1"/>
  <c r="CJ7" i="25"/>
  <c r="R65" i="11"/>
  <c r="D142" i="11"/>
  <c r="EQ28" i="25" s="1"/>
  <c r="D166" i="11"/>
  <c r="D163" i="11"/>
  <c r="D167" i="11" s="1"/>
  <c r="CH7" i="25"/>
  <c r="CI142" i="11"/>
  <c r="CI163" i="11"/>
  <c r="CI119" i="1"/>
  <c r="P40" i="11"/>
  <c r="P45" i="11" s="1"/>
  <c r="BE45" i="11"/>
  <c r="CK90" i="11"/>
  <c r="BL67" i="19"/>
  <c r="BL99" i="19"/>
  <c r="BR112" i="19"/>
  <c r="BR113" i="19"/>
  <c r="BR114" i="19"/>
  <c r="BR115" i="19"/>
  <c r="BA119" i="19"/>
  <c r="BA121" i="19"/>
  <c r="BA120" i="19"/>
  <c r="BA118" i="19"/>
  <c r="O51" i="19"/>
  <c r="BB173" i="19"/>
  <c r="CH174" i="19"/>
  <c r="CH204" i="19" s="1"/>
  <c r="CH176" i="19"/>
  <c r="CH206" i="19" s="1"/>
  <c r="CH177" i="19"/>
  <c r="CH207" i="19" s="1"/>
  <c r="CH175" i="19"/>
  <c r="CH205" i="19" s="1"/>
  <c r="CH203" i="19"/>
  <c r="BW193" i="19"/>
  <c r="BW194" i="19"/>
  <c r="V191" i="19"/>
  <c r="BW195" i="19"/>
  <c r="F191" i="19"/>
  <c r="BW192" i="19"/>
  <c r="AZ42" i="21"/>
  <c r="CF42" i="21"/>
  <c r="Y37" i="21"/>
  <c r="V253" i="19"/>
  <c r="F253" i="19"/>
  <c r="BW254" i="19"/>
  <c r="BW256" i="19"/>
  <c r="BW257" i="19"/>
  <c r="BW255" i="19"/>
  <c r="BE268" i="19"/>
  <c r="P268" i="19" s="1"/>
  <c r="P244" i="19" s="1"/>
  <c r="BE269" i="19"/>
  <c r="P269" i="19" s="1"/>
  <c r="P265" i="19"/>
  <c r="BE267" i="19"/>
  <c r="P267" i="19" s="1"/>
  <c r="P243" i="19" s="1"/>
  <c r="BE266" i="19"/>
  <c r="P266" i="19" s="1"/>
  <c r="P242" i="19" s="1"/>
  <c r="CE26" i="24"/>
  <c r="CF27" i="24" s="1"/>
  <c r="N112" i="11"/>
  <c r="N114" i="11" s="1"/>
  <c r="BU67" i="19"/>
  <c r="BU99" i="19"/>
  <c r="CJ108" i="19"/>
  <c r="CJ109" i="19"/>
  <c r="CJ107" i="19"/>
  <c r="CJ106" i="19"/>
  <c r="BR118" i="19"/>
  <c r="BR119" i="19"/>
  <c r="BR121" i="19"/>
  <c r="BR120" i="19"/>
  <c r="E36" i="21"/>
  <c r="R36" i="21"/>
  <c r="BK41" i="21"/>
  <c r="BH192" i="19"/>
  <c r="Q192" i="19" s="1"/>
  <c r="BH193" i="19"/>
  <c r="Q193" i="19" s="1"/>
  <c r="BH194" i="19"/>
  <c r="Q194" i="19" s="1"/>
  <c r="BH195" i="19"/>
  <c r="Q195" i="19" s="1"/>
  <c r="Q191" i="19"/>
  <c r="BF34" i="21"/>
  <c r="BF39" i="21" s="1"/>
  <c r="BF40" i="21"/>
  <c r="CL34" i="21"/>
  <c r="CL42" i="21" s="1"/>
  <c r="AA35" i="21"/>
  <c r="CL40" i="21"/>
  <c r="E117" i="19"/>
  <c r="BK118" i="19"/>
  <c r="BK119" i="19"/>
  <c r="R117" i="19"/>
  <c r="BK121" i="19"/>
  <c r="BK120" i="19"/>
  <c r="Z117" i="19"/>
  <c r="BD41" i="21"/>
  <c r="CJ41" i="21"/>
  <c r="BZ189" i="19"/>
  <c r="W189" i="19" s="1"/>
  <c r="W165" i="19" s="1"/>
  <c r="W185" i="19"/>
  <c r="BZ187" i="19"/>
  <c r="W187" i="19" s="1"/>
  <c r="W163" i="19" s="1"/>
  <c r="BZ186" i="19"/>
  <c r="W186" i="19" s="1"/>
  <c r="W162" i="19" s="1"/>
  <c r="BZ188" i="19"/>
  <c r="W188" i="19" s="1"/>
  <c r="W164" i="19" s="1"/>
  <c r="BR42" i="21"/>
  <c r="AX37" i="23"/>
  <c r="CN9" i="24"/>
  <c r="CN11" i="24" s="1"/>
  <c r="AY34" i="21"/>
  <c r="D35" i="21"/>
  <c r="N35" i="21"/>
  <c r="AY40" i="21"/>
  <c r="CE34" i="21"/>
  <c r="CE39" i="21" s="1"/>
  <c r="CE40" i="21"/>
  <c r="S68" i="19"/>
  <c r="U70" i="19"/>
  <c r="X36" i="21"/>
  <c r="CC41" i="21"/>
  <c r="Z185" i="19"/>
  <c r="BC248" i="19"/>
  <c r="BC278" i="19" s="1"/>
  <c r="BC249" i="19"/>
  <c r="BC279" i="19" s="1"/>
  <c r="BC251" i="19"/>
  <c r="BC281" i="19" s="1"/>
  <c r="BC277" i="19"/>
  <c r="BC250" i="19"/>
  <c r="BC280" i="19" s="1"/>
  <c r="Z59" i="19"/>
  <c r="CI247" i="19"/>
  <c r="AA114" i="11"/>
  <c r="EH26" i="7" s="1"/>
  <c r="EH24" i="7"/>
  <c r="F162" i="11"/>
  <c r="F163" i="11" s="1"/>
  <c r="ES25" i="25"/>
  <c r="Q43" i="19"/>
  <c r="BH67" i="19"/>
  <c r="Q67" i="19" s="1"/>
  <c r="BH99" i="19"/>
  <c r="CN67" i="19"/>
  <c r="CN99" i="19"/>
  <c r="BG106" i="19"/>
  <c r="BG107" i="19"/>
  <c r="BG108" i="19"/>
  <c r="BG109" i="19"/>
  <c r="CE107" i="19"/>
  <c r="CE106" i="19"/>
  <c r="CE109" i="19"/>
  <c r="CE108" i="19"/>
  <c r="S69" i="19"/>
  <c r="Q72" i="15"/>
  <c r="CD174" i="19"/>
  <c r="CD204" i="19" s="1"/>
  <c r="CD175" i="19"/>
  <c r="CD205" i="19" s="1"/>
  <c r="CD176" i="19"/>
  <c r="CD206" i="19" s="1"/>
  <c r="CD177" i="19"/>
  <c r="CD207" i="19" s="1"/>
  <c r="CD203" i="19"/>
  <c r="CB42" i="21"/>
  <c r="BB262" i="19"/>
  <c r="O262" i="19" s="1"/>
  <c r="O238" i="19" s="1"/>
  <c r="BB263" i="19"/>
  <c r="O263" i="19" s="1"/>
  <c r="O239" i="19" s="1"/>
  <c r="O259" i="19"/>
  <c r="BB261" i="19"/>
  <c r="O261" i="19" s="1"/>
  <c r="O237" i="19" s="1"/>
  <c r="BB260" i="19"/>
  <c r="O260" i="19" s="1"/>
  <c r="O236" i="19" s="1"/>
  <c r="N44" i="15"/>
  <c r="BJ94" i="15"/>
  <c r="BB94" i="15"/>
  <c r="BC94" i="15"/>
  <c r="BE94" i="15"/>
  <c r="D44" i="15"/>
  <c r="R67" i="15"/>
  <c r="BY40" i="21"/>
  <c r="BY34" i="21"/>
  <c r="BY39" i="21" s="1"/>
  <c r="BH68" i="19"/>
  <c r="S70" i="19"/>
  <c r="V51" i="19"/>
  <c r="F51" i="19"/>
  <c r="BW173" i="19"/>
  <c r="C68" i="18"/>
  <c r="X73" i="15"/>
  <c r="X37" i="21"/>
  <c r="CC42" i="21"/>
  <c r="CG163" i="11"/>
  <c r="BR67" i="19"/>
  <c r="BR99" i="19"/>
  <c r="CG107" i="19"/>
  <c r="CG109" i="19"/>
  <c r="CG108" i="19"/>
  <c r="CG106" i="19"/>
  <c r="BG121" i="19"/>
  <c r="BG118" i="19"/>
  <c r="BG119" i="19"/>
  <c r="BG120" i="19"/>
  <c r="CE121" i="19"/>
  <c r="CE118" i="19"/>
  <c r="CE119" i="19"/>
  <c r="CE120" i="19"/>
  <c r="BP176" i="19"/>
  <c r="BP206" i="19" s="1"/>
  <c r="BP174" i="19"/>
  <c r="BP204" i="19" s="1"/>
  <c r="BP203" i="19"/>
  <c r="BP175" i="19"/>
  <c r="BP177" i="19"/>
  <c r="R72" i="15"/>
  <c r="AA185" i="19"/>
  <c r="BN42" i="21"/>
  <c r="S37" i="21"/>
  <c r="Z265" i="19"/>
  <c r="BJ37" i="23"/>
  <c r="BJ40" i="23"/>
  <c r="BJ42" i="23"/>
  <c r="BT11" i="21" s="1"/>
  <c r="BJ41" i="23"/>
  <c r="BT12" i="21" s="1"/>
  <c r="V59" i="15"/>
  <c r="V56" i="15"/>
  <c r="V65" i="15"/>
  <c r="CS144" i="11"/>
  <c r="CS145" i="11" s="1"/>
  <c r="CS127" i="1"/>
  <c r="CS101" i="1" s="1"/>
  <c r="CG55" i="19"/>
  <c r="CG18" i="15"/>
  <c r="BP180" i="19"/>
  <c r="BP181" i="19"/>
  <c r="BP182" i="19"/>
  <c r="BP183" i="19"/>
  <c r="CF12" i="1"/>
  <c r="Y42" i="15"/>
  <c r="BF61" i="15"/>
  <c r="BV67" i="15"/>
  <c r="U55" i="15"/>
  <c r="BV61" i="15"/>
  <c r="CL67" i="15"/>
  <c r="AA55" i="15"/>
  <c r="AA56" i="15" s="1"/>
  <c r="CL61" i="15"/>
  <c r="BS37" i="23"/>
  <c r="BS42" i="23"/>
  <c r="CC11" i="21" s="1"/>
  <c r="BS40" i="23"/>
  <c r="BS41" i="23"/>
  <c r="CC12" i="21" s="1"/>
  <c r="CD56" i="15"/>
  <c r="F100" i="15"/>
  <c r="F99" i="15"/>
  <c r="P7" i="7"/>
  <c r="BN7" i="7"/>
  <c r="CF29" i="11"/>
  <c r="CF30" i="11" s="1"/>
  <c r="CJ144" i="11"/>
  <c r="CJ145" i="11" s="1"/>
  <c r="CJ127" i="1"/>
  <c r="CJ101" i="1" s="1"/>
  <c r="BI56" i="15"/>
  <c r="BU66" i="15"/>
  <c r="BI60" i="15"/>
  <c r="T51" i="19"/>
  <c r="BQ173" i="19"/>
  <c r="BD269" i="19"/>
  <c r="BD266" i="19"/>
  <c r="BD268" i="19"/>
  <c r="BD267" i="19"/>
  <c r="S42" i="15"/>
  <c r="BN12" i="1"/>
  <c r="E12" i="1" s="1"/>
  <c r="D56" i="15"/>
  <c r="D62" i="15" s="1"/>
  <c r="D59" i="15"/>
  <c r="CK60" i="15"/>
  <c r="EH72" i="15"/>
  <c r="EP72" i="15"/>
  <c r="EK72" i="15"/>
  <c r="L72" i="15"/>
  <c r="EL72" i="15"/>
  <c r="EE72" i="15"/>
  <c r="EM72" i="15"/>
  <c r="EF72" i="15"/>
  <c r="EN72" i="15"/>
  <c r="EG72" i="15"/>
  <c r="EI72" i="15"/>
  <c r="EJ72" i="15"/>
  <c r="EO72" i="15"/>
  <c r="Z111" i="15"/>
  <c r="Z112" i="15"/>
  <c r="R28" i="1"/>
  <c r="BU101" i="1"/>
  <c r="BK74" i="1"/>
  <c r="T53" i="1"/>
  <c r="CO29" i="11"/>
  <c r="CO30" i="11" s="1"/>
  <c r="Q55" i="15"/>
  <c r="BH61" i="15"/>
  <c r="CF26" i="24"/>
  <c r="E4" i="8"/>
  <c r="AJ6" i="25"/>
  <c r="AC28" i="1"/>
  <c r="BB29" i="11"/>
  <c r="BB30" i="11" s="1"/>
  <c r="W72" i="15"/>
  <c r="N73" i="15"/>
  <c r="F59" i="19"/>
  <c r="V59" i="19"/>
  <c r="BW247" i="19"/>
  <c r="CM248" i="19"/>
  <c r="CM249" i="19"/>
  <c r="CM250" i="19"/>
  <c r="CM251" i="19"/>
  <c r="CM277" i="19"/>
  <c r="CC62" i="15"/>
  <c r="CC68" i="15"/>
  <c r="CM72" i="11"/>
  <c r="CM77" i="11"/>
  <c r="F28" i="1"/>
  <c r="BN7" i="25"/>
  <c r="P7" i="25"/>
  <c r="R29" i="11"/>
  <c r="R30" i="11" s="1"/>
  <c r="AZ70" i="19"/>
  <c r="N70" i="19" s="1"/>
  <c r="AZ117" i="19"/>
  <c r="Y44" i="15"/>
  <c r="CF94" i="15"/>
  <c r="Y94" i="15" s="1"/>
  <c r="CF13" i="1"/>
  <c r="T73" i="15"/>
  <c r="BN56" i="15"/>
  <c r="BZ67" i="15"/>
  <c r="CC74" i="15"/>
  <c r="S103" i="15"/>
  <c r="AA28" i="1"/>
  <c r="CL74" i="1"/>
  <c r="BL29" i="11"/>
  <c r="BL30" i="11" s="1"/>
  <c r="BA94" i="15"/>
  <c r="BA13" i="1"/>
  <c r="T43" i="15"/>
  <c r="BQ94" i="15"/>
  <c r="T94" i="15" s="1"/>
  <c r="BQ13" i="1"/>
  <c r="BI61" i="15"/>
  <c r="BU67" i="15"/>
  <c r="CG61" i="15"/>
  <c r="CG67" i="15"/>
  <c r="P56" i="15"/>
  <c r="P59" i="15"/>
  <c r="BU62" i="15"/>
  <c r="BU68" i="15"/>
  <c r="V28" i="1"/>
  <c r="BW74" i="1"/>
  <c r="BW91" i="1"/>
  <c r="BW102" i="1"/>
  <c r="CH101" i="1"/>
  <c r="BM29" i="11"/>
  <c r="BM30" i="11" s="1"/>
  <c r="O114" i="11"/>
  <c r="O42" i="15"/>
  <c r="BB12" i="1"/>
  <c r="BJ68" i="19"/>
  <c r="BJ105" i="19"/>
  <c r="W42" i="15"/>
  <c r="BZ12" i="1"/>
  <c r="CH68" i="19"/>
  <c r="CH105" i="19"/>
  <c r="Y105" i="19" s="1"/>
  <c r="BG106" i="15"/>
  <c r="BG105" i="15"/>
  <c r="BW105" i="15"/>
  <c r="BW106" i="15"/>
  <c r="F103" i="15"/>
  <c r="V103" i="15"/>
  <c r="CE186" i="19"/>
  <c r="CE187" i="19"/>
  <c r="CE188" i="19"/>
  <c r="CE189" i="19"/>
  <c r="O73" i="15"/>
  <c r="E42" i="15"/>
  <c r="V100" i="15"/>
  <c r="V99" i="15"/>
  <c r="BV29" i="11"/>
  <c r="BV30" i="11" s="1"/>
  <c r="BF71" i="1"/>
  <c r="BN105" i="15"/>
  <c r="BN106" i="15" s="1"/>
  <c r="Q71" i="1"/>
  <c r="BH91" i="1"/>
  <c r="BH102" i="1"/>
  <c r="CK74" i="15"/>
  <c r="D74" i="1"/>
  <c r="D68" i="1"/>
  <c r="BI36" i="23"/>
  <c r="BS9" i="24"/>
  <c r="BS11" i="24" s="1"/>
  <c r="BS13" i="24" s="1"/>
  <c r="BS21" i="24" s="1"/>
  <c r="BS22" i="24" s="1"/>
  <c r="BS25" i="24" s="1"/>
  <c r="BS11" i="1"/>
  <c r="CA67" i="19"/>
  <c r="CA99" i="19"/>
  <c r="Z43" i="19"/>
  <c r="CI67" i="19"/>
  <c r="CI99" i="19"/>
  <c r="E74" i="1"/>
  <c r="CW68" i="15"/>
  <c r="AG30" i="1"/>
  <c r="BD110" i="1"/>
  <c r="BE106" i="1" s="1"/>
  <c r="BD99" i="1"/>
  <c r="AB9" i="7"/>
  <c r="D104" i="15"/>
  <c r="AD30" i="1"/>
  <c r="O68" i="1"/>
  <c r="BB99" i="1"/>
  <c r="W114" i="1"/>
  <c r="BD91" i="1"/>
  <c r="BE91" i="1"/>
  <c r="G65" i="1"/>
  <c r="AE27" i="36"/>
  <c r="AE28" i="36" s="1"/>
  <c r="AE30" i="36"/>
  <c r="K65" i="29"/>
  <c r="EE68" i="29"/>
  <c r="AP65" i="29"/>
  <c r="AC98" i="29"/>
  <c r="W41" i="38"/>
  <c r="W49" i="38"/>
  <c r="T129" i="36"/>
  <c r="AG129" i="36" s="1"/>
  <c r="Y74" i="29"/>
  <c r="CF78" i="29"/>
  <c r="D60" i="29"/>
  <c r="N60" i="29"/>
  <c r="EK74" i="29"/>
  <c r="AR74" i="29" s="1"/>
  <c r="J36" i="38"/>
  <c r="J13" i="38"/>
  <c r="J19" i="38" s="1"/>
  <c r="AF69" i="37"/>
  <c r="S71" i="37"/>
  <c r="T14" i="36"/>
  <c r="T98" i="36"/>
  <c r="AG98" i="36" s="1"/>
  <c r="G27" i="34" s="1"/>
  <c r="AL65" i="29"/>
  <c r="DS68" i="29"/>
  <c r="J65" i="29"/>
  <c r="DD80" i="29"/>
  <c r="AG76" i="29"/>
  <c r="F69" i="28"/>
  <c r="AU55" i="29"/>
  <c r="ET58" i="29"/>
  <c r="AG65" i="29"/>
  <c r="DD68" i="29"/>
  <c r="O75" i="29"/>
  <c r="BB79" i="29"/>
  <c r="EK76" i="29"/>
  <c r="AR76" i="29" s="1"/>
  <c r="E118" i="29"/>
  <c r="O19" i="38"/>
  <c r="BO81" i="29"/>
  <c r="BO85" i="29" s="1"/>
  <c r="CK75" i="29"/>
  <c r="CK79" i="29" s="1"/>
  <c r="CK18" i="29" s="1"/>
  <c r="AL118" i="29"/>
  <c r="G28" i="35"/>
  <c r="G33" i="35"/>
  <c r="G34" i="35" s="1"/>
  <c r="AE13" i="38"/>
  <c r="AE19" i="38" s="1"/>
  <c r="N130" i="36"/>
  <c r="N121" i="36" s="1"/>
  <c r="H130" i="41"/>
  <c r="Q32" i="35"/>
  <c r="EJ74" i="29"/>
  <c r="W106" i="29"/>
  <c r="EP75" i="29"/>
  <c r="Z116" i="29"/>
  <c r="BY76" i="29"/>
  <c r="BY80" i="29" s="1"/>
  <c r="BY25" i="29" s="1"/>
  <c r="G32" i="35"/>
  <c r="AE33" i="38"/>
  <c r="AE16" i="38" s="1"/>
  <c r="AE31" i="35"/>
  <c r="Q34" i="37"/>
  <c r="Q10" i="35"/>
  <c r="Q31" i="36"/>
  <c r="N42" i="36"/>
  <c r="CH76" i="29"/>
  <c r="CH80" i="29" s="1"/>
  <c r="CH25" i="29" s="1"/>
  <c r="Y31" i="38"/>
  <c r="J20" i="36"/>
  <c r="AG134" i="36"/>
  <c r="E55" i="29"/>
  <c r="BR11" i="29"/>
  <c r="BR32" i="29" s="1"/>
  <c r="BS39" i="29" s="1"/>
  <c r="BR81" i="29"/>
  <c r="BR85" i="29" s="1"/>
  <c r="Q75" i="29"/>
  <c r="BH79" i="29"/>
  <c r="DX70" i="29"/>
  <c r="AM118" i="29"/>
  <c r="K30" i="36"/>
  <c r="K28" i="36"/>
  <c r="DK62" i="29"/>
  <c r="DL62" i="29" s="1"/>
  <c r="EN10" i="29"/>
  <c r="AS58" i="29"/>
  <c r="G60" i="29"/>
  <c r="AT108" i="29"/>
  <c r="V51" i="34"/>
  <c r="AJ29" i="35"/>
  <c r="AE29" i="35"/>
  <c r="AF27" i="36"/>
  <c r="AD43" i="36"/>
  <c r="DK61" i="29"/>
  <c r="DA10" i="29"/>
  <c r="AF58" i="29"/>
  <c r="EW10" i="29"/>
  <c r="AV58" i="29"/>
  <c r="DF75" i="29"/>
  <c r="DF79" i="29" s="1"/>
  <c r="DF18" i="29" s="1"/>
  <c r="DJ24" i="29"/>
  <c r="AI24" i="29" s="1"/>
  <c r="DJ70" i="29"/>
  <c r="AI68" i="29"/>
  <c r="AH118" i="29"/>
  <c r="Q19" i="38"/>
  <c r="AD115" i="37"/>
  <c r="AD110" i="37"/>
  <c r="AD111" i="37" s="1"/>
  <c r="AD116" i="37"/>
  <c r="AF14" i="36"/>
  <c r="Z50" i="36"/>
  <c r="AG123" i="37"/>
  <c r="DY17" i="29"/>
  <c r="AN17" i="29" s="1"/>
  <c r="AN63" i="29"/>
  <c r="AJ19" i="35"/>
  <c r="V41" i="34"/>
  <c r="V43" i="34" s="1"/>
  <c r="AC21" i="35"/>
  <c r="AJ21" i="35" s="1"/>
  <c r="F55" i="29"/>
  <c r="DS10" i="29"/>
  <c r="AL58" i="29"/>
  <c r="J58" i="29"/>
  <c r="X64" i="38"/>
  <c r="X25" i="38" s="1"/>
  <c r="R28" i="34"/>
  <c r="Y64" i="38"/>
  <c r="Y25" i="38" s="1"/>
  <c r="Y17" i="38" s="1"/>
  <c r="Y29" i="35" s="1"/>
  <c r="Z64" i="38"/>
  <c r="Z25" i="38" s="1"/>
  <c r="Z17" i="38" s="1"/>
  <c r="Z29" i="35" s="1"/>
  <c r="AA64" i="38"/>
  <c r="AA25" i="38" s="1"/>
  <c r="AA17" i="38" s="1"/>
  <c r="AA29" i="35" s="1"/>
  <c r="O30" i="36"/>
  <c r="X97" i="36"/>
  <c r="AH97" i="36" s="1"/>
  <c r="AH96" i="36"/>
  <c r="AV118" i="29"/>
  <c r="N198" i="26" l="1"/>
  <c r="N200" i="26" s="1"/>
  <c r="M104" i="26"/>
  <c r="AZ209" i="26"/>
  <c r="O209" i="26" s="1"/>
  <c r="N209" i="26"/>
  <c r="G27" i="26"/>
  <c r="AJ213" i="26" s="1"/>
  <c r="K213" i="26" s="1"/>
  <c r="H27" i="26"/>
  <c r="AL213" i="26" s="1"/>
  <c r="I27" i="26"/>
  <c r="AN213" i="26" s="1"/>
  <c r="J27" i="26"/>
  <c r="AR213" i="26" s="1"/>
  <c r="M213" i="26" s="1"/>
  <c r="H23" i="26"/>
  <c r="I23" i="26"/>
  <c r="J23" i="26"/>
  <c r="H36" i="26"/>
  <c r="G28" i="26"/>
  <c r="AG160" i="26"/>
  <c r="AV104" i="26"/>
  <c r="Y104" i="26"/>
  <c r="AJ104" i="26"/>
  <c r="U104" i="26"/>
  <c r="M62" i="26"/>
  <c r="K104" i="26"/>
  <c r="AN104" i="26"/>
  <c r="AI104" i="26"/>
  <c r="V104" i="26"/>
  <c r="Z104" i="26"/>
  <c r="AG104" i="26"/>
  <c r="AQ104" i="26"/>
  <c r="AM104" i="26"/>
  <c r="AT104" i="26"/>
  <c r="AE104" i="26"/>
  <c r="W104" i="26"/>
  <c r="X104" i="26"/>
  <c r="AO104" i="26"/>
  <c r="L104" i="26"/>
  <c r="AX104" i="26"/>
  <c r="AS104" i="26"/>
  <c r="AL104" i="26"/>
  <c r="AC104" i="26"/>
  <c r="AW104" i="26"/>
  <c r="AF104" i="26"/>
  <c r="I104" i="26"/>
  <c r="N104" i="26"/>
  <c r="AU104" i="26"/>
  <c r="AZ104" i="26"/>
  <c r="AD104" i="26"/>
  <c r="AH104" i="26"/>
  <c r="AP104" i="26"/>
  <c r="H104" i="26"/>
  <c r="AK104" i="26"/>
  <c r="AR104" i="26"/>
  <c r="AA104" i="26"/>
  <c r="AY104" i="26"/>
  <c r="AB104" i="26"/>
  <c r="O104" i="26"/>
  <c r="J104" i="26"/>
  <c r="AV139" i="26"/>
  <c r="AR141" i="26"/>
  <c r="AR160" i="26" s="1"/>
  <c r="AR158" i="26"/>
  <c r="AW140" i="26"/>
  <c r="N140" i="26"/>
  <c r="N159" i="26" s="1"/>
  <c r="AW137" i="26"/>
  <c r="N137" i="26"/>
  <c r="N156" i="26" s="1"/>
  <c r="AQ139" i="26"/>
  <c r="AO139" i="26"/>
  <c r="AO114" i="26"/>
  <c r="AP114" i="26" s="1"/>
  <c r="AQ114" i="26" s="1"/>
  <c r="AP139" i="26"/>
  <c r="AP62" i="26"/>
  <c r="AP65" i="26" s="1"/>
  <c r="AP66" i="26" s="1"/>
  <c r="AO95" i="26"/>
  <c r="I121" i="26"/>
  <c r="I124" i="26" s="1"/>
  <c r="I100" i="26"/>
  <c r="H100" i="26"/>
  <c r="H101" i="26" s="1"/>
  <c r="H121" i="26"/>
  <c r="G121" i="26"/>
  <c r="I125" i="26"/>
  <c r="CG81" i="29"/>
  <c r="CG85" i="29" s="1"/>
  <c r="CG32" i="29"/>
  <c r="CH39" i="29" s="1"/>
  <c r="U76" i="29"/>
  <c r="AS76" i="29"/>
  <c r="AQ74" i="29"/>
  <c r="AT76" i="29"/>
  <c r="DI70" i="29"/>
  <c r="I83" i="26"/>
  <c r="J83" i="26"/>
  <c r="H83" i="26"/>
  <c r="K67" i="26"/>
  <c r="J67" i="26"/>
  <c r="L67" i="26"/>
  <c r="I67" i="26"/>
  <c r="H67" i="26"/>
  <c r="H34" i="26"/>
  <c r="G26" i="26"/>
  <c r="H45" i="26"/>
  <c r="I43" i="26" s="1"/>
  <c r="K22" i="26"/>
  <c r="D7" i="8"/>
  <c r="AA62" i="15"/>
  <c r="AA60" i="15"/>
  <c r="AA59" i="15"/>
  <c r="AA74" i="15"/>
  <c r="M11" i="9"/>
  <c r="W4" i="9"/>
  <c r="N4" i="9"/>
  <c r="F19" i="8" s="1"/>
  <c r="T16" i="38"/>
  <c r="CL57" i="21"/>
  <c r="S33" i="35"/>
  <c r="AF27" i="35"/>
  <c r="X114" i="1"/>
  <c r="X14" i="1"/>
  <c r="BB57" i="21"/>
  <c r="F174" i="11"/>
  <c r="F169" i="11"/>
  <c r="F171" i="11"/>
  <c r="F168" i="11"/>
  <c r="F167" i="11"/>
  <c r="F166" i="11"/>
  <c r="DL61" i="29"/>
  <c r="DK63" i="29"/>
  <c r="DS24" i="29"/>
  <c r="AL68" i="29"/>
  <c r="DS70" i="29"/>
  <c r="J68" i="29"/>
  <c r="BS11" i="11"/>
  <c r="BS14" i="1"/>
  <c r="BS21" i="1"/>
  <c r="BS88" i="1"/>
  <c r="BS112" i="1"/>
  <c r="BS20" i="1"/>
  <c r="BJ106" i="19"/>
  <c r="BJ108" i="19"/>
  <c r="BJ109" i="19"/>
  <c r="BJ107" i="19"/>
  <c r="BQ22" i="1"/>
  <c r="T13" i="1"/>
  <c r="BQ114" i="1"/>
  <c r="BQ98" i="1"/>
  <c r="BQ97" i="1"/>
  <c r="P6" i="25"/>
  <c r="AT37" i="25" s="1"/>
  <c r="BN6" i="25"/>
  <c r="F101" i="1"/>
  <c r="CJ18" i="25" s="1"/>
  <c r="F74" i="1"/>
  <c r="Y12" i="1"/>
  <c r="CF21" i="1"/>
  <c r="CF14" i="1"/>
  <c r="CF97" i="1"/>
  <c r="CF88" i="1"/>
  <c r="CF11" i="11"/>
  <c r="CF20" i="1"/>
  <c r="BR100" i="19"/>
  <c r="BR101" i="19"/>
  <c r="BR102" i="19"/>
  <c r="BR103" i="19"/>
  <c r="BR129" i="19"/>
  <c r="E68" i="18"/>
  <c r="F68" i="18" s="1"/>
  <c r="CI248" i="19"/>
  <c r="CI249" i="19"/>
  <c r="Z247" i="19"/>
  <c r="Z277" i="19" s="1"/>
  <c r="CI251" i="19"/>
  <c r="CI250" i="19"/>
  <c r="CI277" i="19"/>
  <c r="R118" i="19"/>
  <c r="R94" i="19" s="1"/>
  <c r="BB174" i="19"/>
  <c r="BB176" i="19"/>
  <c r="BB177" i="19"/>
  <c r="BB203" i="19"/>
  <c r="O173" i="19"/>
  <c r="O203" i="19" s="1"/>
  <c r="BB175" i="19"/>
  <c r="EF36" i="24"/>
  <c r="EG37" i="24" s="1"/>
  <c r="EH38" i="24" s="1"/>
  <c r="AZ71" i="11"/>
  <c r="AZ67" i="11"/>
  <c r="AZ20" i="11" s="1"/>
  <c r="BV104" i="11"/>
  <c r="BV21" i="11" s="1"/>
  <c r="BV44" i="1" s="1"/>
  <c r="BV83" i="1" s="1"/>
  <c r="BV108" i="11"/>
  <c r="AA34" i="11"/>
  <c r="AA17" i="11"/>
  <c r="BC56" i="1"/>
  <c r="BC40" i="1"/>
  <c r="CH71" i="11"/>
  <c r="CH67" i="11"/>
  <c r="BR56" i="1"/>
  <c r="BR40" i="1"/>
  <c r="AX43" i="23"/>
  <c r="BH10" i="21"/>
  <c r="P15" i="35"/>
  <c r="Y63" i="38"/>
  <c r="Z63" i="38"/>
  <c r="R27" i="34"/>
  <c r="AA63" i="38"/>
  <c r="X63" i="38"/>
  <c r="AH88" i="36"/>
  <c r="Y83" i="36"/>
  <c r="K130" i="41"/>
  <c r="BG11" i="29"/>
  <c r="BG32" i="29" s="1"/>
  <c r="BH39" i="29" s="1"/>
  <c r="BG81" i="29"/>
  <c r="BG85" i="29" s="1"/>
  <c r="AG102" i="36"/>
  <c r="AG103" i="36" s="1"/>
  <c r="T77" i="36"/>
  <c r="CM62" i="15"/>
  <c r="CM60" i="15"/>
  <c r="CM68" i="15"/>
  <c r="CM74" i="15"/>
  <c r="CM59" i="15"/>
  <c r="CY68" i="15"/>
  <c r="BF9" i="11"/>
  <c r="BF82" i="11" s="1"/>
  <c r="BF52" i="1"/>
  <c r="BF100" i="1"/>
  <c r="BF10" i="11"/>
  <c r="CE22" i="1"/>
  <c r="CE14" i="1"/>
  <c r="CE98" i="1"/>
  <c r="CE97" i="1"/>
  <c r="CE88" i="1"/>
  <c r="CE114" i="1"/>
  <c r="BZ60" i="15"/>
  <c r="BZ62" i="15"/>
  <c r="BZ68" i="15"/>
  <c r="BZ61" i="15"/>
  <c r="BP22" i="1"/>
  <c r="BP114" i="1"/>
  <c r="BP98" i="1"/>
  <c r="BX144" i="11"/>
  <c r="BX145" i="11" s="1"/>
  <c r="BX127" i="1"/>
  <c r="BX101" i="1" s="1"/>
  <c r="BY100" i="19"/>
  <c r="BY101" i="19"/>
  <c r="BY102" i="19"/>
  <c r="BY103" i="19"/>
  <c r="BY129" i="19"/>
  <c r="BV51" i="21"/>
  <c r="BV56" i="21"/>
  <c r="S90" i="19"/>
  <c r="R181" i="19"/>
  <c r="R157" i="19" s="1"/>
  <c r="E181" i="19"/>
  <c r="AZ278" i="19"/>
  <c r="EG35" i="24"/>
  <c r="EH36" i="24" s="1"/>
  <c r="AP34" i="24"/>
  <c r="EI34" i="24"/>
  <c r="EJ35" i="24" s="1"/>
  <c r="EK36" i="24" s="1"/>
  <c r="D118" i="11"/>
  <c r="EG13" i="25"/>
  <c r="AT58" i="13"/>
  <c r="AT59" i="13" s="1"/>
  <c r="AT60" i="13" s="1"/>
  <c r="BL41" i="11"/>
  <c r="BL44" i="11"/>
  <c r="E123" i="11"/>
  <c r="BK136" i="11"/>
  <c r="R123" i="11"/>
  <c r="BK132" i="11"/>
  <c r="BK22" i="11" s="1"/>
  <c r="W123" i="11"/>
  <c r="BZ136" i="11"/>
  <c r="BZ132" i="11"/>
  <c r="BZ22" i="11" s="1"/>
  <c r="E39" i="11"/>
  <c r="E44" i="11" s="1"/>
  <c r="BK41" i="11"/>
  <c r="BK44" i="11"/>
  <c r="R39" i="11"/>
  <c r="BE43" i="23"/>
  <c r="BO10" i="21"/>
  <c r="CO74" i="1"/>
  <c r="AB64" i="1"/>
  <c r="CO71" i="1"/>
  <c r="G64" i="1"/>
  <c r="BS104" i="11"/>
  <c r="BS21" i="11" s="1"/>
  <c r="BS44" i="1" s="1"/>
  <c r="BS83" i="1" s="1"/>
  <c r="BS108" i="11"/>
  <c r="E9" i="24"/>
  <c r="R9" i="24"/>
  <c r="BK11" i="24"/>
  <c r="BT18" i="29"/>
  <c r="U18" i="29" s="1"/>
  <c r="U79" i="29"/>
  <c r="Y53" i="34"/>
  <c r="T104" i="37"/>
  <c r="AH10" i="29"/>
  <c r="W53" i="34"/>
  <c r="O129" i="36"/>
  <c r="O130" i="36"/>
  <c r="O121" i="36" s="1"/>
  <c r="AF128" i="36"/>
  <c r="EZ24" i="29"/>
  <c r="AW24" i="29" s="1"/>
  <c r="AW68" i="29"/>
  <c r="EZ70" i="29"/>
  <c r="BH80" i="29"/>
  <c r="Q76" i="29"/>
  <c r="U14" i="38"/>
  <c r="U91" i="1"/>
  <c r="U102" i="1"/>
  <c r="BJ20" i="1"/>
  <c r="BJ21" i="1"/>
  <c r="BJ97" i="1"/>
  <c r="BJ88" i="1"/>
  <c r="BJ14" i="1"/>
  <c r="BJ11" i="11"/>
  <c r="DB94" i="15"/>
  <c r="DN94" i="15"/>
  <c r="DZ94" i="15" s="1"/>
  <c r="EL94" i="15" s="1"/>
  <c r="EX94" i="15" s="1"/>
  <c r="BP60" i="15"/>
  <c r="BB43" i="23"/>
  <c r="BL10" i="21"/>
  <c r="S187" i="19"/>
  <c r="S163" i="19" s="1"/>
  <c r="CN114" i="1"/>
  <c r="CN98" i="1"/>
  <c r="AA85" i="19"/>
  <c r="R112" i="19"/>
  <c r="R88" i="19" s="1"/>
  <c r="DT37" i="24"/>
  <c r="DU38" i="24" s="1"/>
  <c r="DV39" i="24" s="1"/>
  <c r="FA36" i="24"/>
  <c r="FB37" i="24" s="1"/>
  <c r="CO29" i="24"/>
  <c r="AA28" i="24"/>
  <c r="AB141" i="11"/>
  <c r="ES27" i="7" s="1"/>
  <c r="ES14" i="7"/>
  <c r="CM44" i="11"/>
  <c r="CM41" i="11"/>
  <c r="AL58" i="13"/>
  <c r="AL59" i="13" s="1"/>
  <c r="AL60" i="13" s="1"/>
  <c r="G88" i="11"/>
  <c r="H88" i="11" s="1"/>
  <c r="G89" i="11"/>
  <c r="H89" i="11" s="1"/>
  <c r="CH87" i="11"/>
  <c r="BR41" i="11"/>
  <c r="BR44" i="11"/>
  <c r="O45" i="22"/>
  <c r="N45" i="22"/>
  <c r="D39" i="11"/>
  <c r="D44" i="11" s="1"/>
  <c r="AY44" i="11"/>
  <c r="N39" i="11"/>
  <c r="AY41" i="11"/>
  <c r="CG11" i="11"/>
  <c r="CG21" i="1"/>
  <c r="CG112" i="1"/>
  <c r="CG88" i="1"/>
  <c r="CG20" i="1"/>
  <c r="CG14" i="1"/>
  <c r="Y11" i="1"/>
  <c r="CP41" i="11"/>
  <c r="CP44" i="11"/>
  <c r="W43" i="38"/>
  <c r="W51" i="38"/>
  <c r="V29" i="34"/>
  <c r="U66" i="37"/>
  <c r="I39" i="35"/>
  <c r="I24" i="35"/>
  <c r="AZ144" i="11"/>
  <c r="AZ145" i="11" s="1"/>
  <c r="AZ127" i="1"/>
  <c r="F66" i="15"/>
  <c r="AY260" i="19"/>
  <c r="AY261" i="19"/>
  <c r="D259" i="19"/>
  <c r="AY262" i="19"/>
  <c r="AY263" i="19"/>
  <c r="N259" i="19"/>
  <c r="BR106" i="19"/>
  <c r="BR108" i="19"/>
  <c r="BR109" i="19"/>
  <c r="T109" i="19" s="1"/>
  <c r="T85" i="19" s="1"/>
  <c r="BR107" i="19"/>
  <c r="F9" i="24"/>
  <c r="CE42" i="21"/>
  <c r="X101" i="1"/>
  <c r="T66" i="15"/>
  <c r="X66" i="15"/>
  <c r="CJ16" i="21"/>
  <c r="CJ26" i="21"/>
  <c r="CJ49" i="21"/>
  <c r="R267" i="19"/>
  <c r="R243" i="19" s="1"/>
  <c r="BF281" i="19"/>
  <c r="AB114" i="11"/>
  <c r="EI26" i="7" s="1"/>
  <c r="EI24" i="7"/>
  <c r="E188" i="19"/>
  <c r="R188" i="19"/>
  <c r="R164" i="19" s="1"/>
  <c r="BW100" i="19"/>
  <c r="BW101" i="19"/>
  <c r="BW102" i="19"/>
  <c r="V99" i="19"/>
  <c r="BW103" i="19"/>
  <c r="F99" i="19"/>
  <c r="BW129" i="19"/>
  <c r="Q239" i="19"/>
  <c r="CI175" i="19"/>
  <c r="CI176" i="19"/>
  <c r="Z173" i="19"/>
  <c r="Z203" i="19" s="1"/>
  <c r="CI177" i="19"/>
  <c r="CI174" i="19"/>
  <c r="CI203" i="19"/>
  <c r="P34" i="21"/>
  <c r="P39" i="21" s="1"/>
  <c r="BE39" i="21"/>
  <c r="N257" i="19"/>
  <c r="N233" i="19" s="1"/>
  <c r="D193" i="19"/>
  <c r="N193" i="19"/>
  <c r="BR51" i="21"/>
  <c r="BR56" i="21"/>
  <c r="E105" i="19"/>
  <c r="CV37" i="24"/>
  <c r="CW38" i="24" s="1"/>
  <c r="CX39" i="24" s="1"/>
  <c r="DK36" i="24"/>
  <c r="DL37" i="24" s="1"/>
  <c r="DM38" i="24" s="1"/>
  <c r="CG91" i="11"/>
  <c r="DE91" i="11" s="1"/>
  <c r="DQ91" i="11" s="1"/>
  <c r="EC91" i="11" s="1"/>
  <c r="EO91" i="11" s="1"/>
  <c r="FA91" i="11" s="1"/>
  <c r="CE71" i="11"/>
  <c r="CE67" i="11"/>
  <c r="CE44" i="11"/>
  <c r="CE41" i="11"/>
  <c r="S91" i="11"/>
  <c r="S34" i="11"/>
  <c r="S17" i="11"/>
  <c r="BU41" i="11"/>
  <c r="BU44" i="11"/>
  <c r="CQ91" i="11"/>
  <c r="BJ9" i="21"/>
  <c r="BJ19" i="21" s="1"/>
  <c r="BJ20" i="21"/>
  <c r="BJ25" i="21"/>
  <c r="BJ44" i="21"/>
  <c r="BX16" i="21"/>
  <c r="BX26" i="21"/>
  <c r="BX49" i="21"/>
  <c r="CO136" i="11"/>
  <c r="CO132" i="11"/>
  <c r="CO22" i="11" s="1"/>
  <c r="AB123" i="11"/>
  <c r="Y149" i="11"/>
  <c r="EJ9" i="25"/>
  <c r="O123" i="11"/>
  <c r="BB136" i="11"/>
  <c r="BB132" i="11"/>
  <c r="BB22" i="11" s="1"/>
  <c r="EQ24" i="29"/>
  <c r="AT68" i="29"/>
  <c r="EQ70" i="29"/>
  <c r="L68" i="29"/>
  <c r="BO27" i="24"/>
  <c r="BP28" i="24" s="1"/>
  <c r="BQ29" i="24" s="1"/>
  <c r="BA56" i="1"/>
  <c r="BA40" i="1"/>
  <c r="CP136" i="11"/>
  <c r="CP132" i="11"/>
  <c r="CP22" i="11" s="1"/>
  <c r="CP45" i="1" s="1"/>
  <c r="CP84" i="1" s="1"/>
  <c r="BM43" i="23"/>
  <c r="BW10" i="21"/>
  <c r="DY31" i="29"/>
  <c r="AN10" i="29"/>
  <c r="F20" i="36"/>
  <c r="F23" i="35"/>
  <c r="F28" i="35"/>
  <c r="F30" i="35"/>
  <c r="F32" i="35"/>
  <c r="EN17" i="29"/>
  <c r="AS17" i="29" s="1"/>
  <c r="AS63" i="29"/>
  <c r="AS70" i="29" s="1"/>
  <c r="O91" i="1"/>
  <c r="O102" i="1"/>
  <c r="CI11" i="11"/>
  <c r="CI14" i="1"/>
  <c r="Z11" i="1"/>
  <c r="CI88" i="1"/>
  <c r="CI20" i="1"/>
  <c r="CI112" i="1"/>
  <c r="CI21" i="1"/>
  <c r="BI22" i="1"/>
  <c r="BI114" i="1"/>
  <c r="BI98" i="1"/>
  <c r="BI97" i="1"/>
  <c r="DH94" i="15"/>
  <c r="DT94" i="15" s="1"/>
  <c r="EF94" i="15" s="1"/>
  <c r="ER94" i="15" s="1"/>
  <c r="CV94" i="15"/>
  <c r="CJ100" i="1"/>
  <c r="CN21" i="1"/>
  <c r="CN14" i="1"/>
  <c r="CN97" i="1"/>
  <c r="CN88" i="1"/>
  <c r="CN20" i="1"/>
  <c r="CN11" i="11"/>
  <c r="N60" i="15"/>
  <c r="U262" i="19"/>
  <c r="U238" i="19" s="1"/>
  <c r="CD42" i="21"/>
  <c r="AZ206" i="19"/>
  <c r="BM42" i="21"/>
  <c r="AA180" i="19"/>
  <c r="AA156" i="19" s="1"/>
  <c r="BB26" i="21"/>
  <c r="BB49" i="21"/>
  <c r="BB52" i="21" s="1"/>
  <c r="P118" i="19"/>
  <c r="P94" i="19" s="1"/>
  <c r="V109" i="19"/>
  <c r="V85" i="19" s="1"/>
  <c r="N108" i="19"/>
  <c r="N84" i="19" s="1"/>
  <c r="BM41" i="21"/>
  <c r="P115" i="19"/>
  <c r="P91" i="19" s="1"/>
  <c r="T118" i="19"/>
  <c r="T94" i="19" s="1"/>
  <c r="CU11" i="25"/>
  <c r="BI104" i="11"/>
  <c r="BI21" i="11" s="1"/>
  <c r="BI44" i="1" s="1"/>
  <c r="BI83" i="1" s="1"/>
  <c r="BI108" i="11"/>
  <c r="X81" i="11"/>
  <c r="X90" i="11"/>
  <c r="CI56" i="1"/>
  <c r="G35" i="1"/>
  <c r="Z35" i="1"/>
  <c r="CI40" i="1"/>
  <c r="BN43" i="23"/>
  <c r="BZ104" i="11"/>
  <c r="BZ21" i="11" s="1"/>
  <c r="W97" i="11"/>
  <c r="BZ108" i="11"/>
  <c r="BZ56" i="1"/>
  <c r="W35" i="1"/>
  <c r="BZ40" i="1"/>
  <c r="V35" i="38"/>
  <c r="AG35" i="38" s="1"/>
  <c r="CD11" i="29"/>
  <c r="CD32" i="29" s="1"/>
  <c r="CE39" i="29" s="1"/>
  <c r="CD81" i="29"/>
  <c r="CD85" i="29" s="1"/>
  <c r="BM25" i="29"/>
  <c r="BM32" i="29" s="1"/>
  <c r="BN39" i="29" s="1"/>
  <c r="BM81" i="29"/>
  <c r="BM85" i="29" s="1"/>
  <c r="AH130" i="36"/>
  <c r="X121" i="36"/>
  <c r="CO79" i="29"/>
  <c r="AB75" i="29"/>
  <c r="W31" i="38"/>
  <c r="AE53" i="1"/>
  <c r="S8" i="7"/>
  <c r="BQ8" i="7"/>
  <c r="BX22" i="1"/>
  <c r="BX114" i="1"/>
  <c r="BX98" i="1"/>
  <c r="BL68" i="15"/>
  <c r="CI47" i="19"/>
  <c r="CI45" i="15"/>
  <c r="CJ7" i="15"/>
  <c r="O267" i="19"/>
  <c r="O243" i="19" s="1"/>
  <c r="BM280" i="19"/>
  <c r="BF41" i="21"/>
  <c r="BB248" i="19"/>
  <c r="O247" i="19"/>
  <c r="BB249" i="19"/>
  <c r="BB250" i="19"/>
  <c r="BB251" i="19"/>
  <c r="BB277" i="19"/>
  <c r="X107" i="19"/>
  <c r="X83" i="19" s="1"/>
  <c r="O118" i="19"/>
  <c r="O94" i="19" s="1"/>
  <c r="Q165" i="19"/>
  <c r="DP29" i="24"/>
  <c r="AJ28" i="24"/>
  <c r="ER35" i="24"/>
  <c r="ES36" i="24" s="1"/>
  <c r="ET37" i="24" s="1"/>
  <c r="CG41" i="11"/>
  <c r="CG44" i="11"/>
  <c r="Q91" i="11"/>
  <c r="Q34" i="11"/>
  <c r="Q17" i="11"/>
  <c r="CE87" i="11"/>
  <c r="P39" i="11"/>
  <c r="BE41" i="11"/>
  <c r="BE44" i="11"/>
  <c r="BD67" i="11"/>
  <c r="BD71" i="11"/>
  <c r="AC39" i="11"/>
  <c r="CR41" i="11"/>
  <c r="CR44" i="11"/>
  <c r="R88" i="11"/>
  <c r="CA56" i="1"/>
  <c r="CA40" i="1"/>
  <c r="CP56" i="1"/>
  <c r="CP40" i="1"/>
  <c r="R257" i="19"/>
  <c r="R233" i="19" s="1"/>
  <c r="BD280" i="19"/>
  <c r="CE104" i="11"/>
  <c r="CE21" i="11" s="1"/>
  <c r="CE44" i="1" s="1"/>
  <c r="CE83" i="1" s="1"/>
  <c r="CE108" i="11"/>
  <c r="BT104" i="11"/>
  <c r="BT21" i="11" s="1"/>
  <c r="U97" i="11"/>
  <c r="BT108" i="11"/>
  <c r="T101" i="1"/>
  <c r="Z56" i="15"/>
  <c r="Z59" i="15" s="1"/>
  <c r="Z65" i="15"/>
  <c r="F94" i="15"/>
  <c r="V94" i="15"/>
  <c r="BR60" i="15"/>
  <c r="BR62" i="15"/>
  <c r="BR68" i="15"/>
  <c r="BR61" i="15"/>
  <c r="BR74" i="15"/>
  <c r="BQ42" i="21"/>
  <c r="S101" i="1"/>
  <c r="CF61" i="15"/>
  <c r="CB16" i="21"/>
  <c r="CB26" i="21"/>
  <c r="CB49" i="21"/>
  <c r="BX205" i="19"/>
  <c r="W67" i="19"/>
  <c r="P42" i="21"/>
  <c r="W239" i="19"/>
  <c r="R192" i="19"/>
  <c r="R168" i="19" s="1"/>
  <c r="BF204" i="19"/>
  <c r="E247" i="19"/>
  <c r="BK248" i="19"/>
  <c r="BK249" i="19"/>
  <c r="R247" i="19"/>
  <c r="R277" i="19" s="1"/>
  <c r="BK251" i="19"/>
  <c r="BK277" i="19"/>
  <c r="BK250" i="19"/>
  <c r="BS41" i="21"/>
  <c r="W118" i="19"/>
  <c r="W94" i="19" s="1"/>
  <c r="X67" i="19"/>
  <c r="X266" i="19"/>
  <c r="X242" i="19" s="1"/>
  <c r="EF39" i="24"/>
  <c r="EG40" i="24" s="1"/>
  <c r="EH41" i="24" s="1"/>
  <c r="EK29" i="24"/>
  <c r="AQ28" i="24"/>
  <c r="AB52" i="11"/>
  <c r="AB148" i="11"/>
  <c r="ES9" i="7"/>
  <c r="BY41" i="11"/>
  <c r="BY44" i="11"/>
  <c r="Y58" i="13"/>
  <c r="Y59" i="13" s="1"/>
  <c r="Y60" i="13" s="1"/>
  <c r="CM108" i="11"/>
  <c r="CM104" i="11"/>
  <c r="CM21" i="11" s="1"/>
  <c r="CM44" i="1" s="1"/>
  <c r="CM83" i="1" s="1"/>
  <c r="BG71" i="11"/>
  <c r="BG67" i="11"/>
  <c r="ES9" i="25"/>
  <c r="CS56" i="1"/>
  <c r="CS40" i="1"/>
  <c r="BT40" i="1"/>
  <c r="U35" i="1"/>
  <c r="BT56" i="1"/>
  <c r="Z113" i="11"/>
  <c r="EG25" i="7" s="1"/>
  <c r="EG12" i="7"/>
  <c r="Z149" i="11"/>
  <c r="EQ15" i="7"/>
  <c r="BR104" i="11"/>
  <c r="BR21" i="11" s="1"/>
  <c r="BR44" i="1" s="1"/>
  <c r="BR83" i="1" s="1"/>
  <c r="BR108" i="11"/>
  <c r="CL15" i="21"/>
  <c r="CL25" i="21"/>
  <c r="CL9" i="21"/>
  <c r="CL20" i="21" s="1"/>
  <c r="CL44" i="21"/>
  <c r="AA50" i="36"/>
  <c r="AI63" i="36"/>
  <c r="Y154" i="36"/>
  <c r="AH159" i="36"/>
  <c r="V49" i="34"/>
  <c r="AC33" i="35"/>
  <c r="AH85" i="37"/>
  <c r="AH104" i="37" s="1"/>
  <c r="CV28" i="24"/>
  <c r="H27" i="24"/>
  <c r="AD27" i="24"/>
  <c r="CA41" i="11"/>
  <c r="CA44" i="11"/>
  <c r="BP9" i="21"/>
  <c r="BP20" i="21" s="1"/>
  <c r="BP25" i="21"/>
  <c r="BP44" i="21"/>
  <c r="Q7" i="9"/>
  <c r="G22" i="8" s="1"/>
  <c r="Q9" i="9"/>
  <c r="Q8" i="9"/>
  <c r="G23" i="8" s="1"/>
  <c r="AA91" i="1"/>
  <c r="AA102" i="1"/>
  <c r="BV68" i="15"/>
  <c r="S105" i="15"/>
  <c r="S106" i="15"/>
  <c r="X15" i="34"/>
  <c r="ET10" i="29"/>
  <c r="AU58" i="29"/>
  <c r="X49" i="38"/>
  <c r="BT26" i="24"/>
  <c r="BI59" i="15"/>
  <c r="BI62" i="15"/>
  <c r="AA67" i="15"/>
  <c r="AA61" i="15"/>
  <c r="V173" i="19"/>
  <c r="BW177" i="19"/>
  <c r="BW174" i="19"/>
  <c r="BW203" i="19"/>
  <c r="F173" i="19"/>
  <c r="BW175" i="19"/>
  <c r="BW176" i="19"/>
  <c r="BH100" i="19"/>
  <c r="BH101" i="19"/>
  <c r="BH102" i="19"/>
  <c r="BH103" i="19"/>
  <c r="Q99" i="19"/>
  <c r="BH129" i="19"/>
  <c r="D34" i="21"/>
  <c r="D39" i="21" s="1"/>
  <c r="N34" i="21"/>
  <c r="N39" i="21" s="1"/>
  <c r="AY39" i="21"/>
  <c r="V194" i="19"/>
  <c r="F194" i="19"/>
  <c r="CJ37" i="25"/>
  <c r="AA35" i="1"/>
  <c r="CL56" i="1"/>
  <c r="CL40" i="1"/>
  <c r="CS67" i="11"/>
  <c r="CS71" i="11"/>
  <c r="X35" i="1"/>
  <c r="CC56" i="1"/>
  <c r="CC40" i="1"/>
  <c r="AC113" i="11"/>
  <c r="EJ25" i="7" s="1"/>
  <c r="EJ12" i="7"/>
  <c r="BD40" i="1"/>
  <c r="BD56" i="1"/>
  <c r="Z118" i="11"/>
  <c r="EG13" i="7"/>
  <c r="CH9" i="21"/>
  <c r="CH15" i="21"/>
  <c r="CH25" i="21"/>
  <c r="CH44" i="21"/>
  <c r="AQ10" i="29"/>
  <c r="EH31" i="29"/>
  <c r="BI11" i="29"/>
  <c r="BI32" i="29" s="1"/>
  <c r="BJ39" i="29" s="1"/>
  <c r="BI81" i="29"/>
  <c r="BI85" i="29" s="1"/>
  <c r="K33" i="37"/>
  <c r="O6" i="37"/>
  <c r="Y76" i="29"/>
  <c r="BC62" i="15"/>
  <c r="BC60" i="15"/>
  <c r="BC61" i="15"/>
  <c r="P21" i="1"/>
  <c r="O56" i="15"/>
  <c r="O59" i="15"/>
  <c r="BG57" i="21"/>
  <c r="BZ74" i="15"/>
  <c r="CG59" i="15"/>
  <c r="CG62" i="15"/>
  <c r="CG68" i="15"/>
  <c r="Y66" i="15"/>
  <c r="S247" i="19"/>
  <c r="BN249" i="19"/>
  <c r="BN250" i="19"/>
  <c r="BN251" i="19"/>
  <c r="BN248" i="19"/>
  <c r="BN277" i="19"/>
  <c r="BU28" i="24"/>
  <c r="BV29" i="24" s="1"/>
  <c r="BW30" i="24" s="1"/>
  <c r="S89" i="19"/>
  <c r="X173" i="19"/>
  <c r="X203" i="19" s="1"/>
  <c r="CC174" i="19"/>
  <c r="CC175" i="19"/>
  <c r="CC176" i="19"/>
  <c r="CC177" i="19"/>
  <c r="CC203" i="19"/>
  <c r="Q11" i="24"/>
  <c r="Q10" i="24" s="1"/>
  <c r="BH13" i="24"/>
  <c r="R183" i="19"/>
  <c r="R159" i="19" s="1"/>
  <c r="E183" i="19"/>
  <c r="CJ40" i="21"/>
  <c r="DV28" i="24"/>
  <c r="T52" i="11"/>
  <c r="BQ87" i="11"/>
  <c r="T148" i="11"/>
  <c r="BX104" i="11"/>
  <c r="BX21" i="11" s="1"/>
  <c r="BX44" i="1" s="1"/>
  <c r="BX83" i="1" s="1"/>
  <c r="BX108" i="11"/>
  <c r="D52" i="11"/>
  <c r="BU56" i="1"/>
  <c r="BU40" i="1"/>
  <c r="BD104" i="11"/>
  <c r="BD21" i="11" s="1"/>
  <c r="BD44" i="1" s="1"/>
  <c r="BD83" i="1" s="1"/>
  <c r="BD108" i="11"/>
  <c r="E51" i="11"/>
  <c r="BK67" i="11"/>
  <c r="R51" i="11"/>
  <c r="R71" i="11" s="1"/>
  <c r="BK71" i="11"/>
  <c r="T58" i="13"/>
  <c r="T59" i="13" s="1"/>
  <c r="T60" i="13" s="1"/>
  <c r="AI58" i="13"/>
  <c r="AI59" i="13" s="1"/>
  <c r="AI60" i="13" s="1"/>
  <c r="CR16" i="21"/>
  <c r="CF16" i="21"/>
  <c r="CF26" i="21"/>
  <c r="CF49" i="21"/>
  <c r="CF51" i="21" s="1"/>
  <c r="U48" i="18"/>
  <c r="F35" i="18" s="1"/>
  <c r="BF46" i="1"/>
  <c r="P23" i="11"/>
  <c r="AV69" i="2"/>
  <c r="Z34" i="21"/>
  <c r="Z39" i="21" s="1"/>
  <c r="CI39" i="21"/>
  <c r="BA42" i="23"/>
  <c r="BK11" i="21" s="1"/>
  <c r="BA37" i="23"/>
  <c r="BA40" i="23"/>
  <c r="BA41" i="23"/>
  <c r="BK12" i="21" s="1"/>
  <c r="H114" i="11"/>
  <c r="EJ26" i="25"/>
  <c r="P81" i="11"/>
  <c r="P90" i="11"/>
  <c r="F25" i="18"/>
  <c r="O17" i="36"/>
  <c r="O21" i="36"/>
  <c r="O20" i="36"/>
  <c r="W67" i="36"/>
  <c r="X62" i="36" s="1"/>
  <c r="W50" i="36"/>
  <c r="O24" i="35"/>
  <c r="O39" i="35"/>
  <c r="BS22" i="1"/>
  <c r="BS62" i="15"/>
  <c r="BS68" i="15"/>
  <c r="BS60" i="15"/>
  <c r="BS61" i="15"/>
  <c r="BW260" i="19"/>
  <c r="BW261" i="19"/>
  <c r="BW262" i="19"/>
  <c r="F259" i="19"/>
  <c r="V259" i="19"/>
  <c r="BW263" i="19"/>
  <c r="BF22" i="1"/>
  <c r="BF98" i="1"/>
  <c r="BF114" i="1"/>
  <c r="P13" i="1"/>
  <c r="BL144" i="11"/>
  <c r="BL145" i="11" s="1"/>
  <c r="BL127" i="1"/>
  <c r="BL101" i="1" s="1"/>
  <c r="BL17" i="21"/>
  <c r="BL27" i="21"/>
  <c r="BL54" i="21"/>
  <c r="BH176" i="19"/>
  <c r="Q173" i="19"/>
  <c r="BH203" i="19"/>
  <c r="BH177" i="19"/>
  <c r="BH175" i="19"/>
  <c r="BH174" i="19"/>
  <c r="T144" i="11"/>
  <c r="T145" i="11" s="1"/>
  <c r="BQ145" i="11"/>
  <c r="CF100" i="19"/>
  <c r="CF101" i="19"/>
  <c r="CF102" i="19"/>
  <c r="CF103" i="19"/>
  <c r="Y99" i="19"/>
  <c r="CF129" i="19"/>
  <c r="AA84" i="19"/>
  <c r="BJ42" i="21"/>
  <c r="U88" i="19"/>
  <c r="AC149" i="11"/>
  <c r="ET15" i="7"/>
  <c r="BX27" i="24"/>
  <c r="BY28" i="24" s="1"/>
  <c r="BZ29" i="24" s="1"/>
  <c r="BD103" i="19"/>
  <c r="BD133" i="19" s="1"/>
  <c r="BD100" i="19"/>
  <c r="BD130" i="19" s="1"/>
  <c r="BD101" i="19"/>
  <c r="BD131" i="19" s="1"/>
  <c r="BD102" i="19"/>
  <c r="BD132" i="19" s="1"/>
  <c r="BD129" i="19"/>
  <c r="BK144" i="11"/>
  <c r="BK127" i="1"/>
  <c r="BK101" i="1" s="1"/>
  <c r="Z90" i="11"/>
  <c r="DZ38" i="24"/>
  <c r="EA39" i="24" s="1"/>
  <c r="EB40" i="24" s="1"/>
  <c r="CU29" i="24"/>
  <c r="AC28" i="24"/>
  <c r="BY19" i="25"/>
  <c r="CM132" i="11"/>
  <c r="CM22" i="11" s="1"/>
  <c r="CM45" i="1" s="1"/>
  <c r="CM84" i="1" s="1"/>
  <c r="CM136" i="11"/>
  <c r="X51" i="11"/>
  <c r="X71" i="11" s="1"/>
  <c r="CC67" i="11"/>
  <c r="CC71" i="11"/>
  <c r="BM56" i="1"/>
  <c r="BM40" i="1"/>
  <c r="BD132" i="11"/>
  <c r="BD22" i="11" s="1"/>
  <c r="BD45" i="1" s="1"/>
  <c r="BD84" i="1" s="1"/>
  <c r="BD136" i="11"/>
  <c r="G97" i="11"/>
  <c r="G117" i="11" s="1"/>
  <c r="H117" i="11" s="1"/>
  <c r="Z97" i="11"/>
  <c r="CI104" i="11"/>
  <c r="CI21" i="11" s="1"/>
  <c r="CI108" i="11"/>
  <c r="BR71" i="11"/>
  <c r="BR67" i="11"/>
  <c r="BR136" i="11"/>
  <c r="BR132" i="11"/>
  <c r="BR22" i="11" s="1"/>
  <c r="BR45" i="1" s="1"/>
  <c r="BR84" i="1" s="1"/>
  <c r="M45" i="22"/>
  <c r="Y45" i="22"/>
  <c r="CH26" i="24"/>
  <c r="DM7" i="7"/>
  <c r="BQ136" i="11"/>
  <c r="BQ132" i="11"/>
  <c r="BQ22" i="11" s="1"/>
  <c r="T123" i="11"/>
  <c r="D51" i="11"/>
  <c r="N51" i="11"/>
  <c r="N71" i="11" s="1"/>
  <c r="AY71" i="11"/>
  <c r="AY67" i="11"/>
  <c r="AD31" i="36"/>
  <c r="AD32" i="36"/>
  <c r="AH63" i="36"/>
  <c r="V43" i="38"/>
  <c r="V24" i="38" s="1"/>
  <c r="V16" i="38" s="1"/>
  <c r="CA11" i="29"/>
  <c r="CA32" i="29" s="1"/>
  <c r="CB39" i="29" s="1"/>
  <c r="CA81" i="29"/>
  <c r="CA85" i="29" s="1"/>
  <c r="AG35" i="36"/>
  <c r="AR75" i="29"/>
  <c r="R23" i="35"/>
  <c r="R16" i="35"/>
  <c r="R32" i="35"/>
  <c r="R30" i="35"/>
  <c r="R91" i="1"/>
  <c r="R102" i="1"/>
  <c r="BC40" i="21"/>
  <c r="R110" i="1"/>
  <c r="S106" i="1" s="1"/>
  <c r="U99" i="1"/>
  <c r="CT142" i="11"/>
  <c r="V101" i="1"/>
  <c r="S74" i="1"/>
  <c r="BZ43" i="23"/>
  <c r="CJ10" i="21"/>
  <c r="R266" i="19"/>
  <c r="R242" i="19" s="1"/>
  <c r="BF280" i="19"/>
  <c r="V182" i="19"/>
  <c r="V158" i="19" s="1"/>
  <c r="AZ41" i="21"/>
  <c r="W269" i="19"/>
  <c r="U255" i="19"/>
  <c r="U231" i="19" s="1"/>
  <c r="CM56" i="21"/>
  <c r="BT251" i="19"/>
  <c r="U247" i="19"/>
  <c r="BT248" i="19"/>
  <c r="BT250" i="19"/>
  <c r="BT249" i="19"/>
  <c r="BT277" i="19"/>
  <c r="F68" i="19"/>
  <c r="V67" i="19"/>
  <c r="F67" i="19"/>
  <c r="Q237" i="19"/>
  <c r="N255" i="19"/>
  <c r="N231" i="19" s="1"/>
  <c r="Y164" i="19"/>
  <c r="DZ35" i="24"/>
  <c r="EA36" i="24" s="1"/>
  <c r="EB37" i="24" s="1"/>
  <c r="AB113" i="11"/>
  <c r="EI25" i="7" s="1"/>
  <c r="EI12" i="7"/>
  <c r="CE132" i="11"/>
  <c r="CE22" i="11" s="1"/>
  <c r="CE45" i="1" s="1"/>
  <c r="CE84" i="1" s="1"/>
  <c r="CE136" i="11"/>
  <c r="S35" i="1"/>
  <c r="BN56" i="1"/>
  <c r="BN40" i="1"/>
  <c r="CQ56" i="1"/>
  <c r="CQ40" i="1"/>
  <c r="AZ43" i="23"/>
  <c r="BX17" i="21"/>
  <c r="BX27" i="21"/>
  <c r="BX54" i="21"/>
  <c r="DY30" i="24"/>
  <c r="AX58" i="13"/>
  <c r="AX59" i="13" s="1"/>
  <c r="AX60" i="13" s="1"/>
  <c r="BP56" i="1"/>
  <c r="BP40" i="1"/>
  <c r="F149" i="11"/>
  <c r="ES15" i="25"/>
  <c r="AA118" i="11"/>
  <c r="EH13" i="7"/>
  <c r="BM41" i="11"/>
  <c r="BM44" i="11"/>
  <c r="CI91" i="11"/>
  <c r="K58" i="13"/>
  <c r="K59" i="13" s="1"/>
  <c r="K60" i="13" s="1"/>
  <c r="S65" i="1"/>
  <c r="BN71" i="1"/>
  <c r="E65" i="1"/>
  <c r="U74" i="1"/>
  <c r="T91" i="1"/>
  <c r="T102" i="1"/>
  <c r="G121" i="1"/>
  <c r="AC121" i="1"/>
  <c r="BR40" i="21"/>
  <c r="BK91" i="11"/>
  <c r="AY58" i="13"/>
  <c r="AY59" i="13" s="1"/>
  <c r="AY60" i="13" s="1"/>
  <c r="P54" i="21"/>
  <c r="CN16" i="21"/>
  <c r="CN26" i="21"/>
  <c r="CN49" i="21"/>
  <c r="CN51" i="21" s="1"/>
  <c r="X17" i="34"/>
  <c r="BB25" i="29"/>
  <c r="O25" i="29" s="1"/>
  <c r="O80" i="29"/>
  <c r="AE31" i="36"/>
  <c r="H11" i="35"/>
  <c r="L11" i="35"/>
  <c r="Y102" i="1"/>
  <c r="DW10" i="7"/>
  <c r="DW13" i="7"/>
  <c r="DW11" i="7"/>
  <c r="E99" i="19"/>
  <c r="BK100" i="19"/>
  <c r="BK103" i="19"/>
  <c r="R99" i="19"/>
  <c r="R129" i="19" s="1"/>
  <c r="BK101" i="19"/>
  <c r="BK129" i="19"/>
  <c r="BK102" i="19"/>
  <c r="CL67" i="24"/>
  <c r="S94" i="15"/>
  <c r="DE94" i="15"/>
  <c r="DQ94" i="15"/>
  <c r="EC94" i="15" s="1"/>
  <c r="EO94" i="15" s="1"/>
  <c r="FA94" i="15" s="1"/>
  <c r="N11" i="24"/>
  <c r="D11" i="24"/>
  <c r="AY13" i="24"/>
  <c r="U261" i="19"/>
  <c r="U237" i="19" s="1"/>
  <c r="U193" i="19"/>
  <c r="U169" i="19" s="1"/>
  <c r="AA181" i="19"/>
  <c r="AA157" i="19" s="1"/>
  <c r="BL42" i="21"/>
  <c r="V108" i="19"/>
  <c r="V84" i="19" s="1"/>
  <c r="N106" i="19"/>
  <c r="N82" i="19" s="1"/>
  <c r="P114" i="19"/>
  <c r="P90" i="19" s="1"/>
  <c r="U149" i="11"/>
  <c r="P109" i="19"/>
  <c r="P85" i="19" s="1"/>
  <c r="S11" i="24"/>
  <c r="S10" i="24" s="1"/>
  <c r="BN13" i="24"/>
  <c r="BN21" i="24" s="1"/>
  <c r="BN22" i="24" s="1"/>
  <c r="BP47" i="21"/>
  <c r="T120" i="19"/>
  <c r="T96" i="19" s="1"/>
  <c r="Y113" i="11"/>
  <c r="V123" i="11"/>
  <c r="V148" i="11" s="1"/>
  <c r="F123" i="11"/>
  <c r="F148" i="11" s="1"/>
  <c r="BW132" i="11"/>
  <c r="BW22" i="11" s="1"/>
  <c r="BW136" i="11"/>
  <c r="X118" i="11"/>
  <c r="CH104" i="11"/>
  <c r="CH21" i="11" s="1"/>
  <c r="CH44" i="1" s="1"/>
  <c r="CH83" i="1" s="1"/>
  <c r="CH108" i="11"/>
  <c r="P163" i="19"/>
  <c r="W34" i="11"/>
  <c r="W17" i="11"/>
  <c r="C25" i="40"/>
  <c r="V33" i="34"/>
  <c r="AH17" i="29"/>
  <c r="AE27" i="35"/>
  <c r="AJ27" i="35" s="1"/>
  <c r="L33" i="35"/>
  <c r="CP11" i="29"/>
  <c r="CP32" i="29" s="1"/>
  <c r="CQ39" i="29" s="1"/>
  <c r="CP81" i="29"/>
  <c r="CP85" i="29" s="1"/>
  <c r="AI128" i="36"/>
  <c r="Y130" i="36"/>
  <c r="Y121" i="36" s="1"/>
  <c r="Y129" i="36"/>
  <c r="DM10" i="29"/>
  <c r="AJ58" i="29"/>
  <c r="AJ70" i="29" s="1"/>
  <c r="V31" i="38"/>
  <c r="V14" i="38" s="1"/>
  <c r="BS40" i="21"/>
  <c r="AE27" i="11"/>
  <c r="BY22" i="1"/>
  <c r="BY114" i="1"/>
  <c r="BY98" i="1"/>
  <c r="BY97" i="1"/>
  <c r="P14" i="1"/>
  <c r="CN62" i="15"/>
  <c r="CN59" i="15"/>
  <c r="CN68" i="15"/>
  <c r="CZ68" i="15"/>
  <c r="T107" i="19"/>
  <c r="CS7" i="7"/>
  <c r="AY41" i="21"/>
  <c r="BL279" i="19"/>
  <c r="X120" i="19"/>
  <c r="X96" i="19" s="1"/>
  <c r="BP40" i="21"/>
  <c r="E67" i="18"/>
  <c r="F67" i="18"/>
  <c r="A52" i="18" s="1"/>
  <c r="CA28" i="24"/>
  <c r="CB29" i="24" s="1"/>
  <c r="CC30" i="24" s="1"/>
  <c r="X109" i="19"/>
  <c r="X85" i="19" s="1"/>
  <c r="Q163" i="19"/>
  <c r="BJ41" i="21"/>
  <c r="CF144" i="11"/>
  <c r="CF127" i="1"/>
  <c r="CF101" i="1" s="1"/>
  <c r="BO71" i="11"/>
  <c r="BO67" i="11"/>
  <c r="CE148" i="11"/>
  <c r="S51" i="11"/>
  <c r="S71" i="11" s="1"/>
  <c r="BN67" i="11"/>
  <c r="BN71" i="11"/>
  <c r="P51" i="11"/>
  <c r="P71" i="11" s="1"/>
  <c r="BE67" i="11"/>
  <c r="BE71" i="11"/>
  <c r="E88" i="11"/>
  <c r="E89" i="11"/>
  <c r="CE26" i="21"/>
  <c r="CQ16" i="21"/>
  <c r="CE49" i="21"/>
  <c r="BW41" i="21"/>
  <c r="W11" i="24"/>
  <c r="BZ13" i="24"/>
  <c r="BZ21" i="24" s="1"/>
  <c r="BZ22" i="24" s="1"/>
  <c r="R256" i="19"/>
  <c r="R232" i="19" s="1"/>
  <c r="BD278" i="19"/>
  <c r="P173" i="19"/>
  <c r="P203" i="19" s="1"/>
  <c r="BE174" i="19"/>
  <c r="BE175" i="19"/>
  <c r="BE176" i="19"/>
  <c r="BE177" i="19"/>
  <c r="BE203" i="19"/>
  <c r="BB41" i="21"/>
  <c r="AD86" i="22"/>
  <c r="J87" i="22"/>
  <c r="G21" i="36"/>
  <c r="G20" i="36"/>
  <c r="BD11" i="29"/>
  <c r="BD32" i="29" s="1"/>
  <c r="BE39" i="29" s="1"/>
  <c r="BD81" i="29"/>
  <c r="BD85" i="29" s="1"/>
  <c r="BS25" i="29"/>
  <c r="BS32" i="29" s="1"/>
  <c r="BT39" i="29" s="1"/>
  <c r="BS81" i="29"/>
  <c r="BS85" i="29" s="1"/>
  <c r="AD128" i="36"/>
  <c r="G129" i="36"/>
  <c r="G130" i="36"/>
  <c r="G121" i="36" s="1"/>
  <c r="AF75" i="29"/>
  <c r="DA79" i="29"/>
  <c r="BQ18" i="29"/>
  <c r="T18" i="29" s="1"/>
  <c r="T79" i="29"/>
  <c r="AG27" i="11"/>
  <c r="W91" i="1"/>
  <c r="W102" i="1"/>
  <c r="BI74" i="15"/>
  <c r="BM26" i="21"/>
  <c r="BM49" i="21"/>
  <c r="CN67" i="24"/>
  <c r="CO68" i="24" s="1"/>
  <c r="BH62" i="15"/>
  <c r="BH59" i="15"/>
  <c r="BV42" i="21"/>
  <c r="BX204" i="19"/>
  <c r="S180" i="19"/>
  <c r="S156" i="19" s="1"/>
  <c r="CE204" i="19"/>
  <c r="W238" i="19"/>
  <c r="F269" i="19"/>
  <c r="V269" i="19"/>
  <c r="Z180" i="19"/>
  <c r="Z156" i="19" s="1"/>
  <c r="X267" i="19"/>
  <c r="X243" i="19" s="1"/>
  <c r="AB90" i="11"/>
  <c r="AB118" i="11"/>
  <c r="EI13" i="7"/>
  <c r="BY71" i="11"/>
  <c r="BY67" i="11"/>
  <c r="BY136" i="11"/>
  <c r="BY132" i="11"/>
  <c r="BY22" i="11" s="1"/>
  <c r="BY45" i="1" s="1"/>
  <c r="BY84" i="1" s="1"/>
  <c r="AZ91" i="11"/>
  <c r="AZ56" i="1"/>
  <c r="AZ40" i="1"/>
  <c r="BG44" i="11"/>
  <c r="BG41" i="11"/>
  <c r="AA88" i="11"/>
  <c r="AA89" i="11"/>
  <c r="G149" i="11"/>
  <c r="H149" i="11" s="1"/>
  <c r="ET15" i="25"/>
  <c r="CB43" i="23"/>
  <c r="G25" i="18"/>
  <c r="BN11" i="29"/>
  <c r="S78" i="29"/>
  <c r="AB50" i="36"/>
  <c r="AF70" i="29"/>
  <c r="BK25" i="29"/>
  <c r="R80" i="29"/>
  <c r="CL18" i="29"/>
  <c r="AA18" i="29" s="1"/>
  <c r="AA79" i="29"/>
  <c r="Z42" i="21"/>
  <c r="D113" i="11"/>
  <c r="EG25" i="25" s="1"/>
  <c r="EG12" i="25"/>
  <c r="EH9" i="25"/>
  <c r="CP102" i="1"/>
  <c r="CP91" i="1"/>
  <c r="X62" i="15"/>
  <c r="X60" i="15"/>
  <c r="X74" i="15"/>
  <c r="X59" i="15"/>
  <c r="BF43" i="23"/>
  <c r="DW13" i="25"/>
  <c r="BF81" i="29"/>
  <c r="BF85" i="29" s="1"/>
  <c r="DD24" i="29"/>
  <c r="AG24" i="29" s="1"/>
  <c r="AG68" i="29"/>
  <c r="DD70" i="29"/>
  <c r="CN100" i="19"/>
  <c r="CN101" i="19"/>
  <c r="CN102" i="19"/>
  <c r="CN103" i="19"/>
  <c r="CN129" i="19"/>
  <c r="N40" i="21"/>
  <c r="BF50" i="21"/>
  <c r="BF55" i="21"/>
  <c r="F195" i="19"/>
  <c r="V195" i="19"/>
  <c r="EL36" i="24"/>
  <c r="EM37" i="24" s="1"/>
  <c r="EN38" i="24" s="1"/>
  <c r="EB28" i="24"/>
  <c r="AN27" i="24"/>
  <c r="CM56" i="1"/>
  <c r="CM40" i="1"/>
  <c r="EH9" i="7"/>
  <c r="BM108" i="11"/>
  <c r="BM104" i="11"/>
  <c r="BM21" i="11" s="1"/>
  <c r="BM44" i="1" s="1"/>
  <c r="BM83" i="1" s="1"/>
  <c r="CS132" i="11"/>
  <c r="CS22" i="11" s="1"/>
  <c r="CS45" i="1" s="1"/>
  <c r="CS84" i="1" s="1"/>
  <c r="CS136" i="11"/>
  <c r="BL104" i="11"/>
  <c r="BL21" i="11" s="1"/>
  <c r="BL44" i="1" s="1"/>
  <c r="BL83" i="1" s="1"/>
  <c r="BL108" i="11"/>
  <c r="U123" i="11"/>
  <c r="BT132" i="11"/>
  <c r="BT22" i="11" s="1"/>
  <c r="BT136" i="11"/>
  <c r="AG41" i="38"/>
  <c r="W22" i="38"/>
  <c r="CI100" i="19"/>
  <c r="CI103" i="19"/>
  <c r="CI101" i="19"/>
  <c r="CI129" i="19"/>
  <c r="Z99" i="19"/>
  <c r="Z129" i="19" s="1"/>
  <c r="CI102" i="19"/>
  <c r="O12" i="1"/>
  <c r="BB20" i="1"/>
  <c r="BB21" i="1"/>
  <c r="BB97" i="1"/>
  <c r="BB88" i="1"/>
  <c r="BB14" i="1"/>
  <c r="BB11" i="11"/>
  <c r="CG144" i="11"/>
  <c r="CG145" i="11" s="1"/>
  <c r="CG127" i="1"/>
  <c r="CG101" i="1" s="1"/>
  <c r="CN13" i="24"/>
  <c r="CN63" i="24"/>
  <c r="CN66" i="24" s="1"/>
  <c r="BU102" i="19"/>
  <c r="BU132" i="19" s="1"/>
  <c r="BU103" i="19"/>
  <c r="BU133" i="19" s="1"/>
  <c r="BU101" i="19"/>
  <c r="BU131" i="19" s="1"/>
  <c r="BU100" i="19"/>
  <c r="BU130" i="19" s="1"/>
  <c r="BU129" i="19"/>
  <c r="V193" i="19"/>
  <c r="F193" i="19"/>
  <c r="CI144" i="11"/>
  <c r="CI127" i="1"/>
  <c r="CI101" i="1" s="1"/>
  <c r="EU35" i="24"/>
  <c r="EV36" i="24" s="1"/>
  <c r="EW37" i="24" s="1"/>
  <c r="EW30" i="24"/>
  <c r="CO104" i="11"/>
  <c r="CO21" i="11" s="1"/>
  <c r="AB97" i="11"/>
  <c r="CO108" i="11"/>
  <c r="BI41" i="11"/>
  <c r="BI44" i="11"/>
  <c r="G118" i="11"/>
  <c r="H118" i="11" s="1"/>
  <c r="EJ13" i="25"/>
  <c r="ET9" i="25"/>
  <c r="J53" i="22"/>
  <c r="M52" i="22"/>
  <c r="P52" i="22"/>
  <c r="Q52" i="22"/>
  <c r="U52" i="22"/>
  <c r="W52" i="22"/>
  <c r="S52" i="22"/>
  <c r="T52" i="22"/>
  <c r="N52" i="22"/>
  <c r="O52" i="22"/>
  <c r="Y52" i="22"/>
  <c r="V52" i="22"/>
  <c r="X52" i="22"/>
  <c r="R52" i="22"/>
  <c r="W44" i="18"/>
  <c r="H27" i="18" s="1"/>
  <c r="W50" i="18"/>
  <c r="H36" i="18" s="1"/>
  <c r="V15" i="34"/>
  <c r="V17" i="34" s="1"/>
  <c r="AN70" i="29"/>
  <c r="Z31" i="38"/>
  <c r="AH31" i="38" s="1"/>
  <c r="CF25" i="29"/>
  <c r="Y25" i="29" s="1"/>
  <c r="Y80" i="29"/>
  <c r="AF15" i="38"/>
  <c r="P33" i="34"/>
  <c r="DA25" i="29"/>
  <c r="AF25" i="29" s="1"/>
  <c r="AF80" i="29"/>
  <c r="BK62" i="15"/>
  <c r="BK68" i="15"/>
  <c r="BK60" i="15"/>
  <c r="BK61" i="15"/>
  <c r="AA13" i="1"/>
  <c r="CL98" i="1"/>
  <c r="CL114" i="1"/>
  <c r="CG22" i="1"/>
  <c r="CG114" i="1"/>
  <c r="CG98" i="1"/>
  <c r="CG97" i="1"/>
  <c r="D61" i="15"/>
  <c r="BU26" i="21"/>
  <c r="BU49" i="21"/>
  <c r="BU51" i="21" s="1"/>
  <c r="CL144" i="11"/>
  <c r="CL127" i="1"/>
  <c r="CL101" i="1" s="1"/>
  <c r="BO56" i="21"/>
  <c r="Y68" i="19"/>
  <c r="DN11" i="25"/>
  <c r="CE100" i="19"/>
  <c r="CE130" i="19" s="1"/>
  <c r="CE101" i="19"/>
  <c r="CE131" i="19" s="1"/>
  <c r="CE102" i="19"/>
  <c r="CE132" i="19" s="1"/>
  <c r="CE103" i="19"/>
  <c r="CE133" i="19" s="1"/>
  <c r="CE129" i="19"/>
  <c r="N269" i="19"/>
  <c r="D269" i="19"/>
  <c r="CF248" i="19"/>
  <c r="CF249" i="19"/>
  <c r="CF250" i="19"/>
  <c r="CF251" i="19"/>
  <c r="Y247" i="19"/>
  <c r="CF277" i="19"/>
  <c r="DB35" i="24"/>
  <c r="DC36" i="24" s="1"/>
  <c r="DD37" i="24" s="1"/>
  <c r="EN29" i="24"/>
  <c r="AR28" i="24"/>
  <c r="BA71" i="11"/>
  <c r="BA67" i="11"/>
  <c r="BA136" i="11"/>
  <c r="BA132" i="11"/>
  <c r="BA22" i="11" s="1"/>
  <c r="BA45" i="1" s="1"/>
  <c r="BA84" i="1" s="1"/>
  <c r="CT44" i="11"/>
  <c r="CT41" i="11"/>
  <c r="BL132" i="11"/>
  <c r="BL22" i="11" s="1"/>
  <c r="BL45" i="1" s="1"/>
  <c r="BL84" i="1" s="1"/>
  <c r="BL136" i="11"/>
  <c r="CQ104" i="11"/>
  <c r="CQ21" i="11" s="1"/>
  <c r="CQ44" i="1" s="1"/>
  <c r="CQ83" i="1" s="1"/>
  <c r="CQ108" i="11"/>
  <c r="W51" i="11"/>
  <c r="W71" i="11" s="1"/>
  <c r="BZ71" i="11"/>
  <c r="BZ67" i="11"/>
  <c r="CR17" i="21"/>
  <c r="CF17" i="21"/>
  <c r="CF27" i="21"/>
  <c r="CF54" i="21"/>
  <c r="CR71" i="1"/>
  <c r="CR74" i="1"/>
  <c r="AC64" i="1"/>
  <c r="CR104" i="11"/>
  <c r="CR21" i="11" s="1"/>
  <c r="AC97" i="11"/>
  <c r="CR108" i="11"/>
  <c r="E67" i="15"/>
  <c r="BG100" i="19"/>
  <c r="BG130" i="19" s="1"/>
  <c r="BG101" i="19"/>
  <c r="BG131" i="19" s="1"/>
  <c r="BG102" i="19"/>
  <c r="BG132" i="19" s="1"/>
  <c r="BG103" i="19"/>
  <c r="BG133" i="19" s="1"/>
  <c r="BG129" i="19"/>
  <c r="CJ11" i="29"/>
  <c r="CJ32" i="29" s="1"/>
  <c r="CK39" i="29" s="1"/>
  <c r="CJ81" i="29"/>
  <c r="CJ85" i="29" s="1"/>
  <c r="X67" i="36"/>
  <c r="X50" i="36"/>
  <c r="CX10" i="29"/>
  <c r="AE58" i="29"/>
  <c r="CO78" i="29"/>
  <c r="AB74" i="29"/>
  <c r="AN74" i="29"/>
  <c r="CC13" i="24"/>
  <c r="CC21" i="24" s="1"/>
  <c r="CC22" i="24" s="1"/>
  <c r="X11" i="24"/>
  <c r="X10" i="24" s="1"/>
  <c r="S186" i="19"/>
  <c r="S162" i="19" s="1"/>
  <c r="AC161" i="11"/>
  <c r="ET20" i="7"/>
  <c r="V113" i="19"/>
  <c r="V89" i="19" s="1"/>
  <c r="U90" i="19"/>
  <c r="CD40" i="21"/>
  <c r="BZ174" i="19"/>
  <c r="BZ176" i="19"/>
  <c r="BZ177" i="19"/>
  <c r="BZ203" i="19"/>
  <c r="BZ175" i="19"/>
  <c r="W173" i="19"/>
  <c r="W203" i="19" s="1"/>
  <c r="Q30" i="9"/>
  <c r="P35" i="9"/>
  <c r="P36" i="9" s="1"/>
  <c r="AB35" i="1"/>
  <c r="CO56" i="1"/>
  <c r="CO40" i="1"/>
  <c r="BP108" i="11"/>
  <c r="BP104" i="11"/>
  <c r="BP21" i="11" s="1"/>
  <c r="BP44" i="1" s="1"/>
  <c r="BP83" i="1" s="1"/>
  <c r="CU91" i="11"/>
  <c r="BV117" i="11"/>
  <c r="CL44" i="11"/>
  <c r="CL41" i="11"/>
  <c r="AA39" i="11"/>
  <c r="CB67" i="11"/>
  <c r="CB71" i="11"/>
  <c r="M58" i="13"/>
  <c r="M59" i="13" s="1"/>
  <c r="M60" i="13" s="1"/>
  <c r="Z89" i="11"/>
  <c r="AA58" i="13"/>
  <c r="AA59" i="13" s="1"/>
  <c r="AA60" i="13" s="1"/>
  <c r="BC41" i="11"/>
  <c r="BC44" i="11"/>
  <c r="X45" i="22"/>
  <c r="Q45" i="22"/>
  <c r="T247" i="19"/>
  <c r="T277" i="19" s="1"/>
  <c r="BQ248" i="19"/>
  <c r="BQ249" i="19"/>
  <c r="BQ250" i="19"/>
  <c r="BQ251" i="19"/>
  <c r="BQ277" i="19"/>
  <c r="CB11" i="29"/>
  <c r="CB32" i="29" s="1"/>
  <c r="CC39" i="29" s="1"/>
  <c r="CB81" i="29"/>
  <c r="CB85" i="29" s="1"/>
  <c r="AF48" i="37"/>
  <c r="S57" i="37"/>
  <c r="S125" i="37"/>
  <c r="T37" i="36"/>
  <c r="AG145" i="36"/>
  <c r="R10" i="35"/>
  <c r="R34" i="37"/>
  <c r="BH120" i="19"/>
  <c r="Q120" i="19" s="1"/>
  <c r="Q117" i="19"/>
  <c r="BH121" i="19"/>
  <c r="Q121" i="19" s="1"/>
  <c r="BH118" i="19"/>
  <c r="Q118" i="19" s="1"/>
  <c r="BH119" i="19"/>
  <c r="Q119" i="19" s="1"/>
  <c r="F67" i="15"/>
  <c r="BA11" i="11"/>
  <c r="BA21" i="1"/>
  <c r="D11" i="1"/>
  <c r="BA112" i="1"/>
  <c r="N11" i="1"/>
  <c r="BA88" i="1"/>
  <c r="BA14" i="1"/>
  <c r="BA20" i="1"/>
  <c r="BF279" i="19"/>
  <c r="F70" i="19"/>
  <c r="W268" i="19"/>
  <c r="W244" i="19" s="1"/>
  <c r="U254" i="19"/>
  <c r="U230" i="19" s="1"/>
  <c r="BG56" i="21"/>
  <c r="W231" i="19"/>
  <c r="Q236" i="19"/>
  <c r="N256" i="19"/>
  <c r="N232" i="19" s="1"/>
  <c r="Y165" i="19"/>
  <c r="Z106" i="19"/>
  <c r="Z82" i="19" s="1"/>
  <c r="CB50" i="21"/>
  <c r="BZ144" i="11"/>
  <c r="BZ127" i="1"/>
  <c r="BZ101" i="1" s="1"/>
  <c r="EU41" i="24"/>
  <c r="EV42" i="24" s="1"/>
  <c r="EW43" i="24" s="1"/>
  <c r="T88" i="11"/>
  <c r="Q88" i="11"/>
  <c r="Q89" i="11"/>
  <c r="CK87" i="11"/>
  <c r="BD117" i="11"/>
  <c r="BL148" i="11"/>
  <c r="CA104" i="11"/>
  <c r="CA21" i="11" s="1"/>
  <c r="CA44" i="1" s="1"/>
  <c r="CA83" i="1" s="1"/>
  <c r="CA108" i="11"/>
  <c r="W118" i="11"/>
  <c r="W148" i="11"/>
  <c r="BJ41" i="11"/>
  <c r="BJ44" i="11"/>
  <c r="DK39" i="24"/>
  <c r="DL40" i="24" s="1"/>
  <c r="DM41" i="24" s="1"/>
  <c r="BP117" i="11"/>
  <c r="V149" i="11"/>
  <c r="BZ19" i="25"/>
  <c r="O39" i="11"/>
  <c r="BB41" i="11"/>
  <c r="BB44" i="11"/>
  <c r="BS74" i="15"/>
  <c r="CT163" i="11"/>
  <c r="S239" i="19"/>
  <c r="D123" i="11"/>
  <c r="N123" i="11"/>
  <c r="AY132" i="11"/>
  <c r="AY22" i="11" s="1"/>
  <c r="AY136" i="11"/>
  <c r="BU25" i="21"/>
  <c r="BU9" i="21"/>
  <c r="BU20" i="21"/>
  <c r="BU44" i="21"/>
  <c r="BU46" i="21" s="1"/>
  <c r="CN17" i="21"/>
  <c r="CN27" i="21"/>
  <c r="CN54" i="21"/>
  <c r="CN56" i="21" s="1"/>
  <c r="CL78" i="29"/>
  <c r="AA74" i="29"/>
  <c r="AF16" i="36"/>
  <c r="DJ31" i="29"/>
  <c r="O76" i="29"/>
  <c r="AE39" i="36"/>
  <c r="AE43" i="36"/>
  <c r="AE42" i="36"/>
  <c r="J23" i="35"/>
  <c r="J16" i="35"/>
  <c r="J32" i="35"/>
  <c r="J30" i="35"/>
  <c r="Z9" i="24"/>
  <c r="CI11" i="24"/>
  <c r="R67" i="19"/>
  <c r="E67" i="19"/>
  <c r="BK22" i="1"/>
  <c r="BL22" i="1"/>
  <c r="BT22" i="1"/>
  <c r="BM22" i="1"/>
  <c r="BU22" i="1"/>
  <c r="BN22" i="1"/>
  <c r="S13" i="1"/>
  <c r="BN98" i="1"/>
  <c r="BR22" i="1"/>
  <c r="BN114" i="1"/>
  <c r="E13" i="1"/>
  <c r="E97" i="1" s="1"/>
  <c r="AI10" i="25" s="1"/>
  <c r="N9" i="24"/>
  <c r="AZ62" i="15"/>
  <c r="AZ59" i="15"/>
  <c r="BD26" i="21"/>
  <c r="BD49" i="21"/>
  <c r="U260" i="19"/>
  <c r="U236" i="19" s="1"/>
  <c r="CF176" i="19"/>
  <c r="Y173" i="19"/>
  <c r="CF175" i="19"/>
  <c r="CF203" i="19"/>
  <c r="CF177" i="19"/>
  <c r="CF174" i="19"/>
  <c r="CH100" i="19"/>
  <c r="CH101" i="19"/>
  <c r="CH103" i="19"/>
  <c r="CH129" i="19"/>
  <c r="CH102" i="19"/>
  <c r="R260" i="19"/>
  <c r="R236" i="19" s="1"/>
  <c r="E260" i="19"/>
  <c r="U170" i="19"/>
  <c r="Z257" i="19"/>
  <c r="Z233" i="19" s="1"/>
  <c r="BN174" i="19"/>
  <c r="S173" i="19"/>
  <c r="BN175" i="19"/>
  <c r="BN176" i="19"/>
  <c r="BN177" i="19"/>
  <c r="BN203" i="19"/>
  <c r="V106" i="19"/>
  <c r="V82" i="19" s="1"/>
  <c r="D105" i="19"/>
  <c r="P108" i="19"/>
  <c r="P84" i="19" s="1"/>
  <c r="CK102" i="19"/>
  <c r="CK103" i="19"/>
  <c r="CK101" i="19"/>
  <c r="CK100" i="19"/>
  <c r="CK129" i="19"/>
  <c r="Z91" i="15"/>
  <c r="EE28" i="24"/>
  <c r="AO27" i="24"/>
  <c r="AB51" i="11"/>
  <c r="AB71" i="11" s="1"/>
  <c r="CO71" i="11"/>
  <c r="CO67" i="11"/>
  <c r="AF58" i="13"/>
  <c r="AF59" i="13" s="1"/>
  <c r="AF60" i="13" s="1"/>
  <c r="ER9" i="7"/>
  <c r="BM67" i="11"/>
  <c r="BM71" i="11"/>
  <c r="BL67" i="11"/>
  <c r="BL71" i="11"/>
  <c r="D26" i="18"/>
  <c r="D3" i="18" s="1"/>
  <c r="CP8" i="15" s="1"/>
  <c r="CP91" i="11"/>
  <c r="DB91" i="11" s="1"/>
  <c r="DN91" i="11" s="1"/>
  <c r="DZ91" i="11" s="1"/>
  <c r="EL91" i="11" s="1"/>
  <c r="EX91" i="11" s="1"/>
  <c r="BN144" i="11"/>
  <c r="BN127" i="1"/>
  <c r="BN101" i="1" s="1"/>
  <c r="P162" i="19"/>
  <c r="BH248" i="19"/>
  <c r="BH249" i="19"/>
  <c r="BH250" i="19"/>
  <c r="BH251" i="19"/>
  <c r="Q247" i="19"/>
  <c r="BH277" i="19"/>
  <c r="CN108" i="11"/>
  <c r="CN104" i="11"/>
  <c r="CN21" i="11" s="1"/>
  <c r="CN44" i="1" s="1"/>
  <c r="CN83" i="1" s="1"/>
  <c r="ET9" i="7"/>
  <c r="AP74" i="29"/>
  <c r="J28" i="35"/>
  <c r="CE11" i="29"/>
  <c r="CE32" i="29" s="1"/>
  <c r="CF39" i="29" s="1"/>
  <c r="CE81" i="29"/>
  <c r="CE85" i="29" s="1"/>
  <c r="BZ106" i="19"/>
  <c r="W106" i="19" s="1"/>
  <c r="W82" i="19" s="1"/>
  <c r="W105" i="19"/>
  <c r="W233" i="19" s="1"/>
  <c r="BZ108" i="19"/>
  <c r="W108" i="19" s="1"/>
  <c r="W84" i="19" s="1"/>
  <c r="BZ109" i="19"/>
  <c r="W109" i="19" s="1"/>
  <c r="W85" i="19" s="1"/>
  <c r="BZ107" i="19"/>
  <c r="W107" i="19" s="1"/>
  <c r="BO42" i="21"/>
  <c r="BA59" i="15"/>
  <c r="BA62" i="15"/>
  <c r="U121" i="1"/>
  <c r="E121" i="1"/>
  <c r="CD278" i="19"/>
  <c r="BZ39" i="21"/>
  <c r="W34" i="21"/>
  <c r="W39" i="21" s="1"/>
  <c r="O266" i="19"/>
  <c r="O242" i="19" s="1"/>
  <c r="X189" i="19"/>
  <c r="X165" i="19" s="1"/>
  <c r="N41" i="21"/>
  <c r="BI100" i="19"/>
  <c r="BI101" i="19"/>
  <c r="BI102" i="19"/>
  <c r="BI103" i="19"/>
  <c r="BI129" i="19"/>
  <c r="BL280" i="19"/>
  <c r="X121" i="19"/>
  <c r="X113" i="19"/>
  <c r="X89" i="19" s="1"/>
  <c r="BT174" i="19"/>
  <c r="BT175" i="19"/>
  <c r="BT176" i="19"/>
  <c r="BT177" i="19"/>
  <c r="U173" i="19"/>
  <c r="U203" i="19" s="1"/>
  <c r="BT203" i="19"/>
  <c r="X108" i="19"/>
  <c r="X84" i="19" s="1"/>
  <c r="W157" i="19"/>
  <c r="X34" i="21"/>
  <c r="X39" i="21" s="1"/>
  <c r="CC39" i="21"/>
  <c r="BP281" i="19"/>
  <c r="Q162" i="19"/>
  <c r="O115" i="19"/>
  <c r="O91" i="19" s="1"/>
  <c r="FA40" i="24"/>
  <c r="FB41" i="24" s="1"/>
  <c r="BO132" i="11"/>
  <c r="BO22" i="11" s="1"/>
  <c r="BO45" i="1" s="1"/>
  <c r="BO84" i="1" s="1"/>
  <c r="BO136" i="11"/>
  <c r="BO44" i="11"/>
  <c r="BO41" i="11"/>
  <c r="BN44" i="11"/>
  <c r="S39" i="11"/>
  <c r="BN41" i="11"/>
  <c r="CJ104" i="11"/>
  <c r="CJ21" i="11" s="1"/>
  <c r="CJ44" i="1" s="1"/>
  <c r="CJ83" i="1" s="1"/>
  <c r="CJ108" i="11"/>
  <c r="CA117" i="11"/>
  <c r="BU43" i="23"/>
  <c r="CE10" i="21"/>
  <c r="W9" i="24"/>
  <c r="BD281" i="19"/>
  <c r="G19" i="36"/>
  <c r="AD10" i="29"/>
  <c r="B4" i="30"/>
  <c r="CF18" i="29"/>
  <c r="Y18" i="29" s="1"/>
  <c r="Y79" i="29"/>
  <c r="AE75" i="29"/>
  <c r="CX79" i="29"/>
  <c r="N34" i="37"/>
  <c r="N10" i="35"/>
  <c r="BS100" i="19"/>
  <c r="BS130" i="19" s="1"/>
  <c r="BS102" i="19"/>
  <c r="BS132" i="19" s="1"/>
  <c r="BS103" i="19"/>
  <c r="BS133" i="19" s="1"/>
  <c r="BS129" i="19"/>
  <c r="BS101" i="19"/>
  <c r="BS131" i="19" s="1"/>
  <c r="BR28" i="24"/>
  <c r="BS29" i="24" s="1"/>
  <c r="BT30" i="24" s="1"/>
  <c r="BC43" i="23"/>
  <c r="BM10" i="21"/>
  <c r="BO281" i="19"/>
  <c r="Y67" i="15"/>
  <c r="BI11" i="11"/>
  <c r="BI21" i="1"/>
  <c r="BI112" i="1"/>
  <c r="BI88" i="1"/>
  <c r="BI14" i="1"/>
  <c r="BI20" i="1"/>
  <c r="Q11" i="1"/>
  <c r="N182" i="19"/>
  <c r="N158" i="19" s="1"/>
  <c r="S183" i="19"/>
  <c r="S159" i="19" s="1"/>
  <c r="CE207" i="19"/>
  <c r="BZ16" i="21"/>
  <c r="BZ26" i="21"/>
  <c r="BZ49" i="21"/>
  <c r="CJ42" i="21"/>
  <c r="CL174" i="19"/>
  <c r="AA173" i="19"/>
  <c r="CL175" i="19"/>
  <c r="CL176" i="19"/>
  <c r="CL203" i="19"/>
  <c r="CL177" i="19"/>
  <c r="CM55" i="21"/>
  <c r="Z183" i="19"/>
  <c r="Z159" i="19" s="1"/>
  <c r="DD11" i="25"/>
  <c r="BA126" i="1"/>
  <c r="N126" i="1" s="1"/>
  <c r="N127" i="1" s="1"/>
  <c r="BA163" i="11"/>
  <c r="O90" i="11"/>
  <c r="DS29" i="24"/>
  <c r="AK28" i="24"/>
  <c r="DD28" i="24"/>
  <c r="AF27" i="24"/>
  <c r="AH58" i="13"/>
  <c r="AH59" i="13" s="1"/>
  <c r="AH60" i="13" s="1"/>
  <c r="BG132" i="11"/>
  <c r="BG22" i="11" s="1"/>
  <c r="BG45" i="1" s="1"/>
  <c r="BG84" i="1" s="1"/>
  <c r="BG136" i="11"/>
  <c r="X88" i="11"/>
  <c r="X89" i="11"/>
  <c r="CR91" i="11"/>
  <c r="AC91" i="11" s="1"/>
  <c r="G113" i="11"/>
  <c r="EJ12" i="25"/>
  <c r="G123" i="11"/>
  <c r="CI136" i="11"/>
  <c r="Z123" i="11"/>
  <c r="Z148" i="11" s="1"/>
  <c r="CI132" i="11"/>
  <c r="CI22" i="11" s="1"/>
  <c r="O148" i="11"/>
  <c r="G39" i="11"/>
  <c r="CI41" i="11"/>
  <c r="CI44" i="11"/>
  <c r="Z39" i="11"/>
  <c r="BE25" i="21"/>
  <c r="BE9" i="21"/>
  <c r="BE20" i="21" s="1"/>
  <c r="BE44" i="21"/>
  <c r="V47" i="18"/>
  <c r="G34" i="18" s="1"/>
  <c r="R76" i="29"/>
  <c r="AA75" i="29"/>
  <c r="BZ18" i="29"/>
  <c r="W18" i="29" s="1"/>
  <c r="W79" i="29"/>
  <c r="BQ41" i="11"/>
  <c r="BQ44" i="11"/>
  <c r="T39" i="11"/>
  <c r="N113" i="11"/>
  <c r="X61" i="15"/>
  <c r="S17" i="36"/>
  <c r="W142" i="11"/>
  <c r="BF32" i="29"/>
  <c r="BG39" i="29" s="1"/>
  <c r="Z24" i="36"/>
  <c r="Y46" i="37"/>
  <c r="AI50" i="36"/>
  <c r="BJ43" i="23"/>
  <c r="BT10" i="21"/>
  <c r="R119" i="19"/>
  <c r="R95" i="19" s="1"/>
  <c r="CX76" i="11"/>
  <c r="DF76" i="11"/>
  <c r="CY76" i="11"/>
  <c r="CZ76" i="11"/>
  <c r="DA76" i="11"/>
  <c r="DB76" i="11"/>
  <c r="I76" i="11"/>
  <c r="CU76" i="11"/>
  <c r="DC76" i="11"/>
  <c r="CV76" i="11"/>
  <c r="DD76" i="11"/>
  <c r="CW76" i="11"/>
  <c r="DE76" i="11"/>
  <c r="AF31" i="36"/>
  <c r="AE43" i="35"/>
  <c r="X64" i="34" s="1"/>
  <c r="AF28" i="36"/>
  <c r="BI42" i="23"/>
  <c r="BS11" i="21" s="1"/>
  <c r="BI37" i="23"/>
  <c r="BI41" i="23"/>
  <c r="BS12" i="21" s="1"/>
  <c r="BI40" i="23"/>
  <c r="BF91" i="1"/>
  <c r="BF102" i="1"/>
  <c r="P71" i="1"/>
  <c r="AZ120" i="19"/>
  <c r="D120" i="19" s="1"/>
  <c r="AZ121" i="19"/>
  <c r="AZ119" i="19"/>
  <c r="N119" i="19" s="1"/>
  <c r="N95" i="19" s="1"/>
  <c r="AZ118" i="19"/>
  <c r="D118" i="19" s="1"/>
  <c r="AF30" i="36"/>
  <c r="AE36" i="38"/>
  <c r="D44" i="25"/>
  <c r="D44" i="7"/>
  <c r="BE110" i="1"/>
  <c r="BE99" i="1"/>
  <c r="Z67" i="19"/>
  <c r="CH106" i="19"/>
  <c r="CH108" i="19"/>
  <c r="CH109" i="19"/>
  <c r="Y109" i="19" s="1"/>
  <c r="Y85" i="19" s="1"/>
  <c r="CH107" i="19"/>
  <c r="Y107" i="19" s="1"/>
  <c r="Y83" i="19" s="1"/>
  <c r="P62" i="15"/>
  <c r="P60" i="15"/>
  <c r="BN62" i="15"/>
  <c r="BN68" i="15"/>
  <c r="BN59" i="15"/>
  <c r="BN60" i="15"/>
  <c r="BN74" i="15"/>
  <c r="BW248" i="19"/>
  <c r="BW249" i="19"/>
  <c r="BW250" i="19"/>
  <c r="V247" i="19"/>
  <c r="V277" i="19" s="1"/>
  <c r="BW251" i="19"/>
  <c r="F247" i="19"/>
  <c r="F277" i="19" s="1"/>
  <c r="BW277" i="19"/>
  <c r="CD62" i="15"/>
  <c r="CD68" i="15"/>
  <c r="CD59" i="15"/>
  <c r="CD74" i="15"/>
  <c r="CD60" i="15"/>
  <c r="V62" i="15"/>
  <c r="BP207" i="19"/>
  <c r="P94" i="15"/>
  <c r="DM94" i="15"/>
  <c r="DA94" i="15"/>
  <c r="Q170" i="19"/>
  <c r="CF52" i="21"/>
  <c r="CF57" i="21"/>
  <c r="BL103" i="19"/>
  <c r="BL133" i="19" s="1"/>
  <c r="BL100" i="19"/>
  <c r="BL130" i="19" s="1"/>
  <c r="BL129" i="19"/>
  <c r="BL101" i="19"/>
  <c r="BL131" i="19" s="1"/>
  <c r="BL102" i="19"/>
  <c r="BL132" i="19" s="1"/>
  <c r="DT35" i="24"/>
  <c r="DU36" i="24" s="1"/>
  <c r="DV37" i="24" s="1"/>
  <c r="AA91" i="11"/>
  <c r="X91" i="11"/>
  <c r="DA91" i="11"/>
  <c r="X34" i="11"/>
  <c r="X17" i="11"/>
  <c r="AC51" i="11"/>
  <c r="AC71" i="11" s="1"/>
  <c r="CR67" i="11"/>
  <c r="CR71" i="11"/>
  <c r="G52" i="11"/>
  <c r="Z52" i="11"/>
  <c r="CI87" i="11"/>
  <c r="EQ9" i="7"/>
  <c r="DA81" i="11"/>
  <c r="DB81" i="11"/>
  <c r="I81" i="11"/>
  <c r="CU81" i="11"/>
  <c r="DC81" i="11"/>
  <c r="CV81" i="11"/>
  <c r="DD81" i="11"/>
  <c r="CW81" i="11"/>
  <c r="DE81" i="11"/>
  <c r="CX81" i="11"/>
  <c r="DF81" i="11"/>
  <c r="CY81" i="11"/>
  <c r="CZ81" i="11"/>
  <c r="CH41" i="11"/>
  <c r="CH44" i="11"/>
  <c r="S44" i="18"/>
  <c r="D27" i="18" s="1"/>
  <c r="D9" i="18" s="1"/>
  <c r="CP19" i="15" s="1"/>
  <c r="W48" i="18"/>
  <c r="H35" i="18" s="1"/>
  <c r="H4" i="18" s="1"/>
  <c r="CT9" i="15" s="1"/>
  <c r="AA31" i="38"/>
  <c r="AG14" i="36"/>
  <c r="AF39" i="36"/>
  <c r="AF41" i="36"/>
  <c r="BK11" i="29"/>
  <c r="R78" i="29"/>
  <c r="BK81" i="29"/>
  <c r="BK85" i="29" s="1"/>
  <c r="AA106" i="15"/>
  <c r="AA105" i="15"/>
  <c r="AB101" i="1"/>
  <c r="CJ18" i="7" s="1"/>
  <c r="Y74" i="1"/>
  <c r="U88" i="1"/>
  <c r="U89" i="1" s="1"/>
  <c r="BB60" i="15"/>
  <c r="BB62" i="15"/>
  <c r="BB74" i="15"/>
  <c r="BB61" i="15"/>
  <c r="BQ11" i="11"/>
  <c r="T11" i="1"/>
  <c r="BQ21" i="1"/>
  <c r="BQ112" i="1"/>
  <c r="BQ88" i="1"/>
  <c r="BQ20" i="1"/>
  <c r="BQ14" i="1"/>
  <c r="BP21" i="1"/>
  <c r="BP97" i="1"/>
  <c r="BP14" i="1"/>
  <c r="BP88" i="1"/>
  <c r="BP20" i="1"/>
  <c r="BP11" i="11"/>
  <c r="BJ40" i="21"/>
  <c r="AA70" i="19"/>
  <c r="Q108" i="19"/>
  <c r="Y34" i="21"/>
  <c r="Y39" i="21" s="1"/>
  <c r="CF39" i="21"/>
  <c r="E182" i="19"/>
  <c r="R182" i="19"/>
  <c r="R158" i="19" s="1"/>
  <c r="E173" i="19"/>
  <c r="BK175" i="19"/>
  <c r="BK176" i="19"/>
  <c r="R173" i="19"/>
  <c r="R203" i="19" s="1"/>
  <c r="BK177" i="19"/>
  <c r="BK203" i="19"/>
  <c r="BK174" i="19"/>
  <c r="BD40" i="21"/>
  <c r="BE144" i="11"/>
  <c r="BE127" i="1"/>
  <c r="BE100" i="1" s="1"/>
  <c r="J58" i="13"/>
  <c r="J59" i="13" s="1"/>
  <c r="J60" i="13" s="1"/>
  <c r="N87" i="11"/>
  <c r="D148" i="11"/>
  <c r="EQ9" i="25"/>
  <c r="CJ67" i="11"/>
  <c r="CJ71" i="11"/>
  <c r="U58" i="13"/>
  <c r="U59" i="13" s="1"/>
  <c r="U60" i="13" s="1"/>
  <c r="BJ56" i="1"/>
  <c r="BJ40" i="1"/>
  <c r="BZ9" i="21"/>
  <c r="BZ20" i="21" s="1"/>
  <c r="BZ15" i="21"/>
  <c r="BZ25" i="21"/>
  <c r="BZ44" i="21"/>
  <c r="AZ26" i="21"/>
  <c r="AZ49" i="21"/>
  <c r="G141" i="11"/>
  <c r="ET14" i="25"/>
  <c r="Z40" i="21"/>
  <c r="CN50" i="21"/>
  <c r="CN55" i="21"/>
  <c r="D168" i="11"/>
  <c r="F90" i="11"/>
  <c r="CB132" i="11"/>
  <c r="CB22" i="11" s="1"/>
  <c r="CB45" i="1" s="1"/>
  <c r="CB84" i="1" s="1"/>
  <c r="CB136" i="11"/>
  <c r="AD14" i="35"/>
  <c r="AD15" i="35" s="1"/>
  <c r="H15" i="35"/>
  <c r="AL75" i="29"/>
  <c r="AE70" i="29"/>
  <c r="H101" i="29"/>
  <c r="G140" i="29"/>
  <c r="Z101" i="1"/>
  <c r="CH18" i="7" s="1"/>
  <c r="AY186" i="19"/>
  <c r="AY187" i="19"/>
  <c r="D185" i="19"/>
  <c r="AY188" i="19"/>
  <c r="N185" i="19"/>
  <c r="AY189" i="19"/>
  <c r="BY112" i="19"/>
  <c r="V112" i="19" s="1"/>
  <c r="V88" i="19" s="1"/>
  <c r="BY113" i="19"/>
  <c r="F113" i="19" s="1"/>
  <c r="BY114" i="19"/>
  <c r="F114" i="19" s="1"/>
  <c r="BY115" i="19"/>
  <c r="AA265" i="19"/>
  <c r="AC125" i="1"/>
  <c r="G125" i="1"/>
  <c r="BO206" i="19"/>
  <c r="BJ27" i="21"/>
  <c r="BJ22" i="21"/>
  <c r="BJ54" i="21"/>
  <c r="U89" i="19"/>
  <c r="Z13" i="1"/>
  <c r="CI114" i="1"/>
  <c r="CI98" i="1"/>
  <c r="CI97" i="1"/>
  <c r="BX52" i="21"/>
  <c r="BX57" i="21"/>
  <c r="EX22" i="21"/>
  <c r="EQ22" i="21"/>
  <c r="EY22" i="21"/>
  <c r="ER22" i="21"/>
  <c r="EZ22" i="21"/>
  <c r="ES22" i="21"/>
  <c r="FA22" i="21"/>
  <c r="ET22" i="21"/>
  <c r="FB22" i="21"/>
  <c r="EU22" i="21"/>
  <c r="EV22" i="21"/>
  <c r="EW22" i="21"/>
  <c r="BY104" i="11"/>
  <c r="BY21" i="11" s="1"/>
  <c r="BY44" i="1" s="1"/>
  <c r="BY83" i="1" s="1"/>
  <c r="BY108" i="11"/>
  <c r="EZ28" i="24"/>
  <c r="AV27" i="24"/>
  <c r="V17" i="11"/>
  <c r="V34" i="11"/>
  <c r="BF104" i="11"/>
  <c r="BF21" i="11" s="1"/>
  <c r="BF44" i="1" s="1"/>
  <c r="BF83" i="1" s="1"/>
  <c r="BF108" i="11"/>
  <c r="X39" i="11"/>
  <c r="CC41" i="11"/>
  <c r="CC44" i="11"/>
  <c r="H126" i="11"/>
  <c r="ET11" i="25"/>
  <c r="O91" i="11"/>
  <c r="T45" i="22"/>
  <c r="W74" i="1"/>
  <c r="O6" i="25"/>
  <c r="AS37" i="25" s="1"/>
  <c r="BM6" i="25"/>
  <c r="BW37" i="23"/>
  <c r="BW41" i="23"/>
  <c r="CG12" i="21" s="1"/>
  <c r="BW42" i="23"/>
  <c r="CG11" i="21" s="1"/>
  <c r="BW40" i="23"/>
  <c r="G58" i="19"/>
  <c r="Z58" i="19"/>
  <c r="Z63" i="19" s="1"/>
  <c r="CK12" i="25"/>
  <c r="CK38" i="25" s="1"/>
  <c r="BU108" i="11"/>
  <c r="BU104" i="11"/>
  <c r="BU21" i="11" s="1"/>
  <c r="BU44" i="1" s="1"/>
  <c r="BU83" i="1" s="1"/>
  <c r="E141" i="11"/>
  <c r="ER27" i="25" s="1"/>
  <c r="ER14" i="25"/>
  <c r="AD69" i="22"/>
  <c r="J70" i="22"/>
  <c r="AD18" i="37"/>
  <c r="AD91" i="38"/>
  <c r="AD107" i="38"/>
  <c r="AD82" i="38"/>
  <c r="AD98" i="38"/>
  <c r="AD116" i="38"/>
  <c r="AD74" i="38"/>
  <c r="CT11" i="29"/>
  <c r="CT32" i="29" s="1"/>
  <c r="CU39" i="29" s="1"/>
  <c r="CT81" i="29"/>
  <c r="CT85" i="29" s="1"/>
  <c r="W16" i="34"/>
  <c r="AV70" i="29"/>
  <c r="AG75" i="29"/>
  <c r="DD79" i="29"/>
  <c r="AG52" i="36"/>
  <c r="AG53" i="36" s="1"/>
  <c r="AN75" i="29"/>
  <c r="BW18" i="29"/>
  <c r="V79" i="29"/>
  <c r="BL9" i="11"/>
  <c r="BL82" i="11" s="1"/>
  <c r="BL15" i="1"/>
  <c r="BL52" i="1"/>
  <c r="BL100" i="1"/>
  <c r="BL10" i="11"/>
  <c r="Z74" i="15"/>
  <c r="CG58" i="19"/>
  <c r="CG36" i="15"/>
  <c r="CF34" i="15"/>
  <c r="CG92" i="15"/>
  <c r="CG37" i="15"/>
  <c r="Q56" i="15"/>
  <c r="Q62" i="15" s="1"/>
  <c r="N12" i="1"/>
  <c r="AZ21" i="1"/>
  <c r="D12" i="1"/>
  <c r="C7" i="8" s="1"/>
  <c r="AZ14" i="1"/>
  <c r="AZ97" i="1"/>
  <c r="AZ88" i="1"/>
  <c r="AZ11" i="11"/>
  <c r="AZ20" i="1"/>
  <c r="P192" i="19"/>
  <c r="P168" i="19" s="1"/>
  <c r="V183" i="19"/>
  <c r="V159" i="19" s="1"/>
  <c r="W267" i="19"/>
  <c r="W243" i="19" s="1"/>
  <c r="D111" i="19"/>
  <c r="T67" i="19"/>
  <c r="R187" i="19"/>
  <c r="R163" i="19" s="1"/>
  <c r="E187" i="19"/>
  <c r="D192" i="19"/>
  <c r="N192" i="19"/>
  <c r="Y163" i="19"/>
  <c r="CI55" i="19"/>
  <c r="CJ18" i="15"/>
  <c r="R107" i="19"/>
  <c r="R83" i="19" s="1"/>
  <c r="E107" i="19"/>
  <c r="DK34" i="24"/>
  <c r="DL35" i="24" s="1"/>
  <c r="DM36" i="24" s="1"/>
  <c r="AE28" i="24"/>
  <c r="CY29" i="24"/>
  <c r="BX117" i="11"/>
  <c r="CN41" i="11"/>
  <c r="CN44" i="11"/>
  <c r="BO56" i="1"/>
  <c r="BO40" i="1"/>
  <c r="BU67" i="11"/>
  <c r="BU71" i="11"/>
  <c r="BU132" i="11"/>
  <c r="BU22" i="11" s="1"/>
  <c r="BU45" i="1" s="1"/>
  <c r="BU84" i="1" s="1"/>
  <c r="BU136" i="11"/>
  <c r="AC17" i="11"/>
  <c r="AC34" i="11"/>
  <c r="W52" i="11"/>
  <c r="W87" i="11" s="1"/>
  <c r="BZ87" i="11"/>
  <c r="BZ148" i="11"/>
  <c r="S49" i="18"/>
  <c r="AZ104" i="11"/>
  <c r="AZ21" i="11" s="1"/>
  <c r="AZ44" i="1" s="1"/>
  <c r="AZ83" i="1" s="1"/>
  <c r="AZ108" i="11"/>
  <c r="CS104" i="11"/>
  <c r="CS21" i="11" s="1"/>
  <c r="CS44" i="1" s="1"/>
  <c r="CS83" i="1" s="1"/>
  <c r="CS108" i="11"/>
  <c r="CB87" i="11"/>
  <c r="BW19" i="7"/>
  <c r="P68" i="1"/>
  <c r="BO60" i="15"/>
  <c r="BO62" i="15"/>
  <c r="BO68" i="15"/>
  <c r="BO59" i="15"/>
  <c r="P61" i="15"/>
  <c r="S238" i="19"/>
  <c r="H58" i="13"/>
  <c r="H59" i="13" s="1"/>
  <c r="H60" i="13" s="1"/>
  <c r="CK91" i="11"/>
  <c r="BX19" i="25"/>
  <c r="BK43" i="23"/>
  <c r="P27" i="21"/>
  <c r="P32" i="21" s="1"/>
  <c r="BH26" i="21"/>
  <c r="BH49" i="21"/>
  <c r="BH52" i="21" s="1"/>
  <c r="AI57" i="29"/>
  <c r="AG108" i="36"/>
  <c r="AG109" i="36" s="1"/>
  <c r="K17" i="36"/>
  <c r="K19" i="36"/>
  <c r="AE41" i="36"/>
  <c r="G139" i="29"/>
  <c r="H91" i="29"/>
  <c r="CC11" i="29"/>
  <c r="X78" i="29"/>
  <c r="CC81" i="29"/>
  <c r="CC85" i="29" s="1"/>
  <c r="BW186" i="19"/>
  <c r="BW187" i="19"/>
  <c r="BW188" i="19"/>
  <c r="F185" i="19"/>
  <c r="BW189" i="19"/>
  <c r="V185" i="19"/>
  <c r="D9" i="24"/>
  <c r="BY11" i="11"/>
  <c r="F11" i="1"/>
  <c r="BY21" i="1"/>
  <c r="V11" i="1"/>
  <c r="BY112" i="1"/>
  <c r="BY88" i="1"/>
  <c r="BY20" i="1"/>
  <c r="BY14" i="1"/>
  <c r="CD61" i="15"/>
  <c r="D60" i="15"/>
  <c r="BD27" i="21"/>
  <c r="BD54" i="21"/>
  <c r="X256" i="19"/>
  <c r="X232" i="19" s="1"/>
  <c r="D121" i="19"/>
  <c r="N121" i="19"/>
  <c r="E263" i="19"/>
  <c r="R263" i="19"/>
  <c r="R239" i="19" s="1"/>
  <c r="U195" i="19"/>
  <c r="Z256" i="19"/>
  <c r="Z232" i="19" s="1"/>
  <c r="V107" i="19"/>
  <c r="V83" i="19" s="1"/>
  <c r="F107" i="19"/>
  <c r="CH42" i="21"/>
  <c r="P107" i="19"/>
  <c r="P83" i="19" s="1"/>
  <c r="T121" i="19"/>
  <c r="BB144" i="11"/>
  <c r="BB127" i="1"/>
  <c r="AW27" i="24"/>
  <c r="CF136" i="11"/>
  <c r="CF132" i="11"/>
  <c r="CF22" i="11" s="1"/>
  <c r="Y123" i="11"/>
  <c r="BR87" i="11"/>
  <c r="BV17" i="21"/>
  <c r="ES145" i="11"/>
  <c r="FA145" i="11"/>
  <c r="ET145" i="11"/>
  <c r="FB145" i="11"/>
  <c r="EU145" i="11"/>
  <c r="EV145" i="11"/>
  <c r="EX145" i="11"/>
  <c r="EQ145" i="11"/>
  <c r="EY145" i="11"/>
  <c r="EW145" i="11"/>
  <c r="EZ145" i="11"/>
  <c r="ER145" i="11"/>
  <c r="BL81" i="29"/>
  <c r="BL85" i="29" s="1"/>
  <c r="T146" i="36"/>
  <c r="T147" i="36" s="1"/>
  <c r="J34" i="35"/>
  <c r="R28" i="35"/>
  <c r="BN80" i="29"/>
  <c r="S76" i="29"/>
  <c r="AM75" i="29"/>
  <c r="E23" i="35"/>
  <c r="E30" i="35"/>
  <c r="E32" i="35"/>
  <c r="U47" i="38"/>
  <c r="P259" i="19"/>
  <c r="BE260" i="19"/>
  <c r="P260" i="19" s="1"/>
  <c r="P236" i="19" s="1"/>
  <c r="BE261" i="19"/>
  <c r="P261" i="19" s="1"/>
  <c r="P237" i="19" s="1"/>
  <c r="BE262" i="19"/>
  <c r="P262" i="19" s="1"/>
  <c r="P238" i="19" s="1"/>
  <c r="BE263" i="19"/>
  <c r="P263" i="19" s="1"/>
  <c r="P239" i="19" s="1"/>
  <c r="AY42" i="21"/>
  <c r="BP61" i="15"/>
  <c r="CN60" i="15"/>
  <c r="BV144" i="11"/>
  <c r="BV145" i="11" s="1"/>
  <c r="BV127" i="1"/>
  <c r="BV101" i="1" s="1"/>
  <c r="CD281" i="19"/>
  <c r="BZ40" i="21"/>
  <c r="G42" i="19"/>
  <c r="Z42" i="19"/>
  <c r="Z47" i="19" s="1"/>
  <c r="CI66" i="19"/>
  <c r="X188" i="19"/>
  <c r="X164" i="19" s="1"/>
  <c r="CJ27" i="24"/>
  <c r="G26" i="24"/>
  <c r="Z26" i="24"/>
  <c r="BL278" i="19"/>
  <c r="X119" i="19"/>
  <c r="X95" i="19" s="1"/>
  <c r="BD144" i="11"/>
  <c r="BD145" i="11" s="1"/>
  <c r="BD127" i="1"/>
  <c r="BD100" i="1" s="1"/>
  <c r="X106" i="19"/>
  <c r="X82" i="19" s="1"/>
  <c r="W159" i="19"/>
  <c r="U107" i="19"/>
  <c r="U83" i="19" s="1"/>
  <c r="BI126" i="1"/>
  <c r="BI163" i="11"/>
  <c r="BP280" i="19"/>
  <c r="O114" i="19"/>
  <c r="O90" i="19" s="1"/>
  <c r="CG71" i="11"/>
  <c r="CG67" i="11"/>
  <c r="CG136" i="11"/>
  <c r="CG132" i="11"/>
  <c r="CG22" i="11" s="1"/>
  <c r="CG45" i="1" s="1"/>
  <c r="CG84" i="1" s="1"/>
  <c r="BX41" i="11"/>
  <c r="BX44" i="11"/>
  <c r="AY91" i="11"/>
  <c r="X58" i="13"/>
  <c r="X59" i="13" s="1"/>
  <c r="X60" i="13" s="1"/>
  <c r="R97" i="11"/>
  <c r="R117" i="11" s="1"/>
  <c r="BK104" i="11"/>
  <c r="BK21" i="11" s="1"/>
  <c r="E97" i="11"/>
  <c r="E117" i="11" s="1"/>
  <c r="BK108" i="11"/>
  <c r="R89" i="11"/>
  <c r="AY26" i="21"/>
  <c r="N11" i="21"/>
  <c r="AY49" i="21"/>
  <c r="R255" i="19"/>
  <c r="R231" i="19" s="1"/>
  <c r="U162" i="19"/>
  <c r="U88" i="11"/>
  <c r="V50" i="18"/>
  <c r="G36" i="18" s="1"/>
  <c r="BW78" i="29"/>
  <c r="V74" i="29"/>
  <c r="AO74" i="29"/>
  <c r="N105" i="15"/>
  <c r="N106" i="15"/>
  <c r="BM17" i="21"/>
  <c r="BM27" i="21"/>
  <c r="BM54" i="21"/>
  <c r="BO280" i="19"/>
  <c r="Q253" i="19"/>
  <c r="BH254" i="19"/>
  <c r="Q254" i="19" s="1"/>
  <c r="BH256" i="19"/>
  <c r="Q256" i="19" s="1"/>
  <c r="BH257" i="19"/>
  <c r="Q257" i="19" s="1"/>
  <c r="BH255" i="19"/>
  <c r="Q255" i="19" s="1"/>
  <c r="V60" i="15"/>
  <c r="V66" i="15"/>
  <c r="BH60" i="15"/>
  <c r="N183" i="19"/>
  <c r="N159" i="19" s="1"/>
  <c r="BX207" i="19"/>
  <c r="U125" i="1"/>
  <c r="E125" i="1"/>
  <c r="S182" i="19"/>
  <c r="S158" i="19" s="1"/>
  <c r="N173" i="19"/>
  <c r="N203" i="19" s="1"/>
  <c r="AY177" i="19"/>
  <c r="AY174" i="19"/>
  <c r="D173" i="19"/>
  <c r="AY203" i="19"/>
  <c r="AY175" i="19"/>
  <c r="AY176" i="19"/>
  <c r="BZ27" i="21"/>
  <c r="BZ22" i="21"/>
  <c r="BZ17" i="21"/>
  <c r="BZ54" i="21"/>
  <c r="BD42" i="21"/>
  <c r="F268" i="19"/>
  <c r="V268" i="19"/>
  <c r="Z182" i="19"/>
  <c r="Z158" i="19" s="1"/>
  <c r="N162" i="11"/>
  <c r="N163" i="11" s="1"/>
  <c r="N142" i="11"/>
  <c r="X269" i="19"/>
  <c r="W115" i="19"/>
  <c r="W91" i="19" s="1"/>
  <c r="BT103" i="19"/>
  <c r="U99" i="19"/>
  <c r="U129" i="19" s="1"/>
  <c r="BT101" i="19"/>
  <c r="BT102" i="19"/>
  <c r="BT100" i="19"/>
  <c r="BT129" i="19"/>
  <c r="CR144" i="11"/>
  <c r="CR127" i="1"/>
  <c r="CR101" i="1" s="1"/>
  <c r="EH29" i="24"/>
  <c r="ET28" i="24"/>
  <c r="BI56" i="1"/>
  <c r="BI40" i="1"/>
  <c r="F118" i="11"/>
  <c r="EI13" i="25"/>
  <c r="P58" i="13"/>
  <c r="P59" i="13" s="1"/>
  <c r="P60" i="13" s="1"/>
  <c r="AA97" i="11"/>
  <c r="AA117" i="11" s="1"/>
  <c r="CL104" i="11"/>
  <c r="CL21" i="11" s="1"/>
  <c r="CL108" i="11"/>
  <c r="BZ19" i="7"/>
  <c r="CJ41" i="11"/>
  <c r="CJ44" i="11"/>
  <c r="G51" i="11"/>
  <c r="CI67" i="11"/>
  <c r="Z51" i="11"/>
  <c r="Z71" i="11" s="1"/>
  <c r="CI71" i="11"/>
  <c r="AR58" i="13"/>
  <c r="AR59" i="13" s="1"/>
  <c r="AR60" i="13" s="1"/>
  <c r="O118" i="11"/>
  <c r="BB148" i="11"/>
  <c r="AC74" i="22"/>
  <c r="K75" i="22"/>
  <c r="AC79" i="22"/>
  <c r="K80" i="22"/>
  <c r="K87" i="22"/>
  <c r="AC86" i="22"/>
  <c r="AC65" i="1"/>
  <c r="Y32" i="36"/>
  <c r="AC75" i="29"/>
  <c r="AE96" i="37"/>
  <c r="AE99" i="37"/>
  <c r="AE97" i="37"/>
  <c r="AE91" i="37"/>
  <c r="AE103" i="37"/>
  <c r="AF111" i="36"/>
  <c r="AF122" i="36" s="1"/>
  <c r="F44" i="34" s="1"/>
  <c r="AE98" i="37"/>
  <c r="CA40" i="21"/>
  <c r="CL254" i="19"/>
  <c r="AA254" i="19" s="1"/>
  <c r="AA230" i="19" s="1"/>
  <c r="AA253" i="19"/>
  <c r="CL257" i="19"/>
  <c r="AA257" i="19" s="1"/>
  <c r="AA233" i="19" s="1"/>
  <c r="CL255" i="19"/>
  <c r="AA255" i="19" s="1"/>
  <c r="AA231" i="19" s="1"/>
  <c r="CL256" i="19"/>
  <c r="AA256" i="19" s="1"/>
  <c r="AA232" i="19" s="1"/>
  <c r="CM100" i="19"/>
  <c r="CM101" i="19"/>
  <c r="CM102" i="19"/>
  <c r="CM103" i="19"/>
  <c r="CM129" i="19"/>
  <c r="N149" i="11"/>
  <c r="E34" i="35"/>
  <c r="P74" i="15"/>
  <c r="DY13" i="25"/>
  <c r="CR11" i="29"/>
  <c r="AC78" i="29"/>
  <c r="CR81" i="29"/>
  <c r="CR85" i="29" s="1"/>
  <c r="EW31" i="29"/>
  <c r="AV10" i="29"/>
  <c r="EN31" i="29"/>
  <c r="AS10" i="29"/>
  <c r="Q11" i="35"/>
  <c r="Q49" i="35"/>
  <c r="CF11" i="29"/>
  <c r="Y78" i="29"/>
  <c r="Y81" i="29" s="1"/>
  <c r="Y85" i="29" s="1"/>
  <c r="CF81" i="29"/>
  <c r="CF85" i="29" s="1"/>
  <c r="U67" i="15"/>
  <c r="DK94" i="15"/>
  <c r="DW94" i="15" s="1"/>
  <c r="EI94" i="15" s="1"/>
  <c r="EU94" i="15" s="1"/>
  <c r="CY94" i="15"/>
  <c r="CE50" i="21"/>
  <c r="CE55" i="21"/>
  <c r="CJ51" i="21"/>
  <c r="R120" i="19"/>
  <c r="R96" i="19" s="1"/>
  <c r="CL45" i="21"/>
  <c r="CL55" i="21"/>
  <c r="AA55" i="21" s="1"/>
  <c r="Q169" i="19"/>
  <c r="V255" i="19"/>
  <c r="V231" i="19" s="1"/>
  <c r="AZ52" i="21"/>
  <c r="AZ57" i="21"/>
  <c r="CH15" i="25"/>
  <c r="CH37" i="25"/>
  <c r="CH40" i="25" s="1"/>
  <c r="H20" i="8"/>
  <c r="BI136" i="11"/>
  <c r="BI132" i="11"/>
  <c r="BI22" i="11" s="1"/>
  <c r="BI45" i="1" s="1"/>
  <c r="BI84" i="1" s="1"/>
  <c r="Y97" i="11"/>
  <c r="Y117" i="11" s="1"/>
  <c r="CF104" i="11"/>
  <c r="CF21" i="11" s="1"/>
  <c r="CF108" i="11"/>
  <c r="BX19" i="7"/>
  <c r="CS41" i="11"/>
  <c r="CS44" i="11"/>
  <c r="BS67" i="11"/>
  <c r="BS71" i="11"/>
  <c r="BV15" i="21"/>
  <c r="BV25" i="21"/>
  <c r="BV24" i="21" s="1"/>
  <c r="BV9" i="21"/>
  <c r="BV44" i="21"/>
  <c r="BV46" i="21" s="1"/>
  <c r="V76" i="29"/>
  <c r="BW80" i="29"/>
  <c r="W76" i="29"/>
  <c r="BZ80" i="29"/>
  <c r="CU24" i="29"/>
  <c r="AD68" i="29"/>
  <c r="CU70" i="29"/>
  <c r="H68" i="29"/>
  <c r="EZ10" i="29"/>
  <c r="AW58" i="29"/>
  <c r="BH11" i="29"/>
  <c r="Q78" i="29"/>
  <c r="BH81" i="29"/>
  <c r="BH85" i="29" s="1"/>
  <c r="E59" i="15"/>
  <c r="E65" i="15"/>
  <c r="E56" i="15"/>
  <c r="N91" i="1"/>
  <c r="N102" i="1"/>
  <c r="U20" i="1"/>
  <c r="U11" i="11"/>
  <c r="S265" i="19"/>
  <c r="BN267" i="19"/>
  <c r="S267" i="19" s="1"/>
  <c r="S243" i="19" s="1"/>
  <c r="BN268" i="19"/>
  <c r="S268" i="19" s="1"/>
  <c r="S244" i="19" s="1"/>
  <c r="BN269" i="19"/>
  <c r="S269" i="19" s="1"/>
  <c r="BN266" i="19"/>
  <c r="S266" i="19" s="1"/>
  <c r="S242" i="19" s="1"/>
  <c r="BU17" i="21"/>
  <c r="BU27" i="21"/>
  <c r="BU22" i="21"/>
  <c r="BU54" i="21"/>
  <c r="BU56" i="21" s="1"/>
  <c r="BY144" i="11"/>
  <c r="BY145" i="11" s="1"/>
  <c r="BY127" i="1"/>
  <c r="BY101" i="1" s="1"/>
  <c r="Q107" i="19"/>
  <c r="CG47" i="19"/>
  <c r="CG71" i="19" s="1"/>
  <c r="CG7" i="15"/>
  <c r="CG45" i="15"/>
  <c r="Y40" i="21"/>
  <c r="AY100" i="19"/>
  <c r="AY101" i="19"/>
  <c r="D99" i="19"/>
  <c r="AY102" i="19"/>
  <c r="N99" i="19"/>
  <c r="N129" i="19" s="1"/>
  <c r="AY103" i="19"/>
  <c r="AY129" i="19"/>
  <c r="D268" i="19"/>
  <c r="N268" i="19"/>
  <c r="AA99" i="19"/>
  <c r="AA129" i="19" s="1"/>
  <c r="CL101" i="19"/>
  <c r="CL102" i="19"/>
  <c r="CL103" i="19"/>
  <c r="CL129" i="19"/>
  <c r="CL100" i="19"/>
  <c r="CI12" i="25"/>
  <c r="CI38" i="25" s="1"/>
  <c r="H21" i="8"/>
  <c r="CR29" i="24"/>
  <c r="AE27" i="24"/>
  <c r="CY28" i="24"/>
  <c r="CG104" i="11"/>
  <c r="CG21" i="11" s="1"/>
  <c r="CG44" i="1" s="1"/>
  <c r="CG83" i="1" s="1"/>
  <c r="CG108" i="11"/>
  <c r="BO108" i="11"/>
  <c r="BO104" i="11"/>
  <c r="BO21" i="11" s="1"/>
  <c r="BO44" i="1" s="1"/>
  <c r="BO83" i="1" s="1"/>
  <c r="DC91" i="11"/>
  <c r="DO91" i="11" s="1"/>
  <c r="EA91" i="11" s="1"/>
  <c r="EM91" i="11" s="1"/>
  <c r="EY91" i="11" s="1"/>
  <c r="CE56" i="1"/>
  <c r="CE40" i="1"/>
  <c r="S97" i="11"/>
  <c r="S117" i="11" s="1"/>
  <c r="BN104" i="11"/>
  <c r="BN21" i="11" s="1"/>
  <c r="BN108" i="11"/>
  <c r="CT132" i="11"/>
  <c r="CT22" i="11" s="1"/>
  <c r="CT45" i="1" s="1"/>
  <c r="CT84" i="1" s="1"/>
  <c r="CT136" i="11"/>
  <c r="AZ22" i="21"/>
  <c r="AZ27" i="21"/>
  <c r="AZ54" i="21"/>
  <c r="CR23" i="11"/>
  <c r="AC65" i="11"/>
  <c r="CR92" i="11"/>
  <c r="G65" i="11"/>
  <c r="Z141" i="11"/>
  <c r="EQ27" i="7" s="1"/>
  <c r="EQ14" i="7"/>
  <c r="R46" i="1"/>
  <c r="CS35" i="24"/>
  <c r="CT36" i="24" s="1"/>
  <c r="CU37" i="24" s="1"/>
  <c r="Y115" i="36"/>
  <c r="AH120" i="36"/>
  <c r="CC25" i="29"/>
  <c r="X25" i="29" s="1"/>
  <c r="X80" i="29"/>
  <c r="CA11" i="11"/>
  <c r="CA14" i="1"/>
  <c r="CA88" i="1"/>
  <c r="CA112" i="1"/>
  <c r="CA21" i="1"/>
  <c r="CA20" i="1"/>
  <c r="W11" i="1"/>
  <c r="T67" i="15"/>
  <c r="G161" i="11"/>
  <c r="ET20" i="25"/>
  <c r="BQ39" i="21"/>
  <c r="T34" i="21"/>
  <c r="T39" i="21" s="1"/>
  <c r="BJ21" i="21"/>
  <c r="BJ26" i="21"/>
  <c r="BJ49" i="21"/>
  <c r="AZ100" i="19"/>
  <c r="AZ130" i="19" s="1"/>
  <c r="AZ101" i="19"/>
  <c r="AZ131" i="19" s="1"/>
  <c r="AZ102" i="19"/>
  <c r="AZ132" i="19" s="1"/>
  <c r="AZ103" i="19"/>
  <c r="AZ133" i="19" s="1"/>
  <c r="AZ129" i="19"/>
  <c r="R114" i="19"/>
  <c r="R90" i="19" s="1"/>
  <c r="F170" i="11"/>
  <c r="CJ11" i="25"/>
  <c r="CJ38" i="25" s="1"/>
  <c r="AB91" i="11"/>
  <c r="AB34" i="11"/>
  <c r="AB17" i="11"/>
  <c r="CF56" i="1"/>
  <c r="Y35" i="1"/>
  <c r="CF40" i="1"/>
  <c r="EI9" i="25"/>
  <c r="V35" i="1"/>
  <c r="F35" i="1"/>
  <c r="BW56" i="1"/>
  <c r="BW40" i="1"/>
  <c r="AA149" i="11"/>
  <c r="ER15" i="7"/>
  <c r="BM117" i="11"/>
  <c r="BS87" i="11"/>
  <c r="BB56" i="1"/>
  <c r="O35" i="1"/>
  <c r="BB40" i="1"/>
  <c r="S45" i="22"/>
  <c r="BR9" i="21"/>
  <c r="BR20" i="21"/>
  <c r="BR15" i="21"/>
  <c r="BR25" i="21"/>
  <c r="BR24" i="21" s="1"/>
  <c r="BR44" i="21"/>
  <c r="BR46" i="21" s="1"/>
  <c r="AZ9" i="21"/>
  <c r="AZ19" i="21" s="1"/>
  <c r="AZ25" i="21"/>
  <c r="AZ24" i="21" s="1"/>
  <c r="AZ29" i="21" s="1"/>
  <c r="AZ44" i="21"/>
  <c r="AZ47" i="21" s="1"/>
  <c r="AA191" i="19"/>
  <c r="BP46" i="21"/>
  <c r="S90" i="11"/>
  <c r="L58" i="29"/>
  <c r="S116" i="37"/>
  <c r="W49" i="35"/>
  <c r="CN11" i="29"/>
  <c r="CN32" i="29" s="1"/>
  <c r="CO39" i="29" s="1"/>
  <c r="CN81" i="29"/>
  <c r="CN85" i="29" s="1"/>
  <c r="BQ80" i="29"/>
  <c r="T76" i="29"/>
  <c r="CL62" i="15"/>
  <c r="CL68" i="15"/>
  <c r="CX68" i="15"/>
  <c r="CL74" i="15"/>
  <c r="CL59" i="15"/>
  <c r="CL60" i="15"/>
  <c r="BJ60" i="15"/>
  <c r="BJ62" i="15"/>
  <c r="BJ61" i="15"/>
  <c r="BJ74" i="15"/>
  <c r="D101" i="1"/>
  <c r="CH18" i="25" s="1"/>
  <c r="BL6" i="25"/>
  <c r="N6" i="25"/>
  <c r="AR37" i="25" s="1"/>
  <c r="AQ37" i="23"/>
  <c r="AQ41" i="23"/>
  <c r="BA12" i="21" s="1"/>
  <c r="N12" i="21" s="1"/>
  <c r="AQ42" i="23"/>
  <c r="BA11" i="21" s="1"/>
  <c r="BM16" i="21" s="1"/>
  <c r="AQ40" i="23"/>
  <c r="BO28" i="24"/>
  <c r="BP29" i="24" s="1"/>
  <c r="BQ30" i="24" s="1"/>
  <c r="AA247" i="19"/>
  <c r="AA277" i="19" s="1"/>
  <c r="CL249" i="19"/>
  <c r="CL250" i="19"/>
  <c r="CL251" i="19"/>
  <c r="CL248" i="19"/>
  <c r="CL277" i="19"/>
  <c r="P194" i="19"/>
  <c r="P170" i="19" s="1"/>
  <c r="D70" i="19"/>
  <c r="CH45" i="21"/>
  <c r="CH55" i="21"/>
  <c r="BU278" i="19"/>
  <c r="T99" i="19"/>
  <c r="BQ100" i="19"/>
  <c r="BQ101" i="19"/>
  <c r="BQ102" i="19"/>
  <c r="BQ103" i="19"/>
  <c r="BQ129" i="19"/>
  <c r="D68" i="19"/>
  <c r="W230" i="19"/>
  <c r="CK50" i="21"/>
  <c r="CK55" i="21"/>
  <c r="CL21" i="21"/>
  <c r="CL16" i="21"/>
  <c r="AA11" i="21"/>
  <c r="CL26" i="21"/>
  <c r="CL49" i="21"/>
  <c r="AA49" i="21" s="1"/>
  <c r="D254" i="19"/>
  <c r="N254" i="19"/>
  <c r="N230" i="19" s="1"/>
  <c r="N195" i="19"/>
  <c r="N171" i="19" s="1"/>
  <c r="D195" i="19"/>
  <c r="Y162" i="19"/>
  <c r="DC7" i="7"/>
  <c r="E109" i="19"/>
  <c r="R109" i="19"/>
  <c r="R85" i="19" s="1"/>
  <c r="V90" i="11"/>
  <c r="J11" i="9"/>
  <c r="T4" i="9"/>
  <c r="ER34" i="24"/>
  <c r="ES35" i="24" s="1"/>
  <c r="ET36" i="24" s="1"/>
  <c r="BA148" i="11"/>
  <c r="Q97" i="11"/>
  <c r="Q117" i="11" s="1"/>
  <c r="BH104" i="11"/>
  <c r="BH21" i="11" s="1"/>
  <c r="BH108" i="11"/>
  <c r="N88" i="11"/>
  <c r="AD58" i="13"/>
  <c r="AD59" i="13" s="1"/>
  <c r="AD60" i="13" s="1"/>
  <c r="CR40" i="1"/>
  <c r="AC35" i="1"/>
  <c r="CR56" i="1"/>
  <c r="BJ71" i="11"/>
  <c r="BJ67" i="11"/>
  <c r="BJ136" i="11"/>
  <c r="BJ132" i="11"/>
  <c r="BJ22" i="11" s="1"/>
  <c r="BJ45" i="1" s="1"/>
  <c r="BJ84" i="1" s="1"/>
  <c r="BA41" i="11"/>
  <c r="BA44" i="11"/>
  <c r="CM26" i="21"/>
  <c r="CM49" i="21"/>
  <c r="CM50" i="21" s="1"/>
  <c r="DM29" i="24"/>
  <c r="AI28" i="24"/>
  <c r="CM148" i="11"/>
  <c r="CJ40" i="1"/>
  <c r="CJ56" i="1"/>
  <c r="O51" i="11"/>
  <c r="O71" i="11" s="1"/>
  <c r="BB71" i="11"/>
  <c r="BB67" i="11"/>
  <c r="BJ87" i="11"/>
  <c r="BF63" i="1"/>
  <c r="BF68" i="1" s="1"/>
  <c r="I59" i="2"/>
  <c r="CG112" i="19"/>
  <c r="Y112" i="19" s="1"/>
  <c r="Y88" i="19" s="1"/>
  <c r="CG113" i="19"/>
  <c r="Y113" i="19" s="1"/>
  <c r="Y89" i="19" s="1"/>
  <c r="CG114" i="19"/>
  <c r="Y114" i="19" s="1"/>
  <c r="Y90" i="19" s="1"/>
  <c r="CG115" i="19"/>
  <c r="BV278" i="19"/>
  <c r="S237" i="19"/>
  <c r="CK56" i="1"/>
  <c r="CK40" i="1"/>
  <c r="BH27" i="21"/>
  <c r="BH54" i="21"/>
  <c r="AF87" i="37"/>
  <c r="S106" i="37"/>
  <c r="S96" i="37"/>
  <c r="S91" i="37"/>
  <c r="CM11" i="29"/>
  <c r="CM32" i="29" s="1"/>
  <c r="CN39" i="29" s="1"/>
  <c r="CM81" i="29"/>
  <c r="CM85" i="29" s="1"/>
  <c r="EQ17" i="29"/>
  <c r="L63" i="29"/>
  <c r="AT63" i="29"/>
  <c r="AY18" i="29"/>
  <c r="N79" i="29"/>
  <c r="R74" i="1"/>
  <c r="BY42" i="23"/>
  <c r="CI11" i="21" s="1"/>
  <c r="BY37" i="23"/>
  <c r="BY40" i="23"/>
  <c r="BY41" i="23"/>
  <c r="CI12" i="21" s="1"/>
  <c r="BW68" i="15"/>
  <c r="Y253" i="19"/>
  <c r="CF255" i="19"/>
  <c r="Y255" i="19" s="1"/>
  <c r="Y231" i="19" s="1"/>
  <c r="CF256" i="19"/>
  <c r="Y256" i="19" s="1"/>
  <c r="Y232" i="19" s="1"/>
  <c r="CF257" i="19"/>
  <c r="Y257" i="19" s="1"/>
  <c r="Y233" i="19" s="1"/>
  <c r="CF254" i="19"/>
  <c r="Y254" i="19" s="1"/>
  <c r="Y230" i="19" s="1"/>
  <c r="BZ26" i="24"/>
  <c r="AZ60" i="15"/>
  <c r="AT43" i="23"/>
  <c r="BD10" i="21"/>
  <c r="X257" i="19"/>
  <c r="X233" i="19" s="1"/>
  <c r="AZ207" i="19"/>
  <c r="N117" i="19"/>
  <c r="BB100" i="19"/>
  <c r="O99" i="19"/>
  <c r="BB101" i="19"/>
  <c r="BB102" i="19"/>
  <c r="BB103" i="19"/>
  <c r="BB129" i="19"/>
  <c r="U192" i="19"/>
  <c r="U168" i="19" s="1"/>
  <c r="F105" i="19"/>
  <c r="BX100" i="19"/>
  <c r="BX101" i="19"/>
  <c r="BX102" i="19"/>
  <c r="BX103" i="19"/>
  <c r="BX129" i="19"/>
  <c r="P106" i="19"/>
  <c r="P82" i="19" s="1"/>
  <c r="BE102" i="19"/>
  <c r="BE103" i="19"/>
  <c r="P99" i="19"/>
  <c r="P129" i="19" s="1"/>
  <c r="BE100" i="19"/>
  <c r="BE101" i="19"/>
  <c r="BE129" i="19"/>
  <c r="T119" i="19"/>
  <c r="T95" i="19" s="1"/>
  <c r="U90" i="11"/>
  <c r="EC40" i="24"/>
  <c r="ED41" i="24" s="1"/>
  <c r="EE42" i="24" s="1"/>
  <c r="BY56" i="1"/>
  <c r="BY40" i="1"/>
  <c r="AO58" i="13"/>
  <c r="AO59" i="13" s="1"/>
  <c r="AO60" i="13" s="1"/>
  <c r="BF56" i="1"/>
  <c r="BF40" i="1"/>
  <c r="CQ41" i="11"/>
  <c r="CQ44" i="11"/>
  <c r="AC69" i="22"/>
  <c r="K70" i="22"/>
  <c r="BA100" i="19"/>
  <c r="BA101" i="19"/>
  <c r="BA102" i="19"/>
  <c r="BA103" i="19"/>
  <c r="BA129" i="19"/>
  <c r="R50" i="18"/>
  <c r="C36" i="18" s="1"/>
  <c r="C16" i="18" s="1"/>
  <c r="CO31" i="15" s="1"/>
  <c r="R18" i="29"/>
  <c r="BL32" i="29"/>
  <c r="BM39" i="29" s="1"/>
  <c r="AG146" i="36"/>
  <c r="AG147" i="36" s="1"/>
  <c r="AG160" i="36"/>
  <c r="G51" i="34" s="1"/>
  <c r="AP10" i="29"/>
  <c r="R34" i="35"/>
  <c r="CS11" i="29"/>
  <c r="CS32" i="29" s="1"/>
  <c r="CT39" i="29" s="1"/>
  <c r="CS81" i="29"/>
  <c r="CS85" i="29" s="1"/>
  <c r="AA49" i="35"/>
  <c r="EB24" i="29"/>
  <c r="AO24" i="29" s="1"/>
  <c r="AO68" i="29"/>
  <c r="EB70" i="29"/>
  <c r="CU25" i="29"/>
  <c r="AD80" i="29"/>
  <c r="A8" i="30"/>
  <c r="X94" i="15"/>
  <c r="CB68" i="15"/>
  <c r="N42" i="21"/>
  <c r="V12" i="1"/>
  <c r="BX21" i="1"/>
  <c r="BX97" i="1"/>
  <c r="BX88" i="1"/>
  <c r="BX14" i="1"/>
  <c r="BX20" i="1"/>
  <c r="F12" i="1"/>
  <c r="BX11" i="11"/>
  <c r="CK67" i="24"/>
  <c r="CL68" i="24" s="1"/>
  <c r="CD280" i="19"/>
  <c r="W40" i="21"/>
  <c r="X187" i="19"/>
  <c r="X163" i="19" s="1"/>
  <c r="O11" i="24"/>
  <c r="O10" i="24" s="1"/>
  <c r="BB13" i="24"/>
  <c r="BL281" i="19"/>
  <c r="X118" i="19"/>
  <c r="X94" i="19" s="1"/>
  <c r="X112" i="19"/>
  <c r="X88" i="19" s="1"/>
  <c r="W158" i="19"/>
  <c r="O120" i="19"/>
  <c r="O96" i="19" s="1"/>
  <c r="U85" i="19"/>
  <c r="BP279" i="19"/>
  <c r="O113" i="19"/>
  <c r="O89" i="19" s="1"/>
  <c r="CK37" i="7"/>
  <c r="DE40" i="24"/>
  <c r="DF41" i="24" s="1"/>
  <c r="DG42" i="24" s="1"/>
  <c r="BA104" i="11"/>
  <c r="BA21" i="11" s="1"/>
  <c r="BA44" i="1" s="1"/>
  <c r="BA83" i="1" s="1"/>
  <c r="BA108" i="11"/>
  <c r="AP58" i="13"/>
  <c r="AP59" i="13" s="1"/>
  <c r="AP60" i="13" s="1"/>
  <c r="BX136" i="11"/>
  <c r="BX132" i="11"/>
  <c r="BX22" i="11" s="1"/>
  <c r="BX45" i="1" s="1"/>
  <c r="BX84" i="1" s="1"/>
  <c r="D17" i="11"/>
  <c r="D34" i="11"/>
  <c r="CT104" i="11"/>
  <c r="CT21" i="11" s="1"/>
  <c r="CT44" i="1" s="1"/>
  <c r="CT83" i="1" s="1"/>
  <c r="CT108" i="11"/>
  <c r="S149" i="11"/>
  <c r="CK108" i="11"/>
  <c r="CK104" i="11"/>
  <c r="CK21" i="11" s="1"/>
  <c r="CK44" i="1" s="1"/>
  <c r="CK83" i="1" s="1"/>
  <c r="P149" i="11"/>
  <c r="AC123" i="11"/>
  <c r="CR132" i="11"/>
  <c r="CR22" i="11" s="1"/>
  <c r="CR136" i="11"/>
  <c r="AO43" i="23"/>
  <c r="AY10" i="21"/>
  <c r="BO61" i="15"/>
  <c r="T244" i="19"/>
  <c r="R254" i="19"/>
  <c r="R230" i="19" s="1"/>
  <c r="Q34" i="21"/>
  <c r="Q39" i="21" s="1"/>
  <c r="BH39" i="21"/>
  <c r="CO117" i="11"/>
  <c r="BN87" i="11"/>
  <c r="CB41" i="11"/>
  <c r="CB44" i="11"/>
  <c r="T13" i="36"/>
  <c r="AG22" i="38"/>
  <c r="T14" i="38"/>
  <c r="AZ11" i="29"/>
  <c r="AZ32" i="29" s="1"/>
  <c r="BA39" i="29" s="1"/>
  <c r="AZ81" i="29"/>
  <c r="AZ85" i="29" s="1"/>
  <c r="CC9" i="11"/>
  <c r="CC82" i="11" s="1"/>
  <c r="CC15" i="1"/>
  <c r="CC90" i="1" s="1"/>
  <c r="CC52" i="1"/>
  <c r="CC100" i="1"/>
  <c r="CC10" i="11"/>
  <c r="BK74" i="15"/>
  <c r="D106" i="15"/>
  <c r="D105" i="15"/>
  <c r="BO279" i="19"/>
  <c r="AY37" i="23"/>
  <c r="AY42" i="23"/>
  <c r="BI11" i="21" s="1"/>
  <c r="AY40" i="23"/>
  <c r="AY41" i="23"/>
  <c r="BI12" i="21" s="1"/>
  <c r="Q12" i="21" s="1"/>
  <c r="P256" i="19"/>
  <c r="P232" i="19" s="1"/>
  <c r="BX206" i="19"/>
  <c r="S181" i="19"/>
  <c r="S157" i="19" s="1"/>
  <c r="R195" i="19"/>
  <c r="Q244" i="19"/>
  <c r="CK41" i="21"/>
  <c r="BG40" i="21"/>
  <c r="V267" i="19"/>
  <c r="F267" i="19"/>
  <c r="Z181" i="19"/>
  <c r="Z157" i="19" s="1"/>
  <c r="W119" i="19"/>
  <c r="W95" i="19" s="1"/>
  <c r="D114" i="11"/>
  <c r="EG26" i="25" s="1"/>
  <c r="EG24" i="25"/>
  <c r="X268" i="19"/>
  <c r="X244" i="19" s="1"/>
  <c r="W114" i="19"/>
  <c r="W90" i="19" s="1"/>
  <c r="U67" i="19"/>
  <c r="G90" i="11"/>
  <c r="H90" i="11" s="1"/>
  <c r="AY144" i="11"/>
  <c r="AY127" i="1"/>
  <c r="AA90" i="11"/>
  <c r="Y118" i="11"/>
  <c r="V118" i="11"/>
  <c r="CS117" i="11"/>
  <c r="AC141" i="11"/>
  <c r="ET27" i="7" s="1"/>
  <c r="ET14" i="7"/>
  <c r="CR117" i="11"/>
  <c r="BB87" i="11"/>
  <c r="BF44" i="11"/>
  <c r="BF41" i="11"/>
  <c r="CK11" i="29"/>
  <c r="CK32" i="29" s="1"/>
  <c r="CL39" i="29" s="1"/>
  <c r="CK81" i="29"/>
  <c r="CK85" i="29" s="1"/>
  <c r="CR18" i="29"/>
  <c r="AC18" i="29" s="1"/>
  <c r="AC79" i="29"/>
  <c r="BZ11" i="29"/>
  <c r="BZ81" i="29"/>
  <c r="BZ85" i="29" s="1"/>
  <c r="W78" i="29"/>
  <c r="BC11" i="11"/>
  <c r="BC14" i="1"/>
  <c r="BC88" i="1"/>
  <c r="BC112" i="1"/>
  <c r="BC21" i="1"/>
  <c r="BC20" i="1"/>
  <c r="O11" i="1"/>
  <c r="Q51" i="11"/>
  <c r="Q71" i="11" s="1"/>
  <c r="BH71" i="11"/>
  <c r="BH67" i="11"/>
  <c r="D149" i="11"/>
  <c r="EQ15" i="25"/>
  <c r="CA136" i="11"/>
  <c r="CA132" i="11"/>
  <c r="CA22" i="11" s="1"/>
  <c r="CA45" i="1" s="1"/>
  <c r="CA84" i="1" s="1"/>
  <c r="K97" i="22"/>
  <c r="AC96" i="22"/>
  <c r="R101" i="1"/>
  <c r="E28" i="35"/>
  <c r="AG29" i="35"/>
  <c r="AC74" i="29"/>
  <c r="BT25" i="29"/>
  <c r="U25" i="29" s="1"/>
  <c r="U80" i="29"/>
  <c r="AL10" i="29"/>
  <c r="AG53" i="1"/>
  <c r="BS8" i="7"/>
  <c r="U8" i="7"/>
  <c r="Q91" i="1"/>
  <c r="Q102" i="1"/>
  <c r="CG27" i="24"/>
  <c r="CH28" i="24" s="1"/>
  <c r="CI29" i="24" s="1"/>
  <c r="X12" i="21"/>
  <c r="CC27" i="21"/>
  <c r="CO17" i="21"/>
  <c r="CC54" i="21"/>
  <c r="BP205" i="19"/>
  <c r="X42" i="21"/>
  <c r="X98" i="36"/>
  <c r="AH98" i="36" s="1"/>
  <c r="X51" i="34"/>
  <c r="AI62" i="29"/>
  <c r="BH18" i="29"/>
  <c r="Q18" i="29" s="1"/>
  <c r="Q79" i="29"/>
  <c r="BB18" i="29"/>
  <c r="O18" i="29" s="1"/>
  <c r="O79" i="29"/>
  <c r="S80" i="37"/>
  <c r="AF71" i="37"/>
  <c r="AF109" i="37" s="1"/>
  <c r="EE24" i="29"/>
  <c r="AP68" i="29"/>
  <c r="AP70" i="29" s="1"/>
  <c r="K68" i="29"/>
  <c r="EE70" i="29"/>
  <c r="AD53" i="1"/>
  <c r="BP8" i="7"/>
  <c r="R8" i="7"/>
  <c r="BB7" i="25"/>
  <c r="BL27" i="25" s="1"/>
  <c r="BB8" i="25"/>
  <c r="V105" i="15"/>
  <c r="V106" i="15"/>
  <c r="W12" i="1"/>
  <c r="X97" i="1" s="1"/>
  <c r="BZ20" i="1"/>
  <c r="BZ21" i="1"/>
  <c r="BZ97" i="1"/>
  <c r="BZ88" i="1"/>
  <c r="BZ14" i="1"/>
  <c r="BZ11" i="11"/>
  <c r="V74" i="1"/>
  <c r="Y101" i="1"/>
  <c r="V91" i="1"/>
  <c r="V102" i="1"/>
  <c r="BA22" i="1"/>
  <c r="BA114" i="1"/>
  <c r="BA98" i="1"/>
  <c r="BA97" i="1"/>
  <c r="BO6" i="7"/>
  <c r="Q6" i="7"/>
  <c r="AU37" i="7" s="1"/>
  <c r="BQ175" i="19"/>
  <c r="BQ177" i="19"/>
  <c r="BQ174" i="19"/>
  <c r="BQ203" i="19"/>
  <c r="BQ176" i="19"/>
  <c r="T173" i="19"/>
  <c r="T203" i="19" s="1"/>
  <c r="BS43" i="23"/>
  <c r="CC10" i="21"/>
  <c r="BT17" i="21"/>
  <c r="BT27" i="21"/>
  <c r="U27" i="21" s="1"/>
  <c r="U32" i="21" s="1"/>
  <c r="U12" i="21"/>
  <c r="BT54" i="21"/>
  <c r="U54" i="21" s="1"/>
  <c r="Q68" i="19"/>
  <c r="O94" i="15"/>
  <c r="CX94" i="15"/>
  <c r="AE94" i="15" s="1"/>
  <c r="DJ94" i="15"/>
  <c r="CB52" i="21"/>
  <c r="F164" i="11"/>
  <c r="F173" i="11"/>
  <c r="CJ14" i="25"/>
  <c r="BD51" i="21"/>
  <c r="BD56" i="21"/>
  <c r="R121" i="19"/>
  <c r="Q168" i="19"/>
  <c r="V257" i="19"/>
  <c r="V233" i="19" s="1"/>
  <c r="V192" i="19"/>
  <c r="F192" i="19"/>
  <c r="D171" i="11"/>
  <c r="D174" i="11"/>
  <c r="D172" i="11"/>
  <c r="D173" i="11"/>
  <c r="D170" i="11"/>
  <c r="DN36" i="24"/>
  <c r="DO37" i="24" s="1"/>
  <c r="DP38" i="24" s="1"/>
  <c r="DG28" i="24"/>
  <c r="AG27" i="24"/>
  <c r="R58" i="13"/>
  <c r="R59" i="13" s="1"/>
  <c r="R60" i="13" s="1"/>
  <c r="V97" i="11"/>
  <c r="BW104" i="11"/>
  <c r="BW21" i="11" s="1"/>
  <c r="BW108" i="11"/>
  <c r="F97" i="11"/>
  <c r="F117" i="11" s="1"/>
  <c r="CZ91" i="11"/>
  <c r="DL91" i="11" s="1"/>
  <c r="DX91" i="11" s="1"/>
  <c r="EJ91" i="11" s="1"/>
  <c r="EV91" i="11" s="1"/>
  <c r="U39" i="11"/>
  <c r="BT41" i="11"/>
  <c r="BT44" i="11"/>
  <c r="BS136" i="11"/>
  <c r="BS132" i="11"/>
  <c r="BS22" i="11" s="1"/>
  <c r="BS45" i="1" s="1"/>
  <c r="BS84" i="1" s="1"/>
  <c r="CH136" i="11"/>
  <c r="CH132" i="11"/>
  <c r="CH22" i="11" s="1"/>
  <c r="CH45" i="1" s="1"/>
  <c r="CH84" i="1" s="1"/>
  <c r="BS41" i="11"/>
  <c r="BS44" i="11"/>
  <c r="AS75" i="29"/>
  <c r="AE16" i="36"/>
  <c r="W14" i="34"/>
  <c r="AE19" i="36"/>
  <c r="Q74" i="29"/>
  <c r="DG24" i="29"/>
  <c r="I68" i="29"/>
  <c r="AH68" i="29"/>
  <c r="AH70" i="29" s="1"/>
  <c r="DG70" i="29"/>
  <c r="D71" i="1"/>
  <c r="F56" i="15"/>
  <c r="F59" i="15" s="1"/>
  <c r="F65" i="15"/>
  <c r="N61" i="15"/>
  <c r="X77" i="11"/>
  <c r="X72" i="11"/>
  <c r="T9" i="24"/>
  <c r="BQ11" i="24"/>
  <c r="N59" i="15"/>
  <c r="Q69" i="19"/>
  <c r="CC250" i="19"/>
  <c r="CC251" i="19"/>
  <c r="X247" i="19"/>
  <c r="CC249" i="19"/>
  <c r="CC248" i="19"/>
  <c r="CC277" i="19"/>
  <c r="Q109" i="19"/>
  <c r="CF40" i="21"/>
  <c r="D67" i="19"/>
  <c r="N67" i="19"/>
  <c r="AA67" i="19"/>
  <c r="AZ281" i="19"/>
  <c r="E114" i="11"/>
  <c r="EH26" i="25" s="1"/>
  <c r="EH24" i="25"/>
  <c r="EL41" i="24"/>
  <c r="EM42" i="24" s="1"/>
  <c r="EN43" i="24" s="1"/>
  <c r="DT28" i="24"/>
  <c r="AL27" i="24"/>
  <c r="J27" i="24"/>
  <c r="CN56" i="1"/>
  <c r="CN40" i="1"/>
  <c r="BC58" i="13"/>
  <c r="BC59" i="13" s="1"/>
  <c r="BC60" i="13" s="1"/>
  <c r="P97" i="11"/>
  <c r="BE104" i="11"/>
  <c r="BE21" i="11" s="1"/>
  <c r="BE108" i="11"/>
  <c r="CK41" i="11"/>
  <c r="CK44" i="11"/>
  <c r="E149" i="11"/>
  <c r="ER15" i="25"/>
  <c r="S10" i="21"/>
  <c r="BN15" i="21"/>
  <c r="BN25" i="21"/>
  <c r="BN9" i="21"/>
  <c r="BN20" i="21" s="1"/>
  <c r="BN44" i="21"/>
  <c r="BN46" i="21" s="1"/>
  <c r="BK11" i="11"/>
  <c r="BK14" i="1"/>
  <c r="R11" i="1"/>
  <c r="BK88" i="1"/>
  <c r="BK20" i="1"/>
  <c r="BK112" i="1"/>
  <c r="E11" i="1"/>
  <c r="BK21" i="1"/>
  <c r="S62" i="15"/>
  <c r="S68" i="15"/>
  <c r="BR27" i="24"/>
  <c r="BS28" i="24" s="1"/>
  <c r="BT29" i="24" s="1"/>
  <c r="Y31" i="36"/>
  <c r="S109" i="37"/>
  <c r="S118" i="37" s="1"/>
  <c r="AP17" i="29"/>
  <c r="K17" i="29"/>
  <c r="AE57" i="37"/>
  <c r="AE59" i="37"/>
  <c r="AE52" i="37"/>
  <c r="AE58" i="37"/>
  <c r="AE60" i="37"/>
  <c r="AF55" i="36"/>
  <c r="AF68" i="36" s="1"/>
  <c r="F20" i="34" s="1"/>
  <c r="O74" i="29"/>
  <c r="BB78" i="29"/>
  <c r="BA11" i="29"/>
  <c r="BA32" i="29" s="1"/>
  <c r="BB39" i="29" s="1"/>
  <c r="BA81" i="29"/>
  <c r="BA85" i="29" s="1"/>
  <c r="L116" i="38"/>
  <c r="L18" i="37"/>
  <c r="L91" i="38"/>
  <c r="L107" i="38"/>
  <c r="L14" i="35"/>
  <c r="L82" i="38"/>
  <c r="L98" i="38"/>
  <c r="L74" i="38"/>
  <c r="CT11" i="25"/>
  <c r="X105" i="15"/>
  <c r="X106" i="15" s="1"/>
  <c r="BP144" i="11"/>
  <c r="BP145" i="11" s="1"/>
  <c r="BP127" i="1"/>
  <c r="BP101" i="1" s="1"/>
  <c r="BF42" i="21"/>
  <c r="BQ40" i="21"/>
  <c r="BW40" i="21"/>
  <c r="U91" i="19"/>
  <c r="R113" i="19"/>
  <c r="R89" i="19" s="1"/>
  <c r="BN23" i="25"/>
  <c r="BY19" i="7"/>
  <c r="AZ87" i="11"/>
  <c r="BG104" i="11"/>
  <c r="BG21" i="11" s="1"/>
  <c r="BG44" i="1" s="1"/>
  <c r="BG83" i="1" s="1"/>
  <c r="BG108" i="11"/>
  <c r="CL132" i="11"/>
  <c r="CL22" i="11" s="1"/>
  <c r="AA123" i="11"/>
  <c r="CL136" i="11"/>
  <c r="X149" i="11"/>
  <c r="BL117" i="11"/>
  <c r="BC67" i="11"/>
  <c r="BC71" i="11"/>
  <c r="BS148" i="11"/>
  <c r="O34" i="11"/>
  <c r="O17" i="11"/>
  <c r="V45" i="22"/>
  <c r="R46" i="22"/>
  <c r="Q46" i="22"/>
  <c r="K47" i="22"/>
  <c r="U46" i="22"/>
  <c r="M46" i="22"/>
  <c r="V46" i="22"/>
  <c r="N46" i="22"/>
  <c r="W46" i="22"/>
  <c r="O46" i="22"/>
  <c r="P46" i="22"/>
  <c r="S46" i="22"/>
  <c r="T46" i="22"/>
  <c r="X46" i="22"/>
  <c r="Y46" i="22"/>
  <c r="AP43" i="23"/>
  <c r="AZ41" i="11"/>
  <c r="AZ44" i="11"/>
  <c r="BE250" i="19"/>
  <c r="BE251" i="19"/>
  <c r="P247" i="19"/>
  <c r="P277" i="19" s="1"/>
  <c r="BE249" i="19"/>
  <c r="BE248" i="19"/>
  <c r="BE277" i="19"/>
  <c r="CH46" i="21"/>
  <c r="CH56" i="21"/>
  <c r="E26" i="18"/>
  <c r="E3" i="18" s="1"/>
  <c r="CQ8" i="15" s="1"/>
  <c r="V62" i="38"/>
  <c r="W62" i="38"/>
  <c r="AH62" i="38"/>
  <c r="Q26" i="34"/>
  <c r="T62" i="38"/>
  <c r="T23" i="38" s="1"/>
  <c r="T27" i="38" s="1"/>
  <c r="T66" i="38" s="1"/>
  <c r="U62" i="38"/>
  <c r="X114" i="36"/>
  <c r="X106" i="36" s="1"/>
  <c r="W106" i="36"/>
  <c r="AF107" i="37"/>
  <c r="AE32" i="36"/>
  <c r="L17" i="36"/>
  <c r="L20" i="36"/>
  <c r="L21" i="36"/>
  <c r="P33" i="37"/>
  <c r="P6" i="37"/>
  <c r="AL74" i="29"/>
  <c r="N23" i="35"/>
  <c r="N16" i="35"/>
  <c r="N32" i="35"/>
  <c r="N30" i="35"/>
  <c r="N34" i="35"/>
  <c r="N28" i="35"/>
  <c r="BQ11" i="29"/>
  <c r="T78" i="29"/>
  <c r="BQ81" i="29"/>
  <c r="BQ85" i="29" s="1"/>
  <c r="P76" i="29"/>
  <c r="R34" i="21"/>
  <c r="R39" i="21" s="1"/>
  <c r="BK39" i="21"/>
  <c r="E34" i="21"/>
  <c r="E39" i="21" s="1"/>
  <c r="V29" i="11"/>
  <c r="V30" i="11" s="1"/>
  <c r="BL90" i="1"/>
  <c r="Y56" i="15"/>
  <c r="Y61" i="15" s="1"/>
  <c r="Y65" i="15"/>
  <c r="Y59" i="15"/>
  <c r="V61" i="15"/>
  <c r="V67" i="15"/>
  <c r="Z67" i="15"/>
  <c r="CN144" i="11"/>
  <c r="CN145" i="11" s="1"/>
  <c r="CN127" i="1"/>
  <c r="CN101" i="1" s="1"/>
  <c r="BN254" i="19"/>
  <c r="S254" i="19" s="1"/>
  <c r="S230" i="19" s="1"/>
  <c r="S253" i="19"/>
  <c r="BN257" i="19"/>
  <c r="S257" i="19" s="1"/>
  <c r="S233" i="19" s="1"/>
  <c r="BN255" i="19"/>
  <c r="S255" i="19" s="1"/>
  <c r="S231" i="19" s="1"/>
  <c r="BN256" i="19"/>
  <c r="S256" i="19" s="1"/>
  <c r="S232" i="19" s="1"/>
  <c r="R268" i="19"/>
  <c r="R244" i="19" s="1"/>
  <c r="P193" i="19"/>
  <c r="P169" i="19" s="1"/>
  <c r="V181" i="19"/>
  <c r="V157" i="19" s="1"/>
  <c r="BB39" i="21"/>
  <c r="O34" i="21"/>
  <c r="O39" i="21" s="1"/>
  <c r="W266" i="19"/>
  <c r="W242" i="19" s="1"/>
  <c r="BU279" i="19"/>
  <c r="R186" i="19"/>
  <c r="R162" i="19" s="1"/>
  <c r="E186" i="19"/>
  <c r="Y9" i="24"/>
  <c r="CF11" i="24"/>
  <c r="CD101" i="19"/>
  <c r="CD131" i="19" s="1"/>
  <c r="CD102" i="19"/>
  <c r="CD132" i="19" s="1"/>
  <c r="CD103" i="19"/>
  <c r="CD133" i="19" s="1"/>
  <c r="CD100" i="19"/>
  <c r="CD130" i="19" s="1"/>
  <c r="CD129" i="19"/>
  <c r="BN21" i="21"/>
  <c r="BN16" i="21"/>
  <c r="S11" i="21"/>
  <c r="BN26" i="21"/>
  <c r="BN49" i="21"/>
  <c r="Z107" i="19"/>
  <c r="Z83" i="19" s="1"/>
  <c r="E108" i="19"/>
  <c r="R108" i="19"/>
  <c r="R84" i="19" s="1"/>
  <c r="EM32" i="24"/>
  <c r="EN33" i="24" s="1"/>
  <c r="EF10" i="24"/>
  <c r="EN10" i="24"/>
  <c r="EG10" i="24"/>
  <c r="EO10" i="24"/>
  <c r="EH10" i="24"/>
  <c r="EP10" i="24"/>
  <c r="EI10" i="24"/>
  <c r="EJ10" i="24"/>
  <c r="L10" i="24"/>
  <c r="EL10" i="24"/>
  <c r="EE10" i="24"/>
  <c r="EK10" i="24"/>
  <c r="EM10" i="24"/>
  <c r="CG56" i="1"/>
  <c r="CG40" i="1"/>
  <c r="CN136" i="11"/>
  <c r="CN132" i="11"/>
  <c r="CN22" i="11" s="1"/>
  <c r="CN45" i="1" s="1"/>
  <c r="CN84" i="1" s="1"/>
  <c r="BO117" i="11"/>
  <c r="D88" i="11"/>
  <c r="CT87" i="11"/>
  <c r="CT148" i="11"/>
  <c r="CD44" i="11"/>
  <c r="CD41" i="11"/>
  <c r="P35" i="1"/>
  <c r="BE56" i="1"/>
  <c r="BE40" i="1"/>
  <c r="R118" i="11"/>
  <c r="R148" i="11"/>
  <c r="S58" i="13"/>
  <c r="S59" i="13" s="1"/>
  <c r="S60" i="13" s="1"/>
  <c r="CC43" i="23"/>
  <c r="CM10" i="21"/>
  <c r="BT23" i="11"/>
  <c r="E23" i="11" s="1"/>
  <c r="U65" i="11"/>
  <c r="DQ35" i="24"/>
  <c r="DR36" i="24" s="1"/>
  <c r="DS37" i="24" s="1"/>
  <c r="BY91" i="11"/>
  <c r="CW91" i="11" s="1"/>
  <c r="DI91" i="11" s="1"/>
  <c r="DU91" i="11" s="1"/>
  <c r="EG91" i="11" s="1"/>
  <c r="ES91" i="11" s="1"/>
  <c r="Y51" i="11"/>
  <c r="Y71" i="11" s="1"/>
  <c r="CF71" i="11"/>
  <c r="CF67" i="11"/>
  <c r="F113" i="11"/>
  <c r="EI25" i="25" s="1"/>
  <c r="EI12" i="25"/>
  <c r="BG56" i="1"/>
  <c r="BG40" i="1"/>
  <c r="CC87" i="11"/>
  <c r="W89" i="11"/>
  <c r="X65" i="1"/>
  <c r="F65" i="1"/>
  <c r="CD71" i="1"/>
  <c r="D33" i="29"/>
  <c r="D35" i="29" s="1"/>
  <c r="N33" i="29"/>
  <c r="Q35" i="29" s="1"/>
  <c r="BV281" i="19"/>
  <c r="DN45" i="24"/>
  <c r="DO46" i="24" s="1"/>
  <c r="DP47" i="24" s="1"/>
  <c r="E17" i="11"/>
  <c r="E34" i="11"/>
  <c r="CD15" i="21"/>
  <c r="CD25" i="21"/>
  <c r="CD9" i="21"/>
  <c r="CD20" i="21" s="1"/>
  <c r="CD44" i="21"/>
  <c r="U44" i="18"/>
  <c r="F27" i="18" s="1"/>
  <c r="BT11" i="29"/>
  <c r="U78" i="29"/>
  <c r="U81" i="29" s="1"/>
  <c r="U85" i="29" s="1"/>
  <c r="BT81" i="29"/>
  <c r="BT85" i="29" s="1"/>
  <c r="T109" i="36"/>
  <c r="T135" i="36"/>
  <c r="AG135" i="36" s="1"/>
  <c r="CI25" i="29"/>
  <c r="Z80" i="29"/>
  <c r="EK10" i="29"/>
  <c r="K10" i="29" s="1"/>
  <c r="AR58" i="29"/>
  <c r="AR70" i="29" s="1"/>
  <c r="CA62" i="15"/>
  <c r="CA68" i="15"/>
  <c r="CA60" i="15"/>
  <c r="CA61" i="15"/>
  <c r="BC100" i="19"/>
  <c r="BC130" i="19" s="1"/>
  <c r="BC101" i="19"/>
  <c r="BC131" i="19" s="1"/>
  <c r="BC102" i="19"/>
  <c r="BC132" i="19" s="1"/>
  <c r="BC129" i="19"/>
  <c r="BC103" i="19"/>
  <c r="BC133" i="19" s="1"/>
  <c r="BN23" i="7"/>
  <c r="E94" i="15"/>
  <c r="R94" i="15"/>
  <c r="X259" i="19"/>
  <c r="CC260" i="19"/>
  <c r="X260" i="19" s="1"/>
  <c r="X236" i="19" s="1"/>
  <c r="CC261" i="19"/>
  <c r="X261" i="19" s="1"/>
  <c r="X237" i="19" s="1"/>
  <c r="CC262" i="19"/>
  <c r="X262" i="19" s="1"/>
  <c r="X238" i="19" s="1"/>
  <c r="CC263" i="19"/>
  <c r="X263" i="19" s="1"/>
  <c r="X239" i="19" s="1"/>
  <c r="BO37" i="23"/>
  <c r="BO42" i="23"/>
  <c r="BY11" i="21" s="1"/>
  <c r="BO40" i="23"/>
  <c r="BO41" i="23"/>
  <c r="BY12" i="21" s="1"/>
  <c r="BN61" i="15"/>
  <c r="X255" i="19"/>
  <c r="X231" i="19" s="1"/>
  <c r="AZ205" i="19"/>
  <c r="O67" i="19"/>
  <c r="E262" i="19"/>
  <c r="R262" i="19"/>
  <c r="R238" i="19" s="1"/>
  <c r="BI40" i="21"/>
  <c r="Z255" i="19"/>
  <c r="Z231" i="19" s="1"/>
  <c r="P119" i="19"/>
  <c r="P95" i="19" s="1"/>
  <c r="P113" i="19"/>
  <c r="P89" i="19" s="1"/>
  <c r="P67" i="19"/>
  <c r="CB103" i="19"/>
  <c r="CB133" i="19" s="1"/>
  <c r="CB100" i="19"/>
  <c r="CB130" i="19" s="1"/>
  <c r="CB101" i="19"/>
  <c r="CB131" i="19" s="1"/>
  <c r="CB129" i="19"/>
  <c r="CB102" i="19"/>
  <c r="CB132" i="19" s="1"/>
  <c r="CK37" i="25"/>
  <c r="N90" i="11"/>
  <c r="CF41" i="11"/>
  <c r="CF44" i="11"/>
  <c r="Y39" i="11"/>
  <c r="BF117" i="11"/>
  <c r="K26" i="22"/>
  <c r="AA54" i="21"/>
  <c r="J15" i="22"/>
  <c r="Q67" i="22"/>
  <c r="T84" i="22"/>
  <c r="M14" i="22"/>
  <c r="W84" i="22"/>
  <c r="V14" i="22"/>
  <c r="V67" i="22" s="1"/>
  <c r="T14" i="22"/>
  <c r="T67" i="22" s="1"/>
  <c r="O84" i="22"/>
  <c r="O14" i="22"/>
  <c r="U14" i="22"/>
  <c r="U67" i="22" s="1"/>
  <c r="R14" i="22"/>
  <c r="R67" i="22" s="1"/>
  <c r="Y14" i="22"/>
  <c r="Y67" i="22" s="1"/>
  <c r="Q14" i="22"/>
  <c r="W14" i="22"/>
  <c r="W67" i="22" s="1"/>
  <c r="Q84" i="22"/>
  <c r="P14" i="22"/>
  <c r="P67" i="22" s="1"/>
  <c r="M67" i="22"/>
  <c r="X14" i="22"/>
  <c r="X67" i="22" s="1"/>
  <c r="R84" i="22"/>
  <c r="Y84" i="22"/>
  <c r="N14" i="22"/>
  <c r="N67" i="22" s="1"/>
  <c r="V84" i="22"/>
  <c r="P84" i="22"/>
  <c r="N84" i="22"/>
  <c r="U84" i="22"/>
  <c r="M84" i="22"/>
  <c r="S14" i="22"/>
  <c r="S67" i="22" s="1"/>
  <c r="S84" i="22"/>
  <c r="O67" i="22"/>
  <c r="X84" i="22"/>
  <c r="G3" i="18"/>
  <c r="CS8" i="15" s="1"/>
  <c r="G9" i="18"/>
  <c r="CS19" i="15" s="1"/>
  <c r="G15" i="18"/>
  <c r="CS30" i="15" s="1"/>
  <c r="BP21" i="21"/>
  <c r="BP16" i="21"/>
  <c r="BP26" i="21"/>
  <c r="BP49" i="21"/>
  <c r="BP52" i="21" s="1"/>
  <c r="CP71" i="11"/>
  <c r="CP67" i="11"/>
  <c r="T15" i="36"/>
  <c r="AG26" i="36"/>
  <c r="P74" i="29"/>
  <c r="D13" i="1"/>
  <c r="BC22" i="1"/>
  <c r="N13" i="1"/>
  <c r="BD22" i="1"/>
  <c r="BE22" i="1"/>
  <c r="AY22" i="1"/>
  <c r="BB22" i="1"/>
  <c r="BJ22" i="1"/>
  <c r="AY88" i="1"/>
  <c r="AY114" i="1"/>
  <c r="BR20" i="1"/>
  <c r="BR21" i="1"/>
  <c r="BR97" i="1"/>
  <c r="BR88" i="1"/>
  <c r="BR14" i="1"/>
  <c r="BR11" i="11"/>
  <c r="T12" i="1"/>
  <c r="BA112" i="19"/>
  <c r="N112" i="19" s="1"/>
  <c r="N88" i="19" s="1"/>
  <c r="BA113" i="19"/>
  <c r="D113" i="19" s="1"/>
  <c r="BA114" i="19"/>
  <c r="D114" i="19" s="1"/>
  <c r="BA115" i="19"/>
  <c r="D115" i="19" s="1"/>
  <c r="CF120" i="19"/>
  <c r="Y120" i="19" s="1"/>
  <c r="Y96" i="19" s="1"/>
  <c r="Y117" i="19"/>
  <c r="Y243" i="19" s="1"/>
  <c r="CF118" i="19"/>
  <c r="Y118" i="19" s="1"/>
  <c r="CF119" i="19"/>
  <c r="Y119" i="19" s="1"/>
  <c r="Y95" i="19" s="1"/>
  <c r="CF121" i="19"/>
  <c r="Y121" i="19" s="1"/>
  <c r="D42" i="21"/>
  <c r="AZ61" i="15"/>
  <c r="CD279" i="19"/>
  <c r="T108" i="19"/>
  <c r="CK144" i="11"/>
  <c r="CK145" i="11" s="1"/>
  <c r="CK127" i="1"/>
  <c r="BM278" i="19"/>
  <c r="X186" i="19"/>
  <c r="X162" i="19" s="1"/>
  <c r="R42" i="21"/>
  <c r="X115" i="19"/>
  <c r="X91" i="19" s="1"/>
  <c r="BO100" i="19"/>
  <c r="BO130" i="19" s="1"/>
  <c r="BO101" i="19"/>
  <c r="BO131" i="19" s="1"/>
  <c r="BO102" i="19"/>
  <c r="BO132" i="19" s="1"/>
  <c r="BO103" i="19"/>
  <c r="BO133" i="19" s="1"/>
  <c r="BO129" i="19"/>
  <c r="W156" i="19"/>
  <c r="O119" i="19"/>
  <c r="O95" i="19" s="1"/>
  <c r="U106" i="19"/>
  <c r="U82" i="19" s="1"/>
  <c r="BP278" i="19"/>
  <c r="BQ91" i="11"/>
  <c r="T35" i="1"/>
  <c r="BQ56" i="1"/>
  <c r="BQ40" i="1"/>
  <c r="BX71" i="11"/>
  <c r="BX67" i="11"/>
  <c r="AG58" i="13"/>
  <c r="AG59" i="13" s="1"/>
  <c r="AG60" i="13" s="1"/>
  <c r="BW19" i="25"/>
  <c r="N17" i="11"/>
  <c r="N34" i="11"/>
  <c r="BU148" i="11"/>
  <c r="U118" i="11"/>
  <c r="BA58" i="13"/>
  <c r="BA59" i="13" s="1"/>
  <c r="BA60" i="13" s="1"/>
  <c r="CQ67" i="11"/>
  <c r="CQ71" i="11"/>
  <c r="CQ136" i="11"/>
  <c r="CQ132" i="11"/>
  <c r="CQ22" i="11" s="1"/>
  <c r="CQ45" i="1" s="1"/>
  <c r="CQ84" i="1" s="1"/>
  <c r="W88" i="11"/>
  <c r="T243" i="19"/>
  <c r="E253" i="19"/>
  <c r="U165" i="19"/>
  <c r="Q40" i="21"/>
  <c r="AB117" i="11"/>
  <c r="EI9" i="7"/>
  <c r="S52" i="11"/>
  <c r="S87" i="11" s="1"/>
  <c r="K55" i="22"/>
  <c r="Z35" i="38"/>
  <c r="AH35" i="38" s="1"/>
  <c r="AE10" i="35"/>
  <c r="O49" i="35"/>
  <c r="T27" i="36"/>
  <c r="BC11" i="29"/>
  <c r="BC32" i="29" s="1"/>
  <c r="BD39" i="29" s="1"/>
  <c r="BC81" i="29"/>
  <c r="BC85" i="29" s="1"/>
  <c r="ET70" i="29"/>
  <c r="H20" i="36"/>
  <c r="H19" i="36"/>
  <c r="U18" i="38"/>
  <c r="U31" i="35" s="1"/>
  <c r="AD121" i="36"/>
  <c r="D38" i="34"/>
  <c r="CI62" i="15"/>
  <c r="CI68" i="15"/>
  <c r="CI60" i="15"/>
  <c r="CU68" i="15"/>
  <c r="CI61" i="15"/>
  <c r="E74" i="15"/>
  <c r="Q13" i="1"/>
  <c r="BH22" i="1"/>
  <c r="BH114" i="1"/>
  <c r="BH98" i="1"/>
  <c r="BO278" i="19"/>
  <c r="BX62" i="15"/>
  <c r="BX68" i="15"/>
  <c r="BX59" i="15"/>
  <c r="P257" i="19"/>
  <c r="P233" i="19" s="1"/>
  <c r="E161" i="11"/>
  <c r="ER20" i="25"/>
  <c r="W236" i="19"/>
  <c r="R194" i="19"/>
  <c r="R170" i="19" s="1"/>
  <c r="BF206" i="19"/>
  <c r="Q243" i="19"/>
  <c r="BE41" i="21"/>
  <c r="V266" i="19"/>
  <c r="F266" i="19"/>
  <c r="BN45" i="21"/>
  <c r="BN50" i="21"/>
  <c r="W120" i="19"/>
  <c r="W96" i="19" s="1"/>
  <c r="CD22" i="21"/>
  <c r="CD17" i="21"/>
  <c r="CD27" i="21"/>
  <c r="CP17" i="21"/>
  <c r="CD54" i="21"/>
  <c r="W113" i="19"/>
  <c r="W89" i="19" s="1"/>
  <c r="CV35" i="24"/>
  <c r="CW36" i="24" s="1"/>
  <c r="CX37" i="24" s="1"/>
  <c r="DJ30" i="24"/>
  <c r="DT34" i="24"/>
  <c r="DU35" i="24" s="1"/>
  <c r="DV36" i="24" s="1"/>
  <c r="CF87" i="11"/>
  <c r="Y148" i="11"/>
  <c r="X97" i="11"/>
  <c r="CC104" i="11"/>
  <c r="CC21" i="11" s="1"/>
  <c r="CC108" i="11"/>
  <c r="AC117" i="11"/>
  <c r="EJ9" i="7"/>
  <c r="CJ132" i="11"/>
  <c r="CJ22" i="11" s="1"/>
  <c r="CJ45" i="1" s="1"/>
  <c r="CJ84" i="1" s="1"/>
  <c r="CJ136" i="11"/>
  <c r="BS117" i="11"/>
  <c r="BS91" i="11"/>
  <c r="BS56" i="1"/>
  <c r="BS40" i="1"/>
  <c r="O87" i="11"/>
  <c r="CH56" i="1"/>
  <c r="CH40" i="1"/>
  <c r="Q36" i="22"/>
  <c r="R36" i="22"/>
  <c r="O36" i="22"/>
  <c r="Y36" i="22"/>
  <c r="M36" i="22"/>
  <c r="X36" i="22"/>
  <c r="S36" i="22"/>
  <c r="T36" i="22"/>
  <c r="U36" i="22"/>
  <c r="P36" i="22"/>
  <c r="V36" i="22"/>
  <c r="W36" i="22"/>
  <c r="K37" i="22"/>
  <c r="N36" i="22"/>
  <c r="F3" i="18"/>
  <c r="CR8" i="15" s="1"/>
  <c r="F9" i="18"/>
  <c r="CR19" i="15" s="1"/>
  <c r="F15" i="18"/>
  <c r="CR30" i="15" s="1"/>
  <c r="W74" i="29"/>
  <c r="V23" i="38"/>
  <c r="BZ248" i="19"/>
  <c r="W247" i="19"/>
  <c r="W277" i="19" s="1"/>
  <c r="BZ249" i="19"/>
  <c r="BZ250" i="19"/>
  <c r="BZ251" i="19"/>
  <c r="BZ277" i="19"/>
  <c r="AJ58" i="13"/>
  <c r="AJ59" i="13" s="1"/>
  <c r="AJ60" i="13" s="1"/>
  <c r="S52" i="37"/>
  <c r="BY81" i="29"/>
  <c r="BY85" i="29" s="1"/>
  <c r="AG17" i="38"/>
  <c r="Q35" i="34"/>
  <c r="DL94" i="15"/>
  <c r="DX94" i="15" s="1"/>
  <c r="EJ94" i="15" s="1"/>
  <c r="EV94" i="15" s="1"/>
  <c r="V254" i="19"/>
  <c r="V230" i="19" s="1"/>
  <c r="F254" i="19"/>
  <c r="X17" i="38"/>
  <c r="X29" i="35" s="1"/>
  <c r="AH25" i="38"/>
  <c r="DA31" i="29"/>
  <c r="AF10" i="29"/>
  <c r="X53" i="34"/>
  <c r="AJ31" i="35"/>
  <c r="DD25" i="29"/>
  <c r="AG25" i="29" s="1"/>
  <c r="AG80" i="29"/>
  <c r="T130" i="36"/>
  <c r="CA100" i="19"/>
  <c r="CA130" i="19" s="1"/>
  <c r="CA101" i="19"/>
  <c r="CA131" i="19" s="1"/>
  <c r="CA102" i="19"/>
  <c r="CA132" i="19" s="1"/>
  <c r="CA129" i="19"/>
  <c r="CA103" i="19"/>
  <c r="CA133" i="19" s="1"/>
  <c r="F105" i="15"/>
  <c r="F106" i="15" s="1"/>
  <c r="CW94" i="15"/>
  <c r="DI94" i="15"/>
  <c r="DU94" i="15" s="1"/>
  <c r="EG94" i="15" s="1"/>
  <c r="ES94" i="15" s="1"/>
  <c r="O6" i="7"/>
  <c r="AS37" i="7" s="1"/>
  <c r="BM6" i="7"/>
  <c r="AA74" i="1"/>
  <c r="Y13" i="1"/>
  <c r="CF22" i="1"/>
  <c r="CF114" i="1"/>
  <c r="CF98" i="1"/>
  <c r="Q61" i="15"/>
  <c r="EX72" i="15"/>
  <c r="ES72" i="15"/>
  <c r="FA72" i="15"/>
  <c r="ET72" i="15"/>
  <c r="FB72" i="15"/>
  <c r="EU72" i="15"/>
  <c r="EV72" i="15"/>
  <c r="ER72" i="15"/>
  <c r="EW72" i="15"/>
  <c r="EY72" i="15"/>
  <c r="EZ72" i="15"/>
  <c r="EQ72" i="15"/>
  <c r="BN21" i="1"/>
  <c r="S12" i="1"/>
  <c r="BN14" i="1"/>
  <c r="BN97" i="1"/>
  <c r="BN88" i="1"/>
  <c r="BN20" i="1"/>
  <c r="BN11" i="11"/>
  <c r="X11" i="21"/>
  <c r="CC16" i="21"/>
  <c r="CC26" i="21"/>
  <c r="CO16" i="21"/>
  <c r="CC49" i="21"/>
  <c r="CC52" i="21" s="1"/>
  <c r="CG50" i="19"/>
  <c r="CF23" i="15"/>
  <c r="CG25" i="15"/>
  <c r="CG91" i="15"/>
  <c r="CG26" i="15"/>
  <c r="BT16" i="21"/>
  <c r="BT26" i="21"/>
  <c r="U26" i="21" s="1"/>
  <c r="U11" i="21"/>
  <c r="BT49" i="21"/>
  <c r="U49" i="21" s="1"/>
  <c r="DF94" i="15"/>
  <c r="DR94" i="15"/>
  <c r="ED94" i="15" s="1"/>
  <c r="EP94" i="15" s="1"/>
  <c r="FB94" i="15" s="1"/>
  <c r="AY50" i="21"/>
  <c r="AY55" i="21"/>
  <c r="BR47" i="21"/>
  <c r="BR52" i="21"/>
  <c r="BR57" i="21"/>
  <c r="AA34" i="21"/>
  <c r="AA39" i="21" s="1"/>
  <c r="CL39" i="21"/>
  <c r="CG28" i="24"/>
  <c r="CH29" i="24" s="1"/>
  <c r="CI30" i="24" s="1"/>
  <c r="F256" i="19"/>
  <c r="V256" i="19"/>
  <c r="V232" i="19" s="1"/>
  <c r="DB38" i="24"/>
  <c r="DC39" i="24" s="1"/>
  <c r="DD40" i="24" s="1"/>
  <c r="BI71" i="11"/>
  <c r="BI67" i="11"/>
  <c r="AZ136" i="11"/>
  <c r="AZ132" i="11"/>
  <c r="AZ22" i="11" s="1"/>
  <c r="AZ45" i="1" s="1"/>
  <c r="AZ84" i="1" s="1"/>
  <c r="AA141" i="11"/>
  <c r="ER27" i="7" s="1"/>
  <c r="ER14" i="7"/>
  <c r="X117" i="11"/>
  <c r="BB104" i="11"/>
  <c r="BB21" i="11" s="1"/>
  <c r="O97" i="11"/>
  <c r="BB108" i="11"/>
  <c r="AQ59" i="13"/>
  <c r="AQ60" i="13" s="1"/>
  <c r="S9" i="22"/>
  <c r="K10" i="22"/>
  <c r="T9" i="22"/>
  <c r="M9" i="22"/>
  <c r="U9" i="22"/>
  <c r="O9" i="22"/>
  <c r="W9" i="22"/>
  <c r="P9" i="22"/>
  <c r="Q9" i="22"/>
  <c r="X9" i="22"/>
  <c r="Y9" i="22"/>
  <c r="N9" i="22"/>
  <c r="R9" i="22"/>
  <c r="V9" i="22"/>
  <c r="BW17" i="21"/>
  <c r="BW27" i="21"/>
  <c r="V12" i="21"/>
  <c r="BW54" i="21"/>
  <c r="W52" i="18"/>
  <c r="H25" i="18"/>
  <c r="CQ11" i="29"/>
  <c r="CQ32" i="29" s="1"/>
  <c r="CR39" i="29" s="1"/>
  <c r="CQ81" i="29"/>
  <c r="CQ85" i="29" s="1"/>
  <c r="AD28" i="35"/>
  <c r="AD33" i="35"/>
  <c r="AD34" i="35" s="1"/>
  <c r="W49" i="34"/>
  <c r="F10" i="35"/>
  <c r="J11" i="35" s="1"/>
  <c r="J34" i="37"/>
  <c r="AG76" i="36"/>
  <c r="AG77" i="36" s="1"/>
  <c r="L130" i="36"/>
  <c r="BV9" i="11"/>
  <c r="BV82" i="11" s="1"/>
  <c r="BV15" i="1"/>
  <c r="BV52" i="1"/>
  <c r="BV100" i="1"/>
  <c r="BV10" i="11"/>
  <c r="P11" i="24"/>
  <c r="P10" i="24" s="1"/>
  <c r="BE13" i="24"/>
  <c r="W56" i="15"/>
  <c r="W59" i="15" s="1"/>
  <c r="W65" i="15"/>
  <c r="BY42" i="21"/>
  <c r="CJ109" i="11"/>
  <c r="CJ137" i="11"/>
  <c r="BT269" i="19"/>
  <c r="U269" i="19" s="1"/>
  <c r="U265" i="19"/>
  <c r="BT266" i="19"/>
  <c r="U266" i="19" s="1"/>
  <c r="U242" i="19" s="1"/>
  <c r="BT268" i="19"/>
  <c r="U268" i="19" s="1"/>
  <c r="U244" i="19" s="1"/>
  <c r="BT267" i="19"/>
  <c r="U267" i="19" s="1"/>
  <c r="U243" i="19" s="1"/>
  <c r="BG37" i="23"/>
  <c r="BG42" i="23"/>
  <c r="BQ11" i="21" s="1"/>
  <c r="BG41" i="23"/>
  <c r="BQ12" i="21" s="1"/>
  <c r="BG40" i="23"/>
  <c r="BT13" i="24"/>
  <c r="BT21" i="24" s="1"/>
  <c r="BT22" i="24" s="1"/>
  <c r="U11" i="24"/>
  <c r="U10" i="24" s="1"/>
  <c r="Q106" i="19"/>
  <c r="D267" i="19"/>
  <c r="N267" i="19"/>
  <c r="N243" i="19" s="1"/>
  <c r="BM40" i="21"/>
  <c r="Q87" i="11"/>
  <c r="CT67" i="11"/>
  <c r="CT71" i="11"/>
  <c r="CD56" i="1"/>
  <c r="CD40" i="1"/>
  <c r="U84" i="11"/>
  <c r="W39" i="11"/>
  <c r="BZ41" i="11"/>
  <c r="BZ44" i="11"/>
  <c r="K92" i="22"/>
  <c r="AC91" i="22"/>
  <c r="AZ23" i="11"/>
  <c r="AZ92" i="11"/>
  <c r="D65" i="11"/>
  <c r="N65" i="11"/>
  <c r="R52" i="18"/>
  <c r="C25" i="18"/>
  <c r="DC94" i="15"/>
  <c r="DO94" i="15"/>
  <c r="EA94" i="15" s="1"/>
  <c r="EM94" i="15" s="1"/>
  <c r="EY94" i="15" s="1"/>
  <c r="R23" i="11"/>
  <c r="DQ36" i="24"/>
  <c r="DR37" i="24" s="1"/>
  <c r="DS38" i="24" s="1"/>
  <c r="AK35" i="24"/>
  <c r="W117" i="11"/>
  <c r="AQ70" i="29"/>
  <c r="AE18" i="37"/>
  <c r="AE116" i="38"/>
  <c r="AE107" i="38"/>
  <c r="AE91" i="38"/>
  <c r="AE98" i="38"/>
  <c r="AE82" i="38"/>
  <c r="AE74" i="38"/>
  <c r="CB26" i="24"/>
  <c r="E69" i="18"/>
  <c r="F69" i="18" s="1"/>
  <c r="A55" i="18" s="1"/>
  <c r="CH20" i="1"/>
  <c r="CH21" i="1"/>
  <c r="CH97" i="1"/>
  <c r="CH88" i="1"/>
  <c r="CH14" i="1"/>
  <c r="CH11" i="11"/>
  <c r="BN194" i="19"/>
  <c r="S194" i="19" s="1"/>
  <c r="S170" i="19" s="1"/>
  <c r="BN195" i="19"/>
  <c r="S195" i="19" s="1"/>
  <c r="BN192" i="19"/>
  <c r="S192" i="19" s="1"/>
  <c r="S168" i="19" s="1"/>
  <c r="S191" i="19"/>
  <c r="BN193" i="19"/>
  <c r="S193" i="19" s="1"/>
  <c r="S169" i="19" s="1"/>
  <c r="BX120" i="19"/>
  <c r="V120" i="19" s="1"/>
  <c r="V96" i="19" s="1"/>
  <c r="BX119" i="19"/>
  <c r="V119" i="19" s="1"/>
  <c r="V95" i="19" s="1"/>
  <c r="BX118" i="19"/>
  <c r="V118" i="19" s="1"/>
  <c r="V94" i="19" s="1"/>
  <c r="BX121" i="19"/>
  <c r="V121" i="19" s="1"/>
  <c r="DO11" i="25"/>
  <c r="BX28" i="24"/>
  <c r="BY29" i="24" s="1"/>
  <c r="BZ30" i="24" s="1"/>
  <c r="P77" i="11"/>
  <c r="P72" i="11"/>
  <c r="BP62" i="15"/>
  <c r="BP59" i="15"/>
  <c r="BP68" i="15"/>
  <c r="S189" i="19"/>
  <c r="S165" i="19" s="1"/>
  <c r="BJ100" i="19"/>
  <c r="BJ130" i="19" s="1"/>
  <c r="BJ101" i="19"/>
  <c r="BJ131" i="19" s="1"/>
  <c r="BJ103" i="19"/>
  <c r="BJ133" i="19" s="1"/>
  <c r="BJ129" i="19"/>
  <c r="BJ102" i="19"/>
  <c r="BJ132" i="19" s="1"/>
  <c r="Y108" i="19"/>
  <c r="Y84" i="19" s="1"/>
  <c r="EO37" i="24"/>
  <c r="EP38" i="24" s="1"/>
  <c r="EQ39" i="24" s="1"/>
  <c r="Y34" i="11"/>
  <c r="Y17" i="11"/>
  <c r="F34" i="11"/>
  <c r="F17" i="11"/>
  <c r="AA113" i="11"/>
  <c r="EH25" i="7" s="1"/>
  <c r="EH12" i="7"/>
  <c r="CS148" i="11"/>
  <c r="BC136" i="11"/>
  <c r="BC132" i="11"/>
  <c r="BC22" i="11" s="1"/>
  <c r="BC45" i="1" s="1"/>
  <c r="BC84" i="1" s="1"/>
  <c r="O117" i="11"/>
  <c r="U45" i="22"/>
  <c r="R45" i="22"/>
  <c r="BF25" i="21"/>
  <c r="BF24" i="21" s="1"/>
  <c r="BF9" i="21"/>
  <c r="BF44" i="21"/>
  <c r="BF45" i="21" s="1"/>
  <c r="EX71" i="15"/>
  <c r="ES71" i="15"/>
  <c r="FA71" i="15"/>
  <c r="ET71" i="15"/>
  <c r="FB71" i="15"/>
  <c r="EU71" i="15"/>
  <c r="EV71" i="15"/>
  <c r="EQ71" i="15"/>
  <c r="ER71" i="15"/>
  <c r="EW71" i="15"/>
  <c r="EY71" i="15"/>
  <c r="EZ71" i="15"/>
  <c r="CD22" i="1"/>
  <c r="CD14" i="1"/>
  <c r="CD98" i="1"/>
  <c r="CD97" i="1"/>
  <c r="CD88" i="1"/>
  <c r="X88" i="1" s="1"/>
  <c r="CD114" i="1"/>
  <c r="BP120" i="19"/>
  <c r="S120" i="19" s="1"/>
  <c r="S96" i="19" s="1"/>
  <c r="BP118" i="19"/>
  <c r="S118" i="19" s="1"/>
  <c r="S94" i="19" s="1"/>
  <c r="BP119" i="19"/>
  <c r="E119" i="19" s="1"/>
  <c r="BP121" i="19"/>
  <c r="S121" i="19" s="1"/>
  <c r="BJ104" i="11"/>
  <c r="BJ21" i="11" s="1"/>
  <c r="BJ44" i="1" s="1"/>
  <c r="BJ83" i="1" s="1"/>
  <c r="BJ108" i="11"/>
  <c r="L10" i="29"/>
  <c r="AT10" i="29"/>
  <c r="EQ31" i="29"/>
  <c r="U85" i="37"/>
  <c r="U104" i="37" s="1"/>
  <c r="V25" i="36"/>
  <c r="AE20" i="36"/>
  <c r="W15" i="34"/>
  <c r="D74" i="38"/>
  <c r="D116" i="38"/>
  <c r="D91" i="38"/>
  <c r="D107" i="38"/>
  <c r="D14" i="35"/>
  <c r="D82" i="38"/>
  <c r="D98" i="38"/>
  <c r="EB10" i="29"/>
  <c r="AO58" i="29"/>
  <c r="BE25" i="29"/>
  <c r="P25" i="29" s="1"/>
  <c r="P80" i="29"/>
  <c r="F29" i="11"/>
  <c r="F30" i="11" s="1"/>
  <c r="Q101" i="1"/>
  <c r="N74" i="1"/>
  <c r="AA101" i="1"/>
  <c r="CI18" i="7" s="1"/>
  <c r="X74" i="1"/>
  <c r="BQ59" i="15"/>
  <c r="BQ62" i="15"/>
  <c r="BQ68" i="15"/>
  <c r="R269" i="19"/>
  <c r="E269" i="19"/>
  <c r="V180" i="19"/>
  <c r="V156" i="19" s="1"/>
  <c r="BB50" i="21"/>
  <c r="BB55" i="21"/>
  <c r="U257" i="19"/>
  <c r="U233" i="19" s="1"/>
  <c r="F114" i="11"/>
  <c r="EI26" i="25" s="1"/>
  <c r="EI24" i="25"/>
  <c r="BX50" i="21"/>
  <c r="BX55" i="21"/>
  <c r="E189" i="19"/>
  <c r="R189" i="19"/>
  <c r="R165" i="19" s="1"/>
  <c r="BE45" i="21"/>
  <c r="BE50" i="21"/>
  <c r="BE55" i="21"/>
  <c r="BN22" i="21"/>
  <c r="BN17" i="21"/>
  <c r="S12" i="21"/>
  <c r="BN27" i="21"/>
  <c r="BN54" i="21"/>
  <c r="S54" i="21" s="1"/>
  <c r="D194" i="19"/>
  <c r="N194" i="19"/>
  <c r="N170" i="19" s="1"/>
  <c r="Z109" i="19"/>
  <c r="Z85" i="19" s="1"/>
  <c r="BW144" i="11"/>
  <c r="BW127" i="1"/>
  <c r="BW101" i="1" s="1"/>
  <c r="BQ104" i="11"/>
  <c r="BQ21" i="11" s="1"/>
  <c r="T97" i="11"/>
  <c r="T117" i="11" s="1"/>
  <c r="BQ108" i="11"/>
  <c r="ER28" i="24"/>
  <c r="AT27" i="24"/>
  <c r="L27" i="24"/>
  <c r="CN71" i="11"/>
  <c r="CN67" i="11"/>
  <c r="D97" i="11"/>
  <c r="N97" i="11"/>
  <c r="AY108" i="11"/>
  <c r="AY104" i="11"/>
  <c r="AY21" i="11" s="1"/>
  <c r="N89" i="11"/>
  <c r="CD67" i="11"/>
  <c r="CD71" i="11"/>
  <c r="CD132" i="11"/>
  <c r="CD22" i="11" s="1"/>
  <c r="CD45" i="1" s="1"/>
  <c r="CD84" i="1" s="1"/>
  <c r="CD136" i="11"/>
  <c r="P84" i="11"/>
  <c r="CJ87" i="11"/>
  <c r="E118" i="11"/>
  <c r="EH13" i="25"/>
  <c r="BK148" i="11"/>
  <c r="K17" i="22"/>
  <c r="CK25" i="21"/>
  <c r="CK24" i="21" s="1"/>
  <c r="CK9" i="21"/>
  <c r="CK20" i="21"/>
  <c r="CK44" i="21"/>
  <c r="CK45" i="21" s="1"/>
  <c r="BG26" i="21"/>
  <c r="P26" i="21" s="1"/>
  <c r="P31" i="21" s="1"/>
  <c r="BG49" i="21"/>
  <c r="BG52" i="21" s="1"/>
  <c r="AB149" i="11"/>
  <c r="ES15" i="7"/>
  <c r="BV132" i="11"/>
  <c r="BV22" i="11" s="1"/>
  <c r="BV45" i="1" s="1"/>
  <c r="BV84" i="1" s="1"/>
  <c r="BV136" i="11"/>
  <c r="X87" i="11"/>
  <c r="CI117" i="11"/>
  <c r="O149" i="11"/>
  <c r="Q14" i="29"/>
  <c r="BV280" i="19"/>
  <c r="S236" i="19"/>
  <c r="R34" i="11"/>
  <c r="R17" i="11"/>
  <c r="F19" i="36"/>
  <c r="F21" i="36"/>
  <c r="AG36" i="36"/>
  <c r="AI89" i="36"/>
  <c r="I27" i="34"/>
  <c r="M23" i="35"/>
  <c r="M16" i="35"/>
  <c r="M32" i="35"/>
  <c r="M30" i="35"/>
  <c r="S67" i="15"/>
  <c r="S61" i="15"/>
  <c r="Q179" i="19"/>
  <c r="BH180" i="19"/>
  <c r="Q180" i="19" s="1"/>
  <c r="BH181" i="19"/>
  <c r="Q181" i="19" s="1"/>
  <c r="BH182" i="19"/>
  <c r="Q182" i="19" s="1"/>
  <c r="BH183" i="19"/>
  <c r="Q183" i="19" s="1"/>
  <c r="CC145" i="11"/>
  <c r="X254" i="19"/>
  <c r="X230" i="19" s="1"/>
  <c r="AZ204" i="19"/>
  <c r="V117" i="19"/>
  <c r="E261" i="19"/>
  <c r="R261" i="19"/>
  <c r="R237" i="19" s="1"/>
  <c r="AA183" i="19"/>
  <c r="AA159" i="19" s="1"/>
  <c r="P121" i="19"/>
  <c r="D109" i="19"/>
  <c r="N109" i="19"/>
  <c r="N85" i="19" s="1"/>
  <c r="P112" i="19"/>
  <c r="P88" i="19" s="1"/>
  <c r="BV45" i="21"/>
  <c r="BV50" i="21"/>
  <c r="BV55" i="21"/>
  <c r="G164" i="11"/>
  <c r="Y90" i="11"/>
  <c r="EQ29" i="24"/>
  <c r="AS28" i="24"/>
  <c r="CO41" i="11"/>
  <c r="CO44" i="11"/>
  <c r="AB39" i="11"/>
  <c r="BV67" i="11"/>
  <c r="BV71" i="11"/>
  <c r="BV44" i="11"/>
  <c r="BV41" i="11"/>
  <c r="BM132" i="11"/>
  <c r="BM22" i="11" s="1"/>
  <c r="BM45" i="1" s="1"/>
  <c r="BM84" i="1" s="1"/>
  <c r="BM136" i="11"/>
  <c r="Z34" i="11"/>
  <c r="Z17" i="11"/>
  <c r="AA27" i="21"/>
  <c r="BB9" i="21"/>
  <c r="BB25" i="21"/>
  <c r="BB44" i="21"/>
  <c r="BB47" i="21" s="1"/>
  <c r="BP22" i="21"/>
  <c r="BP17" i="21"/>
  <c r="BP27" i="21"/>
  <c r="BP54" i="21"/>
  <c r="BP56" i="21" s="1"/>
  <c r="CD104" i="11"/>
  <c r="CD21" i="11" s="1"/>
  <c r="CD44" i="1" s="1"/>
  <c r="CD83" i="1" s="1"/>
  <c r="CD108" i="11"/>
  <c r="P52" i="11"/>
  <c r="P87" i="11" s="1"/>
  <c r="EK70" i="29"/>
  <c r="AG31" i="38"/>
  <c r="G141" i="29"/>
  <c r="H111" i="29"/>
  <c r="BE11" i="29"/>
  <c r="P78" i="29"/>
  <c r="BE81" i="29"/>
  <c r="BE85" i="29" s="1"/>
  <c r="AA29" i="11"/>
  <c r="AA30" i="11" s="1"/>
  <c r="CM14" i="1"/>
  <c r="CM98" i="1"/>
  <c r="CM97" i="1"/>
  <c r="CM88" i="1"/>
  <c r="CM114" i="1"/>
  <c r="U13" i="1"/>
  <c r="BV22" i="1"/>
  <c r="BV98" i="1"/>
  <c r="BV114" i="1"/>
  <c r="U65" i="15"/>
  <c r="BX41" i="21"/>
  <c r="T106" i="19"/>
  <c r="O269" i="19"/>
  <c r="BM279" i="19"/>
  <c r="CL41" i="21"/>
  <c r="E42" i="21"/>
  <c r="X114" i="19"/>
  <c r="X90" i="19" s="1"/>
  <c r="BV101" i="19"/>
  <c r="BV131" i="19" s="1"/>
  <c r="BV102" i="19"/>
  <c r="BV132" i="19" s="1"/>
  <c r="BV103" i="19"/>
  <c r="BV133" i="19" s="1"/>
  <c r="BV100" i="19"/>
  <c r="BV130" i="19" s="1"/>
  <c r="BV129" i="19"/>
  <c r="O121" i="19"/>
  <c r="AA11" i="24"/>
  <c r="CL13" i="24"/>
  <c r="CL63" i="24"/>
  <c r="O112" i="19"/>
  <c r="O88" i="19" s="1"/>
  <c r="CH11" i="7"/>
  <c r="Z163" i="11"/>
  <c r="Z142" i="11"/>
  <c r="EQ28" i="7" s="1"/>
  <c r="W90" i="11"/>
  <c r="Q90" i="11"/>
  <c r="DB29" i="24"/>
  <c r="AF28" i="24"/>
  <c r="BH56" i="1"/>
  <c r="Q35" i="1"/>
  <c r="BH40" i="1"/>
  <c r="AY117" i="11"/>
  <c r="D141" i="11"/>
  <c r="EQ27" i="25" s="1"/>
  <c r="EQ14" i="25"/>
  <c r="D35" i="1"/>
  <c r="N35" i="1"/>
  <c r="AY56" i="1"/>
  <c r="AY40" i="1"/>
  <c r="BN132" i="11"/>
  <c r="BN22" i="11" s="1"/>
  <c r="S123" i="11"/>
  <c r="BN136" i="11"/>
  <c r="BE132" i="11"/>
  <c r="BE22" i="11" s="1"/>
  <c r="P123" i="11"/>
  <c r="BE136" i="11"/>
  <c r="CB40" i="1"/>
  <c r="CB56" i="1"/>
  <c r="AZ58" i="13"/>
  <c r="AZ59" i="13" s="1"/>
  <c r="AZ60" i="13" s="1"/>
  <c r="BG144" i="11"/>
  <c r="BG145" i="11" s="1"/>
  <c r="BG127" i="1"/>
  <c r="T242" i="19"/>
  <c r="U164" i="19"/>
  <c r="BH50" i="21"/>
  <c r="BH55" i="21"/>
  <c r="CA67" i="11"/>
  <c r="CA71" i="11"/>
  <c r="B3" i="30"/>
  <c r="AU70" i="29"/>
  <c r="T18" i="38"/>
  <c r="T31" i="35" s="1"/>
  <c r="U23" i="38"/>
  <c r="U15" i="38" s="1"/>
  <c r="CU17" i="29"/>
  <c r="CU31" i="29" s="1"/>
  <c r="AD63" i="29"/>
  <c r="H63" i="29"/>
  <c r="H161" i="29" s="1"/>
  <c r="CC22" i="1"/>
  <c r="X22" i="1" s="1"/>
  <c r="CG74" i="15"/>
  <c r="T111" i="19"/>
  <c r="T238" i="19" s="1"/>
  <c r="BQ112" i="19"/>
  <c r="T112" i="19" s="1"/>
  <c r="BQ113" i="19"/>
  <c r="T113" i="19" s="1"/>
  <c r="T89" i="19" s="1"/>
  <c r="BQ114" i="19"/>
  <c r="T114" i="19" s="1"/>
  <c r="T90" i="19" s="1"/>
  <c r="BQ115" i="19"/>
  <c r="T115" i="19" s="1"/>
  <c r="T91" i="19" s="1"/>
  <c r="Q6" i="25"/>
  <c r="AU37" i="25" s="1"/>
  <c r="BO6" i="25"/>
  <c r="DP94" i="15"/>
  <c r="DD94" i="15"/>
  <c r="AG94" i="15" s="1"/>
  <c r="Q94" i="15"/>
  <c r="CL21" i="1"/>
  <c r="AA12" i="1"/>
  <c r="CL14" i="1"/>
  <c r="CL97" i="1"/>
  <c r="CL88" i="1"/>
  <c r="CL20" i="1"/>
  <c r="CL11" i="11"/>
  <c r="AY248" i="19"/>
  <c r="AY249" i="19"/>
  <c r="D247" i="19"/>
  <c r="AY250" i="19"/>
  <c r="N247" i="19"/>
  <c r="AY251" i="19"/>
  <c r="AY277" i="19"/>
  <c r="CE68" i="15"/>
  <c r="BY59" i="15"/>
  <c r="BY62" i="15"/>
  <c r="BY68" i="15"/>
  <c r="CB17" i="21"/>
  <c r="CB27" i="21"/>
  <c r="CB54" i="21"/>
  <c r="CB55" i="21" s="1"/>
  <c r="P255" i="19"/>
  <c r="P231" i="19" s="1"/>
  <c r="D181" i="19"/>
  <c r="N181" i="19"/>
  <c r="N157" i="19" s="1"/>
  <c r="CK42" i="21"/>
  <c r="CE205" i="19"/>
  <c r="BF207" i="19"/>
  <c r="BP100" i="19"/>
  <c r="BP130" i="19" s="1"/>
  <c r="BP101" i="19"/>
  <c r="BP131" i="19" s="1"/>
  <c r="BP102" i="19"/>
  <c r="BP132" i="19" s="1"/>
  <c r="BP103" i="19"/>
  <c r="BP133" i="19" s="1"/>
  <c r="BP129" i="19"/>
  <c r="Q242" i="19"/>
  <c r="P41" i="21"/>
  <c r="BZ42" i="21"/>
  <c r="T162" i="19"/>
  <c r="W121" i="19"/>
  <c r="CD21" i="21"/>
  <c r="CD16" i="21"/>
  <c r="CD26" i="21"/>
  <c r="CP16" i="21"/>
  <c r="CD49" i="21"/>
  <c r="CN42" i="21"/>
  <c r="Z46" i="1"/>
  <c r="T113" i="11"/>
  <c r="Y87" i="11"/>
  <c r="CF148" i="11"/>
  <c r="BP41" i="11"/>
  <c r="BP44" i="11"/>
  <c r="F52" i="11"/>
  <c r="F87" i="11" s="1"/>
  <c r="BV87" i="11"/>
  <c r="BF132" i="11"/>
  <c r="BF22" i="11" s="1"/>
  <c r="BF45" i="1" s="1"/>
  <c r="BF84" i="1" s="1"/>
  <c r="BF136" i="11"/>
  <c r="CB104" i="11"/>
  <c r="CB21" i="11" s="1"/>
  <c r="CB44" i="1" s="1"/>
  <c r="CB83" i="1" s="1"/>
  <c r="CB108" i="11"/>
  <c r="AS58" i="13"/>
  <c r="AS59" i="13" s="1"/>
  <c r="AS60" i="13" s="1"/>
  <c r="BC104" i="11"/>
  <c r="BC21" i="11" s="1"/>
  <c r="BC44" i="1" s="1"/>
  <c r="BC83" i="1" s="1"/>
  <c r="BC108" i="11"/>
  <c r="CH91" i="11"/>
  <c r="DF91" i="11" s="1"/>
  <c r="DR91" i="11" s="1"/>
  <c r="ED91" i="11" s="1"/>
  <c r="EP91" i="11" s="1"/>
  <c r="FB91" i="11" s="1"/>
  <c r="P11" i="21"/>
  <c r="U49" i="18"/>
  <c r="Q39" i="35"/>
  <c r="Q24" i="35"/>
  <c r="R29" i="34"/>
  <c r="X65" i="38"/>
  <c r="Z65" i="38"/>
  <c r="AA65" i="38"/>
  <c r="Y65" i="38"/>
  <c r="G39" i="35"/>
  <c r="AB26" i="36"/>
  <c r="AA123" i="37"/>
  <c r="W50" i="38"/>
  <c r="Y104" i="37"/>
  <c r="CM42" i="21"/>
  <c r="CD27" i="24"/>
  <c r="CE28" i="24" s="1"/>
  <c r="CF29" i="24" s="1"/>
  <c r="T90" i="11"/>
  <c r="BH136" i="11"/>
  <c r="Q123" i="11"/>
  <c r="BH132" i="11"/>
  <c r="BH22" i="11" s="1"/>
  <c r="CT117" i="11"/>
  <c r="BV43" i="23"/>
  <c r="CF10" i="21"/>
  <c r="BY32" i="29"/>
  <c r="BZ39" i="29" s="1"/>
  <c r="CD43" i="23"/>
  <c r="CN10" i="21"/>
  <c r="K40" i="35"/>
  <c r="K45" i="35"/>
  <c r="K46" i="35" s="1"/>
  <c r="K51" i="35"/>
  <c r="K55" i="35" s="1"/>
  <c r="U46" i="37"/>
  <c r="V24" i="36"/>
  <c r="CI79" i="29"/>
  <c r="Z75" i="29"/>
  <c r="BJ11" i="29"/>
  <c r="BJ32" i="29" s="1"/>
  <c r="BK39" i="29" s="1"/>
  <c r="BJ81" i="29"/>
  <c r="BJ85" i="29" s="1"/>
  <c r="DV10" i="29"/>
  <c r="J10" i="29" s="1"/>
  <c r="AM58" i="29"/>
  <c r="AM70" i="29" s="1"/>
  <c r="AF68" i="37"/>
  <c r="S77" i="37"/>
  <c r="S72" i="37"/>
  <c r="R56" i="15"/>
  <c r="R65" i="15"/>
  <c r="U21" i="1"/>
  <c r="BI112" i="19"/>
  <c r="Q112" i="19" s="1"/>
  <c r="Q88" i="19" s="1"/>
  <c r="BI113" i="19"/>
  <c r="BI114" i="19"/>
  <c r="Q114" i="19" s="1"/>
  <c r="Q90" i="19" s="1"/>
  <c r="BI115" i="19"/>
  <c r="Q115" i="19" s="1"/>
  <c r="Q91" i="19" s="1"/>
  <c r="CF62" i="15"/>
  <c r="CF68" i="15"/>
  <c r="CF59" i="15"/>
  <c r="CF74" i="15"/>
  <c r="Q105" i="19"/>
  <c r="AZ50" i="21"/>
  <c r="AZ45" i="21"/>
  <c r="AZ55" i="21"/>
  <c r="D266" i="19"/>
  <c r="N266" i="19"/>
  <c r="N242" i="19" s="1"/>
  <c r="R180" i="19"/>
  <c r="R156" i="19" s="1"/>
  <c r="E180" i="19"/>
  <c r="BF101" i="19"/>
  <c r="BF131" i="19" s="1"/>
  <c r="BF102" i="19"/>
  <c r="BF132" i="19" s="1"/>
  <c r="BF103" i="19"/>
  <c r="BF133" i="19" s="1"/>
  <c r="BF100" i="19"/>
  <c r="BF130" i="19" s="1"/>
  <c r="BF129" i="19"/>
  <c r="ER45" i="24"/>
  <c r="ES46" i="24" s="1"/>
  <c r="ET47" i="24" s="1"/>
  <c r="DK37" i="24"/>
  <c r="DL38" i="24" s="1"/>
  <c r="DM39" i="24" s="1"/>
  <c r="CV34" i="24"/>
  <c r="CW35" i="24" s="1"/>
  <c r="CX36" i="24" s="1"/>
  <c r="CK67" i="11"/>
  <c r="CK71" i="11"/>
  <c r="CK132" i="11"/>
  <c r="CK22" i="11" s="1"/>
  <c r="CK45" i="1" s="1"/>
  <c r="CK84" i="1" s="1"/>
  <c r="CK136" i="11"/>
  <c r="E113" i="11"/>
  <c r="EH25" i="25" s="1"/>
  <c r="EH12" i="25"/>
  <c r="BO26" i="21"/>
  <c r="BO49" i="21"/>
  <c r="BO51" i="21" s="1"/>
  <c r="DX10" i="25"/>
  <c r="DX11" i="25" s="1"/>
  <c r="DX13" i="25"/>
  <c r="BG22" i="1"/>
  <c r="BG14" i="1"/>
  <c r="BG98" i="1"/>
  <c r="BG97" i="1"/>
  <c r="BG88" i="1"/>
  <c r="P88" i="1" s="1"/>
  <c r="BG114" i="1"/>
  <c r="BD113" i="1"/>
  <c r="BL55" i="21"/>
  <c r="CI37" i="25"/>
  <c r="CX91" i="11"/>
  <c r="AE77" i="37"/>
  <c r="AE79" i="37"/>
  <c r="AE72" i="37"/>
  <c r="AE80" i="37"/>
  <c r="AE78" i="37"/>
  <c r="AF79" i="36"/>
  <c r="AF90" i="36" s="1"/>
  <c r="F33" i="34" s="1"/>
  <c r="AD30" i="35"/>
  <c r="W51" i="34"/>
  <c r="Z74" i="29"/>
  <c r="CI78" i="29"/>
  <c r="S30" i="37"/>
  <c r="S60" i="37"/>
  <c r="AF51" i="37"/>
  <c r="BN18" i="29"/>
  <c r="S18" i="29" s="1"/>
  <c r="S79" i="29"/>
  <c r="AY78" i="29"/>
  <c r="N74" i="29"/>
  <c r="CO25" i="29"/>
  <c r="AB25" i="29" s="1"/>
  <c r="AB80" i="29"/>
  <c r="BQ42" i="23"/>
  <c r="CA11" i="21" s="1"/>
  <c r="CM16" i="21" s="1"/>
  <c r="BQ41" i="23"/>
  <c r="CA12" i="21" s="1"/>
  <c r="F12" i="21" s="1"/>
  <c r="BQ37" i="23"/>
  <c r="BQ40" i="23"/>
  <c r="BY41" i="21"/>
  <c r="BL16" i="21"/>
  <c r="BL26" i="21"/>
  <c r="BL49" i="21"/>
  <c r="BL50" i="21" s="1"/>
  <c r="Q113" i="19"/>
  <c r="Q89" i="19" s="1"/>
  <c r="BO207" i="19"/>
  <c r="F115" i="19"/>
  <c r="V115" i="19"/>
  <c r="V91" i="19" s="1"/>
  <c r="Y106" i="19"/>
  <c r="Y82" i="19" s="1"/>
  <c r="BT52" i="21"/>
  <c r="BT57" i="21"/>
  <c r="F172" i="11"/>
  <c r="CJ13" i="25"/>
  <c r="CJ39" i="25" s="1"/>
  <c r="V34" i="21"/>
  <c r="V39" i="21" s="1"/>
  <c r="BW39" i="21"/>
  <c r="F34" i="21"/>
  <c r="F39" i="21" s="1"/>
  <c r="CB51" i="21"/>
  <c r="Z41" i="21"/>
  <c r="R115" i="19"/>
  <c r="R91" i="19" s="1"/>
  <c r="BM102" i="19"/>
  <c r="BM132" i="19" s="1"/>
  <c r="BM103" i="19"/>
  <c r="BM133" i="19" s="1"/>
  <c r="BM100" i="19"/>
  <c r="BM130" i="19" s="1"/>
  <c r="BM101" i="19"/>
  <c r="BM131" i="19" s="1"/>
  <c r="BM129" i="19"/>
  <c r="CJ103" i="19"/>
  <c r="CJ102" i="19"/>
  <c r="CJ100" i="19"/>
  <c r="CJ101" i="19"/>
  <c r="CJ129" i="19"/>
  <c r="EX35" i="24"/>
  <c r="EY36" i="24" s="1"/>
  <c r="EZ37" i="24" s="1"/>
  <c r="DD91" i="11"/>
  <c r="Y91" i="11"/>
  <c r="CM71" i="11"/>
  <c r="CM67" i="11"/>
  <c r="F141" i="11"/>
  <c r="ES27" i="25" s="1"/>
  <c r="ES14" i="25"/>
  <c r="AA51" i="11"/>
  <c r="AA71" i="11" s="1"/>
  <c r="CL67" i="11"/>
  <c r="CL71" i="11"/>
  <c r="BV56" i="1"/>
  <c r="BV40" i="1"/>
  <c r="CC132" i="11"/>
  <c r="CC22" i="11" s="1"/>
  <c r="X123" i="11"/>
  <c r="CC136" i="11"/>
  <c r="AC118" i="11"/>
  <c r="EJ13" i="7"/>
  <c r="BT148" i="11"/>
  <c r="BD41" i="11"/>
  <c r="BD44" i="11"/>
  <c r="Z88" i="11"/>
  <c r="P45" i="22"/>
  <c r="W45" i="22"/>
  <c r="CI63" i="19"/>
  <c r="CJ29" i="15"/>
  <c r="BM144" i="11"/>
  <c r="BM145" i="11" s="1"/>
  <c r="BM127" i="1"/>
  <c r="T51" i="11"/>
  <c r="T71" i="11" s="1"/>
  <c r="BQ71" i="11"/>
  <c r="BQ67" i="11"/>
  <c r="BH41" i="11"/>
  <c r="BH44" i="11"/>
  <c r="Q39" i="11"/>
  <c r="N76" i="29"/>
  <c r="AY80" i="29"/>
  <c r="U24" i="36"/>
  <c r="T46" i="37"/>
  <c r="AH50" i="36"/>
  <c r="X82" i="36"/>
  <c r="X74" i="36" s="1"/>
  <c r="W74" i="36"/>
  <c r="AF128" i="37"/>
  <c r="S137" i="37"/>
  <c r="AC116" i="38"/>
  <c r="AC91" i="38"/>
  <c r="AC107" i="38"/>
  <c r="AC82" i="38"/>
  <c r="AC98" i="38"/>
  <c r="R40" i="21"/>
  <c r="CE144" i="11"/>
  <c r="CE145" i="11" s="1"/>
  <c r="CE127" i="1"/>
  <c r="CE101" i="1" s="1"/>
  <c r="BO22" i="1"/>
  <c r="BO14" i="1"/>
  <c r="BO98" i="1"/>
  <c r="BO97" i="1"/>
  <c r="BO88" i="1"/>
  <c r="BO114" i="1"/>
  <c r="CH60" i="15"/>
  <c r="CH62" i="15"/>
  <c r="CH68" i="15"/>
  <c r="CH74" i="15"/>
  <c r="CH61" i="15"/>
  <c r="V11" i="24"/>
  <c r="V10" i="24" s="1"/>
  <c r="F11" i="24"/>
  <c r="F13" i="24" s="1"/>
  <c r="BW13" i="24"/>
  <c r="BW21" i="24" s="1"/>
  <c r="BQ60" i="15"/>
  <c r="CJ17" i="21"/>
  <c r="CJ27" i="21"/>
  <c r="CJ54" i="21"/>
  <c r="CJ56" i="21" s="1"/>
  <c r="BF278" i="19"/>
  <c r="P195" i="19"/>
  <c r="Y41" i="21"/>
  <c r="Y115" i="19"/>
  <c r="Y91" i="19" s="1"/>
  <c r="O40" i="21"/>
  <c r="U256" i="19"/>
  <c r="U232" i="19" s="1"/>
  <c r="BU280" i="19"/>
  <c r="F69" i="19"/>
  <c r="V69" i="19"/>
  <c r="CT16" i="21"/>
  <c r="CH21" i="21"/>
  <c r="CH16" i="21"/>
  <c r="CH26" i="21"/>
  <c r="CH49" i="21"/>
  <c r="CH51" i="21" s="1"/>
  <c r="Q238" i="19"/>
  <c r="P40" i="21"/>
  <c r="G50" i="19"/>
  <c r="Z50" i="19"/>
  <c r="Z55" i="19" s="1"/>
  <c r="Z108" i="19"/>
  <c r="Z84" i="19" s="1"/>
  <c r="E106" i="19"/>
  <c r="R106" i="19"/>
  <c r="R82" i="19" s="1"/>
  <c r="BA87" i="11"/>
  <c r="T89" i="11"/>
  <c r="BX56" i="1"/>
  <c r="BX40" i="1"/>
  <c r="D89" i="11"/>
  <c r="AM58" i="13"/>
  <c r="AM59" i="13" s="1"/>
  <c r="AM60" i="13" s="1"/>
  <c r="BE117" i="11"/>
  <c r="P34" i="11"/>
  <c r="P17" i="11"/>
  <c r="U51" i="11"/>
  <c r="U71" i="11" s="1"/>
  <c r="BT67" i="11"/>
  <c r="BT92" i="11" s="1"/>
  <c r="BT71" i="11"/>
  <c r="E52" i="11"/>
  <c r="E87" i="11" s="1"/>
  <c r="R52" i="11"/>
  <c r="R87" i="11" s="1"/>
  <c r="BK87" i="11"/>
  <c r="E148" i="11"/>
  <c r="ER9" i="25"/>
  <c r="CP104" i="11"/>
  <c r="CP21" i="11" s="1"/>
  <c r="CP44" i="1" s="1"/>
  <c r="CP83" i="1" s="1"/>
  <c r="CP108" i="11"/>
  <c r="AW43" i="23"/>
  <c r="BG10" i="21"/>
  <c r="AT52" i="2"/>
  <c r="AT57" i="2" s="1"/>
  <c r="CM87" i="11"/>
  <c r="BW44" i="11"/>
  <c r="V39" i="11"/>
  <c r="F39" i="11"/>
  <c r="BW41" i="11"/>
  <c r="AE58" i="13"/>
  <c r="AE59" i="13" s="1"/>
  <c r="AE60" i="13" s="1"/>
  <c r="X148" i="11"/>
  <c r="Z117" i="11"/>
  <c r="EG9" i="7"/>
  <c r="H15" i="18"/>
  <c r="CT30" i="15" s="1"/>
  <c r="H3" i="18"/>
  <c r="CT8" i="15" s="1"/>
  <c r="H9" i="18"/>
  <c r="CT19" i="15" s="1"/>
  <c r="T44" i="18"/>
  <c r="E27" i="18" s="1"/>
  <c r="S74" i="15"/>
  <c r="BV279" i="19"/>
  <c r="CT56" i="1"/>
  <c r="CT40" i="1"/>
  <c r="BL40" i="1"/>
  <c r="BL56" i="1"/>
  <c r="E35" i="1"/>
  <c r="BK56" i="1"/>
  <c r="BK40" i="1"/>
  <c r="R35" i="1"/>
  <c r="BW16" i="21"/>
  <c r="BW26" i="21"/>
  <c r="V11" i="21"/>
  <c r="BW49" i="21"/>
  <c r="AK10" i="29"/>
  <c r="EN70" i="29"/>
  <c r="S28" i="37"/>
  <c r="P17" i="36"/>
  <c r="DD10" i="29"/>
  <c r="AG58" i="29"/>
  <c r="AZ22" i="1"/>
  <c r="AZ114" i="1"/>
  <c r="AZ98" i="1"/>
  <c r="U263" i="19"/>
  <c r="U239" i="19" s="1"/>
  <c r="D117" i="19"/>
  <c r="AA182" i="19"/>
  <c r="AA158" i="19" s="1"/>
  <c r="Z254" i="19"/>
  <c r="Z230" i="19" s="1"/>
  <c r="P120" i="19"/>
  <c r="P96" i="19" s="1"/>
  <c r="N107" i="19"/>
  <c r="N83" i="19" s="1"/>
  <c r="T236" i="19"/>
  <c r="BO40" i="21"/>
  <c r="BT51" i="21"/>
  <c r="BT56" i="21"/>
  <c r="G163" i="11"/>
  <c r="G171" i="11" s="1"/>
  <c r="EZ30" i="24"/>
  <c r="AV29" i="24"/>
  <c r="V51" i="11"/>
  <c r="V71" i="11" s="1"/>
  <c r="F51" i="11"/>
  <c r="BW71" i="11"/>
  <c r="BW67" i="11"/>
  <c r="V58" i="13"/>
  <c r="V59" i="13" s="1"/>
  <c r="V60" i="13" s="1"/>
  <c r="G34" i="11"/>
  <c r="H34" i="11" s="1"/>
  <c r="G17" i="11"/>
  <c r="AA12" i="21"/>
  <c r="AR43" i="23"/>
  <c r="BX9" i="21"/>
  <c r="BX20" i="21"/>
  <c r="BX15" i="21"/>
  <c r="BX25" i="21"/>
  <c r="BX24" i="21" s="1"/>
  <c r="BX44" i="21"/>
  <c r="BX45" i="21" s="1"/>
  <c r="P46" i="25"/>
  <c r="P46" i="7"/>
  <c r="CQ91" i="1"/>
  <c r="CQ102" i="1"/>
  <c r="Y179" i="19"/>
  <c r="CF180" i="19"/>
  <c r="Y180" i="19" s="1"/>
  <c r="Y156" i="19" s="1"/>
  <c r="CF181" i="19"/>
  <c r="Y181" i="19" s="1"/>
  <c r="Y157" i="19" s="1"/>
  <c r="CF182" i="19"/>
  <c r="Y182" i="19" s="1"/>
  <c r="Y158" i="19" s="1"/>
  <c r="CF183" i="19"/>
  <c r="Y183" i="19" s="1"/>
  <c r="Y159" i="19" s="1"/>
  <c r="P165" i="19"/>
  <c r="S99" i="19"/>
  <c r="S129" i="19" s="1"/>
  <c r="BN101" i="19"/>
  <c r="BN102" i="19"/>
  <c r="BN103" i="19"/>
  <c r="BN100" i="19"/>
  <c r="BN129" i="19"/>
  <c r="BU40" i="21"/>
  <c r="BT144" i="11"/>
  <c r="BT127" i="1"/>
  <c r="P148" i="11"/>
  <c r="D10" i="40"/>
  <c r="D22" i="40" s="1"/>
  <c r="D9" i="40"/>
  <c r="AD31" i="37"/>
  <c r="W21" i="34"/>
  <c r="W29" i="34" s="1"/>
  <c r="W30" i="34" s="1"/>
  <c r="AD75" i="29"/>
  <c r="CU79" i="29"/>
  <c r="DL56" i="29"/>
  <c r="DK58" i="29"/>
  <c r="AF32" i="36"/>
  <c r="DS17" i="29"/>
  <c r="DS31" i="29" s="1"/>
  <c r="AL63" i="29"/>
  <c r="J63" i="29"/>
  <c r="AF121" i="36"/>
  <c r="F38" i="34"/>
  <c r="T59" i="15"/>
  <c r="T56" i="15"/>
  <c r="T61" i="15" s="1"/>
  <c r="T65" i="15"/>
  <c r="X65" i="15"/>
  <c r="D94" i="15"/>
  <c r="N94" i="15"/>
  <c r="CU94" i="15"/>
  <c r="DG94" i="15"/>
  <c r="BB106" i="19"/>
  <c r="O106" i="19" s="1"/>
  <c r="O82" i="19" s="1"/>
  <c r="O105" i="19"/>
  <c r="O231" i="19" s="1"/>
  <c r="BB108" i="19"/>
  <c r="O108" i="19" s="1"/>
  <c r="O84" i="19" s="1"/>
  <c r="BB109" i="19"/>
  <c r="O109" i="19" s="1"/>
  <c r="O85" i="19" s="1"/>
  <c r="BB107" i="19"/>
  <c r="O107" i="19" s="1"/>
  <c r="O83" i="19" s="1"/>
  <c r="N6" i="7"/>
  <c r="AR37" i="7" s="1"/>
  <c r="BL6" i="7"/>
  <c r="Z91" i="1"/>
  <c r="Z102" i="1"/>
  <c r="U56" i="15"/>
  <c r="U61" i="15" s="1"/>
  <c r="Q12" i="1"/>
  <c r="T97" i="1" s="1"/>
  <c r="BH21" i="1"/>
  <c r="BH14" i="1"/>
  <c r="BH97" i="1"/>
  <c r="BH88" i="1"/>
  <c r="BH20" i="1"/>
  <c r="BH11" i="11"/>
  <c r="T105" i="19"/>
  <c r="T233" i="19" s="1"/>
  <c r="Z40" i="15"/>
  <c r="Z45" i="15" s="1"/>
  <c r="G40" i="15"/>
  <c r="CI48" i="15"/>
  <c r="O268" i="19"/>
  <c r="O244" i="19" s="1"/>
  <c r="BM281" i="19"/>
  <c r="CE41" i="21"/>
  <c r="W94" i="15"/>
  <c r="AA41" i="21"/>
  <c r="O233" i="19"/>
  <c r="AA9" i="24"/>
  <c r="Q164" i="19"/>
  <c r="T156" i="19"/>
  <c r="BT39" i="21"/>
  <c r="U34" i="21"/>
  <c r="U39" i="21" s="1"/>
  <c r="AC90" i="11"/>
  <c r="E90" i="11"/>
  <c r="T34" i="11"/>
  <c r="T17" i="11"/>
  <c r="D117" i="11"/>
  <c r="EG9" i="25"/>
  <c r="W58" i="13"/>
  <c r="W59" i="13" s="1"/>
  <c r="W60" i="13" s="1"/>
  <c r="N58" i="13"/>
  <c r="N59" i="13" s="1"/>
  <c r="N60" i="13" s="1"/>
  <c r="U87" i="11"/>
  <c r="CA91" i="11"/>
  <c r="CY91" i="11" s="1"/>
  <c r="DK91" i="11" s="1"/>
  <c r="DW91" i="11" s="1"/>
  <c r="EI91" i="11" s="1"/>
  <c r="EU91" i="11" s="1"/>
  <c r="O29" i="11"/>
  <c r="O30" i="11" s="1"/>
  <c r="AB144" i="11"/>
  <c r="CO145" i="11"/>
  <c r="CG100" i="19"/>
  <c r="CG130" i="19" s="1"/>
  <c r="CG101" i="19"/>
  <c r="CG131" i="19" s="1"/>
  <c r="CG102" i="19"/>
  <c r="CG132" i="19" s="1"/>
  <c r="CG129" i="19"/>
  <c r="CG103" i="19"/>
  <c r="CG133" i="19" s="1"/>
  <c r="BD279" i="19"/>
  <c r="U163" i="19"/>
  <c r="CB126" i="1"/>
  <c r="W126" i="1" s="1"/>
  <c r="W127" i="1" s="1"/>
  <c r="W101" i="1" s="1"/>
  <c r="CB163" i="11"/>
  <c r="BN148" i="11"/>
  <c r="AD16" i="36"/>
  <c r="AD20" i="36" s="1"/>
  <c r="AG136" i="36"/>
  <c r="CH11" i="29"/>
  <c r="CH32" i="29" s="1"/>
  <c r="CI39" i="29" s="1"/>
  <c r="CH81" i="29"/>
  <c r="CH85" i="29" s="1"/>
  <c r="Z26" i="36"/>
  <c r="AI26" i="36" s="1"/>
  <c r="Y123" i="37"/>
  <c r="AH123" i="37" s="1"/>
  <c r="Y51" i="34"/>
  <c r="V53" i="38"/>
  <c r="V45" i="38" s="1"/>
  <c r="V26" i="38" s="1"/>
  <c r="AW76" i="29"/>
  <c r="DP17" i="29"/>
  <c r="AK17" i="29" s="1"/>
  <c r="AK63" i="29"/>
  <c r="AK70" i="29" s="1"/>
  <c r="CI59" i="15"/>
  <c r="BC74" i="15"/>
  <c r="CA22" i="1"/>
  <c r="V13" i="1"/>
  <c r="CB22" i="1"/>
  <c r="F13" i="1"/>
  <c r="BW22" i="1"/>
  <c r="BW14" i="1"/>
  <c r="BW98" i="1"/>
  <c r="BZ22" i="1"/>
  <c r="BW97" i="1"/>
  <c r="CH22" i="1"/>
  <c r="BW88" i="1"/>
  <c r="BW114" i="1"/>
  <c r="T42" i="21"/>
  <c r="BY60" i="15"/>
  <c r="BX60" i="15"/>
  <c r="BR43" i="23"/>
  <c r="CB10" i="21"/>
  <c r="P254" i="19"/>
  <c r="P230" i="19" s="1"/>
  <c r="D180" i="19"/>
  <c r="N180" i="19"/>
  <c r="N156" i="19" s="1"/>
  <c r="BZ100" i="19"/>
  <c r="W99" i="19"/>
  <c r="W129" i="19" s="1"/>
  <c r="BZ101" i="19"/>
  <c r="BZ102" i="19"/>
  <c r="BZ129" i="19"/>
  <c r="BZ103" i="19"/>
  <c r="BE42" i="21"/>
  <c r="CE206" i="19"/>
  <c r="CG40" i="21"/>
  <c r="R193" i="19"/>
  <c r="R169" i="19" s="1"/>
  <c r="E193" i="19"/>
  <c r="BF205" i="19"/>
  <c r="W42" i="21"/>
  <c r="BL41" i="21"/>
  <c r="S34" i="21"/>
  <c r="S39" i="21" s="1"/>
  <c r="BN39" i="21"/>
  <c r="CC102" i="19"/>
  <c r="CC103" i="19"/>
  <c r="CC100" i="19"/>
  <c r="X99" i="19"/>
  <c r="X129" i="19" s="1"/>
  <c r="CC101" i="19"/>
  <c r="CC129" i="19"/>
  <c r="Q42" i="21"/>
  <c r="W112" i="19"/>
  <c r="W88" i="19" s="1"/>
  <c r="CK44" i="7"/>
  <c r="BH144" i="11"/>
  <c r="BH127" i="1"/>
  <c r="CO87" i="11"/>
  <c r="CO148" i="11"/>
  <c r="BP71" i="11"/>
  <c r="BP67" i="11"/>
  <c r="BP136" i="11"/>
  <c r="BP132" i="11"/>
  <c r="BP22" i="11" s="1"/>
  <c r="BP45" i="1" s="1"/>
  <c r="BP84" i="1" s="1"/>
  <c r="BW148" i="11"/>
  <c r="BF67" i="11"/>
  <c r="BF71" i="11"/>
  <c r="O58" i="13"/>
  <c r="O59" i="13" s="1"/>
  <c r="O60" i="13" s="1"/>
  <c r="BM148" i="11"/>
  <c r="U17" i="11"/>
  <c r="U34" i="11"/>
  <c r="CH117" i="11"/>
  <c r="P34" i="35"/>
  <c r="H21" i="36"/>
  <c r="AF42" i="36"/>
  <c r="Z123" i="37"/>
  <c r="AA26" i="36"/>
  <c r="AD130" i="37"/>
  <c r="AE122" i="37"/>
  <c r="AI25" i="36"/>
  <c r="AI130" i="36"/>
  <c r="AB121" i="36"/>
  <c r="Q74" i="1"/>
  <c r="AS37" i="23"/>
  <c r="AS42" i="23"/>
  <c r="BC11" i="21" s="1"/>
  <c r="O11" i="21" s="1"/>
  <c r="AS40" i="23"/>
  <c r="AS41" i="23"/>
  <c r="BC12" i="21" s="1"/>
  <c r="D12" i="21" s="1"/>
  <c r="CD41" i="21"/>
  <c r="Q58" i="13"/>
  <c r="Q59" i="13" s="1"/>
  <c r="Q60" i="13" s="1"/>
  <c r="CJ117" i="11"/>
  <c r="Q4" i="9"/>
  <c r="G19" i="8" s="1"/>
  <c r="H28" i="26" l="1"/>
  <c r="L224" i="26"/>
  <c r="L226" i="26" s="1"/>
  <c r="O198" i="26"/>
  <c r="O200" i="26" s="1"/>
  <c r="J26" i="26"/>
  <c r="M224" i="26"/>
  <c r="M226" i="26" s="1"/>
  <c r="I28" i="26"/>
  <c r="H26" i="26"/>
  <c r="H37" i="26"/>
  <c r="I26" i="26"/>
  <c r="L213" i="26"/>
  <c r="K26" i="26"/>
  <c r="K27" i="26"/>
  <c r="H38" i="26"/>
  <c r="J28" i="26"/>
  <c r="AO108" i="26"/>
  <c r="AO119" i="26" s="1"/>
  <c r="O137" i="26"/>
  <c r="O156" i="26" s="1"/>
  <c r="AW156" i="26"/>
  <c r="AU139" i="26"/>
  <c r="AQ141" i="26"/>
  <c r="AQ160" i="26" s="1"/>
  <c r="AQ158" i="26"/>
  <c r="AT139" i="26"/>
  <c r="AP141" i="26"/>
  <c r="AP160" i="26" s="1"/>
  <c r="AP158" i="26"/>
  <c r="O140" i="26"/>
  <c r="O159" i="26" s="1"/>
  <c r="AW159" i="26"/>
  <c r="AR114" i="26"/>
  <c r="AS114" i="26" s="1"/>
  <c r="M139" i="26"/>
  <c r="AS139" i="26"/>
  <c r="AO158" i="26"/>
  <c r="AO141" i="26"/>
  <c r="AO160" i="26" s="1"/>
  <c r="AZ139" i="26"/>
  <c r="AV158" i="26"/>
  <c r="AV141" i="26"/>
  <c r="AV160" i="26" s="1"/>
  <c r="I101" i="26"/>
  <c r="AQ62" i="26"/>
  <c r="AQ65" i="26" s="1"/>
  <c r="AQ66" i="26" s="1"/>
  <c r="AP95" i="26"/>
  <c r="I123" i="26"/>
  <c r="G124" i="26"/>
  <c r="G123" i="26"/>
  <c r="H124" i="26"/>
  <c r="H123" i="26"/>
  <c r="R81" i="29"/>
  <c r="R85" i="29" s="1"/>
  <c r="I42" i="26"/>
  <c r="I44" i="26"/>
  <c r="I45" i="26"/>
  <c r="V18" i="38"/>
  <c r="V31" i="35" s="1"/>
  <c r="CQ43" i="19"/>
  <c r="CQ77" i="15"/>
  <c r="CP51" i="19"/>
  <c r="CP173" i="19" s="1"/>
  <c r="CP78" i="15"/>
  <c r="CP43" i="19"/>
  <c r="CP77" i="15"/>
  <c r="CZ117" i="11"/>
  <c r="DA117" i="11"/>
  <c r="DB117" i="11"/>
  <c r="I117" i="11"/>
  <c r="CU117" i="11"/>
  <c r="DC117" i="11"/>
  <c r="CV117" i="11"/>
  <c r="DD117" i="11"/>
  <c r="CW117" i="11"/>
  <c r="DE117" i="11"/>
  <c r="CX117" i="11"/>
  <c r="DF117" i="11"/>
  <c r="CY117" i="11"/>
  <c r="AD31" i="29"/>
  <c r="I9" i="28" s="1"/>
  <c r="AG72" i="26" s="1"/>
  <c r="AG79" i="26" s="1"/>
  <c r="AL31" i="29"/>
  <c r="Q9" i="28" s="1"/>
  <c r="AO72" i="26" s="1"/>
  <c r="AO79" i="26" s="1"/>
  <c r="G9" i="40"/>
  <c r="H9" i="40"/>
  <c r="I9" i="40" s="1"/>
  <c r="A53" i="18"/>
  <c r="A54" i="18"/>
  <c r="C55" i="18"/>
  <c r="C62" i="18" s="1"/>
  <c r="D55" i="18"/>
  <c r="D62" i="18" s="1"/>
  <c r="E55" i="18"/>
  <c r="E62" i="18" s="1"/>
  <c r="F55" i="18"/>
  <c r="F62" i="18" s="1"/>
  <c r="G55" i="18"/>
  <c r="G62" i="18" s="1"/>
  <c r="H55" i="18"/>
  <c r="H62" i="18" s="1"/>
  <c r="CO60" i="19"/>
  <c r="CO85" i="15"/>
  <c r="CT44" i="19"/>
  <c r="CT83" i="15"/>
  <c r="BD16" i="11"/>
  <c r="BD34" i="1" s="1"/>
  <c r="BD42" i="11"/>
  <c r="BD46" i="11" s="1"/>
  <c r="BQ43" i="23"/>
  <c r="CA10" i="21"/>
  <c r="AE91" i="11"/>
  <c r="DJ91" i="11"/>
  <c r="Q22" i="11"/>
  <c r="BH45" i="1"/>
  <c r="X42" i="38"/>
  <c r="X50" i="38"/>
  <c r="D249" i="19"/>
  <c r="N249" i="19"/>
  <c r="AY279" i="19"/>
  <c r="AA20" i="1"/>
  <c r="AA11" i="11"/>
  <c r="BX8" i="7"/>
  <c r="Y6" i="7"/>
  <c r="Y10" i="7" s="1"/>
  <c r="AA14" i="1"/>
  <c r="Y7" i="7"/>
  <c r="DC30" i="24"/>
  <c r="AF29" i="24"/>
  <c r="CL66" i="24"/>
  <c r="AA63" i="24"/>
  <c r="BB19" i="21"/>
  <c r="BB22" i="21"/>
  <c r="ES29" i="24"/>
  <c r="L28" i="24"/>
  <c r="AT28" i="24"/>
  <c r="D15" i="35"/>
  <c r="AC14" i="35"/>
  <c r="AC15" i="35" s="1"/>
  <c r="BF19" i="21"/>
  <c r="BF22" i="21"/>
  <c r="BF21" i="21"/>
  <c r="W41" i="11"/>
  <c r="W16" i="11" s="1"/>
  <c r="BZ16" i="11"/>
  <c r="BZ34" i="1" s="1"/>
  <c r="BZ42" i="11"/>
  <c r="BM50" i="21"/>
  <c r="BM55" i="21"/>
  <c r="BG43" i="23"/>
  <c r="BQ10" i="21"/>
  <c r="BI20" i="11"/>
  <c r="BI92" i="11"/>
  <c r="S21" i="1"/>
  <c r="BN23" i="1"/>
  <c r="S53" i="37"/>
  <c r="T45" i="37"/>
  <c r="S55" i="37"/>
  <c r="V15" i="38"/>
  <c r="V27" i="38"/>
  <c r="X21" i="11"/>
  <c r="CC44" i="1"/>
  <c r="DK31" i="24"/>
  <c r="AI30" i="24"/>
  <c r="V242" i="19"/>
  <c r="CI13" i="25"/>
  <c r="DP22" i="1"/>
  <c r="Q22" i="1"/>
  <c r="DD22" i="1"/>
  <c r="T28" i="36"/>
  <c r="T30" i="36"/>
  <c r="T31" i="36"/>
  <c r="O22" i="1"/>
  <c r="DJ22" i="1"/>
  <c r="CX22" i="1"/>
  <c r="BL23" i="1"/>
  <c r="CS51" i="19"/>
  <c r="CS173" i="19" s="1"/>
  <c r="CS78" i="15"/>
  <c r="AA67" i="22"/>
  <c r="T237" i="19"/>
  <c r="F121" i="19"/>
  <c r="Z25" i="29"/>
  <c r="G25" i="29"/>
  <c r="CM9" i="21"/>
  <c r="CM20" i="21"/>
  <c r="CM15" i="21"/>
  <c r="CM25" i="21"/>
  <c r="CM24" i="21" s="1"/>
  <c r="CM29" i="21" s="1"/>
  <c r="CM44" i="21"/>
  <c r="CD16" i="11"/>
  <c r="CD34" i="1" s="1"/>
  <c r="CD42" i="11"/>
  <c r="CD46" i="11" s="1"/>
  <c r="EO34" i="24"/>
  <c r="S16" i="21"/>
  <c r="Y11" i="24"/>
  <c r="Y10" i="24" s="1"/>
  <c r="CF13" i="24"/>
  <c r="CF21" i="24" s="1"/>
  <c r="CF22" i="24" s="1"/>
  <c r="D112" i="19"/>
  <c r="E268" i="19"/>
  <c r="N24" i="35"/>
  <c r="N39" i="35"/>
  <c r="Y62" i="38"/>
  <c r="Z62" i="38"/>
  <c r="AA62" i="38"/>
  <c r="R26" i="34"/>
  <c r="X62" i="38"/>
  <c r="BW50" i="21"/>
  <c r="BW55" i="21"/>
  <c r="BU30" i="24"/>
  <c r="BV31" i="24" s="1"/>
  <c r="BW32" i="24" s="1"/>
  <c r="E88" i="1"/>
  <c r="R88" i="1"/>
  <c r="BN24" i="21"/>
  <c r="P21" i="11"/>
  <c r="BE44" i="1"/>
  <c r="DU29" i="24"/>
  <c r="J28" i="24"/>
  <c r="AL28" i="24"/>
  <c r="X251" i="19"/>
  <c r="CC281" i="19"/>
  <c r="W17" i="34"/>
  <c r="W18" i="34" s="1"/>
  <c r="V104" i="11"/>
  <c r="V108" i="11"/>
  <c r="DI22" i="1"/>
  <c r="DU22" i="1" s="1"/>
  <c r="EG22" i="1" s="1"/>
  <c r="ES22" i="1" s="1"/>
  <c r="CW22" i="1"/>
  <c r="W88" i="1"/>
  <c r="X54" i="21"/>
  <c r="O11" i="11"/>
  <c r="O112" i="1"/>
  <c r="O20" i="1"/>
  <c r="O14" i="1"/>
  <c r="CK46" i="21"/>
  <c r="CK51" i="21"/>
  <c r="CK56" i="21"/>
  <c r="AY43" i="23"/>
  <c r="BI10" i="21"/>
  <c r="CC109" i="11"/>
  <c r="CC137" i="11"/>
  <c r="AY9" i="21"/>
  <c r="AY20" i="21" s="1"/>
  <c r="AY25" i="21"/>
  <c r="AY44" i="21"/>
  <c r="T159" i="19"/>
  <c r="E7" i="8"/>
  <c r="F97" i="1"/>
  <c r="AJ10" i="25" s="1"/>
  <c r="Y242" i="19"/>
  <c r="BY43" i="23"/>
  <c r="CI10" i="21"/>
  <c r="L17" i="29"/>
  <c r="AT17" i="29"/>
  <c r="BA16" i="11"/>
  <c r="BA34" i="1" s="1"/>
  <c r="BA42" i="11"/>
  <c r="BA46" i="11" s="1"/>
  <c r="T103" i="19"/>
  <c r="BQ133" i="19"/>
  <c r="AA250" i="19"/>
  <c r="CJ44" i="25"/>
  <c r="CA23" i="1"/>
  <c r="AA103" i="19"/>
  <c r="AD70" i="29"/>
  <c r="BV14" i="21"/>
  <c r="BV19" i="21"/>
  <c r="BV22" i="21"/>
  <c r="BV21" i="21"/>
  <c r="CH42" i="25"/>
  <c r="EG28" i="25"/>
  <c r="HL29" i="7"/>
  <c r="AE110" i="37"/>
  <c r="AE111" i="37" s="1"/>
  <c r="AE115" i="37"/>
  <c r="AE116" i="37"/>
  <c r="AE118" i="37"/>
  <c r="AE117" i="37"/>
  <c r="AC87" i="22"/>
  <c r="N175" i="19"/>
  <c r="AY205" i="19"/>
  <c r="D175" i="19"/>
  <c r="Q233" i="19"/>
  <c r="Z66" i="19"/>
  <c r="Z71" i="19" s="1"/>
  <c r="G66" i="19"/>
  <c r="N97" i="19"/>
  <c r="E6" i="8"/>
  <c r="F11" i="11"/>
  <c r="BY8" i="25"/>
  <c r="Z6" i="25"/>
  <c r="F112" i="1"/>
  <c r="F20" i="1"/>
  <c r="F14" i="1"/>
  <c r="V186" i="19"/>
  <c r="V162" i="19" s="1"/>
  <c r="F186" i="19"/>
  <c r="N168" i="19"/>
  <c r="F183" i="19"/>
  <c r="CS16" i="21"/>
  <c r="CG16" i="21"/>
  <c r="CG26" i="21"/>
  <c r="CG49" i="21"/>
  <c r="T40" i="21"/>
  <c r="D189" i="19"/>
  <c r="N189" i="19"/>
  <c r="N165" i="19" s="1"/>
  <c r="H16" i="35"/>
  <c r="H23" i="35"/>
  <c r="H30" i="35"/>
  <c r="H32" i="35"/>
  <c r="H28" i="35"/>
  <c r="H34" i="35"/>
  <c r="E175" i="19"/>
  <c r="BK205" i="19"/>
  <c r="R175" i="19"/>
  <c r="BJ50" i="21"/>
  <c r="BJ45" i="21"/>
  <c r="BJ55" i="21"/>
  <c r="BQ77" i="11"/>
  <c r="BQ72" i="11"/>
  <c r="Z87" i="11"/>
  <c r="BS26" i="21"/>
  <c r="BS16" i="21"/>
  <c r="BS49" i="21"/>
  <c r="BS52" i="21" s="1"/>
  <c r="BE24" i="21"/>
  <c r="BA144" i="11"/>
  <c r="BA145" i="11" s="1"/>
  <c r="BA127" i="1"/>
  <c r="AA177" i="19"/>
  <c r="Q60" i="15"/>
  <c r="S41" i="11"/>
  <c r="S16" i="11" s="1"/>
  <c r="BN16" i="11"/>
  <c r="BN34" i="1" s="1"/>
  <c r="BN42" i="11"/>
  <c r="S176" i="19"/>
  <c r="BN206" i="19"/>
  <c r="F118" i="19"/>
  <c r="N136" i="11"/>
  <c r="N132" i="11"/>
  <c r="O41" i="11"/>
  <c r="O16" i="11" s="1"/>
  <c r="BB16" i="11"/>
  <c r="BB34" i="1" s="1"/>
  <c r="BB42" i="11"/>
  <c r="EX44" i="24"/>
  <c r="EY45" i="24" s="1"/>
  <c r="EZ46" i="24" s="1"/>
  <c r="C6" i="8"/>
  <c r="D11" i="11"/>
  <c r="D112" i="1"/>
  <c r="BW8" i="25"/>
  <c r="X6" i="25"/>
  <c r="D20" i="1"/>
  <c r="T250" i="19"/>
  <c r="BQ280" i="19"/>
  <c r="BC16" i="11"/>
  <c r="BC34" i="1" s="1"/>
  <c r="BC42" i="11"/>
  <c r="BC46" i="11" s="1"/>
  <c r="W177" i="19"/>
  <c r="BZ207" i="19"/>
  <c r="X24" i="36"/>
  <c r="W46" i="37"/>
  <c r="AC71" i="1"/>
  <c r="CR91" i="1"/>
  <c r="CR102" i="1"/>
  <c r="BZ20" i="11"/>
  <c r="W67" i="11"/>
  <c r="W92" i="11" s="1"/>
  <c r="BZ92" i="11"/>
  <c r="AS29" i="24"/>
  <c r="EO30" i="24"/>
  <c r="Y249" i="19"/>
  <c r="CF279" i="19"/>
  <c r="CL145" i="11"/>
  <c r="AA144" i="11"/>
  <c r="CY118" i="11"/>
  <c r="CZ118" i="11"/>
  <c r="DA118" i="11"/>
  <c r="DB118" i="11"/>
  <c r="I118" i="11"/>
  <c r="CU118" i="11"/>
  <c r="DC118" i="11"/>
  <c r="CV118" i="11"/>
  <c r="DD118" i="11"/>
  <c r="CW118" i="11"/>
  <c r="DE118" i="11"/>
  <c r="CX118" i="11"/>
  <c r="DF118" i="11"/>
  <c r="R97" i="1"/>
  <c r="W14" i="38"/>
  <c r="BG16" i="11"/>
  <c r="BG34" i="1" s="1"/>
  <c r="BG42" i="11"/>
  <c r="BG46" i="11" s="1"/>
  <c r="BY20" i="11"/>
  <c r="BY92" i="11"/>
  <c r="P175" i="19"/>
  <c r="BE205" i="19"/>
  <c r="BW51" i="21"/>
  <c r="BW56" i="21"/>
  <c r="BO20" i="11"/>
  <c r="BO92" i="11"/>
  <c r="BP50" i="21"/>
  <c r="BP45" i="21"/>
  <c r="BP55" i="21"/>
  <c r="BR50" i="21"/>
  <c r="BR45" i="21"/>
  <c r="BR55" i="21"/>
  <c r="AN30" i="24"/>
  <c r="DZ31" i="24"/>
  <c r="EC38" i="24"/>
  <c r="ED39" i="24" s="1"/>
  <c r="EE40" i="24" s="1"/>
  <c r="W232" i="19"/>
  <c r="BR20" i="11"/>
  <c r="BR92" i="11"/>
  <c r="E144" i="11"/>
  <c r="BK145" i="11"/>
  <c r="R144" i="11"/>
  <c r="R145" i="11" s="1"/>
  <c r="V262" i="19"/>
  <c r="V238" i="19" s="1"/>
  <c r="F262" i="19"/>
  <c r="Y11" i="21"/>
  <c r="X175" i="19"/>
  <c r="CC205" i="19"/>
  <c r="CH19" i="21"/>
  <c r="CH14" i="21"/>
  <c r="CH22" i="21"/>
  <c r="CJ40" i="25"/>
  <c r="CJ42" i="25" s="1"/>
  <c r="F203" i="19"/>
  <c r="BU27" i="24"/>
  <c r="H23" i="8"/>
  <c r="EI42" i="24"/>
  <c r="EJ43" i="24" s="1"/>
  <c r="EK44" i="24" s="1"/>
  <c r="E192" i="19"/>
  <c r="E257" i="19"/>
  <c r="EU38" i="24"/>
  <c r="EV39" i="24" s="1"/>
  <c r="EW40" i="24" s="1"/>
  <c r="O248" i="19"/>
  <c r="BB278" i="19"/>
  <c r="CI71" i="19"/>
  <c r="W104" i="11"/>
  <c r="W108" i="11"/>
  <c r="CD52" i="21"/>
  <c r="X52" i="21" s="1"/>
  <c r="CD47" i="21"/>
  <c r="CD57" i="21"/>
  <c r="DQ22" i="1"/>
  <c r="EC22" i="1" s="1"/>
  <c r="EO22" i="1" s="1"/>
  <c r="FA22" i="1" s="1"/>
  <c r="DE22" i="1"/>
  <c r="CI77" i="11"/>
  <c r="CI72" i="11"/>
  <c r="AN31" i="29"/>
  <c r="S9" i="28" s="1"/>
  <c r="AQ72" i="26" s="1"/>
  <c r="AQ79" i="26" s="1"/>
  <c r="BR30" i="24"/>
  <c r="BS31" i="24" s="1"/>
  <c r="BT32" i="24" s="1"/>
  <c r="O132" i="11"/>
  <c r="O136" i="11"/>
  <c r="CE92" i="11"/>
  <c r="CE20" i="11"/>
  <c r="V100" i="19"/>
  <c r="F100" i="19"/>
  <c r="BW130" i="19"/>
  <c r="N261" i="19"/>
  <c r="N237" i="19" s="1"/>
  <c r="D261" i="19"/>
  <c r="CG77" i="11"/>
  <c r="CG72" i="11"/>
  <c r="F40" i="21"/>
  <c r="BJ9" i="11"/>
  <c r="BJ82" i="11" s="1"/>
  <c r="BJ52" i="1"/>
  <c r="BJ100" i="1"/>
  <c r="BJ10" i="11"/>
  <c r="G74" i="1"/>
  <c r="E41" i="11"/>
  <c r="E16" i="11" s="1"/>
  <c r="BK16" i="11"/>
  <c r="BK34" i="1" s="1"/>
  <c r="R41" i="11"/>
  <c r="R16" i="11" s="1"/>
  <c r="BK42" i="11"/>
  <c r="E136" i="11"/>
  <c r="ER22" i="25" s="1"/>
  <c r="E132" i="11"/>
  <c r="ER17" i="25" s="1"/>
  <c r="ER18" i="25" s="1"/>
  <c r="ER8" i="25"/>
  <c r="Q10" i="21"/>
  <c r="BH9" i="21"/>
  <c r="BH20" i="21" s="1"/>
  <c r="BH25" i="21"/>
  <c r="BH44" i="21"/>
  <c r="R41" i="21"/>
  <c r="Z250" i="19"/>
  <c r="Y88" i="1"/>
  <c r="H16" i="18"/>
  <c r="CT31" i="15" s="1"/>
  <c r="C4" i="18"/>
  <c r="CO9" i="15" s="1"/>
  <c r="V22" i="1"/>
  <c r="F22" i="1"/>
  <c r="ES30" i="7"/>
  <c r="AB145" i="11"/>
  <c r="ES31" i="7" s="1"/>
  <c r="CU18" i="29"/>
  <c r="AD79" i="29"/>
  <c r="U144" i="11"/>
  <c r="U145" i="11" s="1"/>
  <c r="BT145" i="11"/>
  <c r="AS43" i="23"/>
  <c r="BC10" i="21"/>
  <c r="BE47" i="21"/>
  <c r="BE52" i="21"/>
  <c r="BE57" i="21"/>
  <c r="E8" i="8"/>
  <c r="AJ7" i="25"/>
  <c r="AJ8" i="25" s="1"/>
  <c r="F98" i="1"/>
  <c r="AJ11" i="25" s="1"/>
  <c r="F114" i="1"/>
  <c r="BH9" i="11"/>
  <c r="BH82" i="11" s="1"/>
  <c r="BH100" i="1"/>
  <c r="BH10" i="11"/>
  <c r="BH52" i="1"/>
  <c r="BT15" i="1"/>
  <c r="H94" i="15"/>
  <c r="AD94" i="15"/>
  <c r="BU45" i="21"/>
  <c r="BU50" i="21"/>
  <c r="BU55" i="21"/>
  <c r="BO9" i="11"/>
  <c r="BO82" i="11" s="1"/>
  <c r="BO15" i="1"/>
  <c r="BO90" i="1" s="1"/>
  <c r="BO100" i="1"/>
  <c r="BO52" i="1"/>
  <c r="BO10" i="11"/>
  <c r="T25" i="37"/>
  <c r="BH16" i="11"/>
  <c r="BH34" i="1" s="1"/>
  <c r="Q41" i="11"/>
  <c r="Q16" i="11" s="1"/>
  <c r="BH42" i="11"/>
  <c r="DP91" i="11"/>
  <c r="AG91" i="11"/>
  <c r="CB56" i="21"/>
  <c r="EU48" i="24"/>
  <c r="EV49" i="24" s="1"/>
  <c r="EW50" i="24" s="1"/>
  <c r="R68" i="15"/>
  <c r="R62" i="15"/>
  <c r="R60" i="15"/>
  <c r="R61" i="15"/>
  <c r="Q132" i="11"/>
  <c r="Q136" i="11"/>
  <c r="W42" i="38"/>
  <c r="BL23" i="7"/>
  <c r="D248" i="19"/>
  <c r="N248" i="19"/>
  <c r="AY278" i="19"/>
  <c r="AA21" i="1"/>
  <c r="CA20" i="11"/>
  <c r="CA92" i="11"/>
  <c r="S136" i="11"/>
  <c r="S132" i="11"/>
  <c r="CM9" i="11"/>
  <c r="CM82" i="11" s="1"/>
  <c r="CM15" i="1"/>
  <c r="CM100" i="1"/>
  <c r="CM52" i="1"/>
  <c r="CM10" i="11"/>
  <c r="AA32" i="21"/>
  <c r="HL34" i="7" s="1"/>
  <c r="BV20" i="11"/>
  <c r="BV92" i="11"/>
  <c r="X144" i="11"/>
  <c r="X145" i="11" s="1"/>
  <c r="N104" i="11"/>
  <c r="N108" i="11"/>
  <c r="BF29" i="21"/>
  <c r="CH77" i="11"/>
  <c r="CH72" i="11"/>
  <c r="W44" i="11"/>
  <c r="T12" i="21"/>
  <c r="BQ17" i="21"/>
  <c r="BQ27" i="21"/>
  <c r="BQ54" i="21"/>
  <c r="BQ55" i="21" s="1"/>
  <c r="O104" i="11"/>
  <c r="O108" i="11"/>
  <c r="AB16" i="21"/>
  <c r="Y22" i="1"/>
  <c r="X108" i="11"/>
  <c r="X104" i="11"/>
  <c r="BE46" i="21"/>
  <c r="BE51" i="21"/>
  <c r="BE56" i="21"/>
  <c r="T98" i="1"/>
  <c r="Q114" i="1"/>
  <c r="BX20" i="11"/>
  <c r="BX92" i="11"/>
  <c r="N22" i="1"/>
  <c r="DG22" i="1"/>
  <c r="CU22" i="1"/>
  <c r="D22" i="1"/>
  <c r="O157" i="19"/>
  <c r="CS43" i="19"/>
  <c r="CS41" i="15"/>
  <c r="CS77" i="15"/>
  <c r="J16" i="22"/>
  <c r="O85" i="22"/>
  <c r="S85" i="22"/>
  <c r="S15" i="22"/>
  <c r="W85" i="22"/>
  <c r="P85" i="22"/>
  <c r="O15" i="22"/>
  <c r="T15" i="22"/>
  <c r="T68" i="22" s="1"/>
  <c r="T85" i="22"/>
  <c r="X85" i="22"/>
  <c r="W15" i="22"/>
  <c r="W68" i="22" s="1"/>
  <c r="M15" i="22"/>
  <c r="M68" i="22" s="1"/>
  <c r="M85" i="22"/>
  <c r="P15" i="22"/>
  <c r="P68" i="22" s="1"/>
  <c r="U15" i="22"/>
  <c r="U85" i="22"/>
  <c r="Q85" i="22"/>
  <c r="O68" i="22"/>
  <c r="X15" i="22"/>
  <c r="X68" i="22" s="1"/>
  <c r="V15" i="22"/>
  <c r="V68" i="22" s="1"/>
  <c r="N85" i="22"/>
  <c r="Y85" i="22"/>
  <c r="U68" i="22"/>
  <c r="Q15" i="22"/>
  <c r="Q68" i="22" s="1"/>
  <c r="N15" i="22"/>
  <c r="N68" i="22" s="1"/>
  <c r="V85" i="22"/>
  <c r="R85" i="22"/>
  <c r="S68" i="22"/>
  <c r="Y15" i="22"/>
  <c r="Y68" i="22" s="1"/>
  <c r="R15" i="22"/>
  <c r="R68" i="22" s="1"/>
  <c r="K27" i="22"/>
  <c r="DQ48" i="24"/>
  <c r="DR49" i="24" s="1"/>
  <c r="DS50" i="24" s="1"/>
  <c r="Y62" i="15"/>
  <c r="Y68" i="15"/>
  <c r="BE278" i="19"/>
  <c r="P248" i="19"/>
  <c r="AZ16" i="11"/>
  <c r="AZ34" i="1" s="1"/>
  <c r="AZ42" i="11"/>
  <c r="AZ46" i="11" s="1"/>
  <c r="BQ50" i="21"/>
  <c r="R11" i="11"/>
  <c r="R14" i="1"/>
  <c r="R112" i="1"/>
  <c r="R20" i="1"/>
  <c r="P104" i="11"/>
  <c r="P108" i="11"/>
  <c r="CF50" i="21"/>
  <c r="CF55" i="21"/>
  <c r="X250" i="19"/>
  <c r="CC280" i="19"/>
  <c r="D91" i="1"/>
  <c r="D102" i="1"/>
  <c r="BB11" i="25" s="1"/>
  <c r="AE17" i="36"/>
  <c r="AA40" i="21"/>
  <c r="T176" i="19"/>
  <c r="BQ206" i="19"/>
  <c r="K24" i="29"/>
  <c r="AP24" i="29"/>
  <c r="W11" i="29"/>
  <c r="BI26" i="21"/>
  <c r="BI49" i="21"/>
  <c r="AO70" i="29"/>
  <c r="EE31" i="29"/>
  <c r="AC70" i="22"/>
  <c r="F42" i="21"/>
  <c r="BB20" i="11"/>
  <c r="O67" i="11"/>
  <c r="O92" i="11" s="1"/>
  <c r="BB92" i="11"/>
  <c r="T102" i="19"/>
  <c r="BQ132" i="19"/>
  <c r="AA249" i="19"/>
  <c r="S117" i="37"/>
  <c r="BP51" i="21"/>
  <c r="BR19" i="21"/>
  <c r="BR14" i="21"/>
  <c r="BR22" i="21"/>
  <c r="BR21" i="21"/>
  <c r="AC29" i="24"/>
  <c r="CS30" i="24"/>
  <c r="AA102" i="19"/>
  <c r="D102" i="19"/>
  <c r="N102" i="19"/>
  <c r="AY132" i="19"/>
  <c r="Q83" i="19"/>
  <c r="AD24" i="29"/>
  <c r="H24" i="29"/>
  <c r="BV29" i="21"/>
  <c r="CL50" i="21"/>
  <c r="AA50" i="21" s="1"/>
  <c r="Y11" i="29"/>
  <c r="CF32" i="29"/>
  <c r="AE92" i="37"/>
  <c r="AF84" i="37"/>
  <c r="CJ16" i="11"/>
  <c r="CJ34" i="1" s="1"/>
  <c r="CJ42" i="11"/>
  <c r="CJ46" i="11" s="1"/>
  <c r="CR145" i="11"/>
  <c r="BD52" i="21"/>
  <c r="BD57" i="21"/>
  <c r="Q232" i="19"/>
  <c r="BX16" i="11"/>
  <c r="BX34" i="1" s="1"/>
  <c r="BX42" i="11"/>
  <c r="BX46" i="11" s="1"/>
  <c r="BI144" i="11"/>
  <c r="BI145" i="11" s="1"/>
  <c r="BI127" i="1"/>
  <c r="E24" i="35"/>
  <c r="E39" i="35"/>
  <c r="BY77" i="11"/>
  <c r="BY72" i="11"/>
  <c r="Q11" i="21"/>
  <c r="BU20" i="11"/>
  <c r="BU92" i="11"/>
  <c r="AZ23" i="1"/>
  <c r="BD23" i="1"/>
  <c r="BE23" i="1"/>
  <c r="AY23" i="1"/>
  <c r="N21" i="1"/>
  <c r="BG23" i="1"/>
  <c r="D21" i="1"/>
  <c r="CS17" i="21"/>
  <c r="CG17" i="21"/>
  <c r="CG27" i="21"/>
  <c r="CG54" i="21"/>
  <c r="CC16" i="11"/>
  <c r="CC34" i="1" s="1"/>
  <c r="X41" i="11"/>
  <c r="X16" i="11" s="1"/>
  <c r="CC42" i="11"/>
  <c r="F112" i="19"/>
  <c r="W36" i="34"/>
  <c r="W37" i="34" s="1"/>
  <c r="AD23" i="35"/>
  <c r="AD16" i="35"/>
  <c r="BZ24" i="21"/>
  <c r="P144" i="11"/>
  <c r="P145" i="11" s="1"/>
  <c r="BE145" i="11"/>
  <c r="E203" i="19"/>
  <c r="FZ11" i="7"/>
  <c r="FV11" i="25"/>
  <c r="BH56" i="21"/>
  <c r="BP23" i="1"/>
  <c r="G87" i="11"/>
  <c r="H87" i="11" s="1"/>
  <c r="CC57" i="21"/>
  <c r="F250" i="19"/>
  <c r="V250" i="19"/>
  <c r="BW280" i="19"/>
  <c r="Y25" i="37"/>
  <c r="Z44" i="11"/>
  <c r="G132" i="11"/>
  <c r="ET17" i="25" s="1"/>
  <c r="G136" i="11"/>
  <c r="ET8" i="25"/>
  <c r="W11" i="21"/>
  <c r="Q11" i="11"/>
  <c r="Q112" i="1"/>
  <c r="Q20" i="1"/>
  <c r="Q14" i="1"/>
  <c r="N11" i="35"/>
  <c r="N49" i="35"/>
  <c r="S44" i="11"/>
  <c r="BM20" i="11"/>
  <c r="BM92" i="11"/>
  <c r="S175" i="19"/>
  <c r="BN205" i="19"/>
  <c r="CH132" i="19"/>
  <c r="E22" i="1"/>
  <c r="R22" i="1"/>
  <c r="AF17" i="36"/>
  <c r="AF21" i="36"/>
  <c r="AF19" i="36"/>
  <c r="D136" i="11"/>
  <c r="EQ22" i="25" s="1"/>
  <c r="D132" i="11"/>
  <c r="EQ17" i="25" s="1"/>
  <c r="EQ8" i="25"/>
  <c r="O44" i="11"/>
  <c r="D15" i="18"/>
  <c r="CP30" i="15" s="1"/>
  <c r="CP41" i="15" s="1"/>
  <c r="N114" i="19"/>
  <c r="N90" i="19" s="1"/>
  <c r="BA23" i="1"/>
  <c r="Q96" i="19"/>
  <c r="T249" i="19"/>
  <c r="BQ279" i="19"/>
  <c r="W176" i="19"/>
  <c r="BZ206" i="19"/>
  <c r="X22" i="24"/>
  <c r="CC25" i="24"/>
  <c r="Y62" i="36"/>
  <c r="AH67" i="36"/>
  <c r="Y54" i="21"/>
  <c r="N148" i="11"/>
  <c r="DE38" i="24"/>
  <c r="DF39" i="24" s="1"/>
  <c r="DG40" i="24" s="1"/>
  <c r="Y248" i="19"/>
  <c r="CF278" i="19"/>
  <c r="EX38" i="24"/>
  <c r="EY39" i="24" s="1"/>
  <c r="EZ40" i="24" s="1"/>
  <c r="Z102" i="19"/>
  <c r="EC29" i="24"/>
  <c r="AO28" i="24"/>
  <c r="AG70" i="29"/>
  <c r="R25" i="29"/>
  <c r="V52" i="18"/>
  <c r="BV52" i="21"/>
  <c r="BV47" i="21"/>
  <c r="BV57" i="21"/>
  <c r="U57" i="21" s="1"/>
  <c r="P174" i="19"/>
  <c r="BE204" i="19"/>
  <c r="X40" i="21"/>
  <c r="N10" i="24"/>
  <c r="R101" i="19"/>
  <c r="E101" i="19"/>
  <c r="BK131" i="19"/>
  <c r="AC127" i="1"/>
  <c r="AC101" i="1" s="1"/>
  <c r="CK18" i="7" s="1"/>
  <c r="BN91" i="1"/>
  <c r="BN102" i="1"/>
  <c r="S71" i="1"/>
  <c r="BT90" i="1"/>
  <c r="BV90" i="1"/>
  <c r="E71" i="1"/>
  <c r="CI27" i="24"/>
  <c r="V114" i="19"/>
  <c r="V90" i="19" s="1"/>
  <c r="Q203" i="19"/>
  <c r="R98" i="1"/>
  <c r="S98" i="1"/>
  <c r="P114" i="1"/>
  <c r="V261" i="19"/>
  <c r="V237" i="19" s="1"/>
  <c r="F261" i="19"/>
  <c r="S19" i="18"/>
  <c r="S23" i="18" s="1"/>
  <c r="BK27" i="21"/>
  <c r="R12" i="21"/>
  <c r="E12" i="21"/>
  <c r="BK17" i="21"/>
  <c r="BK54" i="21"/>
  <c r="T87" i="11"/>
  <c r="X174" i="19"/>
  <c r="CC204" i="19"/>
  <c r="X56" i="1"/>
  <c r="X40" i="1"/>
  <c r="Q129" i="19"/>
  <c r="W54" i="38"/>
  <c r="CA16" i="11"/>
  <c r="CA34" i="1" s="1"/>
  <c r="CA42" i="11"/>
  <c r="CA46" i="11" s="1"/>
  <c r="BY16" i="11"/>
  <c r="BY34" i="1" s="1"/>
  <c r="BY42" i="11"/>
  <c r="BY46" i="11" s="1"/>
  <c r="R251" i="19"/>
  <c r="E251" i="19"/>
  <c r="E281" i="19" s="1"/>
  <c r="BK281" i="19"/>
  <c r="CR16" i="11"/>
  <c r="CR34" i="1" s="1"/>
  <c r="AC41" i="11"/>
  <c r="AC16" i="11" s="1"/>
  <c r="CR42" i="11"/>
  <c r="O232" i="19"/>
  <c r="CO18" i="29"/>
  <c r="AB18" i="29" s="1"/>
  <c r="AB79" i="29"/>
  <c r="W21" i="11"/>
  <c r="BZ44" i="1"/>
  <c r="BM51" i="21"/>
  <c r="BM56" i="21"/>
  <c r="Z21" i="1"/>
  <c r="BW9" i="21"/>
  <c r="BW20" i="21" s="1"/>
  <c r="BW25" i="21"/>
  <c r="BW44" i="21"/>
  <c r="BU16" i="11"/>
  <c r="BU34" i="1" s="1"/>
  <c r="BU42" i="11"/>
  <c r="BU46" i="11" s="1"/>
  <c r="T60" i="15"/>
  <c r="N260" i="19"/>
  <c r="N236" i="19" s="1"/>
  <c r="D260" i="19"/>
  <c r="CP16" i="11"/>
  <c r="CP34" i="1" s="1"/>
  <c r="CP42" i="11"/>
  <c r="CP46" i="11" s="1"/>
  <c r="CM16" i="11"/>
  <c r="CM34" i="1" s="1"/>
  <c r="CM42" i="11"/>
  <c r="CM46" i="11" s="1"/>
  <c r="CO91" i="1"/>
  <c r="CO102" i="1"/>
  <c r="AB71" i="1"/>
  <c r="G71" i="1"/>
  <c r="EL37" i="24"/>
  <c r="EM38" i="24" s="1"/>
  <c r="EN39" i="24" s="1"/>
  <c r="Z251" i="19"/>
  <c r="BR133" i="19"/>
  <c r="J70" i="29"/>
  <c r="J81" i="29" s="1"/>
  <c r="DY11" i="25"/>
  <c r="BH57" i="21"/>
  <c r="Y49" i="34"/>
  <c r="AF33" i="35"/>
  <c r="H10" i="18"/>
  <c r="CT20" i="15" s="1"/>
  <c r="Q74" i="15"/>
  <c r="BC27" i="21"/>
  <c r="O27" i="21" s="1"/>
  <c r="O32" i="21" s="1"/>
  <c r="BC54" i="21"/>
  <c r="O12" i="21"/>
  <c r="BO17" i="21"/>
  <c r="AH94" i="15"/>
  <c r="I94" i="15"/>
  <c r="DS94" i="15"/>
  <c r="V67" i="11"/>
  <c r="V92" i="11" s="1"/>
  <c r="BW20" i="11"/>
  <c r="BW92" i="11"/>
  <c r="U51" i="21"/>
  <c r="DP31" i="29"/>
  <c r="AU52" i="2"/>
  <c r="AU57" i="2" s="1"/>
  <c r="BC26" i="21"/>
  <c r="O26" i="21" s="1"/>
  <c r="O31" i="21" s="1"/>
  <c r="BC49" i="21"/>
  <c r="AE129" i="37"/>
  <c r="AE137" i="37"/>
  <c r="AE135" i="37"/>
  <c r="AE134" i="37"/>
  <c r="AF149" i="36"/>
  <c r="AF161" i="36" s="1"/>
  <c r="AE136" i="37"/>
  <c r="BF20" i="11"/>
  <c r="BF92" i="11"/>
  <c r="BL51" i="21"/>
  <c r="BL56" i="21"/>
  <c r="W103" i="19"/>
  <c r="BZ133" i="19"/>
  <c r="V88" i="1"/>
  <c r="F88" i="1"/>
  <c r="Q21" i="1"/>
  <c r="BH23" i="1"/>
  <c r="BX19" i="21"/>
  <c r="F67" i="11"/>
  <c r="F92" i="11" s="1"/>
  <c r="F71" i="11"/>
  <c r="BO50" i="21"/>
  <c r="BO55" i="21"/>
  <c r="AG10" i="29"/>
  <c r="DD31" i="29"/>
  <c r="F11" i="21"/>
  <c r="E56" i="1"/>
  <c r="O12" i="25"/>
  <c r="BM12" i="25"/>
  <c r="E40" i="1"/>
  <c r="T50" i="18"/>
  <c r="E36" i="18" s="1"/>
  <c r="BG9" i="21"/>
  <c r="BG20" i="21" s="1"/>
  <c r="BG25" i="21"/>
  <c r="BG24" i="21" s="1"/>
  <c r="BG29" i="21" s="1"/>
  <c r="BG44" i="21"/>
  <c r="U30" i="36"/>
  <c r="U27" i="36"/>
  <c r="BQ20" i="11"/>
  <c r="BQ92" i="11"/>
  <c r="T67" i="11"/>
  <c r="T92" i="11" s="1"/>
  <c r="CL20" i="11"/>
  <c r="CL92" i="11"/>
  <c r="AA67" i="11"/>
  <c r="AA92" i="11" s="1"/>
  <c r="FA38" i="24"/>
  <c r="FB39" i="24" s="1"/>
  <c r="CA27" i="21"/>
  <c r="CA17" i="21"/>
  <c r="CA54" i="21"/>
  <c r="CM17" i="21"/>
  <c r="AF60" i="37"/>
  <c r="CK20" i="11"/>
  <c r="CK92" i="11"/>
  <c r="CN9" i="21"/>
  <c r="CN20" i="21" s="1"/>
  <c r="CN15" i="21"/>
  <c r="CN25" i="21"/>
  <c r="CN24" i="21" s="1"/>
  <c r="CN29" i="21" s="1"/>
  <c r="CN44" i="21"/>
  <c r="CN47" i="21" s="1"/>
  <c r="R74" i="15"/>
  <c r="S148" i="11"/>
  <c r="S22" i="11"/>
  <c r="BN45" i="1"/>
  <c r="AA10" i="24"/>
  <c r="AB44" i="11"/>
  <c r="M24" i="35"/>
  <c r="M39" i="35"/>
  <c r="D104" i="11"/>
  <c r="D108" i="11"/>
  <c r="EG8" i="25"/>
  <c r="EG15" i="25" s="1"/>
  <c r="T104" i="11"/>
  <c r="T108" i="11"/>
  <c r="AT31" i="29"/>
  <c r="Y9" i="28" s="1"/>
  <c r="AW72" i="26" s="1"/>
  <c r="AW79" i="26" s="1"/>
  <c r="CH9" i="11"/>
  <c r="CH82" i="11" s="1"/>
  <c r="CH52" i="1"/>
  <c r="CH15" i="1"/>
  <c r="CH100" i="1"/>
  <c r="CH10" i="11"/>
  <c r="CC27" i="24"/>
  <c r="R19" i="18"/>
  <c r="R23" i="18" s="1"/>
  <c r="C3" i="18"/>
  <c r="C9" i="18"/>
  <c r="CO19" i="15" s="1"/>
  <c r="C15" i="18"/>
  <c r="CO30" i="15" s="1"/>
  <c r="AC92" i="22"/>
  <c r="T11" i="21"/>
  <c r="X16" i="21" s="1"/>
  <c r="BQ16" i="21"/>
  <c r="BQ26" i="21"/>
  <c r="T26" i="21" s="1"/>
  <c r="BQ49" i="21"/>
  <c r="BV109" i="11"/>
  <c r="BV137" i="11"/>
  <c r="U10" i="11"/>
  <c r="O21" i="11"/>
  <c r="BB44" i="1"/>
  <c r="CF55" i="19"/>
  <c r="CF18" i="15"/>
  <c r="BN72" i="11"/>
  <c r="BN77" i="11"/>
  <c r="Y114" i="1"/>
  <c r="AG130" i="36"/>
  <c r="T121" i="36"/>
  <c r="CR59" i="19"/>
  <c r="AC30" i="15"/>
  <c r="CR79" i="15"/>
  <c r="CY38" i="24"/>
  <c r="CZ39" i="24" s="1"/>
  <c r="DA40" i="24" s="1"/>
  <c r="AE49" i="35"/>
  <c r="X70" i="34"/>
  <c r="AJ10" i="35"/>
  <c r="BR23" i="1"/>
  <c r="P22" i="1"/>
  <c r="DA22" i="1"/>
  <c r="DM22" i="1"/>
  <c r="Y44" i="11"/>
  <c r="T11" i="29"/>
  <c r="P249" i="19"/>
  <c r="BE279" i="19"/>
  <c r="AA136" i="11"/>
  <c r="ER22" i="7" s="1"/>
  <c r="AA132" i="11"/>
  <c r="ER8" i="7"/>
  <c r="AE53" i="37"/>
  <c r="AF45" i="37"/>
  <c r="AF57" i="37" s="1"/>
  <c r="BK9" i="11"/>
  <c r="BK82" i="11" s="1"/>
  <c r="BK52" i="1"/>
  <c r="BK100" i="1"/>
  <c r="BK10" i="11"/>
  <c r="EO44" i="24"/>
  <c r="EP45" i="24" s="1"/>
  <c r="EQ46" i="24" s="1"/>
  <c r="Q85" i="19"/>
  <c r="BT16" i="11"/>
  <c r="BT34" i="1" s="1"/>
  <c r="U41" i="11"/>
  <c r="U16" i="11" s="1"/>
  <c r="BT42" i="11"/>
  <c r="E121" i="19"/>
  <c r="CB57" i="21"/>
  <c r="W21" i="1"/>
  <c r="BZ23" i="1"/>
  <c r="AC97" i="22"/>
  <c r="BC23" i="1"/>
  <c r="D144" i="11"/>
  <c r="N144" i="11"/>
  <c r="N145" i="11" s="1"/>
  <c r="AY145" i="11"/>
  <c r="T165" i="19"/>
  <c r="E195" i="19"/>
  <c r="Q32" i="34"/>
  <c r="AG14" i="38"/>
  <c r="BX9" i="11"/>
  <c r="BX82" i="11" s="1"/>
  <c r="BX15" i="1"/>
  <c r="BX90" i="1" s="1"/>
  <c r="BX100" i="1"/>
  <c r="BX52" i="1"/>
  <c r="BX10" i="11"/>
  <c r="CJ15" i="1"/>
  <c r="BA133" i="19"/>
  <c r="P101" i="19"/>
  <c r="BE131" i="19"/>
  <c r="BX133" i="19"/>
  <c r="O103" i="19"/>
  <c r="BB133" i="19"/>
  <c r="BD25" i="21"/>
  <c r="BD24" i="21" s="1"/>
  <c r="BD9" i="21"/>
  <c r="BD20" i="21"/>
  <c r="BD44" i="21"/>
  <c r="BD46" i="21" s="1"/>
  <c r="G11" i="21"/>
  <c r="CI26" i="21"/>
  <c r="Z11" i="21"/>
  <c r="CI16" i="21"/>
  <c r="CI49" i="21"/>
  <c r="AJ29" i="24"/>
  <c r="DN30" i="24"/>
  <c r="T101" i="19"/>
  <c r="BQ131" i="19"/>
  <c r="CH50" i="21"/>
  <c r="E40" i="21"/>
  <c r="Y56" i="1"/>
  <c r="Y40" i="1"/>
  <c r="G172" i="11"/>
  <c r="CK13" i="25"/>
  <c r="AA101" i="19"/>
  <c r="D129" i="19"/>
  <c r="FK11" i="25"/>
  <c r="FM11" i="7"/>
  <c r="BZ25" i="29"/>
  <c r="W25" i="29" s="1"/>
  <c r="W80" i="29"/>
  <c r="Y21" i="11"/>
  <c r="CF44" i="1"/>
  <c r="W54" i="21"/>
  <c r="D203" i="19"/>
  <c r="FY11" i="7"/>
  <c r="FU11" i="25"/>
  <c r="Q230" i="19"/>
  <c r="E15" i="18"/>
  <c r="CQ30" i="15" s="1"/>
  <c r="F120" i="19"/>
  <c r="BY9" i="11"/>
  <c r="BY82" i="11" s="1"/>
  <c r="BY15" i="1"/>
  <c r="BY90" i="1" s="1"/>
  <c r="BY100" i="1"/>
  <c r="BY52" i="1"/>
  <c r="BY10" i="11"/>
  <c r="CK15" i="1"/>
  <c r="DN37" i="24"/>
  <c r="DO38" i="24" s="1"/>
  <c r="DP39" i="24" s="1"/>
  <c r="X44" i="11"/>
  <c r="FA29" i="24"/>
  <c r="AW28" i="24"/>
  <c r="BX47" i="21"/>
  <c r="N188" i="19"/>
  <c r="N164" i="19" s="1"/>
  <c r="D188" i="19"/>
  <c r="W32" i="34"/>
  <c r="CJ20" i="11"/>
  <c r="CJ92" i="11"/>
  <c r="BD45" i="21"/>
  <c r="BD50" i="21"/>
  <c r="BD55" i="21"/>
  <c r="BQ9" i="11"/>
  <c r="BQ82" i="11" s="1"/>
  <c r="BQ15" i="1"/>
  <c r="BQ90" i="1" s="1"/>
  <c r="BQ100" i="1"/>
  <c r="BQ52" i="1"/>
  <c r="BQ10" i="11"/>
  <c r="DI81" i="11"/>
  <c r="DQ81" i="11"/>
  <c r="DJ81" i="11"/>
  <c r="DR81" i="11"/>
  <c r="DK81" i="11"/>
  <c r="J81" i="11"/>
  <c r="DL81" i="11"/>
  <c r="DM81" i="11"/>
  <c r="DN81" i="11"/>
  <c r="DG81" i="11"/>
  <c r="DO81" i="11"/>
  <c r="DH81" i="11"/>
  <c r="DP81" i="11"/>
  <c r="V249" i="19"/>
  <c r="BW279" i="19"/>
  <c r="F249" i="19"/>
  <c r="Z27" i="36"/>
  <c r="Z32" i="36" s="1"/>
  <c r="AA176" i="19"/>
  <c r="V41" i="21"/>
  <c r="U177" i="19"/>
  <c r="BT207" i="19"/>
  <c r="BI133" i="19"/>
  <c r="BO52" i="21"/>
  <c r="BO57" i="21"/>
  <c r="Q277" i="19"/>
  <c r="BN145" i="11"/>
  <c r="S144" i="11"/>
  <c r="S145" i="11" s="1"/>
  <c r="K28" i="24"/>
  <c r="EF29" i="24"/>
  <c r="AP28" i="24"/>
  <c r="Y244" i="19"/>
  <c r="S203" i="19"/>
  <c r="Y174" i="19"/>
  <c r="CF204" i="19"/>
  <c r="J24" i="35"/>
  <c r="J39" i="35"/>
  <c r="BU19" i="21"/>
  <c r="D256" i="19"/>
  <c r="BA77" i="11"/>
  <c r="BA72" i="11"/>
  <c r="T248" i="19"/>
  <c r="BQ278" i="19"/>
  <c r="F91" i="11"/>
  <c r="AB56" i="1"/>
  <c r="P12" i="7"/>
  <c r="BN12" i="7"/>
  <c r="AB40" i="1"/>
  <c r="W174" i="19"/>
  <c r="BZ204" i="19"/>
  <c r="BU57" i="21"/>
  <c r="Y169" i="19"/>
  <c r="Y27" i="21"/>
  <c r="BU21" i="21"/>
  <c r="BI16" i="11"/>
  <c r="BI34" i="1" s="1"/>
  <c r="BI42" i="11"/>
  <c r="BI46" i="11" s="1"/>
  <c r="BB77" i="11"/>
  <c r="BB72" i="11"/>
  <c r="EO39" i="24"/>
  <c r="EP40" i="24" s="1"/>
  <c r="EQ41" i="24" s="1"/>
  <c r="AD87" i="22"/>
  <c r="J88" i="22"/>
  <c r="J89" i="22" s="1"/>
  <c r="BE20" i="11"/>
  <c r="P67" i="11"/>
  <c r="P92" i="11" s="1"/>
  <c r="BE92" i="11"/>
  <c r="BS50" i="21"/>
  <c r="D21" i="40"/>
  <c r="BP57" i="21"/>
  <c r="T239" i="19"/>
  <c r="N120" i="19"/>
  <c r="N96" i="19" s="1"/>
  <c r="G127" i="1"/>
  <c r="G101" i="1" s="1"/>
  <c r="CK18" i="25" s="1"/>
  <c r="H46" i="25"/>
  <c r="H46" i="7"/>
  <c r="S56" i="1"/>
  <c r="S40" i="1"/>
  <c r="CM51" i="21"/>
  <c r="E266" i="19"/>
  <c r="D71" i="11"/>
  <c r="D67" i="11"/>
  <c r="Q176" i="19"/>
  <c r="BH206" i="19"/>
  <c r="F260" i="19"/>
  <c r="V260" i="19"/>
  <c r="V236" i="19" s="1"/>
  <c r="O45" i="35"/>
  <c r="O46" i="35" s="1"/>
  <c r="O51" i="35"/>
  <c r="O55" i="35" s="1"/>
  <c r="O40" i="35"/>
  <c r="BA43" i="23"/>
  <c r="BK10" i="21"/>
  <c r="BW15" i="21" s="1"/>
  <c r="P46" i="1"/>
  <c r="S248" i="19"/>
  <c r="BN278" i="19"/>
  <c r="AQ31" i="29"/>
  <c r="V9" i="28" s="1"/>
  <c r="AT72" i="26" s="1"/>
  <c r="AT79" i="26" s="1"/>
  <c r="V170" i="19"/>
  <c r="Q103" i="19"/>
  <c r="BH133" i="19"/>
  <c r="F174" i="19"/>
  <c r="V174" i="19"/>
  <c r="BW204" i="19"/>
  <c r="Y41" i="38"/>
  <c r="Y22" i="38" s="1"/>
  <c r="Y49" i="38"/>
  <c r="H22" i="8"/>
  <c r="CL14" i="21"/>
  <c r="CL19" i="21"/>
  <c r="CL22" i="21"/>
  <c r="F41" i="21"/>
  <c r="AC44" i="11"/>
  <c r="BF46" i="21"/>
  <c r="BF51" i="21"/>
  <c r="BF56" i="21"/>
  <c r="BB21" i="21"/>
  <c r="F24" i="35"/>
  <c r="F39" i="35"/>
  <c r="L70" i="29"/>
  <c r="L81" i="29" s="1"/>
  <c r="BX21" i="21"/>
  <c r="P117" i="11"/>
  <c r="E267" i="19"/>
  <c r="I40" i="35"/>
  <c r="I45" i="35"/>
  <c r="I46" i="35" s="1"/>
  <c r="I51" i="35"/>
  <c r="I55" i="35" s="1"/>
  <c r="Y11" i="11"/>
  <c r="Y112" i="1"/>
  <c r="Y20" i="1"/>
  <c r="Y14" i="1"/>
  <c r="BR16" i="11"/>
  <c r="BR34" i="1" s="1"/>
  <c r="BR42" i="11"/>
  <c r="BR46" i="11" s="1"/>
  <c r="DW40" i="24"/>
  <c r="DX41" i="24" s="1"/>
  <c r="DY42" i="24" s="1"/>
  <c r="U42" i="21"/>
  <c r="BL15" i="21"/>
  <c r="BL25" i="21"/>
  <c r="BL24" i="21" s="1"/>
  <c r="BL29" i="21" s="1"/>
  <c r="BL9" i="21"/>
  <c r="BL20" i="21"/>
  <c r="BL44" i="21"/>
  <c r="BL45" i="21" s="1"/>
  <c r="U27" i="38"/>
  <c r="U66" i="38" s="1"/>
  <c r="AB74" i="1"/>
  <c r="Q46" i="25"/>
  <c r="Q46" i="7"/>
  <c r="W22" i="11"/>
  <c r="BZ45" i="1"/>
  <c r="BL16" i="11"/>
  <c r="BL34" i="1" s="1"/>
  <c r="BL42" i="11"/>
  <c r="BL46" i="11" s="1"/>
  <c r="BY133" i="19"/>
  <c r="O175" i="19"/>
  <c r="BB205" i="19"/>
  <c r="E118" i="19"/>
  <c r="BR132" i="19"/>
  <c r="CF9" i="11"/>
  <c r="CF82" i="11" s="1"/>
  <c r="CF15" i="1"/>
  <c r="CF100" i="1"/>
  <c r="CF10" i="11"/>
  <c r="CF52" i="1"/>
  <c r="Y74" i="15"/>
  <c r="X9" i="11"/>
  <c r="X82" i="11" s="1"/>
  <c r="X100" i="1"/>
  <c r="X52" i="1"/>
  <c r="AA68" i="15"/>
  <c r="AG138" i="36"/>
  <c r="AG139" i="36" s="1"/>
  <c r="DE41" i="24"/>
  <c r="DF42" i="24" s="1"/>
  <c r="DG43" i="24" s="1"/>
  <c r="W251" i="19"/>
  <c r="BZ281" i="19"/>
  <c r="CR51" i="19"/>
  <c r="AC19" i="15"/>
  <c r="CR78" i="15"/>
  <c r="T164" i="19"/>
  <c r="CZ22" i="1"/>
  <c r="DL22" i="1"/>
  <c r="DX22" i="1" s="1"/>
  <c r="EJ22" i="1" s="1"/>
  <c r="EV22" i="1" s="1"/>
  <c r="CD14" i="21"/>
  <c r="CD19" i="21"/>
  <c r="DT38" i="24"/>
  <c r="DU39" i="24" s="1"/>
  <c r="DV40" i="24" s="1"/>
  <c r="P34" i="37"/>
  <c r="P10" i="35"/>
  <c r="W25" i="36"/>
  <c r="V85" i="37"/>
  <c r="AH106" i="36"/>
  <c r="AA22" i="11"/>
  <c r="CL45" i="1"/>
  <c r="BK77" i="11"/>
  <c r="BK72" i="11"/>
  <c r="S119" i="19"/>
  <c r="S95" i="19" s="1"/>
  <c r="U44" i="11"/>
  <c r="U47" i="11"/>
  <c r="U17" i="21"/>
  <c r="BQ204" i="19"/>
  <c r="T174" i="19"/>
  <c r="X27" i="21"/>
  <c r="X32" i="21" s="1"/>
  <c r="CV90" i="11"/>
  <c r="DD90" i="11"/>
  <c r="CW90" i="11"/>
  <c r="DE90" i="11"/>
  <c r="CX90" i="11"/>
  <c r="DF90" i="11"/>
  <c r="CY90" i="11"/>
  <c r="CZ90" i="11"/>
  <c r="DA90" i="11"/>
  <c r="DB90" i="11"/>
  <c r="DC90" i="11"/>
  <c r="I90" i="11"/>
  <c r="CU90" i="11"/>
  <c r="AC22" i="11"/>
  <c r="CR45" i="1"/>
  <c r="A9" i="30"/>
  <c r="BA132" i="19"/>
  <c r="P100" i="19"/>
  <c r="BE130" i="19"/>
  <c r="BX132" i="19"/>
  <c r="O102" i="19"/>
  <c r="BB132" i="19"/>
  <c r="BJ20" i="11"/>
  <c r="BJ92" i="11"/>
  <c r="Q21" i="11"/>
  <c r="BH44" i="1"/>
  <c r="T100" i="19"/>
  <c r="BQ130" i="19"/>
  <c r="BR31" i="24"/>
  <c r="BS32" i="24" s="1"/>
  <c r="BT33" i="24" s="1"/>
  <c r="AZ20" i="21"/>
  <c r="CA9" i="11"/>
  <c r="CA82" i="11" s="1"/>
  <c r="CA15" i="1"/>
  <c r="CA90" i="1" s="1"/>
  <c r="CA52" i="1"/>
  <c r="CA100" i="1"/>
  <c r="CA10" i="11"/>
  <c r="I21" i="8"/>
  <c r="D101" i="19"/>
  <c r="N101" i="19"/>
  <c r="AY131" i="19"/>
  <c r="Q11" i="29"/>
  <c r="Y104" i="11"/>
  <c r="Y108" i="11"/>
  <c r="E120" i="19"/>
  <c r="P49" i="21"/>
  <c r="AC80" i="22"/>
  <c r="U100" i="19"/>
  <c r="BT130" i="19"/>
  <c r="D174" i="19"/>
  <c r="AY204" i="19"/>
  <c r="N174" i="19"/>
  <c r="D183" i="19"/>
  <c r="E255" i="19"/>
  <c r="E104" i="11"/>
  <c r="E108" i="11"/>
  <c r="EH8" i="25"/>
  <c r="EH15" i="25" s="1"/>
  <c r="EH16" i="25" s="1"/>
  <c r="BZ50" i="21"/>
  <c r="BZ45" i="21"/>
  <c r="BZ55" i="21"/>
  <c r="E9" i="18"/>
  <c r="CQ19" i="15" s="1"/>
  <c r="CQ41" i="15" s="1"/>
  <c r="BB145" i="11"/>
  <c r="O144" i="11"/>
  <c r="O145" i="11" s="1"/>
  <c r="Q59" i="15"/>
  <c r="F18" i="29"/>
  <c r="V18" i="29"/>
  <c r="AE21" i="36"/>
  <c r="CK44" i="25"/>
  <c r="R174" i="19"/>
  <c r="E174" i="19"/>
  <c r="BK204" i="19"/>
  <c r="BH51" i="21"/>
  <c r="R11" i="29"/>
  <c r="BK32" i="29"/>
  <c r="E11" i="29"/>
  <c r="CR20" i="11"/>
  <c r="AC67" i="11"/>
  <c r="AC92" i="11" s="1"/>
  <c r="V248" i="19"/>
  <c r="F248" i="19"/>
  <c r="BW278" i="19"/>
  <c r="DN76" i="11"/>
  <c r="DG76" i="11"/>
  <c r="DO76" i="11"/>
  <c r="DH76" i="11"/>
  <c r="DP76" i="11"/>
  <c r="DI76" i="11"/>
  <c r="DQ76" i="11"/>
  <c r="DJ76" i="11"/>
  <c r="DR76" i="11"/>
  <c r="DK76" i="11"/>
  <c r="J76" i="11"/>
  <c r="DL76" i="11"/>
  <c r="DM76" i="11"/>
  <c r="G10" i="18"/>
  <c r="CS20" i="15" s="1"/>
  <c r="CS36" i="21" s="1"/>
  <c r="G16" i="18"/>
  <c r="CS31" i="15" s="1"/>
  <c r="G4" i="18"/>
  <c r="CS9" i="15" s="1"/>
  <c r="G41" i="11"/>
  <c r="G16" i="11" s="1"/>
  <c r="CI16" i="11"/>
  <c r="CI34" i="1" s="1"/>
  <c r="Z41" i="11"/>
  <c r="Z16" i="11" s="1"/>
  <c r="CI42" i="11"/>
  <c r="H113" i="11"/>
  <c r="EJ25" i="25"/>
  <c r="AA175" i="19"/>
  <c r="BZ21" i="21"/>
  <c r="BI9" i="11"/>
  <c r="BI82" i="11" s="1"/>
  <c r="BI100" i="1"/>
  <c r="BI10" i="11"/>
  <c r="BI52" i="1"/>
  <c r="BU15" i="1"/>
  <c r="BU90" i="1" s="1"/>
  <c r="BM25" i="21"/>
  <c r="BM24" i="21" s="1"/>
  <c r="BM29" i="21" s="1"/>
  <c r="BM9" i="21"/>
  <c r="BM20" i="21"/>
  <c r="BM44" i="21"/>
  <c r="BM46" i="21" s="1"/>
  <c r="CE9" i="21"/>
  <c r="CE25" i="21"/>
  <c r="CE24" i="21" s="1"/>
  <c r="CE44" i="21"/>
  <c r="CE45" i="21" s="1"/>
  <c r="BO16" i="11"/>
  <c r="BO34" i="1" s="1"/>
  <c r="BO42" i="11"/>
  <c r="BO46" i="11" s="1"/>
  <c r="U176" i="19"/>
  <c r="BT206" i="19"/>
  <c r="BI132" i="19"/>
  <c r="W83" i="19"/>
  <c r="Q251" i="19"/>
  <c r="BH281" i="19"/>
  <c r="AA148" i="11"/>
  <c r="BN204" i="19"/>
  <c r="S174" i="19"/>
  <c r="CH133" i="19"/>
  <c r="CF207" i="19"/>
  <c r="Y177" i="19"/>
  <c r="S114" i="1"/>
  <c r="U98" i="1"/>
  <c r="V98" i="1"/>
  <c r="CL11" i="29"/>
  <c r="AA78" i="29"/>
  <c r="AA81" i="29" s="1"/>
  <c r="AA85" i="29" s="1"/>
  <c r="CL81" i="29"/>
  <c r="CL85" i="29" s="1"/>
  <c r="BU24" i="21"/>
  <c r="BU29" i="21" s="1"/>
  <c r="BZ145" i="11"/>
  <c r="R49" i="35"/>
  <c r="S49" i="35" s="1"/>
  <c r="R11" i="35"/>
  <c r="V91" i="11"/>
  <c r="CD45" i="21"/>
  <c r="CD50" i="21"/>
  <c r="CD55" i="21"/>
  <c r="BU52" i="21"/>
  <c r="W41" i="21"/>
  <c r="N245" i="19"/>
  <c r="CI145" i="11"/>
  <c r="Z144" i="11"/>
  <c r="G144" i="11"/>
  <c r="BB9" i="11"/>
  <c r="BB82" i="11" s="1"/>
  <c r="BB52" i="1"/>
  <c r="BB113" i="1"/>
  <c r="BB100" i="1"/>
  <c r="BB10" i="11"/>
  <c r="U22" i="11"/>
  <c r="BT45" i="1"/>
  <c r="AA46" i="37"/>
  <c r="AA25" i="37" s="1"/>
  <c r="AB24" i="36"/>
  <c r="Y144" i="11"/>
  <c r="Y145" i="11" s="1"/>
  <c r="CF145" i="11"/>
  <c r="CD31" i="24"/>
  <c r="CE32" i="24" s="1"/>
  <c r="CF33" i="24" s="1"/>
  <c r="AY51" i="21"/>
  <c r="AY46" i="21"/>
  <c r="AY56" i="21"/>
  <c r="P9" i="11"/>
  <c r="P82" i="11" s="1"/>
  <c r="P113" i="1"/>
  <c r="P100" i="1"/>
  <c r="P52" i="1"/>
  <c r="R103" i="19"/>
  <c r="E103" i="19"/>
  <c r="BK133" i="19"/>
  <c r="U249" i="19"/>
  <c r="BT279" i="19"/>
  <c r="S110" i="1"/>
  <c r="T106" i="1" s="1"/>
  <c r="V99" i="1"/>
  <c r="T136" i="11"/>
  <c r="T132" i="11"/>
  <c r="G21" i="11"/>
  <c r="Z21" i="11"/>
  <c r="CI44" i="1"/>
  <c r="CC20" i="11"/>
  <c r="X67" i="11"/>
  <c r="X92" i="11" s="1"/>
  <c r="CC92" i="11"/>
  <c r="CV30" i="24"/>
  <c r="Y129" i="19"/>
  <c r="Y170" i="19"/>
  <c r="AM28" i="24"/>
  <c r="DW29" i="24"/>
  <c r="S251" i="19"/>
  <c r="BN281" i="19"/>
  <c r="CS20" i="11"/>
  <c r="CS92" i="11"/>
  <c r="E41" i="21"/>
  <c r="Q102" i="19"/>
  <c r="BH132" i="19"/>
  <c r="V177" i="19"/>
  <c r="F177" i="19"/>
  <c r="BW207" i="19"/>
  <c r="X41" i="38"/>
  <c r="X22" i="38" s="1"/>
  <c r="CL24" i="21"/>
  <c r="AA25" i="21"/>
  <c r="BG92" i="11"/>
  <c r="BG20" i="11"/>
  <c r="R249" i="19"/>
  <c r="E249" i="19"/>
  <c r="BK279" i="19"/>
  <c r="U104" i="11"/>
  <c r="U108" i="11"/>
  <c r="AK29" i="24"/>
  <c r="DQ30" i="24"/>
  <c r="D41" i="21"/>
  <c r="AH121" i="36"/>
  <c r="H38" i="34"/>
  <c r="D108" i="19"/>
  <c r="CN72" i="11"/>
  <c r="CN77" i="11"/>
  <c r="Z174" i="19"/>
  <c r="F129" i="19"/>
  <c r="F60" i="15"/>
  <c r="CG9" i="11"/>
  <c r="CG82" i="11" s="1"/>
  <c r="CG15" i="1"/>
  <c r="CG100" i="1"/>
  <c r="CG10" i="11"/>
  <c r="CG52" i="1"/>
  <c r="D41" i="11"/>
  <c r="D16" i="11" s="1"/>
  <c r="AY16" i="11"/>
  <c r="AY34" i="1" s="1"/>
  <c r="N41" i="11"/>
  <c r="N16" i="11" s="1"/>
  <c r="AY42" i="11"/>
  <c r="BJ23" i="1"/>
  <c r="U27" i="35"/>
  <c r="E11" i="24"/>
  <c r="E13" i="24" s="1"/>
  <c r="BK13" i="24"/>
  <c r="BK21" i="24" s="1"/>
  <c r="R11" i="24"/>
  <c r="R10" i="24" s="1"/>
  <c r="U117" i="11"/>
  <c r="BY132" i="19"/>
  <c r="T74" i="15"/>
  <c r="D40" i="21"/>
  <c r="Z249" i="19"/>
  <c r="BR131" i="19"/>
  <c r="Y21" i="1"/>
  <c r="CF23" i="1"/>
  <c r="AL70" i="29"/>
  <c r="AG24" i="38"/>
  <c r="N9" i="9"/>
  <c r="N6" i="9"/>
  <c r="F21" i="8" s="1"/>
  <c r="N7" i="9"/>
  <c r="F22" i="8" s="1"/>
  <c r="N8" i="9"/>
  <c r="F23" i="8" s="1"/>
  <c r="N5" i="9"/>
  <c r="F20" i="8" s="1"/>
  <c r="X101" i="19"/>
  <c r="CC131" i="19"/>
  <c r="CB15" i="21"/>
  <c r="CB25" i="21"/>
  <c r="CB24" i="21" s="1"/>
  <c r="CB9" i="21"/>
  <c r="CB20" i="21"/>
  <c r="CB44" i="21"/>
  <c r="W53" i="38"/>
  <c r="V54" i="38"/>
  <c r="DW7" i="7"/>
  <c r="AE24" i="37"/>
  <c r="AD33" i="37"/>
  <c r="AD34" i="37" s="1"/>
  <c r="S100" i="19"/>
  <c r="BN130" i="19"/>
  <c r="T231" i="19"/>
  <c r="AF30" i="37"/>
  <c r="AE73" i="37"/>
  <c r="AF65" i="37"/>
  <c r="BG9" i="11"/>
  <c r="BG82" i="11" s="1"/>
  <c r="BG100" i="1"/>
  <c r="BG52" i="1"/>
  <c r="BG10" i="11"/>
  <c r="CY37" i="24"/>
  <c r="CZ38" i="24" s="1"/>
  <c r="DA39" i="24" s="1"/>
  <c r="CG30" i="24"/>
  <c r="CH31" i="24" s="1"/>
  <c r="CI32" i="24" s="1"/>
  <c r="CN52" i="21"/>
  <c r="CN57" i="21"/>
  <c r="S40" i="21"/>
  <c r="N251" i="19"/>
  <c r="D251" i="19"/>
  <c r="AY281" i="19"/>
  <c r="AK94" i="15"/>
  <c r="EB94" i="15"/>
  <c r="U114" i="1"/>
  <c r="X98" i="1"/>
  <c r="AB41" i="11"/>
  <c r="AB16" i="11" s="1"/>
  <c r="CO16" i="11"/>
  <c r="CO34" i="1" s="1"/>
  <c r="CO42" i="11"/>
  <c r="U41" i="21"/>
  <c r="Q158" i="19"/>
  <c r="CK19" i="21"/>
  <c r="CK22" i="21"/>
  <c r="CK21" i="21"/>
  <c r="S27" i="21"/>
  <c r="S32" i="21" s="1"/>
  <c r="BB45" i="21"/>
  <c r="T232" i="19"/>
  <c r="Q82" i="19"/>
  <c r="W50" i="34"/>
  <c r="V17" i="21"/>
  <c r="U16" i="21"/>
  <c r="X49" i="21"/>
  <c r="S88" i="1"/>
  <c r="AF31" i="29"/>
  <c r="K9" i="28" s="1"/>
  <c r="AI72" i="26" s="1"/>
  <c r="AI79" i="26" s="1"/>
  <c r="W250" i="19"/>
  <c r="BZ280" i="19"/>
  <c r="CR43" i="19"/>
  <c r="AC8" i="15"/>
  <c r="CR41" i="15"/>
  <c r="CR77" i="15"/>
  <c r="DW37" i="24"/>
  <c r="DX38" i="24" s="1"/>
  <c r="DY39" i="24" s="1"/>
  <c r="BN55" i="21"/>
  <c r="S55" i="21" s="1"/>
  <c r="E194" i="19"/>
  <c r="K56" i="22"/>
  <c r="N114" i="1"/>
  <c r="AG27" i="36"/>
  <c r="CF16" i="11"/>
  <c r="CF34" i="1" s="1"/>
  <c r="Y41" i="11"/>
  <c r="Y16" i="11" s="1"/>
  <c r="CF42" i="11"/>
  <c r="BI50" i="21"/>
  <c r="CD24" i="21"/>
  <c r="CD29" i="21" s="1"/>
  <c r="X25" i="36"/>
  <c r="W85" i="37"/>
  <c r="T52" i="18"/>
  <c r="P251" i="19"/>
  <c r="BE281" i="19"/>
  <c r="E113" i="19"/>
  <c r="BF52" i="21"/>
  <c r="BF47" i="21"/>
  <c r="BF57" i="21"/>
  <c r="E21" i="1"/>
  <c r="BK23" i="1"/>
  <c r="R21" i="1"/>
  <c r="BU23" i="1"/>
  <c r="BO23" i="1"/>
  <c r="BM23" i="1"/>
  <c r="BT23" i="1"/>
  <c r="T11" i="24"/>
  <c r="T10" i="24" s="1"/>
  <c r="BQ13" i="24"/>
  <c r="BQ21" i="24" s="1"/>
  <c r="BQ22" i="24" s="1"/>
  <c r="BS16" i="11"/>
  <c r="BS34" i="1" s="1"/>
  <c r="BS42" i="11"/>
  <c r="BS46" i="11" s="1"/>
  <c r="DH29" i="24"/>
  <c r="I28" i="24"/>
  <c r="AH28" i="24"/>
  <c r="T177" i="19"/>
  <c r="BQ207" i="19"/>
  <c r="Z97" i="1"/>
  <c r="AH10" i="7" s="1"/>
  <c r="CC17" i="21"/>
  <c r="Z51" i="34"/>
  <c r="T19" i="36"/>
  <c r="T16" i="36"/>
  <c r="AG13" i="36"/>
  <c r="AC136" i="11"/>
  <c r="ET22" i="7" s="1"/>
  <c r="AC132" i="11"/>
  <c r="ET8" i="7"/>
  <c r="DH43" i="24"/>
  <c r="DI44" i="24" s="1"/>
  <c r="DJ45" i="24" s="1"/>
  <c r="BA131" i="19"/>
  <c r="BX131" i="19"/>
  <c r="O101" i="19"/>
  <c r="BB131" i="19"/>
  <c r="S92" i="37"/>
  <c r="S94" i="37"/>
  <c r="T84" i="37"/>
  <c r="Q104" i="11"/>
  <c r="Q108" i="11"/>
  <c r="T129" i="19"/>
  <c r="BQ25" i="29"/>
  <c r="T25" i="29" s="1"/>
  <c r="T80" i="29"/>
  <c r="T81" i="29" s="1"/>
  <c r="T85" i="29" s="1"/>
  <c r="O56" i="1"/>
  <c r="O40" i="1"/>
  <c r="E114" i="19"/>
  <c r="CA77" i="11"/>
  <c r="CA72" i="11"/>
  <c r="AI115" i="36"/>
  <c r="Y120" i="36"/>
  <c r="Z115" i="36" s="1"/>
  <c r="Z120" i="36" s="1"/>
  <c r="AA115" i="36" s="1"/>
  <c r="AA120" i="36" s="1"/>
  <c r="AB115" i="36" s="1"/>
  <c r="AB120" i="36" s="1"/>
  <c r="AI120" i="36" s="1"/>
  <c r="S21" i="11"/>
  <c r="BN44" i="1"/>
  <c r="CI44" i="25"/>
  <c r="N244" i="19"/>
  <c r="D100" i="19"/>
  <c r="N100" i="19"/>
  <c r="AY130" i="19"/>
  <c r="BW25" i="29"/>
  <c r="V80" i="29"/>
  <c r="BS20" i="11"/>
  <c r="BS92" i="11"/>
  <c r="U102" i="19"/>
  <c r="BT132" i="19"/>
  <c r="T163" i="19"/>
  <c r="D177" i="19"/>
  <c r="N177" i="19"/>
  <c r="AY207" i="19"/>
  <c r="E21" i="11"/>
  <c r="R21" i="11"/>
  <c r="BK44" i="1"/>
  <c r="AY52" i="21"/>
  <c r="AY47" i="21"/>
  <c r="AY57" i="21"/>
  <c r="BN25" i="29"/>
  <c r="S25" i="29" s="1"/>
  <c r="S80" i="29"/>
  <c r="V189" i="19"/>
  <c r="V165" i="19" s="1"/>
  <c r="F189" i="19"/>
  <c r="X81" i="29"/>
  <c r="X85" i="29" s="1"/>
  <c r="S41" i="21"/>
  <c r="AZ72" i="11"/>
  <c r="AZ77" i="11"/>
  <c r="BL109" i="11"/>
  <c r="BL137" i="11"/>
  <c r="D187" i="19"/>
  <c r="N187" i="19"/>
  <c r="N163" i="19" s="1"/>
  <c r="H106" i="29"/>
  <c r="H108" i="29"/>
  <c r="H141" i="11"/>
  <c r="ET27" i="25"/>
  <c r="BP72" i="11"/>
  <c r="BP77" i="11"/>
  <c r="T88" i="1"/>
  <c r="S50" i="18"/>
  <c r="D36" i="18" s="1"/>
  <c r="DW38" i="24"/>
  <c r="DX39" i="24" s="1"/>
  <c r="DY40" i="24" s="1"/>
  <c r="BF106" i="1"/>
  <c r="BE113" i="1"/>
  <c r="BT15" i="21"/>
  <c r="BT25" i="21"/>
  <c r="U10" i="21"/>
  <c r="BT9" i="21"/>
  <c r="BT20" i="21" s="1"/>
  <c r="BT44" i="21"/>
  <c r="T44" i="11"/>
  <c r="P44" i="21"/>
  <c r="G44" i="11"/>
  <c r="DE29" i="24"/>
  <c r="AG28" i="24"/>
  <c r="AA203" i="19"/>
  <c r="U175" i="19"/>
  <c r="BT205" i="19"/>
  <c r="BI131" i="19"/>
  <c r="Q250" i="19"/>
  <c r="BH280" i="19"/>
  <c r="F106" i="19"/>
  <c r="CH131" i="19"/>
  <c r="S22" i="1"/>
  <c r="Z11" i="24"/>
  <c r="Z10" i="24" s="1"/>
  <c r="CI13" i="24"/>
  <c r="CI63" i="24"/>
  <c r="CT144" i="11"/>
  <c r="CT145" i="11" s="1"/>
  <c r="CT127" i="1"/>
  <c r="CT101" i="1" s="1"/>
  <c r="BJ16" i="11"/>
  <c r="BJ34" i="1" s="1"/>
  <c r="BJ42" i="11"/>
  <c r="BJ46" i="11" s="1"/>
  <c r="BA9" i="11"/>
  <c r="BA82" i="11" s="1"/>
  <c r="BA113" i="1"/>
  <c r="BA100" i="1"/>
  <c r="BA10" i="11"/>
  <c r="BM15" i="1"/>
  <c r="BM90" i="1" s="1"/>
  <c r="BA52" i="1"/>
  <c r="F61" i="15"/>
  <c r="AD91" i="11"/>
  <c r="DG91" i="11"/>
  <c r="H91" i="11"/>
  <c r="BU47" i="21"/>
  <c r="AC104" i="11"/>
  <c r="AC108" i="11"/>
  <c r="EJ16" i="7"/>
  <c r="EJ8" i="7"/>
  <c r="EJ15" i="7" s="1"/>
  <c r="BA20" i="11"/>
  <c r="BA92" i="11"/>
  <c r="BU16" i="21"/>
  <c r="AA114" i="1"/>
  <c r="AI7" i="7"/>
  <c r="AI8" i="7" s="1"/>
  <c r="J54" i="22"/>
  <c r="W53" i="22"/>
  <c r="P53" i="22"/>
  <c r="R53" i="22"/>
  <c r="Q53" i="22"/>
  <c r="S53" i="22"/>
  <c r="U53" i="22"/>
  <c r="T53" i="22"/>
  <c r="M53" i="22"/>
  <c r="Y53" i="22"/>
  <c r="V53" i="22"/>
  <c r="N53" i="22"/>
  <c r="O53" i="22"/>
  <c r="X53" i="22"/>
  <c r="AB104" i="11"/>
  <c r="AB108" i="11"/>
  <c r="EI16" i="7"/>
  <c r="EI8" i="7"/>
  <c r="EI15" i="7" s="1"/>
  <c r="CO67" i="24"/>
  <c r="O88" i="1"/>
  <c r="U136" i="11"/>
  <c r="U132" i="11"/>
  <c r="X68" i="15"/>
  <c r="BB51" i="21"/>
  <c r="BB46" i="21"/>
  <c r="BB56" i="21"/>
  <c r="BT55" i="21"/>
  <c r="U55" i="21" s="1"/>
  <c r="V27" i="35"/>
  <c r="D106" i="19"/>
  <c r="F119" i="19"/>
  <c r="R100" i="19"/>
  <c r="E100" i="19"/>
  <c r="BK130" i="19"/>
  <c r="BX22" i="21"/>
  <c r="D255" i="19"/>
  <c r="U250" i="19"/>
  <c r="BT280" i="19"/>
  <c r="CJ15" i="21"/>
  <c r="CJ25" i="21"/>
  <c r="CJ24" i="21" s="1"/>
  <c r="CJ9" i="21"/>
  <c r="CJ20" i="21"/>
  <c r="CJ44" i="21"/>
  <c r="CJ46" i="21" s="1"/>
  <c r="BC50" i="21"/>
  <c r="BC55" i="21"/>
  <c r="R24" i="35"/>
  <c r="R39" i="35"/>
  <c r="T22" i="11"/>
  <c r="BQ45" i="1"/>
  <c r="Z108" i="11"/>
  <c r="Z104" i="11"/>
  <c r="EG8" i="7"/>
  <c r="EG15" i="7" s="1"/>
  <c r="EG16" i="7"/>
  <c r="EC41" i="24"/>
  <c r="ED42" i="24" s="1"/>
  <c r="EE43" i="24" s="1"/>
  <c r="Y103" i="19"/>
  <c r="CF133" i="19"/>
  <c r="DB22" i="1"/>
  <c r="DN22" i="1"/>
  <c r="DZ22" i="1" s="1"/>
  <c r="EL22" i="1" s="1"/>
  <c r="EX22" i="1" s="1"/>
  <c r="V46" i="37"/>
  <c r="AG46" i="37" s="1"/>
  <c r="W24" i="36"/>
  <c r="AH24" i="36" s="1"/>
  <c r="BK26" i="21"/>
  <c r="R11" i="21"/>
  <c r="E11" i="21"/>
  <c r="BK16" i="21"/>
  <c r="BK49" i="21"/>
  <c r="Y49" i="21"/>
  <c r="D87" i="11"/>
  <c r="CJ50" i="21"/>
  <c r="CJ55" i="21"/>
  <c r="S250" i="19"/>
  <c r="BN280" i="19"/>
  <c r="O62" i="15"/>
  <c r="O61" i="15"/>
  <c r="O60" i="15"/>
  <c r="W74" i="15"/>
  <c r="Q101" i="19"/>
  <c r="BH131" i="19"/>
  <c r="V203" i="19"/>
  <c r="BP24" i="21"/>
  <c r="BP29" i="21" s="1"/>
  <c r="AI154" i="36"/>
  <c r="Y159" i="36"/>
  <c r="Z154" i="36" s="1"/>
  <c r="Z159" i="36" s="1"/>
  <c r="AA154" i="36" s="1"/>
  <c r="AA159" i="36" s="1"/>
  <c r="AB154" i="36" s="1"/>
  <c r="AB159" i="36" s="1"/>
  <c r="AI159" i="36" s="1"/>
  <c r="AB87" i="11"/>
  <c r="R248" i="19"/>
  <c r="E248" i="19"/>
  <c r="E278" i="19" s="1"/>
  <c r="BK278" i="19"/>
  <c r="BQ52" i="21"/>
  <c r="T52" i="21" s="1"/>
  <c r="BQ57" i="21"/>
  <c r="O74" i="15"/>
  <c r="U21" i="11"/>
  <c r="BT44" i="1"/>
  <c r="BD20" i="11"/>
  <c r="BD92" i="11"/>
  <c r="U40" i="21"/>
  <c r="O251" i="19"/>
  <c r="BB281" i="19"/>
  <c r="S97" i="1"/>
  <c r="V55" i="34"/>
  <c r="W56" i="1"/>
  <c r="W40" i="1"/>
  <c r="N12" i="7"/>
  <c r="BL12" i="7"/>
  <c r="Z56" i="1"/>
  <c r="Z40" i="1"/>
  <c r="F109" i="19"/>
  <c r="BM52" i="21"/>
  <c r="BM57" i="21"/>
  <c r="Z88" i="1"/>
  <c r="AT70" i="29"/>
  <c r="AB136" i="11"/>
  <c r="ES22" i="7" s="1"/>
  <c r="AB132" i="11"/>
  <c r="ES8" i="7"/>
  <c r="BJ24" i="21"/>
  <c r="BJ29" i="21" s="1"/>
  <c r="DN39" i="24"/>
  <c r="DO40" i="24" s="1"/>
  <c r="DP41" i="24" s="1"/>
  <c r="N169" i="19"/>
  <c r="Z177" i="19"/>
  <c r="F103" i="19"/>
  <c r="V103" i="19"/>
  <c r="BW133" i="19"/>
  <c r="N115" i="19"/>
  <c r="N91" i="19" s="1"/>
  <c r="N44" i="11"/>
  <c r="CW89" i="11"/>
  <c r="DE89" i="11"/>
  <c r="CX89" i="11"/>
  <c r="DF89" i="11"/>
  <c r="CY89" i="11"/>
  <c r="CZ89" i="11"/>
  <c r="DA89" i="11"/>
  <c r="DB89" i="11"/>
  <c r="I89" i="11"/>
  <c r="CU89" i="11"/>
  <c r="DC89" i="11"/>
  <c r="CV89" i="11"/>
  <c r="DD89" i="11"/>
  <c r="W54" i="34"/>
  <c r="W55" i="34"/>
  <c r="W56" i="34" s="1"/>
  <c r="AG85" i="37"/>
  <c r="BO9" i="21"/>
  <c r="BO20" i="21"/>
  <c r="BO15" i="21"/>
  <c r="BO25" i="21"/>
  <c r="BO24" i="21" s="1"/>
  <c r="BO29" i="21" s="1"/>
  <c r="BO44" i="21"/>
  <c r="BO46" i="21" s="1"/>
  <c r="S46" i="21" s="1"/>
  <c r="W132" i="11"/>
  <c r="W136" i="11"/>
  <c r="EI37" i="24"/>
  <c r="BY131" i="19"/>
  <c r="CE9" i="11"/>
  <c r="CE82" i="11" s="1"/>
  <c r="CE15" i="1"/>
  <c r="CE90" i="1" s="1"/>
  <c r="CE100" i="1"/>
  <c r="CE10" i="11"/>
  <c r="CE52" i="1"/>
  <c r="CH20" i="11"/>
  <c r="CH92" i="11"/>
  <c r="AZ19" i="11"/>
  <c r="AZ43" i="1"/>
  <c r="CC56" i="21"/>
  <c r="BR130" i="19"/>
  <c r="AA97" i="1"/>
  <c r="AI10" i="7" s="1"/>
  <c r="T114" i="1"/>
  <c r="W98" i="1"/>
  <c r="J24" i="29"/>
  <c r="AL24" i="29"/>
  <c r="E142" i="11"/>
  <c r="ER28" i="25" s="1"/>
  <c r="AA98" i="1"/>
  <c r="AI11" i="7" s="1"/>
  <c r="BW16" i="11"/>
  <c r="BW34" i="1" s="1"/>
  <c r="V41" i="11"/>
  <c r="V16" i="11" s="1"/>
  <c r="F41" i="11"/>
  <c r="F16" i="11" s="1"/>
  <c r="BW42" i="11"/>
  <c r="AY25" i="29"/>
  <c r="N80" i="29"/>
  <c r="U52" i="21"/>
  <c r="BO16" i="21"/>
  <c r="CI18" i="29"/>
  <c r="Z79" i="29"/>
  <c r="F44" i="11"/>
  <c r="X100" i="19"/>
  <c r="CC130" i="19"/>
  <c r="X132" i="11"/>
  <c r="X136" i="11"/>
  <c r="CI11" i="29"/>
  <c r="Z78" i="29"/>
  <c r="CI81" i="29"/>
  <c r="CI85" i="29" s="1"/>
  <c r="DO22" i="1"/>
  <c r="EA22" i="1" s="1"/>
  <c r="EM22" i="1" s="1"/>
  <c r="EY22" i="1" s="1"/>
  <c r="DC22" i="1"/>
  <c r="AF77" i="37"/>
  <c r="V27" i="36"/>
  <c r="V30" i="36"/>
  <c r="CF9" i="21"/>
  <c r="CF20" i="21"/>
  <c r="CF15" i="21"/>
  <c r="CF25" i="21"/>
  <c r="CF44" i="21"/>
  <c r="BP16" i="11"/>
  <c r="BP34" i="1" s="1"/>
  <c r="BP42" i="11"/>
  <c r="BP46" i="11" s="1"/>
  <c r="BZ47" i="21"/>
  <c r="BZ52" i="21"/>
  <c r="BZ57" i="21"/>
  <c r="N277" i="19"/>
  <c r="GW11" i="7"/>
  <c r="GO11" i="25"/>
  <c r="AA88" i="1"/>
  <c r="Q50" i="21"/>
  <c r="N56" i="1"/>
  <c r="N40" i="1"/>
  <c r="CH15" i="7"/>
  <c r="CH38" i="7"/>
  <c r="P81" i="29"/>
  <c r="P85" i="29" s="1"/>
  <c r="BB24" i="21"/>
  <c r="Q157" i="19"/>
  <c r="V42" i="21"/>
  <c r="CK29" i="21"/>
  <c r="CD20" i="11"/>
  <c r="CD92" i="11"/>
  <c r="V144" i="11"/>
  <c r="V145" i="11" s="1"/>
  <c r="F144" i="11"/>
  <c r="BW145" i="11"/>
  <c r="S17" i="21"/>
  <c r="O50" i="21"/>
  <c r="AO10" i="29"/>
  <c r="EB31" i="29"/>
  <c r="V40" i="21"/>
  <c r="CA31" i="24"/>
  <c r="CB32" i="24" s="1"/>
  <c r="CC33" i="24" s="1"/>
  <c r="CH23" i="1"/>
  <c r="AL38" i="24"/>
  <c r="DT39" i="24"/>
  <c r="DU40" i="24" s="1"/>
  <c r="DV41" i="24" s="1"/>
  <c r="D92" i="11"/>
  <c r="T10" i="22"/>
  <c r="M10" i="22"/>
  <c r="U10" i="22"/>
  <c r="N10" i="22"/>
  <c r="V10" i="22"/>
  <c r="P10" i="22"/>
  <c r="X10" i="22"/>
  <c r="Q10" i="22"/>
  <c r="S10" i="22"/>
  <c r="K11" i="22"/>
  <c r="O10" i="22"/>
  <c r="R10" i="22"/>
  <c r="W10" i="22"/>
  <c r="Y10" i="22"/>
  <c r="U31" i="21"/>
  <c r="AH17" i="38"/>
  <c r="R35" i="34"/>
  <c r="W249" i="19"/>
  <c r="BZ279" i="19"/>
  <c r="S50" i="21"/>
  <c r="BW20" i="25"/>
  <c r="T56" i="1"/>
  <c r="T40" i="1"/>
  <c r="CK100" i="1"/>
  <c r="CK101" i="1"/>
  <c r="W97" i="1"/>
  <c r="N88" i="1"/>
  <c r="D88" i="1"/>
  <c r="D89" i="1" s="1"/>
  <c r="CY22" i="1"/>
  <c r="DK22" i="1"/>
  <c r="DW22" i="1" s="1"/>
  <c r="EI22" i="1" s="1"/>
  <c r="EU22" i="1" s="1"/>
  <c r="T32" i="36"/>
  <c r="BY17" i="21"/>
  <c r="BY27" i="21"/>
  <c r="V27" i="21" s="1"/>
  <c r="V32" i="21" s="1"/>
  <c r="BY54" i="21"/>
  <c r="BY55" i="21" s="1"/>
  <c r="CK17" i="21"/>
  <c r="BT32" i="29"/>
  <c r="U11" i="29"/>
  <c r="CD91" i="1"/>
  <c r="CD102" i="1"/>
  <c r="CH90" i="1"/>
  <c r="CF90" i="1"/>
  <c r="CI90" i="1"/>
  <c r="CG90" i="1"/>
  <c r="CK90" i="1"/>
  <c r="CJ90" i="1"/>
  <c r="X71" i="1"/>
  <c r="F71" i="1"/>
  <c r="CM90" i="1"/>
  <c r="F181" i="19"/>
  <c r="P250" i="19"/>
  <c r="BE280" i="19"/>
  <c r="L15" i="35"/>
  <c r="L34" i="35" s="1"/>
  <c r="AE14" i="35"/>
  <c r="AE15" i="35" s="1"/>
  <c r="BB11" i="29"/>
  <c r="BB81" i="29"/>
  <c r="BB85" i="29" s="1"/>
  <c r="O78" i="29"/>
  <c r="O81" i="29" s="1"/>
  <c r="O85" i="29" s="1"/>
  <c r="D6" i="8"/>
  <c r="E11" i="11"/>
  <c r="Y6" i="25"/>
  <c r="E112" i="1"/>
  <c r="BX8" i="25"/>
  <c r="E20" i="1"/>
  <c r="E14" i="1"/>
  <c r="S44" i="21"/>
  <c r="CC278" i="19"/>
  <c r="X248" i="19"/>
  <c r="I24" i="29"/>
  <c r="AH24" i="29"/>
  <c r="F104" i="11"/>
  <c r="F108" i="11"/>
  <c r="EI8" i="25"/>
  <c r="EI15" i="25" s="1"/>
  <c r="EI16" i="25" s="1"/>
  <c r="DQ39" i="24"/>
  <c r="DR40" i="24" s="1"/>
  <c r="DS41" i="24" s="1"/>
  <c r="V168" i="19"/>
  <c r="DV94" i="15"/>
  <c r="AI94" i="15"/>
  <c r="T175" i="19"/>
  <c r="BQ205" i="19"/>
  <c r="AH89" i="36"/>
  <c r="H27" i="34"/>
  <c r="X17" i="21"/>
  <c r="AB17" i="21"/>
  <c r="BH20" i="11"/>
  <c r="BH92" i="11"/>
  <c r="Q67" i="11"/>
  <c r="Q92" i="11" s="1"/>
  <c r="BC9" i="11"/>
  <c r="BC82" i="11" s="1"/>
  <c r="BC52" i="1"/>
  <c r="BC113" i="1"/>
  <c r="BC100" i="1"/>
  <c r="BC10" i="11"/>
  <c r="E254" i="19"/>
  <c r="BX23" i="1"/>
  <c r="CB23" i="1"/>
  <c r="CC23" i="1"/>
  <c r="X23" i="1" s="1"/>
  <c r="F21" i="1"/>
  <c r="CE23" i="1"/>
  <c r="CD23" i="1"/>
  <c r="BW23" i="1"/>
  <c r="V21" i="1"/>
  <c r="BA130" i="19"/>
  <c r="P103" i="19"/>
  <c r="BE133" i="19"/>
  <c r="BX130" i="19"/>
  <c r="O129" i="19"/>
  <c r="AY20" i="29"/>
  <c r="AZ16" i="29" s="1"/>
  <c r="AZ20" i="29" s="1"/>
  <c r="BA16" i="29" s="1"/>
  <c r="BA20" i="29" s="1"/>
  <c r="BB16" i="29" s="1"/>
  <c r="D18" i="29"/>
  <c r="D20" i="29" s="1"/>
  <c r="E16" i="29" s="1"/>
  <c r="N18" i="29"/>
  <c r="N20" i="29" s="1"/>
  <c r="N113" i="19"/>
  <c r="N89" i="19" s="1"/>
  <c r="AQ43" i="23"/>
  <c r="BA10" i="21"/>
  <c r="F56" i="1"/>
  <c r="P12" i="25"/>
  <c r="BN12" i="25"/>
  <c r="F40" i="1"/>
  <c r="AC23" i="11"/>
  <c r="CR46" i="1"/>
  <c r="G23" i="11"/>
  <c r="S104" i="11"/>
  <c r="S108" i="11"/>
  <c r="AW10" i="29"/>
  <c r="EZ31" i="29"/>
  <c r="F255" i="19"/>
  <c r="AS31" i="29"/>
  <c r="X9" i="28" s="1"/>
  <c r="AV72" i="26" s="1"/>
  <c r="AV79" i="26" s="1"/>
  <c r="AC81" i="29"/>
  <c r="AC85" i="29" s="1"/>
  <c r="CA55" i="21"/>
  <c r="AC75" i="22"/>
  <c r="AA21" i="11"/>
  <c r="CL44" i="1"/>
  <c r="AU28" i="24"/>
  <c r="EU29" i="24"/>
  <c r="L29" i="24" s="1"/>
  <c r="U101" i="19"/>
  <c r="BT131" i="19"/>
  <c r="W27" i="21"/>
  <c r="BW11" i="29"/>
  <c r="BW81" i="29"/>
  <c r="BW85" i="29" s="1"/>
  <c r="V78" i="29"/>
  <c r="V81" i="29" s="1"/>
  <c r="V85" i="29" s="1"/>
  <c r="R104" i="11"/>
  <c r="R108" i="11"/>
  <c r="CG20" i="11"/>
  <c r="CG92" i="11"/>
  <c r="O158" i="19"/>
  <c r="Y132" i="11"/>
  <c r="Y136" i="11"/>
  <c r="X11" i="29"/>
  <c r="CC32" i="29"/>
  <c r="CN16" i="11"/>
  <c r="CN34" i="1" s="1"/>
  <c r="CN42" i="11"/>
  <c r="CN46" i="11" s="1"/>
  <c r="CJ50" i="19"/>
  <c r="CJ26" i="15"/>
  <c r="CJ23" i="15"/>
  <c r="CJ91" i="15"/>
  <c r="CJ25" i="15"/>
  <c r="AD70" i="22"/>
  <c r="J71" i="22"/>
  <c r="J72" i="22" s="1"/>
  <c r="N186" i="19"/>
  <c r="N162" i="19" s="1"/>
  <c r="D186" i="19"/>
  <c r="BZ19" i="21"/>
  <c r="BZ14" i="21"/>
  <c r="R177" i="19"/>
  <c r="E177" i="19"/>
  <c r="BK207" i="19"/>
  <c r="V68" i="15"/>
  <c r="BI43" i="23"/>
  <c r="BS10" i="21"/>
  <c r="P10" i="21"/>
  <c r="AA174" i="19"/>
  <c r="CX18" i="29"/>
  <c r="AE18" i="29" s="1"/>
  <c r="AE79" i="29"/>
  <c r="H10" i="29"/>
  <c r="U174" i="19"/>
  <c r="BT204" i="19"/>
  <c r="BI130" i="19"/>
  <c r="E127" i="1"/>
  <c r="E101" i="1" s="1"/>
  <c r="CI18" i="25" s="1"/>
  <c r="Q249" i="19"/>
  <c r="BH279" i="19"/>
  <c r="S52" i="18"/>
  <c r="CO20" i="11"/>
  <c r="CO92" i="11"/>
  <c r="AB67" i="11"/>
  <c r="AB92" i="11" s="1"/>
  <c r="CH130" i="19"/>
  <c r="Y175" i="19"/>
  <c r="CF205" i="19"/>
  <c r="BG51" i="21"/>
  <c r="Q95" i="19"/>
  <c r="AG37" i="36"/>
  <c r="CB20" i="11"/>
  <c r="CB92" i="11"/>
  <c r="V117" i="11"/>
  <c r="CO11" i="29"/>
  <c r="AB78" i="29"/>
  <c r="AB81" i="29" s="1"/>
  <c r="AB85" i="29" s="1"/>
  <c r="CO81" i="29"/>
  <c r="CO85" i="29" s="1"/>
  <c r="T41" i="21"/>
  <c r="AC21" i="11"/>
  <c r="CR44" i="1"/>
  <c r="Y12" i="21"/>
  <c r="Y277" i="19"/>
  <c r="AB21" i="11"/>
  <c r="CO44" i="1"/>
  <c r="V169" i="19"/>
  <c r="Z101" i="19"/>
  <c r="E164" i="11"/>
  <c r="BN81" i="29"/>
  <c r="BN85" i="29" s="1"/>
  <c r="I149" i="11"/>
  <c r="CU149" i="11"/>
  <c r="DC149" i="11"/>
  <c r="CV149" i="11"/>
  <c r="DD149" i="11"/>
  <c r="CW149" i="11"/>
  <c r="DE149" i="11"/>
  <c r="CX149" i="11"/>
  <c r="DF149" i="11"/>
  <c r="DA149" i="11"/>
  <c r="CZ149" i="11"/>
  <c r="DB149" i="11"/>
  <c r="CY149" i="11"/>
  <c r="CP69" i="24"/>
  <c r="CQ70" i="24" s="1"/>
  <c r="CR71" i="24" s="1"/>
  <c r="E256" i="19"/>
  <c r="CE16" i="21"/>
  <c r="BN20" i="11"/>
  <c r="BN92" i="11"/>
  <c r="S67" i="11"/>
  <c r="S92" i="11" s="1"/>
  <c r="BT50" i="21"/>
  <c r="U50" i="21" s="1"/>
  <c r="D52" i="18"/>
  <c r="H52" i="18"/>
  <c r="G52" i="18"/>
  <c r="F52" i="18"/>
  <c r="C52" i="18"/>
  <c r="E52" i="18"/>
  <c r="X49" i="34"/>
  <c r="AE33" i="35"/>
  <c r="AE28" i="35"/>
  <c r="V22" i="11"/>
  <c r="F22" i="11"/>
  <c r="BW45" i="1"/>
  <c r="BN25" i="24"/>
  <c r="S22" i="24"/>
  <c r="F108" i="19"/>
  <c r="E129" i="19"/>
  <c r="FN11" i="7"/>
  <c r="FL11" i="25"/>
  <c r="Z91" i="11"/>
  <c r="G91" i="11"/>
  <c r="U248" i="19"/>
  <c r="BT278" i="19"/>
  <c r="G108" i="11"/>
  <c r="G104" i="11"/>
  <c r="EJ8" i="25"/>
  <c r="EJ15" i="25" s="1"/>
  <c r="Y102" i="19"/>
  <c r="CF132" i="19"/>
  <c r="Q174" i="19"/>
  <c r="BH204" i="19"/>
  <c r="V263" i="19"/>
  <c r="V239" i="19" s="1"/>
  <c r="F263" i="19"/>
  <c r="E163" i="11"/>
  <c r="E172" i="11" s="1"/>
  <c r="Y26" i="21"/>
  <c r="Y31" i="21" s="1"/>
  <c r="BZ56" i="21"/>
  <c r="BX31" i="24"/>
  <c r="BY32" i="24" s="1"/>
  <c r="BZ33" i="24" s="1"/>
  <c r="S249" i="19"/>
  <c r="BN279" i="19"/>
  <c r="CH24" i="21"/>
  <c r="CH29" i="21" s="1"/>
  <c r="Q100" i="19"/>
  <c r="BH130" i="19"/>
  <c r="BN57" i="21"/>
  <c r="S57" i="21" s="1"/>
  <c r="ET31" i="29"/>
  <c r="AU10" i="29"/>
  <c r="BP15" i="21"/>
  <c r="CW29" i="24"/>
  <c r="AD29" i="24" s="1"/>
  <c r="AD28" i="24"/>
  <c r="H28" i="24"/>
  <c r="AA10" i="21"/>
  <c r="U56" i="1"/>
  <c r="U40" i="1"/>
  <c r="E277" i="19"/>
  <c r="GF11" i="25"/>
  <c r="GL11" i="7"/>
  <c r="CG16" i="11"/>
  <c r="CG34" i="1" s="1"/>
  <c r="CG42" i="11"/>
  <c r="CG46" i="11" s="1"/>
  <c r="O250" i="19"/>
  <c r="BB280" i="19"/>
  <c r="G56" i="1"/>
  <c r="Q12" i="25"/>
  <c r="BO12" i="25"/>
  <c r="G40" i="1"/>
  <c r="N118" i="19"/>
  <c r="N94" i="19" s="1"/>
  <c r="Z11" i="11"/>
  <c r="Z14" i="1"/>
  <c r="BW8" i="7"/>
  <c r="BW20" i="7" s="1"/>
  <c r="Z112" i="1"/>
  <c r="X7" i="7"/>
  <c r="X6" i="7"/>
  <c r="Z20" i="1"/>
  <c r="AF59" i="37"/>
  <c r="L24" i="29"/>
  <c r="AT24" i="29"/>
  <c r="AB22" i="11"/>
  <c r="CO45" i="1"/>
  <c r="CY40" i="24"/>
  <c r="CZ41" i="24" s="1"/>
  <c r="DA42" i="24" s="1"/>
  <c r="V129" i="19"/>
  <c r="CE52" i="21"/>
  <c r="CE47" i="21"/>
  <c r="CE57" i="21"/>
  <c r="D263" i="19"/>
  <c r="N263" i="19"/>
  <c r="N239" i="19" s="1"/>
  <c r="CX88" i="11"/>
  <c r="DF88" i="11"/>
  <c r="CY88" i="11"/>
  <c r="CZ88" i="11"/>
  <c r="DA88" i="11"/>
  <c r="DB88" i="11"/>
  <c r="I88" i="11"/>
  <c r="CU88" i="11"/>
  <c r="DC88" i="11"/>
  <c r="CV88" i="11"/>
  <c r="DD88" i="11"/>
  <c r="CW88" i="11"/>
  <c r="DE88" i="11"/>
  <c r="BH25" i="29"/>
  <c r="Q25" i="29" s="1"/>
  <c r="Q80" i="29"/>
  <c r="Q81" i="29" s="1"/>
  <c r="Q85" i="29" s="1"/>
  <c r="AD32" i="35"/>
  <c r="R22" i="11"/>
  <c r="E22" i="11"/>
  <c r="BK45" i="1"/>
  <c r="BY130" i="19"/>
  <c r="O177" i="19"/>
  <c r="BB207" i="19"/>
  <c r="CC51" i="21"/>
  <c r="Z248" i="19"/>
  <c r="S42" i="21"/>
  <c r="T22" i="1"/>
  <c r="BS23" i="1"/>
  <c r="Z98" i="1"/>
  <c r="AH11" i="7" s="1"/>
  <c r="CL47" i="21"/>
  <c r="BW57" i="21"/>
  <c r="F74" i="15"/>
  <c r="G142" i="11"/>
  <c r="CA26" i="21"/>
  <c r="W26" i="21" s="1"/>
  <c r="W31" i="21" s="1"/>
  <c r="CA16" i="21"/>
  <c r="CA49" i="21"/>
  <c r="CL72" i="11"/>
  <c r="CL77" i="11"/>
  <c r="Q159" i="19"/>
  <c r="K18" i="22"/>
  <c r="T21" i="11"/>
  <c r="BQ44" i="1"/>
  <c r="O55" i="21"/>
  <c r="V87" i="11"/>
  <c r="Q144" i="11"/>
  <c r="Q145" i="11" s="1"/>
  <c r="BH145" i="11"/>
  <c r="W102" i="19"/>
  <c r="BZ132" i="19"/>
  <c r="D11" i="40"/>
  <c r="E9" i="40"/>
  <c r="D26" i="40" s="1"/>
  <c r="CT36" i="21"/>
  <c r="CT51" i="19"/>
  <c r="CT173" i="19" s="1"/>
  <c r="CT72" i="15"/>
  <c r="CT78" i="15"/>
  <c r="CT54" i="15"/>
  <c r="W101" i="19"/>
  <c r="BZ131" i="19"/>
  <c r="S102" i="19"/>
  <c r="BN132" i="19"/>
  <c r="FA31" i="24"/>
  <c r="D107" i="19"/>
  <c r="S40" i="37"/>
  <c r="S39" i="37"/>
  <c r="AF28" i="37"/>
  <c r="CT35" i="21"/>
  <c r="CT43" i="19"/>
  <c r="CT41" i="15"/>
  <c r="CT71" i="15"/>
  <c r="CT53" i="15"/>
  <c r="CT77" i="15"/>
  <c r="V44" i="11"/>
  <c r="BT20" i="11"/>
  <c r="U67" i="11"/>
  <c r="F21" i="24"/>
  <c r="BW22" i="24"/>
  <c r="V66" i="37"/>
  <c r="AH74" i="36"/>
  <c r="BM100" i="1"/>
  <c r="BM101" i="1"/>
  <c r="AI121" i="36"/>
  <c r="I38" i="34"/>
  <c r="X103" i="19"/>
  <c r="CC133" i="19"/>
  <c r="CB144" i="11"/>
  <c r="CB145" i="11" s="1"/>
  <c r="CB127" i="1"/>
  <c r="CE51" i="21"/>
  <c r="CE46" i="21"/>
  <c r="CE56" i="21"/>
  <c r="T62" i="15"/>
  <c r="T68" i="15"/>
  <c r="DK10" i="29"/>
  <c r="S101" i="19"/>
  <c r="BN131" i="19"/>
  <c r="CZ34" i="11"/>
  <c r="DA34" i="11"/>
  <c r="DB34" i="11"/>
  <c r="I34" i="11"/>
  <c r="CU34" i="11"/>
  <c r="DC34" i="11"/>
  <c r="CV34" i="11"/>
  <c r="DD34" i="11"/>
  <c r="CW34" i="11"/>
  <c r="DE34" i="11"/>
  <c r="CY34" i="11"/>
  <c r="CX34" i="11"/>
  <c r="DF34" i="11"/>
  <c r="G170" i="11"/>
  <c r="G173" i="11"/>
  <c r="G174" i="11"/>
  <c r="G167" i="11"/>
  <c r="G169" i="11"/>
  <c r="G168" i="11"/>
  <c r="G166" i="11"/>
  <c r="CT37" i="21"/>
  <c r="CT59" i="19"/>
  <c r="CT247" i="19" s="1"/>
  <c r="CT55" i="15"/>
  <c r="CT73" i="15"/>
  <c r="CT79" i="15"/>
  <c r="W66" i="37"/>
  <c r="X22" i="11"/>
  <c r="CC45" i="1"/>
  <c r="CM92" i="11"/>
  <c r="CM20" i="11"/>
  <c r="E115" i="19"/>
  <c r="DN40" i="24"/>
  <c r="DO41" i="24" s="1"/>
  <c r="DP42" i="24" s="1"/>
  <c r="BV23" i="1"/>
  <c r="U25" i="37"/>
  <c r="CM52" i="21"/>
  <c r="CM47" i="21"/>
  <c r="CM57" i="21"/>
  <c r="AA57" i="21" s="1"/>
  <c r="HL31" i="7" s="1"/>
  <c r="G45" i="35"/>
  <c r="G46" i="35" s="1"/>
  <c r="G51" i="35"/>
  <c r="G55" i="35" s="1"/>
  <c r="G40" i="35"/>
  <c r="Q40" i="35"/>
  <c r="Q45" i="35"/>
  <c r="Q46" i="35" s="1"/>
  <c r="Q51" i="35"/>
  <c r="Q55" i="35" s="1"/>
  <c r="D250" i="19"/>
  <c r="N250" i="19"/>
  <c r="AY280" i="19"/>
  <c r="T88" i="19"/>
  <c r="H17" i="29"/>
  <c r="AD17" i="29"/>
  <c r="P132" i="11"/>
  <c r="P136" i="11"/>
  <c r="D56" i="1"/>
  <c r="N12" i="25"/>
  <c r="BL12" i="25"/>
  <c r="D40" i="1"/>
  <c r="T82" i="19"/>
  <c r="P11" i="29"/>
  <c r="BE32" i="29"/>
  <c r="O156" i="19"/>
  <c r="BV16" i="11"/>
  <c r="BV34" i="1" s="1"/>
  <c r="BV42" i="11"/>
  <c r="BV46" i="11" s="1"/>
  <c r="AT29" i="24"/>
  <c r="ER30" i="24"/>
  <c r="Q156" i="19"/>
  <c r="CT20" i="11"/>
  <c r="CT92" i="11"/>
  <c r="BN9" i="11"/>
  <c r="BN82" i="11" s="1"/>
  <c r="BN15" i="1"/>
  <c r="BN90" i="1" s="1"/>
  <c r="BN52" i="1"/>
  <c r="BN100" i="1"/>
  <c r="BN10" i="11"/>
  <c r="AH29" i="35"/>
  <c r="T91" i="11"/>
  <c r="Y94" i="19"/>
  <c r="BR77" i="11"/>
  <c r="BR72" i="11"/>
  <c r="C8" i="8"/>
  <c r="D114" i="1"/>
  <c r="AH7" i="25"/>
  <c r="T21" i="36"/>
  <c r="AG15" i="36"/>
  <c r="AA84" i="22"/>
  <c r="O42" i="21"/>
  <c r="BO43" i="23"/>
  <c r="BY10" i="21"/>
  <c r="AR10" i="29"/>
  <c r="EK31" i="29"/>
  <c r="U92" i="11"/>
  <c r="EV10" i="24"/>
  <c r="EW10" i="24"/>
  <c r="EX10" i="24"/>
  <c r="EQ10" i="24"/>
  <c r="EY10" i="24"/>
  <c r="ER10" i="24"/>
  <c r="EZ10" i="24"/>
  <c r="ET10" i="24"/>
  <c r="ES10" i="24"/>
  <c r="EU10" i="24"/>
  <c r="FB10" i="24"/>
  <c r="FA10" i="24"/>
  <c r="S49" i="21"/>
  <c r="T15" i="38"/>
  <c r="T27" i="35" s="1"/>
  <c r="S47" i="22"/>
  <c r="K48" i="22"/>
  <c r="U47" i="22"/>
  <c r="O47" i="22"/>
  <c r="X47" i="22"/>
  <c r="P47" i="22"/>
  <c r="Y47" i="22"/>
  <c r="Q47" i="22"/>
  <c r="M47" i="22"/>
  <c r="N47" i="22"/>
  <c r="R47" i="22"/>
  <c r="T47" i="22"/>
  <c r="V47" i="22"/>
  <c r="W47" i="22"/>
  <c r="BC20" i="11"/>
  <c r="BC92" i="11"/>
  <c r="CK16" i="11"/>
  <c r="CK34" i="1" s="1"/>
  <c r="CK42" i="11"/>
  <c r="CK46" i="11" s="1"/>
  <c r="X249" i="19"/>
  <c r="CC279" i="19"/>
  <c r="F257" i="19"/>
  <c r="CC15" i="21"/>
  <c r="CC25" i="21"/>
  <c r="CC9" i="21"/>
  <c r="CC20" i="21" s="1"/>
  <c r="X10" i="21"/>
  <c r="CC44" i="21"/>
  <c r="BZ77" i="11"/>
  <c r="BZ72" i="11"/>
  <c r="T136" i="36"/>
  <c r="BC77" i="11"/>
  <c r="BC72" i="11"/>
  <c r="BF16" i="11"/>
  <c r="BF34" i="1" s="1"/>
  <c r="BF42" i="11"/>
  <c r="BF46" i="11" s="1"/>
  <c r="V243" i="19"/>
  <c r="CB16" i="11"/>
  <c r="CB34" i="1" s="1"/>
  <c r="CB42" i="11"/>
  <c r="CB46" i="11" s="1"/>
  <c r="CM69" i="24"/>
  <c r="CN70" i="24" s="1"/>
  <c r="CO71" i="24" s="1"/>
  <c r="Y97" i="1"/>
  <c r="E18" i="29"/>
  <c r="CQ16" i="11"/>
  <c r="CQ34" i="1" s="1"/>
  <c r="CQ42" i="11"/>
  <c r="CQ46" i="11" s="1"/>
  <c r="EF43" i="24"/>
  <c r="EG44" i="24" s="1"/>
  <c r="EH45" i="24" s="1"/>
  <c r="P102" i="19"/>
  <c r="BE132" i="19"/>
  <c r="O100" i="19"/>
  <c r="BB130" i="19"/>
  <c r="CA27" i="24"/>
  <c r="S115" i="37"/>
  <c r="S110" i="37"/>
  <c r="S111" i="37" s="1"/>
  <c r="AA87" i="11"/>
  <c r="AC56" i="1"/>
  <c r="BO12" i="7"/>
  <c r="Q12" i="7"/>
  <c r="AC40" i="1"/>
  <c r="EU37" i="24"/>
  <c r="EV38" i="24" s="1"/>
  <c r="EW39" i="24" s="1"/>
  <c r="AA26" i="21"/>
  <c r="AA31" i="21" s="1"/>
  <c r="HL24" i="7" s="1"/>
  <c r="AA248" i="19"/>
  <c r="BA26" i="21"/>
  <c r="BA49" i="21"/>
  <c r="BR29" i="21"/>
  <c r="V56" i="1"/>
  <c r="V40" i="1"/>
  <c r="T230" i="19"/>
  <c r="W11" i="11"/>
  <c r="W112" i="1"/>
  <c r="W20" i="1"/>
  <c r="W14" i="1"/>
  <c r="CZ29" i="24"/>
  <c r="AA100" i="19"/>
  <c r="U14" i="1"/>
  <c r="E62" i="15"/>
  <c r="E68" i="15"/>
  <c r="E60" i="15"/>
  <c r="H70" i="29"/>
  <c r="H162" i="29"/>
  <c r="H78" i="29"/>
  <c r="CS16" i="11"/>
  <c r="CS34" i="1" s="1"/>
  <c r="CS42" i="11"/>
  <c r="CS46" i="11" s="1"/>
  <c r="CR32" i="29"/>
  <c r="AC11" i="29"/>
  <c r="CI20" i="11"/>
  <c r="Z67" i="11"/>
  <c r="Z92" i="11" s="1"/>
  <c r="CI92" i="11"/>
  <c r="AA108" i="11"/>
  <c r="AA104" i="11"/>
  <c r="EH8" i="7"/>
  <c r="EH15" i="7" s="1"/>
  <c r="EH16" i="7"/>
  <c r="W12" i="21"/>
  <c r="AA17" i="21" s="1"/>
  <c r="W33" i="34"/>
  <c r="D11" i="21"/>
  <c r="O230" i="19"/>
  <c r="CK28" i="24"/>
  <c r="Y22" i="11"/>
  <c r="CF45" i="1"/>
  <c r="CH47" i="21"/>
  <c r="CH52" i="21"/>
  <c r="CH57" i="21"/>
  <c r="V11" i="11"/>
  <c r="V112" i="1"/>
  <c r="V14" i="1"/>
  <c r="V20" i="1"/>
  <c r="V188" i="19"/>
  <c r="V164" i="19" s="1"/>
  <c r="F188" i="19"/>
  <c r="H96" i="29"/>
  <c r="H98" i="29"/>
  <c r="Q49" i="21"/>
  <c r="AA42" i="21"/>
  <c r="Y168" i="19"/>
  <c r="Q148" i="11"/>
  <c r="Q84" i="19"/>
  <c r="T21" i="1"/>
  <c r="BQ23" i="1"/>
  <c r="T23" i="1" s="1"/>
  <c r="Y15" i="34"/>
  <c r="AF94" i="15"/>
  <c r="BS27" i="21"/>
  <c r="BS17" i="21"/>
  <c r="BS54" i="21"/>
  <c r="BS57" i="21" s="1"/>
  <c r="CE17" i="21"/>
  <c r="T41" i="11"/>
  <c r="T16" i="11" s="1"/>
  <c r="BQ16" i="11"/>
  <c r="BQ34" i="1" s="1"/>
  <c r="BQ42" i="11"/>
  <c r="Z22" i="11"/>
  <c r="G22" i="11"/>
  <c r="CI45" i="1"/>
  <c r="J29" i="24"/>
  <c r="DT30" i="24"/>
  <c r="AL29" i="24"/>
  <c r="CJ52" i="21"/>
  <c r="CJ57" i="21"/>
  <c r="BI23" i="1"/>
  <c r="BU31" i="24"/>
  <c r="BV32" i="24" s="1"/>
  <c r="BW33" i="24" s="1"/>
  <c r="U127" i="1"/>
  <c r="U101" i="1" s="1"/>
  <c r="AC148" i="11"/>
  <c r="Q248" i="19"/>
  <c r="BH278" i="19"/>
  <c r="Y203" i="19"/>
  <c r="BN56" i="21"/>
  <c r="S56" i="21" s="1"/>
  <c r="N11" i="11"/>
  <c r="N112" i="1"/>
  <c r="N20" i="1"/>
  <c r="Q94" i="19"/>
  <c r="S134" i="37"/>
  <c r="AF125" i="37"/>
  <c r="S129" i="37"/>
  <c r="AA44" i="11"/>
  <c r="W175" i="19"/>
  <c r="BZ205" i="19"/>
  <c r="CK13" i="7"/>
  <c r="AC142" i="11"/>
  <c r="ET28" i="7" s="1"/>
  <c r="AC163" i="11"/>
  <c r="AC74" i="1"/>
  <c r="R46" i="7"/>
  <c r="R46" i="25"/>
  <c r="Y251" i="19"/>
  <c r="CF281" i="19"/>
  <c r="Q41" i="21"/>
  <c r="G148" i="11"/>
  <c r="H148" i="11" s="1"/>
  <c r="Y42" i="21"/>
  <c r="O21" i="1"/>
  <c r="BB23" i="1"/>
  <c r="Z103" i="19"/>
  <c r="S81" i="29"/>
  <c r="S85" i="29" s="1"/>
  <c r="DA18" i="29"/>
  <c r="AF18" i="29" s="1"/>
  <c r="AF79" i="29"/>
  <c r="P177" i="19"/>
  <c r="BE207" i="19"/>
  <c r="BZ25" i="24"/>
  <c r="W22" i="24"/>
  <c r="T83" i="19"/>
  <c r="AJ10" i="29"/>
  <c r="DM31" i="29"/>
  <c r="F132" i="11"/>
  <c r="ES17" i="25" s="1"/>
  <c r="ES18" i="25" s="1"/>
  <c r="F136" i="11"/>
  <c r="ES22" i="25" s="1"/>
  <c r="ES8" i="25"/>
  <c r="CM68" i="24"/>
  <c r="CN69" i="24" s="1"/>
  <c r="CO70" i="24" s="1"/>
  <c r="R91" i="11"/>
  <c r="E91" i="11"/>
  <c r="U277" i="19"/>
  <c r="AZ51" i="21"/>
  <c r="AZ46" i="21"/>
  <c r="AZ56" i="21"/>
  <c r="AG38" i="36"/>
  <c r="AG39" i="36" s="1"/>
  <c r="CA30" i="24"/>
  <c r="CB31" i="24" s="1"/>
  <c r="CC32" i="24" s="1"/>
  <c r="Y101" i="19"/>
  <c r="CF131" i="19"/>
  <c r="Q175" i="19"/>
  <c r="BH205" i="19"/>
  <c r="BK20" i="11"/>
  <c r="R67" i="11"/>
  <c r="R92" i="11" s="1"/>
  <c r="BK92" i="11"/>
  <c r="BZ46" i="21"/>
  <c r="CC207" i="19"/>
  <c r="X177" i="19"/>
  <c r="S277" i="19"/>
  <c r="AA56" i="1"/>
  <c r="O12" i="7"/>
  <c r="BM12" i="7"/>
  <c r="AA40" i="1"/>
  <c r="V176" i="19"/>
  <c r="F176" i="19"/>
  <c r="BW206" i="19"/>
  <c r="BN47" i="21"/>
  <c r="AF20" i="36"/>
  <c r="AA24" i="36"/>
  <c r="Z46" i="37"/>
  <c r="Z25" i="37" s="1"/>
  <c r="BS51" i="21"/>
  <c r="BE16" i="11"/>
  <c r="BE34" i="1" s="1"/>
  <c r="P41" i="11"/>
  <c r="P16" i="11" s="1"/>
  <c r="BE42" i="11"/>
  <c r="CC55" i="21"/>
  <c r="X55" i="21" s="1"/>
  <c r="BB279" i="19"/>
  <c r="O249" i="19"/>
  <c r="CJ42" i="19"/>
  <c r="CJ14" i="15"/>
  <c r="CJ12" i="15"/>
  <c r="CJ40" i="15"/>
  <c r="CJ90" i="15"/>
  <c r="CJ15" i="15"/>
  <c r="CI9" i="11"/>
  <c r="CI82" i="11" s="1"/>
  <c r="CI15" i="1"/>
  <c r="CI52" i="1"/>
  <c r="CI100" i="1"/>
  <c r="CI10" i="11"/>
  <c r="O22" i="11"/>
  <c r="BB45" i="1"/>
  <c r="CE16" i="11"/>
  <c r="CE34" i="1" s="1"/>
  <c r="CE42" i="11"/>
  <c r="CE46" i="11" s="1"/>
  <c r="Z176" i="19"/>
  <c r="F102" i="19"/>
  <c r="V102" i="19"/>
  <c r="BW132" i="19"/>
  <c r="D262" i="19"/>
  <c r="N262" i="19"/>
  <c r="N238" i="19" s="1"/>
  <c r="X51" i="38"/>
  <c r="U148" i="11"/>
  <c r="E112" i="19"/>
  <c r="DG31" i="29"/>
  <c r="Y55" i="34"/>
  <c r="R44" i="11"/>
  <c r="R132" i="11"/>
  <c r="R136" i="11"/>
  <c r="BF109" i="11"/>
  <c r="BF137" i="11"/>
  <c r="P10" i="11"/>
  <c r="P47" i="11" s="1"/>
  <c r="EI39" i="24"/>
  <c r="EJ40" i="24" s="1"/>
  <c r="EK41" i="24" s="1"/>
  <c r="O176" i="19"/>
  <c r="BB206" i="19"/>
  <c r="BS9" i="11"/>
  <c r="BS82" i="11" s="1"/>
  <c r="BS15" i="1"/>
  <c r="BS90" i="1" s="1"/>
  <c r="BS52" i="1"/>
  <c r="BS100" i="1"/>
  <c r="BS10" i="11"/>
  <c r="DK17" i="29"/>
  <c r="DK70" i="29"/>
  <c r="CF56" i="21"/>
  <c r="CL52" i="21"/>
  <c r="AA52" i="21" s="1"/>
  <c r="HL21" i="7" s="1"/>
  <c r="C10" i="18"/>
  <c r="CO20" i="15" s="1"/>
  <c r="Y98" i="1"/>
  <c r="V114" i="1"/>
  <c r="S75" i="37"/>
  <c r="AF75" i="37" s="1"/>
  <c r="S73" i="37"/>
  <c r="T65" i="37"/>
  <c r="Q56" i="1"/>
  <c r="Q40" i="1"/>
  <c r="CL46" i="21"/>
  <c r="CL51" i="21"/>
  <c r="AA51" i="21" s="1"/>
  <c r="HL20" i="7" s="1"/>
  <c r="CL56" i="21"/>
  <c r="AA56" i="21" s="1"/>
  <c r="HL30" i="7" s="1"/>
  <c r="CN20" i="11"/>
  <c r="CN92" i="11"/>
  <c r="AD21" i="36"/>
  <c r="AD19" i="36"/>
  <c r="U68" i="15"/>
  <c r="U62" i="15"/>
  <c r="U74" i="15"/>
  <c r="U59" i="15"/>
  <c r="U60" i="15"/>
  <c r="J17" i="29"/>
  <c r="AL17" i="29"/>
  <c r="S103" i="19"/>
  <c r="BN133" i="19"/>
  <c r="W22" i="1"/>
  <c r="BH72" i="11"/>
  <c r="BH77" i="11"/>
  <c r="CD46" i="21"/>
  <c r="CD51" i="21"/>
  <c r="CD56" i="21"/>
  <c r="BP20" i="11"/>
  <c r="BP92" i="11"/>
  <c r="X102" i="19"/>
  <c r="CC132" i="19"/>
  <c r="CG50" i="21"/>
  <c r="CG55" i="21"/>
  <c r="W100" i="19"/>
  <c r="BZ130" i="19"/>
  <c r="BW9" i="11"/>
  <c r="BW82" i="11" s="1"/>
  <c r="BW15" i="1"/>
  <c r="BW90" i="1" s="1"/>
  <c r="BW100" i="1"/>
  <c r="BW10" i="11"/>
  <c r="BW52" i="1"/>
  <c r="Q88" i="1"/>
  <c r="DL58" i="29"/>
  <c r="DL10" i="29" s="1"/>
  <c r="AI56" i="29"/>
  <c r="BT101" i="1"/>
  <c r="BT100" i="1"/>
  <c r="BX29" i="21"/>
  <c r="U56" i="21"/>
  <c r="DH22" i="1"/>
  <c r="DT22" i="1" s="1"/>
  <c r="EF22" i="1" s="1"/>
  <c r="ER22" i="1" s="1"/>
  <c r="CV22" i="1"/>
  <c r="R56" i="1"/>
  <c r="R40" i="1"/>
  <c r="Q44" i="11"/>
  <c r="CJ58" i="19"/>
  <c r="CJ34" i="15"/>
  <c r="CJ92" i="15"/>
  <c r="CJ37" i="15"/>
  <c r="CJ36" i="15"/>
  <c r="BY56" i="21"/>
  <c r="AY11" i="29"/>
  <c r="AY81" i="29"/>
  <c r="AY85" i="29" s="1"/>
  <c r="N78" i="29"/>
  <c r="N81" i="29" s="1"/>
  <c r="N85" i="29" s="1"/>
  <c r="W52" i="34"/>
  <c r="W91" i="11"/>
  <c r="R59" i="15"/>
  <c r="DV31" i="29"/>
  <c r="J31" i="29" s="1"/>
  <c r="E9" i="28" s="1"/>
  <c r="M72" i="26" s="1"/>
  <c r="M79" i="26" s="1"/>
  <c r="AM10" i="29"/>
  <c r="CK47" i="21"/>
  <c r="CK52" i="21"/>
  <c r="CK57" i="21"/>
  <c r="D277" i="19"/>
  <c r="GK11" i="7"/>
  <c r="GE11" i="25"/>
  <c r="CL9" i="11"/>
  <c r="CL82" i="11" s="1"/>
  <c r="CL15" i="1"/>
  <c r="CL90" i="1" s="1"/>
  <c r="CL52" i="1"/>
  <c r="CL100" i="1"/>
  <c r="CL10" i="11"/>
  <c r="P22" i="11"/>
  <c r="BE45" i="1"/>
  <c r="T157" i="19"/>
  <c r="BX51" i="21"/>
  <c r="BX46" i="21"/>
  <c r="BX56" i="21"/>
  <c r="H116" i="29"/>
  <c r="H118" i="29"/>
  <c r="BB20" i="21"/>
  <c r="D21" i="11"/>
  <c r="N21" i="11"/>
  <c r="AY44" i="1"/>
  <c r="F180" i="19"/>
  <c r="V31" i="36"/>
  <c r="CD9" i="11"/>
  <c r="CD82" i="11" s="1"/>
  <c r="CD15" i="1"/>
  <c r="CD90" i="1" s="1"/>
  <c r="CD52" i="1"/>
  <c r="CD100" i="1"/>
  <c r="CD10" i="11"/>
  <c r="BF20" i="21"/>
  <c r="ER40" i="24"/>
  <c r="ES41" i="24" s="1"/>
  <c r="ET42" i="24" s="1"/>
  <c r="AZ46" i="1"/>
  <c r="D23" i="11"/>
  <c r="N23" i="11"/>
  <c r="U22" i="24"/>
  <c r="BT25" i="24"/>
  <c r="W62" i="15"/>
  <c r="W68" i="15"/>
  <c r="W60" i="15"/>
  <c r="W61" i="15"/>
  <c r="AE130" i="36"/>
  <c r="L121" i="36"/>
  <c r="CJ31" i="24"/>
  <c r="CK32" i="24" s="1"/>
  <c r="CL33" i="24" s="1"/>
  <c r="X26" i="21"/>
  <c r="X31" i="21" s="1"/>
  <c r="V97" i="1"/>
  <c r="S14" i="1"/>
  <c r="S11" i="11"/>
  <c r="U97" i="1"/>
  <c r="S20" i="1"/>
  <c r="W248" i="19"/>
  <c r="BZ278" i="19"/>
  <c r="S37" i="22"/>
  <c r="K38" i="22"/>
  <c r="T37" i="22"/>
  <c r="N37" i="22"/>
  <c r="W37" i="22"/>
  <c r="O37" i="22"/>
  <c r="X37" i="22"/>
  <c r="P37" i="22"/>
  <c r="Y37" i="22"/>
  <c r="V37" i="22"/>
  <c r="M37" i="22"/>
  <c r="Q37" i="22"/>
  <c r="R37" i="22"/>
  <c r="U37" i="22"/>
  <c r="CQ20" i="11"/>
  <c r="CQ92" i="11"/>
  <c r="N117" i="11"/>
  <c r="T158" i="19"/>
  <c r="T84" i="19"/>
  <c r="BR9" i="11"/>
  <c r="BR82" i="11" s="1"/>
  <c r="BR52" i="1"/>
  <c r="BR15" i="1"/>
  <c r="BR90" i="1" s="1"/>
  <c r="BR100" i="1"/>
  <c r="BR10" i="11"/>
  <c r="DR22" i="1"/>
  <c r="ED22" i="1" s="1"/>
  <c r="EP22" i="1" s="1"/>
  <c r="FB22" i="1" s="1"/>
  <c r="DF22" i="1"/>
  <c r="CP20" i="11"/>
  <c r="CP92" i="11"/>
  <c r="CS37" i="21"/>
  <c r="CS59" i="19"/>
  <c r="CS247" i="19" s="1"/>
  <c r="CS79" i="15"/>
  <c r="CS55" i="15"/>
  <c r="CS73" i="15"/>
  <c r="BY16" i="21"/>
  <c r="BY26" i="21"/>
  <c r="V26" i="21" s="1"/>
  <c r="V31" i="21" s="1"/>
  <c r="BY49" i="21"/>
  <c r="BY50" i="21" s="1"/>
  <c r="CK16" i="21"/>
  <c r="U50" i="18"/>
  <c r="F36" i="18" s="1"/>
  <c r="M46" i="25"/>
  <c r="M46" i="7"/>
  <c r="CF20" i="11"/>
  <c r="CF92" i="11"/>
  <c r="Y67" i="11"/>
  <c r="Y92" i="11" s="1"/>
  <c r="U23" i="11"/>
  <c r="BT46" i="1"/>
  <c r="P56" i="1"/>
  <c r="P40" i="1"/>
  <c r="S26" i="21"/>
  <c r="S31" i="21" s="1"/>
  <c r="S9" i="21"/>
  <c r="S21" i="21" s="1"/>
  <c r="BN14" i="21"/>
  <c r="BN19" i="21"/>
  <c r="X277" i="19"/>
  <c r="F62" i="15"/>
  <c r="F68" i="15"/>
  <c r="V21" i="11"/>
  <c r="F21" i="11"/>
  <c r="BW44" i="1"/>
  <c r="BZ9" i="11"/>
  <c r="BZ82" i="11" s="1"/>
  <c r="BZ52" i="1"/>
  <c r="BZ15" i="1"/>
  <c r="BZ90" i="1" s="1"/>
  <c r="BZ100" i="1"/>
  <c r="BZ10" i="11"/>
  <c r="K70" i="29"/>
  <c r="K81" i="29" s="1"/>
  <c r="CJ30" i="24"/>
  <c r="CK31" i="24" s="1"/>
  <c r="CL32" i="24" s="1"/>
  <c r="W81" i="29"/>
  <c r="W85" i="29" s="1"/>
  <c r="BG45" i="21"/>
  <c r="P45" i="21" s="1"/>
  <c r="BG50" i="21"/>
  <c r="P50" i="21" s="1"/>
  <c r="BG55" i="21"/>
  <c r="P55" i="21" s="1"/>
  <c r="BI27" i="21"/>
  <c r="Q27" i="21" s="1"/>
  <c r="Q32" i="21" s="1"/>
  <c r="BI54" i="21"/>
  <c r="BI55" i="21" s="1"/>
  <c r="Q55" i="21" s="1"/>
  <c r="BX72" i="11"/>
  <c r="BX77" i="11"/>
  <c r="AD25" i="29"/>
  <c r="H25" i="29"/>
  <c r="G12" i="21"/>
  <c r="CI27" i="21"/>
  <c r="Z12" i="21"/>
  <c r="CI17" i="21"/>
  <c r="CI54" i="21"/>
  <c r="AF96" i="37"/>
  <c r="AF106" i="37"/>
  <c r="BG63" i="1"/>
  <c r="BG68" i="1" s="1"/>
  <c r="J59" i="2"/>
  <c r="AA16" i="21"/>
  <c r="AA251" i="19"/>
  <c r="BA27" i="21"/>
  <c r="BA54" i="21"/>
  <c r="N54" i="21" s="1"/>
  <c r="CV38" i="24"/>
  <c r="CW39" i="24" s="1"/>
  <c r="CX40" i="24" s="1"/>
  <c r="D103" i="19"/>
  <c r="D133" i="19" s="1"/>
  <c r="N103" i="19"/>
  <c r="AY133" i="19"/>
  <c r="CG42" i="19"/>
  <c r="CG66" i="19" s="1"/>
  <c r="CF12" i="15"/>
  <c r="CG40" i="15"/>
  <c r="CG90" i="15"/>
  <c r="CG15" i="15"/>
  <c r="CG14" i="15"/>
  <c r="U77" i="11"/>
  <c r="U72" i="11"/>
  <c r="BV20" i="21"/>
  <c r="BX20" i="7"/>
  <c r="I20" i="8"/>
  <c r="H19" i="8"/>
  <c r="AV31" i="29"/>
  <c r="AA9" i="28" s="1"/>
  <c r="AY72" i="26" s="1"/>
  <c r="AY79" i="26" s="1"/>
  <c r="G67" i="11"/>
  <c r="G92" i="11" s="1"/>
  <c r="G71" i="11"/>
  <c r="H71" i="11" s="1"/>
  <c r="EI30" i="24"/>
  <c r="AQ29" i="24"/>
  <c r="U103" i="19"/>
  <c r="BT133" i="19"/>
  <c r="V244" i="19"/>
  <c r="D176" i="19"/>
  <c r="N176" i="19"/>
  <c r="AY206" i="19"/>
  <c r="Q231" i="19"/>
  <c r="N26" i="21"/>
  <c r="N31" i="21" s="1"/>
  <c r="D26" i="21"/>
  <c r="D91" i="11"/>
  <c r="N91" i="11"/>
  <c r="BY23" i="1"/>
  <c r="F187" i="19"/>
  <c r="V187" i="19"/>
  <c r="V163" i="19" s="1"/>
  <c r="G142" i="29" a="1"/>
  <c r="G142" i="29" s="1"/>
  <c r="Q26" i="21"/>
  <c r="Q31" i="21" s="1"/>
  <c r="E44" i="25"/>
  <c r="E44" i="7"/>
  <c r="CZ30" i="24"/>
  <c r="DA31" i="24" s="1"/>
  <c r="AZ9" i="11"/>
  <c r="AZ82" i="11" s="1"/>
  <c r="AZ113" i="1"/>
  <c r="AZ100" i="1"/>
  <c r="AZ52" i="1"/>
  <c r="AZ10" i="11"/>
  <c r="CF63" i="19"/>
  <c r="CF29" i="15"/>
  <c r="DD18" i="29"/>
  <c r="AG18" i="29" s="1"/>
  <c r="AG79" i="29"/>
  <c r="BW43" i="23"/>
  <c r="CG10" i="21"/>
  <c r="I126" i="11"/>
  <c r="CU126" i="11"/>
  <c r="DC126" i="11"/>
  <c r="CV126" i="11"/>
  <c r="DD126" i="11"/>
  <c r="CW126" i="11"/>
  <c r="DE126" i="11"/>
  <c r="CX126" i="11"/>
  <c r="AE126" i="11" s="1"/>
  <c r="EV11" i="7" s="1"/>
  <c r="DF126" i="11"/>
  <c r="CZ126" i="11"/>
  <c r="DA126" i="11"/>
  <c r="CY126" i="11"/>
  <c r="DB126" i="11"/>
  <c r="EU11" i="25"/>
  <c r="AH7" i="7"/>
  <c r="AH8" i="7" s="1"/>
  <c r="Z114" i="1"/>
  <c r="AZ21" i="21"/>
  <c r="E176" i="19"/>
  <c r="R176" i="19"/>
  <c r="BK206" i="19"/>
  <c r="BP9" i="11"/>
  <c r="BP82" i="11" s="1"/>
  <c r="BP15" i="1"/>
  <c r="BP90" i="1" s="1"/>
  <c r="BP100" i="1"/>
  <c r="BP52" i="1"/>
  <c r="BP10" i="11"/>
  <c r="CB15" i="1"/>
  <c r="CB90" i="1" s="1"/>
  <c r="T11" i="11"/>
  <c r="T112" i="1"/>
  <c r="T20" i="1"/>
  <c r="T14" i="1"/>
  <c r="X15" i="1" s="1"/>
  <c r="CH16" i="11"/>
  <c r="CH34" i="1" s="1"/>
  <c r="CH42" i="11"/>
  <c r="CH46" i="11" s="1"/>
  <c r="DM91" i="11"/>
  <c r="AF91" i="11"/>
  <c r="AJ94" i="15"/>
  <c r="DY94" i="15"/>
  <c r="F251" i="19"/>
  <c r="V251" i="19"/>
  <c r="BW281" i="19"/>
  <c r="P91" i="1"/>
  <c r="P102" i="1"/>
  <c r="P89" i="1"/>
  <c r="BE19" i="21"/>
  <c r="P9" i="21"/>
  <c r="BE21" i="21"/>
  <c r="BE22" i="21"/>
  <c r="Z132" i="11"/>
  <c r="Z136" i="11"/>
  <c r="EQ22" i="7" s="1"/>
  <c r="EQ8" i="7"/>
  <c r="W49" i="21"/>
  <c r="D182" i="19"/>
  <c r="BI77" i="11"/>
  <c r="BI72" i="11"/>
  <c r="O41" i="21"/>
  <c r="O159" i="19"/>
  <c r="BL20" i="11"/>
  <c r="BL92" i="11"/>
  <c r="S177" i="19"/>
  <c r="BN207" i="19"/>
  <c r="D119" i="19"/>
  <c r="Y176" i="19"/>
  <c r="CF206" i="19"/>
  <c r="D8" i="8"/>
  <c r="E98" i="1"/>
  <c r="AI11" i="25" s="1"/>
  <c r="E114" i="1"/>
  <c r="AI7" i="25"/>
  <c r="AI8" i="25" s="1"/>
  <c r="U22" i="1"/>
  <c r="B5" i="30"/>
  <c r="D22" i="11"/>
  <c r="N22" i="11"/>
  <c r="AY45" i="1"/>
  <c r="DN42" i="24"/>
  <c r="DO43" i="24" s="1"/>
  <c r="DP44" i="24" s="1"/>
  <c r="BN51" i="21"/>
  <c r="S51" i="21" s="1"/>
  <c r="S27" i="37"/>
  <c r="T251" i="19"/>
  <c r="BQ281" i="19"/>
  <c r="AA41" i="11"/>
  <c r="AA16" i="11" s="1"/>
  <c r="CL16" i="11"/>
  <c r="CL34" i="1" s="1"/>
  <c r="CL42" i="11"/>
  <c r="CX31" i="29"/>
  <c r="H31" i="29" s="1"/>
  <c r="C9" i="28" s="1"/>
  <c r="K72" i="26" s="1"/>
  <c r="K79" i="26" s="1"/>
  <c r="AE10" i="29"/>
  <c r="E61" i="15"/>
  <c r="CT16" i="11"/>
  <c r="CT34" i="1" s="1"/>
  <c r="CT42" i="11"/>
  <c r="CT46" i="11" s="1"/>
  <c r="Y250" i="19"/>
  <c r="CF280" i="19"/>
  <c r="EX31" i="24"/>
  <c r="AV30" i="24"/>
  <c r="Z100" i="19"/>
  <c r="S11" i="29"/>
  <c r="BN32" i="29"/>
  <c r="P176" i="19"/>
  <c r="BE206" i="19"/>
  <c r="W10" i="24"/>
  <c r="BJ51" i="21"/>
  <c r="BJ46" i="21"/>
  <c r="BJ56" i="21"/>
  <c r="V136" i="11"/>
  <c r="V132" i="11"/>
  <c r="BL47" i="21"/>
  <c r="BL52" i="21"/>
  <c r="BL57" i="21"/>
  <c r="R102" i="19"/>
  <c r="E102" i="19"/>
  <c r="E132" i="19" s="1"/>
  <c r="BK132" i="19"/>
  <c r="X18" i="34"/>
  <c r="BM16" i="11"/>
  <c r="BM34" i="1" s="1"/>
  <c r="BM42" i="11"/>
  <c r="BM46" i="11" s="1"/>
  <c r="BT281" i="19"/>
  <c r="U251" i="19"/>
  <c r="F182" i="19"/>
  <c r="T38" i="36"/>
  <c r="S42" i="35" s="1"/>
  <c r="AF42" i="35" s="1"/>
  <c r="N67" i="11"/>
  <c r="N92" i="11" s="1"/>
  <c r="AY92" i="11"/>
  <c r="AY20" i="11"/>
  <c r="BY20" i="25"/>
  <c r="BJ47" i="21"/>
  <c r="BJ52" i="21"/>
  <c r="BJ57" i="21"/>
  <c r="CF130" i="19"/>
  <c r="Y100" i="19"/>
  <c r="Q177" i="19"/>
  <c r="BH207" i="19"/>
  <c r="DA114" i="11"/>
  <c r="DB114" i="11"/>
  <c r="I114" i="11"/>
  <c r="CU114" i="11"/>
  <c r="DC114" i="11"/>
  <c r="CV114" i="11"/>
  <c r="DD114" i="11"/>
  <c r="CW114" i="11"/>
  <c r="DE114" i="11"/>
  <c r="CX114" i="11"/>
  <c r="DF114" i="11"/>
  <c r="CY114" i="11"/>
  <c r="CZ114" i="11"/>
  <c r="EK26" i="25"/>
  <c r="E67" i="11"/>
  <c r="E92" i="11" s="1"/>
  <c r="E71" i="11"/>
  <c r="BZ51" i="21"/>
  <c r="X176" i="19"/>
  <c r="CC206" i="19"/>
  <c r="Y60" i="15"/>
  <c r="BF23" i="1"/>
  <c r="K10" i="35"/>
  <c r="K34" i="37"/>
  <c r="O34" i="37"/>
  <c r="CH20" i="21"/>
  <c r="CJ15" i="25"/>
  <c r="X41" i="21"/>
  <c r="V175" i="19"/>
  <c r="F175" i="19"/>
  <c r="BW205" i="19"/>
  <c r="BN52" i="21"/>
  <c r="S52" i="21" s="1"/>
  <c r="BP19" i="21"/>
  <c r="BP14" i="21"/>
  <c r="AJ33" i="35"/>
  <c r="AC34" i="35"/>
  <c r="AR29" i="24"/>
  <c r="EL30" i="24"/>
  <c r="R250" i="19"/>
  <c r="E250" i="19"/>
  <c r="E280" i="19" s="1"/>
  <c r="BK280" i="19"/>
  <c r="Z68" i="15"/>
  <c r="Z62" i="15"/>
  <c r="Z61" i="15"/>
  <c r="Z60" i="15"/>
  <c r="P44" i="11"/>
  <c r="CC50" i="21"/>
  <c r="X50" i="21" s="1"/>
  <c r="O277" i="19"/>
  <c r="GP11" i="25"/>
  <c r="GX11" i="7"/>
  <c r="O49" i="21"/>
  <c r="CN9" i="11"/>
  <c r="CN82" i="11" s="1"/>
  <c r="CN15" i="1"/>
  <c r="CN90" i="1" s="1"/>
  <c r="CN100" i="1"/>
  <c r="CN52" i="1"/>
  <c r="CN10" i="11"/>
  <c r="D257" i="19"/>
  <c r="Z175" i="19"/>
  <c r="F101" i="19"/>
  <c r="BW131" i="19"/>
  <c r="V101" i="19"/>
  <c r="W24" i="38"/>
  <c r="W16" i="38" s="1"/>
  <c r="AG43" i="38"/>
  <c r="CG23" i="1"/>
  <c r="AC87" i="11"/>
  <c r="AB29" i="24"/>
  <c r="CP30" i="24"/>
  <c r="BJ77" i="11"/>
  <c r="BJ72" i="11"/>
  <c r="AW70" i="29"/>
  <c r="Y88" i="36"/>
  <c r="Z83" i="36" s="1"/>
  <c r="Z88" i="36" s="1"/>
  <c r="AA83" i="36" s="1"/>
  <c r="AA88" i="36" s="1"/>
  <c r="AB83" i="36" s="1"/>
  <c r="AB88" i="36" s="1"/>
  <c r="AI88" i="36" s="1"/>
  <c r="AI83" i="36"/>
  <c r="P16" i="35"/>
  <c r="P23" i="35"/>
  <c r="P30" i="35"/>
  <c r="P32" i="35"/>
  <c r="P28" i="35"/>
  <c r="AP35" i="24"/>
  <c r="O174" i="19"/>
  <c r="BB204" i="19"/>
  <c r="CF72" i="11"/>
  <c r="CF77" i="11"/>
  <c r="BS77" i="11"/>
  <c r="BS72" i="11"/>
  <c r="DL63" i="29"/>
  <c r="AI63" i="29" s="1"/>
  <c r="AI61" i="29"/>
  <c r="BW52" i="21"/>
  <c r="H33" i="26" l="1"/>
  <c r="AF213" i="26" s="1"/>
  <c r="AO208" i="26"/>
  <c r="AX139" i="26"/>
  <c r="AT158" i="26"/>
  <c r="AT141" i="26"/>
  <c r="AT160" i="26" s="1"/>
  <c r="AT114" i="26"/>
  <c r="M158" i="26"/>
  <c r="M141" i="26"/>
  <c r="M160" i="26" s="1"/>
  <c r="H126" i="26"/>
  <c r="H164" i="26"/>
  <c r="H163" i="26" s="1"/>
  <c r="AP108" i="26"/>
  <c r="AZ158" i="26"/>
  <c r="AZ141" i="26"/>
  <c r="AZ160" i="26" s="1"/>
  <c r="AY139" i="26"/>
  <c r="AU141" i="26"/>
  <c r="AU160" i="26" s="1"/>
  <c r="AU158" i="26"/>
  <c r="G126" i="26"/>
  <c r="G164" i="26"/>
  <c r="G163" i="26" s="1"/>
  <c r="I126" i="26"/>
  <c r="I164" i="26"/>
  <c r="I163" i="26" s="1"/>
  <c r="AW139" i="26"/>
  <c r="N139" i="26"/>
  <c r="AS158" i="26"/>
  <c r="AS141" i="26"/>
  <c r="AS160" i="26" s="1"/>
  <c r="AR62" i="26"/>
  <c r="AR65" i="26" s="1"/>
  <c r="M65" i="26" s="1"/>
  <c r="M66" i="26" s="1"/>
  <c r="M67" i="26" s="1"/>
  <c r="AQ95" i="26"/>
  <c r="BZ32" i="29"/>
  <c r="E25" i="29"/>
  <c r="T33" i="35"/>
  <c r="CP11" i="1"/>
  <c r="CQ11" i="1"/>
  <c r="Y63" i="34"/>
  <c r="AF43" i="35"/>
  <c r="Y64" i="34" s="1"/>
  <c r="AA68" i="22"/>
  <c r="CG9" i="21"/>
  <c r="CG20" i="21"/>
  <c r="CG15" i="21"/>
  <c r="CG25" i="21"/>
  <c r="CG24" i="21" s="1"/>
  <c r="CG29" i="21" s="1"/>
  <c r="CG44" i="21"/>
  <c r="BB29" i="21"/>
  <c r="BU26" i="24"/>
  <c r="U25" i="24"/>
  <c r="CN19" i="11"/>
  <c r="CN43" i="1"/>
  <c r="I111" i="29"/>
  <c r="H141" i="29"/>
  <c r="Q89" i="1"/>
  <c r="I63" i="29"/>
  <c r="V78" i="19"/>
  <c r="V132" i="19"/>
  <c r="O17" i="7"/>
  <c r="BM17" i="7"/>
  <c r="T122" i="37"/>
  <c r="S130" i="37"/>
  <c r="S132" i="37"/>
  <c r="V9" i="11"/>
  <c r="V82" i="11" s="1"/>
  <c r="V15" i="1"/>
  <c r="V100" i="1"/>
  <c r="V52" i="1"/>
  <c r="BA51" i="21"/>
  <c r="BA50" i="21"/>
  <c r="BA52" i="21"/>
  <c r="Q17" i="7"/>
  <c r="BO17" i="7"/>
  <c r="CB28" i="24"/>
  <c r="CC29" i="24" s="1"/>
  <c r="CT11" i="1"/>
  <c r="O226" i="19"/>
  <c r="O280" i="19"/>
  <c r="AU31" i="29"/>
  <c r="Z9" i="28" s="1"/>
  <c r="AX72" i="26" s="1"/>
  <c r="AX79" i="26" s="1"/>
  <c r="U224" i="19"/>
  <c r="U278" i="19"/>
  <c r="AG43" i="36"/>
  <c r="AA150" i="19"/>
  <c r="GB7" i="7"/>
  <c r="FD13" i="7"/>
  <c r="CJ55" i="19"/>
  <c r="CK18" i="15"/>
  <c r="AC46" i="1"/>
  <c r="G46" i="1"/>
  <c r="AO31" i="29"/>
  <c r="T9" i="28" s="1"/>
  <c r="AR72" i="26" s="1"/>
  <c r="AR79" i="26" s="1"/>
  <c r="G18" i="29"/>
  <c r="Z18" i="29"/>
  <c r="V34" i="1"/>
  <c r="F34" i="1"/>
  <c r="BW33" i="1"/>
  <c r="BW55" i="1"/>
  <c r="BW39" i="1"/>
  <c r="ES17" i="7"/>
  <c r="ES18" i="7"/>
  <c r="U44" i="1"/>
  <c r="U83" i="1" s="1"/>
  <c r="BT83" i="1"/>
  <c r="R224" i="19"/>
  <c r="R278" i="19"/>
  <c r="Q77" i="19"/>
  <c r="Q131" i="19"/>
  <c r="R16" i="21"/>
  <c r="Y79" i="19"/>
  <c r="Y133" i="19"/>
  <c r="CJ14" i="21"/>
  <c r="CJ19" i="21"/>
  <c r="CJ21" i="21"/>
  <c r="CJ22" i="21"/>
  <c r="E130" i="19"/>
  <c r="BA137" i="11"/>
  <c r="BA109" i="11"/>
  <c r="CI66" i="24"/>
  <c r="Z63" i="24"/>
  <c r="BF110" i="1"/>
  <c r="BF99" i="1"/>
  <c r="D207" i="19"/>
  <c r="FA16" i="25"/>
  <c r="FA16" i="7"/>
  <c r="T103" i="37"/>
  <c r="T90" i="37"/>
  <c r="T88" i="37"/>
  <c r="U111" i="36"/>
  <c r="U107" i="36" s="1"/>
  <c r="AG19" i="36"/>
  <c r="AG16" i="36"/>
  <c r="Y14" i="34"/>
  <c r="BS33" i="1"/>
  <c r="BS55" i="1"/>
  <c r="BS39" i="1"/>
  <c r="D281" i="19"/>
  <c r="V16" i="21"/>
  <c r="X45" i="38"/>
  <c r="X26" i="38" s="1"/>
  <c r="X53" i="38"/>
  <c r="X77" i="19"/>
  <c r="X131" i="19"/>
  <c r="DR31" i="24"/>
  <c r="AK30" i="24"/>
  <c r="DX30" i="24"/>
  <c r="AM29" i="24"/>
  <c r="T110" i="1"/>
  <c r="U106" i="1" s="1"/>
  <c r="W99" i="1"/>
  <c r="AA11" i="29"/>
  <c r="CL32" i="29"/>
  <c r="DV76" i="11"/>
  <c r="ED76" i="11"/>
  <c r="DW76" i="11"/>
  <c r="DX76" i="11"/>
  <c r="DY76" i="11"/>
  <c r="DZ76" i="11"/>
  <c r="DS76" i="11"/>
  <c r="EA76" i="11"/>
  <c r="DT76" i="11"/>
  <c r="EB76" i="11"/>
  <c r="EC76" i="11"/>
  <c r="K76" i="11"/>
  <c r="DU76" i="11"/>
  <c r="AC20" i="11"/>
  <c r="AC19" i="11" s="1"/>
  <c r="CR19" i="11"/>
  <c r="CR43" i="1"/>
  <c r="CR54" i="1" s="1"/>
  <c r="R150" i="19"/>
  <c r="R204" i="19"/>
  <c r="EH20" i="25"/>
  <c r="EH20" i="7"/>
  <c r="U76" i="19"/>
  <c r="U130" i="19"/>
  <c r="F54" i="21"/>
  <c r="BL33" i="1"/>
  <c r="BL55" i="1"/>
  <c r="BL39" i="1"/>
  <c r="BR33" i="1"/>
  <c r="BR55" i="1"/>
  <c r="BR39" i="1"/>
  <c r="V150" i="19"/>
  <c r="V204" i="19"/>
  <c r="S224" i="19"/>
  <c r="S278" i="19"/>
  <c r="W150" i="19"/>
  <c r="W204" i="19"/>
  <c r="Z30" i="36"/>
  <c r="CF83" i="1"/>
  <c r="Y44" i="1"/>
  <c r="Y83" i="1" s="1"/>
  <c r="G49" i="21"/>
  <c r="Z49" i="21"/>
  <c r="CI52" i="21"/>
  <c r="CI50" i="21"/>
  <c r="CI51" i="21"/>
  <c r="BD19" i="21"/>
  <c r="BD22" i="21"/>
  <c r="BD21" i="21"/>
  <c r="EQ30" i="25"/>
  <c r="D145" i="11"/>
  <c r="EQ31" i="25" s="1"/>
  <c r="U42" i="11"/>
  <c r="U46" i="11" s="1"/>
  <c r="BT46" i="11"/>
  <c r="R10" i="11"/>
  <c r="E10" i="11"/>
  <c r="BK109" i="11"/>
  <c r="BK137" i="11"/>
  <c r="CO36" i="21"/>
  <c r="CO51" i="19"/>
  <c r="CO72" i="15"/>
  <c r="CO54" i="15"/>
  <c r="CO78" i="15"/>
  <c r="AB19" i="15"/>
  <c r="G19" i="15"/>
  <c r="BO45" i="21"/>
  <c r="S45" i="21" s="1"/>
  <c r="AV52" i="2"/>
  <c r="AV57" i="2" s="1"/>
  <c r="BW24" i="21"/>
  <c r="E17" i="21"/>
  <c r="T225" i="19"/>
  <c r="T279" i="19"/>
  <c r="V226" i="19"/>
  <c r="V280" i="19"/>
  <c r="W45" i="34"/>
  <c r="DH23" i="1"/>
  <c r="E40" i="35"/>
  <c r="E45" i="35"/>
  <c r="E46" i="35" s="1"/>
  <c r="E51" i="35"/>
  <c r="E55" i="35" s="1"/>
  <c r="AG111" i="36"/>
  <c r="AG122" i="36" s="1"/>
  <c r="G44" i="34" s="1"/>
  <c r="AF91" i="37"/>
  <c r="AF103" i="37"/>
  <c r="AF118" i="37" s="1"/>
  <c r="AF98" i="37"/>
  <c r="AF97" i="37"/>
  <c r="AP31" i="29"/>
  <c r="U9" i="28" s="1"/>
  <c r="AS72" i="26" s="1"/>
  <c r="AS79" i="26" s="1"/>
  <c r="K31" i="29"/>
  <c r="F9" i="28" s="1"/>
  <c r="N72" i="26" s="1"/>
  <c r="N79" i="26" s="1"/>
  <c r="J17" i="22"/>
  <c r="T16" i="22"/>
  <c r="V16" i="22"/>
  <c r="X16" i="22"/>
  <c r="U16" i="22"/>
  <c r="O16" i="22"/>
  <c r="P16" i="22"/>
  <c r="W16" i="22"/>
  <c r="Q16" i="22"/>
  <c r="M16" i="22"/>
  <c r="Y16" i="22"/>
  <c r="N16" i="22"/>
  <c r="R16" i="22"/>
  <c r="S16" i="22"/>
  <c r="P56" i="21"/>
  <c r="T27" i="21"/>
  <c r="T32" i="21" s="1"/>
  <c r="BV19" i="11"/>
  <c r="BV43" i="1"/>
  <c r="Q34" i="1"/>
  <c r="BH33" i="1"/>
  <c r="BH55" i="1"/>
  <c r="BH39" i="1"/>
  <c r="CT60" i="19"/>
  <c r="CT253" i="19" s="1"/>
  <c r="CT85" i="15"/>
  <c r="BZ19" i="11"/>
  <c r="W20" i="11"/>
  <c r="W19" i="11" s="1"/>
  <c r="BZ43" i="1"/>
  <c r="BW11" i="25"/>
  <c r="BW14" i="25"/>
  <c r="S42" i="11"/>
  <c r="S46" i="11" s="1"/>
  <c r="BN46" i="11"/>
  <c r="HL32" i="7"/>
  <c r="HL42" i="7" s="1"/>
  <c r="O9" i="11"/>
  <c r="O82" i="11" s="1"/>
  <c r="O113" i="1"/>
  <c r="O100" i="1"/>
  <c r="O52" i="1"/>
  <c r="CD33" i="1"/>
  <c r="CD55" i="1"/>
  <c r="CD39" i="1"/>
  <c r="CS174" i="19"/>
  <c r="CS175" i="19"/>
  <c r="CS176" i="19"/>
  <c r="CS177" i="19"/>
  <c r="Q45" i="1"/>
  <c r="Q84" i="1" s="1"/>
  <c r="BH84" i="1"/>
  <c r="BD33" i="1"/>
  <c r="BD55" i="1"/>
  <c r="BD39" i="1"/>
  <c r="P39" i="35"/>
  <c r="P24" i="35"/>
  <c r="CQ31" i="24"/>
  <c r="AB30" i="24"/>
  <c r="P152" i="19"/>
  <c r="P206" i="19"/>
  <c r="AA42" i="11"/>
  <c r="AA46" i="11" s="1"/>
  <c r="CL46" i="11"/>
  <c r="V44" i="1"/>
  <c r="V83" i="1" s="1"/>
  <c r="F44" i="1"/>
  <c r="BW83" i="1"/>
  <c r="CS250" i="19"/>
  <c r="CS251" i="19"/>
  <c r="CS249" i="19"/>
  <c r="CS248" i="19"/>
  <c r="CQ19" i="11"/>
  <c r="CQ43" i="1"/>
  <c r="CM34" i="24"/>
  <c r="CN35" i="24" s="1"/>
  <c r="CO36" i="24" s="1"/>
  <c r="CE33" i="1"/>
  <c r="CE55" i="1"/>
  <c r="CE39" i="1"/>
  <c r="O225" i="19"/>
  <c r="O279" i="19"/>
  <c r="AJ31" i="29"/>
  <c r="O9" i="28" s="1"/>
  <c r="AM72" i="26" s="1"/>
  <c r="AM79" i="26" s="1"/>
  <c r="DA30" i="24"/>
  <c r="EX40" i="24"/>
  <c r="EY41" i="24" s="1"/>
  <c r="EZ42" i="24" s="1"/>
  <c r="CP72" i="24"/>
  <c r="CQ73" i="24" s="1"/>
  <c r="CR74" i="24" s="1"/>
  <c r="CS72" i="24"/>
  <c r="CT73" i="24" s="1"/>
  <c r="CU74" i="24" s="1"/>
  <c r="Y17" i="21"/>
  <c r="AC17" i="21"/>
  <c r="Y151" i="19"/>
  <c r="Y205" i="19"/>
  <c r="BA9" i="21"/>
  <c r="BA20" i="21"/>
  <c r="BA25" i="21"/>
  <c r="BA24" i="21" s="1"/>
  <c r="BA29" i="21" s="1"/>
  <c r="BA44" i="21"/>
  <c r="BC109" i="11"/>
  <c r="BC137" i="11"/>
  <c r="AM94" i="15"/>
  <c r="EH94" i="15"/>
  <c r="Y7" i="25"/>
  <c r="Y10" i="25"/>
  <c r="AZ82" i="1"/>
  <c r="AZ85" i="1"/>
  <c r="AZ42" i="1"/>
  <c r="V79" i="19"/>
  <c r="V133" i="19"/>
  <c r="F207" i="19"/>
  <c r="FW10" i="25"/>
  <c r="FC16" i="25"/>
  <c r="ET30" i="25"/>
  <c r="G145" i="11"/>
  <c r="ET31" i="25" s="1"/>
  <c r="CE19" i="21"/>
  <c r="CE22" i="21"/>
  <c r="CE21" i="21"/>
  <c r="BI137" i="11"/>
  <c r="BI109" i="11"/>
  <c r="DB113" i="11"/>
  <c r="I113" i="11"/>
  <c r="CU113" i="11"/>
  <c r="DC113" i="11"/>
  <c r="CV113" i="11"/>
  <c r="DD113" i="11"/>
  <c r="CW113" i="11"/>
  <c r="DE113" i="11"/>
  <c r="CX113" i="11"/>
  <c r="DF113" i="11"/>
  <c r="CY113" i="11"/>
  <c r="CZ113" i="11"/>
  <c r="DA113" i="11"/>
  <c r="EK25" i="25"/>
  <c r="O150" i="19"/>
  <c r="O204" i="19"/>
  <c r="Z151" i="19"/>
  <c r="FC14" i="7"/>
  <c r="GA8" i="7"/>
  <c r="AD10" i="35"/>
  <c r="K11" i="35"/>
  <c r="O11" i="35"/>
  <c r="Y76" i="19"/>
  <c r="Y130" i="19"/>
  <c r="BL19" i="11"/>
  <c r="BL43" i="1"/>
  <c r="T77" i="11"/>
  <c r="T72" i="11"/>
  <c r="T84" i="11"/>
  <c r="AG126" i="11"/>
  <c r="EX11" i="7" s="1"/>
  <c r="AE29" i="24"/>
  <c r="N152" i="19"/>
  <c r="N206" i="19"/>
  <c r="I71" i="11"/>
  <c r="CU71" i="11"/>
  <c r="DC71" i="11"/>
  <c r="CV71" i="11"/>
  <c r="DD71" i="11"/>
  <c r="CW71" i="11"/>
  <c r="DE71" i="11"/>
  <c r="CX71" i="11"/>
  <c r="DF71" i="11"/>
  <c r="CY71" i="11"/>
  <c r="CZ71" i="11"/>
  <c r="DA71" i="11"/>
  <c r="DB71" i="11"/>
  <c r="CY41" i="24"/>
  <c r="CZ42" i="24" s="1"/>
  <c r="DA43" i="24" s="1"/>
  <c r="CP19" i="11"/>
  <c r="CP43" i="1"/>
  <c r="CD109" i="11"/>
  <c r="CD137" i="11"/>
  <c r="BP19" i="11"/>
  <c r="BP43" i="1"/>
  <c r="F26" i="21"/>
  <c r="F132" i="19"/>
  <c r="FM9" i="25"/>
  <c r="Z10" i="11"/>
  <c r="CI109" i="11"/>
  <c r="CI137" i="11"/>
  <c r="AG41" i="36"/>
  <c r="CP71" i="24"/>
  <c r="CQ72" i="24" s="1"/>
  <c r="CR73" i="24" s="1"/>
  <c r="CV148" i="11"/>
  <c r="DD148" i="11"/>
  <c r="CW148" i="11"/>
  <c r="DE148" i="11"/>
  <c r="CX148" i="11"/>
  <c r="DF148" i="11"/>
  <c r="CY148" i="11"/>
  <c r="DA148" i="11"/>
  <c r="DB148" i="11"/>
  <c r="CU148" i="11"/>
  <c r="CZ148" i="11"/>
  <c r="I148" i="11"/>
  <c r="DC148" i="11"/>
  <c r="DQ23" i="1"/>
  <c r="CI84" i="1"/>
  <c r="G45" i="1"/>
  <c r="Z45" i="1"/>
  <c r="CL29" i="24"/>
  <c r="AC32" i="29"/>
  <c r="CS39" i="29"/>
  <c r="AC39" i="29" s="1"/>
  <c r="CQ33" i="1"/>
  <c r="CQ55" i="1"/>
  <c r="CQ39" i="1"/>
  <c r="CB33" i="1"/>
  <c r="CB55" i="1"/>
  <c r="CB39" i="1"/>
  <c r="BY9" i="21"/>
  <c r="BY20" i="21"/>
  <c r="BY15" i="21"/>
  <c r="BY25" i="21"/>
  <c r="BY24" i="21" s="1"/>
  <c r="BY29" i="21" s="1"/>
  <c r="BY44" i="21"/>
  <c r="CK15" i="21"/>
  <c r="AA51" i="34"/>
  <c r="AK29" i="35"/>
  <c r="ES31" i="24"/>
  <c r="AT30" i="24"/>
  <c r="X45" i="1"/>
  <c r="X84" i="1" s="1"/>
  <c r="CC84" i="1"/>
  <c r="CT67" i="19"/>
  <c r="CT99" i="19"/>
  <c r="CT174" i="19"/>
  <c r="CT175" i="19"/>
  <c r="CT177" i="19"/>
  <c r="CT176" i="19"/>
  <c r="W78" i="19"/>
  <c r="W132" i="19"/>
  <c r="AA47" i="21"/>
  <c r="HL12" i="7" s="1"/>
  <c r="Z224" i="19"/>
  <c r="GM7" i="7"/>
  <c r="CA34" i="24"/>
  <c r="CB35" i="24" s="1"/>
  <c r="CC36" i="24" s="1"/>
  <c r="Q150" i="19"/>
  <c r="Q204" i="19"/>
  <c r="BO26" i="24"/>
  <c r="S25" i="24"/>
  <c r="E59" i="18"/>
  <c r="Z77" i="19"/>
  <c r="FO8" i="7"/>
  <c r="T43" i="36"/>
  <c r="J73" i="22"/>
  <c r="V72" i="22"/>
  <c r="W72" i="22"/>
  <c r="AD72" i="22"/>
  <c r="Y72" i="22"/>
  <c r="R72" i="22"/>
  <c r="M72" i="22"/>
  <c r="Q72" i="22"/>
  <c r="U72" i="22"/>
  <c r="N72" i="22"/>
  <c r="T72" i="22"/>
  <c r="O72" i="22"/>
  <c r="X72" i="22"/>
  <c r="P72" i="22"/>
  <c r="S72" i="22"/>
  <c r="AA44" i="1"/>
  <c r="CL83" i="1"/>
  <c r="DT42" i="24"/>
  <c r="DU43" i="24" s="1"/>
  <c r="DV44" i="24" s="1"/>
  <c r="M11" i="22"/>
  <c r="U11" i="22"/>
  <c r="N11" i="22"/>
  <c r="V11" i="22"/>
  <c r="O11" i="22"/>
  <c r="W11" i="22"/>
  <c r="Q11" i="22"/>
  <c r="Y11" i="22"/>
  <c r="R11" i="22"/>
  <c r="X11" i="22"/>
  <c r="P11" i="22"/>
  <c r="S11" i="22"/>
  <c r="T11" i="22"/>
  <c r="K12" i="22"/>
  <c r="CD19" i="11"/>
  <c r="CD43" i="1"/>
  <c r="CH40" i="7"/>
  <c r="CI44" i="7"/>
  <c r="CH42" i="7"/>
  <c r="EG28" i="7"/>
  <c r="W52" i="21"/>
  <c r="CF19" i="21"/>
  <c r="CF14" i="21"/>
  <c r="Y9" i="21"/>
  <c r="Y22" i="21" s="1"/>
  <c r="CF21" i="21"/>
  <c r="CF22" i="21"/>
  <c r="X76" i="19"/>
  <c r="X130" i="19"/>
  <c r="CH19" i="11"/>
  <c r="CH43" i="1"/>
  <c r="EJ38" i="24"/>
  <c r="AQ37" i="24"/>
  <c r="BO19" i="21"/>
  <c r="BO22" i="21"/>
  <c r="BO21" i="21"/>
  <c r="DM89" i="11"/>
  <c r="DN89" i="11"/>
  <c r="DG89" i="11"/>
  <c r="DO89" i="11"/>
  <c r="DH89" i="11"/>
  <c r="DP89" i="11"/>
  <c r="DI89" i="11"/>
  <c r="DQ89" i="11"/>
  <c r="DJ89" i="11"/>
  <c r="DR89" i="11"/>
  <c r="DK89" i="11"/>
  <c r="J89" i="11"/>
  <c r="DL89" i="11"/>
  <c r="BM47" i="21"/>
  <c r="CJ45" i="21"/>
  <c r="E26" i="21"/>
  <c r="R26" i="21"/>
  <c r="R31" i="21" s="1"/>
  <c r="EF44" i="24"/>
  <c r="EG45" i="24" s="1"/>
  <c r="EH46" i="24" s="1"/>
  <c r="R45" i="35"/>
  <c r="R46" i="35" s="1"/>
  <c r="R51" i="35"/>
  <c r="R55" i="35" s="1"/>
  <c r="R40" i="35"/>
  <c r="CJ29" i="21"/>
  <c r="R76" i="19"/>
  <c r="R130" i="19"/>
  <c r="O89" i="1"/>
  <c r="Q226" i="19"/>
  <c r="Q280" i="19"/>
  <c r="U44" i="21"/>
  <c r="BT45" i="21"/>
  <c r="U45" i="21" s="1"/>
  <c r="BT47" i="21"/>
  <c r="U47" i="21" s="1"/>
  <c r="BT46" i="21"/>
  <c r="U46" i="21" s="1"/>
  <c r="E44" i="1"/>
  <c r="BK83" i="1"/>
  <c r="R44" i="1"/>
  <c r="R83" i="1" s="1"/>
  <c r="V25" i="29"/>
  <c r="F25" i="29"/>
  <c r="BN83" i="1"/>
  <c r="S44" i="1"/>
  <c r="S83" i="1" s="1"/>
  <c r="S113" i="37"/>
  <c r="S14" i="37" s="1"/>
  <c r="AF14" i="37" s="1"/>
  <c r="AF94" i="37"/>
  <c r="AF113" i="37" s="1"/>
  <c r="T17" i="36"/>
  <c r="T4" i="36"/>
  <c r="T20" i="36"/>
  <c r="AC43" i="19"/>
  <c r="CR67" i="19"/>
  <c r="CR99" i="19"/>
  <c r="N227" i="19"/>
  <c r="N281" i="19"/>
  <c r="CJ33" i="24"/>
  <c r="CK34" i="24" s="1"/>
  <c r="CL35" i="24" s="1"/>
  <c r="W45" i="38"/>
  <c r="Y23" i="1"/>
  <c r="DR23" i="1"/>
  <c r="AA30" i="21"/>
  <c r="HL15" i="7" s="1"/>
  <c r="Q78" i="19"/>
  <c r="Q132" i="19"/>
  <c r="CC19" i="11"/>
  <c r="X20" i="11"/>
  <c r="X19" i="11" s="1"/>
  <c r="CC43" i="1"/>
  <c r="O10" i="11"/>
  <c r="BB109" i="11"/>
  <c r="BB137" i="11"/>
  <c r="BO33" i="1"/>
  <c r="BO55" i="1"/>
  <c r="BO39" i="1"/>
  <c r="BM14" i="21"/>
  <c r="BM19" i="21"/>
  <c r="BM21" i="21"/>
  <c r="BM22" i="21"/>
  <c r="CI33" i="1"/>
  <c r="CI55" i="1"/>
  <c r="G34" i="1"/>
  <c r="Z34" i="1"/>
  <c r="CI39" i="1"/>
  <c r="J21" i="8"/>
  <c r="BJ19" i="11"/>
  <c r="BJ43" i="1"/>
  <c r="CL84" i="1"/>
  <c r="AA45" i="1"/>
  <c r="BZ84" i="1"/>
  <c r="W45" i="1"/>
  <c r="W84" i="1" s="1"/>
  <c r="BL14" i="21"/>
  <c r="BL19" i="21"/>
  <c r="BL22" i="21"/>
  <c r="BL21" i="21"/>
  <c r="Y9" i="11"/>
  <c r="Y82" i="11" s="1"/>
  <c r="Y15" i="1"/>
  <c r="Y100" i="1"/>
  <c r="Y52" i="1"/>
  <c r="AA9" i="21"/>
  <c r="AA20" i="21" s="1"/>
  <c r="F204" i="19"/>
  <c r="FC13" i="25"/>
  <c r="FW7" i="25"/>
  <c r="P17" i="7"/>
  <c r="BN17" i="7"/>
  <c r="Y150" i="19"/>
  <c r="Y204" i="19"/>
  <c r="U153" i="19"/>
  <c r="U207" i="19"/>
  <c r="DQ40" i="24"/>
  <c r="DR41" i="24" s="1"/>
  <c r="DS42" i="24" s="1"/>
  <c r="AA77" i="19"/>
  <c r="FP8" i="7"/>
  <c r="BD29" i="21"/>
  <c r="ER17" i="7"/>
  <c r="ER18" i="7"/>
  <c r="DY22" i="1"/>
  <c r="AJ22" i="1"/>
  <c r="U109" i="11"/>
  <c r="U137" i="11"/>
  <c r="CO8" i="15"/>
  <c r="CA56" i="21"/>
  <c r="CA57" i="21"/>
  <c r="W57" i="21" s="1"/>
  <c r="W79" i="19"/>
  <c r="W133" i="19"/>
  <c r="EO40" i="24"/>
  <c r="EP41" i="24" s="1"/>
  <c r="EQ42" i="24" s="1"/>
  <c r="R227" i="19"/>
  <c r="R281" i="19"/>
  <c r="H136" i="11"/>
  <c r="ET22" i="25"/>
  <c r="F280" i="19"/>
  <c r="GG9" i="25"/>
  <c r="AZ57" i="1"/>
  <c r="BD47" i="21"/>
  <c r="AA225" i="19"/>
  <c r="GN8" i="7"/>
  <c r="AZ33" i="1"/>
  <c r="AZ55" i="1"/>
  <c r="AZ39" i="1"/>
  <c r="K28" i="22"/>
  <c r="CS80" i="15"/>
  <c r="AD22" i="1"/>
  <c r="H22" i="1"/>
  <c r="P51" i="21"/>
  <c r="F49" i="21"/>
  <c r="Y89" i="1"/>
  <c r="BH45" i="21"/>
  <c r="BH47" i="21"/>
  <c r="BH46" i="21"/>
  <c r="R42" i="11"/>
  <c r="R46" i="11" s="1"/>
  <c r="E42" i="11"/>
  <c r="E46" i="11" s="1"/>
  <c r="BK46" i="11"/>
  <c r="BU33" i="24"/>
  <c r="BV34" i="24" s="1"/>
  <c r="BW35" i="24" s="1"/>
  <c r="EL45" i="24"/>
  <c r="EM46" i="24" s="1"/>
  <c r="EN47" i="24" s="1"/>
  <c r="P151" i="19"/>
  <c r="P205" i="19"/>
  <c r="W153" i="19"/>
  <c r="W207" i="19"/>
  <c r="BN33" i="1"/>
  <c r="S34" i="1"/>
  <c r="BN55" i="1"/>
  <c r="BN39" i="1"/>
  <c r="P25" i="21"/>
  <c r="P30" i="21" s="1"/>
  <c r="E205" i="19"/>
  <c r="FB14" i="7"/>
  <c r="FB14" i="25"/>
  <c r="Z7" i="25"/>
  <c r="Z10" i="25"/>
  <c r="D205" i="19"/>
  <c r="FA14" i="25"/>
  <c r="FA14" i="7"/>
  <c r="R89" i="1"/>
  <c r="Y22" i="24"/>
  <c r="CF25" i="24"/>
  <c r="CM45" i="21"/>
  <c r="CM46" i="21"/>
  <c r="AA46" i="21" s="1"/>
  <c r="HL11" i="7" s="1"/>
  <c r="AF55" i="37"/>
  <c r="S13" i="37"/>
  <c r="ET30" i="24"/>
  <c r="L30" i="24" s="1"/>
  <c r="DD31" i="24"/>
  <c r="D54" i="18"/>
  <c r="D61" i="18" s="1"/>
  <c r="F54" i="18"/>
  <c r="F61" i="18" s="1"/>
  <c r="G54" i="18"/>
  <c r="G61" i="18" s="1"/>
  <c r="H54" i="18"/>
  <c r="H61" i="18" s="1"/>
  <c r="C54" i="18"/>
  <c r="C61" i="18" s="1"/>
  <c r="E54" i="18"/>
  <c r="E61" i="18" s="1"/>
  <c r="W224" i="19"/>
  <c r="W278" i="19"/>
  <c r="U79" i="36"/>
  <c r="U75" i="36" s="1"/>
  <c r="T69" i="37"/>
  <c r="T71" i="37"/>
  <c r="F206" i="19"/>
  <c r="FC15" i="25"/>
  <c r="FW9" i="25"/>
  <c r="Y77" i="19"/>
  <c r="Y131" i="19"/>
  <c r="EI46" i="24"/>
  <c r="EJ47" i="24" s="1"/>
  <c r="EK48" i="24" s="1"/>
  <c r="CC24" i="21"/>
  <c r="X25" i="21"/>
  <c r="X30" i="21" s="1"/>
  <c r="N226" i="19"/>
  <c r="N280" i="19"/>
  <c r="V22" i="24"/>
  <c r="F22" i="24"/>
  <c r="BW25" i="24"/>
  <c r="CT66" i="15"/>
  <c r="H142" i="11"/>
  <c r="ET28" i="25"/>
  <c r="N7" i="18"/>
  <c r="D59" i="18"/>
  <c r="W225" i="19"/>
  <c r="W279" i="19"/>
  <c r="ES30" i="25"/>
  <c r="F145" i="11"/>
  <c r="ES31" i="25" s="1"/>
  <c r="X78" i="19"/>
  <c r="X132" i="19"/>
  <c r="B2" i="30"/>
  <c r="AH31" i="29"/>
  <c r="M9" i="28" s="1"/>
  <c r="AK72" i="26" s="1"/>
  <c r="AK79" i="26" s="1"/>
  <c r="W9" i="11"/>
  <c r="W82" i="11" s="1"/>
  <c r="W15" i="1"/>
  <c r="W90" i="1" s="1"/>
  <c r="W100" i="1"/>
  <c r="W52" i="1"/>
  <c r="R226" i="19"/>
  <c r="R280" i="19"/>
  <c r="Q153" i="19"/>
  <c r="Q207" i="19"/>
  <c r="CF58" i="19"/>
  <c r="Y58" i="19" s="1"/>
  <c r="Y63" i="19" s="1"/>
  <c r="CF36" i="15"/>
  <c r="CE34" i="15"/>
  <c r="Y29" i="15"/>
  <c r="CF92" i="15"/>
  <c r="CF37" i="15"/>
  <c r="J20" i="8"/>
  <c r="S72" i="11"/>
  <c r="S77" i="11"/>
  <c r="S84" i="11"/>
  <c r="AE121" i="36"/>
  <c r="E38" i="34"/>
  <c r="AE138" i="36"/>
  <c r="AE139" i="36" s="1"/>
  <c r="AY13" i="29"/>
  <c r="AZ9" i="29" s="1"/>
  <c r="D11" i="29"/>
  <c r="D13" i="29" s="1"/>
  <c r="E9" i="29" s="1"/>
  <c r="N11" i="29"/>
  <c r="N13" i="29" s="1"/>
  <c r="AY32" i="29"/>
  <c r="CJ63" i="19"/>
  <c r="CK29" i="15"/>
  <c r="W76" i="19"/>
  <c r="W130" i="19"/>
  <c r="Y51" i="38"/>
  <c r="Y43" i="38"/>
  <c r="Y24" i="38" s="1"/>
  <c r="Y16" i="38" s="1"/>
  <c r="CJ47" i="15"/>
  <c r="CJ48" i="15"/>
  <c r="BE46" i="11"/>
  <c r="P42" i="11"/>
  <c r="P46" i="11" s="1"/>
  <c r="AA27" i="36"/>
  <c r="AA30" i="36" s="1"/>
  <c r="BK19" i="11"/>
  <c r="E20" i="11"/>
  <c r="R20" i="11"/>
  <c r="R19" i="11" s="1"/>
  <c r="BK43" i="1"/>
  <c r="CA26" i="24"/>
  <c r="W25" i="24"/>
  <c r="V77" i="11"/>
  <c r="V72" i="11"/>
  <c r="V84" i="11"/>
  <c r="U9" i="11"/>
  <c r="U82" i="11" s="1"/>
  <c r="U15" i="1"/>
  <c r="U100" i="1"/>
  <c r="U52" i="1"/>
  <c r="W77" i="11"/>
  <c r="W72" i="11"/>
  <c r="W84" i="11"/>
  <c r="O76" i="19"/>
  <c r="O130" i="19"/>
  <c r="X44" i="21"/>
  <c r="CC46" i="21"/>
  <c r="X46" i="21" s="1"/>
  <c r="CC47" i="21"/>
  <c r="X47" i="21" s="1"/>
  <c r="CC45" i="21"/>
  <c r="X45" i="21" s="1"/>
  <c r="X225" i="19"/>
  <c r="X279" i="19"/>
  <c r="CT67" i="15"/>
  <c r="S77" i="19"/>
  <c r="S131" i="19"/>
  <c r="U20" i="11"/>
  <c r="U19" i="11" s="1"/>
  <c r="BT19" i="11"/>
  <c r="BT43" i="1"/>
  <c r="CT34" i="21"/>
  <c r="CT39" i="21" s="1"/>
  <c r="S78" i="19"/>
  <c r="S132" i="19"/>
  <c r="K19" i="22"/>
  <c r="CA51" i="21"/>
  <c r="CA52" i="21"/>
  <c r="X51" i="21"/>
  <c r="DB43" i="24"/>
  <c r="DC44" i="24" s="1"/>
  <c r="DD45" i="24" s="1"/>
  <c r="CG55" i="1"/>
  <c r="CG33" i="1"/>
  <c r="CG39" i="1"/>
  <c r="V45" i="1"/>
  <c r="V84" i="1" s="1"/>
  <c r="F45" i="1"/>
  <c r="BW84" i="1"/>
  <c r="M9" i="18"/>
  <c r="M5" i="18"/>
  <c r="C59" i="18"/>
  <c r="BN19" i="11"/>
  <c r="S20" i="11"/>
  <c r="S19" i="11" s="1"/>
  <c r="BN43" i="1"/>
  <c r="U150" i="19"/>
  <c r="U204" i="19"/>
  <c r="E207" i="19"/>
  <c r="FB16" i="25"/>
  <c r="FB16" i="7"/>
  <c r="V11" i="29"/>
  <c r="BW32" i="29"/>
  <c r="F11" i="29"/>
  <c r="BN17" i="25"/>
  <c r="P17" i="25"/>
  <c r="E19" i="29"/>
  <c r="E20" i="29" s="1"/>
  <c r="F16" i="29" s="1"/>
  <c r="D9" i="8"/>
  <c r="E9" i="11"/>
  <c r="E15" i="1"/>
  <c r="D6" i="25" s="1"/>
  <c r="D29" i="25" s="1"/>
  <c r="D5" i="25"/>
  <c r="D28" i="25" s="1"/>
  <c r="E100" i="1"/>
  <c r="CI17" i="25" s="1"/>
  <c r="Y13" i="25"/>
  <c r="E76" i="1"/>
  <c r="F102" i="1"/>
  <c r="BD11" i="25" s="1"/>
  <c r="F89" i="1"/>
  <c r="F91" i="1"/>
  <c r="U32" i="29"/>
  <c r="BU39" i="29"/>
  <c r="U39" i="29" s="1"/>
  <c r="Y10" i="21"/>
  <c r="Z153" i="19"/>
  <c r="FC16" i="7"/>
  <c r="GA10" i="7"/>
  <c r="I91" i="11"/>
  <c r="AH91" i="11"/>
  <c r="DS91" i="11"/>
  <c r="DZ41" i="24"/>
  <c r="EA42" i="24" s="1"/>
  <c r="EB43" i="24" s="1"/>
  <c r="T153" i="19"/>
  <c r="T207" i="19"/>
  <c r="P227" i="19"/>
  <c r="P281" i="19"/>
  <c r="DZ40" i="24"/>
  <c r="EA41" i="24" s="1"/>
  <c r="EB42" i="24" s="1"/>
  <c r="AG79" i="36"/>
  <c r="AG90" i="36" s="1"/>
  <c r="G33" i="34" s="1"/>
  <c r="AF72" i="37"/>
  <c r="AF79" i="37"/>
  <c r="AF78" i="37"/>
  <c r="S76" i="19"/>
  <c r="S130" i="19"/>
  <c r="CB45" i="21"/>
  <c r="CB46" i="21"/>
  <c r="CB47" i="21"/>
  <c r="AY46" i="11"/>
  <c r="D42" i="11"/>
  <c r="D46" i="11" s="1"/>
  <c r="N42" i="11"/>
  <c r="N46" i="11" s="1"/>
  <c r="AA24" i="21"/>
  <c r="AA29" i="21" s="1"/>
  <c r="CL29" i="21"/>
  <c r="CI83" i="1"/>
  <c r="G44" i="1"/>
  <c r="Z44" i="1"/>
  <c r="U225" i="19"/>
  <c r="U279" i="19"/>
  <c r="R32" i="29"/>
  <c r="BL39" i="29"/>
  <c r="CA109" i="11"/>
  <c r="CA137" i="11"/>
  <c r="BU34" i="24"/>
  <c r="BV35" i="24" s="1"/>
  <c r="BW36" i="24" s="1"/>
  <c r="J90" i="11"/>
  <c r="DL90" i="11"/>
  <c r="DM90" i="11"/>
  <c r="DN90" i="11"/>
  <c r="DG90" i="11"/>
  <c r="DO90" i="11"/>
  <c r="DH90" i="11"/>
  <c r="DP90" i="11"/>
  <c r="DI90" i="11"/>
  <c r="DQ90" i="11"/>
  <c r="DJ90" i="11"/>
  <c r="DR90" i="11"/>
  <c r="DK90" i="11"/>
  <c r="DW41" i="24"/>
  <c r="DX42" i="24" s="1"/>
  <c r="DY43" i="24" s="1"/>
  <c r="W227" i="19"/>
  <c r="W281" i="19"/>
  <c r="I22" i="8"/>
  <c r="BE19" i="11"/>
  <c r="P20" i="11"/>
  <c r="P19" i="11" s="1"/>
  <c r="BE43" i="1"/>
  <c r="BI55" i="1"/>
  <c r="BI33" i="1"/>
  <c r="BI39" i="1"/>
  <c r="F279" i="19"/>
  <c r="GG8" i="25"/>
  <c r="DK23" i="1"/>
  <c r="AF80" i="37"/>
  <c r="U34" i="1"/>
  <c r="BT33" i="1"/>
  <c r="BT55" i="1"/>
  <c r="BT39" i="1"/>
  <c r="E52" i="1"/>
  <c r="AF22" i="1"/>
  <c r="AC59" i="19"/>
  <c r="CR247" i="19"/>
  <c r="CL19" i="11"/>
  <c r="AA20" i="11"/>
  <c r="AA19" i="11" s="1"/>
  <c r="CL43" i="1"/>
  <c r="BG47" i="21"/>
  <c r="BG46" i="21"/>
  <c r="AK31" i="29"/>
  <c r="P9" i="28" s="1"/>
  <c r="AN72" i="26" s="1"/>
  <c r="AN79" i="26" s="1"/>
  <c r="G102" i="1"/>
  <c r="BE11" i="25" s="1"/>
  <c r="G91" i="1"/>
  <c r="R17" i="21"/>
  <c r="P150" i="19"/>
  <c r="P204" i="19"/>
  <c r="FA41" i="24"/>
  <c r="FB42" i="24" s="1"/>
  <c r="AI62" i="36"/>
  <c r="Y67" i="36"/>
  <c r="Z62" i="36" s="1"/>
  <c r="Z67" i="36" s="1"/>
  <c r="AA62" i="36" s="1"/>
  <c r="AA67" i="36" s="1"/>
  <c r="AB62" i="36" s="1"/>
  <c r="AB67" i="36" s="1"/>
  <c r="AI67" i="36" s="1"/>
  <c r="ET18" i="25"/>
  <c r="X57" i="21"/>
  <c r="CC46" i="11"/>
  <c r="X42" i="11"/>
  <c r="X46" i="11" s="1"/>
  <c r="Y32" i="29"/>
  <c r="CG39" i="29"/>
  <c r="Y39" i="29" s="1"/>
  <c r="N78" i="19"/>
  <c r="N132" i="19"/>
  <c r="P224" i="19"/>
  <c r="P278" i="19"/>
  <c r="DT51" i="24"/>
  <c r="DU52" i="24" s="1"/>
  <c r="DV53" i="24" s="1"/>
  <c r="CS11" i="1"/>
  <c r="I22" i="1"/>
  <c r="AH22" i="1"/>
  <c r="DS22" i="1"/>
  <c r="P46" i="21"/>
  <c r="T17" i="21"/>
  <c r="CM137" i="11"/>
  <c r="CM109" i="11"/>
  <c r="N224" i="19"/>
  <c r="N278" i="19"/>
  <c r="V49" i="21"/>
  <c r="Q10" i="11"/>
  <c r="BH137" i="11"/>
  <c r="BH109" i="11"/>
  <c r="P57" i="21"/>
  <c r="H18" i="29"/>
  <c r="AD18" i="29"/>
  <c r="BH24" i="21"/>
  <c r="AA44" i="21"/>
  <c r="EA32" i="24"/>
  <c r="DG118" i="11"/>
  <c r="DO118" i="11"/>
  <c r="DH118" i="11"/>
  <c r="DP118" i="11"/>
  <c r="DI118" i="11"/>
  <c r="DQ118" i="11"/>
  <c r="DJ118" i="11"/>
  <c r="DR118" i="11"/>
  <c r="DK118" i="11"/>
  <c r="J118" i="11"/>
  <c r="DL118" i="11"/>
  <c r="DM118" i="11"/>
  <c r="DN118" i="11"/>
  <c r="Y225" i="19"/>
  <c r="Y279" i="19"/>
  <c r="D77" i="11"/>
  <c r="D72" i="11"/>
  <c r="D84" i="11"/>
  <c r="P24" i="21"/>
  <c r="P29" i="21" s="1"/>
  <c r="BE29" i="21"/>
  <c r="BY11" i="25"/>
  <c r="BY14" i="25"/>
  <c r="AA79" i="19"/>
  <c r="FP10" i="7"/>
  <c r="AA226" i="19"/>
  <c r="GN9" i="7"/>
  <c r="Z10" i="21"/>
  <c r="CI9" i="21"/>
  <c r="CI20" i="21"/>
  <c r="CI15" i="21"/>
  <c r="CI25" i="21"/>
  <c r="CI44" i="21"/>
  <c r="N44" i="21"/>
  <c r="AY45" i="21"/>
  <c r="X10" i="11"/>
  <c r="DV30" i="24"/>
  <c r="S31" i="37"/>
  <c r="S23" i="1"/>
  <c r="AI91" i="11"/>
  <c r="DV91" i="11"/>
  <c r="C53" i="18"/>
  <c r="C60" i="18" s="1"/>
  <c r="D53" i="18"/>
  <c r="D60" i="18" s="1"/>
  <c r="E53" i="18"/>
  <c r="E60" i="18" s="1"/>
  <c r="G53" i="18"/>
  <c r="G60" i="18" s="1"/>
  <c r="H53" i="18"/>
  <c r="H60" i="18" s="1"/>
  <c r="F53" i="18"/>
  <c r="F60" i="18" s="1"/>
  <c r="CP174" i="19"/>
  <c r="CP176" i="19"/>
  <c r="CP177" i="19"/>
  <c r="CP175" i="19"/>
  <c r="CQ99" i="19"/>
  <c r="F281" i="19"/>
  <c r="GG10" i="25"/>
  <c r="N79" i="19"/>
  <c r="N133" i="19"/>
  <c r="P109" i="11"/>
  <c r="P137" i="11"/>
  <c r="O23" i="1"/>
  <c r="DJ23" i="1"/>
  <c r="N77" i="11"/>
  <c r="N72" i="11"/>
  <c r="N84" i="11"/>
  <c r="CF84" i="1"/>
  <c r="Y45" i="1"/>
  <c r="Y84" i="1" s="1"/>
  <c r="H108" i="11"/>
  <c r="EJ20" i="7"/>
  <c r="EJ20" i="25"/>
  <c r="E206" i="19"/>
  <c r="FB15" i="7"/>
  <c r="FB15" i="25"/>
  <c r="Z17" i="21"/>
  <c r="T38" i="22"/>
  <c r="N38" i="22"/>
  <c r="W38" i="22"/>
  <c r="Q38" i="22"/>
  <c r="R38" i="22"/>
  <c r="K39" i="22"/>
  <c r="S38" i="22"/>
  <c r="Y38" i="22"/>
  <c r="M38" i="22"/>
  <c r="O38" i="22"/>
  <c r="P38" i="22"/>
  <c r="U38" i="22"/>
  <c r="V38" i="22"/>
  <c r="X38" i="22"/>
  <c r="S9" i="11"/>
  <c r="S82" i="11" s="1"/>
  <c r="S15" i="1"/>
  <c r="S90" i="1" s="1"/>
  <c r="S113" i="1"/>
  <c r="S100" i="1"/>
  <c r="S52" i="1"/>
  <c r="AZ54" i="1"/>
  <c r="D46" i="1"/>
  <c r="N46" i="1"/>
  <c r="D44" i="1"/>
  <c r="N44" i="1"/>
  <c r="N83" i="1" s="1"/>
  <c r="AY83" i="1"/>
  <c r="F52" i="1"/>
  <c r="O152" i="19"/>
  <c r="O206" i="19"/>
  <c r="X43" i="38"/>
  <c r="X24" i="38" s="1"/>
  <c r="Z152" i="19"/>
  <c r="FC15" i="7"/>
  <c r="GA9" i="7"/>
  <c r="CJ47" i="19"/>
  <c r="CJ71" i="19" s="1"/>
  <c r="CK7" i="15"/>
  <c r="CJ45" i="15"/>
  <c r="Z79" i="19"/>
  <c r="FO10" i="7"/>
  <c r="CK39" i="7"/>
  <c r="CK40" i="7" s="1"/>
  <c r="CK15" i="7"/>
  <c r="Q224" i="19"/>
  <c r="Q278" i="19"/>
  <c r="CS39" i="1"/>
  <c r="CS33" i="1"/>
  <c r="CS55" i="1"/>
  <c r="S10" i="11"/>
  <c r="BN109" i="11"/>
  <c r="BN137" i="11"/>
  <c r="CT249" i="19"/>
  <c r="CT250" i="19"/>
  <c r="CT251" i="19"/>
  <c r="CT248" i="19"/>
  <c r="AI58" i="29"/>
  <c r="AI70" i="29" s="1"/>
  <c r="CB101" i="1"/>
  <c r="CB100" i="1"/>
  <c r="Y25" i="34"/>
  <c r="DN88" i="11"/>
  <c r="DG88" i="11"/>
  <c r="DO88" i="11"/>
  <c r="DH88" i="11"/>
  <c r="DP88" i="11"/>
  <c r="DI88" i="11"/>
  <c r="DQ88" i="11"/>
  <c r="DJ88" i="11"/>
  <c r="DR88" i="11"/>
  <c r="DK88" i="11"/>
  <c r="J88" i="11"/>
  <c r="DL88" i="11"/>
  <c r="DM88" i="11"/>
  <c r="Q17" i="25"/>
  <c r="BO17" i="25"/>
  <c r="Q76" i="19"/>
  <c r="Q130" i="19"/>
  <c r="W56" i="21"/>
  <c r="Y78" i="19"/>
  <c r="Y132" i="19"/>
  <c r="P7" i="18"/>
  <c r="P9" i="18"/>
  <c r="F59" i="18"/>
  <c r="DK149" i="11"/>
  <c r="J149" i="11"/>
  <c r="DL149" i="11"/>
  <c r="DM149" i="11"/>
  <c r="DN149" i="11"/>
  <c r="DI149" i="11"/>
  <c r="DQ149" i="11"/>
  <c r="DG149" i="11"/>
  <c r="DH149" i="11"/>
  <c r="DJ149" i="11"/>
  <c r="DO149" i="11"/>
  <c r="DP149" i="11"/>
  <c r="DR149" i="11"/>
  <c r="AB44" i="1"/>
  <c r="CO83" i="1"/>
  <c r="AB20" i="11"/>
  <c r="AB19" i="11" s="1"/>
  <c r="CO19" i="11"/>
  <c r="CO43" i="1"/>
  <c r="P20" i="21"/>
  <c r="R153" i="19"/>
  <c r="R207" i="19"/>
  <c r="W32" i="21"/>
  <c r="AW31" i="29"/>
  <c r="AB9" i="28" s="1"/>
  <c r="AZ72" i="26" s="1"/>
  <c r="AZ79" i="26" s="1"/>
  <c r="BB20" i="29"/>
  <c r="BC16" i="29" s="1"/>
  <c r="BC20" i="29" s="1"/>
  <c r="BD16" i="29" s="1"/>
  <c r="BD20" i="29" s="1"/>
  <c r="BE16" i="29" s="1"/>
  <c r="O16" i="29"/>
  <c r="O20" i="29" s="1"/>
  <c r="V23" i="1"/>
  <c r="F23" i="1"/>
  <c r="EI20" i="25"/>
  <c r="EI20" i="7"/>
  <c r="BB32" i="29"/>
  <c r="O11" i="29"/>
  <c r="AA90" i="1"/>
  <c r="X91" i="1"/>
  <c r="X102" i="1"/>
  <c r="X89" i="1"/>
  <c r="Y90" i="1"/>
  <c r="X90" i="1"/>
  <c r="F27" i="21"/>
  <c r="S22" i="21"/>
  <c r="AA89" i="1"/>
  <c r="Z81" i="29"/>
  <c r="Z85" i="29" s="1"/>
  <c r="CE137" i="11"/>
  <c r="CE109" i="11"/>
  <c r="N17" i="7"/>
  <c r="BL17" i="7"/>
  <c r="T57" i="21"/>
  <c r="W30" i="36"/>
  <c r="W27" i="36"/>
  <c r="CP68" i="24"/>
  <c r="BA19" i="11"/>
  <c r="BA43" i="1"/>
  <c r="DF30" i="24"/>
  <c r="AG29" i="24"/>
  <c r="BT14" i="21"/>
  <c r="U9" i="21"/>
  <c r="BT19" i="21"/>
  <c r="BT21" i="21"/>
  <c r="BT22" i="21"/>
  <c r="CY141" i="11"/>
  <c r="CZ141" i="11"/>
  <c r="DA141" i="11"/>
  <c r="DB141" i="11"/>
  <c r="CV141" i="11"/>
  <c r="DD141" i="11"/>
  <c r="CW141" i="11"/>
  <c r="DE141" i="11"/>
  <c r="DF141" i="11"/>
  <c r="CU141" i="11"/>
  <c r="CX141" i="11"/>
  <c r="DC141" i="11"/>
  <c r="I141" i="11"/>
  <c r="EU27" i="25"/>
  <c r="U78" i="19"/>
  <c r="U132" i="19"/>
  <c r="N76" i="19"/>
  <c r="N130" i="19"/>
  <c r="BQ25" i="24"/>
  <c r="T22" i="24"/>
  <c r="E23" i="1"/>
  <c r="R23" i="1"/>
  <c r="CF46" i="11"/>
  <c r="Y42" i="11"/>
  <c r="Y46" i="11" s="1"/>
  <c r="DB40" i="24"/>
  <c r="DC41" i="24" s="1"/>
  <c r="DD42" i="24" s="1"/>
  <c r="N56" i="21"/>
  <c r="AB27" i="36"/>
  <c r="W144" i="11"/>
  <c r="W145" i="11" s="1"/>
  <c r="Q227" i="19"/>
  <c r="Q281" i="19"/>
  <c r="CE29" i="21"/>
  <c r="BM15" i="21"/>
  <c r="AA151" i="19"/>
  <c r="FD14" i="7"/>
  <c r="GB8" i="7"/>
  <c r="CS44" i="19"/>
  <c r="CS42" i="15"/>
  <c r="CS83" i="15"/>
  <c r="CQ51" i="19"/>
  <c r="CQ173" i="19" s="1"/>
  <c r="CQ78" i="15"/>
  <c r="CQ80" i="15" s="1"/>
  <c r="BH32" i="29"/>
  <c r="O78" i="19"/>
  <c r="O132" i="19"/>
  <c r="B8" i="30"/>
  <c r="AC78" i="15"/>
  <c r="Q79" i="19"/>
  <c r="Q133" i="19"/>
  <c r="R10" i="21"/>
  <c r="BK9" i="21"/>
  <c r="BK20" i="21" s="1"/>
  <c r="E10" i="21"/>
  <c r="BK15" i="21"/>
  <c r="BK25" i="21"/>
  <c r="BK44" i="21"/>
  <c r="D25" i="40"/>
  <c r="J90" i="22"/>
  <c r="T89" i="22"/>
  <c r="AD89" i="22"/>
  <c r="O89" i="22"/>
  <c r="S89" i="22"/>
  <c r="R89" i="22"/>
  <c r="Y89" i="22"/>
  <c r="X89" i="22"/>
  <c r="U89" i="22"/>
  <c r="Q89" i="22"/>
  <c r="P89" i="22"/>
  <c r="M89" i="22"/>
  <c r="V89" i="22"/>
  <c r="W89" i="22"/>
  <c r="N89" i="22"/>
  <c r="CQ59" i="19"/>
  <c r="CQ247" i="19" s="1"/>
  <c r="CQ79" i="15"/>
  <c r="Z16" i="21"/>
  <c r="O79" i="19"/>
  <c r="O133" i="19"/>
  <c r="BX137" i="11"/>
  <c r="BX109" i="11"/>
  <c r="BN84" i="1"/>
  <c r="S45" i="1"/>
  <c r="S84" i="1" s="1"/>
  <c r="CN19" i="21"/>
  <c r="CN14" i="21"/>
  <c r="CN22" i="21"/>
  <c r="CN21" i="21"/>
  <c r="F16" i="21"/>
  <c r="BX14" i="21"/>
  <c r="CT52" i="19"/>
  <c r="CT179" i="19" s="1"/>
  <c r="CT84" i="15"/>
  <c r="CT86" i="15" s="1"/>
  <c r="V9" i="21"/>
  <c r="BW19" i="21"/>
  <c r="BW22" i="21"/>
  <c r="BW21" i="21"/>
  <c r="BY55" i="1"/>
  <c r="BY33" i="1"/>
  <c r="BY39" i="1"/>
  <c r="E27" i="21"/>
  <c r="R27" i="21"/>
  <c r="R32" i="21" s="1"/>
  <c r="X25" i="24"/>
  <c r="CD26" i="24"/>
  <c r="DI23" i="1"/>
  <c r="S205" i="19"/>
  <c r="S151" i="19"/>
  <c r="Q9" i="11"/>
  <c r="Q82" i="11" s="1"/>
  <c r="Q113" i="1"/>
  <c r="Q100" i="1"/>
  <c r="Q52" i="1"/>
  <c r="CY87" i="11"/>
  <c r="CZ87" i="11"/>
  <c r="DA87" i="11"/>
  <c r="DB87" i="11"/>
  <c r="I87" i="11"/>
  <c r="CU87" i="11"/>
  <c r="DC87" i="11"/>
  <c r="CV87" i="11"/>
  <c r="DD87" i="11"/>
  <c r="CW87" i="11"/>
  <c r="DE87" i="11"/>
  <c r="CX87" i="11"/>
  <c r="DF87" i="11"/>
  <c r="DO23" i="1"/>
  <c r="DC23" i="1"/>
  <c r="DC21" i="1" s="1"/>
  <c r="BU19" i="11"/>
  <c r="BU43" i="1"/>
  <c r="AC144" i="11"/>
  <c r="D132" i="19"/>
  <c r="T78" i="19"/>
  <c r="T132" i="19"/>
  <c r="BI51" i="21"/>
  <c r="BI52" i="21"/>
  <c r="Q52" i="21" s="1"/>
  <c r="T152" i="19"/>
  <c r="T206" i="19"/>
  <c r="X226" i="19"/>
  <c r="X280" i="19"/>
  <c r="R9" i="11"/>
  <c r="R82" i="11" s="1"/>
  <c r="R100" i="1"/>
  <c r="R113" i="1"/>
  <c r="R52" i="1"/>
  <c r="CS71" i="15"/>
  <c r="CA19" i="11"/>
  <c r="CA43" i="1"/>
  <c r="D278" i="19"/>
  <c r="BO137" i="11"/>
  <c r="BO109" i="11"/>
  <c r="P52" i="21"/>
  <c r="BK33" i="1"/>
  <c r="E34" i="1"/>
  <c r="BK55" i="1"/>
  <c r="BK39" i="1"/>
  <c r="R34" i="1"/>
  <c r="F130" i="19"/>
  <c r="FM7" i="25"/>
  <c r="O224" i="19"/>
  <c r="O278" i="19"/>
  <c r="I23" i="8"/>
  <c r="ER30" i="25"/>
  <c r="E145" i="11"/>
  <c r="ER31" i="25" s="1"/>
  <c r="BY19" i="11"/>
  <c r="BY43" i="1"/>
  <c r="BC33" i="1"/>
  <c r="BC55" i="1"/>
  <c r="BC39" i="1"/>
  <c r="F77" i="11"/>
  <c r="F72" i="11"/>
  <c r="F84" i="11"/>
  <c r="N151" i="19"/>
  <c r="N205" i="19"/>
  <c r="N10" i="21"/>
  <c r="BI9" i="21"/>
  <c r="BI20" i="21"/>
  <c r="BI25" i="21"/>
  <c r="BI24" i="21" s="1"/>
  <c r="BI44" i="21"/>
  <c r="Q44" i="21" s="1"/>
  <c r="BU15" i="21"/>
  <c r="O77" i="11"/>
  <c r="O72" i="11"/>
  <c r="O84" i="11"/>
  <c r="P44" i="1"/>
  <c r="P83" i="1" s="1"/>
  <c r="BE83" i="1"/>
  <c r="BX33" i="24"/>
  <c r="BY34" i="24" s="1"/>
  <c r="BZ35" i="24" s="1"/>
  <c r="AE22" i="1"/>
  <c r="T51" i="37"/>
  <c r="U55" i="36"/>
  <c r="U51" i="36" s="1"/>
  <c r="T49" i="37"/>
  <c r="T24" i="37"/>
  <c r="BM45" i="21"/>
  <c r="V36" i="34"/>
  <c r="V37" i="34" s="1"/>
  <c r="W38" i="34" s="1"/>
  <c r="AJ15" i="35"/>
  <c r="AC23" i="35"/>
  <c r="AC32" i="35"/>
  <c r="AC30" i="35"/>
  <c r="AC28" i="35"/>
  <c r="AA9" i="11"/>
  <c r="AA15" i="1"/>
  <c r="D6" i="7" s="1"/>
  <c r="D29" i="7" s="1"/>
  <c r="AA100" i="1"/>
  <c r="CI17" i="7" s="1"/>
  <c r="D5" i="7"/>
  <c r="D28" i="7" s="1"/>
  <c r="Y13" i="7"/>
  <c r="AA52" i="1"/>
  <c r="N225" i="19"/>
  <c r="N279" i="19"/>
  <c r="Y25" i="21"/>
  <c r="Y30" i="21" s="1"/>
  <c r="CF24" i="21"/>
  <c r="S226" i="19"/>
  <c r="S280" i="19"/>
  <c r="R225" i="19"/>
  <c r="R279" i="19"/>
  <c r="S227" i="19"/>
  <c r="S281" i="19"/>
  <c r="CG34" i="24"/>
  <c r="CH35" i="24" s="1"/>
  <c r="CI36" i="24" s="1"/>
  <c r="D204" i="19"/>
  <c r="FA13" i="7"/>
  <c r="FA13" i="25"/>
  <c r="N77" i="19"/>
  <c r="N131" i="19"/>
  <c r="P76" i="19"/>
  <c r="P130" i="19"/>
  <c r="W31" i="36"/>
  <c r="D20" i="11"/>
  <c r="N20" i="11"/>
  <c r="N19" i="11" s="1"/>
  <c r="AY19" i="11"/>
  <c r="AY43" i="1"/>
  <c r="D45" i="1"/>
  <c r="N45" i="1"/>
  <c r="N84" i="1" s="1"/>
  <c r="AY84" i="1"/>
  <c r="S19" i="21"/>
  <c r="DU31" i="24"/>
  <c r="J30" i="24"/>
  <c r="AL30" i="24"/>
  <c r="F205" i="19"/>
  <c r="FW8" i="25"/>
  <c r="FC14" i="25"/>
  <c r="CT33" i="1"/>
  <c r="CT55" i="1"/>
  <c r="CT39" i="1"/>
  <c r="T227" i="19"/>
  <c r="T281" i="19"/>
  <c r="AJ91" i="11"/>
  <c r="DY91" i="11"/>
  <c r="R152" i="19"/>
  <c r="R206" i="19"/>
  <c r="DB32" i="24"/>
  <c r="CG48" i="15"/>
  <c r="CG47" i="15"/>
  <c r="DL17" i="29"/>
  <c r="I17" i="29" s="1"/>
  <c r="DL70" i="29"/>
  <c r="Z76" i="19"/>
  <c r="FO7" i="7"/>
  <c r="EQ17" i="7"/>
  <c r="EQ18" i="7"/>
  <c r="AF126" i="11"/>
  <c r="EW11" i="7" s="1"/>
  <c r="CN137" i="11"/>
  <c r="CN109" i="11"/>
  <c r="CH33" i="1"/>
  <c r="CH55" i="1"/>
  <c r="CH39" i="1"/>
  <c r="AD126" i="11"/>
  <c r="EU11" i="7" s="1"/>
  <c r="AZ137" i="11"/>
  <c r="AZ109" i="11"/>
  <c r="BA56" i="21"/>
  <c r="BA55" i="21"/>
  <c r="BA57" i="21"/>
  <c r="BH63" i="1"/>
  <c r="K59" i="2"/>
  <c r="G27" i="21"/>
  <c r="Z27" i="21"/>
  <c r="Z32" i="21" s="1"/>
  <c r="HK34" i="7" s="1"/>
  <c r="BI56" i="21"/>
  <c r="BI57" i="21"/>
  <c r="CM33" i="24"/>
  <c r="CN34" i="24" s="1"/>
  <c r="CO35" i="24" s="1"/>
  <c r="U46" i="1"/>
  <c r="BT54" i="1"/>
  <c r="E46" i="1"/>
  <c r="F16" i="18"/>
  <c r="CR31" i="15" s="1"/>
  <c r="F4" i="18"/>
  <c r="CR9" i="15" s="1"/>
  <c r="F10" i="18"/>
  <c r="CR20" i="15" s="1"/>
  <c r="CS67" i="15"/>
  <c r="BR109" i="11"/>
  <c r="BR137" i="11"/>
  <c r="AM31" i="29"/>
  <c r="R9" i="28" s="1"/>
  <c r="AP72" i="26" s="1"/>
  <c r="AP79" i="26" s="1"/>
  <c r="V10" i="11"/>
  <c r="F10" i="11"/>
  <c r="BW137" i="11"/>
  <c r="BW109" i="11"/>
  <c r="S79" i="19"/>
  <c r="S133" i="19"/>
  <c r="BS109" i="11"/>
  <c r="BS137" i="11"/>
  <c r="BE39" i="1"/>
  <c r="BE33" i="1"/>
  <c r="P34" i="1"/>
  <c r="BE55" i="1"/>
  <c r="Q151" i="19"/>
  <c r="Q205" i="19"/>
  <c r="P153" i="19"/>
  <c r="P207" i="19"/>
  <c r="Y227" i="19"/>
  <c r="Y281" i="19"/>
  <c r="T42" i="11"/>
  <c r="T46" i="11" s="1"/>
  <c r="BQ46" i="11"/>
  <c r="I91" i="29"/>
  <c r="H139" i="29"/>
  <c r="CI19" i="11"/>
  <c r="G20" i="11"/>
  <c r="Z20" i="11"/>
  <c r="Z19" i="11" s="1"/>
  <c r="CI43" i="1"/>
  <c r="DA78" i="29"/>
  <c r="DB78" i="29"/>
  <c r="CU78" i="29"/>
  <c r="DC78" i="29"/>
  <c r="CV78" i="29"/>
  <c r="DD78" i="29"/>
  <c r="CW78" i="29"/>
  <c r="DE78" i="29"/>
  <c r="CX78" i="29"/>
  <c r="DF78" i="29"/>
  <c r="CY78" i="29"/>
  <c r="CZ78" i="29"/>
  <c r="H81" i="29"/>
  <c r="H160" i="29"/>
  <c r="H163" i="29" s="1"/>
  <c r="AA76" i="19"/>
  <c r="FP7" i="7"/>
  <c r="AA224" i="19"/>
  <c r="GN7" i="7"/>
  <c r="P78" i="19"/>
  <c r="P132" i="19"/>
  <c r="BF33" i="1"/>
  <c r="BF55" i="1"/>
  <c r="BF39" i="1"/>
  <c r="T48" i="22"/>
  <c r="O48" i="22"/>
  <c r="X48" i="22"/>
  <c r="R48" i="22"/>
  <c r="K49" i="22"/>
  <c r="S48" i="22"/>
  <c r="U48" i="22"/>
  <c r="P48" i="22"/>
  <c r="Q48" i="22"/>
  <c r="V48" i="22"/>
  <c r="W48" i="22"/>
  <c r="Y48" i="22"/>
  <c r="M48" i="22"/>
  <c r="N48" i="22"/>
  <c r="N17" i="25"/>
  <c r="BL17" i="25"/>
  <c r="DQ43" i="24"/>
  <c r="DR44" i="24" s="1"/>
  <c r="DS45" i="24" s="1"/>
  <c r="CT42" i="21"/>
  <c r="I58" i="29"/>
  <c r="W77" i="19"/>
  <c r="W131" i="19"/>
  <c r="O153" i="19"/>
  <c r="O207" i="19"/>
  <c r="AB45" i="1"/>
  <c r="CO84" i="1"/>
  <c r="EJ16" i="25"/>
  <c r="Q5" i="18"/>
  <c r="Q7" i="18"/>
  <c r="G59" i="18"/>
  <c r="Q9" i="18"/>
  <c r="CO32" i="29"/>
  <c r="AB11" i="29"/>
  <c r="BS9" i="21"/>
  <c r="BS20" i="21" s="1"/>
  <c r="BS15" i="21"/>
  <c r="BS25" i="21"/>
  <c r="BS24" i="21" s="1"/>
  <c r="BS44" i="21"/>
  <c r="CN33" i="1"/>
  <c r="CN55" i="1"/>
  <c r="CN39" i="1"/>
  <c r="CG19" i="11"/>
  <c r="CG43" i="1"/>
  <c r="T205" i="19"/>
  <c r="T151" i="19"/>
  <c r="BX11" i="25"/>
  <c r="BX14" i="25"/>
  <c r="AE23" i="35"/>
  <c r="AE16" i="35"/>
  <c r="X36" i="34"/>
  <c r="X37" i="34" s="1"/>
  <c r="AE30" i="35"/>
  <c r="AE32" i="35"/>
  <c r="CD34" i="24"/>
  <c r="CE35" i="24" s="1"/>
  <c r="CF36" i="24" s="1"/>
  <c r="AG42" i="36"/>
  <c r="BP55" i="1"/>
  <c r="BP33" i="1"/>
  <c r="BP39" i="1"/>
  <c r="G11" i="29"/>
  <c r="Z11" i="29"/>
  <c r="CI32" i="29"/>
  <c r="AY27" i="29"/>
  <c r="AZ23" i="29" s="1"/>
  <c r="AZ27" i="29" s="1"/>
  <c r="BA23" i="29" s="1"/>
  <c r="BA27" i="29" s="1"/>
  <c r="BB23" i="29" s="1"/>
  <c r="D25" i="29"/>
  <c r="D27" i="29" s="1"/>
  <c r="E23" i="29" s="1"/>
  <c r="N25" i="29"/>
  <c r="N27" i="29" s="1"/>
  <c r="DQ42" i="24"/>
  <c r="DR43" i="24" s="1"/>
  <c r="DS44" i="24" s="1"/>
  <c r="O227" i="19"/>
  <c r="O281" i="19"/>
  <c r="E49" i="21"/>
  <c r="R49" i="21"/>
  <c r="BK52" i="21"/>
  <c r="BK51" i="21"/>
  <c r="BK50" i="21"/>
  <c r="U226" i="19"/>
  <c r="U280" i="19"/>
  <c r="U151" i="19"/>
  <c r="U205" i="19"/>
  <c r="U15" i="21"/>
  <c r="U20" i="21"/>
  <c r="D4" i="18"/>
  <c r="CP9" i="15" s="1"/>
  <c r="D10" i="18"/>
  <c r="CP20" i="15" s="1"/>
  <c r="D16" i="18"/>
  <c r="CP31" i="15" s="1"/>
  <c r="N49" i="21"/>
  <c r="D130" i="19"/>
  <c r="DK46" i="24"/>
  <c r="DL47" i="24" s="1"/>
  <c r="DM48" i="24" s="1"/>
  <c r="W104" i="37"/>
  <c r="K57" i="22"/>
  <c r="CR80" i="15"/>
  <c r="AC77" i="15"/>
  <c r="W226" i="19"/>
  <c r="W280" i="19"/>
  <c r="BY57" i="21"/>
  <c r="V57" i="21" s="1"/>
  <c r="Y27" i="34"/>
  <c r="X21" i="34"/>
  <c r="AE31" i="37"/>
  <c r="AE39" i="37"/>
  <c r="AE40" i="37"/>
  <c r="AE38" i="37"/>
  <c r="AE41" i="37"/>
  <c r="CB14" i="21"/>
  <c r="CB19" i="21"/>
  <c r="CB21" i="21"/>
  <c r="CB22" i="21"/>
  <c r="D34" i="1"/>
  <c r="N34" i="1"/>
  <c r="AY33" i="1"/>
  <c r="AY55" i="1"/>
  <c r="AY39" i="1"/>
  <c r="X14" i="38"/>
  <c r="CS19" i="11"/>
  <c r="CS43" i="1"/>
  <c r="E133" i="19"/>
  <c r="Y153" i="19"/>
  <c r="Y207" i="19"/>
  <c r="CE15" i="21"/>
  <c r="CS60" i="19"/>
  <c r="CS253" i="19" s="1"/>
  <c r="CS85" i="15"/>
  <c r="F278" i="19"/>
  <c r="GG7" i="25"/>
  <c r="W55" i="21"/>
  <c r="HL33" i="7" s="1"/>
  <c r="N150" i="19"/>
  <c r="N204" i="19"/>
  <c r="B9" i="30"/>
  <c r="A10" i="30"/>
  <c r="Y72" i="11"/>
  <c r="Y77" i="11"/>
  <c r="Y84" i="11"/>
  <c r="Z49" i="38"/>
  <c r="Q152" i="19"/>
  <c r="Q206" i="19"/>
  <c r="G8" i="40"/>
  <c r="H8" i="40"/>
  <c r="D23" i="40"/>
  <c r="Y32" i="21"/>
  <c r="AA152" i="19"/>
  <c r="GB9" i="7"/>
  <c r="FD15" i="7"/>
  <c r="V225" i="19"/>
  <c r="V279" i="19"/>
  <c r="BY137" i="11"/>
  <c r="BY109" i="11"/>
  <c r="T77" i="19"/>
  <c r="T131" i="19"/>
  <c r="G26" i="21"/>
  <c r="Z26" i="21"/>
  <c r="Z31" i="21" s="1"/>
  <c r="HK24" i="7" s="1"/>
  <c r="W23" i="1"/>
  <c r="P225" i="19"/>
  <c r="P279" i="19"/>
  <c r="DB41" i="24"/>
  <c r="DC42" i="24" s="1"/>
  <c r="DD43" i="24" s="1"/>
  <c r="CF50" i="19"/>
  <c r="Y50" i="19" s="1"/>
  <c r="Y55" i="19" s="1"/>
  <c r="Y18" i="15"/>
  <c r="CF91" i="15"/>
  <c r="CE23" i="15"/>
  <c r="CF25" i="15"/>
  <c r="CF26" i="15"/>
  <c r="T49" i="21"/>
  <c r="BQ51" i="21"/>
  <c r="T51" i="21" s="1"/>
  <c r="CD28" i="24"/>
  <c r="CE29" i="24" s="1"/>
  <c r="CF30" i="24" s="1"/>
  <c r="EG20" i="25"/>
  <c r="EG20" i="7"/>
  <c r="AG31" i="29"/>
  <c r="L9" i="28" s="1"/>
  <c r="AJ72" i="26" s="1"/>
  <c r="AJ79" i="26" s="1"/>
  <c r="BL46" i="21"/>
  <c r="AE130" i="37"/>
  <c r="AF122" i="37"/>
  <c r="AF137" i="37" s="1"/>
  <c r="BU39" i="1"/>
  <c r="BU33" i="1"/>
  <c r="BU55" i="1"/>
  <c r="AC42" i="11"/>
  <c r="AC46" i="11" s="1"/>
  <c r="CR46" i="11"/>
  <c r="X150" i="19"/>
  <c r="X204" i="19"/>
  <c r="E131" i="19"/>
  <c r="ED30" i="24"/>
  <c r="AO29" i="24"/>
  <c r="Y224" i="19"/>
  <c r="Y278" i="19"/>
  <c r="BZ29" i="21"/>
  <c r="CC39" i="1"/>
  <c r="CC33" i="1"/>
  <c r="X34" i="1"/>
  <c r="CC55" i="1"/>
  <c r="HL19" i="7"/>
  <c r="HL22" i="7" s="1"/>
  <c r="HL41" i="7" s="1"/>
  <c r="Y55" i="21"/>
  <c r="R72" i="11"/>
  <c r="R77" i="11"/>
  <c r="R84" i="11"/>
  <c r="CS53" i="15"/>
  <c r="P47" i="21"/>
  <c r="BH19" i="21"/>
  <c r="Q9" i="21"/>
  <c r="BH22" i="21"/>
  <c r="BH21" i="21"/>
  <c r="V76" i="19"/>
  <c r="V130" i="19"/>
  <c r="BO19" i="11"/>
  <c r="BO43" i="1"/>
  <c r="EP31" i="24"/>
  <c r="AS30" i="24"/>
  <c r="AC91" i="1"/>
  <c r="AC102" i="1"/>
  <c r="FA47" i="24"/>
  <c r="FB48" i="24" s="1"/>
  <c r="T79" i="19"/>
  <c r="T133" i="19"/>
  <c r="D10" i="21"/>
  <c r="AI22" i="1"/>
  <c r="DV22" i="1"/>
  <c r="AG22" i="1"/>
  <c r="DL32" i="24"/>
  <c r="W42" i="11"/>
  <c r="W46" i="11" s="1"/>
  <c r="BZ46" i="11"/>
  <c r="D23" i="35"/>
  <c r="D30" i="35"/>
  <c r="D32" i="35"/>
  <c r="D28" i="35"/>
  <c r="D34" i="35"/>
  <c r="D279" i="19"/>
  <c r="CA9" i="21"/>
  <c r="CA20" i="21" s="1"/>
  <c r="CA15" i="21"/>
  <c r="CA25" i="21"/>
  <c r="CA44" i="21"/>
  <c r="W10" i="21"/>
  <c r="AA15" i="21" s="1"/>
  <c r="CT42" i="15"/>
  <c r="W51" i="21"/>
  <c r="EY32" i="24"/>
  <c r="S153" i="19"/>
  <c r="S207" i="19"/>
  <c r="P19" i="21"/>
  <c r="P22" i="21"/>
  <c r="T9" i="11"/>
  <c r="T82" i="11" s="1"/>
  <c r="T15" i="1"/>
  <c r="T113" i="1"/>
  <c r="T100" i="1"/>
  <c r="T52" i="1"/>
  <c r="ET17" i="7"/>
  <c r="ET18" i="7"/>
  <c r="DI30" i="24"/>
  <c r="AH29" i="24"/>
  <c r="I29" i="24"/>
  <c r="AB42" i="11"/>
  <c r="AB46" i="11" s="1"/>
  <c r="CO46" i="11"/>
  <c r="AG16" i="38"/>
  <c r="Q34" i="34"/>
  <c r="F131" i="19"/>
  <c r="FM8" i="25"/>
  <c r="CD33" i="24"/>
  <c r="CE34" i="24" s="1"/>
  <c r="CF35" i="24" s="1"/>
  <c r="Y226" i="19"/>
  <c r="Y280" i="19"/>
  <c r="EJ31" i="24"/>
  <c r="AQ30" i="24"/>
  <c r="AA227" i="19"/>
  <c r="GN10" i="7"/>
  <c r="G54" i="21"/>
  <c r="Z54" i="21"/>
  <c r="CI57" i="21"/>
  <c r="CI56" i="21"/>
  <c r="CI55" i="21"/>
  <c r="W10" i="11"/>
  <c r="BZ109" i="11"/>
  <c r="BZ137" i="11"/>
  <c r="Y20" i="11"/>
  <c r="Y19" i="11" s="1"/>
  <c r="CF19" i="11"/>
  <c r="CF43" i="1"/>
  <c r="EM31" i="24"/>
  <c r="AR30" i="24"/>
  <c r="DB23" i="1"/>
  <c r="DB21" i="1" s="1"/>
  <c r="DN23" i="1"/>
  <c r="T39" i="36"/>
  <c r="T42" i="36"/>
  <c r="T41" i="36"/>
  <c r="D206" i="19"/>
  <c r="FA15" i="7"/>
  <c r="FA15" i="25"/>
  <c r="V151" i="19"/>
  <c r="V205" i="19"/>
  <c r="R78" i="19"/>
  <c r="R132" i="19"/>
  <c r="S38" i="37"/>
  <c r="AF27" i="37"/>
  <c r="Y152" i="19"/>
  <c r="Y206" i="19"/>
  <c r="BP137" i="11"/>
  <c r="BP109" i="11"/>
  <c r="CF47" i="19"/>
  <c r="CF71" i="19" s="1"/>
  <c r="CF7" i="15"/>
  <c r="CF45" i="15"/>
  <c r="DI114" i="11"/>
  <c r="DQ114" i="11"/>
  <c r="DJ114" i="11"/>
  <c r="DR114" i="11"/>
  <c r="DK114" i="11"/>
  <c r="J114" i="11"/>
  <c r="DL114" i="11"/>
  <c r="DM114" i="11"/>
  <c r="DN114" i="11"/>
  <c r="DG114" i="11"/>
  <c r="DO114" i="11"/>
  <c r="DH114" i="11"/>
  <c r="DP114" i="11"/>
  <c r="EL26" i="25"/>
  <c r="U227" i="19"/>
  <c r="U281" i="19"/>
  <c r="V77" i="19"/>
  <c r="V131" i="19"/>
  <c r="X152" i="19"/>
  <c r="X206" i="19"/>
  <c r="AE31" i="29"/>
  <c r="J9" i="28" s="1"/>
  <c r="AH72" i="26" s="1"/>
  <c r="AH79" i="26" s="1"/>
  <c r="DQ45" i="24"/>
  <c r="DR46" i="24" s="1"/>
  <c r="DS47" i="24" s="1"/>
  <c r="V227" i="19"/>
  <c r="V281" i="19"/>
  <c r="DK126" i="11"/>
  <c r="J126" i="11"/>
  <c r="DL126" i="11"/>
  <c r="DM126" i="11"/>
  <c r="DN126" i="11"/>
  <c r="DH126" i="11"/>
  <c r="DP126" i="11"/>
  <c r="DI126" i="11"/>
  <c r="DQ126" i="11"/>
  <c r="DG126" i="11"/>
  <c r="DJ126" i="11"/>
  <c r="AI126" i="11" s="1"/>
  <c r="DO126" i="11"/>
  <c r="DR126" i="11"/>
  <c r="EV11" i="25"/>
  <c r="U79" i="19"/>
  <c r="U133" i="19"/>
  <c r="D27" i="21"/>
  <c r="N27" i="21"/>
  <c r="N32" i="21" s="1"/>
  <c r="AF115" i="37"/>
  <c r="G17" i="21"/>
  <c r="EU43" i="24"/>
  <c r="EV44" i="24" s="1"/>
  <c r="EW45" i="24" s="1"/>
  <c r="BE84" i="1"/>
  <c r="P45" i="1"/>
  <c r="P84" i="1" s="1"/>
  <c r="BY51" i="21"/>
  <c r="CO52" i="19"/>
  <c r="CO84" i="15"/>
  <c r="EL42" i="24"/>
  <c r="EM43" i="24" s="1"/>
  <c r="EN44" i="24" s="1"/>
  <c r="CJ66" i="19"/>
  <c r="BS56" i="21"/>
  <c r="X153" i="19"/>
  <c r="X207" i="19"/>
  <c r="W151" i="19"/>
  <c r="W205" i="19"/>
  <c r="CJ47" i="21"/>
  <c r="T34" i="1"/>
  <c r="BQ55" i="1"/>
  <c r="BQ33" i="1"/>
  <c r="BQ39" i="1"/>
  <c r="W17" i="21"/>
  <c r="CC19" i="21"/>
  <c r="X9" i="21"/>
  <c r="X20" i="21" s="1"/>
  <c r="CC21" i="21"/>
  <c r="CC22" i="21"/>
  <c r="CK39" i="1"/>
  <c r="CK33" i="1"/>
  <c r="CK55" i="1"/>
  <c r="AG21" i="36"/>
  <c r="Y16" i="34"/>
  <c r="CT19" i="11"/>
  <c r="CT43" i="1"/>
  <c r="BV33" i="1"/>
  <c r="BV55" i="1"/>
  <c r="BV39" i="1"/>
  <c r="DH34" i="11"/>
  <c r="DP34" i="11"/>
  <c r="DI34" i="11"/>
  <c r="DQ34" i="11"/>
  <c r="DJ34" i="11"/>
  <c r="DR34" i="11"/>
  <c r="DK34" i="11"/>
  <c r="J34" i="11"/>
  <c r="DL34" i="11"/>
  <c r="DM34" i="11"/>
  <c r="DG34" i="11"/>
  <c r="DO34" i="11"/>
  <c r="DN34" i="11"/>
  <c r="DK31" i="29"/>
  <c r="I10" i="29"/>
  <c r="AI10" i="29"/>
  <c r="AG66" i="37"/>
  <c r="AG104" i="37" s="1"/>
  <c r="CT80" i="15"/>
  <c r="F22" i="40"/>
  <c r="I22" i="40"/>
  <c r="J22" i="40"/>
  <c r="H22" i="40"/>
  <c r="BW14" i="7"/>
  <c r="BW11" i="7"/>
  <c r="CX30" i="24"/>
  <c r="E170" i="11"/>
  <c r="E174" i="11"/>
  <c r="E173" i="11"/>
  <c r="E167" i="11"/>
  <c r="E169" i="11"/>
  <c r="E168" i="11"/>
  <c r="E166" i="11"/>
  <c r="E171" i="11"/>
  <c r="R5" i="18"/>
  <c r="R7" i="18"/>
  <c r="H59" i="18"/>
  <c r="R9" i="18"/>
  <c r="X32" i="29"/>
  <c r="CD39" i="29"/>
  <c r="X39" i="29" s="1"/>
  <c r="U77" i="19"/>
  <c r="U131" i="19"/>
  <c r="CA50" i="21"/>
  <c r="Q20" i="11"/>
  <c r="Q19" i="11" s="1"/>
  <c r="BH19" i="11"/>
  <c r="BH43" i="1"/>
  <c r="L16" i="35"/>
  <c r="L23" i="35"/>
  <c r="L30" i="35"/>
  <c r="L32" i="35"/>
  <c r="L28" i="35"/>
  <c r="N89" i="1"/>
  <c r="Y44" i="21"/>
  <c r="CF46" i="21"/>
  <c r="CF47" i="21"/>
  <c r="V28" i="36"/>
  <c r="V32" i="36"/>
  <c r="BW46" i="11"/>
  <c r="V42" i="11"/>
  <c r="V46" i="11" s="1"/>
  <c r="F42" i="11"/>
  <c r="F46" i="11" s="1"/>
  <c r="X56" i="21"/>
  <c r="Z89" i="1"/>
  <c r="V33" i="35"/>
  <c r="J55" i="22"/>
  <c r="Y54" i="22"/>
  <c r="V54" i="22"/>
  <c r="Q54" i="22"/>
  <c r="W54" i="22"/>
  <c r="R54" i="22"/>
  <c r="P54" i="22"/>
  <c r="M54" i="22"/>
  <c r="X54" i="22"/>
  <c r="N54" i="22"/>
  <c r="U54" i="22"/>
  <c r="S54" i="22"/>
  <c r="O54" i="22"/>
  <c r="T54" i="22"/>
  <c r="BJ33" i="1"/>
  <c r="BJ55" i="1"/>
  <c r="BJ39" i="1"/>
  <c r="U25" i="21"/>
  <c r="U30" i="21" s="1"/>
  <c r="BT24" i="21"/>
  <c r="T89" i="1"/>
  <c r="I101" i="29"/>
  <c r="H140" i="29"/>
  <c r="BX20" i="25"/>
  <c r="N57" i="21"/>
  <c r="D49" i="21"/>
  <c r="O77" i="19"/>
  <c r="O131" i="19"/>
  <c r="U23" i="1"/>
  <c r="X31" i="36"/>
  <c r="Y34" i="1"/>
  <c r="CF33" i="1"/>
  <c r="CF55" i="1"/>
  <c r="CF39" i="1"/>
  <c r="EN94" i="15"/>
  <c r="AO94" i="15"/>
  <c r="BG137" i="11"/>
  <c r="BG109" i="11"/>
  <c r="S41" i="37"/>
  <c r="CB29" i="21"/>
  <c r="E21" i="24"/>
  <c r="BK22" i="24"/>
  <c r="E279" i="19"/>
  <c r="CW31" i="24"/>
  <c r="H30" i="24"/>
  <c r="AD30" i="24"/>
  <c r="R79" i="19"/>
  <c r="R133" i="19"/>
  <c r="N51" i="21"/>
  <c r="CE20" i="21"/>
  <c r="CS52" i="19"/>
  <c r="CS179" i="19" s="1"/>
  <c r="CS84" i="15"/>
  <c r="V224" i="19"/>
  <c r="V278" i="19"/>
  <c r="Q51" i="21"/>
  <c r="T76" i="19"/>
  <c r="T130" i="19"/>
  <c r="V104" i="37"/>
  <c r="V25" i="37" s="1"/>
  <c r="AG25" i="37" s="1"/>
  <c r="Z22" i="34" s="1"/>
  <c r="DH44" i="24"/>
  <c r="DI45" i="24" s="1"/>
  <c r="DJ46" i="24" s="1"/>
  <c r="Y10" i="11"/>
  <c r="CF137" i="11"/>
  <c r="CF109" i="11"/>
  <c r="O151" i="19"/>
  <c r="O205" i="19"/>
  <c r="DZ43" i="24"/>
  <c r="EA44" i="24" s="1"/>
  <c r="EB45" i="24" s="1"/>
  <c r="F40" i="35"/>
  <c r="F45" i="35"/>
  <c r="F46" i="35" s="1"/>
  <c r="F51" i="35"/>
  <c r="F55" i="35" s="1"/>
  <c r="Y14" i="38"/>
  <c r="U52" i="18"/>
  <c r="BS55" i="21"/>
  <c r="T55" i="21" s="1"/>
  <c r="BO47" i="21"/>
  <c r="S47" i="21" s="1"/>
  <c r="T10" i="11"/>
  <c r="BQ137" i="11"/>
  <c r="BQ109" i="11"/>
  <c r="CK39" i="25"/>
  <c r="CK40" i="25" s="1"/>
  <c r="CK15" i="25"/>
  <c r="G16" i="21"/>
  <c r="ER47" i="24"/>
  <c r="ES48" i="24" s="1"/>
  <c r="ET49" i="24" s="1"/>
  <c r="G38" i="34"/>
  <c r="AG121" i="36"/>
  <c r="T31" i="21"/>
  <c r="CH109" i="11"/>
  <c r="CH137" i="11"/>
  <c r="CK19" i="11"/>
  <c r="CK43" i="1"/>
  <c r="T20" i="11"/>
  <c r="T19" i="11" s="1"/>
  <c r="BQ19" i="11"/>
  <c r="BQ43" i="1"/>
  <c r="BG19" i="21"/>
  <c r="BG22" i="21"/>
  <c r="BG21" i="21"/>
  <c r="BC52" i="21"/>
  <c r="O52" i="21" s="1"/>
  <c r="BC51" i="21"/>
  <c r="O51" i="21" s="1"/>
  <c r="V20" i="11"/>
  <c r="V19" i="11" s="1"/>
  <c r="F20" i="11"/>
  <c r="BW19" i="11"/>
  <c r="BW43" i="1"/>
  <c r="Z227" i="19"/>
  <c r="GM10" i="7"/>
  <c r="AB91" i="1"/>
  <c r="AB102" i="1"/>
  <c r="CM33" i="1"/>
  <c r="CM55" i="1"/>
  <c r="CM39" i="1"/>
  <c r="V44" i="21"/>
  <c r="F44" i="21"/>
  <c r="BW47" i="21"/>
  <c r="G27" i="24"/>
  <c r="Z27" i="24"/>
  <c r="CJ28" i="24"/>
  <c r="V90" i="1"/>
  <c r="S91" i="1"/>
  <c r="S102" i="1"/>
  <c r="S89" i="1"/>
  <c r="T90" i="1"/>
  <c r="U90" i="1"/>
  <c r="R77" i="19"/>
  <c r="R131" i="19"/>
  <c r="DH41" i="24"/>
  <c r="DI42" i="24" s="1"/>
  <c r="DJ43" i="24" s="1"/>
  <c r="BM19" i="11"/>
  <c r="BM43" i="1"/>
  <c r="AH46" i="37"/>
  <c r="CG57" i="21"/>
  <c r="Y57" i="21" s="1"/>
  <c r="CG56" i="21"/>
  <c r="Y56" i="21" s="1"/>
  <c r="D23" i="1"/>
  <c r="DG23" i="1"/>
  <c r="N23" i="1"/>
  <c r="Q21" i="21"/>
  <c r="BX33" i="1"/>
  <c r="BX55" i="1"/>
  <c r="BX39" i="1"/>
  <c r="CJ33" i="1"/>
  <c r="CJ55" i="1"/>
  <c r="CJ39" i="1"/>
  <c r="AA78" i="19"/>
  <c r="FP9" i="7"/>
  <c r="CF45" i="21"/>
  <c r="CS67" i="19"/>
  <c r="CS99" i="19"/>
  <c r="BX19" i="11"/>
  <c r="BX43" i="1"/>
  <c r="EB91" i="11"/>
  <c r="AK91" i="11"/>
  <c r="BC9" i="21"/>
  <c r="BC20" i="21" s="1"/>
  <c r="BC25" i="21"/>
  <c r="BC44" i="21"/>
  <c r="D44" i="21" s="1"/>
  <c r="O10" i="21"/>
  <c r="Z226" i="19"/>
  <c r="GM9" i="7"/>
  <c r="Q20" i="21"/>
  <c r="CE19" i="11"/>
  <c r="CE43" i="1"/>
  <c r="EX41" i="24"/>
  <c r="EY42" i="24" s="1"/>
  <c r="EZ43" i="24" s="1"/>
  <c r="BV28" i="24"/>
  <c r="BW29" i="24" s="1"/>
  <c r="X151" i="19"/>
  <c r="X205" i="19"/>
  <c r="BR19" i="11"/>
  <c r="BR43" i="1"/>
  <c r="F56" i="21"/>
  <c r="HA30" i="25" s="1"/>
  <c r="V56" i="21"/>
  <c r="BG33" i="1"/>
  <c r="BG55" i="1"/>
  <c r="BG39" i="1"/>
  <c r="T226" i="19"/>
  <c r="T280" i="19"/>
  <c r="S152" i="19"/>
  <c r="S206" i="19"/>
  <c r="AA153" i="19"/>
  <c r="FD16" i="7"/>
  <c r="GB10" i="7"/>
  <c r="CG52" i="21"/>
  <c r="Y52" i="21" s="1"/>
  <c r="CG51" i="21"/>
  <c r="Y51" i="21" s="1"/>
  <c r="EI28" i="25"/>
  <c r="AY24" i="21"/>
  <c r="N25" i="21"/>
  <c r="N30" i="21" s="1"/>
  <c r="S25" i="21"/>
  <c r="S30" i="21" s="1"/>
  <c r="V55" i="21"/>
  <c r="F55" i="21"/>
  <c r="HA29" i="25" s="1"/>
  <c r="N40" i="35"/>
  <c r="N45" i="35"/>
  <c r="N46" i="35" s="1"/>
  <c r="N51" i="35"/>
  <c r="N55" i="35" s="1"/>
  <c r="EP35" i="24"/>
  <c r="EQ36" i="24" s="1"/>
  <c r="CM14" i="21"/>
  <c r="CM19" i="21"/>
  <c r="CM22" i="21"/>
  <c r="CM21" i="21"/>
  <c r="X44" i="1"/>
  <c r="X83" i="1" s="1"/>
  <c r="CC83" i="1"/>
  <c r="BI19" i="11"/>
  <c r="BI43" i="1"/>
  <c r="BZ33" i="1"/>
  <c r="BZ55" i="1"/>
  <c r="W34" i="1"/>
  <c r="BZ39" i="1"/>
  <c r="BX11" i="7"/>
  <c r="BX14" i="7"/>
  <c r="P21" i="21"/>
  <c r="CP99" i="19"/>
  <c r="AF99" i="37"/>
  <c r="X54" i="38"/>
  <c r="ER42" i="24"/>
  <c r="ES43" i="24" s="1"/>
  <c r="ET44" i="24" s="1"/>
  <c r="J45" i="35"/>
  <c r="J46" i="35" s="1"/>
  <c r="J51" i="35"/>
  <c r="J55" i="35" s="1"/>
  <c r="J40" i="35"/>
  <c r="EG30" i="24"/>
  <c r="AP29" i="24"/>
  <c r="K29" i="24"/>
  <c r="AI24" i="36"/>
  <c r="DY81" i="11"/>
  <c r="DZ81" i="11"/>
  <c r="DS81" i="11"/>
  <c r="EA81" i="11"/>
  <c r="DT81" i="11"/>
  <c r="EB81" i="11"/>
  <c r="K81" i="11"/>
  <c r="DU81" i="11"/>
  <c r="EC81" i="11"/>
  <c r="DV81" i="11"/>
  <c r="ED81" i="11"/>
  <c r="DW81" i="11"/>
  <c r="DX81" i="11"/>
  <c r="FB30" i="24"/>
  <c r="AW29" i="24"/>
  <c r="DO31" i="24"/>
  <c r="AJ30" i="24"/>
  <c r="P77" i="19"/>
  <c r="P131" i="19"/>
  <c r="S20" i="21"/>
  <c r="AF52" i="37"/>
  <c r="AG55" i="36"/>
  <c r="AG68" i="36" s="1"/>
  <c r="G20" i="34" s="1"/>
  <c r="AF58" i="37"/>
  <c r="BQ32" i="29"/>
  <c r="E32" i="29" s="1"/>
  <c r="AC79" i="15"/>
  <c r="O44" i="1"/>
  <c r="O83" i="1" s="1"/>
  <c r="BB83" i="1"/>
  <c r="M40" i="35"/>
  <c r="M45" i="35"/>
  <c r="M46" i="35" s="1"/>
  <c r="M51" i="35"/>
  <c r="M55" i="35" s="1"/>
  <c r="U28" i="36"/>
  <c r="U32" i="36"/>
  <c r="Y28" i="36"/>
  <c r="U31" i="36"/>
  <c r="E16" i="18"/>
  <c r="CQ31" i="15" s="1"/>
  <c r="CQ37" i="21" s="1"/>
  <c r="E10" i="18"/>
  <c r="CQ20" i="15" s="1"/>
  <c r="CQ36" i="21" s="1"/>
  <c r="E4" i="18"/>
  <c r="CQ9" i="15" s="1"/>
  <c r="DP23" i="1"/>
  <c r="Q23" i="1"/>
  <c r="BF19" i="11"/>
  <c r="BF43" i="1"/>
  <c r="O54" i="21"/>
  <c r="BC57" i="21"/>
  <c r="O57" i="21" s="1"/>
  <c r="BC56" i="21"/>
  <c r="O56" i="21" s="1"/>
  <c r="F10" i="21"/>
  <c r="W44" i="1"/>
  <c r="W83" i="1" s="1"/>
  <c r="BZ83" i="1"/>
  <c r="AC34" i="1"/>
  <c r="CR33" i="1"/>
  <c r="CR55" i="1"/>
  <c r="CR39" i="1"/>
  <c r="CA33" i="1"/>
  <c r="CA55" i="1"/>
  <c r="CA39" i="1"/>
  <c r="R54" i="21"/>
  <c r="E54" i="21"/>
  <c r="BK55" i="21"/>
  <c r="BK57" i="21"/>
  <c r="BK56" i="21"/>
  <c r="W152" i="19"/>
  <c r="W206" i="19"/>
  <c r="CP37" i="21"/>
  <c r="CP59" i="19"/>
  <c r="CP247" i="19" s="1"/>
  <c r="CP79" i="15"/>
  <c r="CP80" i="15" s="1"/>
  <c r="CP55" i="15"/>
  <c r="CP73" i="15"/>
  <c r="Q72" i="11"/>
  <c r="Q77" i="11"/>
  <c r="Q84" i="11"/>
  <c r="AH25" i="37"/>
  <c r="AA22" i="34" s="1"/>
  <c r="Q56" i="21"/>
  <c r="P23" i="1"/>
  <c r="DA23" i="1"/>
  <c r="DM23" i="1"/>
  <c r="BB19" i="11"/>
  <c r="O20" i="11"/>
  <c r="O19" i="11" s="1"/>
  <c r="BB43" i="1"/>
  <c r="Y50" i="21"/>
  <c r="AA85" i="22"/>
  <c r="CS35" i="21"/>
  <c r="W23" i="38"/>
  <c r="AG42" i="38"/>
  <c r="BH46" i="11"/>
  <c r="Q42" i="11"/>
  <c r="Q46" i="11" s="1"/>
  <c r="Y21" i="21"/>
  <c r="Y16" i="21"/>
  <c r="AC16" i="21"/>
  <c r="BW46" i="21"/>
  <c r="W25" i="37"/>
  <c r="O42" i="11"/>
  <c r="O46" i="11" s="1"/>
  <c r="BB46" i="11"/>
  <c r="E9" i="8"/>
  <c r="E12" i="8" s="1"/>
  <c r="F9" i="11"/>
  <c r="F15" i="1"/>
  <c r="E6" i="25" s="1"/>
  <c r="E29" i="25" s="1"/>
  <c r="E5" i="25"/>
  <c r="E28" i="25" s="1"/>
  <c r="F100" i="1"/>
  <c r="CJ17" i="25" s="1"/>
  <c r="Z13" i="25"/>
  <c r="F76" i="1"/>
  <c r="BA55" i="1"/>
  <c r="BA33" i="1"/>
  <c r="BA39" i="1"/>
  <c r="X227" i="19"/>
  <c r="X281" i="19"/>
  <c r="S24" i="21"/>
  <c r="S29" i="21" s="1"/>
  <c r="BN29" i="21"/>
  <c r="V50" i="21"/>
  <c r="F50" i="21"/>
  <c r="HA19" i="25" s="1"/>
  <c r="CS54" i="15"/>
  <c r="EB22" i="1"/>
  <c r="AK22" i="1"/>
  <c r="X55" i="34"/>
  <c r="X56" i="34" s="1"/>
  <c r="CM67" i="24"/>
  <c r="AA66" i="24"/>
  <c r="AA72" i="11"/>
  <c r="AA77" i="11"/>
  <c r="AA84" i="11"/>
  <c r="Y50" i="38"/>
  <c r="Y42" i="38"/>
  <c r="Y23" i="38" s="1"/>
  <c r="Y15" i="38" s="1"/>
  <c r="CT68" i="19"/>
  <c r="CT105" i="19"/>
  <c r="F17" i="21"/>
  <c r="AH25" i="36"/>
  <c r="X79" i="19"/>
  <c r="X133" i="19"/>
  <c r="CT65" i="15"/>
  <c r="CT56" i="15"/>
  <c r="CT60" i="15" s="1"/>
  <c r="CT59" i="15"/>
  <c r="Z9" i="11"/>
  <c r="Z100" i="1"/>
  <c r="CH17" i="7" s="1"/>
  <c r="X13" i="7"/>
  <c r="Z15" i="1"/>
  <c r="C6" i="7" s="1"/>
  <c r="C29" i="7" s="1"/>
  <c r="C5" i="7"/>
  <c r="C28" i="7" s="1"/>
  <c r="Z52" i="1"/>
  <c r="Q225" i="19"/>
  <c r="Q279" i="19"/>
  <c r="E16" i="21"/>
  <c r="AG28" i="36"/>
  <c r="AG30" i="36"/>
  <c r="AG31" i="36"/>
  <c r="BY52" i="21"/>
  <c r="V52" i="21" s="1"/>
  <c r="H29" i="24"/>
  <c r="W50" i="21"/>
  <c r="HL23" i="7" s="1"/>
  <c r="Q44" i="1"/>
  <c r="Q83" i="1" s="1"/>
  <c r="BH83" i="1"/>
  <c r="BM39" i="1"/>
  <c r="BM33" i="1"/>
  <c r="BM55" i="1"/>
  <c r="S32" i="29"/>
  <c r="BO39" i="29"/>
  <c r="S39" i="29" s="1"/>
  <c r="CL33" i="1"/>
  <c r="AA34" i="1"/>
  <c r="CL55" i="1"/>
  <c r="CL39" i="1"/>
  <c r="EK94" i="15"/>
  <c r="AN94" i="15"/>
  <c r="AA10" i="11"/>
  <c r="CL109" i="11"/>
  <c r="CL137" i="11"/>
  <c r="BB84" i="1"/>
  <c r="O45" i="1"/>
  <c r="O84" i="1" s="1"/>
  <c r="V152" i="19"/>
  <c r="V206" i="19"/>
  <c r="BX34" i="24"/>
  <c r="BY35" i="24" s="1"/>
  <c r="BZ36" i="24" s="1"/>
  <c r="BC19" i="11"/>
  <c r="BC43" i="1"/>
  <c r="AR31" i="29"/>
  <c r="W9" i="28" s="1"/>
  <c r="AU72" i="26" s="1"/>
  <c r="AU79" i="26" s="1"/>
  <c r="P32" i="29"/>
  <c r="BF39" i="29"/>
  <c r="P39" i="29" s="1"/>
  <c r="D280" i="19"/>
  <c r="CM19" i="11"/>
  <c r="CM43" i="1"/>
  <c r="FB32" i="24"/>
  <c r="AW32" i="24" s="1"/>
  <c r="AW31" i="24"/>
  <c r="T44" i="1"/>
  <c r="T83" i="1" s="1"/>
  <c r="BQ83" i="1"/>
  <c r="E45" i="1"/>
  <c r="R45" i="1"/>
  <c r="R84" i="1" s="1"/>
  <c r="BK84" i="1"/>
  <c r="Z72" i="11"/>
  <c r="Z77" i="11"/>
  <c r="Z84" i="11"/>
  <c r="S225" i="19"/>
  <c r="S279" i="19"/>
  <c r="AE34" i="35"/>
  <c r="AC44" i="1"/>
  <c r="CR83" i="1"/>
  <c r="CB19" i="11"/>
  <c r="CB43" i="1"/>
  <c r="EV30" i="24"/>
  <c r="AU29" i="24"/>
  <c r="P79" i="19"/>
  <c r="P133" i="19"/>
  <c r="X224" i="19"/>
  <c r="X278" i="19"/>
  <c r="E77" i="11"/>
  <c r="E72" i="11"/>
  <c r="E84" i="11"/>
  <c r="P226" i="19"/>
  <c r="P280" i="19"/>
  <c r="AM41" i="24"/>
  <c r="DW42" i="24"/>
  <c r="DX43" i="24" s="1"/>
  <c r="DY44" i="24" s="1"/>
  <c r="F133" i="19"/>
  <c r="FM10" i="25"/>
  <c r="BD19" i="11"/>
  <c r="BD43" i="1"/>
  <c r="T45" i="1"/>
  <c r="T84" i="1" s="1"/>
  <c r="BQ84" i="1"/>
  <c r="N52" i="21"/>
  <c r="N153" i="19"/>
  <c r="N207" i="19"/>
  <c r="BS19" i="11"/>
  <c r="BS43" i="1"/>
  <c r="AG32" i="36"/>
  <c r="AC41" i="15"/>
  <c r="CR11" i="1"/>
  <c r="AB34" i="1"/>
  <c r="CO55" i="1"/>
  <c r="CO33" i="1"/>
  <c r="CO39" i="1"/>
  <c r="V47" i="38"/>
  <c r="W46" i="38"/>
  <c r="V46" i="38"/>
  <c r="Z225" i="19"/>
  <c r="GM8" i="7"/>
  <c r="U33" i="35"/>
  <c r="CG137" i="11"/>
  <c r="CG109" i="11"/>
  <c r="Z150" i="19"/>
  <c r="GA7" i="7"/>
  <c r="FC13" i="7"/>
  <c r="BG19" i="11"/>
  <c r="BG43" i="1"/>
  <c r="V153" i="19"/>
  <c r="V207" i="19"/>
  <c r="U45" i="1"/>
  <c r="U84" i="1" s="1"/>
  <c r="BT84" i="1"/>
  <c r="EQ30" i="7"/>
  <c r="Z145" i="11"/>
  <c r="EQ31" i="7" s="1"/>
  <c r="S150" i="19"/>
  <c r="S204" i="19"/>
  <c r="U152" i="19"/>
  <c r="U206" i="19"/>
  <c r="Z42" i="11"/>
  <c r="Z46" i="11" s="1"/>
  <c r="G42" i="11"/>
  <c r="G46" i="11" s="1"/>
  <c r="CI46" i="11"/>
  <c r="E204" i="19"/>
  <c r="FB13" i="25"/>
  <c r="FB13" i="7"/>
  <c r="D131" i="19"/>
  <c r="AC45" i="1"/>
  <c r="CR84" i="1"/>
  <c r="T150" i="19"/>
  <c r="T204" i="19"/>
  <c r="P49" i="35"/>
  <c r="P11" i="35"/>
  <c r="AC51" i="19"/>
  <c r="CR173" i="19"/>
  <c r="V54" i="21"/>
  <c r="T224" i="19"/>
  <c r="T278" i="19"/>
  <c r="Z28" i="36"/>
  <c r="Z31" i="36"/>
  <c r="CJ19" i="11"/>
  <c r="CJ43" i="1"/>
  <c r="T16" i="21"/>
  <c r="CO37" i="21"/>
  <c r="CO59" i="19"/>
  <c r="CO73" i="15"/>
  <c r="CO79" i="15"/>
  <c r="CO55" i="15"/>
  <c r="AB30" i="15"/>
  <c r="G30" i="15"/>
  <c r="L31" i="29"/>
  <c r="G9" i="28" s="1"/>
  <c r="O72" i="26" s="1"/>
  <c r="O79" i="26" s="1"/>
  <c r="CN46" i="21"/>
  <c r="CN45" i="21"/>
  <c r="O17" i="25"/>
  <c r="BM17" i="25"/>
  <c r="V89" i="1"/>
  <c r="EE94" i="15"/>
  <c r="J94" i="15"/>
  <c r="AL94" i="15"/>
  <c r="Q57" i="21"/>
  <c r="CP33" i="1"/>
  <c r="CP55" i="1"/>
  <c r="CP39" i="1"/>
  <c r="V10" i="21"/>
  <c r="W47" i="38"/>
  <c r="X46" i="38"/>
  <c r="E102" i="1"/>
  <c r="BC11" i="25" s="1"/>
  <c r="E89" i="1"/>
  <c r="E91" i="1"/>
  <c r="E90" i="1"/>
  <c r="BC10" i="25" s="1"/>
  <c r="Z78" i="19"/>
  <c r="FO9" i="7"/>
  <c r="W16" i="21"/>
  <c r="AD24" i="35"/>
  <c r="AD39" i="35"/>
  <c r="DL23" i="1"/>
  <c r="CT31" i="24"/>
  <c r="AC30" i="24"/>
  <c r="W32" i="29"/>
  <c r="CA39" i="29"/>
  <c r="W39" i="29" s="1"/>
  <c r="T50" i="21"/>
  <c r="T54" i="21"/>
  <c r="BQ56" i="21"/>
  <c r="T56" i="21" s="1"/>
  <c r="EX51" i="24"/>
  <c r="EY52" i="24" s="1"/>
  <c r="EZ53" i="24" s="1"/>
  <c r="CO44" i="19"/>
  <c r="CO42" i="15"/>
  <c r="AB9" i="15"/>
  <c r="CO83" i="15"/>
  <c r="G9" i="15"/>
  <c r="BJ109" i="11"/>
  <c r="BJ137" i="11"/>
  <c r="EF41" i="24"/>
  <c r="EG42" i="24" s="1"/>
  <c r="EH43" i="24" s="1"/>
  <c r="V51" i="21"/>
  <c r="F51" i="21"/>
  <c r="HA20" i="25" s="1"/>
  <c r="ER30" i="7"/>
  <c r="AA145" i="11"/>
  <c r="ER31" i="7" s="1"/>
  <c r="X30" i="36"/>
  <c r="X27" i="36"/>
  <c r="BB33" i="1"/>
  <c r="BB55" i="1"/>
  <c r="O34" i="1"/>
  <c r="BB39" i="1"/>
  <c r="R151" i="19"/>
  <c r="R205" i="19"/>
  <c r="H39" i="35"/>
  <c r="H24" i="35"/>
  <c r="Q54" i="21"/>
  <c r="D9" i="21"/>
  <c r="N9" i="21"/>
  <c r="AY19" i="21"/>
  <c r="AY22" i="21"/>
  <c r="AY21" i="21"/>
  <c r="W89" i="1"/>
  <c r="BW45" i="21"/>
  <c r="CS72" i="15"/>
  <c r="CI39" i="25"/>
  <c r="CI40" i="25" s="1"/>
  <c r="CI15" i="25"/>
  <c r="V66" i="38"/>
  <c r="BQ9" i="21"/>
  <c r="BQ20" i="21" s="1"/>
  <c r="T10" i="21"/>
  <c r="X15" i="21" s="1"/>
  <c r="BQ15" i="21"/>
  <c r="BQ25" i="21"/>
  <c r="BQ44" i="21"/>
  <c r="X23" i="38"/>
  <c r="X27" i="38" s="1"/>
  <c r="X66" i="38" s="1"/>
  <c r="D54" i="21"/>
  <c r="CO253" i="19"/>
  <c r="DH117" i="11"/>
  <c r="DP117" i="11"/>
  <c r="DI117" i="11"/>
  <c r="DQ117" i="11"/>
  <c r="DJ117" i="11"/>
  <c r="DR117" i="11"/>
  <c r="DK117" i="11"/>
  <c r="J117" i="11"/>
  <c r="DL117" i="11"/>
  <c r="DM117" i="11"/>
  <c r="DN117" i="11"/>
  <c r="DG117" i="11"/>
  <c r="DO117" i="11"/>
  <c r="H39" i="26" l="1"/>
  <c r="I35" i="26" s="1"/>
  <c r="J213" i="26"/>
  <c r="J215" i="26" s="1"/>
  <c r="J221" i="26" s="1"/>
  <c r="AF215" i="26"/>
  <c r="AG206" i="26" s="1"/>
  <c r="N158" i="26"/>
  <c r="N141" i="26"/>
  <c r="N160" i="26" s="1"/>
  <c r="AY141" i="26"/>
  <c r="AY160" i="26" s="1"/>
  <c r="AY158" i="26"/>
  <c r="AU114" i="26"/>
  <c r="AV114" i="26" s="1"/>
  <c r="AW114" i="26" s="1"/>
  <c r="AX114" i="26" s="1"/>
  <c r="AY114" i="26" s="1"/>
  <c r="AZ114" i="26" s="1"/>
  <c r="AQ108" i="26"/>
  <c r="AQ119" i="26" s="1"/>
  <c r="AQ208" i="26" s="1"/>
  <c r="AP119" i="26"/>
  <c r="AP208" i="26" s="1"/>
  <c r="O139" i="26"/>
  <c r="AW158" i="26"/>
  <c r="AW141" i="26"/>
  <c r="AW160" i="26" s="1"/>
  <c r="AX141" i="26"/>
  <c r="AX160" i="26" s="1"/>
  <c r="AX158" i="26"/>
  <c r="AR66" i="26"/>
  <c r="AI17" i="29"/>
  <c r="DL31" i="29"/>
  <c r="AI31" i="29" s="1"/>
  <c r="N9" i="28" s="1"/>
  <c r="AL72" i="26" s="1"/>
  <c r="AL79" i="26" s="1"/>
  <c r="L39" i="35"/>
  <c r="L24" i="35"/>
  <c r="EX46" i="24"/>
  <c r="EY47" i="24" s="1"/>
  <c r="EZ48" i="24" s="1"/>
  <c r="DT48" i="24"/>
  <c r="DU49" i="24" s="1"/>
  <c r="DV50" i="24" s="1"/>
  <c r="Y43" i="1"/>
  <c r="CF42" i="1"/>
  <c r="CF82" i="1"/>
  <c r="CF54" i="1"/>
  <c r="CF85" i="1"/>
  <c r="CF57" i="1"/>
  <c r="Z57" i="21"/>
  <c r="HK31" i="7" s="1"/>
  <c r="EK32" i="24"/>
  <c r="EQ32" i="24"/>
  <c r="AS31" i="24"/>
  <c r="Q19" i="21"/>
  <c r="Q22" i="21"/>
  <c r="DE44" i="24"/>
  <c r="DF45" i="24" s="1"/>
  <c r="DG46" i="24" s="1"/>
  <c r="CS42" i="1"/>
  <c r="CS75" i="1" s="1"/>
  <c r="CS85" i="1"/>
  <c r="CS82" i="1"/>
  <c r="CS54" i="1"/>
  <c r="N55" i="1"/>
  <c r="N39" i="1"/>
  <c r="K58" i="22"/>
  <c r="DN49" i="24"/>
  <c r="DO50" i="24" s="1"/>
  <c r="DP51" i="24" s="1"/>
  <c r="R51" i="21"/>
  <c r="E51" i="21"/>
  <c r="AE24" i="35"/>
  <c r="AE39" i="35"/>
  <c r="AB84" i="1"/>
  <c r="AT14" i="7"/>
  <c r="AT15" i="7" s="1"/>
  <c r="BN22" i="7"/>
  <c r="CY11" i="29"/>
  <c r="CY32" i="29" s="1"/>
  <c r="CZ39" i="29" s="1"/>
  <c r="CY81" i="29"/>
  <c r="CY85" i="29" s="1"/>
  <c r="CU11" i="29"/>
  <c r="CU81" i="29"/>
  <c r="CU85" i="29" s="1"/>
  <c r="AD78" i="29"/>
  <c r="AD81" i="29" s="1"/>
  <c r="AD85" i="29" s="1"/>
  <c r="I96" i="29"/>
  <c r="I98" i="29"/>
  <c r="I14" i="29" s="1"/>
  <c r="BM23" i="25"/>
  <c r="DV32" i="24"/>
  <c r="AL31" i="24"/>
  <c r="CJ37" i="24"/>
  <c r="CK38" i="24" s="1"/>
  <c r="CL39" i="24" s="1"/>
  <c r="Y24" i="21"/>
  <c r="Y29" i="21" s="1"/>
  <c r="CF29" i="21"/>
  <c r="U35" i="36"/>
  <c r="T48" i="37"/>
  <c r="U52" i="36"/>
  <c r="E33" i="1"/>
  <c r="E55" i="1"/>
  <c r="O11" i="25"/>
  <c r="BM11" i="25"/>
  <c r="E39" i="1"/>
  <c r="BU42" i="1"/>
  <c r="BU82" i="1"/>
  <c r="BU85" i="1"/>
  <c r="BU57" i="1"/>
  <c r="BU54" i="1"/>
  <c r="CI94" i="1"/>
  <c r="DI21" i="1"/>
  <c r="DU23" i="1"/>
  <c r="CQ72" i="15"/>
  <c r="DG31" i="24"/>
  <c r="AG30" i="24"/>
  <c r="CO85" i="1"/>
  <c r="AB43" i="1"/>
  <c r="CO54" i="1"/>
  <c r="CO82" i="1"/>
  <c r="CO42" i="1"/>
  <c r="DS149" i="11"/>
  <c r="EA149" i="11"/>
  <c r="DT149" i="11"/>
  <c r="EB149" i="11"/>
  <c r="K149" i="11"/>
  <c r="DU149" i="11"/>
  <c r="EC149" i="11"/>
  <c r="DV149" i="11"/>
  <c r="ED149" i="11"/>
  <c r="DY149" i="11"/>
  <c r="DW149" i="11"/>
  <c r="DX149" i="11"/>
  <c r="DZ149" i="11"/>
  <c r="S137" i="11"/>
  <c r="S109" i="11"/>
  <c r="S47" i="11"/>
  <c r="GQ10" i="25"/>
  <c r="GZ9" i="7"/>
  <c r="Q24" i="21"/>
  <c r="Q29" i="21" s="1"/>
  <c r="BH29" i="21"/>
  <c r="DW54" i="24"/>
  <c r="DX55" i="24" s="1"/>
  <c r="DY56" i="24" s="1"/>
  <c r="CR251" i="19"/>
  <c r="AC247" i="19"/>
  <c r="CR248" i="19"/>
  <c r="CR250" i="19"/>
  <c r="CR249" i="19"/>
  <c r="G83" i="1"/>
  <c r="AU10" i="25"/>
  <c r="AU11" i="25" s="1"/>
  <c r="BO21" i="25"/>
  <c r="EC44" i="24"/>
  <c r="ED45" i="24" s="1"/>
  <c r="EE46" i="24" s="1"/>
  <c r="E82" i="11"/>
  <c r="BX6" i="25"/>
  <c r="BX17" i="25" s="1"/>
  <c r="V32" i="29"/>
  <c r="F32" i="29"/>
  <c r="BX39" i="29"/>
  <c r="CB27" i="24"/>
  <c r="W26" i="24"/>
  <c r="N8" i="18"/>
  <c r="N6" i="18"/>
  <c r="N10" i="18"/>
  <c r="CO35" i="21"/>
  <c r="CO43" i="19"/>
  <c r="CO41" i="15"/>
  <c r="CO71" i="15"/>
  <c r="CO53" i="15"/>
  <c r="AB8" i="15"/>
  <c r="CO77" i="15"/>
  <c r="G8" i="15"/>
  <c r="AS14" i="7"/>
  <c r="AS15" i="7" s="1"/>
  <c r="BM22" i="7"/>
  <c r="AA84" i="1"/>
  <c r="G33" i="1"/>
  <c r="Q11" i="25"/>
  <c r="BO11" i="25"/>
  <c r="G55" i="1"/>
  <c r="G39" i="1"/>
  <c r="J74" i="22"/>
  <c r="AD73" i="22"/>
  <c r="M73" i="22"/>
  <c r="T73" i="22"/>
  <c r="V73" i="22"/>
  <c r="X73" i="22"/>
  <c r="N73" i="22"/>
  <c r="Q73" i="22"/>
  <c r="W73" i="22"/>
  <c r="Y73" i="22"/>
  <c r="R73" i="22"/>
  <c r="O73" i="22"/>
  <c r="P73" i="22"/>
  <c r="U73" i="22"/>
  <c r="S73" i="22"/>
  <c r="O5" i="18"/>
  <c r="BY45" i="21"/>
  <c r="BY47" i="21"/>
  <c r="BY46" i="21"/>
  <c r="V46" i="21" s="1"/>
  <c r="Z84" i="1"/>
  <c r="AR14" i="7"/>
  <c r="AR15" i="7" s="1"/>
  <c r="BL22" i="7"/>
  <c r="Z137" i="11"/>
  <c r="EQ23" i="7" s="1"/>
  <c r="Z109" i="11"/>
  <c r="Z47" i="11"/>
  <c r="CP54" i="1"/>
  <c r="CP82" i="1"/>
  <c r="CP85" i="1"/>
  <c r="CP42" i="1"/>
  <c r="FA43" i="24"/>
  <c r="FB44" i="24" s="1"/>
  <c r="P40" i="35"/>
  <c r="P45" i="35"/>
  <c r="P46" i="35" s="1"/>
  <c r="P51" i="35"/>
  <c r="P55" i="35" s="1"/>
  <c r="BZ54" i="1"/>
  <c r="W43" i="1"/>
  <c r="BZ85" i="1"/>
  <c r="BZ42" i="1"/>
  <c r="BZ82" i="1"/>
  <c r="BZ57" i="1"/>
  <c r="CN94" i="1"/>
  <c r="Q33" i="1"/>
  <c r="BH81" i="1"/>
  <c r="BH37" i="1"/>
  <c r="BH38" i="1"/>
  <c r="BH48" i="1"/>
  <c r="DH21" i="1"/>
  <c r="DT23" i="1"/>
  <c r="DS32" i="24"/>
  <c r="AK31" i="24"/>
  <c r="CK50" i="19"/>
  <c r="CK23" i="15"/>
  <c r="CK91" i="15"/>
  <c r="CK25" i="15"/>
  <c r="CK26" i="15"/>
  <c r="CT112" i="1"/>
  <c r="AF132" i="37"/>
  <c r="S15" i="37"/>
  <c r="AF15" i="37" s="1"/>
  <c r="I70" i="29"/>
  <c r="I81" i="29" s="1"/>
  <c r="I79" i="29" s="1"/>
  <c r="I161" i="29" s="1"/>
  <c r="FB17" i="7"/>
  <c r="FB24" i="7" s="1"/>
  <c r="FB20" i="7"/>
  <c r="CA81" i="1"/>
  <c r="CA37" i="1"/>
  <c r="CA38" i="1"/>
  <c r="EG81" i="11"/>
  <c r="EO81" i="11"/>
  <c r="EH81" i="11"/>
  <c r="EP81" i="11"/>
  <c r="EI81" i="11"/>
  <c r="EJ81" i="11"/>
  <c r="EK81" i="11"/>
  <c r="L81" i="11"/>
  <c r="EL81" i="11"/>
  <c r="EE81" i="11"/>
  <c r="EM81" i="11"/>
  <c r="EN81" i="11"/>
  <c r="EF81" i="11"/>
  <c r="S15" i="21"/>
  <c r="CO75" i="1"/>
  <c r="AB33" i="1"/>
  <c r="CO81" i="1"/>
  <c r="CO38" i="1"/>
  <c r="CO48" i="1"/>
  <c r="CO37" i="1"/>
  <c r="R56" i="21"/>
  <c r="E56" i="21"/>
  <c r="AW30" i="24"/>
  <c r="EU45" i="24"/>
  <c r="EV46" i="24" s="1"/>
  <c r="EW47" i="24" s="1"/>
  <c r="BC47" i="21"/>
  <c r="O47" i="21" s="1"/>
  <c r="BC46" i="21"/>
  <c r="O46" i="21" s="1"/>
  <c r="BC45" i="21"/>
  <c r="O45" i="21" s="1"/>
  <c r="O44" i="21"/>
  <c r="GY8" i="7"/>
  <c r="BD42" i="1"/>
  <c r="BD75" i="1" s="1"/>
  <c r="BD82" i="1"/>
  <c r="BD57" i="1"/>
  <c r="BD85" i="1"/>
  <c r="BD54" i="1"/>
  <c r="BR94" i="1"/>
  <c r="CK29" i="24"/>
  <c r="J56" i="22"/>
  <c r="Q55" i="22"/>
  <c r="R55" i="22"/>
  <c r="O55" i="22"/>
  <c r="W55" i="22"/>
  <c r="V55" i="22"/>
  <c r="X55" i="22"/>
  <c r="S55" i="22"/>
  <c r="M55" i="22"/>
  <c r="T55" i="22"/>
  <c r="N55" i="22"/>
  <c r="U55" i="22"/>
  <c r="P55" i="22"/>
  <c r="Y55" i="22"/>
  <c r="DX34" i="11"/>
  <c r="DY34" i="11"/>
  <c r="DZ34" i="11"/>
  <c r="DS34" i="11"/>
  <c r="EA34" i="11"/>
  <c r="DT34" i="11"/>
  <c r="EB34" i="11"/>
  <c r="K34" i="11"/>
  <c r="DU34" i="11"/>
  <c r="EC34" i="11"/>
  <c r="DW34" i="11"/>
  <c r="DV34" i="11"/>
  <c r="ED34" i="11"/>
  <c r="CK81" i="1"/>
  <c r="CK38" i="1"/>
  <c r="CK37" i="1"/>
  <c r="CK48" i="1"/>
  <c r="CF42" i="19"/>
  <c r="Y7" i="15"/>
  <c r="CF90" i="15"/>
  <c r="CF40" i="15"/>
  <c r="CE12" i="15"/>
  <c r="CF14" i="15"/>
  <c r="CF15" i="15"/>
  <c r="DJ31" i="24"/>
  <c r="I30" i="24"/>
  <c r="AH30" i="24"/>
  <c r="CT12" i="1"/>
  <c r="DM33" i="24"/>
  <c r="BO42" i="1"/>
  <c r="BO48" i="1" s="1"/>
  <c r="BO54" i="1"/>
  <c r="BO82" i="1"/>
  <c r="BO85" i="1"/>
  <c r="BO57" i="1"/>
  <c r="CC94" i="1"/>
  <c r="AA49" i="38"/>
  <c r="AA41" i="38" s="1"/>
  <c r="CS254" i="19"/>
  <c r="CS255" i="19"/>
  <c r="CS257" i="19"/>
  <c r="CS256" i="19"/>
  <c r="D33" i="1"/>
  <c r="D55" i="1"/>
  <c r="N11" i="25"/>
  <c r="BL11" i="25"/>
  <c r="D39" i="1"/>
  <c r="R52" i="21"/>
  <c r="E52" i="21"/>
  <c r="E26" i="29"/>
  <c r="E27" i="29" s="1"/>
  <c r="F23" i="29" s="1"/>
  <c r="AB32" i="29"/>
  <c r="CP39" i="29"/>
  <c r="AB39" i="29" s="1"/>
  <c r="DF11" i="29"/>
  <c r="DF32" i="29" s="1"/>
  <c r="DG39" i="29" s="1"/>
  <c r="DF81" i="29"/>
  <c r="DF85" i="29" s="1"/>
  <c r="DB11" i="29"/>
  <c r="DB32" i="29" s="1"/>
  <c r="DC39" i="29" s="1"/>
  <c r="DB81" i="29"/>
  <c r="DB85" i="29" s="1"/>
  <c r="FO11" i="7"/>
  <c r="FO12" i="7"/>
  <c r="DC33" i="24"/>
  <c r="DD34" i="24" s="1"/>
  <c r="AJ23" i="35"/>
  <c r="AC39" i="35"/>
  <c r="AC24" i="35"/>
  <c r="T60" i="37"/>
  <c r="BI19" i="21"/>
  <c r="BI21" i="21"/>
  <c r="BU14" i="21"/>
  <c r="BI22" i="21"/>
  <c r="R33" i="1"/>
  <c r="BK81" i="1"/>
  <c r="BK38" i="1"/>
  <c r="BK37" i="1"/>
  <c r="CT181" i="19"/>
  <c r="CT180" i="19"/>
  <c r="CT182" i="19"/>
  <c r="CT183" i="19"/>
  <c r="CQ73" i="15"/>
  <c r="AA89" i="22"/>
  <c r="E20" i="21"/>
  <c r="E15" i="21"/>
  <c r="CQ175" i="19"/>
  <c r="CQ176" i="19"/>
  <c r="CQ177" i="19"/>
  <c r="CQ174" i="19"/>
  <c r="AB28" i="36"/>
  <c r="AB31" i="36"/>
  <c r="AB32" i="36"/>
  <c r="BA85" i="1"/>
  <c r="BA82" i="1"/>
  <c r="BA42" i="1"/>
  <c r="BA54" i="1"/>
  <c r="BO94" i="1"/>
  <c r="BA57" i="1"/>
  <c r="P16" i="29"/>
  <c r="P20" i="29" s="1"/>
  <c r="BE20" i="29"/>
  <c r="BF16" i="29" s="1"/>
  <c r="BF20" i="29" s="1"/>
  <c r="BG16" i="29" s="1"/>
  <c r="BG20" i="29" s="1"/>
  <c r="BH16" i="29" s="1"/>
  <c r="DJ21" i="1"/>
  <c r="AI23" i="1"/>
  <c r="DV23" i="1"/>
  <c r="Z44" i="21"/>
  <c r="CI47" i="21"/>
  <c r="CI46" i="21"/>
  <c r="CI45" i="21"/>
  <c r="Q25" i="21"/>
  <c r="Q30" i="21" s="1"/>
  <c r="AL22" i="1"/>
  <c r="EE22" i="1"/>
  <c r="J22" i="1"/>
  <c r="DW23" i="1"/>
  <c r="DK21" i="1"/>
  <c r="R39" i="29"/>
  <c r="EC43" i="24"/>
  <c r="ED44" i="24" s="1"/>
  <c r="EE45" i="24" s="1"/>
  <c r="CT61" i="15"/>
  <c r="BK42" i="1"/>
  <c r="E43" i="1"/>
  <c r="BK82" i="1"/>
  <c r="R43" i="1"/>
  <c r="BK85" i="1"/>
  <c r="BK54" i="1"/>
  <c r="BY94" i="1"/>
  <c r="BK57" i="1"/>
  <c r="CK58" i="19"/>
  <c r="CK34" i="15"/>
  <c r="CK92" i="15"/>
  <c r="CK37" i="15"/>
  <c r="CK36" i="15"/>
  <c r="AA45" i="21"/>
  <c r="FA21" i="25"/>
  <c r="AN22" i="1"/>
  <c r="EK22" i="1"/>
  <c r="DT43" i="24"/>
  <c r="DU44" i="24" s="1"/>
  <c r="DV45" i="24" s="1"/>
  <c r="FW12" i="25"/>
  <c r="FW11" i="25"/>
  <c r="FW14" i="25" s="1"/>
  <c r="BO75" i="1"/>
  <c r="BO81" i="1"/>
  <c r="BO37" i="1"/>
  <c r="BO38" i="1"/>
  <c r="CM36" i="24"/>
  <c r="CN37" i="24" s="1"/>
  <c r="CO38" i="24" s="1"/>
  <c r="AA83" i="1"/>
  <c r="BM21" i="7"/>
  <c r="AS10" i="7"/>
  <c r="AS11" i="7" s="1"/>
  <c r="G84" i="1"/>
  <c r="BO22" i="25"/>
  <c r="AU14" i="25"/>
  <c r="AU15" i="25" s="1"/>
  <c r="FM14" i="25"/>
  <c r="DK71" i="11"/>
  <c r="J71" i="11"/>
  <c r="DL71" i="11"/>
  <c r="DM71" i="11"/>
  <c r="DN71" i="11"/>
  <c r="DG71" i="11"/>
  <c r="DO71" i="11"/>
  <c r="DH71" i="11"/>
  <c r="DP71" i="11"/>
  <c r="DI71" i="11"/>
  <c r="DQ71" i="11"/>
  <c r="DR71" i="11"/>
  <c r="DJ71" i="11"/>
  <c r="BL42" i="1"/>
  <c r="BL75" i="1" s="1"/>
  <c r="BL82" i="1"/>
  <c r="BL85" i="1"/>
  <c r="BL54" i="1"/>
  <c r="BL57" i="1"/>
  <c r="BZ94" i="1"/>
  <c r="CE14" i="21"/>
  <c r="Q55" i="1"/>
  <c r="Q39" i="1"/>
  <c r="W60" i="34"/>
  <c r="W61" i="34" s="1"/>
  <c r="W46" i="34"/>
  <c r="G72" i="15"/>
  <c r="H72" i="15" s="1"/>
  <c r="U36" i="36"/>
  <c r="T87" i="37"/>
  <c r="U108" i="36"/>
  <c r="CT9" i="24"/>
  <c r="CT11" i="24" s="1"/>
  <c r="D50" i="21"/>
  <c r="N50" i="21"/>
  <c r="CQ112" i="1"/>
  <c r="CO12" i="1"/>
  <c r="AB59" i="19"/>
  <c r="CO247" i="19"/>
  <c r="G59" i="19"/>
  <c r="EH28" i="25"/>
  <c r="CI42" i="25"/>
  <c r="W15" i="38"/>
  <c r="W27" i="35" s="1"/>
  <c r="AG23" i="38"/>
  <c r="W27" i="38"/>
  <c r="W66" i="38" s="1"/>
  <c r="AG66" i="38" s="1"/>
  <c r="CE42" i="1"/>
  <c r="CE82" i="1"/>
  <c r="CE54" i="1"/>
  <c r="CE85" i="1"/>
  <c r="CE57" i="1"/>
  <c r="BQ24" i="21"/>
  <c r="T25" i="21"/>
  <c r="T30" i="21" s="1"/>
  <c r="FA54" i="24"/>
  <c r="FB55" i="24" s="1"/>
  <c r="CU32" i="24"/>
  <c r="AC31" i="24"/>
  <c r="V15" i="21"/>
  <c r="V20" i="21"/>
  <c r="G73" i="15"/>
  <c r="DP10" i="25"/>
  <c r="DP11" i="25" s="1"/>
  <c r="GA11" i="7"/>
  <c r="GA14" i="7" s="1"/>
  <c r="AB55" i="1"/>
  <c r="P11" i="7"/>
  <c r="BN11" i="7"/>
  <c r="AB39" i="1"/>
  <c r="Z82" i="11"/>
  <c r="BW6" i="7"/>
  <c r="BW17" i="7" s="1"/>
  <c r="EN22" i="1"/>
  <c r="AO22" i="1"/>
  <c r="CS34" i="21"/>
  <c r="CS40" i="21"/>
  <c r="DA21" i="1"/>
  <c r="AF23" i="1"/>
  <c r="H23" i="1"/>
  <c r="CP67" i="15"/>
  <c r="R55" i="21"/>
  <c r="E55" i="21"/>
  <c r="AC33" i="1"/>
  <c r="CR81" i="1"/>
  <c r="CR37" i="1"/>
  <c r="CR38" i="1"/>
  <c r="BF42" i="1"/>
  <c r="BF82" i="1"/>
  <c r="BF85" i="1"/>
  <c r="BF57" i="1"/>
  <c r="BT94" i="1"/>
  <c r="BF54" i="1"/>
  <c r="EH31" i="24"/>
  <c r="AP30" i="24"/>
  <c r="K30" i="24"/>
  <c r="W55" i="1"/>
  <c r="W39" i="1"/>
  <c r="CK42" i="1"/>
  <c r="CK75" i="1" s="1"/>
  <c r="CK82" i="1"/>
  <c r="CK85" i="1"/>
  <c r="CK57" i="1"/>
  <c r="CK54" i="1"/>
  <c r="EU50" i="24"/>
  <c r="EV51" i="24" s="1"/>
  <c r="EW52" i="24" s="1"/>
  <c r="Y27" i="35"/>
  <c r="CS180" i="19"/>
  <c r="CS183" i="19"/>
  <c r="CS182" i="19"/>
  <c r="CS181" i="19"/>
  <c r="CX32" i="24"/>
  <c r="AD31" i="24"/>
  <c r="Q43" i="1"/>
  <c r="BH42" i="1"/>
  <c r="BH85" i="1"/>
  <c r="BH54" i="1"/>
  <c r="BH82" i="1"/>
  <c r="BH57" i="1"/>
  <c r="BV94" i="1"/>
  <c r="AB20" i="15"/>
  <c r="DE10" i="7" s="1"/>
  <c r="AJ126" i="11"/>
  <c r="DY114" i="11"/>
  <c r="DZ114" i="11"/>
  <c r="DS114" i="11"/>
  <c r="EA114" i="11"/>
  <c r="DT114" i="11"/>
  <c r="EB114" i="11"/>
  <c r="K114" i="11"/>
  <c r="DU114" i="11"/>
  <c r="EC114" i="11"/>
  <c r="DV114" i="11"/>
  <c r="ED114" i="11"/>
  <c r="DW114" i="11"/>
  <c r="DX114" i="11"/>
  <c r="EM26" i="25"/>
  <c r="W15" i="21"/>
  <c r="Z41" i="38"/>
  <c r="Z22" i="38" s="1"/>
  <c r="O23" i="29"/>
  <c r="O27" i="29" s="1"/>
  <c r="BB27" i="29"/>
  <c r="BC23" i="29" s="1"/>
  <c r="BC27" i="29" s="1"/>
  <c r="BD23" i="29" s="1"/>
  <c r="BD27" i="29" s="1"/>
  <c r="BE23" i="29" s="1"/>
  <c r="CG37" i="24"/>
  <c r="CH38" i="24" s="1"/>
  <c r="CI39" i="24" s="1"/>
  <c r="CN81" i="1"/>
  <c r="CN37" i="1"/>
  <c r="CN38" i="1"/>
  <c r="CN48" i="1"/>
  <c r="FP11" i="7"/>
  <c r="FP12" i="7"/>
  <c r="CX11" i="29"/>
  <c r="CX81" i="29"/>
  <c r="CX85" i="29" s="1"/>
  <c r="AE78" i="29"/>
  <c r="AE81" i="29" s="1"/>
  <c r="AE85" i="29" s="1"/>
  <c r="DA11" i="29"/>
  <c r="AF78" i="29"/>
  <c r="AF81" i="29" s="1"/>
  <c r="AF85" i="29" s="1"/>
  <c r="DA81" i="29"/>
  <c r="DA85" i="29" s="1"/>
  <c r="Q63" i="1"/>
  <c r="Q68" i="1" s="1"/>
  <c r="BH68" i="1"/>
  <c r="CT81" i="1"/>
  <c r="CT38" i="1"/>
  <c r="CT37" i="1"/>
  <c r="N20" i="21"/>
  <c r="BC81" i="1"/>
  <c r="BC37" i="1"/>
  <c r="BC38" i="1"/>
  <c r="DC56" i="15"/>
  <c r="DC17" i="1"/>
  <c r="DC30" i="1" s="1"/>
  <c r="CE27" i="24"/>
  <c r="X26" i="24"/>
  <c r="AB30" i="36"/>
  <c r="P6" i="18"/>
  <c r="P8" i="18"/>
  <c r="P10" i="18"/>
  <c r="CK42" i="7"/>
  <c r="EJ28" i="7"/>
  <c r="FC22" i="7"/>
  <c r="CQ100" i="19"/>
  <c r="CQ101" i="19"/>
  <c r="CQ102" i="19"/>
  <c r="CQ103" i="19"/>
  <c r="S33" i="37"/>
  <c r="S6" i="37"/>
  <c r="S36" i="37"/>
  <c r="AF36" i="37" s="1"/>
  <c r="Z25" i="21"/>
  <c r="Z30" i="21" s="1"/>
  <c r="HK15" i="7" s="1"/>
  <c r="CI24" i="21"/>
  <c r="GQ8" i="25"/>
  <c r="J22" i="8"/>
  <c r="J91" i="11"/>
  <c r="AL91" i="11"/>
  <c r="EE91" i="11"/>
  <c r="Y15" i="21"/>
  <c r="Y20" i="21"/>
  <c r="M8" i="18"/>
  <c r="M10" i="18"/>
  <c r="M6" i="18"/>
  <c r="CG81" i="1"/>
  <c r="CG37" i="1"/>
  <c r="CG38" i="1"/>
  <c r="CT40" i="21"/>
  <c r="Y34" i="15"/>
  <c r="Y92" i="15"/>
  <c r="FC22" i="25"/>
  <c r="Y25" i="24"/>
  <c r="CG26" i="24"/>
  <c r="EO48" i="24"/>
  <c r="EP49" i="24" s="1"/>
  <c r="EQ50" i="24" s="1"/>
  <c r="Q45" i="21"/>
  <c r="ER43" i="24"/>
  <c r="ES44" i="24" s="1"/>
  <c r="ET45" i="24" s="1"/>
  <c r="FC20" i="25"/>
  <c r="FC17" i="25"/>
  <c r="FC24" i="25" s="1"/>
  <c r="BJ54" i="1"/>
  <c r="BJ82" i="1"/>
  <c r="BJ85" i="1"/>
  <c r="BJ42" i="1"/>
  <c r="BJ48" i="1" s="1"/>
  <c r="BX94" i="1"/>
  <c r="BJ57" i="1"/>
  <c r="Z33" i="1"/>
  <c r="CI81" i="1"/>
  <c r="CI38" i="1"/>
  <c r="CI37" i="1"/>
  <c r="V56" i="34"/>
  <c r="AA72" i="22"/>
  <c r="FO13" i="7"/>
  <c r="GY7" i="7"/>
  <c r="GM11" i="7"/>
  <c r="GM14" i="7" s="1"/>
  <c r="CQ81" i="1"/>
  <c r="CQ37" i="1"/>
  <c r="CQ38" i="1"/>
  <c r="CS74" i="24"/>
  <c r="CT75" i="24" s="1"/>
  <c r="CU76" i="24" s="1"/>
  <c r="DB44" i="24"/>
  <c r="DC45" i="24" s="1"/>
  <c r="DD46" i="24" s="1"/>
  <c r="DJ113" i="11"/>
  <c r="DR113" i="11"/>
  <c r="DK113" i="11"/>
  <c r="J113" i="11"/>
  <c r="DL113" i="11"/>
  <c r="DM113" i="11"/>
  <c r="DN113" i="11"/>
  <c r="DG113" i="11"/>
  <c r="DO113" i="11"/>
  <c r="DH113" i="11"/>
  <c r="DP113" i="11"/>
  <c r="DI113" i="11"/>
  <c r="DQ113" i="11"/>
  <c r="EL25" i="25"/>
  <c r="CE75" i="1"/>
  <c r="CE81" i="1"/>
  <c r="CE37" i="1"/>
  <c r="CE38" i="1"/>
  <c r="CE48" i="1"/>
  <c r="AF110" i="37"/>
  <c r="AF111" i="37" s="1"/>
  <c r="AF116" i="37"/>
  <c r="AF117" i="37"/>
  <c r="V25" i="21"/>
  <c r="V30" i="21" s="1"/>
  <c r="AB72" i="15"/>
  <c r="DE11" i="7"/>
  <c r="DE13" i="7"/>
  <c r="E109" i="11"/>
  <c r="E137" i="11"/>
  <c r="ER23" i="25" s="1"/>
  <c r="U110" i="1"/>
  <c r="X99" i="1"/>
  <c r="T107" i="37"/>
  <c r="BG106" i="1"/>
  <c r="BF113" i="1"/>
  <c r="FD17" i="7"/>
  <c r="FD24" i="7" s="1"/>
  <c r="CJ36" i="23"/>
  <c r="CJ43" i="23" s="1"/>
  <c r="CJ40" i="23" s="1"/>
  <c r="CT10" i="21" s="1"/>
  <c r="BV27" i="24"/>
  <c r="U26" i="24"/>
  <c r="CG19" i="21"/>
  <c r="CG14" i="21"/>
  <c r="CG21" i="21"/>
  <c r="CG22" i="21"/>
  <c r="AC83" i="1"/>
  <c r="BO21" i="7"/>
  <c r="AU10" i="7"/>
  <c r="AU11" i="7" s="1"/>
  <c r="FB20" i="25"/>
  <c r="FB17" i="25"/>
  <c r="FB24" i="25" s="1"/>
  <c r="FO14" i="7"/>
  <c r="FC17" i="7"/>
  <c r="FC24" i="7" s="1"/>
  <c r="BC24" i="21"/>
  <c r="O25" i="21"/>
  <c r="O30" i="21" s="1"/>
  <c r="GY10" i="7"/>
  <c r="EW31" i="24"/>
  <c r="EW94" i="15"/>
  <c r="AV94" i="15" s="1"/>
  <c r="AR94" i="15"/>
  <c r="BM81" i="1"/>
  <c r="BM38" i="1"/>
  <c r="BM37" i="1"/>
  <c r="BM48" i="1"/>
  <c r="CS60" i="15"/>
  <c r="CS66" i="15"/>
  <c r="AC55" i="1"/>
  <c r="Q11" i="7"/>
  <c r="BO11" i="7"/>
  <c r="AC39" i="1"/>
  <c r="BC19" i="21"/>
  <c r="BC22" i="21"/>
  <c r="BC21" i="21"/>
  <c r="O9" i="21"/>
  <c r="O20" i="21" s="1"/>
  <c r="FP14" i="7"/>
  <c r="BX81" i="1"/>
  <c r="BX37" i="1"/>
  <c r="BX38" i="1"/>
  <c r="BX48" i="1"/>
  <c r="BM42" i="1"/>
  <c r="BM75" i="1" s="1"/>
  <c r="BM57" i="1"/>
  <c r="BM82" i="1"/>
  <c r="BM85" i="1"/>
  <c r="BM54" i="1"/>
  <c r="CA94" i="1"/>
  <c r="AS94" i="15"/>
  <c r="EZ94" i="15"/>
  <c r="AW94" i="15" s="1"/>
  <c r="I106" i="29"/>
  <c r="I108" i="29"/>
  <c r="I21" i="29" s="1"/>
  <c r="BJ38" i="1"/>
  <c r="BJ81" i="1"/>
  <c r="BJ37" i="1"/>
  <c r="R6" i="18"/>
  <c r="R8" i="18"/>
  <c r="R10" i="18"/>
  <c r="B6" i="30"/>
  <c r="BV81" i="1"/>
  <c r="BV37" i="1"/>
  <c r="BV38" i="1"/>
  <c r="BQ81" i="1"/>
  <c r="T33" i="1"/>
  <c r="BQ37" i="1"/>
  <c r="BQ38" i="1"/>
  <c r="CO179" i="19"/>
  <c r="DZ23" i="1"/>
  <c r="DN21" i="1"/>
  <c r="GZ10" i="7"/>
  <c r="CA46" i="21"/>
  <c r="W46" i="21" s="1"/>
  <c r="CA47" i="21"/>
  <c r="W47" i="21" s="1"/>
  <c r="CA45" i="21"/>
  <c r="W45" i="21" s="1"/>
  <c r="W44" i="21"/>
  <c r="AM22" i="1"/>
  <c r="EH22" i="1"/>
  <c r="CS56" i="15"/>
  <c r="CS59" i="15" s="1"/>
  <c r="CS65" i="15"/>
  <c r="AF24" i="37"/>
  <c r="AF41" i="37" s="1"/>
  <c r="AE33" i="37"/>
  <c r="AE34" i="37" s="1"/>
  <c r="G32" i="29"/>
  <c r="Z32" i="29"/>
  <c r="CJ39" i="29"/>
  <c r="BS47" i="21"/>
  <c r="BS45" i="21"/>
  <c r="BS46" i="21"/>
  <c r="Q6" i="18"/>
  <c r="Q10" i="18"/>
  <c r="Q8" i="18"/>
  <c r="DE11" i="29"/>
  <c r="DE32" i="29" s="1"/>
  <c r="DF39" i="29" s="1"/>
  <c r="DE81" i="29"/>
  <c r="DE85" i="29" s="1"/>
  <c r="CI42" i="1"/>
  <c r="CI75" i="1" s="1"/>
  <c r="G43" i="1"/>
  <c r="CI85" i="1"/>
  <c r="Z43" i="1"/>
  <c r="CI82" i="1"/>
  <c r="CI54" i="1"/>
  <c r="CI57" i="1"/>
  <c r="P55" i="1"/>
  <c r="P39" i="1"/>
  <c r="CP36" i="24"/>
  <c r="CQ37" i="24" s="1"/>
  <c r="CR38" i="24" s="1"/>
  <c r="CH38" i="1"/>
  <c r="CH48" i="1"/>
  <c r="CH81" i="1"/>
  <c r="CH37" i="1"/>
  <c r="FC21" i="25"/>
  <c r="V45" i="34"/>
  <c r="V54" i="34"/>
  <c r="V52" i="34"/>
  <c r="V50" i="34"/>
  <c r="BY85" i="1"/>
  <c r="BY42" i="1"/>
  <c r="BY54" i="1"/>
  <c r="BY82" i="1"/>
  <c r="CM94" i="1"/>
  <c r="BY57" i="1"/>
  <c r="FM11" i="25"/>
  <c r="FM12" i="25"/>
  <c r="EA23" i="1"/>
  <c r="DO21" i="1"/>
  <c r="CQ55" i="15"/>
  <c r="R9" i="21"/>
  <c r="BK19" i="21"/>
  <c r="E9" i="21"/>
  <c r="BK14" i="21"/>
  <c r="BK21" i="21"/>
  <c r="BK22" i="21"/>
  <c r="CS86" i="15"/>
  <c r="O32" i="29"/>
  <c r="BC39" i="29"/>
  <c r="O39" i="29" s="1"/>
  <c r="V9" i="18"/>
  <c r="FO15" i="7"/>
  <c r="I108" i="11"/>
  <c r="CY108" i="11"/>
  <c r="CZ108" i="11"/>
  <c r="DA108" i="11"/>
  <c r="DB108" i="11"/>
  <c r="CU108" i="11"/>
  <c r="DC108" i="11"/>
  <c r="CV108" i="11"/>
  <c r="DD108" i="11"/>
  <c r="CW108" i="11"/>
  <c r="DE108" i="11"/>
  <c r="CX108" i="11"/>
  <c r="DF108" i="11"/>
  <c r="EK20" i="7"/>
  <c r="EK20" i="25"/>
  <c r="CQ67" i="19"/>
  <c r="FP15" i="7"/>
  <c r="DW118" i="11"/>
  <c r="DX118" i="11"/>
  <c r="DY118" i="11"/>
  <c r="DZ118" i="11"/>
  <c r="DS118" i="11"/>
  <c r="EA118" i="11"/>
  <c r="DT118" i="11"/>
  <c r="EB118" i="11"/>
  <c r="K118" i="11"/>
  <c r="DU118" i="11"/>
  <c r="EC118" i="11"/>
  <c r="DV118" i="11"/>
  <c r="ED118" i="11"/>
  <c r="F19" i="29"/>
  <c r="FB23" i="25"/>
  <c r="D32" i="29"/>
  <c r="D34" i="29" s="1"/>
  <c r="E30" i="29" s="1"/>
  <c r="N32" i="29"/>
  <c r="N34" i="29" s="1"/>
  <c r="AY39" i="29"/>
  <c r="AZ39" i="29"/>
  <c r="AY34" i="29"/>
  <c r="AY37" i="29" s="1"/>
  <c r="CE63" i="19"/>
  <c r="CE29" i="15"/>
  <c r="F52" i="21"/>
  <c r="HA21" i="25" s="1"/>
  <c r="CX142" i="11"/>
  <c r="DF142" i="11"/>
  <c r="CY142" i="11"/>
  <c r="CZ142" i="11"/>
  <c r="DA142" i="11"/>
  <c r="I142" i="11"/>
  <c r="CU142" i="11"/>
  <c r="DC142" i="11"/>
  <c r="CV142" i="11"/>
  <c r="DD142" i="11"/>
  <c r="CW142" i="11"/>
  <c r="DB142" i="11"/>
  <c r="DE142" i="11"/>
  <c r="EU28" i="25"/>
  <c r="DE32" i="24"/>
  <c r="AG31" i="24"/>
  <c r="S55" i="1"/>
  <c r="S39" i="1"/>
  <c r="BX36" i="24"/>
  <c r="BY37" i="24" s="1"/>
  <c r="BZ38" i="24" s="1"/>
  <c r="CS74" i="15"/>
  <c r="GQ9" i="25"/>
  <c r="E83" i="1"/>
  <c r="AS10" i="25"/>
  <c r="AS11" i="25" s="1"/>
  <c r="BM21" i="25"/>
  <c r="BP27" i="24"/>
  <c r="S26" i="24"/>
  <c r="ET32" i="24"/>
  <c r="L31" i="24"/>
  <c r="AT31" i="24"/>
  <c r="DQ21" i="1"/>
  <c r="EC23" i="1"/>
  <c r="BA46" i="21"/>
  <c r="BA45" i="21"/>
  <c r="BA47" i="21"/>
  <c r="DB31" i="24"/>
  <c r="AF30" i="24"/>
  <c r="BD81" i="1"/>
  <c r="BD37" i="1"/>
  <c r="BD38" i="1"/>
  <c r="BD48" i="1"/>
  <c r="BV42" i="1"/>
  <c r="BV75" i="1" s="1"/>
  <c r="BV54" i="1"/>
  <c r="BV82" i="1"/>
  <c r="BV85" i="1"/>
  <c r="BV57" i="1"/>
  <c r="CJ94" i="1"/>
  <c r="AF92" i="37"/>
  <c r="AG84" i="37"/>
  <c r="V24" i="21"/>
  <c r="V29" i="21" s="1"/>
  <c r="BW29" i="21"/>
  <c r="AB78" i="15"/>
  <c r="G78" i="15"/>
  <c r="R137" i="11"/>
  <c r="R109" i="11"/>
  <c r="R47" i="11"/>
  <c r="Z51" i="21"/>
  <c r="HK20" i="7" s="1"/>
  <c r="BR38" i="1"/>
  <c r="BR81" i="1"/>
  <c r="BR75" i="1"/>
  <c r="BR37" i="1"/>
  <c r="BT92" i="1" s="1"/>
  <c r="BT93" i="1" s="1"/>
  <c r="L76" i="11"/>
  <c r="EL76" i="11"/>
  <c r="EE76" i="11"/>
  <c r="EM76" i="11"/>
  <c r="EF76" i="11"/>
  <c r="EN76" i="11"/>
  <c r="EG76" i="11"/>
  <c r="EO76" i="11"/>
  <c r="EH76" i="11"/>
  <c r="EP76" i="11"/>
  <c r="EI76" i="11"/>
  <c r="EJ76" i="11"/>
  <c r="EK76" i="11"/>
  <c r="Y53" i="38"/>
  <c r="T109" i="37"/>
  <c r="T30" i="37" s="1"/>
  <c r="T99" i="37"/>
  <c r="GB11" i="7"/>
  <c r="GB12" i="7" s="1"/>
  <c r="T126" i="37"/>
  <c r="U149" i="36"/>
  <c r="U145" i="36" s="1"/>
  <c r="T128" i="37"/>
  <c r="H40" i="35"/>
  <c r="H45" i="35"/>
  <c r="H46" i="35" s="1"/>
  <c r="H51" i="35"/>
  <c r="H55" i="35" s="1"/>
  <c r="AA33" i="1"/>
  <c r="CL81" i="1"/>
  <c r="CL38" i="1"/>
  <c r="CL37" i="1"/>
  <c r="CQ52" i="19"/>
  <c r="CQ179" i="19" s="1"/>
  <c r="CQ84" i="15"/>
  <c r="D24" i="21"/>
  <c r="D29" i="21" s="1"/>
  <c r="N24" i="21"/>
  <c r="N29" i="21" s="1"/>
  <c r="AY29" i="21"/>
  <c r="EI44" i="24"/>
  <c r="EJ45" i="24" s="1"/>
  <c r="EK46" i="24" s="1"/>
  <c r="AB37" i="21"/>
  <c r="AA137" i="11"/>
  <c r="ER23" i="7" s="1"/>
  <c r="AA109" i="11"/>
  <c r="AA47" i="11"/>
  <c r="CJ81" i="1"/>
  <c r="CJ75" i="1"/>
  <c r="CJ48" i="1"/>
  <c r="CJ37" i="1"/>
  <c r="CJ38" i="1"/>
  <c r="EC46" i="24"/>
  <c r="ED47" i="24" s="1"/>
  <c r="EE48" i="24" s="1"/>
  <c r="CK42" i="25"/>
  <c r="EJ28" i="25"/>
  <c r="FM15" i="25"/>
  <c r="T15" i="21"/>
  <c r="T20" i="21"/>
  <c r="DX23" i="1"/>
  <c r="DL21" i="1"/>
  <c r="CJ42" i="1"/>
  <c r="CJ82" i="1"/>
  <c r="CJ85" i="1"/>
  <c r="CJ57" i="1"/>
  <c r="CJ54" i="1"/>
  <c r="CP248" i="19"/>
  <c r="CP249" i="19"/>
  <c r="CP250" i="19"/>
  <c r="CP251" i="19"/>
  <c r="GY9" i="7"/>
  <c r="E22" i="24"/>
  <c r="BK25" i="24"/>
  <c r="R22" i="24"/>
  <c r="CT42" i="1"/>
  <c r="CT75" i="1" s="1"/>
  <c r="CT82" i="1"/>
  <c r="CT85" i="1"/>
  <c r="CT54" i="1"/>
  <c r="AH126" i="11"/>
  <c r="DS126" i="11"/>
  <c r="AL126" i="11" s="1"/>
  <c r="EA126" i="11"/>
  <c r="DT126" i="11"/>
  <c r="EB126" i="11"/>
  <c r="K126" i="11"/>
  <c r="DU126" i="11"/>
  <c r="EC126" i="11"/>
  <c r="DV126" i="11"/>
  <c r="AM126" i="11" s="1"/>
  <c r="ED126" i="11"/>
  <c r="DX126" i="11"/>
  <c r="DY126" i="11"/>
  <c r="AN126" i="11" s="1"/>
  <c r="DZ126" i="11"/>
  <c r="EW11" i="25"/>
  <c r="DW126" i="11"/>
  <c r="DB56" i="15"/>
  <c r="DB17" i="1"/>
  <c r="DB30" i="1" s="1"/>
  <c r="CA24" i="21"/>
  <c r="W25" i="21"/>
  <c r="W30" i="21" s="1"/>
  <c r="X55" i="1"/>
  <c r="X39" i="1"/>
  <c r="BU81" i="1"/>
  <c r="BU75" i="1"/>
  <c r="BU38" i="1"/>
  <c r="BU37" i="1"/>
  <c r="BW92" i="1" s="1"/>
  <c r="BU48" i="1"/>
  <c r="CE55" i="19"/>
  <c r="CE18" i="15"/>
  <c r="X29" i="34"/>
  <c r="X30" i="34" s="1"/>
  <c r="X33" i="34"/>
  <c r="X32" i="34"/>
  <c r="AC80" i="15"/>
  <c r="BS29" i="21"/>
  <c r="BF81" i="1"/>
  <c r="BF48" i="1"/>
  <c r="BF75" i="1"/>
  <c r="BF38" i="1"/>
  <c r="BF37" i="1"/>
  <c r="CW11" i="29"/>
  <c r="CW32" i="29" s="1"/>
  <c r="CX39" i="29" s="1"/>
  <c r="CW81" i="29"/>
  <c r="CW85" i="29" s="1"/>
  <c r="P33" i="1"/>
  <c r="BE81" i="1"/>
  <c r="BE38" i="1"/>
  <c r="BE37" i="1"/>
  <c r="D55" i="21"/>
  <c r="N55" i="21"/>
  <c r="EK91" i="11"/>
  <c r="AN91" i="11"/>
  <c r="FW13" i="25"/>
  <c r="FA20" i="25"/>
  <c r="FA17" i="25"/>
  <c r="FA24" i="25" s="1"/>
  <c r="DG87" i="11"/>
  <c r="DO87" i="11"/>
  <c r="DH87" i="11"/>
  <c r="DP87" i="11"/>
  <c r="DI87" i="11"/>
  <c r="DQ87" i="11"/>
  <c r="DJ87" i="11"/>
  <c r="DR87" i="11"/>
  <c r="DK87" i="11"/>
  <c r="J87" i="11"/>
  <c r="DL87" i="11"/>
  <c r="DM87" i="11"/>
  <c r="DN87" i="11"/>
  <c r="F9" i="21"/>
  <c r="CQ248" i="19"/>
  <c r="CQ249" i="19"/>
  <c r="CQ251" i="19"/>
  <c r="CQ250" i="19"/>
  <c r="AD90" i="22"/>
  <c r="J91" i="22"/>
  <c r="T90" i="22"/>
  <c r="X90" i="22"/>
  <c r="M90" i="22"/>
  <c r="U90" i="22"/>
  <c r="Q90" i="22"/>
  <c r="N90" i="22"/>
  <c r="Y90" i="22"/>
  <c r="V90" i="22"/>
  <c r="R90" i="22"/>
  <c r="O90" i="22"/>
  <c r="S90" i="22"/>
  <c r="W90" i="22"/>
  <c r="P90" i="22"/>
  <c r="R20" i="21"/>
  <c r="R15" i="21"/>
  <c r="D56" i="21"/>
  <c r="DG141" i="11"/>
  <c r="DO141" i="11"/>
  <c r="DH141" i="11"/>
  <c r="DP141" i="11"/>
  <c r="DI141" i="11"/>
  <c r="DQ141" i="11"/>
  <c r="DJ141" i="11"/>
  <c r="DR141" i="11"/>
  <c r="J141" i="11"/>
  <c r="DL141" i="11"/>
  <c r="DM141" i="11"/>
  <c r="DK141" i="11"/>
  <c r="DN141" i="11"/>
  <c r="EV27" i="25"/>
  <c r="U14" i="21"/>
  <c r="U19" i="21"/>
  <c r="U21" i="21"/>
  <c r="U22" i="21"/>
  <c r="CQ69" i="24"/>
  <c r="CR70" i="24" s="1"/>
  <c r="AB83" i="1"/>
  <c r="BN21" i="7"/>
  <c r="AT10" i="7"/>
  <c r="AT11" i="7" s="1"/>
  <c r="V7" i="18"/>
  <c r="CS81" i="1"/>
  <c r="CS38" i="1"/>
  <c r="CS37" i="1"/>
  <c r="AM30" i="24"/>
  <c r="DW31" i="24"/>
  <c r="CS20" i="1"/>
  <c r="CS21" i="1"/>
  <c r="CS112" i="1"/>
  <c r="DT90" i="11"/>
  <c r="EB90" i="11"/>
  <c r="K90" i="11"/>
  <c r="DU90" i="11"/>
  <c r="EC90" i="11"/>
  <c r="DV90" i="11"/>
  <c r="ED90" i="11"/>
  <c r="DW90" i="11"/>
  <c r="DX90" i="11"/>
  <c r="DY90" i="11"/>
  <c r="DZ90" i="11"/>
  <c r="DS90" i="11"/>
  <c r="EA90" i="11"/>
  <c r="BK19" i="29"/>
  <c r="BS19" i="29"/>
  <c r="BL19" i="29"/>
  <c r="BT19" i="29"/>
  <c r="BM19" i="29"/>
  <c r="BU19" i="29"/>
  <c r="BN19" i="29"/>
  <c r="BV19" i="29"/>
  <c r="BO19" i="29"/>
  <c r="BP19" i="29"/>
  <c r="BQ19" i="29"/>
  <c r="BR19" i="29"/>
  <c r="K20" i="22"/>
  <c r="U43" i="1"/>
  <c r="BT42" i="1"/>
  <c r="U42" i="1" s="1"/>
  <c r="BT82" i="1"/>
  <c r="BT85" i="1"/>
  <c r="BT57" i="1"/>
  <c r="CH94" i="1"/>
  <c r="E19" i="11"/>
  <c r="X24" i="21"/>
  <c r="X29" i="21" s="1"/>
  <c r="CC29" i="21"/>
  <c r="S33" i="1"/>
  <c r="BN81" i="1"/>
  <c r="BN38" i="1"/>
  <c r="BN37" i="1"/>
  <c r="AZ81" i="1"/>
  <c r="AZ75" i="1"/>
  <c r="AZ37" i="1"/>
  <c r="AZ38" i="1"/>
  <c r="AZ48" i="1"/>
  <c r="AA19" i="21"/>
  <c r="AA22" i="21"/>
  <c r="AA21" i="21"/>
  <c r="O109" i="11"/>
  <c r="O137" i="11"/>
  <c r="O47" i="11"/>
  <c r="DR21" i="1"/>
  <c r="ED23" i="1"/>
  <c r="BO14" i="21"/>
  <c r="BY19" i="21"/>
  <c r="BY14" i="21"/>
  <c r="BY22" i="21"/>
  <c r="CK14" i="21"/>
  <c r="BY21" i="21"/>
  <c r="AF134" i="37"/>
  <c r="BP85" i="1"/>
  <c r="BP42" i="1"/>
  <c r="BP54" i="1"/>
  <c r="BP82" i="1"/>
  <c r="CD94" i="1"/>
  <c r="BP57" i="1"/>
  <c r="FC23" i="25"/>
  <c r="CV75" i="24"/>
  <c r="CW76" i="24" s="1"/>
  <c r="CX77" i="24" s="1"/>
  <c r="CP37" i="24"/>
  <c r="CQ38" i="24" s="1"/>
  <c r="CR39" i="24" s="1"/>
  <c r="J18" i="22"/>
  <c r="V17" i="22"/>
  <c r="Q17" i="22"/>
  <c r="Y17" i="22"/>
  <c r="N17" i="22"/>
  <c r="R17" i="22"/>
  <c r="O17" i="22"/>
  <c r="S17" i="22"/>
  <c r="P17" i="22"/>
  <c r="T17" i="22"/>
  <c r="W17" i="22"/>
  <c r="M17" i="22"/>
  <c r="X17" i="22"/>
  <c r="U17" i="22"/>
  <c r="F25" i="21"/>
  <c r="CO66" i="15"/>
  <c r="AB54" i="15"/>
  <c r="Z50" i="21"/>
  <c r="X18" i="38"/>
  <c r="X31" i="35" s="1"/>
  <c r="V33" i="1"/>
  <c r="BW81" i="1"/>
  <c r="BW37" i="1"/>
  <c r="BW38" i="1"/>
  <c r="G54" i="1"/>
  <c r="BO23" i="25"/>
  <c r="AH27" i="36"/>
  <c r="AH31" i="36" s="1"/>
  <c r="FA44" i="24"/>
  <c r="FB45" i="24" s="1"/>
  <c r="CO68" i="19"/>
  <c r="CO105" i="19"/>
  <c r="CS102" i="19"/>
  <c r="CS103" i="19"/>
  <c r="CS100" i="19"/>
  <c r="CS101" i="19"/>
  <c r="BM22" i="25"/>
  <c r="E84" i="1"/>
  <c r="AS14" i="25"/>
  <c r="AS15" i="25" s="1"/>
  <c r="DY23" i="1"/>
  <c r="DM21" i="1"/>
  <c r="AJ23" i="1"/>
  <c r="BR54" i="1"/>
  <c r="BR82" i="1"/>
  <c r="BR85" i="1"/>
  <c r="BR42" i="1"/>
  <c r="BR48" i="1" s="1"/>
  <c r="CF94" i="1"/>
  <c r="BR57" i="1"/>
  <c r="CM81" i="1"/>
  <c r="CM38" i="1"/>
  <c r="CM48" i="1"/>
  <c r="CM37" i="1"/>
  <c r="V45" i="21"/>
  <c r="O55" i="1"/>
  <c r="O39" i="1"/>
  <c r="AC11" i="1"/>
  <c r="CR112" i="1"/>
  <c r="DX117" i="11"/>
  <c r="DY117" i="11"/>
  <c r="DZ117" i="11"/>
  <c r="DS117" i="11"/>
  <c r="EA117" i="11"/>
  <c r="DT117" i="11"/>
  <c r="EB117" i="11"/>
  <c r="K117" i="11"/>
  <c r="DU117" i="11"/>
  <c r="EC117" i="11"/>
  <c r="DV117" i="11"/>
  <c r="ED117" i="11"/>
  <c r="DW117" i="11"/>
  <c r="CO86" i="15"/>
  <c r="CO67" i="15"/>
  <c r="AB55" i="15"/>
  <c r="G55" i="15"/>
  <c r="AC84" i="1"/>
  <c r="AU14" i="7"/>
  <c r="AU15" i="7" s="1"/>
  <c r="BO22" i="7"/>
  <c r="CB42" i="1"/>
  <c r="CB75" i="1" s="1"/>
  <c r="CB82" i="1"/>
  <c r="CB57" i="1"/>
  <c r="CB85" i="1"/>
  <c r="CB54" i="1"/>
  <c r="CT62" i="15"/>
  <c r="CT68" i="15"/>
  <c r="DF68" i="15"/>
  <c r="T32" i="29"/>
  <c r="BR39" i="29"/>
  <c r="T39" i="29" s="1"/>
  <c r="CP100" i="19"/>
  <c r="CP101" i="19"/>
  <c r="CP102" i="19"/>
  <c r="CP103" i="19"/>
  <c r="W33" i="1"/>
  <c r="BZ38" i="1"/>
  <c r="BZ48" i="1"/>
  <c r="BZ81" i="1"/>
  <c r="BZ37" i="1"/>
  <c r="V47" i="21"/>
  <c r="CO254" i="19"/>
  <c r="CO256" i="19"/>
  <c r="CO257" i="19"/>
  <c r="CO255" i="19"/>
  <c r="O33" i="1"/>
  <c r="BB38" i="1"/>
  <c r="BB81" i="1"/>
  <c r="BB37" i="1"/>
  <c r="AD40" i="35"/>
  <c r="AD45" i="35"/>
  <c r="AD51" i="35"/>
  <c r="CP38" i="1"/>
  <c r="CP48" i="1"/>
  <c r="CP81" i="1"/>
  <c r="CP37" i="1"/>
  <c r="CP75" i="1"/>
  <c r="AB79" i="15"/>
  <c r="G79" i="15"/>
  <c r="CR174" i="19"/>
  <c r="CR175" i="19"/>
  <c r="CR176" i="19"/>
  <c r="CR177" i="19"/>
  <c r="AC173" i="19"/>
  <c r="D52" i="21"/>
  <c r="AN44" i="24"/>
  <c r="DZ45" i="24"/>
  <c r="EA46" i="24" s="1"/>
  <c r="EB47" i="24" s="1"/>
  <c r="BC42" i="1"/>
  <c r="BC75" i="1" s="1"/>
  <c r="BC82" i="1"/>
  <c r="BC85" i="1"/>
  <c r="BC54" i="1"/>
  <c r="BQ94" i="1"/>
  <c r="BC57" i="1"/>
  <c r="CT108" i="19"/>
  <c r="CT106" i="19"/>
  <c r="CT109" i="19"/>
  <c r="CT107" i="19"/>
  <c r="F82" i="11"/>
  <c r="BY6" i="25"/>
  <c r="BY17" i="25" s="1"/>
  <c r="BB54" i="1"/>
  <c r="O43" i="1"/>
  <c r="BB42" i="1"/>
  <c r="O42" i="1" s="1"/>
  <c r="BB82" i="1"/>
  <c r="BB85" i="1"/>
  <c r="BB57" i="1"/>
  <c r="BP94" i="1"/>
  <c r="DP21" i="1"/>
  <c r="AK23" i="1"/>
  <c r="EB23" i="1"/>
  <c r="DP32" i="24"/>
  <c r="AJ31" i="24"/>
  <c r="CP67" i="19"/>
  <c r="BI85" i="1"/>
  <c r="BI82" i="1"/>
  <c r="BI42" i="1"/>
  <c r="BI48" i="1" s="1"/>
  <c r="BI54" i="1"/>
  <c r="BW94" i="1"/>
  <c r="BI57" i="1"/>
  <c r="EN91" i="11"/>
  <c r="AO91" i="11"/>
  <c r="T137" i="11"/>
  <c r="T109" i="11"/>
  <c r="T47" i="11"/>
  <c r="Y109" i="11"/>
  <c r="Y137" i="11"/>
  <c r="Y47" i="11"/>
  <c r="D51" i="21"/>
  <c r="X19" i="21"/>
  <c r="X22" i="21"/>
  <c r="X21" i="21"/>
  <c r="T55" i="1"/>
  <c r="T39" i="1"/>
  <c r="EO45" i="24"/>
  <c r="EP46" i="24" s="1"/>
  <c r="EQ47" i="24" s="1"/>
  <c r="FA22" i="25"/>
  <c r="W109" i="11"/>
  <c r="W137" i="11"/>
  <c r="W47" i="11"/>
  <c r="CG36" i="24"/>
  <c r="CH37" i="24" s="1"/>
  <c r="CI38" i="24" s="1"/>
  <c r="D39" i="35"/>
  <c r="D24" i="35"/>
  <c r="D20" i="21"/>
  <c r="X33" i="1"/>
  <c r="CC81" i="1"/>
  <c r="CC38" i="1"/>
  <c r="CC37" i="1"/>
  <c r="EE31" i="24"/>
  <c r="AO30" i="24"/>
  <c r="I8" i="40"/>
  <c r="GQ7" i="25"/>
  <c r="GG11" i="25"/>
  <c r="GG12" i="25" s="1"/>
  <c r="CP60" i="19"/>
  <c r="CP85" i="15"/>
  <c r="AB31" i="15"/>
  <c r="G31" i="15"/>
  <c r="M49" i="22"/>
  <c r="U49" i="22"/>
  <c r="R49" i="22"/>
  <c r="K50" i="22"/>
  <c r="V49" i="22"/>
  <c r="N49" i="22"/>
  <c r="W49" i="22"/>
  <c r="O49" i="22"/>
  <c r="X49" i="22"/>
  <c r="S49" i="22"/>
  <c r="T49" i="22"/>
  <c r="Y49" i="22"/>
  <c r="P49" i="22"/>
  <c r="Q49" i="22"/>
  <c r="DD11" i="29"/>
  <c r="AG78" i="29"/>
  <c r="AG81" i="29" s="1"/>
  <c r="AG85" i="29" s="1"/>
  <c r="DD81" i="29"/>
  <c r="DD85" i="29" s="1"/>
  <c r="F109" i="11"/>
  <c r="F137" i="11"/>
  <c r="ES23" i="25" s="1"/>
  <c r="F47" i="11"/>
  <c r="CR52" i="19"/>
  <c r="AC20" i="15"/>
  <c r="CR84" i="15"/>
  <c r="AC84" i="15" s="1"/>
  <c r="CR54" i="15"/>
  <c r="CR72" i="15"/>
  <c r="CR36" i="21"/>
  <c r="D84" i="1"/>
  <c r="BL22" i="25"/>
  <c r="AR14" i="25"/>
  <c r="AR15" i="25" s="1"/>
  <c r="FA17" i="7"/>
  <c r="FA24" i="7" s="1"/>
  <c r="FA20" i="7"/>
  <c r="AA82" i="11"/>
  <c r="BX6" i="7"/>
  <c r="BX17" i="7" s="1"/>
  <c r="R55" i="1"/>
  <c r="R39" i="1"/>
  <c r="V14" i="21"/>
  <c r="V19" i="21"/>
  <c r="V21" i="21"/>
  <c r="V22" i="21"/>
  <c r="H21" i="40"/>
  <c r="H23" i="40" s="1"/>
  <c r="I21" i="40"/>
  <c r="I23" i="40" s="1"/>
  <c r="J21" i="40"/>
  <c r="J23" i="40" s="1"/>
  <c r="Q32" i="29"/>
  <c r="BI39" i="29"/>
  <c r="Q39" i="29" s="1"/>
  <c r="CS12" i="1"/>
  <c r="CS11" i="11" s="1"/>
  <c r="Z90" i="1"/>
  <c r="P5" i="18"/>
  <c r="X16" i="38"/>
  <c r="X27" i="35" s="1"/>
  <c r="AR10" i="25"/>
  <c r="AR11" i="25" s="1"/>
  <c r="BL21" i="25"/>
  <c r="D83" i="1"/>
  <c r="X109" i="11"/>
  <c r="X137" i="11"/>
  <c r="X47" i="11"/>
  <c r="CS9" i="24"/>
  <c r="CS11" i="24" s="1"/>
  <c r="CL42" i="1"/>
  <c r="AA42" i="1" s="1"/>
  <c r="BM19" i="7" s="1"/>
  <c r="CL82" i="1"/>
  <c r="CL85" i="1"/>
  <c r="AA43" i="1"/>
  <c r="CL54" i="1"/>
  <c r="CL57" i="1"/>
  <c r="BI81" i="1"/>
  <c r="BI75" i="1"/>
  <c r="BI37" i="1"/>
  <c r="BK92" i="1" s="1"/>
  <c r="BI38" i="1"/>
  <c r="BX37" i="24"/>
  <c r="BY38" i="24" s="1"/>
  <c r="BZ39" i="24" s="1"/>
  <c r="GA15" i="7"/>
  <c r="M7" i="18"/>
  <c r="DE46" i="24"/>
  <c r="DF47" i="24" s="1"/>
  <c r="DG48" i="24" s="1"/>
  <c r="Z51" i="38"/>
  <c r="E12" i="29"/>
  <c r="J19" i="8"/>
  <c r="I31" i="29"/>
  <c r="D9" i="28" s="1"/>
  <c r="L72" i="26" s="1"/>
  <c r="L79" i="26" s="1"/>
  <c r="EL49" i="24"/>
  <c r="EM50" i="24" s="1"/>
  <c r="EN51" i="24" s="1"/>
  <c r="EU31" i="24"/>
  <c r="AU30" i="24"/>
  <c r="FB21" i="25"/>
  <c r="K29" i="22"/>
  <c r="FP13" i="7"/>
  <c r="CC42" i="1"/>
  <c r="X42" i="1" s="1"/>
  <c r="X43" i="1"/>
  <c r="CC82" i="1"/>
  <c r="CC57" i="1"/>
  <c r="CC85" i="1"/>
  <c r="CC54" i="1"/>
  <c r="CR103" i="19"/>
  <c r="AC99" i="19"/>
  <c r="CR101" i="19"/>
  <c r="CR102" i="19"/>
  <c r="CR100" i="19"/>
  <c r="EI47" i="24"/>
  <c r="EJ48" i="24" s="1"/>
  <c r="EK49" i="24" s="1"/>
  <c r="K89" i="11"/>
  <c r="DU89" i="11"/>
  <c r="EC89" i="11"/>
  <c r="DV89" i="11"/>
  <c r="ED89" i="11"/>
  <c r="DW89" i="11"/>
  <c r="DX89" i="11"/>
  <c r="DY89" i="11"/>
  <c r="DZ89" i="11"/>
  <c r="DS89" i="11"/>
  <c r="EA89" i="11"/>
  <c r="EB89" i="11"/>
  <c r="DT89" i="11"/>
  <c r="Y14" i="21"/>
  <c r="Y19" i="21"/>
  <c r="CD42" i="1"/>
  <c r="CD75" i="1" s="1"/>
  <c r="CD82" i="1"/>
  <c r="CD57" i="1"/>
  <c r="CD54" i="1"/>
  <c r="CD85" i="1"/>
  <c r="O6" i="18"/>
  <c r="O8" i="18"/>
  <c r="O10" i="18"/>
  <c r="CT101" i="19"/>
  <c r="CT102" i="19"/>
  <c r="CT103" i="19"/>
  <c r="CT100" i="19"/>
  <c r="FW15" i="25"/>
  <c r="CQ42" i="1"/>
  <c r="CQ48" i="1" s="1"/>
  <c r="CQ82" i="1"/>
  <c r="CQ85" i="1"/>
  <c r="CQ54" i="1"/>
  <c r="AT10" i="25"/>
  <c r="AT11" i="25" s="1"/>
  <c r="BN21" i="25"/>
  <c r="F83" i="1"/>
  <c r="CD81" i="1"/>
  <c r="CD38" i="1"/>
  <c r="CD48" i="1"/>
  <c r="CD37" i="1"/>
  <c r="CF92" i="1" s="1"/>
  <c r="CF93" i="1" s="1"/>
  <c r="CT254" i="19"/>
  <c r="CT257" i="19"/>
  <c r="CT255" i="19"/>
  <c r="CT256" i="19"/>
  <c r="AW52" i="2"/>
  <c r="AW57" i="2" s="1"/>
  <c r="Z52" i="21"/>
  <c r="HK21" i="7" s="1"/>
  <c r="DY31" i="24"/>
  <c r="BS81" i="1"/>
  <c r="BS75" i="1"/>
  <c r="BS38" i="1"/>
  <c r="BS48" i="1"/>
  <c r="BS37" i="1"/>
  <c r="Z66" i="24"/>
  <c r="CJ67" i="24"/>
  <c r="CI126" i="24"/>
  <c r="F33" i="1"/>
  <c r="F55" i="1"/>
  <c r="P11" i="25"/>
  <c r="BN11" i="25"/>
  <c r="F39" i="1"/>
  <c r="CD30" i="24"/>
  <c r="I116" i="29"/>
  <c r="I118" i="29"/>
  <c r="I28" i="29" s="1"/>
  <c r="BG42" i="1"/>
  <c r="BG75" i="1" s="1"/>
  <c r="BG85" i="1"/>
  <c r="BG82" i="1"/>
  <c r="BG54" i="1"/>
  <c r="BG57" i="1"/>
  <c r="BU94" i="1"/>
  <c r="CA37" i="24"/>
  <c r="CB38" i="24" s="1"/>
  <c r="CC39" i="24" s="1"/>
  <c r="AF53" i="37"/>
  <c r="AG45" i="37"/>
  <c r="X15" i="38"/>
  <c r="BS42" i="1"/>
  <c r="BS82" i="1"/>
  <c r="BS85" i="1"/>
  <c r="BS54" i="1"/>
  <c r="CG94" i="1"/>
  <c r="BS57" i="1"/>
  <c r="Z42" i="38"/>
  <c r="Z23" i="38" s="1"/>
  <c r="Z15" i="38" s="1"/>
  <c r="Z50" i="38"/>
  <c r="CQ60" i="19"/>
  <c r="CQ253" i="19" s="1"/>
  <c r="CQ85" i="15"/>
  <c r="T44" i="21"/>
  <c r="BQ46" i="21"/>
  <c r="T46" i="21" s="1"/>
  <c r="BQ45" i="21"/>
  <c r="T45" i="21" s="1"/>
  <c r="BQ47" i="21"/>
  <c r="T47" i="21" s="1"/>
  <c r="AP94" i="15"/>
  <c r="EQ94" i="15"/>
  <c r="K94" i="15"/>
  <c r="E57" i="21"/>
  <c r="R57" i="21"/>
  <c r="X47" i="38"/>
  <c r="N19" i="21"/>
  <c r="N21" i="21"/>
  <c r="N22" i="21"/>
  <c r="D19" i="21"/>
  <c r="D22" i="21"/>
  <c r="HA22" i="25"/>
  <c r="BA81" i="1"/>
  <c r="BA75" i="1"/>
  <c r="BA37" i="1"/>
  <c r="BA38" i="1"/>
  <c r="BA48" i="1"/>
  <c r="GB15" i="7"/>
  <c r="BQ19" i="21"/>
  <c r="T9" i="21"/>
  <c r="BQ14" i="21"/>
  <c r="BQ22" i="21"/>
  <c r="BQ21" i="21"/>
  <c r="X28" i="36"/>
  <c r="X32" i="36"/>
  <c r="CM42" i="1"/>
  <c r="CM75" i="1" s="1"/>
  <c r="CM82" i="1"/>
  <c r="CM85" i="1"/>
  <c r="CM54" i="1"/>
  <c r="CM57" i="1"/>
  <c r="O11" i="7"/>
  <c r="BM11" i="7"/>
  <c r="AA55" i="1"/>
  <c r="AA39" i="1"/>
  <c r="CN68" i="24"/>
  <c r="AA67" i="24"/>
  <c r="E16" i="8"/>
  <c r="F30" i="8" s="1"/>
  <c r="E15" i="8"/>
  <c r="F29" i="8" s="1"/>
  <c r="E14" i="8"/>
  <c r="F28" i="8" s="1"/>
  <c r="E13" i="8"/>
  <c r="F27" i="8" s="1"/>
  <c r="E17" i="8"/>
  <c r="F31" i="8" s="1"/>
  <c r="F15" i="21"/>
  <c r="F20" i="21"/>
  <c r="CQ44" i="19"/>
  <c r="CQ83" i="15"/>
  <c r="CQ42" i="15"/>
  <c r="CQ71" i="15"/>
  <c r="CQ53" i="15"/>
  <c r="CQ35" i="21"/>
  <c r="AI27" i="36"/>
  <c r="AI30" i="36" s="1"/>
  <c r="ER37" i="24"/>
  <c r="D25" i="21"/>
  <c r="BG81" i="1"/>
  <c r="BG48" i="1"/>
  <c r="BG37" i="1"/>
  <c r="BI92" i="1" s="1"/>
  <c r="BI93" i="1" s="1"/>
  <c r="BG38" i="1"/>
  <c r="BX30" i="24"/>
  <c r="BX54" i="1"/>
  <c r="BX82" i="1"/>
  <c r="BX42" i="1"/>
  <c r="BX75" i="1" s="1"/>
  <c r="BX85" i="1"/>
  <c r="CL94" i="1"/>
  <c r="BX57" i="1"/>
  <c r="DS23" i="1"/>
  <c r="I23" i="1"/>
  <c r="AH23" i="1"/>
  <c r="DG21" i="1"/>
  <c r="V43" i="1"/>
  <c r="F43" i="1"/>
  <c r="BW42" i="1"/>
  <c r="BW54" i="1"/>
  <c r="BW82" i="1"/>
  <c r="BW85" i="1"/>
  <c r="BW57" i="1"/>
  <c r="CK94" i="1"/>
  <c r="DK47" i="24"/>
  <c r="DL48" i="24" s="1"/>
  <c r="DM49" i="24" s="1"/>
  <c r="Y33" i="1"/>
  <c r="CF81" i="1"/>
  <c r="CF37" i="1"/>
  <c r="CF38" i="1"/>
  <c r="FA22" i="7"/>
  <c r="Z55" i="21"/>
  <c r="B7" i="30"/>
  <c r="EZ33" i="24"/>
  <c r="CG31" i="24"/>
  <c r="CH32" i="24" s="1"/>
  <c r="CI33" i="24" s="1"/>
  <c r="Y23" i="15"/>
  <c r="Y91" i="15"/>
  <c r="CP52" i="19"/>
  <c r="CP179" i="19" s="1"/>
  <c r="CP84" i="15"/>
  <c r="AB84" i="15" s="1"/>
  <c r="CP54" i="15"/>
  <c r="CP36" i="21"/>
  <c r="CP72" i="15"/>
  <c r="DT45" i="24"/>
  <c r="DU46" i="24" s="1"/>
  <c r="DV47" i="24" s="1"/>
  <c r="X38" i="34"/>
  <c r="X45" i="34"/>
  <c r="X54" i="34"/>
  <c r="X52" i="34"/>
  <c r="CG85" i="1"/>
  <c r="CG42" i="1"/>
  <c r="CG48" i="1" s="1"/>
  <c r="CG82" i="1"/>
  <c r="CG54" i="1"/>
  <c r="CG57" i="1"/>
  <c r="CT52" i="21"/>
  <c r="CT57" i="21"/>
  <c r="CV11" i="29"/>
  <c r="CV32" i="29" s="1"/>
  <c r="CW39" i="29" s="1"/>
  <c r="CV81" i="29"/>
  <c r="CV85" i="29" s="1"/>
  <c r="G19" i="11"/>
  <c r="V109" i="11"/>
  <c r="V137" i="11"/>
  <c r="V47" i="11"/>
  <c r="CR44" i="19"/>
  <c r="AC9" i="15"/>
  <c r="CR42" i="15"/>
  <c r="CR83" i="15"/>
  <c r="CR53" i="15"/>
  <c r="CR71" i="15"/>
  <c r="CR35" i="21"/>
  <c r="D43" i="1"/>
  <c r="N43" i="1"/>
  <c r="AY42" i="1"/>
  <c r="N42" i="1" s="1"/>
  <c r="AY85" i="1"/>
  <c r="AY54" i="1"/>
  <c r="AY82" i="1"/>
  <c r="AY57" i="1"/>
  <c r="BK94" i="1"/>
  <c r="BJ94" i="1"/>
  <c r="BL94" i="1"/>
  <c r="BM94" i="1"/>
  <c r="BI46" i="21"/>
  <c r="Q46" i="21" s="1"/>
  <c r="BI47" i="21"/>
  <c r="Q47" i="21" s="1"/>
  <c r="BI45" i="21"/>
  <c r="CA42" i="1"/>
  <c r="CA75" i="1" s="1"/>
  <c r="CA82" i="1"/>
  <c r="CA85" i="1"/>
  <c r="CA54" i="1"/>
  <c r="CA57" i="1"/>
  <c r="BW14" i="21"/>
  <c r="R44" i="21"/>
  <c r="E44" i="21"/>
  <c r="BK47" i="21"/>
  <c r="BK46" i="21"/>
  <c r="BK45" i="21"/>
  <c r="CS68" i="19"/>
  <c r="CS105" i="19"/>
  <c r="BR26" i="24"/>
  <c r="T25" i="24"/>
  <c r="W28" i="36"/>
  <c r="W32" i="36"/>
  <c r="D21" i="21"/>
  <c r="N54" i="1"/>
  <c r="M39" i="22"/>
  <c r="U39" i="22"/>
  <c r="Q39" i="22"/>
  <c r="T39" i="22"/>
  <c r="V39" i="22"/>
  <c r="N39" i="22"/>
  <c r="W39" i="22"/>
  <c r="O39" i="22"/>
  <c r="P39" i="22"/>
  <c r="R39" i="22"/>
  <c r="S39" i="22"/>
  <c r="X39" i="22"/>
  <c r="Y39" i="22"/>
  <c r="K40" i="22"/>
  <c r="FB22" i="25"/>
  <c r="D45" i="21"/>
  <c r="N45" i="21"/>
  <c r="Z9" i="21"/>
  <c r="CI19" i="21"/>
  <c r="CI14" i="21"/>
  <c r="CI21" i="21"/>
  <c r="CI22" i="21"/>
  <c r="EB33" i="24"/>
  <c r="CI36" i="23"/>
  <c r="CI43" i="23" s="1"/>
  <c r="CI40" i="23" s="1"/>
  <c r="CS10" i="21" s="1"/>
  <c r="U33" i="1"/>
  <c r="BT81" i="1"/>
  <c r="BT75" i="1"/>
  <c r="BT37" i="1"/>
  <c r="BT48" i="1"/>
  <c r="BT38" i="1"/>
  <c r="DZ44" i="24"/>
  <c r="EA45" i="24" s="1"/>
  <c r="EB46" i="24" s="1"/>
  <c r="FC23" i="7"/>
  <c r="F90" i="1"/>
  <c r="BD10" i="25" s="1"/>
  <c r="AZ13" i="29"/>
  <c r="BA9" i="29" s="1"/>
  <c r="AZ30" i="29"/>
  <c r="AZ34" i="29" s="1"/>
  <c r="AZ37" i="29" s="1"/>
  <c r="AZ38" i="29" s="1"/>
  <c r="I19" i="8"/>
  <c r="N5" i="18"/>
  <c r="BX26" i="24"/>
  <c r="V25" i="24"/>
  <c r="F25" i="24"/>
  <c r="T68" i="37"/>
  <c r="T80" i="37" s="1"/>
  <c r="U76" i="36"/>
  <c r="U77" i="36" s="1"/>
  <c r="AF13" i="37"/>
  <c r="AF17" i="37" s="1"/>
  <c r="S17" i="37"/>
  <c r="FB21" i="7"/>
  <c r="GZ8" i="7"/>
  <c r="CV136" i="11"/>
  <c r="DD136" i="11"/>
  <c r="CW136" i="11"/>
  <c r="DE136" i="11"/>
  <c r="CX136" i="11"/>
  <c r="DF136" i="11"/>
  <c r="CY136" i="11"/>
  <c r="DA136" i="11"/>
  <c r="DB136" i="11"/>
  <c r="CU136" i="11"/>
  <c r="CZ136" i="11"/>
  <c r="I136" i="11"/>
  <c r="DC136" i="11"/>
  <c r="EU22" i="25"/>
  <c r="AC67" i="19"/>
  <c r="EK39" i="24"/>
  <c r="AQ38" i="24"/>
  <c r="DW45" i="24"/>
  <c r="DX46" i="24" s="1"/>
  <c r="DY47" i="24" s="1"/>
  <c r="O9" i="18"/>
  <c r="CM30" i="24"/>
  <c r="AA29" i="24"/>
  <c r="J148" i="11"/>
  <c r="DL148" i="11"/>
  <c r="DM148" i="11"/>
  <c r="DN148" i="11"/>
  <c r="DG148" i="11"/>
  <c r="DO148" i="11"/>
  <c r="DI148" i="11"/>
  <c r="DQ148" i="11"/>
  <c r="DJ148" i="11"/>
  <c r="DR148" i="11"/>
  <c r="DH148" i="11"/>
  <c r="DK148" i="11"/>
  <c r="DP148" i="11"/>
  <c r="AQ94" i="15"/>
  <c r="ET94" i="15"/>
  <c r="AU94" i="15" s="1"/>
  <c r="BA19" i="21"/>
  <c r="BA22" i="21"/>
  <c r="BA21" i="21"/>
  <c r="CR32" i="24"/>
  <c r="AB31" i="24"/>
  <c r="AB51" i="19"/>
  <c r="CO173" i="19"/>
  <c r="G51" i="19"/>
  <c r="BL81" i="1"/>
  <c r="BL37" i="1"/>
  <c r="BN92" i="1" s="1"/>
  <c r="BN93" i="1" s="1"/>
  <c r="BL38" i="1"/>
  <c r="Y17" i="34"/>
  <c r="Y18" i="34" s="1"/>
  <c r="FA23" i="7"/>
  <c r="V55" i="1"/>
  <c r="V39" i="1"/>
  <c r="AC54" i="1"/>
  <c r="BO23" i="7"/>
  <c r="F57" i="21"/>
  <c r="HA31" i="25" s="1"/>
  <c r="HA32" i="25" s="1"/>
  <c r="CN54" i="1"/>
  <c r="CN82" i="1"/>
  <c r="CN42" i="1"/>
  <c r="CN75" i="1" s="1"/>
  <c r="CN85" i="1"/>
  <c r="CN57" i="1"/>
  <c r="CG47" i="21"/>
  <c r="Y47" i="21" s="1"/>
  <c r="CG46" i="21"/>
  <c r="Y46" i="21" s="1"/>
  <c r="CG45" i="21"/>
  <c r="F45" i="21" s="1"/>
  <c r="HA10" i="25" s="1"/>
  <c r="DK44" i="24"/>
  <c r="DL45" i="24" s="1"/>
  <c r="DM46" i="24" s="1"/>
  <c r="F19" i="11"/>
  <c r="BQ85" i="1"/>
  <c r="BQ42" i="1"/>
  <c r="T42" i="1" s="1"/>
  <c r="T43" i="1"/>
  <c r="BQ54" i="1"/>
  <c r="BQ82" i="1"/>
  <c r="CE94" i="1"/>
  <c r="BQ57" i="1"/>
  <c r="Y55" i="1"/>
  <c r="Y39" i="1"/>
  <c r="D57" i="21"/>
  <c r="U24" i="21"/>
  <c r="U29" i="21" s="1"/>
  <c r="BT29" i="21"/>
  <c r="CY31" i="24"/>
  <c r="H31" i="24" s="1"/>
  <c r="AE30" i="24"/>
  <c r="CT74" i="15"/>
  <c r="CC14" i="21"/>
  <c r="G20" i="15"/>
  <c r="DF10" i="25" s="1"/>
  <c r="DF11" i="25" s="1"/>
  <c r="AK126" i="11"/>
  <c r="AF38" i="37"/>
  <c r="Y24" i="34"/>
  <c r="EN32" i="24"/>
  <c r="AR31" i="24"/>
  <c r="Z56" i="21"/>
  <c r="HK30" i="7" s="1"/>
  <c r="FM13" i="25"/>
  <c r="CA19" i="21"/>
  <c r="CA14" i="21"/>
  <c r="W9" i="21"/>
  <c r="W20" i="21" s="1"/>
  <c r="CA21" i="21"/>
  <c r="CA22" i="21"/>
  <c r="AG149" i="36"/>
  <c r="AG161" i="36" s="1"/>
  <c r="AF129" i="37"/>
  <c r="AF135" i="37"/>
  <c r="AF136" i="37"/>
  <c r="GB14" i="7"/>
  <c r="A11" i="30"/>
  <c r="B10" i="30"/>
  <c r="N33" i="1"/>
  <c r="AY81" i="1"/>
  <c r="AY75" i="1"/>
  <c r="AY37" i="1"/>
  <c r="AY38" i="1"/>
  <c r="AY48" i="1"/>
  <c r="BN94" i="1"/>
  <c r="CP44" i="19"/>
  <c r="CP42" i="15"/>
  <c r="G42" i="15" s="1"/>
  <c r="CP83" i="15"/>
  <c r="CP35" i="21"/>
  <c r="CP71" i="15"/>
  <c r="CP53" i="15"/>
  <c r="E50" i="21"/>
  <c r="R50" i="21"/>
  <c r="BP81" i="1"/>
  <c r="BP75" i="1"/>
  <c r="BP37" i="1"/>
  <c r="BP38" i="1"/>
  <c r="BP48" i="1"/>
  <c r="BS19" i="21"/>
  <c r="BS14" i="21"/>
  <c r="BS21" i="21"/>
  <c r="BS22" i="21"/>
  <c r="DT46" i="24"/>
  <c r="DU47" i="24" s="1"/>
  <c r="DV48" i="24" s="1"/>
  <c r="GZ7" i="7"/>
  <c r="GN11" i="7"/>
  <c r="GN15" i="7" s="1"/>
  <c r="CZ11" i="29"/>
  <c r="CZ32" i="29" s="1"/>
  <c r="DA39" i="29" s="1"/>
  <c r="CZ81" i="29"/>
  <c r="CZ85" i="29" s="1"/>
  <c r="DC11" i="29"/>
  <c r="DC32" i="29" s="1"/>
  <c r="DD39" i="29" s="1"/>
  <c r="DC81" i="29"/>
  <c r="DC85" i="29" s="1"/>
  <c r="H142" i="29" a="1"/>
  <c r="H142" i="29" s="1"/>
  <c r="CR60" i="19"/>
  <c r="AC31" i="15"/>
  <c r="CR85" i="15"/>
  <c r="AC85" i="15" s="1"/>
  <c r="CR55" i="15"/>
  <c r="CR37" i="21"/>
  <c r="CR73" i="15"/>
  <c r="D19" i="11"/>
  <c r="T28" i="37"/>
  <c r="CA36" i="24"/>
  <c r="CB37" i="24" s="1"/>
  <c r="CC38" i="24" s="1"/>
  <c r="BI29" i="21"/>
  <c r="J23" i="8"/>
  <c r="ET30" i="7"/>
  <c r="AC145" i="11"/>
  <c r="ET31" i="7" s="1"/>
  <c r="BY81" i="1"/>
  <c r="BY75" i="1"/>
  <c r="BY37" i="1"/>
  <c r="CA92" i="1" s="1"/>
  <c r="CA93" i="1" s="1"/>
  <c r="BY38" i="1"/>
  <c r="BY48" i="1"/>
  <c r="R25" i="21"/>
  <c r="R30" i="21" s="1"/>
  <c r="BK24" i="21"/>
  <c r="E25" i="21"/>
  <c r="CQ54" i="15"/>
  <c r="GB13" i="7"/>
  <c r="DE43" i="24"/>
  <c r="DF44" i="24" s="1"/>
  <c r="DG45" i="24" s="1"/>
  <c r="DV88" i="11"/>
  <c r="ED88" i="11"/>
  <c r="DW88" i="11"/>
  <c r="DX88" i="11"/>
  <c r="DY88" i="11"/>
  <c r="DZ88" i="11"/>
  <c r="DS88" i="11"/>
  <c r="EA88" i="11"/>
  <c r="DT88" i="11"/>
  <c r="EB88" i="11"/>
  <c r="DU88" i="11"/>
  <c r="EC88" i="11"/>
  <c r="K88" i="11"/>
  <c r="CK42" i="19"/>
  <c r="CK15" i="15"/>
  <c r="CK12" i="15"/>
  <c r="CK40" i="15"/>
  <c r="CK90" i="15"/>
  <c r="CK14" i="15"/>
  <c r="D54" i="1"/>
  <c r="BL23" i="25"/>
  <c r="AM91" i="11"/>
  <c r="EH91" i="11"/>
  <c r="Z15" i="21"/>
  <c r="Q109" i="11"/>
  <c r="Q137" i="11"/>
  <c r="Q47" i="11"/>
  <c r="U55" i="1"/>
  <c r="U39" i="1"/>
  <c r="BE42" i="1"/>
  <c r="P43" i="1"/>
  <c r="BE82" i="1"/>
  <c r="BE57" i="1"/>
  <c r="BE85" i="1"/>
  <c r="BE54" i="1"/>
  <c r="BS94" i="1"/>
  <c r="Z83" i="1"/>
  <c r="BL21" i="7"/>
  <c r="AR10" i="7"/>
  <c r="AR11" i="7" s="1"/>
  <c r="AF73" i="37"/>
  <c r="AG65" i="37"/>
  <c r="BN42" i="1"/>
  <c r="S42" i="1" s="1"/>
  <c r="S43" i="1"/>
  <c r="BN54" i="1"/>
  <c r="BN82" i="1"/>
  <c r="BN85" i="1"/>
  <c r="CB94" i="1"/>
  <c r="BN57" i="1"/>
  <c r="BN22" i="25"/>
  <c r="F84" i="1"/>
  <c r="AT14" i="25"/>
  <c r="AT15" i="25" s="1"/>
  <c r="CT41" i="21"/>
  <c r="AA28" i="36"/>
  <c r="AA31" i="36"/>
  <c r="AA32" i="36"/>
  <c r="N9" i="18"/>
  <c r="U9" i="18" s="1"/>
  <c r="Z55" i="1"/>
  <c r="BL11" i="7"/>
  <c r="N11" i="7"/>
  <c r="Z39" i="1"/>
  <c r="AG45" i="38"/>
  <c r="AG46" i="38" s="1"/>
  <c r="W26" i="38"/>
  <c r="CH54" i="1"/>
  <c r="CH42" i="1"/>
  <c r="CH75" i="1" s="1"/>
  <c r="CH82" i="1"/>
  <c r="CH85" i="1"/>
  <c r="CH57" i="1"/>
  <c r="N12" i="22"/>
  <c r="V12" i="22"/>
  <c r="O12" i="22"/>
  <c r="W12" i="22"/>
  <c r="P12" i="22"/>
  <c r="X12" i="22"/>
  <c r="R12" i="22"/>
  <c r="S12" i="22"/>
  <c r="M12" i="22"/>
  <c r="Q12" i="22"/>
  <c r="T12" i="22"/>
  <c r="U12" i="22"/>
  <c r="Y12" i="22"/>
  <c r="O7" i="18"/>
  <c r="CD37" i="24"/>
  <c r="CE38" i="24" s="1"/>
  <c r="CF39" i="24" s="1"/>
  <c r="CB81" i="1"/>
  <c r="CB37" i="1"/>
  <c r="CB38" i="1"/>
  <c r="CB48" i="1"/>
  <c r="AD49" i="35"/>
  <c r="AD11" i="35"/>
  <c r="W70" i="34"/>
  <c r="AE11" i="35"/>
  <c r="CS75" i="24"/>
  <c r="CT76" i="24" s="1"/>
  <c r="CU77" i="24" s="1"/>
  <c r="AB36" i="21"/>
  <c r="G36" i="21"/>
  <c r="AC43" i="1"/>
  <c r="CR42" i="1"/>
  <c r="AC42" i="1" s="1"/>
  <c r="BO19" i="7" s="1"/>
  <c r="CR82" i="1"/>
  <c r="CR85" i="1"/>
  <c r="AA32" i="29"/>
  <c r="CM39" i="29"/>
  <c r="AA39" i="29" s="1"/>
  <c r="AG17" i="36"/>
  <c r="AG20" i="36"/>
  <c r="FA23" i="25"/>
  <c r="X50" i="34"/>
  <c r="CP112" i="1"/>
  <c r="I34" i="26" l="1"/>
  <c r="I33" i="26"/>
  <c r="I39" i="26"/>
  <c r="I38" i="26"/>
  <c r="I32" i="26"/>
  <c r="I36" i="26"/>
  <c r="I37" i="26"/>
  <c r="AG215" i="26"/>
  <c r="AH206" i="26" s="1"/>
  <c r="AH215" i="26" s="1"/>
  <c r="AI206" i="26" s="1"/>
  <c r="AI215" i="26" s="1"/>
  <c r="AJ206" i="26" s="1"/>
  <c r="K206" i="26"/>
  <c r="O158" i="26"/>
  <c r="O141" i="26"/>
  <c r="O160" i="26" s="1"/>
  <c r="AS62" i="26"/>
  <c r="AS65" i="26" s="1"/>
  <c r="AS66" i="26" s="1"/>
  <c r="AS95" i="26" s="1"/>
  <c r="AS108" i="26" s="1"/>
  <c r="AR95" i="26"/>
  <c r="AR108" i="26" s="1"/>
  <c r="M108" i="26" s="1"/>
  <c r="S19" i="29"/>
  <c r="T19" i="29"/>
  <c r="CS77" i="11"/>
  <c r="CS72" i="11"/>
  <c r="HA13" i="25"/>
  <c r="HA42" i="25"/>
  <c r="X33" i="35"/>
  <c r="AH41" i="38"/>
  <c r="AA22" i="38"/>
  <c r="N16" i="7"/>
  <c r="BL16" i="7"/>
  <c r="P42" i="1"/>
  <c r="AQ91" i="11"/>
  <c r="ET91" i="11"/>
  <c r="AU91" i="11" s="1"/>
  <c r="BR92" i="1"/>
  <c r="BR93" i="1" s="1"/>
  <c r="CP86" i="15"/>
  <c r="BL48" i="1"/>
  <c r="N40" i="22"/>
  <c r="V40" i="22"/>
  <c r="T40" i="22"/>
  <c r="O40" i="22"/>
  <c r="X40" i="22"/>
  <c r="P40" i="22"/>
  <c r="Y40" i="22"/>
  <c r="Q40" i="22"/>
  <c r="M40" i="22"/>
  <c r="R40" i="22"/>
  <c r="S40" i="22"/>
  <c r="U40" i="22"/>
  <c r="W40" i="22"/>
  <c r="W91" i="22" s="1"/>
  <c r="K41" i="22"/>
  <c r="R45" i="21"/>
  <c r="E45" i="21"/>
  <c r="D82" i="1"/>
  <c r="D85" i="1"/>
  <c r="BL20" i="25"/>
  <c r="D42" i="1"/>
  <c r="BL19" i="25" s="1"/>
  <c r="BW7" i="25"/>
  <c r="AR6" i="25"/>
  <c r="AR7" i="25" s="1"/>
  <c r="X14" i="25"/>
  <c r="D57" i="1"/>
  <c r="AC44" i="19"/>
  <c r="CR68" i="19"/>
  <c r="AC68" i="19" s="1"/>
  <c r="CR105" i="19"/>
  <c r="CP66" i="15"/>
  <c r="CJ34" i="24"/>
  <c r="CK35" i="24" s="1"/>
  <c r="CL36" i="24" s="1"/>
  <c r="Y81" i="1"/>
  <c r="Y38" i="1"/>
  <c r="Y92" i="1" s="1"/>
  <c r="Y93" i="1" s="1"/>
  <c r="V42" i="1"/>
  <c r="CQ86" i="15"/>
  <c r="E53" i="8"/>
  <c r="BU92" i="1"/>
  <c r="BU93" i="1" s="1"/>
  <c r="AC102" i="19"/>
  <c r="X82" i="1"/>
  <c r="X85" i="1"/>
  <c r="X57" i="1"/>
  <c r="X54" i="1"/>
  <c r="AC72" i="15"/>
  <c r="DF11" i="7"/>
  <c r="DF10" i="7"/>
  <c r="DF13" i="7"/>
  <c r="GQ11" i="25"/>
  <c r="GQ12" i="25"/>
  <c r="CC75" i="1"/>
  <c r="AK32" i="24"/>
  <c r="DQ33" i="24"/>
  <c r="AC175" i="19"/>
  <c r="BB75" i="1"/>
  <c r="BW75" i="1"/>
  <c r="CS40" i="24"/>
  <c r="CT41" i="24" s="1"/>
  <c r="CU42" i="24" s="1"/>
  <c r="R19" i="29"/>
  <c r="CS48" i="1"/>
  <c r="AR91" i="11"/>
  <c r="EW91" i="11"/>
  <c r="AV91" i="11" s="1"/>
  <c r="P81" i="1"/>
  <c r="P38" i="1"/>
  <c r="P92" i="1" s="1"/>
  <c r="P93" i="1" s="1"/>
  <c r="P75" i="1"/>
  <c r="CA29" i="21"/>
  <c r="W24" i="21"/>
  <c r="W29" i="21" s="1"/>
  <c r="DX21" i="1"/>
  <c r="EJ23" i="1"/>
  <c r="EL47" i="24"/>
  <c r="EM48" i="24" s="1"/>
  <c r="EN49" i="24" s="1"/>
  <c r="CL75" i="1"/>
  <c r="ET76" i="11"/>
  <c r="FB76" i="11"/>
  <c r="EU76" i="11"/>
  <c r="EV76" i="11"/>
  <c r="EW76" i="11"/>
  <c r="EX76" i="11"/>
  <c r="EQ76" i="11"/>
  <c r="EY76" i="11"/>
  <c r="ER76" i="11"/>
  <c r="EZ76" i="11"/>
  <c r="ES76" i="11"/>
  <c r="FA76" i="11"/>
  <c r="AH111" i="36"/>
  <c r="AG103" i="37"/>
  <c r="DQ56" i="15"/>
  <c r="DQ17" i="1"/>
  <c r="DQ30" i="1" s="1"/>
  <c r="CA19" i="29"/>
  <c r="CB19" i="29"/>
  <c r="CC19" i="29"/>
  <c r="CD19" i="29"/>
  <c r="BW19" i="29"/>
  <c r="CE19" i="29"/>
  <c r="BX19" i="29"/>
  <c r="CF19" i="29"/>
  <c r="BY19" i="29"/>
  <c r="CG19" i="29"/>
  <c r="BZ19" i="29"/>
  <c r="CH19" i="29"/>
  <c r="DG108" i="11"/>
  <c r="DO108" i="11"/>
  <c r="DH108" i="11"/>
  <c r="DP108" i="11"/>
  <c r="DI108" i="11"/>
  <c r="DQ108" i="11"/>
  <c r="DJ108" i="11"/>
  <c r="DR108" i="11"/>
  <c r="DK108" i="11"/>
  <c r="J108" i="11"/>
  <c r="DL108" i="11"/>
  <c r="DM108" i="11"/>
  <c r="DN108" i="11"/>
  <c r="EL20" i="7"/>
  <c r="EL20" i="25"/>
  <c r="DO56" i="15"/>
  <c r="DO17" i="1"/>
  <c r="DO30" i="1" s="1"/>
  <c r="G39" i="29"/>
  <c r="Z39" i="29"/>
  <c r="AQ22" i="1"/>
  <c r="ET22" i="1"/>
  <c r="AU22" i="1" s="1"/>
  <c r="DN56" i="15"/>
  <c r="DN17" i="1"/>
  <c r="DN30" i="1" s="1"/>
  <c r="T37" i="1"/>
  <c r="BS92" i="1"/>
  <c r="BS93" i="1" s="1"/>
  <c r="BJ75" i="1"/>
  <c r="FD20" i="7"/>
  <c r="DE47" i="24"/>
  <c r="DF48" i="24" s="1"/>
  <c r="DG49" i="24" s="1"/>
  <c r="CG75" i="1"/>
  <c r="V8" i="18"/>
  <c r="CT48" i="1"/>
  <c r="BE27" i="29"/>
  <c r="BF23" i="29" s="1"/>
  <c r="BF27" i="29" s="1"/>
  <c r="BG23" i="29" s="1"/>
  <c r="BG27" i="29" s="1"/>
  <c r="BH23" i="29" s="1"/>
  <c r="P23" i="29"/>
  <c r="P27" i="29" s="1"/>
  <c r="CY33" i="24"/>
  <c r="AE32" i="24"/>
  <c r="DA56" i="15"/>
  <c r="AF21" i="1"/>
  <c r="DA17" i="1"/>
  <c r="DP13" i="25"/>
  <c r="GY19" i="25"/>
  <c r="HI19" i="7"/>
  <c r="CK63" i="19"/>
  <c r="CL29" i="15"/>
  <c r="E42" i="1"/>
  <c r="AS6" i="25"/>
  <c r="AS7" i="25" s="1"/>
  <c r="E82" i="1"/>
  <c r="E85" i="1"/>
  <c r="BM20" i="25"/>
  <c r="Y14" i="25"/>
  <c r="Y15" i="25" s="1"/>
  <c r="BX7" i="25"/>
  <c r="E57" i="1"/>
  <c r="DK56" i="15"/>
  <c r="DK17" i="1"/>
  <c r="DK30" i="1" s="1"/>
  <c r="Z47" i="21"/>
  <c r="HK12" i="7" s="1"/>
  <c r="R37" i="1"/>
  <c r="BM92" i="1"/>
  <c r="BM93" i="1" s="1"/>
  <c r="AI31" i="24"/>
  <c r="DK32" i="24"/>
  <c r="G84" i="15"/>
  <c r="EX48" i="24"/>
  <c r="EY49" i="24" s="1"/>
  <c r="EZ50" i="24" s="1"/>
  <c r="CK55" i="19"/>
  <c r="CL18" i="15"/>
  <c r="CO65" i="15"/>
  <c r="AB53" i="15"/>
  <c r="CO56" i="15"/>
  <c r="G53" i="15"/>
  <c r="AC249" i="19"/>
  <c r="EG23" i="1"/>
  <c r="DU21" i="1"/>
  <c r="O16" i="25"/>
  <c r="BM16" i="25"/>
  <c r="U13" i="36"/>
  <c r="AE40" i="35"/>
  <c r="AE45" i="35"/>
  <c r="AE51" i="35"/>
  <c r="EN23" i="1"/>
  <c r="EB21" i="1"/>
  <c r="AO23" i="1"/>
  <c r="AC174" i="19"/>
  <c r="BW93" i="1"/>
  <c r="R25" i="24"/>
  <c r="E25" i="24"/>
  <c r="BL26" i="24"/>
  <c r="BK61" i="24"/>
  <c r="BK14" i="24" s="1"/>
  <c r="CL48" i="1"/>
  <c r="CT13" i="24"/>
  <c r="CT63" i="24"/>
  <c r="CT66" i="24" s="1"/>
  <c r="R42" i="1"/>
  <c r="DE35" i="24"/>
  <c r="G81" i="1"/>
  <c r="BO10" i="25"/>
  <c r="Q10" i="25"/>
  <c r="G38" i="1"/>
  <c r="G37" i="1"/>
  <c r="AC250" i="19"/>
  <c r="DI56" i="15"/>
  <c r="DI17" i="1"/>
  <c r="DI30" i="1" s="1"/>
  <c r="ER33" i="24"/>
  <c r="AT32" i="24"/>
  <c r="AC32" i="24"/>
  <c r="CS33" i="24"/>
  <c r="V85" i="1"/>
  <c r="V82" i="1"/>
  <c r="V54" i="1"/>
  <c r="Z94" i="1"/>
  <c r="X19" i="7" s="1"/>
  <c r="V57" i="1"/>
  <c r="DW87" i="11"/>
  <c r="DX87" i="11"/>
  <c r="DY87" i="11"/>
  <c r="DZ87" i="11"/>
  <c r="DS87" i="11"/>
  <c r="EA87" i="11"/>
  <c r="DT87" i="11"/>
  <c r="EB87" i="11"/>
  <c r="K87" i="11"/>
  <c r="DU87" i="11"/>
  <c r="EC87" i="11"/>
  <c r="DV87" i="11"/>
  <c r="ED87" i="11"/>
  <c r="HJ29" i="7"/>
  <c r="GZ29" i="25"/>
  <c r="CS39" i="21"/>
  <c r="CS41" i="21"/>
  <c r="CS42" i="21"/>
  <c r="AG15" i="38"/>
  <c r="Q33" i="34"/>
  <c r="AG27" i="38"/>
  <c r="AB247" i="19"/>
  <c r="CO248" i="19"/>
  <c r="CO249" i="19"/>
  <c r="CO250" i="19"/>
  <c r="CO251" i="19"/>
  <c r="G247" i="19"/>
  <c r="U109" i="36"/>
  <c r="U135" i="36"/>
  <c r="CP39" i="24"/>
  <c r="CQ40" i="24" s="1"/>
  <c r="CR41" i="24" s="1"/>
  <c r="DW46" i="24"/>
  <c r="DX47" i="24" s="1"/>
  <c r="DY48" i="24" s="1"/>
  <c r="HL10" i="7"/>
  <c r="HL13" i="7" s="1"/>
  <c r="HL40" i="7" s="1"/>
  <c r="HL43" i="7" s="1"/>
  <c r="HL14" i="7"/>
  <c r="BK48" i="1"/>
  <c r="F26" i="29"/>
  <c r="F27" i="29" s="1"/>
  <c r="G23" i="29" s="1"/>
  <c r="BL10" i="25"/>
  <c r="N10" i="25"/>
  <c r="D81" i="1"/>
  <c r="D37" i="1"/>
  <c r="D38" i="1"/>
  <c r="DN34" i="24"/>
  <c r="AJ33" i="24"/>
  <c r="GM13" i="7"/>
  <c r="BN10" i="7"/>
  <c r="AB81" i="1"/>
  <c r="P10" i="7"/>
  <c r="AB38" i="1"/>
  <c r="W42" i="1"/>
  <c r="AA73" i="22"/>
  <c r="CE36" i="23"/>
  <c r="CE43" i="23" s="1"/>
  <c r="CE40" i="23" s="1"/>
  <c r="CO10" i="21" s="1"/>
  <c r="Y62" i="22"/>
  <c r="CO9" i="24"/>
  <c r="AB41" i="15"/>
  <c r="CO11" i="1"/>
  <c r="G41" i="15"/>
  <c r="AC248" i="19"/>
  <c r="GN14" i="7"/>
  <c r="H11" i="29"/>
  <c r="AD11" i="29"/>
  <c r="CU32" i="29"/>
  <c r="Y42" i="1"/>
  <c r="Y75" i="1" s="1"/>
  <c r="L40" i="35"/>
  <c r="L45" i="35"/>
  <c r="L46" i="35" s="1"/>
  <c r="L51" i="35"/>
  <c r="L55" i="35" s="1"/>
  <c r="E46" i="21"/>
  <c r="R46" i="21"/>
  <c r="AC35" i="21"/>
  <c r="CR34" i="21"/>
  <c r="X60" i="34"/>
  <c r="X61" i="34" s="1"/>
  <c r="X46" i="34"/>
  <c r="DN50" i="24"/>
  <c r="DO51" i="24" s="1"/>
  <c r="DP52" i="24" s="1"/>
  <c r="CQ68" i="19"/>
  <c r="CQ105" i="19"/>
  <c r="AH55" i="36"/>
  <c r="AC101" i="19"/>
  <c r="BK93" i="1"/>
  <c r="G67" i="15"/>
  <c r="AB44" i="19"/>
  <c r="V81" i="1"/>
  <c r="V75" i="1"/>
  <c r="V38" i="1"/>
  <c r="V92" i="1" s="1"/>
  <c r="V93" i="1" s="1"/>
  <c r="S81" i="1"/>
  <c r="S38" i="1"/>
  <c r="S92" i="1" s="1"/>
  <c r="S93" i="1" s="1"/>
  <c r="S75" i="1"/>
  <c r="EM23" i="1"/>
  <c r="EA21" i="1"/>
  <c r="DC68" i="15"/>
  <c r="CS13" i="24"/>
  <c r="CS63" i="24"/>
  <c r="CS66" i="24" s="1"/>
  <c r="N50" i="22"/>
  <c r="V50" i="22"/>
  <c r="U50" i="22"/>
  <c r="P50" i="22"/>
  <c r="Y50" i="22"/>
  <c r="Q50" i="22"/>
  <c r="R50" i="22"/>
  <c r="W50" i="22"/>
  <c r="X50" i="22"/>
  <c r="M50" i="22"/>
  <c r="O50" i="22"/>
  <c r="S50" i="22"/>
  <c r="T50" i="22"/>
  <c r="O82" i="1"/>
  <c r="O85" i="1"/>
  <c r="O54" i="1"/>
  <c r="S94" i="1"/>
  <c r="O57" i="1"/>
  <c r="W66" i="34"/>
  <c r="W67" i="34" s="1"/>
  <c r="AD46" i="35"/>
  <c r="AB67" i="15"/>
  <c r="CY78" i="24"/>
  <c r="CZ79" i="24" s="1"/>
  <c r="DA80" i="24" s="1"/>
  <c r="AA37" i="1"/>
  <c r="CN92" i="1"/>
  <c r="CN93" i="1" s="1"/>
  <c r="Z45" i="38"/>
  <c r="Z26" i="38" s="1"/>
  <c r="Z18" i="38" s="1"/>
  <c r="Z31" i="35" s="1"/>
  <c r="Z53" i="38"/>
  <c r="AF11" i="29"/>
  <c r="DA32" i="29"/>
  <c r="CV78" i="24"/>
  <c r="CW79" i="24" s="1"/>
  <c r="CX80" i="24" s="1"/>
  <c r="S82" i="1"/>
  <c r="S54" i="1"/>
  <c r="S85" i="1"/>
  <c r="W94" i="1"/>
  <c r="S57" i="1"/>
  <c r="FB22" i="7"/>
  <c r="DH46" i="24"/>
  <c r="DI47" i="24" s="1"/>
  <c r="DJ48" i="24" s="1"/>
  <c r="CD39" i="24"/>
  <c r="CE40" i="24" s="1"/>
  <c r="CF41" i="24" s="1"/>
  <c r="CP68" i="19"/>
  <c r="AB68" i="19" s="1"/>
  <c r="CP105" i="19"/>
  <c r="GY31" i="25"/>
  <c r="HI31" i="7"/>
  <c r="J136" i="11"/>
  <c r="DL136" i="11"/>
  <c r="DM136" i="11"/>
  <c r="DN136" i="11"/>
  <c r="DG136" i="11"/>
  <c r="DO136" i="11"/>
  <c r="DI136" i="11"/>
  <c r="DQ136" i="11"/>
  <c r="DJ136" i="11"/>
  <c r="DR136" i="11"/>
  <c r="DH136" i="11"/>
  <c r="DK136" i="11"/>
  <c r="DP136" i="11"/>
  <c r="EV22" i="25"/>
  <c r="AF18" i="37"/>
  <c r="AF116" i="38"/>
  <c r="AF71" i="38"/>
  <c r="AF91" i="38"/>
  <c r="AF107" i="38"/>
  <c r="AF82" i="38"/>
  <c r="AF98" i="38"/>
  <c r="EC47" i="24"/>
  <c r="ED48" i="24" s="1"/>
  <c r="EE49" i="24" s="1"/>
  <c r="CS15" i="21"/>
  <c r="CS25" i="21"/>
  <c r="CS24" i="21" s="1"/>
  <c r="CS9" i="21"/>
  <c r="CS20" i="21" s="1"/>
  <c r="CS44" i="21"/>
  <c r="Z14" i="21"/>
  <c r="Z19" i="21"/>
  <c r="Z22" i="21"/>
  <c r="Z21" i="21"/>
  <c r="CR56" i="15"/>
  <c r="CR59" i="15"/>
  <c r="AC53" i="15"/>
  <c r="CR65" i="15"/>
  <c r="CP180" i="19"/>
  <c r="CP182" i="19"/>
  <c r="CP183" i="19"/>
  <c r="CP181" i="19"/>
  <c r="AW33" i="24"/>
  <c r="FA34" i="24"/>
  <c r="CF48" i="1"/>
  <c r="AH21" i="1"/>
  <c r="DG56" i="15"/>
  <c r="DG17" i="1"/>
  <c r="CQ40" i="21"/>
  <c r="CQ34" i="21"/>
  <c r="CO69" i="24"/>
  <c r="AA68" i="24"/>
  <c r="T14" i="21"/>
  <c r="T19" i="21"/>
  <c r="T22" i="21"/>
  <c r="T21" i="21"/>
  <c r="HA41" i="25"/>
  <c r="CD40" i="24"/>
  <c r="CE41" i="24" s="1"/>
  <c r="CF42" i="24" s="1"/>
  <c r="BN10" i="25"/>
  <c r="P10" i="25"/>
  <c r="F81" i="1"/>
  <c r="F48" i="1"/>
  <c r="F38" i="1"/>
  <c r="F37" i="1"/>
  <c r="F75" i="1"/>
  <c r="EK89" i="11"/>
  <c r="L89" i="11"/>
  <c r="EL89" i="11"/>
  <c r="EE89" i="11"/>
  <c r="EM89" i="11"/>
  <c r="EF89" i="11"/>
  <c r="EN89" i="11"/>
  <c r="EG89" i="11"/>
  <c r="EO89" i="11"/>
  <c r="EH89" i="11"/>
  <c r="EP89" i="11"/>
  <c r="EI89" i="11"/>
  <c r="EJ89" i="11"/>
  <c r="AC103" i="19"/>
  <c r="CR41" i="21"/>
  <c r="AC36" i="21"/>
  <c r="X14" i="21"/>
  <c r="DP56" i="15"/>
  <c r="AK21" i="1"/>
  <c r="DP17" i="1"/>
  <c r="GY21" i="25"/>
  <c r="HI21" i="7"/>
  <c r="BB48" i="1"/>
  <c r="W81" i="1"/>
  <c r="W75" i="1"/>
  <c r="W38" i="1"/>
  <c r="W92" i="1" s="1"/>
  <c r="W93" i="1" s="1"/>
  <c r="EJ90" i="11"/>
  <c r="EK90" i="11"/>
  <c r="L90" i="11"/>
  <c r="EL90" i="11"/>
  <c r="EE90" i="11"/>
  <c r="EM90" i="11"/>
  <c r="EF90" i="11"/>
  <c r="EN90" i="11"/>
  <c r="EG90" i="11"/>
  <c r="EO90" i="11"/>
  <c r="EH90" i="11"/>
  <c r="EP90" i="11"/>
  <c r="EI90" i="11"/>
  <c r="BE48" i="1"/>
  <c r="BH92" i="1"/>
  <c r="BH93" i="1" s="1"/>
  <c r="GY14" i="7"/>
  <c r="T125" i="37"/>
  <c r="U37" i="36"/>
  <c r="U38" i="36" s="1"/>
  <c r="U146" i="36"/>
  <c r="U147" i="36" s="1"/>
  <c r="Y45" i="38"/>
  <c r="Y26" i="38" s="1"/>
  <c r="BF92" i="1"/>
  <c r="BF93" i="1" s="1"/>
  <c r="N47" i="21"/>
  <c r="D47" i="21"/>
  <c r="EU33" i="24"/>
  <c r="GQ14" i="25"/>
  <c r="E19" i="21"/>
  <c r="E14" i="21"/>
  <c r="E21" i="21"/>
  <c r="E22" i="21"/>
  <c r="Z82" i="1"/>
  <c r="Z85" i="1"/>
  <c r="BW7" i="7"/>
  <c r="AR6" i="7"/>
  <c r="AR7" i="7" s="1"/>
  <c r="BL20" i="7"/>
  <c r="X14" i="7"/>
  <c r="X15" i="7" s="1"/>
  <c r="Z54" i="1"/>
  <c r="Z57" i="1"/>
  <c r="AB179" i="19"/>
  <c r="CO180" i="19"/>
  <c r="CO181" i="19"/>
  <c r="CO182" i="19"/>
  <c r="CO183" i="19"/>
  <c r="G179" i="19"/>
  <c r="BZ92" i="1"/>
  <c r="BZ93" i="1" s="1"/>
  <c r="Q16" i="7"/>
  <c r="BO16" i="7"/>
  <c r="BO92" i="1"/>
  <c r="BO93" i="1" s="1"/>
  <c r="GM15" i="7"/>
  <c r="BG110" i="1"/>
  <c r="BG99" i="1"/>
  <c r="DZ113" i="11"/>
  <c r="DS113" i="11"/>
  <c r="EA113" i="11"/>
  <c r="DT113" i="11"/>
  <c r="EB113" i="11"/>
  <c r="K113" i="11"/>
  <c r="DU113" i="11"/>
  <c r="EC113" i="11"/>
  <c r="DV113" i="11"/>
  <c r="ED113" i="11"/>
  <c r="DW113" i="11"/>
  <c r="DX113" i="11"/>
  <c r="DY113" i="11"/>
  <c r="EM25" i="25"/>
  <c r="CV77" i="24"/>
  <c r="CW78" i="24" s="1"/>
  <c r="CX79" i="24" s="1"/>
  <c r="GM12" i="7"/>
  <c r="CI48" i="1"/>
  <c r="CT50" i="21"/>
  <c r="CT55" i="21"/>
  <c r="U8" i="18"/>
  <c r="BE92" i="1"/>
  <c r="BE93" i="1" s="1"/>
  <c r="Z14" i="38"/>
  <c r="AH22" i="38"/>
  <c r="F46" i="21"/>
  <c r="HA11" i="25" s="1"/>
  <c r="BQ29" i="21"/>
  <c r="T24" i="21"/>
  <c r="T29" i="21" s="1"/>
  <c r="AG27" i="35"/>
  <c r="T106" i="37"/>
  <c r="T96" i="37"/>
  <c r="T91" i="37"/>
  <c r="FC21" i="7"/>
  <c r="AP22" i="1"/>
  <c r="EQ22" i="1"/>
  <c r="K22" i="1"/>
  <c r="AM23" i="1"/>
  <c r="EH23" i="1"/>
  <c r="DV21" i="1"/>
  <c r="BK75" i="1"/>
  <c r="BN26" i="29"/>
  <c r="BV26" i="29"/>
  <c r="BO26" i="29"/>
  <c r="BP26" i="29"/>
  <c r="BQ26" i="29"/>
  <c r="BR26" i="29"/>
  <c r="BK26" i="29"/>
  <c r="BS26" i="29"/>
  <c r="BL26" i="29"/>
  <c r="BT26" i="29"/>
  <c r="BM26" i="29"/>
  <c r="BU26" i="29"/>
  <c r="CE47" i="19"/>
  <c r="CE71" i="19" s="1"/>
  <c r="CE7" i="15"/>
  <c r="CE45" i="15"/>
  <c r="CM92" i="1"/>
  <c r="CM93" i="1" s="1"/>
  <c r="CL30" i="24"/>
  <c r="CT21" i="1"/>
  <c r="Q37" i="1"/>
  <c r="BJ92" i="1"/>
  <c r="BJ93" i="1" s="1"/>
  <c r="AB43" i="19"/>
  <c r="CO67" i="19"/>
  <c r="CO99" i="19"/>
  <c r="G43" i="19"/>
  <c r="EF47" i="24"/>
  <c r="EG48" i="24" s="1"/>
  <c r="EH49" i="24" s="1"/>
  <c r="GZ20" i="25"/>
  <c r="HJ20" i="7"/>
  <c r="K59" i="22"/>
  <c r="AR32" i="24"/>
  <c r="EL33" i="24"/>
  <c r="Y54" i="1"/>
  <c r="Y82" i="1"/>
  <c r="Y85" i="1"/>
  <c r="Y57" i="1"/>
  <c r="F42" i="1"/>
  <c r="BN19" i="25" s="1"/>
  <c r="F82" i="1"/>
  <c r="BY7" i="25"/>
  <c r="AT6" i="25"/>
  <c r="AT7" i="25" s="1"/>
  <c r="F85" i="1"/>
  <c r="BN20" i="25"/>
  <c r="Z14" i="25"/>
  <c r="Z15" i="25" s="1"/>
  <c r="F54" i="1"/>
  <c r="F57" i="1"/>
  <c r="AI28" i="36"/>
  <c r="AI32" i="36"/>
  <c r="AI31" i="36"/>
  <c r="AX52" i="2"/>
  <c r="AX57" i="2" s="1"/>
  <c r="DH49" i="24"/>
  <c r="DI50" i="24" s="1"/>
  <c r="DJ51" i="24" s="1"/>
  <c r="AC52" i="19"/>
  <c r="CR179" i="19"/>
  <c r="EC48" i="24"/>
  <c r="ED49" i="24" s="1"/>
  <c r="EE50" i="24" s="1"/>
  <c r="AD55" i="35"/>
  <c r="W76" i="34" s="1"/>
  <c r="W72" i="34"/>
  <c r="O37" i="1"/>
  <c r="BD92" i="1"/>
  <c r="AB66" i="15"/>
  <c r="T137" i="37"/>
  <c r="D39" i="29"/>
  <c r="N39" i="29"/>
  <c r="T81" i="1"/>
  <c r="T75" i="1"/>
  <c r="T38" i="1"/>
  <c r="T92" i="1" s="1"/>
  <c r="T93" i="1" s="1"/>
  <c r="Z37" i="1"/>
  <c r="CK92" i="1"/>
  <c r="CK93" i="1" s="1"/>
  <c r="U6" i="18"/>
  <c r="V6" i="18"/>
  <c r="P16" i="7"/>
  <c r="BN16" i="7"/>
  <c r="AB85" i="15"/>
  <c r="G85" i="15"/>
  <c r="GY29" i="25"/>
  <c r="HI29" i="7"/>
  <c r="DB27" i="11"/>
  <c r="D75" i="1"/>
  <c r="CK66" i="19"/>
  <c r="GZ19" i="25"/>
  <c r="HJ19" i="7"/>
  <c r="DZ48" i="24"/>
  <c r="EA49" i="24" s="1"/>
  <c r="EB50" i="24" s="1"/>
  <c r="CR86" i="15"/>
  <c r="AC83" i="15"/>
  <c r="AC86" i="15" s="1"/>
  <c r="CQ65" i="15"/>
  <c r="CQ56" i="15"/>
  <c r="E54" i="8"/>
  <c r="E61" i="8" s="1"/>
  <c r="BM16" i="7"/>
  <c r="O16" i="7"/>
  <c r="GZ31" i="25"/>
  <c r="HJ31" i="7"/>
  <c r="J111" i="29"/>
  <c r="I141" i="29"/>
  <c r="EL50" i="24"/>
  <c r="EM51" i="24" s="1"/>
  <c r="EN52" i="24" s="1"/>
  <c r="BL12" i="29"/>
  <c r="BT12" i="29"/>
  <c r="BM12" i="29"/>
  <c r="BU12" i="29"/>
  <c r="BU33" i="29" s="1"/>
  <c r="BN12" i="29"/>
  <c r="BV12" i="29"/>
  <c r="BV33" i="29" s="1"/>
  <c r="BO12" i="29"/>
  <c r="BP12" i="29"/>
  <c r="BQ12" i="29"/>
  <c r="BR12" i="29"/>
  <c r="BK12" i="29"/>
  <c r="BS12" i="29"/>
  <c r="CA40" i="24"/>
  <c r="CB41" i="24" s="1"/>
  <c r="CC42" i="24" s="1"/>
  <c r="V5" i="18"/>
  <c r="EI21" i="7"/>
  <c r="EI21" i="25"/>
  <c r="CP253" i="19"/>
  <c r="AB60" i="19"/>
  <c r="G60" i="19"/>
  <c r="AP31" i="24"/>
  <c r="EF32" i="24"/>
  <c r="K31" i="24"/>
  <c r="ER48" i="24"/>
  <c r="ES49" i="24" s="1"/>
  <c r="ET50" i="24" s="1"/>
  <c r="F47" i="21"/>
  <c r="HA12" i="25" s="1"/>
  <c r="DM56" i="15"/>
  <c r="AJ21" i="1"/>
  <c r="DM17" i="1"/>
  <c r="BW48" i="1"/>
  <c r="BN75" i="1"/>
  <c r="U82" i="1"/>
  <c r="U85" i="1"/>
  <c r="U57" i="1"/>
  <c r="Y94" i="1"/>
  <c r="F94" i="1" s="1"/>
  <c r="Z19" i="25" s="1"/>
  <c r="CS71" i="24"/>
  <c r="AA90" i="22"/>
  <c r="P37" i="1"/>
  <c r="BG92" i="1"/>
  <c r="BG93" i="1" s="1"/>
  <c r="DO13" i="7"/>
  <c r="EF49" i="24"/>
  <c r="EG50" i="24" s="1"/>
  <c r="EH51" i="24" s="1"/>
  <c r="GG14" i="25"/>
  <c r="CS39" i="24"/>
  <c r="CT40" i="24" s="1"/>
  <c r="CU41" i="24" s="1"/>
  <c r="AF31" i="37"/>
  <c r="Y21" i="34"/>
  <c r="AF40" i="37"/>
  <c r="AF39" i="37"/>
  <c r="AB52" i="19"/>
  <c r="BV48" i="1"/>
  <c r="CQ75" i="1"/>
  <c r="GY11" i="7"/>
  <c r="GY15" i="7" s="1"/>
  <c r="ER51" i="24"/>
  <c r="ES52" i="24" s="1"/>
  <c r="ET53" i="24" s="1"/>
  <c r="FB23" i="7"/>
  <c r="GQ13" i="25"/>
  <c r="S10" i="35"/>
  <c r="S34" i="37"/>
  <c r="BC48" i="1"/>
  <c r="Q42" i="1"/>
  <c r="CR75" i="1"/>
  <c r="GZ21" i="25"/>
  <c r="HJ21" i="7"/>
  <c r="Y40" i="15"/>
  <c r="Y45" i="15" s="1"/>
  <c r="CF48" i="15"/>
  <c r="CF47" i="15"/>
  <c r="EF34" i="11"/>
  <c r="EN34" i="11"/>
  <c r="EG34" i="11"/>
  <c r="EO34" i="11"/>
  <c r="EH34" i="11"/>
  <c r="EP34" i="11"/>
  <c r="EI34" i="11"/>
  <c r="EJ34" i="11"/>
  <c r="EK34" i="11"/>
  <c r="EE34" i="11"/>
  <c r="EM34" i="11"/>
  <c r="L34" i="11"/>
  <c r="EL34" i="11"/>
  <c r="GZ30" i="25"/>
  <c r="HJ30" i="7"/>
  <c r="EW81" i="11"/>
  <c r="EX81" i="11"/>
  <c r="EQ81" i="11"/>
  <c r="EY81" i="11"/>
  <c r="ER81" i="11"/>
  <c r="EZ81" i="11"/>
  <c r="ES81" i="11"/>
  <c r="FA81" i="11"/>
  <c r="ET81" i="11"/>
  <c r="FB81" i="11"/>
  <c r="EU81" i="11"/>
  <c r="EV81" i="11"/>
  <c r="CA48" i="1"/>
  <c r="CT11" i="11"/>
  <c r="DT33" i="24"/>
  <c r="AL32" i="24"/>
  <c r="BH75" i="1"/>
  <c r="W82" i="1"/>
  <c r="W85" i="1"/>
  <c r="W54" i="1"/>
  <c r="W57" i="1"/>
  <c r="AA94" i="1"/>
  <c r="Y19" i="7" s="1"/>
  <c r="J75" i="22"/>
  <c r="AD74" i="22"/>
  <c r="W74" i="22"/>
  <c r="N74" i="22"/>
  <c r="R74" i="22"/>
  <c r="P74" i="22"/>
  <c r="S74" i="22"/>
  <c r="Q74" i="22"/>
  <c r="T74" i="22"/>
  <c r="U74" i="22"/>
  <c r="X74" i="22"/>
  <c r="V74" i="22"/>
  <c r="Y74" i="22"/>
  <c r="O74" i="22"/>
  <c r="M74" i="22"/>
  <c r="CO40" i="21"/>
  <c r="CO34" i="21"/>
  <c r="AB35" i="21"/>
  <c r="G35" i="21"/>
  <c r="CC28" i="24"/>
  <c r="W27" i="24"/>
  <c r="AC251" i="19"/>
  <c r="GG15" i="25"/>
  <c r="BM10" i="25"/>
  <c r="O10" i="25"/>
  <c r="E81" i="1"/>
  <c r="E38" i="1"/>
  <c r="E48" i="1"/>
  <c r="E37" i="1"/>
  <c r="CM40" i="24"/>
  <c r="CN41" i="24" s="1"/>
  <c r="CO42" i="24" s="1"/>
  <c r="E54" i="1"/>
  <c r="DH47" i="24"/>
  <c r="DI48" i="24" s="1"/>
  <c r="DJ49" i="24" s="1"/>
  <c r="CK47" i="15"/>
  <c r="CK48" i="15"/>
  <c r="AC37" i="21"/>
  <c r="CR42" i="21"/>
  <c r="U7" i="18"/>
  <c r="DC32" i="24"/>
  <c r="AF31" i="24"/>
  <c r="G52" i="19"/>
  <c r="EX32" i="24"/>
  <c r="AV31" i="24"/>
  <c r="U10" i="18"/>
  <c r="CQ60" i="15"/>
  <c r="CQ66" i="15"/>
  <c r="AO33" i="24"/>
  <c r="EC34" i="24"/>
  <c r="BS27" i="24"/>
  <c r="T26" i="24"/>
  <c r="AC42" i="15"/>
  <c r="CR12" i="1"/>
  <c r="CH36" i="23"/>
  <c r="CH43" i="23" s="1"/>
  <c r="CH40" i="23" s="1"/>
  <c r="CR10" i="21" s="1"/>
  <c r="CR9" i="24"/>
  <c r="DW48" i="24"/>
  <c r="DX49" i="24" s="1"/>
  <c r="DY50" i="24" s="1"/>
  <c r="FD22" i="7"/>
  <c r="Y37" i="1"/>
  <c r="CH92" i="1"/>
  <c r="CH93" i="1" s="1"/>
  <c r="BY31" i="24"/>
  <c r="BZ32" i="24" s="1"/>
  <c r="F26" i="8"/>
  <c r="E49" i="8" s="1"/>
  <c r="E56" i="8" s="1"/>
  <c r="E50" i="8"/>
  <c r="E57" i="8" s="1"/>
  <c r="CK68" i="24"/>
  <c r="Z67" i="24"/>
  <c r="CJ126" i="24"/>
  <c r="EV32" i="24"/>
  <c r="L32" i="24" s="1"/>
  <c r="AU31" i="24"/>
  <c r="E13" i="29"/>
  <c r="F9" i="29" s="1"/>
  <c r="E23" i="40"/>
  <c r="F21" i="40"/>
  <c r="F23" i="40" s="1"/>
  <c r="CR60" i="15"/>
  <c r="AC54" i="15"/>
  <c r="CR66" i="15"/>
  <c r="X37" i="1"/>
  <c r="CE92" i="1"/>
  <c r="CE93" i="1" s="1"/>
  <c r="D40" i="35"/>
  <c r="D45" i="35"/>
  <c r="D46" i="35" s="1"/>
  <c r="D51" i="35"/>
  <c r="D55" i="35" s="1"/>
  <c r="GY20" i="25"/>
  <c r="HI20" i="7"/>
  <c r="EZ91" i="11"/>
  <c r="AW91" i="11" s="1"/>
  <c r="AS91" i="11"/>
  <c r="O81" i="1"/>
  <c r="O75" i="1"/>
  <c r="O38" i="1"/>
  <c r="O92" i="1" s="1"/>
  <c r="O93" i="1" s="1"/>
  <c r="G83" i="15"/>
  <c r="EF117" i="11"/>
  <c r="EN117" i="11"/>
  <c r="EG117" i="11"/>
  <c r="EO117" i="11"/>
  <c r="EH117" i="11"/>
  <c r="EP117" i="11"/>
  <c r="EI117" i="11"/>
  <c r="EJ117" i="11"/>
  <c r="EK117" i="11"/>
  <c r="L117" i="11"/>
  <c r="EL117" i="11"/>
  <c r="EE117" i="11"/>
  <c r="EM117" i="11"/>
  <c r="AN23" i="1"/>
  <c r="EK23" i="1"/>
  <c r="DY21" i="1"/>
  <c r="HK23" i="7"/>
  <c r="HK19" i="7"/>
  <c r="HK22" i="7" s="1"/>
  <c r="HK41" i="7" s="1"/>
  <c r="S37" i="1"/>
  <c r="BP92" i="1"/>
  <c r="BP93" i="1" s="1"/>
  <c r="U19" i="29"/>
  <c r="DX32" i="24"/>
  <c r="AM31" i="24"/>
  <c r="EI126" i="11"/>
  <c r="EJ126" i="11"/>
  <c r="EK126" i="11"/>
  <c r="AR126" i="11" s="1"/>
  <c r="L126" i="11"/>
  <c r="EL126" i="11"/>
  <c r="EF126" i="11"/>
  <c r="EN126" i="11"/>
  <c r="EG126" i="11"/>
  <c r="EO126" i="11"/>
  <c r="EE126" i="11"/>
  <c r="AP126" i="11" s="1"/>
  <c r="EH126" i="11"/>
  <c r="AQ126" i="11" s="1"/>
  <c r="EM126" i="11"/>
  <c r="EP126" i="11"/>
  <c r="EX11" i="25"/>
  <c r="DO10" i="7"/>
  <c r="G37" i="21"/>
  <c r="AA81" i="1"/>
  <c r="O10" i="7"/>
  <c r="BM10" i="7"/>
  <c r="AA38" i="1"/>
  <c r="AA75" i="1"/>
  <c r="N46" i="21"/>
  <c r="D46" i="21"/>
  <c r="DF33" i="24"/>
  <c r="AG32" i="24"/>
  <c r="CE58" i="19"/>
  <c r="CD34" i="15"/>
  <c r="CE92" i="15"/>
  <c r="CE37" i="15"/>
  <c r="CE36" i="15"/>
  <c r="U5" i="18"/>
  <c r="U11" i="18" s="1"/>
  <c r="U13" i="18" s="1"/>
  <c r="R14" i="21"/>
  <c r="R19" i="21"/>
  <c r="R22" i="21"/>
  <c r="R21" i="21"/>
  <c r="V46" i="34"/>
  <c r="V60" i="34"/>
  <c r="V61" i="34" s="1"/>
  <c r="G42" i="1"/>
  <c r="BZ7" i="25"/>
  <c r="G82" i="1"/>
  <c r="AU6" i="25"/>
  <c r="AU7" i="25" s="1"/>
  <c r="G85" i="1"/>
  <c r="AA14" i="25"/>
  <c r="BO20" i="25"/>
  <c r="BQ75" i="1"/>
  <c r="BX92" i="1"/>
  <c r="BX93" i="1" s="1"/>
  <c r="DM79" i="29"/>
  <c r="DN79" i="29"/>
  <c r="DN18" i="29" s="1"/>
  <c r="DG79" i="29"/>
  <c r="DO79" i="29"/>
  <c r="DO18" i="29" s="1"/>
  <c r="DH79" i="29"/>
  <c r="DH18" i="29" s="1"/>
  <c r="DP79" i="29"/>
  <c r="DI79" i="29"/>
  <c r="DI18" i="29" s="1"/>
  <c r="DQ79" i="29"/>
  <c r="DQ18" i="29" s="1"/>
  <c r="DJ79" i="29"/>
  <c r="DR79" i="29"/>
  <c r="DR18" i="29" s="1"/>
  <c r="DK79" i="29"/>
  <c r="DK18" i="29" s="1"/>
  <c r="DL79" i="29"/>
  <c r="DL18" i="29" s="1"/>
  <c r="T117" i="37"/>
  <c r="T116" i="37"/>
  <c r="CI92" i="1"/>
  <c r="GG13" i="25"/>
  <c r="BI63" i="1"/>
  <c r="BI68" i="1" s="1"/>
  <c r="L59" i="2"/>
  <c r="CX32" i="29"/>
  <c r="AE11" i="29"/>
  <c r="EG114" i="11"/>
  <c r="EO114" i="11"/>
  <c r="EH114" i="11"/>
  <c r="EP114" i="11"/>
  <c r="EI114" i="11"/>
  <c r="EJ114" i="11"/>
  <c r="EK114" i="11"/>
  <c r="L114" i="11"/>
  <c r="EL114" i="11"/>
  <c r="EE114" i="11"/>
  <c r="EM114" i="11"/>
  <c r="EF114" i="11"/>
  <c r="EN114" i="11"/>
  <c r="EN26" i="25"/>
  <c r="Q82" i="1"/>
  <c r="Q54" i="1"/>
  <c r="Q85" i="1"/>
  <c r="Q57" i="1"/>
  <c r="U94" i="1"/>
  <c r="E94" i="1" s="1"/>
  <c r="Y19" i="25" s="1"/>
  <c r="AQ31" i="24"/>
  <c r="EI32" i="24"/>
  <c r="U14" i="36"/>
  <c r="DS71" i="11"/>
  <c r="EA71" i="11"/>
  <c r="DT71" i="11"/>
  <c r="EB71" i="11"/>
  <c r="K71" i="11"/>
  <c r="DU71" i="11"/>
  <c r="EC71" i="11"/>
  <c r="DV71" i="11"/>
  <c r="ED71" i="11"/>
  <c r="DW71" i="11"/>
  <c r="DX71" i="11"/>
  <c r="DY71" i="11"/>
  <c r="DZ71" i="11"/>
  <c r="BQ92" i="1"/>
  <c r="BQ93" i="1" s="1"/>
  <c r="EW22" i="1"/>
  <c r="AV22" i="1" s="1"/>
  <c r="AR22" i="1"/>
  <c r="EF46" i="24"/>
  <c r="EG47" i="24" s="1"/>
  <c r="EH48" i="24" s="1"/>
  <c r="DJ56" i="15"/>
  <c r="DJ17" i="1"/>
  <c r="AI21" i="1"/>
  <c r="R81" i="1"/>
  <c r="R75" i="1"/>
  <c r="R38" i="1"/>
  <c r="R92" i="1" s="1"/>
  <c r="R93" i="1" s="1"/>
  <c r="EF23" i="1"/>
  <c r="DT21" i="1"/>
  <c r="GA13" i="7"/>
  <c r="Q16" i="25"/>
  <c r="BO16" i="25"/>
  <c r="G71" i="15"/>
  <c r="CV10" i="25"/>
  <c r="CV11" i="25" s="1"/>
  <c r="CV13" i="25"/>
  <c r="F39" i="29"/>
  <c r="V39" i="29"/>
  <c r="GQ15" i="25"/>
  <c r="I31" i="24"/>
  <c r="AH31" i="24"/>
  <c r="DH32" i="24"/>
  <c r="U53" i="36"/>
  <c r="U133" i="36"/>
  <c r="DQ52" i="24"/>
  <c r="DR53" i="24" s="1"/>
  <c r="DS54" i="24" s="1"/>
  <c r="K21" i="22"/>
  <c r="CS57" i="1"/>
  <c r="T118" i="37"/>
  <c r="EH21" i="7"/>
  <c r="EH21" i="25"/>
  <c r="BO10" i="7"/>
  <c r="AC81" i="1"/>
  <c r="Q10" i="7"/>
  <c r="AC38" i="1"/>
  <c r="AC75" i="1"/>
  <c r="CS45" i="21"/>
  <c r="CS50" i="21"/>
  <c r="CS55" i="21"/>
  <c r="DB72" i="15"/>
  <c r="CW72" i="15"/>
  <c r="DE72" i="15"/>
  <c r="CX72" i="15"/>
  <c r="DF72" i="15"/>
  <c r="CY72" i="15"/>
  <c r="CZ72" i="15"/>
  <c r="DC72" i="15"/>
  <c r="DD72" i="15"/>
  <c r="CU72" i="15"/>
  <c r="CV72" i="15"/>
  <c r="DA72" i="15"/>
  <c r="EI23" i="1"/>
  <c r="DW21" i="1"/>
  <c r="J57" i="22"/>
  <c r="N56" i="22"/>
  <c r="P56" i="22"/>
  <c r="W56" i="22"/>
  <c r="Q56" i="22"/>
  <c r="O56" i="22"/>
  <c r="X56" i="22"/>
  <c r="R56" i="22"/>
  <c r="T56" i="22"/>
  <c r="S56" i="22"/>
  <c r="U56" i="22"/>
  <c r="M56" i="22"/>
  <c r="Y56" i="22"/>
  <c r="V56" i="22"/>
  <c r="Q48" i="1"/>
  <c r="EI149" i="11"/>
  <c r="EJ149" i="11"/>
  <c r="EK149" i="11"/>
  <c r="L149" i="11"/>
  <c r="EL149" i="11"/>
  <c r="EG149" i="11"/>
  <c r="EO149" i="11"/>
  <c r="EP149" i="11"/>
  <c r="EE149" i="11"/>
  <c r="EF149" i="11"/>
  <c r="EH149" i="11"/>
  <c r="EM149" i="11"/>
  <c r="EN149" i="11"/>
  <c r="AB85" i="1"/>
  <c r="BY7" i="7"/>
  <c r="Z14" i="7"/>
  <c r="AB82" i="1"/>
  <c r="AT6" i="7"/>
  <c r="AT7" i="7" s="1"/>
  <c r="BN20" i="7"/>
  <c r="AB54" i="1"/>
  <c r="DW33" i="24"/>
  <c r="AM32" i="24"/>
  <c r="CK47" i="19"/>
  <c r="CL7" i="15"/>
  <c r="CK45" i="15"/>
  <c r="CP12" i="1"/>
  <c r="G12" i="1" s="1"/>
  <c r="CF36" i="23"/>
  <c r="CF43" i="23" s="1"/>
  <c r="CF40" i="23" s="1"/>
  <c r="CP10" i="21" s="1"/>
  <c r="CP9" i="24"/>
  <c r="CP11" i="24" s="1"/>
  <c r="CN31" i="24"/>
  <c r="S18" i="37"/>
  <c r="S107" i="38"/>
  <c r="S82" i="38"/>
  <c r="S98" i="38"/>
  <c r="S91" i="38"/>
  <c r="S14" i="35"/>
  <c r="S116" i="38"/>
  <c r="U81" i="1"/>
  <c r="U75" i="1"/>
  <c r="U38" i="1"/>
  <c r="U92" i="1" s="1"/>
  <c r="U93" i="1" s="1"/>
  <c r="E47" i="21"/>
  <c r="R47" i="21"/>
  <c r="X81" i="1"/>
  <c r="X38" i="1"/>
  <c r="X92" i="1" s="1"/>
  <c r="X93" i="1" s="1"/>
  <c r="X75" i="1"/>
  <c r="BZ7" i="7"/>
  <c r="AA14" i="7"/>
  <c r="AC82" i="1"/>
  <c r="AC85" i="1"/>
  <c r="AU6" i="7"/>
  <c r="AU7" i="7" s="1"/>
  <c r="BO20" i="7"/>
  <c r="CD92" i="1"/>
  <c r="CD93" i="1" s="1"/>
  <c r="AH79" i="36"/>
  <c r="L88" i="11"/>
  <c r="EL88" i="11"/>
  <c r="EE88" i="11"/>
  <c r="EM88" i="11"/>
  <c r="EF88" i="11"/>
  <c r="EN88" i="11"/>
  <c r="EG88" i="11"/>
  <c r="EO88" i="11"/>
  <c r="EH88" i="11"/>
  <c r="EP88" i="11"/>
  <c r="EI88" i="11"/>
  <c r="EJ88" i="11"/>
  <c r="EK88" i="11"/>
  <c r="T40" i="37"/>
  <c r="T39" i="37"/>
  <c r="AC73" i="15"/>
  <c r="DP11" i="7"/>
  <c r="DP10" i="7"/>
  <c r="DP13" i="7"/>
  <c r="GN12" i="7"/>
  <c r="CP56" i="15"/>
  <c r="CP60" i="15" s="1"/>
  <c r="CP65" i="15"/>
  <c r="N48" i="1"/>
  <c r="B11" i="30"/>
  <c r="A12" i="30"/>
  <c r="W14" i="21"/>
  <c r="W19" i="21"/>
  <c r="W21" i="21"/>
  <c r="W22" i="21"/>
  <c r="CO175" i="19"/>
  <c r="CO177" i="19"/>
  <c r="AB173" i="19"/>
  <c r="CO174" i="19"/>
  <c r="CO176" i="19"/>
  <c r="G173" i="19"/>
  <c r="T77" i="37"/>
  <c r="T72" i="37"/>
  <c r="GY10" i="25"/>
  <c r="HI10" i="7"/>
  <c r="W18" i="38"/>
  <c r="W31" i="35" s="1"/>
  <c r="W33" i="35" s="1"/>
  <c r="AG26" i="38"/>
  <c r="AC60" i="19"/>
  <c r="CR253" i="19"/>
  <c r="GZ11" i="7"/>
  <c r="GZ13" i="7" s="1"/>
  <c r="GZ12" i="7"/>
  <c r="AS32" i="24"/>
  <c r="EO33" i="24"/>
  <c r="DN47" i="24"/>
  <c r="DO48" i="24" s="1"/>
  <c r="DP49" i="24" s="1"/>
  <c r="U48" i="1"/>
  <c r="CS108" i="19"/>
  <c r="CS109" i="19"/>
  <c r="CS106" i="19"/>
  <c r="CS107" i="19"/>
  <c r="CV13" i="7"/>
  <c r="AC71" i="15"/>
  <c r="CV11" i="7"/>
  <c r="CV10" i="7"/>
  <c r="HK33" i="7"/>
  <c r="HK29" i="7"/>
  <c r="HK32" i="7" s="1"/>
  <c r="HK42" i="7" s="1"/>
  <c r="EE23" i="1"/>
  <c r="AL23" i="1"/>
  <c r="J23" i="1"/>
  <c r="DS21" i="1"/>
  <c r="E51" i="8"/>
  <c r="E58" i="8" s="1"/>
  <c r="L94" i="15"/>
  <c r="AT94" i="15"/>
  <c r="CQ254" i="19"/>
  <c r="CQ255" i="19"/>
  <c r="CQ256" i="19"/>
  <c r="CQ257" i="19"/>
  <c r="CE31" i="24"/>
  <c r="CF32" i="24" s="1"/>
  <c r="DZ32" i="24"/>
  <c r="J32" i="24" s="1"/>
  <c r="AN31" i="24"/>
  <c r="AC100" i="19"/>
  <c r="AA51" i="38"/>
  <c r="AA43" i="38"/>
  <c r="Y14" i="7"/>
  <c r="Y15" i="7" s="1"/>
  <c r="AA82" i="1"/>
  <c r="AA85" i="1"/>
  <c r="AS6" i="7"/>
  <c r="AS7" i="7" s="1"/>
  <c r="BM20" i="7"/>
  <c r="BX7" i="7"/>
  <c r="AA54" i="1"/>
  <c r="AA57" i="1"/>
  <c r="CC48" i="1"/>
  <c r="CJ39" i="24"/>
  <c r="CK40" i="24" s="1"/>
  <c r="CL41" i="24" s="1"/>
  <c r="FD23" i="7"/>
  <c r="AC177" i="19"/>
  <c r="W37" i="1"/>
  <c r="CB92" i="1"/>
  <c r="CB93" i="1" s="1"/>
  <c r="G44" i="19"/>
  <c r="V37" i="1"/>
  <c r="BY92" i="1"/>
  <c r="BY93" i="1" s="1"/>
  <c r="EP23" i="1"/>
  <c r="ED21" i="1"/>
  <c r="AA14" i="21"/>
  <c r="DW141" i="11"/>
  <c r="DX141" i="11"/>
  <c r="DY141" i="11"/>
  <c r="DZ141" i="11"/>
  <c r="DT141" i="11"/>
  <c r="EB141" i="11"/>
  <c r="K141" i="11"/>
  <c r="DU141" i="11"/>
  <c r="EC141" i="11"/>
  <c r="DS141" i="11"/>
  <c r="DV141" i="11"/>
  <c r="EA141" i="11"/>
  <c r="ED141" i="11"/>
  <c r="EW27" i="25"/>
  <c r="F14" i="21"/>
  <c r="F19" i="21"/>
  <c r="F22" i="21"/>
  <c r="F21" i="21"/>
  <c r="BE75" i="1"/>
  <c r="CE50" i="19"/>
  <c r="CD23" i="15"/>
  <c r="CE91" i="15"/>
  <c r="CE26" i="15"/>
  <c r="CE25" i="15"/>
  <c r="AO126" i="11"/>
  <c r="DO11" i="7"/>
  <c r="CL92" i="1"/>
  <c r="CL93" i="1" s="1"/>
  <c r="F24" i="21"/>
  <c r="F29" i="21" s="1"/>
  <c r="CA39" i="24"/>
  <c r="CB40" i="24" s="1"/>
  <c r="CC41" i="24" s="1"/>
  <c r="DN142" i="11"/>
  <c r="DG142" i="11"/>
  <c r="DO142" i="11"/>
  <c r="DH142" i="11"/>
  <c r="DP142" i="11"/>
  <c r="DI142" i="11"/>
  <c r="DQ142" i="11"/>
  <c r="DK142" i="11"/>
  <c r="J142" i="11"/>
  <c r="DL142" i="11"/>
  <c r="DM142" i="11"/>
  <c r="DR142" i="11"/>
  <c r="DJ142" i="11"/>
  <c r="EV28" i="25"/>
  <c r="EE118" i="11"/>
  <c r="EM118" i="11"/>
  <c r="EF118" i="11"/>
  <c r="EN118" i="11"/>
  <c r="EG118" i="11"/>
  <c r="EO118" i="11"/>
  <c r="EH118" i="11"/>
  <c r="EP118" i="11"/>
  <c r="EJ118" i="11"/>
  <c r="EK118" i="11"/>
  <c r="L118" i="11"/>
  <c r="EI118" i="11"/>
  <c r="EL118" i="11"/>
  <c r="CQ61" i="15"/>
  <c r="CQ67" i="15"/>
  <c r="Z42" i="1"/>
  <c r="BL19" i="7" s="1"/>
  <c r="GZ15" i="7"/>
  <c r="BQ48" i="1"/>
  <c r="J101" i="29"/>
  <c r="I140" i="29"/>
  <c r="BC29" i="21"/>
  <c r="O24" i="21"/>
  <c r="O29" i="21" s="1"/>
  <c r="BW28" i="24"/>
  <c r="U27" i="24"/>
  <c r="CG92" i="1"/>
  <c r="CG93" i="1" s="1"/>
  <c r="BL10" i="7"/>
  <c r="Z81" i="1"/>
  <c r="N10" i="7"/>
  <c r="Z38" i="1"/>
  <c r="CH27" i="24"/>
  <c r="Y26" i="24"/>
  <c r="Z24" i="21"/>
  <c r="Z29" i="21" s="1"/>
  <c r="CI29" i="21"/>
  <c r="CF28" i="24"/>
  <c r="X27" i="24"/>
  <c r="F44" i="25"/>
  <c r="F44" i="7"/>
  <c r="CJ40" i="24"/>
  <c r="CK41" i="24" s="1"/>
  <c r="CL42" i="24" s="1"/>
  <c r="Y45" i="21"/>
  <c r="CR48" i="1"/>
  <c r="EZ22" i="1"/>
  <c r="AW22" i="1" s="1"/>
  <c r="AS22" i="1"/>
  <c r="GA12" i="7"/>
  <c r="AB42" i="15"/>
  <c r="R82" i="1"/>
  <c r="R85" i="1"/>
  <c r="R54" i="1"/>
  <c r="R57" i="1"/>
  <c r="V94" i="1"/>
  <c r="E39" i="29"/>
  <c r="Z45" i="21"/>
  <c r="AC40" i="35"/>
  <c r="AC45" i="35"/>
  <c r="AC51" i="35"/>
  <c r="AJ39" i="35"/>
  <c r="N16" i="25"/>
  <c r="BL16" i="25"/>
  <c r="Y12" i="15"/>
  <c r="Y90" i="15"/>
  <c r="AB37" i="1"/>
  <c r="CC92" i="1"/>
  <c r="CC93" i="1" s="1"/>
  <c r="DH56" i="15"/>
  <c r="DH17" i="1"/>
  <c r="DH30" i="1" s="1"/>
  <c r="Q81" i="1"/>
  <c r="Q75" i="1"/>
  <c r="Q38" i="1"/>
  <c r="Q92" i="1" s="1"/>
  <c r="Q93" i="1" s="1"/>
  <c r="CO80" i="15"/>
  <c r="CO74" i="15" s="1"/>
  <c r="AB77" i="15"/>
  <c r="AB80" i="15" s="1"/>
  <c r="G77" i="15"/>
  <c r="G80" i="15" s="1"/>
  <c r="FA21" i="7"/>
  <c r="DZ57" i="24"/>
  <c r="EA58" i="24" s="1"/>
  <c r="EB59" i="24" s="1"/>
  <c r="AB42" i="1"/>
  <c r="BN19" i="7" s="1"/>
  <c r="FD21" i="7"/>
  <c r="I139" i="29"/>
  <c r="I142" i="29" s="1" a="1"/>
  <c r="J91" i="29"/>
  <c r="DW51" i="24"/>
  <c r="DX52" i="24" s="1"/>
  <c r="DY53" i="24" s="1"/>
  <c r="CG40" i="24"/>
  <c r="CH41" i="24" s="1"/>
  <c r="CI42" i="24" s="1"/>
  <c r="AG122" i="37"/>
  <c r="AF130" i="37"/>
  <c r="EL23" i="1"/>
  <c r="DZ21" i="1"/>
  <c r="CT51" i="21"/>
  <c r="CT56" i="21"/>
  <c r="CR61" i="15"/>
  <c r="CR67" i="15"/>
  <c r="AC55" i="15"/>
  <c r="N81" i="1"/>
  <c r="N75" i="1"/>
  <c r="N38" i="1"/>
  <c r="T85" i="1"/>
  <c r="T82" i="1"/>
  <c r="T54" i="1"/>
  <c r="X94" i="1"/>
  <c r="T57" i="1"/>
  <c r="BY27" i="24"/>
  <c r="F26" i="24"/>
  <c r="V26" i="24"/>
  <c r="P82" i="1"/>
  <c r="P85" i="1"/>
  <c r="P57" i="1"/>
  <c r="T94" i="1"/>
  <c r="P54" i="1"/>
  <c r="Z20" i="21"/>
  <c r="R24" i="21"/>
  <c r="R29" i="21" s="1"/>
  <c r="BK29" i="21"/>
  <c r="E24" i="21"/>
  <c r="E29" i="21" s="1"/>
  <c r="DW49" i="24"/>
  <c r="DX50" i="24" s="1"/>
  <c r="DY51" i="24" s="1"/>
  <c r="CP34" i="21"/>
  <c r="N37" i="1"/>
  <c r="CZ32" i="24"/>
  <c r="AE31" i="24"/>
  <c r="DT148" i="11"/>
  <c r="EB148" i="11"/>
  <c r="K148" i="11"/>
  <c r="DU148" i="11"/>
  <c r="EC148" i="11"/>
  <c r="DV148" i="11"/>
  <c r="ED148" i="11"/>
  <c r="DW148" i="11"/>
  <c r="DY148" i="11"/>
  <c r="DZ148" i="11"/>
  <c r="DX148" i="11"/>
  <c r="EA148" i="11"/>
  <c r="DS148" i="11"/>
  <c r="EL40" i="24"/>
  <c r="GN13" i="7"/>
  <c r="BA13" i="29"/>
  <c r="BB9" i="29" s="1"/>
  <c r="BA30" i="29"/>
  <c r="BA34" i="29" s="1"/>
  <c r="BA37" i="29" s="1"/>
  <c r="BA38" i="29" s="1"/>
  <c r="U37" i="1"/>
  <c r="BV92" i="1"/>
  <c r="BV93" i="1" s="1"/>
  <c r="N82" i="1"/>
  <c r="N85" i="1"/>
  <c r="R94" i="1"/>
  <c r="Q94" i="1"/>
  <c r="D94" i="1" s="1"/>
  <c r="X19" i="25" s="1"/>
  <c r="N57" i="1"/>
  <c r="CF75" i="1"/>
  <c r="ES38" i="24"/>
  <c r="ET39" i="24" s="1"/>
  <c r="CQ12" i="1"/>
  <c r="CG36" i="23"/>
  <c r="CG43" i="23" s="1"/>
  <c r="CG40" i="23" s="1"/>
  <c r="CQ10" i="21" s="1"/>
  <c r="CQ9" i="24"/>
  <c r="CQ11" i="24" s="1"/>
  <c r="E52" i="8"/>
  <c r="E59" i="8" s="1"/>
  <c r="AA50" i="38"/>
  <c r="P16" i="25"/>
  <c r="BN16" i="25"/>
  <c r="K30" i="22"/>
  <c r="EO52" i="24"/>
  <c r="EP53" i="24" s="1"/>
  <c r="EQ54" i="24" s="1"/>
  <c r="Z43" i="38"/>
  <c r="Z24" i="38" s="1"/>
  <c r="AG11" i="29"/>
  <c r="DD32" i="29"/>
  <c r="AC176" i="19"/>
  <c r="BZ75" i="1"/>
  <c r="AB83" i="15"/>
  <c r="AB86" i="15" s="1"/>
  <c r="AC112" i="1"/>
  <c r="CO107" i="19"/>
  <c r="CO109" i="19"/>
  <c r="AB105" i="19"/>
  <c r="CO106" i="19"/>
  <c r="CO108" i="19"/>
  <c r="G105" i="19"/>
  <c r="AH28" i="36"/>
  <c r="AH32" i="36"/>
  <c r="AH30" i="36"/>
  <c r="G54" i="15"/>
  <c r="J19" i="22"/>
  <c r="X18" i="22"/>
  <c r="R18" i="22"/>
  <c r="M18" i="22"/>
  <c r="S18" i="22"/>
  <c r="O18" i="22"/>
  <c r="P18" i="22"/>
  <c r="T18" i="22"/>
  <c r="Q18" i="22"/>
  <c r="N18" i="22"/>
  <c r="U18" i="22"/>
  <c r="V18" i="22"/>
  <c r="Y18" i="22"/>
  <c r="W18" i="22"/>
  <c r="DR56" i="15"/>
  <c r="DR17" i="1"/>
  <c r="DR30" i="1" s="1"/>
  <c r="BN48" i="1"/>
  <c r="GY30" i="25"/>
  <c r="HI30" i="7"/>
  <c r="J92" i="22"/>
  <c r="AD91" i="22"/>
  <c r="R91" i="22"/>
  <c r="O91" i="22"/>
  <c r="S91" i="22"/>
  <c r="P91" i="22"/>
  <c r="T91" i="22"/>
  <c r="X91" i="22"/>
  <c r="M91" i="22"/>
  <c r="U91" i="22"/>
  <c r="Q91" i="22"/>
  <c r="N91" i="22"/>
  <c r="Y91" i="22"/>
  <c r="V91" i="22"/>
  <c r="DL56" i="15"/>
  <c r="DL17" i="1"/>
  <c r="DL30" i="1" s="1"/>
  <c r="AB73" i="15"/>
  <c r="CQ180" i="19"/>
  <c r="CQ182" i="19"/>
  <c r="CQ183" i="19"/>
  <c r="CQ181" i="19"/>
  <c r="EO23" i="1"/>
  <c r="EC21" i="1"/>
  <c r="BQ28" i="24"/>
  <c r="S27" i="24"/>
  <c r="AY38" i="29"/>
  <c r="F20" i="29"/>
  <c r="G16" i="29" s="1"/>
  <c r="CJ92" i="1"/>
  <c r="CJ93" i="1" s="1"/>
  <c r="CS68" i="15"/>
  <c r="CS62" i="15"/>
  <c r="DE68" i="15"/>
  <c r="CS61" i="15"/>
  <c r="BL92" i="1"/>
  <c r="BL93" i="1" s="1"/>
  <c r="O19" i="21"/>
  <c r="O21" i="21"/>
  <c r="O22" i="21"/>
  <c r="S14" i="21"/>
  <c r="FC20" i="7"/>
  <c r="CT15" i="21"/>
  <c r="CT25" i="21"/>
  <c r="CT24" i="21" s="1"/>
  <c r="CT9" i="21"/>
  <c r="CT20" i="21"/>
  <c r="CT44" i="21"/>
  <c r="CT47" i="21" s="1"/>
  <c r="V106" i="1"/>
  <c r="U113" i="1"/>
  <c r="EU46" i="24"/>
  <c r="EV47" i="24" s="1"/>
  <c r="EW48" i="24" s="1"/>
  <c r="AP91" i="11"/>
  <c r="EQ91" i="11"/>
  <c r="K91" i="11"/>
  <c r="V10" i="18"/>
  <c r="DC27" i="11"/>
  <c r="U54" i="1"/>
  <c r="EX53" i="24"/>
  <c r="EY54" i="24" s="1"/>
  <c r="EZ55" i="24" s="1"/>
  <c r="AC37" i="1"/>
  <c r="CV33" i="24"/>
  <c r="AD32" i="24"/>
  <c r="H32" i="24"/>
  <c r="DF13" i="25"/>
  <c r="Z46" i="21"/>
  <c r="HK11" i="7" s="1"/>
  <c r="Q16" i="29"/>
  <c r="Q20" i="29" s="1"/>
  <c r="BH20" i="29"/>
  <c r="BI16" i="29" s="1"/>
  <c r="BI20" i="29" s="1"/>
  <c r="BJ16" i="29" s="1"/>
  <c r="BJ20" i="29" s="1"/>
  <c r="BK16" i="29" s="1"/>
  <c r="Y42" i="19"/>
  <c r="Y47" i="19" s="1"/>
  <c r="CF66" i="19"/>
  <c r="Y66" i="19" s="1"/>
  <c r="Y71" i="19" s="1"/>
  <c r="AB48" i="1"/>
  <c r="CT20" i="1"/>
  <c r="AB71" i="15"/>
  <c r="CU11" i="7"/>
  <c r="CU10" i="7"/>
  <c r="CU13" i="7"/>
  <c r="T27" i="37"/>
  <c r="T57" i="37"/>
  <c r="T52" i="37"/>
  <c r="J31" i="24"/>
  <c r="I78" i="29"/>
  <c r="I80" i="29" s="1"/>
  <c r="FA49" i="24"/>
  <c r="FB50" i="24" s="1"/>
  <c r="Y54" i="38"/>
  <c r="N62" i="26" l="1"/>
  <c r="AR119" i="26"/>
  <c r="AR208" i="26" s="1"/>
  <c r="M208" i="26" s="1"/>
  <c r="M95" i="26"/>
  <c r="M119" i="26" s="1"/>
  <c r="AS119" i="26"/>
  <c r="AS208" i="26" s="1"/>
  <c r="AT62" i="26"/>
  <c r="I142" i="29"/>
  <c r="N37" i="29"/>
  <c r="Q97" i="26" s="1"/>
  <c r="Q87" i="26" s="1"/>
  <c r="BM33" i="29"/>
  <c r="BL33" i="29"/>
  <c r="W19" i="29"/>
  <c r="BR33" i="29"/>
  <c r="R26" i="29"/>
  <c r="R28" i="29" s="1"/>
  <c r="DI80" i="29"/>
  <c r="DI25" i="29" s="1"/>
  <c r="DQ80" i="29"/>
  <c r="DQ25" i="29" s="1"/>
  <c r="DJ80" i="29"/>
  <c r="DR80" i="29"/>
  <c r="DR25" i="29" s="1"/>
  <c r="DK80" i="29"/>
  <c r="DK25" i="29" s="1"/>
  <c r="DL80" i="29"/>
  <c r="DL25" i="29" s="1"/>
  <c r="DM80" i="29"/>
  <c r="DN80" i="29"/>
  <c r="DN25" i="29" s="1"/>
  <c r="DG80" i="29"/>
  <c r="DO80" i="29"/>
  <c r="DO25" i="29" s="1"/>
  <c r="DH80" i="29"/>
  <c r="DH25" i="29" s="1"/>
  <c r="DP80" i="29"/>
  <c r="I162" i="29"/>
  <c r="F7" i="8"/>
  <c r="U39" i="36"/>
  <c r="T42" i="35"/>
  <c r="U42" i="36"/>
  <c r="U41" i="36"/>
  <c r="AG33" i="35"/>
  <c r="CP43" i="24"/>
  <c r="CQ44" i="24" s="1"/>
  <c r="CR45" i="24" s="1"/>
  <c r="E92" i="1"/>
  <c r="AA91" i="22"/>
  <c r="AD92" i="22"/>
  <c r="J93" i="22"/>
  <c r="J94" i="22" s="1"/>
  <c r="T53" i="37"/>
  <c r="U45" i="37"/>
  <c r="T55" i="37"/>
  <c r="BK20" i="29"/>
  <c r="BL16" i="29" s="1"/>
  <c r="BL20" i="29" s="1"/>
  <c r="BM16" i="29" s="1"/>
  <c r="BM20" i="29" s="1"/>
  <c r="BN16" i="29" s="1"/>
  <c r="R16" i="29"/>
  <c r="R20" i="29" s="1"/>
  <c r="CT21" i="21"/>
  <c r="CT22" i="21"/>
  <c r="CT14" i="21"/>
  <c r="CT19" i="21"/>
  <c r="Y47" i="38"/>
  <c r="Y46" i="38"/>
  <c r="T38" i="37"/>
  <c r="BN25" i="7"/>
  <c r="BD6" i="7"/>
  <c r="S48" i="1"/>
  <c r="J20" i="22"/>
  <c r="N86" i="22" s="1"/>
  <c r="M19" i="22"/>
  <c r="V19" i="22"/>
  <c r="R86" i="22"/>
  <c r="Q19" i="22"/>
  <c r="U19" i="22"/>
  <c r="Y19" i="22"/>
  <c r="O86" i="22"/>
  <c r="Q86" i="22"/>
  <c r="O19" i="22"/>
  <c r="N19" i="22"/>
  <c r="W19" i="22"/>
  <c r="P19" i="22"/>
  <c r="Y86" i="22"/>
  <c r="X19" i="22"/>
  <c r="S19" i="22"/>
  <c r="T19" i="22"/>
  <c r="R19" i="22"/>
  <c r="V86" i="22"/>
  <c r="CQ11" i="11"/>
  <c r="CQ21" i="1"/>
  <c r="CQ20" i="1"/>
  <c r="BZ28" i="24"/>
  <c r="F27" i="24"/>
  <c r="V27" i="24"/>
  <c r="EX23" i="1"/>
  <c r="EX21" i="1" s="1"/>
  <c r="EL21" i="1"/>
  <c r="DH68" i="15"/>
  <c r="V72" i="34"/>
  <c r="AJ51" i="35"/>
  <c r="AC55" i="35"/>
  <c r="J79" i="29"/>
  <c r="J106" i="29"/>
  <c r="J108" i="29"/>
  <c r="J21" i="29" s="1"/>
  <c r="EU118" i="11"/>
  <c r="EV118" i="11"/>
  <c r="EW118" i="11"/>
  <c r="EX118" i="11"/>
  <c r="ER118" i="11"/>
  <c r="EZ118" i="11"/>
  <c r="ES118" i="11"/>
  <c r="FA118" i="11"/>
  <c r="ET118" i="11"/>
  <c r="EY118" i="11"/>
  <c r="FB118" i="11"/>
  <c r="EQ118" i="11"/>
  <c r="DV142" i="11"/>
  <c r="ED142" i="11"/>
  <c r="DW142" i="11"/>
  <c r="DX142" i="11"/>
  <c r="DY142" i="11"/>
  <c r="DS142" i="11"/>
  <c r="EA142" i="11"/>
  <c r="DT142" i="11"/>
  <c r="EB142" i="11"/>
  <c r="DU142" i="11"/>
  <c r="DZ142" i="11"/>
  <c r="EC142" i="11"/>
  <c r="K142" i="11"/>
  <c r="EW28" i="25"/>
  <c r="DS56" i="15"/>
  <c r="DS17" i="1"/>
  <c r="AL21" i="1"/>
  <c r="CR254" i="19"/>
  <c r="CR255" i="19"/>
  <c r="AC253" i="19"/>
  <c r="CR256" i="19"/>
  <c r="CR257" i="19"/>
  <c r="AB175" i="19"/>
  <c r="G175" i="19"/>
  <c r="S15" i="35"/>
  <c r="AF14" i="35"/>
  <c r="AF15" i="35" s="1"/>
  <c r="CP13" i="24"/>
  <c r="CP63" i="24"/>
  <c r="CP66" i="24" s="1"/>
  <c r="DX34" i="24"/>
  <c r="AM33" i="24"/>
  <c r="ER23" i="1"/>
  <c r="ER21" i="1" s="1"/>
  <c r="EF21" i="1"/>
  <c r="DJ68" i="15"/>
  <c r="AE32" i="29"/>
  <c r="J10" i="28" s="1"/>
  <c r="AH73" i="26" s="1"/>
  <c r="AH80" i="26" s="1"/>
  <c r="CY39" i="29"/>
  <c r="AE39" i="29" s="1"/>
  <c r="DG18" i="29"/>
  <c r="AH79" i="29"/>
  <c r="EQ126" i="11"/>
  <c r="EY126" i="11"/>
  <c r="ER126" i="11"/>
  <c r="EZ126" i="11"/>
  <c r="ES126" i="11"/>
  <c r="FA126" i="11"/>
  <c r="ET126" i="11"/>
  <c r="FB126" i="11"/>
  <c r="EV126" i="11"/>
  <c r="EW126" i="11"/>
  <c r="EU126" i="11"/>
  <c r="EX126" i="11"/>
  <c r="DY56" i="15"/>
  <c r="AN21" i="1"/>
  <c r="DY17" i="1"/>
  <c r="G86" i="15"/>
  <c r="AC66" i="15"/>
  <c r="BT28" i="24"/>
  <c r="T27" i="24"/>
  <c r="CR47" i="21"/>
  <c r="AC47" i="21" s="1"/>
  <c r="HN12" i="7" s="1"/>
  <c r="CR52" i="21"/>
  <c r="CR57" i="21"/>
  <c r="CO39" i="21"/>
  <c r="AB34" i="21"/>
  <c r="G34" i="21"/>
  <c r="CO42" i="21"/>
  <c r="CO41" i="21"/>
  <c r="J76" i="22"/>
  <c r="J77" i="22" s="1"/>
  <c r="AD75" i="22"/>
  <c r="U75" i="22"/>
  <c r="N75" i="22"/>
  <c r="V75" i="22"/>
  <c r="M75" i="22"/>
  <c r="O75" i="22"/>
  <c r="Q75" i="22"/>
  <c r="W75" i="22"/>
  <c r="R75" i="22"/>
  <c r="P75" i="22"/>
  <c r="X75" i="22"/>
  <c r="Y75" i="22"/>
  <c r="S75" i="22"/>
  <c r="T75" i="22"/>
  <c r="EU54" i="24"/>
  <c r="EV55" i="24" s="1"/>
  <c r="EW56" i="24" s="1"/>
  <c r="CV42" i="24"/>
  <c r="CW43" i="24" s="1"/>
  <c r="CX44" i="24" s="1"/>
  <c r="AP32" i="24"/>
  <c r="EG33" i="24"/>
  <c r="K32" i="24"/>
  <c r="BO33" i="29"/>
  <c r="GZ22" i="25"/>
  <c r="BL14" i="7"/>
  <c r="N14" i="7"/>
  <c r="AO47" i="24"/>
  <c r="S26" i="29"/>
  <c r="EV34" i="24"/>
  <c r="AU33" i="24"/>
  <c r="P15" i="25"/>
  <c r="BN15" i="25"/>
  <c r="CQ39" i="21"/>
  <c r="CQ41" i="21"/>
  <c r="CQ42" i="21"/>
  <c r="FB35" i="24"/>
  <c r="AC56" i="15"/>
  <c r="AC65" i="15"/>
  <c r="AC59" i="15"/>
  <c r="AF32" i="29"/>
  <c r="K10" i="28" s="1"/>
  <c r="AI73" i="26" s="1"/>
  <c r="AI80" i="26" s="1"/>
  <c r="DB39" i="29"/>
  <c r="AF39" i="29" s="1"/>
  <c r="BL14" i="25"/>
  <c r="N14" i="25"/>
  <c r="HJ32" i="7"/>
  <c r="DF36" i="24"/>
  <c r="DG37" i="24" s="1"/>
  <c r="E26" i="24"/>
  <c r="BM27" i="24"/>
  <c r="R26" i="24"/>
  <c r="BL61" i="24"/>
  <c r="BL14" i="24" s="1"/>
  <c r="AC150" i="19"/>
  <c r="CL50" i="19"/>
  <c r="AA50" i="19" s="1"/>
  <c r="AA55" i="19" s="1"/>
  <c r="CL23" i="15"/>
  <c r="AA18" i="15"/>
  <c r="CL26" i="15"/>
  <c r="CL91" i="15"/>
  <c r="CL25" i="15"/>
  <c r="DA68" i="15"/>
  <c r="DN27" i="11"/>
  <c r="V19" i="29"/>
  <c r="EO50" i="24"/>
  <c r="EP51" i="24" s="1"/>
  <c r="EQ52" i="24" s="1"/>
  <c r="CV43" i="24"/>
  <c r="CW44" i="24" s="1"/>
  <c r="CX45" i="24" s="1"/>
  <c r="E60" i="8"/>
  <c r="CM37" i="24"/>
  <c r="CN38" i="24" s="1"/>
  <c r="CO39" i="24" s="1"/>
  <c r="O41" i="22"/>
  <c r="O92" i="22" s="1"/>
  <c r="W41" i="22"/>
  <c r="W92" i="22" s="1"/>
  <c r="N41" i="22"/>
  <c r="N92" i="22" s="1"/>
  <c r="X41" i="22"/>
  <c r="X92" i="22" s="1"/>
  <c r="R41" i="22"/>
  <c r="R92" i="22" s="1"/>
  <c r="S41" i="22"/>
  <c r="S92" i="22" s="1"/>
  <c r="T41" i="22"/>
  <c r="T92" i="22" s="1"/>
  <c r="Q41" i="22"/>
  <c r="Q92" i="22" s="1"/>
  <c r="U41" i="22"/>
  <c r="U92" i="22" s="1"/>
  <c r="V41" i="22"/>
  <c r="V92" i="22" s="1"/>
  <c r="Y41" i="22"/>
  <c r="Y92" i="22" s="1"/>
  <c r="M41" i="22"/>
  <c r="M92" i="22" s="1"/>
  <c r="AA92" i="22" s="1"/>
  <c r="P41" i="22"/>
  <c r="P92" i="22" s="1"/>
  <c r="G66" i="15"/>
  <c r="T48" i="1"/>
  <c r="CD42" i="24"/>
  <c r="CE43" i="24" s="1"/>
  <c r="CF44" i="24" s="1"/>
  <c r="CM42" i="24"/>
  <c r="CN43" i="24" s="1"/>
  <c r="CO44" i="24" s="1"/>
  <c r="DQ50" i="24"/>
  <c r="DR51" i="24" s="1"/>
  <c r="DS52" i="24" s="1"/>
  <c r="HI12" i="7"/>
  <c r="GY12" i="25"/>
  <c r="CO9" i="21"/>
  <c r="CO20" i="21" s="1"/>
  <c r="AB10" i="21"/>
  <c r="CO15" i="21"/>
  <c r="CO25" i="21"/>
  <c r="CO44" i="21"/>
  <c r="G10" i="21"/>
  <c r="AC226" i="19"/>
  <c r="AC225" i="19"/>
  <c r="DO68" i="15"/>
  <c r="AC151" i="19"/>
  <c r="HA40" i="25"/>
  <c r="HA43" i="25" s="1"/>
  <c r="Q14" i="7"/>
  <c r="BO14" i="7"/>
  <c r="AJ45" i="35"/>
  <c r="V66" i="34"/>
  <c r="V67" i="34" s="1"/>
  <c r="AC46" i="35"/>
  <c r="EE141" i="11"/>
  <c r="EM141" i="11"/>
  <c r="EF141" i="11"/>
  <c r="EN141" i="11"/>
  <c r="EG141" i="11"/>
  <c r="EO141" i="11"/>
  <c r="EH141" i="11"/>
  <c r="EP141" i="11"/>
  <c r="EJ141" i="11"/>
  <c r="EK141" i="11"/>
  <c r="L141" i="11"/>
  <c r="EL141" i="11"/>
  <c r="EI141" i="11"/>
  <c r="EX27" i="25"/>
  <c r="DU34" i="24"/>
  <c r="AL33" i="24"/>
  <c r="AG32" i="29"/>
  <c r="L10" i="28" s="1"/>
  <c r="AJ73" i="26" s="1"/>
  <c r="AJ80" i="26" s="1"/>
  <c r="DE39" i="29"/>
  <c r="AG39" i="29" s="1"/>
  <c r="AA42" i="38"/>
  <c r="EM41" i="24"/>
  <c r="AR40" i="24"/>
  <c r="DA33" i="24"/>
  <c r="P14" i="7"/>
  <c r="BN14" i="7"/>
  <c r="AG18" i="38"/>
  <c r="Q36" i="34"/>
  <c r="CP59" i="15"/>
  <c r="ET88" i="11"/>
  <c r="FB88" i="11"/>
  <c r="EU88" i="11"/>
  <c r="EV88" i="11"/>
  <c r="EW88" i="11"/>
  <c r="EX88" i="11"/>
  <c r="EQ88" i="11"/>
  <c r="EY88" i="11"/>
  <c r="ER88" i="11"/>
  <c r="EZ88" i="11"/>
  <c r="FA88" i="11"/>
  <c r="ES88" i="11"/>
  <c r="CP21" i="1"/>
  <c r="CP11" i="11"/>
  <c r="CP20" i="1"/>
  <c r="AB12" i="1"/>
  <c r="BJ63" i="1"/>
  <c r="BJ68" i="1" s="1"/>
  <c r="M59" i="2"/>
  <c r="DJ18" i="29"/>
  <c r="AI18" i="29" s="1"/>
  <c r="AI79" i="29"/>
  <c r="DM18" i="29"/>
  <c r="AJ18" i="29" s="1"/>
  <c r="AJ79" i="29"/>
  <c r="CR15" i="21"/>
  <c r="CR25" i="21"/>
  <c r="AC10" i="21"/>
  <c r="CR9" i="21"/>
  <c r="CR20" i="21" s="1"/>
  <c r="CR44" i="21"/>
  <c r="AC44" i="21" s="1"/>
  <c r="ED35" i="24"/>
  <c r="O14" i="25"/>
  <c r="BM14" i="25"/>
  <c r="AA74" i="22"/>
  <c r="S12" i="29"/>
  <c r="BN33" i="29"/>
  <c r="W48" i="1"/>
  <c r="DK52" i="24"/>
  <c r="DL53" i="24" s="1"/>
  <c r="DM54" i="24" s="1"/>
  <c r="EI50" i="24"/>
  <c r="EJ51" i="24" s="1"/>
  <c r="EK52" i="24" s="1"/>
  <c r="CE42" i="19"/>
  <c r="CE66" i="19" s="1"/>
  <c r="CE40" i="15"/>
  <c r="CE15" i="15"/>
  <c r="CE90" i="15"/>
  <c r="CE14" i="15"/>
  <c r="CD12" i="15"/>
  <c r="DV56" i="15"/>
  <c r="AM21" i="1"/>
  <c r="DV17" i="1"/>
  <c r="CY80" i="24"/>
  <c r="CZ81" i="24" s="1"/>
  <c r="DA82" i="24" s="1"/>
  <c r="DP68" i="15"/>
  <c r="DG30" i="1"/>
  <c r="I17" i="1"/>
  <c r="AC9" i="25" s="1"/>
  <c r="AH17" i="1"/>
  <c r="CR62" i="15"/>
  <c r="CR68" i="15"/>
  <c r="DD68" i="15"/>
  <c r="CR74" i="15"/>
  <c r="CS29" i="21"/>
  <c r="AA53" i="38"/>
  <c r="AA54" i="38" s="1"/>
  <c r="AA47" i="38" s="1"/>
  <c r="Z54" i="38"/>
  <c r="DZ49" i="24"/>
  <c r="EA50" i="24" s="1"/>
  <c r="EB51" i="24" s="1"/>
  <c r="ES34" i="24"/>
  <c r="AT33" i="24"/>
  <c r="BO14" i="25"/>
  <c r="Q14" i="25"/>
  <c r="EB56" i="15"/>
  <c r="AO21" i="1"/>
  <c r="EB17" i="1"/>
  <c r="FA51" i="24"/>
  <c r="FB52" i="24" s="1"/>
  <c r="HI22" i="7"/>
  <c r="HI41" i="7" s="1"/>
  <c r="CZ34" i="24"/>
  <c r="AE33" i="24"/>
  <c r="DH50" i="24"/>
  <c r="DI51" i="24" s="1"/>
  <c r="DJ52" i="24" s="1"/>
  <c r="DN68" i="15"/>
  <c r="X19" i="29"/>
  <c r="EV23" i="1"/>
  <c r="EV21" i="1" s="1"/>
  <c r="EJ21" i="1"/>
  <c r="G68" i="19"/>
  <c r="AC67" i="15"/>
  <c r="AC61" i="15"/>
  <c r="J78" i="29"/>
  <c r="J96" i="29"/>
  <c r="J98" i="29"/>
  <c r="J14" i="29" s="1"/>
  <c r="DM68" i="15"/>
  <c r="HJ11" i="7"/>
  <c r="GZ11" i="25"/>
  <c r="AH149" i="36"/>
  <c r="AC48" i="1"/>
  <c r="CI28" i="24"/>
  <c r="Y27" i="24"/>
  <c r="CD55" i="19"/>
  <c r="CD18" i="15"/>
  <c r="ED56" i="15"/>
  <c r="ED17" i="1"/>
  <c r="ED30" i="1" s="1"/>
  <c r="X48" i="1"/>
  <c r="EA33" i="24"/>
  <c r="AN32" i="24"/>
  <c r="EQ23" i="1"/>
  <c r="AP23" i="1"/>
  <c r="K23" i="1"/>
  <c r="EE21" i="1"/>
  <c r="AG31" i="35"/>
  <c r="AB176" i="19"/>
  <c r="G176" i="19"/>
  <c r="HJ12" i="7"/>
  <c r="GZ12" i="25"/>
  <c r="K8" i="18"/>
  <c r="K9" i="18"/>
  <c r="K10" i="18"/>
  <c r="K5" i="18"/>
  <c r="K6" i="18"/>
  <c r="K7" i="18"/>
  <c r="DG34" i="24"/>
  <c r="G42" i="21"/>
  <c r="CA33" i="24"/>
  <c r="AC12" i="1"/>
  <c r="CR11" i="11"/>
  <c r="CR20" i="1"/>
  <c r="CR21" i="1"/>
  <c r="EY33" i="24"/>
  <c r="AV32" i="24"/>
  <c r="BC6" i="25"/>
  <c r="BM25" i="25"/>
  <c r="CT72" i="11"/>
  <c r="CT77" i="11"/>
  <c r="CT72" i="24"/>
  <c r="CU73" i="24" s="1"/>
  <c r="BS33" i="29"/>
  <c r="J116" i="29"/>
  <c r="J118" i="29"/>
  <c r="J28" i="29" s="1"/>
  <c r="EC51" i="24"/>
  <c r="ED52" i="24" s="1"/>
  <c r="EE53" i="24" s="1"/>
  <c r="CT57" i="1"/>
  <c r="AQ23" i="1"/>
  <c r="ET23" i="1"/>
  <c r="EH21" i="1"/>
  <c r="U84" i="37"/>
  <c r="T92" i="37"/>
  <c r="T94" i="37"/>
  <c r="BH106" i="1"/>
  <c r="BG113" i="1"/>
  <c r="AB183" i="19"/>
  <c r="AB159" i="19" s="1"/>
  <c r="ER90" i="11"/>
  <c r="EZ90" i="11"/>
  <c r="ES90" i="11"/>
  <c r="FA90" i="11"/>
  <c r="ET90" i="11"/>
  <c r="FB90" i="11"/>
  <c r="EU90" i="11"/>
  <c r="EV90" i="11"/>
  <c r="EW90" i="11"/>
  <c r="EX90" i="11"/>
  <c r="EQ90" i="11"/>
  <c r="EY90" i="11"/>
  <c r="ES89" i="11"/>
  <c r="FA89" i="11"/>
  <c r="ET89" i="11"/>
  <c r="FB89" i="11"/>
  <c r="EU89" i="11"/>
  <c r="EV89" i="11"/>
  <c r="EW89" i="11"/>
  <c r="EX89" i="11"/>
  <c r="EQ89" i="11"/>
  <c r="EY89" i="11"/>
  <c r="ER89" i="11"/>
  <c r="EZ89" i="11"/>
  <c r="DG68" i="15"/>
  <c r="S71" i="38"/>
  <c r="P40" i="34"/>
  <c r="P42" i="34" s="1"/>
  <c r="AF73" i="38"/>
  <c r="AF74" i="38" s="1"/>
  <c r="DT136" i="11"/>
  <c r="EB136" i="11"/>
  <c r="K136" i="11"/>
  <c r="DU136" i="11"/>
  <c r="EC136" i="11"/>
  <c r="DV136" i="11"/>
  <c r="ED136" i="11"/>
  <c r="DW136" i="11"/>
  <c r="DY136" i="11"/>
  <c r="DZ136" i="11"/>
  <c r="DS136" i="11"/>
  <c r="DX136" i="11"/>
  <c r="EA136" i="11"/>
  <c r="EW22" i="25"/>
  <c r="CG42" i="24"/>
  <c r="CH43" i="24" s="1"/>
  <c r="CI44" i="24" s="1"/>
  <c r="AC77" i="19"/>
  <c r="AC224" i="19"/>
  <c r="Q15" i="25"/>
  <c r="BO15" i="25"/>
  <c r="CU67" i="24"/>
  <c r="AS23" i="1"/>
  <c r="EZ23" i="1"/>
  <c r="EN21" i="1"/>
  <c r="G56" i="15"/>
  <c r="G60" i="15" s="1"/>
  <c r="H60" i="15" s="1"/>
  <c r="G59" i="15"/>
  <c r="H59" i="15" s="1"/>
  <c r="G65" i="15"/>
  <c r="GY22" i="25"/>
  <c r="GY41" i="25" s="1"/>
  <c r="DX56" i="15"/>
  <c r="DX17" i="1"/>
  <c r="DX30" i="1" s="1"/>
  <c r="DR34" i="24"/>
  <c r="AK33" i="24"/>
  <c r="AC78" i="19"/>
  <c r="CR108" i="19"/>
  <c r="CR109" i="19"/>
  <c r="CR107" i="19"/>
  <c r="AC105" i="19"/>
  <c r="CR106" i="19"/>
  <c r="EQ149" i="11"/>
  <c r="ER149" i="11"/>
  <c r="EZ149" i="11"/>
  <c r="ES149" i="11"/>
  <c r="FA149" i="11"/>
  <c r="ET149" i="11"/>
  <c r="FB149" i="11"/>
  <c r="EW149" i="11"/>
  <c r="EU149" i="11"/>
  <c r="EV149" i="11"/>
  <c r="EX149" i="11"/>
  <c r="EY149" i="11"/>
  <c r="Q15" i="7"/>
  <c r="BO15" i="7"/>
  <c r="DR27" i="11"/>
  <c r="K31" i="22"/>
  <c r="EU40" i="24"/>
  <c r="CP39" i="21"/>
  <c r="CP42" i="21"/>
  <c r="HK14" i="7"/>
  <c r="HK10" i="7"/>
  <c r="HK13" i="7" s="1"/>
  <c r="HK40" i="7" s="1"/>
  <c r="HK43" i="7" s="1"/>
  <c r="CG29" i="24"/>
  <c r="Y28" i="24"/>
  <c r="N15" i="7"/>
  <c r="BL15" i="7"/>
  <c r="Z92" i="1"/>
  <c r="BX29" i="24"/>
  <c r="V28" i="24"/>
  <c r="F28" i="24"/>
  <c r="FB23" i="1"/>
  <c r="FB21" i="1" s="1"/>
  <c r="EP21" i="1"/>
  <c r="AA24" i="38"/>
  <c r="AA16" i="38" s="1"/>
  <c r="AH43" i="38"/>
  <c r="EP34" i="24"/>
  <c r="AS33" i="24"/>
  <c r="CP62" i="15"/>
  <c r="CP68" i="15"/>
  <c r="CP74" i="15"/>
  <c r="CP61" i="15"/>
  <c r="EJ33" i="24"/>
  <c r="AQ32" i="24"/>
  <c r="CI93" i="1"/>
  <c r="BO19" i="25"/>
  <c r="G75" i="1"/>
  <c r="HI11" i="7"/>
  <c r="HI13" i="7" s="1"/>
  <c r="HI40" i="7" s="1"/>
  <c r="HI43" i="7" s="1"/>
  <c r="GY11" i="25"/>
  <c r="F12" i="29"/>
  <c r="F13" i="29" s="1"/>
  <c r="G9" i="29" s="1"/>
  <c r="Z68" i="24"/>
  <c r="Z126" i="24" s="1"/>
  <c r="CL69" i="24"/>
  <c r="CK126" i="24"/>
  <c r="DK50" i="24"/>
  <c r="DL51" i="24" s="1"/>
  <c r="DM52" i="24" s="1"/>
  <c r="BM15" i="25"/>
  <c r="O15" i="25"/>
  <c r="EV34" i="11"/>
  <c r="EW34" i="11"/>
  <c r="EX34" i="11"/>
  <c r="EQ34" i="11"/>
  <c r="EY34" i="11"/>
  <c r="ER34" i="11"/>
  <c r="EZ34" i="11"/>
  <c r="ES34" i="11"/>
  <c r="FA34" i="11"/>
  <c r="EU34" i="11"/>
  <c r="ET34" i="11"/>
  <c r="FB34" i="11"/>
  <c r="GY12" i="7"/>
  <c r="Y29" i="34"/>
  <c r="Y30" i="34" s="1"/>
  <c r="Y32" i="34"/>
  <c r="Y33" i="34"/>
  <c r="V48" i="1"/>
  <c r="CP254" i="19"/>
  <c r="CP255" i="19"/>
  <c r="CP256" i="19"/>
  <c r="CP257" i="19"/>
  <c r="G253" i="19"/>
  <c r="AB253" i="19"/>
  <c r="R12" i="29"/>
  <c r="BK33" i="29"/>
  <c r="CQ62" i="15"/>
  <c r="CQ68" i="15"/>
  <c r="CQ74" i="15"/>
  <c r="D92" i="1"/>
  <c r="BD93" i="1"/>
  <c r="T26" i="29"/>
  <c r="EH113" i="11"/>
  <c r="EP113" i="11"/>
  <c r="EI113" i="11"/>
  <c r="EJ113" i="11"/>
  <c r="EK113" i="11"/>
  <c r="L113" i="11"/>
  <c r="EL113" i="11"/>
  <c r="EE113" i="11"/>
  <c r="EM113" i="11"/>
  <c r="EF113" i="11"/>
  <c r="EN113" i="11"/>
  <c r="EG113" i="11"/>
  <c r="EO113" i="11"/>
  <c r="EN25" i="25"/>
  <c r="AB182" i="19"/>
  <c r="AB158" i="19" s="1"/>
  <c r="Y18" i="38"/>
  <c r="Y31" i="35" s="1"/>
  <c r="Y27" i="38"/>
  <c r="Y66" i="38" s="1"/>
  <c r="O48" i="1"/>
  <c r="AC41" i="21"/>
  <c r="EF50" i="24"/>
  <c r="EG51" i="24" s="1"/>
  <c r="EH52" i="24" s="1"/>
  <c r="DK49" i="24"/>
  <c r="DL50" i="24" s="1"/>
  <c r="DM51" i="24" s="1"/>
  <c r="DZ10" i="25"/>
  <c r="DZ11" i="25" s="1"/>
  <c r="DZ13" i="25"/>
  <c r="AB75" i="1"/>
  <c r="DO35" i="24"/>
  <c r="G26" i="29"/>
  <c r="CS42" i="24"/>
  <c r="CT43" i="24" s="1"/>
  <c r="CU44" i="24" s="1"/>
  <c r="AB251" i="19"/>
  <c r="G251" i="19"/>
  <c r="CS47" i="21"/>
  <c r="CS52" i="21"/>
  <c r="CS57" i="21"/>
  <c r="DI27" i="11"/>
  <c r="G48" i="1"/>
  <c r="F92" i="1"/>
  <c r="X72" i="34"/>
  <c r="AE55" i="35"/>
  <c r="CO62" i="15"/>
  <c r="CO68" i="15"/>
  <c r="CO61" i="15"/>
  <c r="CO60" i="15"/>
  <c r="DK27" i="11"/>
  <c r="BH27" i="29"/>
  <c r="BI23" i="29" s="1"/>
  <c r="BI27" i="29" s="1"/>
  <c r="BJ23" i="29" s="1"/>
  <c r="BJ27" i="29" s="1"/>
  <c r="BK23" i="29" s="1"/>
  <c r="Q23" i="29"/>
  <c r="Q27" i="29" s="1"/>
  <c r="DI33" i="24"/>
  <c r="I32" i="24"/>
  <c r="AH32" i="24"/>
  <c r="AC9" i="24"/>
  <c r="CR11" i="24"/>
  <c r="CO50" i="21"/>
  <c r="CO45" i="21"/>
  <c r="CO55" i="21"/>
  <c r="CD43" i="24"/>
  <c r="CE44" i="24" s="1"/>
  <c r="CF45" i="24" s="1"/>
  <c r="EF51" i="24"/>
  <c r="EG52" i="24" s="1"/>
  <c r="EH53" i="24" s="1"/>
  <c r="AP50" i="24"/>
  <c r="BD6" i="25"/>
  <c r="BN25" i="25"/>
  <c r="CS14" i="21"/>
  <c r="CS19" i="21"/>
  <c r="CS21" i="21"/>
  <c r="CS22" i="21"/>
  <c r="V110" i="1"/>
  <c r="Y99" i="1"/>
  <c r="EC56" i="15"/>
  <c r="EC17" i="1"/>
  <c r="EC30" i="1" s="1"/>
  <c r="DR68" i="15"/>
  <c r="FA23" i="1"/>
  <c r="FA21" i="1" s="1"/>
  <c r="EO21" i="1"/>
  <c r="Z16" i="38"/>
  <c r="AH24" i="38"/>
  <c r="EJ148" i="11"/>
  <c r="EK148" i="11"/>
  <c r="L148" i="11"/>
  <c r="EL148" i="11"/>
  <c r="EE148" i="11"/>
  <c r="EM148" i="11"/>
  <c r="EG148" i="11"/>
  <c r="EO148" i="11"/>
  <c r="EH148" i="11"/>
  <c r="EP148" i="11"/>
  <c r="EF148" i="11"/>
  <c r="EI148" i="11"/>
  <c r="EN148" i="11"/>
  <c r="CP40" i="21"/>
  <c r="EC60" i="24"/>
  <c r="CM43" i="24"/>
  <c r="CN44" i="24" s="1"/>
  <c r="CO45" i="24" s="1"/>
  <c r="Z75" i="1"/>
  <c r="AB174" i="19"/>
  <c r="G174" i="19"/>
  <c r="A13" i="30"/>
  <c r="B12" i="30"/>
  <c r="CL42" i="19"/>
  <c r="CL15" i="15"/>
  <c r="AA7" i="15"/>
  <c r="CL14" i="15"/>
  <c r="CL12" i="15"/>
  <c r="CL90" i="15"/>
  <c r="CL40" i="15"/>
  <c r="J58" i="22"/>
  <c r="Y57" i="22"/>
  <c r="U57" i="22"/>
  <c r="Q57" i="22"/>
  <c r="V57" i="22"/>
  <c r="R57" i="22"/>
  <c r="S57" i="22"/>
  <c r="W57" i="22"/>
  <c r="X57" i="22"/>
  <c r="M57" i="22"/>
  <c r="N57" i="22"/>
  <c r="O57" i="22"/>
  <c r="P57" i="22"/>
  <c r="T57" i="22"/>
  <c r="DT55" i="24"/>
  <c r="DU56" i="24" s="1"/>
  <c r="DV57" i="24" s="1"/>
  <c r="DP18" i="29"/>
  <c r="AK18" i="29" s="1"/>
  <c r="AK79" i="29"/>
  <c r="AS126" i="11"/>
  <c r="DZ11" i="7"/>
  <c r="DZ10" i="7"/>
  <c r="DZ13" i="7"/>
  <c r="CD29" i="24"/>
  <c r="X28" i="24"/>
  <c r="AF10" i="35"/>
  <c r="AF11" i="35" s="1"/>
  <c r="S11" i="35"/>
  <c r="S48" i="35"/>
  <c r="AF48" i="35" s="1"/>
  <c r="Y69" i="34" s="1"/>
  <c r="AG24" i="37"/>
  <c r="AF33" i="37"/>
  <c r="AF34" i="37" s="1"/>
  <c r="EI52" i="24"/>
  <c r="EJ53" i="24" s="1"/>
  <c r="EK54" i="24" s="1"/>
  <c r="EU51" i="24"/>
  <c r="EV52" i="24" s="1"/>
  <c r="EW53" i="24" s="1"/>
  <c r="BT33" i="29"/>
  <c r="U33" i="29" s="1"/>
  <c r="U12" i="29"/>
  <c r="HI32" i="7"/>
  <c r="HI42" i="7" s="1"/>
  <c r="GY13" i="7"/>
  <c r="T115" i="37"/>
  <c r="T110" i="37"/>
  <c r="T111" i="37" s="1"/>
  <c r="R32" i="34"/>
  <c r="AH14" i="38"/>
  <c r="AB181" i="19"/>
  <c r="AB157" i="19" s="1"/>
  <c r="DB68" i="15"/>
  <c r="CR46" i="21"/>
  <c r="CR51" i="21"/>
  <c r="CR56" i="21"/>
  <c r="CG43" i="24"/>
  <c r="CH44" i="24" s="1"/>
  <c r="CI45" i="24" s="1"/>
  <c r="O14" i="7"/>
  <c r="BM14" i="7"/>
  <c r="EA56" i="15"/>
  <c r="EA17" i="1"/>
  <c r="EA30" i="1" s="1"/>
  <c r="CR39" i="21"/>
  <c r="AC34" i="21"/>
  <c r="AC39" i="21" s="1"/>
  <c r="CO11" i="11"/>
  <c r="AB11" i="1"/>
  <c r="CO21" i="1"/>
  <c r="CT23" i="1" s="1"/>
  <c r="CO112" i="1"/>
  <c r="CO20" i="1"/>
  <c r="G11" i="1"/>
  <c r="BN15" i="7"/>
  <c r="P15" i="7"/>
  <c r="CD26" i="29"/>
  <c r="BW26" i="29"/>
  <c r="CE26" i="29"/>
  <c r="BX26" i="29"/>
  <c r="CF26" i="29"/>
  <c r="BY26" i="29"/>
  <c r="CG26" i="29"/>
  <c r="BZ26" i="29"/>
  <c r="CH26" i="29"/>
  <c r="CA26" i="29"/>
  <c r="CB26" i="29"/>
  <c r="CC26" i="29"/>
  <c r="AB250" i="19"/>
  <c r="G250" i="19"/>
  <c r="CS46" i="21"/>
  <c r="CS51" i="21"/>
  <c r="CS56" i="21"/>
  <c r="CT34" i="24"/>
  <c r="AC33" i="24"/>
  <c r="X66" i="34"/>
  <c r="X67" i="34" s="1"/>
  <c r="AE46" i="35"/>
  <c r="AB65" i="15"/>
  <c r="AB56" i="15"/>
  <c r="AF17" i="1"/>
  <c r="DA30" i="1"/>
  <c r="H17" i="1"/>
  <c r="AB9" i="25" s="1"/>
  <c r="Y19" i="29"/>
  <c r="DQ27" i="11"/>
  <c r="AA14" i="38"/>
  <c r="AC152" i="19"/>
  <c r="CP9" i="21"/>
  <c r="CP15" i="21"/>
  <c r="CP25" i="21"/>
  <c r="CP24" i="21" s="1"/>
  <c r="CP44" i="21"/>
  <c r="EI49" i="24"/>
  <c r="EJ50" i="24" s="1"/>
  <c r="EK51" i="24" s="1"/>
  <c r="EW23" i="1"/>
  <c r="EK21" i="1"/>
  <c r="AR23" i="1"/>
  <c r="AC227" i="19"/>
  <c r="CQ50" i="21"/>
  <c r="CQ55" i="21"/>
  <c r="DQ53" i="24"/>
  <c r="DR54" i="24" s="1"/>
  <c r="DS55" i="24" s="1"/>
  <c r="FA56" i="24"/>
  <c r="FB57" i="24" s="1"/>
  <c r="T28" i="24"/>
  <c r="BR29" i="24"/>
  <c r="DL27" i="11"/>
  <c r="DI78" i="29"/>
  <c r="DQ78" i="29"/>
  <c r="DJ78" i="29"/>
  <c r="DR78" i="29"/>
  <c r="DK78" i="29"/>
  <c r="DL78" i="29"/>
  <c r="DM78" i="29"/>
  <c r="DN78" i="29"/>
  <c r="DG78" i="29"/>
  <c r="DO78" i="29"/>
  <c r="DH78" i="29"/>
  <c r="DP78" i="29"/>
  <c r="I160" i="29"/>
  <c r="L91" i="11"/>
  <c r="AT91" i="11"/>
  <c r="G19" i="29"/>
  <c r="G20" i="29" s="1"/>
  <c r="H16" i="29" s="1"/>
  <c r="DL68" i="15"/>
  <c r="CQ13" i="24"/>
  <c r="CQ63" i="24"/>
  <c r="CQ66" i="24" s="1"/>
  <c r="CP41" i="21"/>
  <c r="CT46" i="21"/>
  <c r="CJ43" i="24"/>
  <c r="CK44" i="24" s="1"/>
  <c r="CL45" i="24" s="1"/>
  <c r="DH27" i="11"/>
  <c r="AC153" i="19"/>
  <c r="CG33" i="24"/>
  <c r="GY13" i="25"/>
  <c r="GY40" i="25" s="1"/>
  <c r="GY43" i="25" s="1"/>
  <c r="CK71" i="19"/>
  <c r="DW56" i="15"/>
  <c r="DW17" i="1"/>
  <c r="DW30" i="1" s="1"/>
  <c r="U136" i="36"/>
  <c r="EV117" i="11"/>
  <c r="EW117" i="11"/>
  <c r="EX117" i="11"/>
  <c r="EQ117" i="11"/>
  <c r="EY117" i="11"/>
  <c r="ER117" i="11"/>
  <c r="EZ117" i="11"/>
  <c r="ES117" i="11"/>
  <c r="FA117" i="11"/>
  <c r="ET117" i="11"/>
  <c r="FB117" i="11"/>
  <c r="EU117" i="11"/>
  <c r="G40" i="21"/>
  <c r="DM30" i="1"/>
  <c r="AJ17" i="1"/>
  <c r="BQ33" i="29"/>
  <c r="T12" i="29"/>
  <c r="CQ59" i="15"/>
  <c r="GY32" i="25"/>
  <c r="GY42" i="25" s="1"/>
  <c r="AC179" i="19"/>
  <c r="CR180" i="19"/>
  <c r="G180" i="19" s="1"/>
  <c r="CR182" i="19"/>
  <c r="CR181" i="19"/>
  <c r="CR183" i="19"/>
  <c r="EM34" i="24"/>
  <c r="AR33" i="24"/>
  <c r="AB99" i="19"/>
  <c r="CO100" i="19"/>
  <c r="CO101" i="19"/>
  <c r="CO102" i="19"/>
  <c r="CO103" i="19"/>
  <c r="G99" i="19"/>
  <c r="AT22" i="1"/>
  <c r="L22" i="1"/>
  <c r="Z27" i="38"/>
  <c r="CT45" i="21"/>
  <c r="AB180" i="19"/>
  <c r="AB156" i="19" s="1"/>
  <c r="U43" i="36"/>
  <c r="U15" i="36"/>
  <c r="Y48" i="1"/>
  <c r="DB81" i="24"/>
  <c r="DC82" i="24" s="1"/>
  <c r="DD83" i="24" s="1"/>
  <c r="EY23" i="1"/>
  <c r="EY21" i="1" s="1"/>
  <c r="EM21" i="1"/>
  <c r="AC40" i="21"/>
  <c r="AD32" i="29"/>
  <c r="I10" i="28" s="1"/>
  <c r="AG73" i="26" s="1"/>
  <c r="AG80" i="26" s="1"/>
  <c r="H32" i="29"/>
  <c r="C10" i="28" s="1"/>
  <c r="K73" i="26" s="1"/>
  <c r="CV39" i="29"/>
  <c r="DY11" i="7"/>
  <c r="DY10" i="7"/>
  <c r="DY13" i="7"/>
  <c r="D48" i="1"/>
  <c r="R48" i="1"/>
  <c r="AB249" i="19"/>
  <c r="G249" i="19"/>
  <c r="EE87" i="11"/>
  <c r="EM87" i="11"/>
  <c r="EF87" i="11"/>
  <c r="EN87" i="11"/>
  <c r="EG87" i="11"/>
  <c r="EO87" i="11"/>
  <c r="EH87" i="11"/>
  <c r="EP87" i="11"/>
  <c r="EI87" i="11"/>
  <c r="EJ87" i="11"/>
  <c r="EK87" i="11"/>
  <c r="L87" i="11"/>
  <c r="EL87" i="11"/>
  <c r="DI68" i="15"/>
  <c r="AA48" i="1"/>
  <c r="DU56" i="15"/>
  <c r="DU17" i="1"/>
  <c r="DU30" i="1" s="1"/>
  <c r="DL33" i="24"/>
  <c r="AI32" i="24"/>
  <c r="DK68" i="15"/>
  <c r="BM19" i="25"/>
  <c r="E75" i="1"/>
  <c r="T21" i="29"/>
  <c r="S21" i="29"/>
  <c r="R21" i="29"/>
  <c r="GZ10" i="25"/>
  <c r="GZ13" i="25" s="1"/>
  <c r="HJ10" i="7"/>
  <c r="HJ13" i="7" s="1"/>
  <c r="T41" i="37"/>
  <c r="CW34" i="24"/>
  <c r="H33" i="24"/>
  <c r="AD33" i="24"/>
  <c r="EX49" i="24"/>
  <c r="EY50" i="24" s="1"/>
  <c r="EZ51" i="24" s="1"/>
  <c r="CT29" i="21"/>
  <c r="N38" i="29"/>
  <c r="AB106" i="19"/>
  <c r="AB82" i="19" s="1"/>
  <c r="ER55" i="24"/>
  <c r="ES56" i="24" s="1"/>
  <c r="ET57" i="24" s="1"/>
  <c r="CQ9" i="21"/>
  <c r="CQ20" i="21"/>
  <c r="CQ15" i="21"/>
  <c r="CQ25" i="21"/>
  <c r="CQ24" i="21" s="1"/>
  <c r="CQ29" i="21" s="1"/>
  <c r="CQ44" i="21"/>
  <c r="CQ45" i="21" s="1"/>
  <c r="O9" i="29"/>
  <c r="O13" i="29" s="1"/>
  <c r="BB13" i="29"/>
  <c r="BC9" i="29" s="1"/>
  <c r="BB30" i="29"/>
  <c r="DZ52" i="24"/>
  <c r="EA53" i="24" s="1"/>
  <c r="EB54" i="24" s="1"/>
  <c r="DZ56" i="15"/>
  <c r="DZ17" i="1"/>
  <c r="DZ30" i="1" s="1"/>
  <c r="DZ54" i="24"/>
  <c r="EA55" i="24" s="1"/>
  <c r="EB56" i="24" s="1"/>
  <c r="AC76" i="19"/>
  <c r="T73" i="37"/>
  <c r="U65" i="37"/>
  <c r="T75" i="37"/>
  <c r="AB177" i="19"/>
  <c r="G177" i="19"/>
  <c r="CO32" i="24"/>
  <c r="EU23" i="1"/>
  <c r="EU21" i="1" s="1"/>
  <c r="EI21" i="1"/>
  <c r="DT56" i="15"/>
  <c r="DT17" i="1"/>
  <c r="DT30" i="1" s="1"/>
  <c r="AI17" i="1"/>
  <c r="DJ30" i="1"/>
  <c r="EI71" i="11"/>
  <c r="EJ71" i="11"/>
  <c r="EK71" i="11"/>
  <c r="L71" i="11"/>
  <c r="EL71" i="11"/>
  <c r="EE71" i="11"/>
  <c r="EM71" i="11"/>
  <c r="EF71" i="11"/>
  <c r="EN71" i="11"/>
  <c r="EG71" i="11"/>
  <c r="EO71" i="11"/>
  <c r="EH71" i="11"/>
  <c r="EP71" i="11"/>
  <c r="EW114" i="11"/>
  <c r="EX114" i="11"/>
  <c r="EQ114" i="11"/>
  <c r="EY114" i="11"/>
  <c r="ER114" i="11"/>
  <c r="EZ114" i="11"/>
  <c r="ES114" i="11"/>
  <c r="FA114" i="11"/>
  <c r="ET114" i="11"/>
  <c r="FB114" i="11"/>
  <c r="EU114" i="11"/>
  <c r="EV114" i="11"/>
  <c r="CD63" i="19"/>
  <c r="CD29" i="15"/>
  <c r="O15" i="7"/>
  <c r="BM15" i="7"/>
  <c r="AA92" i="1"/>
  <c r="DY33" i="24"/>
  <c r="EW33" i="24"/>
  <c r="DZ51" i="24"/>
  <c r="EA52" i="24" s="1"/>
  <c r="EB53" i="24" s="1"/>
  <c r="DD33" i="24"/>
  <c r="AF32" i="24"/>
  <c r="AB40" i="21"/>
  <c r="V11" i="18"/>
  <c r="V13" i="18" s="1"/>
  <c r="BP33" i="29"/>
  <c r="EO53" i="24"/>
  <c r="EP54" i="24" s="1"/>
  <c r="EQ55" i="24" s="1"/>
  <c r="HJ22" i="7"/>
  <c r="AB67" i="19"/>
  <c r="G67" i="19"/>
  <c r="AA30" i="24"/>
  <c r="CM31" i="24"/>
  <c r="U26" i="29"/>
  <c r="Z49" i="34"/>
  <c r="Z27" i="35"/>
  <c r="Z48" i="1"/>
  <c r="AU32" i="24"/>
  <c r="T134" i="37"/>
  <c r="T129" i="37"/>
  <c r="P48" i="1"/>
  <c r="AK17" i="1"/>
  <c r="DP30" i="1"/>
  <c r="AC79" i="19"/>
  <c r="P14" i="25"/>
  <c r="BN14" i="25"/>
  <c r="AB69" i="24"/>
  <c r="CP70" i="24"/>
  <c r="CP106" i="19"/>
  <c r="CP108" i="19"/>
  <c r="G108" i="19" s="1"/>
  <c r="CP109" i="19"/>
  <c r="AB109" i="19" s="1"/>
  <c r="AB85" i="19" s="1"/>
  <c r="CP107" i="19"/>
  <c r="AB107" i="19" s="1"/>
  <c r="AB83" i="19" s="1"/>
  <c r="CY81" i="24"/>
  <c r="CZ82" i="24" s="1"/>
  <c r="DA83" i="24" s="1"/>
  <c r="CT67" i="24"/>
  <c r="CU68" i="24" s="1"/>
  <c r="CQ106" i="19"/>
  <c r="CQ108" i="19"/>
  <c r="CQ109" i="19"/>
  <c r="CQ107" i="19"/>
  <c r="CR40" i="21"/>
  <c r="AB9" i="24"/>
  <c r="CO11" i="24"/>
  <c r="G9" i="24"/>
  <c r="N15" i="25"/>
  <c r="BL15" i="25"/>
  <c r="AB248" i="19"/>
  <c r="G248" i="19"/>
  <c r="GZ32" i="25"/>
  <c r="GZ14" i="7"/>
  <c r="ES23" i="1"/>
  <c r="ES21" i="1" s="1"/>
  <c r="EG21" i="1"/>
  <c r="CO59" i="15"/>
  <c r="CL58" i="19"/>
  <c r="AA58" i="19" s="1"/>
  <c r="AA63" i="19" s="1"/>
  <c r="CL34" i="15"/>
  <c r="CL92" i="15"/>
  <c r="AA29" i="15"/>
  <c r="CL37" i="15"/>
  <c r="CL36" i="15"/>
  <c r="DO27" i="11"/>
  <c r="DW108" i="11"/>
  <c r="DX108" i="11"/>
  <c r="DY108" i="11"/>
  <c r="DZ108" i="11"/>
  <c r="DS108" i="11"/>
  <c r="EA108" i="11"/>
  <c r="DT108" i="11"/>
  <c r="EB108" i="11"/>
  <c r="K108" i="11"/>
  <c r="DU108" i="11"/>
  <c r="EC108" i="11"/>
  <c r="DV108" i="11"/>
  <c r="ED108" i="11"/>
  <c r="EM20" i="7"/>
  <c r="EM20" i="25"/>
  <c r="DQ68" i="15"/>
  <c r="K80" i="26" l="1"/>
  <c r="M114" i="26"/>
  <c r="AT65" i="26"/>
  <c r="AT66" i="26" s="1"/>
  <c r="U21" i="29"/>
  <c r="T33" i="29"/>
  <c r="S28" i="29"/>
  <c r="I163" i="29"/>
  <c r="V26" i="29"/>
  <c r="Q100" i="26"/>
  <c r="N40" i="29"/>
  <c r="N43" i="29" s="1"/>
  <c r="AF92" i="22"/>
  <c r="AF89" i="22"/>
  <c r="AF90" i="22"/>
  <c r="CV60" i="15"/>
  <c r="CV54" i="15" s="1"/>
  <c r="DD60" i="15"/>
  <c r="DD54" i="15" s="1"/>
  <c r="CX60" i="15"/>
  <c r="CX54" i="15" s="1"/>
  <c r="DF60" i="15"/>
  <c r="DF54" i="15" s="1"/>
  <c r="CY60" i="15"/>
  <c r="CY54" i="15" s="1"/>
  <c r="CZ60" i="15"/>
  <c r="CZ54" i="15" s="1"/>
  <c r="DA60" i="15"/>
  <c r="DA54" i="15" s="1"/>
  <c r="DB60" i="15"/>
  <c r="DB54" i="15" s="1"/>
  <c r="CU60" i="15"/>
  <c r="CU54" i="15" s="1"/>
  <c r="CW60" i="15"/>
  <c r="CW54" i="15" s="1"/>
  <c r="I60" i="15"/>
  <c r="DC60" i="15"/>
  <c r="DC54" i="15" s="1"/>
  <c r="DE60" i="15"/>
  <c r="DE54" i="15" s="1"/>
  <c r="G12" i="29"/>
  <c r="G13" i="29" s="1"/>
  <c r="H9" i="29" s="1"/>
  <c r="AC182" i="19"/>
  <c r="DI11" i="29"/>
  <c r="DI32" i="29" s="1"/>
  <c r="DI81" i="29"/>
  <c r="DI85" i="29" s="1"/>
  <c r="AC56" i="21"/>
  <c r="HN30" i="7" s="1"/>
  <c r="DM11" i="29"/>
  <c r="AJ78" i="29"/>
  <c r="DM81" i="29"/>
  <c r="DM85" i="29" s="1"/>
  <c r="W26" i="29"/>
  <c r="AC46" i="21"/>
  <c r="HN11" i="7" s="1"/>
  <c r="DW27" i="11"/>
  <c r="AA34" i="15"/>
  <c r="AA92" i="15"/>
  <c r="GZ33" i="25"/>
  <c r="GZ42" i="25"/>
  <c r="HA33" i="25"/>
  <c r="AB11" i="24"/>
  <c r="AB10" i="24" s="1"/>
  <c r="CO13" i="24"/>
  <c r="CO63" i="24"/>
  <c r="G11" i="24"/>
  <c r="G13" i="24" s="1"/>
  <c r="DP27" i="11"/>
  <c r="AK30" i="1"/>
  <c r="HJ23" i="7"/>
  <c r="HJ41" i="7"/>
  <c r="AB32" i="24"/>
  <c r="CP33" i="24"/>
  <c r="EU58" i="24"/>
  <c r="EV59" i="24" s="1"/>
  <c r="EW60" i="24" s="1"/>
  <c r="FA52" i="24"/>
  <c r="FB53" i="24" s="1"/>
  <c r="CV69" i="24"/>
  <c r="CW70" i="24" s="1"/>
  <c r="CX71" i="24" s="1"/>
  <c r="CQ71" i="24"/>
  <c r="AB70" i="24"/>
  <c r="BL25" i="7"/>
  <c r="BB6" i="7"/>
  <c r="AG33" i="24"/>
  <c r="DE34" i="24"/>
  <c r="DT27" i="11"/>
  <c r="EC57" i="24"/>
  <c r="ED58" i="24" s="1"/>
  <c r="EE59" i="24" s="1"/>
  <c r="BC13" i="29"/>
  <c r="BD9" i="29" s="1"/>
  <c r="BC30" i="29"/>
  <c r="BC34" i="29" s="1"/>
  <c r="BC37" i="29" s="1"/>
  <c r="BC38" i="29" s="1"/>
  <c r="DM34" i="24"/>
  <c r="AI33" i="24"/>
  <c r="H39" i="29"/>
  <c r="AD39" i="29"/>
  <c r="AB103" i="19"/>
  <c r="G103" i="19"/>
  <c r="DW68" i="15"/>
  <c r="DP11" i="29"/>
  <c r="AK78" i="29"/>
  <c r="DP81" i="29"/>
  <c r="DP85" i="29" s="1"/>
  <c r="DR11" i="29"/>
  <c r="DR32" i="29" s="1"/>
  <c r="DS39" i="29" s="1"/>
  <c r="DR81" i="29"/>
  <c r="DR85" i="29" s="1"/>
  <c r="DA27" i="11"/>
  <c r="AF30" i="1"/>
  <c r="H30" i="1"/>
  <c r="AB226" i="19"/>
  <c r="Y26" i="29"/>
  <c r="Z21" i="34"/>
  <c r="W106" i="1"/>
  <c r="V113" i="1"/>
  <c r="CR13" i="24"/>
  <c r="AC11" i="24"/>
  <c r="AC10" i="24" s="1"/>
  <c r="CR63" i="24"/>
  <c r="DP36" i="24"/>
  <c r="Y33" i="35"/>
  <c r="AB255" i="19"/>
  <c r="AB231" i="19" s="1"/>
  <c r="G255" i="19"/>
  <c r="EQ35" i="24"/>
  <c r="AS34" i="24"/>
  <c r="BY30" i="24"/>
  <c r="V29" i="24"/>
  <c r="AC107" i="19"/>
  <c r="DS35" i="24"/>
  <c r="AK34" i="24"/>
  <c r="EN56" i="15"/>
  <c r="AS21" i="1"/>
  <c r="EN17" i="1"/>
  <c r="S19" i="35"/>
  <c r="S73" i="38"/>
  <c r="J141" i="29"/>
  <c r="K111" i="29"/>
  <c r="CR77" i="11"/>
  <c r="CR72" i="11"/>
  <c r="AH34" i="24"/>
  <c r="DH35" i="24"/>
  <c r="Z53" i="34"/>
  <c r="EB34" i="24"/>
  <c r="EB68" i="15"/>
  <c r="DV68" i="15"/>
  <c r="S33" i="29"/>
  <c r="EE36" i="24"/>
  <c r="AC42" i="21"/>
  <c r="AB15" i="21"/>
  <c r="CQ46" i="21"/>
  <c r="CQ51" i="21"/>
  <c r="CQ56" i="21"/>
  <c r="AB151" i="19"/>
  <c r="GC8" i="7"/>
  <c r="AL17" i="1"/>
  <c r="J17" i="1"/>
  <c r="AD9" i="25" s="1"/>
  <c r="DS30" i="1"/>
  <c r="AJ55" i="35"/>
  <c r="V76" i="34"/>
  <c r="EL56" i="15"/>
  <c r="EL17" i="1"/>
  <c r="EL30" i="1" s="1"/>
  <c r="V55" i="36"/>
  <c r="V51" i="36" s="1"/>
  <c r="U49" i="37"/>
  <c r="U51" i="37"/>
  <c r="DZ27" i="11"/>
  <c r="DU68" i="15"/>
  <c r="AB100" i="19"/>
  <c r="G100" i="19"/>
  <c r="DG11" i="29"/>
  <c r="AH78" i="29"/>
  <c r="DG81" i="29"/>
  <c r="DG85" i="29" s="1"/>
  <c r="EY56" i="15"/>
  <c r="EY17" i="1"/>
  <c r="EY30" i="1" s="1"/>
  <c r="AN33" i="24"/>
  <c r="DZ34" i="24"/>
  <c r="EC55" i="24"/>
  <c r="ED56" i="24" s="1"/>
  <c r="EE57" i="24" s="1"/>
  <c r="DE84" i="24"/>
  <c r="DF85" i="24" s="1"/>
  <c r="DG86" i="24" s="1"/>
  <c r="CO77" i="11"/>
  <c r="CO72" i="11"/>
  <c r="EE108" i="11"/>
  <c r="EM108" i="11"/>
  <c r="EF108" i="11"/>
  <c r="EN108" i="11"/>
  <c r="EG108" i="11"/>
  <c r="EO108" i="11"/>
  <c r="EH108" i="11"/>
  <c r="EP108" i="11"/>
  <c r="EI108" i="11"/>
  <c r="EJ108" i="11"/>
  <c r="EK108" i="11"/>
  <c r="L108" i="11"/>
  <c r="EL108" i="11"/>
  <c r="EN20" i="25"/>
  <c r="EN20" i="7"/>
  <c r="CL63" i="19"/>
  <c r="CM29" i="15"/>
  <c r="CR45" i="21"/>
  <c r="AC45" i="21" s="1"/>
  <c r="CR50" i="21"/>
  <c r="AC50" i="21" s="1"/>
  <c r="CR55" i="21"/>
  <c r="AC55" i="21" s="1"/>
  <c r="DB84" i="24"/>
  <c r="DC85" i="24" s="1"/>
  <c r="DD86" i="24" s="1"/>
  <c r="Z33" i="35"/>
  <c r="ER56" i="24"/>
  <c r="ES57" i="24" s="1"/>
  <c r="ET58" i="24" s="1"/>
  <c r="EQ71" i="11"/>
  <c r="EY71" i="11"/>
  <c r="ER71" i="11"/>
  <c r="EZ71" i="11"/>
  <c r="ES71" i="11"/>
  <c r="FA71" i="11"/>
  <c r="ET71" i="11"/>
  <c r="FB71" i="11"/>
  <c r="EU71" i="11"/>
  <c r="EV71" i="11"/>
  <c r="EW71" i="11"/>
  <c r="EX71" i="11"/>
  <c r="HJ14" i="7"/>
  <c r="HJ40" i="7"/>
  <c r="DU27" i="11"/>
  <c r="AB225" i="19"/>
  <c r="GO8" i="7"/>
  <c r="AB102" i="19"/>
  <c r="G102" i="19"/>
  <c r="AC183" i="19"/>
  <c r="CP51" i="21"/>
  <c r="CP46" i="21"/>
  <c r="CP56" i="21"/>
  <c r="DH11" i="29"/>
  <c r="DH32" i="29" s="1"/>
  <c r="DH81" i="29"/>
  <c r="DH85" i="29" s="1"/>
  <c r="DJ11" i="29"/>
  <c r="AI78" i="29"/>
  <c r="DJ81" i="29"/>
  <c r="DJ85" i="29" s="1"/>
  <c r="AD9" i="7"/>
  <c r="X26" i="29"/>
  <c r="EA27" i="11"/>
  <c r="Y70" i="34"/>
  <c r="AA42" i="19"/>
  <c r="AA47" i="19" s="1"/>
  <c r="CL66" i="19"/>
  <c r="AA66" i="19" s="1"/>
  <c r="AA71" i="19" s="1"/>
  <c r="ER148" i="11"/>
  <c r="EZ148" i="11"/>
  <c r="ES148" i="11"/>
  <c r="FA148" i="11"/>
  <c r="ET148" i="11"/>
  <c r="FB148" i="11"/>
  <c r="EU148" i="11"/>
  <c r="EW148" i="11"/>
  <c r="EX148" i="11"/>
  <c r="EQ148" i="11"/>
  <c r="EV148" i="11"/>
  <c r="EY148" i="11"/>
  <c r="F93" i="1"/>
  <c r="Z18" i="25" s="1"/>
  <c r="Z17" i="25"/>
  <c r="G182" i="19"/>
  <c r="E33" i="29"/>
  <c r="R33" i="29"/>
  <c r="AB254" i="19"/>
  <c r="AB230" i="19" s="1"/>
  <c r="G254" i="19"/>
  <c r="CM70" i="24"/>
  <c r="AA69" i="24"/>
  <c r="CL126" i="24"/>
  <c r="X17" i="7"/>
  <c r="Z93" i="1"/>
  <c r="X18" i="7" s="1"/>
  <c r="CP47" i="21"/>
  <c r="CP52" i="21"/>
  <c r="CP57" i="21"/>
  <c r="AC109" i="19"/>
  <c r="DX27" i="11"/>
  <c r="AW23" i="1"/>
  <c r="EZ21" i="1"/>
  <c r="BH110" i="1"/>
  <c r="BH99" i="1"/>
  <c r="D11" i="18"/>
  <c r="CP21" i="15" s="1"/>
  <c r="C11" i="18"/>
  <c r="CO21" i="15" s="1"/>
  <c r="E11" i="18"/>
  <c r="CQ21" i="15" s="1"/>
  <c r="DA35" i="24"/>
  <c r="AE34" i="24"/>
  <c r="EC52" i="24"/>
  <c r="ED53" i="24" s="1"/>
  <c r="EE54" i="24" s="1"/>
  <c r="CE47" i="15"/>
  <c r="CE48" i="15"/>
  <c r="DH38" i="24"/>
  <c r="CY45" i="24"/>
  <c r="CZ46" i="24" s="1"/>
  <c r="DA47" i="24" s="1"/>
  <c r="AC57" i="21"/>
  <c r="HN31" i="7" s="1"/>
  <c r="AV126" i="11"/>
  <c r="DY35" i="24"/>
  <c r="AM34" i="24"/>
  <c r="EX56" i="15"/>
  <c r="EX17" i="1"/>
  <c r="EX30" i="1" s="1"/>
  <c r="J95" i="22"/>
  <c r="AD94" i="22"/>
  <c r="EU87" i="11"/>
  <c r="EV87" i="11"/>
  <c r="EW87" i="11"/>
  <c r="EX87" i="11"/>
  <c r="EQ87" i="11"/>
  <c r="EY87" i="11"/>
  <c r="ER87" i="11"/>
  <c r="EZ87" i="11"/>
  <c r="ES87" i="11"/>
  <c r="FA87" i="11"/>
  <c r="ET87" i="11"/>
  <c r="FB87" i="11"/>
  <c r="DM27" i="11"/>
  <c r="AJ30" i="1"/>
  <c r="BM25" i="7"/>
  <c r="BC6" i="7"/>
  <c r="CH34" i="24"/>
  <c r="CI35" i="24" s="1"/>
  <c r="AB108" i="19"/>
  <c r="AB84" i="19" s="1"/>
  <c r="CP19" i="21"/>
  <c r="CP21" i="21"/>
  <c r="CP22" i="21"/>
  <c r="CP14" i="21"/>
  <c r="AB224" i="19"/>
  <c r="GO7" i="7"/>
  <c r="EC54" i="24"/>
  <c r="ED55" i="24" s="1"/>
  <c r="EE56" i="24" s="1"/>
  <c r="CD58" i="19"/>
  <c r="CC34" i="15"/>
  <c r="CD92" i="15"/>
  <c r="CD36" i="15"/>
  <c r="CD37" i="15"/>
  <c r="DT68" i="15"/>
  <c r="G106" i="19"/>
  <c r="GZ40" i="25"/>
  <c r="GZ14" i="25"/>
  <c r="AB101" i="19"/>
  <c r="G101" i="19"/>
  <c r="AC181" i="19"/>
  <c r="CR67" i="24"/>
  <c r="DO11" i="29"/>
  <c r="DO32" i="29" s="1"/>
  <c r="DO81" i="29"/>
  <c r="DO85" i="29" s="1"/>
  <c r="DQ11" i="29"/>
  <c r="DQ32" i="29" s="1"/>
  <c r="DQ81" i="29"/>
  <c r="DQ85" i="29" s="1"/>
  <c r="CP29" i="21"/>
  <c r="AB62" i="15"/>
  <c r="AB68" i="15"/>
  <c r="AB61" i="15"/>
  <c r="AB60" i="15"/>
  <c r="CU35" i="24"/>
  <c r="AC34" i="24"/>
  <c r="CJ46" i="24"/>
  <c r="CK47" i="24" s="1"/>
  <c r="CL48" i="24" s="1"/>
  <c r="DW58" i="24"/>
  <c r="DX59" i="24" s="1"/>
  <c r="DY60" i="24" s="1"/>
  <c r="J59" i="22"/>
  <c r="T58" i="22"/>
  <c r="N58" i="22"/>
  <c r="P58" i="22"/>
  <c r="O58" i="22"/>
  <c r="X58" i="22"/>
  <c r="Y58" i="22"/>
  <c r="Q58" i="22"/>
  <c r="S58" i="22"/>
  <c r="R58" i="22"/>
  <c r="U58" i="22"/>
  <c r="W58" i="22"/>
  <c r="V58" i="22"/>
  <c r="M58" i="22"/>
  <c r="EI54" i="24"/>
  <c r="EJ55" i="24" s="1"/>
  <c r="EK56" i="24" s="1"/>
  <c r="BE6" i="25"/>
  <c r="BO25" i="25"/>
  <c r="AB227" i="19"/>
  <c r="R14" i="29"/>
  <c r="AC108" i="19"/>
  <c r="T113" i="37"/>
  <c r="T14" i="37" s="1"/>
  <c r="AA7" i="7"/>
  <c r="BZ8" i="7"/>
  <c r="AA6" i="7"/>
  <c r="AA10" i="7" s="1"/>
  <c r="AC11" i="11"/>
  <c r="AC20" i="1"/>
  <c r="E6" i="18"/>
  <c r="CQ11" i="15" s="1"/>
  <c r="C6" i="18"/>
  <c r="CO11" i="15" s="1"/>
  <c r="D6" i="18"/>
  <c r="CP11" i="15" s="1"/>
  <c r="AP21" i="1"/>
  <c r="EE56" i="15"/>
  <c r="EE17" i="1"/>
  <c r="CJ29" i="24"/>
  <c r="G28" i="24"/>
  <c r="Z28" i="24"/>
  <c r="G109" i="19"/>
  <c r="T28" i="29"/>
  <c r="G107" i="19"/>
  <c r="CO19" i="21"/>
  <c r="AB9" i="21"/>
  <c r="AB20" i="21" s="1"/>
  <c r="CO21" i="21"/>
  <c r="CO22" i="21"/>
  <c r="CO14" i="21"/>
  <c r="G9" i="21"/>
  <c r="CP45" i="24"/>
  <c r="CQ46" i="24" s="1"/>
  <c r="CR47" i="24" s="1"/>
  <c r="CY46" i="24"/>
  <c r="CZ47" i="24" s="1"/>
  <c r="DA48" i="24" s="1"/>
  <c r="AA23" i="15"/>
  <c r="AA91" i="15"/>
  <c r="HJ33" i="7"/>
  <c r="HJ42" i="7"/>
  <c r="GZ41" i="25"/>
  <c r="GZ23" i="25"/>
  <c r="HA23" i="25"/>
  <c r="AC52" i="21"/>
  <c r="HN21" i="7" s="1"/>
  <c r="AN17" i="1"/>
  <c r="DY30" i="1"/>
  <c r="AT126" i="11"/>
  <c r="CQ67" i="24"/>
  <c r="CR68" i="24" s="1"/>
  <c r="AC257" i="19"/>
  <c r="DS68" i="15"/>
  <c r="CQ77" i="11"/>
  <c r="CQ72" i="11"/>
  <c r="DP25" i="29"/>
  <c r="AK25" i="29" s="1"/>
  <c r="AK80" i="29"/>
  <c r="AA40" i="15"/>
  <c r="AA45" i="15" s="1"/>
  <c r="CL47" i="15"/>
  <c r="CL48" i="15"/>
  <c r="CP46" i="24"/>
  <c r="CQ47" i="24" s="1"/>
  <c r="CR48" i="24" s="1"/>
  <c r="CV45" i="24"/>
  <c r="CW46" i="24" s="1"/>
  <c r="CX47" i="24" s="1"/>
  <c r="EX113" i="11"/>
  <c r="EQ113" i="11"/>
  <c r="EY113" i="11"/>
  <c r="ER113" i="11"/>
  <c r="EZ113" i="11"/>
  <c r="ES113" i="11"/>
  <c r="FA113" i="11"/>
  <c r="ET113" i="11"/>
  <c r="FB113" i="11"/>
  <c r="EU113" i="11"/>
  <c r="EV113" i="11"/>
  <c r="EW113" i="11"/>
  <c r="EP56" i="15"/>
  <c r="EP17" i="1"/>
  <c r="EP30" i="1" s="1"/>
  <c r="EV41" i="24"/>
  <c r="EW42" i="24" s="1"/>
  <c r="DX68" i="15"/>
  <c r="EJ136" i="11"/>
  <c r="EK136" i="11"/>
  <c r="L136" i="11"/>
  <c r="EL136" i="11"/>
  <c r="EE136" i="11"/>
  <c r="EM136" i="11"/>
  <c r="EG136" i="11"/>
  <c r="EO136" i="11"/>
  <c r="EH136" i="11"/>
  <c r="EP136" i="11"/>
  <c r="EN136" i="11"/>
  <c r="EF136" i="11"/>
  <c r="EI136" i="11"/>
  <c r="EX22" i="25"/>
  <c r="CV74" i="24"/>
  <c r="C5" i="18"/>
  <c r="D5" i="18"/>
  <c r="CP10" i="15" s="1"/>
  <c r="E5" i="18"/>
  <c r="CQ10" i="15" s="1"/>
  <c r="ED27" i="11"/>
  <c r="DB83" i="24"/>
  <c r="DC84" i="24" s="1"/>
  <c r="DD85" i="24" s="1"/>
  <c r="CR14" i="21"/>
  <c r="AC9" i="21"/>
  <c r="AC20" i="21" s="1"/>
  <c r="CR19" i="21"/>
  <c r="CR21" i="21"/>
  <c r="CR22" i="21"/>
  <c r="CL55" i="19"/>
  <c r="CM18" i="15"/>
  <c r="J78" i="22"/>
  <c r="AD77" i="22"/>
  <c r="AC256" i="19"/>
  <c r="T31" i="37"/>
  <c r="AF91" i="22"/>
  <c r="DJ25" i="29"/>
  <c r="AI25" i="29" s="1"/>
  <c r="AI80" i="29"/>
  <c r="AB153" i="19"/>
  <c r="GC10" i="7"/>
  <c r="H19" i="29"/>
  <c r="H20" i="29" s="1"/>
  <c r="I16" i="29" s="1"/>
  <c r="EG56" i="15"/>
  <c r="EG17" i="1"/>
  <c r="EG30" i="1" s="1"/>
  <c r="AV33" i="24"/>
  <c r="EX34" i="24"/>
  <c r="EI56" i="15"/>
  <c r="EI17" i="1"/>
  <c r="EI30" i="1" s="1"/>
  <c r="DZ68" i="15"/>
  <c r="BL25" i="25"/>
  <c r="BB6" i="25"/>
  <c r="EM56" i="15"/>
  <c r="EM17" i="1"/>
  <c r="EM30" i="1" s="1"/>
  <c r="AC180" i="19"/>
  <c r="CI19" i="29"/>
  <c r="CQ19" i="29"/>
  <c r="CJ19" i="29"/>
  <c r="CR19" i="29"/>
  <c r="CK19" i="29"/>
  <c r="CS19" i="29"/>
  <c r="CL19" i="29"/>
  <c r="CT19" i="29"/>
  <c r="CM19" i="29"/>
  <c r="CN19" i="29"/>
  <c r="CO19" i="29"/>
  <c r="CP19" i="29"/>
  <c r="DN11" i="29"/>
  <c r="DN32" i="29" s="1"/>
  <c r="DN81" i="29"/>
  <c r="DN85" i="29" s="1"/>
  <c r="DT56" i="24"/>
  <c r="DU57" i="24" s="1"/>
  <c r="DV58" i="24" s="1"/>
  <c r="AR21" i="1"/>
  <c r="EK56" i="15"/>
  <c r="EK17" i="1"/>
  <c r="CP20" i="21"/>
  <c r="AB59" i="15"/>
  <c r="CO57" i="1"/>
  <c r="AB21" i="1"/>
  <c r="AB57" i="1" s="1"/>
  <c r="CO23" i="1"/>
  <c r="CL23" i="1"/>
  <c r="CK23" i="1"/>
  <c r="CJ23" i="1"/>
  <c r="CM23" i="1"/>
  <c r="CI23" i="1"/>
  <c r="CN23" i="1"/>
  <c r="G21" i="1"/>
  <c r="G57" i="1" s="1"/>
  <c r="CS23" i="1"/>
  <c r="AC51" i="21"/>
  <c r="HN20" i="7" s="1"/>
  <c r="B13" i="30"/>
  <c r="A14" i="30"/>
  <c r="AH16" i="38"/>
  <c r="R34" i="34"/>
  <c r="EC27" i="11"/>
  <c r="CG46" i="24"/>
  <c r="CH47" i="24" s="1"/>
  <c r="CI48" i="24" s="1"/>
  <c r="X17" i="25"/>
  <c r="D93" i="1"/>
  <c r="X18" i="25" s="1"/>
  <c r="FB56" i="15"/>
  <c r="FB17" i="1"/>
  <c r="FB30" i="1" s="1"/>
  <c r="CV68" i="24"/>
  <c r="CW69" i="24" s="1"/>
  <c r="CX70" i="24" s="1"/>
  <c r="U103" i="37"/>
  <c r="U24" i="37" s="1"/>
  <c r="U88" i="37"/>
  <c r="U90" i="37" s="1"/>
  <c r="V111" i="36"/>
  <c r="V107" i="36" s="1"/>
  <c r="EZ34" i="24"/>
  <c r="C18" i="18"/>
  <c r="CO33" i="15" s="1"/>
  <c r="D18" i="18"/>
  <c r="CP33" i="15" s="1"/>
  <c r="E18" i="18"/>
  <c r="CQ33" i="15" s="1"/>
  <c r="BO25" i="7"/>
  <c r="BE6" i="7"/>
  <c r="AA46" i="38"/>
  <c r="Z47" i="38"/>
  <c r="EL53" i="24"/>
  <c r="EM54" i="24" s="1"/>
  <c r="EN55" i="24" s="1"/>
  <c r="AC15" i="21"/>
  <c r="BK63" i="1"/>
  <c r="N59" i="2"/>
  <c r="CP77" i="11"/>
  <c r="CP72" i="11"/>
  <c r="AF33" i="24"/>
  <c r="DB34" i="24"/>
  <c r="EU141" i="11"/>
  <c r="EV141" i="11"/>
  <c r="EW141" i="11"/>
  <c r="EX141" i="11"/>
  <c r="ER141" i="11"/>
  <c r="EZ141" i="11"/>
  <c r="ES141" i="11"/>
  <c r="FA141" i="11"/>
  <c r="EQ141" i="11"/>
  <c r="ET141" i="11"/>
  <c r="EY141" i="11"/>
  <c r="FB141" i="11"/>
  <c r="HA14" i="25"/>
  <c r="G15" i="21"/>
  <c r="G20" i="21"/>
  <c r="CG45" i="24"/>
  <c r="CH46" i="24" s="1"/>
  <c r="CI47" i="24" s="1"/>
  <c r="AC68" i="15"/>
  <c r="AC62" i="15"/>
  <c r="AC74" i="15"/>
  <c r="EX57" i="24"/>
  <c r="EY58" i="24" s="1"/>
  <c r="EZ59" i="24" s="1"/>
  <c r="CO51" i="21"/>
  <c r="CO46" i="21"/>
  <c r="CO56" i="21"/>
  <c r="AU126" i="11"/>
  <c r="I18" i="29"/>
  <c r="AH18" i="29"/>
  <c r="Y36" i="34"/>
  <c r="Y37" i="34" s="1"/>
  <c r="AF16" i="35"/>
  <c r="AF30" i="35"/>
  <c r="AF32" i="35"/>
  <c r="AF28" i="35"/>
  <c r="AF34" i="35"/>
  <c r="L142" i="11"/>
  <c r="EL142" i="11"/>
  <c r="EE142" i="11"/>
  <c r="EM142" i="11"/>
  <c r="EF142" i="11"/>
  <c r="EN142" i="11"/>
  <c r="EG142" i="11"/>
  <c r="EO142" i="11"/>
  <c r="EI142" i="11"/>
  <c r="EJ142" i="11"/>
  <c r="EH142" i="11"/>
  <c r="EK142" i="11"/>
  <c r="EP142" i="11"/>
  <c r="EX28" i="25"/>
  <c r="Y17" i="25"/>
  <c r="E93" i="1"/>
  <c r="Y18" i="25" s="1"/>
  <c r="CL47" i="19"/>
  <c r="CL71" i="19" s="1"/>
  <c r="CM7" i="15"/>
  <c r="CL45" i="15"/>
  <c r="FX7" i="25"/>
  <c r="FD13" i="25"/>
  <c r="EC68" i="15"/>
  <c r="DJ34" i="24"/>
  <c r="I33" i="24"/>
  <c r="AH33" i="24"/>
  <c r="CL26" i="29"/>
  <c r="CT26" i="29"/>
  <c r="CM26" i="29"/>
  <c r="CN26" i="29"/>
  <c r="CO26" i="29"/>
  <c r="CP26" i="29"/>
  <c r="CI26" i="29"/>
  <c r="CQ26" i="29"/>
  <c r="CJ26" i="29"/>
  <c r="CR26" i="29"/>
  <c r="CK26" i="29"/>
  <c r="CS26" i="29"/>
  <c r="DN52" i="24"/>
  <c r="DO53" i="24" s="1"/>
  <c r="DP54" i="24" s="1"/>
  <c r="CB12" i="29"/>
  <c r="CB33" i="29" s="1"/>
  <c r="CC12" i="29"/>
  <c r="CD12" i="29"/>
  <c r="CD33" i="29" s="1"/>
  <c r="BW12" i="29"/>
  <c r="CE12" i="29"/>
  <c r="CE33" i="29" s="1"/>
  <c r="BX12" i="29"/>
  <c r="BX33" i="29" s="1"/>
  <c r="CF12" i="29"/>
  <c r="BY12" i="29"/>
  <c r="BY33" i="29" s="1"/>
  <c r="CG12" i="29"/>
  <c r="CG33" i="29" s="1"/>
  <c r="BZ12" i="29"/>
  <c r="CH12" i="29"/>
  <c r="CH33" i="29" s="1"/>
  <c r="CA12" i="29"/>
  <c r="CA33" i="29" s="1"/>
  <c r="N31" i="22"/>
  <c r="V31" i="22"/>
  <c r="O31" i="22"/>
  <c r="W31" i="22"/>
  <c r="P31" i="22"/>
  <c r="X31" i="22"/>
  <c r="R31" i="22"/>
  <c r="S31" i="22"/>
  <c r="M31" i="22"/>
  <c r="Q31" i="22"/>
  <c r="T31" i="22"/>
  <c r="U31" i="22"/>
  <c r="Y31" i="22"/>
  <c r="EF54" i="24"/>
  <c r="EG55" i="24" s="1"/>
  <c r="EH56" i="24" s="1"/>
  <c r="CB34" i="24"/>
  <c r="CC35" i="24" s="1"/>
  <c r="C17" i="18"/>
  <c r="CO32" i="15" s="1"/>
  <c r="E17" i="18"/>
  <c r="CQ32" i="15" s="1"/>
  <c r="D17" i="18"/>
  <c r="CP32" i="15" s="1"/>
  <c r="FX9" i="25"/>
  <c r="L23" i="1"/>
  <c r="AT23" i="1"/>
  <c r="EQ21" i="1"/>
  <c r="ED68" i="15"/>
  <c r="EJ56" i="15"/>
  <c r="EJ17" i="1"/>
  <c r="EJ30" i="1" s="1"/>
  <c r="DK53" i="24"/>
  <c r="DL54" i="24" s="1"/>
  <c r="DM55" i="24" s="1"/>
  <c r="EB30" i="1"/>
  <c r="AO17" i="1"/>
  <c r="L33" i="24"/>
  <c r="AM17" i="1"/>
  <c r="DV30" i="1"/>
  <c r="CD47" i="19"/>
  <c r="CD71" i="19" s="1"/>
  <c r="CD7" i="15"/>
  <c r="CD45" i="15"/>
  <c r="DN55" i="24"/>
  <c r="DO56" i="24" s="1"/>
  <c r="DP57" i="24" s="1"/>
  <c r="AC25" i="21"/>
  <c r="AC30" i="21" s="1"/>
  <c r="HN15" i="7" s="1"/>
  <c r="CR24" i="21"/>
  <c r="J33" i="24"/>
  <c r="AB44" i="21"/>
  <c r="G44" i="21"/>
  <c r="ER53" i="24"/>
  <c r="ES54" i="24" s="1"/>
  <c r="ET55" i="24" s="1"/>
  <c r="U16" i="36"/>
  <c r="EW35" i="24"/>
  <c r="AU34" i="24"/>
  <c r="CO52" i="21"/>
  <c r="CO47" i="21"/>
  <c r="CO57" i="21"/>
  <c r="DY68" i="15"/>
  <c r="EF56" i="15"/>
  <c r="EF17" i="1"/>
  <c r="EF30" i="1" s="1"/>
  <c r="S16" i="35"/>
  <c r="S30" i="35"/>
  <c r="S32" i="35"/>
  <c r="S28" i="35"/>
  <c r="S34" i="35"/>
  <c r="AC255" i="19"/>
  <c r="W28" i="24"/>
  <c r="CA29" i="24"/>
  <c r="F29" i="24" s="1"/>
  <c r="DG25" i="29"/>
  <c r="AH80" i="29"/>
  <c r="EA68" i="15"/>
  <c r="ES56" i="15"/>
  <c r="ES17" i="1"/>
  <c r="ES30" i="1" s="1"/>
  <c r="CX35" i="24"/>
  <c r="AD34" i="24"/>
  <c r="H34" i="24"/>
  <c r="AV23" i="1"/>
  <c r="EW21" i="1"/>
  <c r="AB11" i="11"/>
  <c r="AB112" i="1"/>
  <c r="Z7" i="7"/>
  <c r="BY8" i="7"/>
  <c r="Z6" i="7"/>
  <c r="Z10" i="7" s="1"/>
  <c r="AB20" i="1"/>
  <c r="CN32" i="24"/>
  <c r="DJ27" i="11"/>
  <c r="AI30" i="1"/>
  <c r="U71" i="37"/>
  <c r="V79" i="36"/>
  <c r="V75" i="36" s="1"/>
  <c r="U69" i="37"/>
  <c r="CQ19" i="21"/>
  <c r="CQ21" i="21"/>
  <c r="CQ22" i="21"/>
  <c r="CQ14" i="21"/>
  <c r="CP50" i="21"/>
  <c r="AB50" i="21" s="1"/>
  <c r="CP45" i="21"/>
  <c r="AB45" i="21" s="1"/>
  <c r="CP55" i="21"/>
  <c r="AB55" i="21" s="1"/>
  <c r="EO56" i="15"/>
  <c r="EO17" i="1"/>
  <c r="EO30" i="1" s="1"/>
  <c r="G45" i="21"/>
  <c r="HB10" i="25" s="1"/>
  <c r="X76" i="34"/>
  <c r="G27" i="29"/>
  <c r="H23" i="29" s="1"/>
  <c r="AB257" i="19"/>
  <c r="AB233" i="19" s="1"/>
  <c r="G257" i="19"/>
  <c r="EK34" i="24"/>
  <c r="AQ33" i="24"/>
  <c r="CH30" i="24"/>
  <c r="Y29" i="24"/>
  <c r="AC106" i="19"/>
  <c r="CW59" i="15"/>
  <c r="DE59" i="15"/>
  <c r="H62" i="15"/>
  <c r="CY59" i="15"/>
  <c r="CZ59" i="15"/>
  <c r="DA59" i="15"/>
  <c r="DB59" i="15"/>
  <c r="I59" i="15"/>
  <c r="CU59" i="15"/>
  <c r="DC59" i="15"/>
  <c r="CV59" i="15"/>
  <c r="CX59" i="15"/>
  <c r="DD59" i="15"/>
  <c r="DF59" i="15"/>
  <c r="CJ45" i="24"/>
  <c r="CK46" i="24" s="1"/>
  <c r="CL47" i="24" s="1"/>
  <c r="G183" i="19"/>
  <c r="EH56" i="15"/>
  <c r="EH17" i="1"/>
  <c r="AQ21" i="1"/>
  <c r="CR23" i="1"/>
  <c r="AC23" i="1" s="1"/>
  <c r="AC21" i="1"/>
  <c r="AC57" i="1" s="1"/>
  <c r="CR57" i="1"/>
  <c r="D12" i="18"/>
  <c r="CP22" i="15" s="1"/>
  <c r="C12" i="18"/>
  <c r="CO22" i="15" s="1"/>
  <c r="E12" i="18"/>
  <c r="CQ22" i="15" s="1"/>
  <c r="CD50" i="19"/>
  <c r="CC23" i="15"/>
  <c r="CD26" i="15"/>
  <c r="CD91" i="15"/>
  <c r="CD25" i="15"/>
  <c r="K91" i="29"/>
  <c r="J139" i="29"/>
  <c r="J142" i="29" s="1" a="1"/>
  <c r="EV56" i="15"/>
  <c r="EV17" i="1"/>
  <c r="EV30" i="1" s="1"/>
  <c r="AA45" i="38"/>
  <c r="DG27" i="11"/>
  <c r="AH30" i="1"/>
  <c r="I30" i="1"/>
  <c r="CP23" i="1"/>
  <c r="CP57" i="1"/>
  <c r="EN42" i="24"/>
  <c r="AR41" i="24"/>
  <c r="CO24" i="21"/>
  <c r="AB25" i="21"/>
  <c r="AB30" i="21" s="1"/>
  <c r="HM15" i="7" s="1"/>
  <c r="G25" i="21"/>
  <c r="R27" i="24"/>
  <c r="R61" i="24" s="1"/>
  <c r="E27" i="24"/>
  <c r="BN28" i="24"/>
  <c r="BM61" i="24"/>
  <c r="BM14" i="24" s="1"/>
  <c r="EH34" i="24"/>
  <c r="AP33" i="24"/>
  <c r="K33" i="24"/>
  <c r="AA75" i="22"/>
  <c r="AF72" i="22" s="1"/>
  <c r="G39" i="21"/>
  <c r="G41" i="21"/>
  <c r="U28" i="24"/>
  <c r="BU29" i="24"/>
  <c r="ER56" i="15"/>
  <c r="ER17" i="1"/>
  <c r="ER30" i="1" s="1"/>
  <c r="FX8" i="25"/>
  <c r="FD14" i="25"/>
  <c r="AC254" i="19"/>
  <c r="K101" i="29"/>
  <c r="J140" i="29"/>
  <c r="S16" i="29"/>
  <c r="S20" i="29" s="1"/>
  <c r="BN20" i="29"/>
  <c r="BO16" i="29" s="1"/>
  <c r="BO20" i="29" s="1"/>
  <c r="BP16" i="29" s="1"/>
  <c r="BP20" i="29" s="1"/>
  <c r="BQ16" i="29" s="1"/>
  <c r="CS46" i="24"/>
  <c r="CT47" i="24" s="1"/>
  <c r="CU48" i="24" s="1"/>
  <c r="T130" i="37"/>
  <c r="U122" i="37"/>
  <c r="T132" i="37"/>
  <c r="L8" i="18"/>
  <c r="L9" i="18"/>
  <c r="L10" i="18"/>
  <c r="L5" i="18"/>
  <c r="L6" i="18"/>
  <c r="L7" i="18"/>
  <c r="EX54" i="24"/>
  <c r="EY55" i="24" s="1"/>
  <c r="EZ56" i="24" s="1"/>
  <c r="EU56" i="15"/>
  <c r="EU17" i="1"/>
  <c r="EU30" i="1" s="1"/>
  <c r="EL55" i="24"/>
  <c r="EM56" i="24" s="1"/>
  <c r="EN57" i="24" s="1"/>
  <c r="DL11" i="29"/>
  <c r="DL32" i="29" s="1"/>
  <c r="DL81" i="29"/>
  <c r="DL85" i="29" s="1"/>
  <c r="EL52" i="24"/>
  <c r="EM53" i="24" s="1"/>
  <c r="EN54" i="24" s="1"/>
  <c r="CE30" i="24"/>
  <c r="X29" i="24"/>
  <c r="AA93" i="1"/>
  <c r="Y18" i="7" s="1"/>
  <c r="Y17" i="7"/>
  <c r="O30" i="29"/>
  <c r="O34" i="29" s="1"/>
  <c r="BB34" i="29"/>
  <c r="BB37" i="29" s="1"/>
  <c r="GH8" i="25"/>
  <c r="EN35" i="24"/>
  <c r="CM46" i="24"/>
  <c r="CN47" i="24" s="1"/>
  <c r="CO48" i="24" s="1"/>
  <c r="DK11" i="29"/>
  <c r="DK32" i="29" s="1"/>
  <c r="DK81" i="29"/>
  <c r="DK85" i="29" s="1"/>
  <c r="BS30" i="24"/>
  <c r="T29" i="24"/>
  <c r="F6" i="8"/>
  <c r="F12" i="8" s="1"/>
  <c r="G11" i="11"/>
  <c r="BZ8" i="25"/>
  <c r="AA6" i="25"/>
  <c r="G112" i="1"/>
  <c r="H112" i="1" s="1"/>
  <c r="G20" i="1"/>
  <c r="G181" i="19"/>
  <c r="AA12" i="15"/>
  <c r="AA90" i="15"/>
  <c r="AB150" i="19"/>
  <c r="GC7" i="7"/>
  <c r="FE13" i="7"/>
  <c r="FA56" i="15"/>
  <c r="FA17" i="1"/>
  <c r="FA30" i="1" s="1"/>
  <c r="G50" i="21"/>
  <c r="HB19" i="25" s="1"/>
  <c r="BK27" i="29"/>
  <c r="BL23" i="29" s="1"/>
  <c r="BL27" i="29" s="1"/>
  <c r="BM23" i="29" s="1"/>
  <c r="BM27" i="29" s="1"/>
  <c r="BN23" i="29" s="1"/>
  <c r="R23" i="29"/>
  <c r="R27" i="29" s="1"/>
  <c r="EI53" i="24"/>
  <c r="EJ54" i="24" s="1"/>
  <c r="EK55" i="24" s="1"/>
  <c r="AB256" i="19"/>
  <c r="AB232" i="19" s="1"/>
  <c r="G256" i="19"/>
  <c r="DN53" i="24"/>
  <c r="DO54" i="24" s="1"/>
  <c r="DP55" i="24" s="1"/>
  <c r="G68" i="15"/>
  <c r="G62" i="15"/>
  <c r="G61" i="15"/>
  <c r="H61" i="15" s="1"/>
  <c r="AU23" i="1"/>
  <c r="ET21" i="1"/>
  <c r="AB152" i="19"/>
  <c r="GC9" i="7"/>
  <c r="DY78" i="29"/>
  <c r="DZ78" i="29"/>
  <c r="DS78" i="29"/>
  <c r="EA78" i="29"/>
  <c r="DT78" i="29"/>
  <c r="EB78" i="29"/>
  <c r="DU78" i="29"/>
  <c r="EC78" i="29"/>
  <c r="DV78" i="29"/>
  <c r="ED78" i="29"/>
  <c r="DW78" i="29"/>
  <c r="DX78" i="29"/>
  <c r="J160" i="29"/>
  <c r="J80" i="29"/>
  <c r="ET35" i="24"/>
  <c r="L34" i="24"/>
  <c r="AT34" i="24"/>
  <c r="AH42" i="38"/>
  <c r="AA23" i="38"/>
  <c r="DV35" i="24"/>
  <c r="J34" i="24"/>
  <c r="AL34" i="24"/>
  <c r="DT53" i="24"/>
  <c r="DU54" i="24" s="1"/>
  <c r="DV55" i="24" s="1"/>
  <c r="AB74" i="15"/>
  <c r="CP40" i="24"/>
  <c r="CQ41" i="24" s="1"/>
  <c r="CR42" i="24" s="1"/>
  <c r="CQ47" i="21"/>
  <c r="CQ52" i="21"/>
  <c r="CQ57" i="21"/>
  <c r="AB39" i="21"/>
  <c r="AB41" i="21"/>
  <c r="AB42" i="21"/>
  <c r="AC60" i="15"/>
  <c r="AW126" i="11"/>
  <c r="DU79" i="29"/>
  <c r="DU18" i="29" s="1"/>
  <c r="EC79" i="29"/>
  <c r="EC18" i="29" s="1"/>
  <c r="DV79" i="29"/>
  <c r="ED79" i="29"/>
  <c r="ED18" i="29" s="1"/>
  <c r="DW79" i="29"/>
  <c r="DW18" i="29" s="1"/>
  <c r="DX79" i="29"/>
  <c r="DX18" i="29" s="1"/>
  <c r="DY79" i="29"/>
  <c r="DZ79" i="29"/>
  <c r="DZ18" i="29" s="1"/>
  <c r="DS79" i="29"/>
  <c r="EA79" i="29"/>
  <c r="EA18" i="29" s="1"/>
  <c r="DT79" i="29"/>
  <c r="DT18" i="29" s="1"/>
  <c r="EB79" i="29"/>
  <c r="J161" i="29"/>
  <c r="G74" i="15"/>
  <c r="CQ23" i="1"/>
  <c r="CQ57" i="1"/>
  <c r="J21" i="22"/>
  <c r="N20" i="22"/>
  <c r="O20" i="22"/>
  <c r="V20" i="22"/>
  <c r="Q20" i="22"/>
  <c r="X86" i="22"/>
  <c r="M20" i="22"/>
  <c r="P20" i="22"/>
  <c r="X20" i="22"/>
  <c r="U86" i="22"/>
  <c r="W86" i="22"/>
  <c r="Y20" i="22"/>
  <c r="M86" i="22"/>
  <c r="S20" i="22"/>
  <c r="T20" i="22"/>
  <c r="R20" i="22"/>
  <c r="T86" i="22"/>
  <c r="U20" i="22"/>
  <c r="W20" i="22"/>
  <c r="P86" i="22"/>
  <c r="Z46" i="38"/>
  <c r="Z66" i="38" s="1"/>
  <c r="T13" i="37"/>
  <c r="DM25" i="29"/>
  <c r="AJ25" i="29" s="1"/>
  <c r="AJ80" i="29"/>
  <c r="AU62" i="26" l="1"/>
  <c r="AU65" i="26" s="1"/>
  <c r="AU66" i="26" s="1"/>
  <c r="AU95" i="26" s="1"/>
  <c r="AT95" i="26"/>
  <c r="AT108" i="26" s="1"/>
  <c r="C13" i="30"/>
  <c r="AA26" i="29"/>
  <c r="Z19" i="29"/>
  <c r="Z26" i="29"/>
  <c r="Q110" i="26"/>
  <c r="Q120" i="26"/>
  <c r="J142" i="29"/>
  <c r="HM29" i="7"/>
  <c r="HM10" i="7"/>
  <c r="HM19" i="7"/>
  <c r="U109" i="37"/>
  <c r="I19" i="29"/>
  <c r="I20" i="29" s="1"/>
  <c r="J16" i="29" s="1"/>
  <c r="H12" i="29"/>
  <c r="H13" i="29" s="1"/>
  <c r="I9" i="29" s="1"/>
  <c r="EB18" i="29"/>
  <c r="AO18" i="29" s="1"/>
  <c r="AO79" i="29"/>
  <c r="DW56" i="24"/>
  <c r="DX57" i="24" s="1"/>
  <c r="DY58" i="24" s="1"/>
  <c r="DY80" i="29"/>
  <c r="DZ80" i="29"/>
  <c r="DZ25" i="29" s="1"/>
  <c r="DS80" i="29"/>
  <c r="DS81" i="29" s="1"/>
  <c r="DS85" i="29" s="1"/>
  <c r="EA80" i="29"/>
  <c r="EA25" i="29" s="1"/>
  <c r="DT80" i="29"/>
  <c r="DT25" i="29" s="1"/>
  <c r="EB80" i="29"/>
  <c r="DU80" i="29"/>
  <c r="DU25" i="29" s="1"/>
  <c r="EC80" i="29"/>
  <c r="EC25" i="29" s="1"/>
  <c r="DV80" i="29"/>
  <c r="DV81" i="29" s="1"/>
  <c r="DV85" i="29" s="1"/>
  <c r="ED80" i="29"/>
  <c r="ED25" i="29" s="1"/>
  <c r="DW80" i="29"/>
  <c r="DW25" i="29" s="1"/>
  <c r="DX80" i="29"/>
  <c r="DX25" i="29" s="1"/>
  <c r="J162" i="29"/>
  <c r="EB11" i="29"/>
  <c r="AO78" i="29"/>
  <c r="GC11" i="7"/>
  <c r="GC12" i="7" s="1"/>
  <c r="CW112" i="1"/>
  <c r="DE112" i="1"/>
  <c r="CX112" i="1"/>
  <c r="DF112" i="1"/>
  <c r="CY112" i="1"/>
  <c r="CZ112" i="1"/>
  <c r="DA112" i="1"/>
  <c r="DB112" i="1"/>
  <c r="I112" i="1"/>
  <c r="CU112" i="1"/>
  <c r="DC112" i="1"/>
  <c r="CV112" i="1"/>
  <c r="DD112" i="1"/>
  <c r="BT31" i="24"/>
  <c r="T30" i="24"/>
  <c r="EO58" i="24"/>
  <c r="EP59" i="24" s="1"/>
  <c r="EQ60" i="24" s="1"/>
  <c r="H11" i="18"/>
  <c r="CT21" i="15" s="1"/>
  <c r="F11" i="18"/>
  <c r="CR21" i="15" s="1"/>
  <c r="G11" i="18"/>
  <c r="CS21" i="15" s="1"/>
  <c r="U126" i="37"/>
  <c r="V149" i="36"/>
  <c r="V145" i="36" s="1"/>
  <c r="U128" i="37"/>
  <c r="K79" i="29"/>
  <c r="K106" i="29"/>
  <c r="K108" i="29"/>
  <c r="K21" i="29" s="1"/>
  <c r="ER68" i="15"/>
  <c r="CO54" i="19"/>
  <c r="AB22" i="15"/>
  <c r="CO104" i="15"/>
  <c r="EH68" i="15"/>
  <c r="CV53" i="15"/>
  <c r="U68" i="37"/>
  <c r="V76" i="36"/>
  <c r="V77" i="36" s="1"/>
  <c r="ES68" i="15"/>
  <c r="EX36" i="24"/>
  <c r="EB27" i="11"/>
  <c r="AO30" i="1"/>
  <c r="CP61" i="19"/>
  <c r="CP259" i="19" s="1"/>
  <c r="CP109" i="15"/>
  <c r="EO56" i="24"/>
  <c r="EP57" i="24" s="1"/>
  <c r="EQ58" i="24" s="1"/>
  <c r="CP62" i="19"/>
  <c r="CP265" i="19" s="1"/>
  <c r="CP110" i="15"/>
  <c r="G23" i="1"/>
  <c r="Z23" i="1"/>
  <c r="AA19" i="29"/>
  <c r="EI68" i="15"/>
  <c r="FE16" i="7"/>
  <c r="J79" i="22"/>
  <c r="AD78" i="22"/>
  <c r="CW75" i="24"/>
  <c r="CX76" i="24" s="1"/>
  <c r="EP27" i="11"/>
  <c r="CY48" i="24"/>
  <c r="CZ49" i="24" s="1"/>
  <c r="DA50" i="24" s="1"/>
  <c r="AC233" i="19"/>
  <c r="GP10" i="7"/>
  <c r="EE30" i="1"/>
  <c r="AP17" i="1"/>
  <c r="K17" i="1"/>
  <c r="AE9" i="25" s="1"/>
  <c r="AC77" i="11"/>
  <c r="AC72" i="11"/>
  <c r="AC84" i="11"/>
  <c r="CS68" i="24"/>
  <c r="CT69" i="24" s="1"/>
  <c r="CU70" i="24" s="1"/>
  <c r="GZ43" i="25"/>
  <c r="EZ56" i="15"/>
  <c r="AW21" i="1"/>
  <c r="EZ17" i="1"/>
  <c r="AI11" i="29"/>
  <c r="DJ32" i="29"/>
  <c r="AC159" i="19"/>
  <c r="GD10" i="7"/>
  <c r="FF16" i="7"/>
  <c r="EA35" i="24"/>
  <c r="AN34" i="24"/>
  <c r="FN7" i="25"/>
  <c r="EL68" i="15"/>
  <c r="AO34" i="24"/>
  <c r="EC35" i="24"/>
  <c r="EN68" i="15"/>
  <c r="GO9" i="7"/>
  <c r="DN35" i="24"/>
  <c r="AJ34" i="24"/>
  <c r="H54" i="15"/>
  <c r="H66" i="15" s="1"/>
  <c r="CU66" i="15"/>
  <c r="CU84" i="15"/>
  <c r="AD54" i="15"/>
  <c r="CU78" i="15"/>
  <c r="CV66" i="15"/>
  <c r="CV84" i="15"/>
  <c r="CV20" i="15" s="1"/>
  <c r="CV78" i="15"/>
  <c r="CV19" i="15" s="1"/>
  <c r="DT11" i="29"/>
  <c r="DT32" i="29" s="1"/>
  <c r="DU39" i="29" s="1"/>
  <c r="DT81" i="29"/>
  <c r="DT85" i="29" s="1"/>
  <c r="DQ56" i="24"/>
  <c r="DR57" i="24" s="1"/>
  <c r="DS58" i="24" s="1"/>
  <c r="S23" i="29"/>
  <c r="BN27" i="29"/>
  <c r="BO23" i="29" s="1"/>
  <c r="BO27" i="29" s="1"/>
  <c r="BP23" i="29" s="1"/>
  <c r="BP27" i="29" s="1"/>
  <c r="BQ23" i="29" s="1"/>
  <c r="AA7" i="25"/>
  <c r="AA10" i="25"/>
  <c r="BB38" i="29"/>
  <c r="CF31" i="24"/>
  <c r="X30" i="24"/>
  <c r="G6" i="18"/>
  <c r="CS11" i="15" s="1"/>
  <c r="F6" i="18"/>
  <c r="CR11" i="15" s="1"/>
  <c r="H6" i="18"/>
  <c r="CT11" i="15" s="1"/>
  <c r="S8" i="25"/>
  <c r="BQ8" i="25"/>
  <c r="K78" i="29"/>
  <c r="K96" i="29"/>
  <c r="K98" i="29"/>
  <c r="K14" i="29" s="1"/>
  <c r="CP54" i="19"/>
  <c r="CP191" i="19" s="1"/>
  <c r="CP104" i="15"/>
  <c r="DC53" i="15"/>
  <c r="DE53" i="15"/>
  <c r="U80" i="37"/>
  <c r="I25" i="29"/>
  <c r="AH25" i="29"/>
  <c r="U17" i="36"/>
  <c r="U4" i="36"/>
  <c r="U19" i="36"/>
  <c r="U20" i="36"/>
  <c r="CD42" i="19"/>
  <c r="CD66" i="19" s="1"/>
  <c r="CD15" i="15"/>
  <c r="CD14" i="15"/>
  <c r="CC12" i="15"/>
  <c r="CD90" i="15"/>
  <c r="CD40" i="15"/>
  <c r="DN56" i="24"/>
  <c r="DO57" i="24" s="1"/>
  <c r="DP58" i="24" s="1"/>
  <c r="CQ61" i="19"/>
  <c r="CQ259" i="19" s="1"/>
  <c r="CQ109" i="15"/>
  <c r="U28" i="29"/>
  <c r="CO62" i="19"/>
  <c r="AB33" i="15"/>
  <c r="CO110" i="15"/>
  <c r="CY71" i="24"/>
  <c r="CZ72" i="24" s="1"/>
  <c r="DA73" i="24" s="1"/>
  <c r="A15" i="30"/>
  <c r="B14" i="30"/>
  <c r="AC156" i="19"/>
  <c r="FF13" i="7"/>
  <c r="GD7" i="7"/>
  <c r="EG27" i="11"/>
  <c r="AC232" i="19"/>
  <c r="GP9" i="7"/>
  <c r="CM50" i="19"/>
  <c r="CM23" i="15"/>
  <c r="CM91" i="15"/>
  <c r="CM25" i="15"/>
  <c r="CM26" i="15"/>
  <c r="DE86" i="24"/>
  <c r="DF87" i="24" s="1"/>
  <c r="DG88" i="24" s="1"/>
  <c r="EP68" i="15"/>
  <c r="CS49" i="24"/>
  <c r="CT50" i="24" s="1"/>
  <c r="CU51" i="24" s="1"/>
  <c r="AC84" i="19"/>
  <c r="FR9" i="7"/>
  <c r="AJ53" i="1"/>
  <c r="EX27" i="11"/>
  <c r="DI39" i="24"/>
  <c r="DJ40" i="24" s="1"/>
  <c r="FN9" i="25"/>
  <c r="HJ43" i="7"/>
  <c r="U30" i="37"/>
  <c r="Z55" i="34"/>
  <c r="K116" i="29"/>
  <c r="K118" i="29"/>
  <c r="K28" i="29" s="1"/>
  <c r="BZ31" i="24"/>
  <c r="V30" i="24"/>
  <c r="FN10" i="25"/>
  <c r="CR72" i="24"/>
  <c r="AB71" i="24"/>
  <c r="AK53" i="1"/>
  <c r="DB66" i="15"/>
  <c r="DB84" i="15"/>
  <c r="DB20" i="15" s="1"/>
  <c r="DB78" i="15"/>
  <c r="DB19" i="15" s="1"/>
  <c r="DX11" i="29"/>
  <c r="EA11" i="29"/>
  <c r="ET56" i="15"/>
  <c r="AU21" i="1"/>
  <c r="ET17" i="1"/>
  <c r="BZ11" i="25"/>
  <c r="BZ14" i="25"/>
  <c r="BZ20" i="25"/>
  <c r="C6" i="30"/>
  <c r="F6" i="30" s="1"/>
  <c r="DL39" i="29"/>
  <c r="EU27" i="11"/>
  <c r="G5" i="18"/>
  <c r="CS10" i="15" s="1"/>
  <c r="H5" i="18"/>
  <c r="CT10" i="15" s="1"/>
  <c r="F5" i="18"/>
  <c r="CR10" i="15" s="1"/>
  <c r="AC230" i="19"/>
  <c r="GP7" i="7"/>
  <c r="BV30" i="24"/>
  <c r="U29" i="24"/>
  <c r="EI35" i="24"/>
  <c r="AQ34" i="24"/>
  <c r="K34" i="24"/>
  <c r="AH53" i="1"/>
  <c r="CU53" i="15"/>
  <c r="CW53" i="15"/>
  <c r="EL35" i="24"/>
  <c r="AR34" i="24"/>
  <c r="EU56" i="24"/>
  <c r="EV57" i="24" s="1"/>
  <c r="EW58" i="24" s="1"/>
  <c r="EQ56" i="15"/>
  <c r="EQ17" i="1"/>
  <c r="AT21" i="1"/>
  <c r="CO61" i="19"/>
  <c r="AB32" i="15"/>
  <c r="CO109" i="15"/>
  <c r="CF33" i="29"/>
  <c r="Y33" i="29" s="1"/>
  <c r="Y12" i="29"/>
  <c r="DQ55" i="24"/>
  <c r="DR56" i="24" s="1"/>
  <c r="DS57" i="24" s="1"/>
  <c r="AB26" i="29"/>
  <c r="DK35" i="24"/>
  <c r="AI34" i="24"/>
  <c r="R63" i="1"/>
  <c r="R68" i="1" s="1"/>
  <c r="BK68" i="1"/>
  <c r="E63" i="1"/>
  <c r="E68" i="1" s="1"/>
  <c r="EK30" i="1"/>
  <c r="AR17" i="1"/>
  <c r="DO39" i="29"/>
  <c r="C9" i="30"/>
  <c r="F9" i="30" s="1"/>
  <c r="CS69" i="24"/>
  <c r="CT70" i="24" s="1"/>
  <c r="CU71" i="24" s="1"/>
  <c r="CS48" i="24"/>
  <c r="CT49" i="24" s="1"/>
  <c r="CU50" i="24" s="1"/>
  <c r="EE68" i="15"/>
  <c r="CJ36" i="24"/>
  <c r="AJ27" i="11"/>
  <c r="EX68" i="15"/>
  <c r="DB36" i="24"/>
  <c r="R35" i="29"/>
  <c r="C3" i="30"/>
  <c r="F3" i="30" s="1"/>
  <c r="DI39" i="29"/>
  <c r="DE87" i="24"/>
  <c r="DF88" i="24" s="1"/>
  <c r="DG89" i="24" s="1"/>
  <c r="DH87" i="24"/>
  <c r="DI88" i="24" s="1"/>
  <c r="DJ89" i="24" s="1"/>
  <c r="EY27" i="11"/>
  <c r="AB76" i="19"/>
  <c r="FQ7" i="7"/>
  <c r="HA7" i="7" s="1"/>
  <c r="AK81" i="29"/>
  <c r="AK85" i="29" s="1"/>
  <c r="BD13" i="29"/>
  <c r="BE9" i="29" s="1"/>
  <c r="BD30" i="29"/>
  <c r="BD34" i="29" s="1"/>
  <c r="BD37" i="29" s="1"/>
  <c r="BD38" i="29" s="1"/>
  <c r="DF35" i="24"/>
  <c r="AG34" i="24"/>
  <c r="C4" i="30"/>
  <c r="F4" i="30" s="1"/>
  <c r="DJ39" i="29"/>
  <c r="AF54" i="15"/>
  <c r="DA66" i="15"/>
  <c r="DA78" i="15"/>
  <c r="DV18" i="29"/>
  <c r="AM18" i="29" s="1"/>
  <c r="AM79" i="29"/>
  <c r="J163" i="29"/>
  <c r="J22" i="22"/>
  <c r="J23" i="22" s="1"/>
  <c r="O21" i="22"/>
  <c r="S21" i="22"/>
  <c r="Q87" i="22"/>
  <c r="N87" i="22"/>
  <c r="O87" i="22"/>
  <c r="Y21" i="22"/>
  <c r="Y70" i="22" s="1"/>
  <c r="T87" i="22"/>
  <c r="X87" i="22"/>
  <c r="M21" i="22"/>
  <c r="M70" i="22" s="1"/>
  <c r="P21" i="22"/>
  <c r="P70" i="22" s="1"/>
  <c r="U21" i="22"/>
  <c r="U70" i="22" s="1"/>
  <c r="T21" i="22"/>
  <c r="W87" i="22"/>
  <c r="U87" i="22"/>
  <c r="M87" i="22"/>
  <c r="N21" i="22"/>
  <c r="N70" i="22" s="1"/>
  <c r="X21" i="22"/>
  <c r="X70" i="22" s="1"/>
  <c r="T70" i="22"/>
  <c r="Y87" i="22"/>
  <c r="V87" i="22"/>
  <c r="V21" i="22"/>
  <c r="V70" i="22" s="1"/>
  <c r="R21" i="22"/>
  <c r="R70" i="22" s="1"/>
  <c r="P87" i="22"/>
  <c r="O70" i="22"/>
  <c r="W21" i="22"/>
  <c r="W70" i="22" s="1"/>
  <c r="R87" i="22"/>
  <c r="S87" i="22"/>
  <c r="Q21" i="22"/>
  <c r="Q70" i="22" s="1"/>
  <c r="S70" i="22"/>
  <c r="DS18" i="29"/>
  <c r="AL79" i="29"/>
  <c r="DW11" i="29"/>
  <c r="DS11" i="29"/>
  <c r="AL78" i="29"/>
  <c r="G77" i="11"/>
  <c r="H77" i="11" s="1"/>
  <c r="I77" i="11" s="1"/>
  <c r="J77" i="11" s="1"/>
  <c r="K77" i="11" s="1"/>
  <c r="L77" i="11" s="1"/>
  <c r="G72" i="11"/>
  <c r="H72" i="11" s="1"/>
  <c r="I72" i="11" s="1"/>
  <c r="J72" i="11" s="1"/>
  <c r="K72" i="11" s="1"/>
  <c r="L72" i="11" s="1"/>
  <c r="G84" i="11"/>
  <c r="CP49" i="24"/>
  <c r="CQ50" i="24" s="1"/>
  <c r="CR51" i="24" s="1"/>
  <c r="EO55" i="24"/>
  <c r="EP56" i="24" s="1"/>
  <c r="EQ57" i="24" s="1"/>
  <c r="H18" i="18"/>
  <c r="CT33" i="15" s="1"/>
  <c r="F18" i="18"/>
  <c r="CR33" i="15" s="1"/>
  <c r="G18" i="18"/>
  <c r="CS33" i="15" s="1"/>
  <c r="CV49" i="24"/>
  <c r="CW50" i="24" s="1"/>
  <c r="CX51" i="24" s="1"/>
  <c r="CO29" i="21"/>
  <c r="AB24" i="21"/>
  <c r="AB29" i="21" s="1"/>
  <c r="G24" i="21"/>
  <c r="G29" i="21" s="1"/>
  <c r="I27" i="11"/>
  <c r="AH27" i="11"/>
  <c r="CM48" i="24"/>
  <c r="CN49" i="24" s="1"/>
  <c r="CO50" i="24" s="1"/>
  <c r="DM59" i="15"/>
  <c r="DG59" i="15"/>
  <c r="DO59" i="15"/>
  <c r="DH59" i="15"/>
  <c r="DP59" i="15"/>
  <c r="DI59" i="15"/>
  <c r="DQ59" i="15"/>
  <c r="DJ59" i="15"/>
  <c r="DR59" i="15"/>
  <c r="DK59" i="15"/>
  <c r="J59" i="15"/>
  <c r="DL59" i="15"/>
  <c r="DN59" i="15"/>
  <c r="I62" i="15"/>
  <c r="AI53" i="1"/>
  <c r="BY11" i="7"/>
  <c r="BY14" i="7"/>
  <c r="BY20" i="7"/>
  <c r="CB30" i="24"/>
  <c r="W29" i="24"/>
  <c r="DV27" i="11"/>
  <c r="AM30" i="1"/>
  <c r="EJ27" i="11"/>
  <c r="G55" i="21"/>
  <c r="HB29" i="25" s="1"/>
  <c r="AB56" i="21"/>
  <c r="HM30" i="7" s="1"/>
  <c r="G56" i="21"/>
  <c r="HB30" i="25" s="1"/>
  <c r="AW34" i="24"/>
  <c r="FA35" i="24"/>
  <c r="F13" i="30"/>
  <c r="EK68" i="15"/>
  <c r="AC19" i="29"/>
  <c r="EM27" i="11"/>
  <c r="EG68" i="15"/>
  <c r="G14" i="21"/>
  <c r="G19" i="21"/>
  <c r="G21" i="21"/>
  <c r="H21" i="21" s="1"/>
  <c r="G22" i="21"/>
  <c r="BZ11" i="7"/>
  <c r="BZ14" i="7"/>
  <c r="BZ20" i="7"/>
  <c r="S86" i="22"/>
  <c r="P59" i="22"/>
  <c r="U59" i="22"/>
  <c r="S59" i="22"/>
  <c r="R59" i="22"/>
  <c r="N59" i="22"/>
  <c r="T59" i="22"/>
  <c r="W59" i="22"/>
  <c r="V59" i="22"/>
  <c r="O59" i="22"/>
  <c r="M59" i="22"/>
  <c r="X59" i="22"/>
  <c r="Y59" i="22"/>
  <c r="Q59" i="22"/>
  <c r="AC157" i="19"/>
  <c r="GD8" i="7"/>
  <c r="FF14" i="7"/>
  <c r="CC63" i="19"/>
  <c r="CC29" i="15"/>
  <c r="CQ53" i="19"/>
  <c r="CQ185" i="19" s="1"/>
  <c r="CQ103" i="15"/>
  <c r="E35" i="29"/>
  <c r="E34" i="29"/>
  <c r="F30" i="29" s="1"/>
  <c r="AB78" i="19"/>
  <c r="FQ9" i="7"/>
  <c r="FX10" i="25"/>
  <c r="EU59" i="24"/>
  <c r="EV60" i="24" s="1"/>
  <c r="HN33" i="7"/>
  <c r="HN29" i="7"/>
  <c r="HN32" i="7" s="1"/>
  <c r="HN42" i="7" s="1"/>
  <c r="EU108" i="11"/>
  <c r="EV108" i="11"/>
  <c r="EW108" i="11"/>
  <c r="EX108" i="11"/>
  <c r="EQ108" i="11"/>
  <c r="EY108" i="11"/>
  <c r="ER108" i="11"/>
  <c r="EZ108" i="11"/>
  <c r="ES108" i="11"/>
  <c r="FA108" i="11"/>
  <c r="ET108" i="11"/>
  <c r="FB108" i="11"/>
  <c r="DS27" i="11"/>
  <c r="J30" i="1"/>
  <c r="AL30" i="1"/>
  <c r="S74" i="38"/>
  <c r="S30" i="38"/>
  <c r="AL35" i="24"/>
  <c r="DT36" i="24"/>
  <c r="J35" i="24"/>
  <c r="R8" i="25"/>
  <c r="BP8" i="25"/>
  <c r="DP32" i="29"/>
  <c r="AK11" i="29"/>
  <c r="AB79" i="19"/>
  <c r="FQ10" i="7"/>
  <c r="AK27" i="11"/>
  <c r="CZ66" i="15"/>
  <c r="CZ78" i="15"/>
  <c r="CZ19" i="15" s="1"/>
  <c r="ED11" i="29"/>
  <c r="DZ11" i="29"/>
  <c r="I61" i="15"/>
  <c r="CU61" i="15"/>
  <c r="CU55" i="15" s="1"/>
  <c r="DC61" i="15"/>
  <c r="DC55" i="15" s="1"/>
  <c r="CW61" i="15"/>
  <c r="CW55" i="15" s="1"/>
  <c r="DE61" i="15"/>
  <c r="DE55" i="15" s="1"/>
  <c r="CX61" i="15"/>
  <c r="CX55" i="15" s="1"/>
  <c r="DF61" i="15"/>
  <c r="DF55" i="15" s="1"/>
  <c r="CY61" i="15"/>
  <c r="CY55" i="15" s="1"/>
  <c r="CZ61" i="15"/>
  <c r="CZ55" i="15" s="1"/>
  <c r="DA61" i="15"/>
  <c r="DA55" i="15" s="1"/>
  <c r="DB61" i="15"/>
  <c r="DB55" i="15" s="1"/>
  <c r="DD61" i="15"/>
  <c r="DD55" i="15" s="1"/>
  <c r="CV61" i="15"/>
  <c r="CV55" i="15" s="1"/>
  <c r="FA27" i="11"/>
  <c r="CT7" i="7"/>
  <c r="F13" i="8"/>
  <c r="F34" i="8" s="1"/>
  <c r="F17" i="8"/>
  <c r="F38" i="8" s="1"/>
  <c r="F14" i="8"/>
  <c r="F35" i="8" s="1"/>
  <c r="F16" i="8"/>
  <c r="F37" i="8" s="1"/>
  <c r="F15" i="8"/>
  <c r="F36" i="8" s="1"/>
  <c r="EU68" i="15"/>
  <c r="H17" i="18"/>
  <c r="CT32" i="15" s="1"/>
  <c r="F17" i="18"/>
  <c r="CR32" i="15" s="1"/>
  <c r="G17" i="18"/>
  <c r="CS32" i="15" s="1"/>
  <c r="AA26" i="38"/>
  <c r="AH45" i="38"/>
  <c r="AH46" i="38" s="1"/>
  <c r="DB62" i="15"/>
  <c r="DB53" i="15"/>
  <c r="AC82" i="19"/>
  <c r="FR7" i="7"/>
  <c r="EO27" i="11"/>
  <c r="AI27" i="11"/>
  <c r="AB57" i="21"/>
  <c r="HM31" i="7" s="1"/>
  <c r="G57" i="21"/>
  <c r="HB31" i="25" s="1"/>
  <c r="AC24" i="21"/>
  <c r="AC29" i="21" s="1"/>
  <c r="CR29" i="21"/>
  <c r="CD36" i="24"/>
  <c r="AB46" i="21"/>
  <c r="HM11" i="7" s="1"/>
  <c r="G46" i="21"/>
  <c r="HB11" i="25" s="1"/>
  <c r="HB13" i="25" s="1"/>
  <c r="CJ48" i="24"/>
  <c r="CK49" i="24" s="1"/>
  <c r="CL50" i="24" s="1"/>
  <c r="CJ49" i="24"/>
  <c r="CK50" i="24" s="1"/>
  <c r="CL51" i="24" s="1"/>
  <c r="AA23" i="1"/>
  <c r="AB19" i="29"/>
  <c r="EM68" i="15"/>
  <c r="EY35" i="24"/>
  <c r="L35" i="24" s="1"/>
  <c r="AV34" i="24"/>
  <c r="DY27" i="11"/>
  <c r="AN30" i="1"/>
  <c r="CP46" i="19"/>
  <c r="CP98" i="15"/>
  <c r="CP44" i="15"/>
  <c r="AQ53" i="24"/>
  <c r="AD35" i="24"/>
  <c r="CV36" i="24"/>
  <c r="DR39" i="29"/>
  <c r="C12" i="30"/>
  <c r="F12" i="30" s="1"/>
  <c r="FN8" i="25"/>
  <c r="U21" i="36"/>
  <c r="DZ36" i="24"/>
  <c r="AN35" i="24"/>
  <c r="CO53" i="19"/>
  <c r="AB21" i="15"/>
  <c r="CO103" i="15"/>
  <c r="G21" i="15"/>
  <c r="FD16" i="25"/>
  <c r="HN23" i="7"/>
  <c r="HN19" i="7"/>
  <c r="HN22" i="7" s="1"/>
  <c r="HN41" i="7" s="1"/>
  <c r="EF58" i="24"/>
  <c r="EG59" i="24" s="1"/>
  <c r="EH60" i="24" s="1"/>
  <c r="EY68" i="15"/>
  <c r="V35" i="36"/>
  <c r="U48" i="37"/>
  <c r="U60" i="37" s="1"/>
  <c r="V52" i="36"/>
  <c r="AP36" i="24"/>
  <c r="EF37" i="24"/>
  <c r="DI36" i="24"/>
  <c r="I35" i="24"/>
  <c r="AH35" i="24"/>
  <c r="S21" i="35"/>
  <c r="S23" i="35" s="1"/>
  <c r="AF19" i="35"/>
  <c r="AT35" i="24"/>
  <c r="ER36" i="24"/>
  <c r="AK36" i="24"/>
  <c r="DQ37" i="24"/>
  <c r="W110" i="1"/>
  <c r="Z99" i="1"/>
  <c r="AH12" i="7" s="1"/>
  <c r="AF53" i="1"/>
  <c r="T8" i="7"/>
  <c r="BR8" i="7"/>
  <c r="EF60" i="24"/>
  <c r="CY72" i="24"/>
  <c r="CZ73" i="24" s="1"/>
  <c r="DA74" i="24" s="1"/>
  <c r="CQ34" i="24"/>
  <c r="DN7" i="7"/>
  <c r="AJ81" i="29"/>
  <c r="AJ85" i="29" s="1"/>
  <c r="AC158" i="19"/>
  <c r="FF15" i="7"/>
  <c r="GD9" i="7"/>
  <c r="DE66" i="15"/>
  <c r="DE84" i="15"/>
  <c r="DE20" i="15" s="1"/>
  <c r="DE78" i="15"/>
  <c r="DE19" i="15" s="1"/>
  <c r="CY66" i="15"/>
  <c r="CY78" i="15"/>
  <c r="CY19" i="15" s="1"/>
  <c r="DY18" i="29"/>
  <c r="AN18" i="29" s="1"/>
  <c r="AN79" i="29"/>
  <c r="AU35" i="24"/>
  <c r="EU36" i="24"/>
  <c r="DV11" i="29"/>
  <c r="AM78" i="29"/>
  <c r="DY11" i="29"/>
  <c r="AN78" i="29"/>
  <c r="DY81" i="29"/>
  <c r="DY85" i="29" s="1"/>
  <c r="C7" i="30"/>
  <c r="F7" i="30" s="1"/>
  <c r="DM39" i="29"/>
  <c r="H12" i="18"/>
  <c r="CT22" i="15" s="1"/>
  <c r="F12" i="18"/>
  <c r="CR22" i="15" s="1"/>
  <c r="G22" i="15" s="1"/>
  <c r="G12" i="18"/>
  <c r="CS22" i="15" s="1"/>
  <c r="T16" i="29"/>
  <c r="BQ20" i="29"/>
  <c r="BR16" i="29" s="1"/>
  <c r="BR20" i="29" s="1"/>
  <c r="BS16" i="29" s="1"/>
  <c r="BS20" i="29" s="1"/>
  <c r="BT16" i="29" s="1"/>
  <c r="EO43" i="24"/>
  <c r="EV27" i="11"/>
  <c r="CC55" i="19"/>
  <c r="CC18" i="15"/>
  <c r="DF62" i="15"/>
  <c r="DF53" i="15"/>
  <c r="DA62" i="15"/>
  <c r="DA53" i="15"/>
  <c r="AE35" i="24"/>
  <c r="CY36" i="24"/>
  <c r="EF27" i="11"/>
  <c r="AB47" i="21"/>
  <c r="HM12" i="7" s="1"/>
  <c r="G47" i="21"/>
  <c r="HB12" i="25" s="1"/>
  <c r="EJ68" i="15"/>
  <c r="FD15" i="25"/>
  <c r="V12" i="29"/>
  <c r="BW33" i="29"/>
  <c r="AC26" i="29"/>
  <c r="CM42" i="19"/>
  <c r="CM66" i="19" s="1"/>
  <c r="CM40" i="15"/>
  <c r="CM15" i="15"/>
  <c r="CM90" i="15"/>
  <c r="CM14" i="15"/>
  <c r="CM12" i="15"/>
  <c r="AB51" i="21"/>
  <c r="HM20" i="7" s="1"/>
  <c r="G51" i="21"/>
  <c r="HB20" i="25" s="1"/>
  <c r="HB22" i="25" s="1"/>
  <c r="DC35" i="24"/>
  <c r="AF35" i="24" s="1"/>
  <c r="AF34" i="24"/>
  <c r="U87" i="37"/>
  <c r="V36" i="36"/>
  <c r="V108" i="36"/>
  <c r="FB27" i="11"/>
  <c r="AB23" i="1"/>
  <c r="CY19" i="29"/>
  <c r="CZ19" i="29"/>
  <c r="DA19" i="29"/>
  <c r="DB19" i="29"/>
  <c r="CU19" i="29"/>
  <c r="DC19" i="29"/>
  <c r="CV19" i="29"/>
  <c r="DD19" i="29"/>
  <c r="CW19" i="29"/>
  <c r="DE19" i="29"/>
  <c r="CX19" i="29"/>
  <c r="DF19" i="29"/>
  <c r="CQ45" i="19"/>
  <c r="CQ97" i="15"/>
  <c r="CQ43" i="15"/>
  <c r="DD7" i="7"/>
  <c r="CO46" i="19"/>
  <c r="AB11" i="15"/>
  <c r="CO44" i="15"/>
  <c r="CO98" i="15"/>
  <c r="G11" i="15"/>
  <c r="EL57" i="24"/>
  <c r="EM58" i="24" s="1"/>
  <c r="EN59" i="24" s="1"/>
  <c r="CP53" i="19"/>
  <c r="CP185" i="19" s="1"/>
  <c r="CP103" i="15"/>
  <c r="AC85" i="19"/>
  <c r="FR10" i="7"/>
  <c r="HN10" i="7"/>
  <c r="HN13" i="7" s="1"/>
  <c r="HN40" i="7" s="1"/>
  <c r="HN43" i="7" s="1"/>
  <c r="HN14" i="7"/>
  <c r="V21" i="29"/>
  <c r="AS17" i="1"/>
  <c r="EN30" i="1"/>
  <c r="AC83" i="19"/>
  <c r="FR8" i="7"/>
  <c r="GH10" i="25"/>
  <c r="GH7" i="25"/>
  <c r="CO66" i="24"/>
  <c r="AB63" i="24"/>
  <c r="G63" i="24"/>
  <c r="GH9" i="25"/>
  <c r="DM32" i="29"/>
  <c r="AJ11" i="29"/>
  <c r="DC84" i="15"/>
  <c r="DC20" i="15" s="1"/>
  <c r="DC66" i="15"/>
  <c r="DC78" i="15"/>
  <c r="DC19" i="15" s="1"/>
  <c r="DF84" i="15"/>
  <c r="DF20" i="15" s="1"/>
  <c r="DF66" i="15"/>
  <c r="DF78" i="15"/>
  <c r="DF19" i="15" s="1"/>
  <c r="CS43" i="24"/>
  <c r="CT44" i="24" s="1"/>
  <c r="CU45" i="24" s="1"/>
  <c r="AM35" i="24"/>
  <c r="DW36" i="24"/>
  <c r="EC11" i="29"/>
  <c r="EC81" i="29"/>
  <c r="EC85" i="29" s="1"/>
  <c r="FE15" i="7"/>
  <c r="EL56" i="24"/>
  <c r="EM57" i="24" s="1"/>
  <c r="EN58" i="24" s="1"/>
  <c r="FA68" i="15"/>
  <c r="EO36" i="24"/>
  <c r="AS35" i="24"/>
  <c r="FA57" i="24"/>
  <c r="FB58" i="24" s="1"/>
  <c r="T15" i="37"/>
  <c r="T17" i="37" s="1"/>
  <c r="ER27" i="11"/>
  <c r="AF75" i="22"/>
  <c r="AF73" i="22"/>
  <c r="BO29" i="24"/>
  <c r="E28" i="24"/>
  <c r="S28" i="24"/>
  <c r="BN61" i="24"/>
  <c r="BN14" i="24" s="1"/>
  <c r="DD53" i="15"/>
  <c r="CZ62" i="15"/>
  <c r="CZ53" i="15"/>
  <c r="EO68" i="15"/>
  <c r="CO33" i="24"/>
  <c r="AB77" i="11"/>
  <c r="AB72" i="11"/>
  <c r="AB84" i="11"/>
  <c r="ES27" i="11"/>
  <c r="AC231" i="19"/>
  <c r="GP8" i="7"/>
  <c r="AB52" i="21"/>
  <c r="HM21" i="7" s="1"/>
  <c r="G52" i="21"/>
  <c r="HB21" i="25" s="1"/>
  <c r="EI57" i="24"/>
  <c r="EJ58" i="24" s="1"/>
  <c r="EK59" i="24" s="1"/>
  <c r="ET142" i="11"/>
  <c r="FB142" i="11"/>
  <c r="EU142" i="11"/>
  <c r="EV142" i="11"/>
  <c r="EW142" i="11"/>
  <c r="EQ142" i="11"/>
  <c r="EY142" i="11"/>
  <c r="ER142" i="11"/>
  <c r="EZ142" i="11"/>
  <c r="ES142" i="11"/>
  <c r="EX142" i="11"/>
  <c r="FA142" i="11"/>
  <c r="Y38" i="34"/>
  <c r="Y52" i="34"/>
  <c r="Y54" i="34"/>
  <c r="Y50" i="34"/>
  <c r="Y56" i="34"/>
  <c r="FA60" i="24"/>
  <c r="AF74" i="22"/>
  <c r="U107" i="37"/>
  <c r="U28" i="37" s="1"/>
  <c r="DW59" i="24"/>
  <c r="DX60" i="24" s="1"/>
  <c r="EI27" i="11"/>
  <c r="AC14" i="21"/>
  <c r="AC19" i="21"/>
  <c r="AC22" i="21"/>
  <c r="AC21" i="21"/>
  <c r="CP45" i="19"/>
  <c r="CP43" i="15"/>
  <c r="CP97" i="15"/>
  <c r="ER136" i="11"/>
  <c r="EZ136" i="11"/>
  <c r="ES136" i="11"/>
  <c r="FA136" i="11"/>
  <c r="ET136" i="11"/>
  <c r="FB136" i="11"/>
  <c r="EU136" i="11"/>
  <c r="EW136" i="11"/>
  <c r="EX136" i="11"/>
  <c r="EQ136" i="11"/>
  <c r="EV136" i="11"/>
  <c r="EY136" i="11"/>
  <c r="EX43" i="24"/>
  <c r="DX7" i="7"/>
  <c r="CQ46" i="19"/>
  <c r="CQ44" i="15"/>
  <c r="CQ98" i="15"/>
  <c r="GO10" i="7"/>
  <c r="DP39" i="29"/>
  <c r="C10" i="30"/>
  <c r="F10" i="30" s="1"/>
  <c r="AB77" i="19"/>
  <c r="FQ8" i="7"/>
  <c r="EF57" i="24"/>
  <c r="EG58" i="24" s="1"/>
  <c r="EH59" i="24" s="1"/>
  <c r="AA70" i="24"/>
  <c r="CN71" i="24"/>
  <c r="CM126" i="24"/>
  <c r="CM58" i="19"/>
  <c r="CM34" i="15"/>
  <c r="CM92" i="15"/>
  <c r="CM37" i="15"/>
  <c r="CM36" i="15"/>
  <c r="AH81" i="29"/>
  <c r="AH85" i="29" s="1"/>
  <c r="EL27" i="11"/>
  <c r="GC13" i="7"/>
  <c r="I34" i="24"/>
  <c r="AF27" i="11"/>
  <c r="H27" i="11"/>
  <c r="J60" i="15"/>
  <c r="DL60" i="15"/>
  <c r="DL54" i="15" s="1"/>
  <c r="DN60" i="15"/>
  <c r="DN54" i="15" s="1"/>
  <c r="DG60" i="15"/>
  <c r="DG54" i="15" s="1"/>
  <c r="DO60" i="15"/>
  <c r="DO54" i="15" s="1"/>
  <c r="DH60" i="15"/>
  <c r="DH54" i="15" s="1"/>
  <c r="DP60" i="15"/>
  <c r="DP54" i="15" s="1"/>
  <c r="DI60" i="15"/>
  <c r="DI54" i="15" s="1"/>
  <c r="DQ60" i="15"/>
  <c r="DQ54" i="15" s="1"/>
  <c r="DJ60" i="15"/>
  <c r="DJ54" i="15" s="1"/>
  <c r="DR60" i="15"/>
  <c r="DR54" i="15" s="1"/>
  <c r="DK60" i="15"/>
  <c r="DK54" i="15" s="1"/>
  <c r="DM60" i="15"/>
  <c r="DM54" i="15" s="1"/>
  <c r="AE54" i="15"/>
  <c r="CX84" i="15"/>
  <c r="CX66" i="15"/>
  <c r="CX78" i="15"/>
  <c r="AA86" i="22"/>
  <c r="AA15" i="38"/>
  <c r="AA27" i="35" s="1"/>
  <c r="AH23" i="38"/>
  <c r="AA27" i="38"/>
  <c r="AA66" i="38" s="1"/>
  <c r="AH66" i="38" s="1"/>
  <c r="DU11" i="29"/>
  <c r="DU32" i="29" s="1"/>
  <c r="DV39" i="29" s="1"/>
  <c r="GC14" i="7"/>
  <c r="GR8" i="25"/>
  <c r="EV68" i="15"/>
  <c r="CQ54" i="19"/>
  <c r="CQ191" i="19" s="1"/>
  <c r="CQ104" i="15"/>
  <c r="AQ17" i="1"/>
  <c r="EH30" i="1"/>
  <c r="CX62" i="15"/>
  <c r="CX53" i="15"/>
  <c r="CY53" i="15"/>
  <c r="CI31" i="24"/>
  <c r="Y30" i="24"/>
  <c r="H26" i="29"/>
  <c r="H27" i="29" s="1"/>
  <c r="I23" i="29" s="1"/>
  <c r="EW56" i="15"/>
  <c r="AV21" i="1"/>
  <c r="EW17" i="1"/>
  <c r="EF68" i="15"/>
  <c r="DQ58" i="24"/>
  <c r="DR59" i="24" s="1"/>
  <c r="DS60" i="24" s="1"/>
  <c r="W12" i="29"/>
  <c r="BZ33" i="29"/>
  <c r="W33" i="29" s="1"/>
  <c r="X12" i="29"/>
  <c r="CC33" i="29"/>
  <c r="X33" i="29" s="1"/>
  <c r="CQ62" i="19"/>
  <c r="CQ265" i="19" s="1"/>
  <c r="CQ110" i="15"/>
  <c r="FB68" i="15"/>
  <c r="GC15" i="7"/>
  <c r="T33" i="37"/>
  <c r="T6" i="37"/>
  <c r="T36" i="37"/>
  <c r="CO10" i="15"/>
  <c r="DB49" i="24"/>
  <c r="DC50" i="24" s="1"/>
  <c r="DD51" i="24" s="1"/>
  <c r="AB14" i="21"/>
  <c r="AB19" i="21"/>
  <c r="AB22" i="21"/>
  <c r="AB21" i="21"/>
  <c r="CK30" i="24"/>
  <c r="Z29" i="24"/>
  <c r="G29" i="24"/>
  <c r="CM49" i="24"/>
  <c r="CN50" i="24" s="1"/>
  <c r="CO51" i="24" s="1"/>
  <c r="AD95" i="22"/>
  <c r="J96" i="22"/>
  <c r="DB48" i="24"/>
  <c r="DC49" i="24" s="1"/>
  <c r="DD50" i="24" s="1"/>
  <c r="EF55" i="24"/>
  <c r="EG56" i="24" s="1"/>
  <c r="EH57" i="24" s="1"/>
  <c r="BI106" i="1"/>
  <c r="BH113" i="1"/>
  <c r="AI81" i="29"/>
  <c r="AI85" i="29" s="1"/>
  <c r="I11" i="29"/>
  <c r="AH11" i="29"/>
  <c r="DG32" i="29"/>
  <c r="FE14" i="7"/>
  <c r="AC63" i="24"/>
  <c r="CR66" i="24"/>
  <c r="CJ12" i="29"/>
  <c r="CJ33" i="29" s="1"/>
  <c r="CR12" i="29"/>
  <c r="CK12" i="29"/>
  <c r="CK33" i="29" s="1"/>
  <c r="CS12" i="29"/>
  <c r="CS33" i="29" s="1"/>
  <c r="CL12" i="29"/>
  <c r="CT12" i="29"/>
  <c r="CT33" i="29" s="1"/>
  <c r="CM12" i="29"/>
  <c r="CM33" i="29" s="1"/>
  <c r="CN12" i="29"/>
  <c r="CN33" i="29" s="1"/>
  <c r="CO12" i="29"/>
  <c r="CP12" i="29"/>
  <c r="CP33" i="29" s="1"/>
  <c r="CI12" i="29"/>
  <c r="CQ12" i="29"/>
  <c r="CQ33" i="29" s="1"/>
  <c r="CW66" i="15"/>
  <c r="CW84" i="15"/>
  <c r="CW20" i="15" s="1"/>
  <c r="CW78" i="15"/>
  <c r="CW19" i="15" s="1"/>
  <c r="AG54" i="15"/>
  <c r="DD84" i="15"/>
  <c r="DD66" i="15"/>
  <c r="DD78" i="15"/>
  <c r="AU108" i="26" l="1"/>
  <c r="AU119" i="26" s="1"/>
  <c r="AU208" i="26" s="1"/>
  <c r="AT119" i="26"/>
  <c r="AT208" i="26" s="1"/>
  <c r="AV62" i="26"/>
  <c r="AV65" i="26" s="1"/>
  <c r="DU81" i="29"/>
  <c r="DU85" i="29" s="1"/>
  <c r="DZ32" i="29"/>
  <c r="EA39" i="29" s="1"/>
  <c r="EA81" i="29"/>
  <c r="EA85" i="29" s="1"/>
  <c r="DZ81" i="29"/>
  <c r="DZ85" i="29" s="1"/>
  <c r="EA32" i="29"/>
  <c r="EB39" i="29" s="1"/>
  <c r="ED32" i="29"/>
  <c r="EE39" i="29" s="1"/>
  <c r="DX32" i="29"/>
  <c r="DY39" i="29" s="1"/>
  <c r="ED81" i="29"/>
  <c r="ED85" i="29" s="1"/>
  <c r="DX81" i="29"/>
  <c r="DX85" i="29" s="1"/>
  <c r="AE19" i="29"/>
  <c r="EC32" i="29"/>
  <c r="ED39" i="29" s="1"/>
  <c r="DW81" i="29"/>
  <c r="DW85" i="29" s="1"/>
  <c r="DW32" i="29"/>
  <c r="DX39" i="29" s="1"/>
  <c r="Q112" i="26"/>
  <c r="Q121" i="26"/>
  <c r="AA70" i="22"/>
  <c r="HB40" i="25"/>
  <c r="HB14" i="25"/>
  <c r="HB41" i="25"/>
  <c r="HB23" i="25"/>
  <c r="U39" i="37"/>
  <c r="U40" i="37"/>
  <c r="T18" i="37"/>
  <c r="T14" i="35"/>
  <c r="T98" i="38"/>
  <c r="T107" i="38"/>
  <c r="T116" i="38"/>
  <c r="T91" i="38"/>
  <c r="T82" i="38"/>
  <c r="DR38" i="24"/>
  <c r="J97" i="22"/>
  <c r="AD96" i="22"/>
  <c r="DH66" i="15"/>
  <c r="DH78" i="15"/>
  <c r="DH19" i="15" s="1"/>
  <c r="DH84" i="15"/>
  <c r="DH20" i="15" s="1"/>
  <c r="CW36" i="21"/>
  <c r="CW51" i="19"/>
  <c r="CW173" i="19" s="1"/>
  <c r="CS67" i="24"/>
  <c r="AC66" i="24"/>
  <c r="DE51" i="24"/>
  <c r="DF52" i="24" s="1"/>
  <c r="DG53" i="24" s="1"/>
  <c r="H20" i="18"/>
  <c r="I20" i="18" s="1"/>
  <c r="DB26" i="29"/>
  <c r="CU26" i="29"/>
  <c r="DC26" i="29"/>
  <c r="CV26" i="29"/>
  <c r="DD26" i="29"/>
  <c r="CW26" i="29"/>
  <c r="DE26" i="29"/>
  <c r="CX26" i="29"/>
  <c r="DF26" i="29"/>
  <c r="CY26" i="29"/>
  <c r="CZ26" i="29"/>
  <c r="DA26" i="29"/>
  <c r="EH27" i="11"/>
  <c r="AQ30" i="1"/>
  <c r="DM66" i="15"/>
  <c r="AJ54" i="15"/>
  <c r="DM84" i="15"/>
  <c r="DM78" i="15"/>
  <c r="DO66" i="15"/>
  <c r="DO84" i="15"/>
  <c r="DO20" i="15" s="1"/>
  <c r="DO78" i="15"/>
  <c r="DO19" i="15" s="1"/>
  <c r="CO72" i="24"/>
  <c r="AA71" i="24"/>
  <c r="AA126" i="24" s="1"/>
  <c r="CN126" i="24"/>
  <c r="W10" i="30"/>
  <c r="E22" i="30"/>
  <c r="D22" i="30" s="1"/>
  <c r="P10" i="30"/>
  <c r="X10" i="30"/>
  <c r="Q10" i="30"/>
  <c r="Y10" i="30"/>
  <c r="R10" i="30"/>
  <c r="Z10" i="30"/>
  <c r="S10" i="30"/>
  <c r="AA10" i="30"/>
  <c r="T10" i="30"/>
  <c r="AB10" i="30"/>
  <c r="U10" i="30"/>
  <c r="AC10" i="30"/>
  <c r="V10" i="30"/>
  <c r="AD10" i="30"/>
  <c r="CP99" i="15"/>
  <c r="CP100" i="15"/>
  <c r="DC36" i="21"/>
  <c r="DC51" i="19"/>
  <c r="DC173" i="19" s="1"/>
  <c r="AB66" i="24"/>
  <c r="CP67" i="24"/>
  <c r="CO126" i="24"/>
  <c r="G66" i="24"/>
  <c r="CQ69" i="19"/>
  <c r="CQ111" i="19"/>
  <c r="AD19" i="29"/>
  <c r="V33" i="29"/>
  <c r="F33" i="29"/>
  <c r="F35" i="29" s="1"/>
  <c r="DF77" i="15"/>
  <c r="DF83" i="15" s="1"/>
  <c r="DF65" i="15"/>
  <c r="BT20" i="29"/>
  <c r="BU16" i="29" s="1"/>
  <c r="BU20" i="29" s="1"/>
  <c r="BV16" i="29" s="1"/>
  <c r="BV20" i="29" s="1"/>
  <c r="BW16" i="29" s="1"/>
  <c r="U16" i="29"/>
  <c r="V53" i="36"/>
  <c r="V133" i="36"/>
  <c r="H35" i="24"/>
  <c r="CM51" i="24"/>
  <c r="CN52" i="24" s="1"/>
  <c r="CO53" i="24" s="1"/>
  <c r="CX67" i="15"/>
  <c r="CX79" i="15"/>
  <c r="CX85" i="15" s="1"/>
  <c r="AE55" i="15"/>
  <c r="T8" i="25"/>
  <c r="BR8" i="25"/>
  <c r="Q69" i="22"/>
  <c r="N69" i="22"/>
  <c r="HB32" i="25"/>
  <c r="CC31" i="24"/>
  <c r="W30" i="24"/>
  <c r="DL53" i="15"/>
  <c r="DH53" i="15"/>
  <c r="CS62" i="19"/>
  <c r="CS265" i="19" s="1"/>
  <c r="CS110" i="15"/>
  <c r="J18" i="29"/>
  <c r="AL18" i="29"/>
  <c r="AA87" i="22"/>
  <c r="AF87" i="22" s="1"/>
  <c r="J24" i="22"/>
  <c r="P23" i="22"/>
  <c r="S23" i="22"/>
  <c r="T23" i="22"/>
  <c r="Q23" i="22"/>
  <c r="Y23" i="22"/>
  <c r="V23" i="22"/>
  <c r="M23" i="22"/>
  <c r="R23" i="22"/>
  <c r="U23" i="22"/>
  <c r="U77" i="22" s="1"/>
  <c r="X23" i="22"/>
  <c r="X77" i="22" s="1"/>
  <c r="N23" i="22"/>
  <c r="N77" i="22" s="1"/>
  <c r="O23" i="22"/>
  <c r="W23" i="22"/>
  <c r="W77" i="22" s="1"/>
  <c r="Q94" i="22"/>
  <c r="S94" i="22"/>
  <c r="P94" i="22"/>
  <c r="P77" i="22"/>
  <c r="T94" i="22"/>
  <c r="V94" i="22"/>
  <c r="Y77" i="22"/>
  <c r="U94" i="22"/>
  <c r="V77" i="22"/>
  <c r="R77" i="22"/>
  <c r="Y94" i="22"/>
  <c r="R94" i="22"/>
  <c r="O77" i="22"/>
  <c r="X94" i="22"/>
  <c r="M94" i="22"/>
  <c r="S77" i="22"/>
  <c r="T77" i="22"/>
  <c r="O94" i="22"/>
  <c r="W94" i="22"/>
  <c r="M77" i="22"/>
  <c r="N94" i="22"/>
  <c r="Q77" i="22"/>
  <c r="R9" i="30"/>
  <c r="Z9" i="30"/>
  <c r="S9" i="30"/>
  <c r="AA9" i="30"/>
  <c r="T9" i="30"/>
  <c r="AB9" i="30"/>
  <c r="U9" i="30"/>
  <c r="AC9" i="30"/>
  <c r="E21" i="30"/>
  <c r="D21" i="30" s="1"/>
  <c r="V9" i="30"/>
  <c r="O9" i="30"/>
  <c r="W9" i="30"/>
  <c r="P9" i="30"/>
  <c r="X9" i="30"/>
  <c r="Q9" i="30"/>
  <c r="Y9" i="30"/>
  <c r="GP11" i="7"/>
  <c r="HB7" i="7"/>
  <c r="GP12" i="7"/>
  <c r="S6" i="30"/>
  <c r="L6" i="30"/>
  <c r="T6" i="30"/>
  <c r="M6" i="30"/>
  <c r="U6" i="30"/>
  <c r="N6" i="30"/>
  <c r="V6" i="30"/>
  <c r="O6" i="30"/>
  <c r="W6" i="30"/>
  <c r="E18" i="30"/>
  <c r="D18" i="30" s="1"/>
  <c r="P6" i="30"/>
  <c r="X6" i="30"/>
  <c r="Q6" i="30"/>
  <c r="Y6" i="30"/>
  <c r="R6" i="30"/>
  <c r="Z6" i="30"/>
  <c r="ET68" i="15"/>
  <c r="F30" i="24"/>
  <c r="HB9" i="7"/>
  <c r="GP14" i="7"/>
  <c r="CS46" i="19"/>
  <c r="CS44" i="15"/>
  <c r="CS98" i="15"/>
  <c r="CV52" i="19"/>
  <c r="CV179" i="19" s="1"/>
  <c r="EB36" i="24"/>
  <c r="ER59" i="24"/>
  <c r="ES60" i="24" s="1"/>
  <c r="CS53" i="19"/>
  <c r="CS185" i="19" s="1"/>
  <c r="CS103" i="15"/>
  <c r="DZ59" i="24"/>
  <c r="EA60" i="24" s="1"/>
  <c r="J19" i="29"/>
  <c r="HM22" i="7"/>
  <c r="HM41" i="7" s="1"/>
  <c r="CO33" i="29"/>
  <c r="AB33" i="29" s="1"/>
  <c r="AB12" i="29"/>
  <c r="DE52" i="24"/>
  <c r="DF53" i="24" s="1"/>
  <c r="DG54" i="24" s="1"/>
  <c r="S29" i="24"/>
  <c r="E29" i="24"/>
  <c r="BP30" i="24"/>
  <c r="BO61" i="24"/>
  <c r="BO14" i="24" s="1"/>
  <c r="CV46" i="24"/>
  <c r="CW47" i="24" s="1"/>
  <c r="CX48" i="24" s="1"/>
  <c r="EO60" i="24"/>
  <c r="V109" i="36"/>
  <c r="V135" i="36"/>
  <c r="ES37" i="24"/>
  <c r="AT36" i="24"/>
  <c r="U57" i="37"/>
  <c r="U52" i="37"/>
  <c r="EA37" i="24"/>
  <c r="AN36" i="24"/>
  <c r="CW37" i="24"/>
  <c r="AD36" i="24"/>
  <c r="AN27" i="11"/>
  <c r="FR11" i="7"/>
  <c r="FR15" i="7" s="1"/>
  <c r="FR12" i="7"/>
  <c r="CV79" i="15"/>
  <c r="CV30" i="15" s="1"/>
  <c r="CV67" i="15"/>
  <c r="DE67" i="15"/>
  <c r="DE79" i="15"/>
  <c r="DE30" i="15" s="1"/>
  <c r="J27" i="11"/>
  <c r="AL27" i="11"/>
  <c r="CQ203" i="19"/>
  <c r="Y69" i="22"/>
  <c r="R69" i="22"/>
  <c r="K59" i="15"/>
  <c r="DU59" i="15"/>
  <c r="EC59" i="15"/>
  <c r="DW59" i="15"/>
  <c r="DX59" i="15"/>
  <c r="DY59" i="15"/>
  <c r="DZ59" i="15"/>
  <c r="DS59" i="15"/>
  <c r="EA59" i="15"/>
  <c r="DT59" i="15"/>
  <c r="DV59" i="15"/>
  <c r="EB59" i="15"/>
  <c r="ED59" i="15"/>
  <c r="DO53" i="15"/>
  <c r="CR62" i="19"/>
  <c r="AC33" i="15"/>
  <c r="CR110" i="15"/>
  <c r="Q4" i="30"/>
  <c r="J4" i="30"/>
  <c r="R4" i="30"/>
  <c r="K4" i="30"/>
  <c r="S4" i="30"/>
  <c r="E16" i="30"/>
  <c r="D16" i="30" s="1"/>
  <c r="L4" i="30"/>
  <c r="T4" i="30"/>
  <c r="M4" i="30"/>
  <c r="U4" i="30"/>
  <c r="N4" i="30"/>
  <c r="V4" i="30"/>
  <c r="O4" i="30"/>
  <c r="W4" i="30"/>
  <c r="P4" i="30"/>
  <c r="X4" i="30"/>
  <c r="BE13" i="29"/>
  <c r="BF9" i="29" s="1"/>
  <c r="BE30" i="29"/>
  <c r="P9" i="29"/>
  <c r="L17" i="1"/>
  <c r="AT17" i="1"/>
  <c r="EQ30" i="1"/>
  <c r="EM36" i="24"/>
  <c r="AR35" i="24"/>
  <c r="AB62" i="19"/>
  <c r="CO265" i="19"/>
  <c r="G62" i="19"/>
  <c r="CQ277" i="19"/>
  <c r="L91" i="29"/>
  <c r="K139" i="29"/>
  <c r="T23" i="29"/>
  <c r="BQ27" i="29"/>
  <c r="BR23" i="29" s="1"/>
  <c r="BR27" i="29" s="1"/>
  <c r="BS23" i="29" s="1"/>
  <c r="BS27" i="29" s="1"/>
  <c r="BT23" i="29" s="1"/>
  <c r="AI32" i="29"/>
  <c r="N10" i="28" s="1"/>
  <c r="AL73" i="26" s="1"/>
  <c r="AL80" i="26" s="1"/>
  <c r="C5" i="30"/>
  <c r="F5" i="30" s="1"/>
  <c r="DK39" i="29"/>
  <c r="AI39" i="29" s="1"/>
  <c r="AO27" i="11"/>
  <c r="CR53" i="19"/>
  <c r="AC21" i="15"/>
  <c r="CR103" i="15"/>
  <c r="G103" i="15" s="1"/>
  <c r="AO11" i="29"/>
  <c r="EB25" i="29"/>
  <c r="AO25" i="29" s="1"/>
  <c r="AO80" i="29"/>
  <c r="AO81" i="29" s="1"/>
  <c r="AO85" i="29" s="1"/>
  <c r="DG19" i="29"/>
  <c r="DO19" i="29"/>
  <c r="DH19" i="29"/>
  <c r="DP19" i="29"/>
  <c r="DI19" i="29"/>
  <c r="DQ19" i="29"/>
  <c r="DJ19" i="29"/>
  <c r="DR19" i="29"/>
  <c r="DK19" i="29"/>
  <c r="DL19" i="29"/>
  <c r="DM19" i="29"/>
  <c r="DN19" i="29"/>
  <c r="HM23" i="7"/>
  <c r="CW52" i="19"/>
  <c r="CW179" i="19" s="1"/>
  <c r="DK84" i="15"/>
  <c r="DK20" i="15" s="1"/>
  <c r="DK66" i="15"/>
  <c r="DK78" i="15"/>
  <c r="DK19" i="15" s="1"/>
  <c r="EY44" i="24"/>
  <c r="EZ45" i="24" s="1"/>
  <c r="CZ65" i="15"/>
  <c r="CZ83" i="15"/>
  <c r="CZ77" i="15"/>
  <c r="GR7" i="25"/>
  <c r="GH12" i="25"/>
  <c r="GH11" i="25"/>
  <c r="GH13" i="25" s="1"/>
  <c r="AN11" i="29"/>
  <c r="AH27" i="35"/>
  <c r="HA10" i="7"/>
  <c r="AF19" i="29"/>
  <c r="CS54" i="19"/>
  <c r="CS191" i="19" s="1"/>
  <c r="CS104" i="15"/>
  <c r="V13" i="36"/>
  <c r="CR61" i="19"/>
  <c r="AC32" i="15"/>
  <c r="CR109" i="15"/>
  <c r="CW67" i="15"/>
  <c r="CW79" i="15"/>
  <c r="CW30" i="15" s="1"/>
  <c r="S69" i="22"/>
  <c r="V13" i="30"/>
  <c r="AD13" i="30"/>
  <c r="W13" i="30"/>
  <c r="AE13" i="30"/>
  <c r="X13" i="30"/>
  <c r="AF13" i="30"/>
  <c r="Y13" i="30"/>
  <c r="AG13" i="30"/>
  <c r="Z13" i="30"/>
  <c r="S13" i="30"/>
  <c r="AA13" i="30"/>
  <c r="T13" i="30"/>
  <c r="AB13" i="30"/>
  <c r="U13" i="30"/>
  <c r="AC13" i="30"/>
  <c r="E25" i="30"/>
  <c r="D25" i="30" s="1"/>
  <c r="DK53" i="15"/>
  <c r="DG53" i="15"/>
  <c r="CT62" i="19"/>
  <c r="CT265" i="19" s="1"/>
  <c r="CT110" i="15"/>
  <c r="DK90" i="24"/>
  <c r="DL91" i="24" s="1"/>
  <c r="DM92" i="24" s="1"/>
  <c r="G32" i="15"/>
  <c r="CW65" i="15"/>
  <c r="CW77" i="15"/>
  <c r="CR45" i="19"/>
  <c r="AC10" i="15"/>
  <c r="CR43" i="15"/>
  <c r="CR97" i="15"/>
  <c r="CA32" i="24"/>
  <c r="W31" i="24"/>
  <c r="DK41" i="24"/>
  <c r="DH89" i="24"/>
  <c r="DI90" i="24" s="1"/>
  <c r="DJ91" i="24" s="1"/>
  <c r="DQ59" i="24"/>
  <c r="DR60" i="24" s="1"/>
  <c r="DE65" i="15"/>
  <c r="DE77" i="15"/>
  <c r="DE83" i="15" s="1"/>
  <c r="EG78" i="29"/>
  <c r="EO78" i="29"/>
  <c r="EH78" i="29"/>
  <c r="EP78" i="29"/>
  <c r="EI78" i="29"/>
  <c r="EJ78" i="29"/>
  <c r="EK78" i="29"/>
  <c r="EL78" i="29"/>
  <c r="EE78" i="29"/>
  <c r="EM78" i="29"/>
  <c r="EF78" i="29"/>
  <c r="EN78" i="29"/>
  <c r="K160" i="29"/>
  <c r="K80" i="29"/>
  <c r="S27" i="29"/>
  <c r="V28" i="29"/>
  <c r="H78" i="15"/>
  <c r="CU19" i="15"/>
  <c r="AD78" i="15"/>
  <c r="DO36" i="24"/>
  <c r="AJ35" i="24"/>
  <c r="AV35" i="24"/>
  <c r="U77" i="37"/>
  <c r="U72" i="37"/>
  <c r="AB104" i="15"/>
  <c r="K140" i="29"/>
  <c r="L101" i="29"/>
  <c r="CT53" i="19"/>
  <c r="CT185" i="19" s="1"/>
  <c r="CT103" i="15"/>
  <c r="HM14" i="7"/>
  <c r="CX77" i="15"/>
  <c r="CX65" i="15"/>
  <c r="CX83" i="15"/>
  <c r="AE53" i="15"/>
  <c r="CO45" i="19"/>
  <c r="CO43" i="15"/>
  <c r="AB10" i="15"/>
  <c r="CO97" i="15"/>
  <c r="G10" i="15"/>
  <c r="I54" i="15"/>
  <c r="I66" i="15" s="1"/>
  <c r="AH54" i="15"/>
  <c r="DG66" i="15"/>
  <c r="DG78" i="15"/>
  <c r="DG84" i="15"/>
  <c r="CP13" i="1"/>
  <c r="CR35" i="24"/>
  <c r="DJ37" i="24"/>
  <c r="AA12" i="29"/>
  <c r="CL33" i="29"/>
  <c r="AA33" i="29" s="1"/>
  <c r="CP52" i="24"/>
  <c r="CQ53" i="24" s="1"/>
  <c r="CR54" i="24" s="1"/>
  <c r="DN66" i="15"/>
  <c r="DN78" i="15"/>
  <c r="DN19" i="15" s="1"/>
  <c r="AR56" i="24"/>
  <c r="V14" i="36"/>
  <c r="CC50" i="19"/>
  <c r="X50" i="19" s="1"/>
  <c r="X55" i="19" s="1"/>
  <c r="X18" i="15"/>
  <c r="CC25" i="15"/>
  <c r="CB23" i="15"/>
  <c r="CC91" i="15"/>
  <c r="CC26" i="15"/>
  <c r="CY36" i="21"/>
  <c r="CY51" i="19"/>
  <c r="CY173" i="19" s="1"/>
  <c r="G25" i="15"/>
  <c r="DF14" i="25" s="1"/>
  <c r="G91" i="15"/>
  <c r="H91" i="15" s="1"/>
  <c r="G26" i="15"/>
  <c r="DF15" i="25" s="1"/>
  <c r="G23" i="15"/>
  <c r="AG55" i="15"/>
  <c r="DD67" i="15"/>
  <c r="DD79" i="15"/>
  <c r="CZ36" i="21"/>
  <c r="CZ51" i="19"/>
  <c r="CZ173" i="19" s="1"/>
  <c r="DU37" i="24"/>
  <c r="AL36" i="24"/>
  <c r="F34" i="29"/>
  <c r="G30" i="29" s="1"/>
  <c r="CC58" i="19"/>
  <c r="X58" i="19" s="1"/>
  <c r="X63" i="19" s="1"/>
  <c r="CB34" i="15"/>
  <c r="X29" i="15"/>
  <c r="CC36" i="15"/>
  <c r="CC92" i="15"/>
  <c r="CC37" i="15"/>
  <c r="Z31" i="24"/>
  <c r="CJ32" i="24"/>
  <c r="G31" i="24"/>
  <c r="FE17" i="7"/>
  <c r="AF86" i="22"/>
  <c r="AF85" i="22"/>
  <c r="AF84" i="22"/>
  <c r="DJ66" i="15"/>
  <c r="DJ78" i="15"/>
  <c r="AI54" i="15"/>
  <c r="DL66" i="15"/>
  <c r="DL78" i="15"/>
  <c r="DL19" i="15" s="1"/>
  <c r="EI60" i="24"/>
  <c r="CP69" i="19"/>
  <c r="CP111" i="19"/>
  <c r="GP13" i="7"/>
  <c r="HB8" i="7"/>
  <c r="DD65" i="15"/>
  <c r="DD77" i="15"/>
  <c r="DD83" i="15" s="1"/>
  <c r="AG53" i="15"/>
  <c r="FE22" i="7"/>
  <c r="GH15" i="25"/>
  <c r="GR10" i="25"/>
  <c r="U106" i="37"/>
  <c r="U96" i="37"/>
  <c r="U91" i="37"/>
  <c r="CR54" i="19"/>
  <c r="AC22" i="15"/>
  <c r="CR104" i="15"/>
  <c r="G104" i="15" s="1"/>
  <c r="CY84" i="15"/>
  <c r="CY20" i="15" s="1"/>
  <c r="DB75" i="24"/>
  <c r="DC76" i="24" s="1"/>
  <c r="DD77" i="24" s="1"/>
  <c r="EG38" i="24"/>
  <c r="CO105" i="15"/>
  <c r="CO106" i="15"/>
  <c r="AB103" i="15"/>
  <c r="CT61" i="19"/>
  <c r="CT259" i="19" s="1"/>
  <c r="CT109" i="15"/>
  <c r="DB67" i="15"/>
  <c r="DB79" i="15"/>
  <c r="DB30" i="15" s="1"/>
  <c r="DB85" i="15"/>
  <c r="DB31" i="15" s="1"/>
  <c r="DC67" i="15"/>
  <c r="DC79" i="15"/>
  <c r="DC30" i="15" s="1"/>
  <c r="CZ84" i="15"/>
  <c r="CZ20" i="15" s="1"/>
  <c r="M69" i="22"/>
  <c r="U69" i="22"/>
  <c r="DB21" i="21"/>
  <c r="I21" i="21"/>
  <c r="CU21" i="21"/>
  <c r="DC21" i="21"/>
  <c r="CV21" i="21"/>
  <c r="DD21" i="21"/>
  <c r="CW21" i="21"/>
  <c r="DE21" i="21"/>
  <c r="CX21" i="21"/>
  <c r="DF21" i="21"/>
  <c r="CY21" i="21"/>
  <c r="CZ21" i="21"/>
  <c r="H20" i="21"/>
  <c r="DA21" i="21"/>
  <c r="DR53" i="15"/>
  <c r="DM53" i="15"/>
  <c r="ER58" i="24"/>
  <c r="ES59" i="24" s="1"/>
  <c r="ET60" i="24" s="1"/>
  <c r="FQ11" i="7"/>
  <c r="FQ12" i="7" s="1"/>
  <c r="EK27" i="11"/>
  <c r="AR30" i="1"/>
  <c r="DL36" i="24"/>
  <c r="AI35" i="24"/>
  <c r="EQ68" i="15"/>
  <c r="CW62" i="15"/>
  <c r="EJ36" i="24"/>
  <c r="AQ35" i="24"/>
  <c r="K35" i="24"/>
  <c r="CT45" i="19"/>
  <c r="CT43" i="15"/>
  <c r="CT97" i="15"/>
  <c r="CS73" i="24"/>
  <c r="AC72" i="24"/>
  <c r="B15" i="30"/>
  <c r="C15" i="30"/>
  <c r="A16" i="30"/>
  <c r="DE62" i="15"/>
  <c r="CG32" i="24"/>
  <c r="Y31" i="24"/>
  <c r="AD66" i="15"/>
  <c r="EZ30" i="1"/>
  <c r="AW17" i="1"/>
  <c r="CV71" i="24"/>
  <c r="CW72" i="24" s="1"/>
  <c r="CX73" i="24" s="1"/>
  <c r="EE27" i="11"/>
  <c r="K30" i="1"/>
  <c r="AP30" i="1"/>
  <c r="CP111" i="15"/>
  <c r="CP112" i="15"/>
  <c r="EY37" i="24"/>
  <c r="AV36" i="24"/>
  <c r="CV65" i="15"/>
  <c r="CV77" i="15"/>
  <c r="EK79" i="29"/>
  <c r="EL79" i="29"/>
  <c r="EL18" i="29" s="1"/>
  <c r="EE79" i="29"/>
  <c r="EM79" i="29"/>
  <c r="EM18" i="29" s="1"/>
  <c r="EF79" i="29"/>
  <c r="EF18" i="29" s="1"/>
  <c r="EN79" i="29"/>
  <c r="EG79" i="29"/>
  <c r="EG18" i="29" s="1"/>
  <c r="EO79" i="29"/>
  <c r="EO18" i="29" s="1"/>
  <c r="EH79" i="29"/>
  <c r="EP79" i="29"/>
  <c r="EP18" i="29" s="1"/>
  <c r="EI79" i="29"/>
  <c r="EI18" i="29" s="1"/>
  <c r="EJ79" i="29"/>
  <c r="EJ18" i="29" s="1"/>
  <c r="K161" i="29"/>
  <c r="HM13" i="7"/>
  <c r="HM40" i="7" s="1"/>
  <c r="AK54" i="15"/>
  <c r="DP66" i="15"/>
  <c r="DP78" i="15"/>
  <c r="DP84" i="15" s="1"/>
  <c r="CL31" i="24"/>
  <c r="G30" i="24"/>
  <c r="Z30" i="24"/>
  <c r="AH15" i="38"/>
  <c r="R33" i="34"/>
  <c r="X69" i="22"/>
  <c r="AG78" i="15"/>
  <c r="DD19" i="15"/>
  <c r="Z12" i="29"/>
  <c r="CI33" i="29"/>
  <c r="C2" i="30"/>
  <c r="F2" i="30" s="1"/>
  <c r="I32" i="29"/>
  <c r="D10" i="28" s="1"/>
  <c r="L73" i="26" s="1"/>
  <c r="AH32" i="29"/>
  <c r="M10" i="28" s="1"/>
  <c r="AK73" i="26" s="1"/>
  <c r="AK80" i="26" s="1"/>
  <c r="DH39" i="29"/>
  <c r="BI110" i="1"/>
  <c r="BI99" i="1"/>
  <c r="CY83" i="15"/>
  <c r="CY65" i="15"/>
  <c r="CY77" i="15"/>
  <c r="CX19" i="15"/>
  <c r="AE78" i="15"/>
  <c r="DQ78" i="15"/>
  <c r="DQ19" i="15" s="1"/>
  <c r="DQ66" i="15"/>
  <c r="DT60" i="15"/>
  <c r="DT54" i="15" s="1"/>
  <c r="EB60" i="15"/>
  <c r="EB54" i="15" s="1"/>
  <c r="DV60" i="15"/>
  <c r="DV54" i="15" s="1"/>
  <c r="ED60" i="15"/>
  <c r="ED54" i="15" s="1"/>
  <c r="DW60" i="15"/>
  <c r="DW54" i="15" s="1"/>
  <c r="DX60" i="15"/>
  <c r="DX54" i="15" s="1"/>
  <c r="DY60" i="15"/>
  <c r="DY54" i="15" s="1"/>
  <c r="DZ60" i="15"/>
  <c r="DZ54" i="15" s="1"/>
  <c r="EA60" i="15"/>
  <c r="EA54" i="15" s="1"/>
  <c r="EC60" i="15"/>
  <c r="EC54" i="15" s="1"/>
  <c r="K60" i="15"/>
  <c r="DS60" i="15"/>
  <c r="DS54" i="15" s="1"/>
  <c r="DU60" i="15"/>
  <c r="DU54" i="15" s="1"/>
  <c r="CP34" i="24"/>
  <c r="AB33" i="24"/>
  <c r="DD62" i="15"/>
  <c r="EP37" i="24"/>
  <c r="AS36" i="24"/>
  <c r="AJ32" i="29"/>
  <c r="O10" i="28" s="1"/>
  <c r="AM73" i="26" s="1"/>
  <c r="AM80" i="26" s="1"/>
  <c r="C8" i="30"/>
  <c r="F8" i="30" s="1"/>
  <c r="DN39" i="29"/>
  <c r="AJ39" i="29" s="1"/>
  <c r="FR13" i="7"/>
  <c r="CP105" i="15"/>
  <c r="CP106" i="15"/>
  <c r="AB98" i="15"/>
  <c r="CQ13" i="1"/>
  <c r="CZ37" i="24"/>
  <c r="AE36" i="24"/>
  <c r="CT54" i="19"/>
  <c r="CT191" i="19" s="1"/>
  <c r="CT104" i="15"/>
  <c r="AM11" i="29"/>
  <c r="X106" i="1"/>
  <c r="W113" i="1"/>
  <c r="AF21" i="35"/>
  <c r="AF23" i="35" s="1"/>
  <c r="Y41" i="34"/>
  <c r="Y43" i="34" s="1"/>
  <c r="Y45" i="34" s="1"/>
  <c r="DB65" i="15"/>
  <c r="DB77" i="15"/>
  <c r="DB83" i="15"/>
  <c r="F33" i="8"/>
  <c r="DA79" i="15"/>
  <c r="AF55" i="15"/>
  <c r="DA67" i="15"/>
  <c r="AD55" i="15"/>
  <c r="H55" i="15"/>
  <c r="H67" i="15" s="1"/>
  <c r="CU67" i="15"/>
  <c r="CU79" i="15"/>
  <c r="AK32" i="29"/>
  <c r="P10" i="28" s="1"/>
  <c r="AN73" i="26" s="1"/>
  <c r="AN80" i="26" s="1"/>
  <c r="DQ39" i="29"/>
  <c r="AK39" i="29" s="1"/>
  <c r="C11" i="30"/>
  <c r="F11" i="30" s="1"/>
  <c r="S36" i="38"/>
  <c r="S13" i="38"/>
  <c r="S19" i="38" s="1"/>
  <c r="AF30" i="38"/>
  <c r="O69" i="22"/>
  <c r="P69" i="22"/>
  <c r="FB36" i="24"/>
  <c r="AW35" i="24"/>
  <c r="AM53" i="1"/>
  <c r="DJ53" i="15"/>
  <c r="CP51" i="24"/>
  <c r="CQ52" i="24" s="1"/>
  <c r="CR53" i="24" s="1"/>
  <c r="J11" i="29"/>
  <c r="AL11" i="29"/>
  <c r="DA19" i="15"/>
  <c r="AF78" i="15"/>
  <c r="DH90" i="24"/>
  <c r="DI91" i="24" s="1"/>
  <c r="DJ92" i="24" s="1"/>
  <c r="BC8" i="25"/>
  <c r="BC7" i="25"/>
  <c r="BM27" i="25" s="1"/>
  <c r="AB109" i="15"/>
  <c r="CO111" i="15"/>
  <c r="CO112" i="15"/>
  <c r="G109" i="15"/>
  <c r="EX59" i="24"/>
  <c r="EY60" i="24" s="1"/>
  <c r="CU83" i="15"/>
  <c r="AD53" i="15"/>
  <c r="CU65" i="15"/>
  <c r="H53" i="15"/>
  <c r="CU77" i="15"/>
  <c r="CS45" i="19"/>
  <c r="CS43" i="15"/>
  <c r="CS97" i="15"/>
  <c r="FN15" i="25"/>
  <c r="L111" i="29"/>
  <c r="K141" i="29"/>
  <c r="CV52" i="24"/>
  <c r="CW53" i="24" s="1"/>
  <c r="CX54" i="24" s="1"/>
  <c r="FD17" i="25"/>
  <c r="CD48" i="15"/>
  <c r="CD47" i="15"/>
  <c r="DC65" i="15"/>
  <c r="DC77" i="15"/>
  <c r="DC83" i="15" s="1"/>
  <c r="DT59" i="24"/>
  <c r="DU60" i="24" s="1"/>
  <c r="CU20" i="15"/>
  <c r="AD84" i="15"/>
  <c r="FN12" i="25"/>
  <c r="FN11" i="25"/>
  <c r="FN13" i="25" s="1"/>
  <c r="HB10" i="7"/>
  <c r="GP15" i="7"/>
  <c r="AD79" i="22"/>
  <c r="J80" i="22"/>
  <c r="CV62" i="15"/>
  <c r="AB54" i="19"/>
  <c r="CO191" i="19"/>
  <c r="G54" i="19"/>
  <c r="U137" i="37"/>
  <c r="DM112" i="1"/>
  <c r="DN112" i="1"/>
  <c r="DG112" i="1"/>
  <c r="DO112" i="1"/>
  <c r="DH112" i="1"/>
  <c r="DP112" i="1"/>
  <c r="DI112" i="1"/>
  <c r="DQ112" i="1"/>
  <c r="DJ112" i="1"/>
  <c r="DR112" i="1"/>
  <c r="DK112" i="1"/>
  <c r="J112" i="1"/>
  <c r="DL112" i="1"/>
  <c r="DS25" i="29"/>
  <c r="AL80" i="29"/>
  <c r="AL81" i="29" s="1"/>
  <c r="AL85" i="29" s="1"/>
  <c r="I12" i="29"/>
  <c r="I13" i="29" s="1"/>
  <c r="J9" i="29" s="1"/>
  <c r="EO59" i="24"/>
  <c r="EP60" i="24" s="1"/>
  <c r="CM47" i="19"/>
  <c r="CN7" i="15"/>
  <c r="CM45" i="15"/>
  <c r="T20" i="29"/>
  <c r="W21" i="29"/>
  <c r="CS61" i="19"/>
  <c r="CS259" i="19" s="1"/>
  <c r="CS109" i="15"/>
  <c r="AV17" i="1"/>
  <c r="EW30" i="1"/>
  <c r="DR66" i="15"/>
  <c r="DR78" i="15"/>
  <c r="DR19" i="15" s="1"/>
  <c r="CM63" i="19"/>
  <c r="CN29" i="15"/>
  <c r="DC52" i="19"/>
  <c r="DC179" i="19" s="1"/>
  <c r="CR33" i="29"/>
  <c r="AC33" i="29" s="1"/>
  <c r="AC12" i="29"/>
  <c r="T34" i="37"/>
  <c r="T10" i="35"/>
  <c r="EW68" i="15"/>
  <c r="CY62" i="15"/>
  <c r="DI66" i="15"/>
  <c r="DI84" i="15"/>
  <c r="DI20" i="15" s="1"/>
  <c r="DI78" i="15"/>
  <c r="DI19" i="15" s="1"/>
  <c r="FQ13" i="7"/>
  <c r="CQ70" i="19"/>
  <c r="CQ117" i="19"/>
  <c r="DF36" i="21"/>
  <c r="DF51" i="19"/>
  <c r="DF173" i="19" s="1"/>
  <c r="GH14" i="25"/>
  <c r="GR9" i="25"/>
  <c r="AB44" i="15"/>
  <c r="AG19" i="29"/>
  <c r="CM48" i="15"/>
  <c r="CM47" i="15"/>
  <c r="DE36" i="21"/>
  <c r="DE51" i="19"/>
  <c r="DE173" i="19" s="1"/>
  <c r="S24" i="35"/>
  <c r="S39" i="35"/>
  <c r="FD23" i="25"/>
  <c r="Y12" i="30"/>
  <c r="R12" i="30"/>
  <c r="Z12" i="30"/>
  <c r="S12" i="30"/>
  <c r="AA12" i="30"/>
  <c r="E24" i="30"/>
  <c r="D24" i="30" s="1"/>
  <c r="T12" i="30"/>
  <c r="AB12" i="30"/>
  <c r="U12" i="30"/>
  <c r="AC12" i="30"/>
  <c r="V12" i="30"/>
  <c r="AD12" i="30"/>
  <c r="W12" i="30"/>
  <c r="AE12" i="30"/>
  <c r="X12" i="30"/>
  <c r="AF12" i="30"/>
  <c r="EZ36" i="24"/>
  <c r="L36" i="24" s="1"/>
  <c r="CZ67" i="15"/>
  <c r="CZ79" i="15"/>
  <c r="CZ30" i="15" s="1"/>
  <c r="DK61" i="15"/>
  <c r="DK55" i="15" s="1"/>
  <c r="DM61" i="15"/>
  <c r="DM55" i="15" s="1"/>
  <c r="DN61" i="15"/>
  <c r="DN55" i="15" s="1"/>
  <c r="DG61" i="15"/>
  <c r="DG55" i="15" s="1"/>
  <c r="DO61" i="15"/>
  <c r="DO55" i="15" s="1"/>
  <c r="DH61" i="15"/>
  <c r="DH55" i="15" s="1"/>
  <c r="DP61" i="15"/>
  <c r="DP55" i="15" s="1"/>
  <c r="DI61" i="15"/>
  <c r="DI55" i="15" s="1"/>
  <c r="DQ61" i="15"/>
  <c r="DQ55" i="15" s="1"/>
  <c r="J61" i="15"/>
  <c r="DJ61" i="15"/>
  <c r="DJ55" i="15" s="1"/>
  <c r="DL61" i="15"/>
  <c r="DL55" i="15" s="1"/>
  <c r="DR61" i="15"/>
  <c r="DR55" i="15" s="1"/>
  <c r="FX15" i="25"/>
  <c r="FF21" i="7"/>
  <c r="V69" i="22"/>
  <c r="AM27" i="11"/>
  <c r="DQ62" i="15"/>
  <c r="DQ53" i="15"/>
  <c r="CS52" i="24"/>
  <c r="CT53" i="24" s="1"/>
  <c r="CU54" i="24" s="1"/>
  <c r="CV51" i="24"/>
  <c r="CW52" i="24" s="1"/>
  <c r="CX53" i="24" s="1"/>
  <c r="BL63" i="1"/>
  <c r="BL68" i="1" s="1"/>
  <c r="O59" i="2"/>
  <c r="DT58" i="24"/>
  <c r="DU59" i="24" s="1"/>
  <c r="DV60" i="24" s="1"/>
  <c r="CU62" i="15"/>
  <c r="AU17" i="1"/>
  <c r="ET30" i="1"/>
  <c r="DB36" i="21"/>
  <c r="DB51" i="19"/>
  <c r="DB173" i="19" s="1"/>
  <c r="GD11" i="7"/>
  <c r="GD12" i="7" s="1"/>
  <c r="DB74" i="24"/>
  <c r="DC75" i="24" s="1"/>
  <c r="DD76" i="24" s="1"/>
  <c r="DC62" i="15"/>
  <c r="O37" i="29"/>
  <c r="HA9" i="7"/>
  <c r="ED36" i="24"/>
  <c r="J36" i="24" s="1"/>
  <c r="AO35" i="24"/>
  <c r="CY77" i="24"/>
  <c r="FE23" i="7"/>
  <c r="CZ12" i="29"/>
  <c r="DA12" i="29"/>
  <c r="DB12" i="29"/>
  <c r="DB33" i="29" s="1"/>
  <c r="CU12" i="29"/>
  <c r="DC12" i="29"/>
  <c r="DC33" i="29" s="1"/>
  <c r="CV12" i="29"/>
  <c r="CV33" i="29" s="1"/>
  <c r="DD12" i="29"/>
  <c r="CW12" i="29"/>
  <c r="CW33" i="29" s="1"/>
  <c r="DE12" i="29"/>
  <c r="DE33" i="29" s="1"/>
  <c r="CX12" i="29"/>
  <c r="DF12" i="29"/>
  <c r="DF33" i="29" s="1"/>
  <c r="CY12" i="29"/>
  <c r="CY33" i="29" s="1"/>
  <c r="HM32" i="7"/>
  <c r="HM42" i="7" s="1"/>
  <c r="AG84" i="15"/>
  <c r="DD20" i="15"/>
  <c r="EI58" i="24"/>
  <c r="EJ59" i="24" s="1"/>
  <c r="EK60" i="24" s="1"/>
  <c r="CX20" i="15"/>
  <c r="AE84" i="15"/>
  <c r="P7" i="30"/>
  <c r="X7" i="30"/>
  <c r="Q7" i="30"/>
  <c r="Y7" i="30"/>
  <c r="E19" i="30"/>
  <c r="D19" i="30" s="1"/>
  <c r="R7" i="30"/>
  <c r="Z7" i="30"/>
  <c r="S7" i="30"/>
  <c r="AA7" i="30"/>
  <c r="T7" i="30"/>
  <c r="M7" i="30"/>
  <c r="U7" i="30"/>
  <c r="N7" i="30"/>
  <c r="V7" i="30"/>
  <c r="O7" i="30"/>
  <c r="W7" i="30"/>
  <c r="W69" i="22"/>
  <c r="DI62" i="15"/>
  <c r="DI53" i="15"/>
  <c r="CY52" i="24"/>
  <c r="CZ53" i="24" s="1"/>
  <c r="DA54" i="24" s="1"/>
  <c r="DA84" i="15"/>
  <c r="H84" i="15" s="1"/>
  <c r="DC37" i="24"/>
  <c r="AF36" i="24"/>
  <c r="CK37" i="24"/>
  <c r="CL38" i="24" s="1"/>
  <c r="G44" i="25"/>
  <c r="G44" i="7"/>
  <c r="AC36" i="15"/>
  <c r="DP14" i="7" s="1"/>
  <c r="AB36" i="15"/>
  <c r="DO14" i="7" s="1"/>
  <c r="AB37" i="15"/>
  <c r="DO15" i="7" s="1"/>
  <c r="AC37" i="15"/>
  <c r="DP15" i="7" s="1"/>
  <c r="BW31" i="24"/>
  <c r="U30" i="24"/>
  <c r="DB52" i="19"/>
  <c r="DB179" i="19" s="1"/>
  <c r="FN14" i="25"/>
  <c r="CM55" i="19"/>
  <c r="CN18" i="15"/>
  <c r="FF17" i="7"/>
  <c r="FF24" i="7" s="1"/>
  <c r="G33" i="15"/>
  <c r="CQ112" i="15"/>
  <c r="CQ111" i="15"/>
  <c r="CC47" i="19"/>
  <c r="CC71" i="19" s="1"/>
  <c r="CC7" i="15"/>
  <c r="CC45" i="15"/>
  <c r="CT46" i="19"/>
  <c r="CT44" i="15"/>
  <c r="CT98" i="15"/>
  <c r="O38" i="29"/>
  <c r="R110" i="26" s="1"/>
  <c r="R112" i="26" s="1"/>
  <c r="EZ68" i="15"/>
  <c r="CP277" i="19"/>
  <c r="V37" i="36"/>
  <c r="U125" i="37"/>
  <c r="V146" i="36"/>
  <c r="V147" i="36" s="1"/>
  <c r="DV25" i="29"/>
  <c r="AM25" i="29" s="1"/>
  <c r="AM80" i="29"/>
  <c r="AM81" i="29" s="1"/>
  <c r="AM85" i="29" s="1"/>
  <c r="DY25" i="29"/>
  <c r="AN25" i="29" s="1"/>
  <c r="AN80" i="29"/>
  <c r="AN81" i="29" s="1"/>
  <c r="AN85" i="29" s="1"/>
  <c r="U118" i="37"/>
  <c r="HM33" i="7"/>
  <c r="H28" i="11"/>
  <c r="H29" i="11"/>
  <c r="CQ100" i="15"/>
  <c r="CQ99" i="15"/>
  <c r="DD36" i="24"/>
  <c r="AF53" i="15"/>
  <c r="DA65" i="15"/>
  <c r="DA77" i="15"/>
  <c r="DA83" i="15" s="1"/>
  <c r="EP44" i="24"/>
  <c r="AS43" i="24"/>
  <c r="EV37" i="24"/>
  <c r="AU36" i="24"/>
  <c r="DE52" i="19"/>
  <c r="DE179" i="19" s="1"/>
  <c r="AC25" i="15"/>
  <c r="DF14" i="7" s="1"/>
  <c r="AB25" i="15"/>
  <c r="DE14" i="7" s="1"/>
  <c r="AB26" i="15"/>
  <c r="DE15" i="7" s="1"/>
  <c r="AC26" i="15"/>
  <c r="DF15" i="7" s="1"/>
  <c r="CP70" i="19"/>
  <c r="CP117" i="19"/>
  <c r="CM52" i="24"/>
  <c r="CN53" i="24" s="1"/>
  <c r="CO54" i="24" s="1"/>
  <c r="CE37" i="24"/>
  <c r="CF38" i="24" s="1"/>
  <c r="CY67" i="15"/>
  <c r="CY79" i="15"/>
  <c r="CY30" i="15" s="1"/>
  <c r="CY85" i="15"/>
  <c r="CY31" i="15" s="1"/>
  <c r="FQ14" i="7"/>
  <c r="CQ105" i="15"/>
  <c r="CQ106" i="15" s="1"/>
  <c r="AG66" i="15"/>
  <c r="I26" i="29"/>
  <c r="I27" i="29" s="1"/>
  <c r="J23" i="29" s="1"/>
  <c r="AE66" i="15"/>
  <c r="U117" i="37"/>
  <c r="U116" i="37"/>
  <c r="EL60" i="24"/>
  <c r="DX37" i="24"/>
  <c r="AM36" i="24"/>
  <c r="DF52" i="19"/>
  <c r="DF179" i="19" s="1"/>
  <c r="EN27" i="11"/>
  <c r="AS30" i="1"/>
  <c r="CP203" i="19"/>
  <c r="AB46" i="19"/>
  <c r="CO70" i="19"/>
  <c r="CO117" i="19"/>
  <c r="G46" i="19"/>
  <c r="HA8" i="7"/>
  <c r="HA11" i="7" s="1"/>
  <c r="HA12" i="7" s="1"/>
  <c r="AB53" i="19"/>
  <c r="CO185" i="19"/>
  <c r="G53" i="19"/>
  <c r="AN53" i="1"/>
  <c r="AA18" i="38"/>
  <c r="AA31" i="35" s="1"/>
  <c r="AA33" i="35" s="1"/>
  <c r="AH26" i="38"/>
  <c r="AH27" i="38" s="1"/>
  <c r="DF67" i="15"/>
  <c r="DF85" i="15"/>
  <c r="DF31" i="15" s="1"/>
  <c r="DF79" i="15"/>
  <c r="DF30" i="15" s="1"/>
  <c r="AL53" i="1"/>
  <c r="T69" i="22"/>
  <c r="DN62" i="15"/>
  <c r="DN53" i="15"/>
  <c r="DP62" i="15"/>
  <c r="DP53" i="15"/>
  <c r="I28" i="11"/>
  <c r="I29" i="11"/>
  <c r="AF66" i="15"/>
  <c r="DG36" i="24"/>
  <c r="AG35" i="24"/>
  <c r="L3" i="30"/>
  <c r="T3" i="30"/>
  <c r="M3" i="30"/>
  <c r="U3" i="30"/>
  <c r="N3" i="30"/>
  <c r="V3" i="30"/>
  <c r="O3" i="30"/>
  <c r="W3" i="30"/>
  <c r="P3" i="30"/>
  <c r="I3" i="30"/>
  <c r="Q3" i="30"/>
  <c r="E15" i="30"/>
  <c r="D15" i="30" s="1"/>
  <c r="J3" i="30"/>
  <c r="R3" i="30"/>
  <c r="K3" i="30"/>
  <c r="S3" i="30"/>
  <c r="CV72" i="24"/>
  <c r="CW73" i="24" s="1"/>
  <c r="CX74" i="24" s="1"/>
  <c r="FX11" i="25"/>
  <c r="AB61" i="19"/>
  <c r="CO259" i="19"/>
  <c r="G61" i="19"/>
  <c r="AB110" i="15"/>
  <c r="G110" i="15"/>
  <c r="CR46" i="19"/>
  <c r="AC11" i="15"/>
  <c r="CR44" i="15"/>
  <c r="AC44" i="15" s="1"/>
  <c r="CR98" i="15"/>
  <c r="G98" i="15" s="1"/>
  <c r="CV36" i="21"/>
  <c r="CV51" i="19"/>
  <c r="CV173" i="19" s="1"/>
  <c r="GD15" i="7"/>
  <c r="GO11" i="7"/>
  <c r="GO14" i="7" s="1"/>
  <c r="DB51" i="24"/>
  <c r="DC52" i="24" s="1"/>
  <c r="DD53" i="24" s="1"/>
  <c r="AO53" i="1"/>
  <c r="BU32" i="24"/>
  <c r="U31" i="24"/>
  <c r="EB81" i="29"/>
  <c r="EB85" i="29" s="1"/>
  <c r="U99" i="37"/>
  <c r="L80" i="26" l="1"/>
  <c r="AV66" i="26"/>
  <c r="N65" i="26"/>
  <c r="N66" i="26" s="1"/>
  <c r="N67" i="26" s="1"/>
  <c r="CZ33" i="29"/>
  <c r="J20" i="29"/>
  <c r="K16" i="29" s="1"/>
  <c r="AD26" i="29"/>
  <c r="AI19" i="29"/>
  <c r="Q124" i="26"/>
  <c r="Q123" i="26"/>
  <c r="R120" i="26"/>
  <c r="R97" i="26"/>
  <c r="R87" i="26" s="1"/>
  <c r="AJ19" i="29"/>
  <c r="AH33" i="35"/>
  <c r="DF86" i="15"/>
  <c r="DF9" i="15"/>
  <c r="G105" i="15"/>
  <c r="G106" i="15"/>
  <c r="H106" i="15" s="1"/>
  <c r="DD9" i="15"/>
  <c r="AG83" i="15"/>
  <c r="DA9" i="15"/>
  <c r="AF83" i="15"/>
  <c r="DC9" i="15"/>
  <c r="DP20" i="15"/>
  <c r="J26" i="29"/>
  <c r="J12" i="29"/>
  <c r="J13" i="29" s="1"/>
  <c r="K9" i="29" s="1"/>
  <c r="DE9" i="15"/>
  <c r="CX31" i="15"/>
  <c r="HA14" i="7"/>
  <c r="DQ65" i="15"/>
  <c r="DQ77" i="15"/>
  <c r="DP67" i="15"/>
  <c r="AK55" i="15"/>
  <c r="DP79" i="15"/>
  <c r="CZ59" i="19"/>
  <c r="CZ247" i="19" s="1"/>
  <c r="CL94" i="15"/>
  <c r="DF174" i="19"/>
  <c r="DF176" i="19"/>
  <c r="DF177" i="19"/>
  <c r="DF175" i="19"/>
  <c r="DI52" i="19"/>
  <c r="DI179" i="19" s="1"/>
  <c r="CS99" i="15"/>
  <c r="CS100" i="15" s="1"/>
  <c r="CU9" i="15"/>
  <c r="DA51" i="19"/>
  <c r="AF19" i="15"/>
  <c r="CU30" i="15"/>
  <c r="H79" i="15"/>
  <c r="AD79" i="15"/>
  <c r="AF79" i="15"/>
  <c r="DA30" i="15"/>
  <c r="DA38" i="24"/>
  <c r="AE37" i="24"/>
  <c r="EA66" i="15"/>
  <c r="EA78" i="15"/>
  <c r="EA19" i="15" s="1"/>
  <c r="DT66" i="15"/>
  <c r="DT84" i="15"/>
  <c r="DT20" i="15" s="1"/>
  <c r="DT78" i="15"/>
  <c r="DT19" i="15" s="1"/>
  <c r="CY9" i="15"/>
  <c r="CY86" i="15"/>
  <c r="EE18" i="29"/>
  <c r="AP79" i="29"/>
  <c r="CY74" i="24"/>
  <c r="CZ75" i="24" s="1"/>
  <c r="DA76" i="24" s="1"/>
  <c r="CH33" i="24"/>
  <c r="Y32" i="24"/>
  <c r="CZ52" i="19"/>
  <c r="CZ179" i="19" s="1"/>
  <c r="DJ19" i="15"/>
  <c r="AI78" i="15"/>
  <c r="CS36" i="24"/>
  <c r="AC35" i="24"/>
  <c r="CP114" i="1"/>
  <c r="CP98" i="1"/>
  <c r="CP97" i="1"/>
  <c r="CP88" i="1"/>
  <c r="CP14" i="1"/>
  <c r="AB45" i="19"/>
  <c r="CO69" i="19"/>
  <c r="CO111" i="19"/>
  <c r="G45" i="19"/>
  <c r="G47" i="19" s="1"/>
  <c r="H42" i="19" s="1"/>
  <c r="EI11" i="29"/>
  <c r="CR94" i="15"/>
  <c r="AC43" i="15"/>
  <c r="CR13" i="1"/>
  <c r="DK62" i="15"/>
  <c r="CR111" i="15"/>
  <c r="CR112" i="15" s="1"/>
  <c r="AC109" i="15"/>
  <c r="AA49" i="34"/>
  <c r="AK27" i="35"/>
  <c r="GR12" i="25"/>
  <c r="GR11" i="25"/>
  <c r="GR13" i="25" s="1"/>
  <c r="DK52" i="19"/>
  <c r="DK179" i="19" s="1"/>
  <c r="N5" i="30"/>
  <c r="V5" i="30"/>
  <c r="O5" i="30"/>
  <c r="W5" i="30"/>
  <c r="P5" i="30"/>
  <c r="X5" i="30"/>
  <c r="Q5" i="30"/>
  <c r="Y5" i="30"/>
  <c r="R5" i="30"/>
  <c r="K5" i="30"/>
  <c r="S5" i="30"/>
  <c r="L5" i="30"/>
  <c r="T5" i="30"/>
  <c r="M5" i="30"/>
  <c r="U5" i="30"/>
  <c r="E17" i="30"/>
  <c r="D17" i="30" s="1"/>
  <c r="BF13" i="29"/>
  <c r="BG9" i="29" s="1"/>
  <c r="BF30" i="29"/>
  <c r="BF34" i="29" s="1"/>
  <c r="BF37" i="29" s="1"/>
  <c r="BF38" i="29" s="1"/>
  <c r="DV53" i="15"/>
  <c r="DW53" i="15"/>
  <c r="HB14" i="7"/>
  <c r="HB11" i="7"/>
  <c r="HB12" i="7"/>
  <c r="CD32" i="24"/>
  <c r="X31" i="24"/>
  <c r="U20" i="29"/>
  <c r="X21" i="29"/>
  <c r="CQ129" i="19"/>
  <c r="DO36" i="21"/>
  <c r="DO51" i="19"/>
  <c r="DO173" i="19" s="1"/>
  <c r="AQ53" i="1"/>
  <c r="DH54" i="24"/>
  <c r="DI55" i="24" s="1"/>
  <c r="DJ56" i="24" s="1"/>
  <c r="DH36" i="21"/>
  <c r="DH51" i="19"/>
  <c r="DH173" i="19" s="1"/>
  <c r="CY75" i="24"/>
  <c r="CZ76" i="24" s="1"/>
  <c r="DA77" i="24" s="1"/>
  <c r="I33" i="11"/>
  <c r="I17" i="11"/>
  <c r="AB117" i="19"/>
  <c r="DE54" i="24"/>
  <c r="DF55" i="24" s="1"/>
  <c r="DG56" i="24" s="1"/>
  <c r="AC46" i="19"/>
  <c r="CR70" i="19"/>
  <c r="CR117" i="19"/>
  <c r="G117" i="19" s="1"/>
  <c r="AK53" i="15"/>
  <c r="DP65" i="15"/>
  <c r="DP77" i="15"/>
  <c r="DF37" i="21"/>
  <c r="DF59" i="19"/>
  <c r="DF247" i="19" s="1"/>
  <c r="AB185" i="19"/>
  <c r="CO203" i="19"/>
  <c r="AB70" i="19"/>
  <c r="CY37" i="21"/>
  <c r="CY59" i="19"/>
  <c r="CY247" i="19" s="1"/>
  <c r="DE180" i="19"/>
  <c r="DE181" i="19"/>
  <c r="DE182" i="19"/>
  <c r="DE183" i="19"/>
  <c r="U134" i="37"/>
  <c r="U129" i="37"/>
  <c r="DI83" i="15"/>
  <c r="DI65" i="15"/>
  <c r="DI77" i="15"/>
  <c r="DD52" i="19"/>
  <c r="AG20" i="15"/>
  <c r="AG12" i="29"/>
  <c r="DD33" i="29"/>
  <c r="AG33" i="29" s="1"/>
  <c r="CZ78" i="24"/>
  <c r="DA79" i="24" s="1"/>
  <c r="DB174" i="19"/>
  <c r="DB175" i="19"/>
  <c r="DB176" i="19"/>
  <c r="DB177" i="19"/>
  <c r="DH67" i="15"/>
  <c r="DH79" i="15"/>
  <c r="DH30" i="15" s="1"/>
  <c r="DH85" i="15"/>
  <c r="DH31" i="15" s="1"/>
  <c r="CK94" i="15"/>
  <c r="DC180" i="19"/>
  <c r="DC181" i="19"/>
  <c r="DC183" i="19"/>
  <c r="DC182" i="19"/>
  <c r="CN42" i="19"/>
  <c r="CN12" i="15"/>
  <c r="CN90" i="15"/>
  <c r="CN40" i="15"/>
  <c r="CN15" i="15"/>
  <c r="CN14" i="15"/>
  <c r="J25" i="29"/>
  <c r="AL25" i="29"/>
  <c r="G55" i="19"/>
  <c r="H50" i="19" s="1"/>
  <c r="CU52" i="19"/>
  <c r="AD20" i="15"/>
  <c r="CS94" i="15"/>
  <c r="CS13" i="1"/>
  <c r="DS32" i="29"/>
  <c r="X110" i="1"/>
  <c r="AA99" i="1"/>
  <c r="AI12" i="7" s="1"/>
  <c r="DZ66" i="15"/>
  <c r="DZ78" i="15"/>
  <c r="DZ19" i="15" s="1"/>
  <c r="DQ84" i="15"/>
  <c r="DQ20" i="15" s="1"/>
  <c r="O2" i="30"/>
  <c r="E14" i="30"/>
  <c r="D14" i="30" s="1"/>
  <c r="H2" i="30"/>
  <c r="H51" i="30" s="1"/>
  <c r="P2" i="30"/>
  <c r="I2" i="30"/>
  <c r="I51" i="30" s="1"/>
  <c r="Q2" i="30"/>
  <c r="J2" i="30"/>
  <c r="J51" i="30" s="1"/>
  <c r="R2" i="30"/>
  <c r="K2" i="30"/>
  <c r="K51" i="30" s="1"/>
  <c r="S2" i="30"/>
  <c r="L2" i="30"/>
  <c r="L51" i="30" s="1"/>
  <c r="T2" i="30"/>
  <c r="M2" i="30"/>
  <c r="M51" i="30" s="1"/>
  <c r="U2" i="30"/>
  <c r="N2" i="30"/>
  <c r="V2" i="30"/>
  <c r="CT100" i="15"/>
  <c r="CT99" i="15"/>
  <c r="EK37" i="24"/>
  <c r="AQ36" i="24"/>
  <c r="K36" i="24"/>
  <c r="DM37" i="24"/>
  <c r="AI36" i="24"/>
  <c r="DC85" i="15"/>
  <c r="DC31" i="15" s="1"/>
  <c r="AC54" i="19"/>
  <c r="CR191" i="19"/>
  <c r="DV38" i="24"/>
  <c r="AL37" i="24"/>
  <c r="CS55" i="24"/>
  <c r="CT56" i="24" s="1"/>
  <c r="CU57" i="24" s="1"/>
  <c r="AE56" i="15"/>
  <c r="AE59" i="15" s="1"/>
  <c r="AE65" i="15"/>
  <c r="DP37" i="24"/>
  <c r="AJ36" i="24"/>
  <c r="EN11" i="29"/>
  <c r="AS78" i="29"/>
  <c r="EP11" i="29"/>
  <c r="DN93" i="24"/>
  <c r="DO94" i="24" s="1"/>
  <c r="DP95" i="24" s="1"/>
  <c r="FF22" i="7"/>
  <c r="CZ8" i="15"/>
  <c r="CZ80" i="15"/>
  <c r="CZ74" i="15" s="1"/>
  <c r="AH19" i="29"/>
  <c r="AC110" i="15"/>
  <c r="DT53" i="15"/>
  <c r="EC53" i="15"/>
  <c r="EB38" i="24"/>
  <c r="AN37" i="24"/>
  <c r="ET38" i="24"/>
  <c r="AT37" i="24"/>
  <c r="CY49" i="24"/>
  <c r="CZ50" i="24" s="1"/>
  <c r="DA51" i="24" s="1"/>
  <c r="AO36" i="24"/>
  <c r="EC37" i="24"/>
  <c r="FR14" i="7"/>
  <c r="HB33" i="25"/>
  <c r="HB42" i="25"/>
  <c r="FQ15" i="7"/>
  <c r="BW20" i="29"/>
  <c r="BX16" i="29" s="1"/>
  <c r="BX20" i="29" s="1"/>
  <c r="BY16" i="29" s="1"/>
  <c r="BY20" i="29" s="1"/>
  <c r="BZ16" i="29" s="1"/>
  <c r="V16" i="29"/>
  <c r="DO52" i="19"/>
  <c r="DO179" i="19" s="1"/>
  <c r="AQ27" i="11"/>
  <c r="AG26" i="29"/>
  <c r="AD97" i="22"/>
  <c r="AS53" i="1"/>
  <c r="CY60" i="19"/>
  <c r="CY253" i="19" s="1"/>
  <c r="H33" i="11"/>
  <c r="H17" i="11"/>
  <c r="GO12" i="7"/>
  <c r="GO13" i="7"/>
  <c r="AB259" i="19"/>
  <c r="CO277" i="19"/>
  <c r="DF60" i="19"/>
  <c r="DF253" i="19" s="1"/>
  <c r="AS27" i="11"/>
  <c r="DJ26" i="29"/>
  <c r="DR26" i="29"/>
  <c r="DK26" i="29"/>
  <c r="DL26" i="29"/>
  <c r="DM26" i="29"/>
  <c r="DN26" i="29"/>
  <c r="DG26" i="29"/>
  <c r="DO26" i="29"/>
  <c r="DH26" i="29"/>
  <c r="DP26" i="29"/>
  <c r="DI26" i="29"/>
  <c r="DQ26" i="29"/>
  <c r="AF56" i="15"/>
  <c r="AF65" i="15"/>
  <c r="AF59" i="15"/>
  <c r="V15" i="36"/>
  <c r="DB181" i="19"/>
  <c r="DB182" i="19"/>
  <c r="DB180" i="19"/>
  <c r="DB183" i="19"/>
  <c r="CM39" i="24"/>
  <c r="O40" i="29"/>
  <c r="O43" i="29" s="1"/>
  <c r="BM63" i="1"/>
  <c r="BM68" i="1" s="1"/>
  <c r="P59" i="2"/>
  <c r="DR67" i="15"/>
  <c r="DR79" i="15"/>
  <c r="DR30" i="15" s="1"/>
  <c r="DR85" i="15"/>
  <c r="DR31" i="15" s="1"/>
  <c r="DO67" i="15"/>
  <c r="DO85" i="15"/>
  <c r="DO31" i="15" s="1"/>
  <c r="DO79" i="15"/>
  <c r="DO30" i="15" s="1"/>
  <c r="CI94" i="15"/>
  <c r="CN58" i="19"/>
  <c r="CN36" i="15"/>
  <c r="CN34" i="15"/>
  <c r="CN92" i="15"/>
  <c r="CN37" i="15"/>
  <c r="CS111" i="15"/>
  <c r="CS112" i="15" s="1"/>
  <c r="CM71" i="19"/>
  <c r="AB191" i="19"/>
  <c r="G191" i="19"/>
  <c r="AD80" i="22"/>
  <c r="AF36" i="38"/>
  <c r="AF13" i="38"/>
  <c r="AF19" i="38" s="1"/>
  <c r="CU85" i="15"/>
  <c r="CQ94" i="15"/>
  <c r="AN54" i="15"/>
  <c r="DY66" i="15"/>
  <c r="DY78" i="15"/>
  <c r="G33" i="29"/>
  <c r="G35" i="29" s="1"/>
  <c r="Z33" i="29"/>
  <c r="AK66" i="15"/>
  <c r="EH18" i="29"/>
  <c r="AQ18" i="29" s="1"/>
  <c r="AQ79" i="29"/>
  <c r="EK18" i="29"/>
  <c r="AR18" i="29" s="1"/>
  <c r="AR79" i="29"/>
  <c r="EZ27" i="11"/>
  <c r="AW30" i="1"/>
  <c r="C16" i="30"/>
  <c r="A17" i="30"/>
  <c r="B16" i="30"/>
  <c r="DM65" i="15"/>
  <c r="AJ53" i="15"/>
  <c r="DM77" i="15"/>
  <c r="I20" i="21"/>
  <c r="DJ21" i="21"/>
  <c r="DR21" i="21"/>
  <c r="DK21" i="21"/>
  <c r="J21" i="21"/>
  <c r="DL21" i="21"/>
  <c r="DM21" i="21"/>
  <c r="DN21" i="21"/>
  <c r="DG21" i="21"/>
  <c r="DO21" i="21"/>
  <c r="DH21" i="21"/>
  <c r="DP21" i="21"/>
  <c r="DI21" i="21"/>
  <c r="DQ21" i="21"/>
  <c r="DC37" i="21"/>
  <c r="DC59" i="19"/>
  <c r="DC247" i="19" s="1"/>
  <c r="CT111" i="15"/>
  <c r="CT112" i="15"/>
  <c r="U92" i="37"/>
  <c r="V84" i="37"/>
  <c r="U94" i="37"/>
  <c r="AG56" i="15"/>
  <c r="AG59" i="15" s="1"/>
  <c r="AG65" i="15"/>
  <c r="X34" i="15"/>
  <c r="X92" i="15"/>
  <c r="AA36" i="15"/>
  <c r="DN14" i="7" s="1"/>
  <c r="AA37" i="15"/>
  <c r="DN15" i="7" s="1"/>
  <c r="CZ174" i="19"/>
  <c r="CZ175" i="19"/>
  <c r="CZ176" i="19"/>
  <c r="CZ177" i="19"/>
  <c r="H18" i="15"/>
  <c r="DF7" i="25"/>
  <c r="G14" i="15"/>
  <c r="CV14" i="25" s="1"/>
  <c r="G90" i="15"/>
  <c r="H90" i="15" s="1"/>
  <c r="G15" i="15"/>
  <c r="CV15" i="25" s="1"/>
  <c r="G12" i="15"/>
  <c r="AE83" i="15"/>
  <c r="CX9" i="15"/>
  <c r="CX86" i="15"/>
  <c r="CT203" i="19"/>
  <c r="EF11" i="29"/>
  <c r="EH11" i="29"/>
  <c r="AQ78" i="29"/>
  <c r="CB33" i="24"/>
  <c r="W32" i="24"/>
  <c r="AC45" i="19"/>
  <c r="CR69" i="19"/>
  <c r="CR111" i="19"/>
  <c r="CZ9" i="15"/>
  <c r="U23" i="29"/>
  <c r="BT27" i="29"/>
  <c r="BU23" i="29" s="1"/>
  <c r="BU27" i="29" s="1"/>
  <c r="BV23" i="29" s="1"/>
  <c r="BV27" i="29" s="1"/>
  <c r="BW23" i="29" s="1"/>
  <c r="EN37" i="24"/>
  <c r="AR36" i="24"/>
  <c r="EA53" i="15"/>
  <c r="DU53" i="15"/>
  <c r="DE59" i="19"/>
  <c r="DE247" i="19" s="1"/>
  <c r="U53" i="37"/>
  <c r="V45" i="37"/>
  <c r="U55" i="37"/>
  <c r="GD14" i="7"/>
  <c r="CS105" i="15"/>
  <c r="CS106" i="15" s="1"/>
  <c r="DH65" i="15"/>
  <c r="DH77" i="15"/>
  <c r="CP54" i="24"/>
  <c r="CQ55" i="24" s="1"/>
  <c r="CR56" i="24" s="1"/>
  <c r="AF26" i="29"/>
  <c r="GD13" i="7"/>
  <c r="CY54" i="24"/>
  <c r="CZ55" i="24" s="1"/>
  <c r="DA56" i="24" s="1"/>
  <c r="DL67" i="15"/>
  <c r="DL79" i="15"/>
  <c r="DL30" i="15" s="1"/>
  <c r="AW36" i="24"/>
  <c r="FA37" i="24"/>
  <c r="L37" i="24" s="1"/>
  <c r="L116" i="29"/>
  <c r="L141" i="29" s="1"/>
  <c r="L118" i="29"/>
  <c r="L28" i="29" s="1"/>
  <c r="CS69" i="19"/>
  <c r="CS111" i="19"/>
  <c r="G111" i="15"/>
  <c r="G112" i="15" s="1"/>
  <c r="H112" i="15" s="1"/>
  <c r="DB9" i="15"/>
  <c r="DB86" i="15"/>
  <c r="DV32" i="29"/>
  <c r="U8" i="30"/>
  <c r="N8" i="30"/>
  <c r="V8" i="30"/>
  <c r="O8" i="30"/>
  <c r="W8" i="30"/>
  <c r="P8" i="30"/>
  <c r="X8" i="30"/>
  <c r="Q8" i="30"/>
  <c r="Y8" i="30"/>
  <c r="R8" i="30"/>
  <c r="Z8" i="30"/>
  <c r="S8" i="30"/>
  <c r="AA8" i="30"/>
  <c r="E20" i="30"/>
  <c r="D20" i="30" s="1"/>
  <c r="T8" i="30"/>
  <c r="AB8" i="30"/>
  <c r="CQ35" i="24"/>
  <c r="DX66" i="15"/>
  <c r="DX84" i="15"/>
  <c r="DX20" i="15" s="1"/>
  <c r="DX78" i="15"/>
  <c r="DX19" i="15" s="1"/>
  <c r="DQ36" i="21"/>
  <c r="DQ51" i="19"/>
  <c r="DQ173" i="19" s="1"/>
  <c r="HM43" i="7"/>
  <c r="CV8" i="15"/>
  <c r="CV80" i="15"/>
  <c r="CV74" i="15" s="1"/>
  <c r="AP53" i="1"/>
  <c r="AR53" i="1"/>
  <c r="DM62" i="15"/>
  <c r="EH39" i="24"/>
  <c r="DD8" i="15"/>
  <c r="DD80" i="15"/>
  <c r="DD74" i="15" s="1"/>
  <c r="AG77" i="15"/>
  <c r="DL51" i="19"/>
  <c r="DL173" i="19" s="1"/>
  <c r="CB63" i="19"/>
  <c r="CB29" i="15"/>
  <c r="CB55" i="19"/>
  <c r="CB18" i="15"/>
  <c r="DG20" i="15"/>
  <c r="AH84" i="15"/>
  <c r="L79" i="29"/>
  <c r="L106" i="29"/>
  <c r="L140" i="29" s="1"/>
  <c r="L108" i="29"/>
  <c r="L21" i="29" s="1"/>
  <c r="CU36" i="21"/>
  <c r="CU51" i="19"/>
  <c r="AD19" i="15"/>
  <c r="H19" i="15"/>
  <c r="EM11" i="29"/>
  <c r="EO11" i="29"/>
  <c r="CW8" i="15"/>
  <c r="CW80" i="15"/>
  <c r="CW74" i="15" s="1"/>
  <c r="AC53" i="19"/>
  <c r="CR185" i="19"/>
  <c r="T27" i="29"/>
  <c r="W28" i="29"/>
  <c r="G63" i="19"/>
  <c r="H58" i="19" s="1"/>
  <c r="EQ27" i="11"/>
  <c r="L30" i="1"/>
  <c r="AT30" i="1"/>
  <c r="AC62" i="19"/>
  <c r="CR265" i="19"/>
  <c r="DS53" i="15"/>
  <c r="EK59" i="15"/>
  <c r="EE59" i="15"/>
  <c r="EM59" i="15"/>
  <c r="EF59" i="15"/>
  <c r="EN59" i="15"/>
  <c r="EG59" i="15"/>
  <c r="EO59" i="15"/>
  <c r="EH59" i="15"/>
  <c r="EP59" i="15"/>
  <c r="EI59" i="15"/>
  <c r="EJ59" i="15"/>
  <c r="L59" i="15"/>
  <c r="EL59" i="15"/>
  <c r="E30" i="24"/>
  <c r="BQ31" i="24"/>
  <c r="S30" i="24"/>
  <c r="S61" i="24" s="1"/>
  <c r="BP61" i="24"/>
  <c r="BP14" i="24" s="1"/>
  <c r="K19" i="29"/>
  <c r="CV180" i="19"/>
  <c r="CV181" i="19"/>
  <c r="CV182" i="19"/>
  <c r="CV183" i="19"/>
  <c r="DH62" i="15"/>
  <c r="AE61" i="15"/>
  <c r="AE67" i="15"/>
  <c r="DM19" i="15"/>
  <c r="AJ78" i="15"/>
  <c r="I55" i="15"/>
  <c r="I67" i="15" s="1"/>
  <c r="AH55" i="15"/>
  <c r="DG67" i="15"/>
  <c r="DG79" i="15"/>
  <c r="DG85" i="15" s="1"/>
  <c r="T11" i="35"/>
  <c r="T48" i="35"/>
  <c r="K112" i="1"/>
  <c r="DU112" i="1"/>
  <c r="EC112" i="1"/>
  <c r="DV112" i="1"/>
  <c r="ED112" i="1"/>
  <c r="DW112" i="1"/>
  <c r="DX112" i="1"/>
  <c r="DY112" i="1"/>
  <c r="DZ112" i="1"/>
  <c r="DS112" i="1"/>
  <c r="EA112" i="1"/>
  <c r="DT112" i="1"/>
  <c r="EB112" i="1"/>
  <c r="CV176" i="19"/>
  <c r="CV177" i="19"/>
  <c r="CV174" i="19"/>
  <c r="CV175" i="19"/>
  <c r="I36" i="24"/>
  <c r="AH36" i="24"/>
  <c r="DH37" i="24"/>
  <c r="AH18" i="38"/>
  <c r="R36" i="34"/>
  <c r="DF180" i="19"/>
  <c r="DF182" i="19"/>
  <c r="DF183" i="19"/>
  <c r="DF181" i="19"/>
  <c r="CG39" i="24"/>
  <c r="EW38" i="24"/>
  <c r="AU37" i="24"/>
  <c r="AG36" i="24"/>
  <c r="DE37" i="24"/>
  <c r="DD38" i="24"/>
  <c r="AF37" i="24"/>
  <c r="AD12" i="29"/>
  <c r="CU33" i="29"/>
  <c r="FF23" i="7"/>
  <c r="DE77" i="24"/>
  <c r="DF78" i="24" s="1"/>
  <c r="DG79" i="24" s="1"/>
  <c r="DJ67" i="15"/>
  <c r="AI55" i="15"/>
  <c r="DJ79" i="15"/>
  <c r="DJ85" i="15"/>
  <c r="DN67" i="15"/>
  <c r="DN79" i="15"/>
  <c r="DN30" i="15" s="1"/>
  <c r="G44" i="15"/>
  <c r="DR84" i="15"/>
  <c r="DR20" i="15" s="1"/>
  <c r="FD24" i="25"/>
  <c r="FD21" i="25"/>
  <c r="FD20" i="25"/>
  <c r="CU8" i="15"/>
  <c r="AD77" i="15"/>
  <c r="AD80" i="15" s="1"/>
  <c r="CU80" i="15"/>
  <c r="CU74" i="15" s="1"/>
  <c r="H77" i="15"/>
  <c r="H80" i="15" s="1"/>
  <c r="AD67" i="15"/>
  <c r="DB8" i="15"/>
  <c r="DB80" i="15"/>
  <c r="DB74" i="15" s="1"/>
  <c r="CQ114" i="1"/>
  <c r="CQ98" i="1"/>
  <c r="CQ97" i="1"/>
  <c r="CQ14" i="1"/>
  <c r="CQ88" i="1"/>
  <c r="DU66" i="15"/>
  <c r="DU84" i="15"/>
  <c r="DU20" i="15" s="1"/>
  <c r="DU78" i="15"/>
  <c r="DU19" i="15" s="1"/>
  <c r="DW66" i="15"/>
  <c r="DW78" i="15"/>
  <c r="DW19" i="15" s="1"/>
  <c r="DD36" i="21"/>
  <c r="DD51" i="19"/>
  <c r="AG19" i="15"/>
  <c r="CV83" i="15"/>
  <c r="AD83" i="15" s="1"/>
  <c r="U8" i="25"/>
  <c r="BS8" i="25"/>
  <c r="F15" i="30"/>
  <c r="CT94" i="15"/>
  <c r="CT13" i="1"/>
  <c r="AR27" i="11"/>
  <c r="DR65" i="15"/>
  <c r="DR83" i="15"/>
  <c r="DR77" i="15"/>
  <c r="DB60" i="19"/>
  <c r="DB253" i="19" s="1"/>
  <c r="CT277" i="19"/>
  <c r="DE78" i="24"/>
  <c r="DF79" i="24" s="1"/>
  <c r="DG80" i="24" s="1"/>
  <c r="CK33" i="24"/>
  <c r="Z32" i="24"/>
  <c r="DD30" i="15"/>
  <c r="AG79" i="15"/>
  <c r="I91" i="15"/>
  <c r="H105" i="15"/>
  <c r="DN51" i="19"/>
  <c r="DN173" i="19" s="1"/>
  <c r="DG19" i="15"/>
  <c r="I78" i="15"/>
  <c r="AH78" i="15"/>
  <c r="AE77" i="15"/>
  <c r="CX8" i="15"/>
  <c r="CX80" i="15"/>
  <c r="CX74" i="15" s="1"/>
  <c r="EE11" i="29"/>
  <c r="AP78" i="29"/>
  <c r="EG11" i="29"/>
  <c r="CW83" i="15"/>
  <c r="CW59" i="19"/>
  <c r="CW247" i="19" s="1"/>
  <c r="AC61" i="19"/>
  <c r="CR259" i="19"/>
  <c r="FD22" i="25"/>
  <c r="DY32" i="29"/>
  <c r="CW180" i="19"/>
  <c r="CW181" i="19"/>
  <c r="CW182" i="19"/>
  <c r="CW183" i="19"/>
  <c r="EB32" i="29"/>
  <c r="K142" i="29" a="1"/>
  <c r="K142" i="29" s="1"/>
  <c r="AB265" i="19"/>
  <c r="G265" i="19"/>
  <c r="DO65" i="15"/>
  <c r="DO77" i="15"/>
  <c r="DZ53" i="15"/>
  <c r="DE85" i="15"/>
  <c r="DE31" i="15" s="1"/>
  <c r="DW19" i="29"/>
  <c r="DX19" i="29"/>
  <c r="DY19" i="29"/>
  <c r="DZ19" i="29"/>
  <c r="DS19" i="29"/>
  <c r="EA19" i="29"/>
  <c r="DT19" i="29"/>
  <c r="EB19" i="29"/>
  <c r="DU19" i="29"/>
  <c r="EC19" i="29"/>
  <c r="DV19" i="29"/>
  <c r="ED19" i="29"/>
  <c r="CS203" i="19"/>
  <c r="AA94" i="22"/>
  <c r="J25" i="22"/>
  <c r="X24" i="22"/>
  <c r="Y24" i="22"/>
  <c r="R24" i="22"/>
  <c r="N24" i="22"/>
  <c r="T24" i="22"/>
  <c r="V24" i="22"/>
  <c r="M24" i="22"/>
  <c r="O24" i="22"/>
  <c r="O78" i="22" s="1"/>
  <c r="Q24" i="22"/>
  <c r="W24" i="22"/>
  <c r="W78" i="22" s="1"/>
  <c r="S24" i="22"/>
  <c r="S78" i="22" s="1"/>
  <c r="P24" i="22"/>
  <c r="P78" i="22" s="1"/>
  <c r="U24" i="22"/>
  <c r="U78" i="22" s="1"/>
  <c r="M78" i="22"/>
  <c r="X78" i="22"/>
  <c r="W95" i="22"/>
  <c r="Y95" i="22"/>
  <c r="X95" i="22"/>
  <c r="P95" i="22"/>
  <c r="V95" i="22"/>
  <c r="N78" i="22"/>
  <c r="T95" i="22"/>
  <c r="R95" i="22"/>
  <c r="M95" i="22"/>
  <c r="S95" i="22"/>
  <c r="O95" i="22"/>
  <c r="N95" i="22"/>
  <c r="Y78" i="22"/>
  <c r="V78" i="22"/>
  <c r="R78" i="22"/>
  <c r="T78" i="22"/>
  <c r="U95" i="22"/>
  <c r="Q95" i="22"/>
  <c r="DL65" i="15"/>
  <c r="DL83" i="15"/>
  <c r="DL77" i="15"/>
  <c r="CX30" i="15"/>
  <c r="AE79" i="15"/>
  <c r="DF8" i="15"/>
  <c r="DF80" i="15"/>
  <c r="DF74" i="15" s="1"/>
  <c r="DM20" i="15"/>
  <c r="AJ84" i="15"/>
  <c r="CT68" i="24"/>
  <c r="AC67" i="24"/>
  <c r="CJ94" i="15"/>
  <c r="FX12" i="25"/>
  <c r="FX13" i="25"/>
  <c r="FX14" i="25"/>
  <c r="AH31" i="35"/>
  <c r="CP55" i="24"/>
  <c r="CQ56" i="24" s="1"/>
  <c r="CR57" i="24" s="1"/>
  <c r="CT70" i="19"/>
  <c r="CT117" i="19"/>
  <c r="FF20" i="7"/>
  <c r="DA20" i="15"/>
  <c r="DA36" i="21" s="1"/>
  <c r="AF84" i="15"/>
  <c r="DS61" i="15"/>
  <c r="DS55" i="15" s="1"/>
  <c r="EA61" i="15"/>
  <c r="EA55" i="15" s="1"/>
  <c r="K61" i="15"/>
  <c r="K62" i="15" s="1"/>
  <c r="DU61" i="15"/>
  <c r="DU55" i="15" s="1"/>
  <c r="EC61" i="15"/>
  <c r="EC55" i="15" s="1"/>
  <c r="DV61" i="15"/>
  <c r="DV55" i="15" s="1"/>
  <c r="ED61" i="15"/>
  <c r="ED55" i="15" s="1"/>
  <c r="DW61" i="15"/>
  <c r="DW55" i="15" s="1"/>
  <c r="DX61" i="15"/>
  <c r="DX55" i="15" s="1"/>
  <c r="DY61" i="15"/>
  <c r="DY55" i="15" s="1"/>
  <c r="DT61" i="15"/>
  <c r="DT55" i="15" s="1"/>
  <c r="DZ61" i="15"/>
  <c r="DZ55" i="15" s="1"/>
  <c r="EB61" i="15"/>
  <c r="EB55" i="15" s="1"/>
  <c r="DM85" i="15"/>
  <c r="DM67" i="15"/>
  <c r="AJ55" i="15"/>
  <c r="DM79" i="15"/>
  <c r="S40" i="35"/>
  <c r="S45" i="35"/>
  <c r="S51" i="35"/>
  <c r="S55" i="35" s="1"/>
  <c r="DR36" i="21"/>
  <c r="DR51" i="19"/>
  <c r="DR173" i="19" s="1"/>
  <c r="CS277" i="19"/>
  <c r="HB15" i="7"/>
  <c r="H65" i="15"/>
  <c r="H56" i="15"/>
  <c r="H68" i="15" s="1"/>
  <c r="CS54" i="24"/>
  <c r="CT55" i="24" s="1"/>
  <c r="CU56" i="24" s="1"/>
  <c r="T11" i="30"/>
  <c r="AB11" i="30"/>
  <c r="U11" i="30"/>
  <c r="AC11" i="30"/>
  <c r="V11" i="30"/>
  <c r="AD11" i="30"/>
  <c r="W11" i="30"/>
  <c r="AE11" i="30"/>
  <c r="X11" i="30"/>
  <c r="Q11" i="30"/>
  <c r="Y11" i="30"/>
  <c r="E23" i="30"/>
  <c r="D23" i="30" s="1"/>
  <c r="R11" i="30"/>
  <c r="Z11" i="30"/>
  <c r="S11" i="30"/>
  <c r="AA11" i="30"/>
  <c r="J54" i="15"/>
  <c r="J66" i="15" s="1"/>
  <c r="AL54" i="15"/>
  <c r="DS66" i="15"/>
  <c r="DS78" i="15"/>
  <c r="ED66" i="15"/>
  <c r="ED78" i="15"/>
  <c r="ED19" i="15" s="1"/>
  <c r="CX36" i="21"/>
  <c r="CX51" i="19"/>
  <c r="AE19" i="15"/>
  <c r="BJ106" i="1"/>
  <c r="BI113" i="1"/>
  <c r="EN18" i="29"/>
  <c r="AS18" i="29" s="1"/>
  <c r="AS79" i="29"/>
  <c r="AP27" i="11"/>
  <c r="K27" i="11"/>
  <c r="CT69" i="19"/>
  <c r="CT111" i="19"/>
  <c r="DR62" i="15"/>
  <c r="DB37" i="21"/>
  <c r="DB59" i="19"/>
  <c r="DB247" i="19" s="1"/>
  <c r="U115" i="37"/>
  <c r="U110" i="37"/>
  <c r="U111" i="37" s="1"/>
  <c r="HB13" i="7"/>
  <c r="DL84" i="15"/>
  <c r="DL20" i="15" s="1"/>
  <c r="DL36" i="21" s="1"/>
  <c r="FE24" i="7"/>
  <c r="FE20" i="7"/>
  <c r="X23" i="15"/>
  <c r="X91" i="15"/>
  <c r="AA25" i="15"/>
  <c r="DD14" i="7" s="1"/>
  <c r="AA26" i="15"/>
  <c r="DD15" i="7" s="1"/>
  <c r="CO99" i="15"/>
  <c r="AB97" i="15"/>
  <c r="CO100" i="15"/>
  <c r="G97" i="15"/>
  <c r="EL11" i="29"/>
  <c r="DK92" i="24"/>
  <c r="DL93" i="24" s="1"/>
  <c r="DM94" i="24" s="1"/>
  <c r="I53" i="15"/>
  <c r="AH53" i="15"/>
  <c r="DG65" i="15"/>
  <c r="DG77" i="15"/>
  <c r="FA46" i="24"/>
  <c r="L96" i="29"/>
  <c r="L139" i="29" s="1"/>
  <c r="L142" i="29" s="1" a="1"/>
  <c r="L142" i="29" s="1"/>
  <c r="L78" i="29"/>
  <c r="L98" i="29"/>
  <c r="L14" i="29" s="1"/>
  <c r="DO62" i="15"/>
  <c r="DY62" i="15"/>
  <c r="DY53" i="15"/>
  <c r="U27" i="37"/>
  <c r="AS59" i="24"/>
  <c r="DL62" i="15"/>
  <c r="V136" i="36"/>
  <c r="CQ68" i="24"/>
  <c r="AB67" i="24"/>
  <c r="G67" i="24"/>
  <c r="AJ66" i="15"/>
  <c r="CW175" i="19"/>
  <c r="CW177" i="19"/>
  <c r="CW176" i="19"/>
  <c r="CW174" i="19"/>
  <c r="DS39" i="24"/>
  <c r="BV33" i="24"/>
  <c r="U32" i="24"/>
  <c r="DN65" i="15"/>
  <c r="DN77" i="15"/>
  <c r="HA13" i="7"/>
  <c r="ET27" i="11"/>
  <c r="AU30" i="1"/>
  <c r="AC98" i="15"/>
  <c r="EQ45" i="24"/>
  <c r="AS44" i="24"/>
  <c r="CN50" i="19"/>
  <c r="CN23" i="15"/>
  <c r="CN91" i="15"/>
  <c r="CN25" i="15"/>
  <c r="CN26" i="15"/>
  <c r="BX32" i="24"/>
  <c r="F31" i="24"/>
  <c r="V31" i="24"/>
  <c r="CX52" i="19"/>
  <c r="AE20" i="15"/>
  <c r="AE12" i="29"/>
  <c r="CX33" i="29"/>
  <c r="AE33" i="29" s="1"/>
  <c r="AF12" i="29"/>
  <c r="DA33" i="29"/>
  <c r="AF33" i="29" s="1"/>
  <c r="DQ79" i="15"/>
  <c r="DQ30" i="15" s="1"/>
  <c r="DQ85" i="15"/>
  <c r="DQ31" i="15" s="1"/>
  <c r="DQ67" i="15"/>
  <c r="DK79" i="15"/>
  <c r="DK30" i="15" s="1"/>
  <c r="DK67" i="15"/>
  <c r="CM94" i="15"/>
  <c r="GR14" i="25"/>
  <c r="CY55" i="24"/>
  <c r="CZ56" i="24" s="1"/>
  <c r="DA57" i="24" s="1"/>
  <c r="AB111" i="15"/>
  <c r="AB112" i="15" s="1"/>
  <c r="DK93" i="24"/>
  <c r="DL94" i="24" s="1"/>
  <c r="DM95" i="24" s="1"/>
  <c r="DJ65" i="15"/>
  <c r="AI53" i="15"/>
  <c r="DJ77" i="15"/>
  <c r="DA85" i="15"/>
  <c r="Y46" i="34"/>
  <c r="Y60" i="34"/>
  <c r="Y61" i="34" s="1"/>
  <c r="EJ60" i="15"/>
  <c r="EJ54" i="15" s="1"/>
  <c r="L60" i="15"/>
  <c r="EL60" i="15"/>
  <c r="EL54" i="15" s="1"/>
  <c r="EE60" i="15"/>
  <c r="EE54" i="15" s="1"/>
  <c r="EM60" i="15"/>
  <c r="EM54" i="15" s="1"/>
  <c r="EF60" i="15"/>
  <c r="EF54" i="15" s="1"/>
  <c r="EN60" i="15"/>
  <c r="EN54" i="15" s="1"/>
  <c r="EG60" i="15"/>
  <c r="EG54" i="15" s="1"/>
  <c r="EO60" i="15"/>
  <c r="EO54" i="15" s="1"/>
  <c r="EH60" i="15"/>
  <c r="EH54" i="15" s="1"/>
  <c r="EP60" i="15"/>
  <c r="EP54" i="15" s="1"/>
  <c r="EI60" i="15"/>
  <c r="EI54" i="15" s="1"/>
  <c r="EK60" i="15"/>
  <c r="EK54" i="15" s="1"/>
  <c r="AM54" i="15"/>
  <c r="DV66" i="15"/>
  <c r="DV78" i="15"/>
  <c r="DV84" i="15" s="1"/>
  <c r="CY80" i="15"/>
  <c r="CY74" i="15" s="1"/>
  <c r="CY8" i="15"/>
  <c r="I39" i="29"/>
  <c r="AH39" i="29"/>
  <c r="AA31" i="24"/>
  <c r="CM32" i="24"/>
  <c r="G32" i="24" s="1"/>
  <c r="AA69" i="22"/>
  <c r="CY52" i="19"/>
  <c r="CY179" i="19" s="1"/>
  <c r="GR15" i="25"/>
  <c r="DJ84" i="15"/>
  <c r="FE21" i="7"/>
  <c r="DD85" i="15"/>
  <c r="CY175" i="19"/>
  <c r="CY176" i="19"/>
  <c r="CY177" i="19"/>
  <c r="CY174" i="19"/>
  <c r="DN84" i="15"/>
  <c r="DN20" i="15" s="1"/>
  <c r="DK38" i="24"/>
  <c r="AI37" i="24"/>
  <c r="AH66" i="15"/>
  <c r="AB14" i="15"/>
  <c r="CU14" i="7" s="1"/>
  <c r="AC14" i="15"/>
  <c r="CV14" i="7" s="1"/>
  <c r="AB15" i="15"/>
  <c r="CU15" i="7" s="1"/>
  <c r="AC15" i="15"/>
  <c r="CV15" i="7" s="1"/>
  <c r="EK11" i="29"/>
  <c r="AR78" i="29"/>
  <c r="DE8" i="15"/>
  <c r="DE80" i="15"/>
  <c r="DE74" i="15" s="1"/>
  <c r="DL42" i="24"/>
  <c r="DM43" i="24" s="1"/>
  <c r="CR99" i="15"/>
  <c r="CR100" i="15" s="1"/>
  <c r="AC97" i="15"/>
  <c r="G36" i="15"/>
  <c r="DP14" i="25" s="1"/>
  <c r="G92" i="15"/>
  <c r="H92" i="15" s="1"/>
  <c r="G37" i="15"/>
  <c r="DP15" i="25" s="1"/>
  <c r="G34" i="15"/>
  <c r="DG62" i="15"/>
  <c r="CW85" i="15"/>
  <c r="CW31" i="15" s="1"/>
  <c r="CW37" i="21" s="1"/>
  <c r="V16" i="36"/>
  <c r="V20" i="36" s="1"/>
  <c r="HA15" i="7"/>
  <c r="DK36" i="21"/>
  <c r="DK51" i="19"/>
  <c r="DK173" i="19" s="1"/>
  <c r="AK19" i="29"/>
  <c r="P13" i="29"/>
  <c r="S14" i="29"/>
  <c r="ED62" i="15"/>
  <c r="ED53" i="15"/>
  <c r="DX62" i="15"/>
  <c r="DX53" i="15"/>
  <c r="CV85" i="15"/>
  <c r="CV31" i="15" s="1"/>
  <c r="H36" i="24"/>
  <c r="DH55" i="24"/>
  <c r="DI56" i="24" s="1"/>
  <c r="DJ57" i="24" s="1"/>
  <c r="CS70" i="19"/>
  <c r="G70" i="19" s="1"/>
  <c r="CS117" i="19"/>
  <c r="CP73" i="24"/>
  <c r="AB72" i="24"/>
  <c r="G72" i="24"/>
  <c r="AE26" i="29"/>
  <c r="T15" i="35"/>
  <c r="HB43" i="25"/>
  <c r="DY38" i="24"/>
  <c r="AM37" i="24"/>
  <c r="DA8" i="15"/>
  <c r="AF77" i="15"/>
  <c r="AF80" i="15" s="1"/>
  <c r="AF74" i="15" s="1"/>
  <c r="DA80" i="15"/>
  <c r="DA74" i="15" s="1"/>
  <c r="CC42" i="19"/>
  <c r="X7" i="15"/>
  <c r="CC15" i="15"/>
  <c r="CC14" i="15"/>
  <c r="CB12" i="15"/>
  <c r="CC40" i="15"/>
  <c r="CC90" i="15"/>
  <c r="DB55" i="24"/>
  <c r="DC56" i="24" s="1"/>
  <c r="DD57" i="24" s="1"/>
  <c r="EE37" i="24"/>
  <c r="CV55" i="24"/>
  <c r="CW56" i="24" s="1"/>
  <c r="CX57" i="24" s="1"/>
  <c r="DI79" i="15"/>
  <c r="DI30" i="15" s="1"/>
  <c r="DI67" i="15"/>
  <c r="CZ85" i="15"/>
  <c r="CZ31" i="15" s="1"/>
  <c r="DE175" i="19"/>
  <c r="DE177" i="19"/>
  <c r="DE174" i="19"/>
  <c r="DE176" i="19"/>
  <c r="CN94" i="15"/>
  <c r="DI36" i="21"/>
  <c r="DI51" i="19"/>
  <c r="DI173" i="19" s="1"/>
  <c r="EW27" i="11"/>
  <c r="AV30" i="1"/>
  <c r="DH12" i="29"/>
  <c r="DH33" i="29" s="1"/>
  <c r="DP12" i="29"/>
  <c r="DI12" i="29"/>
  <c r="DQ12" i="29"/>
  <c r="DJ12" i="29"/>
  <c r="DR12" i="29"/>
  <c r="DR33" i="29" s="1"/>
  <c r="DK12" i="29"/>
  <c r="DK33" i="29" s="1"/>
  <c r="DL12" i="29"/>
  <c r="DL33" i="29" s="1"/>
  <c r="DM12" i="29"/>
  <c r="DN12" i="29"/>
  <c r="DN33" i="29" s="1"/>
  <c r="DG12" i="29"/>
  <c r="DO12" i="29"/>
  <c r="DO33" i="29" s="1"/>
  <c r="DC8" i="15"/>
  <c r="DC80" i="15"/>
  <c r="DC74" i="15" s="1"/>
  <c r="AD65" i="15"/>
  <c r="AD56" i="15"/>
  <c r="AD59" i="15" s="1"/>
  <c r="DJ62" i="15"/>
  <c r="AF67" i="15"/>
  <c r="AF61" i="15"/>
  <c r="AF24" i="35"/>
  <c r="AF39" i="35"/>
  <c r="EQ38" i="24"/>
  <c r="EC66" i="15"/>
  <c r="EC78" i="15"/>
  <c r="EC19" i="15" s="1"/>
  <c r="AO54" i="15"/>
  <c r="EB66" i="15"/>
  <c r="EB78" i="15"/>
  <c r="DP19" i="15"/>
  <c r="AK78" i="15"/>
  <c r="EZ38" i="24"/>
  <c r="AV37" i="24"/>
  <c r="CT74" i="24"/>
  <c r="AC73" i="24"/>
  <c r="CU20" i="21"/>
  <c r="DC20" i="21"/>
  <c r="CV20" i="21"/>
  <c r="DD20" i="21"/>
  <c r="CW20" i="21"/>
  <c r="DE20" i="21"/>
  <c r="CX20" i="21"/>
  <c r="DF20" i="21"/>
  <c r="CY20" i="21"/>
  <c r="CZ20" i="21"/>
  <c r="DA20" i="21"/>
  <c r="DB20" i="21"/>
  <c r="AB105" i="15"/>
  <c r="AB106" i="15"/>
  <c r="AC104" i="15"/>
  <c r="CP129" i="19"/>
  <c r="AI66" i="15"/>
  <c r="AG67" i="15"/>
  <c r="AG61" i="15"/>
  <c r="CP94" i="15"/>
  <c r="AB43" i="15"/>
  <c r="CO94" i="15"/>
  <c r="AB94" i="15" s="1"/>
  <c r="CO13" i="1"/>
  <c r="G43" i="15"/>
  <c r="CT105" i="15"/>
  <c r="CT106" i="15"/>
  <c r="U73" i="37"/>
  <c r="V65" i="37"/>
  <c r="U75" i="37"/>
  <c r="EG80" i="29"/>
  <c r="EG25" i="29" s="1"/>
  <c r="EO80" i="29"/>
  <c r="EO25" i="29" s="1"/>
  <c r="EH80" i="29"/>
  <c r="EH81" i="29" s="1"/>
  <c r="EH85" i="29" s="1"/>
  <c r="EP80" i="29"/>
  <c r="EP25" i="29" s="1"/>
  <c r="EJ80" i="29"/>
  <c r="EJ25" i="29" s="1"/>
  <c r="EK80" i="29"/>
  <c r="EL80" i="29"/>
  <c r="EL25" i="29" s="1"/>
  <c r="EE80" i="29"/>
  <c r="EM80" i="29"/>
  <c r="EM25" i="29" s="1"/>
  <c r="EF80" i="29"/>
  <c r="EF25" i="29" s="1"/>
  <c r="EN80" i="29"/>
  <c r="EN81" i="29" s="1"/>
  <c r="EN85" i="29" s="1"/>
  <c r="EI80" i="29"/>
  <c r="EI25" i="29" s="1"/>
  <c r="K162" i="29"/>
  <c r="K163" i="29" s="1"/>
  <c r="EJ11" i="29"/>
  <c r="DK83" i="15"/>
  <c r="DK65" i="15"/>
  <c r="DK77" i="15"/>
  <c r="V38" i="36"/>
  <c r="V43" i="36" s="1"/>
  <c r="GO15" i="7"/>
  <c r="CR105" i="15"/>
  <c r="AC103" i="15"/>
  <c r="CR106" i="15"/>
  <c r="P30" i="29"/>
  <c r="BE34" i="29"/>
  <c r="BE37" i="29" s="1"/>
  <c r="EB62" i="15"/>
  <c r="EB53" i="15"/>
  <c r="J62" i="15"/>
  <c r="J28" i="11"/>
  <c r="J29" i="11"/>
  <c r="CV37" i="21"/>
  <c r="CV59" i="19"/>
  <c r="CV247" i="19" s="1"/>
  <c r="CX38" i="24"/>
  <c r="H37" i="24"/>
  <c r="AD37" i="24"/>
  <c r="AA77" i="22"/>
  <c r="DC177" i="19"/>
  <c r="DC174" i="19"/>
  <c r="DC175" i="19"/>
  <c r="DC176" i="19"/>
  <c r="DH52" i="19"/>
  <c r="DH179" i="19" s="1"/>
  <c r="AF70" i="22"/>
  <c r="Q126" i="26" l="1"/>
  <c r="Q164" i="26"/>
  <c r="Q163" i="26" s="1"/>
  <c r="AW62" i="26"/>
  <c r="AV95" i="26"/>
  <c r="AV108" i="26" s="1"/>
  <c r="N108" i="26" s="1"/>
  <c r="G34" i="29"/>
  <c r="H30" i="29" s="1"/>
  <c r="DQ33" i="29"/>
  <c r="DI33" i="29"/>
  <c r="J27" i="29"/>
  <c r="K23" i="29" s="1"/>
  <c r="K26" i="29" s="1"/>
  <c r="R100" i="26"/>
  <c r="R121" i="26"/>
  <c r="EJ81" i="29"/>
  <c r="EJ85" i="29" s="1"/>
  <c r="EJ32" i="29"/>
  <c r="EK39" i="29" s="1"/>
  <c r="AO19" i="29"/>
  <c r="AH26" i="29"/>
  <c r="DG31" i="15"/>
  <c r="K12" i="29"/>
  <c r="DV20" i="15"/>
  <c r="AF36" i="21"/>
  <c r="CY112" i="15"/>
  <c r="CZ112" i="15"/>
  <c r="DA112" i="15"/>
  <c r="DB112" i="15"/>
  <c r="I112" i="15"/>
  <c r="CU112" i="15"/>
  <c r="DC112" i="15"/>
  <c r="CV112" i="15"/>
  <c r="DD112" i="15"/>
  <c r="CW112" i="15"/>
  <c r="DE112" i="15"/>
  <c r="CX112" i="15"/>
  <c r="DF112" i="15"/>
  <c r="V69" i="37"/>
  <c r="W79" i="36"/>
  <c r="W75" i="36" s="1"/>
  <c r="V71" i="37"/>
  <c r="AO66" i="15"/>
  <c r="CZ60" i="19"/>
  <c r="CZ253" i="19" s="1"/>
  <c r="AP37" i="24"/>
  <c r="K37" i="24"/>
  <c r="EF38" i="24"/>
  <c r="DB58" i="24"/>
  <c r="DC59" i="24" s="1"/>
  <c r="DD60" i="24" s="1"/>
  <c r="C8" i="28"/>
  <c r="K71" i="26" s="1"/>
  <c r="K78" i="26" s="1"/>
  <c r="EB65" i="15"/>
  <c r="AO53" i="15"/>
  <c r="EB77" i="15"/>
  <c r="DP33" i="29"/>
  <c r="AK12" i="29"/>
  <c r="DE58" i="24"/>
  <c r="DF59" i="24" s="1"/>
  <c r="DG60" i="24" s="1"/>
  <c r="DD31" i="15"/>
  <c r="AG85" i="15"/>
  <c r="EO66" i="15"/>
  <c r="EO78" i="15"/>
  <c r="EO19" i="15" s="1"/>
  <c r="AE38" i="24"/>
  <c r="CY39" i="24"/>
  <c r="BE38" i="29"/>
  <c r="DK8" i="15"/>
  <c r="DK80" i="15"/>
  <c r="DK74" i="15" s="1"/>
  <c r="AO78" i="15"/>
  <c r="EB19" i="15"/>
  <c r="AT38" i="24"/>
  <c r="ER39" i="24"/>
  <c r="AV53" i="1"/>
  <c r="X40" i="15"/>
  <c r="CC47" i="15"/>
  <c r="CC48" i="15"/>
  <c r="DA35" i="21"/>
  <c r="DA43" i="19"/>
  <c r="AF8" i="15"/>
  <c r="DA41" i="15"/>
  <c r="AB73" i="24"/>
  <c r="G73" i="24"/>
  <c r="CQ74" i="24"/>
  <c r="I92" i="15"/>
  <c r="DE35" i="21"/>
  <c r="DE43" i="19"/>
  <c r="DE41" i="15"/>
  <c r="DN52" i="19"/>
  <c r="DN179" i="19" s="1"/>
  <c r="DJ20" i="15"/>
  <c r="AI84" i="15"/>
  <c r="AS54" i="15"/>
  <c r="EN66" i="15"/>
  <c r="EN84" i="15"/>
  <c r="EN78" i="15"/>
  <c r="DK85" i="15"/>
  <c r="DK31" i="15" s="1"/>
  <c r="DN8" i="15"/>
  <c r="DN80" i="15"/>
  <c r="DN74" i="15" s="1"/>
  <c r="FB47" i="24"/>
  <c r="DN95" i="24"/>
  <c r="DO96" i="24" s="1"/>
  <c r="DP97" i="24" s="1"/>
  <c r="AE72" i="15"/>
  <c r="DH10" i="7"/>
  <c r="DH13" i="7"/>
  <c r="DH11" i="7"/>
  <c r="DY79" i="15"/>
  <c r="DY85" i="15" s="1"/>
  <c r="AN55" i="15"/>
  <c r="DY67" i="15"/>
  <c r="EA67" i="15"/>
  <c r="EA79" i="15"/>
  <c r="EA30" i="15" s="1"/>
  <c r="CS58" i="24"/>
  <c r="CT59" i="24" s="1"/>
  <c r="CU60" i="24" s="1"/>
  <c r="AM19" i="29"/>
  <c r="AN19" i="29"/>
  <c r="DO8" i="15"/>
  <c r="DO80" i="15"/>
  <c r="DO74" i="15" s="1"/>
  <c r="AN32" i="29"/>
  <c r="S10" i="28" s="1"/>
  <c r="AQ73" i="26" s="1"/>
  <c r="AQ80" i="26" s="1"/>
  <c r="DZ39" i="29"/>
  <c r="AN39" i="29" s="1"/>
  <c r="CV105" i="15"/>
  <c r="DD105" i="15"/>
  <c r="CW105" i="15"/>
  <c r="DE105" i="15"/>
  <c r="CX105" i="15"/>
  <c r="DF105" i="15"/>
  <c r="CY105" i="15"/>
  <c r="CZ105" i="15"/>
  <c r="DA105" i="15"/>
  <c r="DB105" i="15"/>
  <c r="CU105" i="15"/>
  <c r="DC105" i="15"/>
  <c r="DB254" i="19"/>
  <c r="DB257" i="19"/>
  <c r="DB255" i="19"/>
  <c r="DB256" i="19"/>
  <c r="CT22" i="1"/>
  <c r="CT98" i="1"/>
  <c r="CT114" i="1"/>
  <c r="CT88" i="1"/>
  <c r="CT14" i="1"/>
  <c r="CT97" i="1"/>
  <c r="AG72" i="15"/>
  <c r="DJ10" i="7"/>
  <c r="DJ13" i="7"/>
  <c r="DJ11" i="7"/>
  <c r="DB35" i="21"/>
  <c r="DB43" i="19"/>
  <c r="DB41" i="15"/>
  <c r="T31" i="24"/>
  <c r="E31" i="24"/>
  <c r="BR32" i="24"/>
  <c r="BQ61" i="24"/>
  <c r="BQ14" i="24" s="1"/>
  <c r="EP53" i="15"/>
  <c r="EE53" i="15"/>
  <c r="EO81" i="29"/>
  <c r="EO85" i="29" s="1"/>
  <c r="DD35" i="21"/>
  <c r="DD43" i="19"/>
  <c r="AG8" i="15"/>
  <c r="DD41" i="15"/>
  <c r="CS129" i="19"/>
  <c r="DL85" i="15"/>
  <c r="DL31" i="15" s="1"/>
  <c r="EA65" i="15"/>
  <c r="EA77" i="15"/>
  <c r="H7" i="15"/>
  <c r="CV7" i="25"/>
  <c r="DK20" i="21"/>
  <c r="DL20" i="21"/>
  <c r="DM20" i="21"/>
  <c r="DN20" i="21"/>
  <c r="DG20" i="21"/>
  <c r="DO20" i="21"/>
  <c r="DH20" i="21"/>
  <c r="DP20" i="21"/>
  <c r="DI20" i="21"/>
  <c r="DQ20" i="21"/>
  <c r="DJ20" i="21"/>
  <c r="DR20" i="21"/>
  <c r="AW53" i="1"/>
  <c r="CU31" i="15"/>
  <c r="H85" i="15"/>
  <c r="AD85" i="15"/>
  <c r="AD86" i="15" s="1"/>
  <c r="DO37" i="21"/>
  <c r="DO59" i="19"/>
  <c r="DO247" i="19" s="1"/>
  <c r="AK26" i="29"/>
  <c r="DA33" i="11"/>
  <c r="CZ33" i="11"/>
  <c r="V20" i="29"/>
  <c r="Y21" i="29"/>
  <c r="DT65" i="15"/>
  <c r="DT77" i="15"/>
  <c r="DQ96" i="24"/>
  <c r="DR97" i="24" s="1"/>
  <c r="DS98" i="24" s="1"/>
  <c r="AS11" i="29"/>
  <c r="S51" i="30"/>
  <c r="AL32" i="29"/>
  <c r="Q10" i="28" s="1"/>
  <c r="AO73" i="26" s="1"/>
  <c r="AO80" i="26" s="1"/>
  <c r="J32" i="29"/>
  <c r="E10" i="28" s="1"/>
  <c r="M73" i="26" s="1"/>
  <c r="DT39" i="29"/>
  <c r="C14" i="30"/>
  <c r="F14" i="30" s="1"/>
  <c r="AD52" i="19"/>
  <c r="CU179" i="19"/>
  <c r="CN47" i="19"/>
  <c r="CO7" i="15"/>
  <c r="CN45" i="15"/>
  <c r="DH60" i="19"/>
  <c r="DH253" i="19" s="1"/>
  <c r="DB78" i="24"/>
  <c r="DC79" i="24" s="1"/>
  <c r="DD80" i="24" s="1"/>
  <c r="EI81" i="29"/>
  <c r="EI85" i="29" s="1"/>
  <c r="DT36" i="21"/>
  <c r="DT51" i="19"/>
  <c r="DT173" i="19" s="1"/>
  <c r="DB39" i="24"/>
  <c r="AF38" i="24"/>
  <c r="AF51" i="19"/>
  <c r="DA173" i="19"/>
  <c r="DE44" i="19"/>
  <c r="DE42" i="15"/>
  <c r="DC86" i="15"/>
  <c r="DD86" i="15"/>
  <c r="AC105" i="15"/>
  <c r="AC106" i="15" s="1"/>
  <c r="DI174" i="19"/>
  <c r="DI175" i="19"/>
  <c r="DI176" i="19"/>
  <c r="DI177" i="19"/>
  <c r="CY181" i="19"/>
  <c r="CY182" i="19"/>
  <c r="CY180" i="19"/>
  <c r="CY183" i="19"/>
  <c r="J33" i="11"/>
  <c r="J17" i="11"/>
  <c r="EK25" i="29"/>
  <c r="AR25" i="29" s="1"/>
  <c r="AR80" i="29"/>
  <c r="AR81" i="29" s="1"/>
  <c r="AR85" i="29" s="1"/>
  <c r="EC51" i="19"/>
  <c r="EC173" i="19" s="1"/>
  <c r="X12" i="15"/>
  <c r="X90" i="15"/>
  <c r="AA15" i="15"/>
  <c r="CT15" i="7" s="1"/>
  <c r="AA14" i="15"/>
  <c r="CT14" i="7" s="1"/>
  <c r="AD62" i="15"/>
  <c r="AD68" i="15"/>
  <c r="AD60" i="15"/>
  <c r="DI59" i="19"/>
  <c r="DI247" i="19" s="1"/>
  <c r="DK177" i="19"/>
  <c r="DK174" i="19"/>
  <c r="DK175" i="19"/>
  <c r="DK176" i="19"/>
  <c r="DN44" i="24"/>
  <c r="EJ66" i="15"/>
  <c r="EJ84" i="15"/>
  <c r="EJ20" i="15" s="1"/>
  <c r="EJ78" i="15"/>
  <c r="EJ19" i="15" s="1"/>
  <c r="AU27" i="11"/>
  <c r="CV248" i="19"/>
  <c r="CV249" i="19"/>
  <c r="CV250" i="19"/>
  <c r="CV251" i="19"/>
  <c r="P34" i="29"/>
  <c r="S35" i="29"/>
  <c r="G47" i="15"/>
  <c r="DZ14" i="25" s="1"/>
  <c r="G48" i="15"/>
  <c r="DZ15" i="25" s="1"/>
  <c r="G45" i="15"/>
  <c r="EB84" i="15"/>
  <c r="AF45" i="35"/>
  <c r="AF51" i="35"/>
  <c r="AF40" i="35"/>
  <c r="CB47" i="19"/>
  <c r="CB71" i="19" s="1"/>
  <c r="CB45" i="15"/>
  <c r="CB7" i="15"/>
  <c r="ED65" i="15"/>
  <c r="ED77" i="15"/>
  <c r="EK81" i="29"/>
  <c r="EK85" i="29" s="1"/>
  <c r="AM66" i="15"/>
  <c r="EF66" i="15"/>
  <c r="EF84" i="15"/>
  <c r="EF20" i="15" s="1"/>
  <c r="EF78" i="15"/>
  <c r="EF19" i="15" s="1"/>
  <c r="AF85" i="15"/>
  <c r="DA31" i="15"/>
  <c r="K11" i="28"/>
  <c r="AI74" i="26" s="1"/>
  <c r="AI81" i="26" s="1"/>
  <c r="DN83" i="15"/>
  <c r="AN53" i="15"/>
  <c r="DY65" i="15"/>
  <c r="DY77" i="15"/>
  <c r="K28" i="11"/>
  <c r="K29" i="11"/>
  <c r="AE51" i="19"/>
  <c r="CX173" i="19"/>
  <c r="AL66" i="15"/>
  <c r="AJ79" i="15"/>
  <c r="DM30" i="15"/>
  <c r="DX67" i="15"/>
  <c r="DX79" i="15"/>
  <c r="DX30" i="15" s="1"/>
  <c r="DX85" i="15"/>
  <c r="DX31" i="15" s="1"/>
  <c r="AL55" i="15"/>
  <c r="J55" i="15"/>
  <c r="J67" i="15" s="1"/>
  <c r="DS79" i="15"/>
  <c r="DS85" i="15" s="1"/>
  <c r="DS67" i="15"/>
  <c r="AA53" i="34"/>
  <c r="AK31" i="35"/>
  <c r="DF35" i="21"/>
  <c r="DF43" i="19"/>
  <c r="DF41" i="15"/>
  <c r="CX35" i="21"/>
  <c r="CX43" i="19"/>
  <c r="AE8" i="15"/>
  <c r="CX41" i="15"/>
  <c r="J91" i="15"/>
  <c r="DH81" i="24"/>
  <c r="DI82" i="24" s="1"/>
  <c r="DJ83" i="24" s="1"/>
  <c r="AG51" i="19"/>
  <c r="DD173" i="19"/>
  <c r="AI85" i="15"/>
  <c r="DJ31" i="15"/>
  <c r="AD33" i="29"/>
  <c r="H33" i="29"/>
  <c r="H34" i="29" s="1"/>
  <c r="EK112" i="1"/>
  <c r="L112" i="1"/>
  <c r="EL112" i="1"/>
  <c r="EE112" i="1"/>
  <c r="EM112" i="1"/>
  <c r="EF112" i="1"/>
  <c r="EN112" i="1"/>
  <c r="EG112" i="1"/>
  <c r="EO112" i="1"/>
  <c r="EH112" i="1"/>
  <c r="EP112" i="1"/>
  <c r="EI112" i="1"/>
  <c r="EJ112" i="1"/>
  <c r="DG30" i="15"/>
  <c r="I79" i="15"/>
  <c r="AH79" i="15"/>
  <c r="DM36" i="21"/>
  <c r="DM51" i="19"/>
  <c r="AJ19" i="15"/>
  <c r="EH53" i="15"/>
  <c r="EK53" i="15"/>
  <c r="L27" i="11"/>
  <c r="AT27" i="11"/>
  <c r="EO32" i="29"/>
  <c r="EP39" i="29" s="1"/>
  <c r="CV43" i="19"/>
  <c r="CV41" i="15"/>
  <c r="DH8" i="15"/>
  <c r="DH80" i="15"/>
  <c r="DH74" i="15" s="1"/>
  <c r="W55" i="36"/>
  <c r="W51" i="36" s="1"/>
  <c r="V49" i="37"/>
  <c r="V51" i="37"/>
  <c r="EA62" i="15"/>
  <c r="CZ86" i="15"/>
  <c r="DC248" i="19"/>
  <c r="DC249" i="19"/>
  <c r="DC250" i="19"/>
  <c r="DC251" i="19"/>
  <c r="DM8" i="15"/>
  <c r="AJ77" i="15"/>
  <c r="AJ80" i="15" s="1"/>
  <c r="DM80" i="15"/>
  <c r="DM74" i="15" s="1"/>
  <c r="DO60" i="19"/>
  <c r="DO253" i="19" s="1"/>
  <c r="V21" i="36"/>
  <c r="AI26" i="29"/>
  <c r="BZ20" i="29"/>
  <c r="CA16" i="29" s="1"/>
  <c r="CA20" i="29" s="1"/>
  <c r="CB16" i="29" s="1"/>
  <c r="CB20" i="29" s="1"/>
  <c r="CC16" i="29" s="1"/>
  <c r="W16" i="29"/>
  <c r="DT62" i="15"/>
  <c r="O51" i="30"/>
  <c r="CN66" i="19"/>
  <c r="DH37" i="21"/>
  <c r="DH59" i="19"/>
  <c r="DH247" i="19" s="1"/>
  <c r="DB80" i="24"/>
  <c r="DI9" i="15"/>
  <c r="CY248" i="19"/>
  <c r="CY249" i="19"/>
  <c r="CY251" i="19"/>
  <c r="CY250" i="19"/>
  <c r="AK56" i="15"/>
  <c r="AK65" i="15"/>
  <c r="AK59" i="15"/>
  <c r="DO175" i="19"/>
  <c r="DO176" i="19"/>
  <c r="DO177" i="19"/>
  <c r="DO174" i="19"/>
  <c r="DK180" i="19"/>
  <c r="DK181" i="19"/>
  <c r="DK183" i="19"/>
  <c r="DK182" i="19"/>
  <c r="EI32" i="29"/>
  <c r="EJ39" i="29" s="1"/>
  <c r="CI34" i="24"/>
  <c r="Y33" i="24"/>
  <c r="DT52" i="19"/>
  <c r="DT179" i="19" s="1"/>
  <c r="DA37" i="21"/>
  <c r="DA59" i="19"/>
  <c r="AF30" i="15"/>
  <c r="AA94" i="15"/>
  <c r="DQ8" i="15"/>
  <c r="DQ80" i="15"/>
  <c r="DQ74" i="15" s="1"/>
  <c r="DC44" i="19"/>
  <c r="DC42" i="15"/>
  <c r="I106" i="15"/>
  <c r="CU106" i="15"/>
  <c r="DC106" i="15"/>
  <c r="CV106" i="15"/>
  <c r="DD106" i="15"/>
  <c r="CW106" i="15"/>
  <c r="DE106" i="15"/>
  <c r="CX106" i="15"/>
  <c r="DF106" i="15"/>
  <c r="CY106" i="15"/>
  <c r="CZ106" i="15"/>
  <c r="DA106" i="15"/>
  <c r="DB106" i="15"/>
  <c r="DK9" i="15"/>
  <c r="DK86" i="15"/>
  <c r="EE25" i="29"/>
  <c r="EE32" i="29" s="1"/>
  <c r="AP80" i="29"/>
  <c r="AP81" i="29" s="1"/>
  <c r="AP85" i="29" s="1"/>
  <c r="CO22" i="1"/>
  <c r="CO114" i="1"/>
  <c r="AB13" i="1"/>
  <c r="CO98" i="1"/>
  <c r="CN22" i="1"/>
  <c r="CL22" i="1"/>
  <c r="CI22" i="1"/>
  <c r="CJ22" i="1"/>
  <c r="CM22" i="1"/>
  <c r="CK22" i="1"/>
  <c r="G13" i="1"/>
  <c r="CO97" i="1"/>
  <c r="CO88" i="1"/>
  <c r="CO14" i="1"/>
  <c r="AV27" i="11"/>
  <c r="T16" i="35"/>
  <c r="T30" i="35"/>
  <c r="T32" i="35"/>
  <c r="T28" i="35"/>
  <c r="T34" i="35"/>
  <c r="V19" i="36"/>
  <c r="AC99" i="15"/>
  <c r="AC100" i="15" s="1"/>
  <c r="EK66" i="15"/>
  <c r="AR54" i="15"/>
  <c r="EK78" i="15"/>
  <c r="EM66" i="15"/>
  <c r="EM78" i="15"/>
  <c r="EM19" i="15" s="1"/>
  <c r="DK37" i="21"/>
  <c r="DK59" i="19"/>
  <c r="DK247" i="19" s="1"/>
  <c r="ER46" i="24"/>
  <c r="CR69" i="24"/>
  <c r="AB68" i="24"/>
  <c r="G68" i="24"/>
  <c r="CQ126" i="24"/>
  <c r="EL81" i="29"/>
  <c r="EL85" i="29" s="1"/>
  <c r="AE36" i="21"/>
  <c r="DR174" i="19"/>
  <c r="DR175" i="19"/>
  <c r="DR177" i="19"/>
  <c r="DR176" i="19"/>
  <c r="AJ67" i="15"/>
  <c r="DW67" i="15"/>
  <c r="DW79" i="15"/>
  <c r="DW30" i="15" s="1"/>
  <c r="DO83" i="15"/>
  <c r="AC259" i="19"/>
  <c r="CR277" i="19"/>
  <c r="CW9" i="15"/>
  <c r="CW86" i="15"/>
  <c r="AE80" i="15"/>
  <c r="AE74" i="15" s="1"/>
  <c r="DR8" i="15"/>
  <c r="DR80" i="15"/>
  <c r="DR74" i="15" s="1"/>
  <c r="AG36" i="21"/>
  <c r="CQ9" i="11"/>
  <c r="CQ82" i="11" s="1"/>
  <c r="CQ15" i="1"/>
  <c r="CQ90" i="1" s="1"/>
  <c r="CQ52" i="1"/>
  <c r="CQ100" i="1"/>
  <c r="CQ10" i="11"/>
  <c r="AD61" i="15"/>
  <c r="DJ30" i="15"/>
  <c r="AI79" i="15"/>
  <c r="EO53" i="15"/>
  <c r="J53" i="15"/>
  <c r="DS83" i="15"/>
  <c r="AL53" i="15"/>
  <c r="DS65" i="15"/>
  <c r="DS77" i="15"/>
  <c r="EM81" i="29"/>
  <c r="EM85" i="29" s="1"/>
  <c r="ES79" i="29"/>
  <c r="ES18" i="29" s="1"/>
  <c r="FA79" i="29"/>
  <c r="FA18" i="29" s="1"/>
  <c r="ET79" i="29"/>
  <c r="FB79" i="29"/>
  <c r="FB18" i="29" s="1"/>
  <c r="EU79" i="29"/>
  <c r="EU18" i="29" s="1"/>
  <c r="EV79" i="29"/>
  <c r="EV18" i="29" s="1"/>
  <c r="EW79" i="29"/>
  <c r="EX79" i="29"/>
  <c r="EX18" i="29" s="1"/>
  <c r="EQ79" i="29"/>
  <c r="EY79" i="29"/>
  <c r="EY18" i="29" s="1"/>
  <c r="ER79" i="29"/>
  <c r="ER18" i="29" s="1"/>
  <c r="EZ79" i="29"/>
  <c r="L161" i="29"/>
  <c r="CB58" i="19"/>
  <c r="CA34" i="15"/>
  <c r="CB92" i="15"/>
  <c r="CB36" i="15"/>
  <c r="CB37" i="15"/>
  <c r="EI40" i="24"/>
  <c r="AQ39" i="24"/>
  <c r="CR36" i="24"/>
  <c r="DH83" i="15"/>
  <c r="CZ44" i="19"/>
  <c r="CZ42" i="15"/>
  <c r="CC34" i="24"/>
  <c r="W33" i="24"/>
  <c r="H99" i="15"/>
  <c r="AG62" i="15"/>
  <c r="AG68" i="15"/>
  <c r="AG60" i="15"/>
  <c r="DM83" i="15"/>
  <c r="AW27" i="11"/>
  <c r="CN40" i="24"/>
  <c r="CO41" i="24" s="1"/>
  <c r="CY254" i="19"/>
  <c r="CY255" i="19"/>
  <c r="CY256" i="19"/>
  <c r="CY257" i="19"/>
  <c r="AJ37" i="24"/>
  <c r="DN38" i="24"/>
  <c r="R51" i="30"/>
  <c r="DQ52" i="19"/>
  <c r="DQ179" i="19" s="1"/>
  <c r="CS22" i="1"/>
  <c r="CS114" i="1"/>
  <c r="CS98" i="1"/>
  <c r="CS88" i="1"/>
  <c r="CS14" i="1"/>
  <c r="CS97" i="1"/>
  <c r="L11" i="28"/>
  <c r="AJ74" i="26" s="1"/>
  <c r="AJ81" i="26" s="1"/>
  <c r="V122" i="37"/>
  <c r="U130" i="37"/>
  <c r="U132" i="37"/>
  <c r="DH174" i="19"/>
  <c r="DH175" i="19"/>
  <c r="DH176" i="19"/>
  <c r="DH177" i="19"/>
  <c r="DW65" i="15"/>
  <c r="DW77" i="15"/>
  <c r="DW83" i="15" s="1"/>
  <c r="CP22" i="1"/>
  <c r="DB77" i="24"/>
  <c r="DC78" i="24" s="1"/>
  <c r="DD79" i="24" s="1"/>
  <c r="CU86" i="15"/>
  <c r="DX12" i="29"/>
  <c r="DY12" i="29"/>
  <c r="DZ12" i="29"/>
  <c r="DS12" i="29"/>
  <c r="EA12" i="29"/>
  <c r="DT12" i="29"/>
  <c r="EB12" i="29"/>
  <c r="DU12" i="29"/>
  <c r="EC12" i="29"/>
  <c r="DV12" i="29"/>
  <c r="ED12" i="29"/>
  <c r="DW12" i="29"/>
  <c r="AF86" i="15"/>
  <c r="EI66" i="15"/>
  <c r="EI78" i="15"/>
  <c r="EI19" i="15" s="1"/>
  <c r="AP54" i="15"/>
  <c r="K54" i="15"/>
  <c r="K66" i="15" s="1"/>
  <c r="EE66" i="15"/>
  <c r="EE84" i="15"/>
  <c r="EE78" i="15"/>
  <c r="DJ8" i="15"/>
  <c r="AI77" i="15"/>
  <c r="AI80" i="15" s="1"/>
  <c r="DJ80" i="15"/>
  <c r="DJ74" i="15" s="1"/>
  <c r="J11" i="28"/>
  <c r="AH74" i="26" s="1"/>
  <c r="AH81" i="26" s="1"/>
  <c r="BY33" i="24"/>
  <c r="V32" i="24"/>
  <c r="F32" i="24"/>
  <c r="I77" i="15"/>
  <c r="I80" i="15" s="1"/>
  <c r="AH77" i="15"/>
  <c r="AH80" i="15" s="1"/>
  <c r="DG80" i="15"/>
  <c r="DG74" i="15" s="1"/>
  <c r="DG8" i="15"/>
  <c r="EL32" i="29"/>
  <c r="EM39" i="29" s="1"/>
  <c r="ED51" i="19"/>
  <c r="ED173" i="19" s="1"/>
  <c r="ED67" i="15"/>
  <c r="ED79" i="15"/>
  <c r="ED30" i="15" s="1"/>
  <c r="DA52" i="19"/>
  <c r="H52" i="19" s="1"/>
  <c r="AF20" i="15"/>
  <c r="CU69" i="24"/>
  <c r="AC68" i="24"/>
  <c r="CX37" i="21"/>
  <c r="CX59" i="19"/>
  <c r="AE30" i="15"/>
  <c r="AA95" i="22"/>
  <c r="AO32" i="29"/>
  <c r="T10" i="28" s="1"/>
  <c r="AR73" i="26" s="1"/>
  <c r="AR80" i="26" s="1"/>
  <c r="EC39" i="29"/>
  <c r="AO39" i="29" s="1"/>
  <c r="EG81" i="29"/>
  <c r="EG85" i="29" s="1"/>
  <c r="DD37" i="21"/>
  <c r="DD59" i="19"/>
  <c r="AG30" i="15"/>
  <c r="DR9" i="15"/>
  <c r="DR86" i="15"/>
  <c r="V15" i="30"/>
  <c r="AD15" i="30"/>
  <c r="W15" i="30"/>
  <c r="AE15" i="30"/>
  <c r="E27" i="30"/>
  <c r="D27" i="30" s="1"/>
  <c r="X15" i="30"/>
  <c r="AF15" i="30"/>
  <c r="Y15" i="30"/>
  <c r="AG15" i="30"/>
  <c r="Z15" i="30"/>
  <c r="AH15" i="30"/>
  <c r="AA15" i="30"/>
  <c r="AI15" i="30"/>
  <c r="AB15" i="30"/>
  <c r="U15" i="30"/>
  <c r="AC15" i="30"/>
  <c r="DW51" i="19"/>
  <c r="DW173" i="19" s="1"/>
  <c r="DR52" i="19"/>
  <c r="DR179" i="19" s="1"/>
  <c r="AI67" i="15"/>
  <c r="EX39" i="24"/>
  <c r="AV38" i="24"/>
  <c r="AH67" i="15"/>
  <c r="EG53" i="15"/>
  <c r="DS62" i="15"/>
  <c r="EM32" i="29"/>
  <c r="EN39" i="29" s="1"/>
  <c r="AM32" i="29"/>
  <c r="R10" i="28" s="1"/>
  <c r="AP73" i="26" s="1"/>
  <c r="AP80" i="26" s="1"/>
  <c r="DW39" i="29"/>
  <c r="AM39" i="29" s="1"/>
  <c r="DB57" i="24"/>
  <c r="DC58" i="24" s="1"/>
  <c r="DD59" i="24" s="1"/>
  <c r="U31" i="37"/>
  <c r="U113" i="37"/>
  <c r="U14" i="37" s="1"/>
  <c r="AJ59" i="15"/>
  <c r="AJ65" i="15"/>
  <c r="AJ56" i="15"/>
  <c r="DY19" i="15"/>
  <c r="AN78" i="15"/>
  <c r="DR60" i="19"/>
  <c r="DR253" i="19" s="1"/>
  <c r="AB277" i="19"/>
  <c r="ED38" i="24"/>
  <c r="AO37" i="24"/>
  <c r="AU38" i="24"/>
  <c r="EU39" i="24"/>
  <c r="DQ38" i="24"/>
  <c r="AK37" i="24"/>
  <c r="J37" i="24"/>
  <c r="N51" i="30"/>
  <c r="DZ51" i="19"/>
  <c r="DZ173" i="19" s="1"/>
  <c r="AB203" i="19"/>
  <c r="AC117" i="19"/>
  <c r="DW62" i="15"/>
  <c r="EA51" i="19"/>
  <c r="EA173" i="19" s="1"/>
  <c r="H83" i="15"/>
  <c r="H86" i="15" s="1"/>
  <c r="DI180" i="19"/>
  <c r="DI183" i="19"/>
  <c r="DI182" i="19"/>
  <c r="DI181" i="19"/>
  <c r="CZ251" i="19"/>
  <c r="CZ248" i="19"/>
  <c r="CZ250" i="19"/>
  <c r="CZ249" i="19"/>
  <c r="DQ83" i="15"/>
  <c r="DA86" i="15"/>
  <c r="CY35" i="21"/>
  <c r="CY43" i="19"/>
  <c r="CY41" i="15"/>
  <c r="DJ83" i="15"/>
  <c r="DB249" i="19"/>
  <c r="DB250" i="19"/>
  <c r="DB251" i="19"/>
  <c r="DB248" i="19"/>
  <c r="DM31" i="15"/>
  <c r="DV67" i="15"/>
  <c r="DV79" i="15"/>
  <c r="AM55" i="15"/>
  <c r="DV85" i="15"/>
  <c r="DE60" i="19"/>
  <c r="DE253" i="19" s="1"/>
  <c r="CW248" i="19"/>
  <c r="CW249" i="19"/>
  <c r="CW250" i="19"/>
  <c r="CW251" i="19"/>
  <c r="EG32" i="29"/>
  <c r="EH39" i="29" s="1"/>
  <c r="DW84" i="15"/>
  <c r="DW20" i="15" s="1"/>
  <c r="DW36" i="21" s="1"/>
  <c r="H74" i="15"/>
  <c r="CH40" i="24"/>
  <c r="CI41" i="24" s="1"/>
  <c r="EL53" i="15"/>
  <c r="AC265" i="19"/>
  <c r="I84" i="15"/>
  <c r="DL176" i="19"/>
  <c r="DL174" i="19"/>
  <c r="DL175" i="19"/>
  <c r="DL177" i="19"/>
  <c r="DQ174" i="19"/>
  <c r="DQ175" i="19"/>
  <c r="DQ176" i="19"/>
  <c r="DQ177" i="19"/>
  <c r="DE248" i="19"/>
  <c r="DE249" i="19"/>
  <c r="DE250" i="19"/>
  <c r="DE251" i="19"/>
  <c r="EO38" i="24"/>
  <c r="AS37" i="24"/>
  <c r="V103" i="37"/>
  <c r="V24" i="37" s="1"/>
  <c r="V88" i="37"/>
  <c r="W111" i="36"/>
  <c r="W107" i="36" s="1"/>
  <c r="DZ21" i="21"/>
  <c r="J20" i="21"/>
  <c r="DS21" i="21"/>
  <c r="EA21" i="21"/>
  <c r="DT21" i="21"/>
  <c r="EB21" i="21"/>
  <c r="K21" i="21"/>
  <c r="DU21" i="21"/>
  <c r="EC21" i="21"/>
  <c r="DV21" i="21"/>
  <c r="ED21" i="21"/>
  <c r="DW21" i="21"/>
  <c r="DX21" i="21"/>
  <c r="DY21" i="21"/>
  <c r="CN63" i="19"/>
  <c r="CO29" i="15"/>
  <c r="DR37" i="21"/>
  <c r="DR59" i="19"/>
  <c r="DR247" i="19" s="1"/>
  <c r="EP81" i="29"/>
  <c r="EP85" i="29" s="1"/>
  <c r="AM38" i="24"/>
  <c r="DW39" i="24"/>
  <c r="J38" i="24"/>
  <c r="Q51" i="30"/>
  <c r="DZ84" i="15"/>
  <c r="DZ20" i="15" s="1"/>
  <c r="DZ36" i="21" s="1"/>
  <c r="DF248" i="19"/>
  <c r="DF249" i="19"/>
  <c r="DF250" i="19"/>
  <c r="DF251" i="19"/>
  <c r="AC70" i="19"/>
  <c r="DV65" i="15"/>
  <c r="DV83" i="15"/>
  <c r="AM53" i="15"/>
  <c r="DV77" i="15"/>
  <c r="AC13" i="1"/>
  <c r="CR22" i="1"/>
  <c r="AC22" i="1" s="1"/>
  <c r="CR114" i="1"/>
  <c r="CR98" i="1"/>
  <c r="CR14" i="1"/>
  <c r="CR97" i="1"/>
  <c r="CR88" i="1"/>
  <c r="AB111" i="19"/>
  <c r="AB129" i="19" s="1"/>
  <c r="G111" i="19"/>
  <c r="G129" i="19" s="1"/>
  <c r="CO129" i="19"/>
  <c r="DJ36" i="21"/>
  <c r="DJ51" i="19"/>
  <c r="AI19" i="15"/>
  <c r="CU44" i="19"/>
  <c r="CU42" i="15"/>
  <c r="CZ37" i="21"/>
  <c r="DZ26" i="29"/>
  <c r="DS26" i="29"/>
  <c r="EA26" i="29"/>
  <c r="DT26" i="29"/>
  <c r="EB26" i="29"/>
  <c r="DU26" i="29"/>
  <c r="EC26" i="29"/>
  <c r="DV26" i="29"/>
  <c r="ED26" i="29"/>
  <c r="DW26" i="29"/>
  <c r="DX26" i="29"/>
  <c r="DY26" i="29"/>
  <c r="DA44" i="19"/>
  <c r="DA42" i="15"/>
  <c r="AF9" i="15"/>
  <c r="DF44" i="19"/>
  <c r="DF42" i="15"/>
  <c r="CU75" i="24"/>
  <c r="AC74" i="24"/>
  <c r="DC35" i="21"/>
  <c r="DC43" i="19"/>
  <c r="DC41" i="15"/>
  <c r="EL66" i="15"/>
  <c r="EL78" i="15"/>
  <c r="EL19" i="15" s="1"/>
  <c r="DQ60" i="19"/>
  <c r="DQ253" i="19" s="1"/>
  <c r="AC47" i="15"/>
  <c r="DZ14" i="7" s="1"/>
  <c r="AB47" i="15"/>
  <c r="DY14" i="7" s="1"/>
  <c r="AC48" i="15"/>
  <c r="DZ15" i="7" s="1"/>
  <c r="AB48" i="15"/>
  <c r="DY15" i="7" s="1"/>
  <c r="FA39" i="24"/>
  <c r="EC84" i="15"/>
  <c r="EC20" i="15" s="1"/>
  <c r="EC36" i="21" s="1"/>
  <c r="AH12" i="29"/>
  <c r="DG33" i="29"/>
  <c r="DI85" i="15"/>
  <c r="DI31" i="15" s="1"/>
  <c r="X42" i="19"/>
  <c r="X47" i="19" s="1"/>
  <c r="CC66" i="19"/>
  <c r="X66" i="19" s="1"/>
  <c r="X71" i="19" s="1"/>
  <c r="CV60" i="19"/>
  <c r="CV253" i="19" s="1"/>
  <c r="AF69" i="22"/>
  <c r="AF67" i="22"/>
  <c r="AF68" i="22"/>
  <c r="EH66" i="15"/>
  <c r="AQ54" i="15"/>
  <c r="EH78" i="15"/>
  <c r="ER60" i="15"/>
  <c r="ER54" i="15" s="1"/>
  <c r="EZ60" i="15"/>
  <c r="EZ54" i="15" s="1"/>
  <c r="ET60" i="15"/>
  <c r="ET54" i="15" s="1"/>
  <c r="FB60" i="15"/>
  <c r="FB54" i="15" s="1"/>
  <c r="EU60" i="15"/>
  <c r="EU54" i="15" s="1"/>
  <c r="EV60" i="15"/>
  <c r="EV54" i="15" s="1"/>
  <c r="EW60" i="15"/>
  <c r="EW54" i="15" s="1"/>
  <c r="EX60" i="15"/>
  <c r="EX54" i="15" s="1"/>
  <c r="EQ60" i="15"/>
  <c r="EQ54" i="15" s="1"/>
  <c r="ES60" i="15"/>
  <c r="ES54" i="15" s="1"/>
  <c r="EY60" i="15"/>
  <c r="EY54" i="15" s="1"/>
  <c r="FA60" i="15"/>
  <c r="FA54" i="15" s="1"/>
  <c r="AI56" i="15"/>
  <c r="AI61" i="15" s="1"/>
  <c r="AI65" i="15"/>
  <c r="DQ37" i="21"/>
  <c r="DQ59" i="19"/>
  <c r="DQ247" i="19" s="1"/>
  <c r="AU53" i="1"/>
  <c r="BW34" i="24"/>
  <c r="U33" i="24"/>
  <c r="EW78" i="29"/>
  <c r="EX78" i="29"/>
  <c r="EQ78" i="29"/>
  <c r="EY78" i="29"/>
  <c r="ER78" i="29"/>
  <c r="EZ78" i="29"/>
  <c r="ES78" i="29"/>
  <c r="FA78" i="29"/>
  <c r="ET78" i="29"/>
  <c r="FB78" i="29"/>
  <c r="EU78" i="29"/>
  <c r="EV78" i="29"/>
  <c r="L160" i="29"/>
  <c r="L80" i="29"/>
  <c r="AH56" i="15"/>
  <c r="AH61" i="15" s="1"/>
  <c r="AH65" i="15"/>
  <c r="AH59" i="15"/>
  <c r="ED84" i="15"/>
  <c r="ED20" i="15" s="1"/>
  <c r="AO55" i="15"/>
  <c r="EB79" i="15"/>
  <c r="EB85" i="15"/>
  <c r="EB67" i="15"/>
  <c r="EC67" i="15"/>
  <c r="EC79" i="15"/>
  <c r="EC30" i="15" s="1"/>
  <c r="DL8" i="15"/>
  <c r="DL80" i="15"/>
  <c r="DL74" i="15" s="1"/>
  <c r="Q78" i="22"/>
  <c r="EE81" i="29"/>
  <c r="EE85" i="29" s="1"/>
  <c r="DG36" i="21"/>
  <c r="DG51" i="19"/>
  <c r="I19" i="15"/>
  <c r="AH19" i="15"/>
  <c r="DE39" i="24"/>
  <c r="DI38" i="24"/>
  <c r="I37" i="24"/>
  <c r="AH37" i="24"/>
  <c r="EE19" i="29"/>
  <c r="EM19" i="29"/>
  <c r="EF19" i="29"/>
  <c r="EN19" i="29"/>
  <c r="EG19" i="29"/>
  <c r="EO19" i="29"/>
  <c r="EH19" i="29"/>
  <c r="EP19" i="29"/>
  <c r="EI19" i="29"/>
  <c r="EJ19" i="29"/>
  <c r="EK19" i="29"/>
  <c r="EL19" i="29"/>
  <c r="ES59" i="15"/>
  <c r="FA59" i="15"/>
  <c r="EU59" i="15"/>
  <c r="EV59" i="15"/>
  <c r="EW59" i="15"/>
  <c r="EX59" i="15"/>
  <c r="EQ59" i="15"/>
  <c r="EY59" i="15"/>
  <c r="EZ59" i="15"/>
  <c r="FB59" i="15"/>
  <c r="ER59" i="15"/>
  <c r="ET59" i="15"/>
  <c r="EN53" i="15"/>
  <c r="AC185" i="19"/>
  <c r="CR203" i="19"/>
  <c r="AD72" i="15"/>
  <c r="DG11" i="7"/>
  <c r="DG13" i="7"/>
  <c r="DG10" i="7"/>
  <c r="DG52" i="19"/>
  <c r="I20" i="15"/>
  <c r="AH20" i="15"/>
  <c r="DB44" i="19"/>
  <c r="DB42" i="15"/>
  <c r="FB38" i="24"/>
  <c r="L38" i="24" s="1"/>
  <c r="AW37" i="24"/>
  <c r="DE37" i="21"/>
  <c r="BW27" i="29"/>
  <c r="BX23" i="29" s="1"/>
  <c r="BX27" i="29" s="1"/>
  <c r="BY23" i="29" s="1"/>
  <c r="BY27" i="29" s="1"/>
  <c r="BZ23" i="29" s="1"/>
  <c r="V23" i="29"/>
  <c r="AC111" i="19"/>
  <c r="AC129" i="19" s="1"/>
  <c r="CR129" i="19"/>
  <c r="AQ11" i="29"/>
  <c r="F16" i="30"/>
  <c r="DY84" i="15"/>
  <c r="AF68" i="15"/>
  <c r="AF62" i="15"/>
  <c r="AF60" i="15"/>
  <c r="AJ26" i="29"/>
  <c r="DF254" i="19"/>
  <c r="DF255" i="19"/>
  <c r="DF256" i="19"/>
  <c r="DF257" i="19"/>
  <c r="AO38" i="24"/>
  <c r="EC39" i="24"/>
  <c r="EP32" i="29"/>
  <c r="EQ39" i="29" s="1"/>
  <c r="AC191" i="19"/>
  <c r="CE33" i="24"/>
  <c r="X32" i="24"/>
  <c r="DV62" i="15"/>
  <c r="AB69" i="19"/>
  <c r="G69" i="19"/>
  <c r="G71" i="19" s="1"/>
  <c r="H66" i="19" s="1"/>
  <c r="AP18" i="29"/>
  <c r="K18" i="29"/>
  <c r="K20" i="29" s="1"/>
  <c r="L16" i="29" s="1"/>
  <c r="EA84" i="15"/>
  <c r="EA20" i="15" s="1"/>
  <c r="EA36" i="21" s="1"/>
  <c r="CU37" i="21"/>
  <c r="CU59" i="19"/>
  <c r="AD30" i="15"/>
  <c r="H30" i="15"/>
  <c r="DP30" i="15"/>
  <c r="AK79" i="15"/>
  <c r="AE85" i="15"/>
  <c r="AI12" i="29"/>
  <c r="DJ33" i="29"/>
  <c r="AI33" i="29" s="1"/>
  <c r="CW60" i="19"/>
  <c r="CW253" i="19" s="1"/>
  <c r="EP66" i="15"/>
  <c r="EP84" i="15"/>
  <c r="EP20" i="15" s="1"/>
  <c r="EP78" i="15"/>
  <c r="EP19" i="15" s="1"/>
  <c r="I56" i="15"/>
  <c r="I68" i="15" s="1"/>
  <c r="I65" i="15"/>
  <c r="AB99" i="15"/>
  <c r="AB100" i="15"/>
  <c r="DS19" i="15"/>
  <c r="AL78" i="15"/>
  <c r="J78" i="15"/>
  <c r="DZ67" i="15"/>
  <c r="DZ79" i="15"/>
  <c r="DZ30" i="15" s="1"/>
  <c r="DU67" i="15"/>
  <c r="DU79" i="15"/>
  <c r="DU30" i="15" s="1"/>
  <c r="DL86" i="15"/>
  <c r="DL9" i="15"/>
  <c r="AL19" i="29"/>
  <c r="DZ65" i="15"/>
  <c r="DZ77" i="15"/>
  <c r="DN174" i="19"/>
  <c r="DN176" i="19"/>
  <c r="DN177" i="19"/>
  <c r="DN175" i="19"/>
  <c r="DU36" i="21"/>
  <c r="DU51" i="19"/>
  <c r="DU173" i="19" s="1"/>
  <c r="CQ22" i="1"/>
  <c r="AD74" i="15"/>
  <c r="DN85" i="15"/>
  <c r="DN31" i="15" s="1"/>
  <c r="EJ53" i="15"/>
  <c r="EF53" i="15"/>
  <c r="AD51" i="19"/>
  <c r="H51" i="19"/>
  <c r="CU173" i="19"/>
  <c r="AG80" i="15"/>
  <c r="AG74" i="15" s="1"/>
  <c r="DX36" i="21"/>
  <c r="DX51" i="19"/>
  <c r="DX173" i="19" s="1"/>
  <c r="CS57" i="24"/>
  <c r="CT58" i="24" s="1"/>
  <c r="CU59" i="24" s="1"/>
  <c r="DU65" i="15"/>
  <c r="DU77" i="15"/>
  <c r="DU83" i="15" s="1"/>
  <c r="U27" i="29"/>
  <c r="X28" i="29"/>
  <c r="AC69" i="19"/>
  <c r="EF81" i="29"/>
  <c r="EF85" i="29" s="1"/>
  <c r="CX44" i="19"/>
  <c r="AE9" i="15"/>
  <c r="CX42" i="15"/>
  <c r="A18" i="30"/>
  <c r="B17" i="30"/>
  <c r="C17" i="30"/>
  <c r="AN66" i="15"/>
  <c r="EC65" i="15"/>
  <c r="EC83" i="15"/>
  <c r="EC77" i="15"/>
  <c r="CZ35" i="21"/>
  <c r="CZ43" i="19"/>
  <c r="CZ41" i="15"/>
  <c r="AE62" i="15"/>
  <c r="AE68" i="15"/>
  <c r="AE60" i="15"/>
  <c r="AR37" i="24"/>
  <c r="EL38" i="24"/>
  <c r="P51" i="30"/>
  <c r="H20" i="15"/>
  <c r="CN47" i="15"/>
  <c r="CN48" i="15"/>
  <c r="AG52" i="19"/>
  <c r="DD179" i="19"/>
  <c r="G185" i="19"/>
  <c r="G203" i="19" s="1"/>
  <c r="DP8" i="15"/>
  <c r="DP80" i="15"/>
  <c r="DP74" i="15" s="1"/>
  <c r="AK77" i="15"/>
  <c r="AK80" i="15" s="1"/>
  <c r="AK74" i="15" s="1"/>
  <c r="DK57" i="24"/>
  <c r="DL58" i="24" s="1"/>
  <c r="DM59" i="24" s="1"/>
  <c r="AC94" i="15"/>
  <c r="CZ181" i="19"/>
  <c r="CZ182" i="19"/>
  <c r="CZ180" i="19"/>
  <c r="CZ183" i="19"/>
  <c r="AK67" i="15"/>
  <c r="AK61" i="15"/>
  <c r="CX60" i="19"/>
  <c r="AE31" i="15"/>
  <c r="DP52" i="19"/>
  <c r="AK20" i="15"/>
  <c r="AG86" i="15"/>
  <c r="AK33" i="35"/>
  <c r="DH180" i="19"/>
  <c r="DH182" i="19"/>
  <c r="DH181" i="19"/>
  <c r="DH183" i="19"/>
  <c r="DK58" i="24"/>
  <c r="DL59" i="24" s="1"/>
  <c r="DM60" i="24" s="1"/>
  <c r="V17" i="36"/>
  <c r="V4" i="36"/>
  <c r="AR11" i="29"/>
  <c r="G99" i="15"/>
  <c r="G100" i="15" s="1"/>
  <c r="H100" i="15" s="1"/>
  <c r="H29" i="15"/>
  <c r="DP7" i="25"/>
  <c r="DV19" i="15"/>
  <c r="AM78" i="15"/>
  <c r="V39" i="36"/>
  <c r="U42" i="35"/>
  <c r="V42" i="36"/>
  <c r="V41" i="36"/>
  <c r="EN25" i="29"/>
  <c r="AS25" i="29" s="1"/>
  <c r="AS80" i="29"/>
  <c r="AS81" i="29" s="1"/>
  <c r="AS85" i="29" s="1"/>
  <c r="EH25" i="29"/>
  <c r="AQ25" i="29" s="1"/>
  <c r="AQ80" i="29"/>
  <c r="AQ81" i="29" s="1"/>
  <c r="AQ85" i="29" s="1"/>
  <c r="DP36" i="21"/>
  <c r="DP51" i="19"/>
  <c r="AK19" i="15"/>
  <c r="AJ12" i="29"/>
  <c r="DM33" i="29"/>
  <c r="AJ33" i="29" s="1"/>
  <c r="CY58" i="24"/>
  <c r="CZ59" i="24" s="1"/>
  <c r="DA60" i="24" s="1"/>
  <c r="DZ39" i="24"/>
  <c r="AN38" i="24"/>
  <c r="DX65" i="15"/>
  <c r="DX83" i="15"/>
  <c r="DX77" i="15"/>
  <c r="DL39" i="24"/>
  <c r="AI38" i="24"/>
  <c r="CN33" i="24"/>
  <c r="AA32" i="24"/>
  <c r="EG66" i="15"/>
  <c r="EG78" i="15"/>
  <c r="EG19" i="15" s="1"/>
  <c r="DN96" i="24"/>
  <c r="DO97" i="24" s="1"/>
  <c r="DP98" i="24" s="1"/>
  <c r="AE52" i="19"/>
  <c r="CX179" i="19"/>
  <c r="CN55" i="19"/>
  <c r="CO18" i="15"/>
  <c r="AL39" i="24"/>
  <c r="DT40" i="24"/>
  <c r="DU41" i="24" s="1"/>
  <c r="DV42" i="24" s="1"/>
  <c r="J39" i="24"/>
  <c r="CP126" i="24"/>
  <c r="U38" i="37"/>
  <c r="U41" i="37"/>
  <c r="DG83" i="15"/>
  <c r="DL52" i="19"/>
  <c r="DL179" i="19" s="1"/>
  <c r="CT129" i="19"/>
  <c r="BJ110" i="1"/>
  <c r="BJ99" i="1"/>
  <c r="DS84" i="15"/>
  <c r="CV57" i="24"/>
  <c r="CW58" i="24" s="1"/>
  <c r="CX59" i="24" s="1"/>
  <c r="S46" i="35"/>
  <c r="S14" i="39"/>
  <c r="DT67" i="15"/>
  <c r="DT85" i="15"/>
  <c r="DT31" i="15" s="1"/>
  <c r="DT79" i="15"/>
  <c r="DT30" i="15" s="1"/>
  <c r="EI61" i="15"/>
  <c r="EI55" i="15" s="1"/>
  <c r="EK61" i="15"/>
  <c r="EK55" i="15" s="1"/>
  <c r="L61" i="15"/>
  <c r="EL61" i="15"/>
  <c r="EL55" i="15" s="1"/>
  <c r="EE61" i="15"/>
  <c r="EE55" i="15" s="1"/>
  <c r="EM61" i="15"/>
  <c r="EM55" i="15" s="1"/>
  <c r="EF61" i="15"/>
  <c r="EF55" i="15" s="1"/>
  <c r="EN61" i="15"/>
  <c r="EN55" i="15" s="1"/>
  <c r="EG61" i="15"/>
  <c r="EG55" i="15" s="1"/>
  <c r="EO61" i="15"/>
  <c r="EO55" i="15" s="1"/>
  <c r="EH61" i="15"/>
  <c r="EH55" i="15" s="1"/>
  <c r="EJ61" i="15"/>
  <c r="EJ55" i="15" s="1"/>
  <c r="EP61" i="15"/>
  <c r="EP55" i="15" s="1"/>
  <c r="DM52" i="19"/>
  <c r="AJ20" i="15"/>
  <c r="AA78" i="22"/>
  <c r="J26" i="22"/>
  <c r="W25" i="22"/>
  <c r="M25" i="22"/>
  <c r="P25" i="22"/>
  <c r="N25" i="22"/>
  <c r="X25" i="22"/>
  <c r="R25" i="22"/>
  <c r="Q25" i="22"/>
  <c r="T25" i="22"/>
  <c r="Y25" i="22"/>
  <c r="U25" i="22"/>
  <c r="S25" i="22"/>
  <c r="O25" i="22"/>
  <c r="V25" i="22"/>
  <c r="DZ62" i="15"/>
  <c r="AP11" i="29"/>
  <c r="K11" i="29"/>
  <c r="DN36" i="21"/>
  <c r="CL34" i="24"/>
  <c r="G33" i="24"/>
  <c r="Z33" i="24"/>
  <c r="CV86" i="15"/>
  <c r="CV9" i="15"/>
  <c r="AD9" i="15" s="1"/>
  <c r="DU52" i="19"/>
  <c r="DU179" i="19" s="1"/>
  <c r="CU35" i="21"/>
  <c r="CU43" i="19"/>
  <c r="H8" i="15"/>
  <c r="AD8" i="15"/>
  <c r="CU41" i="15"/>
  <c r="DN37" i="21"/>
  <c r="DN59" i="19"/>
  <c r="DN247" i="19" s="1"/>
  <c r="DH80" i="24"/>
  <c r="DI81" i="24" s="1"/>
  <c r="DJ82" i="24" s="1"/>
  <c r="DF38" i="24"/>
  <c r="AG37" i="24"/>
  <c r="EI62" i="15"/>
  <c r="EI53" i="15"/>
  <c r="EM62" i="15"/>
  <c r="EM53" i="15"/>
  <c r="AT53" i="1"/>
  <c r="CW35" i="21"/>
  <c r="CW43" i="19"/>
  <c r="CW41" i="15"/>
  <c r="AD36" i="21"/>
  <c r="H36" i="21"/>
  <c r="CB50" i="19"/>
  <c r="CB26" i="15"/>
  <c r="CB25" i="15"/>
  <c r="CA23" i="15"/>
  <c r="CB91" i="15"/>
  <c r="DX52" i="19"/>
  <c r="DX179" i="19" s="1"/>
  <c r="DL37" i="21"/>
  <c r="DL59" i="19"/>
  <c r="DL247" i="19" s="1"/>
  <c r="U13" i="37"/>
  <c r="DU62" i="15"/>
  <c r="EF32" i="29"/>
  <c r="EG39" i="29" s="1"/>
  <c r="AE86" i="15"/>
  <c r="G94" i="15"/>
  <c r="Z94" i="15"/>
  <c r="BN63" i="1"/>
  <c r="Q59" i="2"/>
  <c r="G259" i="19"/>
  <c r="G277" i="19" s="1"/>
  <c r="DO181" i="19"/>
  <c r="DO182" i="19"/>
  <c r="DO180" i="19"/>
  <c r="DO183" i="19"/>
  <c r="DB52" i="24"/>
  <c r="DC53" i="24" s="1"/>
  <c r="DD54" i="24" s="1"/>
  <c r="EC62" i="15"/>
  <c r="CV58" i="24"/>
  <c r="CW59" i="24" s="1"/>
  <c r="CX60" i="24" s="1"/>
  <c r="DC60" i="19"/>
  <c r="DC253" i="19" s="1"/>
  <c r="Y106" i="1"/>
  <c r="X113" i="1"/>
  <c r="DI8" i="15"/>
  <c r="DI80" i="15"/>
  <c r="DI74" i="15" s="1"/>
  <c r="DP83" i="15"/>
  <c r="DH57" i="24"/>
  <c r="DI58" i="24" s="1"/>
  <c r="DJ59" i="24" s="1"/>
  <c r="DL33" i="11"/>
  <c r="DM33" i="11"/>
  <c r="BG13" i="29"/>
  <c r="BH9" i="29" s="1"/>
  <c r="BG30" i="29"/>
  <c r="BG34" i="29" s="1"/>
  <c r="BG37" i="29" s="1"/>
  <c r="BG38" i="29" s="1"/>
  <c r="AC111" i="15"/>
  <c r="AC112" i="15"/>
  <c r="CP9" i="11"/>
  <c r="CP82" i="11" s="1"/>
  <c r="CP52" i="1"/>
  <c r="CP100" i="1"/>
  <c r="CP15" i="1"/>
  <c r="CP90" i="1" s="1"/>
  <c r="CP10" i="11"/>
  <c r="CT37" i="24"/>
  <c r="CY44" i="19"/>
  <c r="CY42" i="15"/>
  <c r="AF72" i="15"/>
  <c r="DI10" i="7"/>
  <c r="DI13" i="7"/>
  <c r="DI11" i="7"/>
  <c r="DP85" i="15"/>
  <c r="DE86" i="15"/>
  <c r="AK84" i="15"/>
  <c r="DD44" i="19"/>
  <c r="AG9" i="15"/>
  <c r="DD42" i="15"/>
  <c r="M80" i="26" l="1"/>
  <c r="AV119" i="26"/>
  <c r="AV208" i="26" s="1"/>
  <c r="N95" i="26"/>
  <c r="N119" i="26" s="1"/>
  <c r="AW65" i="26"/>
  <c r="AW66" i="26" s="1"/>
  <c r="O62" i="26"/>
  <c r="AK33" i="29"/>
  <c r="K13" i="29"/>
  <c r="L9" i="29" s="1"/>
  <c r="AS19" i="29"/>
  <c r="EK32" i="29"/>
  <c r="R124" i="26"/>
  <c r="R123" i="26"/>
  <c r="CV100" i="15"/>
  <c r="DD100" i="15"/>
  <c r="CZ100" i="15"/>
  <c r="DA100" i="15"/>
  <c r="DB100" i="15"/>
  <c r="DC100" i="15"/>
  <c r="CU100" i="15"/>
  <c r="DE100" i="15"/>
  <c r="CW100" i="15"/>
  <c r="DF100" i="15"/>
  <c r="CX100" i="15"/>
  <c r="CY100" i="15"/>
  <c r="I100" i="15"/>
  <c r="DU9" i="15"/>
  <c r="I30" i="29"/>
  <c r="C12" i="28"/>
  <c r="K75" i="26" s="1"/>
  <c r="K82" i="26" s="1"/>
  <c r="DY31" i="15"/>
  <c r="DS31" i="15"/>
  <c r="DW9" i="15"/>
  <c r="L12" i="29"/>
  <c r="EP67" i="15"/>
  <c r="EP79" i="15"/>
  <c r="EP30" i="15" s="1"/>
  <c r="EP85" i="15"/>
  <c r="EP31" i="15" s="1"/>
  <c r="AP55" i="15"/>
  <c r="EE67" i="15"/>
  <c r="K55" i="15"/>
  <c r="K67" i="15" s="1"/>
  <c r="EE79" i="15"/>
  <c r="EE85" i="15" s="1"/>
  <c r="AF14" i="39"/>
  <c r="AF15" i="39" s="1"/>
  <c r="AG13" i="39" s="1"/>
  <c r="S18" i="39"/>
  <c r="S15" i="39"/>
  <c r="T13" i="39" s="1"/>
  <c r="BK106" i="1"/>
  <c r="BJ113" i="1"/>
  <c r="DG9" i="15"/>
  <c r="I83" i="15"/>
  <c r="AH83" i="15"/>
  <c r="DG86" i="15"/>
  <c r="EG84" i="15"/>
  <c r="EG20" i="15" s="1"/>
  <c r="DN60" i="24"/>
  <c r="AE42" i="15"/>
  <c r="CX12" i="1"/>
  <c r="AD173" i="19"/>
  <c r="CU177" i="19"/>
  <c r="H173" i="19"/>
  <c r="CU174" i="19"/>
  <c r="CU175" i="19"/>
  <c r="CU176" i="19"/>
  <c r="DL44" i="19"/>
  <c r="DL42" i="15"/>
  <c r="CW255" i="19"/>
  <c r="CW256" i="19"/>
  <c r="CW257" i="19"/>
  <c r="CW254" i="19"/>
  <c r="DP59" i="19"/>
  <c r="AK30" i="15"/>
  <c r="CF34" i="24"/>
  <c r="X33" i="24"/>
  <c r="Z16" i="30"/>
  <c r="AH16" i="30"/>
  <c r="AA16" i="30"/>
  <c r="AI16" i="30"/>
  <c r="AB16" i="30"/>
  <c r="AJ16" i="30"/>
  <c r="AC16" i="30"/>
  <c r="V16" i="30"/>
  <c r="AD16" i="30"/>
  <c r="W16" i="30"/>
  <c r="AE16" i="30"/>
  <c r="X16" i="30"/>
  <c r="AF16" i="30"/>
  <c r="E28" i="30"/>
  <c r="D28" i="30" s="1"/>
  <c r="Y16" i="30"/>
  <c r="AG16" i="30"/>
  <c r="AH52" i="19"/>
  <c r="DG179" i="19"/>
  <c r="EZ53" i="15"/>
  <c r="FA53" i="15"/>
  <c r="EB30" i="15"/>
  <c r="AO79" i="15"/>
  <c r="ER11" i="29"/>
  <c r="FA66" i="15"/>
  <c r="FA84" i="15"/>
  <c r="FA20" i="15" s="1"/>
  <c r="FA78" i="15"/>
  <c r="FA19" i="15" s="1"/>
  <c r="FB84" i="15"/>
  <c r="FB20" i="15" s="1"/>
  <c r="FB66" i="15"/>
  <c r="FB78" i="15"/>
  <c r="FB19" i="15" s="1"/>
  <c r="FB40" i="24"/>
  <c r="AW40" i="24" s="1"/>
  <c r="AW39" i="24"/>
  <c r="AF44" i="19"/>
  <c r="DA105" i="19"/>
  <c r="AO26" i="29"/>
  <c r="CU12" i="1"/>
  <c r="CY67" i="19"/>
  <c r="CY99" i="19"/>
  <c r="EE39" i="24"/>
  <c r="AJ62" i="15"/>
  <c r="AJ68" i="15"/>
  <c r="AJ60" i="15"/>
  <c r="AG37" i="21"/>
  <c r="AE59" i="19"/>
  <c r="CX247" i="19"/>
  <c r="ED85" i="15"/>
  <c r="ED31" i="15" s="1"/>
  <c r="AM12" i="29"/>
  <c r="DV33" i="29"/>
  <c r="AN12" i="29"/>
  <c r="DY33" i="29"/>
  <c r="U15" i="37"/>
  <c r="CZ68" i="19"/>
  <c r="CZ105" i="19"/>
  <c r="EQ18" i="29"/>
  <c r="AT79" i="29"/>
  <c r="EO65" i="15"/>
  <c r="EO77" i="15"/>
  <c r="DR35" i="21"/>
  <c r="DR43" i="19"/>
  <c r="DR41" i="15"/>
  <c r="ES47" i="24"/>
  <c r="AT46" i="24"/>
  <c r="AB22" i="1"/>
  <c r="DC81" i="24"/>
  <c r="DD82" i="24" s="1"/>
  <c r="W20" i="29"/>
  <c r="Z21" i="29"/>
  <c r="AJ72" i="15"/>
  <c r="CS92" i="1"/>
  <c r="CS93" i="1" s="1"/>
  <c r="DF40" i="21"/>
  <c r="DF34" i="21"/>
  <c r="AL67" i="15"/>
  <c r="CX174" i="19"/>
  <c r="CX176" i="19"/>
  <c r="CX177" i="19"/>
  <c r="AE173" i="19"/>
  <c r="CX175" i="19"/>
  <c r="DN9" i="15"/>
  <c r="DN86" i="15"/>
  <c r="EC175" i="19"/>
  <c r="EC177" i="19"/>
  <c r="EC174" i="19"/>
  <c r="EC176" i="19"/>
  <c r="CN71" i="19"/>
  <c r="AG35" i="21"/>
  <c r="DD34" i="21"/>
  <c r="DD42" i="21" s="1"/>
  <c r="T32" i="24"/>
  <c r="E32" i="24"/>
  <c r="BS33" i="24"/>
  <c r="BR61" i="24"/>
  <c r="BR14" i="24" s="1"/>
  <c r="DB103" i="15"/>
  <c r="DB21" i="15" s="1"/>
  <c r="DD103" i="15"/>
  <c r="DD104" i="15"/>
  <c r="DQ98" i="24"/>
  <c r="DR99" i="24" s="1"/>
  <c r="DS100" i="24" s="1"/>
  <c r="EN20" i="15"/>
  <c r="DE99" i="19"/>
  <c r="DE67" i="19"/>
  <c r="AF71" i="15"/>
  <c r="CY10" i="7"/>
  <c r="CY13" i="7"/>
  <c r="CY11" i="7"/>
  <c r="DK35" i="21"/>
  <c r="DK43" i="19"/>
  <c r="DK41" i="15"/>
  <c r="DG112" i="15"/>
  <c r="DO112" i="15"/>
  <c r="DH112" i="15"/>
  <c r="DP112" i="15"/>
  <c r="DI112" i="15"/>
  <c r="DQ112" i="15"/>
  <c r="DJ112" i="15"/>
  <c r="DR112" i="15"/>
  <c r="DK112" i="15"/>
  <c r="J112" i="15"/>
  <c r="DL112" i="15"/>
  <c r="DM112" i="15"/>
  <c r="DN112" i="15"/>
  <c r="EJ85" i="15"/>
  <c r="EJ31" i="15" s="1"/>
  <c r="EJ67" i="15"/>
  <c r="EJ79" i="15"/>
  <c r="EJ30" i="15" s="1"/>
  <c r="EL67" i="15"/>
  <c r="EL85" i="15"/>
  <c r="EL31" i="15" s="1"/>
  <c r="EL79" i="15"/>
  <c r="EL30" i="15" s="1"/>
  <c r="CO50" i="19"/>
  <c r="AB50" i="19" s="1"/>
  <c r="AB55" i="19" s="1"/>
  <c r="CO23" i="15"/>
  <c r="AB18" i="15"/>
  <c r="CO91" i="15"/>
  <c r="CO25" i="15"/>
  <c r="CO26" i="15"/>
  <c r="DX8" i="15"/>
  <c r="DX80" i="15"/>
  <c r="DX74" i="15" s="1"/>
  <c r="O11" i="28"/>
  <c r="AM74" i="26" s="1"/>
  <c r="AM81" i="26" s="1"/>
  <c r="DB12" i="1"/>
  <c r="EY53" i="15"/>
  <c r="ES53" i="15"/>
  <c r="DJ39" i="24"/>
  <c r="AH38" i="24"/>
  <c r="I38" i="24"/>
  <c r="AO67" i="15"/>
  <c r="EV11" i="29"/>
  <c r="EY11" i="29"/>
  <c r="EY66" i="15"/>
  <c r="EY84" i="15"/>
  <c r="EY20" i="15" s="1"/>
  <c r="EY78" i="15"/>
  <c r="EY19" i="15" s="1"/>
  <c r="AU54" i="15"/>
  <c r="ET84" i="15"/>
  <c r="ET66" i="15"/>
  <c r="ET78" i="15"/>
  <c r="AW38" i="24"/>
  <c r="DQ254" i="19"/>
  <c r="DQ255" i="19"/>
  <c r="DQ257" i="19"/>
  <c r="DQ256" i="19"/>
  <c r="AD75" i="24"/>
  <c r="CV76" i="24"/>
  <c r="AN26" i="29"/>
  <c r="CO58" i="19"/>
  <c r="AB58" i="19" s="1"/>
  <c r="AB63" i="19" s="1"/>
  <c r="AB29" i="15"/>
  <c r="CO34" i="15"/>
  <c r="CO36" i="15"/>
  <c r="CO92" i="15"/>
  <c r="CO37" i="15"/>
  <c r="V87" i="37"/>
  <c r="W36" i="36"/>
  <c r="W108" i="36"/>
  <c r="EP39" i="24"/>
  <c r="AS38" i="24"/>
  <c r="EL65" i="15"/>
  <c r="EL83" i="15"/>
  <c r="EL77" i="15"/>
  <c r="CY34" i="21"/>
  <c r="DR181" i="19"/>
  <c r="DR182" i="19"/>
  <c r="DR183" i="19"/>
  <c r="DR180" i="19"/>
  <c r="AE37" i="21"/>
  <c r="ED37" i="21"/>
  <c r="ED59" i="19"/>
  <c r="ED247" i="19" s="1"/>
  <c r="AH74" i="15"/>
  <c r="AP66" i="15"/>
  <c r="EC33" i="29"/>
  <c r="DX33" i="29"/>
  <c r="DO39" i="24"/>
  <c r="AJ38" i="24"/>
  <c r="CP42" i="24"/>
  <c r="DH9" i="15"/>
  <c r="DH86" i="15"/>
  <c r="EO62" i="15"/>
  <c r="AJ61" i="15"/>
  <c r="AR78" i="15"/>
  <c r="EK19" i="15"/>
  <c r="DQ43" i="19"/>
  <c r="DQ41" i="15"/>
  <c r="DH251" i="19"/>
  <c r="DH248" i="19"/>
  <c r="DH250" i="19"/>
  <c r="DH249" i="19"/>
  <c r="X16" i="29"/>
  <c r="CC20" i="29"/>
  <c r="CD16" i="29" s="1"/>
  <c r="CD20" i="29" s="1"/>
  <c r="CE16" i="29" s="1"/>
  <c r="CE20" i="29" s="1"/>
  <c r="CF16" i="29" s="1"/>
  <c r="V48" i="37"/>
  <c r="W35" i="36"/>
  <c r="W52" i="36"/>
  <c r="AJ51" i="19"/>
  <c r="DM173" i="19"/>
  <c r="ES112" i="1"/>
  <c r="FA112" i="1"/>
  <c r="ET112" i="1"/>
  <c r="FB112" i="1"/>
  <c r="EU112" i="1"/>
  <c r="EV112" i="1"/>
  <c r="EW112" i="1"/>
  <c r="EX112" i="1"/>
  <c r="EQ112" i="1"/>
  <c r="EY112" i="1"/>
  <c r="ER112" i="1"/>
  <c r="EZ112" i="1"/>
  <c r="CX9" i="24"/>
  <c r="CX9" i="21"/>
  <c r="AE41" i="15"/>
  <c r="CX11" i="1"/>
  <c r="DX60" i="19"/>
  <c r="DX253" i="19" s="1"/>
  <c r="CU180" i="19"/>
  <c r="CU181" i="19"/>
  <c r="AD179" i="19"/>
  <c r="CU183" i="19"/>
  <c r="CU182" i="19"/>
  <c r="DA103" i="15"/>
  <c r="CV103" i="15"/>
  <c r="CV21" i="15" s="1"/>
  <c r="AN67" i="15"/>
  <c r="DE34" i="21"/>
  <c r="AF43" i="19"/>
  <c r="DA67" i="19"/>
  <c r="DA99" i="19"/>
  <c r="EO51" i="19"/>
  <c r="EO173" i="19" s="1"/>
  <c r="P11" i="28"/>
  <c r="AN74" i="26" s="1"/>
  <c r="AN81" i="26" s="1"/>
  <c r="CZ254" i="19"/>
  <c r="CZ255" i="19"/>
  <c r="CZ256" i="19"/>
  <c r="CZ257" i="19"/>
  <c r="AH85" i="15"/>
  <c r="DP9" i="15"/>
  <c r="DP86" i="15"/>
  <c r="AK83" i="15"/>
  <c r="CW99" i="19"/>
  <c r="CW67" i="19"/>
  <c r="CV44" i="19"/>
  <c r="CV42" i="15"/>
  <c r="AD42" i="15" s="1"/>
  <c r="DI35" i="21"/>
  <c r="DI43" i="19"/>
  <c r="DI41" i="15"/>
  <c r="U17" i="37"/>
  <c r="AD71" i="15"/>
  <c r="CW11" i="7"/>
  <c r="CW13" i="7"/>
  <c r="CW10" i="7"/>
  <c r="J27" i="22"/>
  <c r="X26" i="22"/>
  <c r="S26" i="22"/>
  <c r="Q26" i="22"/>
  <c r="U26" i="22"/>
  <c r="Y26" i="22"/>
  <c r="N26" i="22"/>
  <c r="R26" i="22"/>
  <c r="V26" i="22"/>
  <c r="T26" i="22"/>
  <c r="W26" i="22"/>
  <c r="M26" i="22"/>
  <c r="P26" i="22"/>
  <c r="O26" i="22"/>
  <c r="EH67" i="15"/>
  <c r="AQ55" i="15"/>
  <c r="EH79" i="15"/>
  <c r="EH85" i="15"/>
  <c r="EQ61" i="15"/>
  <c r="EQ55" i="15" s="1"/>
  <c r="EY61" i="15"/>
  <c r="EY55" i="15" s="1"/>
  <c r="ES61" i="15"/>
  <c r="ES55" i="15" s="1"/>
  <c r="FA61" i="15"/>
  <c r="FA55" i="15" s="1"/>
  <c r="ET61" i="15"/>
  <c r="ET55" i="15" s="1"/>
  <c r="FB61" i="15"/>
  <c r="FB55" i="15" s="1"/>
  <c r="EU61" i="15"/>
  <c r="EU55" i="15" s="1"/>
  <c r="EV61" i="15"/>
  <c r="EV55" i="15" s="1"/>
  <c r="EW61" i="15"/>
  <c r="EW55" i="15" s="1"/>
  <c r="ER61" i="15"/>
  <c r="ER55" i="15" s="1"/>
  <c r="EX61" i="15"/>
  <c r="EX55" i="15" s="1"/>
  <c r="EZ61" i="15"/>
  <c r="EZ55" i="15" s="1"/>
  <c r="CY60" i="24"/>
  <c r="DX9" i="15"/>
  <c r="DX86" i="15"/>
  <c r="AE44" i="19"/>
  <c r="CX68" i="19"/>
  <c r="CX105" i="19"/>
  <c r="CV60" i="24"/>
  <c r="DU175" i="19"/>
  <c r="DU177" i="19"/>
  <c r="DU176" i="19"/>
  <c r="DU174" i="19"/>
  <c r="DU59" i="19"/>
  <c r="DU247" i="19" s="1"/>
  <c r="DS51" i="19"/>
  <c r="AL19" i="15"/>
  <c r="J19" i="15"/>
  <c r="EH32" i="29"/>
  <c r="V27" i="29"/>
  <c r="Y28" i="29"/>
  <c r="EQ53" i="15"/>
  <c r="DF40" i="24"/>
  <c r="AG39" i="24"/>
  <c r="ED52" i="19"/>
  <c r="ED179" i="19" s="1"/>
  <c r="EU11" i="29"/>
  <c r="EQ11" i="29"/>
  <c r="AT78" i="29"/>
  <c r="ES66" i="15"/>
  <c r="ES78" i="15"/>
  <c r="ES19" i="15" s="1"/>
  <c r="AW54" i="15"/>
  <c r="EZ66" i="15"/>
  <c r="EZ84" i="15"/>
  <c r="EZ78" i="15"/>
  <c r="EL51" i="19"/>
  <c r="EL173" i="19" s="1"/>
  <c r="H44" i="19"/>
  <c r="CU105" i="19"/>
  <c r="EH21" i="21"/>
  <c r="EP21" i="21"/>
  <c r="EI21" i="21"/>
  <c r="K20" i="21"/>
  <c r="EJ21" i="21"/>
  <c r="EK21" i="21"/>
  <c r="L21" i="21"/>
  <c r="EL21" i="21"/>
  <c r="EE21" i="21"/>
  <c r="EM21" i="21"/>
  <c r="EF21" i="21"/>
  <c r="EN21" i="21"/>
  <c r="EG21" i="21"/>
  <c r="EO21" i="21"/>
  <c r="V107" i="37"/>
  <c r="V28" i="37" s="1"/>
  <c r="DG10" i="25"/>
  <c r="DG11" i="25" s="1"/>
  <c r="EL62" i="15"/>
  <c r="DV31" i="15"/>
  <c r="AM85" i="15"/>
  <c r="DR39" i="24"/>
  <c r="AK38" i="24"/>
  <c r="DW175" i="19"/>
  <c r="DW176" i="19"/>
  <c r="DW177" i="19"/>
  <c r="DW174" i="19"/>
  <c r="I74" i="15"/>
  <c r="EI51" i="19"/>
  <c r="EI173" i="19" s="1"/>
  <c r="DU33" i="29"/>
  <c r="V126" i="37"/>
  <c r="V128" i="37" s="1"/>
  <c r="W149" i="36"/>
  <c r="W145" i="36" s="1"/>
  <c r="CW99" i="15"/>
  <c r="DE99" i="15"/>
  <c r="CX99" i="15"/>
  <c r="CY99" i="15"/>
  <c r="CZ99" i="15"/>
  <c r="DA99" i="15"/>
  <c r="DB99" i="15"/>
  <c r="DC99" i="15"/>
  <c r="CU99" i="15"/>
  <c r="DD99" i="15"/>
  <c r="CV99" i="15"/>
  <c r="DF99" i="15"/>
  <c r="CA63" i="19"/>
  <c r="CA29" i="15"/>
  <c r="EW18" i="29"/>
  <c r="AV18" i="29" s="1"/>
  <c r="AV79" i="29"/>
  <c r="DO9" i="15"/>
  <c r="DO86" i="15"/>
  <c r="EK84" i="15"/>
  <c r="G22" i="1"/>
  <c r="Z22" i="1"/>
  <c r="Z34" i="24"/>
  <c r="CJ35" i="24"/>
  <c r="L29" i="11"/>
  <c r="L28" i="11"/>
  <c r="AJ36" i="21"/>
  <c r="DD176" i="19"/>
  <c r="AG173" i="19"/>
  <c r="DD175" i="19"/>
  <c r="DD177" i="19"/>
  <c r="DD174" i="19"/>
  <c r="AE71" i="15"/>
  <c r="CX10" i="7"/>
  <c r="CX13" i="7"/>
  <c r="CX11" i="7"/>
  <c r="AA55" i="34"/>
  <c r="DX37" i="21"/>
  <c r="DX59" i="19"/>
  <c r="DX247" i="19" s="1"/>
  <c r="CU60" i="19"/>
  <c r="AD31" i="15"/>
  <c r="DQ10" i="7" s="1"/>
  <c r="H31" i="15"/>
  <c r="CZ104" i="15"/>
  <c r="CZ22" i="15" s="1"/>
  <c r="CZ54" i="19" s="1"/>
  <c r="CZ191" i="19" s="1"/>
  <c r="CZ103" i="15"/>
  <c r="CZ21" i="15" s="1"/>
  <c r="AN79" i="15"/>
  <c r="DY30" i="15"/>
  <c r="AS66" i="15"/>
  <c r="J92" i="15"/>
  <c r="DA34" i="21"/>
  <c r="DA40" i="21" s="1"/>
  <c r="AF35" i="21"/>
  <c r="ES40" i="24"/>
  <c r="L39" i="24"/>
  <c r="AT39" i="24"/>
  <c r="P37" i="29"/>
  <c r="EO84" i="15"/>
  <c r="EO20" i="15" s="1"/>
  <c r="EB8" i="15"/>
  <c r="EB80" i="15"/>
  <c r="EB74" i="15" s="1"/>
  <c r="AO77" i="15"/>
  <c r="AO80" i="15" s="1"/>
  <c r="I85" i="15"/>
  <c r="DC254" i="19"/>
  <c r="DC256" i="19"/>
  <c r="DC257" i="19"/>
  <c r="DC255" i="19"/>
  <c r="DP31" i="15"/>
  <c r="DP37" i="21" s="1"/>
  <c r="AK85" i="15"/>
  <c r="DX180" i="19"/>
  <c r="DX182" i="19"/>
  <c r="DX181" i="19"/>
  <c r="DX183" i="19"/>
  <c r="DK60" i="24"/>
  <c r="CA55" i="19"/>
  <c r="CA18" i="15"/>
  <c r="AP32" i="29"/>
  <c r="U10" i="28" s="1"/>
  <c r="AS73" i="26" s="1"/>
  <c r="AS80" i="26" s="1"/>
  <c r="EF39" i="29"/>
  <c r="AG42" i="15"/>
  <c r="DD12" i="1"/>
  <c r="CP109" i="11"/>
  <c r="CP137" i="11"/>
  <c r="Y110" i="1"/>
  <c r="AB99" i="1"/>
  <c r="AJ12" i="7" s="1"/>
  <c r="CW34" i="21"/>
  <c r="CU9" i="24"/>
  <c r="CU9" i="21"/>
  <c r="H41" i="15"/>
  <c r="AD41" i="15"/>
  <c r="CU11" i="1"/>
  <c r="Q9" i="29"/>
  <c r="BH13" i="29"/>
  <c r="BI9" i="29" s="1"/>
  <c r="BH30" i="29"/>
  <c r="AG44" i="19"/>
  <c r="DD105" i="19"/>
  <c r="DM32" i="11"/>
  <c r="DM158" i="11" s="1"/>
  <c r="DM122" i="1" s="1"/>
  <c r="DM28" i="11"/>
  <c r="S63" i="1"/>
  <c r="S68" i="1" s="1"/>
  <c r="BN68" i="1"/>
  <c r="DL248" i="19"/>
  <c r="DL249" i="19"/>
  <c r="DL250" i="19"/>
  <c r="DL251" i="19"/>
  <c r="DG39" i="24"/>
  <c r="EO79" i="15"/>
  <c r="EO30" i="15" s="1"/>
  <c r="EO67" i="15"/>
  <c r="EK67" i="15"/>
  <c r="AR55" i="15"/>
  <c r="EK79" i="15"/>
  <c r="EK85" i="15" s="1"/>
  <c r="CX180" i="19"/>
  <c r="AE180" i="19" s="1"/>
  <c r="AE179" i="19"/>
  <c r="CX181" i="19"/>
  <c r="AE181" i="19" s="1"/>
  <c r="CX182" i="19"/>
  <c r="AE182" i="19" s="1"/>
  <c r="CX183" i="19"/>
  <c r="AE183" i="19" s="1"/>
  <c r="AK72" i="15"/>
  <c r="AK52" i="19"/>
  <c r="DP179" i="19"/>
  <c r="DP35" i="21"/>
  <c r="DP43" i="19"/>
  <c r="AK8" i="15"/>
  <c r="DP41" i="15"/>
  <c r="CZ9" i="24"/>
  <c r="CZ11" i="24" s="1"/>
  <c r="CZ9" i="21"/>
  <c r="CZ11" i="1"/>
  <c r="EF65" i="15"/>
  <c r="EF83" i="15"/>
  <c r="EF77" i="15"/>
  <c r="DZ8" i="15"/>
  <c r="DZ80" i="15"/>
  <c r="DZ74" i="15" s="1"/>
  <c r="N11" i="28"/>
  <c r="AL74" i="26" s="1"/>
  <c r="AL81" i="26" s="1"/>
  <c r="AD73" i="15"/>
  <c r="DQ11" i="7"/>
  <c r="DQ13" i="7"/>
  <c r="W23" i="29"/>
  <c r="BZ27" i="29"/>
  <c r="CA23" i="29" s="1"/>
  <c r="CA27" i="29" s="1"/>
  <c r="CB23" i="29" s="1"/>
  <c r="CB27" i="29" s="1"/>
  <c r="CC23" i="29" s="1"/>
  <c r="DB68" i="19"/>
  <c r="DB105" i="19"/>
  <c r="AS53" i="15"/>
  <c r="EN65" i="15"/>
  <c r="EN77" i="15"/>
  <c r="EX62" i="15"/>
  <c r="EX53" i="15"/>
  <c r="AR19" i="29"/>
  <c r="AG38" i="24"/>
  <c r="EC59" i="19"/>
  <c r="EC247" i="19" s="1"/>
  <c r="FB11" i="29"/>
  <c r="EX11" i="29"/>
  <c r="DQ250" i="19"/>
  <c r="DQ251" i="19"/>
  <c r="DQ249" i="19"/>
  <c r="DQ248" i="19"/>
  <c r="L54" i="15"/>
  <c r="L66" i="15" s="1"/>
  <c r="EQ84" i="15"/>
  <c r="AT54" i="15"/>
  <c r="EQ66" i="15"/>
  <c r="EQ78" i="15"/>
  <c r="ER84" i="15"/>
  <c r="ER20" i="15" s="1"/>
  <c r="ER66" i="15"/>
  <c r="ER78" i="15"/>
  <c r="ER19" i="15" s="1"/>
  <c r="DF12" i="1"/>
  <c r="AL26" i="29"/>
  <c r="AI72" i="15"/>
  <c r="AK7" i="7"/>
  <c r="AK8" i="7" s="1"/>
  <c r="AC114" i="1"/>
  <c r="AC14" i="1"/>
  <c r="DX40" i="24"/>
  <c r="AM39" i="24"/>
  <c r="DG13" i="25"/>
  <c r="AM67" i="15"/>
  <c r="DZ174" i="19"/>
  <c r="DZ175" i="19"/>
  <c r="DZ176" i="19"/>
  <c r="DZ177" i="19"/>
  <c r="AI74" i="15"/>
  <c r="EI84" i="15"/>
  <c r="EI20" i="15" s="1"/>
  <c r="EI36" i="21" s="1"/>
  <c r="AO12" i="29"/>
  <c r="EB33" i="29"/>
  <c r="AC36" i="24"/>
  <c r="CS37" i="24"/>
  <c r="DS8" i="15"/>
  <c r="AL77" i="15"/>
  <c r="DS80" i="15"/>
  <c r="DS74" i="15" s="1"/>
  <c r="J77" i="15"/>
  <c r="CW44" i="19"/>
  <c r="AD44" i="19" s="1"/>
  <c r="CW42" i="15"/>
  <c r="AR66" i="15"/>
  <c r="CO9" i="11"/>
  <c r="CO82" i="11" s="1"/>
  <c r="CO15" i="1"/>
  <c r="CO90" i="1" s="1"/>
  <c r="CO100" i="1"/>
  <c r="CO10" i="11"/>
  <c r="CO52" i="1"/>
  <c r="AA22" i="1"/>
  <c r="AP25" i="29"/>
  <c r="K25" i="29"/>
  <c r="K27" i="29" s="1"/>
  <c r="L23" i="29" s="1"/>
  <c r="DS11" i="7"/>
  <c r="AE43" i="19"/>
  <c r="CX67" i="19"/>
  <c r="AE67" i="19" s="1"/>
  <c r="CX99" i="19"/>
  <c r="K33" i="11"/>
  <c r="K17" i="11"/>
  <c r="DA60" i="19"/>
  <c r="AF31" i="15"/>
  <c r="AF73" i="15" s="1"/>
  <c r="EJ36" i="21"/>
  <c r="EJ51" i="19"/>
  <c r="EJ173" i="19" s="1"/>
  <c r="DC40" i="24"/>
  <c r="AF39" i="24"/>
  <c r="DE81" i="24"/>
  <c r="DF82" i="24" s="1"/>
  <c r="DG83" i="24" s="1"/>
  <c r="EN32" i="29"/>
  <c r="CZ28" i="11"/>
  <c r="CU33" i="11"/>
  <c r="CV33" i="11" s="1"/>
  <c r="CZ32" i="11"/>
  <c r="AP53" i="15"/>
  <c r="K53" i="15"/>
  <c r="EE65" i="15"/>
  <c r="EE77" i="15"/>
  <c r="EE83" i="15" s="1"/>
  <c r="CY103" i="15"/>
  <c r="CY21" i="15" s="1"/>
  <c r="H111" i="15"/>
  <c r="P38" i="29"/>
  <c r="S110" i="26" s="1"/>
  <c r="S112" i="26" s="1"/>
  <c r="AO56" i="15"/>
  <c r="AO65" i="15"/>
  <c r="EF12" i="29"/>
  <c r="EN12" i="29"/>
  <c r="EG12" i="29"/>
  <c r="EO12" i="29"/>
  <c r="EH12" i="29"/>
  <c r="EP12" i="29"/>
  <c r="EI12" i="29"/>
  <c r="EJ12" i="29"/>
  <c r="EK12" i="29"/>
  <c r="EL12" i="29"/>
  <c r="EE12" i="29"/>
  <c r="EM12" i="29"/>
  <c r="DG60" i="19"/>
  <c r="I31" i="15"/>
  <c r="AH31" i="15"/>
  <c r="CY12" i="1"/>
  <c r="CY68" i="19"/>
  <c r="CY105" i="19"/>
  <c r="CU38" i="24"/>
  <c r="DL32" i="11"/>
  <c r="DL28" i="11"/>
  <c r="DE55" i="24"/>
  <c r="DF56" i="24" s="1"/>
  <c r="DG57" i="24" s="1"/>
  <c r="DK83" i="24"/>
  <c r="DL84" i="24" s="1"/>
  <c r="DM85" i="24" s="1"/>
  <c r="AD43" i="19"/>
  <c r="H43" i="19"/>
  <c r="CU67" i="19"/>
  <c r="CU99" i="19"/>
  <c r="EG79" i="15"/>
  <c r="EG30" i="15" s="1"/>
  <c r="EG67" i="15"/>
  <c r="EI67" i="15"/>
  <c r="EI79" i="15"/>
  <c r="EI30" i="15" s="1"/>
  <c r="CO34" i="24"/>
  <c r="AA33" i="24"/>
  <c r="AK51" i="19"/>
  <c r="DP173" i="19"/>
  <c r="CZ67" i="19"/>
  <c r="CZ99" i="19"/>
  <c r="F17" i="30"/>
  <c r="DX174" i="19"/>
  <c r="DX175" i="19"/>
  <c r="DX176" i="19"/>
  <c r="DX177" i="19"/>
  <c r="EF62" i="15"/>
  <c r="DZ83" i="15"/>
  <c r="DU85" i="15"/>
  <c r="DU31" i="15" s="1"/>
  <c r="DU37" i="21" s="1"/>
  <c r="EP36" i="21"/>
  <c r="EP51" i="19"/>
  <c r="EP173" i="19" s="1"/>
  <c r="H59" i="19"/>
  <c r="AD59" i="19"/>
  <c r="CU247" i="19"/>
  <c r="ED40" i="24"/>
  <c r="AO39" i="24"/>
  <c r="DE42" i="21"/>
  <c r="EN62" i="15"/>
  <c r="L62" i="15"/>
  <c r="AH72" i="15"/>
  <c r="ET11" i="29"/>
  <c r="AU78" i="29"/>
  <c r="EW11" i="29"/>
  <c r="AV78" i="29"/>
  <c r="EX66" i="15"/>
  <c r="EX84" i="15"/>
  <c r="EX20" i="15" s="1"/>
  <c r="EX78" i="15"/>
  <c r="EX19" i="15" s="1"/>
  <c r="EH19" i="15"/>
  <c r="AQ78" i="15"/>
  <c r="DI60" i="19"/>
  <c r="DI253" i="19" s="1"/>
  <c r="EL84" i="15"/>
  <c r="EL20" i="15" s="1"/>
  <c r="DF68" i="19"/>
  <c r="DF105" i="19"/>
  <c r="AI51" i="19"/>
  <c r="DJ173" i="19"/>
  <c r="AM77" i="15"/>
  <c r="AM80" i="15" s="1"/>
  <c r="DV8" i="15"/>
  <c r="DV80" i="15"/>
  <c r="DV74" i="15" s="1"/>
  <c r="V90" i="37"/>
  <c r="DV30" i="15"/>
  <c r="AM79" i="15"/>
  <c r="DQ9" i="15"/>
  <c r="DQ86" i="15"/>
  <c r="EV40" i="24"/>
  <c r="AU39" i="24"/>
  <c r="CV70" i="24"/>
  <c r="AD69" i="24"/>
  <c r="ED174" i="19"/>
  <c r="ED176" i="19"/>
  <c r="ED177" i="19"/>
  <c r="ED175" i="19"/>
  <c r="DJ43" i="19"/>
  <c r="DJ41" i="15"/>
  <c r="AI8" i="15"/>
  <c r="DT33" i="29"/>
  <c r="DE80" i="24"/>
  <c r="DF81" i="24" s="1"/>
  <c r="DG82" i="24" s="1"/>
  <c r="DM9" i="15"/>
  <c r="DM86" i="15"/>
  <c r="AJ83" i="15"/>
  <c r="DK248" i="19"/>
  <c r="DK249" i="19"/>
  <c r="DK250" i="19"/>
  <c r="DK251" i="19"/>
  <c r="CQ92" i="1"/>
  <c r="CQ93" i="1" s="1"/>
  <c r="AB88" i="1"/>
  <c r="CO94" i="1"/>
  <c r="CT94" i="1"/>
  <c r="G88" i="1"/>
  <c r="G89" i="1" s="1"/>
  <c r="CQ94" i="1"/>
  <c r="CS94" i="1"/>
  <c r="CR94" i="1"/>
  <c r="CO92" i="1"/>
  <c r="CP94" i="1"/>
  <c r="CP92" i="1"/>
  <c r="CP93" i="1" s="1"/>
  <c r="DK106" i="15"/>
  <c r="J106" i="15"/>
  <c r="DL106" i="15"/>
  <c r="DM106" i="15"/>
  <c r="DN106" i="15"/>
  <c r="DG106" i="15"/>
  <c r="DO106" i="15"/>
  <c r="DH106" i="15"/>
  <c r="DP106" i="15"/>
  <c r="DI106" i="15"/>
  <c r="DQ106" i="15"/>
  <c r="DJ106" i="15"/>
  <c r="DR106" i="15"/>
  <c r="AF59" i="19"/>
  <c r="DA247" i="19"/>
  <c r="AJ74" i="15"/>
  <c r="DH35" i="21"/>
  <c r="DH43" i="19"/>
  <c r="DH41" i="15"/>
  <c r="EK65" i="15"/>
  <c r="AR53" i="15"/>
  <c r="EK77" i="15"/>
  <c r="C11" i="28"/>
  <c r="H35" i="29"/>
  <c r="DK84" i="24"/>
  <c r="DL85" i="24" s="1"/>
  <c r="DM86" i="24" s="1"/>
  <c r="AE35" i="21"/>
  <c r="CX40" i="21"/>
  <c r="CX34" i="21"/>
  <c r="DM37" i="21"/>
  <c r="DM59" i="19"/>
  <c r="AJ30" i="15"/>
  <c r="AJ73" i="15" s="1"/>
  <c r="DY8" i="15"/>
  <c r="DY80" i="15"/>
  <c r="DY74" i="15" s="1"/>
  <c r="AN77" i="15"/>
  <c r="AN80" i="15" s="1"/>
  <c r="ED8" i="15"/>
  <c r="ED80" i="15"/>
  <c r="ED74" i="15" s="1"/>
  <c r="Y72" i="34"/>
  <c r="AF55" i="35"/>
  <c r="Y76" i="34" s="1"/>
  <c r="EJ52" i="19"/>
  <c r="EJ179" i="19" s="1"/>
  <c r="DE12" i="1"/>
  <c r="DT176" i="19"/>
  <c r="DT177" i="19"/>
  <c r="DT175" i="19"/>
  <c r="DT174" i="19"/>
  <c r="Z14" i="30"/>
  <c r="AH14" i="30"/>
  <c r="AA14" i="30"/>
  <c r="T14" i="30"/>
  <c r="T51" i="30" s="1"/>
  <c r="AB14" i="30"/>
  <c r="U14" i="30"/>
  <c r="U51" i="30" s="1"/>
  <c r="AC14" i="30"/>
  <c r="V14" i="30"/>
  <c r="V51" i="30" s="1"/>
  <c r="AD14" i="30"/>
  <c r="E26" i="30"/>
  <c r="D26" i="30" s="1"/>
  <c r="W14" i="30"/>
  <c r="AE14" i="30"/>
  <c r="X14" i="30"/>
  <c r="AF14" i="30"/>
  <c r="Y14" i="30"/>
  <c r="AG14" i="30"/>
  <c r="DT99" i="24"/>
  <c r="DU100" i="24" s="1"/>
  <c r="DV101" i="24" s="1"/>
  <c r="DA28" i="11"/>
  <c r="DA32" i="11"/>
  <c r="DA158" i="11" s="1"/>
  <c r="DA122" i="1" s="1"/>
  <c r="EA8" i="15"/>
  <c r="EA80" i="15"/>
  <c r="EA74" i="15" s="1"/>
  <c r="EE62" i="15"/>
  <c r="DB9" i="24"/>
  <c r="DB11" i="24" s="1"/>
  <c r="DB9" i="21"/>
  <c r="DB11" i="1"/>
  <c r="CT9" i="11"/>
  <c r="CT82" i="11" s="1"/>
  <c r="CT15" i="1"/>
  <c r="CT90" i="1" s="1"/>
  <c r="CU9" i="1"/>
  <c r="CT52" i="1"/>
  <c r="CT100" i="1"/>
  <c r="CT10" i="11"/>
  <c r="DF103" i="15"/>
  <c r="DF21" i="15" s="1"/>
  <c r="EA37" i="21"/>
  <c r="EA59" i="19"/>
  <c r="EA247" i="19" s="1"/>
  <c r="DJ52" i="19"/>
  <c r="AI20" i="15"/>
  <c r="AB74" i="24"/>
  <c r="G74" i="24"/>
  <c r="CR75" i="24"/>
  <c r="EB83" i="15"/>
  <c r="V80" i="37"/>
  <c r="AM84" i="15"/>
  <c r="EM65" i="15"/>
  <c r="EM77" i="15"/>
  <c r="CU34" i="21"/>
  <c r="CU40" i="21" s="1"/>
  <c r="CM35" i="24"/>
  <c r="AA34" i="24"/>
  <c r="EN67" i="15"/>
  <c r="EN79" i="15"/>
  <c r="EN85" i="15" s="1"/>
  <c r="AS55" i="15"/>
  <c r="DT37" i="21"/>
  <c r="DT59" i="19"/>
  <c r="DT247" i="19" s="1"/>
  <c r="DQ99" i="24"/>
  <c r="DR100" i="24" s="1"/>
  <c r="DS101" i="24" s="1"/>
  <c r="AK36" i="21"/>
  <c r="AR32" i="29"/>
  <c r="W10" i="28" s="1"/>
  <c r="AU73" i="26" s="1"/>
  <c r="AU80" i="26" s="1"/>
  <c r="EL39" i="29"/>
  <c r="AR39" i="29" s="1"/>
  <c r="AG179" i="19"/>
  <c r="DD180" i="19"/>
  <c r="AG180" i="19" s="1"/>
  <c r="DD181" i="19"/>
  <c r="AG181" i="19" s="1"/>
  <c r="DD182" i="19"/>
  <c r="AG182" i="19" s="1"/>
  <c r="DD183" i="19"/>
  <c r="AG183" i="19" s="1"/>
  <c r="CZ40" i="21"/>
  <c r="CZ34" i="21"/>
  <c r="B18" i="30"/>
  <c r="C18" i="30"/>
  <c r="A19" i="30"/>
  <c r="EJ65" i="15"/>
  <c r="EJ77" i="15"/>
  <c r="EJ83" i="15" s="1"/>
  <c r="DZ59" i="19"/>
  <c r="DZ247" i="19" s="1"/>
  <c r="EP52" i="19"/>
  <c r="EP179" i="19" s="1"/>
  <c r="AD37" i="21"/>
  <c r="CU42" i="21"/>
  <c r="H37" i="21"/>
  <c r="ET62" i="15"/>
  <c r="ET53" i="15"/>
  <c r="EW62" i="15"/>
  <c r="EW53" i="15"/>
  <c r="AP19" i="29"/>
  <c r="DH13" i="25"/>
  <c r="DH10" i="25"/>
  <c r="DH11" i="25" s="1"/>
  <c r="DL35" i="21"/>
  <c r="DL43" i="19"/>
  <c r="DL41" i="15"/>
  <c r="EC85" i="15"/>
  <c r="EC31" i="15" s="1"/>
  <c r="EC37" i="21" s="1"/>
  <c r="FA11" i="29"/>
  <c r="AI59" i="15"/>
  <c r="AV54" i="15"/>
  <c r="EW84" i="15"/>
  <c r="EW66" i="15"/>
  <c r="EW78" i="15"/>
  <c r="EH84" i="15"/>
  <c r="I33" i="29"/>
  <c r="AH33" i="29"/>
  <c r="DC9" i="24"/>
  <c r="DC11" i="24" s="1"/>
  <c r="DC9" i="21"/>
  <c r="DC11" i="1"/>
  <c r="AM26" i="29"/>
  <c r="CZ42" i="21"/>
  <c r="AI36" i="21"/>
  <c r="CT92" i="1"/>
  <c r="CT93" i="1" s="1"/>
  <c r="AC88" i="1"/>
  <c r="AM56" i="15"/>
  <c r="AM61" i="15" s="1"/>
  <c r="AM65" i="15"/>
  <c r="AM59" i="15"/>
  <c r="CJ42" i="24"/>
  <c r="DR254" i="19"/>
  <c r="DR257" i="19"/>
  <c r="DR255" i="19"/>
  <c r="DR256" i="19"/>
  <c r="EY40" i="24"/>
  <c r="AV39" i="24"/>
  <c r="DR44" i="19"/>
  <c r="DR42" i="15"/>
  <c r="ED36" i="21"/>
  <c r="EE19" i="15"/>
  <c r="K78" i="15"/>
  <c r="AP78" i="15"/>
  <c r="EA33" i="29"/>
  <c r="DQ181" i="19"/>
  <c r="DQ180" i="19"/>
  <c r="DQ183" i="19"/>
  <c r="DQ182" i="19"/>
  <c r="X34" i="24"/>
  <c r="CD35" i="24"/>
  <c r="EZ18" i="29"/>
  <c r="AW18" i="29" s="1"/>
  <c r="AW79" i="29"/>
  <c r="AL65" i="15"/>
  <c r="AL56" i="15"/>
  <c r="DJ37" i="21"/>
  <c r="DJ59" i="19"/>
  <c r="AI30" i="15"/>
  <c r="AC277" i="19"/>
  <c r="DW85" i="15"/>
  <c r="DW31" i="15" s="1"/>
  <c r="AB126" i="24"/>
  <c r="DK44" i="19"/>
  <c r="DK42" i="15"/>
  <c r="AF37" i="21"/>
  <c r="DI86" i="15"/>
  <c r="DM35" i="21"/>
  <c r="DM43" i="19"/>
  <c r="DM41" i="15"/>
  <c r="AJ8" i="15"/>
  <c r="CV9" i="24"/>
  <c r="CV11" i="24" s="1"/>
  <c r="CV9" i="21"/>
  <c r="CV11" i="1"/>
  <c r="EK62" i="15"/>
  <c r="DG37" i="21"/>
  <c r="DG59" i="19"/>
  <c r="I30" i="15"/>
  <c r="AH30" i="15"/>
  <c r="AH73" i="15" s="1"/>
  <c r="I11" i="28"/>
  <c r="AG74" i="26" s="1"/>
  <c r="AG81" i="26" s="1"/>
  <c r="DY83" i="15"/>
  <c r="EF36" i="21"/>
  <c r="EF51" i="19"/>
  <c r="EF173" i="19" s="1"/>
  <c r="ED83" i="15"/>
  <c r="AF46" i="35"/>
  <c r="Y66" i="34"/>
  <c r="Y67" i="34" s="1"/>
  <c r="DI250" i="19"/>
  <c r="DI251" i="19"/>
  <c r="DI249" i="19"/>
  <c r="DI248" i="19"/>
  <c r="DY33" i="11"/>
  <c r="DX33" i="11"/>
  <c r="DE68" i="19"/>
  <c r="DE105" i="19"/>
  <c r="DH254" i="19"/>
  <c r="DH255" i="19"/>
  <c r="DH256" i="19"/>
  <c r="DH257" i="19"/>
  <c r="J39" i="29"/>
  <c r="AL39" i="29"/>
  <c r="DD9" i="24"/>
  <c r="DD9" i="21"/>
  <c r="AG41" i="15"/>
  <c r="DD11" i="1"/>
  <c r="EP65" i="15"/>
  <c r="EP83" i="15"/>
  <c r="EP77" i="15"/>
  <c r="DB67" i="19"/>
  <c r="DB99" i="19"/>
  <c r="CX103" i="15"/>
  <c r="DO35" i="21"/>
  <c r="DO43" i="19"/>
  <c r="DO41" i="15"/>
  <c r="DN35" i="21"/>
  <c r="DN43" i="19"/>
  <c r="DN41" i="15"/>
  <c r="X45" i="15"/>
  <c r="AA47" i="15"/>
  <c r="DX14" i="7" s="1"/>
  <c r="AA48" i="15"/>
  <c r="DX15" i="7" s="1"/>
  <c r="EB36" i="21"/>
  <c r="EB51" i="19"/>
  <c r="AO19" i="15"/>
  <c r="CZ40" i="24"/>
  <c r="AE39" i="24"/>
  <c r="DD60" i="19"/>
  <c r="AG31" i="15"/>
  <c r="DT10" i="7" s="1"/>
  <c r="EG39" i="24"/>
  <c r="AP38" i="24"/>
  <c r="K38" i="24"/>
  <c r="V68" i="37"/>
  <c r="W76" i="36"/>
  <c r="W77" i="36" s="1"/>
  <c r="DV52" i="19"/>
  <c r="AM20" i="15"/>
  <c r="EF67" i="15"/>
  <c r="EF79" i="15"/>
  <c r="EF30" i="15" s="1"/>
  <c r="DT60" i="19"/>
  <c r="DT253" i="19" s="1"/>
  <c r="DS20" i="15"/>
  <c r="J84" i="15"/>
  <c r="AL84" i="15"/>
  <c r="EA40" i="24"/>
  <c r="AN39" i="24"/>
  <c r="AE60" i="19"/>
  <c r="CX253" i="19"/>
  <c r="EM39" i="24"/>
  <c r="AR38" i="24"/>
  <c r="EC8" i="15"/>
  <c r="EC80" i="15"/>
  <c r="EC74" i="15" s="1"/>
  <c r="EJ62" i="15"/>
  <c r="DZ85" i="15"/>
  <c r="DZ31" i="15" s="1"/>
  <c r="EA52" i="19"/>
  <c r="EA179" i="19" s="1"/>
  <c r="ER62" i="15"/>
  <c r="ER53" i="15"/>
  <c r="EV62" i="15"/>
  <c r="EV53" i="15"/>
  <c r="I51" i="19"/>
  <c r="AH51" i="19"/>
  <c r="DG173" i="19"/>
  <c r="AH68" i="15"/>
  <c r="AH62" i="15"/>
  <c r="AH60" i="15"/>
  <c r="ES11" i="29"/>
  <c r="EV66" i="15"/>
  <c r="EV84" i="15"/>
  <c r="EV20" i="15" s="1"/>
  <c r="EV78" i="15"/>
  <c r="EV19" i="15" s="1"/>
  <c r="AQ66" i="15"/>
  <c r="CV255" i="19"/>
  <c r="CV256" i="19"/>
  <c r="CV257" i="19"/>
  <c r="CV254" i="19"/>
  <c r="DC67" i="19"/>
  <c r="DC99" i="19"/>
  <c r="AM83" i="15"/>
  <c r="AM86" i="15" s="1"/>
  <c r="DV86" i="15"/>
  <c r="DV9" i="15"/>
  <c r="DM60" i="19"/>
  <c r="AJ31" i="15"/>
  <c r="DJ9" i="15"/>
  <c r="AI83" i="15"/>
  <c r="AI86" i="15" s="1"/>
  <c r="DJ86" i="15"/>
  <c r="U33" i="37"/>
  <c r="U6" i="37"/>
  <c r="U36" i="37"/>
  <c r="EG65" i="15"/>
  <c r="EG83" i="15"/>
  <c r="EG77" i="15"/>
  <c r="AG73" i="15"/>
  <c r="DT11" i="7"/>
  <c r="EE20" i="15"/>
  <c r="AP84" i="15"/>
  <c r="DW33" i="29"/>
  <c r="AL12" i="29"/>
  <c r="DS33" i="29"/>
  <c r="DW8" i="15"/>
  <c r="DW80" i="15"/>
  <c r="DW74" i="15" s="1"/>
  <c r="CZ12" i="1"/>
  <c r="EJ41" i="24"/>
  <c r="ET18" i="29"/>
  <c r="AU18" i="29" s="1"/>
  <c r="AU79" i="29"/>
  <c r="AL83" i="15"/>
  <c r="DS9" i="15"/>
  <c r="J83" i="15"/>
  <c r="DS86" i="15"/>
  <c r="DW37" i="21"/>
  <c r="DW59" i="19"/>
  <c r="DW247" i="19" s="1"/>
  <c r="AC69" i="24"/>
  <c r="CS70" i="24"/>
  <c r="G69" i="24"/>
  <c r="CR126" i="24"/>
  <c r="EM51" i="19"/>
  <c r="EM173" i="19" s="1"/>
  <c r="F8" i="8"/>
  <c r="F40" i="8" s="1"/>
  <c r="AK7" i="25"/>
  <c r="AK8" i="25" s="1"/>
  <c r="G98" i="1"/>
  <c r="AK11" i="25" s="1"/>
  <c r="G114" i="1"/>
  <c r="G97" i="1"/>
  <c r="AK10" i="25" s="1"/>
  <c r="G14" i="1"/>
  <c r="AJ7" i="7"/>
  <c r="AJ8" i="7" s="1"/>
  <c r="AB114" i="1"/>
  <c r="AB98" i="1"/>
  <c r="AJ11" i="7" s="1"/>
  <c r="AC98" i="1"/>
  <c r="AK11" i="7" s="1"/>
  <c r="AB97" i="1"/>
  <c r="AJ10" i="7" s="1"/>
  <c r="AC97" i="1"/>
  <c r="AK10" i="7" s="1"/>
  <c r="AB14" i="1"/>
  <c r="DC12" i="1"/>
  <c r="DI44" i="19"/>
  <c r="DI42" i="15"/>
  <c r="DO254" i="19"/>
  <c r="DO255" i="19"/>
  <c r="DO256" i="19"/>
  <c r="DO257" i="19"/>
  <c r="V60" i="37"/>
  <c r="CV67" i="19"/>
  <c r="CV99" i="19"/>
  <c r="EH65" i="15"/>
  <c r="AQ53" i="15"/>
  <c r="EH77" i="15"/>
  <c r="EH83" i="15" s="1"/>
  <c r="DJ60" i="19"/>
  <c r="AI31" i="15"/>
  <c r="DF9" i="24"/>
  <c r="DF11" i="24" s="1"/>
  <c r="DF9" i="21"/>
  <c r="DF11" i="1"/>
  <c r="J79" i="15"/>
  <c r="DS30" i="15"/>
  <c r="AL79" i="15"/>
  <c r="EF52" i="19"/>
  <c r="EF179" i="19" s="1"/>
  <c r="AO84" i="15"/>
  <c r="EB20" i="15"/>
  <c r="DI37" i="21"/>
  <c r="CR92" i="1"/>
  <c r="CR93" i="1" s="1"/>
  <c r="DT8" i="15"/>
  <c r="DT80" i="15"/>
  <c r="DT74" i="15" s="1"/>
  <c r="DO248" i="19"/>
  <c r="DO249" i="19"/>
  <c r="DO251" i="19"/>
  <c r="DO250" i="19"/>
  <c r="EA83" i="15"/>
  <c r="AG71" i="15"/>
  <c r="CZ10" i="7"/>
  <c r="CZ13" i="7"/>
  <c r="CZ11" i="7"/>
  <c r="EP62" i="15"/>
  <c r="DB34" i="21"/>
  <c r="DB40" i="21"/>
  <c r="DC103" i="15"/>
  <c r="DC21" i="15" s="1"/>
  <c r="DC104" i="15"/>
  <c r="DC22" i="15" s="1"/>
  <c r="DC54" i="19" s="1"/>
  <c r="DC191" i="19" s="1"/>
  <c r="DE104" i="15"/>
  <c r="DE22" i="15" s="1"/>
  <c r="DE54" i="19" s="1"/>
  <c r="DE191" i="19" s="1"/>
  <c r="DE103" i="15"/>
  <c r="DE21" i="15" s="1"/>
  <c r="EA85" i="15"/>
  <c r="EA31" i="15" s="1"/>
  <c r="DK60" i="19"/>
  <c r="DK253" i="19" s="1"/>
  <c r="DN180" i="19"/>
  <c r="DN181" i="19"/>
  <c r="DN182" i="19"/>
  <c r="DN183" i="19"/>
  <c r="CW9" i="24"/>
  <c r="CW11" i="24" s="1"/>
  <c r="CW9" i="21"/>
  <c r="CW11" i="1"/>
  <c r="EI83" i="15"/>
  <c r="EI65" i="15"/>
  <c r="EI77" i="15"/>
  <c r="DN248" i="19"/>
  <c r="DN249" i="19"/>
  <c r="DN250" i="19"/>
  <c r="DN251" i="19"/>
  <c r="DU180" i="19"/>
  <c r="DU181" i="19"/>
  <c r="DU182" i="19"/>
  <c r="DU183" i="19"/>
  <c r="AJ52" i="19"/>
  <c r="DM179" i="19"/>
  <c r="EM67" i="15"/>
  <c r="EM79" i="15"/>
  <c r="EM30" i="15" s="1"/>
  <c r="EM85" i="15"/>
  <c r="EM31" i="15" s="1"/>
  <c r="DL180" i="19"/>
  <c r="DL181" i="19"/>
  <c r="DL182" i="19"/>
  <c r="DL183" i="19"/>
  <c r="DW43" i="24"/>
  <c r="DX44" i="24" s="1"/>
  <c r="DY45" i="24" s="1"/>
  <c r="AM42" i="24"/>
  <c r="EG36" i="21"/>
  <c r="EG51" i="19"/>
  <c r="EG173" i="19" s="1"/>
  <c r="DM40" i="24"/>
  <c r="DV36" i="21"/>
  <c r="DV51" i="19"/>
  <c r="AM19" i="15"/>
  <c r="AM72" i="15" s="1"/>
  <c r="EC9" i="15"/>
  <c r="EC86" i="15"/>
  <c r="DU8" i="15"/>
  <c r="DU80" i="15"/>
  <c r="DU74" i="15" s="1"/>
  <c r="DN60" i="19"/>
  <c r="DN253" i="19" s="1"/>
  <c r="L19" i="29"/>
  <c r="DY20" i="15"/>
  <c r="DY36" i="21" s="1"/>
  <c r="AN84" i="15"/>
  <c r="AC203" i="19"/>
  <c r="FB62" i="15"/>
  <c r="FB53" i="15"/>
  <c r="EU62" i="15"/>
  <c r="EU53" i="15"/>
  <c r="AQ19" i="29"/>
  <c r="I36" i="21"/>
  <c r="AH36" i="21"/>
  <c r="EB31" i="15"/>
  <c r="AO85" i="15"/>
  <c r="EW80" i="29"/>
  <c r="EQ80" i="29"/>
  <c r="EQ81" i="29" s="1"/>
  <c r="EQ85" i="29" s="1"/>
  <c r="EX80" i="29"/>
  <c r="EX25" i="29" s="1"/>
  <c r="EY80" i="29"/>
  <c r="EY25" i="29" s="1"/>
  <c r="ER80" i="29"/>
  <c r="ER25" i="29" s="1"/>
  <c r="EZ80" i="29"/>
  <c r="EZ81" i="29" s="1"/>
  <c r="EZ85" i="29" s="1"/>
  <c r="ES80" i="29"/>
  <c r="ES25" i="29" s="1"/>
  <c r="FA80" i="29"/>
  <c r="FA25" i="29" s="1"/>
  <c r="ET80" i="29"/>
  <c r="FB80" i="29"/>
  <c r="FB25" i="29" s="1"/>
  <c r="EU80" i="29"/>
  <c r="EU25" i="29" s="1"/>
  <c r="EV80" i="29"/>
  <c r="EV25" i="29" s="1"/>
  <c r="L162" i="29"/>
  <c r="L163" i="29" s="1"/>
  <c r="EZ11" i="29"/>
  <c r="AW78" i="29"/>
  <c r="BX35" i="24"/>
  <c r="V34" i="24"/>
  <c r="AI62" i="15"/>
  <c r="AI68" i="15"/>
  <c r="AI60" i="15"/>
  <c r="EU66" i="15"/>
  <c r="EU84" i="15"/>
  <c r="EU20" i="15" s="1"/>
  <c r="EU78" i="15"/>
  <c r="EU19" i="15" s="1"/>
  <c r="EC52" i="19"/>
  <c r="EC179" i="19" s="1"/>
  <c r="DC34" i="21"/>
  <c r="DC40" i="21" s="1"/>
  <c r="AF42" i="15"/>
  <c r="DA12" i="1"/>
  <c r="AF12" i="1" s="1"/>
  <c r="H9" i="15"/>
  <c r="CR9" i="11"/>
  <c r="CR82" i="11" s="1"/>
  <c r="CR15" i="1"/>
  <c r="CR90" i="1" s="1"/>
  <c r="CR52" i="1"/>
  <c r="CR100" i="1"/>
  <c r="CR10" i="11"/>
  <c r="DZ52" i="19"/>
  <c r="DZ179" i="19" s="1"/>
  <c r="DR249" i="19"/>
  <c r="DR250" i="19"/>
  <c r="DR251" i="19"/>
  <c r="DR248" i="19"/>
  <c r="DS20" i="21"/>
  <c r="EA20" i="21"/>
  <c r="DT20" i="21"/>
  <c r="EB20" i="21"/>
  <c r="DU20" i="21"/>
  <c r="EC20" i="21"/>
  <c r="DV20" i="21"/>
  <c r="ED20" i="21"/>
  <c r="DW20" i="21"/>
  <c r="DX20" i="21"/>
  <c r="DY20" i="21"/>
  <c r="DZ20" i="21"/>
  <c r="DW52" i="19"/>
  <c r="DW179" i="19" s="1"/>
  <c r="DE256" i="19"/>
  <c r="DE257" i="19"/>
  <c r="DE255" i="19"/>
  <c r="DE254" i="19"/>
  <c r="AJ85" i="15"/>
  <c r="CY9" i="24"/>
  <c r="CY11" i="24" s="1"/>
  <c r="CY9" i="21"/>
  <c r="CY11" i="1"/>
  <c r="EA177" i="19"/>
  <c r="EA174" i="19"/>
  <c r="EA175" i="19"/>
  <c r="EA176" i="19"/>
  <c r="DY51" i="19"/>
  <c r="AN19" i="15"/>
  <c r="DE60" i="24"/>
  <c r="EG62" i="15"/>
  <c r="AG59" i="19"/>
  <c r="DD247" i="19"/>
  <c r="AE73" i="15"/>
  <c r="DR10" i="7"/>
  <c r="DR13" i="7"/>
  <c r="DR11" i="7"/>
  <c r="AF52" i="19"/>
  <c r="DA179" i="19"/>
  <c r="DG35" i="21"/>
  <c r="DG43" i="19"/>
  <c r="I8" i="15"/>
  <c r="AH8" i="15"/>
  <c r="DG41" i="15"/>
  <c r="BZ34" i="24"/>
  <c r="F34" i="24" s="1"/>
  <c r="F33" i="24"/>
  <c r="V33" i="24"/>
  <c r="ED33" i="29"/>
  <c r="DZ33" i="29"/>
  <c r="CS9" i="11"/>
  <c r="CS82" i="11" s="1"/>
  <c r="CS15" i="1"/>
  <c r="CS90" i="1" s="1"/>
  <c r="CS52" i="1"/>
  <c r="CS100" i="1"/>
  <c r="CS10" i="11"/>
  <c r="J65" i="15"/>
  <c r="J56" i="15"/>
  <c r="J68" i="15" s="1"/>
  <c r="CQ109" i="11"/>
  <c r="CQ137" i="11"/>
  <c r="EM84" i="15"/>
  <c r="EM20" i="15" s="1"/>
  <c r="DC68" i="19"/>
  <c r="DC105" i="19"/>
  <c r="DT180" i="19"/>
  <c r="DT181" i="19"/>
  <c r="DT182" i="19"/>
  <c r="DT183" i="19"/>
  <c r="AK68" i="15"/>
  <c r="AK62" i="15"/>
  <c r="AK60" i="15"/>
  <c r="CV35" i="21"/>
  <c r="EH62" i="15"/>
  <c r="K91" i="15"/>
  <c r="DF67" i="19"/>
  <c r="DF99" i="19"/>
  <c r="AN56" i="15"/>
  <c r="AN61" i="15" s="1"/>
  <c r="AN65" i="15"/>
  <c r="CB42" i="19"/>
  <c r="CB66" i="19" s="1"/>
  <c r="CB14" i="15"/>
  <c r="CA12" i="15"/>
  <c r="CB40" i="15"/>
  <c r="CB90" i="15"/>
  <c r="CB15" i="15"/>
  <c r="H40" i="15"/>
  <c r="DZ7" i="25"/>
  <c r="DO45" i="24"/>
  <c r="DP46" i="24" s="1"/>
  <c r="AF173" i="19"/>
  <c r="DA174" i="19"/>
  <c r="DA175" i="19"/>
  <c r="DA176" i="19"/>
  <c r="DA177" i="19"/>
  <c r="CO42" i="19"/>
  <c r="CO12" i="15"/>
  <c r="CO40" i="15"/>
  <c r="AB7" i="15"/>
  <c r="CO14" i="15"/>
  <c r="CO90" i="15"/>
  <c r="CO15" i="15"/>
  <c r="DT83" i="15"/>
  <c r="DL60" i="19"/>
  <c r="DL253" i="19" s="1"/>
  <c r="AG43" i="19"/>
  <c r="DD67" i="19"/>
  <c r="AG67" i="19" s="1"/>
  <c r="DD99" i="19"/>
  <c r="CU103" i="15"/>
  <c r="CU104" i="15" s="1"/>
  <c r="CW103" i="15"/>
  <c r="CW21" i="15" s="1"/>
  <c r="EN19" i="15"/>
  <c r="AS78" i="15"/>
  <c r="DE9" i="24"/>
  <c r="DE11" i="24" s="1"/>
  <c r="DE9" i="21"/>
  <c r="DE11" i="1"/>
  <c r="DA9" i="24"/>
  <c r="DA9" i="21"/>
  <c r="DA11" i="1"/>
  <c r="AF41" i="15"/>
  <c r="EH26" i="29"/>
  <c r="EP26" i="29"/>
  <c r="EI26" i="29"/>
  <c r="EJ26" i="29"/>
  <c r="EK26" i="29"/>
  <c r="EL26" i="29"/>
  <c r="EE26" i="29"/>
  <c r="EM26" i="29"/>
  <c r="EF26" i="29"/>
  <c r="EN26" i="29"/>
  <c r="EG26" i="29"/>
  <c r="EO26" i="29"/>
  <c r="K83" i="26" l="1"/>
  <c r="N208" i="26"/>
  <c r="N114" i="26"/>
  <c r="R126" i="26"/>
  <c r="R164" i="26"/>
  <c r="R163" i="26" s="1"/>
  <c r="AX62" i="26"/>
  <c r="AW95" i="26"/>
  <c r="AW108" i="26" s="1"/>
  <c r="K32" i="29"/>
  <c r="F10" i="28" s="1"/>
  <c r="N73" i="26" s="1"/>
  <c r="ES81" i="29"/>
  <c r="ES85" i="29" s="1"/>
  <c r="ES32" i="29"/>
  <c r="ET39" i="29" s="1"/>
  <c r="AQ26" i="29"/>
  <c r="AP26" i="29"/>
  <c r="S120" i="26"/>
  <c r="S97" i="26"/>
  <c r="S87" i="26" s="1"/>
  <c r="C13" i="28"/>
  <c r="K74" i="26"/>
  <c r="K81" i="26" s="1"/>
  <c r="EH9" i="15"/>
  <c r="EH86" i="15"/>
  <c r="AQ83" i="15"/>
  <c r="EJ86" i="15"/>
  <c r="EJ9" i="15"/>
  <c r="EN31" i="15"/>
  <c r="EE9" i="15"/>
  <c r="AP83" i="15"/>
  <c r="EE86" i="15"/>
  <c r="V39" i="37"/>
  <c r="CU22" i="15"/>
  <c r="H104" i="15"/>
  <c r="AR85" i="15"/>
  <c r="EK31" i="15"/>
  <c r="EE31" i="15"/>
  <c r="AP85" i="15"/>
  <c r="CV32" i="11"/>
  <c r="CV158" i="11" s="1"/>
  <c r="CV122" i="1" s="1"/>
  <c r="CV28" i="11"/>
  <c r="CW33" i="11"/>
  <c r="AN36" i="21"/>
  <c r="AK37" i="21"/>
  <c r="DC109" i="19"/>
  <c r="DC106" i="19"/>
  <c r="DC107" i="19"/>
  <c r="DC108" i="19"/>
  <c r="AR26" i="29"/>
  <c r="EW25" i="29"/>
  <c r="AV25" i="29" s="1"/>
  <c r="AV80" i="29"/>
  <c r="AV81" i="29" s="1"/>
  <c r="AV85" i="29" s="1"/>
  <c r="DS37" i="21"/>
  <c r="DS59" i="19"/>
  <c r="J30" i="15"/>
  <c r="AL30" i="15"/>
  <c r="DJ44" i="19"/>
  <c r="AI9" i="15"/>
  <c r="DJ42" i="15"/>
  <c r="CA47" i="19"/>
  <c r="CA71" i="19" s="1"/>
  <c r="CA7" i="15"/>
  <c r="CA45" i="15"/>
  <c r="AC10" i="11"/>
  <c r="CR109" i="11"/>
  <c r="CR137" i="11"/>
  <c r="FB65" i="15"/>
  <c r="FB77" i="15"/>
  <c r="AM51" i="19"/>
  <c r="DV173" i="19"/>
  <c r="DK254" i="19"/>
  <c r="DK255" i="19"/>
  <c r="DK256" i="19"/>
  <c r="DK257" i="19"/>
  <c r="CX21" i="15"/>
  <c r="AE103" i="15"/>
  <c r="EE36" i="21"/>
  <c r="EE51" i="19"/>
  <c r="AP19" i="15"/>
  <c r="K19" i="15"/>
  <c r="DC10" i="21"/>
  <c r="DC11" i="21"/>
  <c r="DC12" i="21"/>
  <c r="DC14" i="21"/>
  <c r="DC19" i="21"/>
  <c r="AV66" i="15"/>
  <c r="EM8" i="15"/>
  <c r="EM80" i="15"/>
  <c r="EM74" i="15" s="1"/>
  <c r="DF104" i="15"/>
  <c r="DF22" i="15" s="1"/>
  <c r="DF54" i="19" s="1"/>
  <c r="DF191" i="19" s="1"/>
  <c r="AJ37" i="21"/>
  <c r="EK8" i="15"/>
  <c r="EK80" i="15"/>
  <c r="EK74" i="15" s="1"/>
  <c r="AR77" i="15"/>
  <c r="AJ86" i="15"/>
  <c r="DJ9" i="21"/>
  <c r="AI41" i="15"/>
  <c r="DJ11" i="1"/>
  <c r="V99" i="37"/>
  <c r="V109" i="37"/>
  <c r="H38" i="24"/>
  <c r="AD38" i="24"/>
  <c r="CV39" i="24"/>
  <c r="EP33" i="29"/>
  <c r="AO62" i="15"/>
  <c r="AO68" i="15"/>
  <c r="AO60" i="15"/>
  <c r="AF60" i="19"/>
  <c r="DA253" i="19"/>
  <c r="AB10" i="11"/>
  <c r="CO137" i="11"/>
  <c r="CO109" i="11"/>
  <c r="G10" i="11"/>
  <c r="CT38" i="24"/>
  <c r="CU39" i="24" s="1"/>
  <c r="FB81" i="29"/>
  <c r="FB85" i="29" s="1"/>
  <c r="EN8" i="15"/>
  <c r="EN80" i="15"/>
  <c r="EN74" i="15" s="1"/>
  <c r="AS77" i="15"/>
  <c r="CZ12" i="21"/>
  <c r="CZ14" i="21"/>
  <c r="CZ19" i="21"/>
  <c r="CZ10" i="21"/>
  <c r="CZ11" i="21"/>
  <c r="AR67" i="15"/>
  <c r="H44" i="7"/>
  <c r="H44" i="25"/>
  <c r="BI13" i="29"/>
  <c r="BJ9" i="29" s="1"/>
  <c r="BI30" i="29"/>
  <c r="BI34" i="29" s="1"/>
  <c r="BI37" i="29" s="1"/>
  <c r="BI38" i="29" s="1"/>
  <c r="CW39" i="21"/>
  <c r="CW41" i="21"/>
  <c r="CW42" i="21"/>
  <c r="EO52" i="19"/>
  <c r="EO179" i="19" s="1"/>
  <c r="AG176" i="19"/>
  <c r="CZ97" i="15"/>
  <c r="CZ10" i="15" s="1"/>
  <c r="DV60" i="19"/>
  <c r="AM31" i="15"/>
  <c r="ES51" i="19"/>
  <c r="ES173" i="19" s="1"/>
  <c r="DU248" i="19"/>
  <c r="DU249" i="19"/>
  <c r="DU250" i="19"/>
  <c r="DU251" i="19"/>
  <c r="EV67" i="15"/>
  <c r="EV85" i="15"/>
  <c r="EV31" i="15" s="1"/>
  <c r="EV79" i="15"/>
  <c r="EV30" i="15" s="1"/>
  <c r="EH31" i="15"/>
  <c r="DI9" i="24"/>
  <c r="DI11" i="24" s="1"/>
  <c r="DI9" i="21"/>
  <c r="DI11" i="1"/>
  <c r="CW100" i="19"/>
  <c r="CW101" i="19"/>
  <c r="CW102" i="19"/>
  <c r="CW103" i="19"/>
  <c r="DA102" i="19"/>
  <c r="DA103" i="19"/>
  <c r="DA100" i="19"/>
  <c r="DA101" i="19"/>
  <c r="AF99" i="19"/>
  <c r="CV104" i="15"/>
  <c r="CV22" i="15" s="1"/>
  <c r="CV54" i="19" s="1"/>
  <c r="CV191" i="19" s="1"/>
  <c r="H179" i="19"/>
  <c r="W53" i="36"/>
  <c r="W133" i="36"/>
  <c r="EK51" i="19"/>
  <c r="AR19" i="15"/>
  <c r="ED248" i="19"/>
  <c r="ED249" i="19"/>
  <c r="ED250" i="19"/>
  <c r="ED251" i="19"/>
  <c r="V96" i="37"/>
  <c r="V106" i="37"/>
  <c r="V27" i="37" s="1"/>
  <c r="V91" i="37"/>
  <c r="CW77" i="24"/>
  <c r="AD76" i="24"/>
  <c r="ET19" i="15"/>
  <c r="AU78" i="15"/>
  <c r="EY32" i="29"/>
  <c r="EZ39" i="29" s="1"/>
  <c r="DD21" i="15"/>
  <c r="AG103" i="15"/>
  <c r="AE177" i="19"/>
  <c r="EO8" i="15"/>
  <c r="EO80" i="15"/>
  <c r="EO74" i="15" s="1"/>
  <c r="CX248" i="19"/>
  <c r="AE247" i="19"/>
  <c r="CX249" i="19"/>
  <c r="CX250" i="19"/>
  <c r="CX251" i="19"/>
  <c r="AP39" i="24"/>
  <c r="K39" i="24"/>
  <c r="EF40" i="24"/>
  <c r="EZ65" i="15"/>
  <c r="AW53" i="15"/>
  <c r="EZ83" i="15"/>
  <c r="EZ77" i="15"/>
  <c r="DL12" i="1"/>
  <c r="AD177" i="19"/>
  <c r="H177" i="19"/>
  <c r="E106" i="1"/>
  <c r="BK110" i="1"/>
  <c r="BK99" i="1"/>
  <c r="AP61" i="15"/>
  <c r="AP67" i="15"/>
  <c r="DS60" i="19"/>
  <c r="AL31" i="15"/>
  <c r="J31" i="15"/>
  <c r="DU86" i="15"/>
  <c r="DL255" i="19"/>
  <c r="DL256" i="19"/>
  <c r="DL257" i="19"/>
  <c r="DL254" i="19"/>
  <c r="DZ181" i="19"/>
  <c r="DZ180" i="19"/>
  <c r="DZ182" i="19"/>
  <c r="DZ183" i="19"/>
  <c r="BY36" i="24"/>
  <c r="V35" i="24"/>
  <c r="CW19" i="21"/>
  <c r="CW10" i="21"/>
  <c r="CW11" i="21"/>
  <c r="CW12" i="21"/>
  <c r="CW14" i="21"/>
  <c r="AI60" i="19"/>
  <c r="DJ253" i="19"/>
  <c r="EP9" i="15"/>
  <c r="EP86" i="15"/>
  <c r="AF9" i="24"/>
  <c r="DA11" i="24"/>
  <c r="DI68" i="19"/>
  <c r="DI105" i="19"/>
  <c r="AG60" i="19"/>
  <c r="DD253" i="19"/>
  <c r="DX28" i="11"/>
  <c r="DX32" i="11"/>
  <c r="DE11" i="11"/>
  <c r="DE108" i="1"/>
  <c r="DT86" i="15"/>
  <c r="DT9" i="15"/>
  <c r="DQ47" i="24"/>
  <c r="EB60" i="19"/>
  <c r="AO31" i="15"/>
  <c r="AM36" i="21"/>
  <c r="EA60" i="19"/>
  <c r="EA253" i="19" s="1"/>
  <c r="DF11" i="11"/>
  <c r="DF108" i="1"/>
  <c r="F42" i="8"/>
  <c r="F51" i="8" s="1"/>
  <c r="F41" i="8"/>
  <c r="F50" i="8" s="1"/>
  <c r="F43" i="8"/>
  <c r="F52" i="8" s="1"/>
  <c r="F45" i="8"/>
  <c r="F54" i="8" s="1"/>
  <c r="F44" i="8"/>
  <c r="F53" i="8" s="1"/>
  <c r="DW248" i="19"/>
  <c r="DW249" i="19"/>
  <c r="DW251" i="19"/>
  <c r="DW250" i="19"/>
  <c r="J33" i="29"/>
  <c r="AL33" i="29"/>
  <c r="DT13" i="7"/>
  <c r="EV36" i="21"/>
  <c r="EV51" i="19"/>
  <c r="EV173" i="19" s="1"/>
  <c r="DG175" i="19"/>
  <c r="DG176" i="19"/>
  <c r="I173" i="19"/>
  <c r="AH173" i="19"/>
  <c r="DG177" i="19"/>
  <c r="DG174" i="19"/>
  <c r="EC35" i="21"/>
  <c r="EC43" i="19"/>
  <c r="EC41" i="15"/>
  <c r="V77" i="37"/>
  <c r="V72" i="37"/>
  <c r="CX104" i="15"/>
  <c r="DD11" i="11"/>
  <c r="AG11" i="1"/>
  <c r="DD108" i="1"/>
  <c r="DY28" i="11"/>
  <c r="DY32" i="11"/>
  <c r="DY158" i="11" s="1"/>
  <c r="DY122" i="1" s="1"/>
  <c r="CV11" i="11"/>
  <c r="CV108" i="1"/>
  <c r="DC13" i="24"/>
  <c r="DC63" i="24"/>
  <c r="DC66" i="24" s="1"/>
  <c r="CT109" i="11"/>
  <c r="CT137" i="11"/>
  <c r="DB10" i="21"/>
  <c r="DB11" i="21"/>
  <c r="DB12" i="21"/>
  <c r="DB14" i="21"/>
  <c r="DB19" i="21"/>
  <c r="CX39" i="21"/>
  <c r="AE34" i="21"/>
  <c r="CX41" i="21"/>
  <c r="EK83" i="15"/>
  <c r="AI43" i="19"/>
  <c r="DJ67" i="19"/>
  <c r="DJ99" i="19"/>
  <c r="DQ44" i="19"/>
  <c r="DQ42" i="15"/>
  <c r="EL52" i="19"/>
  <c r="EL179" i="19" s="1"/>
  <c r="DP174" i="19"/>
  <c r="DP175" i="19"/>
  <c r="DP176" i="19"/>
  <c r="DP177" i="19"/>
  <c r="AK173" i="19"/>
  <c r="AH60" i="19"/>
  <c r="DG253" i="19"/>
  <c r="AQ12" i="29"/>
  <c r="EH33" i="29"/>
  <c r="K65" i="15"/>
  <c r="K56" i="15"/>
  <c r="K68" i="15" s="1"/>
  <c r="DS13" i="7"/>
  <c r="CW12" i="1"/>
  <c r="AC9" i="11"/>
  <c r="AC15" i="1"/>
  <c r="AC100" i="1"/>
  <c r="CK17" i="7" s="1"/>
  <c r="AA13" i="7"/>
  <c r="AA15" i="7" s="1"/>
  <c r="F5" i="7"/>
  <c r="F28" i="7" s="1"/>
  <c r="AC52" i="1"/>
  <c r="ER36" i="21"/>
  <c r="ER51" i="19"/>
  <c r="ER173" i="19" s="1"/>
  <c r="FB32" i="29"/>
  <c r="EN83" i="15"/>
  <c r="CZ13" i="24"/>
  <c r="CZ63" i="24"/>
  <c r="CZ66" i="24" s="1"/>
  <c r="I39" i="24"/>
  <c r="AH39" i="24"/>
  <c r="DH40" i="24"/>
  <c r="DM17" i="11"/>
  <c r="DM35" i="1" s="1"/>
  <c r="DM29" i="11"/>
  <c r="DM30" i="11" s="1"/>
  <c r="Q13" i="29"/>
  <c r="T14" i="29"/>
  <c r="CW40" i="21"/>
  <c r="AP39" i="29"/>
  <c r="P40" i="29"/>
  <c r="P43" i="29" s="1"/>
  <c r="K92" i="15"/>
  <c r="CZ53" i="19"/>
  <c r="CZ185" i="19" s="1"/>
  <c r="EK20" i="15"/>
  <c r="EK36" i="21" s="1"/>
  <c r="AR84" i="15"/>
  <c r="DF98" i="15"/>
  <c r="DF11" i="15" s="1"/>
  <c r="DF97" i="15"/>
  <c r="DF10" i="15" s="1"/>
  <c r="CY97" i="15"/>
  <c r="CY10" i="15" s="1"/>
  <c r="EI20" i="21"/>
  <c r="EJ20" i="21"/>
  <c r="EK20" i="21"/>
  <c r="EL20" i="21"/>
  <c r="EE20" i="21"/>
  <c r="EM20" i="21"/>
  <c r="EF20" i="21"/>
  <c r="EN20" i="21"/>
  <c r="EG20" i="21"/>
  <c r="EO20" i="21"/>
  <c r="EH20" i="21"/>
  <c r="EP20" i="21"/>
  <c r="ES84" i="15"/>
  <c r="ES20" i="15" s="1"/>
  <c r="ES36" i="21" s="1"/>
  <c r="ED180" i="19"/>
  <c r="ED181" i="19"/>
  <c r="ED182" i="19"/>
  <c r="ED183" i="19"/>
  <c r="AQ32" i="29"/>
  <c r="V10" i="28" s="1"/>
  <c r="AT73" i="26" s="1"/>
  <c r="AT80" i="26" s="1"/>
  <c r="EI39" i="29"/>
  <c r="AQ39" i="29" s="1"/>
  <c r="DX44" i="19"/>
  <c r="DX42" i="15"/>
  <c r="EU67" i="15"/>
  <c r="EU79" i="15"/>
  <c r="EU30" i="15" s="1"/>
  <c r="EH30" i="15"/>
  <c r="AQ79" i="15"/>
  <c r="J28" i="22"/>
  <c r="R27" i="22"/>
  <c r="W27" i="22"/>
  <c r="S27" i="22"/>
  <c r="X27" i="22"/>
  <c r="O27" i="22"/>
  <c r="M27" i="22"/>
  <c r="P27" i="22"/>
  <c r="U27" i="22"/>
  <c r="N27" i="22"/>
  <c r="Q27" i="22"/>
  <c r="T27" i="22"/>
  <c r="Y27" i="22"/>
  <c r="V27" i="22"/>
  <c r="DI67" i="19"/>
  <c r="DI99" i="19"/>
  <c r="AK86" i="15"/>
  <c r="AF67" i="19"/>
  <c r="DA21" i="15"/>
  <c r="AF103" i="15"/>
  <c r="W13" i="36"/>
  <c r="CY39" i="21"/>
  <c r="CY41" i="21"/>
  <c r="CY42" i="21"/>
  <c r="EV81" i="29"/>
  <c r="EV85" i="29" s="1"/>
  <c r="DK40" i="24"/>
  <c r="AI39" i="24"/>
  <c r="EJ37" i="21"/>
  <c r="EJ59" i="19"/>
  <c r="EJ247" i="19" s="1"/>
  <c r="DB53" i="19"/>
  <c r="DB185" i="19" s="1"/>
  <c r="DD40" i="21"/>
  <c r="AE176" i="19"/>
  <c r="ER81" i="29"/>
  <c r="ER85" i="29" s="1"/>
  <c r="EZ62" i="15"/>
  <c r="AK59" i="19"/>
  <c r="DP247" i="19"/>
  <c r="DL68" i="19"/>
  <c r="DL105" i="19"/>
  <c r="EP60" i="19"/>
  <c r="EP253" i="19" s="1"/>
  <c r="DY60" i="19"/>
  <c r="AN31" i="15"/>
  <c r="DU44" i="19"/>
  <c r="DU42" i="15"/>
  <c r="CW53" i="19"/>
  <c r="CW185" i="19" s="1"/>
  <c r="DI12" i="1"/>
  <c r="DO40" i="21"/>
  <c r="DO34" i="21"/>
  <c r="CW104" i="15"/>
  <c r="CW22" i="15" s="1"/>
  <c r="CW54" i="19" s="1"/>
  <c r="CW191" i="19" s="1"/>
  <c r="AB42" i="19"/>
  <c r="AB47" i="19" s="1"/>
  <c r="CO66" i="19"/>
  <c r="AB66" i="19" s="1"/>
  <c r="AB71" i="19" s="1"/>
  <c r="L91" i="15"/>
  <c r="I41" i="15"/>
  <c r="AH41" i="15"/>
  <c r="DG11" i="1"/>
  <c r="AN45" i="24"/>
  <c r="DZ46" i="24"/>
  <c r="EA47" i="24" s="1"/>
  <c r="EB48" i="24" s="1"/>
  <c r="AJ179" i="19"/>
  <c r="DM180" i="19"/>
  <c r="AJ180" i="19" s="1"/>
  <c r="DM181" i="19"/>
  <c r="AJ181" i="19" s="1"/>
  <c r="DM182" i="19"/>
  <c r="AJ182" i="19" s="1"/>
  <c r="DM183" i="19"/>
  <c r="AJ183" i="19" s="1"/>
  <c r="CW13" i="24"/>
  <c r="CW63" i="24"/>
  <c r="CW66" i="24" s="1"/>
  <c r="DB39" i="21"/>
  <c r="DB41" i="21"/>
  <c r="DB42" i="21"/>
  <c r="EH8" i="15"/>
  <c r="AQ77" i="15"/>
  <c r="AQ80" i="15" s="1"/>
  <c r="EH80" i="15"/>
  <c r="EH74" i="15" s="1"/>
  <c r="DW35" i="21"/>
  <c r="DW43" i="19"/>
  <c r="DW41" i="15"/>
  <c r="DC100" i="19"/>
  <c r="DC101" i="19"/>
  <c r="DC102" i="19"/>
  <c r="DC103" i="19"/>
  <c r="EB41" i="24"/>
  <c r="AN40" i="24"/>
  <c r="AL62" i="15"/>
  <c r="AL68" i="15"/>
  <c r="AL60" i="15"/>
  <c r="EZ41" i="24"/>
  <c r="AV40" i="24"/>
  <c r="DB11" i="11"/>
  <c r="DB108" i="1"/>
  <c r="AS26" i="29"/>
  <c r="DE19" i="21"/>
  <c r="DE10" i="21"/>
  <c r="DE11" i="21"/>
  <c r="DE12" i="21"/>
  <c r="DE14" i="21"/>
  <c r="CU21" i="15"/>
  <c r="H103" i="15"/>
  <c r="AD103" i="15"/>
  <c r="AN51" i="19"/>
  <c r="DY173" i="19"/>
  <c r="CY11" i="11"/>
  <c r="CY108" i="1"/>
  <c r="AW11" i="29"/>
  <c r="EZ25" i="29"/>
  <c r="AW25" i="29" s="1"/>
  <c r="AW80" i="29"/>
  <c r="AW81" i="29" s="1"/>
  <c r="AW85" i="29" s="1"/>
  <c r="DN254" i="19"/>
  <c r="DN255" i="19"/>
  <c r="DN256" i="19"/>
  <c r="DN257" i="19"/>
  <c r="EB52" i="19"/>
  <c r="AO20" i="15"/>
  <c r="DF19" i="21"/>
  <c r="DF10" i="21"/>
  <c r="DF11" i="21"/>
  <c r="DF12" i="21"/>
  <c r="DF14" i="21"/>
  <c r="AQ56" i="15"/>
  <c r="AQ59" i="15" s="1"/>
  <c r="AQ65" i="15"/>
  <c r="EM175" i="19"/>
  <c r="EM176" i="19"/>
  <c r="EM177" i="19"/>
  <c r="EM174" i="19"/>
  <c r="EK42" i="24"/>
  <c r="U10" i="35"/>
  <c r="U34" i="37"/>
  <c r="AJ60" i="19"/>
  <c r="DM253" i="19"/>
  <c r="EV52" i="19"/>
  <c r="EV179" i="19" s="1"/>
  <c r="EA180" i="19"/>
  <c r="EA181" i="19"/>
  <c r="EA183" i="19"/>
  <c r="EA182" i="19"/>
  <c r="DN11" i="1"/>
  <c r="ED10" i="7"/>
  <c r="ED13" i="7"/>
  <c r="ED11" i="7"/>
  <c r="ED9" i="15"/>
  <c r="ED35" i="21" s="1"/>
  <c r="ED86" i="15"/>
  <c r="CV19" i="21"/>
  <c r="CV10" i="21"/>
  <c r="CV11" i="21"/>
  <c r="CV12" i="21"/>
  <c r="CV14" i="21"/>
  <c r="DA42" i="21"/>
  <c r="DW60" i="19"/>
  <c r="DW253" i="19" s="1"/>
  <c r="AL59" i="15"/>
  <c r="M11" i="28"/>
  <c r="AK74" i="26" s="1"/>
  <c r="AK81" i="26" s="1"/>
  <c r="FA81" i="29"/>
  <c r="FA85" i="29" s="1"/>
  <c r="DT102" i="24"/>
  <c r="DU103" i="24" s="1"/>
  <c r="DV104" i="24" s="1"/>
  <c r="EM83" i="15"/>
  <c r="DB13" i="24"/>
  <c r="DB63" i="24"/>
  <c r="DB66" i="24" s="1"/>
  <c r="DW102" i="24"/>
  <c r="DX103" i="24" s="1"/>
  <c r="DY104" i="24" s="1"/>
  <c r="ED43" i="19"/>
  <c r="ED41" i="15"/>
  <c r="AR59" i="15"/>
  <c r="AR65" i="15"/>
  <c r="AR56" i="15"/>
  <c r="DA250" i="19"/>
  <c r="DA251" i="19"/>
  <c r="AF247" i="19"/>
  <c r="DA249" i="19"/>
  <c r="DA248" i="19"/>
  <c r="DM44" i="19"/>
  <c r="DM42" i="15"/>
  <c r="DM9" i="24" s="1"/>
  <c r="AJ9" i="15"/>
  <c r="DJ35" i="21"/>
  <c r="CW71" i="24"/>
  <c r="AD70" i="24"/>
  <c r="EW81" i="29"/>
  <c r="EW85" i="29" s="1"/>
  <c r="EP174" i="19"/>
  <c r="EP175" i="19"/>
  <c r="EP176" i="19"/>
  <c r="EP177" i="19"/>
  <c r="EG85" i="15"/>
  <c r="EG31" i="15" s="1"/>
  <c r="DN86" i="24"/>
  <c r="DO87" i="24" s="1"/>
  <c r="DP88" i="24" s="1"/>
  <c r="DL17" i="11"/>
  <c r="DL35" i="1" s="1"/>
  <c r="DL29" i="11"/>
  <c r="DL30" i="11" s="1"/>
  <c r="CY106" i="19"/>
  <c r="CY108" i="19"/>
  <c r="CY107" i="19"/>
  <c r="CY109" i="19"/>
  <c r="EM33" i="29"/>
  <c r="EO33" i="29"/>
  <c r="AP56" i="15"/>
  <c r="AP65" i="15"/>
  <c r="AP59" i="15"/>
  <c r="CU32" i="11"/>
  <c r="CU158" i="11" s="1"/>
  <c r="CU122" i="1" s="1"/>
  <c r="CU28" i="11"/>
  <c r="AD33" i="11"/>
  <c r="DD41" i="24"/>
  <c r="AF40" i="24"/>
  <c r="EJ33" i="11"/>
  <c r="EK33" i="11"/>
  <c r="DS10" i="7"/>
  <c r="CW68" i="19"/>
  <c r="CW105" i="19"/>
  <c r="EC248" i="19"/>
  <c r="EC249" i="19"/>
  <c r="EC250" i="19"/>
  <c r="EC251" i="19"/>
  <c r="DZ43" i="19"/>
  <c r="DZ41" i="15"/>
  <c r="CV97" i="15"/>
  <c r="CV10" i="15" s="1"/>
  <c r="CX97" i="15"/>
  <c r="EI177" i="19"/>
  <c r="EI174" i="19"/>
  <c r="EI175" i="19"/>
  <c r="EI176" i="19"/>
  <c r="EL174" i="19"/>
  <c r="EL176" i="19"/>
  <c r="EL177" i="19"/>
  <c r="EL175" i="19"/>
  <c r="DQ10" i="25"/>
  <c r="DQ11" i="25" s="1"/>
  <c r="CX106" i="19"/>
  <c r="AE105" i="19"/>
  <c r="AE159" i="19" s="1"/>
  <c r="CX108" i="19"/>
  <c r="CX107" i="19"/>
  <c r="CX109" i="19"/>
  <c r="FB67" i="15"/>
  <c r="FB85" i="15"/>
  <c r="FB31" i="15" s="1"/>
  <c r="FB79" i="15"/>
  <c r="FB30" i="15" s="1"/>
  <c r="AQ67" i="15"/>
  <c r="AQ61" i="15"/>
  <c r="DI34" i="21"/>
  <c r="DI40" i="21" s="1"/>
  <c r="DA104" i="15"/>
  <c r="V57" i="37"/>
  <c r="V52" i="37"/>
  <c r="DP40" i="24"/>
  <c r="AJ39" i="24"/>
  <c r="CX42" i="21"/>
  <c r="CY40" i="21"/>
  <c r="ET20" i="15"/>
  <c r="AU84" i="15"/>
  <c r="EV32" i="29"/>
  <c r="EW39" i="29" s="1"/>
  <c r="ES65" i="15"/>
  <c r="ES77" i="15"/>
  <c r="DK9" i="24"/>
  <c r="DK11" i="24" s="1"/>
  <c r="DK9" i="21"/>
  <c r="DK11" i="1"/>
  <c r="DE100" i="19"/>
  <c r="DE101" i="19"/>
  <c r="DE102" i="19"/>
  <c r="DE103" i="19"/>
  <c r="DB104" i="15"/>
  <c r="DB22" i="15" s="1"/>
  <c r="DB54" i="19" s="1"/>
  <c r="DB191" i="19" s="1"/>
  <c r="AE174" i="19"/>
  <c r="EO83" i="15"/>
  <c r="CY100" i="19"/>
  <c r="CY101" i="19"/>
  <c r="CY102" i="19"/>
  <c r="CY103" i="19"/>
  <c r="ER32" i="29"/>
  <c r="ES39" i="29" s="1"/>
  <c r="DG180" i="19"/>
  <c r="AH179" i="19"/>
  <c r="DG182" i="19"/>
  <c r="DG183" i="19"/>
  <c r="DG181" i="19"/>
  <c r="AE12" i="1"/>
  <c r="EG52" i="19"/>
  <c r="EG179" i="19" s="1"/>
  <c r="EP37" i="21"/>
  <c r="EP59" i="19"/>
  <c r="EP247" i="19" s="1"/>
  <c r="AN85" i="15"/>
  <c r="J100" i="15"/>
  <c r="DL100" i="15"/>
  <c r="DI100" i="15"/>
  <c r="DR100" i="15"/>
  <c r="DJ100" i="15"/>
  <c r="DK100" i="15"/>
  <c r="DM100" i="15"/>
  <c r="DN100" i="15"/>
  <c r="DO100" i="15"/>
  <c r="DG100" i="15"/>
  <c r="DP100" i="15"/>
  <c r="DH100" i="15"/>
  <c r="DQ100" i="15"/>
  <c r="AH35" i="21"/>
  <c r="DG34" i="21"/>
  <c r="DG40" i="21" s="1"/>
  <c r="CO47" i="19"/>
  <c r="CP7" i="15"/>
  <c r="CO45" i="15"/>
  <c r="EM52" i="19"/>
  <c r="EM179" i="19" s="1"/>
  <c r="ET25" i="29"/>
  <c r="AU25" i="29" s="1"/>
  <c r="AU80" i="29"/>
  <c r="DE13" i="24"/>
  <c r="DE63" i="24"/>
  <c r="DE66" i="24" s="1"/>
  <c r="DD100" i="19"/>
  <c r="DD101" i="19"/>
  <c r="DD102" i="19"/>
  <c r="DD103" i="19"/>
  <c r="AG99" i="19"/>
  <c r="AF177" i="19"/>
  <c r="AN59" i="15"/>
  <c r="CV40" i="21"/>
  <c r="CV34" i="21"/>
  <c r="I43" i="19"/>
  <c r="AH43" i="19"/>
  <c r="DG67" i="19"/>
  <c r="DG99" i="19"/>
  <c r="DD248" i="19"/>
  <c r="DD249" i="19"/>
  <c r="DD250" i="19"/>
  <c r="DD251" i="19"/>
  <c r="AG247" i="19"/>
  <c r="CY19" i="21"/>
  <c r="CY10" i="21"/>
  <c r="CY11" i="21"/>
  <c r="CY12" i="21"/>
  <c r="CY14" i="21"/>
  <c r="DW180" i="19"/>
  <c r="DW182" i="19"/>
  <c r="DW183" i="19"/>
  <c r="DW181" i="19"/>
  <c r="DC39" i="21"/>
  <c r="DC41" i="21"/>
  <c r="DC42" i="21"/>
  <c r="DN41" i="24"/>
  <c r="AJ40" i="24"/>
  <c r="EI8" i="15"/>
  <c r="EI80" i="15"/>
  <c r="EI74" i="15" s="1"/>
  <c r="DE53" i="19"/>
  <c r="DE185" i="19" s="1"/>
  <c r="DF13" i="24"/>
  <c r="DF63" i="24"/>
  <c r="DF66" i="24" s="1"/>
  <c r="AB9" i="11"/>
  <c r="AB15" i="1"/>
  <c r="AB100" i="1"/>
  <c r="CJ17" i="7" s="1"/>
  <c r="Z13" i="7"/>
  <c r="Z15" i="7" s="1"/>
  <c r="E5" i="7"/>
  <c r="E28" i="7" s="1"/>
  <c r="AB52" i="1"/>
  <c r="EM36" i="21"/>
  <c r="DZ60" i="19"/>
  <c r="DZ253" i="19" s="1"/>
  <c r="DS52" i="19"/>
  <c r="AL20" i="15"/>
  <c r="J20" i="15"/>
  <c r="DI10" i="25" s="1"/>
  <c r="DI11" i="25" s="1"/>
  <c r="DA41" i="24"/>
  <c r="AE40" i="24"/>
  <c r="DN67" i="19"/>
  <c r="DN99" i="19"/>
  <c r="DD19" i="21"/>
  <c r="DD10" i="21"/>
  <c r="DD11" i="21"/>
  <c r="DD12" i="21"/>
  <c r="DD14" i="21"/>
  <c r="AG9" i="21"/>
  <c r="EF174" i="19"/>
  <c r="EF175" i="19"/>
  <c r="EF176" i="19"/>
  <c r="EF177" i="19"/>
  <c r="CV13" i="24"/>
  <c r="CV63" i="24"/>
  <c r="CV66" i="24" s="1"/>
  <c r="DR12" i="1"/>
  <c r="D11" i="28"/>
  <c r="L74" i="26" s="1"/>
  <c r="L81" i="26" s="1"/>
  <c r="I35" i="29"/>
  <c r="FA32" i="29"/>
  <c r="FB39" i="29" s="1"/>
  <c r="AV53" i="15"/>
  <c r="EW83" i="15"/>
  <c r="EW65" i="15"/>
  <c r="EW77" i="15"/>
  <c r="EP181" i="19"/>
  <c r="EP180" i="19"/>
  <c r="EP182" i="19"/>
  <c r="EP183" i="19"/>
  <c r="A20" i="30"/>
  <c r="B19" i="30"/>
  <c r="C19" i="30"/>
  <c r="DT248" i="19"/>
  <c r="DT249" i="19"/>
  <c r="DT250" i="19"/>
  <c r="DT251" i="19"/>
  <c r="CN36" i="24"/>
  <c r="AA35" i="24"/>
  <c r="AN74" i="15"/>
  <c r="AE40" i="21"/>
  <c r="DV35" i="21"/>
  <c r="DV43" i="19"/>
  <c r="AM8" i="15"/>
  <c r="DV41" i="15"/>
  <c r="DI254" i="19"/>
  <c r="DI255" i="19"/>
  <c r="DI257" i="19"/>
  <c r="DI256" i="19"/>
  <c r="EG59" i="19"/>
  <c r="EG247" i="19" s="1"/>
  <c r="AP12" i="29"/>
  <c r="EE33" i="29"/>
  <c r="EG33" i="29"/>
  <c r="CZ111" i="15"/>
  <c r="DA111" i="15"/>
  <c r="DB111" i="15"/>
  <c r="CU111" i="15"/>
  <c r="DC111" i="15"/>
  <c r="CV111" i="15"/>
  <c r="DD111" i="15"/>
  <c r="CW111" i="15"/>
  <c r="DE111" i="15"/>
  <c r="CX111" i="15"/>
  <c r="DF111" i="15"/>
  <c r="CY111" i="15"/>
  <c r="CX100" i="19"/>
  <c r="AE99" i="19"/>
  <c r="CX101" i="19"/>
  <c r="CX102" i="19"/>
  <c r="CX103" i="19"/>
  <c r="J80" i="15"/>
  <c r="J74" i="15" s="1"/>
  <c r="ER52" i="19"/>
  <c r="ER179" i="19" s="1"/>
  <c r="AS56" i="15"/>
  <c r="AS65" i="15"/>
  <c r="AS59" i="15"/>
  <c r="AK41" i="15"/>
  <c r="DP11" i="1"/>
  <c r="CU11" i="11"/>
  <c r="H11" i="1"/>
  <c r="AD11" i="1"/>
  <c r="CU108" i="1"/>
  <c r="Z106" i="1"/>
  <c r="Y113" i="1"/>
  <c r="DX251" i="19"/>
  <c r="DX248" i="19"/>
  <c r="DX250" i="19"/>
  <c r="DX249" i="19"/>
  <c r="AG174" i="19"/>
  <c r="L33" i="11"/>
  <c r="L17" i="11"/>
  <c r="CK36" i="24"/>
  <c r="Z35" i="24"/>
  <c r="DD97" i="15"/>
  <c r="DE98" i="15"/>
  <c r="DE11" i="15" s="1"/>
  <c r="DE97" i="15"/>
  <c r="DE10" i="15" s="1"/>
  <c r="EL36" i="21"/>
  <c r="DG41" i="24"/>
  <c r="AG40" i="24"/>
  <c r="DQ13" i="25"/>
  <c r="AE68" i="19"/>
  <c r="ET67" i="15"/>
  <c r="AU55" i="15"/>
  <c r="ET79" i="15"/>
  <c r="ET85" i="15" s="1"/>
  <c r="DP44" i="19"/>
  <c r="AK9" i="15"/>
  <c r="DP42" i="15"/>
  <c r="DE39" i="21"/>
  <c r="DE41" i="21"/>
  <c r="AD182" i="19"/>
  <c r="AD158" i="19" s="1"/>
  <c r="DX254" i="19"/>
  <c r="DX255" i="19"/>
  <c r="DX256" i="19"/>
  <c r="DX257" i="19"/>
  <c r="AE42" i="21"/>
  <c r="AU66" i="15"/>
  <c r="AO61" i="15"/>
  <c r="ES62" i="15"/>
  <c r="AB23" i="15"/>
  <c r="AB91" i="15"/>
  <c r="EJ60" i="19"/>
  <c r="EJ253" i="19" s="1"/>
  <c r="DK67" i="19"/>
  <c r="DK99" i="19"/>
  <c r="EN52" i="19"/>
  <c r="AS20" i="15"/>
  <c r="ET48" i="24"/>
  <c r="AT47" i="24"/>
  <c r="AN33" i="29"/>
  <c r="H42" i="15"/>
  <c r="FB36" i="21"/>
  <c r="FB51" i="19"/>
  <c r="FB173" i="19" s="1"/>
  <c r="AD176" i="19"/>
  <c r="H176" i="19"/>
  <c r="CS109" i="11"/>
  <c r="CS137" i="11"/>
  <c r="CY13" i="24"/>
  <c r="CY63" i="24"/>
  <c r="CY66" i="24" s="1"/>
  <c r="DU35" i="21"/>
  <c r="DU43" i="19"/>
  <c r="DU41" i="15"/>
  <c r="EG174" i="19"/>
  <c r="EG175" i="19"/>
  <c r="EG176" i="19"/>
  <c r="EG177" i="19"/>
  <c r="CV100" i="19"/>
  <c r="CV101" i="19"/>
  <c r="CV102" i="19"/>
  <c r="CV103" i="19"/>
  <c r="F9" i="8"/>
  <c r="G9" i="11"/>
  <c r="H9" i="1"/>
  <c r="G15" i="1"/>
  <c r="F5" i="25"/>
  <c r="F28" i="25" s="1"/>
  <c r="G100" i="1"/>
  <c r="CK17" i="25" s="1"/>
  <c r="AA13" i="25"/>
  <c r="AA15" i="25" s="1"/>
  <c r="G76" i="1"/>
  <c r="K84" i="15"/>
  <c r="EG8" i="15"/>
  <c r="EG80" i="15"/>
  <c r="EG74" i="15" s="1"/>
  <c r="EV65" i="15"/>
  <c r="EV77" i="15"/>
  <c r="EN40" i="24"/>
  <c r="AR39" i="24"/>
  <c r="DN34" i="21"/>
  <c r="DB101" i="19"/>
  <c r="DB102" i="19"/>
  <c r="DB103" i="19"/>
  <c r="DB100" i="19"/>
  <c r="DD11" i="24"/>
  <c r="AG9" i="24"/>
  <c r="AJ71" i="15"/>
  <c r="EH20" i="15"/>
  <c r="AQ84" i="15"/>
  <c r="EC60" i="19"/>
  <c r="EC253" i="19" s="1"/>
  <c r="DZ249" i="19"/>
  <c r="DZ250" i="19"/>
  <c r="DZ251" i="19"/>
  <c r="DZ248" i="19"/>
  <c r="AI52" i="19"/>
  <c r="DJ179" i="19"/>
  <c r="DH11" i="1"/>
  <c r="CO93" i="1"/>
  <c r="G92" i="1"/>
  <c r="DH83" i="24"/>
  <c r="DI84" i="24" s="1"/>
  <c r="DJ85" i="24" s="1"/>
  <c r="DV37" i="21"/>
  <c r="DV59" i="19"/>
  <c r="AM30" i="15"/>
  <c r="AM73" i="15" s="1"/>
  <c r="AM74" i="15"/>
  <c r="AV11" i="29"/>
  <c r="EW32" i="29"/>
  <c r="DU60" i="19"/>
  <c r="DU253" i="19" s="1"/>
  <c r="AD17" i="30"/>
  <c r="W17" i="30"/>
  <c r="W51" i="30" s="1"/>
  <c r="AE17" i="30"/>
  <c r="X17" i="30"/>
  <c r="AF17" i="30"/>
  <c r="Y17" i="30"/>
  <c r="AG17" i="30"/>
  <c r="E29" i="30"/>
  <c r="D29" i="30" s="1"/>
  <c r="Z17" i="30"/>
  <c r="AH17" i="30"/>
  <c r="AA17" i="30"/>
  <c r="AI17" i="30"/>
  <c r="AB17" i="30"/>
  <c r="AJ17" i="30"/>
  <c r="AC17" i="30"/>
  <c r="AK17" i="30"/>
  <c r="AI32" i="11"/>
  <c r="AI158" i="11" s="1"/>
  <c r="DL158" i="11"/>
  <c r="DL122" i="1" s="1"/>
  <c r="AI122" i="1" s="1"/>
  <c r="EL33" i="29"/>
  <c r="EN33" i="29"/>
  <c r="AS12" i="29"/>
  <c r="CZ17" i="11"/>
  <c r="CZ35" i="1" s="1"/>
  <c r="CZ29" i="11"/>
  <c r="CZ30" i="11" s="1"/>
  <c r="EJ176" i="19"/>
  <c r="EJ177" i="19"/>
  <c r="EJ174" i="19"/>
  <c r="EJ175" i="19"/>
  <c r="L26" i="29"/>
  <c r="AO33" i="29"/>
  <c r="L78" i="15"/>
  <c r="EQ19" i="15"/>
  <c r="AT78" i="15"/>
  <c r="DB108" i="19"/>
  <c r="DB109" i="19"/>
  <c r="DB106" i="19"/>
  <c r="DB107" i="19"/>
  <c r="EF8" i="15"/>
  <c r="EF80" i="15"/>
  <c r="EF74" i="15" s="1"/>
  <c r="AK71" i="15"/>
  <c r="EO85" i="15"/>
  <c r="EO31" i="15" s="1"/>
  <c r="AG105" i="19"/>
  <c r="AG157" i="19" s="1"/>
  <c r="DD108" i="19"/>
  <c r="DD109" i="19"/>
  <c r="DD106" i="19"/>
  <c r="DD107" i="19"/>
  <c r="EA11" i="7"/>
  <c r="EA13" i="7"/>
  <c r="EA10" i="7"/>
  <c r="ET41" i="24"/>
  <c r="DY37" i="21"/>
  <c r="DY59" i="19"/>
  <c r="AN30" i="15"/>
  <c r="AN73" i="15" s="1"/>
  <c r="AG177" i="19"/>
  <c r="DO44" i="19"/>
  <c r="DO42" i="15"/>
  <c r="CU98" i="15"/>
  <c r="CU97" i="15"/>
  <c r="CW97" i="15"/>
  <c r="CW10" i="15" s="1"/>
  <c r="DS40" i="24"/>
  <c r="AK39" i="24"/>
  <c r="AW78" i="15"/>
  <c r="EZ19" i="15"/>
  <c r="AW55" i="15"/>
  <c r="EZ67" i="15"/>
  <c r="EZ79" i="15"/>
  <c r="FA85" i="15"/>
  <c r="FA31" i="15" s="1"/>
  <c r="FA67" i="15"/>
  <c r="FA79" i="15"/>
  <c r="FA30" i="15" s="1"/>
  <c r="DE40" i="21"/>
  <c r="AD183" i="19"/>
  <c r="CX11" i="11"/>
  <c r="AE11" i="1"/>
  <c r="CX108" i="1"/>
  <c r="DM175" i="19"/>
  <c r="DM177" i="19"/>
  <c r="AJ173" i="19"/>
  <c r="DM174" i="19"/>
  <c r="DM176" i="19"/>
  <c r="Y16" i="29"/>
  <c r="CF20" i="29"/>
  <c r="CG16" i="29" s="1"/>
  <c r="CG20" i="29" s="1"/>
  <c r="CH16" i="29" s="1"/>
  <c r="CH20" i="29" s="1"/>
  <c r="CI16" i="29" s="1"/>
  <c r="EQ40" i="24"/>
  <c r="AS39" i="24"/>
  <c r="CO63" i="19"/>
  <c r="CP29" i="15"/>
  <c r="EY36" i="21"/>
  <c r="EY51" i="19"/>
  <c r="EY173" i="19" s="1"/>
  <c r="EY83" i="15"/>
  <c r="EY65" i="15"/>
  <c r="EY77" i="15"/>
  <c r="CO55" i="19"/>
  <c r="CP18" i="15"/>
  <c r="DK34" i="21"/>
  <c r="DK40" i="21"/>
  <c r="AS84" i="15"/>
  <c r="E33" i="24"/>
  <c r="BT34" i="24"/>
  <c r="T33" i="24"/>
  <c r="T61" i="24" s="1"/>
  <c r="BS61" i="24"/>
  <c r="BS14" i="24" s="1"/>
  <c r="DN44" i="19"/>
  <c r="DN42" i="15"/>
  <c r="AL61" i="15"/>
  <c r="L18" i="29"/>
  <c r="L20" i="29" s="1"/>
  <c r="AT18" i="29"/>
  <c r="I52" i="19"/>
  <c r="AD175" i="19"/>
  <c r="H175" i="19"/>
  <c r="AH86" i="15"/>
  <c r="D8" i="28"/>
  <c r="L71" i="26" s="1"/>
  <c r="L78" i="26" s="1"/>
  <c r="I34" i="29"/>
  <c r="EN36" i="21"/>
  <c r="EN51" i="19"/>
  <c r="AS19" i="15"/>
  <c r="AS72" i="15" s="1"/>
  <c r="AB12" i="15"/>
  <c r="AB90" i="15"/>
  <c r="AF179" i="19"/>
  <c r="DA181" i="19"/>
  <c r="AF181" i="19" s="1"/>
  <c r="DA180" i="19"/>
  <c r="AF180" i="19" s="1"/>
  <c r="DA183" i="19"/>
  <c r="AF183" i="19" s="1"/>
  <c r="DA182" i="19"/>
  <c r="AF182" i="19" s="1"/>
  <c r="EC180" i="19"/>
  <c r="EC181" i="19"/>
  <c r="EC182" i="19"/>
  <c r="EC183" i="19"/>
  <c r="DY52" i="19"/>
  <c r="AN20" i="15"/>
  <c r="EM60" i="19"/>
  <c r="EM253" i="19" s="1"/>
  <c r="EI9" i="15"/>
  <c r="DT35" i="21"/>
  <c r="DT43" i="19"/>
  <c r="DT41" i="15"/>
  <c r="EF181" i="19"/>
  <c r="EF182" i="19"/>
  <c r="EF183" i="19"/>
  <c r="EF180" i="19"/>
  <c r="DS44" i="19"/>
  <c r="DS42" i="15"/>
  <c r="EG9" i="15"/>
  <c r="EG86" i="15"/>
  <c r="DV44" i="19"/>
  <c r="AM9" i="15"/>
  <c r="DV42" i="15"/>
  <c r="CX254" i="19"/>
  <c r="AE254" i="19" s="1"/>
  <c r="AE253" i="19"/>
  <c r="CX255" i="19"/>
  <c r="AE255" i="19" s="1"/>
  <c r="CX256" i="19"/>
  <c r="AE256" i="19" s="1"/>
  <c r="CX257" i="19"/>
  <c r="AE257" i="19" s="1"/>
  <c r="AE233" i="19" s="1"/>
  <c r="DT254" i="19"/>
  <c r="DT256" i="19"/>
  <c r="DT257" i="19"/>
  <c r="DT255" i="19"/>
  <c r="EH40" i="24"/>
  <c r="AO51" i="19"/>
  <c r="EB173" i="19"/>
  <c r="DO9" i="24"/>
  <c r="DO11" i="24" s="1"/>
  <c r="DO9" i="21"/>
  <c r="DO11" i="1"/>
  <c r="DE107" i="19"/>
  <c r="DE106" i="19"/>
  <c r="DE109" i="19"/>
  <c r="DE108" i="19"/>
  <c r="DY9" i="15"/>
  <c r="AN83" i="15"/>
  <c r="AN86" i="15" s="1"/>
  <c r="DY86" i="15"/>
  <c r="DR13" i="25"/>
  <c r="DR10" i="25"/>
  <c r="DR11" i="25" s="1"/>
  <c r="AJ41" i="15"/>
  <c r="DM11" i="1"/>
  <c r="DK12" i="1"/>
  <c r="AI73" i="15"/>
  <c r="DR68" i="19"/>
  <c r="DR105" i="19"/>
  <c r="EW19" i="15"/>
  <c r="AV78" i="15"/>
  <c r="DL9" i="24"/>
  <c r="DL11" i="24" s="1"/>
  <c r="DL9" i="21"/>
  <c r="DL11" i="1"/>
  <c r="ET65" i="15"/>
  <c r="AU53" i="15"/>
  <c r="ET77" i="15"/>
  <c r="ET83" i="15" s="1"/>
  <c r="DZ37" i="21"/>
  <c r="F18" i="30"/>
  <c r="AS67" i="15"/>
  <c r="AS61" i="15"/>
  <c r="AD35" i="21"/>
  <c r="AD40" i="21" s="1"/>
  <c r="EA248" i="19"/>
  <c r="EA249" i="19"/>
  <c r="EA250" i="19"/>
  <c r="EA251" i="19"/>
  <c r="AD9" i="1"/>
  <c r="EA43" i="19"/>
  <c r="EA41" i="15"/>
  <c r="DY35" i="21"/>
  <c r="DY43" i="19"/>
  <c r="AN8" i="15"/>
  <c r="DY41" i="15"/>
  <c r="DN87" i="24"/>
  <c r="DO88" i="24" s="1"/>
  <c r="DP89" i="24" s="1"/>
  <c r="DH67" i="19"/>
  <c r="DH99" i="19"/>
  <c r="DJ174" i="19"/>
  <c r="AI173" i="19"/>
  <c r="DJ175" i="19"/>
  <c r="DJ176" i="19"/>
  <c r="DJ177" i="19"/>
  <c r="EH36" i="21"/>
  <c r="EH51" i="19"/>
  <c r="AQ19" i="15"/>
  <c r="AU81" i="29"/>
  <c r="AU85" i="29" s="1"/>
  <c r="EE41" i="24"/>
  <c r="AO40" i="24"/>
  <c r="DZ9" i="15"/>
  <c r="DZ35" i="21" s="1"/>
  <c r="DZ86" i="15"/>
  <c r="CZ103" i="19"/>
  <c r="CZ100" i="19"/>
  <c r="CZ101" i="19"/>
  <c r="CZ102" i="19"/>
  <c r="CP35" i="24"/>
  <c r="AB34" i="24"/>
  <c r="CU100" i="19"/>
  <c r="CU101" i="19"/>
  <c r="CU102" i="19"/>
  <c r="AD99" i="19"/>
  <c r="CU103" i="19"/>
  <c r="H99" i="19"/>
  <c r="DH58" i="24"/>
  <c r="DI59" i="24" s="1"/>
  <c r="DJ60" i="24" s="1"/>
  <c r="AR12" i="29"/>
  <c r="EK33" i="29"/>
  <c r="EF33" i="29"/>
  <c r="CY53" i="19"/>
  <c r="CY185" i="19" s="1"/>
  <c r="AE32" i="11"/>
  <c r="AE158" i="11" s="1"/>
  <c r="CM10" i="7" s="1"/>
  <c r="CZ158" i="11"/>
  <c r="CZ122" i="1" s="1"/>
  <c r="AE122" i="1" s="1"/>
  <c r="AS32" i="29"/>
  <c r="X10" i="28" s="1"/>
  <c r="AV73" i="26" s="1"/>
  <c r="AV80" i="26" s="1"/>
  <c r="EO39" i="29"/>
  <c r="AS39" i="29" s="1"/>
  <c r="AL80" i="15"/>
  <c r="AL74" i="15" s="1"/>
  <c r="EF9" i="15"/>
  <c r="AK43" i="19"/>
  <c r="DP67" i="19"/>
  <c r="DP99" i="19"/>
  <c r="EO37" i="21"/>
  <c r="EO59" i="19"/>
  <c r="EO247" i="19" s="1"/>
  <c r="DD68" i="19"/>
  <c r="AG68" i="19" s="1"/>
  <c r="CA50" i="19"/>
  <c r="CA25" i="15"/>
  <c r="BZ23" i="15"/>
  <c r="CA91" i="15"/>
  <c r="CA26" i="15"/>
  <c r="AO74" i="15"/>
  <c r="G34" i="24"/>
  <c r="DC97" i="15"/>
  <c r="DC10" i="15" s="1"/>
  <c r="DC98" i="15"/>
  <c r="DC11" i="15" s="1"/>
  <c r="AW84" i="15"/>
  <c r="EZ20" i="15"/>
  <c r="L11" i="29"/>
  <c r="L13" i="29" s="1"/>
  <c r="AT11" i="29"/>
  <c r="L53" i="15"/>
  <c r="AT53" i="15"/>
  <c r="EQ65" i="15"/>
  <c r="EQ77" i="15"/>
  <c r="AL72" i="15"/>
  <c r="EX67" i="15"/>
  <c r="EX79" i="15"/>
  <c r="EX30" i="15" s="1"/>
  <c r="ES85" i="15"/>
  <c r="ES31" i="15" s="1"/>
  <c r="ES67" i="15"/>
  <c r="ES79" i="15"/>
  <c r="ES30" i="15" s="1"/>
  <c r="CV12" i="1"/>
  <c r="AD12" i="1" s="1"/>
  <c r="EO174" i="19"/>
  <c r="EO175" i="19"/>
  <c r="EO176" i="19"/>
  <c r="EO177" i="19"/>
  <c r="EB10" i="7"/>
  <c r="EB13" i="7"/>
  <c r="EB11" i="7"/>
  <c r="X20" i="29"/>
  <c r="AA21" i="29"/>
  <c r="DQ9" i="24"/>
  <c r="DQ11" i="24" s="1"/>
  <c r="DQ9" i="21"/>
  <c r="DQ11" i="1"/>
  <c r="DH44" i="19"/>
  <c r="DH42" i="15"/>
  <c r="AB34" i="15"/>
  <c r="AB92" i="15"/>
  <c r="EY52" i="19"/>
  <c r="EY179" i="19" s="1"/>
  <c r="EY62" i="15"/>
  <c r="DT101" i="24"/>
  <c r="DU102" i="24" s="1"/>
  <c r="DV103" i="24" s="1"/>
  <c r="AE175" i="19"/>
  <c r="DF39" i="21"/>
  <c r="DF41" i="21"/>
  <c r="DF42" i="21"/>
  <c r="DR9" i="24"/>
  <c r="DR11" i="24" s="1"/>
  <c r="DR9" i="21"/>
  <c r="DR11" i="1"/>
  <c r="CZ108" i="19"/>
  <c r="CZ106" i="19"/>
  <c r="CZ107" i="19"/>
  <c r="CZ109" i="19"/>
  <c r="AM33" i="29"/>
  <c r="FB52" i="19"/>
  <c r="FB179" i="19" s="1"/>
  <c r="EB37" i="21"/>
  <c r="EB59" i="19"/>
  <c r="AO30" i="15"/>
  <c r="AO73" i="15" s="1"/>
  <c r="I86" i="15"/>
  <c r="EE30" i="15"/>
  <c r="K79" i="15"/>
  <c r="AP79" i="15"/>
  <c r="EV12" i="29"/>
  <c r="EW12" i="29"/>
  <c r="EX12" i="29"/>
  <c r="EQ12" i="29"/>
  <c r="EY12" i="29"/>
  <c r="ER12" i="29"/>
  <c r="EZ12" i="29"/>
  <c r="ES12" i="29"/>
  <c r="FA12" i="29"/>
  <c r="ET12" i="29"/>
  <c r="FB12" i="29"/>
  <c r="EU12" i="29"/>
  <c r="EC10" i="7"/>
  <c r="EC13" i="7"/>
  <c r="EC11" i="7"/>
  <c r="AF175" i="19"/>
  <c r="AN68" i="15"/>
  <c r="AN62" i="15"/>
  <c r="AN60" i="15"/>
  <c r="DA11" i="11"/>
  <c r="AF11" i="1"/>
  <c r="DA108" i="1"/>
  <c r="AB40" i="15"/>
  <c r="AB45" i="15" s="1"/>
  <c r="CO47" i="15"/>
  <c r="CO48" i="15"/>
  <c r="AF174" i="19"/>
  <c r="DF100" i="19"/>
  <c r="DF101" i="19"/>
  <c r="DF103" i="19"/>
  <c r="DF102" i="19"/>
  <c r="EU36" i="21"/>
  <c r="EU51" i="19"/>
  <c r="EU173" i="19" s="1"/>
  <c r="EQ25" i="29"/>
  <c r="AT80" i="29"/>
  <c r="AT81" i="29" s="1"/>
  <c r="AT85" i="29" s="1"/>
  <c r="EU65" i="15"/>
  <c r="EU77" i="15"/>
  <c r="EU19" i="29"/>
  <c r="EV19" i="29"/>
  <c r="EW19" i="29"/>
  <c r="EX19" i="29"/>
  <c r="EQ19" i="29"/>
  <c r="EY19" i="29"/>
  <c r="ER19" i="29"/>
  <c r="EZ19" i="29"/>
  <c r="ES19" i="29"/>
  <c r="FA19" i="29"/>
  <c r="ET19" i="29"/>
  <c r="FB19" i="29"/>
  <c r="EC44" i="19"/>
  <c r="EC42" i="15"/>
  <c r="EM37" i="21"/>
  <c r="EM59" i="19"/>
  <c r="EM247" i="19" s="1"/>
  <c r="CW11" i="11"/>
  <c r="CW108" i="1"/>
  <c r="DC53" i="19"/>
  <c r="DC185" i="19" s="1"/>
  <c r="EA9" i="15"/>
  <c r="EA35" i="21" s="1"/>
  <c r="EA86" i="15"/>
  <c r="CT71" i="24"/>
  <c r="AC70" i="24"/>
  <c r="G70" i="24"/>
  <c r="EE52" i="19"/>
  <c r="K20" i="15"/>
  <c r="AP20" i="15"/>
  <c r="ER65" i="15"/>
  <c r="ER83" i="15"/>
  <c r="ER77" i="15"/>
  <c r="EF85" i="15"/>
  <c r="EF31" i="15" s="1"/>
  <c r="AM52" i="19"/>
  <c r="DV179" i="19"/>
  <c r="AO36" i="21"/>
  <c r="DO67" i="19"/>
  <c r="DO99" i="19"/>
  <c r="EP8" i="15"/>
  <c r="EP80" i="15"/>
  <c r="EP74" i="15" s="1"/>
  <c r="I59" i="19"/>
  <c r="AH59" i="19"/>
  <c r="DG247" i="19"/>
  <c r="AJ43" i="19"/>
  <c r="DM99" i="19"/>
  <c r="DM67" i="19"/>
  <c r="DK68" i="19"/>
  <c r="DK105" i="19"/>
  <c r="AI59" i="19"/>
  <c r="DJ247" i="19"/>
  <c r="CE36" i="24"/>
  <c r="X35" i="24"/>
  <c r="AM62" i="15"/>
  <c r="AM68" i="15"/>
  <c r="AM60" i="15"/>
  <c r="DL67" i="19"/>
  <c r="DL99" i="19"/>
  <c r="CZ39" i="21"/>
  <c r="CZ41" i="21"/>
  <c r="H35" i="21"/>
  <c r="EB86" i="15"/>
  <c r="EB9" i="15"/>
  <c r="AO83" i="15"/>
  <c r="AO86" i="15" s="1"/>
  <c r="EJ180" i="19"/>
  <c r="EJ181" i="19"/>
  <c r="EJ182" i="19"/>
  <c r="EJ183" i="19"/>
  <c r="DH34" i="21"/>
  <c r="EX36" i="21"/>
  <c r="EX51" i="19"/>
  <c r="EX173" i="19" s="1"/>
  <c r="ET81" i="29"/>
  <c r="ET85" i="29" s="1"/>
  <c r="CU248" i="19"/>
  <c r="CU249" i="19"/>
  <c r="CU250" i="19"/>
  <c r="AD247" i="19"/>
  <c r="CU251" i="19"/>
  <c r="H247" i="19"/>
  <c r="EI85" i="15"/>
  <c r="EI31" i="15" s="1"/>
  <c r="H67" i="19"/>
  <c r="AD67" i="19"/>
  <c r="EJ33" i="29"/>
  <c r="AO59" i="15"/>
  <c r="CY104" i="15"/>
  <c r="CY22" i="15" s="1"/>
  <c r="CY54" i="19" s="1"/>
  <c r="CY191" i="19" s="1"/>
  <c r="DS35" i="21"/>
  <c r="DS43" i="19"/>
  <c r="J8" i="15"/>
  <c r="AL8" i="15"/>
  <c r="DS41" i="15"/>
  <c r="EI52" i="19"/>
  <c r="EI179" i="19" s="1"/>
  <c r="AT66" i="15"/>
  <c r="EX81" i="29"/>
  <c r="EX85" i="29" s="1"/>
  <c r="EX65" i="15"/>
  <c r="EX83" i="15"/>
  <c r="EX77" i="15"/>
  <c r="CC27" i="29"/>
  <c r="CD23" i="29" s="1"/>
  <c r="CD27" i="29" s="1"/>
  <c r="CE23" i="29" s="1"/>
  <c r="CE27" i="29" s="1"/>
  <c r="CF23" i="29" s="1"/>
  <c r="X23" i="29"/>
  <c r="DP40" i="21"/>
  <c r="AK35" i="21"/>
  <c r="DP34" i="21"/>
  <c r="CW10" i="25"/>
  <c r="CW11" i="25" s="1"/>
  <c r="CU10" i="21"/>
  <c r="CU11" i="21"/>
  <c r="CU12" i="21"/>
  <c r="CU14" i="21"/>
  <c r="AD9" i="21"/>
  <c r="H9" i="21"/>
  <c r="H14" i="21" s="1"/>
  <c r="CU19" i="21"/>
  <c r="AG12" i="1"/>
  <c r="DP60" i="19"/>
  <c r="I60" i="19" s="1"/>
  <c r="AK31" i="15"/>
  <c r="AK73" i="15" s="1"/>
  <c r="AF40" i="21"/>
  <c r="AG175" i="19"/>
  <c r="DB97" i="15"/>
  <c r="DB10" i="15" s="1"/>
  <c r="DB98" i="15"/>
  <c r="DB11" i="15" s="1"/>
  <c r="W37" i="36"/>
  <c r="W38" i="36" s="1"/>
  <c r="V125" i="37"/>
  <c r="V137" i="37" s="1"/>
  <c r="W146" i="36"/>
  <c r="W147" i="36" s="1"/>
  <c r="V117" i="37"/>
  <c r="V116" i="37"/>
  <c r="EX21" i="21"/>
  <c r="EQ21" i="21"/>
  <c r="EY21" i="21"/>
  <c r="ER21" i="21"/>
  <c r="EZ21" i="21"/>
  <c r="L20" i="21"/>
  <c r="ES21" i="21"/>
  <c r="FA21" i="21"/>
  <c r="ET21" i="21"/>
  <c r="FB21" i="21"/>
  <c r="EU21" i="21"/>
  <c r="EV21" i="21"/>
  <c r="EW21" i="21"/>
  <c r="AD105" i="19"/>
  <c r="H105" i="19"/>
  <c r="CU106" i="19"/>
  <c r="CU107" i="19"/>
  <c r="CU108" i="19"/>
  <c r="CU109" i="19"/>
  <c r="EU81" i="29"/>
  <c r="EU85" i="29" s="1"/>
  <c r="EQ62" i="15"/>
  <c r="AL51" i="19"/>
  <c r="J51" i="19"/>
  <c r="DS173" i="19"/>
  <c r="ER67" i="15"/>
  <c r="ER79" i="15"/>
  <c r="ER30" i="15" s="1"/>
  <c r="EY67" i="15"/>
  <c r="EY85" i="15"/>
  <c r="EY31" i="15" s="1"/>
  <c r="EY79" i="15"/>
  <c r="EY30" i="15" s="1"/>
  <c r="CV68" i="19"/>
  <c r="CV105" i="19"/>
  <c r="EO36" i="21"/>
  <c r="H181" i="19"/>
  <c r="AD181" i="19"/>
  <c r="AD157" i="19" s="1"/>
  <c r="CX19" i="21"/>
  <c r="CX10" i="21"/>
  <c r="AE9" i="21"/>
  <c r="CX11" i="21"/>
  <c r="CX12" i="21"/>
  <c r="CX14" i="21"/>
  <c r="DQ67" i="19"/>
  <c r="DQ99" i="19"/>
  <c r="CQ43" i="24"/>
  <c r="CR44" i="24" s="1"/>
  <c r="EL8" i="15"/>
  <c r="EL80" i="15"/>
  <c r="EL74" i="15" s="1"/>
  <c r="W109" i="36"/>
  <c r="W135" i="36"/>
  <c r="EL37" i="21"/>
  <c r="EL59" i="19"/>
  <c r="EL247" i="19" s="1"/>
  <c r="DR67" i="19"/>
  <c r="DR99" i="19"/>
  <c r="AF105" i="19"/>
  <c r="DA108" i="19"/>
  <c r="AF108" i="19" s="1"/>
  <c r="DA106" i="19"/>
  <c r="AF106" i="19" s="1"/>
  <c r="DA107" i="19"/>
  <c r="AF107" i="19" s="1"/>
  <c r="AF83" i="19" s="1"/>
  <c r="DA109" i="19"/>
  <c r="FA36" i="21"/>
  <c r="FA51" i="19"/>
  <c r="FA173" i="19" s="1"/>
  <c r="FA65" i="15"/>
  <c r="FA83" i="15"/>
  <c r="FA77" i="15"/>
  <c r="H174" i="19"/>
  <c r="AD174" i="19"/>
  <c r="DG44" i="19"/>
  <c r="I9" i="15"/>
  <c r="AH9" i="15"/>
  <c r="DG42" i="15"/>
  <c r="DW86" i="15"/>
  <c r="J85" i="15"/>
  <c r="J86" i="15" s="1"/>
  <c r="AF176" i="19"/>
  <c r="DA11" i="21"/>
  <c r="DA12" i="21"/>
  <c r="DA14" i="21"/>
  <c r="DA19" i="21"/>
  <c r="AF9" i="21"/>
  <c r="DA10" i="21"/>
  <c r="CB47" i="15"/>
  <c r="CB48" i="15"/>
  <c r="W34" i="24"/>
  <c r="CA35" i="24"/>
  <c r="EU52" i="19"/>
  <c r="EU179" i="19" s="1"/>
  <c r="EF37" i="21"/>
  <c r="EF59" i="19"/>
  <c r="EF247" i="19" s="1"/>
  <c r="I37" i="21"/>
  <c r="AH37" i="21"/>
  <c r="DM34" i="21"/>
  <c r="AJ35" i="21"/>
  <c r="AI37" i="21"/>
  <c r="CK43" i="24"/>
  <c r="CL44" i="24" s="1"/>
  <c r="AC92" i="1"/>
  <c r="AC89" i="1"/>
  <c r="DC11" i="11"/>
  <c r="DC108" i="1"/>
  <c r="EW20" i="15"/>
  <c r="AV84" i="15"/>
  <c r="DL34" i="21"/>
  <c r="EJ8" i="15"/>
  <c r="EJ80" i="15"/>
  <c r="EJ74" i="15" s="1"/>
  <c r="EN30" i="15"/>
  <c r="AS79" i="15"/>
  <c r="H34" i="21"/>
  <c r="H42" i="21" s="1"/>
  <c r="AD34" i="21"/>
  <c r="CU39" i="21"/>
  <c r="CU41" i="21"/>
  <c r="AC75" i="24"/>
  <c r="CS76" i="24"/>
  <c r="G75" i="24"/>
  <c r="DF53" i="19"/>
  <c r="DF185" i="19" s="1"/>
  <c r="DA17" i="11"/>
  <c r="DA35" i="1" s="1"/>
  <c r="DA29" i="11"/>
  <c r="DA30" i="11" s="1"/>
  <c r="AJ59" i="19"/>
  <c r="DM247" i="19"/>
  <c r="DS106" i="15"/>
  <c r="EA106" i="15"/>
  <c r="DT106" i="15"/>
  <c r="EB106" i="15"/>
  <c r="K106" i="15"/>
  <c r="DU106" i="15"/>
  <c r="EC106" i="15"/>
  <c r="DV106" i="15"/>
  <c r="ED106" i="15"/>
  <c r="DW106" i="15"/>
  <c r="DX106" i="15"/>
  <c r="DY106" i="15"/>
  <c r="DZ106" i="15"/>
  <c r="AB92" i="1"/>
  <c r="AB94" i="1"/>
  <c r="Z19" i="7" s="1"/>
  <c r="AC94" i="1"/>
  <c r="AA19" i="7" s="1"/>
  <c r="AB89" i="1"/>
  <c r="AI71" i="15"/>
  <c r="EW41" i="24"/>
  <c r="AU40" i="24"/>
  <c r="DF106" i="19"/>
  <c r="DF107" i="19"/>
  <c r="DF108" i="19"/>
  <c r="DF109" i="19"/>
  <c r="EX52" i="19"/>
  <c r="EX179" i="19" s="1"/>
  <c r="ET32" i="29"/>
  <c r="AU11" i="29"/>
  <c r="EI37" i="21"/>
  <c r="EI59" i="19"/>
  <c r="EI247" i="19" s="1"/>
  <c r="EI33" i="29"/>
  <c r="AP77" i="15"/>
  <c r="AP80" i="15" s="1"/>
  <c r="AP74" i="15" s="1"/>
  <c r="EE8" i="15"/>
  <c r="EE80" i="15"/>
  <c r="EE74" i="15" s="1"/>
  <c r="K77" i="15"/>
  <c r="K80" i="15" s="1"/>
  <c r="K74" i="15" s="1"/>
  <c r="DH84" i="24"/>
  <c r="DI85" i="24" s="1"/>
  <c r="DJ86" i="24" s="1"/>
  <c r="G52" i="1"/>
  <c r="DY41" i="24"/>
  <c r="AM40" i="24"/>
  <c r="L84" i="15"/>
  <c r="EQ20" i="15"/>
  <c r="AT84" i="15"/>
  <c r="EX32" i="29"/>
  <c r="EY39" i="29" s="1"/>
  <c r="W27" i="29"/>
  <c r="Z28" i="29"/>
  <c r="CZ11" i="11"/>
  <c r="CZ108" i="1"/>
  <c r="AK179" i="19"/>
  <c r="DP181" i="19"/>
  <c r="AK181" i="19" s="1"/>
  <c r="DP182" i="19"/>
  <c r="AK182" i="19" s="1"/>
  <c r="DP183" i="19"/>
  <c r="AK183" i="19" s="1"/>
  <c r="DP180" i="19"/>
  <c r="AK180" i="19" s="1"/>
  <c r="AR79" i="15"/>
  <c r="EK30" i="15"/>
  <c r="CW13" i="25"/>
  <c r="BO63" i="1"/>
  <c r="BO68" i="1" s="1"/>
  <c r="R59" i="2"/>
  <c r="Q30" i="29"/>
  <c r="BH34" i="29"/>
  <c r="BH37" i="29" s="1"/>
  <c r="AD9" i="24"/>
  <c r="CU11" i="24"/>
  <c r="H9" i="24"/>
  <c r="EB35" i="21"/>
  <c r="EB43" i="19"/>
  <c r="AO8" i="15"/>
  <c r="EB41" i="15"/>
  <c r="AF34" i="21"/>
  <c r="DA39" i="21"/>
  <c r="DA41" i="21"/>
  <c r="AD60" i="19"/>
  <c r="H60" i="19"/>
  <c r="CU253" i="19"/>
  <c r="CA58" i="19"/>
  <c r="CA37" i="15"/>
  <c r="CA36" i="15"/>
  <c r="BZ34" i="15"/>
  <c r="CA92" i="15"/>
  <c r="DA97" i="15"/>
  <c r="DA98" i="15" s="1"/>
  <c r="CU68" i="19"/>
  <c r="AW66" i="15"/>
  <c r="EU32" i="29"/>
  <c r="EV39" i="29" s="1"/>
  <c r="DS36" i="21"/>
  <c r="AV55" i="15"/>
  <c r="EW67" i="15"/>
  <c r="EW79" i="15"/>
  <c r="EW85" i="15" s="1"/>
  <c r="AT55" i="15"/>
  <c r="EQ67" i="15"/>
  <c r="L55" i="15"/>
  <c r="L67" i="15" s="1"/>
  <c r="EQ79" i="15"/>
  <c r="EQ85" i="15" s="1"/>
  <c r="U18" i="37"/>
  <c r="U91" i="38"/>
  <c r="U107" i="38"/>
  <c r="U14" i="35"/>
  <c r="U98" i="38"/>
  <c r="U82" i="38"/>
  <c r="U116" i="38"/>
  <c r="CV53" i="19"/>
  <c r="CV185" i="19" s="1"/>
  <c r="AD180" i="19"/>
  <c r="H180" i="19"/>
  <c r="AE9" i="24"/>
  <c r="CX11" i="24"/>
  <c r="DQ35" i="21"/>
  <c r="EL9" i="15"/>
  <c r="EL86" i="15"/>
  <c r="W14" i="36"/>
  <c r="EY81" i="29"/>
  <c r="EY85" i="29" s="1"/>
  <c r="DX35" i="21"/>
  <c r="DX43" i="19"/>
  <c r="DX41" i="15"/>
  <c r="EL60" i="19"/>
  <c r="EL253" i="19" s="1"/>
  <c r="DW112" i="15"/>
  <c r="DX112" i="15"/>
  <c r="DY112" i="15"/>
  <c r="DZ112" i="15"/>
  <c r="DS112" i="15"/>
  <c r="EA112" i="15"/>
  <c r="DT112" i="15"/>
  <c r="EB112" i="15"/>
  <c r="K112" i="15"/>
  <c r="DU112" i="15"/>
  <c r="EC112" i="15"/>
  <c r="DV112" i="15"/>
  <c r="ED112" i="15"/>
  <c r="DD22" i="15"/>
  <c r="AG34" i="21"/>
  <c r="AG40" i="21" s="1"/>
  <c r="DD39" i="21"/>
  <c r="DD41" i="21"/>
  <c r="DE83" i="24"/>
  <c r="DR34" i="21"/>
  <c r="DR40" i="21"/>
  <c r="ED60" i="19"/>
  <c r="ED253" i="19" s="1"/>
  <c r="DA68" i="19"/>
  <c r="AF68" i="19" s="1"/>
  <c r="FA52" i="19"/>
  <c r="FA179" i="19" s="1"/>
  <c r="FA62" i="15"/>
  <c r="Y34" i="24"/>
  <c r="CG35" i="24"/>
  <c r="DW44" i="19"/>
  <c r="DW42" i="15"/>
  <c r="AL85" i="15"/>
  <c r="AL86" i="15" s="1"/>
  <c r="N80" i="26" l="1"/>
  <c r="AW119" i="26"/>
  <c r="AW208" i="26" s="1"/>
  <c r="AX65" i="26"/>
  <c r="AX66" i="26" s="1"/>
  <c r="AR33" i="29"/>
  <c r="K39" i="29"/>
  <c r="S121" i="26"/>
  <c r="S100" i="26"/>
  <c r="ET31" i="15"/>
  <c r="EQ31" i="15"/>
  <c r="V38" i="37"/>
  <c r="EA34" i="21"/>
  <c r="ED34" i="21"/>
  <c r="DA11" i="15"/>
  <c r="AF98" i="15"/>
  <c r="EW31" i="15"/>
  <c r="W39" i="36"/>
  <c r="V42" i="35"/>
  <c r="W42" i="36"/>
  <c r="W41" i="36"/>
  <c r="AR36" i="21"/>
  <c r="ET86" i="15"/>
  <c r="ET9" i="15"/>
  <c r="DZ34" i="21"/>
  <c r="DZ40" i="21"/>
  <c r="DM11" i="24"/>
  <c r="AD39" i="24"/>
  <c r="CV40" i="24"/>
  <c r="CW41" i="24" s="1"/>
  <c r="CX42" i="24" s="1"/>
  <c r="H39" i="24"/>
  <c r="FA180" i="19"/>
  <c r="FA181" i="19"/>
  <c r="FA182" i="19"/>
  <c r="FA183" i="19"/>
  <c r="DQ34" i="21"/>
  <c r="DQ40" i="21" s="1"/>
  <c r="H68" i="19"/>
  <c r="AD68" i="19"/>
  <c r="AF39" i="21"/>
  <c r="AF41" i="21"/>
  <c r="EE35" i="21"/>
  <c r="EE43" i="19"/>
  <c r="AP8" i="15"/>
  <c r="K8" i="15"/>
  <c r="EE41" i="15"/>
  <c r="AJ247" i="19"/>
  <c r="DM248" i="19"/>
  <c r="DM249" i="19"/>
  <c r="DM250" i="19"/>
  <c r="DM251" i="19"/>
  <c r="CM45" i="24"/>
  <c r="EU181" i="19"/>
  <c r="EU182" i="19"/>
  <c r="EU180" i="19"/>
  <c r="EU183" i="19"/>
  <c r="FY7" i="25"/>
  <c r="AF82" i="19"/>
  <c r="AE10" i="21"/>
  <c r="CX15" i="21"/>
  <c r="CX25" i="21"/>
  <c r="CX44" i="21"/>
  <c r="AL173" i="19"/>
  <c r="DS177" i="19"/>
  <c r="J173" i="19"/>
  <c r="DS174" i="19"/>
  <c r="DS176" i="19"/>
  <c r="DS175" i="19"/>
  <c r="DB45" i="19"/>
  <c r="AE156" i="19"/>
  <c r="H250" i="19"/>
  <c r="AD250" i="19"/>
  <c r="DH39" i="21"/>
  <c r="DH41" i="21"/>
  <c r="DH42" i="21"/>
  <c r="DL100" i="19"/>
  <c r="DL101" i="19"/>
  <c r="DL102" i="19"/>
  <c r="DL103" i="19"/>
  <c r="AI247" i="19"/>
  <c r="DJ249" i="19"/>
  <c r="DJ250" i="19"/>
  <c r="DJ251" i="19"/>
  <c r="DJ248" i="19"/>
  <c r="CU72" i="24"/>
  <c r="AC71" i="24"/>
  <c r="G71" i="24"/>
  <c r="AU19" i="29"/>
  <c r="AV19" i="29"/>
  <c r="EU175" i="19"/>
  <c r="EU176" i="19"/>
  <c r="EU177" i="19"/>
  <c r="EU174" i="19"/>
  <c r="DQ108" i="1"/>
  <c r="H102" i="19"/>
  <c r="AD102" i="19"/>
  <c r="AI174" i="19"/>
  <c r="AU56" i="15"/>
  <c r="AU65" i="15"/>
  <c r="AU59" i="15"/>
  <c r="DM9" i="21"/>
  <c r="AE232" i="19"/>
  <c r="AM44" i="19"/>
  <c r="DV68" i="19"/>
  <c r="DV105" i="19"/>
  <c r="EY9" i="15"/>
  <c r="EY86" i="15"/>
  <c r="CI20" i="29"/>
  <c r="CJ16" i="29" s="1"/>
  <c r="CJ20" i="29" s="1"/>
  <c r="CK16" i="29" s="1"/>
  <c r="CK20" i="29" s="1"/>
  <c r="CL16" i="29" s="1"/>
  <c r="Z16" i="29"/>
  <c r="FA37" i="21"/>
  <c r="FA59" i="19"/>
  <c r="FA247" i="19" s="1"/>
  <c r="CW98" i="15"/>
  <c r="CW11" i="15" s="1"/>
  <c r="EO60" i="19"/>
  <c r="EO253" i="19" s="1"/>
  <c r="EX26" i="29"/>
  <c r="EQ26" i="29"/>
  <c r="EQ33" i="29" s="1"/>
  <c r="EY26" i="29"/>
  <c r="EY33" i="29" s="1"/>
  <c r="ER26" i="29"/>
  <c r="EZ26" i="29"/>
  <c r="ES26" i="29"/>
  <c r="FA26" i="29"/>
  <c r="ET26" i="29"/>
  <c r="FB26" i="29"/>
  <c r="EU26" i="29"/>
  <c r="EU33" i="29" s="1"/>
  <c r="EV26" i="29"/>
  <c r="EV33" i="29" s="1"/>
  <c r="EW26" i="29"/>
  <c r="G82" i="11"/>
  <c r="H82" i="11" s="1"/>
  <c r="BZ6" i="25"/>
  <c r="BZ17" i="25" s="1"/>
  <c r="DU9" i="24"/>
  <c r="DU11" i="24" s="1"/>
  <c r="DU9" i="21"/>
  <c r="DU11" i="1"/>
  <c r="S11" i="28"/>
  <c r="AQ74" i="26" s="1"/>
  <c r="AQ81" i="26" s="1"/>
  <c r="AU61" i="15"/>
  <c r="AU67" i="15"/>
  <c r="CL37" i="24"/>
  <c r="Z36" i="24"/>
  <c r="DE109" i="15"/>
  <c r="DE32" i="15" s="1"/>
  <c r="CZ109" i="15"/>
  <c r="CZ32" i="15" s="1"/>
  <c r="CZ110" i="15"/>
  <c r="CZ33" i="15" s="1"/>
  <c r="CZ62" i="19" s="1"/>
  <c r="CZ265" i="19" s="1"/>
  <c r="DV9" i="24"/>
  <c r="DV9" i="21"/>
  <c r="AM41" i="15"/>
  <c r="DV11" i="1"/>
  <c r="AG10" i="21"/>
  <c r="DD15" i="21"/>
  <c r="DD25" i="21"/>
  <c r="DD44" i="21"/>
  <c r="DO42" i="24"/>
  <c r="DP43" i="24" s="1"/>
  <c r="AJ41" i="24"/>
  <c r="AH182" i="19"/>
  <c r="AE150" i="19"/>
  <c r="GF7" i="7"/>
  <c r="DK10" i="21"/>
  <c r="DK11" i="21"/>
  <c r="DK12" i="21"/>
  <c r="DK14" i="21"/>
  <c r="DK19" i="21"/>
  <c r="CY55" i="21"/>
  <c r="AE106" i="19"/>
  <c r="AE82" i="19" s="1"/>
  <c r="CV98" i="15"/>
  <c r="CV11" i="15" s="1"/>
  <c r="DZ67" i="19"/>
  <c r="DZ99" i="19"/>
  <c r="AG41" i="24"/>
  <c r="DE42" i="24"/>
  <c r="DQ89" i="24"/>
  <c r="DR90" i="24" s="1"/>
  <c r="DS91" i="24" s="1"/>
  <c r="AJ44" i="19"/>
  <c r="DM68" i="19"/>
  <c r="DM105" i="19"/>
  <c r="AR62" i="15"/>
  <c r="AR68" i="15"/>
  <c r="AR60" i="15"/>
  <c r="EM9" i="15"/>
  <c r="EM86" i="15"/>
  <c r="CU53" i="19"/>
  <c r="AD21" i="15"/>
  <c r="H21" i="15"/>
  <c r="DW67" i="19"/>
  <c r="DW99" i="19"/>
  <c r="CX67" i="24"/>
  <c r="DU68" i="19"/>
  <c r="DU105" i="19"/>
  <c r="DL108" i="19"/>
  <c r="DL107" i="19"/>
  <c r="DL109" i="19"/>
  <c r="DL106" i="19"/>
  <c r="DD45" i="21"/>
  <c r="DI102" i="19"/>
  <c r="DI103" i="19"/>
  <c r="DI101" i="19"/>
  <c r="DI100" i="19"/>
  <c r="EU85" i="15"/>
  <c r="EU31" i="15" s="1"/>
  <c r="DI41" i="24"/>
  <c r="DJ42" i="24" s="1"/>
  <c r="I40" i="24"/>
  <c r="AH40" i="24"/>
  <c r="DG254" i="19"/>
  <c r="DG255" i="19"/>
  <c r="AH253" i="19"/>
  <c r="DG256" i="19"/>
  <c r="DG257" i="19"/>
  <c r="AK174" i="19"/>
  <c r="AI99" i="19"/>
  <c r="DJ101" i="19"/>
  <c r="DJ102" i="19"/>
  <c r="DJ103" i="19"/>
  <c r="DJ100" i="19"/>
  <c r="AG158" i="19"/>
  <c r="V73" i="37"/>
  <c r="W65" i="37"/>
  <c r="V75" i="37"/>
  <c r="I177" i="19"/>
  <c r="AH177" i="19"/>
  <c r="G30" i="8"/>
  <c r="AO60" i="19"/>
  <c r="EB253" i="19"/>
  <c r="CW17" i="21"/>
  <c r="CW27" i="21"/>
  <c r="CW54" i="21"/>
  <c r="CW55" i="21" s="1"/>
  <c r="EO43" i="19"/>
  <c r="EO41" i="15"/>
  <c r="AF101" i="19"/>
  <c r="EV37" i="21"/>
  <c r="EV59" i="19"/>
  <c r="EV247" i="19" s="1"/>
  <c r="ES175" i="19"/>
  <c r="ES177" i="19"/>
  <c r="ES176" i="19"/>
  <c r="ES174" i="19"/>
  <c r="AG152" i="19"/>
  <c r="GH9" i="7"/>
  <c r="BJ13" i="29"/>
  <c r="BK9" i="29" s="1"/>
  <c r="BJ30" i="29"/>
  <c r="BJ34" i="29" s="1"/>
  <c r="BJ37" i="29" s="1"/>
  <c r="BJ38" i="29" s="1"/>
  <c r="G109" i="11"/>
  <c r="G137" i="11"/>
  <c r="G47" i="11"/>
  <c r="AR80" i="15"/>
  <c r="AR74" i="15" s="1"/>
  <c r="AP36" i="21"/>
  <c r="K36" i="21"/>
  <c r="AC109" i="11"/>
  <c r="AC137" i="11"/>
  <c r="ET23" i="7" s="1"/>
  <c r="AC47" i="11"/>
  <c r="AI44" i="19"/>
  <c r="DJ68" i="19"/>
  <c r="AI68" i="19" s="1"/>
  <c r="DJ105" i="19"/>
  <c r="EE60" i="19"/>
  <c r="AP31" i="15"/>
  <c r="K31" i="15"/>
  <c r="CU54" i="19"/>
  <c r="AD22" i="15"/>
  <c r="H22" i="15"/>
  <c r="EW52" i="19"/>
  <c r="AV20" i="15"/>
  <c r="AF14" i="21"/>
  <c r="AF19" i="21"/>
  <c r="EF44" i="19"/>
  <c r="EF42" i="15"/>
  <c r="EM254" i="19"/>
  <c r="EM255" i="19"/>
  <c r="EM256" i="19"/>
  <c r="EM257" i="19"/>
  <c r="AJ175" i="19"/>
  <c r="CW45" i="19"/>
  <c r="AH34" i="21"/>
  <c r="DG39" i="21"/>
  <c r="DG41" i="21"/>
  <c r="AH183" i="19"/>
  <c r="DK11" i="11"/>
  <c r="DK108" i="1"/>
  <c r="DZ11" i="1"/>
  <c r="AF250" i="19"/>
  <c r="ED44" i="19"/>
  <c r="ED42" i="15"/>
  <c r="DF15" i="21"/>
  <c r="DF25" i="21"/>
  <c r="DF44" i="21"/>
  <c r="DF45" i="21" s="1"/>
  <c r="DW9" i="24"/>
  <c r="DW11" i="24" s="1"/>
  <c r="DW9" i="21"/>
  <c r="DW11" i="1"/>
  <c r="AO48" i="24"/>
  <c r="EC49" i="24"/>
  <c r="ED50" i="24" s="1"/>
  <c r="EE51" i="24" s="1"/>
  <c r="AE152" i="19"/>
  <c r="GF9" i="7"/>
  <c r="EU37" i="21"/>
  <c r="EU59" i="19"/>
  <c r="EU247" i="19" s="1"/>
  <c r="AC82" i="11"/>
  <c r="BZ6" i="7"/>
  <c r="BZ17" i="7" s="1"/>
  <c r="AK175" i="19"/>
  <c r="CX22" i="15"/>
  <c r="AE104" i="15"/>
  <c r="DT44" i="19"/>
  <c r="DT42" i="15"/>
  <c r="DI106" i="19"/>
  <c r="DI107" i="19"/>
  <c r="DI108" i="19"/>
  <c r="DI109" i="19"/>
  <c r="V115" i="37"/>
  <c r="V110" i="37"/>
  <c r="V111" i="37" s="1"/>
  <c r="AR51" i="19"/>
  <c r="EK173" i="19"/>
  <c r="EH60" i="19"/>
  <c r="AQ31" i="15"/>
  <c r="CZ45" i="19"/>
  <c r="CZ43" i="15"/>
  <c r="AP51" i="19"/>
  <c r="K51" i="19"/>
  <c r="EE173" i="19"/>
  <c r="EN60" i="19"/>
  <c r="AS31" i="15"/>
  <c r="DW68" i="19"/>
  <c r="DW105" i="19"/>
  <c r="DX40" i="21"/>
  <c r="DX34" i="21"/>
  <c r="H11" i="24"/>
  <c r="H13" i="24" s="1"/>
  <c r="AD11" i="24"/>
  <c r="AD10" i="24" s="1"/>
  <c r="CU13" i="24"/>
  <c r="CU63" i="24"/>
  <c r="CV203" i="19"/>
  <c r="EB9" i="24"/>
  <c r="AO41" i="15"/>
  <c r="EB11" i="1"/>
  <c r="DZ42" i="24"/>
  <c r="AN41" i="24"/>
  <c r="AU32" i="29"/>
  <c r="Z10" i="28" s="1"/>
  <c r="AX73" i="26" s="1"/>
  <c r="AX80" i="26" s="1"/>
  <c r="EU39" i="29"/>
  <c r="AU39" i="29" s="1"/>
  <c r="AB93" i="1"/>
  <c r="Z18" i="7" s="1"/>
  <c r="Z17" i="7"/>
  <c r="AD39" i="21"/>
  <c r="AD41" i="21"/>
  <c r="EF251" i="19"/>
  <c r="EF248" i="19"/>
  <c r="EF250" i="19"/>
  <c r="EF249" i="19"/>
  <c r="FA8" i="15"/>
  <c r="FA80" i="15"/>
  <c r="FA74" i="15" s="1"/>
  <c r="AF84" i="19"/>
  <c r="CS45" i="24"/>
  <c r="EY37" i="21"/>
  <c r="EY59" i="19"/>
  <c r="EY247" i="19" s="1"/>
  <c r="AD14" i="21"/>
  <c r="AD19" i="21"/>
  <c r="DP39" i="21"/>
  <c r="AK34" i="21"/>
  <c r="DP41" i="21"/>
  <c r="H249" i="19"/>
  <c r="AD249" i="19"/>
  <c r="DH40" i="21"/>
  <c r="AF150" i="19"/>
  <c r="GG7" i="7"/>
  <c r="AT12" i="29"/>
  <c r="DQ11" i="21"/>
  <c r="DQ12" i="21"/>
  <c r="DQ14" i="21"/>
  <c r="DQ19" i="21"/>
  <c r="DQ10" i="21"/>
  <c r="ES37" i="21"/>
  <c r="ES59" i="19"/>
  <c r="ES247" i="19" s="1"/>
  <c r="EQ8" i="15"/>
  <c r="L77" i="15"/>
  <c r="AT77" i="15"/>
  <c r="EQ80" i="15"/>
  <c r="EQ74" i="15" s="1"/>
  <c r="EZ52" i="19"/>
  <c r="AW20" i="15"/>
  <c r="EO250" i="19"/>
  <c r="EO251" i="19"/>
  <c r="EO249" i="19"/>
  <c r="EO248" i="19"/>
  <c r="H101" i="19"/>
  <c r="AD101" i="19"/>
  <c r="AQ51" i="19"/>
  <c r="EH173" i="19"/>
  <c r="AN43" i="19"/>
  <c r="DY67" i="19"/>
  <c r="DY99" i="19"/>
  <c r="DR106" i="19"/>
  <c r="DR107" i="19"/>
  <c r="DR108" i="19"/>
  <c r="DR109" i="19"/>
  <c r="AE231" i="19"/>
  <c r="CU7" i="7"/>
  <c r="CU8" i="7"/>
  <c r="EY177" i="19"/>
  <c r="EY174" i="19"/>
  <c r="EY175" i="19"/>
  <c r="EY176" i="19"/>
  <c r="Y20" i="29"/>
  <c r="AB21" i="29"/>
  <c r="AE108" i="1"/>
  <c r="DI13" i="25"/>
  <c r="AD97" i="15"/>
  <c r="CU10" i="15"/>
  <c r="H97" i="15"/>
  <c r="AE157" i="19"/>
  <c r="AS33" i="29"/>
  <c r="EO41" i="24"/>
  <c r="AS40" i="24"/>
  <c r="DU99" i="19"/>
  <c r="DU67" i="19"/>
  <c r="DE45" i="19"/>
  <c r="DE43" i="15"/>
  <c r="AS68" i="15"/>
  <c r="AS62" i="15"/>
  <c r="AS60" i="15"/>
  <c r="AE102" i="19"/>
  <c r="CW109" i="15"/>
  <c r="CW32" i="15" s="1"/>
  <c r="CW43" i="15" s="1"/>
  <c r="CW110" i="15"/>
  <c r="CW33" i="15" s="1"/>
  <c r="CW62" i="19" s="1"/>
  <c r="CW265" i="19" s="1"/>
  <c r="AM71" i="15"/>
  <c r="AG156" i="19"/>
  <c r="EW8" i="15"/>
  <c r="AV77" i="15"/>
  <c r="AV80" i="15" s="1"/>
  <c r="AV74" i="15" s="1"/>
  <c r="EW80" i="15"/>
  <c r="EW74" i="15" s="1"/>
  <c r="AG251" i="19"/>
  <c r="CV39" i="21"/>
  <c r="CV41" i="21"/>
  <c r="CV42" i="21"/>
  <c r="AG103" i="19"/>
  <c r="AH40" i="21"/>
  <c r="EP249" i="19"/>
  <c r="EP250" i="19"/>
  <c r="EP251" i="19"/>
  <c r="EP248" i="19"/>
  <c r="DK13" i="24"/>
  <c r="DK63" i="24"/>
  <c r="DK66" i="24" s="1"/>
  <c r="CX47" i="21"/>
  <c r="FB37" i="21"/>
  <c r="FB59" i="19"/>
  <c r="FB247" i="19" s="1"/>
  <c r="CW107" i="19"/>
  <c r="CW109" i="19"/>
  <c r="CW106" i="19"/>
  <c r="CW108" i="19"/>
  <c r="EG60" i="19"/>
  <c r="EG253" i="19" s="1"/>
  <c r="AO41" i="24"/>
  <c r="EC42" i="24"/>
  <c r="DW34" i="21"/>
  <c r="DL41" i="24"/>
  <c r="AI40" i="24"/>
  <c r="CY98" i="15"/>
  <c r="CY11" i="15" s="1"/>
  <c r="AI67" i="19"/>
  <c r="AD42" i="21"/>
  <c r="DY17" i="11"/>
  <c r="DY35" i="1" s="1"/>
  <c r="DY29" i="11"/>
  <c r="DY30" i="11" s="1"/>
  <c r="Q11" i="28"/>
  <c r="AO74" i="26" s="1"/>
  <c r="AO81" i="26" s="1"/>
  <c r="G31" i="8"/>
  <c r="DA13" i="24"/>
  <c r="AF11" i="24"/>
  <c r="AF10" i="24" s="1"/>
  <c r="DA63" i="24"/>
  <c r="CW16" i="21"/>
  <c r="CW26" i="21"/>
  <c r="CW49" i="21"/>
  <c r="CW50" i="21" s="1"/>
  <c r="BL106" i="1"/>
  <c r="BK113" i="1"/>
  <c r="EZ8" i="15"/>
  <c r="EZ80" i="15"/>
  <c r="EZ74" i="15" s="1"/>
  <c r="AW77" i="15"/>
  <c r="AE251" i="19"/>
  <c r="ET36" i="21"/>
  <c r="ET51" i="19"/>
  <c r="AU19" i="15"/>
  <c r="AF100" i="19"/>
  <c r="DI11" i="11"/>
  <c r="DI108" i="1"/>
  <c r="EV60" i="19"/>
  <c r="EV253" i="19" s="1"/>
  <c r="CZ17" i="21"/>
  <c r="CZ27" i="21"/>
  <c r="CZ54" i="21"/>
  <c r="V118" i="37"/>
  <c r="V30" i="37"/>
  <c r="EM35" i="21"/>
  <c r="EM43" i="19"/>
  <c r="EM41" i="15"/>
  <c r="AE105" i="15"/>
  <c r="AE106" i="15" s="1"/>
  <c r="DV174" i="19"/>
  <c r="DV176" i="19"/>
  <c r="DV177" i="19"/>
  <c r="DV175" i="19"/>
  <c r="AM173" i="19"/>
  <c r="AL73" i="15"/>
  <c r="K85" i="15"/>
  <c r="AV79" i="15"/>
  <c r="EW30" i="15"/>
  <c r="EK37" i="21"/>
  <c r="EK59" i="19"/>
  <c r="AR30" i="15"/>
  <c r="AR73" i="15" s="1"/>
  <c r="AH42" i="21"/>
  <c r="EL35" i="21"/>
  <c r="EL43" i="19"/>
  <c r="EL41" i="15"/>
  <c r="AG153" i="19"/>
  <c r="GH10" i="7"/>
  <c r="G6" i="8"/>
  <c r="AE103" i="19"/>
  <c r="ET52" i="19"/>
  <c r="AU20" i="15"/>
  <c r="CV45" i="19"/>
  <c r="ED67" i="19"/>
  <c r="ED99" i="19"/>
  <c r="DW254" i="19"/>
  <c r="DW255" i="19"/>
  <c r="DW256" i="19"/>
  <c r="DW257" i="19"/>
  <c r="DK106" i="19"/>
  <c r="DK108" i="19"/>
  <c r="DK109" i="19"/>
  <c r="DK107" i="19"/>
  <c r="DV180" i="19"/>
  <c r="AM180" i="19" s="1"/>
  <c r="DV182" i="19"/>
  <c r="AM182" i="19" s="1"/>
  <c r="AM179" i="19"/>
  <c r="DV183" i="19"/>
  <c r="AM183" i="19" s="1"/>
  <c r="DV181" i="19"/>
  <c r="AM181" i="19" s="1"/>
  <c r="EA44" i="19"/>
  <c r="EA42" i="15"/>
  <c r="EM248" i="19"/>
  <c r="EM249" i="19"/>
  <c r="EM251" i="19"/>
  <c r="EM250" i="19"/>
  <c r="EX33" i="29"/>
  <c r="AO59" i="19"/>
  <c r="EB247" i="19"/>
  <c r="EY180" i="19"/>
  <c r="EY183" i="19"/>
  <c r="EY181" i="19"/>
  <c r="EY182" i="19"/>
  <c r="DQ13" i="24"/>
  <c r="DQ63" i="24"/>
  <c r="DQ66" i="24" s="1"/>
  <c r="BZ55" i="19"/>
  <c r="BZ18" i="15"/>
  <c r="AD100" i="19"/>
  <c r="H100" i="19"/>
  <c r="AQ36" i="21"/>
  <c r="DY34" i="21"/>
  <c r="AN35" i="21"/>
  <c r="DY40" i="21"/>
  <c r="AQ40" i="24"/>
  <c r="EI41" i="24"/>
  <c r="EG44" i="19"/>
  <c r="EG42" i="15"/>
  <c r="FY8" i="25"/>
  <c r="DN12" i="1"/>
  <c r="AJ176" i="19"/>
  <c r="AE11" i="11"/>
  <c r="AC6" i="7"/>
  <c r="AC10" i="7" s="1"/>
  <c r="AE112" i="1"/>
  <c r="AC7" i="7"/>
  <c r="CB8" i="7"/>
  <c r="AE20" i="1"/>
  <c r="FA60" i="19"/>
  <c r="FA253" i="19" s="1"/>
  <c r="EZ36" i="21"/>
  <c r="EZ51" i="19"/>
  <c r="AW19" i="15"/>
  <c r="AW72" i="15" s="1"/>
  <c r="CU11" i="15"/>
  <c r="AD98" i="15"/>
  <c r="AG107" i="19"/>
  <c r="AG83" i="19" s="1"/>
  <c r="AA17" i="25"/>
  <c r="G93" i="1"/>
  <c r="AA18" i="25" s="1"/>
  <c r="AI179" i="19"/>
  <c r="DJ181" i="19"/>
  <c r="AI181" i="19" s="1"/>
  <c r="DJ180" i="19"/>
  <c r="AI180" i="19" s="1"/>
  <c r="DJ182" i="19"/>
  <c r="AI182" i="19" s="1"/>
  <c r="DJ183" i="19"/>
  <c r="AI183" i="19" s="1"/>
  <c r="EV8" i="15"/>
  <c r="EV80" i="15"/>
  <c r="EV74" i="15" s="1"/>
  <c r="DU40" i="21"/>
  <c r="DU34" i="21"/>
  <c r="EJ256" i="19"/>
  <c r="EJ257" i="19"/>
  <c r="EJ254" i="19"/>
  <c r="EJ255" i="19"/>
  <c r="AK42" i="15"/>
  <c r="DP12" i="1"/>
  <c r="DE46" i="19"/>
  <c r="EW33" i="11"/>
  <c r="EV33" i="11"/>
  <c r="AE158" i="19"/>
  <c r="AE101" i="19"/>
  <c r="DD109" i="15"/>
  <c r="DD110" i="15"/>
  <c r="K33" i="29"/>
  <c r="AP33" i="29"/>
  <c r="AM43" i="19"/>
  <c r="DV67" i="19"/>
  <c r="AM67" i="19" s="1"/>
  <c r="DV99" i="19"/>
  <c r="DN100" i="19"/>
  <c r="DN101" i="19"/>
  <c r="DN102" i="19"/>
  <c r="DN103" i="19"/>
  <c r="AL52" i="19"/>
  <c r="J52" i="19"/>
  <c r="DS179" i="19"/>
  <c r="DC57" i="21"/>
  <c r="AG250" i="19"/>
  <c r="CV50" i="21"/>
  <c r="AG102" i="19"/>
  <c r="I35" i="21"/>
  <c r="I179" i="19"/>
  <c r="ES8" i="15"/>
  <c r="ES80" i="15"/>
  <c r="ES74" i="15" s="1"/>
  <c r="DA22" i="15"/>
  <c r="AF104" i="15"/>
  <c r="FB60" i="19"/>
  <c r="FB253" i="19" s="1"/>
  <c r="CU17" i="11"/>
  <c r="CU35" i="1" s="1"/>
  <c r="AD28" i="11"/>
  <c r="CU29" i="11"/>
  <c r="CU30" i="11" s="1"/>
  <c r="AF248" i="19"/>
  <c r="FI13" i="7" s="1"/>
  <c r="DZ105" i="24"/>
  <c r="EA106" i="24" s="1"/>
  <c r="EB107" i="24" s="1"/>
  <c r="DW105" i="24"/>
  <c r="DX106" i="24" s="1"/>
  <c r="DY107" i="24" s="1"/>
  <c r="CV17" i="21"/>
  <c r="CV27" i="21"/>
  <c r="CV54" i="21"/>
  <c r="CV55" i="21" s="1"/>
  <c r="AR42" i="24"/>
  <c r="EL43" i="24"/>
  <c r="EM44" i="24" s="1"/>
  <c r="EN45" i="24" s="1"/>
  <c r="AN173" i="19"/>
  <c r="DY174" i="19"/>
  <c r="DY175" i="19"/>
  <c r="DY176" i="19"/>
  <c r="DY177" i="19"/>
  <c r="DE17" i="21"/>
  <c r="DE27" i="21"/>
  <c r="DE54" i="21"/>
  <c r="DE57" i="21" s="1"/>
  <c r="I11" i="1"/>
  <c r="AH11" i="1"/>
  <c r="DG108" i="1"/>
  <c r="DP251" i="19"/>
  <c r="AK247" i="19"/>
  <c r="DP248" i="19"/>
  <c r="DP250" i="19"/>
  <c r="DP249" i="19"/>
  <c r="DX12" i="1"/>
  <c r="CY45" i="19"/>
  <c r="CY43" i="15"/>
  <c r="DD67" i="24"/>
  <c r="E11" i="28"/>
  <c r="M74" i="26" s="1"/>
  <c r="M81" i="26" s="1"/>
  <c r="G29" i="8"/>
  <c r="EA254" i="19"/>
  <c r="EA255" i="19"/>
  <c r="EA256" i="19"/>
  <c r="EA257" i="19"/>
  <c r="CW15" i="21"/>
  <c r="CW25" i="21"/>
  <c r="CW24" i="21" s="1"/>
  <c r="CW29" i="21" s="1"/>
  <c r="CW44" i="21"/>
  <c r="CW45" i="21" s="1"/>
  <c r="E110" i="1"/>
  <c r="E113" i="1" s="1"/>
  <c r="E99" i="1"/>
  <c r="AI12" i="25" s="1"/>
  <c r="EZ9" i="15"/>
  <c r="AE153" i="19"/>
  <c r="GF10" i="7"/>
  <c r="W136" i="36"/>
  <c r="AF103" i="19"/>
  <c r="DI11" i="21"/>
  <c r="DI12" i="21"/>
  <c r="DI14" i="21"/>
  <c r="DI19" i="21"/>
  <c r="DI10" i="21"/>
  <c r="AS80" i="15"/>
  <c r="AS74" i="15" s="1"/>
  <c r="EK43" i="19"/>
  <c r="EK41" i="15"/>
  <c r="AR8" i="15"/>
  <c r="AG159" i="19"/>
  <c r="DC17" i="21"/>
  <c r="DC27" i="21"/>
  <c r="DC54" i="21"/>
  <c r="DC55" i="21" s="1"/>
  <c r="CX53" i="19"/>
  <c r="AE21" i="15"/>
  <c r="DS13" i="25"/>
  <c r="DS10" i="25"/>
  <c r="DS11" i="25" s="1"/>
  <c r="CW32" i="11"/>
  <c r="CW28" i="11"/>
  <c r="CX33" i="11"/>
  <c r="DW12" i="1"/>
  <c r="DF84" i="24"/>
  <c r="DG85" i="24" s="1"/>
  <c r="AE14" i="21"/>
  <c r="AE19" i="21"/>
  <c r="CF37" i="24"/>
  <c r="X36" i="24"/>
  <c r="ER33" i="29"/>
  <c r="R11" i="28"/>
  <c r="AP74" i="26" s="1"/>
  <c r="AP81" i="26" s="1"/>
  <c r="W11" i="28"/>
  <c r="AU74" i="26" s="1"/>
  <c r="AU81" i="26" s="1"/>
  <c r="EA67" i="19"/>
  <c r="EA99" i="19"/>
  <c r="EW36" i="21"/>
  <c r="EW51" i="19"/>
  <c r="AV19" i="15"/>
  <c r="AV72" i="15" s="1"/>
  <c r="DT34" i="21"/>
  <c r="DT40" i="21" s="1"/>
  <c r="L40" i="24"/>
  <c r="ER41" i="24"/>
  <c r="AT40" i="24"/>
  <c r="CZ56" i="1"/>
  <c r="CZ40" i="1"/>
  <c r="AV32" i="29"/>
  <c r="AA10" i="28" s="1"/>
  <c r="AY73" i="26" s="1"/>
  <c r="AY80" i="26" s="1"/>
  <c r="EX39" i="29"/>
  <c r="AV39" i="29" s="1"/>
  <c r="G4" i="8"/>
  <c r="AL6" i="25"/>
  <c r="DK100" i="19"/>
  <c r="DK101" i="19"/>
  <c r="DK102" i="19"/>
  <c r="DK103" i="19"/>
  <c r="CX109" i="15"/>
  <c r="CX110" i="15"/>
  <c r="AG11" i="21"/>
  <c r="DD16" i="21"/>
  <c r="DD26" i="21"/>
  <c r="DD49" i="21"/>
  <c r="DD50" i="21" s="1"/>
  <c r="AG50" i="21" s="1"/>
  <c r="AD253" i="19"/>
  <c r="H253" i="19"/>
  <c r="CU254" i="19"/>
  <c r="CU255" i="19"/>
  <c r="CU256" i="19"/>
  <c r="CU257" i="19"/>
  <c r="AO43" i="19"/>
  <c r="EB67" i="19"/>
  <c r="EB99" i="19"/>
  <c r="Q34" i="29"/>
  <c r="T35" i="29"/>
  <c r="EX182" i="19"/>
  <c r="EX180" i="19"/>
  <c r="EX183" i="19"/>
  <c r="EX181" i="19"/>
  <c r="EI106" i="15"/>
  <c r="EJ106" i="15"/>
  <c r="EK106" i="15"/>
  <c r="L106" i="15"/>
  <c r="EL106" i="15"/>
  <c r="EE106" i="15"/>
  <c r="EM106" i="15"/>
  <c r="EF106" i="15"/>
  <c r="EN106" i="15"/>
  <c r="EG106" i="15"/>
  <c r="EO106" i="15"/>
  <c r="EH106" i="15"/>
  <c r="EP106" i="15"/>
  <c r="DF203" i="19"/>
  <c r="AF11" i="21"/>
  <c r="DA16" i="21"/>
  <c r="DA26" i="21"/>
  <c r="DA49" i="21"/>
  <c r="DA52" i="21" s="1"/>
  <c r="AG151" i="19"/>
  <c r="GH8" i="7"/>
  <c r="H12" i="21"/>
  <c r="H17" i="21" s="1"/>
  <c r="CU17" i="21"/>
  <c r="CU27" i="21"/>
  <c r="AD12" i="21"/>
  <c r="CU54" i="21"/>
  <c r="CU56" i="21" s="1"/>
  <c r="DS34" i="21"/>
  <c r="J35" i="21"/>
  <c r="AL35" i="21"/>
  <c r="DS40" i="21"/>
  <c r="EI60" i="19"/>
  <c r="EI253" i="19" s="1"/>
  <c r="EB44" i="19"/>
  <c r="AO9" i="15"/>
  <c r="EB42" i="15"/>
  <c r="AP52" i="19"/>
  <c r="EE179" i="19"/>
  <c r="AW19" i="29"/>
  <c r="EU80" i="15"/>
  <c r="EU74" i="15" s="1"/>
  <c r="EU8" i="15"/>
  <c r="AU12" i="29"/>
  <c r="ET33" i="29"/>
  <c r="AV12" i="29"/>
  <c r="EW33" i="29"/>
  <c r="AO37" i="21"/>
  <c r="AE151" i="19"/>
  <c r="GF8" i="7"/>
  <c r="ES60" i="19"/>
  <c r="ES253" i="19" s="1"/>
  <c r="AT65" i="15"/>
  <c r="AT56" i="15"/>
  <c r="DP103" i="19"/>
  <c r="AK99" i="19"/>
  <c r="DP100" i="19"/>
  <c r="DP101" i="19"/>
  <c r="DP102" i="19"/>
  <c r="DH103" i="19"/>
  <c r="DH102" i="19"/>
  <c r="DH101" i="19"/>
  <c r="DH100" i="19"/>
  <c r="AL6" i="7"/>
  <c r="DL11" i="11"/>
  <c r="DL108" i="1"/>
  <c r="AE230" i="19"/>
  <c r="J9" i="15"/>
  <c r="AN52" i="19"/>
  <c r="DY179" i="19"/>
  <c r="AF158" i="19"/>
  <c r="AS51" i="19"/>
  <c r="EN173" i="19"/>
  <c r="AD151" i="19"/>
  <c r="GE8" i="7"/>
  <c r="DN68" i="19"/>
  <c r="DN105" i="19"/>
  <c r="DK39" i="21"/>
  <c r="DK41" i="21"/>
  <c r="DK42" i="21"/>
  <c r="CP58" i="19"/>
  <c r="CP34" i="15"/>
  <c r="CP36" i="15"/>
  <c r="CP92" i="15"/>
  <c r="CP37" i="15"/>
  <c r="AJ174" i="19"/>
  <c r="EZ30" i="15"/>
  <c r="AW79" i="15"/>
  <c r="AN59" i="19"/>
  <c r="DY247" i="19"/>
  <c r="AG106" i="19"/>
  <c r="AG82" i="19" s="1"/>
  <c r="EQ36" i="21"/>
  <c r="EQ51" i="19"/>
  <c r="L19" i="15"/>
  <c r="AT19" i="15"/>
  <c r="AM59" i="19"/>
  <c r="DV247" i="19"/>
  <c r="EC255" i="19"/>
  <c r="EC256" i="19"/>
  <c r="EC257" i="19"/>
  <c r="EC254" i="19"/>
  <c r="DN39" i="21"/>
  <c r="DN42" i="21"/>
  <c r="DN41" i="21"/>
  <c r="EV83" i="15"/>
  <c r="EU49" i="24"/>
  <c r="DD10" i="15"/>
  <c r="AG97" i="15"/>
  <c r="Z110" i="1"/>
  <c r="AC99" i="1"/>
  <c r="AK12" i="7" s="1"/>
  <c r="DP11" i="11"/>
  <c r="AK11" i="1"/>
  <c r="DP108" i="1"/>
  <c r="CV109" i="15"/>
  <c r="CV32" i="15" s="1"/>
  <c r="CV43" i="15" s="1"/>
  <c r="CV110" i="15"/>
  <c r="CV33" i="15" s="1"/>
  <c r="CV62" i="19" s="1"/>
  <c r="CV265" i="19" s="1"/>
  <c r="AM35" i="21"/>
  <c r="DV34" i="21"/>
  <c r="CO37" i="24"/>
  <c r="AA36" i="24"/>
  <c r="F19" i="30"/>
  <c r="EW9" i="15"/>
  <c r="EW86" i="15"/>
  <c r="AV83" i="15"/>
  <c r="AF42" i="21"/>
  <c r="E6" i="7"/>
  <c r="E29" i="7" s="1"/>
  <c r="AB90" i="1"/>
  <c r="DE203" i="19"/>
  <c r="DC51" i="21"/>
  <c r="DC56" i="21"/>
  <c r="CY27" i="21"/>
  <c r="CY17" i="21"/>
  <c r="CY54" i="21"/>
  <c r="CY57" i="21" s="1"/>
  <c r="AG249" i="19"/>
  <c r="AG101" i="19"/>
  <c r="EM180" i="19"/>
  <c r="EM182" i="19"/>
  <c r="EM183" i="19"/>
  <c r="EM181" i="19"/>
  <c r="I180" i="19"/>
  <c r="AH180" i="19"/>
  <c r="ES83" i="15"/>
  <c r="CX72" i="24"/>
  <c r="AD71" i="24"/>
  <c r="CV16" i="21"/>
  <c r="CV26" i="21"/>
  <c r="CV49" i="21"/>
  <c r="DN11" i="11"/>
  <c r="DN108" i="1"/>
  <c r="EV181" i="19"/>
  <c r="EV182" i="19"/>
  <c r="EV180" i="19"/>
  <c r="EV183" i="19"/>
  <c r="AQ62" i="15"/>
  <c r="AQ68" i="15"/>
  <c r="AQ60" i="15"/>
  <c r="AO52" i="19"/>
  <c r="EB179" i="19"/>
  <c r="DE16" i="21"/>
  <c r="DE26" i="21"/>
  <c r="DE49" i="21"/>
  <c r="DE52" i="21" s="1"/>
  <c r="AQ74" i="15"/>
  <c r="AN60" i="19"/>
  <c r="DY253" i="19"/>
  <c r="CY52" i="21"/>
  <c r="ES52" i="19"/>
  <c r="ES179" i="19" s="1"/>
  <c r="DF45" i="19"/>
  <c r="CZ203" i="19"/>
  <c r="DA67" i="24"/>
  <c r="EK9" i="15"/>
  <c r="EK86" i="15"/>
  <c r="AR83" i="15"/>
  <c r="AR86" i="15" s="1"/>
  <c r="DB17" i="21"/>
  <c r="DB27" i="21"/>
  <c r="DB54" i="21"/>
  <c r="DB55" i="21" s="1"/>
  <c r="EC9" i="24"/>
  <c r="EC11" i="24" s="1"/>
  <c r="EC9" i="21"/>
  <c r="EC11" i="1"/>
  <c r="I176" i="19"/>
  <c r="AH176" i="19"/>
  <c r="F49" i="8"/>
  <c r="F57" i="8" s="1"/>
  <c r="G27" i="8"/>
  <c r="AN72" i="15"/>
  <c r="AW56" i="15"/>
  <c r="AW65" i="15"/>
  <c r="AE250" i="19"/>
  <c r="AF102" i="19"/>
  <c r="DI13" i="24"/>
  <c r="DI63" i="24"/>
  <c r="DI66" i="24" s="1"/>
  <c r="EO180" i="19"/>
  <c r="EO183" i="19"/>
  <c r="EO182" i="19"/>
  <c r="EO181" i="19"/>
  <c r="AB137" i="11"/>
  <c r="ES23" i="7" s="1"/>
  <c r="AB109" i="11"/>
  <c r="AB47" i="11"/>
  <c r="CW40" i="24"/>
  <c r="CX41" i="24" s="1"/>
  <c r="AI11" i="1"/>
  <c r="DJ108" i="1"/>
  <c r="DC16" i="21"/>
  <c r="DC26" i="21"/>
  <c r="DC49" i="21"/>
  <c r="DC50" i="21" s="1"/>
  <c r="DI42" i="21"/>
  <c r="FB8" i="15"/>
  <c r="FB80" i="15"/>
  <c r="FB74" i="15" s="1"/>
  <c r="CA42" i="19"/>
  <c r="CA66" i="19" s="1"/>
  <c r="BZ12" i="15"/>
  <c r="CA40" i="15"/>
  <c r="CA15" i="15"/>
  <c r="CA90" i="15"/>
  <c r="CA14" i="15"/>
  <c r="J59" i="19"/>
  <c r="AL59" i="19"/>
  <c r="DS247" i="19"/>
  <c r="DP42" i="21"/>
  <c r="K83" i="15"/>
  <c r="K86" i="15" s="1"/>
  <c r="EJ44" i="19"/>
  <c r="EJ42" i="15"/>
  <c r="EH44" i="19"/>
  <c r="AQ9" i="15"/>
  <c r="EH42" i="15"/>
  <c r="DX67" i="19"/>
  <c r="DX99" i="19"/>
  <c r="ER176" i="19"/>
  <c r="ER175" i="19"/>
  <c r="ER177" i="19"/>
  <c r="ER174" i="19"/>
  <c r="DQ68" i="19"/>
  <c r="DQ105" i="19"/>
  <c r="I174" i="19"/>
  <c r="AH174" i="19"/>
  <c r="BZ37" i="24"/>
  <c r="V36" i="24"/>
  <c r="H39" i="21"/>
  <c r="H41" i="21"/>
  <c r="I42" i="15"/>
  <c r="AH42" i="15"/>
  <c r="DG12" i="1"/>
  <c r="DQ102" i="19"/>
  <c r="DQ103" i="19"/>
  <c r="DQ100" i="19"/>
  <c r="DQ101" i="19"/>
  <c r="EQ20" i="21"/>
  <c r="EY20" i="21"/>
  <c r="ER20" i="21"/>
  <c r="EZ20" i="21"/>
  <c r="ES20" i="21"/>
  <c r="FA20" i="21"/>
  <c r="ET20" i="21"/>
  <c r="FB20" i="21"/>
  <c r="EU20" i="21"/>
  <c r="EV20" i="21"/>
  <c r="EW20" i="21"/>
  <c r="EX20" i="21"/>
  <c r="FB33" i="29"/>
  <c r="CH36" i="24"/>
  <c r="Y35" i="24"/>
  <c r="AO35" i="21"/>
  <c r="EB34" i="21"/>
  <c r="EN37" i="21"/>
  <c r="EN59" i="19"/>
  <c r="AS30" i="15"/>
  <c r="AS73" i="15" s="1"/>
  <c r="AC93" i="1"/>
  <c r="AA18" i="7" s="1"/>
  <c r="AA17" i="7"/>
  <c r="DM39" i="21"/>
  <c r="AJ34" i="21"/>
  <c r="AJ40" i="21" s="1"/>
  <c r="DM41" i="21"/>
  <c r="FA175" i="19"/>
  <c r="FA177" i="19"/>
  <c r="FA174" i="19"/>
  <c r="FA176" i="19"/>
  <c r="DR101" i="19"/>
  <c r="DR102" i="19"/>
  <c r="DR103" i="19"/>
  <c r="DR100" i="19"/>
  <c r="ER59" i="19"/>
  <c r="ER247" i="19" s="1"/>
  <c r="H11" i="21"/>
  <c r="H16" i="21" s="1"/>
  <c r="CU16" i="21"/>
  <c r="CU26" i="21"/>
  <c r="AD11" i="21"/>
  <c r="CU49" i="21"/>
  <c r="X27" i="29"/>
  <c r="AA28" i="29"/>
  <c r="EX174" i="19"/>
  <c r="EX175" i="19"/>
  <c r="EX176" i="19"/>
  <c r="EX177" i="19"/>
  <c r="AJ67" i="19"/>
  <c r="EP35" i="21"/>
  <c r="EP43" i="19"/>
  <c r="EP41" i="15"/>
  <c r="EF60" i="19"/>
  <c r="EF253" i="19" s="1"/>
  <c r="DY7" i="7"/>
  <c r="DY8" i="7"/>
  <c r="FA33" i="29"/>
  <c r="DR11" i="11"/>
  <c r="DR108" i="1"/>
  <c r="DO7" i="7"/>
  <c r="DO8" i="7"/>
  <c r="EX59" i="19"/>
  <c r="EX247" i="19" s="1"/>
  <c r="L56" i="15"/>
  <c r="L68" i="15" s="1"/>
  <c r="L65" i="15"/>
  <c r="DC46" i="19"/>
  <c r="AK67" i="19"/>
  <c r="DZ44" i="19"/>
  <c r="DZ42" i="15"/>
  <c r="AI177" i="19"/>
  <c r="DL19" i="21"/>
  <c r="DL10" i="21"/>
  <c r="DL11" i="21"/>
  <c r="DL12" i="21"/>
  <c r="DL14" i="21"/>
  <c r="DO108" i="1"/>
  <c r="EI86" i="15"/>
  <c r="AF159" i="19"/>
  <c r="AS36" i="21"/>
  <c r="CP50" i="19"/>
  <c r="CP23" i="15"/>
  <c r="CP25" i="15"/>
  <c r="CP91" i="15"/>
  <c r="CP26" i="15"/>
  <c r="H183" i="19"/>
  <c r="EZ85" i="15"/>
  <c r="EZ86" i="15" s="1"/>
  <c r="DO12" i="1"/>
  <c r="DO11" i="11" s="1"/>
  <c r="AN37" i="21"/>
  <c r="DY42" i="21"/>
  <c r="AG109" i="19"/>
  <c r="AG85" i="19" s="1"/>
  <c r="EF35" i="21"/>
  <c r="EF43" i="19"/>
  <c r="EF41" i="15"/>
  <c r="AM37" i="21"/>
  <c r="DV42" i="21"/>
  <c r="DH108" i="1"/>
  <c r="DN40" i="21"/>
  <c r="CZ67" i="24"/>
  <c r="DA68" i="24" s="1"/>
  <c r="AD152" i="19"/>
  <c r="GE9" i="7"/>
  <c r="DE7" i="7"/>
  <c r="DE8" i="7"/>
  <c r="DD98" i="15"/>
  <c r="AG150" i="19"/>
  <c r="GH7" i="7"/>
  <c r="ER180" i="19"/>
  <c r="ER181" i="19"/>
  <c r="ER182" i="19"/>
  <c r="ER183" i="19"/>
  <c r="AE100" i="19"/>
  <c r="DC109" i="15"/>
  <c r="DC32" i="15" s="1"/>
  <c r="DC110" i="15"/>
  <c r="DC33" i="15" s="1"/>
  <c r="DC62" i="19" s="1"/>
  <c r="DC265" i="19" s="1"/>
  <c r="EG250" i="19"/>
  <c r="EG251" i="19"/>
  <c r="EG249" i="19"/>
  <c r="EG248" i="19"/>
  <c r="B20" i="30"/>
  <c r="C20" i="30"/>
  <c r="A21" i="30"/>
  <c r="AV56" i="15"/>
  <c r="AV65" i="15"/>
  <c r="AV59" i="15"/>
  <c r="CW67" i="24"/>
  <c r="CX68" i="24" s="1"/>
  <c r="AG14" i="21"/>
  <c r="AG19" i="21"/>
  <c r="DZ254" i="19"/>
  <c r="DZ257" i="19"/>
  <c r="DZ255" i="19"/>
  <c r="DZ256" i="19"/>
  <c r="AB82" i="11"/>
  <c r="BY6" i="7"/>
  <c r="BY17" i="7" s="1"/>
  <c r="CY26" i="21"/>
  <c r="CY16" i="21"/>
  <c r="CY49" i="21"/>
  <c r="CY50" i="21" s="1"/>
  <c r="AG248" i="19"/>
  <c r="AG100" i="19"/>
  <c r="EG181" i="19"/>
  <c r="EG180" i="19"/>
  <c r="EG183" i="19"/>
  <c r="EG182" i="19"/>
  <c r="AG42" i="21"/>
  <c r="DQ41" i="24"/>
  <c r="AK40" i="24"/>
  <c r="AE109" i="19"/>
  <c r="AE85" i="19" s="1"/>
  <c r="EK32" i="11"/>
  <c r="EK158" i="11" s="1"/>
  <c r="EK122" i="1" s="1"/>
  <c r="EK28" i="11"/>
  <c r="DJ34" i="21"/>
  <c r="I34" i="21" s="1"/>
  <c r="AI35" i="21"/>
  <c r="AF249" i="19"/>
  <c r="DC67" i="24"/>
  <c r="DD68" i="24" s="1"/>
  <c r="CV15" i="21"/>
  <c r="CV25" i="21"/>
  <c r="CV24" i="21" s="1"/>
  <c r="CV29" i="21" s="1"/>
  <c r="CV44" i="21"/>
  <c r="CV45" i="21" s="1"/>
  <c r="DN9" i="21"/>
  <c r="DM254" i="19"/>
  <c r="AJ254" i="19" s="1"/>
  <c r="AJ253" i="19"/>
  <c r="DM255" i="19"/>
  <c r="AJ255" i="19" s="1"/>
  <c r="DM256" i="19"/>
  <c r="AJ256" i="19" s="1"/>
  <c r="DM257" i="19"/>
  <c r="AJ257" i="19" s="1"/>
  <c r="EZ32" i="29"/>
  <c r="CX10" i="25"/>
  <c r="CX11" i="25" s="1"/>
  <c r="DE15" i="21"/>
  <c r="DE25" i="21"/>
  <c r="DE24" i="21" s="1"/>
  <c r="DE29" i="21" s="1"/>
  <c r="DE44" i="21"/>
  <c r="DE47" i="21" s="1"/>
  <c r="AW41" i="24"/>
  <c r="FA42" i="24"/>
  <c r="EH35" i="21"/>
  <c r="EH43" i="19"/>
  <c r="EH41" i="15"/>
  <c r="AQ8" i="15"/>
  <c r="AQ71" i="15" s="1"/>
  <c r="EB13" i="25"/>
  <c r="EB10" i="25"/>
  <c r="DO39" i="21"/>
  <c r="DO41" i="21"/>
  <c r="DO42" i="21"/>
  <c r="CW203" i="19"/>
  <c r="DB203" i="19"/>
  <c r="CY51" i="21"/>
  <c r="CY56" i="21"/>
  <c r="AF105" i="15"/>
  <c r="AF106" i="15" s="1"/>
  <c r="J29" i="22"/>
  <c r="Y28" i="22"/>
  <c r="T28" i="22"/>
  <c r="M28" i="22"/>
  <c r="N28" i="22"/>
  <c r="Q28" i="22"/>
  <c r="V28" i="22"/>
  <c r="U28" i="22"/>
  <c r="O28" i="22"/>
  <c r="P28" i="22"/>
  <c r="R28" i="22"/>
  <c r="W28" i="22"/>
  <c r="S28" i="22"/>
  <c r="X28" i="22"/>
  <c r="DX68" i="19"/>
  <c r="DX105" i="19"/>
  <c r="DF46" i="19"/>
  <c r="EL180" i="19"/>
  <c r="EL182" i="19"/>
  <c r="EL183" i="19"/>
  <c r="EL181" i="19"/>
  <c r="CX46" i="21"/>
  <c r="DB16" i="21"/>
  <c r="DB26" i="21"/>
  <c r="DB49" i="21"/>
  <c r="DB50" i="21" s="1"/>
  <c r="AG108" i="1"/>
  <c r="AG112" i="1" s="1"/>
  <c r="EC99" i="19"/>
  <c r="EC67" i="19"/>
  <c r="I175" i="19"/>
  <c r="AH175" i="19"/>
  <c r="G28" i="8"/>
  <c r="F58" i="8"/>
  <c r="AH71" i="15"/>
  <c r="DX17" i="11"/>
  <c r="DX35" i="1" s="1"/>
  <c r="DX29" i="11"/>
  <c r="DX30" i="11" s="1"/>
  <c r="EP44" i="19"/>
  <c r="EP42" i="15"/>
  <c r="AE249" i="19"/>
  <c r="FH14" i="7" s="1"/>
  <c r="CX78" i="24"/>
  <c r="AD77" i="24"/>
  <c r="AM60" i="19"/>
  <c r="DV253" i="19"/>
  <c r="CW52" i="21"/>
  <c r="AR61" i="15"/>
  <c r="EN43" i="19"/>
  <c r="AS8" i="15"/>
  <c r="EN41" i="15"/>
  <c r="AF253" i="19"/>
  <c r="DA254" i="19"/>
  <c r="AF254" i="19" s="1"/>
  <c r="AF230" i="19" s="1"/>
  <c r="DA255" i="19"/>
  <c r="AF255" i="19" s="1"/>
  <c r="AF231" i="19" s="1"/>
  <c r="DA257" i="19"/>
  <c r="AF257" i="19" s="1"/>
  <c r="AF233" i="19" s="1"/>
  <c r="DA256" i="19"/>
  <c r="AF256" i="19" s="1"/>
  <c r="AF232" i="19" s="1"/>
  <c r="DM42" i="21"/>
  <c r="DC15" i="21"/>
  <c r="DC25" i="21"/>
  <c r="DC44" i="21"/>
  <c r="DC45" i="21" s="1"/>
  <c r="FB83" i="15"/>
  <c r="AW83" i="15" s="1"/>
  <c r="AL37" i="21"/>
  <c r="DS42" i="21"/>
  <c r="J37" i="21"/>
  <c r="AK42" i="21"/>
  <c r="CV17" i="11"/>
  <c r="CV35" i="1" s="1"/>
  <c r="CV29" i="11"/>
  <c r="CV30" i="11" s="1"/>
  <c r="AP86" i="15"/>
  <c r="EL44" i="19"/>
  <c r="EL42" i="15"/>
  <c r="DS9" i="24"/>
  <c r="DS9" i="21"/>
  <c r="J41" i="15"/>
  <c r="AL41" i="15"/>
  <c r="DS11" i="1"/>
  <c r="DG248" i="19"/>
  <c r="DG249" i="19"/>
  <c r="I247" i="19"/>
  <c r="AH247" i="19"/>
  <c r="DG251" i="19"/>
  <c r="DG250" i="19"/>
  <c r="L25" i="29"/>
  <c r="L27" i="29" s="1"/>
  <c r="AT25" i="29"/>
  <c r="EE37" i="21"/>
  <c r="EE59" i="19"/>
  <c r="AP30" i="15"/>
  <c r="AP73" i="15" s="1"/>
  <c r="K30" i="15"/>
  <c r="DF47" i="21"/>
  <c r="DH68" i="19"/>
  <c r="DH105" i="19"/>
  <c r="DY9" i="24"/>
  <c r="DY9" i="21"/>
  <c r="DY11" i="1"/>
  <c r="AN41" i="15"/>
  <c r="ET8" i="15"/>
  <c r="AU77" i="15"/>
  <c r="ET80" i="15"/>
  <c r="ET74" i="15" s="1"/>
  <c r="EB176" i="19"/>
  <c r="AO173" i="19"/>
  <c r="EB174" i="19"/>
  <c r="EB175" i="19"/>
  <c r="EB177" i="19"/>
  <c r="AL44" i="19"/>
  <c r="DS68" i="19"/>
  <c r="DS105" i="19"/>
  <c r="U34" i="24"/>
  <c r="E34" i="24"/>
  <c r="BU35" i="24"/>
  <c r="BT61" i="24"/>
  <c r="BT14" i="24" s="1"/>
  <c r="ET30" i="15"/>
  <c r="AU79" i="15"/>
  <c r="DD51" i="21"/>
  <c r="DD46" i="21"/>
  <c r="AE11" i="24"/>
  <c r="AE10" i="24" s="1"/>
  <c r="CX13" i="24"/>
  <c r="CX63" i="24"/>
  <c r="Q37" i="29"/>
  <c r="BH38" i="29"/>
  <c r="CB36" i="24"/>
  <c r="F36" i="24" s="1"/>
  <c r="W35" i="24"/>
  <c r="FA9" i="15"/>
  <c r="FA86" i="15"/>
  <c r="AG39" i="21"/>
  <c r="AG41" i="21"/>
  <c r="AL36" i="21"/>
  <c r="DS41" i="21"/>
  <c r="J36" i="21"/>
  <c r="DA10" i="15"/>
  <c r="AF97" i="15"/>
  <c r="DL39" i="21"/>
  <c r="DL41" i="21"/>
  <c r="DL42" i="21"/>
  <c r="DR39" i="21"/>
  <c r="DR41" i="21"/>
  <c r="DR42" i="21"/>
  <c r="DD54" i="19"/>
  <c r="AG22" i="15"/>
  <c r="EL254" i="19"/>
  <c r="EL255" i="19"/>
  <c r="EL256" i="19"/>
  <c r="EL257" i="19"/>
  <c r="AD156" i="19"/>
  <c r="U15" i="35"/>
  <c r="BP63" i="1"/>
  <c r="BP68" i="1" s="1"/>
  <c r="S59" i="2"/>
  <c r="EQ52" i="19"/>
  <c r="L20" i="15"/>
  <c r="AT20" i="15"/>
  <c r="DK87" i="24"/>
  <c r="DL88" i="24" s="1"/>
  <c r="DM89" i="24" s="1"/>
  <c r="EI248" i="19"/>
  <c r="EI249" i="19"/>
  <c r="EI250" i="19"/>
  <c r="EI251" i="19"/>
  <c r="DA56" i="1"/>
  <c r="DA40" i="1"/>
  <c r="AC76" i="24"/>
  <c r="CT77" i="24"/>
  <c r="G76" i="24"/>
  <c r="DL40" i="21"/>
  <c r="DM40" i="21"/>
  <c r="I44" i="19"/>
  <c r="AH44" i="19"/>
  <c r="DG68" i="19"/>
  <c r="DG105" i="19"/>
  <c r="AE12" i="21"/>
  <c r="CX27" i="21"/>
  <c r="AE27" i="21" s="1"/>
  <c r="CX17" i="21"/>
  <c r="CX54" i="21"/>
  <c r="CV107" i="19"/>
  <c r="H107" i="19" s="1"/>
  <c r="CV106" i="19"/>
  <c r="AD106" i="19" s="1"/>
  <c r="AD82" i="19" s="1"/>
  <c r="CV108" i="19"/>
  <c r="CV109" i="19"/>
  <c r="AD109" i="19" s="1"/>
  <c r="AD85" i="19" s="1"/>
  <c r="ER85" i="15"/>
  <c r="ER31" i="15" s="1"/>
  <c r="ER37" i="21" s="1"/>
  <c r="V134" i="37"/>
  <c r="V129" i="37"/>
  <c r="AK60" i="19"/>
  <c r="DP253" i="19"/>
  <c r="H10" i="21"/>
  <c r="H15" i="21" s="1"/>
  <c r="CU15" i="21"/>
  <c r="CU25" i="21"/>
  <c r="AD10" i="21"/>
  <c r="CU44" i="21"/>
  <c r="CF27" i="29"/>
  <c r="CG23" i="29" s="1"/>
  <c r="CG27" i="29" s="1"/>
  <c r="CH23" i="29" s="1"/>
  <c r="CH27" i="29" s="1"/>
  <c r="CI23" i="29" s="1"/>
  <c r="Y23" i="29"/>
  <c r="H40" i="21"/>
  <c r="AJ99" i="19"/>
  <c r="DM100" i="19"/>
  <c r="DM101" i="19"/>
  <c r="DM102" i="19"/>
  <c r="DM103" i="19"/>
  <c r="DO100" i="19"/>
  <c r="DO101" i="19"/>
  <c r="DO102" i="19"/>
  <c r="DO103" i="19"/>
  <c r="ER8" i="15"/>
  <c r="ER80" i="15"/>
  <c r="ER74" i="15" s="1"/>
  <c r="CS126" i="24"/>
  <c r="EC12" i="1"/>
  <c r="EU83" i="15"/>
  <c r="AU83" i="15" s="1"/>
  <c r="AF151" i="19"/>
  <c r="GG8" i="7"/>
  <c r="FI14" i="7"/>
  <c r="ES33" i="29"/>
  <c r="FB180" i="19"/>
  <c r="FB181" i="19"/>
  <c r="FB182" i="19"/>
  <c r="FB183" i="19"/>
  <c r="DR10" i="21"/>
  <c r="DR11" i="21"/>
  <c r="DR12" i="21"/>
  <c r="DR14" i="21"/>
  <c r="DR19" i="21"/>
  <c r="DH12" i="1"/>
  <c r="DH11" i="11" s="1"/>
  <c r="EX85" i="15"/>
  <c r="EX31" i="15" s="1"/>
  <c r="EQ83" i="15"/>
  <c r="DC45" i="19"/>
  <c r="DC43" i="15"/>
  <c r="EA10" i="25"/>
  <c r="EA11" i="25" s="1"/>
  <c r="CY203" i="19"/>
  <c r="CQ36" i="24"/>
  <c r="G36" i="24" s="1"/>
  <c r="AB35" i="24"/>
  <c r="AI176" i="19"/>
  <c r="DQ90" i="24"/>
  <c r="DR91" i="24" s="1"/>
  <c r="DS92" i="24" s="1"/>
  <c r="Z18" i="30"/>
  <c r="AH18" i="30"/>
  <c r="E30" i="30"/>
  <c r="D30" i="30" s="1"/>
  <c r="AA18" i="30"/>
  <c r="AI18" i="30"/>
  <c r="AB18" i="30"/>
  <c r="AJ18" i="30"/>
  <c r="AC18" i="30"/>
  <c r="AK18" i="30"/>
  <c r="AD18" i="30"/>
  <c r="AL18" i="30"/>
  <c r="AE18" i="30"/>
  <c r="X18" i="30"/>
  <c r="X51" i="30" s="1"/>
  <c r="AF18" i="30"/>
  <c r="Y18" i="30"/>
  <c r="AG18" i="30"/>
  <c r="DL13" i="24"/>
  <c r="DL63" i="24"/>
  <c r="DL66" i="24" s="1"/>
  <c r="DO19" i="21"/>
  <c r="DO10" i="21"/>
  <c r="DO11" i="21"/>
  <c r="DO12" i="21"/>
  <c r="DO14" i="21"/>
  <c r="AL42" i="15"/>
  <c r="DS12" i="1"/>
  <c r="DT9" i="24"/>
  <c r="DT11" i="24" s="1"/>
  <c r="DT9" i="21"/>
  <c r="DT11" i="1"/>
  <c r="EI44" i="19"/>
  <c r="EI42" i="15"/>
  <c r="AF156" i="19"/>
  <c r="AD159" i="19"/>
  <c r="DO68" i="19"/>
  <c r="DO105" i="19"/>
  <c r="AG108" i="19"/>
  <c r="AG84" i="19" s="1"/>
  <c r="DH9" i="21"/>
  <c r="EH52" i="19"/>
  <c r="K52" i="19" s="1"/>
  <c r="AQ20" i="15"/>
  <c r="AQ72" i="15" s="1"/>
  <c r="AG11" i="24"/>
  <c r="AG10" i="24" s="1"/>
  <c r="DD13" i="24"/>
  <c r="DD63" i="24"/>
  <c r="AO72" i="15"/>
  <c r="FB174" i="19"/>
  <c r="FB176" i="19"/>
  <c r="FB177" i="19"/>
  <c r="FB175" i="19"/>
  <c r="AK44" i="19"/>
  <c r="DP68" i="19"/>
  <c r="AK68" i="19" s="1"/>
  <c r="DP105" i="19"/>
  <c r="H108" i="1"/>
  <c r="AD108" i="1"/>
  <c r="AD112" i="1" s="1"/>
  <c r="DP9" i="21"/>
  <c r="CY109" i="15"/>
  <c r="CY32" i="15" s="1"/>
  <c r="CY110" i="15"/>
  <c r="CY33" i="15" s="1"/>
  <c r="CY62" i="19" s="1"/>
  <c r="CY265" i="19" s="1"/>
  <c r="CU109" i="15"/>
  <c r="CU110" i="15"/>
  <c r="EG37" i="21"/>
  <c r="DG67" i="24"/>
  <c r="EI35" i="21"/>
  <c r="EI43" i="19"/>
  <c r="EI41" i="15"/>
  <c r="CY15" i="21"/>
  <c r="CY25" i="21"/>
  <c r="CY24" i="21" s="1"/>
  <c r="CY29" i="21" s="1"/>
  <c r="CY44" i="21"/>
  <c r="CY46" i="21" s="1"/>
  <c r="DG100" i="19"/>
  <c r="AH99" i="19"/>
  <c r="DG102" i="19"/>
  <c r="DG103" i="19"/>
  <c r="I99" i="19"/>
  <c r="DG101" i="19"/>
  <c r="AF153" i="19"/>
  <c r="GG10" i="7"/>
  <c r="DF67" i="24"/>
  <c r="DG68" i="24" s="1"/>
  <c r="CP42" i="19"/>
  <c r="CP66" i="19" s="1"/>
  <c r="CP12" i="15"/>
  <c r="CP40" i="15"/>
  <c r="CP90" i="15"/>
  <c r="CP15" i="15"/>
  <c r="CP14" i="15"/>
  <c r="H12" i="1"/>
  <c r="G7" i="8" s="1"/>
  <c r="DI39" i="21"/>
  <c r="DI41" i="21"/>
  <c r="AE107" i="19"/>
  <c r="AE83" i="19" s="1"/>
  <c r="CX10" i="15"/>
  <c r="AE97" i="15"/>
  <c r="EJ32" i="11"/>
  <c r="EJ28" i="11"/>
  <c r="DN9" i="24"/>
  <c r="DN11" i="24" s="1"/>
  <c r="DF27" i="21"/>
  <c r="DF17" i="21"/>
  <c r="DF54" i="21"/>
  <c r="DF55" i="21" s="1"/>
  <c r="CX13" i="25"/>
  <c r="DB57" i="21"/>
  <c r="DG9" i="21"/>
  <c r="EP254" i="19"/>
  <c r="EP257" i="19"/>
  <c r="EP255" i="19"/>
  <c r="EP256" i="19"/>
  <c r="EJ248" i="19"/>
  <c r="EJ249" i="19"/>
  <c r="EJ250" i="19"/>
  <c r="EJ251" i="19"/>
  <c r="DA53" i="19"/>
  <c r="AF21" i="15"/>
  <c r="L92" i="15"/>
  <c r="DM56" i="1"/>
  <c r="DM40" i="1"/>
  <c r="EN9" i="15"/>
  <c r="EN86" i="15"/>
  <c r="AS83" i="15"/>
  <c r="AS86" i="15" s="1"/>
  <c r="AK177" i="19"/>
  <c r="AE39" i="21"/>
  <c r="AE41" i="21"/>
  <c r="DB15" i="21"/>
  <c r="DB25" i="21"/>
  <c r="DB24" i="21" s="1"/>
  <c r="DB29" i="21" s="1"/>
  <c r="DB44" i="21"/>
  <c r="DB45" i="21" s="1"/>
  <c r="AG11" i="11"/>
  <c r="AE6" i="7"/>
  <c r="AE10" i="7" s="1"/>
  <c r="AE7" i="7"/>
  <c r="CD8" i="7"/>
  <c r="AG20" i="1"/>
  <c r="EC34" i="21"/>
  <c r="EC40" i="21" s="1"/>
  <c r="EV174" i="19"/>
  <c r="EV175" i="19"/>
  <c r="EV176" i="19"/>
  <c r="EV177" i="19"/>
  <c r="DR48" i="24"/>
  <c r="DS49" i="24" s="1"/>
  <c r="AM32" i="11"/>
  <c r="AM158" i="11" s="1"/>
  <c r="DX158" i="11"/>
  <c r="DX122" i="1" s="1"/>
  <c r="AM122" i="1" s="1"/>
  <c r="AG253" i="19"/>
  <c r="DD256" i="19"/>
  <c r="AG256" i="19" s="1"/>
  <c r="AG232" i="19" s="1"/>
  <c r="DD257" i="19"/>
  <c r="AG257" i="19" s="1"/>
  <c r="AG233" i="19" s="1"/>
  <c r="DD254" i="19"/>
  <c r="AG254" i="19" s="1"/>
  <c r="AG230" i="19" s="1"/>
  <c r="DD255" i="19"/>
  <c r="AG255" i="19" s="1"/>
  <c r="AG231" i="19" s="1"/>
  <c r="DJ254" i="19"/>
  <c r="AI254" i="19" s="1"/>
  <c r="AI253" i="19"/>
  <c r="DJ257" i="19"/>
  <c r="AI257" i="19" s="1"/>
  <c r="DJ255" i="19"/>
  <c r="AI255" i="19" s="1"/>
  <c r="DJ256" i="19"/>
  <c r="AI256" i="19" s="1"/>
  <c r="AL60" i="19"/>
  <c r="J60" i="19"/>
  <c r="DS253" i="19"/>
  <c r="AD153" i="19"/>
  <c r="GE10" i="7"/>
  <c r="V92" i="37"/>
  <c r="W84" i="37"/>
  <c r="V94" i="37"/>
  <c r="CW51" i="21"/>
  <c r="CZ16" i="21"/>
  <c r="CZ26" i="21"/>
  <c r="CZ49" i="21"/>
  <c r="DJ10" i="21"/>
  <c r="AI9" i="21"/>
  <c r="DJ11" i="21"/>
  <c r="DJ12" i="21"/>
  <c r="DJ14" i="21"/>
  <c r="DJ19" i="21"/>
  <c r="DJ13" i="25"/>
  <c r="DJ10" i="25"/>
  <c r="DJ11" i="25" s="1"/>
  <c r="AI42" i="15"/>
  <c r="DJ12" i="1"/>
  <c r="AI12" i="1" s="1"/>
  <c r="EE44" i="19"/>
  <c r="AP9" i="15"/>
  <c r="EE42" i="15"/>
  <c r="DB46" i="19"/>
  <c r="EX9" i="15"/>
  <c r="EX86" i="15"/>
  <c r="AF11" i="11"/>
  <c r="AD6" i="7"/>
  <c r="AD10" i="7" s="1"/>
  <c r="CC8" i="7"/>
  <c r="AD7" i="7"/>
  <c r="AF20" i="1"/>
  <c r="DA109" i="15"/>
  <c r="D13" i="28"/>
  <c r="DT100" i="15"/>
  <c r="EB100" i="15"/>
  <c r="K100" i="15"/>
  <c r="EA100" i="15"/>
  <c r="DS100" i="15"/>
  <c r="EC100" i="15"/>
  <c r="DU100" i="15"/>
  <c r="ED100" i="15"/>
  <c r="DV100" i="15"/>
  <c r="DW100" i="15"/>
  <c r="DX100" i="15"/>
  <c r="DY100" i="15"/>
  <c r="DZ100" i="15"/>
  <c r="AJ42" i="15"/>
  <c r="DM12" i="1"/>
  <c r="AJ12" i="1" s="1"/>
  <c r="U11" i="35"/>
  <c r="U48" i="35"/>
  <c r="DU12" i="1"/>
  <c r="EQ30" i="15"/>
  <c r="L79" i="15"/>
  <c r="AT79" i="15"/>
  <c r="AV67" i="15"/>
  <c r="AV61" i="15"/>
  <c r="EX42" i="24"/>
  <c r="AV41" i="24"/>
  <c r="EJ35" i="21"/>
  <c r="EJ43" i="19"/>
  <c r="EJ41" i="15"/>
  <c r="AF12" i="21"/>
  <c r="DA17" i="21"/>
  <c r="DA27" i="21"/>
  <c r="AF27" i="21" s="1"/>
  <c r="AF32" i="21" s="1"/>
  <c r="HQ34" i="7" s="1"/>
  <c r="DA54" i="21"/>
  <c r="DA57" i="21" s="1"/>
  <c r="AF57" i="21" s="1"/>
  <c r="HQ31" i="7" s="1"/>
  <c r="EL248" i="19"/>
  <c r="EL249" i="19"/>
  <c r="EL250" i="19"/>
  <c r="EL251" i="19"/>
  <c r="EY60" i="19"/>
  <c r="EY253" i="19" s="1"/>
  <c r="AK40" i="21"/>
  <c r="J43" i="19"/>
  <c r="AL43" i="19"/>
  <c r="DS67" i="19"/>
  <c r="DS99" i="19"/>
  <c r="AD248" i="19"/>
  <c r="H248" i="19"/>
  <c r="ED254" i="19"/>
  <c r="ED255" i="19"/>
  <c r="ED256" i="19"/>
  <c r="ED257" i="19"/>
  <c r="EE112" i="15"/>
  <c r="EM112" i="15"/>
  <c r="EF112" i="15"/>
  <c r="EN112" i="15"/>
  <c r="EG112" i="15"/>
  <c r="EO112" i="15"/>
  <c r="EH112" i="15"/>
  <c r="EP112" i="15"/>
  <c r="EI112" i="15"/>
  <c r="EJ112" i="15"/>
  <c r="EK112" i="15"/>
  <c r="L112" i="15"/>
  <c r="EL112" i="15"/>
  <c r="AG104" i="15"/>
  <c r="AG105" i="15" s="1"/>
  <c r="AG106" i="15" s="1"/>
  <c r="DX9" i="24"/>
  <c r="DX11" i="24" s="1"/>
  <c r="DX9" i="21"/>
  <c r="DX11" i="1"/>
  <c r="AT61" i="15"/>
  <c r="AT67" i="15"/>
  <c r="BZ63" i="19"/>
  <c r="BZ29" i="15"/>
  <c r="DA51" i="21"/>
  <c r="DG42" i="21"/>
  <c r="DA15" i="21"/>
  <c r="DA25" i="21"/>
  <c r="AF10" i="21"/>
  <c r="DA44" i="21"/>
  <c r="DA46" i="21" s="1"/>
  <c r="AF152" i="19"/>
  <c r="GG9" i="7"/>
  <c r="FI15" i="7"/>
  <c r="AD150" i="19"/>
  <c r="GE7" i="7"/>
  <c r="AF109" i="19"/>
  <c r="AF85" i="19" s="1"/>
  <c r="CX16" i="21"/>
  <c r="AE11" i="21"/>
  <c r="CX26" i="21"/>
  <c r="CX49" i="21"/>
  <c r="AD108" i="19"/>
  <c r="AD84" i="19" s="1"/>
  <c r="H108" i="19"/>
  <c r="W43" i="36"/>
  <c r="W15" i="36"/>
  <c r="W16" i="36" s="1"/>
  <c r="EX8" i="15"/>
  <c r="EX80" i="15"/>
  <c r="EX74" i="15" s="1"/>
  <c r="EI180" i="19"/>
  <c r="EI181" i="19"/>
  <c r="EI183" i="19"/>
  <c r="EI182" i="19"/>
  <c r="H251" i="19"/>
  <c r="AD251" i="19"/>
  <c r="CZ46" i="21"/>
  <c r="CZ56" i="21"/>
  <c r="ER9" i="15"/>
  <c r="ER86" i="15"/>
  <c r="DC203" i="19"/>
  <c r="EC68" i="19"/>
  <c r="EC105" i="19"/>
  <c r="AT19" i="29"/>
  <c r="AF108" i="1"/>
  <c r="AF112" i="1" s="1"/>
  <c r="AW12" i="29"/>
  <c r="EZ33" i="29"/>
  <c r="AW33" i="29" s="1"/>
  <c r="AB11" i="28" s="1"/>
  <c r="AZ74" i="26" s="1"/>
  <c r="DR13" i="24"/>
  <c r="DR63" i="24"/>
  <c r="DR66" i="24" s="1"/>
  <c r="DW104" i="24"/>
  <c r="DX105" i="24" s="1"/>
  <c r="DY106" i="24" s="1"/>
  <c r="EQ32" i="29"/>
  <c r="EA13" i="25"/>
  <c r="EF86" i="15"/>
  <c r="H103" i="19"/>
  <c r="AD103" i="19"/>
  <c r="EF42" i="24"/>
  <c r="AI175" i="19"/>
  <c r="EA9" i="24"/>
  <c r="EA11" i="24" s="1"/>
  <c r="EA11" i="1"/>
  <c r="DZ42" i="21"/>
  <c r="AJ11" i="1"/>
  <c r="DM108" i="1"/>
  <c r="AJ108" i="1" s="1"/>
  <c r="DY44" i="19"/>
  <c r="J44" i="19" s="1"/>
  <c r="DY42" i="15"/>
  <c r="AN9" i="15"/>
  <c r="DO13" i="24"/>
  <c r="DO63" i="24"/>
  <c r="DO66" i="24" s="1"/>
  <c r="AM42" i="15"/>
  <c r="DV12" i="1"/>
  <c r="AM12" i="1" s="1"/>
  <c r="AL9" i="15"/>
  <c r="AL71" i="15" s="1"/>
  <c r="DT67" i="19"/>
  <c r="DT99" i="19"/>
  <c r="AF157" i="19"/>
  <c r="J30" i="29"/>
  <c r="D12" i="28"/>
  <c r="L75" i="26" s="1"/>
  <c r="L82" i="26" s="1"/>
  <c r="EY8" i="15"/>
  <c r="EY80" i="15"/>
  <c r="EY74" i="15" s="1"/>
  <c r="AJ177" i="19"/>
  <c r="DE50" i="21"/>
  <c r="DE45" i="21"/>
  <c r="DE55" i="21"/>
  <c r="AW67" i="15"/>
  <c r="AW61" i="15"/>
  <c r="J40" i="24"/>
  <c r="DT41" i="24"/>
  <c r="AL40" i="24"/>
  <c r="AU41" i="24"/>
  <c r="EU42" i="24"/>
  <c r="T11" i="28"/>
  <c r="AR74" i="26" s="1"/>
  <c r="AR81" i="26" s="1"/>
  <c r="DU254" i="19"/>
  <c r="DU256" i="19"/>
  <c r="DU257" i="19"/>
  <c r="DU255" i="19"/>
  <c r="DK86" i="24"/>
  <c r="DL87" i="24" s="1"/>
  <c r="DM88" i="24" s="1"/>
  <c r="DH9" i="24"/>
  <c r="DH11" i="24" s="1"/>
  <c r="EG35" i="21"/>
  <c r="EG43" i="19"/>
  <c r="EG41" i="15"/>
  <c r="F6" i="25"/>
  <c r="F29" i="25" s="1"/>
  <c r="G90" i="1"/>
  <c r="BE10" i="25" s="1"/>
  <c r="AS52" i="19"/>
  <c r="EN179" i="19"/>
  <c r="H182" i="19"/>
  <c r="DH42" i="24"/>
  <c r="G35" i="24"/>
  <c r="AD11" i="11"/>
  <c r="AB6" i="7"/>
  <c r="AB10" i="7" s="1"/>
  <c r="AB7" i="7"/>
  <c r="CA8" i="7"/>
  <c r="AD20" i="1"/>
  <c r="DP9" i="24"/>
  <c r="DF109" i="15"/>
  <c r="DF32" i="15" s="1"/>
  <c r="DF43" i="15" s="1"/>
  <c r="DF110" i="15"/>
  <c r="DF33" i="15" s="1"/>
  <c r="DF62" i="19" s="1"/>
  <c r="DF265" i="19" s="1"/>
  <c r="DB109" i="15"/>
  <c r="DB32" i="15" s="1"/>
  <c r="DB43" i="15" s="1"/>
  <c r="DB110" i="15"/>
  <c r="DB33" i="15" s="1"/>
  <c r="DB62" i="19" s="1"/>
  <c r="DB265" i="19" s="1"/>
  <c r="AG12" i="21"/>
  <c r="DD17" i="21"/>
  <c r="DD27" i="21"/>
  <c r="AG27" i="21" s="1"/>
  <c r="DD54" i="21"/>
  <c r="DD56" i="21" s="1"/>
  <c r="DB42" i="24"/>
  <c r="AF41" i="24"/>
  <c r="I67" i="19"/>
  <c r="AH67" i="19"/>
  <c r="CO71" i="19"/>
  <c r="I181" i="19"/>
  <c r="AH181" i="19"/>
  <c r="EO9" i="15"/>
  <c r="EO86" i="15"/>
  <c r="V53" i="37"/>
  <c r="V31" i="37"/>
  <c r="W45" i="37"/>
  <c r="V55" i="37"/>
  <c r="AE108" i="19"/>
  <c r="AE84" i="19" s="1"/>
  <c r="CX98" i="15"/>
  <c r="AP68" i="15"/>
  <c r="AP62" i="15"/>
  <c r="AP60" i="15"/>
  <c r="DL56" i="1"/>
  <c r="DL40" i="1"/>
  <c r="AF251" i="19"/>
  <c r="FI16" i="7" s="1"/>
  <c r="ED9" i="24"/>
  <c r="ED11" i="24" s="1"/>
  <c r="ED9" i="21"/>
  <c r="ED11" i="1"/>
  <c r="DF16" i="21"/>
  <c r="DF26" i="21"/>
  <c r="DF49" i="21"/>
  <c r="DF50" i="21" s="1"/>
  <c r="DB46" i="21"/>
  <c r="DB51" i="21"/>
  <c r="DB56" i="21"/>
  <c r="DG9" i="24"/>
  <c r="EH37" i="21"/>
  <c r="EH59" i="19"/>
  <c r="AQ30" i="15"/>
  <c r="AQ73" i="15" s="1"/>
  <c r="EK52" i="19"/>
  <c r="AR20" i="15"/>
  <c r="F6" i="7"/>
  <c r="F29" i="7" s="1"/>
  <c r="AC90" i="1"/>
  <c r="AQ33" i="29"/>
  <c r="AK176" i="19"/>
  <c r="DQ12" i="1"/>
  <c r="F35" i="24"/>
  <c r="EG41" i="24"/>
  <c r="EH42" i="24" s="1"/>
  <c r="K40" i="24"/>
  <c r="AP40" i="24"/>
  <c r="AE248" i="19"/>
  <c r="FH13" i="7" s="1"/>
  <c r="DD53" i="19"/>
  <c r="AG21" i="15"/>
  <c r="AR72" i="15"/>
  <c r="AQ85" i="15"/>
  <c r="AQ86" i="15" s="1"/>
  <c r="CZ98" i="15"/>
  <c r="CZ11" i="15" s="1"/>
  <c r="CZ15" i="21"/>
  <c r="CZ25" i="21"/>
  <c r="CZ24" i="21" s="1"/>
  <c r="CZ29" i="21" s="1"/>
  <c r="CZ44" i="21"/>
  <c r="DJ9" i="24"/>
  <c r="AP72" i="15"/>
  <c r="EK60" i="19"/>
  <c r="AR31" i="15"/>
  <c r="AD104" i="15"/>
  <c r="AD105" i="15" s="1"/>
  <c r="AD106" i="15" s="1"/>
  <c r="AS85" i="15"/>
  <c r="L83" i="26" l="1"/>
  <c r="AY62" i="26"/>
  <c r="AX95" i="26"/>
  <c r="AX108" i="26" s="1"/>
  <c r="T97" i="26"/>
  <c r="T87" i="26" s="1"/>
  <c r="F20" i="30"/>
  <c r="AT26" i="29"/>
  <c r="S124" i="26"/>
  <c r="S123" i="26"/>
  <c r="I39" i="21"/>
  <c r="I41" i="21"/>
  <c r="I42" i="21"/>
  <c r="HR19" i="7"/>
  <c r="FI17" i="7"/>
  <c r="FI24" i="7" s="1"/>
  <c r="FI23" i="7"/>
  <c r="W17" i="36"/>
  <c r="W4" i="36"/>
  <c r="W20" i="36"/>
  <c r="W19" i="36"/>
  <c r="GE12" i="7"/>
  <c r="GE11" i="7"/>
  <c r="J99" i="19"/>
  <c r="DS100" i="19"/>
  <c r="DS101" i="19"/>
  <c r="DS102" i="19"/>
  <c r="AL99" i="19"/>
  <c r="DS103" i="19"/>
  <c r="DT50" i="24"/>
  <c r="CP47" i="19"/>
  <c r="CP71" i="19" s="1"/>
  <c r="CP45" i="15"/>
  <c r="CQ7" i="15"/>
  <c r="DR17" i="21"/>
  <c r="DR27" i="21"/>
  <c r="DR54" i="21"/>
  <c r="DR55" i="21" s="1"/>
  <c r="Q38" i="29"/>
  <c r="T110" i="26" s="1"/>
  <c r="T112" i="26" s="1"/>
  <c r="D38" i="29"/>
  <c r="AN11" i="1"/>
  <c r="DY108" i="1"/>
  <c r="EP9" i="24"/>
  <c r="EP11" i="24" s="1"/>
  <c r="EP9" i="21"/>
  <c r="EP11" i="1"/>
  <c r="DX103" i="19"/>
  <c r="DX100" i="19"/>
  <c r="DX102" i="19"/>
  <c r="DX101" i="19"/>
  <c r="AE41" i="24"/>
  <c r="CY42" i="24"/>
  <c r="EK44" i="19"/>
  <c r="EK42" i="15"/>
  <c r="AR9" i="15"/>
  <c r="DV39" i="21"/>
  <c r="AM34" i="21"/>
  <c r="DV41" i="21"/>
  <c r="AD17" i="21"/>
  <c r="AD22" i="21"/>
  <c r="AK248" i="19"/>
  <c r="EG68" i="19"/>
  <c r="EG105" i="19"/>
  <c r="CT46" i="24"/>
  <c r="CU47" i="24" s="1"/>
  <c r="AJ248" i="19"/>
  <c r="EA39" i="21"/>
  <c r="EA41" i="21"/>
  <c r="EA42" i="21"/>
  <c r="AI151" i="19"/>
  <c r="J67" i="19"/>
  <c r="AL67" i="19"/>
  <c r="EJ9" i="24"/>
  <c r="EJ11" i="24" s="1"/>
  <c r="EJ9" i="21"/>
  <c r="EJ11" i="1"/>
  <c r="DA32" i="15"/>
  <c r="AF109" i="15"/>
  <c r="AP42" i="15"/>
  <c r="EE12" i="1"/>
  <c r="DO106" i="19"/>
  <c r="DO107" i="19"/>
  <c r="DO108" i="19"/>
  <c r="DO109" i="19"/>
  <c r="DT108" i="1"/>
  <c r="DO27" i="21"/>
  <c r="DO17" i="21"/>
  <c r="DO54" i="21"/>
  <c r="DO55" i="21" s="1"/>
  <c r="DC111" i="19"/>
  <c r="DR16" i="21"/>
  <c r="DR26" i="21"/>
  <c r="DR49" i="21"/>
  <c r="DR50" i="21" s="1"/>
  <c r="AJ103" i="19"/>
  <c r="Y27" i="29"/>
  <c r="AB28" i="29"/>
  <c r="DG106" i="19"/>
  <c r="I105" i="19"/>
  <c r="AH105" i="19"/>
  <c r="DG107" i="19"/>
  <c r="DG108" i="19"/>
  <c r="DG109" i="19"/>
  <c r="BQ63" i="1"/>
  <c r="T59" i="2"/>
  <c r="AF100" i="15"/>
  <c r="AF99" i="15"/>
  <c r="FA44" i="19"/>
  <c r="FA42" i="15"/>
  <c r="AO174" i="19"/>
  <c r="DY11" i="21"/>
  <c r="DY12" i="21"/>
  <c r="DY14" i="21"/>
  <c r="DY19" i="21"/>
  <c r="DY10" i="21"/>
  <c r="DT13" i="25"/>
  <c r="DT10" i="25"/>
  <c r="DT11" i="25" s="1"/>
  <c r="I251" i="19"/>
  <c r="AH251" i="19"/>
  <c r="DS10" i="21"/>
  <c r="DS11" i="21"/>
  <c r="DS12" i="21"/>
  <c r="DS14" i="21"/>
  <c r="AL9" i="21"/>
  <c r="DS19" i="21"/>
  <c r="AS43" i="19"/>
  <c r="EN67" i="19"/>
  <c r="EN99" i="19"/>
  <c r="EB11" i="25"/>
  <c r="FB43" i="24"/>
  <c r="AW43" i="24" s="1"/>
  <c r="AW42" i="24"/>
  <c r="CY69" i="24"/>
  <c r="CZ70" i="24" s="1"/>
  <c r="DA71" i="24" s="1"/>
  <c r="AG98" i="15"/>
  <c r="DD11" i="15"/>
  <c r="DB69" i="24"/>
  <c r="DC70" i="24" s="1"/>
  <c r="DD71" i="24" s="1"/>
  <c r="AM42" i="21"/>
  <c r="CP55" i="19"/>
  <c r="CQ18" i="15"/>
  <c r="DZ12" i="1"/>
  <c r="EP67" i="19"/>
  <c r="EP99" i="19"/>
  <c r="CI37" i="24"/>
  <c r="Y36" i="24"/>
  <c r="DQ106" i="19"/>
  <c r="DQ107" i="19"/>
  <c r="DQ108" i="19"/>
  <c r="DQ109" i="19"/>
  <c r="CA48" i="15"/>
  <c r="CA47" i="15"/>
  <c r="AW62" i="15"/>
  <c r="AW68" i="15"/>
  <c r="AW60" i="15"/>
  <c r="EC13" i="24"/>
  <c r="EC63" i="24"/>
  <c r="EC66" i="24" s="1"/>
  <c r="CY47" i="21"/>
  <c r="AH156" i="19"/>
  <c r="DV40" i="21"/>
  <c r="AK11" i="11"/>
  <c r="EV50" i="24"/>
  <c r="AU49" i="24"/>
  <c r="AK103" i="19"/>
  <c r="AD27" i="21"/>
  <c r="AD32" i="21" s="1"/>
  <c r="HO34" i="7" s="1"/>
  <c r="H27" i="21"/>
  <c r="AD254" i="19"/>
  <c r="H254" i="19"/>
  <c r="FE13" i="25" s="1"/>
  <c r="AG21" i="21"/>
  <c r="AG16" i="21"/>
  <c r="AD32" i="11"/>
  <c r="AD158" i="11" s="1"/>
  <c r="CL10" i="7" s="1"/>
  <c r="CW158" i="11"/>
  <c r="CW122" i="1" s="1"/>
  <c r="AD122" i="1" s="1"/>
  <c r="AE53" i="19"/>
  <c r="CX185" i="19"/>
  <c r="EK35" i="21"/>
  <c r="CU56" i="1"/>
  <c r="CU40" i="1"/>
  <c r="EV28" i="11"/>
  <c r="EV32" i="11"/>
  <c r="AW51" i="19"/>
  <c r="EZ173" i="19"/>
  <c r="DR67" i="24"/>
  <c r="DS68" i="24" s="1"/>
  <c r="EA68" i="19"/>
  <c r="EA105" i="19"/>
  <c r="AE79" i="19"/>
  <c r="FT10" i="7"/>
  <c r="AR59" i="19"/>
  <c r="EK247" i="19"/>
  <c r="EM67" i="19"/>
  <c r="EM99" i="19"/>
  <c r="EV254" i="19"/>
  <c r="EV255" i="19"/>
  <c r="EV256" i="19"/>
  <c r="EV257" i="19"/>
  <c r="AU36" i="21"/>
  <c r="DW39" i="21"/>
  <c r="DW41" i="21"/>
  <c r="DW42" i="21"/>
  <c r="EW35" i="21"/>
  <c r="EW43" i="19"/>
  <c r="AV8" i="15"/>
  <c r="EW41" i="15"/>
  <c r="X11" i="28"/>
  <c r="AV74" i="26" s="1"/>
  <c r="AV81" i="26" s="1"/>
  <c r="DY102" i="19"/>
  <c r="DY103" i="19"/>
  <c r="AN99" i="19"/>
  <c r="DY100" i="19"/>
  <c r="DY101" i="19"/>
  <c r="FO8" i="25"/>
  <c r="AK39" i="21"/>
  <c r="AK41" i="21"/>
  <c r="EE175" i="19"/>
  <c r="EE176" i="19"/>
  <c r="AP173" i="19"/>
  <c r="EE177" i="19"/>
  <c r="K173" i="19"/>
  <c r="EE174" i="19"/>
  <c r="EK175" i="19"/>
  <c r="EK177" i="19"/>
  <c r="EK174" i="19"/>
  <c r="AR173" i="19"/>
  <c r="EK176" i="19"/>
  <c r="DF24" i="21"/>
  <c r="DF29" i="21" s="1"/>
  <c r="DZ9" i="21"/>
  <c r="AN9" i="21" s="1"/>
  <c r="AI103" i="19"/>
  <c r="EU60" i="19"/>
  <c r="EU253" i="19" s="1"/>
  <c r="CY68" i="24"/>
  <c r="CZ69" i="24" s="1"/>
  <c r="DA70" i="24" s="1"/>
  <c r="AD53" i="19"/>
  <c r="H53" i="19"/>
  <c r="CU185" i="19"/>
  <c r="DF43" i="24"/>
  <c r="AG42" i="24"/>
  <c r="CY45" i="21"/>
  <c r="DQ44" i="24"/>
  <c r="AK43" i="24"/>
  <c r="DU13" i="24"/>
  <c r="DU63" i="24"/>
  <c r="DU66" i="24" s="1"/>
  <c r="AA16" i="29"/>
  <c r="CL20" i="29"/>
  <c r="CM16" i="29" s="1"/>
  <c r="CM20" i="29" s="1"/>
  <c r="CN16" i="29" s="1"/>
  <c r="CN20" i="29" s="1"/>
  <c r="CO16" i="29" s="1"/>
  <c r="DM19" i="21"/>
  <c r="AJ9" i="21"/>
  <c r="DM10" i="21"/>
  <c r="DM11" i="21"/>
  <c r="DM12" i="21"/>
  <c r="DM14" i="21"/>
  <c r="DQ11" i="11"/>
  <c r="CN46" i="24"/>
  <c r="CO47" i="24" s="1"/>
  <c r="EI68" i="19"/>
  <c r="EI105" i="19"/>
  <c r="AS37" i="21"/>
  <c r="EJ68" i="19"/>
  <c r="EJ105" i="19"/>
  <c r="AT36" i="21"/>
  <c r="L36" i="21"/>
  <c r="DY56" i="1"/>
  <c r="DY40" i="1"/>
  <c r="AG45" i="21"/>
  <c r="GF11" i="7"/>
  <c r="GF12" i="7" s="1"/>
  <c r="DU19" i="21"/>
  <c r="DU10" i="21"/>
  <c r="DU11" i="21"/>
  <c r="DU12" i="21"/>
  <c r="DU14" i="21"/>
  <c r="Z20" i="29"/>
  <c r="AC21" i="29"/>
  <c r="J174" i="19"/>
  <c r="AL174" i="19"/>
  <c r="E8" i="28"/>
  <c r="J34" i="29"/>
  <c r="AD227" i="19"/>
  <c r="DA24" i="21"/>
  <c r="AF25" i="21"/>
  <c r="AF30" i="21" s="1"/>
  <c r="HQ15" i="7" s="1"/>
  <c r="EJ67" i="19"/>
  <c r="EJ99" i="19"/>
  <c r="DA110" i="15"/>
  <c r="K9" i="15"/>
  <c r="EN44" i="19"/>
  <c r="EN42" i="15"/>
  <c r="AS9" i="15"/>
  <c r="I9" i="21"/>
  <c r="I14" i="21" s="1"/>
  <c r="AH9" i="21"/>
  <c r="DG19" i="21"/>
  <c r="DG10" i="21"/>
  <c r="DG11" i="21"/>
  <c r="DG12" i="21"/>
  <c r="DG14" i="21"/>
  <c r="EI9" i="24"/>
  <c r="EI11" i="24" s="1"/>
  <c r="EI9" i="21"/>
  <c r="EI11" i="1"/>
  <c r="EG42" i="21"/>
  <c r="AK105" i="19"/>
  <c r="DP107" i="19"/>
  <c r="AK107" i="19" s="1"/>
  <c r="DP108" i="19"/>
  <c r="DP109" i="19"/>
  <c r="AK109" i="19" s="1"/>
  <c r="DP106" i="19"/>
  <c r="AK106" i="19" s="1"/>
  <c r="DT19" i="21"/>
  <c r="DT10" i="21"/>
  <c r="DT11" i="21"/>
  <c r="DT12" i="21"/>
  <c r="DT14" i="21"/>
  <c r="DO26" i="21"/>
  <c r="DO16" i="21"/>
  <c r="DO49" i="21"/>
  <c r="DO50" i="21" s="1"/>
  <c r="AI152" i="19"/>
  <c r="AT83" i="15"/>
  <c r="EQ9" i="15"/>
  <c r="EQ86" i="15"/>
  <c r="L83" i="15"/>
  <c r="DR15" i="21"/>
  <c r="DR25" i="21"/>
  <c r="DR24" i="21" s="1"/>
  <c r="DR29" i="21" s="1"/>
  <c r="DR44" i="21"/>
  <c r="DR45" i="21" s="1"/>
  <c r="ER35" i="21"/>
  <c r="ER43" i="19"/>
  <c r="ER41" i="15"/>
  <c r="AJ102" i="19"/>
  <c r="CI27" i="29"/>
  <c r="CJ23" i="29" s="1"/>
  <c r="CJ27" i="29" s="1"/>
  <c r="CK23" i="29" s="1"/>
  <c r="CK27" i="29" s="1"/>
  <c r="CL23" i="29" s="1"/>
  <c r="Z23" i="29"/>
  <c r="V130" i="37"/>
  <c r="W122" i="37"/>
  <c r="V132" i="37"/>
  <c r="I68" i="19"/>
  <c r="AH68" i="19"/>
  <c r="AG54" i="19"/>
  <c r="DD191" i="19"/>
  <c r="DA45" i="19"/>
  <c r="AF10" i="15"/>
  <c r="DA43" i="15"/>
  <c r="CX66" i="24"/>
  <c r="AE63" i="24"/>
  <c r="DS106" i="19"/>
  <c r="DS107" i="19"/>
  <c r="DS108" i="19"/>
  <c r="DS109" i="19"/>
  <c r="DY11" i="24"/>
  <c r="AL9" i="24"/>
  <c r="DS11" i="24"/>
  <c r="J42" i="21"/>
  <c r="EN35" i="21"/>
  <c r="EP12" i="1"/>
  <c r="EK17" i="11"/>
  <c r="EK35" i="1" s="1"/>
  <c r="EK29" i="11"/>
  <c r="EK30" i="11" s="1"/>
  <c r="DR42" i="24"/>
  <c r="AK41" i="24"/>
  <c r="AG76" i="19"/>
  <c r="FV7" i="7"/>
  <c r="EX249" i="19"/>
  <c r="EX250" i="19"/>
  <c r="EX251" i="19"/>
  <c r="EX248" i="19"/>
  <c r="EP34" i="21"/>
  <c r="EP40" i="21"/>
  <c r="ER248" i="19"/>
  <c r="ER249" i="19"/>
  <c r="ER250" i="19"/>
  <c r="ER251" i="19"/>
  <c r="AJ39" i="21"/>
  <c r="AJ41" i="21"/>
  <c r="AO34" i="21"/>
  <c r="EB39" i="21"/>
  <c r="EB41" i="21"/>
  <c r="AQ42" i="15"/>
  <c r="EH12" i="1"/>
  <c r="BZ47" i="19"/>
  <c r="BZ71" i="19" s="1"/>
  <c r="BZ45" i="15"/>
  <c r="BZ7" i="15"/>
  <c r="AJ42" i="21"/>
  <c r="F56" i="8"/>
  <c r="G26" i="8"/>
  <c r="DB68" i="24"/>
  <c r="DC69" i="24" s="1"/>
  <c r="DD70" i="24" s="1"/>
  <c r="CY73" i="24"/>
  <c r="AE72" i="24"/>
  <c r="AG225" i="19"/>
  <c r="GT8" i="7"/>
  <c r="AM40" i="21"/>
  <c r="DY250" i="19"/>
  <c r="DY251" i="19"/>
  <c r="AN247" i="19"/>
  <c r="DY249" i="19"/>
  <c r="DY248" i="19"/>
  <c r="DN106" i="19"/>
  <c r="DN108" i="19"/>
  <c r="DN109" i="19"/>
  <c r="DN107" i="19"/>
  <c r="AT62" i="15"/>
  <c r="AT68" i="15"/>
  <c r="AT60" i="15"/>
  <c r="AF79" i="19"/>
  <c r="FU10" i="7"/>
  <c r="J35" i="29"/>
  <c r="CY111" i="19"/>
  <c r="AK251" i="19"/>
  <c r="DZ108" i="24"/>
  <c r="EA109" i="24" s="1"/>
  <c r="EB110" i="24" s="1"/>
  <c r="AG226" i="19"/>
  <c r="GT9" i="7"/>
  <c r="U11" i="28"/>
  <c r="AS74" i="26" s="1"/>
  <c r="AS81" i="26" s="1"/>
  <c r="EW28" i="11"/>
  <c r="EW32" i="11"/>
  <c r="EW158" i="11" s="1"/>
  <c r="EW122" i="1" s="1"/>
  <c r="EV43" i="19"/>
  <c r="EV41" i="15"/>
  <c r="AW36" i="21"/>
  <c r="EJ42" i="24"/>
  <c r="EK43" i="24" s="1"/>
  <c r="AQ41" i="24"/>
  <c r="CV111" i="19"/>
  <c r="AB6" i="25"/>
  <c r="AR37" i="21"/>
  <c r="AM175" i="19"/>
  <c r="EM34" i="21"/>
  <c r="DW40" i="21"/>
  <c r="FB248" i="19"/>
  <c r="FB249" i="19"/>
  <c r="FB250" i="19"/>
  <c r="FB251" i="19"/>
  <c r="AG227" i="19"/>
  <c r="GT10" i="7"/>
  <c r="DU100" i="19"/>
  <c r="DU101" i="19"/>
  <c r="DU102" i="19"/>
  <c r="DU103" i="19"/>
  <c r="AN67" i="19"/>
  <c r="AW52" i="19"/>
  <c r="EZ179" i="19"/>
  <c r="DQ15" i="21"/>
  <c r="DQ25" i="21"/>
  <c r="DQ44" i="21"/>
  <c r="DQ45" i="21" s="1"/>
  <c r="GG11" i="7"/>
  <c r="GG13" i="7" s="1"/>
  <c r="GG12" i="7"/>
  <c r="DX39" i="21"/>
  <c r="DX41" i="21"/>
  <c r="DX42" i="21"/>
  <c r="AK151" i="19"/>
  <c r="DZ9" i="24"/>
  <c r="DZ11" i="24" s="1"/>
  <c r="AH39" i="21"/>
  <c r="AH41" i="21"/>
  <c r="CW111" i="19"/>
  <c r="AD54" i="19"/>
  <c r="CU191" i="19"/>
  <c r="AI102" i="19"/>
  <c r="I253" i="19"/>
  <c r="DW100" i="19"/>
  <c r="DW103" i="19"/>
  <c r="DW101" i="19"/>
  <c r="DW102" i="19"/>
  <c r="AG44" i="21"/>
  <c r="DD47" i="21"/>
  <c r="AG47" i="21" s="1"/>
  <c r="HR12" i="7" s="1"/>
  <c r="DV19" i="21"/>
  <c r="DV10" i="21"/>
  <c r="AM9" i="21"/>
  <c r="DV11" i="21"/>
  <c r="DV12" i="21"/>
  <c r="DV14" i="21"/>
  <c r="DE56" i="21"/>
  <c r="AG56" i="21" s="1"/>
  <c r="HR30" i="7" s="1"/>
  <c r="DF56" i="21"/>
  <c r="AD72" i="24"/>
  <c r="CV73" i="24"/>
  <c r="AD226" i="19"/>
  <c r="DB111" i="19"/>
  <c r="AL177" i="19"/>
  <c r="J177" i="19"/>
  <c r="EE9" i="24"/>
  <c r="EE9" i="21"/>
  <c r="K41" i="15"/>
  <c r="AP41" i="15"/>
  <c r="EE11" i="1"/>
  <c r="AJ11" i="24"/>
  <c r="DM13" i="24"/>
  <c r="DM63" i="24"/>
  <c r="ET44" i="19"/>
  <c r="ET42" i="15"/>
  <c r="DA46" i="19"/>
  <c r="AF11" i="15"/>
  <c r="L85" i="15"/>
  <c r="AE224" i="19"/>
  <c r="GR7" i="7"/>
  <c r="DI43" i="24"/>
  <c r="AH42" i="24"/>
  <c r="EA13" i="24"/>
  <c r="EA63" i="24"/>
  <c r="EA66" i="24" s="1"/>
  <c r="AI153" i="19"/>
  <c r="EN174" i="19"/>
  <c r="EN175" i="19"/>
  <c r="EN176" i="19"/>
  <c r="EN177" i="19"/>
  <c r="AS173" i="19"/>
  <c r="AD17" i="11"/>
  <c r="AD34" i="11"/>
  <c r="AD29" i="11"/>
  <c r="AD30" i="11" s="1"/>
  <c r="EM11" i="1"/>
  <c r="AD77" i="19"/>
  <c r="DZ11" i="11"/>
  <c r="DZ108" i="1"/>
  <c r="AG22" i="21"/>
  <c r="AG17" i="21"/>
  <c r="DN89" i="24"/>
  <c r="DO90" i="24" s="1"/>
  <c r="DP91" i="24" s="1"/>
  <c r="BZ58" i="19"/>
  <c r="W58" i="19" s="1"/>
  <c r="W63" i="19" s="1"/>
  <c r="BZ37" i="15"/>
  <c r="W29" i="15"/>
  <c r="BY34" i="15"/>
  <c r="BZ92" i="15"/>
  <c r="BZ36" i="15"/>
  <c r="CZ47" i="21"/>
  <c r="CZ45" i="21"/>
  <c r="EI43" i="24"/>
  <c r="AQ42" i="24"/>
  <c r="DM11" i="11"/>
  <c r="L32" i="29"/>
  <c r="G10" i="28" s="1"/>
  <c r="O73" i="26" s="1"/>
  <c r="AT32" i="29"/>
  <c r="Y10" i="28" s="1"/>
  <c r="AW73" i="26" s="1"/>
  <c r="AW80" i="26" s="1"/>
  <c r="ER39" i="29"/>
  <c r="AE49" i="21"/>
  <c r="CX50" i="21"/>
  <c r="EJ40" i="21"/>
  <c r="EJ34" i="21"/>
  <c r="EQ37" i="21"/>
  <c r="EQ59" i="19"/>
  <c r="L30" i="15"/>
  <c r="AT30" i="15"/>
  <c r="EX44" i="19"/>
  <c r="EX42" i="15"/>
  <c r="CW56" i="21"/>
  <c r="DH69" i="24"/>
  <c r="DI70" i="24" s="1"/>
  <c r="DJ71" i="24" s="1"/>
  <c r="I103" i="19"/>
  <c r="AH103" i="19"/>
  <c r="EI67" i="19"/>
  <c r="EI99" i="19"/>
  <c r="CU33" i="15"/>
  <c r="AD110" i="15"/>
  <c r="DT13" i="24"/>
  <c r="DT63" i="24"/>
  <c r="DT66" i="24" s="1"/>
  <c r="DO15" i="21"/>
  <c r="DO25" i="21"/>
  <c r="DO24" i="21" s="1"/>
  <c r="DO29" i="21" s="1"/>
  <c r="DO44" i="21"/>
  <c r="DO45" i="21" s="1"/>
  <c r="EX60" i="19"/>
  <c r="EX253" i="19" s="1"/>
  <c r="AJ101" i="19"/>
  <c r="H44" i="21"/>
  <c r="AD44" i="21"/>
  <c r="CU47" i="21"/>
  <c r="CU45" i="21"/>
  <c r="DN90" i="24"/>
  <c r="DO91" i="24" s="1"/>
  <c r="DP92" i="24" s="1"/>
  <c r="U16" i="35"/>
  <c r="U30" i="35"/>
  <c r="U32" i="35"/>
  <c r="U28" i="35"/>
  <c r="U34" i="35"/>
  <c r="DR52" i="21"/>
  <c r="DR47" i="21"/>
  <c r="DR57" i="21"/>
  <c r="AO176" i="19"/>
  <c r="AP59" i="19"/>
  <c r="K59" i="19"/>
  <c r="EE247" i="19"/>
  <c r="DE69" i="24"/>
  <c r="DF70" i="24" s="1"/>
  <c r="DG71" i="24" s="1"/>
  <c r="EF9" i="24"/>
  <c r="EF11" i="24" s="1"/>
  <c r="EF9" i="21"/>
  <c r="EF11" i="1"/>
  <c r="EZ31" i="15"/>
  <c r="AW85" i="15"/>
  <c r="AW86" i="15" s="1"/>
  <c r="DL17" i="21"/>
  <c r="DL27" i="21"/>
  <c r="DL54" i="21"/>
  <c r="DZ68" i="19"/>
  <c r="J68" i="19" s="1"/>
  <c r="DZ105" i="19"/>
  <c r="EX37" i="21"/>
  <c r="AO40" i="21"/>
  <c r="J247" i="19"/>
  <c r="DS248" i="19"/>
  <c r="DS249" i="19"/>
  <c r="DS250" i="19"/>
  <c r="AL247" i="19"/>
  <c r="DS251" i="19"/>
  <c r="AF78" i="19"/>
  <c r="FU9" i="7"/>
  <c r="FY10" i="25"/>
  <c r="AN253" i="19"/>
  <c r="DY254" i="19"/>
  <c r="AN254" i="19" s="1"/>
  <c r="DY255" i="19"/>
  <c r="AN255" i="19" s="1"/>
  <c r="DY257" i="19"/>
  <c r="AN257" i="19" s="1"/>
  <c r="DY256" i="19"/>
  <c r="AN256" i="19" s="1"/>
  <c r="EW44" i="19"/>
  <c r="EW42" i="15"/>
  <c r="AV9" i="15"/>
  <c r="EV9" i="15"/>
  <c r="EV86" i="15"/>
  <c r="DV248" i="19"/>
  <c r="AM247" i="19"/>
  <c r="DV249" i="19"/>
  <c r="DV250" i="19"/>
  <c r="DV251" i="19"/>
  <c r="DY180" i="19"/>
  <c r="AN180" i="19" s="1"/>
  <c r="AN179" i="19"/>
  <c r="DY183" i="19"/>
  <c r="AN183" i="19" s="1"/>
  <c r="DY181" i="19"/>
  <c r="AN181" i="19" s="1"/>
  <c r="DY182" i="19"/>
  <c r="AN182" i="19" s="1"/>
  <c r="EU43" i="19"/>
  <c r="EU41" i="15"/>
  <c r="AO42" i="15"/>
  <c r="EB12" i="1"/>
  <c r="J34" i="21"/>
  <c r="J39" i="21" s="1"/>
  <c r="AL34" i="21"/>
  <c r="AL39" i="21" s="1"/>
  <c r="DS39" i="21"/>
  <c r="EB100" i="19"/>
  <c r="EB101" i="19"/>
  <c r="EB102" i="19"/>
  <c r="EB103" i="19"/>
  <c r="AO99" i="19"/>
  <c r="CX33" i="15"/>
  <c r="AE110" i="15"/>
  <c r="AV51" i="19"/>
  <c r="EW173" i="19"/>
  <c r="DH86" i="24"/>
  <c r="I108" i="1"/>
  <c r="AH108" i="1"/>
  <c r="EC108" i="24"/>
  <c r="ED109" i="24" s="1"/>
  <c r="EE110" i="24" s="1"/>
  <c r="FB254" i="19"/>
  <c r="FB255" i="19"/>
  <c r="FB256" i="19"/>
  <c r="FB257" i="19"/>
  <c r="I40" i="21"/>
  <c r="F11" i="28"/>
  <c r="N74" i="26" s="1"/>
  <c r="N81" i="26" s="1"/>
  <c r="FO7" i="25"/>
  <c r="ED100" i="19"/>
  <c r="ED101" i="19"/>
  <c r="ED102" i="19"/>
  <c r="ED103" i="19"/>
  <c r="CA8" i="25"/>
  <c r="EW37" i="21"/>
  <c r="EW59" i="19"/>
  <c r="AV30" i="15"/>
  <c r="AM177" i="19"/>
  <c r="V41" i="37"/>
  <c r="V40" i="37"/>
  <c r="AE227" i="19"/>
  <c r="GR10" i="7"/>
  <c r="EA43" i="24"/>
  <c r="AN42" i="24"/>
  <c r="DT12" i="1"/>
  <c r="J12" i="1" s="1"/>
  <c r="I7" i="8" s="1"/>
  <c r="AP51" i="24"/>
  <c r="EF52" i="24"/>
  <c r="EG53" i="24" s="1"/>
  <c r="EH54" i="24" s="1"/>
  <c r="H137" i="11"/>
  <c r="ET23" i="25"/>
  <c r="AO253" i="19"/>
  <c r="EB255" i="19"/>
  <c r="AO255" i="19" s="1"/>
  <c r="EB256" i="19"/>
  <c r="AO256" i="19" s="1"/>
  <c r="EB257" i="19"/>
  <c r="AO257" i="19" s="1"/>
  <c r="EB254" i="19"/>
  <c r="AO254" i="19" s="1"/>
  <c r="X79" i="36"/>
  <c r="X75" i="36" s="1"/>
  <c r="W69" i="37"/>
  <c r="AG69" i="37" s="1"/>
  <c r="AI101" i="19"/>
  <c r="AH255" i="19"/>
  <c r="AH231" i="19" s="1"/>
  <c r="DM107" i="19"/>
  <c r="AJ107" i="19" s="1"/>
  <c r="AJ83" i="19" s="1"/>
  <c r="DM109" i="19"/>
  <c r="AJ109" i="19" s="1"/>
  <c r="AJ85" i="19" s="1"/>
  <c r="AJ105" i="19"/>
  <c r="DM106" i="19"/>
  <c r="AJ106" i="19" s="1"/>
  <c r="AJ82" i="19" s="1"/>
  <c r="DM108" i="19"/>
  <c r="DZ101" i="19"/>
  <c r="DZ102" i="19"/>
  <c r="DZ103" i="19"/>
  <c r="DZ100" i="19"/>
  <c r="AG25" i="21"/>
  <c r="AG30" i="21" s="1"/>
  <c r="HR15" i="7" s="1"/>
  <c r="DD24" i="21"/>
  <c r="AM9" i="24"/>
  <c r="DV11" i="24"/>
  <c r="DE46" i="21"/>
  <c r="I82" i="11"/>
  <c r="DF82" i="11"/>
  <c r="AU26" i="29"/>
  <c r="EY44" i="19"/>
  <c r="EY42" i="15"/>
  <c r="DF46" i="21"/>
  <c r="H106" i="19"/>
  <c r="CZ13" i="25"/>
  <c r="CZ10" i="25"/>
  <c r="AJ9" i="24"/>
  <c r="DZ39" i="21"/>
  <c r="DZ41" i="21"/>
  <c r="AT85" i="15"/>
  <c r="CX11" i="15"/>
  <c r="AE98" i="15"/>
  <c r="AE99" i="15" s="1"/>
  <c r="AE100" i="15" s="1"/>
  <c r="DH13" i="24"/>
  <c r="DH63" i="24"/>
  <c r="DH66" i="24" s="1"/>
  <c r="AF44" i="21"/>
  <c r="DA45" i="21"/>
  <c r="AF45" i="21" s="1"/>
  <c r="I101" i="19"/>
  <c r="AH101" i="19"/>
  <c r="CU78" i="24"/>
  <c r="AC77" i="24"/>
  <c r="AC126" i="24" s="1"/>
  <c r="G77" i="24"/>
  <c r="G126" i="24" s="1"/>
  <c r="I250" i="19"/>
  <c r="AH250" i="19"/>
  <c r="FZ7" i="25"/>
  <c r="DJ67" i="24"/>
  <c r="AO179" i="19"/>
  <c r="EB180" i="19"/>
  <c r="AO180" i="19" s="1"/>
  <c r="EB181" i="19"/>
  <c r="AO181" i="19" s="1"/>
  <c r="EB182" i="19"/>
  <c r="AO182" i="19" s="1"/>
  <c r="EB183" i="19"/>
  <c r="AO183" i="19" s="1"/>
  <c r="AK108" i="1"/>
  <c r="AK112" i="1" s="1"/>
  <c r="DI16" i="21"/>
  <c r="DI26" i="21"/>
  <c r="DI49" i="21"/>
  <c r="DI50" i="21" s="1"/>
  <c r="GF14" i="7"/>
  <c r="AH153" i="19"/>
  <c r="AH256" i="19"/>
  <c r="AH232" i="19" s="1"/>
  <c r="DV11" i="11"/>
  <c r="AM11" i="1"/>
  <c r="DV108" i="1"/>
  <c r="AI9" i="24"/>
  <c r="DJ11" i="24"/>
  <c r="AF15" i="21"/>
  <c r="AF20" i="21"/>
  <c r="DP67" i="24"/>
  <c r="AR52" i="19"/>
  <c r="EK179" i="19"/>
  <c r="AH157" i="19"/>
  <c r="K41" i="24"/>
  <c r="AE26" i="21"/>
  <c r="AE31" i="21" s="1"/>
  <c r="HP24" i="7" s="1"/>
  <c r="FI22" i="7"/>
  <c r="AF54" i="21"/>
  <c r="DA55" i="21"/>
  <c r="AF55" i="21" s="1"/>
  <c r="DB44" i="15"/>
  <c r="AP44" i="19"/>
  <c r="EE68" i="19"/>
  <c r="EE105" i="19"/>
  <c r="DJ17" i="21"/>
  <c r="AI12" i="21"/>
  <c r="DJ27" i="21"/>
  <c r="DJ54" i="21"/>
  <c r="CW46" i="21"/>
  <c r="AF53" i="19"/>
  <c r="DA185" i="19"/>
  <c r="CX45" i="19"/>
  <c r="AE10" i="15"/>
  <c r="I102" i="19"/>
  <c r="AH102" i="19"/>
  <c r="EI34" i="21"/>
  <c r="EI40" i="21" s="1"/>
  <c r="H109" i="15"/>
  <c r="CU32" i="15"/>
  <c r="AD109" i="15"/>
  <c r="AQ52" i="19"/>
  <c r="EH179" i="19"/>
  <c r="AL12" i="1"/>
  <c r="AJ100" i="19"/>
  <c r="AD15" i="21"/>
  <c r="AD20" i="21"/>
  <c r="AE54" i="21"/>
  <c r="CX55" i="21"/>
  <c r="DR46" i="21"/>
  <c r="DR51" i="21"/>
  <c r="DR56" i="21"/>
  <c r="CC37" i="24"/>
  <c r="W36" i="24"/>
  <c r="ET37" i="21"/>
  <c r="ET59" i="19"/>
  <c r="AU30" i="15"/>
  <c r="DH106" i="19"/>
  <c r="DH107" i="19"/>
  <c r="DH108" i="19"/>
  <c r="DH109" i="19"/>
  <c r="AP37" i="21"/>
  <c r="K37" i="21"/>
  <c r="I249" i="19"/>
  <c r="AH249" i="19"/>
  <c r="EL12" i="1"/>
  <c r="AL42" i="21"/>
  <c r="CW57" i="21"/>
  <c r="EP68" i="19"/>
  <c r="EP105" i="19"/>
  <c r="AH151" i="19"/>
  <c r="CX56" i="21"/>
  <c r="AE56" i="21" s="1"/>
  <c r="HP30" i="7" s="1"/>
  <c r="AG224" i="19"/>
  <c r="GT7" i="7"/>
  <c r="AV68" i="15"/>
  <c r="AV62" i="15"/>
  <c r="AV60" i="15"/>
  <c r="EF67" i="19"/>
  <c r="EF99" i="19"/>
  <c r="DL16" i="21"/>
  <c r="DL26" i="21"/>
  <c r="DL49" i="21"/>
  <c r="AD49" i="21"/>
  <c r="H49" i="21"/>
  <c r="CU52" i="21"/>
  <c r="CU50" i="21"/>
  <c r="EB40" i="21"/>
  <c r="I12" i="1"/>
  <c r="H7" i="8" s="1"/>
  <c r="AH12" i="1"/>
  <c r="AI108" i="1"/>
  <c r="DF111" i="19"/>
  <c r="AD19" i="30"/>
  <c r="AL19" i="30"/>
  <c r="AE19" i="30"/>
  <c r="AM19" i="30"/>
  <c r="AF19" i="30"/>
  <c r="Y19" i="30"/>
  <c r="Y51" i="30" s="1"/>
  <c r="AG19" i="30"/>
  <c r="Z19" i="30"/>
  <c r="AH19" i="30"/>
  <c r="AA19" i="30"/>
  <c r="AI19" i="30"/>
  <c r="E31" i="30"/>
  <c r="D31" i="30" s="1"/>
  <c r="AB19" i="30"/>
  <c r="AJ19" i="30"/>
  <c r="AC19" i="30"/>
  <c r="AK19" i="30"/>
  <c r="AA106" i="1"/>
  <c r="AA110" i="1" s="1"/>
  <c r="Z113" i="1"/>
  <c r="GE13" i="7"/>
  <c r="AT59" i="15"/>
  <c r="AO42" i="21"/>
  <c r="AO67" i="19"/>
  <c r="CX32" i="15"/>
  <c r="AE109" i="15"/>
  <c r="AV36" i="21"/>
  <c r="DI15" i="21"/>
  <c r="DI25" i="21"/>
  <c r="DI44" i="21"/>
  <c r="DI45" i="21" s="1"/>
  <c r="EZ44" i="19"/>
  <c r="EZ42" i="15"/>
  <c r="AS45" i="24"/>
  <c r="EO46" i="24"/>
  <c r="EP47" i="24" s="1"/>
  <c r="EQ48" i="24" s="1"/>
  <c r="DC47" i="21"/>
  <c r="DD33" i="15"/>
  <c r="DE117" i="19"/>
  <c r="FA254" i="19"/>
  <c r="FA256" i="19"/>
  <c r="FA257" i="19"/>
  <c r="FA255" i="19"/>
  <c r="AJ152" i="19"/>
  <c r="AD76" i="19"/>
  <c r="FS7" i="7"/>
  <c r="AO71" i="15"/>
  <c r="H11" i="11"/>
  <c r="EL9" i="24"/>
  <c r="EL11" i="24" s="1"/>
  <c r="EL9" i="21"/>
  <c r="EL11" i="1"/>
  <c r="AM176" i="19"/>
  <c r="AW80" i="15"/>
  <c r="AW74" i="15" s="1"/>
  <c r="AF63" i="24"/>
  <c r="DA66" i="24"/>
  <c r="DM42" i="24"/>
  <c r="I42" i="24" s="1"/>
  <c r="AI41" i="24"/>
  <c r="ED43" i="24"/>
  <c r="AO42" i="24"/>
  <c r="EG254" i="19"/>
  <c r="EG255" i="19"/>
  <c r="EG257" i="19"/>
  <c r="EG256" i="19"/>
  <c r="CX57" i="21"/>
  <c r="EH174" i="19"/>
  <c r="AQ173" i="19"/>
  <c r="EH175" i="19"/>
  <c r="EH177" i="19"/>
  <c r="EH176" i="19"/>
  <c r="AT80" i="15"/>
  <c r="AT74" i="15" s="1"/>
  <c r="AD225" i="19"/>
  <c r="FA35" i="21"/>
  <c r="FA43" i="19"/>
  <c r="FA41" i="15"/>
  <c r="DW106" i="19"/>
  <c r="DW108" i="19"/>
  <c r="DW109" i="19"/>
  <c r="DW107" i="19"/>
  <c r="CZ111" i="19"/>
  <c r="DT68" i="19"/>
  <c r="AL68" i="19" s="1"/>
  <c r="DT105" i="19"/>
  <c r="ED12" i="1"/>
  <c r="AJ151" i="19"/>
  <c r="AV52" i="19"/>
  <c r="EW179" i="19"/>
  <c r="H109" i="11"/>
  <c r="EJ21" i="7"/>
  <c r="EJ21" i="25"/>
  <c r="AF77" i="19"/>
  <c r="FU8" i="7"/>
  <c r="AH254" i="19"/>
  <c r="AH230" i="19" s="1"/>
  <c r="AJ68" i="19"/>
  <c r="I182" i="19"/>
  <c r="DE51" i="21"/>
  <c r="AG51" i="21" s="1"/>
  <c r="EO254" i="19"/>
  <c r="EO255" i="19"/>
  <c r="EO257" i="19"/>
  <c r="EO256" i="19"/>
  <c r="AU62" i="15"/>
  <c r="AU68" i="15"/>
  <c r="AU60" i="15"/>
  <c r="AD78" i="19"/>
  <c r="FS9" i="7"/>
  <c r="DF51" i="21"/>
  <c r="AI248" i="19"/>
  <c r="AE44" i="21"/>
  <c r="CX45" i="21"/>
  <c r="AE45" i="21" s="1"/>
  <c r="AP71" i="15"/>
  <c r="CY43" i="24"/>
  <c r="CZ44" i="24" s="1"/>
  <c r="DA45" i="24" s="1"/>
  <c r="AE42" i="24"/>
  <c r="EW60" i="19"/>
  <c r="AV31" i="15"/>
  <c r="EQ60" i="19"/>
  <c r="L31" i="15"/>
  <c r="AT31" i="15"/>
  <c r="AF227" i="19"/>
  <c r="GS10" i="7"/>
  <c r="EY35" i="21"/>
  <c r="EY43" i="19"/>
  <c r="EY41" i="15"/>
  <c r="AL253" i="19"/>
  <c r="J253" i="19"/>
  <c r="DS254" i="19"/>
  <c r="DS256" i="19"/>
  <c r="DS257" i="19"/>
  <c r="DS255" i="19"/>
  <c r="CV56" i="1"/>
  <c r="CV40" i="1"/>
  <c r="AE225" i="19"/>
  <c r="GR8" i="7"/>
  <c r="AI34" i="21"/>
  <c r="DJ39" i="21"/>
  <c r="DJ41" i="21"/>
  <c r="DJ42" i="21"/>
  <c r="AJ150" i="19"/>
  <c r="AD255" i="19"/>
  <c r="GQ8" i="7" s="1"/>
  <c r="H255" i="19"/>
  <c r="FE14" i="25" s="1"/>
  <c r="DK43" i="24"/>
  <c r="AI42" i="24"/>
  <c r="EO44" i="19"/>
  <c r="EO42" i="15"/>
  <c r="EV43" i="24"/>
  <c r="EW44" i="24" s="1"/>
  <c r="AU42" i="24"/>
  <c r="V13" i="37"/>
  <c r="EG9" i="24"/>
  <c r="EG11" i="24" s="1"/>
  <c r="EG9" i="21"/>
  <c r="EG11" i="1"/>
  <c r="AS179" i="19"/>
  <c r="EN180" i="19"/>
  <c r="AS180" i="19" s="1"/>
  <c r="EN182" i="19"/>
  <c r="AS182" i="19" s="1"/>
  <c r="EN181" i="19"/>
  <c r="AS181" i="19" s="1"/>
  <c r="EN183" i="19"/>
  <c r="AS183" i="19" s="1"/>
  <c r="EG67" i="19"/>
  <c r="EG99" i="19"/>
  <c r="AK152" i="19"/>
  <c r="DC43" i="24"/>
  <c r="AF42" i="24"/>
  <c r="EG34" i="21"/>
  <c r="EG40" i="21"/>
  <c r="AP41" i="24"/>
  <c r="EC107" i="19"/>
  <c r="EC109" i="19"/>
  <c r="EC106" i="19"/>
  <c r="EC108" i="19"/>
  <c r="EX35" i="21"/>
  <c r="EX43" i="19"/>
  <c r="EX41" i="15"/>
  <c r="AE16" i="21"/>
  <c r="AE21" i="21"/>
  <c r="EY43" i="24"/>
  <c r="AV42" i="24"/>
  <c r="EJ100" i="15"/>
  <c r="EK100" i="15"/>
  <c r="L100" i="15"/>
  <c r="EL100" i="15"/>
  <c r="EM100" i="15"/>
  <c r="EE100" i="15"/>
  <c r="EN100" i="15"/>
  <c r="EF100" i="15"/>
  <c r="EO100" i="15"/>
  <c r="EG100" i="15"/>
  <c r="EP100" i="15"/>
  <c r="EH100" i="15"/>
  <c r="EI100" i="15"/>
  <c r="DB70" i="19"/>
  <c r="DB117" i="19"/>
  <c r="DJ16" i="21"/>
  <c r="AI11" i="21"/>
  <c r="DJ26" i="21"/>
  <c r="DJ49" i="21"/>
  <c r="GE15" i="7"/>
  <c r="DN13" i="24"/>
  <c r="DN63" i="24"/>
  <c r="DN66" i="24" s="1"/>
  <c r="DH12" i="21"/>
  <c r="DH14" i="21"/>
  <c r="DH19" i="21"/>
  <c r="DH10" i="21"/>
  <c r="DH11" i="21"/>
  <c r="DM67" i="24"/>
  <c r="EU9" i="15"/>
  <c r="EU86" i="15"/>
  <c r="CU24" i="21"/>
  <c r="H25" i="21"/>
  <c r="AD25" i="21"/>
  <c r="AD30" i="21" s="1"/>
  <c r="HO15" i="7" s="1"/>
  <c r="H109" i="19"/>
  <c r="AL41" i="21"/>
  <c r="AU80" i="15"/>
  <c r="AU74" i="15" s="1"/>
  <c r="I248" i="19"/>
  <c r="AH248" i="19"/>
  <c r="EL68" i="19"/>
  <c r="EL105" i="19"/>
  <c r="FB86" i="15"/>
  <c r="FB9" i="15"/>
  <c r="AW9" i="15" s="1"/>
  <c r="CW47" i="21"/>
  <c r="FZ8" i="25"/>
  <c r="AE46" i="21"/>
  <c r="HP11" i="7" s="1"/>
  <c r="DF44" i="15"/>
  <c r="EH9" i="24"/>
  <c r="EH9" i="21"/>
  <c r="AQ41" i="15"/>
  <c r="EH11" i="1"/>
  <c r="AJ230" i="19"/>
  <c r="AF225" i="19"/>
  <c r="GS8" i="7"/>
  <c r="B21" i="30"/>
  <c r="C21" i="30"/>
  <c r="A22" i="30"/>
  <c r="FJ13" i="7"/>
  <c r="GE14" i="7"/>
  <c r="EF34" i="21"/>
  <c r="DL15" i="21"/>
  <c r="DL25" i="21"/>
  <c r="DL24" i="21" s="1"/>
  <c r="DL29" i="21" s="1"/>
  <c r="DL44" i="21"/>
  <c r="AD16" i="21"/>
  <c r="AD21" i="21"/>
  <c r="W37" i="24"/>
  <c r="CA38" i="24"/>
  <c r="AQ44" i="19"/>
  <c r="EH68" i="19"/>
  <c r="AQ68" i="19" s="1"/>
  <c r="EH105" i="19"/>
  <c r="FB35" i="21"/>
  <c r="FB43" i="19"/>
  <c r="FB41" i="15"/>
  <c r="AI11" i="11"/>
  <c r="AI112" i="1"/>
  <c r="AI20" i="1"/>
  <c r="AH152" i="19"/>
  <c r="CV61" i="19"/>
  <c r="CV259" i="19" s="1"/>
  <c r="AG100" i="15"/>
  <c r="AG99" i="15"/>
  <c r="AT72" i="15"/>
  <c r="EZ37" i="21"/>
  <c r="EZ59" i="19"/>
  <c r="AW30" i="15"/>
  <c r="CP63" i="19"/>
  <c r="CQ29" i="15"/>
  <c r="AK102" i="19"/>
  <c r="EB42" i="21"/>
  <c r="AO44" i="19"/>
  <c r="EB68" i="19"/>
  <c r="EB105" i="19"/>
  <c r="FJ14" i="7"/>
  <c r="AF49" i="21"/>
  <c r="DA50" i="21"/>
  <c r="AF50" i="21" s="1"/>
  <c r="EA100" i="19"/>
  <c r="EA101" i="19"/>
  <c r="EA102" i="19"/>
  <c r="EA103" i="19"/>
  <c r="DE68" i="24"/>
  <c r="DF69" i="24" s="1"/>
  <c r="DG70" i="24" s="1"/>
  <c r="AH11" i="11"/>
  <c r="AH112" i="1"/>
  <c r="AH20" i="1"/>
  <c r="AN177" i="19"/>
  <c r="AF224" i="19"/>
  <c r="GS7" i="7"/>
  <c r="DA54" i="19"/>
  <c r="AF22" i="15"/>
  <c r="AG78" i="19"/>
  <c r="FV9" i="7"/>
  <c r="DC52" i="21"/>
  <c r="DD32" i="15"/>
  <c r="AG109" i="15"/>
  <c r="AK12" i="1"/>
  <c r="AK20" i="1" s="1"/>
  <c r="FY9" i="25"/>
  <c r="FY11" i="25" s="1"/>
  <c r="AM158" i="19"/>
  <c r="AU52" i="19"/>
  <c r="ET179" i="19"/>
  <c r="G12" i="8"/>
  <c r="EL67" i="19"/>
  <c r="EL99" i="19"/>
  <c r="AM174" i="19"/>
  <c r="CZ57" i="21"/>
  <c r="CZ55" i="21"/>
  <c r="CX52" i="21"/>
  <c r="AG79" i="19"/>
  <c r="FV10" i="7"/>
  <c r="CW61" i="19"/>
  <c r="CW259" i="19" s="1"/>
  <c r="EP42" i="24"/>
  <c r="AS41" i="24"/>
  <c r="CU45" i="19"/>
  <c r="AD10" i="15"/>
  <c r="CU43" i="15"/>
  <c r="H10" i="15"/>
  <c r="L80" i="15"/>
  <c r="L74" i="15" s="1"/>
  <c r="DQ17" i="21"/>
  <c r="DQ27" i="21"/>
  <c r="DQ54" i="21"/>
  <c r="DQ55" i="21" s="1"/>
  <c r="GI8" i="25"/>
  <c r="EB11" i="11"/>
  <c r="AO11" i="1"/>
  <c r="EB108" i="1"/>
  <c r="EU248" i="19"/>
  <c r="EU249" i="19"/>
  <c r="EU251" i="19"/>
  <c r="EU250" i="19"/>
  <c r="DW11" i="11"/>
  <c r="DW108" i="1"/>
  <c r="ED68" i="19"/>
  <c r="ED105" i="19"/>
  <c r="EF12" i="1"/>
  <c r="EO9" i="24"/>
  <c r="EO11" i="24" s="1"/>
  <c r="EO9" i="21"/>
  <c r="EO11" i="1"/>
  <c r="F60" i="8"/>
  <c r="DA47" i="21"/>
  <c r="CV46" i="19"/>
  <c r="CV44" i="15"/>
  <c r="CV13" i="1" s="1"/>
  <c r="DK17" i="21"/>
  <c r="DK27" i="21"/>
  <c r="DK54" i="21"/>
  <c r="DK55" i="21" s="1"/>
  <c r="AH158" i="19"/>
  <c r="AG15" i="21"/>
  <c r="AG20" i="21"/>
  <c r="CZ61" i="19"/>
  <c r="CZ259" i="19" s="1"/>
  <c r="CW46" i="19"/>
  <c r="CW44" i="15"/>
  <c r="CW13" i="1" s="1"/>
  <c r="DV106" i="19"/>
  <c r="AM105" i="19"/>
  <c r="AM159" i="19" s="1"/>
  <c r="DV108" i="19"/>
  <c r="DV109" i="19"/>
  <c r="DV107" i="19"/>
  <c r="AM107" i="19" s="1"/>
  <c r="AM83" i="19" s="1"/>
  <c r="FO9" i="25"/>
  <c r="AI251" i="19"/>
  <c r="AL175" i="19"/>
  <c r="J175" i="19"/>
  <c r="AE25" i="21"/>
  <c r="AE30" i="21" s="1"/>
  <c r="HP15" i="7" s="1"/>
  <c r="CX24" i="21"/>
  <c r="AJ251" i="19"/>
  <c r="K43" i="19"/>
  <c r="AP43" i="19"/>
  <c r="EE67" i="19"/>
  <c r="EE99" i="19"/>
  <c r="AV85" i="15"/>
  <c r="AV86" i="15" s="1"/>
  <c r="ED39" i="21"/>
  <c r="ED42" i="21"/>
  <c r="ED41" i="21"/>
  <c r="AU85" i="15"/>
  <c r="AU86" i="15" s="1"/>
  <c r="I9" i="24"/>
  <c r="AH9" i="24"/>
  <c r="DG11" i="24"/>
  <c r="CZ52" i="21"/>
  <c r="CZ50" i="21"/>
  <c r="EC39" i="21"/>
  <c r="EC41" i="21"/>
  <c r="EC42" i="21"/>
  <c r="FI21" i="7"/>
  <c r="DP254" i="19"/>
  <c r="AK254" i="19" s="1"/>
  <c r="AK230" i="19" s="1"/>
  <c r="DP255" i="19"/>
  <c r="AK255" i="19" s="1"/>
  <c r="AK231" i="19" s="1"/>
  <c r="AK253" i="19"/>
  <c r="DP256" i="19"/>
  <c r="AK256" i="19" s="1"/>
  <c r="AK232" i="19" s="1"/>
  <c r="DP257" i="19"/>
  <c r="AK257" i="19" s="1"/>
  <c r="AK233" i="19" s="1"/>
  <c r="EC19" i="21"/>
  <c r="EC10" i="21"/>
  <c r="EC11" i="21"/>
  <c r="EC12" i="21"/>
  <c r="EC14" i="21"/>
  <c r="GF13" i="7"/>
  <c r="EQ106" i="15"/>
  <c r="EY106" i="15"/>
  <c r="ER106" i="15"/>
  <c r="EZ106" i="15"/>
  <c r="ES106" i="15"/>
  <c r="FA106" i="15"/>
  <c r="ET106" i="15"/>
  <c r="FB106" i="15"/>
  <c r="EU106" i="15"/>
  <c r="EV106" i="15"/>
  <c r="EW106" i="15"/>
  <c r="EX106" i="15"/>
  <c r="BL110" i="1"/>
  <c r="BL99" i="1"/>
  <c r="DE111" i="19"/>
  <c r="AS60" i="19"/>
  <c r="EN253" i="19"/>
  <c r="CX54" i="19"/>
  <c r="H54" i="19" s="1"/>
  <c r="AE22" i="15"/>
  <c r="EG43" i="24"/>
  <c r="K42" i="24"/>
  <c r="AP42" i="24"/>
  <c r="ED11" i="11"/>
  <c r="ED108" i="1"/>
  <c r="W49" i="37"/>
  <c r="W24" i="37"/>
  <c r="X55" i="36"/>
  <c r="X51" i="36" s="1"/>
  <c r="W51" i="37"/>
  <c r="DB61" i="19"/>
  <c r="DB259" i="19" s="1"/>
  <c r="DT100" i="19"/>
  <c r="DT101" i="19"/>
  <c r="DT102" i="19"/>
  <c r="DT103" i="19"/>
  <c r="CZ46" i="19"/>
  <c r="CZ44" i="15"/>
  <c r="AQ59" i="19"/>
  <c r="EH247" i="19"/>
  <c r="ED19" i="21"/>
  <c r="ED10" i="21"/>
  <c r="ED11" i="21"/>
  <c r="ED12" i="21"/>
  <c r="ED14" i="21"/>
  <c r="V33" i="37"/>
  <c r="V36" i="37"/>
  <c r="DZ107" i="24"/>
  <c r="EA108" i="24" s="1"/>
  <c r="EB109" i="24" s="1"/>
  <c r="ER44" i="19"/>
  <c r="ER42" i="15"/>
  <c r="GG14" i="7"/>
  <c r="DX11" i="11"/>
  <c r="DX108" i="1"/>
  <c r="EU112" i="15"/>
  <c r="EV112" i="15"/>
  <c r="EW112" i="15"/>
  <c r="EX112" i="15"/>
  <c r="EQ112" i="15"/>
  <c r="EY112" i="15"/>
  <c r="ER112" i="15"/>
  <c r="EZ112" i="15"/>
  <c r="ES112" i="15"/>
  <c r="FA112" i="15"/>
  <c r="ET112" i="15"/>
  <c r="FB112" i="15"/>
  <c r="V113" i="37"/>
  <c r="V14" i="37" s="1"/>
  <c r="AI233" i="19"/>
  <c r="DB47" i="21"/>
  <c r="EJ17" i="11"/>
  <c r="EJ35" i="1" s="1"/>
  <c r="EJ29" i="11"/>
  <c r="EJ30" i="11" s="1"/>
  <c r="GG15" i="7"/>
  <c r="CR37" i="24"/>
  <c r="AB36" i="24"/>
  <c r="AR60" i="19"/>
  <c r="EK253" i="19"/>
  <c r="AG53" i="19"/>
  <c r="DD185" i="19"/>
  <c r="V11" i="28"/>
  <c r="AT74" i="26" s="1"/>
  <c r="AT81" i="26" s="1"/>
  <c r="AQ37" i="21"/>
  <c r="ED13" i="24"/>
  <c r="ED63" i="24"/>
  <c r="ED66" i="24" s="1"/>
  <c r="AG54" i="21"/>
  <c r="DD57" i="21"/>
  <c r="DF61" i="19"/>
  <c r="DF259" i="19" s="1"/>
  <c r="DU42" i="24"/>
  <c r="J41" i="24"/>
  <c r="AL41" i="24"/>
  <c r="AJ153" i="19"/>
  <c r="AN42" i="15"/>
  <c r="DY12" i="1"/>
  <c r="AN12" i="1" s="1"/>
  <c r="EA108" i="1"/>
  <c r="DS67" i="24"/>
  <c r="DA56" i="21"/>
  <c r="AF56" i="21" s="1"/>
  <c r="HQ30" i="7" s="1"/>
  <c r="DX12" i="21"/>
  <c r="DX14" i="21"/>
  <c r="DX19" i="21"/>
  <c r="DX10" i="21"/>
  <c r="DX11" i="21"/>
  <c r="GI7" i="25"/>
  <c r="EY254" i="19"/>
  <c r="EY256" i="19"/>
  <c r="EY257" i="19"/>
  <c r="EY255" i="19"/>
  <c r="AD107" i="19"/>
  <c r="AD83" i="19" s="1"/>
  <c r="AI14" i="21"/>
  <c r="AI19" i="21"/>
  <c r="W88" i="37"/>
  <c r="W90" i="37" s="1"/>
  <c r="X111" i="36"/>
  <c r="X107" i="36" s="1"/>
  <c r="W103" i="37"/>
  <c r="DB52" i="21"/>
  <c r="AF52" i="21" s="1"/>
  <c r="HQ21" i="7" s="1"/>
  <c r="I100" i="19"/>
  <c r="AH100" i="19"/>
  <c r="DH68" i="24"/>
  <c r="DI69" i="24" s="1"/>
  <c r="DJ70" i="24" s="1"/>
  <c r="CY61" i="19"/>
  <c r="CY259" i="19" s="1"/>
  <c r="AE32" i="21"/>
  <c r="HP34" i="7" s="1"/>
  <c r="DL50" i="21"/>
  <c r="DL45" i="21"/>
  <c r="DL55" i="21"/>
  <c r="DL52" i="21"/>
  <c r="DL47" i="21"/>
  <c r="DL57" i="21"/>
  <c r="AG46" i="21"/>
  <c r="HR11" i="7" s="1"/>
  <c r="AO177" i="19"/>
  <c r="ET35" i="21"/>
  <c r="ET43" i="19"/>
  <c r="AU8" i="15"/>
  <c r="ET41" i="15"/>
  <c r="DF57" i="21"/>
  <c r="DS11" i="11"/>
  <c r="J11" i="1"/>
  <c r="AL11" i="1"/>
  <c r="DS108" i="1"/>
  <c r="CY79" i="24"/>
  <c r="AE78" i="24"/>
  <c r="DX56" i="1"/>
  <c r="DX40" i="1"/>
  <c r="CX51" i="21"/>
  <c r="DF70" i="19"/>
  <c r="DF117" i="19"/>
  <c r="J30" i="22"/>
  <c r="W29" i="22"/>
  <c r="P29" i="22"/>
  <c r="S29" i="22"/>
  <c r="R29" i="22"/>
  <c r="Y29" i="22"/>
  <c r="T29" i="22"/>
  <c r="N29" i="22"/>
  <c r="M29" i="22"/>
  <c r="Q29" i="22"/>
  <c r="U29" i="22"/>
  <c r="V29" i="22"/>
  <c r="O29" i="22"/>
  <c r="X29" i="22"/>
  <c r="U96" i="22"/>
  <c r="Q96" i="22"/>
  <c r="W96" i="22"/>
  <c r="R96" i="22"/>
  <c r="X96" i="22"/>
  <c r="N96" i="22"/>
  <c r="V96" i="22"/>
  <c r="P96" i="22"/>
  <c r="M96" i="22"/>
  <c r="O96" i="22"/>
  <c r="T96" i="22"/>
  <c r="Y96" i="22"/>
  <c r="S96" i="22"/>
  <c r="DO52" i="21"/>
  <c r="DO57" i="21"/>
  <c r="AQ43" i="19"/>
  <c r="EH67" i="19"/>
  <c r="AQ67" i="19" s="1"/>
  <c r="EH99" i="19"/>
  <c r="DN19" i="21"/>
  <c r="DN10" i="21"/>
  <c r="DN11" i="21"/>
  <c r="DN12" i="21"/>
  <c r="DN14" i="21"/>
  <c r="DJ40" i="21"/>
  <c r="DC61" i="19"/>
  <c r="DC259" i="19" s="1"/>
  <c r="GH12" i="7"/>
  <c r="GH11" i="7"/>
  <c r="GH13" i="7" s="1"/>
  <c r="DC44" i="15"/>
  <c r="AD26" i="21"/>
  <c r="AD31" i="21" s="1"/>
  <c r="HO24" i="7" s="1"/>
  <c r="H26" i="21"/>
  <c r="DI47" i="21"/>
  <c r="DI52" i="21"/>
  <c r="DI57" i="21"/>
  <c r="DJ11" i="11"/>
  <c r="AE226" i="19"/>
  <c r="GR9" i="7"/>
  <c r="FZ9" i="25"/>
  <c r="ES180" i="19"/>
  <c r="ES181" i="19"/>
  <c r="ES182" i="19"/>
  <c r="ES183" i="19"/>
  <c r="ES9" i="15"/>
  <c r="ES35" i="21" s="1"/>
  <c r="ES86" i="15"/>
  <c r="DD45" i="19"/>
  <c r="AG10" i="15"/>
  <c r="DD43" i="15"/>
  <c r="AK101" i="19"/>
  <c r="ES254" i="19"/>
  <c r="ES255" i="19"/>
  <c r="ES256" i="19"/>
  <c r="ES257" i="19"/>
  <c r="AV33" i="29"/>
  <c r="AA11" i="28" s="1"/>
  <c r="AY74" i="26" s="1"/>
  <c r="AF26" i="21"/>
  <c r="AF31" i="21" s="1"/>
  <c r="HQ24" i="7" s="1"/>
  <c r="H257" i="19"/>
  <c r="FE16" i="25" s="1"/>
  <c r="AD257" i="19"/>
  <c r="AD233" i="19" s="1"/>
  <c r="AG49" i="21"/>
  <c r="DD52" i="21"/>
  <c r="ES42" i="24"/>
  <c r="L41" i="24"/>
  <c r="AT41" i="24"/>
  <c r="Y37" i="24"/>
  <c r="CG38" i="24"/>
  <c r="CX32" i="11"/>
  <c r="CX158" i="11" s="1"/>
  <c r="CX122" i="1" s="1"/>
  <c r="CX28" i="11"/>
  <c r="CY33" i="11"/>
  <c r="AR71" i="15"/>
  <c r="FH16" i="7"/>
  <c r="AK249" i="19"/>
  <c r="H6" i="8"/>
  <c r="H12" i="8" s="1"/>
  <c r="I11" i="11"/>
  <c r="CB8" i="25"/>
  <c r="AC6" i="25"/>
  <c r="AN176" i="19"/>
  <c r="J179" i="19"/>
  <c r="DS180" i="19"/>
  <c r="DS181" i="19"/>
  <c r="AL179" i="19"/>
  <c r="DS183" i="19"/>
  <c r="DS182" i="19"/>
  <c r="AI156" i="19"/>
  <c r="H98" i="15"/>
  <c r="AN34" i="21"/>
  <c r="AN40" i="21" s="1"/>
  <c r="DY39" i="21"/>
  <c r="DY41" i="21"/>
  <c r="BZ50" i="19"/>
  <c r="W50" i="19" s="1"/>
  <c r="W55" i="19" s="1"/>
  <c r="W18" i="15"/>
  <c r="BZ25" i="15"/>
  <c r="BY23" i="15"/>
  <c r="BZ91" i="15"/>
  <c r="BZ26" i="15"/>
  <c r="AM156" i="19"/>
  <c r="EL40" i="21"/>
  <c r="EL34" i="21"/>
  <c r="AF76" i="19"/>
  <c r="FU7" i="7"/>
  <c r="EZ35" i="21"/>
  <c r="EZ43" i="19"/>
  <c r="AW8" i="15"/>
  <c r="EZ41" i="15"/>
  <c r="AE47" i="21"/>
  <c r="HP12" i="7" s="1"/>
  <c r="CV52" i="21"/>
  <c r="CV47" i="21"/>
  <c r="CV57" i="21"/>
  <c r="AD100" i="15"/>
  <c r="AD99" i="15"/>
  <c r="EQ35" i="21"/>
  <c r="EQ43" i="19"/>
  <c r="L8" i="15"/>
  <c r="AT8" i="15"/>
  <c r="EQ41" i="15"/>
  <c r="DQ16" i="21"/>
  <c r="DQ26" i="21"/>
  <c r="DQ49" i="21"/>
  <c r="DQ50" i="21" s="1"/>
  <c r="CY10" i="25"/>
  <c r="CY11" i="25" s="1"/>
  <c r="EY248" i="19"/>
  <c r="EY249" i="19"/>
  <c r="EY250" i="19"/>
  <c r="EY251" i="19"/>
  <c r="AD63" i="24"/>
  <c r="H63" i="24"/>
  <c r="CU66" i="24"/>
  <c r="DW19" i="21"/>
  <c r="DW10" i="21"/>
  <c r="DW11" i="21"/>
  <c r="DW12" i="21"/>
  <c r="DW14" i="21"/>
  <c r="AH159" i="19"/>
  <c r="CU46" i="21"/>
  <c r="AP60" i="19"/>
  <c r="K60" i="19"/>
  <c r="EE253" i="19"/>
  <c r="BK13" i="29"/>
  <c r="BL9" i="29" s="1"/>
  <c r="BK30" i="29"/>
  <c r="R9" i="29"/>
  <c r="EO67" i="19"/>
  <c r="EO99" i="19"/>
  <c r="AK150" i="19"/>
  <c r="DU107" i="19"/>
  <c r="DU109" i="19"/>
  <c r="DU106" i="19"/>
  <c r="DU108" i="19"/>
  <c r="DK16" i="21"/>
  <c r="DK26" i="21"/>
  <c r="DK49" i="21"/>
  <c r="DK50" i="21" s="1"/>
  <c r="DE110" i="15"/>
  <c r="DE33" i="15" s="1"/>
  <c r="AA37" i="24"/>
  <c r="CM38" i="24"/>
  <c r="AW26" i="29"/>
  <c r="FA248" i="19"/>
  <c r="FA249" i="19"/>
  <c r="FA250" i="19"/>
  <c r="FA251" i="19"/>
  <c r="AM68" i="19"/>
  <c r="AN71" i="15"/>
  <c r="AI250" i="19"/>
  <c r="AJ250" i="19"/>
  <c r="AP35" i="21"/>
  <c r="EE40" i="21"/>
  <c r="EE34" i="21"/>
  <c r="DQ39" i="21"/>
  <c r="DQ41" i="21"/>
  <c r="DQ42" i="21"/>
  <c r="ED40" i="21"/>
  <c r="ET60" i="19"/>
  <c r="AU31" i="15"/>
  <c r="AG77" i="19"/>
  <c r="FV8" i="7"/>
  <c r="DK56" i="21"/>
  <c r="AU33" i="29"/>
  <c r="Z11" i="28" s="1"/>
  <c r="AX74" i="26" s="1"/>
  <c r="AX81" i="26" s="1"/>
  <c r="AF16" i="21"/>
  <c r="AF21" i="21"/>
  <c r="DT39" i="21"/>
  <c r="DT41" i="21"/>
  <c r="DT42" i="21"/>
  <c r="AR43" i="19"/>
  <c r="EK67" i="19"/>
  <c r="AR67" i="19" s="1"/>
  <c r="EK99" i="19"/>
  <c r="AN174" i="19"/>
  <c r="EA12" i="1"/>
  <c r="EA11" i="11" s="1"/>
  <c r="AU51" i="19"/>
  <c r="ET173" i="19"/>
  <c r="EB11" i="24"/>
  <c r="AO9" i="24"/>
  <c r="DJ106" i="19"/>
  <c r="AI106" i="19" s="1"/>
  <c r="AI82" i="19" s="1"/>
  <c r="DJ107" i="19"/>
  <c r="AI107" i="19" s="1"/>
  <c r="AI83" i="19" s="1"/>
  <c r="DJ108" i="19"/>
  <c r="AI108" i="19" s="1"/>
  <c r="AI84" i="19" s="1"/>
  <c r="AI105" i="19"/>
  <c r="AI232" i="19" s="1"/>
  <c r="DJ109" i="19"/>
  <c r="AI109" i="19" s="1"/>
  <c r="AI85" i="19" s="1"/>
  <c r="EV251" i="19"/>
  <c r="EV248" i="19"/>
  <c r="EV250" i="19"/>
  <c r="EV249" i="19"/>
  <c r="AI100" i="19"/>
  <c r="AE25" i="15"/>
  <c r="DH14" i="7" s="1"/>
  <c r="AD25" i="15"/>
  <c r="DG14" i="7" s="1"/>
  <c r="AE26" i="15"/>
  <c r="DH15" i="7" s="1"/>
  <c r="AD26" i="15"/>
  <c r="DG15" i="7" s="1"/>
  <c r="AH41" i="24"/>
  <c r="I41" i="24"/>
  <c r="AJ11" i="11"/>
  <c r="AJ112" i="1"/>
  <c r="AJ20" i="1"/>
  <c r="GI10" i="25"/>
  <c r="AG32" i="21"/>
  <c r="HR34" i="7" s="1"/>
  <c r="AK9" i="24"/>
  <c r="DP11" i="24"/>
  <c r="AN44" i="19"/>
  <c r="DY68" i="19"/>
  <c r="DY105" i="19"/>
  <c r="EA9" i="21"/>
  <c r="AD79" i="19"/>
  <c r="FS10" i="7"/>
  <c r="CZ51" i="21"/>
  <c r="W21" i="36"/>
  <c r="AF51" i="21"/>
  <c r="HQ20" i="7" s="1"/>
  <c r="DX13" i="24"/>
  <c r="DX63" i="24"/>
  <c r="DX66" i="24" s="1"/>
  <c r="AD224" i="19"/>
  <c r="GQ7" i="7"/>
  <c r="AF17" i="21"/>
  <c r="AF22" i="21"/>
  <c r="AI10" i="21"/>
  <c r="DJ15" i="21"/>
  <c r="DJ25" i="21"/>
  <c r="DJ44" i="21"/>
  <c r="AI230" i="19"/>
  <c r="AK153" i="19"/>
  <c r="AQ32" i="11"/>
  <c r="AQ158" i="11" s="1"/>
  <c r="EJ158" i="11"/>
  <c r="EJ122" i="1" s="1"/>
  <c r="AQ122" i="1" s="1"/>
  <c r="DI46" i="21"/>
  <c r="DI51" i="21"/>
  <c r="CP48" i="15"/>
  <c r="CP47" i="15"/>
  <c r="DP12" i="21"/>
  <c r="DP14" i="21"/>
  <c r="AK9" i="21"/>
  <c r="DP19" i="21"/>
  <c r="DP10" i="21"/>
  <c r="DP11" i="21"/>
  <c r="AG63" i="24"/>
  <c r="DD66" i="24"/>
  <c r="EI12" i="1"/>
  <c r="J42" i="15"/>
  <c r="EC13" i="25" s="1"/>
  <c r="DT93" i="24"/>
  <c r="DU94" i="24" s="1"/>
  <c r="DV95" i="24" s="1"/>
  <c r="ER60" i="19"/>
  <c r="ER253" i="19" s="1"/>
  <c r="AE17" i="21"/>
  <c r="AE22" i="21"/>
  <c r="L52" i="19"/>
  <c r="AT52" i="19"/>
  <c r="EQ179" i="19"/>
  <c r="DL51" i="21"/>
  <c r="DL46" i="21"/>
  <c r="DL56" i="21"/>
  <c r="U35" i="24"/>
  <c r="BV36" i="24"/>
  <c r="E35" i="24"/>
  <c r="BU61" i="24"/>
  <c r="BU14" i="24" s="1"/>
  <c r="AO175" i="19"/>
  <c r="DF52" i="21"/>
  <c r="DC24" i="21"/>
  <c r="DC29" i="21" s="1"/>
  <c r="EN9" i="24"/>
  <c r="EN9" i="21"/>
  <c r="AS41" i="15"/>
  <c r="EN11" i="1"/>
  <c r="DV254" i="19"/>
  <c r="AM254" i="19" s="1"/>
  <c r="AM230" i="19" s="1"/>
  <c r="AM253" i="19"/>
  <c r="DV255" i="19"/>
  <c r="AM255" i="19" s="1"/>
  <c r="AM231" i="19" s="1"/>
  <c r="DV256" i="19"/>
  <c r="AM256" i="19" s="1"/>
  <c r="AM232" i="19" s="1"/>
  <c r="DV257" i="19"/>
  <c r="AM257" i="19" s="1"/>
  <c r="AM233" i="19" s="1"/>
  <c r="EC100" i="19"/>
  <c r="EC101" i="19"/>
  <c r="EC102" i="19"/>
  <c r="EC103" i="19"/>
  <c r="DX107" i="19"/>
  <c r="DX108" i="19"/>
  <c r="DX109" i="19"/>
  <c r="DX106" i="19"/>
  <c r="DO51" i="21"/>
  <c r="DO56" i="21"/>
  <c r="EH34" i="21"/>
  <c r="AQ35" i="21"/>
  <c r="AW32" i="29"/>
  <c r="AB10" i="28" s="1"/>
  <c r="AZ73" i="26" s="1"/>
  <c r="AZ80" i="26" s="1"/>
  <c r="FA39" i="29"/>
  <c r="AW39" i="29" s="1"/>
  <c r="AI40" i="21"/>
  <c r="Z20" i="30"/>
  <c r="Z51" i="30" s="1"/>
  <c r="AH20" i="30"/>
  <c r="AA20" i="30"/>
  <c r="AI20" i="30"/>
  <c r="AB20" i="30"/>
  <c r="AJ20" i="30"/>
  <c r="E32" i="30"/>
  <c r="D32" i="30" s="1"/>
  <c r="AC20" i="30"/>
  <c r="AK20" i="30"/>
  <c r="AD20" i="30"/>
  <c r="AL20" i="30"/>
  <c r="AE20" i="30"/>
  <c r="AM20" i="30"/>
  <c r="AF20" i="30"/>
  <c r="AN20" i="30"/>
  <c r="AG20" i="30"/>
  <c r="AE76" i="19"/>
  <c r="FT7" i="7"/>
  <c r="DC70" i="19"/>
  <c r="DC117" i="19"/>
  <c r="EF254" i="19"/>
  <c r="EF255" i="19"/>
  <c r="EF256" i="19"/>
  <c r="EF257" i="19"/>
  <c r="AS59" i="19"/>
  <c r="EN247" i="19"/>
  <c r="AH150" i="19"/>
  <c r="EJ12" i="1"/>
  <c r="AW59" i="15"/>
  <c r="EC11" i="11"/>
  <c r="EC108" i="1"/>
  <c r="DC46" i="21"/>
  <c r="AF46" i="21" s="1"/>
  <c r="HQ11" i="7" s="1"/>
  <c r="AB37" i="24"/>
  <c r="CP38" i="24"/>
  <c r="L51" i="19"/>
  <c r="AT51" i="19"/>
  <c r="EQ173" i="19"/>
  <c r="DK57" i="21"/>
  <c r="AK100" i="19"/>
  <c r="K179" i="19"/>
  <c r="EE181" i="19"/>
  <c r="EE182" i="19"/>
  <c r="EE180" i="19"/>
  <c r="EE183" i="19"/>
  <c r="AP179" i="19"/>
  <c r="EI254" i="19"/>
  <c r="EI256" i="19"/>
  <c r="EI257" i="19"/>
  <c r="EI255" i="19"/>
  <c r="H54" i="21"/>
  <c r="AD54" i="21"/>
  <c r="CU57" i="21"/>
  <c r="CU55" i="21"/>
  <c r="H256" i="19"/>
  <c r="FE15" i="25" s="1"/>
  <c r="AD256" i="19"/>
  <c r="AG26" i="21"/>
  <c r="AG31" i="21" s="1"/>
  <c r="HR24" i="7" s="1"/>
  <c r="CW17" i="11"/>
  <c r="CW35" i="1" s="1"/>
  <c r="AD35" i="1" s="1"/>
  <c r="CW29" i="11"/>
  <c r="CW30" i="11" s="1"/>
  <c r="EK9" i="24"/>
  <c r="EK9" i="21"/>
  <c r="AR41" i="15"/>
  <c r="EK11" i="1"/>
  <c r="DI17" i="21"/>
  <c r="DI27" i="21"/>
  <c r="DI54" i="21"/>
  <c r="DI55" i="21" s="1"/>
  <c r="GF15" i="7"/>
  <c r="F59" i="8"/>
  <c r="AK250" i="19"/>
  <c r="DG11" i="11"/>
  <c r="AN175" i="19"/>
  <c r="ES43" i="19"/>
  <c r="ES41" i="15"/>
  <c r="DV100" i="19"/>
  <c r="AM99" i="19"/>
  <c r="DV101" i="19"/>
  <c r="DV103" i="19"/>
  <c r="DV102" i="19"/>
  <c r="AE77" i="19"/>
  <c r="FT8" i="7"/>
  <c r="DU39" i="21"/>
  <c r="DU41" i="21"/>
  <c r="DU42" i="21"/>
  <c r="AI157" i="19"/>
  <c r="CU46" i="19"/>
  <c r="AD11" i="15"/>
  <c r="AD15" i="15" s="1"/>
  <c r="CW15" i="7" s="1"/>
  <c r="CU44" i="15"/>
  <c r="H11" i="15"/>
  <c r="EG12" i="1"/>
  <c r="EB248" i="19"/>
  <c r="EB249" i="19"/>
  <c r="EB250" i="19"/>
  <c r="EB251" i="19"/>
  <c r="AO247" i="19"/>
  <c r="FJ16" i="7"/>
  <c r="AU72" i="15"/>
  <c r="F61" i="8"/>
  <c r="CY46" i="19"/>
  <c r="CY44" i="15"/>
  <c r="DL67" i="24"/>
  <c r="DM68" i="24" s="1"/>
  <c r="CV51" i="21"/>
  <c r="CV46" i="21"/>
  <c r="CV56" i="21"/>
  <c r="H56" i="21" s="1"/>
  <c r="HC30" i="25" s="1"/>
  <c r="AE78" i="19"/>
  <c r="FT9" i="7"/>
  <c r="ES248" i="19"/>
  <c r="ES249" i="19"/>
  <c r="ES250" i="19"/>
  <c r="ES251" i="19"/>
  <c r="L33" i="29"/>
  <c r="AT33" i="29"/>
  <c r="CY13" i="25"/>
  <c r="EB9" i="21"/>
  <c r="AQ60" i="19"/>
  <c r="EH253" i="19"/>
  <c r="FH15" i="7"/>
  <c r="DW13" i="24"/>
  <c r="DW63" i="24"/>
  <c r="DW66" i="24" s="1"/>
  <c r="AF226" i="19"/>
  <c r="GS9" i="7"/>
  <c r="I183" i="19"/>
  <c r="EF68" i="19"/>
  <c r="EF105" i="19"/>
  <c r="CU51" i="21"/>
  <c r="FJ15" i="7"/>
  <c r="EO35" i="21"/>
  <c r="I257" i="19"/>
  <c r="AH257" i="19"/>
  <c r="AH233" i="19" s="1"/>
  <c r="DD55" i="21"/>
  <c r="AG55" i="21" s="1"/>
  <c r="H25" i="15"/>
  <c r="DG14" i="25" s="1"/>
  <c r="H26" i="15"/>
  <c r="DG15" i="25" s="1"/>
  <c r="H23" i="15"/>
  <c r="EM44" i="19"/>
  <c r="EM42" i="15"/>
  <c r="K42" i="15" s="1"/>
  <c r="DT92" i="24"/>
  <c r="DU93" i="24" s="1"/>
  <c r="DV94" i="24" s="1"/>
  <c r="DK15" i="21"/>
  <c r="DK25" i="21"/>
  <c r="DK44" i="21"/>
  <c r="DK45" i="21" s="1"/>
  <c r="DE61" i="19"/>
  <c r="DE259" i="19" s="1"/>
  <c r="DU11" i="11"/>
  <c r="DU108" i="1"/>
  <c r="AV26" i="29"/>
  <c r="AI150" i="19"/>
  <c r="CT126" i="24"/>
  <c r="AI249" i="19"/>
  <c r="J176" i="19"/>
  <c r="AL176" i="19"/>
  <c r="AE15" i="21"/>
  <c r="AE20" i="21"/>
  <c r="AJ249" i="19"/>
  <c r="EA40" i="21"/>
  <c r="O80" i="26" l="1"/>
  <c r="S126" i="26"/>
  <c r="S164" i="26"/>
  <c r="S163" i="26" s="1"/>
  <c r="AX119" i="26"/>
  <c r="AX208" i="26" s="1"/>
  <c r="AY65" i="26"/>
  <c r="AY81" i="26" s="1"/>
  <c r="Q40" i="29"/>
  <c r="Q43" i="29" s="1"/>
  <c r="E13" i="28"/>
  <c r="M71" i="26"/>
  <c r="M78" i="26" s="1"/>
  <c r="T100" i="26"/>
  <c r="T121" i="26"/>
  <c r="F21" i="30"/>
  <c r="AL21" i="30" s="1"/>
  <c r="T120" i="26"/>
  <c r="HR20" i="7"/>
  <c r="AD56" i="1"/>
  <c r="R12" i="7"/>
  <c r="BP12" i="7"/>
  <c r="AD40" i="1"/>
  <c r="FY12" i="25"/>
  <c r="FY13" i="25"/>
  <c r="AN14" i="21"/>
  <c r="AN19" i="21"/>
  <c r="FE17" i="25"/>
  <c r="FE24" i="25" s="1"/>
  <c r="AG90" i="37"/>
  <c r="CW88" i="1"/>
  <c r="FE23" i="25"/>
  <c r="FE22" i="25"/>
  <c r="ES40" i="21"/>
  <c r="ES34" i="21"/>
  <c r="CV88" i="1"/>
  <c r="AM100" i="19"/>
  <c r="BY55" i="19"/>
  <c r="BY18" i="15"/>
  <c r="DN15" i="21"/>
  <c r="DN25" i="21"/>
  <c r="DN44" i="21"/>
  <c r="AQ9" i="24"/>
  <c r="EH11" i="24"/>
  <c r="EO68" i="19"/>
  <c r="EO105" i="19"/>
  <c r="CX109" i="11"/>
  <c r="DF109" i="11"/>
  <c r="CY109" i="11"/>
  <c r="CZ109" i="11"/>
  <c r="DA109" i="11"/>
  <c r="DB109" i="11"/>
  <c r="I109" i="11"/>
  <c r="CU109" i="11"/>
  <c r="DC109" i="11"/>
  <c r="CV109" i="11"/>
  <c r="DD109" i="11"/>
  <c r="CW109" i="11"/>
  <c r="DE109" i="11"/>
  <c r="EK21" i="25"/>
  <c r="EK21" i="7"/>
  <c r="DT106" i="19"/>
  <c r="DT109" i="19"/>
  <c r="AL109" i="19" s="1"/>
  <c r="AL85" i="19" s="1"/>
  <c r="DT107" i="19"/>
  <c r="DT108" i="19"/>
  <c r="AB106" i="1"/>
  <c r="AB110" i="1" s="1"/>
  <c r="AA113" i="1"/>
  <c r="CD38" i="24"/>
  <c r="X37" i="24"/>
  <c r="AE45" i="19"/>
  <c r="CX111" i="19"/>
  <c r="AI27" i="21"/>
  <c r="AI32" i="21" s="1"/>
  <c r="HQ33" i="7"/>
  <c r="HQ29" i="7"/>
  <c r="HQ32" i="7" s="1"/>
  <c r="HQ42" i="7" s="1"/>
  <c r="DQ68" i="24"/>
  <c r="DR69" i="24" s="1"/>
  <c r="DS70" i="24" s="1"/>
  <c r="EY12" i="1"/>
  <c r="AG24" i="21"/>
  <c r="AG29" i="21" s="1"/>
  <c r="DD29" i="21"/>
  <c r="AI77" i="19"/>
  <c r="DI87" i="24"/>
  <c r="DJ88" i="24" s="1"/>
  <c r="AO103" i="19"/>
  <c r="EF12" i="21"/>
  <c r="EF14" i="21"/>
  <c r="EF19" i="21"/>
  <c r="EF10" i="21"/>
  <c r="EF11" i="21"/>
  <c r="AD47" i="21"/>
  <c r="HO12" i="7" s="1"/>
  <c r="H47" i="21"/>
  <c r="HC12" i="25" s="1"/>
  <c r="EI100" i="19"/>
  <c r="EI101" i="19"/>
  <c r="EI102" i="19"/>
  <c r="EI103" i="19"/>
  <c r="L37" i="21"/>
  <c r="AT37" i="21"/>
  <c r="BY63" i="19"/>
  <c r="BY29" i="15"/>
  <c r="EM9" i="24"/>
  <c r="EM11" i="24" s="1"/>
  <c r="AP9" i="21"/>
  <c r="EE19" i="21"/>
  <c r="EE10" i="21"/>
  <c r="EE11" i="21"/>
  <c r="EE12" i="21"/>
  <c r="EE14" i="21"/>
  <c r="AI78" i="19"/>
  <c r="HF10" i="7"/>
  <c r="AB7" i="25"/>
  <c r="AB10" i="25"/>
  <c r="EC111" i="24"/>
  <c r="ED112" i="24" s="1"/>
  <c r="EE113" i="24" s="1"/>
  <c r="CZ74" i="24"/>
  <c r="AE73" i="24"/>
  <c r="DS43" i="24"/>
  <c r="AK42" i="24"/>
  <c r="CY67" i="24"/>
  <c r="AE66" i="24"/>
  <c r="Z27" i="29"/>
  <c r="AC28" i="29"/>
  <c r="DA33" i="15"/>
  <c r="AF110" i="15"/>
  <c r="AJ12" i="21"/>
  <c r="DM17" i="21"/>
  <c r="DM27" i="21"/>
  <c r="DM54" i="21"/>
  <c r="DG44" i="24"/>
  <c r="AG43" i="24"/>
  <c r="AR176" i="19"/>
  <c r="AP174" i="19"/>
  <c r="K174" i="19"/>
  <c r="EW34" i="21"/>
  <c r="AV35" i="21"/>
  <c r="EW40" i="21"/>
  <c r="EV17" i="11"/>
  <c r="EV35" i="1" s="1"/>
  <c r="EV29" i="11"/>
  <c r="EV30" i="11" s="1"/>
  <c r="AK79" i="19"/>
  <c r="CQ50" i="19"/>
  <c r="CQ23" i="15"/>
  <c r="CQ91" i="15"/>
  <c r="CQ26" i="15"/>
  <c r="CQ25" i="15"/>
  <c r="DB72" i="24"/>
  <c r="DC73" i="24" s="1"/>
  <c r="DD74" i="24" s="1"/>
  <c r="EN103" i="19"/>
  <c r="AS99" i="19"/>
  <c r="EN100" i="19"/>
  <c r="EN101" i="19"/>
  <c r="EN102" i="19"/>
  <c r="AH106" i="19"/>
  <c r="AH82" i="19" s="1"/>
  <c r="I106" i="19"/>
  <c r="AF111" i="15"/>
  <c r="AF112" i="15"/>
  <c r="EP11" i="11"/>
  <c r="EP108" i="1"/>
  <c r="J102" i="19"/>
  <c r="AL102" i="19"/>
  <c r="EM68" i="19"/>
  <c r="EM105" i="19"/>
  <c r="AD44" i="15"/>
  <c r="AK226" i="19"/>
  <c r="AQ34" i="21"/>
  <c r="EH39" i="21"/>
  <c r="EH41" i="21"/>
  <c r="AM21" i="30"/>
  <c r="AO21" i="30"/>
  <c r="AK21" i="30"/>
  <c r="DO67" i="24"/>
  <c r="EY67" i="19"/>
  <c r="EY99" i="19"/>
  <c r="FA9" i="24"/>
  <c r="FA11" i="24" s="1"/>
  <c r="FA9" i="21"/>
  <c r="FA11" i="1"/>
  <c r="DK24" i="21"/>
  <c r="DK29" i="21" s="1"/>
  <c r="DN69" i="24"/>
  <c r="DO70" i="24" s="1"/>
  <c r="DP71" i="24" s="1"/>
  <c r="AO151" i="19"/>
  <c r="ER255" i="19"/>
  <c r="ER256" i="19"/>
  <c r="ER257" i="19"/>
  <c r="ER254" i="19"/>
  <c r="DP17" i="21"/>
  <c r="DP27" i="21"/>
  <c r="AK27" i="21" s="1"/>
  <c r="AK32" i="21" s="1"/>
  <c r="AK12" i="21"/>
  <c r="DP54" i="21"/>
  <c r="AI44" i="21"/>
  <c r="DK51" i="21"/>
  <c r="AU60" i="19"/>
  <c r="ET253" i="19"/>
  <c r="AI226" i="19"/>
  <c r="BL13" i="29"/>
  <c r="BM9" i="29" s="1"/>
  <c r="BL30" i="29"/>
  <c r="BL34" i="29" s="1"/>
  <c r="BL37" i="29" s="1"/>
  <c r="BL38" i="29" s="1"/>
  <c r="EL39" i="21"/>
  <c r="EL41" i="21"/>
  <c r="EL42" i="21"/>
  <c r="AK225" i="19"/>
  <c r="AG52" i="21"/>
  <c r="HR21" i="7" s="1"/>
  <c r="AG43" i="15"/>
  <c r="CZ80" i="24"/>
  <c r="AE79" i="24"/>
  <c r="EH42" i="21"/>
  <c r="ED16" i="21"/>
  <c r="ED26" i="21"/>
  <c r="ED49" i="21"/>
  <c r="AG49" i="37"/>
  <c r="DE129" i="19"/>
  <c r="AP67" i="19"/>
  <c r="K67" i="19"/>
  <c r="AM109" i="19"/>
  <c r="AM85" i="19" s="1"/>
  <c r="EO13" i="24"/>
  <c r="EO63" i="24"/>
  <c r="EO66" i="24" s="1"/>
  <c r="H14" i="15"/>
  <c r="CW14" i="25" s="1"/>
  <c r="H15" i="15"/>
  <c r="CW15" i="25" s="1"/>
  <c r="H12" i="15"/>
  <c r="FJ21" i="7"/>
  <c r="AQ105" i="19"/>
  <c r="EH107" i="19"/>
  <c r="EH108" i="19"/>
  <c r="EH106" i="19"/>
  <c r="EH109" i="19"/>
  <c r="FJ17" i="7"/>
  <c r="FJ24" i="7" s="1"/>
  <c r="HE8" i="7"/>
  <c r="EL106" i="19"/>
  <c r="EL108" i="19"/>
  <c r="EL109" i="19"/>
  <c r="EL107" i="19"/>
  <c r="DJ46" i="21"/>
  <c r="DJ51" i="21"/>
  <c r="AI51" i="21" s="1"/>
  <c r="DJ56" i="21"/>
  <c r="AI56" i="21" s="1"/>
  <c r="AL255" i="19"/>
  <c r="J255" i="19"/>
  <c r="EY34" i="21"/>
  <c r="EY40" i="21"/>
  <c r="I254" i="19"/>
  <c r="FF13" i="25" s="1"/>
  <c r="FA67" i="19"/>
  <c r="FA99" i="19"/>
  <c r="AQ176" i="19"/>
  <c r="EE44" i="24"/>
  <c r="AO43" i="24"/>
  <c r="AG110" i="15"/>
  <c r="AQ179" i="19"/>
  <c r="EH181" i="19"/>
  <c r="AQ181" i="19" s="1"/>
  <c r="EH182" i="19"/>
  <c r="AQ182" i="19" s="1"/>
  <c r="EH183" i="19"/>
  <c r="AQ183" i="19" s="1"/>
  <c r="EH180" i="19"/>
  <c r="AQ180" i="19" s="1"/>
  <c r="AH78" i="19"/>
  <c r="AF185" i="19"/>
  <c r="AI17" i="21"/>
  <c r="AI22" i="21"/>
  <c r="I256" i="19"/>
  <c r="CX46" i="19"/>
  <c r="AE11" i="15"/>
  <c r="CX44" i="15"/>
  <c r="AE44" i="15" s="1"/>
  <c r="EY68" i="19"/>
  <c r="EY105" i="19"/>
  <c r="AJ159" i="19"/>
  <c r="AJ157" i="19"/>
  <c r="AJ156" i="19"/>
  <c r="AJ158" i="19"/>
  <c r="W71" i="37"/>
  <c r="EB44" i="24"/>
  <c r="AN43" i="24"/>
  <c r="AV173" i="19"/>
  <c r="EW174" i="19"/>
  <c r="EW175" i="19"/>
  <c r="EW176" i="19"/>
  <c r="EW177" i="19"/>
  <c r="AO102" i="19"/>
  <c r="EV44" i="19"/>
  <c r="EV42" i="15"/>
  <c r="EF13" i="24"/>
  <c r="EF63" i="24"/>
  <c r="EF66" i="24" s="1"/>
  <c r="EJ39" i="21"/>
  <c r="EJ41" i="21"/>
  <c r="EJ42" i="21"/>
  <c r="W34" i="15"/>
  <c r="DN8" i="7" s="1"/>
  <c r="Z36" i="15"/>
  <c r="DM14" i="7" s="1"/>
  <c r="Z37" i="15"/>
  <c r="DM15" i="7" s="1"/>
  <c r="W92" i="15"/>
  <c r="AS177" i="19"/>
  <c r="AF46" i="19"/>
  <c r="DA117" i="19"/>
  <c r="AP9" i="24"/>
  <c r="EE11" i="24"/>
  <c r="DZ13" i="24"/>
  <c r="DZ63" i="24"/>
  <c r="DZ66" i="24" s="1"/>
  <c r="J9" i="24"/>
  <c r="J105" i="19"/>
  <c r="AA23" i="29"/>
  <c r="CL27" i="29"/>
  <c r="CM23" i="29" s="1"/>
  <c r="CM27" i="29" s="1"/>
  <c r="CN23" i="29" s="1"/>
  <c r="CN27" i="29" s="1"/>
  <c r="CO23" i="29" s="1"/>
  <c r="EI11" i="11"/>
  <c r="EI108" i="1"/>
  <c r="AH14" i="21"/>
  <c r="AH19" i="21"/>
  <c r="EJ100" i="19"/>
  <c r="EJ101" i="19"/>
  <c r="EJ102" i="19"/>
  <c r="EJ103" i="19"/>
  <c r="K30" i="29"/>
  <c r="E12" i="28"/>
  <c r="M75" i="26" s="1"/>
  <c r="M82" i="26" s="1"/>
  <c r="CP48" i="24"/>
  <c r="AJ11" i="21"/>
  <c r="DM16" i="21"/>
  <c r="DM26" i="21"/>
  <c r="DM49" i="21"/>
  <c r="DV67" i="24"/>
  <c r="H185" i="19"/>
  <c r="AD185" i="19"/>
  <c r="CU203" i="19"/>
  <c r="AI79" i="19"/>
  <c r="AN103" i="19"/>
  <c r="AU32" i="11"/>
  <c r="AU158" i="11" s="1"/>
  <c r="EV158" i="11"/>
  <c r="EV122" i="1" s="1"/>
  <c r="AU122" i="1" s="1"/>
  <c r="DV50" i="21"/>
  <c r="AS67" i="19"/>
  <c r="DS17" i="21"/>
  <c r="DS27" i="21"/>
  <c r="AL12" i="21"/>
  <c r="DS54" i="21"/>
  <c r="AO150" i="19"/>
  <c r="T63" i="1"/>
  <c r="T68" i="1" s="1"/>
  <c r="BQ68" i="1"/>
  <c r="DC129" i="19"/>
  <c r="DA61" i="19"/>
  <c r="AF32" i="15"/>
  <c r="CV48" i="24"/>
  <c r="CZ43" i="24"/>
  <c r="DA44" i="24" s="1"/>
  <c r="EP10" i="21"/>
  <c r="EP11" i="21"/>
  <c r="EP12" i="21"/>
  <c r="EP14" i="21"/>
  <c r="EP19" i="21"/>
  <c r="J101" i="19"/>
  <c r="AL101" i="19"/>
  <c r="N30" i="22"/>
  <c r="S30" i="22"/>
  <c r="V30" i="22"/>
  <c r="Y30" i="22"/>
  <c r="P30" i="22"/>
  <c r="X30" i="22"/>
  <c r="Q30" i="22"/>
  <c r="T30" i="22"/>
  <c r="W30" i="22"/>
  <c r="M30" i="22"/>
  <c r="O30" i="22"/>
  <c r="U30" i="22"/>
  <c r="U80" i="22" s="1"/>
  <c r="R30" i="22"/>
  <c r="P97" i="22"/>
  <c r="V97" i="22"/>
  <c r="P80" i="22"/>
  <c r="W80" i="22"/>
  <c r="T97" i="22"/>
  <c r="R97" i="22"/>
  <c r="Q80" i="22"/>
  <c r="V80" i="22"/>
  <c r="X97" i="22"/>
  <c r="O97" i="22"/>
  <c r="X80" i="22"/>
  <c r="M97" i="22"/>
  <c r="S80" i="22"/>
  <c r="O80" i="22"/>
  <c r="Q97" i="22"/>
  <c r="Y80" i="22"/>
  <c r="U97" i="22"/>
  <c r="T80" i="22"/>
  <c r="S97" i="22"/>
  <c r="Y97" i="22"/>
  <c r="R80" i="22"/>
  <c r="W97" i="22"/>
  <c r="N97" i="22"/>
  <c r="AU43" i="19"/>
  <c r="ET67" i="19"/>
  <c r="AU67" i="19" s="1"/>
  <c r="ET99" i="19"/>
  <c r="GS7" i="25"/>
  <c r="AC37" i="24"/>
  <c r="CS38" i="24"/>
  <c r="ED15" i="21"/>
  <c r="ED25" i="21"/>
  <c r="ED44" i="21"/>
  <c r="EH44" i="24"/>
  <c r="AP43" i="24"/>
  <c r="K43" i="24"/>
  <c r="DE69" i="19"/>
  <c r="AL151" i="19"/>
  <c r="AM108" i="19"/>
  <c r="AM84" i="19" s="1"/>
  <c r="AD43" i="15"/>
  <c r="CU13" i="1"/>
  <c r="CW277" i="19"/>
  <c r="AM150" i="19"/>
  <c r="AO105" i="19"/>
  <c r="AO157" i="19" s="1"/>
  <c r="EB106" i="19"/>
  <c r="EB107" i="19"/>
  <c r="EB108" i="19"/>
  <c r="EB109" i="19"/>
  <c r="AO109" i="19" s="1"/>
  <c r="AO85" i="19" s="1"/>
  <c r="CQ58" i="19"/>
  <c r="CQ34" i="15"/>
  <c r="CQ92" i="15"/>
  <c r="CQ37" i="15"/>
  <c r="CQ36" i="15"/>
  <c r="DH17" i="21"/>
  <c r="DH27" i="21"/>
  <c r="DH54" i="21"/>
  <c r="EX9" i="24"/>
  <c r="EX11" i="24" s="1"/>
  <c r="EX9" i="21"/>
  <c r="EX11" i="1"/>
  <c r="DL44" i="24"/>
  <c r="DM45" i="24" s="1"/>
  <c r="AI43" i="24"/>
  <c r="J257" i="19"/>
  <c r="AL257" i="19"/>
  <c r="HE10" i="7"/>
  <c r="EW181" i="19"/>
  <c r="AV181" i="19" s="1"/>
  <c r="EW180" i="19"/>
  <c r="AV180" i="19" s="1"/>
  <c r="EW183" i="19"/>
  <c r="AV183" i="19" s="1"/>
  <c r="EW182" i="19"/>
  <c r="AV182" i="19" s="1"/>
  <c r="AV179" i="19"/>
  <c r="CZ129" i="19"/>
  <c r="FA40" i="21"/>
  <c r="FA34" i="21"/>
  <c r="AQ177" i="19"/>
  <c r="AM152" i="19"/>
  <c r="DD62" i="19"/>
  <c r="AG33" i="15"/>
  <c r="AH77" i="19"/>
  <c r="GI9" i="25"/>
  <c r="EF111" i="24"/>
  <c r="EG112" i="24" s="1"/>
  <c r="EH113" i="24" s="1"/>
  <c r="AO101" i="19"/>
  <c r="EU11" i="1"/>
  <c r="EX12" i="1"/>
  <c r="AS176" i="19"/>
  <c r="DJ44" i="24"/>
  <c r="AH43" i="24"/>
  <c r="DM66" i="24"/>
  <c r="AJ63" i="24"/>
  <c r="AM12" i="21"/>
  <c r="DV27" i="21"/>
  <c r="DV17" i="21"/>
  <c r="DV54" i="21"/>
  <c r="AD191" i="19"/>
  <c r="EM39" i="21"/>
  <c r="EM41" i="21"/>
  <c r="EM42" i="21"/>
  <c r="CV69" i="19"/>
  <c r="AK227" i="19"/>
  <c r="J40" i="21"/>
  <c r="DE71" i="24"/>
  <c r="DF72" i="24" s="1"/>
  <c r="DG73" i="24" s="1"/>
  <c r="EK56" i="1"/>
  <c r="EK40" i="1"/>
  <c r="J11" i="24"/>
  <c r="J13" i="24" s="1"/>
  <c r="AL11" i="24"/>
  <c r="AL10" i="24" s="1"/>
  <c r="DS13" i="24"/>
  <c r="DS63" i="24"/>
  <c r="AL108" i="19"/>
  <c r="L86" i="15"/>
  <c r="EI10" i="21"/>
  <c r="EI11" i="21"/>
  <c r="EI12" i="21"/>
  <c r="EI14" i="21"/>
  <c r="EI19" i="21"/>
  <c r="DC13" i="1"/>
  <c r="AJ10" i="21"/>
  <c r="DM15" i="21"/>
  <c r="DM25" i="21"/>
  <c r="DM44" i="21"/>
  <c r="H55" i="19"/>
  <c r="I50" i="19" s="1"/>
  <c r="AR174" i="19"/>
  <c r="AP177" i="19"/>
  <c r="K177" i="19"/>
  <c r="AN102" i="19"/>
  <c r="EK40" i="21"/>
  <c r="EK34" i="21"/>
  <c r="AR35" i="21"/>
  <c r="EP101" i="19"/>
  <c r="EP102" i="19"/>
  <c r="EP103" i="19"/>
  <c r="EP100" i="19"/>
  <c r="AJ233" i="19"/>
  <c r="DS16" i="21"/>
  <c r="DS26" i="21"/>
  <c r="AL11" i="21"/>
  <c r="DS49" i="21"/>
  <c r="DY15" i="21"/>
  <c r="DY25" i="21"/>
  <c r="DY44" i="21"/>
  <c r="DC69" i="19"/>
  <c r="DT11" i="11"/>
  <c r="AP12" i="1"/>
  <c r="AM39" i="21"/>
  <c r="AM41" i="21"/>
  <c r="EP13" i="24"/>
  <c r="EP63" i="24"/>
  <c r="EP66" i="24" s="1"/>
  <c r="J100" i="19"/>
  <c r="AL100" i="19"/>
  <c r="FI20" i="7"/>
  <c r="CZ70" i="19"/>
  <c r="CZ117" i="19"/>
  <c r="EO11" i="21"/>
  <c r="EO12" i="21"/>
  <c r="EO14" i="21"/>
  <c r="EO19" i="21"/>
  <c r="EO10" i="21"/>
  <c r="FT14" i="7"/>
  <c r="AO251" i="19"/>
  <c r="AR9" i="24"/>
  <c r="EK11" i="24"/>
  <c r="AD232" i="19"/>
  <c r="FG15" i="7"/>
  <c r="FJ22" i="7"/>
  <c r="DX67" i="24"/>
  <c r="DY68" i="24" s="1"/>
  <c r="AO250" i="19"/>
  <c r="AD46" i="19"/>
  <c r="CU117" i="19"/>
  <c r="ES67" i="19"/>
  <c r="ES99" i="19"/>
  <c r="AS11" i="1"/>
  <c r="EN108" i="1"/>
  <c r="DJ24" i="21"/>
  <c r="AI25" i="21"/>
  <c r="AI30" i="21" s="1"/>
  <c r="DW27" i="21"/>
  <c r="DW17" i="21"/>
  <c r="DW54" i="21"/>
  <c r="DW55" i="21" s="1"/>
  <c r="EZ9" i="24"/>
  <c r="EZ9" i="21"/>
  <c r="AW41" i="15"/>
  <c r="EZ11" i="1"/>
  <c r="W23" i="15"/>
  <c r="DD8" i="7" s="1"/>
  <c r="W91" i="15"/>
  <c r="Z26" i="15"/>
  <c r="DC15" i="7" s="1"/>
  <c r="Z25" i="15"/>
  <c r="DC14" i="7" s="1"/>
  <c r="AQ99" i="19"/>
  <c r="EH101" i="19"/>
  <c r="EH102" i="19"/>
  <c r="EH103" i="19"/>
  <c r="EH100" i="19"/>
  <c r="AI225" i="19"/>
  <c r="DW95" i="24"/>
  <c r="DX96" i="24" s="1"/>
  <c r="DY97" i="24" s="1"/>
  <c r="AD51" i="21"/>
  <c r="HO20" i="7" s="1"/>
  <c r="H51" i="21"/>
  <c r="HC20" i="25" s="1"/>
  <c r="CY70" i="19"/>
  <c r="CY117" i="19"/>
  <c r="AO249" i="19"/>
  <c r="AM102" i="19"/>
  <c r="H55" i="21"/>
  <c r="HC29" i="25" s="1"/>
  <c r="HC32" i="25" s="1"/>
  <c r="AD55" i="21"/>
  <c r="DO46" i="21"/>
  <c r="AO11" i="24"/>
  <c r="AO10" i="24" s="1"/>
  <c r="EB13" i="24"/>
  <c r="EB63" i="24"/>
  <c r="DQ47" i="21"/>
  <c r="DQ52" i="21"/>
  <c r="DQ57" i="21"/>
  <c r="AJ226" i="19"/>
  <c r="EE254" i="19"/>
  <c r="EE255" i="19"/>
  <c r="AP253" i="19"/>
  <c r="EE256" i="19"/>
  <c r="EE257" i="19"/>
  <c r="K253" i="19"/>
  <c r="DW26" i="21"/>
  <c r="DW16" i="21"/>
  <c r="DW49" i="21"/>
  <c r="DW50" i="21" s="1"/>
  <c r="AW71" i="15"/>
  <c r="GH15" i="7"/>
  <c r="J182" i="19"/>
  <c r="GA9" i="25" s="1"/>
  <c r="AL182" i="19"/>
  <c r="AN152" i="19"/>
  <c r="CH39" i="24"/>
  <c r="Y38" i="24"/>
  <c r="AG45" i="19"/>
  <c r="DD111" i="19"/>
  <c r="DC277" i="19"/>
  <c r="J108" i="1"/>
  <c r="AL108" i="1"/>
  <c r="ET40" i="21"/>
  <c r="ET34" i="21"/>
  <c r="DK71" i="24"/>
  <c r="DL72" i="24" s="1"/>
  <c r="DM73" i="24" s="1"/>
  <c r="DT68" i="24"/>
  <c r="DU69" i="24" s="1"/>
  <c r="DV70" i="24" s="1"/>
  <c r="DF277" i="19"/>
  <c r="ED51" i="21"/>
  <c r="ED46" i="21"/>
  <c r="CZ277" i="19"/>
  <c r="CV70" i="19"/>
  <c r="CV117" i="19"/>
  <c r="CV129" i="19" s="1"/>
  <c r="AD14" i="15"/>
  <c r="CW14" i="7" s="1"/>
  <c r="AE14" i="15"/>
  <c r="CX14" i="7" s="1"/>
  <c r="AE15" i="15"/>
  <c r="CX15" i="7" s="1"/>
  <c r="EL100" i="19"/>
  <c r="EL101" i="19"/>
  <c r="EL102" i="19"/>
  <c r="EL103" i="19"/>
  <c r="AI158" i="19"/>
  <c r="AN153" i="19"/>
  <c r="AO68" i="19"/>
  <c r="EU44" i="19"/>
  <c r="EU42" i="15"/>
  <c r="EU9" i="21" s="1"/>
  <c r="AI49" i="21"/>
  <c r="ER100" i="15"/>
  <c r="EZ100" i="15"/>
  <c r="ET100" i="15"/>
  <c r="EU100" i="15"/>
  <c r="EV100" i="15"/>
  <c r="EW100" i="15"/>
  <c r="EX100" i="15"/>
  <c r="EY100" i="15"/>
  <c r="EQ100" i="15"/>
  <c r="FA100" i="15"/>
  <c r="ES100" i="15"/>
  <c r="FB100" i="15"/>
  <c r="EX67" i="19"/>
  <c r="EX99" i="19"/>
  <c r="EG39" i="21"/>
  <c r="EG41" i="21"/>
  <c r="EG11" i="11"/>
  <c r="EG108" i="1"/>
  <c r="FE21" i="25"/>
  <c r="AI39" i="21"/>
  <c r="AI41" i="21"/>
  <c r="AI42" i="21"/>
  <c r="J256" i="19"/>
  <c r="AL256" i="19"/>
  <c r="AL232" i="19" s="1"/>
  <c r="AV60" i="19"/>
  <c r="EW253" i="19"/>
  <c r="AI224" i="19"/>
  <c r="CZ69" i="19"/>
  <c r="AQ175" i="19"/>
  <c r="AE57" i="21"/>
  <c r="HP31" i="7" s="1"/>
  <c r="AJ42" i="24"/>
  <c r="DN43" i="24"/>
  <c r="EL11" i="11"/>
  <c r="EL108" i="1"/>
  <c r="AW42" i="15"/>
  <c r="EZ12" i="1"/>
  <c r="AE111" i="15"/>
  <c r="AE112" i="15" s="1"/>
  <c r="AH225" i="19"/>
  <c r="AD112" i="15"/>
  <c r="AD111" i="15"/>
  <c r="EE106" i="19"/>
  <c r="AP105" i="19"/>
  <c r="EE108" i="19"/>
  <c r="EE109" i="19"/>
  <c r="EE107" i="19"/>
  <c r="AI11" i="24"/>
  <c r="AI10" i="24" s="1"/>
  <c r="DJ13" i="24"/>
  <c r="DJ63" i="24"/>
  <c r="AO156" i="19"/>
  <c r="AH226" i="19"/>
  <c r="CU82" i="11"/>
  <c r="CV82" i="11" s="1"/>
  <c r="CW82" i="11" s="1"/>
  <c r="CX82" i="11" s="1"/>
  <c r="CY82" i="11" s="1"/>
  <c r="CZ82" i="11" s="1"/>
  <c r="DA82" i="11" s="1"/>
  <c r="DB82" i="11" s="1"/>
  <c r="DC82" i="11" s="1"/>
  <c r="DD82" i="11" s="1"/>
  <c r="DE82" i="11" s="1"/>
  <c r="CZ13" i="1"/>
  <c r="AM153" i="19"/>
  <c r="AO100" i="19"/>
  <c r="EU67" i="19"/>
  <c r="EU99" i="19"/>
  <c r="AM251" i="19"/>
  <c r="J251" i="19"/>
  <c r="AL251" i="19"/>
  <c r="K247" i="19"/>
  <c r="EE248" i="19"/>
  <c r="EE249" i="19"/>
  <c r="AP247" i="19"/>
  <c r="EE251" i="19"/>
  <c r="EE250" i="19"/>
  <c r="J41" i="21"/>
  <c r="DU67" i="24"/>
  <c r="DV68" i="24" s="1"/>
  <c r="AH79" i="19"/>
  <c r="EJ44" i="24"/>
  <c r="EK45" i="24" s="1"/>
  <c r="AQ43" i="24"/>
  <c r="FS8" i="7"/>
  <c r="HC8" i="7" s="1"/>
  <c r="AS175" i="19"/>
  <c r="GR11" i="7"/>
  <c r="GR12" i="7" s="1"/>
  <c r="HD7" i="7"/>
  <c r="CW74" i="24"/>
  <c r="AD73" i="24"/>
  <c r="DV16" i="21"/>
  <c r="AM11" i="21"/>
  <c r="DV26" i="21"/>
  <c r="DV49" i="21"/>
  <c r="EM40" i="21"/>
  <c r="AM157" i="19"/>
  <c r="EV9" i="24"/>
  <c r="EV11" i="24" s="1"/>
  <c r="EV9" i="21"/>
  <c r="EV11" i="1"/>
  <c r="AN248" i="19"/>
  <c r="AO39" i="21"/>
  <c r="AO41" i="21"/>
  <c r="AL107" i="19"/>
  <c r="AF43" i="15"/>
  <c r="AJ78" i="19"/>
  <c r="AK82" i="19"/>
  <c r="EI13" i="24"/>
  <c r="EI63" i="24"/>
  <c r="EI66" i="24" s="1"/>
  <c r="HR14" i="7"/>
  <c r="HR10" i="7"/>
  <c r="HR13" i="7" s="1"/>
  <c r="HR40" i="7" s="1"/>
  <c r="AJ14" i="21"/>
  <c r="AJ19" i="21"/>
  <c r="FZ10" i="25"/>
  <c r="DW52" i="21"/>
  <c r="DW57" i="21"/>
  <c r="EA106" i="19"/>
  <c r="EA107" i="19"/>
  <c r="EA108" i="19"/>
  <c r="EA109" i="19"/>
  <c r="AE185" i="19"/>
  <c r="AD230" i="19"/>
  <c r="FG13" i="7"/>
  <c r="DE72" i="24"/>
  <c r="DF73" i="24" s="1"/>
  <c r="DG74" i="24" s="1"/>
  <c r="DS15" i="21"/>
  <c r="DS25" i="21"/>
  <c r="AL10" i="21"/>
  <c r="DS44" i="21"/>
  <c r="I109" i="19"/>
  <c r="FF16" i="25" s="1"/>
  <c r="AH109" i="19"/>
  <c r="AH85" i="19" s="1"/>
  <c r="EJ11" i="11"/>
  <c r="EJ108" i="1"/>
  <c r="AS71" i="15"/>
  <c r="DU51" i="24"/>
  <c r="DV52" i="24" s="1"/>
  <c r="DF13" i="1"/>
  <c r="HR22" i="7"/>
  <c r="HR41" i="7" s="1"/>
  <c r="ET9" i="24"/>
  <c r="ET9" i="21"/>
  <c r="AU41" i="15"/>
  <c r="ET11" i="1"/>
  <c r="CV277" i="19"/>
  <c r="AT60" i="19"/>
  <c r="EQ253" i="19"/>
  <c r="AO159" i="19"/>
  <c r="AJ225" i="19"/>
  <c r="I18" i="15"/>
  <c r="DG7" i="25"/>
  <c r="DG8" i="25" s="1"/>
  <c r="EB19" i="21"/>
  <c r="EB10" i="21"/>
  <c r="EB11" i="21"/>
  <c r="EB12" i="21"/>
  <c r="EB14" i="21"/>
  <c r="AO9" i="21"/>
  <c r="ES9" i="24"/>
  <c r="ES11" i="24" s="1"/>
  <c r="ES11" i="1"/>
  <c r="AK76" i="19"/>
  <c r="EN251" i="19"/>
  <c r="AS247" i="19"/>
  <c r="EN248" i="19"/>
  <c r="EN250" i="19"/>
  <c r="EN249" i="19"/>
  <c r="EQ180" i="19"/>
  <c r="EQ181" i="19"/>
  <c r="L179" i="19"/>
  <c r="AT179" i="19"/>
  <c r="EQ183" i="19"/>
  <c r="EQ182" i="19"/>
  <c r="AG66" i="24"/>
  <c r="DE67" i="24"/>
  <c r="DY67" i="24"/>
  <c r="ED50" i="21"/>
  <c r="ED45" i="21"/>
  <c r="HR29" i="7"/>
  <c r="HR32" i="7" s="1"/>
  <c r="HR42" i="7" s="1"/>
  <c r="EF108" i="19"/>
  <c r="EF106" i="19"/>
  <c r="EF109" i="19"/>
  <c r="EF107" i="19"/>
  <c r="AO248" i="19"/>
  <c r="AM103" i="19"/>
  <c r="AD57" i="21"/>
  <c r="HO31" i="7" s="1"/>
  <c r="H57" i="21"/>
  <c r="HC31" i="25" s="1"/>
  <c r="AP183" i="19"/>
  <c r="AP159" i="19" s="1"/>
  <c r="CQ39" i="24"/>
  <c r="AB38" i="24"/>
  <c r="EN12" i="21"/>
  <c r="EN14" i="21"/>
  <c r="AS9" i="21"/>
  <c r="EN19" i="21"/>
  <c r="EN10" i="21"/>
  <c r="EN11" i="21"/>
  <c r="BW37" i="24"/>
  <c r="E36" i="24"/>
  <c r="E61" i="24" s="1"/>
  <c r="E14" i="24" s="1"/>
  <c r="E16" i="24" s="1"/>
  <c r="U36" i="24"/>
  <c r="U61" i="24" s="1"/>
  <c r="BV61" i="24"/>
  <c r="BV14" i="24" s="1"/>
  <c r="DW96" i="24"/>
  <c r="DX97" i="24" s="1"/>
  <c r="DY98" i="24" s="1"/>
  <c r="DP16" i="21"/>
  <c r="DP26" i="21"/>
  <c r="AK26" i="21" s="1"/>
  <c r="AK31" i="21" s="1"/>
  <c r="AK11" i="21"/>
  <c r="DP49" i="21"/>
  <c r="DI56" i="21"/>
  <c r="AI15" i="21"/>
  <c r="AI20" i="21"/>
  <c r="EA10" i="21"/>
  <c r="EA11" i="21"/>
  <c r="EA12" i="21"/>
  <c r="EA14" i="21"/>
  <c r="EA19" i="21"/>
  <c r="AI76" i="19"/>
  <c r="DQ46" i="21"/>
  <c r="DQ51" i="21"/>
  <c r="DQ56" i="21"/>
  <c r="EO102" i="19"/>
  <c r="EO103" i="19"/>
  <c r="EO100" i="19"/>
  <c r="EO101" i="19"/>
  <c r="DW15" i="21"/>
  <c r="DW25" i="21"/>
  <c r="DW24" i="21" s="1"/>
  <c r="DW29" i="21" s="1"/>
  <c r="DW44" i="21"/>
  <c r="DW45" i="21" s="1"/>
  <c r="L41" i="15"/>
  <c r="AT41" i="15"/>
  <c r="EQ11" i="1"/>
  <c r="AW43" i="19"/>
  <c r="EZ67" i="19"/>
  <c r="EZ99" i="19"/>
  <c r="DY46" i="21"/>
  <c r="J183" i="19"/>
  <c r="AL183" i="19"/>
  <c r="AL159" i="19" s="1"/>
  <c r="AC7" i="25"/>
  <c r="AC10" i="25"/>
  <c r="AK77" i="19"/>
  <c r="DJ45" i="21"/>
  <c r="AI45" i="21" s="1"/>
  <c r="DJ50" i="21"/>
  <c r="AI50" i="21" s="1"/>
  <c r="DJ55" i="21"/>
  <c r="AI55" i="21" s="1"/>
  <c r="AA96" i="22"/>
  <c r="AL11" i="11"/>
  <c r="AL112" i="1"/>
  <c r="AL20" i="1"/>
  <c r="DX16" i="21"/>
  <c r="DX26" i="21"/>
  <c r="DX49" i="21"/>
  <c r="DX50" i="21" s="1"/>
  <c r="AG57" i="21"/>
  <c r="HR31" i="7" s="1"/>
  <c r="AG185" i="19"/>
  <c r="DD203" i="19"/>
  <c r="ER12" i="1"/>
  <c r="AQ247" i="19"/>
  <c r="EH249" i="19"/>
  <c r="EH250" i="19"/>
  <c r="EH251" i="19"/>
  <c r="EH248" i="19"/>
  <c r="DB277" i="19"/>
  <c r="BM106" i="1"/>
  <c r="BL113" i="1"/>
  <c r="ED47" i="21"/>
  <c r="ED52" i="21"/>
  <c r="AM106" i="19"/>
  <c r="AM82" i="19" s="1"/>
  <c r="AF47" i="21"/>
  <c r="HQ12" i="7" s="1"/>
  <c r="AO108" i="1"/>
  <c r="H45" i="19"/>
  <c r="AD45" i="19"/>
  <c r="CU111" i="19"/>
  <c r="FY14" i="25"/>
  <c r="AH224" i="19"/>
  <c r="AI26" i="21"/>
  <c r="AI31" i="21" s="1"/>
  <c r="EX34" i="21"/>
  <c r="EX40" i="21"/>
  <c r="EG102" i="19"/>
  <c r="EG103" i="19"/>
  <c r="EG101" i="19"/>
  <c r="EG100" i="19"/>
  <c r="EG11" i="21"/>
  <c r="EG12" i="21"/>
  <c r="EG14" i="21"/>
  <c r="EG19" i="21"/>
  <c r="EG10" i="21"/>
  <c r="AD231" i="19"/>
  <c r="FG14" i="7"/>
  <c r="GR13" i="7"/>
  <c r="HD8" i="7"/>
  <c r="AL254" i="19"/>
  <c r="J254" i="19"/>
  <c r="AF66" i="24"/>
  <c r="DB67" i="24"/>
  <c r="EL19" i="21"/>
  <c r="EL10" i="21"/>
  <c r="EL11" i="21"/>
  <c r="EL12" i="21"/>
  <c r="EL14" i="21"/>
  <c r="CX61" i="19"/>
  <c r="CX69" i="19" s="1"/>
  <c r="AE69" i="19" s="1"/>
  <c r="AE32" i="15"/>
  <c r="AD50" i="21"/>
  <c r="H50" i="21"/>
  <c r="HC19" i="25" s="1"/>
  <c r="EF103" i="19"/>
  <c r="EF101" i="19"/>
  <c r="EF102" i="19"/>
  <c r="EF100" i="19"/>
  <c r="EP107" i="19"/>
  <c r="EP106" i="19"/>
  <c r="EP108" i="19"/>
  <c r="EP109" i="19"/>
  <c r="AU73" i="15"/>
  <c r="AJ76" i="19"/>
  <c r="CU61" i="19"/>
  <c r="H32" i="15"/>
  <c r="AD32" i="15"/>
  <c r="AI231" i="19"/>
  <c r="AP68" i="19"/>
  <c r="GJ9" i="25"/>
  <c r="HQ10" i="7"/>
  <c r="DR82" i="11"/>
  <c r="J82" i="11"/>
  <c r="W68" i="37"/>
  <c r="X76" i="36"/>
  <c r="X77" i="36" s="1"/>
  <c r="AH75" i="36"/>
  <c r="AH76" i="36" s="1"/>
  <c r="I137" i="11"/>
  <c r="CU137" i="11"/>
  <c r="DC137" i="11"/>
  <c r="CV137" i="11"/>
  <c r="DD137" i="11"/>
  <c r="CW137" i="11"/>
  <c r="DE137" i="11"/>
  <c r="CX137" i="11"/>
  <c r="DF137" i="11"/>
  <c r="CZ137" i="11"/>
  <c r="DA137" i="11"/>
  <c r="CY137" i="11"/>
  <c r="DB137" i="11"/>
  <c r="EU23" i="25"/>
  <c r="GR15" i="7"/>
  <c r="HD10" i="7"/>
  <c r="AV73" i="15"/>
  <c r="EU35" i="21"/>
  <c r="AM250" i="19"/>
  <c r="AV42" i="15"/>
  <c r="EW12" i="1"/>
  <c r="AJ77" i="19"/>
  <c r="FP10" i="25"/>
  <c r="EX68" i="19"/>
  <c r="EX105" i="19"/>
  <c r="AE50" i="21"/>
  <c r="DQ92" i="24"/>
  <c r="DR93" i="24" s="1"/>
  <c r="DS94" i="24" s="1"/>
  <c r="AS174" i="19"/>
  <c r="EC10" i="25"/>
  <c r="EC11" i="25" s="1"/>
  <c r="AU42" i="15"/>
  <c r="ET12" i="1"/>
  <c r="AJ10" i="24"/>
  <c r="AL153" i="19"/>
  <c r="AM14" i="21"/>
  <c r="AM19" i="21"/>
  <c r="DX57" i="21"/>
  <c r="EV67" i="19"/>
  <c r="EV99" i="19"/>
  <c r="HF9" i="7"/>
  <c r="CY129" i="19"/>
  <c r="AN249" i="19"/>
  <c r="HF8" i="7"/>
  <c r="FV11" i="7"/>
  <c r="FV14" i="7" s="1"/>
  <c r="AJ232" i="19"/>
  <c r="AL106" i="19"/>
  <c r="V15" i="37"/>
  <c r="V17" i="37" s="1"/>
  <c r="ER9" i="24"/>
  <c r="ER11" i="24" s="1"/>
  <c r="ER9" i="21"/>
  <c r="ER11" i="1"/>
  <c r="EQ44" i="19"/>
  <c r="AT9" i="15"/>
  <c r="EQ42" i="15"/>
  <c r="L9" i="15"/>
  <c r="AK85" i="19"/>
  <c r="AS42" i="15"/>
  <c r="EN12" i="1"/>
  <c r="GH14" i="7"/>
  <c r="EI107" i="19"/>
  <c r="EI106" i="19"/>
  <c r="EI108" i="19"/>
  <c r="EI109" i="19"/>
  <c r="DR45" i="24"/>
  <c r="DS46" i="24" s="1"/>
  <c r="AK44" i="24"/>
  <c r="AR177" i="19"/>
  <c r="AP176" i="19"/>
  <c r="K176" i="19"/>
  <c r="DW46" i="21"/>
  <c r="DW51" i="21"/>
  <c r="DW56" i="21"/>
  <c r="EM100" i="19"/>
  <c r="EM101" i="19"/>
  <c r="EM102" i="19"/>
  <c r="EM103" i="19"/>
  <c r="J9" i="21"/>
  <c r="J14" i="21" s="1"/>
  <c r="FA12" i="1"/>
  <c r="I108" i="19"/>
  <c r="AH108" i="19"/>
  <c r="AH84" i="19" s="1"/>
  <c r="AJ79" i="19"/>
  <c r="EJ19" i="21"/>
  <c r="EJ10" i="21"/>
  <c r="EJ11" i="21"/>
  <c r="EJ12" i="21"/>
  <c r="EJ14" i="21"/>
  <c r="CY277" i="19"/>
  <c r="DX17" i="21"/>
  <c r="DX27" i="21"/>
  <c r="DX54" i="21"/>
  <c r="DX55" i="21" s="1"/>
  <c r="AQ42" i="21"/>
  <c r="ED27" i="21"/>
  <c r="ED17" i="21"/>
  <c r="ED54" i="21"/>
  <c r="ED56" i="21" s="1"/>
  <c r="K99" i="19"/>
  <c r="EE100" i="19"/>
  <c r="EE102" i="19"/>
  <c r="AP99" i="19"/>
  <c r="EE103" i="19"/>
  <c r="EE101" i="19"/>
  <c r="ED106" i="19"/>
  <c r="ED108" i="19"/>
  <c r="ED109" i="19"/>
  <c r="ED107" i="19"/>
  <c r="DJ52" i="21"/>
  <c r="DJ47" i="21"/>
  <c r="AI47" i="21" s="1"/>
  <c r="DJ57" i="21"/>
  <c r="AI57" i="21" s="1"/>
  <c r="AL152" i="19"/>
  <c r="EH254" i="19"/>
  <c r="AQ254" i="19" s="1"/>
  <c r="AQ230" i="19" s="1"/>
  <c r="AQ253" i="19"/>
  <c r="EH257" i="19"/>
  <c r="AQ257" i="19" s="1"/>
  <c r="AQ233" i="19" s="1"/>
  <c r="EH255" i="19"/>
  <c r="AQ255" i="19" s="1"/>
  <c r="AQ231" i="19" s="1"/>
  <c r="EH256" i="19"/>
  <c r="AQ256" i="19" s="1"/>
  <c r="AQ232" i="19" s="1"/>
  <c r="Y11" i="28"/>
  <c r="AW74" i="26" s="1"/>
  <c r="AW81" i="26" s="1"/>
  <c r="AN151" i="19"/>
  <c r="AP180" i="19"/>
  <c r="AP156" i="19" s="1"/>
  <c r="K180" i="19"/>
  <c r="DK47" i="21"/>
  <c r="AS9" i="24"/>
  <c r="EN11" i="24"/>
  <c r="DP15" i="21"/>
  <c r="DP25" i="21"/>
  <c r="AK10" i="21"/>
  <c r="DP44" i="21"/>
  <c r="AN105" i="19"/>
  <c r="AN233" i="19" s="1"/>
  <c r="DY107" i="19"/>
  <c r="J107" i="19" s="1"/>
  <c r="DY108" i="19"/>
  <c r="J108" i="19" s="1"/>
  <c r="DY109" i="19"/>
  <c r="J109" i="19" s="1"/>
  <c r="DY106" i="19"/>
  <c r="AN150" i="19"/>
  <c r="CN39" i="24"/>
  <c r="AA38" i="24"/>
  <c r="AT71" i="15"/>
  <c r="AW35" i="21"/>
  <c r="EZ34" i="21"/>
  <c r="DC33" i="11"/>
  <c r="CY32" i="11"/>
  <c r="CY158" i="11" s="1"/>
  <c r="CY122" i="1" s="1"/>
  <c r="CY28" i="11"/>
  <c r="DB33" i="11"/>
  <c r="ES44" i="19"/>
  <c r="ES42" i="15"/>
  <c r="ES9" i="21" s="1"/>
  <c r="HD9" i="7"/>
  <c r="GR14" i="7"/>
  <c r="AE51" i="21"/>
  <c r="HP20" i="7" s="1"/>
  <c r="I6" i="8"/>
  <c r="I12" i="8" s="1"/>
  <c r="J11" i="11"/>
  <c r="AD6" i="25"/>
  <c r="CC8" i="25"/>
  <c r="AO153" i="19"/>
  <c r="AH76" i="19"/>
  <c r="W87" i="37"/>
  <c r="W99" i="37" s="1"/>
  <c r="X36" i="36"/>
  <c r="X108" i="36"/>
  <c r="AH107" i="36"/>
  <c r="AH108" i="36" s="1"/>
  <c r="AH109" i="36" s="1"/>
  <c r="DX15" i="21"/>
  <c r="DX25" i="21"/>
  <c r="DX24" i="21" s="1"/>
  <c r="DX29" i="21" s="1"/>
  <c r="DX44" i="21"/>
  <c r="DX45" i="21" s="1"/>
  <c r="EJ56" i="1"/>
  <c r="EJ40" i="1"/>
  <c r="ER68" i="19"/>
  <c r="ER105" i="19"/>
  <c r="W60" i="37"/>
  <c r="AG51" i="37"/>
  <c r="AE54" i="19"/>
  <c r="CX191" i="19"/>
  <c r="H191" i="19" s="1"/>
  <c r="EC17" i="21"/>
  <c r="EC27" i="21"/>
  <c r="EC54" i="21"/>
  <c r="EC55" i="21" s="1"/>
  <c r="AJ227" i="19"/>
  <c r="AI227" i="19"/>
  <c r="AO112" i="1"/>
  <c r="G14" i="8"/>
  <c r="G35" i="8" s="1"/>
  <c r="G15" i="8"/>
  <c r="G36" i="8" s="1"/>
  <c r="G17" i="8"/>
  <c r="G38" i="8" s="1"/>
  <c r="G13" i="8"/>
  <c r="G34" i="8" s="1"/>
  <c r="G16" i="8"/>
  <c r="G37" i="8" s="1"/>
  <c r="AW59" i="19"/>
  <c r="EZ247" i="19"/>
  <c r="CB39" i="24"/>
  <c r="W38" i="24"/>
  <c r="EF39" i="21"/>
  <c r="EF41" i="21"/>
  <c r="EF42" i="21"/>
  <c r="EH11" i="11"/>
  <c r="AQ11" i="1"/>
  <c r="EH108" i="1"/>
  <c r="AQ108" i="1" s="1"/>
  <c r="GJ7" i="25"/>
  <c r="DN68" i="24"/>
  <c r="DO69" i="24" s="1"/>
  <c r="DP70" i="24" s="1"/>
  <c r="AI16" i="21"/>
  <c r="AI21" i="21"/>
  <c r="EG13" i="24"/>
  <c r="EG63" i="24"/>
  <c r="EG66" i="24" s="1"/>
  <c r="AV44" i="24"/>
  <c r="EX45" i="24"/>
  <c r="DB46" i="24"/>
  <c r="DC47" i="24" s="1"/>
  <c r="DD48" i="24" s="1"/>
  <c r="AQ174" i="19"/>
  <c r="EL13" i="24"/>
  <c r="EL63" i="24"/>
  <c r="EL66" i="24" s="1"/>
  <c r="AI159" i="19"/>
  <c r="ER49" i="24"/>
  <c r="ES50" i="24" s="1"/>
  <c r="ET51" i="24" s="1"/>
  <c r="AT48" i="24"/>
  <c r="EZ105" i="19"/>
  <c r="DF129" i="19"/>
  <c r="H52" i="21"/>
  <c r="HC21" i="25" s="1"/>
  <c r="AD52" i="21"/>
  <c r="HO21" i="7" s="1"/>
  <c r="GT12" i="7"/>
  <c r="HF7" i="7"/>
  <c r="GT11" i="7"/>
  <c r="GT15" i="7" s="1"/>
  <c r="AU59" i="19"/>
  <c r="ET247" i="19"/>
  <c r="CX43" i="15"/>
  <c r="H43" i="15" s="1"/>
  <c r="FG16" i="7"/>
  <c r="K44" i="19"/>
  <c r="AR179" i="19"/>
  <c r="EK180" i="19"/>
  <c r="AR180" i="19" s="1"/>
  <c r="EK181" i="19"/>
  <c r="AR181" i="19" s="1"/>
  <c r="EK182" i="19"/>
  <c r="AR182" i="19" s="1"/>
  <c r="EK183" i="19"/>
  <c r="AR183" i="19" s="1"/>
  <c r="AO230" i="19"/>
  <c r="AV59" i="19"/>
  <c r="EW247" i="19"/>
  <c r="CX62" i="19"/>
  <c r="AE33" i="15"/>
  <c r="AN158" i="19"/>
  <c r="AM249" i="19"/>
  <c r="AV44" i="19"/>
  <c r="EW68" i="19"/>
  <c r="AV68" i="19" s="1"/>
  <c r="EW105" i="19"/>
  <c r="FY15" i="25"/>
  <c r="J250" i="19"/>
  <c r="AL250" i="19"/>
  <c r="DH72" i="24"/>
  <c r="DI73" i="24" s="1"/>
  <c r="DJ74" i="24" s="1"/>
  <c r="DQ93" i="24"/>
  <c r="DR94" i="24" s="1"/>
  <c r="DS95" i="24" s="1"/>
  <c r="DK72" i="24"/>
  <c r="DL73" i="24" s="1"/>
  <c r="DM74" i="24" s="1"/>
  <c r="AT73" i="15"/>
  <c r="CY13" i="1"/>
  <c r="AU9" i="15"/>
  <c r="AU71" i="15" s="1"/>
  <c r="EE11" i="11"/>
  <c r="AP11" i="1"/>
  <c r="K11" i="1"/>
  <c r="EE108" i="1"/>
  <c r="DB129" i="19"/>
  <c r="AM10" i="21"/>
  <c r="DV15" i="21"/>
  <c r="DV25" i="21"/>
  <c r="DV44" i="21"/>
  <c r="DX46" i="21"/>
  <c r="DX56" i="21"/>
  <c r="DQ24" i="21"/>
  <c r="DQ29" i="21" s="1"/>
  <c r="AM151" i="19"/>
  <c r="EV35" i="21"/>
  <c r="CY69" i="19"/>
  <c r="AQ12" i="1"/>
  <c r="EP39" i="21"/>
  <c r="EP41" i="21"/>
  <c r="EP42" i="21"/>
  <c r="DY13" i="24"/>
  <c r="AN11" i="24"/>
  <c r="DY63" i="24"/>
  <c r="AL105" i="19"/>
  <c r="X149" i="36"/>
  <c r="X145" i="36" s="1"/>
  <c r="W126" i="37"/>
  <c r="AG126" i="37" s="1"/>
  <c r="W128" i="37"/>
  <c r="ER67" i="19"/>
  <c r="ER99" i="19"/>
  <c r="AT86" i="15"/>
  <c r="DT17" i="21"/>
  <c r="DT27" i="21"/>
  <c r="DT54" i="21"/>
  <c r="DT55" i="21" s="1"/>
  <c r="AK108" i="19"/>
  <c r="AK84" i="19" s="1"/>
  <c r="DG27" i="21"/>
  <c r="I12" i="21"/>
  <c r="I17" i="21" s="1"/>
  <c r="AH12" i="21"/>
  <c r="DG17" i="21"/>
  <c r="DG54" i="21"/>
  <c r="AF24" i="21"/>
  <c r="AF29" i="21" s="1"/>
  <c r="DA29" i="21"/>
  <c r="DU17" i="21"/>
  <c r="DU27" i="21"/>
  <c r="DU54" i="21"/>
  <c r="DU55" i="21" s="1"/>
  <c r="EJ107" i="19"/>
  <c r="EJ109" i="19"/>
  <c r="EJ106" i="19"/>
  <c r="EJ108" i="19"/>
  <c r="AB16" i="29"/>
  <c r="CO20" i="29"/>
  <c r="CP16" i="29" s="1"/>
  <c r="CP20" i="29" s="1"/>
  <c r="CQ16" i="29" s="1"/>
  <c r="CQ20" i="29" s="1"/>
  <c r="CR16" i="29" s="1"/>
  <c r="DB71" i="24"/>
  <c r="DC72" i="24" s="1"/>
  <c r="DD73" i="24" s="1"/>
  <c r="AR175" i="19"/>
  <c r="K175" i="19"/>
  <c r="AP175" i="19"/>
  <c r="AN101" i="19"/>
  <c r="EW9" i="24"/>
  <c r="EW9" i="21"/>
  <c r="AV41" i="15"/>
  <c r="EW11" i="1"/>
  <c r="EW51" i="24"/>
  <c r="AU50" i="24"/>
  <c r="G37" i="24"/>
  <c r="Z37" i="24"/>
  <c r="CJ38" i="24"/>
  <c r="DD46" i="19"/>
  <c r="H46" i="19" s="1"/>
  <c r="AG11" i="15"/>
  <c r="DD44" i="15"/>
  <c r="FA68" i="19"/>
  <c r="FA105" i="19"/>
  <c r="I107" i="19"/>
  <c r="FP8" i="25" s="1"/>
  <c r="AH107" i="19"/>
  <c r="AH83" i="19" s="1"/>
  <c r="EJ13" i="24"/>
  <c r="EJ63" i="24"/>
  <c r="EJ66" i="24" s="1"/>
  <c r="AK224" i="19"/>
  <c r="AN108" i="1"/>
  <c r="AD56" i="21"/>
  <c r="HO30" i="7" s="1"/>
  <c r="EO34" i="21"/>
  <c r="EO40" i="21"/>
  <c r="EK19" i="21"/>
  <c r="EK10" i="21"/>
  <c r="EK11" i="21"/>
  <c r="EK12" i="21"/>
  <c r="EK14" i="21"/>
  <c r="FT11" i="7"/>
  <c r="FT13" i="7" s="1"/>
  <c r="DP13" i="24"/>
  <c r="AK11" i="24"/>
  <c r="AK10" i="24" s="1"/>
  <c r="DP63" i="24"/>
  <c r="ET174" i="19"/>
  <c r="ET176" i="19"/>
  <c r="ET177" i="19"/>
  <c r="AU173" i="19"/>
  <c r="ET175" i="19"/>
  <c r="DK46" i="21"/>
  <c r="R30" i="29"/>
  <c r="BK34" i="29"/>
  <c r="BK37" i="29" s="1"/>
  <c r="EQ34" i="21"/>
  <c r="EQ42" i="21" s="1"/>
  <c r="L35" i="21"/>
  <c r="AT35" i="21"/>
  <c r="G11" i="28"/>
  <c r="O74" i="26" s="1"/>
  <c r="FJ23" i="7"/>
  <c r="AM101" i="19"/>
  <c r="AR11" i="1"/>
  <c r="EK108" i="1"/>
  <c r="CW56" i="1"/>
  <c r="CW40" i="1"/>
  <c r="K182" i="19"/>
  <c r="AP182" i="19"/>
  <c r="AP158" i="19" s="1"/>
  <c r="DK52" i="21"/>
  <c r="EH40" i="21"/>
  <c r="AN68" i="19"/>
  <c r="AR99" i="19"/>
  <c r="EK100" i="19"/>
  <c r="EK101" i="19"/>
  <c r="EK102" i="19"/>
  <c r="EK103" i="19"/>
  <c r="AP34" i="21"/>
  <c r="EE39" i="21"/>
  <c r="EE41" i="21"/>
  <c r="AD46" i="21"/>
  <c r="HO11" i="7" s="1"/>
  <c r="H46" i="21"/>
  <c r="HC11" i="25" s="1"/>
  <c r="FU11" i="7"/>
  <c r="FU13" i="7" s="1"/>
  <c r="AN39" i="21"/>
  <c r="AN41" i="21"/>
  <c r="J181" i="19"/>
  <c r="AL181" i="19"/>
  <c r="AL157" i="19" s="1"/>
  <c r="I56" i="11"/>
  <c r="I75" i="11"/>
  <c r="I70" i="11"/>
  <c r="AE28" i="11"/>
  <c r="CX17" i="11"/>
  <c r="CX35" i="1" s="1"/>
  <c r="CX29" i="11"/>
  <c r="CX30" i="11" s="1"/>
  <c r="DN27" i="21"/>
  <c r="DN17" i="21"/>
  <c r="DN54" i="21"/>
  <c r="FP7" i="25"/>
  <c r="W107" i="37"/>
  <c r="AG88" i="37"/>
  <c r="AG107" i="37" s="1"/>
  <c r="EE67" i="24"/>
  <c r="EK256" i="19"/>
  <c r="AR256" i="19" s="1"/>
  <c r="AR253" i="19"/>
  <c r="EK257" i="19"/>
  <c r="AR257" i="19" s="1"/>
  <c r="EK254" i="19"/>
  <c r="AR254" i="19" s="1"/>
  <c r="EK255" i="19"/>
  <c r="AR255" i="19" s="1"/>
  <c r="EC110" i="24"/>
  <c r="ED111" i="24" s="1"/>
  <c r="EE112" i="24" s="1"/>
  <c r="V34" i="37"/>
  <c r="V10" i="35"/>
  <c r="W48" i="37"/>
  <c r="X35" i="36"/>
  <c r="X52" i="36"/>
  <c r="AH51" i="36"/>
  <c r="AH52" i="36" s="1"/>
  <c r="AH53" i="36" s="1"/>
  <c r="EN254" i="19"/>
  <c r="AS254" i="19" s="1"/>
  <c r="EN255" i="19"/>
  <c r="AS255" i="19" s="1"/>
  <c r="AS253" i="19"/>
  <c r="EN256" i="19"/>
  <c r="AS256" i="19" s="1"/>
  <c r="EN257" i="19"/>
  <c r="AS257" i="19" s="1"/>
  <c r="EC16" i="21"/>
  <c r="EC26" i="21"/>
  <c r="EC49" i="21"/>
  <c r="EC50" i="21" s="1"/>
  <c r="CX29" i="21"/>
  <c r="AE24" i="21"/>
  <c r="AE29" i="21" s="1"/>
  <c r="CW70" i="19"/>
  <c r="CW117" i="19"/>
  <c r="CW129" i="19" s="1"/>
  <c r="EQ43" i="24"/>
  <c r="AS42" i="24"/>
  <c r="AE52" i="21"/>
  <c r="HP21" i="7" s="1"/>
  <c r="ET180" i="19"/>
  <c r="AU180" i="19" s="1"/>
  <c r="ET181" i="19"/>
  <c r="AU181" i="19" s="1"/>
  <c r="ET182" i="19"/>
  <c r="AU182" i="19" s="1"/>
  <c r="ET183" i="19"/>
  <c r="AU183" i="19" s="1"/>
  <c r="AU179" i="19"/>
  <c r="AG111" i="15"/>
  <c r="AG112" i="15" s="1"/>
  <c r="AF54" i="19"/>
  <c r="DA191" i="19"/>
  <c r="EZ42" i="21"/>
  <c r="AW37" i="21"/>
  <c r="FB11" i="1"/>
  <c r="EF40" i="21"/>
  <c r="A23" i="30"/>
  <c r="B22" i="30"/>
  <c r="C22" i="30"/>
  <c r="DH16" i="21"/>
  <c r="DH26" i="21"/>
  <c r="DH49" i="21"/>
  <c r="H56" i="11"/>
  <c r="H75" i="11"/>
  <c r="H70" i="11"/>
  <c r="DF69" i="19"/>
  <c r="EE42" i="21"/>
  <c r="AU37" i="21"/>
  <c r="ET42" i="21"/>
  <c r="AM108" i="1"/>
  <c r="DK68" i="24"/>
  <c r="DL69" i="24" s="1"/>
  <c r="DM70" i="24" s="1"/>
  <c r="DI67" i="24"/>
  <c r="CZ11" i="25"/>
  <c r="AM11" i="24"/>
  <c r="AM10" i="24" s="1"/>
  <c r="DV13" i="24"/>
  <c r="DV63" i="24"/>
  <c r="I255" i="19"/>
  <c r="FF14" i="25" s="1"/>
  <c r="AO233" i="19"/>
  <c r="AQ54" i="24"/>
  <c r="EI55" i="24"/>
  <c r="EJ56" i="24" s="1"/>
  <c r="EK57" i="24" s="1"/>
  <c r="AV37" i="21"/>
  <c r="EW42" i="21"/>
  <c r="AN157" i="19"/>
  <c r="FU14" i="7"/>
  <c r="J249" i="19"/>
  <c r="AL249" i="19"/>
  <c r="EX42" i="21"/>
  <c r="EZ60" i="19"/>
  <c r="AW31" i="15"/>
  <c r="AW73" i="15" s="1"/>
  <c r="AJ231" i="19"/>
  <c r="H110" i="15"/>
  <c r="L39" i="29"/>
  <c r="AT39" i="29"/>
  <c r="EM11" i="11"/>
  <c r="EM108" i="1"/>
  <c r="EB67" i="24"/>
  <c r="AU44" i="19"/>
  <c r="ET68" i="19"/>
  <c r="ET105" i="19"/>
  <c r="DB69" i="19"/>
  <c r="CW69" i="19"/>
  <c r="EL44" i="24"/>
  <c r="AR43" i="24"/>
  <c r="AN251" i="19"/>
  <c r="AN9" i="24"/>
  <c r="AF45" i="19"/>
  <c r="DA69" i="19"/>
  <c r="DA111" i="19"/>
  <c r="ER40" i="21"/>
  <c r="ER34" i="21"/>
  <c r="DT16" i="21"/>
  <c r="DT26" i="21"/>
  <c r="DT49" i="21"/>
  <c r="DT50" i="21" s="1"/>
  <c r="AK83" i="19"/>
  <c r="DG26" i="21"/>
  <c r="I11" i="21"/>
  <c r="I16" i="21" s="1"/>
  <c r="AH11" i="21"/>
  <c r="DG16" i="21"/>
  <c r="DG49" i="21"/>
  <c r="AS44" i="19"/>
  <c r="EN68" i="19"/>
  <c r="AS68" i="19" s="1"/>
  <c r="EN105" i="19"/>
  <c r="GQ10" i="7"/>
  <c r="AL150" i="19"/>
  <c r="DU16" i="21"/>
  <c r="DU26" i="21"/>
  <c r="DU49" i="21"/>
  <c r="DU50" i="21" s="1"/>
  <c r="AA20" i="29"/>
  <c r="AD21" i="29"/>
  <c r="DZ10" i="21"/>
  <c r="J10" i="21" s="1"/>
  <c r="J15" i="21" s="1"/>
  <c r="DZ11" i="21"/>
  <c r="DZ12" i="21"/>
  <c r="AN12" i="21" s="1"/>
  <c r="DZ14" i="21"/>
  <c r="DZ19" i="21"/>
  <c r="AV71" i="15"/>
  <c r="AR247" i="19"/>
  <c r="EK248" i="19"/>
  <c r="EK249" i="19"/>
  <c r="EK250" i="19"/>
  <c r="EK251" i="19"/>
  <c r="DT69" i="24"/>
  <c r="DU70" i="24" s="1"/>
  <c r="DV71" i="24" s="1"/>
  <c r="AL40" i="21"/>
  <c r="AH227" i="19"/>
  <c r="DY17" i="21"/>
  <c r="DY27" i="21"/>
  <c r="DY54" i="21"/>
  <c r="AR42" i="15"/>
  <c r="EK12" i="1"/>
  <c r="AR12" i="1" s="1"/>
  <c r="AN11" i="11"/>
  <c r="AN112" i="1"/>
  <c r="AN20" i="1"/>
  <c r="CQ42" i="19"/>
  <c r="CQ66" i="19" s="1"/>
  <c r="CQ12" i="15"/>
  <c r="CQ40" i="15"/>
  <c r="CQ14" i="15"/>
  <c r="CQ90" i="15"/>
  <c r="CQ15" i="15"/>
  <c r="J103" i="19"/>
  <c r="AL103" i="19"/>
  <c r="FO10" i="25"/>
  <c r="DB13" i="1"/>
  <c r="FB34" i="21"/>
  <c r="EM12" i="1"/>
  <c r="HE9" i="7"/>
  <c r="GS14" i="7"/>
  <c r="AP181" i="19"/>
  <c r="AP157" i="19" s="1"/>
  <c r="K181" i="19"/>
  <c r="AT173" i="19"/>
  <c r="EQ177" i="19"/>
  <c r="EQ174" i="19"/>
  <c r="EQ176" i="19"/>
  <c r="L173" i="19"/>
  <c r="EQ175" i="19"/>
  <c r="AQ40" i="21"/>
  <c r="AK14" i="21"/>
  <c r="AK19" i="21"/>
  <c r="GQ11" i="7"/>
  <c r="GQ13" i="7" s="1"/>
  <c r="HC7" i="7"/>
  <c r="K35" i="21"/>
  <c r="DE62" i="19"/>
  <c r="DE44" i="15"/>
  <c r="R13" i="29"/>
  <c r="U14" i="29"/>
  <c r="H66" i="24"/>
  <c r="CV67" i="24"/>
  <c r="AD66" i="24"/>
  <c r="CU126" i="24"/>
  <c r="L43" i="19"/>
  <c r="AT43" i="19"/>
  <c r="EQ67" i="19"/>
  <c r="EQ99" i="19"/>
  <c r="J180" i="19"/>
  <c r="AL180" i="19"/>
  <c r="AL156" i="19" s="1"/>
  <c r="H14" i="8"/>
  <c r="H35" i="8" s="1"/>
  <c r="H15" i="8"/>
  <c r="H36" i="8" s="1"/>
  <c r="H13" i="8"/>
  <c r="H34" i="8" s="1"/>
  <c r="H16" i="8"/>
  <c r="H37" i="8" s="1"/>
  <c r="H17" i="8"/>
  <c r="H38" i="8" s="1"/>
  <c r="AE33" i="11"/>
  <c r="ET43" i="24"/>
  <c r="L42" i="24"/>
  <c r="AT42" i="24"/>
  <c r="DN16" i="21"/>
  <c r="DN26" i="21"/>
  <c r="DN49" i="21"/>
  <c r="DO47" i="21"/>
  <c r="DV43" i="24"/>
  <c r="AL42" i="24"/>
  <c r="J42" i="24"/>
  <c r="EC15" i="21"/>
  <c r="EC25" i="21"/>
  <c r="EC24" i="21" s="1"/>
  <c r="EC29" i="21" s="1"/>
  <c r="EC44" i="21"/>
  <c r="EC45" i="21" s="1"/>
  <c r="AH11" i="24"/>
  <c r="AH10" i="24" s="1"/>
  <c r="DG13" i="24"/>
  <c r="I11" i="24"/>
  <c r="I13" i="24" s="1"/>
  <c r="DG63" i="24"/>
  <c r="EO108" i="1"/>
  <c r="GS8" i="25"/>
  <c r="DD61" i="19"/>
  <c r="DD69" i="19" s="1"/>
  <c r="AG69" i="19" s="1"/>
  <c r="AG32" i="15"/>
  <c r="GS11" i="7"/>
  <c r="GS15" i="7" s="1"/>
  <c r="HE7" i="7"/>
  <c r="DH71" i="24"/>
  <c r="DI72" i="24" s="1"/>
  <c r="DJ73" i="24" s="1"/>
  <c r="HQ23" i="7"/>
  <c r="HQ19" i="7"/>
  <c r="HQ22" i="7" s="1"/>
  <c r="HQ41" i="7" s="1"/>
  <c r="AK78" i="19"/>
  <c r="FB67" i="19"/>
  <c r="FB99" i="19"/>
  <c r="EH10" i="21"/>
  <c r="AQ9" i="21"/>
  <c r="EH11" i="21"/>
  <c r="EH12" i="21"/>
  <c r="EH14" i="21"/>
  <c r="EH19" i="21"/>
  <c r="FB44" i="19"/>
  <c r="AW44" i="19" s="1"/>
  <c r="FB42" i="15"/>
  <c r="H24" i="21"/>
  <c r="H29" i="21" s="1"/>
  <c r="AD24" i="21"/>
  <c r="AD29" i="21" s="1"/>
  <c r="CU29" i="21"/>
  <c r="DH15" i="21"/>
  <c r="DH25" i="21"/>
  <c r="DH24" i="21" s="1"/>
  <c r="DH29" i="21" s="1"/>
  <c r="DH44" i="21"/>
  <c r="EZ44" i="24"/>
  <c r="AV43" i="24"/>
  <c r="DD44" i="24"/>
  <c r="AF43" i="24"/>
  <c r="EO12" i="1"/>
  <c r="AN42" i="21"/>
  <c r="EY9" i="24"/>
  <c r="EY11" i="24" s="1"/>
  <c r="EY9" i="21"/>
  <c r="EY11" i="1"/>
  <c r="HP14" i="7"/>
  <c r="HP10" i="7"/>
  <c r="HP13" i="7" s="1"/>
  <c r="HP40" i="7" s="1"/>
  <c r="DI24" i="21"/>
  <c r="DI29" i="21" s="1"/>
  <c r="AP42" i="21"/>
  <c r="AE55" i="21"/>
  <c r="EI39" i="21"/>
  <c r="EI41" i="21"/>
  <c r="EI42" i="21"/>
  <c r="AI54" i="21"/>
  <c r="AM11" i="11"/>
  <c r="AM112" i="1"/>
  <c r="AM20" i="1"/>
  <c r="FZ11" i="25"/>
  <c r="FZ14" i="25" s="1"/>
  <c r="FZ12" i="25"/>
  <c r="CV79" i="24"/>
  <c r="AD78" i="24"/>
  <c r="AJ108" i="19"/>
  <c r="AJ84" i="19" s="1"/>
  <c r="AO232" i="19"/>
  <c r="FO11" i="25"/>
  <c r="FO12" i="25" s="1"/>
  <c r="AO12" i="1"/>
  <c r="AO11" i="11" s="1"/>
  <c r="AN159" i="19"/>
  <c r="AM248" i="19"/>
  <c r="J248" i="19"/>
  <c r="AL248" i="19"/>
  <c r="DZ107" i="19"/>
  <c r="DZ108" i="19"/>
  <c r="DZ106" i="19"/>
  <c r="DZ109" i="19"/>
  <c r="EF11" i="11"/>
  <c r="EF108" i="1"/>
  <c r="AO152" i="19"/>
  <c r="H45" i="21"/>
  <c r="HC10" i="25" s="1"/>
  <c r="HC13" i="25" s="1"/>
  <c r="AD45" i="21"/>
  <c r="EX254" i="19"/>
  <c r="EX257" i="19"/>
  <c r="EX255" i="19"/>
  <c r="EX256" i="19"/>
  <c r="CU62" i="19"/>
  <c r="CU70" i="19" s="1"/>
  <c r="AD33" i="15"/>
  <c r="H33" i="15"/>
  <c r="L59" i="19"/>
  <c r="AT59" i="19"/>
  <c r="EQ247" i="19"/>
  <c r="EM9" i="21"/>
  <c r="AR9" i="21" s="1"/>
  <c r="ED13" i="25"/>
  <c r="ED10" i="25"/>
  <c r="ED11" i="25" s="1"/>
  <c r="GQ9" i="7"/>
  <c r="AW179" i="19"/>
  <c r="EZ180" i="19"/>
  <c r="AW180" i="19" s="1"/>
  <c r="EZ182" i="19"/>
  <c r="AW182" i="19" s="1"/>
  <c r="EZ183" i="19"/>
  <c r="AW183" i="19" s="1"/>
  <c r="EZ181" i="19"/>
  <c r="AW181" i="19" s="1"/>
  <c r="EW17" i="11"/>
  <c r="EW35" i="1" s="1"/>
  <c r="EW29" i="11"/>
  <c r="EW30" i="11" s="1"/>
  <c r="FU15" i="7"/>
  <c r="AN250" i="19"/>
  <c r="BZ42" i="19"/>
  <c r="BY12" i="15"/>
  <c r="BZ40" i="15"/>
  <c r="W7" i="15"/>
  <c r="BZ90" i="15"/>
  <c r="BZ15" i="15"/>
  <c r="BZ14" i="15"/>
  <c r="EN40" i="21"/>
  <c r="AS35" i="21"/>
  <c r="EN34" i="21"/>
  <c r="K34" i="21" s="1"/>
  <c r="AG191" i="19"/>
  <c r="DT15" i="21"/>
  <c r="DT25" i="21"/>
  <c r="DT24" i="21" s="1"/>
  <c r="DT29" i="21" s="1"/>
  <c r="DT44" i="21"/>
  <c r="DT45" i="21" s="1"/>
  <c r="AK159" i="19"/>
  <c r="AK156" i="19"/>
  <c r="AK157" i="19"/>
  <c r="AK158" i="19"/>
  <c r="I10" i="21"/>
  <c r="I15" i="21" s="1"/>
  <c r="AH10" i="21"/>
  <c r="DG15" i="21"/>
  <c r="DG25" i="21"/>
  <c r="DG44" i="21"/>
  <c r="GA7" i="25"/>
  <c r="DU15" i="21"/>
  <c r="DU25" i="21"/>
  <c r="DU44" i="21"/>
  <c r="DU45" i="21" s="1"/>
  <c r="EU254" i="19"/>
  <c r="EU255" i="19"/>
  <c r="EU256" i="19"/>
  <c r="EU257" i="19"/>
  <c r="AN100" i="19"/>
  <c r="AV43" i="19"/>
  <c r="EW67" i="19"/>
  <c r="AV67" i="19" s="1"/>
  <c r="EW99" i="19"/>
  <c r="EZ176" i="19"/>
  <c r="AW173" i="19"/>
  <c r="EZ174" i="19"/>
  <c r="EZ175" i="19"/>
  <c r="EZ177" i="19"/>
  <c r="ED67" i="24"/>
  <c r="EE68" i="24" s="1"/>
  <c r="AL14" i="21"/>
  <c r="AL19" i="21"/>
  <c r="GJ10" i="25"/>
  <c r="AN11" i="21"/>
  <c r="DY16" i="21"/>
  <c r="DY26" i="21"/>
  <c r="DY49" i="21"/>
  <c r="AJ224" i="19"/>
  <c r="EG107" i="19"/>
  <c r="EG108" i="19"/>
  <c r="EG106" i="19"/>
  <c r="EG109" i="19"/>
  <c r="AR44" i="19"/>
  <c r="EK68" i="19"/>
  <c r="AR68" i="19" s="1"/>
  <c r="EK105" i="19"/>
  <c r="K105" i="19" s="1"/>
  <c r="DY11" i="11"/>
  <c r="FH17" i="7"/>
  <c r="FH22" i="7" s="1"/>
  <c r="M83" i="26" l="1"/>
  <c r="AY66" i="26"/>
  <c r="AZ62" i="26" s="1"/>
  <c r="AG21" i="30"/>
  <c r="E33" i="30"/>
  <c r="D33" i="30" s="1"/>
  <c r="AN21" i="30"/>
  <c r="AC21" i="30"/>
  <c r="AE21" i="30"/>
  <c r="AB21" i="30"/>
  <c r="AD21" i="30"/>
  <c r="AI21" i="30"/>
  <c r="AH21" i="30"/>
  <c r="AJ21" i="30"/>
  <c r="AF21" i="30"/>
  <c r="AA21" i="30"/>
  <c r="AA51" i="30" s="1"/>
  <c r="T124" i="26"/>
  <c r="T123" i="26"/>
  <c r="AN17" i="21"/>
  <c r="AN22" i="21"/>
  <c r="V18" i="37"/>
  <c r="V14" i="35"/>
  <c r="V91" i="38"/>
  <c r="V107" i="38"/>
  <c r="V98" i="38"/>
  <c r="V82" i="38"/>
  <c r="V116" i="38"/>
  <c r="K39" i="21"/>
  <c r="K41" i="21"/>
  <c r="K42" i="21"/>
  <c r="EU19" i="21"/>
  <c r="EU10" i="21"/>
  <c r="EU11" i="21"/>
  <c r="EU12" i="21"/>
  <c r="EU14" i="21"/>
  <c r="AD70" i="19"/>
  <c r="ES19" i="21"/>
  <c r="ES10" i="21"/>
  <c r="ES11" i="21"/>
  <c r="ES12" i="21"/>
  <c r="ES14" i="21"/>
  <c r="AR14" i="21"/>
  <c r="AR19" i="21"/>
  <c r="H48" i="15"/>
  <c r="EA15" i="25" s="1"/>
  <c r="AR101" i="19"/>
  <c r="AL226" i="19"/>
  <c r="W40" i="15"/>
  <c r="BZ47" i="15"/>
  <c r="BZ48" i="15"/>
  <c r="EW56" i="1"/>
  <c r="EW40" i="1"/>
  <c r="EQ248" i="19"/>
  <c r="EQ249" i="19"/>
  <c r="L247" i="19"/>
  <c r="EQ250" i="19"/>
  <c r="AT247" i="19"/>
  <c r="EQ251" i="19"/>
  <c r="GK7" i="25"/>
  <c r="EH16" i="21"/>
  <c r="AQ11" i="21"/>
  <c r="EH26" i="21"/>
  <c r="EH49" i="21"/>
  <c r="H33" i="8"/>
  <c r="DE13" i="1"/>
  <c r="GQ12" i="7"/>
  <c r="L176" i="19"/>
  <c r="AT176" i="19"/>
  <c r="DB88" i="1"/>
  <c r="AR249" i="19"/>
  <c r="DZ16" i="21"/>
  <c r="DZ26" i="21"/>
  <c r="DZ49" i="21"/>
  <c r="ER39" i="21"/>
  <c r="ER41" i="21"/>
  <c r="ER42" i="21"/>
  <c r="AN227" i="19"/>
  <c r="ET106" i="19"/>
  <c r="ET108" i="19"/>
  <c r="ET109" i="19"/>
  <c r="ET107" i="19"/>
  <c r="AW60" i="19"/>
  <c r="EZ253" i="19"/>
  <c r="DV66" i="24"/>
  <c r="AM63" i="24"/>
  <c r="CZ70" i="11"/>
  <c r="DA70" i="11"/>
  <c r="CA13" i="25"/>
  <c r="CA14" i="25" s="1"/>
  <c r="EF113" i="24"/>
  <c r="EG114" i="24" s="1"/>
  <c r="EH115" i="24" s="1"/>
  <c r="EF68" i="24"/>
  <c r="EG69" i="24" s="1"/>
  <c r="EH70" i="24" s="1"/>
  <c r="AR102" i="19"/>
  <c r="FG15" i="25"/>
  <c r="AU176" i="19"/>
  <c r="EO39" i="21"/>
  <c r="EO42" i="21"/>
  <c r="EO41" i="21"/>
  <c r="CK39" i="24"/>
  <c r="G38" i="24"/>
  <c r="Z38" i="24"/>
  <c r="AV9" i="24"/>
  <c r="EW11" i="24"/>
  <c r="DE74" i="24"/>
  <c r="DF75" i="24" s="1"/>
  <c r="DG76" i="24" s="1"/>
  <c r="DX51" i="21"/>
  <c r="AM44" i="21"/>
  <c r="DV47" i="21"/>
  <c r="AM225" i="19"/>
  <c r="ET248" i="19"/>
  <c r="AU247" i="19"/>
  <c r="ET249" i="19"/>
  <c r="ET250" i="19"/>
  <c r="ET251" i="19"/>
  <c r="EZ248" i="19"/>
  <c r="EZ249" i="19"/>
  <c r="EZ250" i="19"/>
  <c r="EZ251" i="19"/>
  <c r="AW247" i="19"/>
  <c r="CO40" i="24"/>
  <c r="AA39" i="24"/>
  <c r="AK44" i="21"/>
  <c r="DP45" i="21"/>
  <c r="AK45" i="21" s="1"/>
  <c r="DP46" i="21"/>
  <c r="AK46" i="21" s="1"/>
  <c r="DP47" i="21"/>
  <c r="AK47" i="21" s="1"/>
  <c r="AP101" i="19"/>
  <c r="K101" i="19"/>
  <c r="GB9" i="25"/>
  <c r="ER13" i="24"/>
  <c r="ER63" i="24"/>
  <c r="ER66" i="24" s="1"/>
  <c r="W77" i="37"/>
  <c r="AG68" i="37"/>
  <c r="W72" i="37"/>
  <c r="K68" i="19"/>
  <c r="AD61" i="19"/>
  <c r="H61" i="19"/>
  <c r="CU259" i="19"/>
  <c r="HO19" i="7"/>
  <c r="HO22" i="7" s="1"/>
  <c r="HO41" i="7" s="1"/>
  <c r="HO23" i="7"/>
  <c r="EL27" i="21"/>
  <c r="EL17" i="21"/>
  <c r="EL54" i="21"/>
  <c r="EL55" i="21" s="1"/>
  <c r="EA15" i="21"/>
  <c r="EA25" i="21"/>
  <c r="EA44" i="21"/>
  <c r="K183" i="19"/>
  <c r="DU52" i="21"/>
  <c r="HR33" i="7"/>
  <c r="ED55" i="21"/>
  <c r="AS249" i="19"/>
  <c r="HR43" i="7"/>
  <c r="AP249" i="19"/>
  <c r="K249" i="19"/>
  <c r="AM227" i="19"/>
  <c r="CZ88" i="1"/>
  <c r="FZ13" i="25"/>
  <c r="AL158" i="19"/>
  <c r="AP257" i="19"/>
  <c r="AP233" i="19" s="1"/>
  <c r="K257" i="19"/>
  <c r="HO29" i="7"/>
  <c r="HO32" i="7" s="1"/>
  <c r="HO42" i="7" s="1"/>
  <c r="HO33" i="7"/>
  <c r="EZ19" i="21"/>
  <c r="EZ10" i="21"/>
  <c r="EZ11" i="21"/>
  <c r="EZ12" i="21"/>
  <c r="EZ14" i="21"/>
  <c r="AW9" i="21"/>
  <c r="AO227" i="19"/>
  <c r="AN10" i="21"/>
  <c r="AO77" i="19"/>
  <c r="EX13" i="24"/>
  <c r="EX63" i="24"/>
  <c r="EX66" i="24" s="1"/>
  <c r="AD13" i="1"/>
  <c r="CU98" i="1"/>
  <c r="CU88" i="1"/>
  <c r="CU14" i="1"/>
  <c r="CU97" i="1"/>
  <c r="EC46" i="21"/>
  <c r="ET100" i="19"/>
  <c r="AU99" i="19"/>
  <c r="ET101" i="19"/>
  <c r="ET103" i="19"/>
  <c r="ET102" i="19"/>
  <c r="AA97" i="22"/>
  <c r="AF97" i="22" s="1"/>
  <c r="M61" i="22"/>
  <c r="M63" i="22" s="1"/>
  <c r="M79" i="22"/>
  <c r="S79" i="22"/>
  <c r="S99" i="22" s="1"/>
  <c r="S61" i="22"/>
  <c r="S63" i="22" s="1"/>
  <c r="EP16" i="21"/>
  <c r="EP26" i="21"/>
  <c r="EP49" i="21"/>
  <c r="EP50" i="21" s="1"/>
  <c r="AL54" i="21"/>
  <c r="DS57" i="21"/>
  <c r="DS55" i="21"/>
  <c r="DS56" i="21"/>
  <c r="DV45" i="21"/>
  <c r="AM45" i="21" s="1"/>
  <c r="H203" i="19"/>
  <c r="CQ49" i="24"/>
  <c r="CR50" i="24" s="1"/>
  <c r="EA67" i="24"/>
  <c r="AV175" i="19"/>
  <c r="AO158" i="19"/>
  <c r="AQ152" i="19"/>
  <c r="AQ107" i="19"/>
  <c r="AQ83" i="19" s="1"/>
  <c r="EL56" i="21"/>
  <c r="ET254" i="19"/>
  <c r="AU254" i="19" s="1"/>
  <c r="AU253" i="19"/>
  <c r="ET255" i="19"/>
  <c r="AU255" i="19" s="1"/>
  <c r="ET256" i="19"/>
  <c r="AU256" i="19" s="1"/>
  <c r="ET257" i="19"/>
  <c r="AU257" i="19" s="1"/>
  <c r="FQ9" i="25"/>
  <c r="DE75" i="24"/>
  <c r="DF76" i="24" s="1"/>
  <c r="DG77" i="24" s="1"/>
  <c r="AV34" i="21"/>
  <c r="EW39" i="21"/>
  <c r="EW41" i="21"/>
  <c r="DA62" i="19"/>
  <c r="AF33" i="15"/>
  <c r="DA44" i="15"/>
  <c r="CZ68" i="24"/>
  <c r="AE67" i="24"/>
  <c r="DA75" i="24"/>
  <c r="AE74" i="24"/>
  <c r="AP14" i="21"/>
  <c r="AP19" i="21"/>
  <c r="DN24" i="21"/>
  <c r="DN29" i="21" s="1"/>
  <c r="ES39" i="21"/>
  <c r="ES41" i="21"/>
  <c r="ES42" i="21"/>
  <c r="L11" i="1"/>
  <c r="AT11" i="1"/>
  <c r="EQ108" i="1"/>
  <c r="I105" i="15"/>
  <c r="DW53" i="24"/>
  <c r="AN224" i="19"/>
  <c r="AP248" i="19"/>
  <c r="K248" i="19"/>
  <c r="EU100" i="19"/>
  <c r="EU103" i="19"/>
  <c r="EU102" i="19"/>
  <c r="EU101" i="19"/>
  <c r="AP107" i="19"/>
  <c r="AP83" i="19" s="1"/>
  <c r="DN74" i="24"/>
  <c r="DO75" i="24" s="1"/>
  <c r="DP76" i="24" s="1"/>
  <c r="AG111" i="19"/>
  <c r="DD129" i="19"/>
  <c r="K256" i="19"/>
  <c r="AP256" i="19"/>
  <c r="AP232" i="19" s="1"/>
  <c r="HC33" i="25"/>
  <c r="HC42" i="25"/>
  <c r="FH23" i="7"/>
  <c r="EZ11" i="24"/>
  <c r="AI24" i="21"/>
  <c r="AI29" i="21" s="1"/>
  <c r="DJ29" i="21"/>
  <c r="AD117" i="19"/>
  <c r="DZ69" i="24"/>
  <c r="EA70" i="24" s="1"/>
  <c r="EB71" i="24" s="1"/>
  <c r="DY24" i="21"/>
  <c r="AL63" i="24"/>
  <c r="J63" i="24"/>
  <c r="DS66" i="24"/>
  <c r="AM54" i="21"/>
  <c r="DV57" i="21"/>
  <c r="AM57" i="21" s="1"/>
  <c r="AI44" i="24"/>
  <c r="DK45" i="24"/>
  <c r="GS9" i="25"/>
  <c r="GS11" i="25" s="1"/>
  <c r="DH55" i="21"/>
  <c r="DH56" i="21"/>
  <c r="DH57" i="21"/>
  <c r="AD47" i="15"/>
  <c r="EA14" i="7" s="1"/>
  <c r="AD48" i="15"/>
  <c r="EA15" i="7" s="1"/>
  <c r="EC51" i="21"/>
  <c r="W61" i="22"/>
  <c r="W63" i="22" s="1"/>
  <c r="W79" i="22"/>
  <c r="N61" i="22"/>
  <c r="N63" i="22" s="1"/>
  <c r="N79" i="22"/>
  <c r="EP15" i="21"/>
  <c r="EP25" i="21"/>
  <c r="EP44" i="21"/>
  <c r="EP45" i="21" s="1"/>
  <c r="CW49" i="24"/>
  <c r="CX50" i="24" s="1"/>
  <c r="AL17" i="21"/>
  <c r="AL22" i="21"/>
  <c r="AM50" i="21"/>
  <c r="EV68" i="19"/>
  <c r="EV105" i="19"/>
  <c r="AV174" i="19"/>
  <c r="FF15" i="25"/>
  <c r="FA100" i="19"/>
  <c r="FA101" i="19"/>
  <c r="FA102" i="19"/>
  <c r="FA103" i="19"/>
  <c r="GS13" i="7"/>
  <c r="DD13" i="1"/>
  <c r="AK54" i="21"/>
  <c r="DP55" i="21"/>
  <c r="AK55" i="21" s="1"/>
  <c r="DP56" i="21"/>
  <c r="AK56" i="21" s="1"/>
  <c r="DP57" i="21"/>
  <c r="AK57" i="21" s="1"/>
  <c r="DP68" i="24"/>
  <c r="AS102" i="19"/>
  <c r="DH45" i="24"/>
  <c r="AH44" i="24"/>
  <c r="EF114" i="24"/>
  <c r="EG115" i="24" s="1"/>
  <c r="EH116" i="24" s="1"/>
  <c r="EM13" i="24"/>
  <c r="EM63" i="24"/>
  <c r="EM66" i="24" s="1"/>
  <c r="AN76" i="19"/>
  <c r="AR248" i="19"/>
  <c r="DZ15" i="21"/>
  <c r="DZ25" i="21"/>
  <c r="DZ44" i="21"/>
  <c r="AH21" i="21"/>
  <c r="AH16" i="21"/>
  <c r="AU174" i="19"/>
  <c r="W42" i="19"/>
  <c r="W47" i="19" s="1"/>
  <c r="BZ66" i="19"/>
  <c r="W66" i="19" s="1"/>
  <c r="W71" i="19" s="1"/>
  <c r="HC9" i="7"/>
  <c r="GQ14" i="7"/>
  <c r="AM224" i="19"/>
  <c r="HP33" i="7"/>
  <c r="HP29" i="7"/>
  <c r="HP32" i="7" s="1"/>
  <c r="HP42" i="7" s="1"/>
  <c r="AQ10" i="21"/>
  <c r="EH15" i="21"/>
  <c r="EH25" i="21"/>
  <c r="EH44" i="21"/>
  <c r="AQ44" i="21" s="1"/>
  <c r="DG66" i="24"/>
  <c r="I63" i="24"/>
  <c r="AH63" i="24"/>
  <c r="L174" i="19"/>
  <c r="AT174" i="19"/>
  <c r="FO15" i="25"/>
  <c r="CQ47" i="19"/>
  <c r="CQ45" i="15"/>
  <c r="CR7" i="15"/>
  <c r="AF111" i="19"/>
  <c r="DA129" i="19"/>
  <c r="EM45" i="24"/>
  <c r="EN46" i="24" s="1"/>
  <c r="AR44" i="24"/>
  <c r="AV42" i="21"/>
  <c r="CX56" i="11"/>
  <c r="AE56" i="11" s="1"/>
  <c r="CW56" i="11"/>
  <c r="DF56" i="11"/>
  <c r="CY56" i="11"/>
  <c r="CZ56" i="11"/>
  <c r="DA56" i="11"/>
  <c r="DB56" i="11"/>
  <c r="DC56" i="11"/>
  <c r="CU56" i="11"/>
  <c r="AD56" i="11" s="1"/>
  <c r="DD56" i="11"/>
  <c r="AG56" i="11" s="1"/>
  <c r="CV56" i="11"/>
  <c r="DE56" i="11"/>
  <c r="CA19" i="25"/>
  <c r="CA20" i="25" s="1"/>
  <c r="F22" i="30"/>
  <c r="X53" i="36"/>
  <c r="X133" i="36"/>
  <c r="W116" i="37"/>
  <c r="AR100" i="19"/>
  <c r="EQ40" i="21"/>
  <c r="EK16" i="21"/>
  <c r="EK26" i="21"/>
  <c r="EK49" i="21"/>
  <c r="AN77" i="19"/>
  <c r="CR20" i="29"/>
  <c r="CS16" i="29" s="1"/>
  <c r="CS20" i="29" s="1"/>
  <c r="CT16" i="29" s="1"/>
  <c r="CT20" i="29" s="1"/>
  <c r="CU16" i="29" s="1"/>
  <c r="AC16" i="29"/>
  <c r="AN10" i="24"/>
  <c r="EV34" i="21"/>
  <c r="GK9" i="25"/>
  <c r="EU52" i="24"/>
  <c r="EV53" i="24" s="1"/>
  <c r="EW54" i="24" s="1"/>
  <c r="AU51" i="24"/>
  <c r="DE49" i="24"/>
  <c r="DF50" i="24" s="1"/>
  <c r="DG51" i="24" s="1"/>
  <c r="DQ71" i="24"/>
  <c r="DR72" i="24" s="1"/>
  <c r="DS73" i="24" s="1"/>
  <c r="EF46" i="21"/>
  <c r="ES12" i="1"/>
  <c r="AW34" i="21"/>
  <c r="AW40" i="21" s="1"/>
  <c r="EZ39" i="21"/>
  <c r="EZ41" i="21"/>
  <c r="AK25" i="21"/>
  <c r="AK30" i="21" s="1"/>
  <c r="DP24" i="21"/>
  <c r="AI52" i="21"/>
  <c r="AP152" i="19"/>
  <c r="DX52" i="21"/>
  <c r="AM226" i="19"/>
  <c r="K82" i="11"/>
  <c r="ED82" i="11"/>
  <c r="EL15" i="21"/>
  <c r="EL25" i="21"/>
  <c r="EL44" i="21"/>
  <c r="EL45" i="21" s="1"/>
  <c r="AL230" i="19"/>
  <c r="EG17" i="21"/>
  <c r="EG27" i="21"/>
  <c r="EG54" i="21"/>
  <c r="EX39" i="21"/>
  <c r="EX41" i="21"/>
  <c r="AD111" i="19"/>
  <c r="AD129" i="19" s="1"/>
  <c r="H111" i="19"/>
  <c r="CU129" i="19"/>
  <c r="AQ251" i="19"/>
  <c r="AO224" i="19"/>
  <c r="L183" i="19"/>
  <c r="AT183" i="19"/>
  <c r="AS248" i="19"/>
  <c r="AO14" i="21"/>
  <c r="AO19" i="21"/>
  <c r="ET11" i="24"/>
  <c r="DH75" i="24"/>
  <c r="DI76" i="24" s="1"/>
  <c r="DJ77" i="24" s="1"/>
  <c r="AE203" i="19"/>
  <c r="DW47" i="21"/>
  <c r="GA10" i="25"/>
  <c r="AS151" i="19"/>
  <c r="AP109" i="19"/>
  <c r="AP85" i="19" s="1"/>
  <c r="AQ151" i="19"/>
  <c r="AO63" i="24"/>
  <c r="EB66" i="24"/>
  <c r="AN78" i="19"/>
  <c r="AG62" i="19"/>
  <c r="DD265" i="19"/>
  <c r="AJ45" i="24"/>
  <c r="DN46" i="24"/>
  <c r="AO108" i="19"/>
  <c r="AO84" i="19" s="1"/>
  <c r="U99" i="22"/>
  <c r="M80" i="22"/>
  <c r="T61" i="22"/>
  <c r="T63" i="22" s="1"/>
  <c r="T79" i="22"/>
  <c r="T99" i="22" s="1"/>
  <c r="AL27" i="21"/>
  <c r="AL32" i="21" s="1"/>
  <c r="DW68" i="24"/>
  <c r="DX69" i="24" s="1"/>
  <c r="DY70" i="24" s="1"/>
  <c r="AS153" i="19"/>
  <c r="AN156" i="19"/>
  <c r="AI46" i="21"/>
  <c r="AK17" i="21"/>
  <c r="AK22" i="21"/>
  <c r="GA8" i="25"/>
  <c r="H44" i="15"/>
  <c r="H47" i="15" s="1"/>
  <c r="EA14" i="25" s="1"/>
  <c r="AJ54" i="21"/>
  <c r="DM56" i="21"/>
  <c r="AJ56" i="21" s="1"/>
  <c r="DM57" i="21"/>
  <c r="DM55" i="21"/>
  <c r="BY58" i="19"/>
  <c r="BY36" i="15"/>
  <c r="BX34" i="15"/>
  <c r="BY92" i="15"/>
  <c r="BY37" i="15"/>
  <c r="EF17" i="21"/>
  <c r="EF27" i="21"/>
  <c r="EF54" i="21"/>
  <c r="EF56" i="21" s="1"/>
  <c r="DK89" i="24"/>
  <c r="DT71" i="24"/>
  <c r="DU72" i="24" s="1"/>
  <c r="DV73" i="24" s="1"/>
  <c r="EO106" i="19"/>
  <c r="EO108" i="19"/>
  <c r="EO109" i="19"/>
  <c r="EO107" i="19"/>
  <c r="AH20" i="21"/>
  <c r="AH15" i="21"/>
  <c r="AQ14" i="21"/>
  <c r="AQ19" i="21"/>
  <c r="AG116" i="37"/>
  <c r="EK17" i="21"/>
  <c r="EK27" i="21"/>
  <c r="EK54" i="21"/>
  <c r="AN63" i="24"/>
  <c r="DY66" i="24"/>
  <c r="AP103" i="19"/>
  <c r="K103" i="19"/>
  <c r="AS14" i="21"/>
  <c r="AS19" i="21"/>
  <c r="ES13" i="24"/>
  <c r="ES63" i="24"/>
  <c r="ES66" i="24" s="1"/>
  <c r="ET19" i="21"/>
  <c r="ET10" i="21"/>
  <c r="AU9" i="21"/>
  <c r="ET11" i="21"/>
  <c r="ET12" i="21"/>
  <c r="ET14" i="21"/>
  <c r="AG61" i="19"/>
  <c r="DD259" i="19"/>
  <c r="K40" i="21"/>
  <c r="L177" i="19"/>
  <c r="AT177" i="19"/>
  <c r="DY57" i="21"/>
  <c r="DY55" i="21"/>
  <c r="GQ15" i="7"/>
  <c r="HC10" i="7"/>
  <c r="I26" i="21"/>
  <c r="AH26" i="21"/>
  <c r="AH31" i="21" s="1"/>
  <c r="AF69" i="19"/>
  <c r="AL225" i="19"/>
  <c r="AR57" i="24"/>
  <c r="EL58" i="24"/>
  <c r="EM59" i="24" s="1"/>
  <c r="EN60" i="24" s="1"/>
  <c r="B23" i="30"/>
  <c r="C23" i="30"/>
  <c r="A24" i="30"/>
  <c r="X13" i="36"/>
  <c r="AH35" i="36"/>
  <c r="CX56" i="1"/>
  <c r="CX40" i="1"/>
  <c r="AM77" i="19"/>
  <c r="AK63" i="24"/>
  <c r="DP66" i="24"/>
  <c r="EK15" i="21"/>
  <c r="EK25" i="21"/>
  <c r="EK44" i="21"/>
  <c r="FA107" i="19"/>
  <c r="FA109" i="19"/>
  <c r="FA106" i="19"/>
  <c r="FA108" i="19"/>
  <c r="AB20" i="29"/>
  <c r="AE21" i="29"/>
  <c r="AM15" i="21"/>
  <c r="AM20" i="21"/>
  <c r="J6" i="8"/>
  <c r="AE62" i="19"/>
  <c r="CX265" i="19"/>
  <c r="EY46" i="24"/>
  <c r="EZ47" i="24" s="1"/>
  <c r="AV45" i="24"/>
  <c r="GT7" i="25"/>
  <c r="AO20" i="1"/>
  <c r="ER107" i="19"/>
  <c r="ER109" i="19"/>
  <c r="ER106" i="19"/>
  <c r="ER108" i="19"/>
  <c r="X109" i="36"/>
  <c r="X135" i="36"/>
  <c r="AH135" i="36" s="1"/>
  <c r="AD7" i="25"/>
  <c r="AD10" i="25"/>
  <c r="ES68" i="19"/>
  <c r="ES105" i="19"/>
  <c r="AN106" i="19"/>
  <c r="AN82" i="19" s="1"/>
  <c r="DU56" i="21"/>
  <c r="AP102" i="19"/>
  <c r="K102" i="19"/>
  <c r="EJ17" i="21"/>
  <c r="EJ27" i="21"/>
  <c r="EJ54" i="21"/>
  <c r="EJ55" i="21" s="1"/>
  <c r="L42" i="15"/>
  <c r="AT42" i="15"/>
  <c r="EQ12" i="1"/>
  <c r="EQ11" i="11" s="1"/>
  <c r="J106" i="19"/>
  <c r="FG13" i="25" s="1"/>
  <c r="GT13" i="7"/>
  <c r="DX47" i="21"/>
  <c r="DT95" i="24"/>
  <c r="DU96" i="24" s="1"/>
  <c r="DV97" i="24" s="1"/>
  <c r="EU40" i="21"/>
  <c r="EU34" i="21"/>
  <c r="AU34" i="21" s="1"/>
  <c r="EG16" i="21"/>
  <c r="EG26" i="21"/>
  <c r="EG49" i="21"/>
  <c r="CU69" i="19"/>
  <c r="ED57" i="21"/>
  <c r="AQ250" i="19"/>
  <c r="DY56" i="21"/>
  <c r="EN17" i="21"/>
  <c r="EN27" i="21"/>
  <c r="AS12" i="21"/>
  <c r="EN54" i="21"/>
  <c r="EN55" i="21" s="1"/>
  <c r="FV13" i="7"/>
  <c r="FO13" i="25"/>
  <c r="EJ67" i="24"/>
  <c r="EK68" i="24" s="1"/>
  <c r="AM49" i="21"/>
  <c r="DV52" i="21"/>
  <c r="AM52" i="21" s="1"/>
  <c r="FG16" i="25"/>
  <c r="DG82" i="11"/>
  <c r="DH82" i="11" s="1"/>
  <c r="DI82" i="11" s="1"/>
  <c r="DJ82" i="11" s="1"/>
  <c r="DK82" i="11" s="1"/>
  <c r="DL82" i="11" s="1"/>
  <c r="DM82" i="11" s="1"/>
  <c r="DN82" i="11" s="1"/>
  <c r="DO82" i="11" s="1"/>
  <c r="DP82" i="11" s="1"/>
  <c r="DQ82" i="11" s="1"/>
  <c r="AP108" i="19"/>
  <c r="AP84" i="19" s="1"/>
  <c r="FV15" i="7"/>
  <c r="ET39" i="21"/>
  <c r="ET41" i="21"/>
  <c r="K255" i="19"/>
  <c r="AP255" i="19"/>
  <c r="AP231" i="19" s="1"/>
  <c r="AM78" i="19"/>
  <c r="AQ100" i="19"/>
  <c r="AS108" i="1"/>
  <c r="EO15" i="21"/>
  <c r="EO25" i="21"/>
  <c r="EO44" i="21"/>
  <c r="K12" i="1"/>
  <c r="J7" i="8" s="1"/>
  <c r="AL49" i="21"/>
  <c r="DS50" i="21"/>
  <c r="DS51" i="21"/>
  <c r="DS52" i="21"/>
  <c r="AJ44" i="21"/>
  <c r="DM46" i="21"/>
  <c r="DM47" i="21"/>
  <c r="DM45" i="21"/>
  <c r="EI17" i="21"/>
  <c r="EI27" i="21"/>
  <c r="EI54" i="21"/>
  <c r="EI55" i="21" s="1"/>
  <c r="DH74" i="24"/>
  <c r="DI75" i="24" s="1"/>
  <c r="DJ76" i="24" s="1"/>
  <c r="AM27" i="21"/>
  <c r="AM32" i="21" s="1"/>
  <c r="AS152" i="19"/>
  <c r="AN231" i="19"/>
  <c r="EI114" i="24"/>
  <c r="EJ115" i="24" s="1"/>
  <c r="EK116" i="24" s="1"/>
  <c r="AO107" i="19"/>
  <c r="AO83" i="19" s="1"/>
  <c r="CT39" i="24"/>
  <c r="AC38" i="24"/>
  <c r="N80" i="22"/>
  <c r="Q61" i="22"/>
  <c r="Q63" i="22" s="1"/>
  <c r="Q79" i="22"/>
  <c r="AL77" i="19"/>
  <c r="AF44" i="24"/>
  <c r="DB45" i="24"/>
  <c r="J12" i="21"/>
  <c r="J17" i="21" s="1"/>
  <c r="AJ49" i="21"/>
  <c r="DM52" i="21"/>
  <c r="DM50" i="21"/>
  <c r="DM51" i="21"/>
  <c r="AJ51" i="21" s="1"/>
  <c r="K34" i="29"/>
  <c r="F8" i="28"/>
  <c r="K35" i="29"/>
  <c r="AP11" i="24"/>
  <c r="AP10" i="24" s="1"/>
  <c r="EE13" i="24"/>
  <c r="K11" i="24"/>
  <c r="K13" i="24" s="1"/>
  <c r="EE63" i="24"/>
  <c r="EY107" i="19"/>
  <c r="EY106" i="19"/>
  <c r="EY108" i="19"/>
  <c r="EY109" i="19"/>
  <c r="FF20" i="25"/>
  <c r="FF17" i="25"/>
  <c r="FF24" i="25" s="1"/>
  <c r="FJ20" i="7"/>
  <c r="I7" i="15"/>
  <c r="CW7" i="25"/>
  <c r="CW8" i="25" s="1"/>
  <c r="EH52" i="21"/>
  <c r="BM13" i="29"/>
  <c r="BN9" i="29" s="1"/>
  <c r="BM30" i="29"/>
  <c r="BM34" i="29" s="1"/>
  <c r="BM37" i="29" s="1"/>
  <c r="BM38" i="29" s="1"/>
  <c r="DT57" i="21"/>
  <c r="FA11" i="11"/>
  <c r="FA108" i="1"/>
  <c r="FG14" i="25"/>
  <c r="AS101" i="19"/>
  <c r="GB7" i="25"/>
  <c r="AJ27" i="21"/>
  <c r="AJ32" i="21" s="1"/>
  <c r="EE27" i="21"/>
  <c r="AP12" i="21"/>
  <c r="K12" i="21"/>
  <c r="K17" i="21" s="1"/>
  <c r="EE17" i="21"/>
  <c r="EE54" i="21"/>
  <c r="EE56" i="21" s="1"/>
  <c r="AO231" i="19"/>
  <c r="DN109" i="11"/>
  <c r="DG109" i="11"/>
  <c r="DO109" i="11"/>
  <c r="DH109" i="11"/>
  <c r="DP109" i="11"/>
  <c r="DI109" i="11"/>
  <c r="DQ109" i="11"/>
  <c r="DJ109" i="11"/>
  <c r="DR109" i="11"/>
  <c r="DK109" i="11"/>
  <c r="J109" i="11"/>
  <c r="DL109" i="11"/>
  <c r="DM109" i="11"/>
  <c r="EL21" i="7"/>
  <c r="EL21" i="25"/>
  <c r="HR23" i="7"/>
  <c r="BY47" i="19"/>
  <c r="BY71" i="19" s="1"/>
  <c r="BY7" i="15"/>
  <c r="BY45" i="15"/>
  <c r="EO11" i="11"/>
  <c r="I27" i="21"/>
  <c r="AH27" i="21"/>
  <c r="AH32" i="21" s="1"/>
  <c r="AP108" i="1"/>
  <c r="K108" i="1"/>
  <c r="DZ99" i="24"/>
  <c r="EA100" i="24" s="1"/>
  <c r="EB101" i="24" s="1"/>
  <c r="AS250" i="19"/>
  <c r="DW69" i="24"/>
  <c r="DX70" i="24" s="1"/>
  <c r="DY71" i="24" s="1"/>
  <c r="DY52" i="21"/>
  <c r="DY50" i="21"/>
  <c r="HO10" i="7"/>
  <c r="HO13" i="7" s="1"/>
  <c r="HO40" i="7" s="1"/>
  <c r="HO43" i="7" s="1"/>
  <c r="HO14" i="7"/>
  <c r="EF69" i="24"/>
  <c r="EG70" i="24" s="1"/>
  <c r="EH71" i="24" s="1"/>
  <c r="AN226" i="19"/>
  <c r="HC40" i="25"/>
  <c r="HC14" i="25"/>
  <c r="DH47" i="21"/>
  <c r="DH46" i="21"/>
  <c r="DH45" i="21"/>
  <c r="FB68" i="19"/>
  <c r="FB105" i="19"/>
  <c r="GS12" i="7"/>
  <c r="EU44" i="24"/>
  <c r="AU43" i="24"/>
  <c r="CW68" i="24"/>
  <c r="AD67" i="24"/>
  <c r="H67" i="24"/>
  <c r="CV126" i="24"/>
  <c r="AL79" i="19"/>
  <c r="DW72" i="24"/>
  <c r="DX73" i="24" s="1"/>
  <c r="DY74" i="24" s="1"/>
  <c r="EN106" i="19"/>
  <c r="AS106" i="19" s="1"/>
  <c r="EN108" i="19"/>
  <c r="AS108" i="19" s="1"/>
  <c r="AS84" i="19" s="1"/>
  <c r="AS105" i="19"/>
  <c r="EN109" i="19"/>
  <c r="AS109" i="19" s="1"/>
  <c r="AS85" i="19" s="1"/>
  <c r="EN107" i="19"/>
  <c r="AS107" i="19" s="1"/>
  <c r="AS83" i="19" s="1"/>
  <c r="EC68" i="24"/>
  <c r="ED69" i="24" s="1"/>
  <c r="EE70" i="24" s="1"/>
  <c r="GK8" i="25"/>
  <c r="EF55" i="21"/>
  <c r="AF191" i="19"/>
  <c r="W57" i="37"/>
  <c r="AG48" i="37"/>
  <c r="W52" i="37"/>
  <c r="AE34" i="11"/>
  <c r="AE17" i="11"/>
  <c r="AE29" i="11"/>
  <c r="AE30" i="11" s="1"/>
  <c r="FU12" i="7"/>
  <c r="EX52" i="24"/>
  <c r="AP151" i="19"/>
  <c r="W125" i="37"/>
  <c r="X37" i="36"/>
  <c r="X38" i="36" s="1"/>
  <c r="X146" i="36"/>
  <c r="X147" i="36" s="1"/>
  <c r="AH145" i="36"/>
  <c r="AH146" i="36" s="1"/>
  <c r="AH147" i="36" s="1"/>
  <c r="EP52" i="21"/>
  <c r="EP47" i="21"/>
  <c r="EP57" i="21"/>
  <c r="AP11" i="11"/>
  <c r="AP112" i="1"/>
  <c r="AP20" i="1"/>
  <c r="DT96" i="24"/>
  <c r="DU97" i="24" s="1"/>
  <c r="DV98" i="24" s="1"/>
  <c r="AV105" i="19"/>
  <c r="AV156" i="19" s="1"/>
  <c r="EW106" i="19"/>
  <c r="AV106" i="19" s="1"/>
  <c r="AV82" i="19" s="1"/>
  <c r="EW108" i="19"/>
  <c r="EW109" i="19"/>
  <c r="EW107" i="19"/>
  <c r="EW250" i="19"/>
  <c r="EW251" i="19"/>
  <c r="AV247" i="19"/>
  <c r="EW249" i="19"/>
  <c r="EW248" i="19"/>
  <c r="HF11" i="7"/>
  <c r="HF12" i="7" s="1"/>
  <c r="X14" i="36"/>
  <c r="AH36" i="36"/>
  <c r="J56" i="11"/>
  <c r="J75" i="11"/>
  <c r="J70" i="11"/>
  <c r="DB32" i="11"/>
  <c r="DB158" i="11" s="1"/>
  <c r="DB122" i="1" s="1"/>
  <c r="DB28" i="11"/>
  <c r="AF33" i="11"/>
  <c r="EZ40" i="21"/>
  <c r="AN109" i="19"/>
  <c r="AN85" i="19" s="1"/>
  <c r="EN13" i="24"/>
  <c r="AS11" i="24"/>
  <c r="AS10" i="24" s="1"/>
  <c r="EN63" i="24"/>
  <c r="DU46" i="21"/>
  <c r="AP100" i="19"/>
  <c r="K100" i="19"/>
  <c r="EJ16" i="21"/>
  <c r="EJ26" i="21"/>
  <c r="EJ49" i="21"/>
  <c r="EJ50" i="21" s="1"/>
  <c r="AR153" i="19"/>
  <c r="AL82" i="19"/>
  <c r="HF13" i="7"/>
  <c r="HF14" i="7"/>
  <c r="HP23" i="7"/>
  <c r="HP19" i="7"/>
  <c r="HP22" i="7" s="1"/>
  <c r="HP41" i="7" s="1"/>
  <c r="HP43" i="7" s="1"/>
  <c r="HQ13" i="7"/>
  <c r="HQ40" i="7" s="1"/>
  <c r="HQ43" i="7" s="1"/>
  <c r="GJ8" i="25"/>
  <c r="AQ249" i="19"/>
  <c r="DY51" i="21"/>
  <c r="EQ9" i="21"/>
  <c r="AK49" i="21"/>
  <c r="DP50" i="21"/>
  <c r="AK50" i="21" s="1"/>
  <c r="DP51" i="21"/>
  <c r="AK51" i="21" s="1"/>
  <c r="DP52" i="21"/>
  <c r="AK52" i="21" s="1"/>
  <c r="AS251" i="19"/>
  <c r="AO12" i="21"/>
  <c r="EB17" i="21"/>
  <c r="EB27" i="21"/>
  <c r="AO27" i="21" s="1"/>
  <c r="EB54" i="21"/>
  <c r="FG17" i="7"/>
  <c r="FG24" i="7" s="1"/>
  <c r="EV108" i="1"/>
  <c r="AM26" i="21"/>
  <c r="AM31" i="21" s="1"/>
  <c r="AL227" i="19"/>
  <c r="AO76" i="19"/>
  <c r="EG51" i="21"/>
  <c r="EG56" i="21"/>
  <c r="DW71" i="24"/>
  <c r="DX72" i="24" s="1"/>
  <c r="DY73" i="24" s="1"/>
  <c r="AP254" i="19"/>
  <c r="AP230" i="19" s="1"/>
  <c r="K254" i="19"/>
  <c r="FH13" i="25" s="1"/>
  <c r="AQ103" i="19"/>
  <c r="AS112" i="1"/>
  <c r="AL16" i="21"/>
  <c r="AL21" i="21"/>
  <c r="DM24" i="21"/>
  <c r="AJ25" i="21"/>
  <c r="AJ30" i="21" s="1"/>
  <c r="EI16" i="21"/>
  <c r="EI26" i="21"/>
  <c r="EI49" i="21"/>
  <c r="EI50" i="21" s="1"/>
  <c r="AM17" i="21"/>
  <c r="AM22" i="21"/>
  <c r="EU108" i="1"/>
  <c r="AO106" i="19"/>
  <c r="AO82" i="19" s="1"/>
  <c r="X61" i="22"/>
  <c r="X63" i="22" s="1"/>
  <c r="X79" i="22"/>
  <c r="X99" i="22" s="1"/>
  <c r="FQ8" i="25"/>
  <c r="DV56" i="21"/>
  <c r="AM56" i="21" s="1"/>
  <c r="BR63" i="1"/>
  <c r="BR68" i="1" s="1"/>
  <c r="U59" i="2"/>
  <c r="AD203" i="19"/>
  <c r="AJ26" i="21"/>
  <c r="AJ31" i="21" s="1"/>
  <c r="EG67" i="24"/>
  <c r="EH68" i="24" s="1"/>
  <c r="AO78" i="19"/>
  <c r="DA203" i="19"/>
  <c r="AQ156" i="19"/>
  <c r="FS11" i="7"/>
  <c r="EC57" i="21"/>
  <c r="DT47" i="21"/>
  <c r="FA19" i="21"/>
  <c r="FA10" i="21"/>
  <c r="FA11" i="21"/>
  <c r="FA12" i="21"/>
  <c r="FA14" i="21"/>
  <c r="EM106" i="19"/>
  <c r="EM108" i="19"/>
  <c r="EM109" i="19"/>
  <c r="EM107" i="19"/>
  <c r="AS100" i="19"/>
  <c r="CQ55" i="19"/>
  <c r="CR18" i="15"/>
  <c r="EV56" i="1"/>
  <c r="EV40" i="1"/>
  <c r="AP150" i="19"/>
  <c r="J43" i="24"/>
  <c r="AL43" i="24"/>
  <c r="DT44" i="24"/>
  <c r="EE26" i="21"/>
  <c r="AP11" i="21"/>
  <c r="EE16" i="21"/>
  <c r="EE49" i="21"/>
  <c r="EE51" i="21" s="1"/>
  <c r="AN232" i="19"/>
  <c r="CE39" i="24"/>
  <c r="X38" i="24"/>
  <c r="BY50" i="19"/>
  <c r="BX23" i="15"/>
  <c r="BY25" i="15"/>
  <c r="BY91" i="15"/>
  <c r="BY26" i="15"/>
  <c r="FE20" i="25"/>
  <c r="CQ47" i="15"/>
  <c r="CQ48" i="15"/>
  <c r="W137" i="37"/>
  <c r="AG128" i="37"/>
  <c r="AM25" i="21"/>
  <c r="AM30" i="21" s="1"/>
  <c r="DV24" i="21"/>
  <c r="EF47" i="21"/>
  <c r="EF57" i="21"/>
  <c r="AK15" i="21"/>
  <c r="AK20" i="21"/>
  <c r="EL16" i="21"/>
  <c r="EL26" i="21"/>
  <c r="EL49" i="21"/>
  <c r="EL50" i="21" s="1"/>
  <c r="AF96" i="22"/>
  <c r="AF94" i="22"/>
  <c r="AF95" i="22"/>
  <c r="EK107" i="19"/>
  <c r="EK106" i="19"/>
  <c r="EK109" i="19"/>
  <c r="AR109" i="19" s="1"/>
  <c r="AR105" i="19"/>
  <c r="AR157" i="19" s="1"/>
  <c r="EK108" i="19"/>
  <c r="AR108" i="19" s="1"/>
  <c r="GA11" i="25"/>
  <c r="GA12" i="25" s="1"/>
  <c r="AW176" i="19"/>
  <c r="FB100" i="19"/>
  <c r="FB101" i="19"/>
  <c r="FB102" i="19"/>
  <c r="FB103" i="19"/>
  <c r="EW102" i="19"/>
  <c r="EW103" i="19"/>
  <c r="AV99" i="19"/>
  <c r="EW101" i="19"/>
  <c r="EW100" i="19"/>
  <c r="AW159" i="19"/>
  <c r="EY11" i="11"/>
  <c r="EY108" i="1"/>
  <c r="DE45" i="24"/>
  <c r="AG44" i="24"/>
  <c r="HE11" i="7"/>
  <c r="HE13" i="7" s="1"/>
  <c r="DW44" i="24"/>
  <c r="AM43" i="24"/>
  <c r="EQ100" i="19"/>
  <c r="EQ101" i="19"/>
  <c r="L99" i="19"/>
  <c r="EQ102" i="19"/>
  <c r="AT99" i="19"/>
  <c r="EQ103" i="19"/>
  <c r="FB39" i="21"/>
  <c r="FB41" i="21"/>
  <c r="FB42" i="21"/>
  <c r="FQ10" i="25"/>
  <c r="DJ68" i="24"/>
  <c r="FB108" i="1"/>
  <c r="FO14" i="25"/>
  <c r="AS232" i="19"/>
  <c r="DM70" i="11"/>
  <c r="DL70" i="11"/>
  <c r="CB13" i="25"/>
  <c r="CB14" i="25" s="1"/>
  <c r="AP39" i="21"/>
  <c r="AP41" i="21"/>
  <c r="AR108" i="1"/>
  <c r="L34" i="21"/>
  <c r="L40" i="21" s="1"/>
  <c r="AT34" i="21"/>
  <c r="AT40" i="21" s="1"/>
  <c r="EQ39" i="21"/>
  <c r="EQ41" i="21"/>
  <c r="AU175" i="19"/>
  <c r="AG44" i="15"/>
  <c r="EW11" i="11"/>
  <c r="AV11" i="1"/>
  <c r="EW108" i="1"/>
  <c r="GB8" i="25"/>
  <c r="I54" i="21"/>
  <c r="AH54" i="21"/>
  <c r="DG55" i="21"/>
  <c r="DG56" i="21"/>
  <c r="DG57" i="21"/>
  <c r="EP46" i="21"/>
  <c r="EP51" i="21"/>
  <c r="DK75" i="24"/>
  <c r="DL76" i="24" s="1"/>
  <c r="DM77" i="24" s="1"/>
  <c r="EM67" i="24"/>
  <c r="EN68" i="24" s="1"/>
  <c r="EH67" i="24"/>
  <c r="CC40" i="24"/>
  <c r="W39" i="24"/>
  <c r="AE191" i="19"/>
  <c r="W96" i="37"/>
  <c r="W106" i="37"/>
  <c r="W27" i="37" s="1"/>
  <c r="AG87" i="37"/>
  <c r="W91" i="37"/>
  <c r="I14" i="8"/>
  <c r="I35" i="8" s="1"/>
  <c r="I15" i="8"/>
  <c r="I36" i="8" s="1"/>
  <c r="I17" i="8"/>
  <c r="I38" i="8" s="1"/>
  <c r="I16" i="8"/>
  <c r="I37" i="8" s="1"/>
  <c r="I13" i="8"/>
  <c r="I34" i="8" s="1"/>
  <c r="I33" i="8" s="1"/>
  <c r="CY17" i="11"/>
  <c r="CY35" i="1" s="1"/>
  <c r="CY29" i="11"/>
  <c r="CY30" i="11" s="1"/>
  <c r="AN108" i="19"/>
  <c r="AN84" i="19" s="1"/>
  <c r="DU51" i="21"/>
  <c r="EJ15" i="21"/>
  <c r="EJ25" i="21"/>
  <c r="EJ44" i="21"/>
  <c r="EJ45" i="21" s="1"/>
  <c r="AS12" i="1"/>
  <c r="AS11" i="11" s="1"/>
  <c r="L44" i="19"/>
  <c r="AT44" i="19"/>
  <c r="EQ68" i="19"/>
  <c r="EQ105" i="19"/>
  <c r="GT14" i="7"/>
  <c r="EX106" i="19"/>
  <c r="EX108" i="19"/>
  <c r="EX107" i="19"/>
  <c r="EX109" i="19"/>
  <c r="DK137" i="11"/>
  <c r="J137" i="11"/>
  <c r="DL137" i="11"/>
  <c r="DM137" i="11"/>
  <c r="DN137" i="11"/>
  <c r="DH137" i="11"/>
  <c r="DP137" i="11"/>
  <c r="DI137" i="11"/>
  <c r="DQ137" i="11"/>
  <c r="DO137" i="11"/>
  <c r="DR137" i="11"/>
  <c r="DG137" i="11"/>
  <c r="DJ137" i="11"/>
  <c r="EV23" i="25"/>
  <c r="HQ14" i="7"/>
  <c r="DC68" i="24"/>
  <c r="AF67" i="24"/>
  <c r="FG21" i="7"/>
  <c r="H47" i="19"/>
  <c r="I42" i="19" s="1"/>
  <c r="EQ9" i="24"/>
  <c r="AK16" i="21"/>
  <c r="AK21" i="21"/>
  <c r="F37" i="24"/>
  <c r="BX38" i="24"/>
  <c r="V37" i="24"/>
  <c r="BW61" i="24"/>
  <c r="BW14" i="24" s="1"/>
  <c r="AM79" i="19"/>
  <c r="DZ68" i="24"/>
  <c r="EA69" i="24" s="1"/>
  <c r="EB70" i="24" s="1"/>
  <c r="L181" i="19"/>
  <c r="AT181" i="19"/>
  <c r="AO11" i="21"/>
  <c r="EB16" i="21"/>
  <c r="EB26" i="21"/>
  <c r="AO26" i="21" s="1"/>
  <c r="EB49" i="21"/>
  <c r="AT253" i="19"/>
  <c r="EQ254" i="19"/>
  <c r="L253" i="19"/>
  <c r="EQ255" i="19"/>
  <c r="EQ256" i="19"/>
  <c r="EQ257" i="19"/>
  <c r="DF88" i="1"/>
  <c r="AL44" i="21"/>
  <c r="DS45" i="21"/>
  <c r="DS46" i="21"/>
  <c r="DS47" i="21"/>
  <c r="FZ15" i="25"/>
  <c r="AL83" i="19"/>
  <c r="EV12" i="21"/>
  <c r="EV14" i="21"/>
  <c r="EV19" i="21"/>
  <c r="EV10" i="21"/>
  <c r="EV11" i="21"/>
  <c r="AM16" i="21"/>
  <c r="AM21" i="21"/>
  <c r="AR45" i="24"/>
  <c r="EL46" i="24"/>
  <c r="AP250" i="19"/>
  <c r="K250" i="19"/>
  <c r="GK10" i="25"/>
  <c r="DJ66" i="24"/>
  <c r="AI63" i="24"/>
  <c r="K106" i="19"/>
  <c r="AP106" i="19"/>
  <c r="AP82" i="19" s="1"/>
  <c r="AU35" i="21"/>
  <c r="CI40" i="24"/>
  <c r="Y39" i="24"/>
  <c r="AO225" i="19"/>
  <c r="DZ98" i="24"/>
  <c r="EA99" i="24" s="1"/>
  <c r="EB100" i="24" s="1"/>
  <c r="AQ102" i="19"/>
  <c r="DT56" i="21"/>
  <c r="EN11" i="11"/>
  <c r="AR11" i="24"/>
  <c r="AR10" i="24" s="1"/>
  <c r="EK13" i="24"/>
  <c r="EK63" i="24"/>
  <c r="AL76" i="19"/>
  <c r="AL26" i="21"/>
  <c r="AL31" i="21" s="1"/>
  <c r="AP153" i="19"/>
  <c r="EI15" i="21"/>
  <c r="EI25" i="21"/>
  <c r="EI24" i="21" s="1"/>
  <c r="EI29" i="21" s="1"/>
  <c r="EI44" i="21"/>
  <c r="EI45" i="21" s="1"/>
  <c r="FP9" i="25"/>
  <c r="FP11" i="25" s="1"/>
  <c r="AQ153" i="19"/>
  <c r="AQ44" i="24"/>
  <c r="EI45" i="24"/>
  <c r="W99" i="22"/>
  <c r="Q99" i="22"/>
  <c r="R61" i="22"/>
  <c r="R63" i="22" s="1"/>
  <c r="R79" i="22"/>
  <c r="P61" i="22"/>
  <c r="P63" i="22" s="1"/>
  <c r="P79" i="22"/>
  <c r="P99" i="22" s="1"/>
  <c r="DV46" i="21"/>
  <c r="AM46" i="21" s="1"/>
  <c r="I44" i="7"/>
  <c r="I44" i="25"/>
  <c r="AN79" i="19"/>
  <c r="K9" i="24"/>
  <c r="EC45" i="24"/>
  <c r="AO44" i="24"/>
  <c r="AF203" i="19"/>
  <c r="AQ159" i="19"/>
  <c r="EY39" i="21"/>
  <c r="EY41" i="21"/>
  <c r="EY42" i="21"/>
  <c r="AQ109" i="19"/>
  <c r="AQ85" i="19" s="1"/>
  <c r="EC47" i="21"/>
  <c r="W28" i="37"/>
  <c r="DT52" i="21"/>
  <c r="FA13" i="24"/>
  <c r="FA63" i="24"/>
  <c r="FA66" i="24" s="1"/>
  <c r="EH51" i="21"/>
  <c r="FT15" i="7"/>
  <c r="AJ17" i="21"/>
  <c r="AJ22" i="21"/>
  <c r="AP10" i="21"/>
  <c r="EE15" i="21"/>
  <c r="EE25" i="21"/>
  <c r="EE44" i="21"/>
  <c r="EE46" i="21" s="1"/>
  <c r="AT42" i="21"/>
  <c r="AQ11" i="24"/>
  <c r="AQ10" i="24" s="1"/>
  <c r="EH13" i="24"/>
  <c r="EH63" i="24"/>
  <c r="DK74" i="24"/>
  <c r="DL75" i="24" s="1"/>
  <c r="DM76" i="24" s="1"/>
  <c r="DE265" i="19"/>
  <c r="DE70" i="19"/>
  <c r="CZ75" i="11"/>
  <c r="DA75" i="11"/>
  <c r="CA10" i="25"/>
  <c r="CA11" i="25" s="1"/>
  <c r="DN75" i="24"/>
  <c r="DO76" i="24" s="1"/>
  <c r="DP77" i="24" s="1"/>
  <c r="AQ248" i="19"/>
  <c r="L182" i="19"/>
  <c r="AT182" i="19"/>
  <c r="CX75" i="24"/>
  <c r="AD74" i="24"/>
  <c r="FB12" i="1"/>
  <c r="AW12" i="1" s="1"/>
  <c r="FH24" i="7"/>
  <c r="FH21" i="7"/>
  <c r="FH20" i="7"/>
  <c r="AN16" i="21"/>
  <c r="AN21" i="21"/>
  <c r="AW177" i="19"/>
  <c r="I44" i="21"/>
  <c r="AH44" i="21"/>
  <c r="DG45" i="21"/>
  <c r="DG47" i="21"/>
  <c r="DG46" i="21"/>
  <c r="AD62" i="19"/>
  <c r="H62" i="19"/>
  <c r="CU265" i="19"/>
  <c r="EY10" i="21"/>
  <c r="EY11" i="21"/>
  <c r="EY12" i="21"/>
  <c r="EY14" i="21"/>
  <c r="EY19" i="21"/>
  <c r="L67" i="19"/>
  <c r="AT67" i="19"/>
  <c r="AT175" i="19"/>
  <c r="L175" i="19"/>
  <c r="FB40" i="21"/>
  <c r="AR251" i="19"/>
  <c r="FF21" i="25"/>
  <c r="DN71" i="24"/>
  <c r="DO72" i="24" s="1"/>
  <c r="DP73" i="24" s="1"/>
  <c r="EE47" i="21"/>
  <c r="EE57" i="21"/>
  <c r="DH52" i="21"/>
  <c r="DH51" i="21"/>
  <c r="DH50" i="21"/>
  <c r="FB9" i="21"/>
  <c r="V11" i="35"/>
  <c r="V48" i="35"/>
  <c r="AR232" i="19"/>
  <c r="DL75" i="11"/>
  <c r="DM75" i="11"/>
  <c r="CB10" i="25"/>
  <c r="CB11" i="25" s="1"/>
  <c r="EH50" i="21"/>
  <c r="AQ50" i="21" s="1"/>
  <c r="AR11" i="11"/>
  <c r="AR112" i="1"/>
  <c r="AR20" i="1"/>
  <c r="BK38" i="29"/>
  <c r="FT12" i="7"/>
  <c r="EK67" i="24"/>
  <c r="FG23" i="7"/>
  <c r="AW105" i="19"/>
  <c r="AW158" i="19" s="1"/>
  <c r="EZ107" i="19"/>
  <c r="EZ106" i="19"/>
  <c r="EZ108" i="19"/>
  <c r="EZ109" i="19"/>
  <c r="AN107" i="19"/>
  <c r="AN83" i="19" s="1"/>
  <c r="DT47" i="24"/>
  <c r="AL46" i="24"/>
  <c r="ER11" i="11"/>
  <c r="ER108" i="1"/>
  <c r="FV12" i="7"/>
  <c r="AN225" i="19"/>
  <c r="EV103" i="19"/>
  <c r="EV102" i="19"/>
  <c r="EV100" i="19"/>
  <c r="EV101" i="19"/>
  <c r="AH102" i="36"/>
  <c r="AH103" i="36" s="1"/>
  <c r="AH77" i="36"/>
  <c r="GT9" i="25"/>
  <c r="AE36" i="15"/>
  <c r="DR14" i="7" s="1"/>
  <c r="AD36" i="15"/>
  <c r="DQ14" i="7" s="1"/>
  <c r="AD37" i="15"/>
  <c r="DQ15" i="7" s="1"/>
  <c r="AE37" i="15"/>
  <c r="DR15" i="7" s="1"/>
  <c r="AE61" i="19"/>
  <c r="CX259" i="19"/>
  <c r="AG203" i="19"/>
  <c r="EZ100" i="19"/>
  <c r="EZ101" i="19"/>
  <c r="EZ102" i="19"/>
  <c r="EZ103" i="19"/>
  <c r="AW99" i="19"/>
  <c r="EA17" i="21"/>
  <c r="EA27" i="21"/>
  <c r="EA54" i="21"/>
  <c r="EN16" i="21"/>
  <c r="EN26" i="21"/>
  <c r="AS11" i="21"/>
  <c r="EN49" i="21"/>
  <c r="AS49" i="21" s="1"/>
  <c r="DU57" i="21"/>
  <c r="L180" i="19"/>
  <c r="AT180" i="19"/>
  <c r="AO10" i="21"/>
  <c r="EB15" i="21"/>
  <c r="EB25" i="21"/>
  <c r="EB44" i="21"/>
  <c r="J44" i="21" s="1"/>
  <c r="L60" i="19"/>
  <c r="AL15" i="21"/>
  <c r="AL20" i="21"/>
  <c r="CX203" i="19"/>
  <c r="EV13" i="24"/>
  <c r="EV63" i="24"/>
  <c r="EV66" i="24" s="1"/>
  <c r="AP251" i="19"/>
  <c r="K251" i="19"/>
  <c r="AN230" i="19"/>
  <c r="DO44" i="24"/>
  <c r="I44" i="24" s="1"/>
  <c r="AJ43" i="24"/>
  <c r="EX101" i="19"/>
  <c r="EX102" i="19"/>
  <c r="EX103" i="19"/>
  <c r="EX100" i="19"/>
  <c r="EU12" i="1"/>
  <c r="AU12" i="1" s="1"/>
  <c r="GS10" i="25"/>
  <c r="AQ101" i="19"/>
  <c r="EZ11" i="11"/>
  <c r="AW11" i="1"/>
  <c r="EZ108" i="1"/>
  <c r="AW108" i="1" s="1"/>
  <c r="DT46" i="21"/>
  <c r="AO226" i="19"/>
  <c r="EO17" i="21"/>
  <c r="EO27" i="21"/>
  <c r="EO54" i="21"/>
  <c r="EO55" i="21" s="1"/>
  <c r="FQ7" i="25"/>
  <c r="AR40" i="21"/>
  <c r="AJ15" i="21"/>
  <c r="AJ20" i="21"/>
  <c r="AJ66" i="24"/>
  <c r="DN67" i="24"/>
  <c r="EU9" i="24"/>
  <c r="EU11" i="24" s="1"/>
  <c r="AL233" i="19"/>
  <c r="EX11" i="11"/>
  <c r="EX108" i="1"/>
  <c r="U61" i="22"/>
  <c r="U63" i="22" s="1"/>
  <c r="U79" i="22"/>
  <c r="Y79" i="22"/>
  <c r="Y99" i="22" s="1"/>
  <c r="Y61" i="22"/>
  <c r="Y63" i="22" s="1"/>
  <c r="DV51" i="21"/>
  <c r="AM51" i="21" s="1"/>
  <c r="AF61" i="19"/>
  <c r="DA259" i="19"/>
  <c r="AJ16" i="21"/>
  <c r="AJ21" i="21"/>
  <c r="AB23" i="29"/>
  <c r="CO27" i="29"/>
  <c r="CP23" i="29" s="1"/>
  <c r="CP27" i="29" s="1"/>
  <c r="CQ23" i="29" s="1"/>
  <c r="CQ27" i="29" s="1"/>
  <c r="CR23" i="29" s="1"/>
  <c r="AF117" i="19"/>
  <c r="AV177" i="19"/>
  <c r="W80" i="37"/>
  <c r="AG71" i="37"/>
  <c r="AG80" i="37" s="1"/>
  <c r="AQ158" i="19"/>
  <c r="EF45" i="24"/>
  <c r="K44" i="24"/>
  <c r="AP44" i="24"/>
  <c r="AQ106" i="19"/>
  <c r="AQ82" i="19" s="1"/>
  <c r="EC52" i="21"/>
  <c r="EY100" i="19"/>
  <c r="EY101" i="19"/>
  <c r="EY102" i="19"/>
  <c r="EY103" i="19"/>
  <c r="AS103" i="19"/>
  <c r="AR152" i="19"/>
  <c r="HF15" i="7"/>
  <c r="L42" i="21"/>
  <c r="EF16" i="21"/>
  <c r="EF26" i="21"/>
  <c r="EF49" i="21"/>
  <c r="EF51" i="21" s="1"/>
  <c r="AC106" i="1"/>
  <c r="AC110" i="1" s="1"/>
  <c r="AB113" i="1"/>
  <c r="AG109" i="37"/>
  <c r="AG99" i="37"/>
  <c r="AW174" i="19"/>
  <c r="GT10" i="25"/>
  <c r="AW175" i="19"/>
  <c r="DU24" i="21"/>
  <c r="DU29" i="21" s="1"/>
  <c r="I25" i="21"/>
  <c r="AH25" i="21"/>
  <c r="AH30" i="21" s="1"/>
  <c r="DG24" i="21"/>
  <c r="EN39" i="21"/>
  <c r="AS34" i="21"/>
  <c r="EN41" i="21"/>
  <c r="EN42" i="21"/>
  <c r="W12" i="15"/>
  <c r="CT8" i="7" s="1"/>
  <c r="Z15" i="15"/>
  <c r="CS15" i="7" s="1"/>
  <c r="Z14" i="15"/>
  <c r="CS14" i="7" s="1"/>
  <c r="W90" i="15"/>
  <c r="EM19" i="21"/>
  <c r="EM10" i="21"/>
  <c r="AR10" i="21" s="1"/>
  <c r="EM11" i="21"/>
  <c r="K11" i="21" s="1"/>
  <c r="K16" i="21" s="1"/>
  <c r="EM12" i="21"/>
  <c r="EM14" i="21"/>
  <c r="AL224" i="19"/>
  <c r="CW80" i="24"/>
  <c r="AD79" i="24"/>
  <c r="EI52" i="21"/>
  <c r="EI47" i="21"/>
  <c r="EI57" i="21"/>
  <c r="EY13" i="24"/>
  <c r="EY63" i="24"/>
  <c r="EY66" i="24" s="1"/>
  <c r="FA45" i="24"/>
  <c r="AW44" i="24"/>
  <c r="EH17" i="21"/>
  <c r="AQ12" i="21"/>
  <c r="EH27" i="21"/>
  <c r="AQ27" i="21" s="1"/>
  <c r="AQ32" i="21" s="1"/>
  <c r="EH54" i="21"/>
  <c r="AQ54" i="21" s="1"/>
  <c r="DN51" i="21"/>
  <c r="DN52" i="21"/>
  <c r="DN50" i="21"/>
  <c r="HC11" i="7"/>
  <c r="HC13" i="7" s="1"/>
  <c r="HC12" i="7"/>
  <c r="AR250" i="19"/>
  <c r="DZ17" i="21"/>
  <c r="DZ27" i="21"/>
  <c r="AN27" i="21" s="1"/>
  <c r="AN32" i="21" s="1"/>
  <c r="DZ54" i="21"/>
  <c r="J54" i="21" s="1"/>
  <c r="I49" i="21"/>
  <c r="AH49" i="21"/>
  <c r="DG50" i="21"/>
  <c r="DG51" i="21"/>
  <c r="DG52" i="21"/>
  <c r="FB9" i="24"/>
  <c r="FB11" i="24" s="1"/>
  <c r="AT43" i="24"/>
  <c r="ER44" i="24"/>
  <c r="L43" i="24"/>
  <c r="AS231" i="19"/>
  <c r="DN55" i="21"/>
  <c r="DN57" i="21"/>
  <c r="DN56" i="21"/>
  <c r="DN56" i="11"/>
  <c r="DG56" i="11"/>
  <c r="DO56" i="11"/>
  <c r="DH56" i="11"/>
  <c r="DP56" i="11"/>
  <c r="AK56" i="11" s="1"/>
  <c r="AK84" i="11" s="1"/>
  <c r="DI56" i="11"/>
  <c r="DQ56" i="11"/>
  <c r="DJ56" i="11"/>
  <c r="DR56" i="11"/>
  <c r="DK56" i="11"/>
  <c r="DL56" i="11"/>
  <c r="DM56" i="11"/>
  <c r="AJ56" i="11" s="1"/>
  <c r="AJ84" i="11" s="1"/>
  <c r="CB19" i="25"/>
  <c r="CB20" i="25" s="1"/>
  <c r="AR103" i="19"/>
  <c r="EK11" i="11"/>
  <c r="R34" i="29"/>
  <c r="U35" i="29"/>
  <c r="AU177" i="19"/>
  <c r="EO45" i="21"/>
  <c r="EO50" i="21"/>
  <c r="AG46" i="19"/>
  <c r="DD70" i="19"/>
  <c r="AG70" i="19" s="1"/>
  <c r="DD117" i="19"/>
  <c r="EW11" i="21"/>
  <c r="EW12" i="21"/>
  <c r="EW14" i="21"/>
  <c r="EW19" i="21"/>
  <c r="AV9" i="21"/>
  <c r="EW10" i="21"/>
  <c r="AR151" i="19"/>
  <c r="AH22" i="21"/>
  <c r="AH17" i="21"/>
  <c r="ER100" i="19"/>
  <c r="ER101" i="19"/>
  <c r="ER102" i="19"/>
  <c r="ER103" i="19"/>
  <c r="CY88" i="1"/>
  <c r="AE43" i="15"/>
  <c r="CX13" i="1"/>
  <c r="EZ68" i="19"/>
  <c r="AW68" i="19" s="1"/>
  <c r="AQ150" i="19"/>
  <c r="AQ11" i="11"/>
  <c r="AQ112" i="1"/>
  <c r="AQ20" i="1"/>
  <c r="G33" i="8"/>
  <c r="AG60" i="37"/>
  <c r="DC32" i="11"/>
  <c r="DC28" i="11"/>
  <c r="DD33" i="11"/>
  <c r="ER19" i="21"/>
  <c r="ER10" i="21"/>
  <c r="ER11" i="21"/>
  <c r="ER12" i="21"/>
  <c r="ER14" i="21"/>
  <c r="AS150" i="19"/>
  <c r="AV12" i="1"/>
  <c r="H36" i="15"/>
  <c r="DQ14" i="25" s="1"/>
  <c r="H34" i="15"/>
  <c r="H37" i="15"/>
  <c r="DQ15" i="25" s="1"/>
  <c r="HC22" i="25"/>
  <c r="EG15" i="21"/>
  <c r="EG25" i="21"/>
  <c r="EG24" i="21" s="1"/>
  <c r="EG29" i="21" s="1"/>
  <c r="EG44" i="21"/>
  <c r="EG46" i="21" s="1"/>
  <c r="BM110" i="1"/>
  <c r="BM99" i="1"/>
  <c r="AW67" i="19"/>
  <c r="EA16" i="21"/>
  <c r="EA26" i="21"/>
  <c r="AN26" i="21" s="1"/>
  <c r="AN31" i="21" s="1"/>
  <c r="EA49" i="21"/>
  <c r="EN15" i="21"/>
  <c r="EN25" i="21"/>
  <c r="AS10" i="21"/>
  <c r="EN44" i="21"/>
  <c r="CR40" i="24"/>
  <c r="AB39" i="24"/>
  <c r="DU47" i="21"/>
  <c r="DF68" i="24"/>
  <c r="AG67" i="24"/>
  <c r="ES11" i="11"/>
  <c r="ES108" i="1"/>
  <c r="ET11" i="11"/>
  <c r="AU11" i="1"/>
  <c r="ET108" i="1"/>
  <c r="AU108" i="1" s="1"/>
  <c r="DS24" i="21"/>
  <c r="J25" i="21"/>
  <c r="AL25" i="21"/>
  <c r="AL30" i="21" s="1"/>
  <c r="HD12" i="7"/>
  <c r="HD11" i="7"/>
  <c r="HD13" i="7" s="1"/>
  <c r="AV253" i="19"/>
  <c r="EW254" i="19"/>
  <c r="AV254" i="19" s="1"/>
  <c r="AV230" i="19" s="1"/>
  <c r="EW255" i="19"/>
  <c r="AV255" i="19" s="1"/>
  <c r="AV231" i="19" s="1"/>
  <c r="EW257" i="19"/>
  <c r="AV257" i="19" s="1"/>
  <c r="AV233" i="19" s="1"/>
  <c r="EW256" i="19"/>
  <c r="AV256" i="19" s="1"/>
  <c r="AV232" i="19" s="1"/>
  <c r="EU68" i="19"/>
  <c r="AU68" i="19" s="1"/>
  <c r="EU105" i="19"/>
  <c r="DT51" i="21"/>
  <c r="ES100" i="19"/>
  <c r="ES101" i="19"/>
  <c r="ES102" i="19"/>
  <c r="ES103" i="19"/>
  <c r="EO16" i="21"/>
  <c r="EO26" i="21"/>
  <c r="EO49" i="21"/>
  <c r="EQ67" i="24"/>
  <c r="AN44" i="21"/>
  <c r="DY47" i="21"/>
  <c r="DY45" i="21"/>
  <c r="J11" i="21"/>
  <c r="J16" i="21" s="1"/>
  <c r="EK39" i="21"/>
  <c r="AR34" i="21"/>
  <c r="EK41" i="21"/>
  <c r="EK42" i="21"/>
  <c r="AR150" i="19"/>
  <c r="DC88" i="1"/>
  <c r="AL84" i="19"/>
  <c r="I43" i="24"/>
  <c r="FA39" i="21"/>
  <c r="FA41" i="21"/>
  <c r="FA42" i="21"/>
  <c r="AV158" i="19"/>
  <c r="EX10" i="21"/>
  <c r="EX11" i="21"/>
  <c r="EX12" i="21"/>
  <c r="EX14" i="21"/>
  <c r="EX19" i="21"/>
  <c r="CQ63" i="19"/>
  <c r="CR29" i="15"/>
  <c r="EC56" i="21"/>
  <c r="ED24" i="21"/>
  <c r="ED29" i="21" s="1"/>
  <c r="GI11" i="25"/>
  <c r="GI14" i="25" s="1"/>
  <c r="R99" i="22"/>
  <c r="O61" i="22"/>
  <c r="O63" i="22" s="1"/>
  <c r="O79" i="22"/>
  <c r="O99" i="22" s="1"/>
  <c r="V61" i="22"/>
  <c r="V63" i="22" s="1"/>
  <c r="V79" i="22"/>
  <c r="V99" i="22" s="1"/>
  <c r="EP17" i="21"/>
  <c r="EP27" i="21"/>
  <c r="EP54" i="21"/>
  <c r="EP55" i="21" s="1"/>
  <c r="DV55" i="21"/>
  <c r="AM55" i="21" s="1"/>
  <c r="AA27" i="29"/>
  <c r="AD28" i="29"/>
  <c r="EV12" i="1"/>
  <c r="EV11" i="11" s="1"/>
  <c r="AV176" i="19"/>
  <c r="AE46" i="19"/>
  <c r="CX70" i="19"/>
  <c r="AE70" i="19" s="1"/>
  <c r="CX117" i="19"/>
  <c r="H117" i="19" s="1"/>
  <c r="AQ157" i="19"/>
  <c r="AL231" i="19"/>
  <c r="AQ108" i="19"/>
  <c r="AQ84" i="19" s="1"/>
  <c r="EP67" i="24"/>
  <c r="EQ68" i="24" s="1"/>
  <c r="DA81" i="24"/>
  <c r="AE80" i="24"/>
  <c r="EL47" i="21"/>
  <c r="EL52" i="21"/>
  <c r="EL57" i="21"/>
  <c r="AP40" i="21"/>
  <c r="DQ72" i="24"/>
  <c r="DR73" i="24" s="1"/>
  <c r="DS74" i="24" s="1"/>
  <c r="AQ39" i="21"/>
  <c r="AQ41" i="21"/>
  <c r="AL78" i="19"/>
  <c r="K9" i="21"/>
  <c r="K14" i="21" s="1"/>
  <c r="EF15" i="21"/>
  <c r="EF25" i="21"/>
  <c r="EF44" i="21"/>
  <c r="EF45" i="21" s="1"/>
  <c r="AO79" i="19"/>
  <c r="AE111" i="19"/>
  <c r="CX129" i="19"/>
  <c r="DN45" i="21"/>
  <c r="DN46" i="21"/>
  <c r="DN47" i="21"/>
  <c r="AM76" i="19"/>
  <c r="W109" i="37"/>
  <c r="W117" i="37" s="1"/>
  <c r="R17" i="7"/>
  <c r="BP17" i="7"/>
  <c r="AY95" i="26" l="1"/>
  <c r="AY108" i="26" s="1"/>
  <c r="T126" i="26"/>
  <c r="T164" i="26"/>
  <c r="T163" i="26" s="1"/>
  <c r="AZ65" i="26"/>
  <c r="AZ66" i="26" s="1"/>
  <c r="AZ95" i="26" s="1"/>
  <c r="F13" i="28"/>
  <c r="N71" i="26"/>
  <c r="N78" i="26" s="1"/>
  <c r="AR15" i="21"/>
  <c r="AR20" i="21"/>
  <c r="W38" i="37"/>
  <c r="AG27" i="37"/>
  <c r="GS12" i="25"/>
  <c r="GS13" i="25"/>
  <c r="AP56" i="21"/>
  <c r="AP46" i="21"/>
  <c r="AS55" i="21"/>
  <c r="X39" i="36"/>
  <c r="W42" i="35"/>
  <c r="AG42" i="35" s="1"/>
  <c r="X42" i="36"/>
  <c r="X41" i="36"/>
  <c r="AP51" i="21"/>
  <c r="FP13" i="25"/>
  <c r="FP15" i="25"/>
  <c r="FP12" i="25"/>
  <c r="AU39" i="21"/>
  <c r="AU41" i="21"/>
  <c r="AU42" i="21"/>
  <c r="DC17" i="11"/>
  <c r="DC35" i="1" s="1"/>
  <c r="DC29" i="11"/>
  <c r="DC30" i="11" s="1"/>
  <c r="AV12" i="21"/>
  <c r="EW17" i="21"/>
  <c r="EW27" i="21"/>
  <c r="AV27" i="21" s="1"/>
  <c r="AV32" i="21" s="1"/>
  <c r="EW54" i="21"/>
  <c r="I52" i="21"/>
  <c r="HD21" i="25" s="1"/>
  <c r="AH52" i="21"/>
  <c r="AT150" i="19"/>
  <c r="EO46" i="21"/>
  <c r="EO51" i="21"/>
  <c r="EO56" i="21"/>
  <c r="GK11" i="25"/>
  <c r="GU7" i="25"/>
  <c r="GK12" i="25"/>
  <c r="AS44" i="21"/>
  <c r="ER17" i="21"/>
  <c r="ER27" i="21"/>
  <c r="ER54" i="21"/>
  <c r="ER55" i="21" s="1"/>
  <c r="AB27" i="29"/>
  <c r="AE28" i="29"/>
  <c r="AW107" i="19"/>
  <c r="AW83" i="19" s="1"/>
  <c r="R38" i="29"/>
  <c r="U110" i="26" s="1"/>
  <c r="U112" i="26" s="1"/>
  <c r="EH45" i="21"/>
  <c r="AQ45" i="21" s="1"/>
  <c r="FB19" i="21"/>
  <c r="FB10" i="21"/>
  <c r="FB11" i="21"/>
  <c r="FB12" i="21"/>
  <c r="FB14" i="21"/>
  <c r="EY16" i="21"/>
  <c r="EY26" i="21"/>
  <c r="EY49" i="21"/>
  <c r="EY50" i="21" s="1"/>
  <c r="I45" i="21"/>
  <c r="HD10" i="25" s="1"/>
  <c r="AH45" i="21"/>
  <c r="CZ55" i="11"/>
  <c r="CZ57" i="11" s="1"/>
  <c r="CU75" i="11"/>
  <c r="CV75" i="11" s="1"/>
  <c r="CZ74" i="11"/>
  <c r="CZ77" i="11"/>
  <c r="K10" i="21"/>
  <c r="K15" i="21" s="1"/>
  <c r="EC101" i="24"/>
  <c r="ED102" i="24" s="1"/>
  <c r="EE103" i="24" s="1"/>
  <c r="GL9" i="25"/>
  <c r="EP56" i="21"/>
  <c r="AR84" i="19"/>
  <c r="AM24" i="21"/>
  <c r="AM29" i="21" s="1"/>
  <c r="DV29" i="21"/>
  <c r="BS63" i="1"/>
  <c r="BS68" i="1" s="1"/>
  <c r="V59" i="2"/>
  <c r="EU11" i="11"/>
  <c r="AJ24" i="21"/>
  <c r="AJ29" i="21" s="1"/>
  <c r="DM29" i="21"/>
  <c r="AO22" i="21"/>
  <c r="AO17" i="21"/>
  <c r="DV56" i="11"/>
  <c r="ED56" i="11"/>
  <c r="DW56" i="11"/>
  <c r="DX56" i="11"/>
  <c r="DY56" i="11"/>
  <c r="AN56" i="11" s="1"/>
  <c r="AN84" i="11" s="1"/>
  <c r="DZ56" i="11"/>
  <c r="DS56" i="11"/>
  <c r="EA56" i="11"/>
  <c r="DT56" i="11"/>
  <c r="EB56" i="11"/>
  <c r="DU56" i="11"/>
  <c r="EC56" i="11"/>
  <c r="CC19" i="25"/>
  <c r="CC20" i="25" s="1"/>
  <c r="AV249" i="19"/>
  <c r="AR233" i="19"/>
  <c r="AS226" i="19"/>
  <c r="DV109" i="11"/>
  <c r="ED109" i="11"/>
  <c r="DW109" i="11"/>
  <c r="DX109" i="11"/>
  <c r="DY109" i="11"/>
  <c r="DZ109" i="11"/>
  <c r="DS109" i="11"/>
  <c r="EA109" i="11"/>
  <c r="DT109" i="11"/>
  <c r="EB109" i="11"/>
  <c r="DU109" i="11"/>
  <c r="EC109" i="11"/>
  <c r="K109" i="11"/>
  <c r="EM21" i="7"/>
  <c r="EM21" i="25"/>
  <c r="AP22" i="21"/>
  <c r="AP17" i="21"/>
  <c r="S9" i="29"/>
  <c r="BN13" i="29"/>
  <c r="BO9" i="29" s="1"/>
  <c r="BN30" i="29"/>
  <c r="EE66" i="24"/>
  <c r="AP63" i="24"/>
  <c r="K63" i="24"/>
  <c r="AJ50" i="21"/>
  <c r="EL117" i="24"/>
  <c r="EM118" i="24" s="1"/>
  <c r="EN119" i="24" s="1"/>
  <c r="EO24" i="21"/>
  <c r="EO29" i="21" s="1"/>
  <c r="AS27" i="21"/>
  <c r="AS32" i="21" s="1"/>
  <c r="EG50" i="21"/>
  <c r="EG52" i="21"/>
  <c r="DW98" i="24"/>
  <c r="DX99" i="24" s="1"/>
  <c r="DY100" i="24" s="1"/>
  <c r="AE6" i="25"/>
  <c r="AE35" i="1"/>
  <c r="F23" i="30"/>
  <c r="HC15" i="7"/>
  <c r="AU12" i="21"/>
  <c r="ET27" i="21"/>
  <c r="ET17" i="21"/>
  <c r="ET54" i="21"/>
  <c r="DK78" i="24"/>
  <c r="DL79" i="24" s="1"/>
  <c r="DM80" i="24" s="1"/>
  <c r="AS224" i="19"/>
  <c r="H129" i="19"/>
  <c r="EG55" i="21"/>
  <c r="EG57" i="21"/>
  <c r="EP82" i="11"/>
  <c r="L82" i="11"/>
  <c r="FB82" i="11" s="1"/>
  <c r="DT74" i="24"/>
  <c r="DU75" i="24" s="1"/>
  <c r="DV76" i="24" s="1"/>
  <c r="EH24" i="21"/>
  <c r="AQ25" i="21"/>
  <c r="AQ30" i="21" s="1"/>
  <c r="EJ57" i="21"/>
  <c r="J66" i="24"/>
  <c r="DT67" i="24"/>
  <c r="AL66" i="24"/>
  <c r="AW9" i="24"/>
  <c r="GL7" i="25"/>
  <c r="AU100" i="19"/>
  <c r="AL7" i="7"/>
  <c r="AL8" i="7" s="1"/>
  <c r="AD98" i="1"/>
  <c r="AL11" i="7" s="1"/>
  <c r="AD97" i="1"/>
  <c r="AL10" i="7" s="1"/>
  <c r="AD14" i="1"/>
  <c r="EA47" i="21"/>
  <c r="EA45" i="21"/>
  <c r="EA46" i="21"/>
  <c r="AG77" i="37"/>
  <c r="AG72" i="37"/>
  <c r="CP41" i="24"/>
  <c r="AB40" i="24"/>
  <c r="AW248" i="19"/>
  <c r="AU248" i="19"/>
  <c r="EO47" i="21"/>
  <c r="EO52" i="21"/>
  <c r="EO57" i="21"/>
  <c r="EI71" i="24"/>
  <c r="EJ72" i="24" s="1"/>
  <c r="EK73" i="24" s="1"/>
  <c r="DA69" i="11"/>
  <c r="DA156" i="11" s="1"/>
  <c r="DA120" i="1" s="1"/>
  <c r="DA51" i="11"/>
  <c r="DA72" i="11"/>
  <c r="AU108" i="19"/>
  <c r="AU84" i="19" s="1"/>
  <c r="DZ52" i="21"/>
  <c r="DZ50" i="21"/>
  <c r="DZ51" i="21"/>
  <c r="AQ49" i="21"/>
  <c r="H45" i="15"/>
  <c r="ES17" i="21"/>
  <c r="ES27" i="21"/>
  <c r="ES54" i="21"/>
  <c r="ES55" i="21" s="1"/>
  <c r="GA14" i="25"/>
  <c r="AT102" i="19"/>
  <c r="L102" i="19"/>
  <c r="AS20" i="1"/>
  <c r="EV45" i="24"/>
  <c r="AU44" i="24"/>
  <c r="AS77" i="19"/>
  <c r="H69" i="19"/>
  <c r="AD69" i="19"/>
  <c r="AW249" i="19"/>
  <c r="DH77" i="24"/>
  <c r="DI78" i="24" s="1"/>
  <c r="DJ79" i="24" s="1"/>
  <c r="L248" i="19"/>
  <c r="AT248" i="19"/>
  <c r="V15" i="35"/>
  <c r="EM27" i="21"/>
  <c r="AR27" i="21" s="1"/>
  <c r="AR32" i="21" s="1"/>
  <c r="EM17" i="21"/>
  <c r="EM54" i="21"/>
  <c r="EU13" i="24"/>
  <c r="EU63" i="24"/>
  <c r="EU66" i="24" s="1"/>
  <c r="FQ11" i="25"/>
  <c r="FQ12" i="25" s="1"/>
  <c r="GL10" i="25"/>
  <c r="EY15" i="21"/>
  <c r="EY25" i="21"/>
  <c r="EY44" i="21"/>
  <c r="EY45" i="21" s="1"/>
  <c r="EH66" i="24"/>
  <c r="AQ63" i="24"/>
  <c r="AP20" i="21"/>
  <c r="AP15" i="21"/>
  <c r="EH46" i="21"/>
  <c r="EY51" i="21"/>
  <c r="EK66" i="24"/>
  <c r="AR63" i="24"/>
  <c r="AP226" i="19"/>
  <c r="AT254" i="19"/>
  <c r="EJ24" i="21"/>
  <c r="EJ29" i="21" s="1"/>
  <c r="EI68" i="24"/>
  <c r="EJ69" i="24" s="1"/>
  <c r="EK70" i="24" s="1"/>
  <c r="L101" i="19"/>
  <c r="AT101" i="19"/>
  <c r="DF46" i="24"/>
  <c r="AG45" i="24"/>
  <c r="AV100" i="19"/>
  <c r="GB10" i="25"/>
  <c r="EY53" i="24"/>
  <c r="AV52" i="24"/>
  <c r="W53" i="37"/>
  <c r="X45" i="37"/>
  <c r="W55" i="37"/>
  <c r="AS159" i="19"/>
  <c r="AS157" i="19"/>
  <c r="AS158" i="19"/>
  <c r="AS156" i="19"/>
  <c r="EC102" i="24"/>
  <c r="ED103" i="24" s="1"/>
  <c r="EE104" i="24" s="1"/>
  <c r="BY42" i="19"/>
  <c r="BY66" i="19" s="1"/>
  <c r="BX12" i="15"/>
  <c r="BY40" i="15"/>
  <c r="BY90" i="15"/>
  <c r="BY15" i="15"/>
  <c r="BY14" i="15"/>
  <c r="AP27" i="21"/>
  <c r="AP32" i="21" s="1"/>
  <c r="AJ52" i="21"/>
  <c r="AL52" i="21"/>
  <c r="AP78" i="19"/>
  <c r="CD8" i="25"/>
  <c r="DQ67" i="24"/>
  <c r="AK66" i="24"/>
  <c r="AS60" i="24"/>
  <c r="ET16" i="21"/>
  <c r="AU11" i="21"/>
  <c r="ET26" i="21"/>
  <c r="ET49" i="21"/>
  <c r="DL90" i="24"/>
  <c r="DM91" i="24" s="1"/>
  <c r="BX63" i="19"/>
  <c r="BX29" i="15"/>
  <c r="DZ71" i="24"/>
  <c r="EA72" i="24" s="1"/>
  <c r="EB73" i="24" s="1"/>
  <c r="DO47" i="24"/>
  <c r="DP48" i="24" s="1"/>
  <c r="AJ46" i="24"/>
  <c r="K109" i="19"/>
  <c r="AT159" i="19"/>
  <c r="AH22" i="30"/>
  <c r="AP22" i="30"/>
  <c r="AI22" i="30"/>
  <c r="AB22" i="30"/>
  <c r="AB51" i="30" s="1"/>
  <c r="AJ22" i="30"/>
  <c r="AC22" i="30"/>
  <c r="AK22" i="30"/>
  <c r="AD22" i="30"/>
  <c r="AL22" i="30"/>
  <c r="E34" i="30"/>
  <c r="D34" i="30" s="1"/>
  <c r="AE22" i="30"/>
  <c r="AM22" i="30"/>
  <c r="AF22" i="30"/>
  <c r="AN22" i="30"/>
  <c r="AG22" i="30"/>
  <c r="AO22" i="30"/>
  <c r="AF56" i="11"/>
  <c r="AS46" i="24"/>
  <c r="EO47" i="24"/>
  <c r="CR42" i="19"/>
  <c r="CR12" i="15"/>
  <c r="AC7" i="15"/>
  <c r="CR40" i="15"/>
  <c r="CR14" i="15"/>
  <c r="CR90" i="15"/>
  <c r="CR15" i="15"/>
  <c r="HC14" i="7"/>
  <c r="AU150" i="19"/>
  <c r="EN50" i="21"/>
  <c r="AS50" i="21" s="1"/>
  <c r="EJ47" i="21"/>
  <c r="AE47" i="15"/>
  <c r="EB14" i="7" s="1"/>
  <c r="DL46" i="24"/>
  <c r="AI45" i="24"/>
  <c r="AW11" i="24"/>
  <c r="AW10" i="24" s="1"/>
  <c r="EZ13" i="24"/>
  <c r="EZ63" i="24"/>
  <c r="K107" i="19"/>
  <c r="FH14" i="25" s="1"/>
  <c r="AP224" i="19"/>
  <c r="L108" i="1"/>
  <c r="AT108" i="1"/>
  <c r="DA69" i="24"/>
  <c r="AE68" i="24"/>
  <c r="DH78" i="24"/>
  <c r="DI79" i="24" s="1"/>
  <c r="DJ80" i="24" s="1"/>
  <c r="CS51" i="24"/>
  <c r="EY67" i="24"/>
  <c r="EZ68" i="24" s="1"/>
  <c r="AW12" i="21"/>
  <c r="EZ17" i="21"/>
  <c r="EZ27" i="21"/>
  <c r="EZ54" i="21"/>
  <c r="EA24" i="21"/>
  <c r="EA29" i="21" s="1"/>
  <c r="FR8" i="25"/>
  <c r="HD14" i="7"/>
  <c r="AR159" i="19"/>
  <c r="EW13" i="24"/>
  <c r="AV11" i="24"/>
  <c r="AV10" i="24" s="1"/>
  <c r="EW63" i="24"/>
  <c r="CZ69" i="11"/>
  <c r="CU70" i="11"/>
  <c r="CV70" i="11" s="1"/>
  <c r="CZ51" i="11"/>
  <c r="CZ72" i="11"/>
  <c r="AU105" i="19"/>
  <c r="AT152" i="19"/>
  <c r="AQ26" i="21"/>
  <c r="AQ31" i="21" s="1"/>
  <c r="ES16" i="21"/>
  <c r="ES26" i="21"/>
  <c r="ES49" i="21"/>
  <c r="ES50" i="21" s="1"/>
  <c r="EH56" i="21"/>
  <c r="EJ46" i="24"/>
  <c r="AQ45" i="24"/>
  <c r="L255" i="19"/>
  <c r="AT255" i="19"/>
  <c r="V38" i="24"/>
  <c r="BY39" i="24"/>
  <c r="F38" i="24"/>
  <c r="BX61" i="24"/>
  <c r="BX14" i="24" s="1"/>
  <c r="CR58" i="19"/>
  <c r="AC58" i="19" s="1"/>
  <c r="AC63" i="19" s="1"/>
  <c r="CR34" i="15"/>
  <c r="AC29" i="15"/>
  <c r="CR37" i="15"/>
  <c r="CR36" i="15"/>
  <c r="CR92" i="15"/>
  <c r="AV11" i="21"/>
  <c r="EW16" i="21"/>
  <c r="EW26" i="21"/>
  <c r="AV26" i="21" s="1"/>
  <c r="AV31" i="21" s="1"/>
  <c r="EW49" i="21"/>
  <c r="I51" i="21"/>
  <c r="HD20" i="25" s="1"/>
  <c r="AH51" i="21"/>
  <c r="AR226" i="19"/>
  <c r="AW150" i="19"/>
  <c r="AS79" i="19"/>
  <c r="AS25" i="21"/>
  <c r="AS30" i="21" s="1"/>
  <c r="EN24" i="21"/>
  <c r="AH56" i="11"/>
  <c r="AH84" i="11" s="1"/>
  <c r="ES45" i="24"/>
  <c r="L44" i="24"/>
  <c r="AT44" i="24"/>
  <c r="EM15" i="21"/>
  <c r="EM25" i="21"/>
  <c r="EM44" i="21"/>
  <c r="EN46" i="21"/>
  <c r="AS46" i="21" s="1"/>
  <c r="EN51" i="21"/>
  <c r="AS51" i="21" s="1"/>
  <c r="EN56" i="21"/>
  <c r="AS56" i="21" s="1"/>
  <c r="AW151" i="19"/>
  <c r="AG118" i="37"/>
  <c r="AP227" i="19"/>
  <c r="AO44" i="21"/>
  <c r="EB46" i="21"/>
  <c r="AO46" i="21" s="1"/>
  <c r="EB45" i="21"/>
  <c r="AO45" i="21" s="1"/>
  <c r="EB47" i="21"/>
  <c r="AO47" i="21" s="1"/>
  <c r="AS16" i="21"/>
  <c r="AS21" i="21"/>
  <c r="AE259" i="19"/>
  <c r="CX277" i="19"/>
  <c r="HD15" i="7"/>
  <c r="R37" i="29"/>
  <c r="AT151" i="19"/>
  <c r="AD265" i="19"/>
  <c r="FB67" i="24"/>
  <c r="EM47" i="24"/>
  <c r="EN48" i="24" s="1"/>
  <c r="AR46" i="24"/>
  <c r="EV17" i="21"/>
  <c r="EV27" i="21"/>
  <c r="EV54" i="21"/>
  <c r="EC71" i="24"/>
  <c r="ED72" i="24" s="1"/>
  <c r="EE73" i="24" s="1"/>
  <c r="AU151" i="19"/>
  <c r="FB11" i="11"/>
  <c r="L100" i="19"/>
  <c r="AT100" i="19"/>
  <c r="AV101" i="19"/>
  <c r="AR85" i="19"/>
  <c r="BX55" i="19"/>
  <c r="BX18" i="15"/>
  <c r="AP21" i="21"/>
  <c r="AP16" i="21"/>
  <c r="FH16" i="25"/>
  <c r="DZ74" i="24"/>
  <c r="EA75" i="24" s="1"/>
  <c r="EB76" i="24" s="1"/>
  <c r="AS227" i="19"/>
  <c r="EQ10" i="21"/>
  <c r="EQ11" i="21"/>
  <c r="L9" i="21"/>
  <c r="L14" i="21" s="1"/>
  <c r="EQ12" i="21"/>
  <c r="EQ14" i="21"/>
  <c r="AT9" i="21"/>
  <c r="EQ19" i="21"/>
  <c r="GT8" i="25"/>
  <c r="EZ50" i="21"/>
  <c r="EZ55" i="21"/>
  <c r="X20" i="36"/>
  <c r="AH14" i="36"/>
  <c r="AV251" i="19"/>
  <c r="DW99" i="24"/>
  <c r="DX100" i="24" s="1"/>
  <c r="DY101" i="24" s="1"/>
  <c r="AG57" i="37"/>
  <c r="AG52" i="37"/>
  <c r="AW157" i="19"/>
  <c r="AL51" i="21"/>
  <c r="FG22" i="7"/>
  <c r="EL69" i="24"/>
  <c r="EM70" i="24" s="1"/>
  <c r="EN71" i="24" s="1"/>
  <c r="GJ11" i="25"/>
  <c r="GJ13" i="25" s="1"/>
  <c r="K11" i="11"/>
  <c r="AU14" i="21"/>
  <c r="AU19" i="21"/>
  <c r="FR10" i="25"/>
  <c r="AR12" i="21"/>
  <c r="GA13" i="25"/>
  <c r="J27" i="21"/>
  <c r="DH52" i="24"/>
  <c r="DI53" i="24" s="1"/>
  <c r="DJ54" i="24" s="1"/>
  <c r="EV39" i="21"/>
  <c r="EV41" i="21"/>
  <c r="EV42" i="21"/>
  <c r="AQ15" i="21"/>
  <c r="AQ20" i="21"/>
  <c r="EN45" i="21"/>
  <c r="AS45" i="21" s="1"/>
  <c r="DI46" i="24"/>
  <c r="I45" i="24"/>
  <c r="AH45" i="24"/>
  <c r="EJ52" i="21"/>
  <c r="CY51" i="24"/>
  <c r="AT112" i="1"/>
  <c r="AF44" i="15"/>
  <c r="DA13" i="1"/>
  <c r="FQ14" i="25"/>
  <c r="AW11" i="21"/>
  <c r="EZ16" i="21"/>
  <c r="EZ26" i="21"/>
  <c r="EZ49" i="21"/>
  <c r="AS225" i="19"/>
  <c r="ES67" i="24"/>
  <c r="ET68" i="24" s="1"/>
  <c r="AP77" i="19"/>
  <c r="EI116" i="24"/>
  <c r="EJ117" i="24" s="1"/>
  <c r="EK118" i="24" s="1"/>
  <c r="AQ16" i="21"/>
  <c r="AQ21" i="21"/>
  <c r="AT251" i="19"/>
  <c r="L251" i="19"/>
  <c r="ES15" i="21"/>
  <c r="ES25" i="21"/>
  <c r="ES24" i="21" s="1"/>
  <c r="ES29" i="21" s="1"/>
  <c r="ES44" i="21"/>
  <c r="ES45" i="21" s="1"/>
  <c r="EY17" i="21"/>
  <c r="EY27" i="21"/>
  <c r="EY54" i="21"/>
  <c r="EY55" i="21" s="1"/>
  <c r="AS17" i="21"/>
  <c r="AS22" i="21"/>
  <c r="AR54" i="21"/>
  <c r="GK14" i="25"/>
  <c r="GU9" i="25"/>
  <c r="EI117" i="24"/>
  <c r="EJ118" i="24" s="1"/>
  <c r="EK119" i="24" s="1"/>
  <c r="AU231" i="19"/>
  <c r="W73" i="37"/>
  <c r="X65" i="37"/>
  <c r="W75" i="37"/>
  <c r="AG75" i="37" s="1"/>
  <c r="I29" i="15"/>
  <c r="DQ7" i="25"/>
  <c r="DQ8" i="25" s="1"/>
  <c r="BN106" i="1"/>
  <c r="BM113" i="1"/>
  <c r="ER16" i="21"/>
  <c r="ER26" i="21"/>
  <c r="ER49" i="21"/>
  <c r="ER50" i="21" s="1"/>
  <c r="AU153" i="19"/>
  <c r="I50" i="21"/>
  <c r="HD19" i="25" s="1"/>
  <c r="HD22" i="25" s="1"/>
  <c r="AH50" i="21"/>
  <c r="EM26" i="21"/>
  <c r="AR26" i="21" s="1"/>
  <c r="AR31" i="21" s="1"/>
  <c r="EM16" i="21"/>
  <c r="EM49" i="21"/>
  <c r="AR49" i="21" s="1"/>
  <c r="AL24" i="21"/>
  <c r="AL29" i="21" s="1"/>
  <c r="DS29" i="21"/>
  <c r="ER15" i="21"/>
  <c r="ER25" i="21"/>
  <c r="ER44" i="21"/>
  <c r="ER45" i="21" s="1"/>
  <c r="AS39" i="21"/>
  <c r="AS41" i="21"/>
  <c r="AS42" i="21"/>
  <c r="DO68" i="24"/>
  <c r="AJ67" i="24"/>
  <c r="AW11" i="11"/>
  <c r="AW112" i="1"/>
  <c r="AW20" i="1"/>
  <c r="GS15" i="25"/>
  <c r="EW67" i="24"/>
  <c r="AO25" i="21"/>
  <c r="AO30" i="21" s="1"/>
  <c r="EB24" i="21"/>
  <c r="AS26" i="21"/>
  <c r="AS31" i="21" s="1"/>
  <c r="AW103" i="19"/>
  <c r="DM55" i="11"/>
  <c r="DM74" i="11"/>
  <c r="DM155" i="11" s="1"/>
  <c r="DM77" i="11"/>
  <c r="AQ224" i="19"/>
  <c r="J26" i="21"/>
  <c r="AO49" i="21"/>
  <c r="EB51" i="21"/>
  <c r="AO51" i="21" s="1"/>
  <c r="EB50" i="21"/>
  <c r="AO50" i="21" s="1"/>
  <c r="EB52" i="21"/>
  <c r="AO52" i="21" s="1"/>
  <c r="AT105" i="19"/>
  <c r="AT158" i="19" s="1"/>
  <c r="EQ107" i="19"/>
  <c r="EQ106" i="19"/>
  <c r="L105" i="19"/>
  <c r="EQ109" i="19"/>
  <c r="EQ108" i="19"/>
  <c r="EO69" i="24"/>
  <c r="EP70" i="24" s="1"/>
  <c r="EQ71" i="24" s="1"/>
  <c r="I57" i="21"/>
  <c r="HD31" i="25" s="1"/>
  <c r="AH57" i="21"/>
  <c r="AR106" i="19"/>
  <c r="AR82" i="19" s="1"/>
  <c r="AP26" i="21"/>
  <c r="AP31" i="21" s="1"/>
  <c r="K26" i="21"/>
  <c r="CR50" i="19"/>
  <c r="AC50" i="19" s="1"/>
  <c r="AC55" i="19" s="1"/>
  <c r="CR23" i="15"/>
  <c r="AC18" i="15"/>
  <c r="CR26" i="15"/>
  <c r="CR25" i="15"/>
  <c r="CR91" i="15"/>
  <c r="EI69" i="24"/>
  <c r="EJ70" i="24" s="1"/>
  <c r="EK71" i="24" s="1"/>
  <c r="N99" i="22"/>
  <c r="AQ79" i="19"/>
  <c r="FR7" i="25"/>
  <c r="AV250" i="19"/>
  <c r="GU8" i="25"/>
  <c r="GK13" i="25"/>
  <c r="AS82" i="19"/>
  <c r="FB106" i="19"/>
  <c r="FB108" i="19"/>
  <c r="FB109" i="19"/>
  <c r="FB107" i="19"/>
  <c r="EH57" i="21"/>
  <c r="AQ57" i="21" s="1"/>
  <c r="AL50" i="21"/>
  <c r="ET51" i="21"/>
  <c r="ET46" i="21"/>
  <c r="ET56" i="21"/>
  <c r="K108" i="19"/>
  <c r="FR9" i="25" s="1"/>
  <c r="J12" i="8"/>
  <c r="AG259" i="19"/>
  <c r="DD277" i="19"/>
  <c r="AU10" i="21"/>
  <c r="ET15" i="21"/>
  <c r="ET25" i="21"/>
  <c r="ET44" i="21"/>
  <c r="AP79" i="19"/>
  <c r="AG117" i="37"/>
  <c r="EJ56" i="21"/>
  <c r="AV157" i="19"/>
  <c r="AO66" i="24"/>
  <c r="EC67" i="24"/>
  <c r="AU11" i="24"/>
  <c r="ET13" i="24"/>
  <c r="ET63" i="24"/>
  <c r="AK24" i="21"/>
  <c r="AK29" i="21" s="1"/>
  <c r="DP29" i="21"/>
  <c r="EV40" i="21"/>
  <c r="AF129" i="19"/>
  <c r="CQ71" i="19"/>
  <c r="I66" i="24"/>
  <c r="AH66" i="24"/>
  <c r="DH67" i="24"/>
  <c r="DZ47" i="21"/>
  <c r="AN47" i="21" s="1"/>
  <c r="DZ45" i="21"/>
  <c r="AN45" i="21" s="1"/>
  <c r="DZ46" i="21"/>
  <c r="AN46" i="21" s="1"/>
  <c r="EN67" i="24"/>
  <c r="FF22" i="25"/>
  <c r="EL46" i="21"/>
  <c r="AU102" i="19"/>
  <c r="CU9" i="11"/>
  <c r="CU15" i="1"/>
  <c r="CV9" i="1"/>
  <c r="CU29" i="1"/>
  <c r="CU10" i="11"/>
  <c r="AV159" i="19"/>
  <c r="AW10" i="21"/>
  <c r="EZ15" i="21"/>
  <c r="EZ25" i="21"/>
  <c r="EZ44" i="21"/>
  <c r="GL8" i="25"/>
  <c r="H259" i="19"/>
  <c r="AD259" i="19"/>
  <c r="CU277" i="19"/>
  <c r="AU251" i="19"/>
  <c r="AU152" i="19"/>
  <c r="DW67" i="24"/>
  <c r="AM66" i="24"/>
  <c r="I47" i="21"/>
  <c r="HD12" i="25" s="1"/>
  <c r="AH47" i="21"/>
  <c r="EV15" i="21"/>
  <c r="EV25" i="21"/>
  <c r="EV44" i="21"/>
  <c r="X40" i="24"/>
  <c r="CD41" i="24"/>
  <c r="I99" i="15"/>
  <c r="EE82" i="11"/>
  <c r="EF82" i="11" s="1"/>
  <c r="EG82" i="11" s="1"/>
  <c r="EH82" i="11" s="1"/>
  <c r="EI82" i="11" s="1"/>
  <c r="EJ82" i="11" s="1"/>
  <c r="EK82" i="11" s="1"/>
  <c r="EL82" i="11" s="1"/>
  <c r="EM82" i="11" s="1"/>
  <c r="EN82" i="11" s="1"/>
  <c r="EO82" i="11" s="1"/>
  <c r="ES51" i="21"/>
  <c r="ES46" i="21"/>
  <c r="AQ17" i="21"/>
  <c r="AQ22" i="21"/>
  <c r="EN47" i="21"/>
  <c r="AS47" i="21" s="1"/>
  <c r="EN52" i="21"/>
  <c r="EN57" i="21"/>
  <c r="AS57" i="21" s="1"/>
  <c r="W118" i="37"/>
  <c r="W30" i="37"/>
  <c r="AF81" i="24"/>
  <c r="DB82" i="24"/>
  <c r="DT75" i="24"/>
  <c r="DU76" i="24" s="1"/>
  <c r="DV77" i="24" s="1"/>
  <c r="EK51" i="21"/>
  <c r="EK46" i="21"/>
  <c r="EK56" i="21"/>
  <c r="ER68" i="24"/>
  <c r="ES69" i="24" s="1"/>
  <c r="ET70" i="24" s="1"/>
  <c r="AE13" i="1"/>
  <c r="CX88" i="1"/>
  <c r="EW15" i="21"/>
  <c r="EW25" i="21"/>
  <c r="AV10" i="21"/>
  <c r="EW44" i="21"/>
  <c r="CX81" i="24"/>
  <c r="AD80" i="24"/>
  <c r="AE129" i="19"/>
  <c r="ER69" i="24"/>
  <c r="ES70" i="24" s="1"/>
  <c r="ET71" i="24" s="1"/>
  <c r="EX17" i="21"/>
  <c r="EX27" i="21"/>
  <c r="EX54" i="21"/>
  <c r="AR39" i="21"/>
  <c r="AR41" i="21"/>
  <c r="AR42" i="21"/>
  <c r="DG69" i="24"/>
  <c r="AG68" i="24"/>
  <c r="EA52" i="21"/>
  <c r="J52" i="21" s="1"/>
  <c r="HE21" i="25" s="1"/>
  <c r="EA50" i="21"/>
  <c r="AN50" i="21" s="1"/>
  <c r="EA51" i="21"/>
  <c r="AN51" i="21" s="1"/>
  <c r="AV14" i="21"/>
  <c r="AV19" i="21"/>
  <c r="AI56" i="11"/>
  <c r="AI84" i="11" s="1"/>
  <c r="FB13" i="24"/>
  <c r="FB63" i="24"/>
  <c r="FB66" i="24" s="1"/>
  <c r="DZ55" i="21"/>
  <c r="AN55" i="21" s="1"/>
  <c r="DZ57" i="21"/>
  <c r="AN57" i="21" s="1"/>
  <c r="DZ56" i="21"/>
  <c r="AN56" i="21" s="1"/>
  <c r="FB46" i="24"/>
  <c r="AW46" i="24" s="1"/>
  <c r="AW45" i="24"/>
  <c r="AW156" i="19"/>
  <c r="AD106" i="1"/>
  <c r="AC113" i="1"/>
  <c r="EG46" i="24"/>
  <c r="K45" i="24"/>
  <c r="AP45" i="24"/>
  <c r="AF259" i="19"/>
  <c r="DA277" i="19"/>
  <c r="AW102" i="19"/>
  <c r="DL55" i="11"/>
  <c r="DL57" i="11" s="1"/>
  <c r="DL74" i="11"/>
  <c r="DL77" i="11"/>
  <c r="AP57" i="21"/>
  <c r="AR227" i="19"/>
  <c r="AW153" i="19"/>
  <c r="DQ78" i="24"/>
  <c r="DR79" i="24" s="1"/>
  <c r="DS80" i="24" s="1"/>
  <c r="DE277" i="19"/>
  <c r="FP14" i="25"/>
  <c r="DK67" i="24"/>
  <c r="AI66" i="24"/>
  <c r="AO31" i="21"/>
  <c r="L9" i="24"/>
  <c r="AT9" i="24"/>
  <c r="EQ11" i="24"/>
  <c r="DD69" i="24"/>
  <c r="AF68" i="24"/>
  <c r="DS137" i="11"/>
  <c r="EA137" i="11"/>
  <c r="DT137" i="11"/>
  <c r="EB137" i="11"/>
  <c r="K137" i="11"/>
  <c r="DU137" i="11"/>
  <c r="EC137" i="11"/>
  <c r="DV137" i="11"/>
  <c r="ED137" i="11"/>
  <c r="DX137" i="11"/>
  <c r="DY137" i="11"/>
  <c r="DW137" i="11"/>
  <c r="DZ137" i="11"/>
  <c r="EW23" i="25"/>
  <c r="L68" i="19"/>
  <c r="AT68" i="19"/>
  <c r="DN78" i="24"/>
  <c r="DO79" i="24" s="1"/>
  <c r="DP80" i="24" s="1"/>
  <c r="I56" i="21"/>
  <c r="HD30" i="25" s="1"/>
  <c r="AH56" i="21"/>
  <c r="AV108" i="1"/>
  <c r="DL69" i="11"/>
  <c r="DL51" i="11"/>
  <c r="DL72" i="11"/>
  <c r="AV103" i="19"/>
  <c r="AR107" i="19"/>
  <c r="AR83" i="19" s="1"/>
  <c r="DU45" i="24"/>
  <c r="AL44" i="24"/>
  <c r="J44" i="24"/>
  <c r="FA17" i="21"/>
  <c r="FA27" i="21"/>
  <c r="FA54" i="21"/>
  <c r="FA55" i="21" s="1"/>
  <c r="FG20" i="7"/>
  <c r="AP76" i="19"/>
  <c r="DB17" i="11"/>
  <c r="DB35" i="1" s="1"/>
  <c r="DB29" i="11"/>
  <c r="DB30" i="11" s="1"/>
  <c r="AF28" i="11"/>
  <c r="AV107" i="19"/>
  <c r="AV83" i="19" s="1"/>
  <c r="X43" i="36"/>
  <c r="X15" i="36"/>
  <c r="AH37" i="36"/>
  <c r="AN49" i="21"/>
  <c r="GB11" i="25"/>
  <c r="GB13" i="25" s="1"/>
  <c r="EH47" i="21"/>
  <c r="AQ47" i="21" s="1"/>
  <c r="DC46" i="24"/>
  <c r="DD47" i="24" s="1"/>
  <c r="AF45" i="24"/>
  <c r="AJ45" i="21"/>
  <c r="J49" i="21"/>
  <c r="FA48" i="24"/>
  <c r="AW47" i="24"/>
  <c r="AR230" i="19"/>
  <c r="AN54" i="21"/>
  <c r="AR158" i="19"/>
  <c r="EJ46" i="21"/>
  <c r="AG265" i="19"/>
  <c r="AU9" i="24"/>
  <c r="AR11" i="21"/>
  <c r="DZ24" i="21"/>
  <c r="DZ29" i="21" s="1"/>
  <c r="AG13" i="1"/>
  <c r="DD88" i="1"/>
  <c r="EP24" i="21"/>
  <c r="EP29" i="21" s="1"/>
  <c r="AN25" i="21"/>
  <c r="AN30" i="21" s="1"/>
  <c r="DX54" i="24"/>
  <c r="DY55" i="24" s="1"/>
  <c r="AF62" i="19"/>
  <c r="DA265" i="19"/>
  <c r="DA70" i="19"/>
  <c r="AF70" i="19" s="1"/>
  <c r="EL51" i="21"/>
  <c r="AV151" i="19"/>
  <c r="J56" i="21"/>
  <c r="HE30" i="25" s="1"/>
  <c r="AL56" i="21"/>
  <c r="AD88" i="1"/>
  <c r="CU94" i="1"/>
  <c r="CW94" i="1"/>
  <c r="CV94" i="1"/>
  <c r="EK55" i="21"/>
  <c r="AP225" i="19"/>
  <c r="H63" i="19"/>
  <c r="I58" i="19" s="1"/>
  <c r="AM47" i="21"/>
  <c r="AW253" i="19"/>
  <c r="EZ254" i="19"/>
  <c r="AW254" i="19" s="1"/>
  <c r="AW230" i="19" s="1"/>
  <c r="EZ256" i="19"/>
  <c r="AW256" i="19" s="1"/>
  <c r="AW232" i="19" s="1"/>
  <c r="EZ257" i="19"/>
  <c r="AW257" i="19" s="1"/>
  <c r="AW233" i="19" s="1"/>
  <c r="EZ255" i="19"/>
  <c r="AW255" i="19" s="1"/>
  <c r="AW231" i="19" s="1"/>
  <c r="AR225" i="19"/>
  <c r="EI56" i="21"/>
  <c r="L250" i="19"/>
  <c r="AT250" i="19"/>
  <c r="AR77" i="19"/>
  <c r="EU27" i="21"/>
  <c r="EU17" i="21"/>
  <c r="EU54" i="21"/>
  <c r="EU55" i="21" s="1"/>
  <c r="CS41" i="24"/>
  <c r="AC40" i="24"/>
  <c r="AC23" i="29"/>
  <c r="CR27" i="29"/>
  <c r="CS23" i="29" s="1"/>
  <c r="CS27" i="29" s="1"/>
  <c r="CT23" i="29" s="1"/>
  <c r="CT27" i="29" s="1"/>
  <c r="CU23" i="29" s="1"/>
  <c r="AW106" i="19"/>
  <c r="AW82" i="19" s="1"/>
  <c r="DQ74" i="24"/>
  <c r="DR75" i="24" s="1"/>
  <c r="DS76" i="24" s="1"/>
  <c r="AE75" i="24"/>
  <c r="CY76" i="24"/>
  <c r="AQ78" i="19"/>
  <c r="J45" i="21"/>
  <c r="HE10" i="25" s="1"/>
  <c r="AL45" i="21"/>
  <c r="W115" i="37"/>
  <c r="W110" i="37"/>
  <c r="W111" i="37" s="1"/>
  <c r="AP49" i="21"/>
  <c r="EE50" i="21"/>
  <c r="DX75" i="11"/>
  <c r="DY75" i="11"/>
  <c r="CC10" i="25"/>
  <c r="CC11" i="25" s="1"/>
  <c r="DW74" i="24"/>
  <c r="DX75" i="24" s="1"/>
  <c r="DY76" i="24" s="1"/>
  <c r="AR76" i="19"/>
  <c r="AR224" i="19"/>
  <c r="DQ69" i="24"/>
  <c r="DR70" i="24" s="1"/>
  <c r="DS71" i="24" s="1"/>
  <c r="GS14" i="25"/>
  <c r="AV39" i="21"/>
  <c r="AV41" i="21"/>
  <c r="AW14" i="21"/>
  <c r="AW19" i="21"/>
  <c r="AF32" i="11"/>
  <c r="AF158" i="11" s="1"/>
  <c r="CN10" i="7" s="1"/>
  <c r="DC158" i="11"/>
  <c r="DC122" i="1" s="1"/>
  <c r="AF122" i="1" s="1"/>
  <c r="AV153" i="19"/>
  <c r="EF24" i="21"/>
  <c r="EF29" i="21" s="1"/>
  <c r="AE117" i="19"/>
  <c r="AS15" i="21"/>
  <c r="AS20" i="21"/>
  <c r="AG117" i="19"/>
  <c r="AG129" i="19" s="1"/>
  <c r="EK52" i="21"/>
  <c r="EK47" i="21"/>
  <c r="EK57" i="21"/>
  <c r="EG45" i="21"/>
  <c r="EG47" i="21"/>
  <c r="AV40" i="21"/>
  <c r="AV152" i="19"/>
  <c r="GI15" i="25"/>
  <c r="GI12" i="25"/>
  <c r="GI13" i="25"/>
  <c r="EX16" i="21"/>
  <c r="EX26" i="21"/>
  <c r="EX49" i="21"/>
  <c r="AU11" i="11"/>
  <c r="AU112" i="1"/>
  <c r="AU20" i="1"/>
  <c r="EZ67" i="24"/>
  <c r="I24" i="21"/>
  <c r="I29" i="21" s="1"/>
  <c r="AH24" i="21"/>
  <c r="AH29" i="21" s="1"/>
  <c r="DG29" i="21"/>
  <c r="DP45" i="24"/>
  <c r="AJ44" i="24"/>
  <c r="AO15" i="21"/>
  <c r="AO20" i="21"/>
  <c r="EA56" i="21"/>
  <c r="EA57" i="21"/>
  <c r="EA55" i="21"/>
  <c r="AW101" i="19"/>
  <c r="AW109" i="19"/>
  <c r="AW85" i="19" s="1"/>
  <c r="EL68" i="24"/>
  <c r="EM69" i="24" s="1"/>
  <c r="EN70" i="24" s="1"/>
  <c r="EE52" i="21"/>
  <c r="DN77" i="24"/>
  <c r="DO78" i="24" s="1"/>
  <c r="DP79" i="24" s="1"/>
  <c r="AP44" i="21"/>
  <c r="K44" i="21"/>
  <c r="EE45" i="21"/>
  <c r="W39" i="37"/>
  <c r="AG28" i="37"/>
  <c r="CJ41" i="24"/>
  <c r="Z40" i="24"/>
  <c r="GK15" i="25"/>
  <c r="GU10" i="25"/>
  <c r="AL47" i="21"/>
  <c r="L257" i="19"/>
  <c r="AT257" i="19"/>
  <c r="AT233" i="19" s="1"/>
  <c r="W92" i="37"/>
  <c r="X84" i="37"/>
  <c r="W94" i="37"/>
  <c r="I55" i="21"/>
  <c r="HD29" i="25" s="1"/>
  <c r="HD32" i="25" s="1"/>
  <c r="AH55" i="21"/>
  <c r="AV11" i="11"/>
  <c r="AV112" i="1"/>
  <c r="AV20" i="1"/>
  <c r="AT39" i="21"/>
  <c r="AT41" i="21"/>
  <c r="DM69" i="11"/>
  <c r="DM156" i="11" s="1"/>
  <c r="DM120" i="1" s="1"/>
  <c r="DM51" i="11"/>
  <c r="DM72" i="11"/>
  <c r="DK69" i="24"/>
  <c r="DL70" i="24" s="1"/>
  <c r="DM71" i="24" s="1"/>
  <c r="AT103" i="19"/>
  <c r="L103" i="19"/>
  <c r="DX45" i="24"/>
  <c r="AM44" i="24"/>
  <c r="AV102" i="19"/>
  <c r="AW152" i="19"/>
  <c r="CF40" i="24"/>
  <c r="X39" i="24"/>
  <c r="FA16" i="21"/>
  <c r="FA26" i="21"/>
  <c r="FA49" i="21"/>
  <c r="FA50" i="21" s="1"/>
  <c r="FS15" i="7"/>
  <c r="FS12" i="7"/>
  <c r="FS14" i="7"/>
  <c r="FQ13" i="25"/>
  <c r="HE15" i="7"/>
  <c r="AO54" i="21"/>
  <c r="EB56" i="21"/>
  <c r="AO56" i="21" s="1"/>
  <c r="EB55" i="21"/>
  <c r="AO55" i="21" s="1"/>
  <c r="EB57" i="21"/>
  <c r="AO57" i="21" s="1"/>
  <c r="AQ225" i="19"/>
  <c r="AV109" i="19"/>
  <c r="AV85" i="19" s="1"/>
  <c r="W134" i="37"/>
  <c r="AG125" i="37"/>
  <c r="W129" i="37"/>
  <c r="AS233" i="19"/>
  <c r="EF50" i="21"/>
  <c r="EF71" i="24"/>
  <c r="EG72" i="24" s="1"/>
  <c r="EH73" i="24" s="1"/>
  <c r="DZ75" i="24"/>
  <c r="EA76" i="24" s="1"/>
  <c r="EB77" i="24" s="1"/>
  <c r="CX69" i="24"/>
  <c r="H68" i="24"/>
  <c r="AD68" i="24"/>
  <c r="AD126" i="24" s="1"/>
  <c r="CW126" i="24"/>
  <c r="DZ72" i="24"/>
  <c r="EA73" i="24" s="1"/>
  <c r="EB74" i="24" s="1"/>
  <c r="AP54" i="21"/>
  <c r="EE55" i="21"/>
  <c r="AQ52" i="21"/>
  <c r="AJ47" i="21"/>
  <c r="AQ76" i="19"/>
  <c r="FS13" i="7"/>
  <c r="AQ226" i="19"/>
  <c r="DS82" i="11"/>
  <c r="DT82" i="11" s="1"/>
  <c r="DU82" i="11" s="1"/>
  <c r="DV82" i="11" s="1"/>
  <c r="DW82" i="11" s="1"/>
  <c r="DX82" i="11" s="1"/>
  <c r="DY82" i="11" s="1"/>
  <c r="DZ82" i="11" s="1"/>
  <c r="EA82" i="11" s="1"/>
  <c r="EB82" i="11" s="1"/>
  <c r="EC82" i="11" s="1"/>
  <c r="FG17" i="25"/>
  <c r="FG24" i="25" s="1"/>
  <c r="FG20" i="25"/>
  <c r="ES107" i="19"/>
  <c r="ES109" i="19"/>
  <c r="ES108" i="19"/>
  <c r="ES106" i="19"/>
  <c r="AR156" i="19"/>
  <c r="AR44" i="21"/>
  <c r="AH38" i="36"/>
  <c r="AH39" i="36" s="1"/>
  <c r="ET67" i="24"/>
  <c r="AN66" i="24"/>
  <c r="DZ67" i="24"/>
  <c r="AJ55" i="21"/>
  <c r="EJ51" i="21"/>
  <c r="GA15" i="25"/>
  <c r="EL24" i="21"/>
  <c r="EL29" i="21" s="1"/>
  <c r="EZ51" i="21"/>
  <c r="EZ46" i="21"/>
  <c r="EZ56" i="21"/>
  <c r="EX55" i="24"/>
  <c r="EY56" i="24" s="1"/>
  <c r="EZ57" i="24" s="1"/>
  <c r="AV54" i="24"/>
  <c r="AC20" i="29"/>
  <c r="AF21" i="29"/>
  <c r="AR231" i="19"/>
  <c r="AG84" i="11"/>
  <c r="CD19" i="7"/>
  <c r="CD20" i="7" s="1"/>
  <c r="HE14" i="7"/>
  <c r="AS78" i="19"/>
  <c r="AV150" i="19"/>
  <c r="AN24" i="21"/>
  <c r="AN29" i="21" s="1"/>
  <c r="DY29" i="21"/>
  <c r="DQ77" i="24"/>
  <c r="DR78" i="24" s="1"/>
  <c r="DS79" i="24" s="1"/>
  <c r="EW46" i="21"/>
  <c r="EW51" i="21"/>
  <c r="EW56" i="21"/>
  <c r="AU233" i="19"/>
  <c r="AL55" i="21"/>
  <c r="AU103" i="19"/>
  <c r="EK45" i="21"/>
  <c r="FH15" i="25"/>
  <c r="AW251" i="19"/>
  <c r="AU250" i="19"/>
  <c r="CL40" i="24"/>
  <c r="G40" i="24" s="1"/>
  <c r="Z39" i="24"/>
  <c r="G39" i="24"/>
  <c r="AS230" i="19"/>
  <c r="ER52" i="21"/>
  <c r="ER47" i="21"/>
  <c r="ER57" i="21"/>
  <c r="EI46" i="21"/>
  <c r="W45" i="15"/>
  <c r="DX8" i="7" s="1"/>
  <c r="Z48" i="15"/>
  <c r="DW15" i="7" s="1"/>
  <c r="Z47" i="15"/>
  <c r="DW14" i="7" s="1"/>
  <c r="FF23" i="25"/>
  <c r="EU26" i="21"/>
  <c r="EU16" i="21"/>
  <c r="EU49" i="21"/>
  <c r="EU50" i="21" s="1"/>
  <c r="DU48" i="24"/>
  <c r="DV49" i="24" s="1"/>
  <c r="AL47" i="24"/>
  <c r="DA74" i="11"/>
  <c r="DA155" i="11" s="1"/>
  <c r="DA55" i="11"/>
  <c r="DA77" i="11"/>
  <c r="AT157" i="19"/>
  <c r="CY56" i="1"/>
  <c r="CY40" i="1"/>
  <c r="AV248" i="19"/>
  <c r="AW39" i="21"/>
  <c r="AW41" i="21"/>
  <c r="AN15" i="21"/>
  <c r="AN20" i="21"/>
  <c r="EX15" i="21"/>
  <c r="EX25" i="21"/>
  <c r="EX24" i="21" s="1"/>
  <c r="EX29" i="21" s="1"/>
  <c r="EX44" i="21"/>
  <c r="EU106" i="19"/>
  <c r="AU106" i="19" s="1"/>
  <c r="AU82" i="19" s="1"/>
  <c r="EU108" i="19"/>
  <c r="EU109" i="19"/>
  <c r="AU109" i="19" s="1"/>
  <c r="AU85" i="19" s="1"/>
  <c r="EU107" i="19"/>
  <c r="HC41" i="25"/>
  <c r="HC43" i="25" s="1"/>
  <c r="HC23" i="25"/>
  <c r="DD32" i="11"/>
  <c r="DD158" i="11" s="1"/>
  <c r="DD122" i="1" s="1"/>
  <c r="DD28" i="11"/>
  <c r="DE33" i="11"/>
  <c r="AR79" i="19"/>
  <c r="AQ77" i="19"/>
  <c r="AT156" i="19"/>
  <c r="AW100" i="19"/>
  <c r="AW108" i="19"/>
  <c r="AW84" i="19" s="1"/>
  <c r="EH55" i="21"/>
  <c r="AQ55" i="21" s="1"/>
  <c r="AP47" i="21"/>
  <c r="I46" i="21"/>
  <c r="HD11" i="25" s="1"/>
  <c r="AH46" i="21"/>
  <c r="AP25" i="21"/>
  <c r="AP30" i="21" s="1"/>
  <c r="K25" i="21"/>
  <c r="EE24" i="21"/>
  <c r="ED46" i="24"/>
  <c r="AO45" i="24"/>
  <c r="AU40" i="21"/>
  <c r="EV16" i="21"/>
  <c r="EV26" i="21"/>
  <c r="EV49" i="21"/>
  <c r="AL46" i="21"/>
  <c r="J46" i="21"/>
  <c r="HE11" i="25" s="1"/>
  <c r="L256" i="19"/>
  <c r="AT256" i="19"/>
  <c r="AT232" i="19" s="1"/>
  <c r="AO21" i="21"/>
  <c r="AO16" i="21"/>
  <c r="AG96" i="37"/>
  <c r="AG106" i="37"/>
  <c r="AG91" i="37"/>
  <c r="L39" i="21"/>
  <c r="L41" i="21"/>
  <c r="FQ15" i="25"/>
  <c r="HE12" i="7"/>
  <c r="EF52" i="21"/>
  <c r="AS76" i="19"/>
  <c r="FA15" i="21"/>
  <c r="FA25" i="21"/>
  <c r="FA24" i="21" s="1"/>
  <c r="FA29" i="21" s="1"/>
  <c r="FA44" i="21"/>
  <c r="FA45" i="21" s="1"/>
  <c r="AO32" i="21"/>
  <c r="AS63" i="24"/>
  <c r="EN66" i="24"/>
  <c r="DX70" i="11"/>
  <c r="DY70" i="11"/>
  <c r="CC13" i="25"/>
  <c r="CC14" i="25" s="1"/>
  <c r="AV108" i="19"/>
  <c r="AV84" i="19" s="1"/>
  <c r="EI72" i="24"/>
  <c r="EJ73" i="24" s="1"/>
  <c r="EK74" i="24" s="1"/>
  <c r="L30" i="29"/>
  <c r="F12" i="28"/>
  <c r="N75" i="26" s="1"/>
  <c r="N82" i="26" s="1"/>
  <c r="CU40" i="24"/>
  <c r="AC39" i="24"/>
  <c r="DK77" i="24"/>
  <c r="DL78" i="24" s="1"/>
  <c r="DM79" i="24" s="1"/>
  <c r="AJ46" i="21"/>
  <c r="FG23" i="25"/>
  <c r="AS54" i="21"/>
  <c r="EU39" i="21"/>
  <c r="EU41" i="21"/>
  <c r="EU42" i="21"/>
  <c r="AT12" i="1"/>
  <c r="AT11" i="11" s="1"/>
  <c r="L12" i="1"/>
  <c r="L11" i="11" s="1"/>
  <c r="AE265" i="19"/>
  <c r="EK24" i="21"/>
  <c r="AR25" i="21"/>
  <c r="AR30" i="21" s="1"/>
  <c r="X16" i="36"/>
  <c r="AH13" i="36"/>
  <c r="C24" i="30"/>
  <c r="A25" i="30"/>
  <c r="B24" i="30"/>
  <c r="AT153" i="19"/>
  <c r="AJ57" i="21"/>
  <c r="AA80" i="22"/>
  <c r="AF80" i="22" s="1"/>
  <c r="AQ227" i="19"/>
  <c r="EX46" i="21"/>
  <c r="EX51" i="21"/>
  <c r="EX56" i="21"/>
  <c r="CU20" i="29"/>
  <c r="CV16" i="29" s="1"/>
  <c r="CV20" i="29" s="1"/>
  <c r="CW16" i="29" s="1"/>
  <c r="CW20" i="29" s="1"/>
  <c r="CX16" i="29" s="1"/>
  <c r="AD16" i="29"/>
  <c r="X136" i="36"/>
  <c r="AH133" i="36"/>
  <c r="AH136" i="36" s="1"/>
  <c r="AH138" i="36" s="1"/>
  <c r="AH139" i="36" s="1"/>
  <c r="AD84" i="11"/>
  <c r="CA19" i="7"/>
  <c r="CA20" i="7" s="1"/>
  <c r="AE84" i="11"/>
  <c r="CB19" i="7"/>
  <c r="CB20" i="7" s="1"/>
  <c r="EV108" i="19"/>
  <c r="EV109" i="19"/>
  <c r="EV107" i="19"/>
  <c r="EV106" i="19"/>
  <c r="AE48" i="15"/>
  <c r="EB15" i="7" s="1"/>
  <c r="EC72" i="24"/>
  <c r="ED73" i="24" s="1"/>
  <c r="EE74" i="24" s="1"/>
  <c r="DL105" i="15"/>
  <c r="DM105" i="15"/>
  <c r="DN105" i="15"/>
  <c r="DG105" i="15"/>
  <c r="DO105" i="15"/>
  <c r="DH105" i="15"/>
  <c r="DP105" i="15"/>
  <c r="DI105" i="15"/>
  <c r="DQ105" i="15"/>
  <c r="DJ105" i="15"/>
  <c r="DR105" i="15"/>
  <c r="DK105" i="15"/>
  <c r="ES52" i="21"/>
  <c r="ES47" i="21"/>
  <c r="AF75" i="24"/>
  <c r="DB76" i="24"/>
  <c r="AU232" i="19"/>
  <c r="EB68" i="24"/>
  <c r="AL57" i="21"/>
  <c r="AA79" i="22"/>
  <c r="M99" i="22"/>
  <c r="AU101" i="19"/>
  <c r="EK50" i="21"/>
  <c r="AW250" i="19"/>
  <c r="AU249" i="19"/>
  <c r="AR78" i="19"/>
  <c r="AW42" i="21"/>
  <c r="AU107" i="19"/>
  <c r="AU83" i="19" s="1"/>
  <c r="ER51" i="21"/>
  <c r="ER46" i="21"/>
  <c r="ER56" i="21"/>
  <c r="DE88" i="1"/>
  <c r="EI51" i="21"/>
  <c r="AQ51" i="21" s="1"/>
  <c r="L249" i="19"/>
  <c r="AT249" i="19"/>
  <c r="AS40" i="21"/>
  <c r="EU15" i="21"/>
  <c r="EU25" i="21"/>
  <c r="EU24" i="21" s="1"/>
  <c r="EU29" i="21" s="1"/>
  <c r="EU44" i="21"/>
  <c r="EU45" i="21" s="1"/>
  <c r="N83" i="26" l="1"/>
  <c r="AY119" i="26"/>
  <c r="AY208" i="26" s="1"/>
  <c r="AZ108" i="26"/>
  <c r="O108" i="26" s="1"/>
  <c r="O65" i="26"/>
  <c r="AZ81" i="26"/>
  <c r="O95" i="26"/>
  <c r="F24" i="30"/>
  <c r="AI24" i="30" s="1"/>
  <c r="R40" i="29"/>
  <c r="R43" i="29" s="1"/>
  <c r="CV55" i="11"/>
  <c r="CV57" i="11" s="1"/>
  <c r="CV74" i="11"/>
  <c r="CV155" i="11" s="1"/>
  <c r="CV77" i="11"/>
  <c r="CW75" i="11"/>
  <c r="L56" i="11"/>
  <c r="L70" i="11"/>
  <c r="L75" i="11"/>
  <c r="AF48" i="15"/>
  <c r="EC15" i="7" s="1"/>
  <c r="CV69" i="11"/>
  <c r="CV156" i="11" s="1"/>
  <c r="CV120" i="1" s="1"/>
  <c r="CV51" i="11"/>
  <c r="CV72" i="11"/>
  <c r="CW70" i="11"/>
  <c r="DK103" i="15"/>
  <c r="DK21" i="15" s="1"/>
  <c r="DK104" i="15"/>
  <c r="DK22" i="15" s="1"/>
  <c r="DK54" i="19" s="1"/>
  <c r="DK191" i="19" s="1"/>
  <c r="GU13" i="25"/>
  <c r="AW21" i="21"/>
  <c r="AW16" i="21"/>
  <c r="EO72" i="24"/>
  <c r="EP73" i="24" s="1"/>
  <c r="EQ74" i="24" s="1"/>
  <c r="AV76" i="19"/>
  <c r="EW46" i="24"/>
  <c r="AU45" i="24"/>
  <c r="J57" i="21"/>
  <c r="HE31" i="25" s="1"/>
  <c r="DO103" i="15"/>
  <c r="DO21" i="15" s="1"/>
  <c r="EK29" i="21"/>
  <c r="EU47" i="21"/>
  <c r="EU52" i="21"/>
  <c r="EU57" i="21"/>
  <c r="AW76" i="19"/>
  <c r="EX45" i="21"/>
  <c r="EX47" i="21"/>
  <c r="AU226" i="19"/>
  <c r="AU79" i="19"/>
  <c r="DT80" i="24"/>
  <c r="DU81" i="24" s="1"/>
  <c r="DV82" i="24" s="1"/>
  <c r="AH41" i="36"/>
  <c r="DN72" i="24"/>
  <c r="DO73" i="24" s="1"/>
  <c r="DP74" i="24" s="1"/>
  <c r="DZ77" i="24"/>
  <c r="EA78" i="24" s="1"/>
  <c r="EB79" i="24" s="1"/>
  <c r="FG22" i="25"/>
  <c r="AO7" i="7"/>
  <c r="FB49" i="24"/>
  <c r="AW48" i="24"/>
  <c r="DB56" i="1"/>
  <c r="DB40" i="1"/>
  <c r="AF35" i="1"/>
  <c r="DE70" i="24"/>
  <c r="AG69" i="24"/>
  <c r="EH47" i="24"/>
  <c r="K46" i="24"/>
  <c r="AP46" i="24"/>
  <c r="EU72" i="24"/>
  <c r="EV73" i="24" s="1"/>
  <c r="EW74" i="24" s="1"/>
  <c r="EV24" i="21"/>
  <c r="EV29" i="21" s="1"/>
  <c r="GV8" i="25"/>
  <c r="EV45" i="21"/>
  <c r="EV50" i="21"/>
  <c r="EV55" i="21"/>
  <c r="J50" i="21"/>
  <c r="HE19" i="25" s="1"/>
  <c r="CR55" i="19"/>
  <c r="CS18" i="15"/>
  <c r="Y79" i="36"/>
  <c r="Y75" i="36" s="1"/>
  <c r="X69" i="37"/>
  <c r="X71" i="37" s="1"/>
  <c r="AT20" i="1"/>
  <c r="EV46" i="21"/>
  <c r="EV51" i="21"/>
  <c r="AU51" i="21" s="1"/>
  <c r="EV56" i="21"/>
  <c r="AR17" i="21"/>
  <c r="AR22" i="21"/>
  <c r="Z15" i="34"/>
  <c r="AT14" i="21"/>
  <c r="AT19" i="21"/>
  <c r="EC77" i="24"/>
  <c r="ED78" i="24" s="1"/>
  <c r="EE79" i="24" s="1"/>
  <c r="EM24" i="21"/>
  <c r="EM29" i="21" s="1"/>
  <c r="AV49" i="21"/>
  <c r="EW50" i="21"/>
  <c r="EW52" i="21"/>
  <c r="CR63" i="19"/>
  <c r="CS29" i="15"/>
  <c r="AT231" i="19"/>
  <c r="AW22" i="21"/>
  <c r="AW17" i="21"/>
  <c r="BX58" i="19"/>
  <c r="BX36" i="15"/>
  <c r="BW34" i="15"/>
  <c r="BX92" i="15"/>
  <c r="BX37" i="15"/>
  <c r="EF105" i="24"/>
  <c r="EG106" i="24" s="1"/>
  <c r="EH107" i="24" s="1"/>
  <c r="L254" i="19"/>
  <c r="AQ46" i="21"/>
  <c r="V16" i="35"/>
  <c r="V30" i="35"/>
  <c r="V28" i="35"/>
  <c r="V32" i="35"/>
  <c r="V34" i="35"/>
  <c r="CQ42" i="24"/>
  <c r="AB41" i="24"/>
  <c r="AQ24" i="21"/>
  <c r="AQ29" i="21" s="1"/>
  <c r="EH29" i="21"/>
  <c r="AU54" i="21"/>
  <c r="ET55" i="21"/>
  <c r="AU55" i="21" s="1"/>
  <c r="ET57" i="21"/>
  <c r="BO13" i="29"/>
  <c r="BP9" i="29" s="1"/>
  <c r="BO30" i="29"/>
  <c r="BO34" i="29" s="1"/>
  <c r="BO37" i="29" s="1"/>
  <c r="BO38" i="29" s="1"/>
  <c r="GV9" i="25"/>
  <c r="AV54" i="21"/>
  <c r="EW55" i="21"/>
  <c r="EW57" i="21"/>
  <c r="Z24" i="34"/>
  <c r="AG38" i="37"/>
  <c r="DG103" i="15"/>
  <c r="EU46" i="21"/>
  <c r="EU51" i="21"/>
  <c r="EU56" i="21"/>
  <c r="AW225" i="19"/>
  <c r="AD9" i="11"/>
  <c r="AD15" i="1"/>
  <c r="G6" i="7" s="1"/>
  <c r="G29" i="7" s="1"/>
  <c r="G5" i="7"/>
  <c r="G28" i="7" s="1"/>
  <c r="AB13" i="7"/>
  <c r="EC69" i="24"/>
  <c r="ED70" i="24" s="1"/>
  <c r="EE71" i="24" s="1"/>
  <c r="DR103" i="15"/>
  <c r="DR21" i="15" s="1"/>
  <c r="DN103" i="15"/>
  <c r="DN21" i="15" s="1"/>
  <c r="DW50" i="24"/>
  <c r="AM49" i="24"/>
  <c r="AW227" i="19"/>
  <c r="J55" i="21"/>
  <c r="HE29" i="25" s="1"/>
  <c r="HE32" i="25" s="1"/>
  <c r="AW57" i="24"/>
  <c r="FA58" i="24"/>
  <c r="FB59" i="24" s="1"/>
  <c r="AV78" i="19"/>
  <c r="DQ80" i="24"/>
  <c r="DR81" i="24" s="1"/>
  <c r="DS82" i="24" s="1"/>
  <c r="FA68" i="24"/>
  <c r="FB69" i="24" s="1"/>
  <c r="DT77" i="24"/>
  <c r="DU78" i="24" s="1"/>
  <c r="DV79" i="24" s="1"/>
  <c r="GB14" i="25"/>
  <c r="AH43" i="36"/>
  <c r="FA56" i="21"/>
  <c r="DX68" i="24"/>
  <c r="AM67" i="24"/>
  <c r="EZ47" i="21"/>
  <c r="CV10" i="11"/>
  <c r="CV14" i="1"/>
  <c r="CV97" i="1"/>
  <c r="CV98" i="1"/>
  <c r="AN52" i="21"/>
  <c r="EL72" i="24"/>
  <c r="EM73" i="24" s="1"/>
  <c r="EN74" i="24" s="1"/>
  <c r="AT107" i="19"/>
  <c r="AT83" i="19" s="1"/>
  <c r="L107" i="19"/>
  <c r="DJ47" i="24"/>
  <c r="AH46" i="24"/>
  <c r="DK55" i="24"/>
  <c r="DL56" i="24" s="1"/>
  <c r="DM57" i="24" s="1"/>
  <c r="AG53" i="37"/>
  <c r="AH45" i="37"/>
  <c r="EQ17" i="21"/>
  <c r="L12" i="21"/>
  <c r="L17" i="21" s="1"/>
  <c r="AT12" i="21"/>
  <c r="EQ27" i="21"/>
  <c r="EQ54" i="21"/>
  <c r="EO49" i="24"/>
  <c r="AS48" i="24"/>
  <c r="AE69" i="11"/>
  <c r="AE156" i="11" s="1"/>
  <c r="CM8" i="7" s="1"/>
  <c r="CZ156" i="11"/>
  <c r="CZ120" i="1" s="1"/>
  <c r="AE120" i="1" s="1"/>
  <c r="FA69" i="24"/>
  <c r="FB70" i="24" s="1"/>
  <c r="AC12" i="15"/>
  <c r="AC90" i="15"/>
  <c r="AF15" i="15"/>
  <c r="CY15" i="7" s="1"/>
  <c r="AF14" i="15"/>
  <c r="CY14" i="7" s="1"/>
  <c r="W31" i="37"/>
  <c r="AT224" i="19"/>
  <c r="DW77" i="24"/>
  <c r="DX78" i="24" s="1"/>
  <c r="DY79" i="24" s="1"/>
  <c r="AU27" i="21"/>
  <c r="AU32" i="21" s="1"/>
  <c r="EO120" i="24"/>
  <c r="EP121" i="24" s="1"/>
  <c r="EQ122" i="24" s="1"/>
  <c r="AE74" i="11"/>
  <c r="AE155" i="11" s="1"/>
  <c r="CZ155" i="11"/>
  <c r="FB27" i="21"/>
  <c r="FB17" i="21"/>
  <c r="FB54" i="21"/>
  <c r="CK42" i="24"/>
  <c r="Z41" i="24"/>
  <c r="DZ56" i="24"/>
  <c r="EI137" i="11"/>
  <c r="EJ137" i="11"/>
  <c r="EK137" i="11"/>
  <c r="L137" i="11"/>
  <c r="EL137" i="11"/>
  <c r="EF137" i="11"/>
  <c r="EN137" i="11"/>
  <c r="EG137" i="11"/>
  <c r="EO137" i="11"/>
  <c r="EE137" i="11"/>
  <c r="EH137" i="11"/>
  <c r="EM137" i="11"/>
  <c r="EP137" i="11"/>
  <c r="EX23" i="25"/>
  <c r="W41" i="37"/>
  <c r="AG30" i="37"/>
  <c r="CU38" i="11"/>
  <c r="CU28" i="1"/>
  <c r="AU15" i="21"/>
  <c r="AU20" i="21"/>
  <c r="AC40" i="15"/>
  <c r="AC45" i="15" s="1"/>
  <c r="CR47" i="15"/>
  <c r="CR48" i="15"/>
  <c r="AH65" i="37"/>
  <c r="AG73" i="37"/>
  <c r="AU77" i="19"/>
  <c r="DY69" i="11"/>
  <c r="DY156" i="11" s="1"/>
  <c r="DY120" i="1" s="1"/>
  <c r="DY51" i="11"/>
  <c r="DY72" i="11"/>
  <c r="EA68" i="24"/>
  <c r="AN67" i="24"/>
  <c r="AP55" i="21"/>
  <c r="AE69" i="24"/>
  <c r="CY70" i="24"/>
  <c r="H69" i="24"/>
  <c r="CX126" i="24"/>
  <c r="W130" i="37"/>
  <c r="X122" i="37"/>
  <c r="W132" i="37"/>
  <c r="DM52" i="11"/>
  <c r="AG39" i="37"/>
  <c r="Z25" i="34"/>
  <c r="Z32" i="34" s="1"/>
  <c r="AP52" i="21"/>
  <c r="EX52" i="21"/>
  <c r="EX50" i="21"/>
  <c r="DT72" i="24"/>
  <c r="DU73" i="24" s="1"/>
  <c r="DV74" i="24" s="1"/>
  <c r="DY74" i="11"/>
  <c r="DY155" i="11" s="1"/>
  <c r="DY55" i="11"/>
  <c r="DY77" i="11"/>
  <c r="X21" i="36"/>
  <c r="AH15" i="36"/>
  <c r="AI69" i="11"/>
  <c r="AI156" i="11" s="1"/>
  <c r="DL156" i="11"/>
  <c r="DL120" i="1" s="1"/>
  <c r="AI120" i="1" s="1"/>
  <c r="AW78" i="19"/>
  <c r="EX55" i="21"/>
  <c r="EX57" i="21"/>
  <c r="CY82" i="24"/>
  <c r="AE81" i="24"/>
  <c r="FA46" i="21"/>
  <c r="DM99" i="15"/>
  <c r="DG99" i="15"/>
  <c r="DP99" i="15"/>
  <c r="DH99" i="15"/>
  <c r="DQ99" i="15"/>
  <c r="DI99" i="15"/>
  <c r="DR99" i="15"/>
  <c r="DJ99" i="15"/>
  <c r="DK99" i="15"/>
  <c r="DL99" i="15"/>
  <c r="DN99" i="15"/>
  <c r="DO99" i="15"/>
  <c r="AD277" i="19"/>
  <c r="EZ24" i="21"/>
  <c r="DI68" i="24"/>
  <c r="I67" i="24"/>
  <c r="AH67" i="24"/>
  <c r="ET66" i="24"/>
  <c r="AU63" i="24"/>
  <c r="AV226" i="19"/>
  <c r="AO24" i="21"/>
  <c r="AO29" i="21" s="1"/>
  <c r="EB29" i="21"/>
  <c r="ER24" i="21"/>
  <c r="ER29" i="21" s="1"/>
  <c r="H70" i="19"/>
  <c r="EU69" i="24"/>
  <c r="EV70" i="24" s="1"/>
  <c r="EW71" i="24" s="1"/>
  <c r="EZ45" i="21"/>
  <c r="AV77" i="19"/>
  <c r="EF74" i="24"/>
  <c r="EG75" i="24" s="1"/>
  <c r="EH76" i="24" s="1"/>
  <c r="AV16" i="21"/>
  <c r="AV21" i="21"/>
  <c r="EK47" i="24"/>
  <c r="AQ46" i="24"/>
  <c r="AU156" i="19"/>
  <c r="AU157" i="19"/>
  <c r="AU159" i="19"/>
  <c r="AU158" i="19"/>
  <c r="CT52" i="24"/>
  <c r="CU53" i="24" s="1"/>
  <c r="AF69" i="24"/>
  <c r="DB70" i="24"/>
  <c r="CR47" i="19"/>
  <c r="CR71" i="19" s="1"/>
  <c r="CS7" i="15"/>
  <c r="CR45" i="15"/>
  <c r="DN92" i="24"/>
  <c r="H71" i="19"/>
  <c r="I66" i="19" s="1"/>
  <c r="DA52" i="11"/>
  <c r="DU68" i="24"/>
  <c r="J67" i="24"/>
  <c r="AL67" i="24"/>
  <c r="AU17" i="21"/>
  <c r="AU22" i="21"/>
  <c r="DZ101" i="24"/>
  <c r="EA102" i="24" s="1"/>
  <c r="EB103" i="24" s="1"/>
  <c r="AO56" i="11"/>
  <c r="AO84" i="11" s="1"/>
  <c r="EF104" i="24"/>
  <c r="EG105" i="24" s="1"/>
  <c r="EH106" i="24" s="1"/>
  <c r="FB16" i="21"/>
  <c r="FB26" i="21"/>
  <c r="FB49" i="21"/>
  <c r="GU11" i="25"/>
  <c r="GU12" i="25"/>
  <c r="AV17" i="21"/>
  <c r="AV22" i="21"/>
  <c r="DL52" i="11"/>
  <c r="EM51" i="21"/>
  <c r="AR51" i="21" s="1"/>
  <c r="EM52" i="21"/>
  <c r="K52" i="21" s="1"/>
  <c r="HF21" i="25" s="1"/>
  <c r="EM50" i="21"/>
  <c r="AR50" i="21" s="1"/>
  <c r="AT227" i="19"/>
  <c r="S13" i="29"/>
  <c r="V14" i="29"/>
  <c r="DJ104" i="15"/>
  <c r="DJ103" i="15"/>
  <c r="Z14" i="34"/>
  <c r="AH16" i="36"/>
  <c r="AH17" i="36" s="1"/>
  <c r="AH19" i="36"/>
  <c r="L34" i="29"/>
  <c r="G12" i="28" s="1"/>
  <c r="O75" i="26" s="1"/>
  <c r="G8" i="28"/>
  <c r="L35" i="29"/>
  <c r="EE47" i="24"/>
  <c r="AO46" i="24"/>
  <c r="DC77" i="24"/>
  <c r="AF76" i="24"/>
  <c r="AP24" i="21"/>
  <c r="AP29" i="21" s="1"/>
  <c r="K24" i="21"/>
  <c r="K29" i="21" s="1"/>
  <c r="EE29" i="21"/>
  <c r="DE32" i="11"/>
  <c r="DE158" i="11" s="1"/>
  <c r="DE122" i="1" s="1"/>
  <c r="DE28" i="11"/>
  <c r="DF33" i="11"/>
  <c r="EC78" i="24"/>
  <c r="ED79" i="24" s="1"/>
  <c r="EE80" i="24" s="1"/>
  <c r="AG134" i="37"/>
  <c r="AG129" i="37"/>
  <c r="DY46" i="24"/>
  <c r="AM45" i="24"/>
  <c r="HD42" i="25"/>
  <c r="HD33" i="25"/>
  <c r="J47" i="21"/>
  <c r="HE12" i="25" s="1"/>
  <c r="HE13" i="25" s="1"/>
  <c r="AK45" i="24"/>
  <c r="DQ46" i="24"/>
  <c r="DX55" i="11"/>
  <c r="DX57" i="11" s="1"/>
  <c r="DX74" i="11"/>
  <c r="DX77" i="11"/>
  <c r="CU27" i="29"/>
  <c r="CV23" i="29" s="1"/>
  <c r="CV27" i="29" s="1"/>
  <c r="CW23" i="29" s="1"/>
  <c r="CW27" i="29" s="1"/>
  <c r="CX23" i="29" s="1"/>
  <c r="AD23" i="29"/>
  <c r="AR16" i="21"/>
  <c r="AR21" i="21"/>
  <c r="DE48" i="24"/>
  <c r="AG47" i="24"/>
  <c r="AV79" i="19"/>
  <c r="DQ81" i="24"/>
  <c r="DR82" i="24" s="1"/>
  <c r="DS83" i="24" s="1"/>
  <c r="AI74" i="11"/>
  <c r="AI155" i="11" s="1"/>
  <c r="DL155" i="11"/>
  <c r="AM7" i="7"/>
  <c r="DW78" i="24"/>
  <c r="DX79" i="24" s="1"/>
  <c r="DY80" i="24" s="1"/>
  <c r="AS52" i="21"/>
  <c r="FA51" i="21"/>
  <c r="CE42" i="24"/>
  <c r="X41" i="24"/>
  <c r="AU56" i="21"/>
  <c r="FR11" i="25"/>
  <c r="FR13" i="25" s="1"/>
  <c r="BN110" i="1"/>
  <c r="BN99" i="1"/>
  <c r="CZ52" i="24"/>
  <c r="DA53" i="24" s="1"/>
  <c r="J51" i="21"/>
  <c r="HE20" i="25" s="1"/>
  <c r="DZ102" i="24"/>
  <c r="EA103" i="24" s="1"/>
  <c r="EB104" i="24" s="1"/>
  <c r="EQ16" i="21"/>
  <c r="EQ26" i="21"/>
  <c r="L11" i="21"/>
  <c r="L16" i="21" s="1"/>
  <c r="AT11" i="21"/>
  <c r="EQ49" i="21"/>
  <c r="AE277" i="19"/>
  <c r="ET46" i="24"/>
  <c r="L45" i="24"/>
  <c r="AT45" i="24"/>
  <c r="AQ56" i="21"/>
  <c r="AC42" i="19"/>
  <c r="AC47" i="19" s="1"/>
  <c r="CR66" i="19"/>
  <c r="AC66" i="19" s="1"/>
  <c r="AC71" i="19" s="1"/>
  <c r="AU49" i="21"/>
  <c r="ET52" i="21"/>
  <c r="ET50" i="21"/>
  <c r="AU50" i="21" s="1"/>
  <c r="DR68" i="24"/>
  <c r="AK67" i="24"/>
  <c r="BY48" i="15"/>
  <c r="BY47" i="15"/>
  <c r="EZ54" i="24"/>
  <c r="AV53" i="24"/>
  <c r="EL71" i="24"/>
  <c r="EM72" i="24" s="1"/>
  <c r="EN73" i="24" s="1"/>
  <c r="AR66" i="24"/>
  <c r="EL67" i="24"/>
  <c r="EI67" i="24"/>
  <c r="AQ66" i="24"/>
  <c r="FA57" i="21"/>
  <c r="I40" i="15"/>
  <c r="EA7" i="25"/>
  <c r="EA8" i="25" s="1"/>
  <c r="AU224" i="19"/>
  <c r="AE98" i="1"/>
  <c r="AM11" i="7" s="1"/>
  <c r="DN81" i="24"/>
  <c r="DO82" i="24" s="1"/>
  <c r="DP83" i="24" s="1"/>
  <c r="AM56" i="11"/>
  <c r="AM84" i="11" s="1"/>
  <c r="BT63" i="1"/>
  <c r="W59" i="2"/>
  <c r="EY57" i="21"/>
  <c r="HD13" i="25"/>
  <c r="FB15" i="21"/>
  <c r="FB25" i="21"/>
  <c r="FB24" i="21" s="1"/>
  <c r="FB29" i="21" s="1"/>
  <c r="FB44" i="21"/>
  <c r="AG43" i="35"/>
  <c r="Z64" i="34" s="1"/>
  <c r="Z63" i="34"/>
  <c r="A26" i="30"/>
  <c r="B25" i="30"/>
  <c r="C25" i="30"/>
  <c r="H40" i="24"/>
  <c r="CV41" i="24"/>
  <c r="AD40" i="24"/>
  <c r="DV46" i="24"/>
  <c r="J45" i="24"/>
  <c r="AL45" i="24"/>
  <c r="L11" i="24"/>
  <c r="L13" i="24" s="1"/>
  <c r="AT11" i="24"/>
  <c r="AT10" i="24" s="1"/>
  <c r="EQ13" i="24"/>
  <c r="EQ63" i="24"/>
  <c r="AW79" i="19"/>
  <c r="EM55" i="21"/>
  <c r="K55" i="21" s="1"/>
  <c r="HF29" i="25" s="1"/>
  <c r="HF32" i="25" s="1"/>
  <c r="EM56" i="21"/>
  <c r="AR56" i="21" s="1"/>
  <c r="EM57" i="21"/>
  <c r="AR57" i="21" s="1"/>
  <c r="AU76" i="19"/>
  <c r="DQ104" i="15"/>
  <c r="DQ22" i="15" s="1"/>
  <c r="DQ54" i="19" s="1"/>
  <c r="DQ191" i="19" s="1"/>
  <c r="DQ103" i="15"/>
  <c r="DQ21" i="15" s="1"/>
  <c r="X4" i="36"/>
  <c r="X17" i="36"/>
  <c r="DX69" i="11"/>
  <c r="DX51" i="11"/>
  <c r="DX72" i="11"/>
  <c r="DI104" i="15"/>
  <c r="DI22" i="15" s="1"/>
  <c r="DI54" i="19" s="1"/>
  <c r="DI191" i="19" s="1"/>
  <c r="DI103" i="15"/>
  <c r="DI21" i="15" s="1"/>
  <c r="CX20" i="29"/>
  <c r="CY16" i="29" s="1"/>
  <c r="CY20" i="29" s="1"/>
  <c r="CZ16" i="29" s="1"/>
  <c r="CZ20" i="29" s="1"/>
  <c r="DA16" i="29" s="1"/>
  <c r="AE16" i="29"/>
  <c r="X19" i="36"/>
  <c r="EL75" i="24"/>
  <c r="EM76" i="24" s="1"/>
  <c r="EN77" i="24" s="1"/>
  <c r="EO67" i="24"/>
  <c r="AS67" i="24" s="1"/>
  <c r="AS66" i="24"/>
  <c r="AG92" i="37"/>
  <c r="AH84" i="37"/>
  <c r="DD17" i="11"/>
  <c r="DD35" i="1" s="1"/>
  <c r="DD29" i="11"/>
  <c r="DD30" i="11" s="1"/>
  <c r="DA57" i="11"/>
  <c r="AV51" i="21"/>
  <c r="K54" i="21"/>
  <c r="W40" i="37"/>
  <c r="AW77" i="19"/>
  <c r="K50" i="21"/>
  <c r="HF19" i="25" s="1"/>
  <c r="AP50" i="21"/>
  <c r="AC27" i="29"/>
  <c r="AF28" i="29"/>
  <c r="AT226" i="19"/>
  <c r="AG88" i="1"/>
  <c r="AV44" i="21"/>
  <c r="EW47" i="21"/>
  <c r="EW45" i="21"/>
  <c r="AV45" i="21" s="1"/>
  <c r="ES56" i="21"/>
  <c r="AW15" i="21"/>
  <c r="AW20" i="21"/>
  <c r="EO68" i="24"/>
  <c r="AU10" i="24"/>
  <c r="AU46" i="21"/>
  <c r="ER72" i="24"/>
  <c r="ES73" i="24" s="1"/>
  <c r="ET74" i="24" s="1"/>
  <c r="HD23" i="25"/>
  <c r="HD41" i="25"/>
  <c r="AF13" i="1"/>
  <c r="AG98" i="1" s="1"/>
  <c r="AO11" i="7" s="1"/>
  <c r="DA88" i="1"/>
  <c r="H13" i="1"/>
  <c r="EQ15" i="21"/>
  <c r="EQ25" i="21"/>
  <c r="L10" i="21"/>
  <c r="L15" i="21" s="1"/>
  <c r="AT10" i="21"/>
  <c r="EQ44" i="21"/>
  <c r="BX50" i="19"/>
  <c r="BW23" i="15"/>
  <c r="BX91" i="15"/>
  <c r="BX25" i="15"/>
  <c r="BX26" i="15"/>
  <c r="AT76" i="19"/>
  <c r="CZ52" i="11"/>
  <c r="AV63" i="24"/>
  <c r="EW66" i="24"/>
  <c r="AW54" i="21"/>
  <c r="EZ57" i="21"/>
  <c r="AU230" i="19"/>
  <c r="EP48" i="24"/>
  <c r="EQ49" i="24" s="1"/>
  <c r="AS47" i="24"/>
  <c r="DQ49" i="24"/>
  <c r="AK48" i="24"/>
  <c r="AU26" i="21"/>
  <c r="AU31" i="21" s="1"/>
  <c r="BX47" i="19"/>
  <c r="BX71" i="19" s="1"/>
  <c r="BX7" i="15"/>
  <c r="BX45" i="15"/>
  <c r="DG47" i="24"/>
  <c r="AG46" i="24"/>
  <c r="EY56" i="21"/>
  <c r="AV56" i="21" s="1"/>
  <c r="FA47" i="21"/>
  <c r="DK80" i="24"/>
  <c r="DL81" i="24" s="1"/>
  <c r="DM82" i="24" s="1"/>
  <c r="AT78" i="19"/>
  <c r="AF98" i="1"/>
  <c r="AN11" i="7" s="1"/>
  <c r="GL11" i="25"/>
  <c r="GL14" i="25" s="1"/>
  <c r="GV7" i="25"/>
  <c r="GL12" i="25"/>
  <c r="AD23" i="30"/>
  <c r="AL23" i="30"/>
  <c r="AE23" i="30"/>
  <c r="AM23" i="30"/>
  <c r="E35" i="30"/>
  <c r="D35" i="30" s="1"/>
  <c r="AF23" i="30"/>
  <c r="AN23" i="30"/>
  <c r="AG23" i="30"/>
  <c r="AO23" i="30"/>
  <c r="AH23" i="30"/>
  <c r="AP23" i="30"/>
  <c r="AI23" i="30"/>
  <c r="AQ23" i="30"/>
  <c r="AJ23" i="30"/>
  <c r="AC23" i="30"/>
  <c r="AC51" i="30" s="1"/>
  <c r="AK23" i="30"/>
  <c r="EY47" i="21"/>
  <c r="DC56" i="1"/>
  <c r="DC40" i="1"/>
  <c r="K51" i="21"/>
  <c r="HF20" i="25" s="1"/>
  <c r="AW63" i="24"/>
  <c r="EZ66" i="24"/>
  <c r="GV10" i="25"/>
  <c r="DM103" i="15"/>
  <c r="DM104" i="15"/>
  <c r="DL103" i="15"/>
  <c r="DL21" i="15" s="1"/>
  <c r="AD20" i="29"/>
  <c r="AG21" i="29"/>
  <c r="AF79" i="22"/>
  <c r="AF77" i="22"/>
  <c r="AF78" i="22"/>
  <c r="ES57" i="21"/>
  <c r="DP104" i="15"/>
  <c r="DP103" i="15"/>
  <c r="EF75" i="24"/>
  <c r="EG76" i="24" s="1"/>
  <c r="EH77" i="24" s="1"/>
  <c r="AG115" i="37"/>
  <c r="AG110" i="37"/>
  <c r="AG111" i="37" s="1"/>
  <c r="AA40" i="24"/>
  <c r="CM41" i="24"/>
  <c r="AV46" i="21"/>
  <c r="EU68" i="24"/>
  <c r="EV69" i="24" s="1"/>
  <c r="EW70" i="24" s="1"/>
  <c r="EI74" i="24"/>
  <c r="EJ75" i="24" s="1"/>
  <c r="EK76" i="24" s="1"/>
  <c r="Y40" i="24"/>
  <c r="CG41" i="24"/>
  <c r="W113" i="37"/>
  <c r="W14" i="37" s="1"/>
  <c r="AG14" i="37" s="1"/>
  <c r="AG94" i="37"/>
  <c r="AG113" i="37" s="1"/>
  <c r="GU15" i="25"/>
  <c r="AP45" i="21"/>
  <c r="AR55" i="21"/>
  <c r="AF265" i="19"/>
  <c r="AF277" i="19" s="1"/>
  <c r="GB12" i="25"/>
  <c r="AF34" i="11"/>
  <c r="AF17" i="11"/>
  <c r="AF29" i="11"/>
  <c r="AF30" i="11" s="1"/>
  <c r="K57" i="21"/>
  <c r="HF31" i="25" s="1"/>
  <c r="AV15" i="21"/>
  <c r="AV20" i="21"/>
  <c r="EU71" i="24"/>
  <c r="EV72" i="24" s="1"/>
  <c r="EW73" i="24" s="1"/>
  <c r="AU227" i="19"/>
  <c r="AU78" i="19"/>
  <c r="AU44" i="21"/>
  <c r="ET45" i="21"/>
  <c r="AU45" i="21" s="1"/>
  <c r="ET47" i="21"/>
  <c r="AU47" i="21" s="1"/>
  <c r="AT108" i="19"/>
  <c r="AT84" i="19" s="1"/>
  <c r="L108" i="19"/>
  <c r="DM119" i="1"/>
  <c r="EX68" i="24"/>
  <c r="EY69" i="24" s="1"/>
  <c r="EZ70" i="24" s="1"/>
  <c r="DP69" i="24"/>
  <c r="AJ68" i="24"/>
  <c r="I111" i="15"/>
  <c r="EL120" i="24"/>
  <c r="EM121" i="24" s="1"/>
  <c r="EN122" i="24" s="1"/>
  <c r="EL119" i="24"/>
  <c r="EM120" i="24" s="1"/>
  <c r="EN121" i="24" s="1"/>
  <c r="AW49" i="21"/>
  <c r="EZ52" i="21"/>
  <c r="K56" i="11"/>
  <c r="K70" i="11"/>
  <c r="K75" i="11"/>
  <c r="FG21" i="25"/>
  <c r="AS24" i="21"/>
  <c r="AS29" i="21" s="1"/>
  <c r="EN29" i="21"/>
  <c r="V39" i="24"/>
  <c r="V61" i="24" s="1"/>
  <c r="F39" i="24"/>
  <c r="BZ40" i="24"/>
  <c r="BY61" i="24"/>
  <c r="BY14" i="24" s="1"/>
  <c r="AW27" i="21"/>
  <c r="AW32" i="21" s="1"/>
  <c r="DK81" i="24"/>
  <c r="DL82" i="24" s="1"/>
  <c r="DM83" i="24" s="1"/>
  <c r="DM47" i="24"/>
  <c r="AI46" i="24"/>
  <c r="EC74" i="24"/>
  <c r="ED75" i="24" s="1"/>
  <c r="EE76" i="24" s="1"/>
  <c r="AU16" i="21"/>
  <c r="AU21" i="21"/>
  <c r="W13" i="37"/>
  <c r="AG55" i="37"/>
  <c r="AH42" i="36"/>
  <c r="AT77" i="19"/>
  <c r="EY46" i="21"/>
  <c r="EY24" i="21"/>
  <c r="EY29" i="21" s="1"/>
  <c r="EV67" i="24"/>
  <c r="FA52" i="21"/>
  <c r="AW224" i="19"/>
  <c r="AF97" i="1"/>
  <c r="AN10" i="7" s="1"/>
  <c r="EQ82" i="11"/>
  <c r="ER82" i="11" s="1"/>
  <c r="ES82" i="11" s="1"/>
  <c r="ET82" i="11" s="1"/>
  <c r="EU82" i="11" s="1"/>
  <c r="EV82" i="11" s="1"/>
  <c r="EW82" i="11" s="1"/>
  <c r="EX82" i="11" s="1"/>
  <c r="EY82" i="11" s="1"/>
  <c r="EZ82" i="11" s="1"/>
  <c r="FA82" i="11" s="1"/>
  <c r="AE56" i="1"/>
  <c r="S12" i="7"/>
  <c r="BQ12" i="7"/>
  <c r="AE40" i="1"/>
  <c r="AP66" i="24"/>
  <c r="K66" i="24"/>
  <c r="EF67" i="24"/>
  <c r="L109" i="11"/>
  <c r="EL109" i="11"/>
  <c r="EE109" i="11"/>
  <c r="EM109" i="11"/>
  <c r="EF109" i="11"/>
  <c r="EN109" i="11"/>
  <c r="EG109" i="11"/>
  <c r="EO109" i="11"/>
  <c r="EH109" i="11"/>
  <c r="EP109" i="11"/>
  <c r="EI109" i="11"/>
  <c r="EJ109" i="11"/>
  <c r="EK109" i="11"/>
  <c r="EN21" i="25"/>
  <c r="EN21" i="7"/>
  <c r="AL56" i="11"/>
  <c r="AL84" i="11" s="1"/>
  <c r="EY52" i="21"/>
  <c r="FH17" i="25"/>
  <c r="FH21" i="25" s="1"/>
  <c r="AT225" i="19"/>
  <c r="AW226" i="19"/>
  <c r="DT81" i="24"/>
  <c r="DU82" i="24" s="1"/>
  <c r="DV83" i="24" s="1"/>
  <c r="AE88" i="1"/>
  <c r="J15" i="8"/>
  <c r="J36" i="8" s="1"/>
  <c r="J14" i="8"/>
  <c r="J35" i="8" s="1"/>
  <c r="J17" i="8"/>
  <c r="J38" i="8" s="1"/>
  <c r="J16" i="8"/>
  <c r="J37" i="8" s="1"/>
  <c r="J13" i="8"/>
  <c r="J34" i="8" s="1"/>
  <c r="L106" i="19"/>
  <c r="AT106" i="19"/>
  <c r="AT82" i="19" s="1"/>
  <c r="AU225" i="19"/>
  <c r="DH104" i="15"/>
  <c r="DH22" i="15" s="1"/>
  <c r="DH54" i="19" s="1"/>
  <c r="DH191" i="19" s="1"/>
  <c r="DH103" i="15"/>
  <c r="DH21" i="15" s="1"/>
  <c r="DN80" i="24"/>
  <c r="DO81" i="24" s="1"/>
  <c r="DP82" i="24" s="1"/>
  <c r="AV224" i="19"/>
  <c r="DA119" i="1"/>
  <c r="EC75" i="24"/>
  <c r="ED76" i="24" s="1"/>
  <c r="EE77" i="24" s="1"/>
  <c r="AT79" i="19"/>
  <c r="X88" i="37"/>
  <c r="Y111" i="36"/>
  <c r="Y107" i="36" s="1"/>
  <c r="X103" i="37"/>
  <c r="X24" i="37" s="1"/>
  <c r="X90" i="37"/>
  <c r="EO71" i="24"/>
  <c r="EP72" i="24" s="1"/>
  <c r="EQ73" i="24" s="1"/>
  <c r="K49" i="21"/>
  <c r="CZ77" i="24"/>
  <c r="AE76" i="24"/>
  <c r="CT42" i="24"/>
  <c r="AC41" i="24"/>
  <c r="AD94" i="1"/>
  <c r="DL68" i="24"/>
  <c r="AI67" i="24"/>
  <c r="DH70" i="24"/>
  <c r="AH69" i="24"/>
  <c r="EW24" i="21"/>
  <c r="AV25" i="21"/>
  <c r="AV30" i="21" s="1"/>
  <c r="DC83" i="24"/>
  <c r="AF82" i="24"/>
  <c r="CU80" i="11"/>
  <c r="CU107" i="11"/>
  <c r="CU135" i="11"/>
  <c r="ED68" i="24"/>
  <c r="AO68" i="24" s="1"/>
  <c r="AO67" i="24"/>
  <c r="AU25" i="21"/>
  <c r="AU30" i="21" s="1"/>
  <c r="ET24" i="21"/>
  <c r="AG277" i="19"/>
  <c r="AC23" i="15"/>
  <c r="AC91" i="15"/>
  <c r="AF25" i="15"/>
  <c r="DI14" i="7" s="1"/>
  <c r="AF26" i="15"/>
  <c r="DI15" i="7" s="1"/>
  <c r="L109" i="19"/>
  <c r="AT109" i="19"/>
  <c r="AT85" i="19" s="1"/>
  <c r="DM57" i="11"/>
  <c r="J24" i="21"/>
  <c r="J29" i="21" s="1"/>
  <c r="GU14" i="25"/>
  <c r="AW26" i="21"/>
  <c r="AW31" i="21" s="1"/>
  <c r="AF47" i="15"/>
  <c r="EC14" i="7" s="1"/>
  <c r="EV47" i="21"/>
  <c r="EV57" i="21"/>
  <c r="EV52" i="21"/>
  <c r="GJ15" i="25"/>
  <c r="GJ14" i="25"/>
  <c r="GJ12" i="25"/>
  <c r="AV227" i="19"/>
  <c r="AG137" i="37"/>
  <c r="H265" i="19"/>
  <c r="H277" i="19" s="1"/>
  <c r="EM45" i="21"/>
  <c r="AR45" i="21" s="1"/>
  <c r="EM47" i="21"/>
  <c r="K47" i="21" s="1"/>
  <c r="HF12" i="25" s="1"/>
  <c r="EM46" i="21"/>
  <c r="K46" i="21" s="1"/>
  <c r="HF11" i="25" s="1"/>
  <c r="AC34" i="15"/>
  <c r="AC92" i="15"/>
  <c r="AF37" i="15"/>
  <c r="DS15" i="7" s="1"/>
  <c r="AF36" i="15"/>
  <c r="DS14" i="7" s="1"/>
  <c r="AD70" i="11"/>
  <c r="CU69" i="11"/>
  <c r="CU156" i="11" s="1"/>
  <c r="CU120" i="1" s="1"/>
  <c r="CU51" i="11"/>
  <c r="CU72" i="11"/>
  <c r="AF84" i="11"/>
  <c r="CC19" i="7"/>
  <c r="CC20" i="7" s="1"/>
  <c r="GT11" i="25"/>
  <c r="GT13" i="25" s="1"/>
  <c r="K27" i="21"/>
  <c r="Y55" i="36"/>
  <c r="Y51" i="36" s="1"/>
  <c r="X49" i="37"/>
  <c r="X51" i="37" s="1"/>
  <c r="GB15" i="25"/>
  <c r="AT230" i="19"/>
  <c r="EL74" i="24"/>
  <c r="EM75" i="24" s="1"/>
  <c r="EN76" i="24" s="1"/>
  <c r="AE97" i="1"/>
  <c r="AM10" i="7" s="1"/>
  <c r="AE7" i="25"/>
  <c r="AE10" i="25"/>
  <c r="S30" i="29"/>
  <c r="BN34" i="29"/>
  <c r="BN37" i="29" s="1"/>
  <c r="AV225" i="19"/>
  <c r="CU55" i="11"/>
  <c r="CU74" i="11"/>
  <c r="CU155" i="11" s="1"/>
  <c r="AD75" i="11"/>
  <c r="CU77" i="11"/>
  <c r="K56" i="21"/>
  <c r="HF30" i="25" s="1"/>
  <c r="O119" i="26" l="1"/>
  <c r="AZ119" i="26"/>
  <c r="AZ208" i="26" s="1"/>
  <c r="O208" i="26" s="1"/>
  <c r="O114" i="26"/>
  <c r="O66" i="26"/>
  <c r="O67" i="26" s="1"/>
  <c r="O81" i="26"/>
  <c r="AL24" i="30"/>
  <c r="AE24" i="30"/>
  <c r="AD24" i="30"/>
  <c r="AD51" i="30" s="1"/>
  <c r="AO24" i="30"/>
  <c r="AJ24" i="30"/>
  <c r="AG24" i="30"/>
  <c r="AP24" i="30"/>
  <c r="AN24" i="30"/>
  <c r="AH24" i="30"/>
  <c r="AK24" i="30"/>
  <c r="AF24" i="30"/>
  <c r="E36" i="30"/>
  <c r="D36" i="30" s="1"/>
  <c r="AR24" i="30"/>
  <c r="AQ24" i="30"/>
  <c r="AM24" i="30"/>
  <c r="G13" i="28"/>
  <c r="O71" i="26"/>
  <c r="O78" i="26" s="1"/>
  <c r="U120" i="26"/>
  <c r="U97" i="26"/>
  <c r="U87" i="26" s="1"/>
  <c r="HE14" i="25"/>
  <c r="HE40" i="25"/>
  <c r="HF33" i="25"/>
  <c r="HF42" i="25"/>
  <c r="G8" i="8"/>
  <c r="G40" i="8" s="1"/>
  <c r="AL7" i="25"/>
  <c r="AL8" i="25" s="1"/>
  <c r="H98" i="1"/>
  <c r="AL11" i="25" s="1"/>
  <c r="H14" i="1"/>
  <c r="H97" i="1"/>
  <c r="AL10" i="25" s="1"/>
  <c r="EO74" i="24"/>
  <c r="EP75" i="24" s="1"/>
  <c r="EQ76" i="24" s="1"/>
  <c r="EI107" i="24"/>
  <c r="EJ108" i="24" s="1"/>
  <c r="EK109" i="24" s="1"/>
  <c r="CS50" i="19"/>
  <c r="CS23" i="15"/>
  <c r="CS25" i="15"/>
  <c r="CS91" i="15"/>
  <c r="CS26" i="15"/>
  <c r="X48" i="37"/>
  <c r="Y35" i="36"/>
  <c r="Y52" i="36"/>
  <c r="CU52" i="11"/>
  <c r="CU123" i="11"/>
  <c r="CU134" i="11"/>
  <c r="CU161" i="11" s="1"/>
  <c r="CU125" i="1" s="1"/>
  <c r="X109" i="37"/>
  <c r="X30" i="37" s="1"/>
  <c r="EF78" i="24"/>
  <c r="EG79" i="24" s="1"/>
  <c r="EH80" i="24" s="1"/>
  <c r="DH53" i="19"/>
  <c r="DH185" i="19" s="1"/>
  <c r="AG13" i="37"/>
  <c r="DN84" i="24"/>
  <c r="DO85" i="24" s="1"/>
  <c r="DP86" i="24" s="1"/>
  <c r="EO122" i="24"/>
  <c r="EP123" i="24" s="1"/>
  <c r="EQ124" i="24" s="1"/>
  <c r="AK69" i="24"/>
  <c r="DQ70" i="24"/>
  <c r="CH42" i="24"/>
  <c r="Y41" i="24"/>
  <c r="CN42" i="24"/>
  <c r="AA41" i="24"/>
  <c r="DP22" i="15"/>
  <c r="AK104" i="15"/>
  <c r="DL53" i="19"/>
  <c r="DL185" i="19" s="1"/>
  <c r="AV66" i="24"/>
  <c r="EX67" i="24"/>
  <c r="DI53" i="19"/>
  <c r="DI185" i="19" s="1"/>
  <c r="AM69" i="11"/>
  <c r="AM156" i="11" s="1"/>
  <c r="DX156" i="11"/>
  <c r="DX120" i="1" s="1"/>
  <c r="AM120" i="1" s="1"/>
  <c r="DB54" i="24"/>
  <c r="DF49" i="24"/>
  <c r="DG50" i="24" s="1"/>
  <c r="AG48" i="24"/>
  <c r="AM74" i="11"/>
  <c r="AM155" i="11" s="1"/>
  <c r="DX155" i="11"/>
  <c r="DR47" i="24"/>
  <c r="AK46" i="24"/>
  <c r="DN98" i="15"/>
  <c r="DN11" i="15" s="1"/>
  <c r="DN97" i="15"/>
  <c r="DN10" i="15" s="1"/>
  <c r="DP97" i="15"/>
  <c r="AH21" i="36"/>
  <c r="Z16" i="34"/>
  <c r="DY119" i="1"/>
  <c r="FR15" i="25"/>
  <c r="AG41" i="37"/>
  <c r="Z27" i="34"/>
  <c r="Z33" i="34" s="1"/>
  <c r="DZ80" i="24"/>
  <c r="EA81" i="24" s="1"/>
  <c r="EB82" i="24" s="1"/>
  <c r="AI47" i="24"/>
  <c r="DK48" i="24"/>
  <c r="CV9" i="11"/>
  <c r="CV15" i="1"/>
  <c r="CW9" i="1"/>
  <c r="CV29" i="1"/>
  <c r="AR46" i="21"/>
  <c r="AR47" i="21"/>
  <c r="AG31" i="37"/>
  <c r="EF80" i="24"/>
  <c r="EG81" i="24" s="1"/>
  <c r="EH82" i="24" s="1"/>
  <c r="X68" i="37"/>
  <c r="Y76" i="36"/>
  <c r="Y77" i="36" s="1"/>
  <c r="GL13" i="25"/>
  <c r="EC80" i="24"/>
  <c r="ED81" i="24" s="1"/>
  <c r="EE82" i="24" s="1"/>
  <c r="DW83" i="24"/>
  <c r="DX84" i="24" s="1"/>
  <c r="DY85" i="24" s="1"/>
  <c r="EP68" i="24"/>
  <c r="FB45" i="21"/>
  <c r="FB47" i="21"/>
  <c r="FB46" i="21"/>
  <c r="AW46" i="21" s="1"/>
  <c r="CF43" i="24"/>
  <c r="X42" i="24"/>
  <c r="DL97" i="15"/>
  <c r="DL10" i="15" s="1"/>
  <c r="CR43" i="24"/>
  <c r="AB42" i="24"/>
  <c r="CS58" i="19"/>
  <c r="CS34" i="15"/>
  <c r="CS92" i="15"/>
  <c r="CS36" i="15"/>
  <c r="CS37" i="15"/>
  <c r="CV119" i="1"/>
  <c r="ET109" i="11"/>
  <c r="FB109" i="11"/>
  <c r="EU109" i="11"/>
  <c r="EV109" i="11"/>
  <c r="EW109" i="11"/>
  <c r="EX109" i="11"/>
  <c r="EQ109" i="11"/>
  <c r="EY109" i="11"/>
  <c r="ER109" i="11"/>
  <c r="EZ109" i="11"/>
  <c r="ES109" i="11"/>
  <c r="FA109" i="11"/>
  <c r="EX74" i="24"/>
  <c r="EY75" i="24" s="1"/>
  <c r="EZ76" i="24" s="1"/>
  <c r="K45" i="21"/>
  <c r="HF10" i="25" s="1"/>
  <c r="HF13" i="25" s="1"/>
  <c r="EL77" i="24"/>
  <c r="EM78" i="24" s="1"/>
  <c r="EN79" i="24" s="1"/>
  <c r="I47" i="24"/>
  <c r="AH47" i="24"/>
  <c r="DH48" i="24"/>
  <c r="DR50" i="24"/>
  <c r="DS51" i="24" s="1"/>
  <c r="AK49" i="24"/>
  <c r="AF88" i="1"/>
  <c r="EO78" i="24"/>
  <c r="EP79" i="24" s="1"/>
  <c r="EQ80" i="24" s="1"/>
  <c r="CW42" i="24"/>
  <c r="H41" i="24"/>
  <c r="AD41" i="24"/>
  <c r="DQ84" i="24"/>
  <c r="DR85" i="24" s="1"/>
  <c r="DS86" i="24" s="1"/>
  <c r="BO106" i="1"/>
  <c r="BN113" i="1"/>
  <c r="EF81" i="24"/>
  <c r="EG82" i="24" s="1"/>
  <c r="EH83" i="24" s="1"/>
  <c r="DK97" i="15"/>
  <c r="DK10" i="15" s="1"/>
  <c r="DM97" i="15"/>
  <c r="CM7" i="7"/>
  <c r="CV7" i="7"/>
  <c r="CV8" i="7"/>
  <c r="EP50" i="24"/>
  <c r="EQ51" i="24" s="1"/>
  <c r="AS49" i="24"/>
  <c r="AI55" i="36"/>
  <c r="AW47" i="21"/>
  <c r="DN53" i="19"/>
  <c r="DN185" i="19" s="1"/>
  <c r="AU57" i="21"/>
  <c r="EX47" i="24"/>
  <c r="AV46" i="24"/>
  <c r="CW69" i="11"/>
  <c r="CW51" i="11"/>
  <c r="CW72" i="11"/>
  <c r="CX70" i="11"/>
  <c r="EV75" i="11"/>
  <c r="EW75" i="11"/>
  <c r="HF22" i="25"/>
  <c r="L63" i="24"/>
  <c r="AT63" i="24"/>
  <c r="EQ66" i="24"/>
  <c r="DG97" i="15"/>
  <c r="DG98" i="15"/>
  <c r="CZ119" i="1"/>
  <c r="AE119" i="1" s="1"/>
  <c r="CV80" i="11"/>
  <c r="CV107" i="11"/>
  <c r="CV135" i="11"/>
  <c r="DX51" i="24"/>
  <c r="DY52" i="24" s="1"/>
  <c r="AM50" i="24"/>
  <c r="S34" i="29"/>
  <c r="V35" i="29"/>
  <c r="GT12" i="25"/>
  <c r="GT15" i="25"/>
  <c r="GT14" i="25"/>
  <c r="CA13" i="7"/>
  <c r="CA14" i="7" s="1"/>
  <c r="AD72" i="11"/>
  <c r="AU24" i="21"/>
  <c r="AU29" i="21" s="1"/>
  <c r="ET29" i="21"/>
  <c r="Y36" i="36"/>
  <c r="X87" i="37"/>
  <c r="X99" i="37" s="1"/>
  <c r="Y108" i="36"/>
  <c r="EF77" i="24"/>
  <c r="EG78" i="24" s="1"/>
  <c r="EH79" i="24" s="1"/>
  <c r="EJ75" i="11"/>
  <c r="EK75" i="11"/>
  <c r="CD10" i="25"/>
  <c r="CD11" i="25" s="1"/>
  <c r="EO123" i="24"/>
  <c r="EP124" i="24" s="1"/>
  <c r="EQ125" i="24" s="1"/>
  <c r="DM22" i="15"/>
  <c r="L44" i="21"/>
  <c r="AT44" i="21"/>
  <c r="EQ47" i="21"/>
  <c r="EQ45" i="21"/>
  <c r="EQ46" i="21"/>
  <c r="EU75" i="24"/>
  <c r="EV76" i="24" s="1"/>
  <c r="EW77" i="24" s="1"/>
  <c r="DD56" i="1"/>
  <c r="DD40" i="1"/>
  <c r="DX52" i="11"/>
  <c r="AU52" i="21"/>
  <c r="H88" i="1"/>
  <c r="DO93" i="24"/>
  <c r="DP94" i="24" s="1"/>
  <c r="EL48" i="24"/>
  <c r="AR47" i="24"/>
  <c r="AW45" i="21"/>
  <c r="DJ69" i="24"/>
  <c r="I68" i="24"/>
  <c r="AH68" i="24"/>
  <c r="DJ97" i="15"/>
  <c r="DJ98" i="15" s="1"/>
  <c r="DW75" i="24"/>
  <c r="DX76" i="24" s="1"/>
  <c r="DY77" i="24" s="1"/>
  <c r="AG40" i="37"/>
  <c r="EB69" i="24"/>
  <c r="AN68" i="24"/>
  <c r="FH23" i="25"/>
  <c r="AW44" i="21"/>
  <c r="DN104" i="15"/>
  <c r="DN22" i="15" s="1"/>
  <c r="DN54" i="19" s="1"/>
  <c r="DN191" i="19" s="1"/>
  <c r="AV57" i="21"/>
  <c r="AV52" i="21"/>
  <c r="HE22" i="25"/>
  <c r="DF71" i="24"/>
  <c r="AG70" i="24"/>
  <c r="DK53" i="19"/>
  <c r="DK185" i="19" s="1"/>
  <c r="EV70" i="11"/>
  <c r="EW70" i="11"/>
  <c r="BN38" i="29"/>
  <c r="DF7" i="7"/>
  <c r="DF8" i="7"/>
  <c r="CU79" i="11"/>
  <c r="CU157" i="11" s="1"/>
  <c r="CU121" i="1" s="1"/>
  <c r="CU60" i="11"/>
  <c r="FA71" i="24"/>
  <c r="FB72" i="24" s="1"/>
  <c r="CA10" i="7"/>
  <c r="CA11" i="7" s="1"/>
  <c r="AD77" i="11"/>
  <c r="DI71" i="24"/>
  <c r="AH70" i="24"/>
  <c r="DA78" i="24"/>
  <c r="AE77" i="24"/>
  <c r="X107" i="37"/>
  <c r="DW84" i="24"/>
  <c r="DX85" i="24" s="1"/>
  <c r="DY86" i="24" s="1"/>
  <c r="EG68" i="24"/>
  <c r="K67" i="24"/>
  <c r="AP67" i="24"/>
  <c r="F40" i="24"/>
  <c r="W40" i="24"/>
  <c r="CA41" i="24"/>
  <c r="BZ61" i="24"/>
  <c r="BZ14" i="24" s="1"/>
  <c r="EK70" i="11"/>
  <c r="EJ70" i="11"/>
  <c r="CD13" i="25"/>
  <c r="CD14" i="25" s="1"/>
  <c r="DH111" i="15"/>
  <c r="DP111" i="15"/>
  <c r="DI111" i="15"/>
  <c r="DQ111" i="15"/>
  <c r="DJ111" i="15"/>
  <c r="DR111" i="15"/>
  <c r="DK111" i="15"/>
  <c r="DL111" i="15"/>
  <c r="DM111" i="15"/>
  <c r="DN111" i="15"/>
  <c r="DG111" i="15"/>
  <c r="DO111" i="15"/>
  <c r="EI78" i="24"/>
  <c r="EJ79" i="24" s="1"/>
  <c r="EK80" i="24" s="1"/>
  <c r="DM21" i="15"/>
  <c r="AJ103" i="15"/>
  <c r="BX42" i="19"/>
  <c r="BX66" i="19" s="1"/>
  <c r="BX40" i="15"/>
  <c r="BX90" i="15"/>
  <c r="BW12" i="15"/>
  <c r="BX15" i="15"/>
  <c r="BX14" i="15"/>
  <c r="ER50" i="24"/>
  <c r="AT49" i="24"/>
  <c r="AT15" i="21"/>
  <c r="AT20" i="21"/>
  <c r="HD14" i="25"/>
  <c r="HD40" i="25"/>
  <c r="HD43" i="25" s="1"/>
  <c r="FA55" i="24"/>
  <c r="AU46" i="24"/>
  <c r="EU47" i="24"/>
  <c r="L46" i="24"/>
  <c r="FR12" i="25"/>
  <c r="DZ81" i="24"/>
  <c r="EA82" i="24" s="1"/>
  <c r="EB83" i="24" s="1"/>
  <c r="DT84" i="24"/>
  <c r="DU85" i="24" s="1"/>
  <c r="DV86" i="24" s="1"/>
  <c r="DV69" i="24"/>
  <c r="J68" i="24"/>
  <c r="AL68" i="24"/>
  <c r="CV54" i="24"/>
  <c r="EX72" i="24"/>
  <c r="EY73" i="24" s="1"/>
  <c r="EZ74" i="24" s="1"/>
  <c r="AW24" i="21"/>
  <c r="AW29" i="21" s="1"/>
  <c r="EZ29" i="21"/>
  <c r="DR97" i="15"/>
  <c r="DR10" i="15" s="1"/>
  <c r="AR52" i="21"/>
  <c r="FH22" i="25"/>
  <c r="AI79" i="36"/>
  <c r="CU64" i="1"/>
  <c r="EQ137" i="11"/>
  <c r="EY137" i="11"/>
  <c r="ER137" i="11"/>
  <c r="EZ137" i="11"/>
  <c r="ES137" i="11"/>
  <c r="FA137" i="11"/>
  <c r="ET137" i="11"/>
  <c r="FB137" i="11"/>
  <c r="EV137" i="11"/>
  <c r="EW137" i="11"/>
  <c r="EU137" i="11"/>
  <c r="EX137" i="11"/>
  <c r="G41" i="24"/>
  <c r="L54" i="21"/>
  <c r="AT54" i="21"/>
  <c r="EQ57" i="21"/>
  <c r="EQ56" i="21"/>
  <c r="EQ55" i="21"/>
  <c r="DN58" i="24"/>
  <c r="DO59" i="24" s="1"/>
  <c r="DP60" i="24" s="1"/>
  <c r="EO75" i="24"/>
  <c r="EP76" i="24" s="1"/>
  <c r="EQ77" i="24" s="1"/>
  <c r="DT83" i="24"/>
  <c r="DU84" i="24" s="1"/>
  <c r="DV85" i="24" s="1"/>
  <c r="DR53" i="19"/>
  <c r="DR185" i="19" s="1"/>
  <c r="AV55" i="21"/>
  <c r="AV50" i="21"/>
  <c r="AH20" i="36"/>
  <c r="EX75" i="24"/>
  <c r="EY76" i="24" s="1"/>
  <c r="EZ77" i="24" s="1"/>
  <c r="AF56" i="1"/>
  <c r="BR12" i="7"/>
  <c r="T12" i="7"/>
  <c r="AF40" i="1"/>
  <c r="DQ75" i="24"/>
  <c r="DR76" i="24" s="1"/>
  <c r="DS77" i="24" s="1"/>
  <c r="CV52" i="11"/>
  <c r="ET56" i="11"/>
  <c r="FB56" i="11"/>
  <c r="EU56" i="11"/>
  <c r="EV56" i="11"/>
  <c r="EW56" i="11"/>
  <c r="AV56" i="11" s="1"/>
  <c r="AV84" i="11" s="1"/>
  <c r="EX56" i="11"/>
  <c r="EQ56" i="11"/>
  <c r="AT56" i="11" s="1"/>
  <c r="AT84" i="11" s="1"/>
  <c r="EY56" i="11"/>
  <c r="ER56" i="11"/>
  <c r="EZ56" i="11"/>
  <c r="FA56" i="11"/>
  <c r="ES56" i="11"/>
  <c r="FR14" i="25"/>
  <c r="CU97" i="11"/>
  <c r="CU106" i="11"/>
  <c r="CU160" i="11" s="1"/>
  <c r="CU124" i="1" s="1"/>
  <c r="CU112" i="11"/>
  <c r="AV24" i="21"/>
  <c r="AV29" i="21" s="1"/>
  <c r="EW29" i="21"/>
  <c r="CU43" i="24"/>
  <c r="AC42" i="24"/>
  <c r="BW55" i="19"/>
  <c r="BW18" i="15"/>
  <c r="AT26" i="21"/>
  <c r="AT31" i="21" s="1"/>
  <c r="L26" i="21"/>
  <c r="DC71" i="24"/>
  <c r="AF70" i="24"/>
  <c r="EA57" i="24"/>
  <c r="EB58" i="24" s="1"/>
  <c r="BP13" i="29"/>
  <c r="BQ9" i="29" s="1"/>
  <c r="BP30" i="29"/>
  <c r="BP34" i="29" s="1"/>
  <c r="BP37" i="29" s="1"/>
  <c r="BP38" i="29" s="1"/>
  <c r="CU119" i="1"/>
  <c r="EL56" i="11"/>
  <c r="EE56" i="11"/>
  <c r="EM56" i="11"/>
  <c r="EF56" i="11"/>
  <c r="EN56" i="11"/>
  <c r="AS56" i="11" s="1"/>
  <c r="AS84" i="11" s="1"/>
  <c r="EG56" i="11"/>
  <c r="EO56" i="11"/>
  <c r="EH56" i="11"/>
  <c r="EP56" i="11"/>
  <c r="EI56" i="11"/>
  <c r="EJ56" i="11"/>
  <c r="EK56" i="11"/>
  <c r="AR56" i="11" s="1"/>
  <c r="AR84" i="11" s="1"/>
  <c r="CD19" i="25"/>
  <c r="CD20" i="25" s="1"/>
  <c r="EX71" i="24"/>
  <c r="EY72" i="24" s="1"/>
  <c r="EZ73" i="24" s="1"/>
  <c r="GL15" i="25"/>
  <c r="AN7" i="7"/>
  <c r="AV47" i="21"/>
  <c r="AH103" i="37"/>
  <c r="AI111" i="36"/>
  <c r="AE20" i="29"/>
  <c r="AH21" i="29"/>
  <c r="DQ53" i="19"/>
  <c r="DQ185" i="19" s="1"/>
  <c r="F25" i="30"/>
  <c r="EJ68" i="24"/>
  <c r="AQ67" i="24"/>
  <c r="EC105" i="24"/>
  <c r="ED106" i="24" s="1"/>
  <c r="EE107" i="24" s="1"/>
  <c r="AD27" i="29"/>
  <c r="AG28" i="29"/>
  <c r="DD78" i="24"/>
  <c r="AF77" i="24"/>
  <c r="Z17" i="34"/>
  <c r="Z18" i="34" s="1"/>
  <c r="EC104" i="24"/>
  <c r="ED105" i="24" s="1"/>
  <c r="EE106" i="24" s="1"/>
  <c r="AW25" i="21"/>
  <c r="AW30" i="21" s="1"/>
  <c r="DI97" i="15"/>
  <c r="DI10" i="15" s="1"/>
  <c r="DI98" i="15"/>
  <c r="DI11" i="15" s="1"/>
  <c r="CZ71" i="24"/>
  <c r="AE70" i="24"/>
  <c r="H70" i="24"/>
  <c r="CY126" i="24"/>
  <c r="CL43" i="24"/>
  <c r="Z42" i="24"/>
  <c r="G42" i="24"/>
  <c r="ER123" i="24"/>
  <c r="ES124" i="24" s="1"/>
  <c r="ET125" i="24" s="1"/>
  <c r="W33" i="37"/>
  <c r="W36" i="37"/>
  <c r="AG36" i="37" s="1"/>
  <c r="L27" i="21"/>
  <c r="AT27" i="21"/>
  <c r="AT32" i="21" s="1"/>
  <c r="DW80" i="24"/>
  <c r="DX81" i="24" s="1"/>
  <c r="DY82" i="24" s="1"/>
  <c r="HE33" i="25"/>
  <c r="HE42" i="25"/>
  <c r="DR104" i="15"/>
  <c r="DR22" i="15" s="1"/>
  <c r="DR54" i="19" s="1"/>
  <c r="DR191" i="19" s="1"/>
  <c r="EI108" i="24"/>
  <c r="EJ109" i="24" s="1"/>
  <c r="EK110" i="24" s="1"/>
  <c r="AR24" i="21"/>
  <c r="AR29" i="21" s="1"/>
  <c r="ER75" i="24"/>
  <c r="ES76" i="24" s="1"/>
  <c r="ET77" i="24" s="1"/>
  <c r="G94" i="1"/>
  <c r="AA19" i="25" s="1"/>
  <c r="AB19" i="7"/>
  <c r="FH24" i="25"/>
  <c r="FH20" i="25"/>
  <c r="EW68" i="24"/>
  <c r="BW63" i="19"/>
  <c r="BW29" i="15"/>
  <c r="DP7" i="7"/>
  <c r="DP8" i="7"/>
  <c r="J33" i="8"/>
  <c r="DN83" i="24"/>
  <c r="DO84" i="24" s="1"/>
  <c r="DP85" i="24" s="1"/>
  <c r="AW57" i="21"/>
  <c r="EQ24" i="21"/>
  <c r="L25" i="21"/>
  <c r="AT25" i="21"/>
  <c r="AT30" i="21" s="1"/>
  <c r="AF16" i="29"/>
  <c r="DA20" i="29"/>
  <c r="DB16" i="29" s="1"/>
  <c r="DB20" i="29" s="1"/>
  <c r="DC16" i="29" s="1"/>
  <c r="DC20" i="29" s="1"/>
  <c r="DD16" i="29" s="1"/>
  <c r="B26" i="30"/>
  <c r="C26" i="30"/>
  <c r="A27" i="30"/>
  <c r="L49" i="21"/>
  <c r="AT49" i="21"/>
  <c r="EQ52" i="21"/>
  <c r="EQ50" i="21"/>
  <c r="EQ51" i="21"/>
  <c r="AE23" i="29"/>
  <c r="CX27" i="29"/>
  <c r="CY23" i="29" s="1"/>
  <c r="CY27" i="29" s="1"/>
  <c r="CZ23" i="29" s="1"/>
  <c r="CZ27" i="29" s="1"/>
  <c r="DA23" i="29" s="1"/>
  <c r="AN46" i="24"/>
  <c r="DZ47" i="24"/>
  <c r="DF32" i="11"/>
  <c r="DF28" i="11"/>
  <c r="DG33" i="11"/>
  <c r="DH33" i="11" s="1"/>
  <c r="AG33" i="11"/>
  <c r="DJ21" i="15"/>
  <c r="AI103" i="15"/>
  <c r="FB50" i="21"/>
  <c r="AW50" i="21" s="1"/>
  <c r="FB52" i="21"/>
  <c r="FB51" i="21"/>
  <c r="AW51" i="21" s="1"/>
  <c r="CS42" i="19"/>
  <c r="CS66" i="19" s="1"/>
  <c r="CS12" i="15"/>
  <c r="CS40" i="15"/>
  <c r="CS90" i="15"/>
  <c r="CS15" i="15"/>
  <c r="CS14" i="15"/>
  <c r="EI77" i="24"/>
  <c r="EJ78" i="24" s="1"/>
  <c r="EK79" i="24" s="1"/>
  <c r="DQ97" i="15"/>
  <c r="DQ10" i="15" s="1"/>
  <c r="DY57" i="11"/>
  <c r="DY52" i="11"/>
  <c r="FB56" i="21"/>
  <c r="AW56" i="21" s="1"/>
  <c r="FB55" i="21"/>
  <c r="AW55" i="21" s="1"/>
  <c r="FB57" i="21"/>
  <c r="AT17" i="21"/>
  <c r="AT22" i="21"/>
  <c r="DY69" i="24"/>
  <c r="AM68" i="24"/>
  <c r="DG21" i="15"/>
  <c r="I103" i="15"/>
  <c r="AH103" i="15"/>
  <c r="DO53" i="19"/>
  <c r="DO185" i="19" s="1"/>
  <c r="CW55" i="11"/>
  <c r="CW57" i="11" s="1"/>
  <c r="CW74" i="11"/>
  <c r="CW77" i="11"/>
  <c r="CX75" i="11"/>
  <c r="DS69" i="24"/>
  <c r="AK68" i="24"/>
  <c r="DL119" i="1"/>
  <c r="AI119" i="1" s="1"/>
  <c r="Y149" i="36"/>
  <c r="Y145" i="36" s="1"/>
  <c r="X128" i="37"/>
  <c r="X126" i="37"/>
  <c r="AD55" i="11"/>
  <c r="AD76" i="11" s="1"/>
  <c r="CU57" i="11"/>
  <c r="EO77" i="24"/>
  <c r="EP78" i="24" s="1"/>
  <c r="EQ79" i="24" s="1"/>
  <c r="ER74" i="24"/>
  <c r="ES75" i="24" s="1"/>
  <c r="ET76" i="24" s="1"/>
  <c r="AW52" i="21"/>
  <c r="X28" i="37"/>
  <c r="EE69" i="24"/>
  <c r="DD84" i="24"/>
  <c r="AF83" i="24"/>
  <c r="DM69" i="24"/>
  <c r="AI68" i="24"/>
  <c r="DQ83" i="24"/>
  <c r="DR84" i="24" s="1"/>
  <c r="DS85" i="24" s="1"/>
  <c r="S17" i="7"/>
  <c r="BQ17" i="7"/>
  <c r="DN48" i="24"/>
  <c r="AJ47" i="24"/>
  <c r="DP21" i="15"/>
  <c r="AK103" i="15"/>
  <c r="DL104" i="15"/>
  <c r="DL22" i="15" s="1"/>
  <c r="DL54" i="19" s="1"/>
  <c r="DL191" i="19" s="1"/>
  <c r="AW66" i="24"/>
  <c r="FA67" i="24"/>
  <c r="GV11" i="25"/>
  <c r="GV15" i="25" s="1"/>
  <c r="GV12" i="25"/>
  <c r="EP69" i="24"/>
  <c r="EQ70" i="24" s="1"/>
  <c r="AS68" i="24"/>
  <c r="DW47" i="24"/>
  <c r="AM46" i="24"/>
  <c r="J46" i="24"/>
  <c r="U63" i="1"/>
  <c r="U68" i="1" s="1"/>
  <c r="BT68" i="1"/>
  <c r="EM68" i="24"/>
  <c r="AR67" i="24"/>
  <c r="AT16" i="21"/>
  <c r="AT21" i="21"/>
  <c r="AG130" i="37"/>
  <c r="AH122" i="37"/>
  <c r="DE17" i="11"/>
  <c r="DE35" i="1" s="1"/>
  <c r="DE29" i="11"/>
  <c r="DE30" i="11" s="1"/>
  <c r="AP47" i="24"/>
  <c r="EF48" i="24"/>
  <c r="K47" i="24"/>
  <c r="AI104" i="15"/>
  <c r="DJ22" i="15"/>
  <c r="EU67" i="24"/>
  <c r="AU66" i="24"/>
  <c r="DO97" i="15"/>
  <c r="DO10" i="15" s="1"/>
  <c r="DH97" i="15"/>
  <c r="DH10" i="15" s="1"/>
  <c r="DH98" i="15"/>
  <c r="DH11" i="15" s="1"/>
  <c r="AE82" i="24"/>
  <c r="CZ83" i="24"/>
  <c r="W15" i="37"/>
  <c r="AG15" i="37" s="1"/>
  <c r="AG132" i="37"/>
  <c r="DZ7" i="7"/>
  <c r="DZ8" i="7"/>
  <c r="CU39" i="11"/>
  <c r="I46" i="24"/>
  <c r="EF72" i="24"/>
  <c r="EG73" i="24" s="1"/>
  <c r="EH74" i="24" s="1"/>
  <c r="CA6" i="7"/>
  <c r="DG104" i="15"/>
  <c r="AG97" i="1"/>
  <c r="AO10" i="7" s="1"/>
  <c r="AQ47" i="24"/>
  <c r="EI48" i="24"/>
  <c r="DO104" i="15"/>
  <c r="DO22" i="15" s="1"/>
  <c r="DO54" i="19" s="1"/>
  <c r="DO191" i="19" s="1"/>
  <c r="O82" i="26" l="1"/>
  <c r="U100" i="26"/>
  <c r="U101" i="26" s="1"/>
  <c r="U121" i="26"/>
  <c r="F26" i="30"/>
  <c r="AP26" i="30" s="1"/>
  <c r="DH28" i="11"/>
  <c r="DH32" i="11"/>
  <c r="DH158" i="11" s="1"/>
  <c r="DH122" i="1" s="1"/>
  <c r="DI33" i="11"/>
  <c r="DJ11" i="15"/>
  <c r="DD72" i="24"/>
  <c r="AF71" i="24"/>
  <c r="DW86" i="24"/>
  <c r="DX87" i="24" s="1"/>
  <c r="DY88" i="24" s="1"/>
  <c r="EC84" i="24"/>
  <c r="ED85" i="24" s="1"/>
  <c r="EE86" i="24" s="1"/>
  <c r="AJ105" i="15"/>
  <c r="AJ106" i="15" s="1"/>
  <c r="EY48" i="24"/>
  <c r="AV47" i="24"/>
  <c r="DQ45" i="19"/>
  <c r="AF20" i="29"/>
  <c r="AI21" i="29"/>
  <c r="GV14" i="25"/>
  <c r="DE56" i="1"/>
  <c r="DE40" i="1"/>
  <c r="EN69" i="24"/>
  <c r="AR68" i="24"/>
  <c r="ER71" i="24"/>
  <c r="DP53" i="19"/>
  <c r="AK21" i="15"/>
  <c r="DG53" i="19"/>
  <c r="I21" i="15"/>
  <c r="AH21" i="15"/>
  <c r="DA27" i="29"/>
  <c r="DB23" i="29" s="1"/>
  <c r="DB27" i="29" s="1"/>
  <c r="DC23" i="29" s="1"/>
  <c r="DC27" i="29" s="1"/>
  <c r="DD23" i="29" s="1"/>
  <c r="AF23" i="29"/>
  <c r="EX69" i="24"/>
  <c r="EY70" i="24" s="1"/>
  <c r="EZ71" i="24" s="1"/>
  <c r="EK69" i="24"/>
  <c r="AQ68" i="24"/>
  <c r="FA74" i="24"/>
  <c r="FB75" i="24" s="1"/>
  <c r="CU98" i="11"/>
  <c r="DT78" i="24"/>
  <c r="DU79" i="24" s="1"/>
  <c r="DV80" i="24" s="1"/>
  <c r="L56" i="21"/>
  <c r="AT56" i="21"/>
  <c r="DR98" i="15"/>
  <c r="DR11" i="15" s="1"/>
  <c r="DM109" i="15"/>
  <c r="DM110" i="15"/>
  <c r="DH109" i="15"/>
  <c r="DH32" i="15" s="1"/>
  <c r="DH43" i="15" s="1"/>
  <c r="DK70" i="24"/>
  <c r="AI69" i="24"/>
  <c r="I69" i="24"/>
  <c r="AT46" i="21"/>
  <c r="L46" i="21"/>
  <c r="Y109" i="36"/>
  <c r="Y135" i="36"/>
  <c r="AN52" i="24"/>
  <c r="DZ53" i="24"/>
  <c r="DG10" i="15"/>
  <c r="AH97" i="15"/>
  <c r="I97" i="15"/>
  <c r="DK45" i="19"/>
  <c r="DT87" i="24"/>
  <c r="DU88" i="24" s="1"/>
  <c r="DV89" i="24" s="1"/>
  <c r="FA77" i="24"/>
  <c r="FB78" i="24" s="1"/>
  <c r="DL98" i="15"/>
  <c r="DL11" i="15" s="1"/>
  <c r="EQ69" i="24"/>
  <c r="CV38" i="11"/>
  <c r="CV28" i="1"/>
  <c r="EC83" i="24"/>
  <c r="ED84" i="24" s="1"/>
  <c r="EE85" i="24" s="1"/>
  <c r="DX119" i="1"/>
  <c r="AM119" i="1" s="1"/>
  <c r="DL203" i="19"/>
  <c r="DR71" i="24"/>
  <c r="AK70" i="24"/>
  <c r="AG78" i="24"/>
  <c r="DE79" i="24"/>
  <c r="DR45" i="19"/>
  <c r="X106" i="37"/>
  <c r="X96" i="37"/>
  <c r="X91" i="37"/>
  <c r="DN203" i="19"/>
  <c r="X77" i="37"/>
  <c r="X72" i="37"/>
  <c r="DP10" i="15"/>
  <c r="AK97" i="15"/>
  <c r="DJ54" i="19"/>
  <c r="AI22" i="15"/>
  <c r="J44" i="7"/>
  <c r="J44" i="25"/>
  <c r="DO49" i="24"/>
  <c r="AJ48" i="24"/>
  <c r="EU77" i="24"/>
  <c r="EV78" i="24" s="1"/>
  <c r="EW79" i="24" s="1"/>
  <c r="DO203" i="19"/>
  <c r="L51" i="21"/>
  <c r="AT51" i="21"/>
  <c r="L24" i="21"/>
  <c r="L29" i="21" s="1"/>
  <c r="AT24" i="21"/>
  <c r="AT29" i="21" s="1"/>
  <c r="EQ29" i="21"/>
  <c r="DI45" i="19"/>
  <c r="T17" i="7"/>
  <c r="BR17" i="7"/>
  <c r="ES51" i="24"/>
  <c r="ET52" i="24" s="1"/>
  <c r="AT50" i="24"/>
  <c r="DM53" i="19"/>
  <c r="AJ21" i="15"/>
  <c r="DK109" i="15"/>
  <c r="DK32" i="15" s="1"/>
  <c r="DK43" i="15" s="1"/>
  <c r="EJ69" i="11"/>
  <c r="EJ51" i="11"/>
  <c r="EJ72" i="11"/>
  <c r="AF78" i="24"/>
  <c r="DB79" i="24"/>
  <c r="H78" i="24"/>
  <c r="S37" i="29"/>
  <c r="DZ78" i="24"/>
  <c r="EA79" i="24" s="1"/>
  <c r="EB80" i="24" s="1"/>
  <c r="L47" i="21"/>
  <c r="AT47" i="21"/>
  <c r="Y14" i="36"/>
  <c r="CV106" i="11"/>
  <c r="CV160" i="11" s="1"/>
  <c r="CV124" i="1" s="1"/>
  <c r="CV97" i="11"/>
  <c r="CV112" i="11"/>
  <c r="AD69" i="11"/>
  <c r="AD156" i="11" s="1"/>
  <c r="CL8" i="7" s="1"/>
  <c r="CW156" i="11"/>
  <c r="CW120" i="1" s="1"/>
  <c r="AD120" i="1" s="1"/>
  <c r="EI84" i="24"/>
  <c r="EJ85" i="24" s="1"/>
  <c r="EK86" i="24" s="1"/>
  <c r="DI49" i="24"/>
  <c r="AH48" i="24"/>
  <c r="I48" i="24"/>
  <c r="EI83" i="24"/>
  <c r="EJ84" i="24" s="1"/>
  <c r="EK85" i="24" s="1"/>
  <c r="CW10" i="11"/>
  <c r="CW14" i="1"/>
  <c r="CW97" i="1"/>
  <c r="CW98" i="1"/>
  <c r="DP98" i="15"/>
  <c r="EY68" i="24"/>
  <c r="AV67" i="24"/>
  <c r="DP54" i="19"/>
  <c r="AK22" i="15"/>
  <c r="ER125" i="24"/>
  <c r="Y53" i="36"/>
  <c r="Y133" i="36"/>
  <c r="AD43" i="24"/>
  <c r="CV44" i="24"/>
  <c r="AT57" i="21"/>
  <c r="L57" i="21"/>
  <c r="DL109" i="15"/>
  <c r="DL32" i="15" s="1"/>
  <c r="DL110" i="15"/>
  <c r="DL33" i="15" s="1"/>
  <c r="DL62" i="19" s="1"/>
  <c r="DL265" i="19" s="1"/>
  <c r="L45" i="21"/>
  <c r="AT45" i="21"/>
  <c r="CW52" i="11"/>
  <c r="AD51" i="11"/>
  <c r="AD71" i="11" s="1"/>
  <c r="AG84" i="24"/>
  <c r="DE85" i="24"/>
  <c r="DT70" i="24"/>
  <c r="AL69" i="24"/>
  <c r="J69" i="24"/>
  <c r="AN69" i="24"/>
  <c r="DZ70" i="24"/>
  <c r="AH33" i="11"/>
  <c r="DG32" i="11"/>
  <c r="DG158" i="11" s="1"/>
  <c r="DG122" i="1" s="1"/>
  <c r="DG28" i="11"/>
  <c r="L50" i="21"/>
  <c r="AT50" i="21"/>
  <c r="EL111" i="24"/>
  <c r="EM112" i="24" s="1"/>
  <c r="EN113" i="24" s="1"/>
  <c r="AA43" i="24"/>
  <c r="CM44" i="24"/>
  <c r="EL81" i="24"/>
  <c r="EM82" i="24" s="1"/>
  <c r="EN83" i="24" s="1"/>
  <c r="DR109" i="15"/>
  <c r="DR32" i="15" s="1"/>
  <c r="EK69" i="11"/>
  <c r="EK156" i="11" s="1"/>
  <c r="EK120" i="1" s="1"/>
  <c r="EK51" i="11"/>
  <c r="EK72" i="11"/>
  <c r="EH69" i="24"/>
  <c r="AP68" i="24"/>
  <c r="K68" i="24"/>
  <c r="S38" i="29"/>
  <c r="V110" i="26" s="1"/>
  <c r="V112" i="26" s="1"/>
  <c r="EM49" i="24"/>
  <c r="AR48" i="24"/>
  <c r="EK55" i="11"/>
  <c r="EK74" i="11"/>
  <c r="EK155" i="11" s="1"/>
  <c r="EK77" i="11"/>
  <c r="CV60" i="11"/>
  <c r="CV79" i="11"/>
  <c r="CV157" i="11" s="1"/>
  <c r="CG44" i="24"/>
  <c r="Y43" i="24"/>
  <c r="DZ86" i="24"/>
  <c r="EA87" i="24" s="1"/>
  <c r="EB88" i="24" s="1"/>
  <c r="DN45" i="19"/>
  <c r="DH203" i="19"/>
  <c r="Y13" i="36"/>
  <c r="EL110" i="24"/>
  <c r="EM111" i="24" s="1"/>
  <c r="EN112" i="24" s="1"/>
  <c r="X80" i="37"/>
  <c r="BU63" i="1"/>
  <c r="BU68" i="1" s="1"/>
  <c r="X59" i="2"/>
  <c r="DK203" i="19"/>
  <c r="AL51" i="24"/>
  <c r="DT52" i="24"/>
  <c r="DL45" i="19"/>
  <c r="DL43" i="15"/>
  <c r="DH46" i="19"/>
  <c r="EI75" i="24"/>
  <c r="EJ76" i="24" s="1"/>
  <c r="EK77" i="24" s="1"/>
  <c r="AD74" i="11"/>
  <c r="AD155" i="11" s="1"/>
  <c r="CW155" i="11"/>
  <c r="AI106" i="15"/>
  <c r="AI105" i="15"/>
  <c r="DF17" i="11"/>
  <c r="DF35" i="1" s="1"/>
  <c r="AG35" i="1" s="1"/>
  <c r="DF29" i="11"/>
  <c r="DF30" i="11" s="1"/>
  <c r="AG28" i="11"/>
  <c r="L52" i="21"/>
  <c r="AT52" i="21"/>
  <c r="DQ86" i="24"/>
  <c r="DR87" i="24" s="1"/>
  <c r="DS88" i="24" s="1"/>
  <c r="GV13" i="25"/>
  <c r="T9" i="29"/>
  <c r="BQ13" i="29"/>
  <c r="BR9" i="29" s="1"/>
  <c r="BQ30" i="29"/>
  <c r="CU101" i="11"/>
  <c r="CU111" i="11"/>
  <c r="CU159" i="11" s="1"/>
  <c r="AW56" i="11"/>
  <c r="AW84" i="11" s="1"/>
  <c r="ER78" i="24"/>
  <c r="ES79" i="24" s="1"/>
  <c r="ET80" i="24" s="1"/>
  <c r="AM69" i="24"/>
  <c r="DW70" i="24"/>
  <c r="DJ109" i="15"/>
  <c r="DJ110" i="15"/>
  <c r="DZ87" i="24"/>
  <c r="EA88" i="24" s="1"/>
  <c r="EB89" i="24" s="1"/>
  <c r="EW69" i="11"/>
  <c r="EW156" i="11" s="1"/>
  <c r="EW120" i="1" s="1"/>
  <c r="EW51" i="11"/>
  <c r="EW72" i="11"/>
  <c r="DG72" i="24"/>
  <c r="AG71" i="24"/>
  <c r="DJ10" i="15"/>
  <c r="AI97" i="15"/>
  <c r="EJ55" i="11"/>
  <c r="EJ57" i="11" s="1"/>
  <c r="EJ74" i="11"/>
  <c r="EJ77" i="11"/>
  <c r="HF41" i="25"/>
  <c r="HF23" i="25"/>
  <c r="Z29" i="34"/>
  <c r="Z30" i="34" s="1"/>
  <c r="CX43" i="24"/>
  <c r="H43" i="24" s="1"/>
  <c r="AD42" i="24"/>
  <c r="H42" i="24"/>
  <c r="CS63" i="19"/>
  <c r="CT29" i="15"/>
  <c r="EF83" i="24"/>
  <c r="EG84" i="24" s="1"/>
  <c r="EH85" i="24" s="1"/>
  <c r="DN46" i="19"/>
  <c r="DH51" i="24"/>
  <c r="AH50" i="24"/>
  <c r="CO43" i="24"/>
  <c r="AA42" i="24"/>
  <c r="EI81" i="24"/>
  <c r="EJ82" i="24" s="1"/>
  <c r="EK83" i="24" s="1"/>
  <c r="CU124" i="11"/>
  <c r="X57" i="37"/>
  <c r="X52" i="37"/>
  <c r="DG22" i="15"/>
  <c r="I104" i="15"/>
  <c r="AH104" i="15"/>
  <c r="AI149" i="36"/>
  <c r="CX55" i="11"/>
  <c r="CX74" i="11"/>
  <c r="CX155" i="11" s="1"/>
  <c r="CX77" i="11"/>
  <c r="CY75" i="11"/>
  <c r="EL80" i="24"/>
  <c r="EM81" i="24" s="1"/>
  <c r="EN82" i="24" s="1"/>
  <c r="AE27" i="29"/>
  <c r="AH28" i="29"/>
  <c r="DI46" i="19"/>
  <c r="ER67" i="24"/>
  <c r="L66" i="24"/>
  <c r="AT66" i="24"/>
  <c r="G9" i="8"/>
  <c r="H9" i="11"/>
  <c r="CA6" i="25" s="1"/>
  <c r="I9" i="1"/>
  <c r="H15" i="1"/>
  <c r="G6" i="25" s="1"/>
  <c r="G29" i="25" s="1"/>
  <c r="AB13" i="25"/>
  <c r="G5" i="25"/>
  <c r="G28" i="25" s="1"/>
  <c r="DH45" i="19"/>
  <c r="DO98" i="15"/>
  <c r="DO11" i="15" s="1"/>
  <c r="EG49" i="24"/>
  <c r="AP48" i="24"/>
  <c r="K48" i="24"/>
  <c r="DT86" i="24"/>
  <c r="DU87" i="24" s="1"/>
  <c r="DV88" i="24" s="1"/>
  <c r="K69" i="24"/>
  <c r="EF70" i="24"/>
  <c r="AP69" i="24"/>
  <c r="ER80" i="24"/>
  <c r="ES81" i="24" s="1"/>
  <c r="ET82" i="24" s="1"/>
  <c r="X125" i="37"/>
  <c r="Y37" i="36"/>
  <c r="Y146" i="36"/>
  <c r="Y147" i="36" s="1"/>
  <c r="CS47" i="15"/>
  <c r="CS48" i="15"/>
  <c r="DJ53" i="19"/>
  <c r="AI21" i="15"/>
  <c r="H32" i="11"/>
  <c r="H158" i="11" s="1"/>
  <c r="AG32" i="11"/>
  <c r="AG158" i="11" s="1"/>
  <c r="CO10" i="7" s="1"/>
  <c r="DF158" i="11"/>
  <c r="DF122" i="1" s="1"/>
  <c r="BW58" i="19"/>
  <c r="V29" i="15"/>
  <c r="BV34" i="15"/>
  <c r="F29" i="15"/>
  <c r="BW36" i="15"/>
  <c r="BW92" i="15"/>
  <c r="BW37" i="15"/>
  <c r="EU78" i="24"/>
  <c r="EV79" i="24" s="1"/>
  <c r="EW80" i="24" s="1"/>
  <c r="W34" i="37"/>
  <c r="W10" i="35"/>
  <c r="EF107" i="24"/>
  <c r="EG108" i="24" s="1"/>
  <c r="EH109" i="24" s="1"/>
  <c r="EF108" i="24"/>
  <c r="EG109" i="24" s="1"/>
  <c r="EH110" i="24" s="1"/>
  <c r="DQ203" i="19"/>
  <c r="AP56" i="11"/>
  <c r="AP84" i="11" s="1"/>
  <c r="AU56" i="11"/>
  <c r="AU84" i="11" s="1"/>
  <c r="FA75" i="24"/>
  <c r="FB76" i="24" s="1"/>
  <c r="EV48" i="24"/>
  <c r="AU47" i="24"/>
  <c r="L47" i="24"/>
  <c r="BW47" i="19"/>
  <c r="BW71" i="19" s="1"/>
  <c r="BW7" i="15"/>
  <c r="BW45" i="15"/>
  <c r="DO109" i="15"/>
  <c r="DO32" i="15" s="1"/>
  <c r="DQ109" i="15"/>
  <c r="DQ32" i="15" s="1"/>
  <c r="F41" i="24"/>
  <c r="W41" i="24"/>
  <c r="CB42" i="24"/>
  <c r="CA61" i="24"/>
  <c r="CA14" i="24" s="1"/>
  <c r="DJ72" i="24"/>
  <c r="AH71" i="24"/>
  <c r="CU61" i="11"/>
  <c r="CU62" i="11"/>
  <c r="EV69" i="11"/>
  <c r="EV51" i="11"/>
  <c r="EV72" i="11"/>
  <c r="DQ95" i="24"/>
  <c r="EW74" i="11"/>
  <c r="EW155" i="11" s="1"/>
  <c r="EW55" i="11"/>
  <c r="EW77" i="11"/>
  <c r="DM10" i="15"/>
  <c r="AJ97" i="15"/>
  <c r="AG33" i="37"/>
  <c r="AG34" i="37" s="1"/>
  <c r="AH24" i="37"/>
  <c r="DL49" i="24"/>
  <c r="AI48" i="24"/>
  <c r="DQ87" i="24"/>
  <c r="DR88" i="24" s="1"/>
  <c r="DS89" i="24" s="1"/>
  <c r="G43" i="8"/>
  <c r="G52" i="8" s="1"/>
  <c r="G41" i="8"/>
  <c r="G50" i="8" s="1"/>
  <c r="G44" i="8"/>
  <c r="G53" i="8" s="1"/>
  <c r="G42" i="8"/>
  <c r="G51" i="8" s="1"/>
  <c r="G45" i="8"/>
  <c r="G54" i="8" s="1"/>
  <c r="X60" i="37"/>
  <c r="EV68" i="24"/>
  <c r="AU67" i="24"/>
  <c r="AL25" i="30"/>
  <c r="AE25" i="30"/>
  <c r="AE51" i="30" s="1"/>
  <c r="AM25" i="30"/>
  <c r="AF25" i="30"/>
  <c r="AN25" i="30"/>
  <c r="AG25" i="30"/>
  <c r="AO25" i="30"/>
  <c r="E37" i="30"/>
  <c r="D37" i="30" s="1"/>
  <c r="AH25" i="30"/>
  <c r="AP25" i="30"/>
  <c r="AI25" i="30"/>
  <c r="AQ25" i="30"/>
  <c r="AJ25" i="30"/>
  <c r="AR25" i="30"/>
  <c r="AK25" i="30"/>
  <c r="AS25" i="30"/>
  <c r="CS55" i="19"/>
  <c r="CT18" i="15"/>
  <c r="FB68" i="24"/>
  <c r="AW67" i="24"/>
  <c r="EJ49" i="24"/>
  <c r="AQ48" i="24"/>
  <c r="DO45" i="19"/>
  <c r="DO43" i="15"/>
  <c r="DX48" i="24"/>
  <c r="AM47" i="24"/>
  <c r="J47" i="24"/>
  <c r="AH106" i="15"/>
  <c r="AH105" i="15"/>
  <c r="DQ98" i="15"/>
  <c r="DQ11" i="15" s="1"/>
  <c r="CS47" i="19"/>
  <c r="CT7" i="15"/>
  <c r="CS45" i="15"/>
  <c r="EA48" i="24"/>
  <c r="AN47" i="24"/>
  <c r="AG16" i="29"/>
  <c r="DD20" i="29"/>
  <c r="DE16" i="29" s="1"/>
  <c r="DE20" i="29" s="1"/>
  <c r="DF16" i="29" s="1"/>
  <c r="DF20" i="29" s="1"/>
  <c r="DG16" i="29" s="1"/>
  <c r="EC59" i="24"/>
  <c r="BW50" i="19"/>
  <c r="V18" i="15"/>
  <c r="BV23" i="15"/>
  <c r="F18" i="15"/>
  <c r="BW91" i="15"/>
  <c r="BW25" i="15"/>
  <c r="BW26" i="15"/>
  <c r="FA78" i="24"/>
  <c r="FB79" i="24" s="1"/>
  <c r="CW55" i="24"/>
  <c r="CX56" i="24" s="1"/>
  <c r="DG109" i="15"/>
  <c r="DG110" i="15"/>
  <c r="DI110" i="15"/>
  <c r="DI33" i="15" s="1"/>
  <c r="DI62" i="19" s="1"/>
  <c r="DI265" i="19" s="1"/>
  <c r="DI109" i="15"/>
  <c r="DI32" i="15" s="1"/>
  <c r="HE41" i="25"/>
  <c r="HE43" i="25" s="1"/>
  <c r="HE23" i="25"/>
  <c r="EX78" i="24"/>
  <c r="EY79" i="24" s="1"/>
  <c r="EZ80" i="24" s="1"/>
  <c r="AJ104" i="15"/>
  <c r="EI80" i="24"/>
  <c r="EJ81" i="24" s="1"/>
  <c r="EK82" i="24" s="1"/>
  <c r="EV55" i="11"/>
  <c r="EV57" i="11" s="1"/>
  <c r="EV74" i="11"/>
  <c r="EV77" i="11"/>
  <c r="AT51" i="24"/>
  <c r="ER52" i="24"/>
  <c r="DM98" i="15"/>
  <c r="EO80" i="24"/>
  <c r="EP81" i="24" s="1"/>
  <c r="EQ82" i="24" s="1"/>
  <c r="DC55" i="24"/>
  <c r="DD56" i="24" s="1"/>
  <c r="CI43" i="24"/>
  <c r="Y42" i="24"/>
  <c r="AG17" i="37"/>
  <c r="ER77" i="24"/>
  <c r="ES78" i="24" s="1"/>
  <c r="ET79" i="24" s="1"/>
  <c r="DA84" i="24"/>
  <c r="AE83" i="24"/>
  <c r="AE126" i="24" s="1"/>
  <c r="AJ69" i="24"/>
  <c r="DN70" i="24"/>
  <c r="CV134" i="11"/>
  <c r="CV161" i="11" s="1"/>
  <c r="CV125" i="1" s="1"/>
  <c r="CV123" i="11"/>
  <c r="X118" i="37"/>
  <c r="AK105" i="15"/>
  <c r="AK106" i="15" s="1"/>
  <c r="X40" i="37"/>
  <c r="X39" i="37"/>
  <c r="AD57" i="11"/>
  <c r="AD88" i="11" s="1"/>
  <c r="A28" i="30"/>
  <c r="B27" i="30"/>
  <c r="C27" i="30"/>
  <c r="DZ83" i="24"/>
  <c r="EA84" i="24" s="1"/>
  <c r="EB85" i="24" s="1"/>
  <c r="DA72" i="24"/>
  <c r="AE71" i="24"/>
  <c r="H71" i="24"/>
  <c r="CZ126" i="24"/>
  <c r="AQ56" i="11"/>
  <c r="AQ84" i="11" s="1"/>
  <c r="DR203" i="19"/>
  <c r="L55" i="21"/>
  <c r="AT55" i="21"/>
  <c r="DW87" i="24"/>
  <c r="DX88" i="24" s="1"/>
  <c r="DY89" i="24" s="1"/>
  <c r="FB56" i="24"/>
  <c r="AW56" i="24" s="1"/>
  <c r="AW55" i="24"/>
  <c r="BX48" i="15"/>
  <c r="BX47" i="15"/>
  <c r="DN109" i="15"/>
  <c r="DN32" i="15" s="1"/>
  <c r="DP109" i="15"/>
  <c r="DP110" i="15"/>
  <c r="X116" i="37"/>
  <c r="X117" i="37"/>
  <c r="EC70" i="24"/>
  <c r="AO69" i="24"/>
  <c r="DM54" i="19"/>
  <c r="AJ22" i="15"/>
  <c r="DG11" i="15"/>
  <c r="AH98" i="15"/>
  <c r="CX69" i="11"/>
  <c r="CX156" i="11" s="1"/>
  <c r="CX120" i="1" s="1"/>
  <c r="AE70" i="11"/>
  <c r="CX51" i="11"/>
  <c r="CX72" i="11"/>
  <c r="CY70" i="11"/>
  <c r="DK98" i="15"/>
  <c r="DK11" i="15" s="1"/>
  <c r="BO110" i="1"/>
  <c r="BO99" i="1"/>
  <c r="ER81" i="24"/>
  <c r="ES82" i="24" s="1"/>
  <c r="ET83" i="24" s="1"/>
  <c r="HF14" i="25"/>
  <c r="HF40" i="25"/>
  <c r="HF43" i="25" s="1"/>
  <c r="CS44" i="24"/>
  <c r="AC43" i="24"/>
  <c r="DS48" i="24"/>
  <c r="AK47" i="24"/>
  <c r="DI203" i="19"/>
  <c r="W17" i="37"/>
  <c r="AD52" i="11"/>
  <c r="AD87" i="11" s="1"/>
  <c r="O83" i="26" l="1"/>
  <c r="AF26" i="30"/>
  <c r="AF51" i="30" s="1"/>
  <c r="AS26" i="30"/>
  <c r="AK26" i="30"/>
  <c r="AH26" i="30"/>
  <c r="AM26" i="30"/>
  <c r="AG26" i="30"/>
  <c r="AN26" i="30"/>
  <c r="AR26" i="30"/>
  <c r="AO26" i="30"/>
  <c r="AJ26" i="30"/>
  <c r="AI26" i="30"/>
  <c r="AQ26" i="30"/>
  <c r="AT26" i="30"/>
  <c r="E38" i="30"/>
  <c r="D38" i="30" s="1"/>
  <c r="U123" i="26"/>
  <c r="U124" i="26"/>
  <c r="S40" i="29"/>
  <c r="S43" i="29" s="1"/>
  <c r="AL26" i="30"/>
  <c r="U12" i="7"/>
  <c r="BS12" i="7"/>
  <c r="AG56" i="1"/>
  <c r="AG40" i="1"/>
  <c r="W11" i="35"/>
  <c r="AG10" i="35"/>
  <c r="AG11" i="35" s="1"/>
  <c r="W48" i="35"/>
  <c r="AG48" i="35" s="1"/>
  <c r="Z69" i="34" s="1"/>
  <c r="Z70" i="34" s="1"/>
  <c r="X134" i="37"/>
  <c r="X129" i="37"/>
  <c r="DZ90" i="24"/>
  <c r="EA91" i="24" s="1"/>
  <c r="EB92" i="24" s="1"/>
  <c r="CT45" i="24"/>
  <c r="AC44" i="24"/>
  <c r="CY69" i="11"/>
  <c r="CY156" i="11" s="1"/>
  <c r="CY120" i="1" s="1"/>
  <c r="DC70" i="11"/>
  <c r="CY51" i="11"/>
  <c r="CY72" i="11"/>
  <c r="DB70" i="11"/>
  <c r="DG46" i="19"/>
  <c r="AH11" i="15"/>
  <c r="ER83" i="24"/>
  <c r="ES84" i="24" s="1"/>
  <c r="ET85" i="24" s="1"/>
  <c r="DI61" i="19"/>
  <c r="DI259" i="19" s="1"/>
  <c r="DG20" i="29"/>
  <c r="DH16" i="29" s="1"/>
  <c r="DH20" i="29" s="1"/>
  <c r="DI16" i="29" s="1"/>
  <c r="DI20" i="29" s="1"/>
  <c r="DJ16" i="29" s="1"/>
  <c r="AH16" i="29"/>
  <c r="EK50" i="24"/>
  <c r="AQ49" i="24"/>
  <c r="EW69" i="24"/>
  <c r="AU68" i="24"/>
  <c r="DT90" i="24"/>
  <c r="DU91" i="24" s="1"/>
  <c r="DV92" i="24" s="1"/>
  <c r="AI72" i="24"/>
  <c r="DK73" i="24"/>
  <c r="DO61" i="19"/>
  <c r="DO259" i="19" s="1"/>
  <c r="F34" i="15"/>
  <c r="DO7" i="25" s="1"/>
  <c r="F92" i="15"/>
  <c r="F36" i="15"/>
  <c r="DO14" i="25" s="1"/>
  <c r="F37" i="15"/>
  <c r="DO15" i="25" s="1"/>
  <c r="Y15" i="36"/>
  <c r="DO46" i="19"/>
  <c r="CX57" i="11"/>
  <c r="EI86" i="24"/>
  <c r="EJ87" i="24" s="1"/>
  <c r="EK88" i="24" s="1"/>
  <c r="AQ74" i="11"/>
  <c r="AQ155" i="11" s="1"/>
  <c r="EJ155" i="11"/>
  <c r="EU81" i="24"/>
  <c r="EV82" i="24" s="1"/>
  <c r="EW83" i="24" s="1"/>
  <c r="T30" i="29"/>
  <c r="BQ34" i="29"/>
  <c r="BQ37" i="29" s="1"/>
  <c r="DR110" i="15"/>
  <c r="DR33" i="15" s="1"/>
  <c r="DR62" i="19" s="1"/>
  <c r="DR265" i="19" s="1"/>
  <c r="EO114" i="24"/>
  <c r="EP115" i="24" s="1"/>
  <c r="EQ116" i="24" s="1"/>
  <c r="EZ69" i="24"/>
  <c r="CV98" i="11"/>
  <c r="EC81" i="24"/>
  <c r="ED82" i="24" s="1"/>
  <c r="EE83" i="24" s="1"/>
  <c r="AQ69" i="11"/>
  <c r="AQ156" i="11" s="1"/>
  <c r="EJ156" i="11"/>
  <c r="EJ120" i="1" s="1"/>
  <c r="AQ120" i="1" s="1"/>
  <c r="Y65" i="37"/>
  <c r="X73" i="37"/>
  <c r="X75" i="37"/>
  <c r="X92" i="37"/>
  <c r="Y84" i="37"/>
  <c r="X94" i="37"/>
  <c r="DR111" i="19"/>
  <c r="DH110" i="15"/>
  <c r="DH33" i="15" s="1"/>
  <c r="AF27" i="29"/>
  <c r="AI28" i="29"/>
  <c r="DJ46" i="19"/>
  <c r="AI11" i="15"/>
  <c r="DP33" i="15"/>
  <c r="CX52" i="11"/>
  <c r="EL83" i="24"/>
  <c r="EM84" i="24" s="1"/>
  <c r="EN85" i="24" s="1"/>
  <c r="BV55" i="19"/>
  <c r="BV18" i="15"/>
  <c r="H31" i="8"/>
  <c r="G61" i="8"/>
  <c r="EV52" i="11"/>
  <c r="CC43" i="24"/>
  <c r="F42" i="24"/>
  <c r="W42" i="24"/>
  <c r="W61" i="24" s="1"/>
  <c r="CB61" i="24"/>
  <c r="CB14" i="24" s="1"/>
  <c r="BW42" i="19"/>
  <c r="BW40" i="15"/>
  <c r="BW15" i="15"/>
  <c r="BW90" i="15"/>
  <c r="BW14" i="15"/>
  <c r="V7" i="15"/>
  <c r="BV12" i="15"/>
  <c r="F7" i="15"/>
  <c r="V34" i="15"/>
  <c r="DM8" i="7" s="1"/>
  <c r="Y36" i="15"/>
  <c r="V92" i="15"/>
  <c r="Y37" i="15"/>
  <c r="EO83" i="24"/>
  <c r="EP84" i="24" s="1"/>
  <c r="EQ85" i="24" s="1"/>
  <c r="CP44" i="24"/>
  <c r="AB43" i="24"/>
  <c r="AH72" i="24"/>
  <c r="DH73" i="24"/>
  <c r="DJ32" i="15"/>
  <c r="AI109" i="15"/>
  <c r="T13" i="29"/>
  <c r="W14" i="29"/>
  <c r="DT89" i="24"/>
  <c r="DU90" i="24" s="1"/>
  <c r="DV91" i="24" s="1"/>
  <c r="DH117" i="19"/>
  <c r="DU53" i="24"/>
  <c r="DV54" i="24" s="1"/>
  <c r="AL52" i="24"/>
  <c r="EO113" i="24"/>
  <c r="EP114" i="24" s="1"/>
  <c r="EQ115" i="24" s="1"/>
  <c r="EC89" i="24"/>
  <c r="ED90" i="24" s="1"/>
  <c r="EE91" i="24" s="1"/>
  <c r="EK119" i="1"/>
  <c r="CW45" i="24"/>
  <c r="AD44" i="24"/>
  <c r="DJ50" i="24"/>
  <c r="I49" i="24"/>
  <c r="AH49" i="24"/>
  <c r="X115" i="37"/>
  <c r="X110" i="37"/>
  <c r="X111" i="37" s="1"/>
  <c r="CV64" i="1"/>
  <c r="DW90" i="24"/>
  <c r="DX91" i="24" s="1"/>
  <c r="DY92" i="24" s="1"/>
  <c r="DM33" i="15"/>
  <c r="DQ111" i="19"/>
  <c r="DJ33" i="15"/>
  <c r="BR13" i="29"/>
  <c r="BS9" i="29" s="1"/>
  <c r="BR30" i="29"/>
  <c r="BR34" i="29" s="1"/>
  <c r="BR37" i="29" s="1"/>
  <c r="BR38" i="29" s="1"/>
  <c r="DN111" i="19"/>
  <c r="DR61" i="19"/>
  <c r="DR259" i="19" s="1"/>
  <c r="J48" i="24"/>
  <c r="DT49" i="24"/>
  <c r="AL48" i="24"/>
  <c r="DP32" i="15"/>
  <c r="AK109" i="15"/>
  <c r="AG82" i="38"/>
  <c r="AG98" i="38"/>
  <c r="AG18" i="37"/>
  <c r="AG116" i="38"/>
  <c r="AG71" i="38"/>
  <c r="AG91" i="38"/>
  <c r="AG107" i="38"/>
  <c r="AU74" i="11"/>
  <c r="AU155" i="11" s="1"/>
  <c r="EV155" i="11"/>
  <c r="DG33" i="15"/>
  <c r="AH110" i="15"/>
  <c r="EU84" i="24"/>
  <c r="EV85" i="24" s="1"/>
  <c r="EW86" i="24" s="1"/>
  <c r="DN110" i="15"/>
  <c r="DN33" i="15" s="1"/>
  <c r="F27" i="30"/>
  <c r="DM11" i="15"/>
  <c r="AJ98" i="15"/>
  <c r="AJ99" i="15" s="1"/>
  <c r="AJ100" i="15" s="1"/>
  <c r="DG32" i="15"/>
  <c r="I109" i="15"/>
  <c r="AH109" i="15"/>
  <c r="V23" i="15"/>
  <c r="DC8" i="7" s="1"/>
  <c r="Y26" i="15"/>
  <c r="Y25" i="15"/>
  <c r="V91" i="15"/>
  <c r="EB49" i="24"/>
  <c r="AN48" i="24"/>
  <c r="AW68" i="24"/>
  <c r="H28" i="8"/>
  <c r="G58" i="8"/>
  <c r="EI111" i="24"/>
  <c r="EJ112" i="24" s="1"/>
  <c r="EK113" i="24" s="1"/>
  <c r="EX81" i="24"/>
  <c r="EY82" i="24" s="1"/>
  <c r="EZ83" i="24" s="1"/>
  <c r="V58" i="19"/>
  <c r="V63" i="19" s="1"/>
  <c r="F58" i="19"/>
  <c r="F63" i="19" s="1"/>
  <c r="AI53" i="19"/>
  <c r="DJ185" i="19"/>
  <c r="CY55" i="11"/>
  <c r="DC75" i="11"/>
  <c r="CY74" i="11"/>
  <c r="CY155" i="11" s="1"/>
  <c r="CY77" i="11"/>
  <c r="DB75" i="11"/>
  <c r="CT58" i="19"/>
  <c r="CT34" i="15"/>
  <c r="CT36" i="15"/>
  <c r="CT92" i="15"/>
  <c r="CT37" i="15"/>
  <c r="CW119" i="1"/>
  <c r="AD119" i="1" s="1"/>
  <c r="Y19" i="36"/>
  <c r="Y16" i="36"/>
  <c r="Y20" i="36" s="1"/>
  <c r="EK57" i="11"/>
  <c r="EI70" i="24"/>
  <c r="AQ69" i="24"/>
  <c r="EO84" i="24"/>
  <c r="EP85" i="24" s="1"/>
  <c r="EQ86" i="24" s="1"/>
  <c r="DG17" i="11"/>
  <c r="DG35" i="1" s="1"/>
  <c r="DG29" i="11"/>
  <c r="DG30" i="11" s="1"/>
  <c r="DC80" i="24"/>
  <c r="AF79" i="24"/>
  <c r="H79" i="24"/>
  <c r="AI54" i="19"/>
  <c r="DJ191" i="19"/>
  <c r="DM32" i="15"/>
  <c r="DM43" i="15" s="1"/>
  <c r="AJ109" i="15"/>
  <c r="EF87" i="24"/>
  <c r="EG88" i="24" s="1"/>
  <c r="EH89" i="24" s="1"/>
  <c r="DI28" i="11"/>
  <c r="DI32" i="11"/>
  <c r="DJ33" i="11"/>
  <c r="AG20" i="29"/>
  <c r="AJ21" i="29"/>
  <c r="DM45" i="19"/>
  <c r="AJ10" i="15"/>
  <c r="DD27" i="29"/>
  <c r="DE23" i="29" s="1"/>
  <c r="DE27" i="29" s="1"/>
  <c r="DF23" i="29" s="1"/>
  <c r="DF27" i="29" s="1"/>
  <c r="DG23" i="29" s="1"/>
  <c r="AG23" i="29"/>
  <c r="ES72" i="24"/>
  <c r="ET73" i="24" s="1"/>
  <c r="W18" i="37"/>
  <c r="W91" i="38"/>
  <c r="W107" i="38"/>
  <c r="W14" i="35"/>
  <c r="W98" i="38"/>
  <c r="W116" i="38"/>
  <c r="W82" i="38"/>
  <c r="AJ54" i="19"/>
  <c r="DM191" i="19"/>
  <c r="DN61" i="19"/>
  <c r="DN259" i="19" s="1"/>
  <c r="B28" i="30"/>
  <c r="C28" i="30"/>
  <c r="A29" i="30"/>
  <c r="G43" i="24"/>
  <c r="Z43" i="24"/>
  <c r="CJ44" i="24"/>
  <c r="ES53" i="24"/>
  <c r="ET54" i="24" s="1"/>
  <c r="AT52" i="24"/>
  <c r="CT50" i="19"/>
  <c r="CT23" i="15"/>
  <c r="CT26" i="15"/>
  <c r="CT91" i="15"/>
  <c r="CT25" i="15"/>
  <c r="H30" i="8"/>
  <c r="G60" i="8"/>
  <c r="EW57" i="11"/>
  <c r="CU40" i="11"/>
  <c r="H122" i="1"/>
  <c r="AG122" i="1"/>
  <c r="EU83" i="24"/>
  <c r="EV84" i="24" s="1"/>
  <c r="EW85" i="24" s="1"/>
  <c r="ES68" i="24"/>
  <c r="AT67" i="24"/>
  <c r="L67" i="24"/>
  <c r="EW52" i="11"/>
  <c r="CL7" i="7"/>
  <c r="Y38" i="36"/>
  <c r="CW9" i="11"/>
  <c r="CX9" i="1"/>
  <c r="CW29" i="1"/>
  <c r="CW15" i="1"/>
  <c r="EL87" i="24"/>
  <c r="EM88" i="24" s="1"/>
  <c r="EN89" i="24" s="1"/>
  <c r="AJ53" i="19"/>
  <c r="DM185" i="19"/>
  <c r="DI43" i="15"/>
  <c r="EX80" i="24"/>
  <c r="EY81" i="24" s="1"/>
  <c r="EZ82" i="24" s="1"/>
  <c r="CV39" i="11"/>
  <c r="AH99" i="15"/>
  <c r="AH100" i="15" s="1"/>
  <c r="AR69" i="24"/>
  <c r="EL70" i="24"/>
  <c r="AS69" i="24"/>
  <c r="EO70" i="24"/>
  <c r="EZ49" i="24"/>
  <c r="AV48" i="24"/>
  <c r="DL111" i="19"/>
  <c r="DH61" i="19"/>
  <c r="DH259" i="19" s="1"/>
  <c r="BP106" i="1"/>
  <c r="BO113" i="1"/>
  <c r="H84" i="24"/>
  <c r="DB85" i="24"/>
  <c r="AF84" i="24"/>
  <c r="FA81" i="24"/>
  <c r="FB82" i="24" s="1"/>
  <c r="ED60" i="24"/>
  <c r="CT42" i="19"/>
  <c r="CT66" i="19" s="1"/>
  <c r="CT12" i="15"/>
  <c r="CT40" i="15"/>
  <c r="CT14" i="15"/>
  <c r="CT90" i="15"/>
  <c r="CT15" i="15"/>
  <c r="G49" i="8"/>
  <c r="G57" i="8"/>
  <c r="H27" i="8"/>
  <c r="DM50" i="24"/>
  <c r="AI49" i="24"/>
  <c r="EW119" i="1"/>
  <c r="DQ61" i="19"/>
  <c r="DQ259" i="19" s="1"/>
  <c r="DH69" i="19"/>
  <c r="DH111" i="19"/>
  <c r="DI44" i="15"/>
  <c r="CX119" i="1"/>
  <c r="DG54" i="19"/>
  <c r="I22" i="15"/>
  <c r="I23" i="15" s="1"/>
  <c r="AH22" i="15"/>
  <c r="DI52" i="24"/>
  <c r="DJ53" i="24" s="1"/>
  <c r="AH51" i="24"/>
  <c r="DX71" i="24"/>
  <c r="AM70" i="24"/>
  <c r="CU123" i="1"/>
  <c r="CU140" i="11"/>
  <c r="AG34" i="11"/>
  <c r="AG17" i="11"/>
  <c r="AG29" i="11"/>
  <c r="AG30" i="11" s="1"/>
  <c r="CH45" i="24"/>
  <c r="Y44" i="24"/>
  <c r="EN50" i="24"/>
  <c r="AR49" i="24"/>
  <c r="EK52" i="11"/>
  <c r="CN45" i="24"/>
  <c r="AA44" i="24"/>
  <c r="DU71" i="24"/>
  <c r="AL70" i="24"/>
  <c r="J70" i="24"/>
  <c r="AK54" i="19"/>
  <c r="DP191" i="19"/>
  <c r="CW80" i="11"/>
  <c r="CW107" i="11"/>
  <c r="CW135" i="11"/>
  <c r="AD10" i="11"/>
  <c r="DS72" i="24"/>
  <c r="AK71" i="24"/>
  <c r="DG45" i="19"/>
  <c r="I10" i="15"/>
  <c r="AH10" i="15"/>
  <c r="DG43" i="15"/>
  <c r="DR46" i="19"/>
  <c r="DR44" i="15"/>
  <c r="I25" i="15"/>
  <c r="DH14" i="25" s="1"/>
  <c r="I26" i="15"/>
  <c r="DH15" i="25" s="1"/>
  <c r="DZ89" i="24"/>
  <c r="EA90" i="24" s="1"/>
  <c r="EB91" i="24" s="1"/>
  <c r="DF80" i="24"/>
  <c r="AG79" i="24"/>
  <c r="DK111" i="19"/>
  <c r="DW81" i="24"/>
  <c r="DX82" i="24" s="1"/>
  <c r="DY83" i="24" s="1"/>
  <c r="CB13" i="7"/>
  <c r="CB14" i="7" s="1"/>
  <c r="AE72" i="11"/>
  <c r="V50" i="19"/>
  <c r="V55" i="19" s="1"/>
  <c r="F50" i="19"/>
  <c r="F55" i="19" s="1"/>
  <c r="DK46" i="19"/>
  <c r="I98" i="15"/>
  <c r="ED71" i="24"/>
  <c r="AO70" i="24"/>
  <c r="DB73" i="24"/>
  <c r="AF72" i="24"/>
  <c r="H72" i="24"/>
  <c r="DA126" i="24"/>
  <c r="CV124" i="11"/>
  <c r="EU80" i="24"/>
  <c r="EV81" i="24" s="1"/>
  <c r="EW82" i="24" s="1"/>
  <c r="CS71" i="19"/>
  <c r="DO69" i="19"/>
  <c r="DO111" i="19"/>
  <c r="G59" i="8"/>
  <c r="H29" i="8"/>
  <c r="AA21" i="34"/>
  <c r="DR96" i="24"/>
  <c r="DS97" i="24" s="1"/>
  <c r="DQ110" i="15"/>
  <c r="DQ33" i="15" s="1"/>
  <c r="DQ62" i="19" s="1"/>
  <c r="DQ265" i="19" s="1"/>
  <c r="EW49" i="24"/>
  <c r="AU48" i="24"/>
  <c r="L48" i="24"/>
  <c r="CL10" i="25"/>
  <c r="H4" i="8"/>
  <c r="AM6" i="25"/>
  <c r="DI70" i="19"/>
  <c r="DI117" i="19"/>
  <c r="X31" i="37"/>
  <c r="X53" i="37"/>
  <c r="Y45" i="37"/>
  <c r="X55" i="37"/>
  <c r="EL84" i="24"/>
  <c r="EM85" i="24" s="1"/>
  <c r="EN86" i="24" s="1"/>
  <c r="X137" i="37"/>
  <c r="CV121" i="1"/>
  <c r="DF86" i="24"/>
  <c r="AG85" i="24"/>
  <c r="DL61" i="19"/>
  <c r="DL259" i="19" s="1"/>
  <c r="Y136" i="36"/>
  <c r="EJ52" i="11"/>
  <c r="DK110" i="15"/>
  <c r="DK33" i="15" s="1"/>
  <c r="DK62" i="19" s="1"/>
  <c r="DK265" i="19" s="1"/>
  <c r="DI69" i="19"/>
  <c r="DI111" i="19"/>
  <c r="ER70" i="24"/>
  <c r="AT69" i="24"/>
  <c r="EA54" i="24"/>
  <c r="EB55" i="24" s="1"/>
  <c r="AN53" i="24"/>
  <c r="FA72" i="24"/>
  <c r="FB73" i="24" s="1"/>
  <c r="AK53" i="19"/>
  <c r="DP185" i="19"/>
  <c r="DH17" i="11"/>
  <c r="DH35" i="1" s="1"/>
  <c r="DH29" i="11"/>
  <c r="DH30" i="11" s="1"/>
  <c r="DO71" i="24"/>
  <c r="AJ70" i="24"/>
  <c r="F23" i="15"/>
  <c r="DE7" i="25" s="1"/>
  <c r="F26" i="15"/>
  <c r="DE15" i="25" s="1"/>
  <c r="F25" i="15"/>
  <c r="DE14" i="25" s="1"/>
  <c r="F91" i="15"/>
  <c r="DY49" i="24"/>
  <c r="AM48" i="24"/>
  <c r="BV63" i="19"/>
  <c r="BV29" i="15"/>
  <c r="DW89" i="24"/>
  <c r="DX90" i="24" s="1"/>
  <c r="DY91" i="24" s="1"/>
  <c r="DP11" i="15"/>
  <c r="AK98" i="15"/>
  <c r="AK99" i="15" s="1"/>
  <c r="AK100" i="15" s="1"/>
  <c r="AG72" i="24"/>
  <c r="DE73" i="24"/>
  <c r="EC86" i="24"/>
  <c r="ED87" i="24" s="1"/>
  <c r="EE88" i="24" s="1"/>
  <c r="DE57" i="24"/>
  <c r="CY57" i="24"/>
  <c r="DQ46" i="19"/>
  <c r="DQ44" i="15"/>
  <c r="AU69" i="11"/>
  <c r="AU156" i="11" s="1"/>
  <c r="EV156" i="11"/>
  <c r="EV120" i="1" s="1"/>
  <c r="AU120" i="1" s="1"/>
  <c r="DO110" i="15"/>
  <c r="DO33" i="15" s="1"/>
  <c r="DO62" i="19" s="1"/>
  <c r="DO265" i="19" s="1"/>
  <c r="EI110" i="24"/>
  <c r="EJ111" i="24" s="1"/>
  <c r="EK112" i="24" s="1"/>
  <c r="EG71" i="24"/>
  <c r="K70" i="24"/>
  <c r="AP70" i="24"/>
  <c r="EH50" i="24"/>
  <c r="AP49" i="24"/>
  <c r="K49" i="24"/>
  <c r="AE75" i="11"/>
  <c r="X27" i="37"/>
  <c r="DN117" i="19"/>
  <c r="CY44" i="24"/>
  <c r="H44" i="24" s="1"/>
  <c r="AE43" i="24"/>
  <c r="DJ45" i="19"/>
  <c r="AI10" i="15"/>
  <c r="EC90" i="24"/>
  <c r="ED91" i="24" s="1"/>
  <c r="EE92" i="24" s="1"/>
  <c r="CU102" i="11"/>
  <c r="DF56" i="1"/>
  <c r="DF40" i="1"/>
  <c r="EL78" i="24"/>
  <c r="EM79" i="24" s="1"/>
  <c r="EN80" i="24" s="1"/>
  <c r="BV63" i="1"/>
  <c r="BV68" i="1" s="1"/>
  <c r="Y59" i="2"/>
  <c r="DN43" i="15"/>
  <c r="CV61" i="11"/>
  <c r="CV62" i="11"/>
  <c r="CV40" i="11" s="1"/>
  <c r="CV45" i="11" s="1"/>
  <c r="EA71" i="24"/>
  <c r="AN70" i="24"/>
  <c r="EL86" i="24"/>
  <c r="EM87" i="24" s="1"/>
  <c r="EN88" i="24" s="1"/>
  <c r="CV101" i="11"/>
  <c r="CV102" i="11" s="1"/>
  <c r="CV111" i="11"/>
  <c r="CV159" i="11" s="1"/>
  <c r="CV123" i="1" s="1"/>
  <c r="DK61" i="19"/>
  <c r="DK259" i="19" s="1"/>
  <c r="AU52" i="24"/>
  <c r="EU53" i="24"/>
  <c r="DP50" i="24"/>
  <c r="AJ49" i="24"/>
  <c r="DP45" i="19"/>
  <c r="AK10" i="15"/>
  <c r="DP43" i="15"/>
  <c r="DR43" i="15"/>
  <c r="EF86" i="24"/>
  <c r="EG87" i="24" s="1"/>
  <c r="EH88" i="24" s="1"/>
  <c r="DL46" i="19"/>
  <c r="DL44" i="15"/>
  <c r="DL71" i="24"/>
  <c r="AI70" i="24"/>
  <c r="I70" i="24"/>
  <c r="AV68" i="24"/>
  <c r="I53" i="19"/>
  <c r="AH53" i="19"/>
  <c r="DG185" i="19"/>
  <c r="DQ43" i="15"/>
  <c r="AI98" i="15"/>
  <c r="AI99" i="15" s="1"/>
  <c r="AI100" i="15" s="1"/>
  <c r="U126" i="26" l="1"/>
  <c r="U164" i="26"/>
  <c r="U163" i="26" s="1"/>
  <c r="F28" i="30"/>
  <c r="AK28" i="30" s="1"/>
  <c r="V120" i="26"/>
  <c r="V97" i="26"/>
  <c r="V87" i="26" s="1"/>
  <c r="AJ43" i="15"/>
  <c r="J18" i="15"/>
  <c r="DH7" i="25"/>
  <c r="DH8" i="25" s="1"/>
  <c r="AK45" i="19"/>
  <c r="DP111" i="19"/>
  <c r="DK277" i="19"/>
  <c r="EI51" i="24"/>
  <c r="AQ50" i="24"/>
  <c r="K50" i="24"/>
  <c r="DZ92" i="24"/>
  <c r="EA93" i="24" s="1"/>
  <c r="EB94" i="24" s="1"/>
  <c r="EC56" i="24"/>
  <c r="AO55" i="24"/>
  <c r="X33" i="37"/>
  <c r="X36" i="37"/>
  <c r="EX83" i="24"/>
  <c r="EY84" i="24" s="1"/>
  <c r="EZ85" i="24" s="1"/>
  <c r="DG81" i="24"/>
  <c r="AG80" i="24"/>
  <c r="AL72" i="24"/>
  <c r="DT73" i="24"/>
  <c r="CI46" i="24"/>
  <c r="Y45" i="24"/>
  <c r="DN51" i="24"/>
  <c r="AJ50" i="24"/>
  <c r="CT47" i="19"/>
  <c r="CU7" i="15"/>
  <c r="CT45" i="15"/>
  <c r="AF85" i="24"/>
  <c r="H85" i="24"/>
  <c r="DC86" i="24"/>
  <c r="Y39" i="36"/>
  <c r="X42" i="35"/>
  <c r="Y41" i="36"/>
  <c r="Y42" i="36"/>
  <c r="CU45" i="11"/>
  <c r="CU41" i="11"/>
  <c r="CK45" i="24"/>
  <c r="G44" i="24"/>
  <c r="Z44" i="24"/>
  <c r="DJ32" i="11"/>
  <c r="DJ158" i="11" s="1"/>
  <c r="DJ122" i="1" s="1"/>
  <c r="DJ28" i="11"/>
  <c r="DK33" i="11"/>
  <c r="EL114" i="24"/>
  <c r="EM115" i="24" s="1"/>
  <c r="EN116" i="24" s="1"/>
  <c r="DG61" i="19"/>
  <c r="AH32" i="15"/>
  <c r="I32" i="15"/>
  <c r="I110" i="15"/>
  <c r="AI110" i="15"/>
  <c r="AI111" i="15" s="1"/>
  <c r="AI112" i="15" s="1"/>
  <c r="DZ93" i="24"/>
  <c r="EA94" i="24" s="1"/>
  <c r="EB95" i="24" s="1"/>
  <c r="DW55" i="24"/>
  <c r="AM54" i="24"/>
  <c r="AI46" i="19"/>
  <c r="DJ117" i="19"/>
  <c r="X113" i="37"/>
  <c r="X14" i="37" s="1"/>
  <c r="ER117" i="24"/>
  <c r="ES118" i="24" s="1"/>
  <c r="ET119" i="24" s="1"/>
  <c r="EX84" i="24"/>
  <c r="EY85" i="24" s="1"/>
  <c r="EZ86" i="24" s="1"/>
  <c r="DO44" i="15"/>
  <c r="DP8" i="25"/>
  <c r="X130" i="37"/>
  <c r="Y122" i="37"/>
  <c r="X132" i="37"/>
  <c r="DL277" i="19"/>
  <c r="AH43" i="15"/>
  <c r="DQ277" i="19"/>
  <c r="DR13" i="1"/>
  <c r="AK50" i="24"/>
  <c r="DQ51" i="24"/>
  <c r="BV58" i="19"/>
  <c r="BV92" i="15"/>
  <c r="BU34" i="15"/>
  <c r="BV36" i="15"/>
  <c r="BV37" i="15"/>
  <c r="EE72" i="24"/>
  <c r="AO71" i="24"/>
  <c r="DL69" i="19"/>
  <c r="EM71" i="24"/>
  <c r="AR70" i="24"/>
  <c r="CV41" i="11"/>
  <c r="ET69" i="24"/>
  <c r="L68" i="24"/>
  <c r="AT68" i="24"/>
  <c r="AJ191" i="19"/>
  <c r="DI17" i="11"/>
  <c r="DI35" i="1" s="1"/>
  <c r="DI29" i="11"/>
  <c r="DI30" i="11" s="1"/>
  <c r="DM46" i="19"/>
  <c r="AJ11" i="15"/>
  <c r="DM44" i="15"/>
  <c r="AJ44" i="15" s="1"/>
  <c r="EV119" i="1"/>
  <c r="AU119" i="1" s="1"/>
  <c r="DQ129" i="19"/>
  <c r="V42" i="19"/>
  <c r="V47" i="19" s="1"/>
  <c r="F42" i="19"/>
  <c r="F47" i="19" s="1"/>
  <c r="BW66" i="19"/>
  <c r="EJ119" i="1"/>
  <c r="AQ119" i="1" s="1"/>
  <c r="Y21" i="36"/>
  <c r="AH20" i="29"/>
  <c r="AK21" i="29"/>
  <c r="EU86" i="24"/>
  <c r="EV87" i="24" s="1"/>
  <c r="EW88" i="24" s="1"/>
  <c r="DC69" i="11"/>
  <c r="DC51" i="11"/>
  <c r="DC72" i="11"/>
  <c r="DD70" i="11"/>
  <c r="Y88" i="37"/>
  <c r="Y103" i="37"/>
  <c r="Z111" i="36"/>
  <c r="Z107" i="36" s="1"/>
  <c r="CY52" i="11"/>
  <c r="AE52" i="11" s="1"/>
  <c r="AE87" i="11" s="1"/>
  <c r="DM72" i="24"/>
  <c r="AI71" i="24"/>
  <c r="I71" i="24"/>
  <c r="EV54" i="24"/>
  <c r="EW55" i="24" s="1"/>
  <c r="AU53" i="24"/>
  <c r="X38" i="37"/>
  <c r="X41" i="37"/>
  <c r="DQ70" i="19"/>
  <c r="DQ117" i="19"/>
  <c r="ES71" i="24"/>
  <c r="AT70" i="24"/>
  <c r="DG87" i="24"/>
  <c r="AG86" i="24"/>
  <c r="AV49" i="24"/>
  <c r="EX50" i="24"/>
  <c r="L49" i="24"/>
  <c r="DZ84" i="24"/>
  <c r="EA85" i="24" s="1"/>
  <c r="EB86" i="24" s="1"/>
  <c r="EC92" i="24"/>
  <c r="ED93" i="24" s="1"/>
  <c r="EE94" i="24" s="1"/>
  <c r="I14" i="15"/>
  <c r="CX14" i="25" s="1"/>
  <c r="CW134" i="11"/>
  <c r="CW123" i="11"/>
  <c r="AD135" i="11"/>
  <c r="EU21" i="7" s="1"/>
  <c r="H26" i="8"/>
  <c r="G56" i="8"/>
  <c r="CT55" i="19"/>
  <c r="CU18" i="15"/>
  <c r="B29" i="30"/>
  <c r="C29" i="30"/>
  <c r="A30" i="30"/>
  <c r="DD81" i="24"/>
  <c r="AF80" i="24"/>
  <c r="H80" i="24"/>
  <c r="EJ71" i="24"/>
  <c r="AQ70" i="24"/>
  <c r="DB74" i="11"/>
  <c r="DB155" i="11" s="1"/>
  <c r="DB55" i="11"/>
  <c r="DB77" i="11"/>
  <c r="AF75" i="11"/>
  <c r="AL27" i="30"/>
  <c r="AT27" i="30"/>
  <c r="AM27" i="30"/>
  <c r="AU27" i="30"/>
  <c r="AN27" i="30"/>
  <c r="AG27" i="30"/>
  <c r="AG51" i="30" s="1"/>
  <c r="AO27" i="30"/>
  <c r="AH27" i="30"/>
  <c r="AP27" i="30"/>
  <c r="AI27" i="30"/>
  <c r="AQ27" i="30"/>
  <c r="E39" i="30"/>
  <c r="D39" i="30" s="1"/>
  <c r="AJ27" i="30"/>
  <c r="AR27" i="30"/>
  <c r="AK27" i="30"/>
  <c r="AS27" i="30"/>
  <c r="DR277" i="19"/>
  <c r="DQ69" i="19"/>
  <c r="EF92" i="24"/>
  <c r="EG93" i="24" s="1"/>
  <c r="EH94" i="24" s="1"/>
  <c r="DW92" i="24"/>
  <c r="DX93" i="24" s="1"/>
  <c r="DY94" i="24" s="1"/>
  <c r="DI74" i="24"/>
  <c r="AH73" i="24"/>
  <c r="F12" i="15"/>
  <c r="CU7" i="25" s="1"/>
  <c r="F90" i="15"/>
  <c r="F15" i="15"/>
  <c r="CU15" i="25" s="1"/>
  <c r="F14" i="15"/>
  <c r="CU14" i="25" s="1"/>
  <c r="AE51" i="11"/>
  <c r="AE71" i="11" s="1"/>
  <c r="EF84" i="24"/>
  <c r="EG85" i="24" s="1"/>
  <c r="EH86" i="24" s="1"/>
  <c r="Y43" i="36"/>
  <c r="DW93" i="24"/>
  <c r="DX94" i="24" s="1"/>
  <c r="DY95" i="24" s="1"/>
  <c r="AI16" i="29"/>
  <c r="DJ20" i="29"/>
  <c r="DK16" i="29" s="1"/>
  <c r="DK20" i="29" s="1"/>
  <c r="DL16" i="29" s="1"/>
  <c r="DL20" i="29" s="1"/>
  <c r="DM16" i="29" s="1"/>
  <c r="DY72" i="24"/>
  <c r="AM71" i="24"/>
  <c r="DG62" i="19"/>
  <c r="I33" i="15"/>
  <c r="AH33" i="15"/>
  <c r="DJ61" i="19"/>
  <c r="AI32" i="15"/>
  <c r="EL51" i="24"/>
  <c r="AR50" i="24"/>
  <c r="DQ13" i="1"/>
  <c r="EO87" i="24"/>
  <c r="EP88" i="24" s="1"/>
  <c r="EQ89" i="24" s="1"/>
  <c r="I185" i="19"/>
  <c r="AH185" i="19"/>
  <c r="DG203" i="19"/>
  <c r="EO89" i="24"/>
  <c r="EP90" i="24" s="1"/>
  <c r="EQ91" i="24" s="1"/>
  <c r="DJ43" i="15"/>
  <c r="I43" i="15" s="1"/>
  <c r="CB10" i="7"/>
  <c r="CB11" i="7" s="1"/>
  <c r="AE77" i="11"/>
  <c r="EH72" i="24"/>
  <c r="AP71" i="24"/>
  <c r="CZ58" i="24"/>
  <c r="DA59" i="24" s="1"/>
  <c r="DF74" i="24"/>
  <c r="AG73" i="24"/>
  <c r="DP72" i="24"/>
  <c r="AJ71" i="24"/>
  <c r="CV140" i="11"/>
  <c r="X13" i="37"/>
  <c r="DK44" i="15"/>
  <c r="CW106" i="11"/>
  <c r="CW112" i="11"/>
  <c r="CW97" i="11"/>
  <c r="AD107" i="11"/>
  <c r="EK19" i="7" s="1"/>
  <c r="CU129" i="11"/>
  <c r="CU139" i="11"/>
  <c r="CU162" i="11" s="1"/>
  <c r="DK54" i="24"/>
  <c r="AI53" i="24"/>
  <c r="DH129" i="19"/>
  <c r="BP110" i="1"/>
  <c r="BP99" i="1"/>
  <c r="AI191" i="19"/>
  <c r="DN62" i="19"/>
  <c r="DN44" i="15"/>
  <c r="DP61" i="19"/>
  <c r="AK32" i="15"/>
  <c r="DN129" i="19"/>
  <c r="CX46" i="24"/>
  <c r="AD45" i="24"/>
  <c r="BV47" i="19"/>
  <c r="BV71" i="19" s="1"/>
  <c r="BV7" i="15"/>
  <c r="BV45" i="15"/>
  <c r="BV50" i="19"/>
  <c r="BU23" i="15"/>
  <c r="BV25" i="15"/>
  <c r="BV91" i="15"/>
  <c r="BV26" i="15"/>
  <c r="AK110" i="15"/>
  <c r="AK111" i="15" s="1"/>
  <c r="AK112" i="15" s="1"/>
  <c r="DH62" i="19"/>
  <c r="DH44" i="15"/>
  <c r="CV104" i="11"/>
  <c r="CV21" i="11" s="1"/>
  <c r="CV44" i="1" s="1"/>
  <c r="CV83" i="1" s="1"/>
  <c r="DL13" i="1"/>
  <c r="EL89" i="24"/>
  <c r="EM90" i="24" s="1"/>
  <c r="EN91" i="24" s="1"/>
  <c r="DO277" i="19"/>
  <c r="I11" i="15"/>
  <c r="I12" i="15" s="1"/>
  <c r="U17" i="7"/>
  <c r="BS17" i="7"/>
  <c r="EI89" i="24"/>
  <c r="EJ90" i="24" s="1"/>
  <c r="EK91" i="24" s="1"/>
  <c r="EF89" i="24"/>
  <c r="EG90" i="24" s="1"/>
  <c r="EH91" i="24" s="1"/>
  <c r="AK185" i="19"/>
  <c r="DP203" i="19"/>
  <c r="DM61" i="19"/>
  <c r="AJ32" i="15"/>
  <c r="AI185" i="19"/>
  <c r="DJ203" i="19"/>
  <c r="DJ62" i="19"/>
  <c r="AI33" i="15"/>
  <c r="DK51" i="24"/>
  <c r="AI50" i="24"/>
  <c r="I50" i="24"/>
  <c r="ER86" i="24"/>
  <c r="ES87" i="24" s="1"/>
  <c r="ET88" i="24" s="1"/>
  <c r="DO70" i="19"/>
  <c r="DO117" i="19"/>
  <c r="DO129" i="19" s="1"/>
  <c r="AI45" i="19"/>
  <c r="DJ69" i="19"/>
  <c r="DJ111" i="19"/>
  <c r="EL113" i="24"/>
  <c r="EM114" i="24" s="1"/>
  <c r="EN115" i="24" s="1"/>
  <c r="AN49" i="24"/>
  <c r="DZ50" i="24"/>
  <c r="DK70" i="19"/>
  <c r="DK117" i="19"/>
  <c r="DR117" i="19"/>
  <c r="DR70" i="19"/>
  <c r="I45" i="19"/>
  <c r="I47" i="19" s="1"/>
  <c r="J42" i="19" s="1"/>
  <c r="AH45" i="19"/>
  <c r="DG69" i="19"/>
  <c r="DG111" i="19"/>
  <c r="CW60" i="11"/>
  <c r="CW79" i="11"/>
  <c r="AD80" i="11"/>
  <c r="FA50" i="24"/>
  <c r="AW49" i="24"/>
  <c r="FA83" i="24"/>
  <c r="FB84" i="24" s="1"/>
  <c r="CW38" i="11"/>
  <c r="CW28" i="1"/>
  <c r="AD29" i="1"/>
  <c r="EX86" i="24"/>
  <c r="EY87" i="24" s="1"/>
  <c r="EZ88" i="24" s="1"/>
  <c r="AQ28" i="30"/>
  <c r="E40" i="30"/>
  <c r="D40" i="30" s="1"/>
  <c r="AV28" i="30"/>
  <c r="EU74" i="24"/>
  <c r="AJ45" i="19"/>
  <c r="DM69" i="19"/>
  <c r="AJ69" i="19" s="1"/>
  <c r="DM111" i="19"/>
  <c r="EI90" i="24"/>
  <c r="EJ91" i="24" s="1"/>
  <c r="EK92" i="24" s="1"/>
  <c r="AH28" i="11"/>
  <c r="CY119" i="1"/>
  <c r="FA84" i="24"/>
  <c r="FB85" i="24" s="1"/>
  <c r="EX87" i="24"/>
  <c r="EY88" i="24" s="1"/>
  <c r="EZ89" i="24" s="1"/>
  <c r="DN69" i="19"/>
  <c r="ER116" i="24"/>
  <c r="ES117" i="24" s="1"/>
  <c r="ET118" i="24" s="1"/>
  <c r="V12" i="15"/>
  <c r="CS8" i="7" s="1"/>
  <c r="Y15" i="15"/>
  <c r="Y14" i="15"/>
  <c r="V90" i="15"/>
  <c r="DP62" i="19"/>
  <c r="AK33" i="15"/>
  <c r="DL74" i="24"/>
  <c r="AI73" i="24"/>
  <c r="DG44" i="15"/>
  <c r="CU46" i="24"/>
  <c r="AC45" i="24"/>
  <c r="CU104" i="11"/>
  <c r="CU21" i="11" s="1"/>
  <c r="DF8" i="25"/>
  <c r="AD109" i="11"/>
  <c r="AD137" i="11"/>
  <c r="EU23" i="7" s="1"/>
  <c r="CO46" i="24"/>
  <c r="AA45" i="24"/>
  <c r="AH32" i="11"/>
  <c r="AH158" i="11" s="1"/>
  <c r="DI158" i="11"/>
  <c r="DI122" i="1" s="1"/>
  <c r="AH122" i="1" s="1"/>
  <c r="EC50" i="24"/>
  <c r="AO49" i="24"/>
  <c r="V40" i="15"/>
  <c r="F40" i="15"/>
  <c r="BW47" i="15"/>
  <c r="BW48" i="15"/>
  <c r="BW63" i="1"/>
  <c r="Z59" i="2"/>
  <c r="Z55" i="36"/>
  <c r="Z51" i="36" s="1"/>
  <c r="Y24" i="37"/>
  <c r="Y49" i="37"/>
  <c r="Y51" i="37"/>
  <c r="DH56" i="1"/>
  <c r="DH40" i="1"/>
  <c r="DK69" i="19"/>
  <c r="AK191" i="19"/>
  <c r="AS50" i="24"/>
  <c r="EO51" i="24"/>
  <c r="DI13" i="1"/>
  <c r="CX10" i="11"/>
  <c r="CX14" i="1"/>
  <c r="AE9" i="1"/>
  <c r="CX97" i="1"/>
  <c r="CX98" i="1"/>
  <c r="AG27" i="29"/>
  <c r="AJ28" i="29"/>
  <c r="DG56" i="1"/>
  <c r="AH35" i="1"/>
  <c r="DG40" i="1"/>
  <c r="DC74" i="11"/>
  <c r="DC55" i="11"/>
  <c r="DC57" i="11" s="1"/>
  <c r="DC77" i="11"/>
  <c r="DD75" i="11"/>
  <c r="AH111" i="15"/>
  <c r="AH112" i="15"/>
  <c r="AG73" i="38"/>
  <c r="AG74" i="38" s="1"/>
  <c r="U71" i="38"/>
  <c r="V71" i="38"/>
  <c r="W71" i="38"/>
  <c r="T71" i="38"/>
  <c r="Q40" i="34"/>
  <c r="Q42" i="34" s="1"/>
  <c r="DU50" i="24"/>
  <c r="J49" i="24"/>
  <c r="AL49" i="24"/>
  <c r="AJ110" i="15"/>
  <c r="AJ111" i="15" s="1"/>
  <c r="AJ112" i="15" s="1"/>
  <c r="X43" i="24"/>
  <c r="F43" i="24"/>
  <c r="CD44" i="24"/>
  <c r="CC61" i="24"/>
  <c r="CC14" i="24" s="1"/>
  <c r="EO86" i="24"/>
  <c r="EP87" i="24" s="1"/>
  <c r="EQ88" i="24" s="1"/>
  <c r="DR129" i="19"/>
  <c r="BQ38" i="29"/>
  <c r="AV69" i="24"/>
  <c r="EX70" i="24"/>
  <c r="I46" i="19"/>
  <c r="AH46" i="19"/>
  <c r="DG70" i="19"/>
  <c r="DG117" i="19"/>
  <c r="EC93" i="24"/>
  <c r="ED94" i="24" s="1"/>
  <c r="EE95" i="24" s="1"/>
  <c r="EO90" i="24"/>
  <c r="EP91" i="24" s="1"/>
  <c r="EQ92" i="24" s="1"/>
  <c r="DL70" i="19"/>
  <c r="DL117" i="19"/>
  <c r="DL129" i="19" s="1"/>
  <c r="AK43" i="15"/>
  <c r="EO81" i="24"/>
  <c r="EP82" i="24" s="1"/>
  <c r="EQ83" i="24" s="1"/>
  <c r="EB72" i="24"/>
  <c r="AN71" i="24"/>
  <c r="EF93" i="24"/>
  <c r="EG94" i="24" s="1"/>
  <c r="EH95" i="24" s="1"/>
  <c r="CZ45" i="24"/>
  <c r="AE44" i="24"/>
  <c r="DF58" i="24"/>
  <c r="DG59" i="24" s="1"/>
  <c r="DP46" i="19"/>
  <c r="AK11" i="15"/>
  <c r="DP44" i="15"/>
  <c r="AK44" i="15" s="1"/>
  <c r="DI129" i="19"/>
  <c r="DT98" i="24"/>
  <c r="DC74" i="24"/>
  <c r="AF73" i="24"/>
  <c r="H73" i="24"/>
  <c r="DB126" i="24"/>
  <c r="DV72" i="24"/>
  <c r="AL71" i="24"/>
  <c r="J71" i="24"/>
  <c r="I54" i="19"/>
  <c r="I55" i="19" s="1"/>
  <c r="J50" i="19" s="1"/>
  <c r="AH54" i="19"/>
  <c r="DG191" i="19"/>
  <c r="CT48" i="15"/>
  <c r="CT47" i="15"/>
  <c r="EP71" i="24"/>
  <c r="K71" i="24" s="1"/>
  <c r="AS70" i="24"/>
  <c r="AJ185" i="19"/>
  <c r="AJ203" i="19" s="1"/>
  <c r="DM203" i="19"/>
  <c r="EU55" i="24"/>
  <c r="AU54" i="24"/>
  <c r="W15" i="35"/>
  <c r="AG14" i="35"/>
  <c r="AG15" i="35" s="1"/>
  <c r="DG27" i="29"/>
  <c r="DH23" i="29" s="1"/>
  <c r="DH27" i="29" s="1"/>
  <c r="DI23" i="29" s="1"/>
  <c r="DI27" i="29" s="1"/>
  <c r="DJ23" i="29" s="1"/>
  <c r="AH23" i="29"/>
  <c r="ER87" i="24"/>
  <c r="ES88" i="24" s="1"/>
  <c r="ET89" i="24" s="1"/>
  <c r="Y4" i="36"/>
  <c r="Y17" i="36"/>
  <c r="CT63" i="19"/>
  <c r="CU29" i="15"/>
  <c r="CY57" i="11"/>
  <c r="AE57" i="11" s="1"/>
  <c r="AE88" i="11" s="1"/>
  <c r="BS13" i="29"/>
  <c r="BT9" i="29" s="1"/>
  <c r="BS30" i="29"/>
  <c r="BS34" i="29" s="1"/>
  <c r="BS37" i="29" s="1"/>
  <c r="BS38" i="29" s="1"/>
  <c r="DM62" i="19"/>
  <c r="AJ33" i="15"/>
  <c r="CQ45" i="24"/>
  <c r="AB44" i="24"/>
  <c r="DJ44" i="15"/>
  <c r="AI44" i="15" s="1"/>
  <c r="DR69" i="19"/>
  <c r="Y69" i="37"/>
  <c r="Z79" i="36"/>
  <c r="Z75" i="36" s="1"/>
  <c r="Y71" i="37"/>
  <c r="FA70" i="24"/>
  <c r="AW69" i="24"/>
  <c r="T34" i="29"/>
  <c r="W35" i="29"/>
  <c r="AE55" i="11"/>
  <c r="AE76" i="11" s="1"/>
  <c r="DI277" i="19"/>
  <c r="DB69" i="11"/>
  <c r="DB156" i="11" s="1"/>
  <c r="DB120" i="1" s="1"/>
  <c r="DB51" i="11"/>
  <c r="DB72" i="11"/>
  <c r="AF70" i="11"/>
  <c r="AM28" i="30" l="1"/>
  <c r="AN28" i="30"/>
  <c r="AR28" i="30"/>
  <c r="AU28" i="30"/>
  <c r="AJ28" i="30"/>
  <c r="AT28" i="30"/>
  <c r="AI28" i="30"/>
  <c r="AL28" i="30"/>
  <c r="AP28" i="30"/>
  <c r="AS28" i="30"/>
  <c r="AH28" i="30"/>
  <c r="AH51" i="30" s="1"/>
  <c r="AO28" i="30"/>
  <c r="F29" i="30"/>
  <c r="V121" i="26"/>
  <c r="V100" i="26"/>
  <c r="V101" i="26" s="1"/>
  <c r="J7" i="15"/>
  <c r="CX7" i="25"/>
  <c r="CX8" i="25" s="1"/>
  <c r="V45" i="15"/>
  <c r="DW8" i="7" s="1"/>
  <c r="Y48" i="15"/>
  <c r="Y47" i="15"/>
  <c r="AB46" i="24"/>
  <c r="CP47" i="24"/>
  <c r="I44" i="15"/>
  <c r="I47" i="15" s="1"/>
  <c r="EB14" i="25" s="1"/>
  <c r="AH44" i="15"/>
  <c r="EL93" i="24"/>
  <c r="EM94" i="24" s="1"/>
  <c r="EN95" i="24" s="1"/>
  <c r="DL52" i="24"/>
  <c r="AI51" i="24"/>
  <c r="I51" i="24"/>
  <c r="DL88" i="1"/>
  <c r="AE46" i="24"/>
  <c r="CY47" i="24"/>
  <c r="CU126" i="1"/>
  <c r="CU163" i="11"/>
  <c r="ER92" i="24"/>
  <c r="ES93" i="24" s="1"/>
  <c r="ET94" i="24" s="1"/>
  <c r="ER90" i="24"/>
  <c r="ES91" i="24" s="1"/>
  <c r="ET92" i="24" s="1"/>
  <c r="DZ95" i="24"/>
  <c r="EA96" i="24" s="1"/>
  <c r="EB97" i="24" s="1"/>
  <c r="AG81" i="24"/>
  <c r="DE82" i="24"/>
  <c r="H81" i="24"/>
  <c r="I15" i="15"/>
  <c r="CX15" i="25" s="1"/>
  <c r="DI56" i="1"/>
  <c r="DI40" i="1"/>
  <c r="BU63" i="19"/>
  <c r="BU29" i="15"/>
  <c r="DG13" i="1"/>
  <c r="DX56" i="24"/>
  <c r="DY57" i="24" s="1"/>
  <c r="AM55" i="24"/>
  <c r="CL46" i="24"/>
  <c r="Z45" i="24"/>
  <c r="G45" i="24"/>
  <c r="FA86" i="24"/>
  <c r="FB87" i="24" s="1"/>
  <c r="EC95" i="24"/>
  <c r="ED96" i="24" s="1"/>
  <c r="EE97" i="24" s="1"/>
  <c r="W16" i="35"/>
  <c r="W23" i="35"/>
  <c r="W30" i="35"/>
  <c r="W28" i="35"/>
  <c r="W34" i="35"/>
  <c r="W32" i="35"/>
  <c r="CV16" i="11"/>
  <c r="CV34" i="1" s="1"/>
  <c r="CV42" i="11"/>
  <c r="CV46" i="11" s="1"/>
  <c r="CU16" i="11"/>
  <c r="CU34" i="1" s="1"/>
  <c r="CU42" i="11"/>
  <c r="ER84" i="24"/>
  <c r="ES85" i="24" s="1"/>
  <c r="ET86" i="24" s="1"/>
  <c r="T37" i="29"/>
  <c r="AH56" i="1"/>
  <c r="AH40" i="1"/>
  <c r="Z35" i="36"/>
  <c r="Y48" i="37"/>
  <c r="Z52" i="36"/>
  <c r="ED51" i="24"/>
  <c r="AO50" i="24"/>
  <c r="DM75" i="24"/>
  <c r="AI74" i="24"/>
  <c r="R7" i="7"/>
  <c r="BP7" i="7"/>
  <c r="AD52" i="1"/>
  <c r="AI62" i="19"/>
  <c r="DJ265" i="19"/>
  <c r="AK61" i="19"/>
  <c r="DP259" i="19"/>
  <c r="AQ72" i="24"/>
  <c r="EI73" i="24"/>
  <c r="EI95" i="24"/>
  <c r="EJ96" i="24" s="1"/>
  <c r="EK97" i="24" s="1"/>
  <c r="DB119" i="1"/>
  <c r="A31" i="30"/>
  <c r="B30" i="30"/>
  <c r="C30" i="30"/>
  <c r="EF95" i="24"/>
  <c r="EG96" i="24" s="1"/>
  <c r="EH97" i="24" s="1"/>
  <c r="DH88" i="24"/>
  <c r="AH87" i="24"/>
  <c r="Y107" i="37"/>
  <c r="AF69" i="11"/>
  <c r="AF156" i="11" s="1"/>
  <c r="CN8" i="7" s="1"/>
  <c r="DC156" i="11"/>
  <c r="DC120" i="1" s="1"/>
  <c r="AF120" i="1" s="1"/>
  <c r="AP72" i="24"/>
  <c r="EF73" i="24"/>
  <c r="DO13" i="1"/>
  <c r="AI117" i="19"/>
  <c r="I61" i="19"/>
  <c r="AH61" i="19"/>
  <c r="DG259" i="19"/>
  <c r="ER89" i="24"/>
  <c r="ES90" i="24" s="1"/>
  <c r="ET91" i="24" s="1"/>
  <c r="EU119" i="24"/>
  <c r="EV120" i="24" s="1"/>
  <c r="EW121" i="24" s="1"/>
  <c r="AJ111" i="19"/>
  <c r="BU55" i="19"/>
  <c r="BU18" i="15"/>
  <c r="CU130" i="11"/>
  <c r="DQ73" i="24"/>
  <c r="AK72" i="24"/>
  <c r="DZ73" i="24"/>
  <c r="AN72" i="24"/>
  <c r="DB57" i="11"/>
  <c r="AF55" i="11"/>
  <c r="AF76" i="11" s="1"/>
  <c r="DK32" i="11"/>
  <c r="DK158" i="11" s="1"/>
  <c r="DK122" i="1" s="1"/>
  <c r="DK28" i="11"/>
  <c r="DO33" i="11"/>
  <c r="DN33" i="11"/>
  <c r="EQ72" i="24"/>
  <c r="AS71" i="24"/>
  <c r="AO72" i="24"/>
  <c r="EC73" i="24"/>
  <c r="ER93" i="24"/>
  <c r="ES94" i="24" s="1"/>
  <c r="ET95" i="24" s="1"/>
  <c r="F44" i="24"/>
  <c r="X44" i="24"/>
  <c r="CE45" i="24"/>
  <c r="CD61" i="24"/>
  <c r="CD14" i="24" s="1"/>
  <c r="T73" i="38"/>
  <c r="T19" i="35"/>
  <c r="CW64" i="1"/>
  <c r="AD28" i="1"/>
  <c r="EO116" i="24"/>
  <c r="EP117" i="24" s="1"/>
  <c r="EQ118" i="24" s="1"/>
  <c r="EU89" i="24"/>
  <c r="EV90" i="24" s="1"/>
  <c r="EW91" i="24" s="1"/>
  <c r="EI92" i="24"/>
  <c r="EJ93" i="24" s="1"/>
  <c r="EK94" i="24" s="1"/>
  <c r="DH13" i="1"/>
  <c r="AI61" i="19"/>
  <c r="DJ259" i="19"/>
  <c r="AJ16" i="29"/>
  <c r="DM20" i="29"/>
  <c r="DN16" i="29" s="1"/>
  <c r="DN20" i="29" s="1"/>
  <c r="DO16" i="29" s="1"/>
  <c r="DO20" i="29" s="1"/>
  <c r="DP16" i="29" s="1"/>
  <c r="CV8" i="25"/>
  <c r="DN73" i="24"/>
  <c r="AJ72" i="24"/>
  <c r="I72" i="24"/>
  <c r="EX89" i="24"/>
  <c r="EY90" i="24" s="1"/>
  <c r="EZ91" i="24" s="1"/>
  <c r="AJ46" i="19"/>
  <c r="DM70" i="19"/>
  <c r="DM117" i="19"/>
  <c r="DM129" i="19" s="1"/>
  <c r="DJ70" i="19"/>
  <c r="AI70" i="19" s="1"/>
  <c r="AI33" i="11"/>
  <c r="CU42" i="19"/>
  <c r="CU40" i="15"/>
  <c r="AD7" i="15"/>
  <c r="CU12" i="15"/>
  <c r="CU14" i="15"/>
  <c r="CU15" i="15"/>
  <c r="CU90" i="15"/>
  <c r="DU74" i="24"/>
  <c r="AL73" i="24"/>
  <c r="DR52" i="24"/>
  <c r="AK51" i="24"/>
  <c r="EC96" i="24"/>
  <c r="ED97" i="24" s="1"/>
  <c r="EE98" i="24" s="1"/>
  <c r="FB71" i="24"/>
  <c r="AW70" i="24"/>
  <c r="DU99" i="24"/>
  <c r="DV100" i="24" s="1"/>
  <c r="EY71" i="24"/>
  <c r="AV70" i="24"/>
  <c r="W19" i="35"/>
  <c r="W21" i="35" s="1"/>
  <c r="W73" i="38"/>
  <c r="DD74" i="11"/>
  <c r="DD155" i="11" s="1"/>
  <c r="DD55" i="11"/>
  <c r="DD77" i="11"/>
  <c r="DE75" i="11"/>
  <c r="AE14" i="1"/>
  <c r="AM6" i="7"/>
  <c r="AM8" i="7" s="1"/>
  <c r="EP52" i="24"/>
  <c r="AS51" i="24"/>
  <c r="V63" i="1"/>
  <c r="V68" i="1" s="1"/>
  <c r="F63" i="1"/>
  <c r="F68" i="1" s="1"/>
  <c r="BW68" i="1"/>
  <c r="AK62" i="19"/>
  <c r="DP265" i="19"/>
  <c r="EV75" i="24"/>
  <c r="EW76" i="24" s="1"/>
  <c r="AD79" i="11"/>
  <c r="CW157" i="11"/>
  <c r="DK129" i="19"/>
  <c r="EL92" i="24"/>
  <c r="EM93" i="24" s="1"/>
  <c r="EN94" i="24" s="1"/>
  <c r="DH265" i="19"/>
  <c r="DH70" i="19"/>
  <c r="BV42" i="19"/>
  <c r="BV66" i="19" s="1"/>
  <c r="BV15" i="15"/>
  <c r="BV14" i="15"/>
  <c r="BU12" i="15"/>
  <c r="BV40" i="15"/>
  <c r="BV90" i="15"/>
  <c r="DN265" i="19"/>
  <c r="DN70" i="19"/>
  <c r="CW98" i="11"/>
  <c r="AD97" i="11"/>
  <c r="DG75" i="24"/>
  <c r="AG74" i="24"/>
  <c r="DQ88" i="1"/>
  <c r="AI20" i="29"/>
  <c r="AL21" i="29"/>
  <c r="AL29" i="30"/>
  <c r="AT29" i="30"/>
  <c r="AM29" i="30"/>
  <c r="AU29" i="30"/>
  <c r="AN29" i="30"/>
  <c r="AV29" i="30"/>
  <c r="AO29" i="30"/>
  <c r="AW29" i="30"/>
  <c r="AP29" i="30"/>
  <c r="AI29" i="30"/>
  <c r="AI51" i="30" s="1"/>
  <c r="AQ29" i="30"/>
  <c r="AJ29" i="30"/>
  <c r="AR29" i="30"/>
  <c r="AK29" i="30"/>
  <c r="AS29" i="30"/>
  <c r="E41" i="30"/>
  <c r="D41" i="30" s="1"/>
  <c r="DN13" i="1"/>
  <c r="EN72" i="24"/>
  <c r="AR71" i="24"/>
  <c r="DR88" i="1"/>
  <c r="X15" i="37"/>
  <c r="FA87" i="24"/>
  <c r="FB88" i="24" s="1"/>
  <c r="EO117" i="24"/>
  <c r="EP118" i="24" s="1"/>
  <c r="EQ119" i="24" s="1"/>
  <c r="DJ17" i="11"/>
  <c r="DJ35" i="1" s="1"/>
  <c r="AI28" i="11"/>
  <c r="DJ29" i="11"/>
  <c r="DJ30" i="11" s="1"/>
  <c r="CT71" i="19"/>
  <c r="EJ52" i="24"/>
  <c r="AQ51" i="24"/>
  <c r="K51" i="24"/>
  <c r="J105" i="15"/>
  <c r="I70" i="19"/>
  <c r="AH70" i="19"/>
  <c r="BT13" i="29"/>
  <c r="BU9" i="29" s="1"/>
  <c r="BT30" i="29"/>
  <c r="U9" i="29"/>
  <c r="DD75" i="24"/>
  <c r="AF74" i="24"/>
  <c r="H74" i="24"/>
  <c r="DC126" i="24"/>
  <c r="DV51" i="24"/>
  <c r="AL50" i="24"/>
  <c r="J50" i="24"/>
  <c r="DI88" i="1"/>
  <c r="DC52" i="11"/>
  <c r="CC13" i="7"/>
  <c r="CC14" i="7" s="1"/>
  <c r="AF72" i="11"/>
  <c r="Y68" i="37"/>
  <c r="Z76" i="36"/>
  <c r="Z77" i="36" s="1"/>
  <c r="CU58" i="19"/>
  <c r="AD58" i="19" s="1"/>
  <c r="AD63" i="19" s="1"/>
  <c r="AD29" i="15"/>
  <c r="CU34" i="15"/>
  <c r="CU36" i="15"/>
  <c r="CU92" i="15"/>
  <c r="CU37" i="15"/>
  <c r="AH27" i="29"/>
  <c r="AK28" i="29"/>
  <c r="DW73" i="24"/>
  <c r="AM72" i="24"/>
  <c r="AK46" i="19"/>
  <c r="DP70" i="19"/>
  <c r="AK70" i="19" s="1"/>
  <c r="DP117" i="19"/>
  <c r="DA46" i="24"/>
  <c r="H46" i="24" s="1"/>
  <c r="AE45" i="24"/>
  <c r="DP13" i="1"/>
  <c r="EF96" i="24"/>
  <c r="EG97" i="24" s="1"/>
  <c r="EH98" i="24" s="1"/>
  <c r="V19" i="35"/>
  <c r="V21" i="35" s="1"/>
  <c r="V23" i="35" s="1"/>
  <c r="V73" i="38"/>
  <c r="CX9" i="11"/>
  <c r="CY9" i="1"/>
  <c r="CX15" i="1"/>
  <c r="CX29" i="1"/>
  <c r="CU44" i="1"/>
  <c r="FA90" i="24"/>
  <c r="FB91" i="24" s="1"/>
  <c r="AH34" i="11"/>
  <c r="AH17" i="11"/>
  <c r="AH29" i="11"/>
  <c r="AH30" i="11" s="1"/>
  <c r="CW39" i="11"/>
  <c r="AD38" i="11"/>
  <c r="CW61" i="11"/>
  <c r="CW62" i="11" s="1"/>
  <c r="AD60" i="11"/>
  <c r="AD81" i="11" s="1"/>
  <c r="AI111" i="19"/>
  <c r="AI129" i="19" s="1"/>
  <c r="DJ129" i="19"/>
  <c r="AJ61" i="19"/>
  <c r="DM259" i="19"/>
  <c r="AK203" i="19"/>
  <c r="BQ106" i="1"/>
  <c r="BP113" i="1"/>
  <c r="DL55" i="24"/>
  <c r="DM56" i="24" s="1"/>
  <c r="AI54" i="24"/>
  <c r="CW101" i="11"/>
  <c r="CW111" i="11"/>
  <c r="AD112" i="11"/>
  <c r="X17" i="37"/>
  <c r="AI43" i="15"/>
  <c r="DJ13" i="1"/>
  <c r="DZ96" i="24"/>
  <c r="EA97" i="24" s="1"/>
  <c r="EB98" i="24" s="1"/>
  <c r="EK72" i="24"/>
  <c r="K72" i="24" s="1"/>
  <c r="AQ71" i="24"/>
  <c r="CU50" i="19"/>
  <c r="AD50" i="19" s="1"/>
  <c r="AD55" i="19" s="1"/>
  <c r="AD18" i="15"/>
  <c r="CU23" i="15"/>
  <c r="CU25" i="15"/>
  <c r="CU91" i="15"/>
  <c r="CU26" i="15"/>
  <c r="CW124" i="11"/>
  <c r="AD123" i="11"/>
  <c r="EC87" i="24"/>
  <c r="ED88" i="24" s="1"/>
  <c r="EE89" i="24" s="1"/>
  <c r="ET72" i="24"/>
  <c r="AT71" i="24"/>
  <c r="AU69" i="24"/>
  <c r="EU70" i="24"/>
  <c r="L69" i="24"/>
  <c r="Y126" i="37"/>
  <c r="Y128" i="37" s="1"/>
  <c r="Z149" i="36"/>
  <c r="Z145" i="36" s="1"/>
  <c r="J72" i="24"/>
  <c r="X34" i="37"/>
  <c r="X10" i="35"/>
  <c r="Z46" i="24"/>
  <c r="G46" i="24"/>
  <c r="CJ47" i="24"/>
  <c r="CR46" i="24"/>
  <c r="AB45" i="24"/>
  <c r="EV56" i="24"/>
  <c r="EW57" i="24" s="1"/>
  <c r="AU55" i="24"/>
  <c r="DB52" i="11"/>
  <c r="AF51" i="11"/>
  <c r="AF71" i="11" s="1"/>
  <c r="AI23" i="29"/>
  <c r="DJ27" i="29"/>
  <c r="DK23" i="29" s="1"/>
  <c r="DK27" i="29" s="1"/>
  <c r="DL23" i="29" s="1"/>
  <c r="DL27" i="29" s="1"/>
  <c r="DM23" i="29" s="1"/>
  <c r="U19" i="35"/>
  <c r="U21" i="35" s="1"/>
  <c r="U23" i="35" s="1"/>
  <c r="U73" i="38"/>
  <c r="CX80" i="11"/>
  <c r="CX107" i="11"/>
  <c r="CX135" i="11"/>
  <c r="Y60" i="37"/>
  <c r="FA89" i="24"/>
  <c r="FB90" i="24" s="1"/>
  <c r="AH111" i="19"/>
  <c r="I111" i="19"/>
  <c r="I129" i="19" s="1"/>
  <c r="DG129" i="19"/>
  <c r="AI69" i="19"/>
  <c r="EO92" i="24"/>
  <c r="EP93" i="24" s="1"/>
  <c r="EQ94" i="24" s="1"/>
  <c r="AD106" i="11"/>
  <c r="CW160" i="11"/>
  <c r="CW124" i="1" s="1"/>
  <c r="AD124" i="1" s="1"/>
  <c r="CV129" i="11"/>
  <c r="CV130" i="11" s="1"/>
  <c r="CV139" i="11"/>
  <c r="CV162" i="11" s="1"/>
  <c r="DB60" i="24"/>
  <c r="EM52" i="24"/>
  <c r="AR51" i="24"/>
  <c r="I62" i="19"/>
  <c r="AH62" i="19"/>
  <c r="DG265" i="19"/>
  <c r="EI87" i="24"/>
  <c r="EJ88" i="24" s="1"/>
  <c r="EK89" i="24" s="1"/>
  <c r="AD134" i="11"/>
  <c r="CW161" i="11"/>
  <c r="CW125" i="1" s="1"/>
  <c r="AD125" i="1" s="1"/>
  <c r="Y90" i="37"/>
  <c r="V66" i="19"/>
  <c r="V71" i="19" s="1"/>
  <c r="F66" i="19"/>
  <c r="F71" i="19" s="1"/>
  <c r="EU120" i="24"/>
  <c r="EV121" i="24" s="1"/>
  <c r="EW122" i="24" s="1"/>
  <c r="DO52" i="24"/>
  <c r="AJ51" i="24"/>
  <c r="AK111" i="19"/>
  <c r="DP129" i="19"/>
  <c r="DM13" i="1"/>
  <c r="EU90" i="24"/>
  <c r="EV91" i="24" s="1"/>
  <c r="EW92" i="24" s="1"/>
  <c r="T38" i="29"/>
  <c r="W110" i="26" s="1"/>
  <c r="W112" i="26" s="1"/>
  <c r="FB51" i="24"/>
  <c r="AW51" i="24" s="1"/>
  <c r="AW50" i="24"/>
  <c r="EA51" i="24"/>
  <c r="AN50" i="24"/>
  <c r="AJ62" i="19"/>
  <c r="DM265" i="19"/>
  <c r="AG16" i="35"/>
  <c r="Z36" i="34"/>
  <c r="Z37" i="34" s="1"/>
  <c r="AG30" i="35"/>
  <c r="AG28" i="35"/>
  <c r="AG32" i="35"/>
  <c r="AG34" i="35"/>
  <c r="I191" i="19"/>
  <c r="I203" i="19" s="1"/>
  <c r="AH191" i="19"/>
  <c r="AH203" i="19" s="1"/>
  <c r="DH60" i="24"/>
  <c r="EI96" i="24"/>
  <c r="EJ97" i="24" s="1"/>
  <c r="EK98" i="24" s="1"/>
  <c r="I117" i="19"/>
  <c r="AH117" i="19"/>
  <c r="AF74" i="11"/>
  <c r="AF155" i="11" s="1"/>
  <c r="DC155" i="11"/>
  <c r="Y28" i="37"/>
  <c r="F45" i="15"/>
  <c r="DY7" i="25" s="1"/>
  <c r="F47" i="15"/>
  <c r="DY14" i="25" s="1"/>
  <c r="F48" i="15"/>
  <c r="DY15" i="25" s="1"/>
  <c r="AD46" i="24"/>
  <c r="CV47" i="24"/>
  <c r="AH69" i="19"/>
  <c r="I69" i="19"/>
  <c r="AI203" i="19"/>
  <c r="H45" i="24"/>
  <c r="DK13" i="1"/>
  <c r="DJ75" i="24"/>
  <c r="AH74" i="24"/>
  <c r="CC10" i="7"/>
  <c r="CC11" i="7" s="1"/>
  <c r="AF77" i="11"/>
  <c r="EY51" i="24"/>
  <c r="AV50" i="24"/>
  <c r="L50" i="24"/>
  <c r="EX56" i="24"/>
  <c r="AV55" i="24"/>
  <c r="Y87" i="37"/>
  <c r="Z36" i="36"/>
  <c r="Z108" i="36"/>
  <c r="DD69" i="11"/>
  <c r="DD156" i="11" s="1"/>
  <c r="DD120" i="1" s="1"/>
  <c r="DD51" i="11"/>
  <c r="DD72" i="11"/>
  <c r="DE70" i="11"/>
  <c r="I36" i="15"/>
  <c r="DR14" i="25" s="1"/>
  <c r="I37" i="15"/>
  <c r="DR15" i="25" s="1"/>
  <c r="I34" i="15"/>
  <c r="AF86" i="24"/>
  <c r="AF126" i="24" s="1"/>
  <c r="H86" i="24"/>
  <c r="DD87" i="24"/>
  <c r="DH82" i="24"/>
  <c r="AH81" i="24"/>
  <c r="ED57" i="24"/>
  <c r="EE58" i="24" s="1"/>
  <c r="AO56" i="24"/>
  <c r="DP69" i="19"/>
  <c r="AK69" i="19" s="1"/>
  <c r="F30" i="30" l="1"/>
  <c r="AL30" i="30" s="1"/>
  <c r="W120" i="26"/>
  <c r="W97" i="26"/>
  <c r="W87" i="26" s="1"/>
  <c r="V124" i="26"/>
  <c r="V123" i="26"/>
  <c r="CW40" i="11"/>
  <c r="AD62" i="11"/>
  <c r="BQ110" i="1"/>
  <c r="BQ99" i="1"/>
  <c r="AI34" i="11"/>
  <c r="AI17" i="11"/>
  <c r="AI29" i="11"/>
  <c r="AI30" i="11" s="1"/>
  <c r="EO95" i="24"/>
  <c r="EP96" i="24" s="1"/>
  <c r="EQ97" i="24" s="1"/>
  <c r="AF57" i="11"/>
  <c r="AF88" i="11" s="1"/>
  <c r="EX122" i="24"/>
  <c r="EY123" i="24" s="1"/>
  <c r="EZ124" i="24" s="1"/>
  <c r="W24" i="35"/>
  <c r="W39" i="35"/>
  <c r="CQ48" i="24"/>
  <c r="AB47" i="24"/>
  <c r="J29" i="15"/>
  <c r="DR7" i="25"/>
  <c r="DR8" i="25" s="1"/>
  <c r="DE69" i="11"/>
  <c r="DE156" i="11" s="1"/>
  <c r="DE120" i="1" s="1"/>
  <c r="DE51" i="11"/>
  <c r="DE72" i="11"/>
  <c r="DF70" i="11"/>
  <c r="Y96" i="37"/>
  <c r="Y106" i="37"/>
  <c r="Y91" i="37"/>
  <c r="EL99" i="24"/>
  <c r="EM100" i="24" s="1"/>
  <c r="EN101" i="24" s="1"/>
  <c r="Z38" i="34"/>
  <c r="Z52" i="34"/>
  <c r="Z50" i="34"/>
  <c r="Z54" i="34"/>
  <c r="Z56" i="34"/>
  <c r="EB52" i="24"/>
  <c r="AN51" i="24"/>
  <c r="AJ13" i="1"/>
  <c r="DM88" i="1"/>
  <c r="DP53" i="24"/>
  <c r="AJ52" i="24"/>
  <c r="EL90" i="24"/>
  <c r="EM91" i="24" s="1"/>
  <c r="EN92" i="24" s="1"/>
  <c r="CX106" i="11"/>
  <c r="CX160" i="11" s="1"/>
  <c r="CX124" i="1" s="1"/>
  <c r="CX97" i="11"/>
  <c r="CX112" i="11"/>
  <c r="CK48" i="24"/>
  <c r="Z47" i="24"/>
  <c r="X11" i="35"/>
  <c r="X48" i="35"/>
  <c r="EU73" i="24"/>
  <c r="AU72" i="24"/>
  <c r="CY10" i="11"/>
  <c r="CY14" i="1"/>
  <c r="CY97" i="1"/>
  <c r="CY98" i="1"/>
  <c r="DW52" i="24"/>
  <c r="AM51" i="24"/>
  <c r="J51" i="24"/>
  <c r="DN277" i="19"/>
  <c r="DH277" i="19"/>
  <c r="AD157" i="11"/>
  <c r="AD82" i="11"/>
  <c r="DD119" i="1"/>
  <c r="DV75" i="24"/>
  <c r="AL74" i="24"/>
  <c r="FA92" i="24"/>
  <c r="FB93" i="24" s="1"/>
  <c r="DR74" i="24"/>
  <c r="AK73" i="24"/>
  <c r="DI89" i="24"/>
  <c r="AH88" i="24"/>
  <c r="AJ75" i="24"/>
  <c r="DN76" i="24"/>
  <c r="I13" i="1"/>
  <c r="AH13" i="1"/>
  <c r="DG88" i="1"/>
  <c r="EU95" i="24"/>
  <c r="EV96" i="24" s="1"/>
  <c r="EW97" i="24" s="1"/>
  <c r="DF83" i="24"/>
  <c r="AG82" i="24"/>
  <c r="H82" i="24"/>
  <c r="DD52" i="11"/>
  <c r="AJ265" i="19"/>
  <c r="EX123" i="24"/>
  <c r="EY124" i="24" s="1"/>
  <c r="EZ125" i="24" s="1"/>
  <c r="CV126" i="1"/>
  <c r="CV163" i="11"/>
  <c r="U30" i="38"/>
  <c r="U74" i="38"/>
  <c r="AF52" i="11"/>
  <c r="AF87" i="11" s="1"/>
  <c r="EF90" i="24"/>
  <c r="EG91" i="24" s="1"/>
  <c r="EH92" i="24" s="1"/>
  <c r="CU55" i="19"/>
  <c r="CV18" i="15"/>
  <c r="EC99" i="24"/>
  <c r="ED100" i="24" s="1"/>
  <c r="EE101" i="24" s="1"/>
  <c r="CW41" i="11"/>
  <c r="AD39" i="11"/>
  <c r="CU83" i="1"/>
  <c r="V30" i="38"/>
  <c r="V74" i="38"/>
  <c r="AK117" i="19"/>
  <c r="Y77" i="37"/>
  <c r="Y72" i="37"/>
  <c r="DT105" i="15"/>
  <c r="EB105" i="15"/>
  <c r="DU105" i="15"/>
  <c r="EC105" i="15"/>
  <c r="DV105" i="15"/>
  <c r="ED105" i="15"/>
  <c r="DW105" i="15"/>
  <c r="DX105" i="15"/>
  <c r="DY105" i="15"/>
  <c r="DZ105" i="15"/>
  <c r="DS105" i="15"/>
  <c r="EA105" i="15"/>
  <c r="DJ56" i="1"/>
  <c r="DJ40" i="1"/>
  <c r="DH76" i="24"/>
  <c r="AH75" i="24"/>
  <c r="BV48" i="15"/>
  <c r="BV47" i="15"/>
  <c r="EX77" i="24"/>
  <c r="W74" i="38"/>
  <c r="W30" i="38"/>
  <c r="DW101" i="24"/>
  <c r="DS53" i="24"/>
  <c r="AK52" i="24"/>
  <c r="AJ20" i="29"/>
  <c r="AM21" i="29"/>
  <c r="EX92" i="24"/>
  <c r="EY93" i="24" s="1"/>
  <c r="EZ94" i="24" s="1"/>
  <c r="EU96" i="24"/>
  <c r="EV97" i="24" s="1"/>
  <c r="EW98" i="24" s="1"/>
  <c r="EU92" i="24"/>
  <c r="EV93" i="24" s="1"/>
  <c r="EW94" i="24" s="1"/>
  <c r="T40" i="29"/>
  <c r="T43" i="29" s="1"/>
  <c r="BU58" i="19"/>
  <c r="BT34" i="15"/>
  <c r="BU36" i="15"/>
  <c r="BU92" i="15"/>
  <c r="BU37" i="15"/>
  <c r="AP58" i="24"/>
  <c r="EF59" i="24"/>
  <c r="EY57" i="24"/>
  <c r="EZ58" i="24" s="1"/>
  <c r="AV56" i="24"/>
  <c r="EV71" i="24"/>
  <c r="AU70" i="24"/>
  <c r="L70" i="24"/>
  <c r="AD23" i="15"/>
  <c r="AG25" i="15"/>
  <c r="DJ14" i="7" s="1"/>
  <c r="AG26" i="15"/>
  <c r="DJ15" i="7" s="1"/>
  <c r="AD91" i="15"/>
  <c r="AD114" i="11"/>
  <c r="EK26" i="7" s="1"/>
  <c r="EK24" i="7"/>
  <c r="AJ259" i="19"/>
  <c r="AJ277" i="19" s="1"/>
  <c r="DM277" i="19"/>
  <c r="V24" i="35"/>
  <c r="V39" i="35"/>
  <c r="AD108" i="11"/>
  <c r="EK8" i="7"/>
  <c r="BU47" i="19"/>
  <c r="BU71" i="19" s="1"/>
  <c r="BU7" i="15"/>
  <c r="BU45" i="15"/>
  <c r="AK265" i="19"/>
  <c r="AJ117" i="19"/>
  <c r="AI259" i="19"/>
  <c r="DJ277" i="19"/>
  <c r="R6" i="7"/>
  <c r="AV37" i="7" s="1"/>
  <c r="BP6" i="7"/>
  <c r="AG19" i="35"/>
  <c r="T21" i="35"/>
  <c r="T23" i="35" s="1"/>
  <c r="Y80" i="37"/>
  <c r="I63" i="19"/>
  <c r="J58" i="19" s="1"/>
  <c r="DO88" i="1"/>
  <c r="EI98" i="24"/>
  <c r="EJ99" i="24" s="1"/>
  <c r="EK100" i="24" s="1"/>
  <c r="EL98" i="24"/>
  <c r="EM99" i="24" s="1"/>
  <c r="EN100" i="24" s="1"/>
  <c r="EE52" i="24"/>
  <c r="AO51" i="24"/>
  <c r="EU87" i="24"/>
  <c r="EV88" i="24" s="1"/>
  <c r="EW89" i="24" s="1"/>
  <c r="CV55" i="1"/>
  <c r="CV33" i="1"/>
  <c r="CV39" i="1"/>
  <c r="AA46" i="24"/>
  <c r="CM47" i="24"/>
  <c r="EC98" i="24"/>
  <c r="ED99" i="24" s="1"/>
  <c r="EE100" i="24" s="1"/>
  <c r="CU144" i="11"/>
  <c r="CU127" i="1"/>
  <c r="J99" i="15"/>
  <c r="DB47" i="24"/>
  <c r="AF46" i="24"/>
  <c r="U24" i="35"/>
  <c r="U39" i="35"/>
  <c r="AD136" i="11"/>
  <c r="EU22" i="7" s="1"/>
  <c r="EU8" i="7"/>
  <c r="AD111" i="11"/>
  <c r="CW159" i="11"/>
  <c r="CW123" i="1" s="1"/>
  <c r="AD123" i="1" s="1"/>
  <c r="DE76" i="24"/>
  <c r="AG75" i="24"/>
  <c r="H75" i="24"/>
  <c r="DD126" i="24"/>
  <c r="ER120" i="24"/>
  <c r="ES121" i="24" s="1"/>
  <c r="ET122" i="24" s="1"/>
  <c r="AE9" i="11"/>
  <c r="AE15" i="1"/>
  <c r="H6" i="7" s="1"/>
  <c r="H29" i="7" s="1"/>
  <c r="AC13" i="7"/>
  <c r="H5" i="7"/>
  <c r="H28" i="7" s="1"/>
  <c r="CU47" i="19"/>
  <c r="CV7" i="15"/>
  <c r="CU45" i="15"/>
  <c r="AJ70" i="19"/>
  <c r="DO74" i="24"/>
  <c r="AJ73" i="24"/>
  <c r="I73" i="24"/>
  <c r="ER119" i="24"/>
  <c r="ES120" i="24" s="1"/>
  <c r="ET121" i="24" s="1"/>
  <c r="T74" i="38"/>
  <c r="T30" i="38"/>
  <c r="DN32" i="11"/>
  <c r="DN158" i="11" s="1"/>
  <c r="DN122" i="1" s="1"/>
  <c r="DN28" i="11"/>
  <c r="AJ33" i="11"/>
  <c r="EA74" i="24"/>
  <c r="AN73" i="24"/>
  <c r="BU50" i="19"/>
  <c r="BU26" i="15"/>
  <c r="BU25" i="15"/>
  <c r="BT23" i="15"/>
  <c r="BU91" i="15"/>
  <c r="DM53" i="24"/>
  <c r="AI52" i="24"/>
  <c r="I45" i="15"/>
  <c r="I265" i="19"/>
  <c r="AH265" i="19"/>
  <c r="CX60" i="11"/>
  <c r="CX79" i="11"/>
  <c r="CX157" i="11" s="1"/>
  <c r="X18" i="37"/>
  <c r="X14" i="35"/>
  <c r="X98" i="38"/>
  <c r="X91" i="38"/>
  <c r="X82" i="38"/>
  <c r="X107" i="38"/>
  <c r="X116" i="38"/>
  <c r="EL95" i="24"/>
  <c r="EM96" i="24" s="1"/>
  <c r="EN97" i="24" s="1"/>
  <c r="AT72" i="24"/>
  <c r="ER73" i="24"/>
  <c r="DZ8" i="25"/>
  <c r="DI83" i="24"/>
  <c r="AH82" i="24"/>
  <c r="EZ52" i="24"/>
  <c r="AV51" i="24"/>
  <c r="L51" i="24"/>
  <c r="Y39" i="37"/>
  <c r="EX93" i="24"/>
  <c r="EY94" i="24" s="1"/>
  <c r="EZ95" i="24" s="1"/>
  <c r="AK129" i="19"/>
  <c r="AD161" i="11"/>
  <c r="CL13" i="7" s="1"/>
  <c r="EU20" i="7"/>
  <c r="EN53" i="24"/>
  <c r="AR52" i="24"/>
  <c r="AD160" i="11"/>
  <c r="CL12" i="7" s="1"/>
  <c r="EK18" i="7"/>
  <c r="AV57" i="24"/>
  <c r="EX58" i="24"/>
  <c r="Y125" i="37"/>
  <c r="Y137" i="37" s="1"/>
  <c r="Z37" i="36"/>
  <c r="Z146" i="36"/>
  <c r="Z147" i="36" s="1"/>
  <c r="AI13" i="1"/>
  <c r="DJ88" i="1"/>
  <c r="CW102" i="11"/>
  <c r="AD101" i="11"/>
  <c r="CX38" i="11"/>
  <c r="CX28" i="1"/>
  <c r="EI99" i="24"/>
  <c r="EJ100" i="24" s="1"/>
  <c r="EK101" i="24" s="1"/>
  <c r="CU63" i="19"/>
  <c r="CV29" i="15"/>
  <c r="U13" i="29"/>
  <c r="X14" i="29"/>
  <c r="AD98" i="11"/>
  <c r="BX63" i="1"/>
  <c r="BX68" i="1" s="1"/>
  <c r="AA59" i="2"/>
  <c r="DE74" i="11"/>
  <c r="DE155" i="11" s="1"/>
  <c r="DE55" i="11"/>
  <c r="DE57" i="11" s="1"/>
  <c r="DE77" i="11"/>
  <c r="DF75" i="11"/>
  <c r="AD12" i="15"/>
  <c r="AD90" i="15"/>
  <c r="AG14" i="15"/>
  <c r="CZ14" i="7" s="1"/>
  <c r="AG15" i="15"/>
  <c r="CZ15" i="7" s="1"/>
  <c r="ED74" i="24"/>
  <c r="AO73" i="24"/>
  <c r="DO32" i="11"/>
  <c r="DO28" i="11"/>
  <c r="DP33" i="11"/>
  <c r="Y116" i="37"/>
  <c r="AS30" i="30"/>
  <c r="AO30" i="30"/>
  <c r="EJ74" i="24"/>
  <c r="AQ73" i="24"/>
  <c r="Z53" i="36"/>
  <c r="Z133" i="36"/>
  <c r="EF98" i="24"/>
  <c r="EG99" i="24" s="1"/>
  <c r="EH100" i="24" s="1"/>
  <c r="CZ48" i="24"/>
  <c r="AE47" i="24"/>
  <c r="EO96" i="24"/>
  <c r="EP97" i="24" s="1"/>
  <c r="EQ98" i="24" s="1"/>
  <c r="I48" i="15"/>
  <c r="EB15" i="25" s="1"/>
  <c r="DN88" i="1"/>
  <c r="EQ53" i="24"/>
  <c r="AS52" i="24"/>
  <c r="DP20" i="29"/>
  <c r="DQ16" i="29" s="1"/>
  <c r="DQ20" i="29" s="1"/>
  <c r="DR16" i="29" s="1"/>
  <c r="DR20" i="29" s="1"/>
  <c r="DS16" i="29" s="1"/>
  <c r="AK16" i="29"/>
  <c r="I259" i="19"/>
  <c r="I277" i="19" s="1"/>
  <c r="AH259" i="19"/>
  <c r="AH277" i="19" s="1"/>
  <c r="DG277" i="19"/>
  <c r="AI265" i="19"/>
  <c r="I71" i="19"/>
  <c r="J66" i="19" s="1"/>
  <c r="AG70" i="11"/>
  <c r="AI75" i="24"/>
  <c r="DK76" i="24"/>
  <c r="H87" i="24"/>
  <c r="AG87" i="24"/>
  <c r="DE88" i="24"/>
  <c r="Z109" i="36"/>
  <c r="Z135" i="36"/>
  <c r="CW48" i="24"/>
  <c r="AD47" i="24"/>
  <c r="H47" i="24"/>
  <c r="DC119" i="1"/>
  <c r="AF119" i="1" s="1"/>
  <c r="AH129" i="19"/>
  <c r="CX123" i="11"/>
  <c r="CX134" i="11"/>
  <c r="CX161" i="11" s="1"/>
  <c r="CX125" i="1" s="1"/>
  <c r="AJ23" i="29"/>
  <c r="DM27" i="29"/>
  <c r="DN23" i="29" s="1"/>
  <c r="DN27" i="29" s="1"/>
  <c r="DO23" i="29" s="1"/>
  <c r="DO27" i="29" s="1"/>
  <c r="DP23" i="29" s="1"/>
  <c r="AD124" i="11"/>
  <c r="AD34" i="15"/>
  <c r="AG36" i="15"/>
  <c r="DT14" i="7" s="1"/>
  <c r="AG37" i="15"/>
  <c r="DT15" i="7" s="1"/>
  <c r="AD92" i="15"/>
  <c r="BT34" i="29"/>
  <c r="BT37" i="29" s="1"/>
  <c r="U30" i="29"/>
  <c r="EK53" i="24"/>
  <c r="AQ52" i="24"/>
  <c r="EO73" i="24"/>
  <c r="AS72" i="24"/>
  <c r="CW104" i="11"/>
  <c r="CW21" i="11" s="1"/>
  <c r="BD7" i="25"/>
  <c r="BN27" i="25" s="1"/>
  <c r="BD8" i="25"/>
  <c r="EZ72" i="24"/>
  <c r="AV71" i="24"/>
  <c r="AW71" i="24"/>
  <c r="AD40" i="15"/>
  <c r="CU48" i="15"/>
  <c r="CU47" i="15"/>
  <c r="DH88" i="1"/>
  <c r="AD64" i="1"/>
  <c r="CF46" i="24"/>
  <c r="F45" i="24"/>
  <c r="X45" i="24"/>
  <c r="X61" i="24" s="1"/>
  <c r="CE61" i="24"/>
  <c r="CE14" i="24" s="1"/>
  <c r="DK17" i="11"/>
  <c r="DK35" i="1" s="1"/>
  <c r="AI35" i="1" s="1"/>
  <c r="DK29" i="11"/>
  <c r="DK30" i="11" s="1"/>
  <c r="EG74" i="24"/>
  <c r="AP73" i="24"/>
  <c r="B31" i="30"/>
  <c r="C31" i="30"/>
  <c r="A32" i="30"/>
  <c r="Y57" i="37"/>
  <c r="Y27" i="37"/>
  <c r="Y52" i="37"/>
  <c r="CU46" i="11"/>
  <c r="AN57" i="24"/>
  <c r="DZ58" i="24"/>
  <c r="EU93" i="24"/>
  <c r="EV94" i="24" s="1"/>
  <c r="EW95" i="24" s="1"/>
  <c r="CU33" i="1"/>
  <c r="CU55" i="1"/>
  <c r="CU39" i="1"/>
  <c r="Z14" i="36"/>
  <c r="DK88" i="1"/>
  <c r="CN7" i="7"/>
  <c r="Y109" i="37"/>
  <c r="Y99" i="37"/>
  <c r="ER95" i="24"/>
  <c r="ES96" i="24" s="1"/>
  <c r="ET97" i="24" s="1"/>
  <c r="AI27" i="29"/>
  <c r="AL28" i="29"/>
  <c r="AC46" i="24"/>
  <c r="CS47" i="24"/>
  <c r="EL73" i="24"/>
  <c r="K73" i="24" s="1"/>
  <c r="AR72" i="24"/>
  <c r="AJ56" i="24"/>
  <c r="DN57" i="24"/>
  <c r="AD61" i="11"/>
  <c r="AD89" i="11" s="1"/>
  <c r="AK13" i="1"/>
  <c r="DP88" i="1"/>
  <c r="DX74" i="24"/>
  <c r="AM73" i="24"/>
  <c r="BU13" i="29"/>
  <c r="BV9" i="29" s="1"/>
  <c r="BU30" i="29"/>
  <c r="BU34" i="29" s="1"/>
  <c r="BU37" i="29" s="1"/>
  <c r="BU38" i="29" s="1"/>
  <c r="CW121" i="1"/>
  <c r="AD121" i="1" s="1"/>
  <c r="CW140" i="11"/>
  <c r="K44" i="7"/>
  <c r="K44" i="25"/>
  <c r="DD57" i="11"/>
  <c r="EF99" i="24"/>
  <c r="EG100" i="24" s="1"/>
  <c r="EH101" i="24" s="1"/>
  <c r="J73" i="24"/>
  <c r="AD42" i="19"/>
  <c r="AD47" i="19" s="1"/>
  <c r="CU66" i="19"/>
  <c r="AD66" i="19" s="1"/>
  <c r="AD71" i="19" s="1"/>
  <c r="AJ129" i="19"/>
  <c r="AK259" i="19"/>
  <c r="AK277" i="19" s="1"/>
  <c r="DP277" i="19"/>
  <c r="Z38" i="36"/>
  <c r="Z42" i="36" s="1"/>
  <c r="Z13" i="36"/>
  <c r="V126" i="26" l="1"/>
  <c r="V164" i="26"/>
  <c r="V163" i="26" s="1"/>
  <c r="AV30" i="30"/>
  <c r="AK30" i="30"/>
  <c r="AN30" i="30"/>
  <c r="AR30" i="30"/>
  <c r="AU30" i="30"/>
  <c r="AJ30" i="30"/>
  <c r="AJ51" i="30" s="1"/>
  <c r="AM30" i="30"/>
  <c r="AQ30" i="30"/>
  <c r="E42" i="30"/>
  <c r="D42" i="30" s="1"/>
  <c r="AX30" i="30"/>
  <c r="AT30" i="30"/>
  <c r="AP30" i="30"/>
  <c r="AW30" i="30"/>
  <c r="W100" i="26"/>
  <c r="W101" i="26" s="1"/>
  <c r="W121" i="26"/>
  <c r="AI56" i="1"/>
  <c r="AI40" i="1"/>
  <c r="CX49" i="24"/>
  <c r="AD48" i="24"/>
  <c r="DO58" i="24"/>
  <c r="DP59" i="24" s="1"/>
  <c r="AJ57" i="24"/>
  <c r="Y118" i="37"/>
  <c r="Y30" i="37"/>
  <c r="AD74" i="1"/>
  <c r="AD45" i="15"/>
  <c r="AG47" i="15"/>
  <c r="ED14" i="7" s="1"/>
  <c r="AG48" i="15"/>
  <c r="ED15" i="7" s="1"/>
  <c r="BT38" i="29"/>
  <c r="L53" i="24"/>
  <c r="AT53" i="24"/>
  <c r="ER54" i="24"/>
  <c r="DA49" i="24"/>
  <c r="AE48" i="24"/>
  <c r="AI88" i="1"/>
  <c r="EY59" i="24"/>
  <c r="AV58" i="24"/>
  <c r="FA53" i="24"/>
  <c r="AW52" i="24"/>
  <c r="L52" i="24"/>
  <c r="CX121" i="1"/>
  <c r="J40" i="15"/>
  <c r="EB7" i="25"/>
  <c r="EB8" i="25" s="1"/>
  <c r="CB6" i="7"/>
  <c r="EX90" i="24"/>
  <c r="EY91" i="24" s="1"/>
  <c r="EZ92" i="24" s="1"/>
  <c r="BU42" i="19"/>
  <c r="BU66" i="19" s="1"/>
  <c r="BU15" i="15"/>
  <c r="BU14" i="15"/>
  <c r="BT12" i="15"/>
  <c r="BU40" i="15"/>
  <c r="BU90" i="15"/>
  <c r="V40" i="35"/>
  <c r="V45" i="35"/>
  <c r="V51" i="35"/>
  <c r="V55" i="35" s="1"/>
  <c r="AL53" i="24"/>
  <c r="DT54" i="24"/>
  <c r="ED103" i="15"/>
  <c r="ED21" i="15" s="1"/>
  <c r="ED104" i="15"/>
  <c r="ED22" i="15" s="1"/>
  <c r="ED54" i="19" s="1"/>
  <c r="ED191" i="19" s="1"/>
  <c r="CV50" i="19"/>
  <c r="CV23" i="15"/>
  <c r="CV26" i="15"/>
  <c r="CV91" i="15"/>
  <c r="CV25" i="15"/>
  <c r="U36" i="38"/>
  <c r="U13" i="38"/>
  <c r="U19" i="38" s="1"/>
  <c r="H8" i="8"/>
  <c r="H40" i="8" s="1"/>
  <c r="AM7" i="25"/>
  <c r="AM8" i="25" s="1"/>
  <c r="I98" i="1"/>
  <c r="AM11" i="25" s="1"/>
  <c r="I14" i="1"/>
  <c r="I97" i="1"/>
  <c r="AM10" i="25" s="1"/>
  <c r="DS75" i="24"/>
  <c r="AK74" i="24"/>
  <c r="CX101" i="11"/>
  <c r="CX111" i="11"/>
  <c r="CX159" i="11" s="1"/>
  <c r="CX123" i="1" s="1"/>
  <c r="AJ88" i="1"/>
  <c r="Y115" i="37"/>
  <c r="Y110" i="37"/>
  <c r="Y111" i="37" s="1"/>
  <c r="ER98" i="24"/>
  <c r="ES99" i="24" s="1"/>
  <c r="ET100" i="24" s="1"/>
  <c r="AD90" i="11"/>
  <c r="EI102" i="24"/>
  <c r="EJ103" i="24" s="1"/>
  <c r="EK104" i="24" s="1"/>
  <c r="CW129" i="11"/>
  <c r="CW139" i="11"/>
  <c r="AD140" i="11"/>
  <c r="EU26" i="7" s="1"/>
  <c r="DY75" i="24"/>
  <c r="AM74" i="24"/>
  <c r="EX96" i="24"/>
  <c r="EY97" i="24" s="1"/>
  <c r="EZ98" i="24" s="1"/>
  <c r="Y38" i="37"/>
  <c r="EH75" i="24"/>
  <c r="AP74" i="24"/>
  <c r="CW44" i="1"/>
  <c r="AD21" i="11"/>
  <c r="H88" i="24"/>
  <c r="AG88" i="24"/>
  <c r="DF89" i="24"/>
  <c r="EK75" i="24"/>
  <c r="AQ74" i="24"/>
  <c r="EE75" i="24"/>
  <c r="AO74" i="24"/>
  <c r="FA96" i="24"/>
  <c r="FB97" i="24" s="1"/>
  <c r="CX61" i="11"/>
  <c r="CX62" i="11"/>
  <c r="CV42" i="19"/>
  <c r="CV12" i="15"/>
  <c r="CV40" i="15"/>
  <c r="CV90" i="15"/>
  <c r="CV15" i="15"/>
  <c r="CV14" i="15"/>
  <c r="AD159" i="11"/>
  <c r="CL11" i="7" s="1"/>
  <c r="CL38" i="7" s="1"/>
  <c r="EK23" i="7"/>
  <c r="EF101" i="24"/>
  <c r="EG102" i="24" s="1"/>
  <c r="EH103" i="24" s="1"/>
  <c r="EW72" i="24"/>
  <c r="AU71" i="24"/>
  <c r="L71" i="24"/>
  <c r="DX102" i="24"/>
  <c r="DY103" i="24" s="1"/>
  <c r="DV103" i="15"/>
  <c r="DV104" i="15" s="1"/>
  <c r="CV144" i="11"/>
  <c r="CV125" i="11" s="1"/>
  <c r="CV132" i="11" s="1"/>
  <c r="CV22" i="11" s="1"/>
  <c r="CV45" i="1" s="1"/>
  <c r="CV84" i="1" s="1"/>
  <c r="CV127" i="1"/>
  <c r="DO77" i="24"/>
  <c r="AJ76" i="24"/>
  <c r="EV74" i="24"/>
  <c r="AU73" i="24"/>
  <c r="CR49" i="24"/>
  <c r="AB48" i="24"/>
  <c r="AK88" i="1"/>
  <c r="EU98" i="24"/>
  <c r="EV99" i="24" s="1"/>
  <c r="EW100" i="24" s="1"/>
  <c r="EA59" i="24"/>
  <c r="AN58" i="24"/>
  <c r="AK23" i="29"/>
  <c r="DP27" i="29"/>
  <c r="DQ23" i="29" s="1"/>
  <c r="DQ27" i="29" s="1"/>
  <c r="DR23" i="29" s="1"/>
  <c r="DR27" i="29" s="1"/>
  <c r="DS23" i="29" s="1"/>
  <c r="DE119" i="1"/>
  <c r="CX64" i="1"/>
  <c r="ES74" i="24"/>
  <c r="AT73" i="24"/>
  <c r="AJ53" i="24"/>
  <c r="DN54" i="24"/>
  <c r="EB75" i="24"/>
  <c r="AN74" i="24"/>
  <c r="EU122" i="24"/>
  <c r="EV123" i="24" s="1"/>
  <c r="EW124" i="24" s="1"/>
  <c r="CU71" i="19"/>
  <c r="CN48" i="24"/>
  <c r="AA47" i="24"/>
  <c r="BT63" i="19"/>
  <c r="BT29" i="15"/>
  <c r="EX99" i="24"/>
  <c r="EY100" i="24" s="1"/>
  <c r="EZ101" i="24" s="1"/>
  <c r="EA103" i="15"/>
  <c r="EA21" i="15" s="1"/>
  <c r="EC104" i="15"/>
  <c r="EC22" i="15" s="1"/>
  <c r="EC54" i="19" s="1"/>
  <c r="EC191" i="19" s="1"/>
  <c r="EC103" i="15"/>
  <c r="EC21" i="15" s="1"/>
  <c r="DX53" i="24"/>
  <c r="J53" i="24" s="1"/>
  <c r="AM52" i="24"/>
  <c r="J52" i="24"/>
  <c r="CX98" i="11"/>
  <c r="DF69" i="11"/>
  <c r="DF51" i="11"/>
  <c r="DF72" i="11"/>
  <c r="DG70" i="11"/>
  <c r="DH70" i="11"/>
  <c r="DI70" i="11" s="1"/>
  <c r="W45" i="35"/>
  <c r="W51" i="35"/>
  <c r="W55" i="35" s="1"/>
  <c r="W40" i="35"/>
  <c r="CW45" i="11"/>
  <c r="AD40" i="11"/>
  <c r="AD45" i="11" s="1"/>
  <c r="C32" i="30"/>
  <c r="A33" i="30"/>
  <c r="B32" i="30"/>
  <c r="DK56" i="1"/>
  <c r="DK40" i="1"/>
  <c r="AJ27" i="29"/>
  <c r="AM28" i="29"/>
  <c r="Y117" i="37"/>
  <c r="CV58" i="19"/>
  <c r="CV34" i="15"/>
  <c r="CV36" i="15"/>
  <c r="CV92" i="15"/>
  <c r="CV37" i="15"/>
  <c r="CX39" i="11"/>
  <c r="DJ84" i="24"/>
  <c r="AH83" i="24"/>
  <c r="EU123" i="24"/>
  <c r="EV124" i="24" s="1"/>
  <c r="EW125" i="24" s="1"/>
  <c r="DC48" i="24"/>
  <c r="AF47" i="24"/>
  <c r="EF53" i="24"/>
  <c r="AP52" i="24"/>
  <c r="K52" i="24"/>
  <c r="AI277" i="19"/>
  <c r="AW58" i="24"/>
  <c r="FA59" i="24"/>
  <c r="FA95" i="24"/>
  <c r="FB96" i="24" s="1"/>
  <c r="W36" i="38"/>
  <c r="W13" i="38"/>
  <c r="W19" i="38" s="1"/>
  <c r="DI77" i="24"/>
  <c r="AH76" i="24"/>
  <c r="DS103" i="15"/>
  <c r="DS104" i="15" s="1"/>
  <c r="DU103" i="15"/>
  <c r="DU21" i="15" s="1"/>
  <c r="AD44" i="11"/>
  <c r="AD47" i="11"/>
  <c r="EI93" i="24"/>
  <c r="EJ94" i="24" s="1"/>
  <c r="EK95" i="24" s="1"/>
  <c r="EX98" i="24"/>
  <c r="EY99" i="24" s="1"/>
  <c r="EZ100" i="24" s="1"/>
  <c r="CL9" i="7"/>
  <c r="EP74" i="24"/>
  <c r="AS73" i="24"/>
  <c r="EI101" i="24"/>
  <c r="EJ102" i="24" s="1"/>
  <c r="EK103" i="24" s="1"/>
  <c r="DP28" i="11"/>
  <c r="DP32" i="11"/>
  <c r="DP158" i="11" s="1"/>
  <c r="DP122" i="1" s="1"/>
  <c r="DQ33" i="11"/>
  <c r="BY63" i="1"/>
  <c r="BY68" i="1" s="1"/>
  <c r="AB59" i="2"/>
  <c r="X15" i="35"/>
  <c r="BT55" i="19"/>
  <c r="BT18" i="15"/>
  <c r="DN17" i="11"/>
  <c r="DN35" i="1" s="1"/>
  <c r="DN29" i="11"/>
  <c r="DN30" i="11" s="1"/>
  <c r="AJ28" i="11"/>
  <c r="DU99" i="15"/>
  <c r="EC99" i="15"/>
  <c r="DY99" i="15"/>
  <c r="DZ99" i="15"/>
  <c r="EA99" i="15"/>
  <c r="DS99" i="15"/>
  <c r="EB99" i="15"/>
  <c r="DT99" i="15"/>
  <c r="ED99" i="15"/>
  <c r="DV99" i="15"/>
  <c r="DW99" i="15"/>
  <c r="DX99" i="15"/>
  <c r="EG60" i="24"/>
  <c r="AP59" i="24"/>
  <c r="DZ103" i="15"/>
  <c r="DZ21" i="15" s="1"/>
  <c r="EB103" i="15"/>
  <c r="I88" i="1"/>
  <c r="AH88" i="1"/>
  <c r="J74" i="24"/>
  <c r="EO93" i="24"/>
  <c r="EP94" i="24" s="1"/>
  <c r="EQ95" i="24" s="1"/>
  <c r="EO102" i="24"/>
  <c r="EP103" i="24" s="1"/>
  <c r="EQ104" i="24" s="1"/>
  <c r="DE52" i="11"/>
  <c r="FA125" i="24"/>
  <c r="CU81" i="1"/>
  <c r="CU37" i="1"/>
  <c r="CU38" i="1"/>
  <c r="F31" i="30"/>
  <c r="AW72" i="24"/>
  <c r="FA73" i="24"/>
  <c r="DL77" i="24"/>
  <c r="AI76" i="24"/>
  <c r="AK20" i="29"/>
  <c r="AN21" i="29"/>
  <c r="ER99" i="24"/>
  <c r="ES100" i="24" s="1"/>
  <c r="ET101" i="24" s="1"/>
  <c r="Z136" i="36"/>
  <c r="DO17" i="11"/>
  <c r="DO35" i="1" s="1"/>
  <c r="DO29" i="11"/>
  <c r="DO30" i="11" s="1"/>
  <c r="CW7" i="7"/>
  <c r="CW8" i="7"/>
  <c r="AD117" i="11"/>
  <c r="EK9" i="7"/>
  <c r="AD113" i="11"/>
  <c r="EK25" i="7" s="1"/>
  <c r="EK12" i="7"/>
  <c r="AS53" i="24"/>
  <c r="EO54" i="24"/>
  <c r="CV81" i="1"/>
  <c r="CV38" i="1"/>
  <c r="CV37" i="1"/>
  <c r="EO101" i="24"/>
  <c r="EP102" i="24" s="1"/>
  <c r="EQ103" i="24" s="1"/>
  <c r="DG7" i="7"/>
  <c r="DG8" i="7"/>
  <c r="EX95" i="24"/>
  <c r="EY96" i="24" s="1"/>
  <c r="EZ97" i="24" s="1"/>
  <c r="DY103" i="15"/>
  <c r="DT103" i="15"/>
  <c r="DT21" i="15" s="1"/>
  <c r="CW16" i="11"/>
  <c r="CW34" i="1" s="1"/>
  <c r="CW42" i="11"/>
  <c r="AD41" i="11"/>
  <c r="AD16" i="11" s="1"/>
  <c r="DJ90" i="24"/>
  <c r="AH89" i="24"/>
  <c r="CY9" i="11"/>
  <c r="CY15" i="1"/>
  <c r="CZ9" i="1"/>
  <c r="CY29" i="1"/>
  <c r="G47" i="24"/>
  <c r="EC53" i="24"/>
  <c r="AO52" i="24"/>
  <c r="DQ7" i="7"/>
  <c r="DQ8" i="7"/>
  <c r="DS20" i="29"/>
  <c r="DT16" i="29" s="1"/>
  <c r="DT20" i="29" s="1"/>
  <c r="DU16" i="29" s="1"/>
  <c r="DU20" i="29" s="1"/>
  <c r="DV16" i="29" s="1"/>
  <c r="AL16" i="29"/>
  <c r="Z43" i="36"/>
  <c r="Z15" i="36"/>
  <c r="EO98" i="24"/>
  <c r="EP99" i="24" s="1"/>
  <c r="EQ100" i="24" s="1"/>
  <c r="AG30" i="38"/>
  <c r="T36" i="38"/>
  <c r="T13" i="38"/>
  <c r="T19" i="38" s="1"/>
  <c r="DP75" i="24"/>
  <c r="AJ74" i="24"/>
  <c r="I74" i="24"/>
  <c r="U40" i="35"/>
  <c r="U45" i="35"/>
  <c r="U51" i="35"/>
  <c r="U55" i="35" s="1"/>
  <c r="CU100" i="1"/>
  <c r="CU101" i="1"/>
  <c r="EL101" i="24"/>
  <c r="EM102" i="24" s="1"/>
  <c r="EN103" i="24" s="1"/>
  <c r="T39" i="35"/>
  <c r="T24" i="35"/>
  <c r="EY78" i="24"/>
  <c r="EZ79" i="24" s="1"/>
  <c r="DX103" i="15"/>
  <c r="DX21" i="15" s="1"/>
  <c r="Y73" i="37"/>
  <c r="Z65" i="37"/>
  <c r="Y75" i="37"/>
  <c r="EF102" i="24"/>
  <c r="EG103" i="24" s="1"/>
  <c r="EH104" i="24" s="1"/>
  <c r="AM75" i="24"/>
  <c r="DW76" i="24"/>
  <c r="CY80" i="11"/>
  <c r="CY135" i="11"/>
  <c r="CY107" i="11"/>
  <c r="CL49" i="24"/>
  <c r="Z48" i="24"/>
  <c r="Z84" i="37"/>
  <c r="Y92" i="37"/>
  <c r="Y94" i="37"/>
  <c r="BR106" i="1"/>
  <c r="BQ113" i="1"/>
  <c r="EM74" i="24"/>
  <c r="AR73" i="24"/>
  <c r="Z16" i="36"/>
  <c r="Z39" i="36"/>
  <c r="Y42" i="35"/>
  <c r="BV13" i="29"/>
  <c r="BW9" i="29" s="1"/>
  <c r="BV30" i="29"/>
  <c r="BV34" i="29" s="1"/>
  <c r="BV37" i="29" s="1"/>
  <c r="BV38" i="29" s="1"/>
  <c r="CT48" i="24"/>
  <c r="G48" i="24" s="1"/>
  <c r="AC47" i="24"/>
  <c r="AR53" i="24"/>
  <c r="EL54" i="24"/>
  <c r="AJ32" i="11"/>
  <c r="AJ158" i="11" s="1"/>
  <c r="DO158" i="11"/>
  <c r="DO122" i="1" s="1"/>
  <c r="AJ122" i="1" s="1"/>
  <c r="EL102" i="24"/>
  <c r="EM103" i="24" s="1"/>
  <c r="EN104" i="24" s="1"/>
  <c r="Z41" i="36"/>
  <c r="Z45" i="37"/>
  <c r="Y53" i="37"/>
  <c r="Y55" i="37"/>
  <c r="Y46" i="24"/>
  <c r="CG47" i="24"/>
  <c r="F46" i="24"/>
  <c r="CF61" i="24"/>
  <c r="CF14" i="24" s="1"/>
  <c r="U34" i="29"/>
  <c r="X35" i="29"/>
  <c r="AD148" i="11"/>
  <c r="EU9" i="7"/>
  <c r="CX124" i="11"/>
  <c r="CD13" i="7"/>
  <c r="CD14" i="7" s="1"/>
  <c r="AG72" i="11"/>
  <c r="DF55" i="11"/>
  <c r="DF74" i="11"/>
  <c r="DF77" i="11"/>
  <c r="DG75" i="11"/>
  <c r="DH75" i="11" s="1"/>
  <c r="AG75" i="11"/>
  <c r="AD102" i="11"/>
  <c r="AD104" i="11" s="1"/>
  <c r="Y134" i="37"/>
  <c r="Y129" i="37"/>
  <c r="DF77" i="24"/>
  <c r="AG76" i="24"/>
  <c r="H76" i="24"/>
  <c r="DE126" i="24"/>
  <c r="CU125" i="11"/>
  <c r="Z41" i="34"/>
  <c r="Z43" i="34" s="1"/>
  <c r="Z45" i="34" s="1"/>
  <c r="AG21" i="35"/>
  <c r="AG23" i="35" s="1"/>
  <c r="DW103" i="15"/>
  <c r="DW21" i="15" s="1"/>
  <c r="V36" i="38"/>
  <c r="V13" i="38"/>
  <c r="V19" i="38" s="1"/>
  <c r="DG84" i="24"/>
  <c r="AG83" i="24"/>
  <c r="H83" i="24"/>
  <c r="AH98" i="1"/>
  <c r="AH97" i="1"/>
  <c r="AK53" i="24"/>
  <c r="DQ54" i="24"/>
  <c r="J111" i="15"/>
  <c r="F32" i="30" l="1"/>
  <c r="W124" i="26"/>
  <c r="W123" i="26"/>
  <c r="DS22" i="15"/>
  <c r="DH55" i="11"/>
  <c r="DH57" i="11" s="1"/>
  <c r="DH74" i="11"/>
  <c r="DH155" i="11" s="1"/>
  <c r="DH77" i="11"/>
  <c r="DI75" i="11"/>
  <c r="DV22" i="15"/>
  <c r="DI69" i="11"/>
  <c r="DI51" i="11"/>
  <c r="DI72" i="11"/>
  <c r="DJ70" i="11"/>
  <c r="AG39" i="35"/>
  <c r="AG24" i="35"/>
  <c r="DG78" i="24"/>
  <c r="AG77" i="24"/>
  <c r="H77" i="24"/>
  <c r="DF126" i="24"/>
  <c r="EN75" i="24"/>
  <c r="AR74" i="24"/>
  <c r="DX77" i="24"/>
  <c r="AM76" i="24"/>
  <c r="T40" i="35"/>
  <c r="T45" i="35"/>
  <c r="T51" i="35"/>
  <c r="T55" i="35" s="1"/>
  <c r="ER101" i="24"/>
  <c r="ES102" i="24" s="1"/>
  <c r="ET103" i="24" s="1"/>
  <c r="CW46" i="11"/>
  <c r="AD42" i="11"/>
  <c r="AD46" i="11" s="1"/>
  <c r="FB74" i="24"/>
  <c r="AW73" i="24"/>
  <c r="DZ104" i="15"/>
  <c r="DZ22" i="15" s="1"/>
  <c r="DZ54" i="19" s="1"/>
  <c r="DZ191" i="19" s="1"/>
  <c r="ED98" i="15"/>
  <c r="ED11" i="15" s="1"/>
  <c r="ED97" i="15"/>
  <c r="ED10" i="15" s="1"/>
  <c r="DU97" i="15"/>
  <c r="DU10" i="15" s="1"/>
  <c r="EL104" i="24"/>
  <c r="EM105" i="24" s="1"/>
  <c r="EN106" i="24" s="1"/>
  <c r="CA16" i="7"/>
  <c r="CA17" i="7" s="1"/>
  <c r="CL37" i="7"/>
  <c r="DU104" i="15"/>
  <c r="DU22" i="15" s="1"/>
  <c r="DU54" i="19" s="1"/>
  <c r="DU191" i="19" s="1"/>
  <c r="AI84" i="24"/>
  <c r="DK85" i="24"/>
  <c r="EA104" i="15"/>
  <c r="EA22" i="15" s="1"/>
  <c r="EA54" i="19" s="1"/>
  <c r="EA191" i="19" s="1"/>
  <c r="CO49" i="24"/>
  <c r="AA48" i="24"/>
  <c r="DO55" i="24"/>
  <c r="AJ54" i="24"/>
  <c r="DP78" i="24"/>
  <c r="AJ77" i="24"/>
  <c r="K75" i="24"/>
  <c r="EF76" i="24"/>
  <c r="AP75" i="24"/>
  <c r="K74" i="24"/>
  <c r="AL75" i="24"/>
  <c r="DT76" i="24"/>
  <c r="J75" i="24"/>
  <c r="DU55" i="24"/>
  <c r="AL54" i="24"/>
  <c r="BT47" i="19"/>
  <c r="BT71" i="19" s="1"/>
  <c r="BT45" i="15"/>
  <c r="BT7" i="15"/>
  <c r="Y41" i="37"/>
  <c r="Y40" i="37"/>
  <c r="AH84" i="24"/>
  <c r="DH85" i="24"/>
  <c r="CM50" i="24"/>
  <c r="AA49" i="24"/>
  <c r="DX53" i="19"/>
  <c r="DX185" i="19" s="1"/>
  <c r="CZ14" i="1"/>
  <c r="CZ97" i="1"/>
  <c r="CZ98" i="1"/>
  <c r="EU102" i="24"/>
  <c r="EV103" i="24" s="1"/>
  <c r="EW104" i="24" s="1"/>
  <c r="ER96" i="24"/>
  <c r="ES97" i="24" s="1"/>
  <c r="ET98" i="24" s="1"/>
  <c r="DT97" i="15"/>
  <c r="DT10" i="15" s="1"/>
  <c r="AJ34" i="11"/>
  <c r="AJ17" i="11"/>
  <c r="AJ29" i="11"/>
  <c r="AJ30" i="11" s="1"/>
  <c r="BZ63" i="1"/>
  <c r="AC59" i="2"/>
  <c r="FA101" i="24"/>
  <c r="FB102" i="24" s="1"/>
  <c r="DU53" i="19"/>
  <c r="DU185" i="19" s="1"/>
  <c r="EG54" i="24"/>
  <c r="K53" i="24"/>
  <c r="AP53" i="24"/>
  <c r="DH69" i="11"/>
  <c r="DH156" i="11" s="1"/>
  <c r="DH120" i="1" s="1"/>
  <c r="DH51" i="11"/>
  <c r="DH72" i="11"/>
  <c r="EA53" i="19"/>
  <c r="EA185" i="19" s="1"/>
  <c r="CV100" i="1"/>
  <c r="CV101" i="1"/>
  <c r="CX40" i="11"/>
  <c r="AQ75" i="24"/>
  <c r="EI76" i="24"/>
  <c r="FB54" i="24"/>
  <c r="AW54" i="24" s="1"/>
  <c r="AW53" i="24"/>
  <c r="AF49" i="24"/>
  <c r="DB50" i="24"/>
  <c r="Z60" i="34"/>
  <c r="Z61" i="34" s="1"/>
  <c r="Z46" i="34"/>
  <c r="DG55" i="11"/>
  <c r="AH75" i="11"/>
  <c r="AH77" i="11" s="1"/>
  <c r="DG74" i="11"/>
  <c r="DG155" i="11" s="1"/>
  <c r="DG77" i="11"/>
  <c r="CU132" i="11"/>
  <c r="CU22" i="11" s="1"/>
  <c r="Y130" i="37"/>
  <c r="Z122" i="37"/>
  <c r="Y132" i="37"/>
  <c r="Y31" i="37"/>
  <c r="EM55" i="24"/>
  <c r="AR54" i="24"/>
  <c r="BR110" i="1"/>
  <c r="BR99" i="1"/>
  <c r="DX104" i="15"/>
  <c r="DX22" i="15" s="1"/>
  <c r="DX54" i="19" s="1"/>
  <c r="DX191" i="19" s="1"/>
  <c r="EO104" i="24"/>
  <c r="EP105" i="24" s="1"/>
  <c r="EQ106" i="24" s="1"/>
  <c r="CW55" i="1"/>
  <c r="CW33" i="1"/>
  <c r="CW39" i="1"/>
  <c r="AD34" i="1"/>
  <c r="AL31" i="30"/>
  <c r="AT31" i="30"/>
  <c r="AM31" i="30"/>
  <c r="AU31" i="30"/>
  <c r="E43" i="30"/>
  <c r="D43" i="30" s="1"/>
  <c r="AN31" i="30"/>
  <c r="AV31" i="30"/>
  <c r="AO31" i="30"/>
  <c r="AW31" i="30"/>
  <c r="AP31" i="30"/>
  <c r="AX31" i="30"/>
  <c r="AQ31" i="30"/>
  <c r="AY31" i="30"/>
  <c r="AR31" i="30"/>
  <c r="AK31" i="30"/>
  <c r="AK51" i="30" s="1"/>
  <c r="AS31" i="30"/>
  <c r="EB97" i="15"/>
  <c r="EB98" i="15"/>
  <c r="DQ28" i="11"/>
  <c r="DQ32" i="11"/>
  <c r="DQ158" i="11" s="1"/>
  <c r="DQ122" i="1" s="1"/>
  <c r="DR33" i="11"/>
  <c r="CV63" i="19"/>
  <c r="CW29" i="15"/>
  <c r="DG69" i="11"/>
  <c r="DG156" i="11" s="1"/>
  <c r="DG120" i="1" s="1"/>
  <c r="AH70" i="11"/>
  <c r="AH72" i="11" s="1"/>
  <c r="DG51" i="11"/>
  <c r="DG72" i="11"/>
  <c r="FA102" i="24"/>
  <c r="FB103" i="24" s="1"/>
  <c r="DS27" i="29"/>
  <c r="DT23" i="29" s="1"/>
  <c r="DT27" i="29" s="1"/>
  <c r="DU23" i="29" s="1"/>
  <c r="DU27" i="29" s="1"/>
  <c r="DV23" i="29" s="1"/>
  <c r="AL23" i="29"/>
  <c r="EX73" i="24"/>
  <c r="AV72" i="24"/>
  <c r="L72" i="24"/>
  <c r="AN75" i="24"/>
  <c r="DZ76" i="24"/>
  <c r="H9" i="8"/>
  <c r="I9" i="11"/>
  <c r="CB6" i="25" s="1"/>
  <c r="J9" i="1"/>
  <c r="AC13" i="25"/>
  <c r="I15" i="1"/>
  <c r="H6" i="25" s="1"/>
  <c r="H29" i="25" s="1"/>
  <c r="H5" i="25"/>
  <c r="H28" i="25" s="1"/>
  <c r="ES55" i="24"/>
  <c r="L54" i="24"/>
  <c r="AT54" i="24"/>
  <c r="EA7" i="7"/>
  <c r="EA8" i="7"/>
  <c r="EK16" i="7"/>
  <c r="Z49" i="37"/>
  <c r="AA55" i="36"/>
  <c r="AA51" i="36" s="1"/>
  <c r="Z51" i="37"/>
  <c r="Y113" i="37"/>
  <c r="Y14" i="37" s="1"/>
  <c r="EI105" i="24"/>
  <c r="EJ106" i="24" s="1"/>
  <c r="EK107" i="24" s="1"/>
  <c r="Z21" i="36"/>
  <c r="DT53" i="19"/>
  <c r="DT185" i="19" s="1"/>
  <c r="EP55" i="24"/>
  <c r="AS54" i="24"/>
  <c r="DS97" i="15"/>
  <c r="DS98" i="15" s="1"/>
  <c r="DN56" i="1"/>
  <c r="DN40" i="1"/>
  <c r="AJ35" i="1"/>
  <c r="EQ75" i="24"/>
  <c r="AS74" i="24"/>
  <c r="DS21" i="15"/>
  <c r="J103" i="15"/>
  <c r="AL103" i="15"/>
  <c r="FB60" i="24"/>
  <c r="FB61" i="24" s="1"/>
  <c r="AW59" i="24"/>
  <c r="FA61" i="24"/>
  <c r="DD49" i="24"/>
  <c r="AF48" i="24"/>
  <c r="EX125" i="24"/>
  <c r="AK27" i="29"/>
  <c r="AN28" i="29"/>
  <c r="EU101" i="24"/>
  <c r="EV102" i="24" s="1"/>
  <c r="EW103" i="24" s="1"/>
  <c r="EZ60" i="24"/>
  <c r="EY61" i="24"/>
  <c r="DQ60" i="24"/>
  <c r="AK59" i="24"/>
  <c r="Z4" i="36"/>
  <c r="Z17" i="36"/>
  <c r="CY106" i="11"/>
  <c r="CY160" i="11" s="1"/>
  <c r="CY124" i="1" s="1"/>
  <c r="CY97" i="11"/>
  <c r="CY112" i="11"/>
  <c r="AK75" i="24"/>
  <c r="DQ76" i="24"/>
  <c r="I75" i="24"/>
  <c r="DT104" i="15"/>
  <c r="DT22" i="15" s="1"/>
  <c r="DT54" i="19" s="1"/>
  <c r="DT191" i="19" s="1"/>
  <c r="DO56" i="1"/>
  <c r="DO40" i="1"/>
  <c r="CV92" i="1"/>
  <c r="CV93" i="1" s="1"/>
  <c r="CU92" i="1"/>
  <c r="EA97" i="15"/>
  <c r="EA10" i="15" s="1"/>
  <c r="EA98" i="15"/>
  <c r="EA11" i="15" s="1"/>
  <c r="BT50" i="19"/>
  <c r="U50" i="19" s="1"/>
  <c r="U55" i="19" s="1"/>
  <c r="BT26" i="15"/>
  <c r="BT25" i="15"/>
  <c r="BS23" i="15"/>
  <c r="U18" i="15"/>
  <c r="BT91" i="15"/>
  <c r="EL96" i="24"/>
  <c r="EM97" i="24" s="1"/>
  <c r="EN98" i="24" s="1"/>
  <c r="AP32" i="30"/>
  <c r="AX32" i="30"/>
  <c r="AQ32" i="30"/>
  <c r="AY32" i="30"/>
  <c r="AR32" i="30"/>
  <c r="AZ32" i="30"/>
  <c r="AS32" i="30"/>
  <c r="AL32" i="30"/>
  <c r="AL51" i="30" s="1"/>
  <c r="AT32" i="30"/>
  <c r="AM32" i="30"/>
  <c r="AU32" i="30"/>
  <c r="AN32" i="30"/>
  <c r="AV32" i="30"/>
  <c r="E44" i="30"/>
  <c r="D44" i="30" s="1"/>
  <c r="AO32" i="30"/>
  <c r="AW32" i="30"/>
  <c r="DF52" i="11"/>
  <c r="AG52" i="11" s="1"/>
  <c r="AG51" i="11"/>
  <c r="AG71" i="11" s="1"/>
  <c r="BT58" i="19"/>
  <c r="U58" i="19" s="1"/>
  <c r="U63" i="19" s="1"/>
  <c r="BT92" i="15"/>
  <c r="U29" i="15"/>
  <c r="BS34" i="15"/>
  <c r="BT37" i="15"/>
  <c r="BT36" i="15"/>
  <c r="AC49" i="24"/>
  <c r="CS50" i="24"/>
  <c r="DV21" i="15"/>
  <c r="AM103" i="15"/>
  <c r="EI104" i="24"/>
  <c r="EJ105" i="24" s="1"/>
  <c r="EK106" i="24" s="1"/>
  <c r="CV47" i="15"/>
  <c r="CV48" i="15"/>
  <c r="EL76" i="24"/>
  <c r="AR75" i="24"/>
  <c r="CV55" i="19"/>
  <c r="CW18" i="15"/>
  <c r="V14" i="39"/>
  <c r="V18" i="39" s="1"/>
  <c r="V46" i="35"/>
  <c r="CX140" i="11"/>
  <c r="DX111" i="15"/>
  <c r="DY111" i="15"/>
  <c r="DZ111" i="15"/>
  <c r="DS111" i="15"/>
  <c r="EA111" i="15"/>
  <c r="DT111" i="15"/>
  <c r="EB111" i="15"/>
  <c r="DU111" i="15"/>
  <c r="EC111" i="15"/>
  <c r="DV111" i="15"/>
  <c r="ED111" i="15"/>
  <c r="DW111" i="15"/>
  <c r="DW53" i="19"/>
  <c r="DW185" i="19" s="1"/>
  <c r="F47" i="24"/>
  <c r="Y47" i="24"/>
  <c r="CH48" i="24"/>
  <c r="CG61" i="24"/>
  <c r="CG14" i="24" s="1"/>
  <c r="EO105" i="24"/>
  <c r="EP106" i="24" s="1"/>
  <c r="EQ107" i="24" s="1"/>
  <c r="CU49" i="24"/>
  <c r="AC48" i="24"/>
  <c r="Z19" i="36"/>
  <c r="CY134" i="11"/>
  <c r="CY161" i="11" s="1"/>
  <c r="CY125" i="1" s="1"/>
  <c r="CY123" i="11"/>
  <c r="FA80" i="24"/>
  <c r="AL20" i="29"/>
  <c r="AO21" i="29"/>
  <c r="ED54" i="24"/>
  <c r="AO53" i="24"/>
  <c r="DY21" i="15"/>
  <c r="AN103" i="15"/>
  <c r="ER104" i="24"/>
  <c r="ES105" i="24" s="1"/>
  <c r="ET106" i="24" s="1"/>
  <c r="H52" i="11"/>
  <c r="EB21" i="15"/>
  <c r="AO103" i="15"/>
  <c r="DX98" i="15"/>
  <c r="DX11" i="15" s="1"/>
  <c r="DX97" i="15"/>
  <c r="DX10" i="15" s="1"/>
  <c r="DZ97" i="15"/>
  <c r="DZ10" i="15" s="1"/>
  <c r="DZ98" i="15"/>
  <c r="DZ11" i="15" s="1"/>
  <c r="DP17" i="11"/>
  <c r="DP35" i="1" s="1"/>
  <c r="DP29" i="11"/>
  <c r="DP30" i="11" s="1"/>
  <c r="A34" i="30"/>
  <c r="B33" i="30"/>
  <c r="C33" i="30"/>
  <c r="W46" i="35"/>
  <c r="W14" i="39"/>
  <c r="W18" i="39" s="1"/>
  <c r="H69" i="11"/>
  <c r="H156" i="11" s="1"/>
  <c r="AG69" i="11"/>
  <c r="AG156" i="11" s="1"/>
  <c r="CO8" i="7" s="1"/>
  <c r="DF156" i="11"/>
  <c r="DF120" i="1" s="1"/>
  <c r="DY54" i="24"/>
  <c r="AM53" i="24"/>
  <c r="ET75" i="24"/>
  <c r="AT74" i="24"/>
  <c r="EB60" i="24"/>
  <c r="CV47" i="19"/>
  <c r="CV71" i="19" s="1"/>
  <c r="CW7" i="15"/>
  <c r="CV45" i="15"/>
  <c r="CW83" i="1"/>
  <c r="AD44" i="1"/>
  <c r="FA99" i="24"/>
  <c r="FB100" i="24" s="1"/>
  <c r="AD139" i="11"/>
  <c r="CW162" i="11"/>
  <c r="CX102" i="11"/>
  <c r="H48" i="24"/>
  <c r="AD118" i="11"/>
  <c r="EK13" i="7"/>
  <c r="EK15" i="7" s="1"/>
  <c r="H74" i="11"/>
  <c r="H155" i="11" s="1"/>
  <c r="AG74" i="11"/>
  <c r="AG155" i="11" s="1"/>
  <c r="DF155" i="11"/>
  <c r="Z88" i="37"/>
  <c r="AA111" i="36"/>
  <c r="AA107" i="36" s="1"/>
  <c r="Z103" i="37"/>
  <c r="Z24" i="37" s="1"/>
  <c r="CY60" i="11"/>
  <c r="CY79" i="11"/>
  <c r="CY157" i="11" s="1"/>
  <c r="U14" i="39"/>
  <c r="U18" i="39" s="1"/>
  <c r="U46" i="35"/>
  <c r="DV20" i="29"/>
  <c r="DW16" i="29" s="1"/>
  <c r="DW20" i="29" s="1"/>
  <c r="DX16" i="29" s="1"/>
  <c r="DX20" i="29" s="1"/>
  <c r="DY16" i="29" s="1"/>
  <c r="AM16" i="29"/>
  <c r="AI90" i="24"/>
  <c r="DK91" i="24"/>
  <c r="DY104" i="15"/>
  <c r="DM78" i="24"/>
  <c r="AI77" i="24"/>
  <c r="ER105" i="24"/>
  <c r="ES106" i="24" s="1"/>
  <c r="ET107" i="24" s="1"/>
  <c r="EB104" i="15"/>
  <c r="DW97" i="15"/>
  <c r="DW10" i="15" s="1"/>
  <c r="DW98" i="15"/>
  <c r="DW11" i="15" s="1"/>
  <c r="DY97" i="15"/>
  <c r="X16" i="35"/>
  <c r="X30" i="35"/>
  <c r="X32" i="35"/>
  <c r="X28" i="35"/>
  <c r="X34" i="35"/>
  <c r="DJ78" i="24"/>
  <c r="AH77" i="24"/>
  <c r="CX41" i="11"/>
  <c r="EC53" i="19"/>
  <c r="EC185" i="19" s="1"/>
  <c r="EX101" i="24"/>
  <c r="EY102" i="24" s="1"/>
  <c r="EZ103" i="24" s="1"/>
  <c r="EW75" i="24"/>
  <c r="AU74" i="24"/>
  <c r="DZ104" i="24"/>
  <c r="CV66" i="19"/>
  <c r="CW130" i="11"/>
  <c r="AD129" i="11"/>
  <c r="H44" i="8"/>
  <c r="H53" i="8" s="1"/>
  <c r="H45" i="8"/>
  <c r="H54" i="8" s="1"/>
  <c r="H43" i="8"/>
  <c r="H52" i="8" s="1"/>
  <c r="H41" i="8"/>
  <c r="H50" i="8" s="1"/>
  <c r="H42" i="8"/>
  <c r="H51" i="8" s="1"/>
  <c r="FA93" i="24"/>
  <c r="FB94" i="24" s="1"/>
  <c r="U38" i="29"/>
  <c r="X110" i="26" s="1"/>
  <c r="X112" i="26" s="1"/>
  <c r="E38" i="29"/>
  <c r="CY50" i="24"/>
  <c r="AE49" i="24"/>
  <c r="DW104" i="15"/>
  <c r="DW22" i="15" s="1"/>
  <c r="DW54" i="19" s="1"/>
  <c r="DW191" i="19" s="1"/>
  <c r="DR55" i="24"/>
  <c r="AK54" i="24"/>
  <c r="CD10" i="7"/>
  <c r="CD11" i="7" s="1"/>
  <c r="AG77" i="11"/>
  <c r="DF57" i="11"/>
  <c r="AG57" i="11" s="1"/>
  <c r="AG55" i="11"/>
  <c r="AG76" i="11" s="1"/>
  <c r="Y13" i="37"/>
  <c r="BW13" i="29"/>
  <c r="BX9" i="29" s="1"/>
  <c r="BW30" i="29"/>
  <c r="V9" i="29"/>
  <c r="AA79" i="36"/>
  <c r="AA75" i="36" s="1"/>
  <c r="Z69" i="37"/>
  <c r="Z71" i="37"/>
  <c r="AG13" i="38"/>
  <c r="AG19" i="38" s="1"/>
  <c r="AG36" i="38"/>
  <c r="CY38" i="11"/>
  <c r="CY28" i="1"/>
  <c r="FA98" i="24"/>
  <c r="FB99" i="24" s="1"/>
  <c r="DZ53" i="19"/>
  <c r="DZ185" i="19" s="1"/>
  <c r="DV97" i="15"/>
  <c r="EC97" i="15"/>
  <c r="EC10" i="15" s="1"/>
  <c r="EC76" i="24"/>
  <c r="AO75" i="24"/>
  <c r="CL44" i="7"/>
  <c r="DG90" i="24"/>
  <c r="H89" i="24"/>
  <c r="H126" i="24" s="1"/>
  <c r="AG89" i="24"/>
  <c r="AG126" i="24" s="1"/>
  <c r="EL105" i="24"/>
  <c r="EM106" i="24" s="1"/>
  <c r="EN107" i="24" s="1"/>
  <c r="ED53" i="19"/>
  <c r="ED185" i="19" s="1"/>
  <c r="BU48" i="15"/>
  <c r="BU47" i="15"/>
  <c r="U37" i="29"/>
  <c r="Z20" i="36"/>
  <c r="W126" i="26" l="1"/>
  <c r="W164" i="26"/>
  <c r="W163" i="26" s="1"/>
  <c r="F33" i="30"/>
  <c r="AW33" i="30" s="1"/>
  <c r="X120" i="26"/>
  <c r="X97" i="26"/>
  <c r="X87" i="26" s="1"/>
  <c r="DS11" i="15"/>
  <c r="EO108" i="24"/>
  <c r="EP109" i="24" s="1"/>
  <c r="EQ110" i="24" s="1"/>
  <c r="Z68" i="37"/>
  <c r="AA76" i="36"/>
  <c r="AA77" i="36" s="1"/>
  <c r="EA105" i="24"/>
  <c r="EB106" i="24" s="1"/>
  <c r="DW46" i="19"/>
  <c r="Z107" i="37"/>
  <c r="AD162" i="11"/>
  <c r="EU25" i="7"/>
  <c r="AD142" i="11"/>
  <c r="EU28" i="7" s="1"/>
  <c r="CW42" i="19"/>
  <c r="CW12" i="15"/>
  <c r="CW40" i="15"/>
  <c r="CW14" i="15"/>
  <c r="CW15" i="15"/>
  <c r="CW90" i="15"/>
  <c r="AU33" i="30"/>
  <c r="AN33" i="30"/>
  <c r="AO33" i="30"/>
  <c r="AX33" i="30"/>
  <c r="AQ33" i="30"/>
  <c r="AY33" i="30"/>
  <c r="AR33" i="30"/>
  <c r="AZ33" i="30"/>
  <c r="DX46" i="19"/>
  <c r="DY53" i="19"/>
  <c r="AN21" i="15"/>
  <c r="DT109" i="15"/>
  <c r="DT32" i="15" s="1"/>
  <c r="EY74" i="24"/>
  <c r="AV73" i="24"/>
  <c r="L73" i="24"/>
  <c r="CW81" i="1"/>
  <c r="CW38" i="1"/>
  <c r="CW37" i="1"/>
  <c r="AD33" i="1"/>
  <c r="EN56" i="24"/>
  <c r="AR55" i="24"/>
  <c r="DC51" i="24"/>
  <c r="AF50" i="24"/>
  <c r="DL86" i="24"/>
  <c r="AI85" i="24"/>
  <c r="DU98" i="15"/>
  <c r="DU11" i="15" s="1"/>
  <c r="DI52" i="11"/>
  <c r="DI55" i="11"/>
  <c r="DI57" i="11" s="1"/>
  <c r="DI74" i="11"/>
  <c r="DI77" i="11"/>
  <c r="DJ75" i="11"/>
  <c r="ED203" i="19"/>
  <c r="I29" i="8"/>
  <c r="EC203" i="19"/>
  <c r="DW45" i="19"/>
  <c r="DY22" i="15"/>
  <c r="AN104" i="15"/>
  <c r="DZ55" i="24"/>
  <c r="AN54" i="24"/>
  <c r="B34" i="30"/>
  <c r="C34" i="30"/>
  <c r="A35" i="30"/>
  <c r="ER108" i="24"/>
  <c r="ES109" i="24" s="1"/>
  <c r="ET110" i="24" s="1"/>
  <c r="DW203" i="19"/>
  <c r="EA109" i="15"/>
  <c r="EA32" i="15" s="1"/>
  <c r="CW50" i="19"/>
  <c r="CW23" i="15"/>
  <c r="CW25" i="15"/>
  <c r="CW26" i="15"/>
  <c r="CW91" i="15"/>
  <c r="BS63" i="19"/>
  <c r="BS29" i="15"/>
  <c r="EO99" i="24"/>
  <c r="EP100" i="24" s="1"/>
  <c r="EQ101" i="24" s="1"/>
  <c r="EA46" i="19"/>
  <c r="CY101" i="11"/>
  <c r="CY111" i="11"/>
  <c r="CY159" i="11" s="1"/>
  <c r="CY123" i="1" s="1"/>
  <c r="AW60" i="24"/>
  <c r="AW61" i="24" s="1"/>
  <c r="EZ61" i="24"/>
  <c r="DT203" i="19"/>
  <c r="AA35" i="36"/>
  <c r="Z48" i="37"/>
  <c r="Z60" i="37" s="1"/>
  <c r="AA52" i="36"/>
  <c r="AL27" i="29"/>
  <c r="AO28" i="29"/>
  <c r="CW58" i="19"/>
  <c r="CW34" i="15"/>
  <c r="CW37" i="15"/>
  <c r="CW92" i="15"/>
  <c r="CW36" i="15"/>
  <c r="Y33" i="37"/>
  <c r="Y36" i="37"/>
  <c r="CX45" i="11"/>
  <c r="EH55" i="24"/>
  <c r="AP54" i="24"/>
  <c r="K54" i="24"/>
  <c r="BZ68" i="1"/>
  <c r="W63" i="1"/>
  <c r="W68" i="1" s="1"/>
  <c r="J54" i="24"/>
  <c r="DU45" i="19"/>
  <c r="H49" i="8"/>
  <c r="H57" i="8"/>
  <c r="I27" i="8"/>
  <c r="DZ203" i="19"/>
  <c r="CY39" i="11"/>
  <c r="V30" i="29"/>
  <c r="BW34" i="29"/>
  <c r="BW37" i="29" s="1"/>
  <c r="I31" i="8"/>
  <c r="AO104" i="15"/>
  <c r="AO105" i="15" s="1"/>
  <c r="AO106" i="15" s="1"/>
  <c r="EB22" i="15"/>
  <c r="DL92" i="24"/>
  <c r="AI91" i="24"/>
  <c r="CY121" i="1"/>
  <c r="CY140" i="11"/>
  <c r="H120" i="1"/>
  <c r="AG120" i="1"/>
  <c r="EB53" i="19"/>
  <c r="AO21" i="15"/>
  <c r="DW109" i="15"/>
  <c r="DW32" i="15" s="1"/>
  <c r="DW110" i="15"/>
  <c r="DW33" i="15" s="1"/>
  <c r="DW62" i="19" s="1"/>
  <c r="DW265" i="19" s="1"/>
  <c r="DS109" i="15"/>
  <c r="DS110" i="15"/>
  <c r="EL107" i="24"/>
  <c r="EM108" i="24" s="1"/>
  <c r="EN109" i="24" s="1"/>
  <c r="U34" i="15"/>
  <c r="X37" i="15"/>
  <c r="X36" i="15"/>
  <c r="U92" i="15"/>
  <c r="EA45" i="19"/>
  <c r="EA43" i="15"/>
  <c r="CY98" i="11"/>
  <c r="ET56" i="24"/>
  <c r="L55" i="24"/>
  <c r="AT55" i="24"/>
  <c r="AM23" i="29"/>
  <c r="DV27" i="29"/>
  <c r="DW23" i="29" s="1"/>
  <c r="DW27" i="29" s="1"/>
  <c r="DX23" i="29" s="1"/>
  <c r="DX27" i="29" s="1"/>
  <c r="DY23" i="29" s="1"/>
  <c r="ER107" i="24"/>
  <c r="ES108" i="24" s="1"/>
  <c r="ET109" i="24" s="1"/>
  <c r="Y15" i="37"/>
  <c r="DG119" i="1"/>
  <c r="EA203" i="19"/>
  <c r="EX105" i="24"/>
  <c r="EY106" i="24" s="1"/>
  <c r="EZ107" i="24" s="1"/>
  <c r="DV56" i="24"/>
  <c r="AL55" i="24"/>
  <c r="J55" i="24"/>
  <c r="DP56" i="24"/>
  <c r="AJ55" i="24"/>
  <c r="ED45" i="19"/>
  <c r="AH69" i="11"/>
  <c r="AH156" i="11" s="1"/>
  <c r="DI156" i="11"/>
  <c r="DI120" i="1" s="1"/>
  <c r="AH120" i="1" s="1"/>
  <c r="DH119" i="1"/>
  <c r="Z80" i="37"/>
  <c r="DH91" i="24"/>
  <c r="AH90" i="24"/>
  <c r="AJ78" i="24"/>
  <c r="DN79" i="24"/>
  <c r="CY64" i="1"/>
  <c r="V13" i="29"/>
  <c r="Y14" i="29"/>
  <c r="U40" i="29"/>
  <c r="U43" i="29" s="1"/>
  <c r="EC98" i="15"/>
  <c r="EC11" i="15" s="1"/>
  <c r="BX13" i="29"/>
  <c r="BY9" i="29" s="1"/>
  <c r="BX30" i="29"/>
  <c r="BX34" i="29" s="1"/>
  <c r="BX37" i="29" s="1"/>
  <c r="BX38" i="29" s="1"/>
  <c r="DS56" i="24"/>
  <c r="AK55" i="24"/>
  <c r="I30" i="8"/>
  <c r="H60" i="8"/>
  <c r="AV75" i="24"/>
  <c r="EX76" i="24"/>
  <c r="CX16" i="11"/>
  <c r="CX34" i="1" s="1"/>
  <c r="CX42" i="11"/>
  <c r="EU108" i="24"/>
  <c r="EV109" i="24" s="1"/>
  <c r="EW110" i="24" s="1"/>
  <c r="CY61" i="11"/>
  <c r="CY62" i="11"/>
  <c r="DF119" i="1"/>
  <c r="AO60" i="24"/>
  <c r="EE55" i="24"/>
  <c r="AO54" i="24"/>
  <c r="CY124" i="11"/>
  <c r="CI49" i="24"/>
  <c r="Y48" i="24"/>
  <c r="Y61" i="24" s="1"/>
  <c r="F48" i="24"/>
  <c r="F61" i="24" s="1"/>
  <c r="F14" i="24" s="1"/>
  <c r="F16" i="24" s="1"/>
  <c r="CH61" i="24"/>
  <c r="CH14" i="24" s="1"/>
  <c r="ED109" i="15"/>
  <c r="ED32" i="15" s="1"/>
  <c r="ED110" i="15"/>
  <c r="ED33" i="15" s="1"/>
  <c r="ED62" i="19" s="1"/>
  <c r="ED265" i="19" s="1"/>
  <c r="DZ109" i="15"/>
  <c r="DZ32" i="15" s="1"/>
  <c r="AM105" i="15"/>
  <c r="AM106" i="15" s="1"/>
  <c r="EX104" i="24"/>
  <c r="EY105" i="24" s="1"/>
  <c r="EZ106" i="24" s="1"/>
  <c r="DS53" i="19"/>
  <c r="J21" i="15"/>
  <c r="AL21" i="15"/>
  <c r="AL97" i="15"/>
  <c r="DS10" i="15"/>
  <c r="J97" i="15"/>
  <c r="EA77" i="24"/>
  <c r="AN76" i="24"/>
  <c r="DR32" i="11"/>
  <c r="DR28" i="11"/>
  <c r="DS33" i="11"/>
  <c r="DT33" i="11"/>
  <c r="DU33" i="11"/>
  <c r="DV33" i="11" s="1"/>
  <c r="AK33" i="11"/>
  <c r="Z126" i="37"/>
  <c r="Z128" i="37" s="1"/>
  <c r="AA149" i="36"/>
  <c r="AA145" i="36" s="1"/>
  <c r="DX203" i="19"/>
  <c r="EG77" i="24"/>
  <c r="AP76" i="24"/>
  <c r="ED46" i="19"/>
  <c r="ED44" i="15"/>
  <c r="DY78" i="24"/>
  <c r="AM77" i="24"/>
  <c r="I78" i="24"/>
  <c r="AH78" i="24"/>
  <c r="DH79" i="24"/>
  <c r="DG126" i="24"/>
  <c r="AM104" i="15"/>
  <c r="EC45" i="19"/>
  <c r="FA104" i="24"/>
  <c r="FB105" i="24" s="1"/>
  <c r="AM20" i="29"/>
  <c r="AP21" i="29"/>
  <c r="Z90" i="37"/>
  <c r="CO7" i="7"/>
  <c r="AD83" i="1"/>
  <c r="AV10" i="7"/>
  <c r="AV11" i="7" s="1"/>
  <c r="BP21" i="7"/>
  <c r="CL8" i="25"/>
  <c r="DP56" i="1"/>
  <c r="DP40" i="1"/>
  <c r="DV109" i="15"/>
  <c r="DV110" i="15" s="1"/>
  <c r="DY110" i="15"/>
  <c r="DY109" i="15"/>
  <c r="DV53" i="19"/>
  <c r="AM21" i="15"/>
  <c r="U23" i="15"/>
  <c r="X26" i="15"/>
  <c r="X25" i="15"/>
  <c r="U91" i="15"/>
  <c r="CU93" i="1"/>
  <c r="EL108" i="24"/>
  <c r="EM109" i="24" s="1"/>
  <c r="EN110" i="24" s="1"/>
  <c r="AH55" i="11"/>
  <c r="AH76" i="11" s="1"/>
  <c r="DG57" i="11"/>
  <c r="DH52" i="11"/>
  <c r="AB49" i="24"/>
  <c r="CP50" i="24"/>
  <c r="EU104" i="24"/>
  <c r="EV105" i="24" s="1"/>
  <c r="EW106" i="24" s="1"/>
  <c r="DV54" i="19"/>
  <c r="AM22" i="15"/>
  <c r="DZ46" i="19"/>
  <c r="EC109" i="15"/>
  <c r="EC32" i="15" s="1"/>
  <c r="EC110" i="15"/>
  <c r="EC33" i="15" s="1"/>
  <c r="EC62" i="19" s="1"/>
  <c r="EC265" i="19" s="1"/>
  <c r="DX109" i="15"/>
  <c r="DX32" i="15" s="1"/>
  <c r="CT51" i="24"/>
  <c r="AC50" i="24"/>
  <c r="BS55" i="19"/>
  <c r="BS18" i="15"/>
  <c r="DR77" i="24"/>
  <c r="AK76" i="24"/>
  <c r="I76" i="24"/>
  <c r="DE50" i="24"/>
  <c r="AG49" i="24"/>
  <c r="EQ56" i="24"/>
  <c r="AS55" i="24"/>
  <c r="DQ17" i="11"/>
  <c r="DQ35" i="1" s="1"/>
  <c r="DQ29" i="11"/>
  <c r="DQ30" i="11" s="1"/>
  <c r="EJ77" i="24"/>
  <c r="AQ76" i="24"/>
  <c r="DU203" i="19"/>
  <c r="DT98" i="15"/>
  <c r="DT11" i="15" s="1"/>
  <c r="CN51" i="24"/>
  <c r="AA50" i="24"/>
  <c r="BT42" i="19"/>
  <c r="BT14" i="15"/>
  <c r="BS12" i="15"/>
  <c r="U7" i="15"/>
  <c r="BT40" i="15"/>
  <c r="BT90" i="15"/>
  <c r="BT15" i="15"/>
  <c r="DU77" i="24"/>
  <c r="J76" i="24"/>
  <c r="AL76" i="24"/>
  <c r="AG40" i="35"/>
  <c r="AG45" i="35"/>
  <c r="AG51" i="35"/>
  <c r="AL104" i="15"/>
  <c r="AL105" i="15" s="1"/>
  <c r="AL106" i="15" s="1"/>
  <c r="DV10" i="15"/>
  <c r="AM97" i="15"/>
  <c r="AD141" i="11"/>
  <c r="EU27" i="7" s="1"/>
  <c r="EU14" i="7"/>
  <c r="AN16" i="29"/>
  <c r="DY20" i="29"/>
  <c r="DZ16" i="29" s="1"/>
  <c r="DZ20" i="29" s="1"/>
  <c r="EA16" i="29" s="1"/>
  <c r="EA20" i="29" s="1"/>
  <c r="EB16" i="29" s="1"/>
  <c r="CL7" i="25"/>
  <c r="ED77" i="24"/>
  <c r="AO76" i="24"/>
  <c r="DV98" i="15"/>
  <c r="CZ51" i="24"/>
  <c r="AE50" i="24"/>
  <c r="AD130" i="11"/>
  <c r="DY10" i="15"/>
  <c r="AN97" i="15"/>
  <c r="CX104" i="11"/>
  <c r="CX21" i="11" s="1"/>
  <c r="DZ45" i="19"/>
  <c r="DZ43" i="15"/>
  <c r="EU107" i="24"/>
  <c r="EV108" i="24" s="1"/>
  <c r="EW109" i="24" s="1"/>
  <c r="FB81" i="24"/>
  <c r="DU109" i="15"/>
  <c r="DU32" i="15" s="1"/>
  <c r="CX129" i="11"/>
  <c r="CX139" i="11"/>
  <c r="CX162" i="11" s="1"/>
  <c r="EM77" i="24"/>
  <c r="AR76" i="24"/>
  <c r="AT75" i="24"/>
  <c r="ER76" i="24"/>
  <c r="DG52" i="11"/>
  <c r="AH51" i="11"/>
  <c r="AH71" i="11" s="1"/>
  <c r="EB11" i="15"/>
  <c r="AO98" i="15"/>
  <c r="AD55" i="1"/>
  <c r="R11" i="7"/>
  <c r="BP11" i="7"/>
  <c r="AD39" i="1"/>
  <c r="BS106" i="1"/>
  <c r="BR113" i="1"/>
  <c r="CU45" i="1"/>
  <c r="DT45" i="19"/>
  <c r="DT43" i="15"/>
  <c r="CZ9" i="11"/>
  <c r="CZ15" i="1"/>
  <c r="DA9" i="1"/>
  <c r="CZ29" i="1"/>
  <c r="DI86" i="24"/>
  <c r="AH85" i="24"/>
  <c r="DQ79" i="24"/>
  <c r="AK78" i="24"/>
  <c r="AS75" i="24"/>
  <c r="EO76" i="24"/>
  <c r="K76" i="24" s="1"/>
  <c r="DJ69" i="11"/>
  <c r="DJ156" i="11" s="1"/>
  <c r="DJ120" i="1" s="1"/>
  <c r="AI70" i="11"/>
  <c r="AI72" i="11" s="1"/>
  <c r="DJ51" i="11"/>
  <c r="DJ72" i="11"/>
  <c r="DK70" i="11"/>
  <c r="J104" i="15"/>
  <c r="AG88" i="11"/>
  <c r="I28" i="8"/>
  <c r="H58" i="8"/>
  <c r="DK79" i="24"/>
  <c r="AI78" i="24"/>
  <c r="DY98" i="15"/>
  <c r="Z87" i="37"/>
  <c r="AA36" i="36"/>
  <c r="AA108" i="36"/>
  <c r="CW126" i="1"/>
  <c r="AD126" i="1" s="1"/>
  <c r="AD127" i="1" s="1"/>
  <c r="CW163" i="11"/>
  <c r="AU75" i="24"/>
  <c r="EU76" i="24"/>
  <c r="DX45" i="19"/>
  <c r="DX43" i="15"/>
  <c r="AN105" i="15"/>
  <c r="AN106" i="15"/>
  <c r="CV50" i="24"/>
  <c r="AD49" i="24"/>
  <c r="H49" i="24"/>
  <c r="EB109" i="15"/>
  <c r="EB110" i="15" s="1"/>
  <c r="AG87" i="11"/>
  <c r="AK60" i="24"/>
  <c r="AJ56" i="1"/>
  <c r="AJ40" i="1"/>
  <c r="I4" i="8"/>
  <c r="AN6" i="25"/>
  <c r="EB10" i="15"/>
  <c r="AO97" i="15"/>
  <c r="EU99" i="24"/>
  <c r="EV100" i="24" s="1"/>
  <c r="EW101" i="24" s="1"/>
  <c r="CZ10" i="11"/>
  <c r="EO107" i="24"/>
  <c r="EP108" i="24" s="1"/>
  <c r="EQ109" i="24" s="1"/>
  <c r="AW74" i="24"/>
  <c r="T14" i="39"/>
  <c r="T46" i="35"/>
  <c r="DS54" i="19"/>
  <c r="J22" i="15"/>
  <c r="AL22" i="15"/>
  <c r="AV33" i="30" l="1"/>
  <c r="AM33" i="30"/>
  <c r="AM51" i="30" s="1"/>
  <c r="AP33" i="30"/>
  <c r="AT33" i="30"/>
  <c r="BA33" i="30"/>
  <c r="E45" i="30"/>
  <c r="D45" i="30" s="1"/>
  <c r="AS33" i="30"/>
  <c r="X100" i="26"/>
  <c r="X101" i="26" s="1"/>
  <c r="X121" i="26"/>
  <c r="EB33" i="15"/>
  <c r="AO110" i="15"/>
  <c r="DV33" i="15"/>
  <c r="DV32" i="11"/>
  <c r="DV158" i="11" s="1"/>
  <c r="DV122" i="1" s="1"/>
  <c r="DV28" i="11"/>
  <c r="DW33" i="11"/>
  <c r="EN78" i="24"/>
  <c r="AR77" i="24"/>
  <c r="DZ111" i="19"/>
  <c r="BS47" i="19"/>
  <c r="BS71" i="19" s="1"/>
  <c r="BS7" i="15"/>
  <c r="BS45" i="15"/>
  <c r="AH57" i="11"/>
  <c r="AH88" i="11" s="1"/>
  <c r="DY33" i="15"/>
  <c r="DT32" i="11"/>
  <c r="DT158" i="11" s="1"/>
  <c r="DT122" i="1" s="1"/>
  <c r="DT28" i="11"/>
  <c r="J53" i="19"/>
  <c r="AL53" i="19"/>
  <c r="DS185" i="19"/>
  <c r="ED61" i="19"/>
  <c r="ED259" i="19" s="1"/>
  <c r="AH91" i="24"/>
  <c r="DI92" i="24"/>
  <c r="DH126" i="24"/>
  <c r="AM27" i="29"/>
  <c r="AP28" i="29"/>
  <c r="EA111" i="19"/>
  <c r="DS33" i="15"/>
  <c r="AO53" i="19"/>
  <c r="EB185" i="19"/>
  <c r="DM93" i="24"/>
  <c r="AI92" i="24"/>
  <c r="CW63" i="19"/>
  <c r="CX29" i="15"/>
  <c r="ER102" i="24"/>
  <c r="ES103" i="24" s="1"/>
  <c r="ET104" i="24" s="1"/>
  <c r="EA110" i="15"/>
  <c r="EA33" i="15" s="1"/>
  <c r="EU111" i="24"/>
  <c r="EV112" i="24" s="1"/>
  <c r="EW113" i="24" s="1"/>
  <c r="EA56" i="24"/>
  <c r="AN55" i="24"/>
  <c r="AD37" i="1"/>
  <c r="CW92" i="1"/>
  <c r="DT61" i="19"/>
  <c r="DT259" i="19" s="1"/>
  <c r="DX117" i="19"/>
  <c r="AA109" i="36"/>
  <c r="AA135" i="36"/>
  <c r="BS110" i="1"/>
  <c r="BS99" i="1"/>
  <c r="EB46" i="19"/>
  <c r="AO11" i="15"/>
  <c r="EB44" i="15"/>
  <c r="CX44" i="1"/>
  <c r="DA52" i="24"/>
  <c r="AE51" i="24"/>
  <c r="Z72" i="34"/>
  <c r="AG55" i="35"/>
  <c r="Z76" i="34" s="1"/>
  <c r="DS78" i="24"/>
  <c r="AK77" i="24"/>
  <c r="I77" i="24"/>
  <c r="EC61" i="19"/>
  <c r="EC259" i="19" s="1"/>
  <c r="Z28" i="37"/>
  <c r="DS32" i="11"/>
  <c r="DS158" i="11" s="1"/>
  <c r="DS122" i="1" s="1"/>
  <c r="DS28" i="11"/>
  <c r="AL33" i="11"/>
  <c r="DS45" i="19"/>
  <c r="AL10" i="15"/>
  <c r="J10" i="15"/>
  <c r="FA107" i="24"/>
  <c r="FB108" i="24" s="1"/>
  <c r="CX46" i="11"/>
  <c r="AL56" i="24"/>
  <c r="J56" i="24"/>
  <c r="DT57" i="24"/>
  <c r="J109" i="15"/>
  <c r="AL109" i="15"/>
  <c r="DS32" i="15"/>
  <c r="DS43" i="15" s="1"/>
  <c r="EB54" i="19"/>
  <c r="AO22" i="15"/>
  <c r="BS58" i="19"/>
  <c r="BS37" i="15"/>
  <c r="BS36" i="15"/>
  <c r="BR34" i="15"/>
  <c r="BS92" i="15"/>
  <c r="EA61" i="19"/>
  <c r="EA259" i="19" s="1"/>
  <c r="AH74" i="11"/>
  <c r="AH155" i="11" s="1"/>
  <c r="DI155" i="11"/>
  <c r="CL14" i="7"/>
  <c r="AD163" i="11"/>
  <c r="U42" i="19"/>
  <c r="U47" i="19" s="1"/>
  <c r="BT66" i="19"/>
  <c r="U66" i="19" s="1"/>
  <c r="U71" i="19" s="1"/>
  <c r="BS50" i="19"/>
  <c r="BS25" i="15"/>
  <c r="BR23" i="15"/>
  <c r="BS26" i="15"/>
  <c r="BS91" i="15"/>
  <c r="DV32" i="15"/>
  <c r="AM109" i="15"/>
  <c r="EH78" i="24"/>
  <c r="AP77" i="24"/>
  <c r="CX33" i="1"/>
  <c r="CX55" i="1"/>
  <c r="CX39" i="1"/>
  <c r="ED43" i="15"/>
  <c r="AK56" i="24"/>
  <c r="DQ57" i="24"/>
  <c r="DP61" i="24"/>
  <c r="I26" i="8"/>
  <c r="H56" i="8"/>
  <c r="L44" i="25"/>
  <c r="L44" i="7"/>
  <c r="DY54" i="19"/>
  <c r="AN22" i="15"/>
  <c r="Z77" i="37"/>
  <c r="Z72" i="37"/>
  <c r="AO99" i="15"/>
  <c r="AO100" i="15" s="1"/>
  <c r="EB45" i="19"/>
  <c r="AO10" i="15"/>
  <c r="AA14" i="36"/>
  <c r="AO16" i="29"/>
  <c r="EB20" i="29"/>
  <c r="EC16" i="29" s="1"/>
  <c r="EC20" i="29" s="1"/>
  <c r="ED16" i="29" s="1"/>
  <c r="ED20" i="29" s="1"/>
  <c r="EE16" i="29" s="1"/>
  <c r="CW51" i="24"/>
  <c r="AD50" i="24"/>
  <c r="H50" i="24"/>
  <c r="Z106" i="37"/>
  <c r="Z96" i="37"/>
  <c r="Z91" i="37"/>
  <c r="CZ38" i="11"/>
  <c r="CZ28" i="1"/>
  <c r="AE29" i="1"/>
  <c r="CX130" i="11"/>
  <c r="EX110" i="24"/>
  <c r="EY111" i="24" s="1"/>
  <c r="EZ112" i="24" s="1"/>
  <c r="AN20" i="29"/>
  <c r="AQ21" i="29"/>
  <c r="DV78" i="24"/>
  <c r="J77" i="24"/>
  <c r="AL77" i="24"/>
  <c r="L56" i="24"/>
  <c r="AT56" i="24"/>
  <c r="ER57" i="24"/>
  <c r="DZ117" i="19"/>
  <c r="EO111" i="24"/>
  <c r="EP112" i="24" s="1"/>
  <c r="EQ113" i="24" s="1"/>
  <c r="EC43" i="15"/>
  <c r="AN78" i="24"/>
  <c r="DZ79" i="24"/>
  <c r="AA37" i="36"/>
  <c r="Z125" i="37"/>
  <c r="Z137" i="37" s="1"/>
  <c r="AA146" i="36"/>
  <c r="AA147" i="36" s="1"/>
  <c r="DR17" i="11"/>
  <c r="DR35" i="1" s="1"/>
  <c r="DR29" i="11"/>
  <c r="DR30" i="11" s="1"/>
  <c r="AK28" i="11"/>
  <c r="EF56" i="24"/>
  <c r="K55" i="24"/>
  <c r="AP55" i="24"/>
  <c r="BY13" i="29"/>
  <c r="BZ9" i="29" s="1"/>
  <c r="BY30" i="29"/>
  <c r="BY34" i="29" s="1"/>
  <c r="BY37" i="29" s="1"/>
  <c r="BY38" i="29" s="1"/>
  <c r="AU56" i="24"/>
  <c r="EU57" i="24"/>
  <c r="DW61" i="19"/>
  <c r="DW259" i="19" s="1"/>
  <c r="H61" i="8"/>
  <c r="CA63" i="1"/>
  <c r="CA68" i="1" s="1"/>
  <c r="AD59" i="2"/>
  <c r="DD52" i="24"/>
  <c r="AF51" i="24"/>
  <c r="Z116" i="37"/>
  <c r="AG14" i="39"/>
  <c r="AG15" i="39" s="1"/>
  <c r="AH13" i="39" s="1"/>
  <c r="T18" i="39"/>
  <c r="T15" i="39"/>
  <c r="U13" i="39" s="1"/>
  <c r="U15" i="39" s="1"/>
  <c r="V13" i="39" s="1"/>
  <c r="V15" i="39" s="1"/>
  <c r="W13" i="39" s="1"/>
  <c r="W15" i="39" s="1"/>
  <c r="X13" i="39" s="1"/>
  <c r="DJ87" i="24"/>
  <c r="AH86" i="24"/>
  <c r="R16" i="7"/>
  <c r="BP16" i="7"/>
  <c r="ES77" i="24"/>
  <c r="AT76" i="24"/>
  <c r="CX126" i="1"/>
  <c r="CX163" i="11"/>
  <c r="DV11" i="15"/>
  <c r="AM98" i="15"/>
  <c r="AG46" i="35"/>
  <c r="Z66" i="34"/>
  <c r="Z67" i="34" s="1"/>
  <c r="ER110" i="24"/>
  <c r="ES111" i="24" s="1"/>
  <c r="ET112" i="24" s="1"/>
  <c r="EV77" i="24"/>
  <c r="AU76" i="24"/>
  <c r="DY11" i="15"/>
  <c r="AN98" i="15"/>
  <c r="AN99" i="15" s="1"/>
  <c r="AN100" i="15" s="1"/>
  <c r="EP77" i="24"/>
  <c r="K77" i="24" s="1"/>
  <c r="AS76" i="24"/>
  <c r="EC69" i="19"/>
  <c r="EC111" i="19"/>
  <c r="I32" i="11"/>
  <c r="I158" i="11" s="1"/>
  <c r="AK32" i="11"/>
  <c r="AK158" i="11" s="1"/>
  <c r="DR158" i="11"/>
  <c r="DR122" i="1" s="1"/>
  <c r="Z49" i="24"/>
  <c r="CJ50" i="24"/>
  <c r="G49" i="24"/>
  <c r="CI61" i="24"/>
  <c r="CI14" i="24" s="1"/>
  <c r="CY40" i="11"/>
  <c r="EY77" i="24"/>
  <c r="AV76" i="24"/>
  <c r="EC46" i="19"/>
  <c r="EC44" i="15"/>
  <c r="DO80" i="24"/>
  <c r="AJ79" i="24"/>
  <c r="ED69" i="19"/>
  <c r="ED111" i="19"/>
  <c r="Y34" i="37"/>
  <c r="Y10" i="35"/>
  <c r="CY102" i="11"/>
  <c r="A36" i="30"/>
  <c r="B35" i="30"/>
  <c r="C35" i="30"/>
  <c r="DW43" i="15"/>
  <c r="CW47" i="15"/>
  <c r="CW48" i="15"/>
  <c r="DW44" i="15"/>
  <c r="ER111" i="24"/>
  <c r="ES112" i="24" s="1"/>
  <c r="ET113" i="24" s="1"/>
  <c r="DX111" i="19"/>
  <c r="DT69" i="19"/>
  <c r="DT111" i="19"/>
  <c r="CO52" i="24"/>
  <c r="AA51" i="24"/>
  <c r="CQ51" i="24"/>
  <c r="AB50" i="24"/>
  <c r="DO70" i="11"/>
  <c r="DK69" i="11"/>
  <c r="DK156" i="11" s="1"/>
  <c r="DK120" i="1" s="1"/>
  <c r="DK51" i="11"/>
  <c r="DK72" i="11"/>
  <c r="DN70" i="11"/>
  <c r="AF9" i="1"/>
  <c r="DA14" i="1"/>
  <c r="DA97" i="1"/>
  <c r="DA98" i="1"/>
  <c r="CU84" i="1"/>
  <c r="AH52" i="11"/>
  <c r="AH87" i="11" s="1"/>
  <c r="DU110" i="15"/>
  <c r="DU33" i="15" s="1"/>
  <c r="DU62" i="19" s="1"/>
  <c r="DU265" i="19" s="1"/>
  <c r="DY45" i="19"/>
  <c r="AN10" i="15"/>
  <c r="EE78" i="24"/>
  <c r="AO77" i="24"/>
  <c r="DT46" i="19"/>
  <c r="EK78" i="24"/>
  <c r="AQ77" i="24"/>
  <c r="DF51" i="24"/>
  <c r="AG50" i="24"/>
  <c r="CU52" i="24"/>
  <c r="AC51" i="24"/>
  <c r="AM54" i="19"/>
  <c r="DV191" i="19"/>
  <c r="ED70" i="19"/>
  <c r="ED117" i="19"/>
  <c r="DZ110" i="15"/>
  <c r="DZ33" i="15" s="1"/>
  <c r="AM56" i="24"/>
  <c r="DW57" i="24"/>
  <c r="EU110" i="24"/>
  <c r="EV111" i="24" s="1"/>
  <c r="EW112" i="24" s="1"/>
  <c r="CY129" i="11"/>
  <c r="CY130" i="11" s="1"/>
  <c r="CY139" i="11"/>
  <c r="CY162" i="11" s="1"/>
  <c r="BW38" i="29"/>
  <c r="V37" i="29"/>
  <c r="AA53" i="36"/>
  <c r="AA133" i="36"/>
  <c r="H59" i="8"/>
  <c r="Y17" i="37"/>
  <c r="DU46" i="19"/>
  <c r="DU44" i="15"/>
  <c r="AS56" i="24"/>
  <c r="EO57" i="24"/>
  <c r="EN61" i="24"/>
  <c r="CW47" i="19"/>
  <c r="CX7" i="15"/>
  <c r="CW45" i="15"/>
  <c r="DW70" i="19"/>
  <c r="DW117" i="19"/>
  <c r="J98" i="15"/>
  <c r="CZ80" i="11"/>
  <c r="CZ107" i="11"/>
  <c r="CZ135" i="11"/>
  <c r="AE10" i="11"/>
  <c r="CW144" i="11"/>
  <c r="CW127" i="1"/>
  <c r="DU61" i="19"/>
  <c r="DU259" i="19" s="1"/>
  <c r="AM100" i="15"/>
  <c r="AM99" i="15"/>
  <c r="U40" i="15"/>
  <c r="BT47" i="15"/>
  <c r="BT48" i="15"/>
  <c r="DX110" i="15"/>
  <c r="DX33" i="15" s="1"/>
  <c r="AM53" i="19"/>
  <c r="DV185" i="19"/>
  <c r="DZ61" i="19"/>
  <c r="DZ259" i="19" s="1"/>
  <c r="AG119" i="1"/>
  <c r="H119" i="1"/>
  <c r="EX111" i="24"/>
  <c r="EY112" i="24" s="1"/>
  <c r="EZ113" i="24" s="1"/>
  <c r="EO110" i="24"/>
  <c r="EP111" i="24" s="1"/>
  <c r="EQ112" i="24" s="1"/>
  <c r="V34" i="29"/>
  <c r="Y35" i="29"/>
  <c r="DU43" i="15"/>
  <c r="AQ55" i="24"/>
  <c r="EI56" i="24"/>
  <c r="Z57" i="37"/>
  <c r="Z27" i="37"/>
  <c r="Z52" i="37"/>
  <c r="EA117" i="19"/>
  <c r="CW55" i="19"/>
  <c r="CX18" i="15"/>
  <c r="F34" i="30"/>
  <c r="DJ55" i="11"/>
  <c r="DJ74" i="11"/>
  <c r="DJ155" i="11" s="1"/>
  <c r="AI75" i="11"/>
  <c r="AI77" i="11" s="1"/>
  <c r="DJ77" i="11"/>
  <c r="DK75" i="11"/>
  <c r="AD81" i="1"/>
  <c r="R10" i="7"/>
  <c r="BP10" i="7"/>
  <c r="AD38" i="1"/>
  <c r="AN53" i="19"/>
  <c r="DY185" i="19"/>
  <c r="CW66" i="19"/>
  <c r="AL98" i="15"/>
  <c r="AL99" i="15" s="1"/>
  <c r="AL100" i="15" s="1"/>
  <c r="J54" i="19"/>
  <c r="AL54" i="19"/>
  <c r="DS191" i="19"/>
  <c r="EX102" i="24"/>
  <c r="EY103" i="24" s="1"/>
  <c r="EZ104" i="24" s="1"/>
  <c r="EB32" i="15"/>
  <c r="AO109" i="15"/>
  <c r="AD100" i="1"/>
  <c r="CL17" i="7" s="1"/>
  <c r="AD101" i="1"/>
  <c r="CL18" i="7" s="1"/>
  <c r="DL80" i="24"/>
  <c r="AI79" i="24"/>
  <c r="AI51" i="11"/>
  <c r="AI71" i="11" s="1"/>
  <c r="DJ52" i="11"/>
  <c r="DR80" i="24"/>
  <c r="AK79" i="24"/>
  <c r="AD149" i="11"/>
  <c r="EU15" i="7"/>
  <c r="DV45" i="19"/>
  <c r="AM10" i="15"/>
  <c r="DV43" i="15"/>
  <c r="U12" i="15"/>
  <c r="X15" i="15"/>
  <c r="X14" i="15"/>
  <c r="U90" i="15"/>
  <c r="DQ56" i="1"/>
  <c r="DQ40" i="1"/>
  <c r="DX61" i="19"/>
  <c r="DX259" i="19" s="1"/>
  <c r="EX107" i="24"/>
  <c r="EY108" i="24" s="1"/>
  <c r="EZ109" i="24" s="1"/>
  <c r="DY32" i="15"/>
  <c r="DY43" i="15" s="1"/>
  <c r="AN109" i="15"/>
  <c r="Z99" i="37"/>
  <c r="Z109" i="37"/>
  <c r="DI80" i="24"/>
  <c r="I79" i="24"/>
  <c r="AH79" i="24"/>
  <c r="DU32" i="11"/>
  <c r="DU28" i="11"/>
  <c r="EB78" i="24"/>
  <c r="AN77" i="24"/>
  <c r="J25" i="15"/>
  <c r="DI14" i="25" s="1"/>
  <c r="J26" i="15"/>
  <c r="DI15" i="25" s="1"/>
  <c r="J23" i="15"/>
  <c r="FA108" i="24"/>
  <c r="FB109" i="24" s="1"/>
  <c r="DY27" i="29"/>
  <c r="DZ23" i="29" s="1"/>
  <c r="DZ27" i="29" s="1"/>
  <c r="EA23" i="29" s="1"/>
  <c r="EA27" i="29" s="1"/>
  <c r="EB23" i="29" s="1"/>
  <c r="AN23" i="29"/>
  <c r="DU69" i="19"/>
  <c r="DU111" i="19"/>
  <c r="AA38" i="36"/>
  <c r="AA41" i="36" s="1"/>
  <c r="AA13" i="36"/>
  <c r="DW69" i="19"/>
  <c r="DW111" i="19"/>
  <c r="DM87" i="24"/>
  <c r="AI86" i="24"/>
  <c r="EZ75" i="24"/>
  <c r="AV74" i="24"/>
  <c r="L74" i="24"/>
  <c r="DT110" i="15"/>
  <c r="DT33" i="15" s="1"/>
  <c r="DT62" i="19" s="1"/>
  <c r="DT265" i="19" s="1"/>
  <c r="EC107" i="24"/>
  <c r="DS46" i="19"/>
  <c r="AL11" i="15"/>
  <c r="DS44" i="15"/>
  <c r="J11" i="15"/>
  <c r="F35" i="30" l="1"/>
  <c r="Y97" i="26"/>
  <c r="Y87" i="26" s="1"/>
  <c r="X123" i="26"/>
  <c r="X124" i="26"/>
  <c r="AN43" i="15"/>
  <c r="AL43" i="15"/>
  <c r="DS13" i="1"/>
  <c r="CZ134" i="11"/>
  <c r="CZ123" i="11"/>
  <c r="AE135" i="11"/>
  <c r="EV21" i="7" s="1"/>
  <c r="CW71" i="19"/>
  <c r="V38" i="29"/>
  <c r="Y110" i="26" s="1"/>
  <c r="Y112" i="26" s="1"/>
  <c r="AD52" i="24"/>
  <c r="CV53" i="24"/>
  <c r="DA9" i="11"/>
  <c r="DA15" i="1"/>
  <c r="DB9" i="1"/>
  <c r="DA29" i="1"/>
  <c r="EU113" i="24"/>
  <c r="EV114" i="24" s="1"/>
  <c r="EW115" i="24" s="1"/>
  <c r="DE53" i="24"/>
  <c r="AG52" i="24"/>
  <c r="EV58" i="24"/>
  <c r="AU57" i="24"/>
  <c r="Z73" i="37"/>
  <c r="AA65" i="37"/>
  <c r="Z75" i="37"/>
  <c r="J14" i="15"/>
  <c r="CY14" i="25" s="1"/>
  <c r="J15" i="15"/>
  <c r="CY15" i="25" s="1"/>
  <c r="J12" i="15"/>
  <c r="EB57" i="24"/>
  <c r="AN56" i="24"/>
  <c r="EA61" i="24"/>
  <c r="J110" i="15"/>
  <c r="J185" i="19"/>
  <c r="AL185" i="19"/>
  <c r="DS203" i="19"/>
  <c r="EA33" i="11"/>
  <c r="DW32" i="11"/>
  <c r="DW158" i="11" s="1"/>
  <c r="DW122" i="1" s="1"/>
  <c r="DW28" i="11"/>
  <c r="DZ33" i="11"/>
  <c r="DX62" i="19"/>
  <c r="DX44" i="15"/>
  <c r="CZ106" i="11"/>
  <c r="CZ112" i="11"/>
  <c r="CZ97" i="11"/>
  <c r="AE107" i="11"/>
  <c r="EL19" i="7" s="1"/>
  <c r="DU70" i="19"/>
  <c r="DU117" i="19"/>
  <c r="CY126" i="1"/>
  <c r="CY163" i="11"/>
  <c r="AP78" i="24"/>
  <c r="K78" i="24"/>
  <c r="EF79" i="24"/>
  <c r="AF14" i="1"/>
  <c r="AN6" i="7"/>
  <c r="AN8" i="7" s="1"/>
  <c r="AI97" i="1"/>
  <c r="AI98" i="1"/>
  <c r="CM10" i="25"/>
  <c r="EQ78" i="24"/>
  <c r="AS77" i="24"/>
  <c r="DR56" i="1"/>
  <c r="DR40" i="1"/>
  <c r="EC13" i="1"/>
  <c r="CZ64" i="1"/>
  <c r="AE28" i="1"/>
  <c r="CX52" i="24"/>
  <c r="AD51" i="24"/>
  <c r="H51" i="24"/>
  <c r="EI79" i="24"/>
  <c r="AQ78" i="24"/>
  <c r="Z39" i="37"/>
  <c r="J78" i="24"/>
  <c r="DT79" i="24"/>
  <c r="AL78" i="24"/>
  <c r="AO44" i="15"/>
  <c r="DS62" i="19"/>
  <c r="J33" i="15"/>
  <c r="AL33" i="15"/>
  <c r="DZ129" i="19"/>
  <c r="AM28" i="11"/>
  <c r="DV17" i="11"/>
  <c r="DV35" i="1" s="1"/>
  <c r="DV29" i="11"/>
  <c r="DV30" i="11" s="1"/>
  <c r="DJ81" i="24"/>
  <c r="AH80" i="24"/>
  <c r="I80" i="24"/>
  <c r="EB61" i="19"/>
  <c r="AO32" i="15"/>
  <c r="DU13" i="1"/>
  <c r="R15" i="7"/>
  <c r="BP15" i="7"/>
  <c r="AD92" i="1"/>
  <c r="CZ60" i="11"/>
  <c r="CZ79" i="11"/>
  <c r="AE80" i="11"/>
  <c r="DZ62" i="19"/>
  <c r="DZ44" i="15"/>
  <c r="DG52" i="24"/>
  <c r="AG51" i="24"/>
  <c r="DA10" i="11"/>
  <c r="CY104" i="11"/>
  <c r="CY21" i="11" s="1"/>
  <c r="CY45" i="11"/>
  <c r="ET78" i="24"/>
  <c r="AT77" i="24"/>
  <c r="CB63" i="1"/>
  <c r="CB68" i="1" s="1"/>
  <c r="AE59" i="2"/>
  <c r="CZ39" i="11"/>
  <c r="AE38" i="11"/>
  <c r="AM111" i="15"/>
  <c r="AM112" i="15" s="1"/>
  <c r="DT277" i="19"/>
  <c r="EX114" i="24"/>
  <c r="EY115" i="24" s="1"/>
  <c r="EZ116" i="24" s="1"/>
  <c r="EA129" i="19"/>
  <c r="J55" i="19"/>
  <c r="K50" i="19" s="1"/>
  <c r="DZ69" i="19"/>
  <c r="AM33" i="11"/>
  <c r="AM110" i="15"/>
  <c r="ER113" i="24"/>
  <c r="ES114" i="24" s="1"/>
  <c r="ET115" i="24" s="1"/>
  <c r="Z118" i="37"/>
  <c r="Z30" i="37"/>
  <c r="FA105" i="24"/>
  <c r="FB106" i="24" s="1"/>
  <c r="DJ57" i="11"/>
  <c r="Y14" i="35"/>
  <c r="Y18" i="37"/>
  <c r="Y98" i="38"/>
  <c r="Y91" i="38"/>
  <c r="Y107" i="38"/>
  <c r="Y116" i="38"/>
  <c r="Y82" i="38"/>
  <c r="FA76" i="24"/>
  <c r="AW75" i="24"/>
  <c r="L75" i="24"/>
  <c r="DU17" i="11"/>
  <c r="DU35" i="1" s="1"/>
  <c r="DU29" i="11"/>
  <c r="DU30" i="11" s="1"/>
  <c r="EX113" i="24"/>
  <c r="EY114" i="24" s="1"/>
  <c r="EZ115" i="24" s="1"/>
  <c r="DN69" i="11"/>
  <c r="DN156" i="11" s="1"/>
  <c r="DN120" i="1" s="1"/>
  <c r="DN51" i="11"/>
  <c r="DN72" i="11"/>
  <c r="AJ70" i="11"/>
  <c r="AJ72" i="11" s="1"/>
  <c r="DX129" i="19"/>
  <c r="Y11" i="35"/>
  <c r="Y48" i="35"/>
  <c r="DP81" i="24"/>
  <c r="AJ80" i="24"/>
  <c r="DY46" i="19"/>
  <c r="DY44" i="15"/>
  <c r="AN11" i="15"/>
  <c r="W9" i="29"/>
  <c r="BZ13" i="29"/>
  <c r="CA9" i="29" s="1"/>
  <c r="BZ30" i="29"/>
  <c r="ER114" i="24"/>
  <c r="ES115" i="24" s="1"/>
  <c r="ET116" i="24" s="1"/>
  <c r="Z92" i="37"/>
  <c r="AA84" i="37"/>
  <c r="Z94" i="37"/>
  <c r="EE20" i="29"/>
  <c r="EF16" i="29" s="1"/>
  <c r="EF20" i="29" s="1"/>
  <c r="EG16" i="29" s="1"/>
  <c r="EG20" i="29" s="1"/>
  <c r="EH16" i="29" s="1"/>
  <c r="AP16" i="29"/>
  <c r="EB43" i="15"/>
  <c r="J43" i="15" s="1"/>
  <c r="CX81" i="1"/>
  <c r="CX37" i="1"/>
  <c r="CX38" i="1"/>
  <c r="DV61" i="19"/>
  <c r="AM32" i="15"/>
  <c r="AO54" i="19"/>
  <c r="EB191" i="19"/>
  <c r="AO46" i="19"/>
  <c r="EB117" i="19"/>
  <c r="EA62" i="19"/>
  <c r="EA44" i="15"/>
  <c r="EA69" i="19"/>
  <c r="DV62" i="19"/>
  <c r="AM33" i="15"/>
  <c r="DJ119" i="1"/>
  <c r="AO78" i="24"/>
  <c r="EC79" i="24"/>
  <c r="AL191" i="19"/>
  <c r="Z53" i="37"/>
  <c r="AA45" i="37"/>
  <c r="Z55" i="37"/>
  <c r="EB27" i="29"/>
  <c r="EC23" i="29" s="1"/>
  <c r="EC27" i="29" s="1"/>
  <c r="ED23" i="29" s="1"/>
  <c r="ED27" i="29" s="1"/>
  <c r="EE23" i="29" s="1"/>
  <c r="AO23" i="29"/>
  <c r="AM43" i="15"/>
  <c r="DM81" i="24"/>
  <c r="AI80" i="24"/>
  <c r="U45" i="15"/>
  <c r="X47" i="15"/>
  <c r="X48" i="15"/>
  <c r="DU277" i="19"/>
  <c r="AA136" i="36"/>
  <c r="CR52" i="24"/>
  <c r="AB51" i="24"/>
  <c r="DX69" i="19"/>
  <c r="DW13" i="1"/>
  <c r="Z134" i="37"/>
  <c r="Z129" i="37"/>
  <c r="DW79" i="24"/>
  <c r="AM78" i="24"/>
  <c r="AO20" i="29"/>
  <c r="AR21" i="29"/>
  <c r="DR58" i="24"/>
  <c r="AK57" i="24"/>
  <c r="DQ61" i="24"/>
  <c r="CL39" i="7"/>
  <c r="CL40" i="7" s="1"/>
  <c r="CL15" i="7"/>
  <c r="DS61" i="19"/>
  <c r="J32" i="15"/>
  <c r="AL32" i="15"/>
  <c r="CW93" i="1"/>
  <c r="DN94" i="24"/>
  <c r="AJ93" i="24"/>
  <c r="DT17" i="11"/>
  <c r="DT35" i="1" s="1"/>
  <c r="DT29" i="11"/>
  <c r="DT30" i="11" s="1"/>
  <c r="J46" i="19"/>
  <c r="AL46" i="19"/>
  <c r="DS70" i="19"/>
  <c r="DS117" i="19"/>
  <c r="AN27" i="29"/>
  <c r="AQ28" i="29"/>
  <c r="ED108" i="24"/>
  <c r="EE109" i="24" s="1"/>
  <c r="DN88" i="24"/>
  <c r="AJ87" i="24"/>
  <c r="AA39" i="36"/>
  <c r="Z42" i="35"/>
  <c r="AL32" i="11"/>
  <c r="AL158" i="11" s="1"/>
  <c r="DU158" i="11"/>
  <c r="DU122" i="1" s="1"/>
  <c r="AL122" i="1" s="1"/>
  <c r="DY61" i="19"/>
  <c r="AN32" i="15"/>
  <c r="Z38" i="37"/>
  <c r="CW100" i="1"/>
  <c r="CW101" i="1"/>
  <c r="DX58" i="24"/>
  <c r="AM57" i="24"/>
  <c r="AM191" i="19"/>
  <c r="AR78" i="24"/>
  <c r="EL79" i="24"/>
  <c r="DK52" i="11"/>
  <c r="AI52" i="11" s="1"/>
  <c r="AI87" i="11" s="1"/>
  <c r="EU114" i="24"/>
  <c r="EV115" i="24" s="1"/>
  <c r="EW116" i="24" s="1"/>
  <c r="EC70" i="19"/>
  <c r="EC117" i="19"/>
  <c r="CK51" i="24"/>
  <c r="G50" i="24"/>
  <c r="Z50" i="24"/>
  <c r="CJ61" i="24"/>
  <c r="CJ14" i="24" s="1"/>
  <c r="DV46" i="19"/>
  <c r="AM11" i="15"/>
  <c r="DV44" i="15"/>
  <c r="AM44" i="15" s="1"/>
  <c r="Z117" i="37"/>
  <c r="AA43" i="36"/>
  <c r="AA15" i="36"/>
  <c r="AO45" i="19"/>
  <c r="EB69" i="19"/>
  <c r="AO69" i="19" s="1"/>
  <c r="EB111" i="19"/>
  <c r="AN54" i="19"/>
  <c r="DY191" i="19"/>
  <c r="J191" i="19" s="1"/>
  <c r="CY41" i="11"/>
  <c r="J45" i="19"/>
  <c r="J47" i="19" s="1"/>
  <c r="K42" i="19" s="1"/>
  <c r="AL45" i="19"/>
  <c r="DS69" i="19"/>
  <c r="DS111" i="19"/>
  <c r="EC277" i="19"/>
  <c r="AF52" i="24"/>
  <c r="DB53" i="24"/>
  <c r="BT106" i="1"/>
  <c r="BS113" i="1"/>
  <c r="R14" i="7"/>
  <c r="BP14" i="7"/>
  <c r="EU105" i="24"/>
  <c r="EV106" i="24" s="1"/>
  <c r="EW107" i="24" s="1"/>
  <c r="AO185" i="19"/>
  <c r="EB203" i="19"/>
  <c r="EO79" i="24"/>
  <c r="AS78" i="24"/>
  <c r="AK35" i="1"/>
  <c r="AN185" i="19"/>
  <c r="DY203" i="19"/>
  <c r="DW129" i="19"/>
  <c r="DU129" i="19"/>
  <c r="K18" i="15"/>
  <c r="DI7" i="25"/>
  <c r="DI8" i="25" s="1"/>
  <c r="FA110" i="24"/>
  <c r="FB111" i="24" s="1"/>
  <c r="DS81" i="24"/>
  <c r="AK80" i="24"/>
  <c r="DK55" i="11"/>
  <c r="DK57" i="11" s="1"/>
  <c r="DK74" i="11"/>
  <c r="DK155" i="11" s="1"/>
  <c r="DK77" i="11"/>
  <c r="DN75" i="11"/>
  <c r="AP34" i="30"/>
  <c r="AX34" i="30"/>
  <c r="E46" i="30"/>
  <c r="D46" i="30" s="1"/>
  <c r="AQ34" i="30"/>
  <c r="AY34" i="30"/>
  <c r="AR34" i="30"/>
  <c r="AZ34" i="30"/>
  <c r="AS34" i="30"/>
  <c r="BA34" i="30"/>
  <c r="AT34" i="30"/>
  <c r="BB34" i="30"/>
  <c r="AU34" i="30"/>
  <c r="AN34" i="30"/>
  <c r="AN51" i="30" s="1"/>
  <c r="AV34" i="30"/>
  <c r="AO34" i="30"/>
  <c r="AW34" i="30"/>
  <c r="FA114" i="24"/>
  <c r="FB115" i="24" s="1"/>
  <c r="CW125" i="11"/>
  <c r="AD144" i="11"/>
  <c r="EU30" i="7" s="1"/>
  <c r="EP58" i="24"/>
  <c r="AS57" i="24"/>
  <c r="EO61" i="24"/>
  <c r="DT44" i="15"/>
  <c r="CP53" i="24"/>
  <c r="AB52" i="24"/>
  <c r="AT35" i="30"/>
  <c r="BB35" i="30"/>
  <c r="AU35" i="30"/>
  <c r="BC35" i="30"/>
  <c r="AV35" i="30"/>
  <c r="AO35" i="30"/>
  <c r="AW35" i="30"/>
  <c r="AP35" i="30"/>
  <c r="AX35" i="30"/>
  <c r="AQ35" i="30"/>
  <c r="AY35" i="30"/>
  <c r="E47" i="30"/>
  <c r="D47" i="30" s="1"/>
  <c r="AR35" i="30"/>
  <c r="AZ35" i="30"/>
  <c r="AS35" i="30"/>
  <c r="BA35" i="30"/>
  <c r="EW78" i="24"/>
  <c r="AU77" i="24"/>
  <c r="CX144" i="11"/>
  <c r="CX127" i="1"/>
  <c r="EG57" i="24"/>
  <c r="K56" i="24"/>
  <c r="AP56" i="24"/>
  <c r="EF61" i="24"/>
  <c r="Z115" i="37"/>
  <c r="Z110" i="37"/>
  <c r="Z111" i="37" s="1"/>
  <c r="ED13" i="1"/>
  <c r="BR55" i="19"/>
  <c r="BR18" i="15"/>
  <c r="DI119" i="1"/>
  <c r="AH119" i="1" s="1"/>
  <c r="BR63" i="19"/>
  <c r="BR29" i="15"/>
  <c r="AN110" i="15"/>
  <c r="AN111" i="15" s="1"/>
  <c r="AN112" i="15" s="1"/>
  <c r="AM45" i="19"/>
  <c r="DV69" i="19"/>
  <c r="AM69" i="19" s="1"/>
  <c r="DV111" i="19"/>
  <c r="AO111" i="15"/>
  <c r="AO112" i="15"/>
  <c r="CX50" i="19"/>
  <c r="AE50" i="19" s="1"/>
  <c r="AE55" i="19" s="1"/>
  <c r="AE18" i="15"/>
  <c r="CX23" i="15"/>
  <c r="CX25" i="15"/>
  <c r="CX26" i="15"/>
  <c r="CX91" i="15"/>
  <c r="EJ57" i="24"/>
  <c r="AQ56" i="24"/>
  <c r="AM185" i="19"/>
  <c r="AM203" i="19" s="1"/>
  <c r="DV203" i="19"/>
  <c r="AE109" i="11"/>
  <c r="AE137" i="11"/>
  <c r="EV23" i="7" s="1"/>
  <c r="CX42" i="19"/>
  <c r="CX12" i="15"/>
  <c r="CX40" i="15"/>
  <c r="AE7" i="15"/>
  <c r="CX14" i="15"/>
  <c r="CX90" i="15"/>
  <c r="CX15" i="15"/>
  <c r="V40" i="29"/>
  <c r="V43" i="29" s="1"/>
  <c r="DT70" i="19"/>
  <c r="DT117" i="19"/>
  <c r="AN45" i="19"/>
  <c r="DY69" i="19"/>
  <c r="AN69" i="19" s="1"/>
  <c r="DY111" i="19"/>
  <c r="DO69" i="11"/>
  <c r="DO51" i="11"/>
  <c r="DO72" i="11"/>
  <c r="DP70" i="11"/>
  <c r="B36" i="30"/>
  <c r="C36" i="30"/>
  <c r="A37" i="30"/>
  <c r="ED129" i="19"/>
  <c r="EZ78" i="24"/>
  <c r="AV77" i="24"/>
  <c r="I122" i="1"/>
  <c r="AK122" i="1"/>
  <c r="AI87" i="24"/>
  <c r="DK88" i="24"/>
  <c r="DW277" i="19"/>
  <c r="AK17" i="11"/>
  <c r="AK34" i="11"/>
  <c r="AK29" i="11"/>
  <c r="AK30" i="11" s="1"/>
  <c r="EA80" i="24"/>
  <c r="AN79" i="24"/>
  <c r="ES58" i="24"/>
  <c r="AT57" i="24"/>
  <c r="L57" i="24"/>
  <c r="FA113" i="24"/>
  <c r="FB114" i="24" s="1"/>
  <c r="S7" i="7"/>
  <c r="BQ7" i="7"/>
  <c r="AE52" i="1"/>
  <c r="AA42" i="36"/>
  <c r="DU58" i="24"/>
  <c r="J57" i="24"/>
  <c r="AL57" i="24"/>
  <c r="DS17" i="11"/>
  <c r="DS35" i="1" s="1"/>
  <c r="AL28" i="11"/>
  <c r="DS29" i="11"/>
  <c r="DS30" i="11" s="1"/>
  <c r="CX83" i="1"/>
  <c r="CX58" i="19"/>
  <c r="AE58" i="19" s="1"/>
  <c r="AE63" i="19" s="1"/>
  <c r="AE29" i="15"/>
  <c r="CX34" i="15"/>
  <c r="CX36" i="15"/>
  <c r="CX92" i="15"/>
  <c r="CX37" i="15"/>
  <c r="AL110" i="15"/>
  <c r="AL111" i="15" s="1"/>
  <c r="AL112" i="15" s="1"/>
  <c r="AH92" i="24"/>
  <c r="AH126" i="24" s="1"/>
  <c r="DJ93" i="24"/>
  <c r="DI126" i="24"/>
  <c r="ED277" i="19"/>
  <c r="DY62" i="19"/>
  <c r="AN33" i="15"/>
  <c r="BS42" i="19"/>
  <c r="BS66" i="19" s="1"/>
  <c r="BR12" i="15"/>
  <c r="BS40" i="15"/>
  <c r="BS90" i="15"/>
  <c r="BS15" i="15"/>
  <c r="BS14" i="15"/>
  <c r="EB62" i="19"/>
  <c r="EB70" i="19" s="1"/>
  <c r="AO70" i="19" s="1"/>
  <c r="AO33" i="15"/>
  <c r="X126" i="26" l="1"/>
  <c r="X164" i="26"/>
  <c r="X163" i="26" s="1"/>
  <c r="Y100" i="26"/>
  <c r="Y101" i="26" s="1"/>
  <c r="Y121" i="26"/>
  <c r="Y120" i="26"/>
  <c r="ET59" i="24"/>
  <c r="L58" i="24"/>
  <c r="AT58" i="24"/>
  <c r="ES61" i="24"/>
  <c r="AE34" i="15"/>
  <c r="AE92" i="15"/>
  <c r="AH36" i="15"/>
  <c r="AH37" i="15"/>
  <c r="EB81" i="24"/>
  <c r="AN80" i="24"/>
  <c r="DL89" i="24"/>
  <c r="AI88" i="24"/>
  <c r="DO52" i="11"/>
  <c r="EK58" i="24"/>
  <c r="AQ57" i="24"/>
  <c r="CX100" i="1"/>
  <c r="CX101" i="1"/>
  <c r="CW132" i="11"/>
  <c r="CW22" i="11" s="1"/>
  <c r="AD125" i="11"/>
  <c r="CY16" i="11"/>
  <c r="CY34" i="1" s="1"/>
  <c r="CY42" i="11"/>
  <c r="AM46" i="19"/>
  <c r="DV70" i="19"/>
  <c r="DV117" i="19"/>
  <c r="EX117" i="24"/>
  <c r="EY118" i="24" s="1"/>
  <c r="EZ119" i="24" s="1"/>
  <c r="AN61" i="19"/>
  <c r="DY259" i="19"/>
  <c r="EF110" i="24"/>
  <c r="AL117" i="19"/>
  <c r="Z130" i="37"/>
  <c r="AA122" i="37"/>
  <c r="Z132" i="37"/>
  <c r="CS53" i="24"/>
  <c r="AC52" i="24"/>
  <c r="AO27" i="29"/>
  <c r="AR28" i="29"/>
  <c r="ED80" i="24"/>
  <c r="AO79" i="24"/>
  <c r="AA88" i="37"/>
  <c r="AB111" i="36"/>
  <c r="AB107" i="36" s="1"/>
  <c r="AA103" i="37"/>
  <c r="AA90" i="37"/>
  <c r="CA13" i="29"/>
  <c r="CB9" i="29" s="1"/>
  <c r="CA30" i="29"/>
  <c r="CA34" i="29" s="1"/>
  <c r="CA37" i="29" s="1"/>
  <c r="CA38" i="29" s="1"/>
  <c r="DU56" i="1"/>
  <c r="DU40" i="1"/>
  <c r="CC63" i="1"/>
  <c r="AF59" i="2"/>
  <c r="DZ265" i="19"/>
  <c r="DZ70" i="19"/>
  <c r="AM34" i="11"/>
  <c r="AM17" i="11"/>
  <c r="AM29" i="11"/>
  <c r="AM30" i="11" s="1"/>
  <c r="AL62" i="19"/>
  <c r="J62" i="19"/>
  <c r="DS265" i="19"/>
  <c r="AE52" i="24"/>
  <c r="CY53" i="24"/>
  <c r="AE64" i="1"/>
  <c r="AL203" i="19"/>
  <c r="AA71" i="37"/>
  <c r="AB79" i="36"/>
  <c r="AB75" i="36" s="1"/>
  <c r="AA69" i="37"/>
  <c r="AH69" i="37" s="1"/>
  <c r="EX116" i="24"/>
  <c r="EY117" i="24" s="1"/>
  <c r="EZ118" i="24" s="1"/>
  <c r="AJ69" i="11"/>
  <c r="AJ156" i="11" s="1"/>
  <c r="DO156" i="11"/>
  <c r="DO120" i="1" s="1"/>
  <c r="AJ120" i="1" s="1"/>
  <c r="CX125" i="11"/>
  <c r="DT82" i="24"/>
  <c r="AL81" i="24"/>
  <c r="EP80" i="24"/>
  <c r="AS79" i="24"/>
  <c r="EX108" i="24"/>
  <c r="EY109" i="24" s="1"/>
  <c r="EZ110" i="24" s="1"/>
  <c r="BT110" i="1"/>
  <c r="BT99" i="1"/>
  <c r="AN191" i="19"/>
  <c r="AN203" i="19" s="1"/>
  <c r="AL70" i="19"/>
  <c r="J70" i="19"/>
  <c r="DT56" i="1"/>
  <c r="DT40" i="1"/>
  <c r="AJ81" i="24"/>
  <c r="DN82" i="24"/>
  <c r="EE27" i="29"/>
  <c r="EF23" i="29" s="1"/>
  <c r="EF27" i="29" s="1"/>
  <c r="EG23" i="29" s="1"/>
  <c r="EG27" i="29" s="1"/>
  <c r="EH23" i="29" s="1"/>
  <c r="AP23" i="29"/>
  <c r="EA13" i="1"/>
  <c r="W13" i="29"/>
  <c r="Z14" i="29"/>
  <c r="EG80" i="24"/>
  <c r="AP79" i="24"/>
  <c r="K79" i="24"/>
  <c r="AO57" i="24"/>
  <c r="EC58" i="24"/>
  <c r="EB61" i="24"/>
  <c r="BS48" i="15"/>
  <c r="BS47" i="15"/>
  <c r="BR47" i="19"/>
  <c r="BR71" i="19" s="1"/>
  <c r="BR45" i="15"/>
  <c r="BR7" i="15"/>
  <c r="B37" i="30"/>
  <c r="C37" i="30"/>
  <c r="A38" i="30"/>
  <c r="AN111" i="19"/>
  <c r="AM111" i="19"/>
  <c r="DV129" i="19"/>
  <c r="DT13" i="1"/>
  <c r="J111" i="19"/>
  <c r="AL111" i="19"/>
  <c r="AL129" i="19" s="1"/>
  <c r="DS129" i="19"/>
  <c r="Z13" i="37"/>
  <c r="EA265" i="19"/>
  <c r="EA70" i="19"/>
  <c r="Z41" i="37"/>
  <c r="FA117" i="24"/>
  <c r="FB118" i="24" s="1"/>
  <c r="DU88" i="1"/>
  <c r="AO61" i="19"/>
  <c r="EB259" i="19"/>
  <c r="Z40" i="37"/>
  <c r="CZ98" i="11"/>
  <c r="AE97" i="11"/>
  <c r="DA38" i="11"/>
  <c r="DA28" i="1"/>
  <c r="CZ124" i="11"/>
  <c r="AE123" i="11"/>
  <c r="AL17" i="11"/>
  <c r="AL34" i="11"/>
  <c r="AL29" i="11"/>
  <c r="AL30" i="11" s="1"/>
  <c r="AE12" i="15"/>
  <c r="AE90" i="15"/>
  <c r="AH14" i="15"/>
  <c r="AH15" i="15"/>
  <c r="BR50" i="19"/>
  <c r="BR25" i="15"/>
  <c r="BQ23" i="15"/>
  <c r="BR91" i="15"/>
  <c r="BR26" i="15"/>
  <c r="DN55" i="11"/>
  <c r="DN74" i="11"/>
  <c r="DN155" i="11" s="1"/>
  <c r="DN77" i="11"/>
  <c r="DC54" i="24"/>
  <c r="AF53" i="24"/>
  <c r="J69" i="19"/>
  <c r="AL69" i="19"/>
  <c r="AO111" i="19"/>
  <c r="AO129" i="19" s="1"/>
  <c r="EB129" i="19"/>
  <c r="DO95" i="24"/>
  <c r="AJ94" i="24"/>
  <c r="J36" i="15"/>
  <c r="DS14" i="25" s="1"/>
  <c r="J37" i="15"/>
  <c r="DS15" i="25" s="1"/>
  <c r="J34" i="15"/>
  <c r="CL42" i="7"/>
  <c r="EK28" i="7"/>
  <c r="DV13" i="1"/>
  <c r="AO117" i="19"/>
  <c r="AO43" i="15"/>
  <c r="EB13" i="1"/>
  <c r="AN44" i="15"/>
  <c r="DQ82" i="24"/>
  <c r="AK81" i="24"/>
  <c r="Y15" i="35"/>
  <c r="CY44" i="1"/>
  <c r="AE79" i="11"/>
  <c r="CZ157" i="11"/>
  <c r="CZ101" i="11"/>
  <c r="CZ111" i="11"/>
  <c r="AE112" i="11"/>
  <c r="DZ32" i="11"/>
  <c r="DZ158" i="11" s="1"/>
  <c r="DZ122" i="1" s="1"/>
  <c r="DZ28" i="11"/>
  <c r="AN33" i="11"/>
  <c r="CW54" i="24"/>
  <c r="H53" i="24"/>
  <c r="AD53" i="24"/>
  <c r="AE134" i="11"/>
  <c r="CZ161" i="11"/>
  <c r="CZ125" i="1" s="1"/>
  <c r="AE125" i="1" s="1"/>
  <c r="F36" i="30"/>
  <c r="AE40" i="15"/>
  <c r="CX48" i="15"/>
  <c r="CX47" i="15"/>
  <c r="CX55" i="19"/>
  <c r="CY18" i="15"/>
  <c r="AV78" i="24"/>
  <c r="EX79" i="24"/>
  <c r="Z51" i="24"/>
  <c r="Z61" i="24" s="1"/>
  <c r="CL52" i="24"/>
  <c r="G51" i="24"/>
  <c r="CK61" i="24"/>
  <c r="CK14" i="24" s="1"/>
  <c r="AL61" i="19"/>
  <c r="J61" i="19"/>
  <c r="J63" i="19" s="1"/>
  <c r="K58" i="19" s="1"/>
  <c r="DS259" i="19"/>
  <c r="Z31" i="37"/>
  <c r="AM61" i="19"/>
  <c r="DV259" i="19"/>
  <c r="AP20" i="29"/>
  <c r="AS21" i="29"/>
  <c r="AN46" i="19"/>
  <c r="DY70" i="19"/>
  <c r="AN70" i="19" s="1"/>
  <c r="DY117" i="19"/>
  <c r="J117" i="19" s="1"/>
  <c r="FA116" i="24"/>
  <c r="FB117" i="24" s="1"/>
  <c r="FB77" i="24"/>
  <c r="AW76" i="24"/>
  <c r="L76" i="24"/>
  <c r="DA80" i="11"/>
  <c r="DA135" i="11"/>
  <c r="DA107" i="11"/>
  <c r="CZ61" i="11"/>
  <c r="AE61" i="11" s="1"/>
  <c r="AE89" i="11" s="1"/>
  <c r="AE60" i="11"/>
  <c r="AE81" i="11" s="1"/>
  <c r="J44" i="15"/>
  <c r="J47" i="15" s="1"/>
  <c r="EC14" i="25" s="1"/>
  <c r="ER79" i="24"/>
  <c r="L78" i="24"/>
  <c r="AT78" i="24"/>
  <c r="CY144" i="11"/>
  <c r="CY127" i="1"/>
  <c r="AE106" i="11"/>
  <c r="CZ160" i="11"/>
  <c r="CZ124" i="1" s="1"/>
  <c r="AE124" i="1" s="1"/>
  <c r="DW17" i="11"/>
  <c r="DW35" i="1" s="1"/>
  <c r="DW29" i="11"/>
  <c r="DW30" i="11" s="1"/>
  <c r="K7" i="15"/>
  <c r="CY7" i="25"/>
  <c r="CY8" i="25" s="1"/>
  <c r="EW59" i="24"/>
  <c r="AU58" i="24"/>
  <c r="EV61" i="24"/>
  <c r="DB10" i="11"/>
  <c r="DB14" i="1"/>
  <c r="DB97" i="1"/>
  <c r="DB98" i="1"/>
  <c r="H52" i="24"/>
  <c r="CX63" i="19"/>
  <c r="CY29" i="15"/>
  <c r="AI93" i="24"/>
  <c r="DK94" i="24"/>
  <c r="DJ126" i="24"/>
  <c r="AW78" i="24"/>
  <c r="FA79" i="24"/>
  <c r="CX47" i="19"/>
  <c r="CX71" i="19" s="1"/>
  <c r="CX45" i="15"/>
  <c r="CY7" i="15"/>
  <c r="AE23" i="15"/>
  <c r="AE91" i="15"/>
  <c r="AH25" i="15"/>
  <c r="AH26" i="15"/>
  <c r="EQ59" i="24"/>
  <c r="AS58" i="24"/>
  <c r="AS61" i="24" s="1"/>
  <c r="EP61" i="24"/>
  <c r="DO75" i="11"/>
  <c r="AJ75" i="11" s="1"/>
  <c r="AJ77" i="11" s="1"/>
  <c r="K105" i="15"/>
  <c r="DW88" i="1"/>
  <c r="AB55" i="36"/>
  <c r="AB51" i="36" s="1"/>
  <c r="AA49" i="37"/>
  <c r="AA51" i="37" s="1"/>
  <c r="AA24" i="37"/>
  <c r="AQ16" i="29"/>
  <c r="EH20" i="29"/>
  <c r="EI16" i="29" s="1"/>
  <c r="EI20" i="29" s="1"/>
  <c r="EJ16" i="29" s="1"/>
  <c r="EJ20" i="29" s="1"/>
  <c r="EK16" i="29" s="1"/>
  <c r="EU117" i="24"/>
  <c r="EV118" i="24" s="1"/>
  <c r="EW119" i="24" s="1"/>
  <c r="EC129" i="19"/>
  <c r="DN52" i="11"/>
  <c r="AJ52" i="11" s="1"/>
  <c r="AJ87" i="11" s="1"/>
  <c r="AJ51" i="11"/>
  <c r="AJ71" i="11" s="1"/>
  <c r="AI55" i="11"/>
  <c r="AI76" i="11" s="1"/>
  <c r="EU116" i="24"/>
  <c r="EV117" i="24" s="1"/>
  <c r="EW118" i="24" s="1"/>
  <c r="AE39" i="11"/>
  <c r="EU79" i="24"/>
  <c r="AU78" i="24"/>
  <c r="AL44" i="15"/>
  <c r="AI81" i="24"/>
  <c r="DK82" i="24"/>
  <c r="I81" i="24"/>
  <c r="EJ80" i="24"/>
  <c r="AQ79" i="24"/>
  <c r="S6" i="7"/>
  <c r="AW37" i="7" s="1"/>
  <c r="BQ6" i="7"/>
  <c r="DX13" i="1"/>
  <c r="J203" i="19"/>
  <c r="DY13" i="1"/>
  <c r="AN62" i="19"/>
  <c r="DY265" i="19"/>
  <c r="BR58" i="19"/>
  <c r="BR37" i="15"/>
  <c r="BQ34" i="15"/>
  <c r="BR92" i="15"/>
  <c r="BR36" i="15"/>
  <c r="CQ54" i="24"/>
  <c r="AB53" i="24"/>
  <c r="DK119" i="1"/>
  <c r="AK56" i="1"/>
  <c r="AK40" i="1"/>
  <c r="EM80" i="24"/>
  <c r="AR79" i="24"/>
  <c r="DY59" i="24"/>
  <c r="AM58" i="24"/>
  <c r="DX61" i="24"/>
  <c r="DO89" i="24"/>
  <c r="AJ88" i="24"/>
  <c r="DS59" i="24"/>
  <c r="AK58" i="24"/>
  <c r="AK61" i="24" s="1"/>
  <c r="DR61" i="24"/>
  <c r="DX80" i="24"/>
  <c r="AM79" i="24"/>
  <c r="AA16" i="36"/>
  <c r="AA21" i="36" s="1"/>
  <c r="AO191" i="19"/>
  <c r="Z113" i="37"/>
  <c r="Z14" i="37" s="1"/>
  <c r="AI57" i="11"/>
  <c r="AI88" i="11" s="1"/>
  <c r="DH53" i="24"/>
  <c r="I52" i="24"/>
  <c r="AH52" i="24"/>
  <c r="AD93" i="1"/>
  <c r="AB18" i="7" s="1"/>
  <c r="AB17" i="7"/>
  <c r="DU80" i="24"/>
  <c r="J79" i="24"/>
  <c r="AL79" i="24"/>
  <c r="EC88" i="1"/>
  <c r="DX265" i="19"/>
  <c r="DX70" i="19"/>
  <c r="EA32" i="11"/>
  <c r="EA28" i="11"/>
  <c r="EB33" i="11"/>
  <c r="DF54" i="24"/>
  <c r="AG53" i="24"/>
  <c r="AL13" i="1"/>
  <c r="DS88" i="1"/>
  <c r="AO62" i="19"/>
  <c r="EB265" i="19"/>
  <c r="AL35" i="1"/>
  <c r="DS56" i="1"/>
  <c r="DS40" i="1"/>
  <c r="DP69" i="11"/>
  <c r="DP156" i="11" s="1"/>
  <c r="DP120" i="1" s="1"/>
  <c r="DP51" i="11"/>
  <c r="DP72" i="11"/>
  <c r="DQ70" i="11"/>
  <c r="AE42" i="19"/>
  <c r="AE47" i="19" s="1"/>
  <c r="CX66" i="19"/>
  <c r="AE66" i="19" s="1"/>
  <c r="AE71" i="19" s="1"/>
  <c r="ED88" i="1"/>
  <c r="DV59" i="24"/>
  <c r="AL58" i="24"/>
  <c r="J58" i="24"/>
  <c r="DU61" i="24"/>
  <c r="EH58" i="24"/>
  <c r="AP57" i="24"/>
  <c r="K57" i="24"/>
  <c r="EG61" i="24"/>
  <c r="AO51" i="30"/>
  <c r="AO203" i="19"/>
  <c r="AM62" i="19"/>
  <c r="DV265" i="19"/>
  <c r="W30" i="29"/>
  <c r="BZ34" i="29"/>
  <c r="BZ37" i="29" s="1"/>
  <c r="DZ13" i="1"/>
  <c r="DV56" i="1"/>
  <c r="AM35" i="1"/>
  <c r="DV40" i="1"/>
  <c r="DT129" i="19"/>
  <c r="AF9" i="11"/>
  <c r="AF15" i="1"/>
  <c r="I6" i="7" s="1"/>
  <c r="I29" i="7" s="1"/>
  <c r="AD13" i="7"/>
  <c r="I5" i="7"/>
  <c r="I28" i="7" s="1"/>
  <c r="F37" i="30" l="1"/>
  <c r="Y124" i="26"/>
  <c r="Y123" i="26"/>
  <c r="AH51" i="37"/>
  <c r="AM59" i="24"/>
  <c r="DW60" i="24"/>
  <c r="DV61" i="24"/>
  <c r="EN81" i="24"/>
  <c r="AR80" i="24"/>
  <c r="L59" i="24"/>
  <c r="AT59" i="24"/>
  <c r="ER60" i="24"/>
  <c r="EQ61" i="24"/>
  <c r="AW77" i="24"/>
  <c r="L77" i="24"/>
  <c r="DA64" i="1"/>
  <c r="EB32" i="11"/>
  <c r="EB158" i="11" s="1"/>
  <c r="EB122" i="1" s="1"/>
  <c r="EB28" i="11"/>
  <c r="EC33" i="11"/>
  <c r="DY81" i="24"/>
  <c r="AM80" i="24"/>
  <c r="CR55" i="24"/>
  <c r="AB54" i="24"/>
  <c r="AN13" i="1"/>
  <c r="DY88" i="1"/>
  <c r="EX119" i="24"/>
  <c r="EY120" i="24" s="1"/>
  <c r="EZ121" i="24" s="1"/>
  <c r="AR16" i="29"/>
  <c r="EK20" i="29"/>
  <c r="EL16" i="29" s="1"/>
  <c r="EL20" i="29" s="1"/>
  <c r="EM16" i="29" s="1"/>
  <c r="EM20" i="29" s="1"/>
  <c r="EN16" i="29" s="1"/>
  <c r="DB9" i="11"/>
  <c r="DB15" i="1"/>
  <c r="DC9" i="1"/>
  <c r="DB29" i="1"/>
  <c r="DW56" i="1"/>
  <c r="DW40" i="1"/>
  <c r="ES80" i="24"/>
  <c r="L79" i="24"/>
  <c r="AT79" i="24"/>
  <c r="DA134" i="11"/>
  <c r="DA161" i="11" s="1"/>
  <c r="DA125" i="1" s="1"/>
  <c r="DA123" i="11"/>
  <c r="AM259" i="19"/>
  <c r="DV277" i="19"/>
  <c r="CY83" i="1"/>
  <c r="DD55" i="24"/>
  <c r="AF54" i="24"/>
  <c r="BQ55" i="19"/>
  <c r="BQ18" i="15"/>
  <c r="J129" i="19"/>
  <c r="AQ23" i="29"/>
  <c r="EH27" i="29"/>
  <c r="EI23" i="29" s="1"/>
  <c r="EI27" i="29" s="1"/>
  <c r="EJ23" i="29" s="1"/>
  <c r="EJ27" i="29" s="1"/>
  <c r="EK23" i="29" s="1"/>
  <c r="FA119" i="24"/>
  <c r="FB120" i="24" s="1"/>
  <c r="CZ54" i="24"/>
  <c r="AE53" i="24"/>
  <c r="AA109" i="37"/>
  <c r="AH90" i="37"/>
  <c r="AN259" i="19"/>
  <c r="DY277" i="19"/>
  <c r="CY46" i="11"/>
  <c r="DM90" i="24"/>
  <c r="AI89" i="24"/>
  <c r="DP90" i="24"/>
  <c r="AJ89" i="24"/>
  <c r="EA17" i="11"/>
  <c r="EA35" i="1" s="1"/>
  <c r="EA29" i="11"/>
  <c r="EA30" i="11" s="1"/>
  <c r="AQ20" i="29"/>
  <c r="AT21" i="29"/>
  <c r="CY58" i="19"/>
  <c r="CY34" i="15"/>
  <c r="CY36" i="15"/>
  <c r="CY92" i="15"/>
  <c r="CY37" i="15"/>
  <c r="DB80" i="11"/>
  <c r="DB135" i="11"/>
  <c r="DB107" i="11"/>
  <c r="DA60" i="11"/>
  <c r="DA79" i="11"/>
  <c r="DA157" i="11" s="1"/>
  <c r="CY50" i="19"/>
  <c r="CY23" i="15"/>
  <c r="CY26" i="15"/>
  <c r="CY25" i="15"/>
  <c r="CY91" i="15"/>
  <c r="AE161" i="11"/>
  <c r="CM13" i="7" s="1"/>
  <c r="EV20" i="7"/>
  <c r="AE114" i="11"/>
  <c r="EL26" i="7" s="1"/>
  <c r="EL24" i="7"/>
  <c r="DA39" i="11"/>
  <c r="A39" i="30"/>
  <c r="B38" i="30"/>
  <c r="C38" i="30"/>
  <c r="FA111" i="24"/>
  <c r="FB112" i="24" s="1"/>
  <c r="DZ277" i="19"/>
  <c r="DR83" i="24"/>
  <c r="AK82" i="24"/>
  <c r="AP27" i="29"/>
  <c r="AS28" i="29"/>
  <c r="AM56" i="1"/>
  <c r="AM40" i="1"/>
  <c r="AN32" i="11"/>
  <c r="AN158" i="11" s="1"/>
  <c r="EA158" i="11"/>
  <c r="EA122" i="1" s="1"/>
  <c r="AN122" i="1" s="1"/>
  <c r="EJ105" i="15"/>
  <c r="EK105" i="15"/>
  <c r="EL105" i="15"/>
  <c r="EE105" i="15"/>
  <c r="EM105" i="15"/>
  <c r="EF105" i="15"/>
  <c r="EN105" i="15"/>
  <c r="EG105" i="15"/>
  <c r="EO105" i="15"/>
  <c r="EH105" i="15"/>
  <c r="EP105" i="15"/>
  <c r="EI105" i="15"/>
  <c r="AE160" i="11"/>
  <c r="CM12" i="7" s="1"/>
  <c r="EL18" i="7"/>
  <c r="Z33" i="37"/>
  <c r="Z36" i="37"/>
  <c r="G52" i="24"/>
  <c r="AA52" i="24"/>
  <c r="CM53" i="24"/>
  <c r="CL61" i="24"/>
  <c r="CL14" i="24" s="1"/>
  <c r="CZ159" i="11"/>
  <c r="CZ123" i="1" s="1"/>
  <c r="AE123" i="1" s="1"/>
  <c r="AE111" i="11"/>
  <c r="AO13" i="1"/>
  <c r="EB88" i="1"/>
  <c r="AM13" i="1"/>
  <c r="DV88" i="1"/>
  <c r="DP96" i="24"/>
  <c r="AJ95" i="24"/>
  <c r="AE108" i="11"/>
  <c r="EL8" i="7"/>
  <c r="ED59" i="24"/>
  <c r="AO58" i="24"/>
  <c r="EC61" i="24"/>
  <c r="DO83" i="24"/>
  <c r="AJ82" i="24"/>
  <c r="AA68" i="37"/>
  <c r="AB76" i="36"/>
  <c r="AB77" i="36" s="1"/>
  <c r="AI75" i="36"/>
  <c r="AI76" i="36" s="1"/>
  <c r="J265" i="19"/>
  <c r="AL265" i="19"/>
  <c r="CT54" i="24"/>
  <c r="AC53" i="24"/>
  <c r="FA120" i="24"/>
  <c r="FB121" i="24" s="1"/>
  <c r="CY33" i="1"/>
  <c r="CY55" i="1"/>
  <c r="CY39" i="1"/>
  <c r="AO81" i="24"/>
  <c r="EC82" i="24"/>
  <c r="AU59" i="24"/>
  <c r="EU60" i="24"/>
  <c r="ET61" i="24"/>
  <c r="DG55" i="24"/>
  <c r="AG54" i="24"/>
  <c r="DA97" i="11"/>
  <c r="DA106" i="11"/>
  <c r="DA160" i="11" s="1"/>
  <c r="DA124" i="1" s="1"/>
  <c r="DA112" i="11"/>
  <c r="J59" i="24"/>
  <c r="AL59" i="24"/>
  <c r="DT60" i="24"/>
  <c r="DS61" i="24"/>
  <c r="BQ63" i="19"/>
  <c r="BQ29" i="15"/>
  <c r="DX88" i="1"/>
  <c r="DH7" i="7"/>
  <c r="DH8" i="7"/>
  <c r="FB80" i="24"/>
  <c r="AW80" i="24" s="1"/>
  <c r="AW79" i="24"/>
  <c r="CY100" i="1"/>
  <c r="CY101" i="1"/>
  <c r="AN117" i="19"/>
  <c r="CZ102" i="11"/>
  <c r="CZ104" i="11" s="1"/>
  <c r="CZ21" i="11" s="1"/>
  <c r="AE101" i="11"/>
  <c r="DN119" i="1"/>
  <c r="AE136" i="11"/>
  <c r="EV22" i="7" s="1"/>
  <c r="EV8" i="7"/>
  <c r="EA277" i="19"/>
  <c r="DT88" i="1"/>
  <c r="DY129" i="19"/>
  <c r="AT37" i="30"/>
  <c r="BB37" i="30"/>
  <c r="AU37" i="30"/>
  <c r="BC37" i="30"/>
  <c r="AV37" i="30"/>
  <c r="BD37" i="30"/>
  <c r="AW37" i="30"/>
  <c r="BE37" i="30"/>
  <c r="AX37" i="30"/>
  <c r="AQ37" i="30"/>
  <c r="AY37" i="30"/>
  <c r="AR37" i="30"/>
  <c r="AZ37" i="30"/>
  <c r="AS37" i="30"/>
  <c r="BA37" i="30"/>
  <c r="E49" i="30"/>
  <c r="D49" i="30" s="1"/>
  <c r="EQ81" i="24"/>
  <c r="AS80" i="24"/>
  <c r="AA80" i="37"/>
  <c r="AH71" i="37"/>
  <c r="X63" i="1"/>
  <c r="X68" i="1" s="1"/>
  <c r="CC68" i="1"/>
  <c r="AB36" i="36"/>
  <c r="AA87" i="37"/>
  <c r="AB108" i="36"/>
  <c r="AI107" i="36"/>
  <c r="AI108" i="36" s="1"/>
  <c r="AI109" i="36" s="1"/>
  <c r="Z15" i="37"/>
  <c r="AR58" i="24"/>
  <c r="EL59" i="24"/>
  <c r="EK61" i="24"/>
  <c r="W34" i="29"/>
  <c r="Z35" i="29"/>
  <c r="DL83" i="24"/>
  <c r="AI82" i="24"/>
  <c r="I82" i="24"/>
  <c r="EI59" i="24"/>
  <c r="AQ58" i="24"/>
  <c r="EH61" i="24"/>
  <c r="K58" i="24"/>
  <c r="DZ88" i="1"/>
  <c r="AM265" i="19"/>
  <c r="AL56" i="1"/>
  <c r="AL40" i="1"/>
  <c r="J13" i="1"/>
  <c r="DX277" i="19"/>
  <c r="DI54" i="24"/>
  <c r="I53" i="24"/>
  <c r="AH53" i="24"/>
  <c r="EV80" i="24"/>
  <c r="AU79" i="24"/>
  <c r="DO55" i="11"/>
  <c r="DO74" i="11"/>
  <c r="DO77" i="11"/>
  <c r="DP75" i="11"/>
  <c r="CY42" i="19"/>
  <c r="CY66" i="19" s="1"/>
  <c r="CY12" i="15"/>
  <c r="CY40" i="15"/>
  <c r="CY90" i="15"/>
  <c r="CY15" i="15"/>
  <c r="CY14" i="15"/>
  <c r="EX60" i="24"/>
  <c r="AV59" i="24"/>
  <c r="EW61" i="24"/>
  <c r="CY125" i="11"/>
  <c r="CY132" i="11" s="1"/>
  <c r="CY22" i="11" s="1"/>
  <c r="CY45" i="1" s="1"/>
  <c r="CY84" i="1" s="1"/>
  <c r="CX55" i="24"/>
  <c r="AD54" i="24"/>
  <c r="H54" i="24"/>
  <c r="CZ121" i="1"/>
  <c r="AE121" i="1" s="1"/>
  <c r="CZ140" i="11"/>
  <c r="Y16" i="35"/>
  <c r="Y30" i="35"/>
  <c r="Y28" i="35"/>
  <c r="Y32" i="35"/>
  <c r="Y34" i="35"/>
  <c r="DN57" i="11"/>
  <c r="AJ55" i="11"/>
  <c r="AJ76" i="11" s="1"/>
  <c r="AE124" i="11"/>
  <c r="AE98" i="11"/>
  <c r="BR42" i="19"/>
  <c r="BR66" i="19" s="1"/>
  <c r="BQ12" i="15"/>
  <c r="BR40" i="15"/>
  <c r="BR90" i="15"/>
  <c r="BR15" i="15"/>
  <c r="BR14" i="15"/>
  <c r="CX132" i="11"/>
  <c r="CX22" i="11" s="1"/>
  <c r="AA107" i="37"/>
  <c r="AH88" i="37"/>
  <c r="AH107" i="37" s="1"/>
  <c r="AB149" i="36"/>
  <c r="AB145" i="36" s="1"/>
  <c r="AA126" i="37"/>
  <c r="AH126" i="37" s="1"/>
  <c r="AM117" i="19"/>
  <c r="AM129" i="19" s="1"/>
  <c r="AD145" i="11"/>
  <c r="EU31" i="7" s="1"/>
  <c r="EU10" i="7"/>
  <c r="AD132" i="11"/>
  <c r="DQ69" i="11"/>
  <c r="DQ156" i="11" s="1"/>
  <c r="DQ120" i="1" s="1"/>
  <c r="DQ51" i="11"/>
  <c r="DQ72" i="11"/>
  <c r="DR70" i="11"/>
  <c r="DZ60" i="24"/>
  <c r="AN59" i="24"/>
  <c r="DY61" i="24"/>
  <c r="EK81" i="24"/>
  <c r="AQ80" i="24"/>
  <c r="AE44" i="11"/>
  <c r="AE47" i="11"/>
  <c r="AA28" i="37"/>
  <c r="AH49" i="37"/>
  <c r="CZ62" i="11"/>
  <c r="J259" i="19"/>
  <c r="J277" i="19" s="1"/>
  <c r="AL259" i="19"/>
  <c r="AL277" i="19" s="1"/>
  <c r="DS277" i="19"/>
  <c r="AE45" i="15"/>
  <c r="AH47" i="15"/>
  <c r="AH48" i="15"/>
  <c r="AE157" i="11"/>
  <c r="AE82" i="11"/>
  <c r="K29" i="15"/>
  <c r="DS7" i="25"/>
  <c r="DS8" i="25" s="1"/>
  <c r="J71" i="19"/>
  <c r="K66" i="19" s="1"/>
  <c r="Z17" i="37"/>
  <c r="AM70" i="19"/>
  <c r="J45" i="15"/>
  <c r="DP52" i="11"/>
  <c r="CC6" i="7"/>
  <c r="BZ38" i="29"/>
  <c r="AO265" i="19"/>
  <c r="DV81" i="24"/>
  <c r="J80" i="24"/>
  <c r="AL80" i="24"/>
  <c r="AA4" i="36"/>
  <c r="AA17" i="36"/>
  <c r="AA19" i="36"/>
  <c r="AA20" i="36"/>
  <c r="AN265" i="19"/>
  <c r="EX120" i="24"/>
  <c r="EY121" i="24" s="1"/>
  <c r="EZ122" i="24" s="1"/>
  <c r="AA48" i="37"/>
  <c r="AB35" i="36"/>
  <c r="AB52" i="36"/>
  <c r="AI51" i="36"/>
  <c r="AI52" i="36" s="1"/>
  <c r="AI53" i="36" s="1"/>
  <c r="AI94" i="24"/>
  <c r="DL95" i="24"/>
  <c r="DK126" i="24"/>
  <c r="K99" i="15"/>
  <c r="EY80" i="24"/>
  <c r="AV79" i="24"/>
  <c r="AP36" i="30"/>
  <c r="AP51" i="30" s="1"/>
  <c r="AX36" i="30"/>
  <c r="AQ36" i="30"/>
  <c r="AY36" i="30"/>
  <c r="AR36" i="30"/>
  <c r="AZ36" i="30"/>
  <c r="E48" i="30"/>
  <c r="D48" i="30" s="1"/>
  <c r="AS36" i="30"/>
  <c r="BA36" i="30"/>
  <c r="AT36" i="30"/>
  <c r="BB36" i="30"/>
  <c r="AU36" i="30"/>
  <c r="BC36" i="30"/>
  <c r="AV36" i="30"/>
  <c r="BD36" i="30"/>
  <c r="AW36" i="30"/>
  <c r="DZ17" i="11"/>
  <c r="DZ35" i="1" s="1"/>
  <c r="DZ29" i="11"/>
  <c r="DZ30" i="11" s="1"/>
  <c r="AN28" i="11"/>
  <c r="CX7" i="7"/>
  <c r="CX8" i="7"/>
  <c r="AO259" i="19"/>
  <c r="AO277" i="19" s="1"/>
  <c r="EB277" i="19"/>
  <c r="AN129" i="19"/>
  <c r="EH81" i="24"/>
  <c r="K80" i="24"/>
  <c r="AP80" i="24"/>
  <c r="EA88" i="1"/>
  <c r="DU83" i="24"/>
  <c r="AL82" i="24"/>
  <c r="AE74" i="1"/>
  <c r="EE81" i="24"/>
  <c r="AO80" i="24"/>
  <c r="CW45" i="1"/>
  <c r="AD22" i="11"/>
  <c r="DR7" i="7"/>
  <c r="DR8" i="7"/>
  <c r="J48" i="15"/>
  <c r="EC15" i="25" s="1"/>
  <c r="BU106" i="1"/>
  <c r="BT113" i="1"/>
  <c r="CB13" i="29"/>
  <c r="CC9" i="29" s="1"/>
  <c r="CB30" i="29"/>
  <c r="CB34" i="29" s="1"/>
  <c r="CB37" i="29" s="1"/>
  <c r="CB38" i="29" s="1"/>
  <c r="EG111" i="24"/>
  <c r="EH112" i="24" s="1"/>
  <c r="Y126" i="26" l="1"/>
  <c r="Y164" i="26"/>
  <c r="Y163" i="26" s="1"/>
  <c r="F38" i="30"/>
  <c r="BA38" i="30" s="1"/>
  <c r="CZ44" i="1"/>
  <c r="AE21" i="11"/>
  <c r="EZ81" i="24"/>
  <c r="AV80" i="24"/>
  <c r="EI113" i="24"/>
  <c r="AQ81" i="24"/>
  <c r="EI82" i="24"/>
  <c r="EK99" i="15"/>
  <c r="EH99" i="15"/>
  <c r="EI99" i="15"/>
  <c r="EJ99" i="15"/>
  <c r="EL99" i="15"/>
  <c r="EM99" i="15"/>
  <c r="EE99" i="15"/>
  <c r="EN99" i="15"/>
  <c r="EF99" i="15"/>
  <c r="EO99" i="15"/>
  <c r="EG99" i="15"/>
  <c r="EP99" i="15"/>
  <c r="AB13" i="36"/>
  <c r="AI35" i="36"/>
  <c r="EB7" i="7"/>
  <c r="EB8" i="7"/>
  <c r="CZ40" i="11"/>
  <c r="AE62" i="11"/>
  <c r="AE90" i="11" s="1"/>
  <c r="AE148" i="11"/>
  <c r="EV9" i="7"/>
  <c r="AE55" i="24"/>
  <c r="CY56" i="24"/>
  <c r="CU55" i="24"/>
  <c r="AC54" i="24"/>
  <c r="EN103" i="15"/>
  <c r="EN104" i="15" s="1"/>
  <c r="AA57" i="37"/>
  <c r="AH48" i="37"/>
  <c r="AA52" i="37"/>
  <c r="CY47" i="15"/>
  <c r="CY48" i="15"/>
  <c r="AB109" i="36"/>
  <c r="AB135" i="36"/>
  <c r="AI135" i="36" s="1"/>
  <c r="ER82" i="24"/>
  <c r="AT81" i="24"/>
  <c r="AQ51" i="30"/>
  <c r="DT61" i="24"/>
  <c r="J60" i="24"/>
  <c r="J61" i="24" s="1"/>
  <c r="AL60" i="24"/>
  <c r="AL61" i="24" s="1"/>
  <c r="DH56" i="24"/>
  <c r="AH55" i="24"/>
  <c r="AA77" i="37"/>
  <c r="AH68" i="37"/>
  <c r="AA72" i="37"/>
  <c r="G53" i="24"/>
  <c r="AA53" i="24"/>
  <c r="CN54" i="24"/>
  <c r="CM61" i="24"/>
  <c r="CM14" i="24" s="1"/>
  <c r="EF103" i="15"/>
  <c r="EF21" i="15" s="1"/>
  <c r="AL88" i="1"/>
  <c r="AJ90" i="24"/>
  <c r="DN91" i="24"/>
  <c r="I90" i="24"/>
  <c r="AM277" i="19"/>
  <c r="ET81" i="24"/>
  <c r="L81" i="24" s="1"/>
  <c r="AT80" i="24"/>
  <c r="L80" i="24"/>
  <c r="EN20" i="29"/>
  <c r="EO16" i="29" s="1"/>
  <c r="EO20" i="29" s="1"/>
  <c r="EP16" i="29" s="1"/>
  <c r="EP20" i="29" s="1"/>
  <c r="EQ16" i="29" s="1"/>
  <c r="AS16" i="29"/>
  <c r="DW61" i="24"/>
  <c r="AM60" i="24"/>
  <c r="AM61" i="24" s="1"/>
  <c r="CC13" i="29"/>
  <c r="CD9" i="29" s="1"/>
  <c r="CC30" i="29"/>
  <c r="X9" i="29"/>
  <c r="CW84" i="1"/>
  <c r="AD45" i="1"/>
  <c r="DV84" i="24"/>
  <c r="AL83" i="24"/>
  <c r="AN34" i="11"/>
  <c r="AN17" i="11"/>
  <c r="AN29" i="11"/>
  <c r="AN30" i="11" s="1"/>
  <c r="FA123" i="24"/>
  <c r="FB124" i="24" s="1"/>
  <c r="AN60" i="24"/>
  <c r="AN61" i="24" s="1"/>
  <c r="DZ61" i="24"/>
  <c r="AA125" i="37"/>
  <c r="AB37" i="36"/>
  <c r="AB38" i="36" s="1"/>
  <c r="AB146" i="36"/>
  <c r="AB147" i="36" s="1"/>
  <c r="AI145" i="36"/>
  <c r="AI146" i="36" s="1"/>
  <c r="AI147" i="36" s="1"/>
  <c r="BR47" i="15"/>
  <c r="BR48" i="15"/>
  <c r="CY47" i="19"/>
  <c r="CY45" i="15"/>
  <c r="CZ7" i="15"/>
  <c r="EW81" i="24"/>
  <c r="AU80" i="24"/>
  <c r="AA106" i="37"/>
  <c r="AA96" i="37"/>
  <c r="AH87" i="37"/>
  <c r="AA91" i="37"/>
  <c r="AO88" i="1"/>
  <c r="EM103" i="15"/>
  <c r="EM21" i="15" s="1"/>
  <c r="EM104" i="15"/>
  <c r="EM22" i="15" s="1"/>
  <c r="EM54" i="19" s="1"/>
  <c r="EM191" i="19" s="1"/>
  <c r="AY38" i="30"/>
  <c r="AS38" i="30"/>
  <c r="BC38" i="30"/>
  <c r="AW38" i="30"/>
  <c r="DA121" i="1"/>
  <c r="CY63" i="19"/>
  <c r="CZ29" i="15"/>
  <c r="AN277" i="19"/>
  <c r="AR23" i="29"/>
  <c r="EK27" i="29"/>
  <c r="EL23" i="29" s="1"/>
  <c r="EL27" i="29" s="1"/>
  <c r="EM23" i="29" s="1"/>
  <c r="EM27" i="29" s="1"/>
  <c r="EN23" i="29" s="1"/>
  <c r="DE56" i="24"/>
  <c r="AG55" i="24"/>
  <c r="AR20" i="29"/>
  <c r="AU21" i="29"/>
  <c r="CS56" i="24"/>
  <c r="AC55" i="24"/>
  <c r="K111" i="15"/>
  <c r="AA39" i="37"/>
  <c r="AH28" i="37"/>
  <c r="DR69" i="11"/>
  <c r="DR51" i="11"/>
  <c r="DR72" i="11"/>
  <c r="DS70" i="11"/>
  <c r="DT70" i="11"/>
  <c r="DU70" i="11" s="1"/>
  <c r="AH116" i="37"/>
  <c r="BQ47" i="19"/>
  <c r="BQ71" i="19" s="1"/>
  <c r="BQ7" i="15"/>
  <c r="BQ45" i="15"/>
  <c r="EM60" i="24"/>
  <c r="AR59" i="24"/>
  <c r="EL61" i="24"/>
  <c r="AB14" i="36"/>
  <c r="AI36" i="36"/>
  <c r="DP84" i="24"/>
  <c r="AJ83" i="24"/>
  <c r="EI103" i="15"/>
  <c r="EI21" i="15" s="1"/>
  <c r="EI104" i="15"/>
  <c r="EI22" i="15" s="1"/>
  <c r="EI54" i="19" s="1"/>
  <c r="EI191" i="19" s="1"/>
  <c r="EE103" i="15"/>
  <c r="EE104" i="15" s="1"/>
  <c r="B39" i="30"/>
  <c r="C39" i="30"/>
  <c r="A40" i="30"/>
  <c r="DA61" i="11"/>
  <c r="DA62" i="11" s="1"/>
  <c r="AH109" i="37"/>
  <c r="AQ27" i="29"/>
  <c r="AT28" i="29"/>
  <c r="ER61" i="24"/>
  <c r="L60" i="24"/>
  <c r="L61" i="24" s="1"/>
  <c r="AT60" i="24"/>
  <c r="AT61" i="24" s="1"/>
  <c r="DM96" i="24"/>
  <c r="AI95" i="24"/>
  <c r="DL126" i="24"/>
  <c r="K40" i="15"/>
  <c r="EC7" i="25"/>
  <c r="EC8" i="25" s="1"/>
  <c r="BU110" i="1"/>
  <c r="BU99" i="1"/>
  <c r="EF82" i="24"/>
  <c r="AP81" i="24"/>
  <c r="K81" i="24"/>
  <c r="DZ56" i="1"/>
  <c r="DZ40" i="1"/>
  <c r="AN35" i="1"/>
  <c r="AA117" i="37"/>
  <c r="AA116" i="37"/>
  <c r="CZ129" i="11"/>
  <c r="CZ139" i="11"/>
  <c r="AE140" i="11"/>
  <c r="EV26" i="7" s="1"/>
  <c r="DP55" i="11"/>
  <c r="DP74" i="11"/>
  <c r="DP155" i="11" s="1"/>
  <c r="DP77" i="11"/>
  <c r="DQ75" i="11"/>
  <c r="I8" i="8"/>
  <c r="I40" i="8" s="1"/>
  <c r="J98" i="1"/>
  <c r="AN11" i="25" s="1"/>
  <c r="AN7" i="25"/>
  <c r="AN8" i="25" s="1"/>
  <c r="J14" i="1"/>
  <c r="J97" i="1"/>
  <c r="AN10" i="25" s="1"/>
  <c r="EJ60" i="24"/>
  <c r="AQ59" i="24"/>
  <c r="EI61" i="24"/>
  <c r="K59" i="24"/>
  <c r="CD63" i="1"/>
  <c r="CD68" i="1" s="1"/>
  <c r="AG59" i="2"/>
  <c r="DA101" i="11"/>
  <c r="DA111" i="11"/>
  <c r="DA159" i="11" s="1"/>
  <c r="DA123" i="1" s="1"/>
  <c r="AU60" i="24"/>
  <c r="AU61" i="24" s="1"/>
  <c r="EU61" i="24"/>
  <c r="CY81" i="1"/>
  <c r="CY37" i="1"/>
  <c r="CY38" i="1"/>
  <c r="EP104" i="15"/>
  <c r="EP22" i="15" s="1"/>
  <c r="EP54" i="19" s="1"/>
  <c r="EP191" i="19" s="1"/>
  <c r="EP103" i="15"/>
  <c r="EP21" i="15" s="1"/>
  <c r="EL103" i="15"/>
  <c r="EL21" i="15" s="1"/>
  <c r="DB97" i="11"/>
  <c r="DB106" i="11"/>
  <c r="DB160" i="11" s="1"/>
  <c r="DB124" i="1" s="1"/>
  <c r="DB112" i="11"/>
  <c r="EA56" i="1"/>
  <c r="EA40" i="1"/>
  <c r="AA118" i="37"/>
  <c r="DB38" i="11"/>
  <c r="DB28" i="1"/>
  <c r="FA122" i="24"/>
  <c r="FB123" i="24" s="1"/>
  <c r="AN81" i="24"/>
  <c r="DZ82" i="24"/>
  <c r="AH60" i="37"/>
  <c r="CM9" i="7"/>
  <c r="DQ52" i="11"/>
  <c r="CX45" i="1"/>
  <c r="AV60" i="24"/>
  <c r="AV61" i="24" s="1"/>
  <c r="EX61" i="24"/>
  <c r="M44" i="25"/>
  <c r="M44" i="7"/>
  <c r="AE113" i="11"/>
  <c r="EL25" i="7" s="1"/>
  <c r="EL12" i="7"/>
  <c r="BQ58" i="19"/>
  <c r="T58" i="19" s="1"/>
  <c r="T63" i="19" s="1"/>
  <c r="T29" i="15"/>
  <c r="BQ36" i="15"/>
  <c r="BP34" i="15"/>
  <c r="BQ37" i="15"/>
  <c r="BQ92" i="15"/>
  <c r="DQ97" i="24"/>
  <c r="AK96" i="24"/>
  <c r="EH104" i="15"/>
  <c r="EH103" i="15"/>
  <c r="EK103" i="15"/>
  <c r="DB134" i="11"/>
  <c r="DB161" i="11" s="1"/>
  <c r="DB125" i="1" s="1"/>
  <c r="DB123" i="11"/>
  <c r="AA99" i="37"/>
  <c r="DA124" i="11"/>
  <c r="AN88" i="1"/>
  <c r="AA60" i="37"/>
  <c r="W37" i="29"/>
  <c r="AE117" i="11"/>
  <c r="EL9" i="7"/>
  <c r="AJ74" i="11"/>
  <c r="AJ155" i="11" s="1"/>
  <c r="DO155" i="11"/>
  <c r="DJ55" i="24"/>
  <c r="I55" i="24" s="1"/>
  <c r="I54" i="24"/>
  <c r="AH54" i="24"/>
  <c r="AH80" i="37"/>
  <c r="AE102" i="11"/>
  <c r="AE104" i="11" s="1"/>
  <c r="ED83" i="24"/>
  <c r="AO82" i="24"/>
  <c r="EE60" i="24"/>
  <c r="AO59" i="24"/>
  <c r="AO61" i="24" s="1"/>
  <c r="ED61" i="24"/>
  <c r="AM88" i="1"/>
  <c r="AE159" i="11"/>
  <c r="CM11" i="7" s="1"/>
  <c r="CM38" i="7" s="1"/>
  <c r="EL23" i="7"/>
  <c r="Z10" i="35"/>
  <c r="Z34" i="37"/>
  <c r="EO103" i="15"/>
  <c r="EO21" i="15" s="1"/>
  <c r="EJ103" i="15"/>
  <c r="EJ21" i="15" s="1"/>
  <c r="J88" i="1"/>
  <c r="DB60" i="11"/>
  <c r="DB79" i="11"/>
  <c r="DB157" i="11" s="1"/>
  <c r="AK90" i="24"/>
  <c r="DQ91" i="24"/>
  <c r="DC10" i="11"/>
  <c r="DC14" i="1"/>
  <c r="DC97" i="1"/>
  <c r="DC98" i="1"/>
  <c r="EC32" i="11"/>
  <c r="EC158" i="11" s="1"/>
  <c r="EC122" i="1" s="1"/>
  <c r="EC28" i="11"/>
  <c r="ED33" i="11"/>
  <c r="AB53" i="36"/>
  <c r="AB133" i="36"/>
  <c r="DW82" i="24"/>
  <c r="AM81" i="24"/>
  <c r="J81" i="24"/>
  <c r="W38" i="29"/>
  <c r="Z110" i="26" s="1"/>
  <c r="Z112" i="26" s="1"/>
  <c r="Z14" i="35"/>
  <c r="Z18" i="37"/>
  <c r="Z98" i="38"/>
  <c r="Z91" i="38"/>
  <c r="Z107" i="38"/>
  <c r="Z116" i="38"/>
  <c r="Z82" i="38"/>
  <c r="AR81" i="24"/>
  <c r="EL82" i="24"/>
  <c r="EU18" i="7"/>
  <c r="EU17" i="7"/>
  <c r="AA128" i="37"/>
  <c r="AA30" i="37" s="1"/>
  <c r="DO57" i="11"/>
  <c r="AJ57" i="11" s="1"/>
  <c r="AJ88" i="11" s="1"/>
  <c r="DM84" i="24"/>
  <c r="AI83" i="24"/>
  <c r="I83" i="24"/>
  <c r="DA98" i="11"/>
  <c r="AI77" i="36"/>
  <c r="AI102" i="36"/>
  <c r="AI103" i="36" s="1"/>
  <c r="EG104" i="15"/>
  <c r="EG22" i="15" s="1"/>
  <c r="EG54" i="19" s="1"/>
  <c r="EG191" i="19" s="1"/>
  <c r="EG103" i="15"/>
  <c r="EG21" i="15" s="1"/>
  <c r="DS84" i="24"/>
  <c r="AK83" i="24"/>
  <c r="CY55" i="19"/>
  <c r="CZ18" i="15"/>
  <c r="DA55" i="24"/>
  <c r="AE54" i="24"/>
  <c r="BQ50" i="19"/>
  <c r="T50" i="19" s="1"/>
  <c r="T55" i="19" s="1"/>
  <c r="BP23" i="15"/>
  <c r="T18" i="15"/>
  <c r="BQ26" i="15"/>
  <c r="BQ91" i="15"/>
  <c r="BQ25" i="15"/>
  <c r="EB17" i="11"/>
  <c r="EB35" i="1" s="1"/>
  <c r="EB29" i="11"/>
  <c r="EB30" i="11" s="1"/>
  <c r="EO82" i="24"/>
  <c r="AS81" i="24"/>
  <c r="AK70" i="11"/>
  <c r="AK72" i="11" s="1"/>
  <c r="BD38" i="30" l="1"/>
  <c r="AZ38" i="30"/>
  <c r="AV38" i="30"/>
  <c r="AR38" i="30"/>
  <c r="AR51" i="30" s="1"/>
  <c r="F39" i="30"/>
  <c r="AT39" i="30" s="1"/>
  <c r="AU38" i="30"/>
  <c r="BF38" i="30"/>
  <c r="BB38" i="30"/>
  <c r="AX38" i="30"/>
  <c r="AT38" i="30"/>
  <c r="BE38" i="30"/>
  <c r="W40" i="29"/>
  <c r="W43" i="29" s="1"/>
  <c r="EN22" i="15"/>
  <c r="DA40" i="11"/>
  <c r="EE22" i="15"/>
  <c r="DU69" i="11"/>
  <c r="DU51" i="11"/>
  <c r="DU72" i="11"/>
  <c r="DV70" i="11"/>
  <c r="AB39" i="36"/>
  <c r="AA42" i="35"/>
  <c r="AH42" i="35" s="1"/>
  <c r="AB42" i="36"/>
  <c r="AB41" i="36"/>
  <c r="AH30" i="37"/>
  <c r="AA40" i="37"/>
  <c r="EO53" i="19"/>
  <c r="EO185" i="19" s="1"/>
  <c r="DN85" i="24"/>
  <c r="AJ84" i="24"/>
  <c r="I84" i="24"/>
  <c r="CM44" i="7"/>
  <c r="EE84" i="24"/>
  <c r="AO83" i="24"/>
  <c r="EK21" i="15"/>
  <c r="AR103" i="15"/>
  <c r="EL53" i="19"/>
  <c r="EL185" i="19" s="1"/>
  <c r="DP119" i="1"/>
  <c r="AJ96" i="24"/>
  <c r="DN97" i="24"/>
  <c r="I96" i="24"/>
  <c r="DM126" i="24"/>
  <c r="BE39" i="30"/>
  <c r="BF39" i="30"/>
  <c r="AZ39" i="30"/>
  <c r="AS39" i="30"/>
  <c r="AS51" i="30" s="1"/>
  <c r="EF111" i="15"/>
  <c r="EN111" i="15"/>
  <c r="EG111" i="15"/>
  <c r="EO111" i="15"/>
  <c r="EH111" i="15"/>
  <c r="EP111" i="15"/>
  <c r="EI111" i="15"/>
  <c r="EJ111" i="15"/>
  <c r="EK111" i="15"/>
  <c r="EL111" i="15"/>
  <c r="EE111" i="15"/>
  <c r="EM111" i="15"/>
  <c r="DW85" i="24"/>
  <c r="AM84" i="24"/>
  <c r="AD55" i="24"/>
  <c r="CV56" i="24"/>
  <c r="H55" i="24"/>
  <c r="EM97" i="15"/>
  <c r="EM10" i="15" s="1"/>
  <c r="DB101" i="11"/>
  <c r="DB102" i="11" s="1"/>
  <c r="DB111" i="11"/>
  <c r="DB159" i="11" s="1"/>
  <c r="DB123" i="1" s="1"/>
  <c r="ED32" i="11"/>
  <c r="ED28" i="11"/>
  <c r="EF33" i="11"/>
  <c r="EG33" i="11" s="1"/>
  <c r="EE33" i="11"/>
  <c r="AO33" i="11"/>
  <c r="DR92" i="24"/>
  <c r="AK91" i="24"/>
  <c r="EJ53" i="19"/>
  <c r="EJ185" i="19" s="1"/>
  <c r="EK104" i="15"/>
  <c r="EL104" i="15"/>
  <c r="EL22" i="15" s="1"/>
  <c r="EL54" i="19" s="1"/>
  <c r="EL191" i="19" s="1"/>
  <c r="I9" i="8"/>
  <c r="J9" i="11"/>
  <c r="CC6" i="25" s="1"/>
  <c r="J15" i="1"/>
  <c r="I6" i="25" s="1"/>
  <c r="I29" i="25" s="1"/>
  <c r="AD13" i="25"/>
  <c r="I5" i="25"/>
  <c r="I28" i="25" s="1"/>
  <c r="K9" i="1"/>
  <c r="EG83" i="24"/>
  <c r="K82" i="24"/>
  <c r="AP82" i="24"/>
  <c r="BQ42" i="19"/>
  <c r="BP12" i="15"/>
  <c r="BQ40" i="15"/>
  <c r="T7" i="15"/>
  <c r="BQ14" i="15"/>
  <c r="BQ90" i="15"/>
  <c r="BQ15" i="15"/>
  <c r="DA140" i="11"/>
  <c r="AV81" i="24"/>
  <c r="EX82" i="24"/>
  <c r="AS20" i="29"/>
  <c r="AV21" i="29"/>
  <c r="DO92" i="24"/>
  <c r="AJ91" i="24"/>
  <c r="I91" i="24"/>
  <c r="AA54" i="24"/>
  <c r="AA61" i="24" s="1"/>
  <c r="G54" i="24"/>
  <c r="CO55" i="24"/>
  <c r="CN61" i="24"/>
  <c r="CN14" i="24" s="1"/>
  <c r="EL97" i="15"/>
  <c r="EL10" i="15" s="1"/>
  <c r="BP55" i="19"/>
  <c r="BP18" i="15"/>
  <c r="DB121" i="1"/>
  <c r="DB140" i="11"/>
  <c r="T23" i="15"/>
  <c r="W25" i="15"/>
  <c r="T91" i="15"/>
  <c r="W26" i="15"/>
  <c r="AL84" i="24"/>
  <c r="DT85" i="24"/>
  <c r="EC17" i="11"/>
  <c r="EC35" i="1" s="1"/>
  <c r="EC29" i="11"/>
  <c r="EC30" i="11" s="1"/>
  <c r="EJ104" i="15"/>
  <c r="EJ22" i="15" s="1"/>
  <c r="EJ54" i="19" s="1"/>
  <c r="EJ191" i="19" s="1"/>
  <c r="AE118" i="11"/>
  <c r="EL13" i="7"/>
  <c r="EL15" i="7" s="1"/>
  <c r="EH21" i="15"/>
  <c r="AQ103" i="15"/>
  <c r="BP63" i="19"/>
  <c r="BP29" i="15"/>
  <c r="EP53" i="19"/>
  <c r="EP185" i="19" s="1"/>
  <c r="DP57" i="11"/>
  <c r="AI14" i="36"/>
  <c r="DF57" i="24"/>
  <c r="AG56" i="24"/>
  <c r="AA92" i="37"/>
  <c r="AA94" i="37"/>
  <c r="CZ42" i="19"/>
  <c r="CZ12" i="15"/>
  <c r="CZ40" i="15"/>
  <c r="CZ15" i="15"/>
  <c r="CZ90" i="15"/>
  <c r="CZ14" i="15"/>
  <c r="BP22" i="7"/>
  <c r="AD84" i="1"/>
  <c r="AV14" i="7"/>
  <c r="AV15" i="7" s="1"/>
  <c r="EQ20" i="29"/>
  <c r="ER16" i="29" s="1"/>
  <c r="ER20" i="29" s="1"/>
  <c r="ES16" i="29" s="1"/>
  <c r="ES20" i="29" s="1"/>
  <c r="ET16" i="29" s="1"/>
  <c r="AT16" i="29"/>
  <c r="CZ45" i="11"/>
  <c r="AE40" i="11"/>
  <c r="AE45" i="11" s="1"/>
  <c r="CZ41" i="11"/>
  <c r="EP98" i="15"/>
  <c r="EP11" i="15" s="1"/>
  <c r="EP97" i="15"/>
  <c r="EP10" i="15" s="1"/>
  <c r="EJ97" i="15"/>
  <c r="EJ10" i="15" s="1"/>
  <c r="EJ98" i="15"/>
  <c r="EJ11" i="15" s="1"/>
  <c r="EJ114" i="24"/>
  <c r="EK115" i="24" s="1"/>
  <c r="EP83" i="24"/>
  <c r="AS82" i="24"/>
  <c r="CE63" i="1"/>
  <c r="CE68" i="1" s="1"/>
  <c r="AH59" i="2"/>
  <c r="BV106" i="1"/>
  <c r="BU113" i="1"/>
  <c r="EE21" i="15"/>
  <c r="AP103" i="15"/>
  <c r="K103" i="15"/>
  <c r="DR52" i="11"/>
  <c r="AK52" i="11" s="1"/>
  <c r="AK87" i="11" s="1"/>
  <c r="AS23" i="29"/>
  <c r="EN27" i="29"/>
  <c r="EO23" i="29" s="1"/>
  <c r="EO27" i="29" s="1"/>
  <c r="EP23" i="29" s="1"/>
  <c r="EP27" i="29" s="1"/>
  <c r="EQ23" i="29" s="1"/>
  <c r="AH96" i="37"/>
  <c r="AH106" i="37"/>
  <c r="AH118" i="37" s="1"/>
  <c r="AH91" i="37"/>
  <c r="AH92" i="37" s="1"/>
  <c r="ES83" i="24"/>
  <c r="L82" i="24"/>
  <c r="AT82" i="24"/>
  <c r="AA53" i="37"/>
  <c r="AA55" i="37"/>
  <c r="CZ57" i="24"/>
  <c r="AE56" i="24"/>
  <c r="EG97" i="15"/>
  <c r="EG10" i="15" s="1"/>
  <c r="EI97" i="15"/>
  <c r="EI10" i="15" s="1"/>
  <c r="AK51" i="11"/>
  <c r="AK71" i="11" s="1"/>
  <c r="EH22" i="15"/>
  <c r="AQ104" i="15"/>
  <c r="T34" i="15"/>
  <c r="W36" i="15"/>
  <c r="T92" i="15"/>
  <c r="W37" i="15"/>
  <c r="DB64" i="1"/>
  <c r="AN56" i="1"/>
  <c r="AN40" i="1"/>
  <c r="AH117" i="37"/>
  <c r="AK69" i="11"/>
  <c r="AK156" i="11" s="1"/>
  <c r="I69" i="11"/>
  <c r="I156" i="11" s="1"/>
  <c r="DR156" i="11"/>
  <c r="DR120" i="1" s="1"/>
  <c r="AR27" i="29"/>
  <c r="AU28" i="29"/>
  <c r="EM53" i="19"/>
  <c r="EM185" i="19" s="1"/>
  <c r="CY71" i="19"/>
  <c r="AB43" i="36"/>
  <c r="AB15" i="36"/>
  <c r="AI37" i="36"/>
  <c r="X13" i="29"/>
  <c r="AA14" i="29"/>
  <c r="DI57" i="24"/>
  <c r="AH56" i="24"/>
  <c r="AH57" i="37"/>
  <c r="AH52" i="37"/>
  <c r="AH53" i="37" s="1"/>
  <c r="EO97" i="15"/>
  <c r="EO10" i="15" s="1"/>
  <c r="EH97" i="15"/>
  <c r="AA137" i="37"/>
  <c r="AH128" i="37"/>
  <c r="DX83" i="24"/>
  <c r="AM82" i="24"/>
  <c r="J82" i="24"/>
  <c r="EO104" i="15"/>
  <c r="EO22" i="15" s="1"/>
  <c r="EO54" i="19" s="1"/>
  <c r="EO191" i="19" s="1"/>
  <c r="EB56" i="1"/>
  <c r="EB40" i="1"/>
  <c r="EG53" i="19"/>
  <c r="EG185" i="19" s="1"/>
  <c r="AB136" i="36"/>
  <c r="AI133" i="36"/>
  <c r="AI136" i="36" s="1"/>
  <c r="AI138" i="36" s="1"/>
  <c r="AI139" i="36" s="1"/>
  <c r="DB124" i="11"/>
  <c r="CB16" i="7"/>
  <c r="CB17" i="7" s="1"/>
  <c r="CM37" i="7"/>
  <c r="DB98" i="11"/>
  <c r="DB104" i="11" s="1"/>
  <c r="DB21" i="11" s="1"/>
  <c r="DB44" i="1" s="1"/>
  <c r="DB83" i="1" s="1"/>
  <c r="I43" i="8"/>
  <c r="I52" i="8" s="1"/>
  <c r="I44" i="8"/>
  <c r="I53" i="8" s="1"/>
  <c r="I42" i="8"/>
  <c r="I51" i="8" s="1"/>
  <c r="I45" i="8"/>
  <c r="I54" i="8" s="1"/>
  <c r="I41" i="8"/>
  <c r="I50" i="8" s="1"/>
  <c r="AE139" i="11"/>
  <c r="CZ162" i="11"/>
  <c r="EI53" i="19"/>
  <c r="EI185" i="19" s="1"/>
  <c r="AH39" i="37"/>
  <c r="AA25" i="34"/>
  <c r="AA32" i="34" s="1"/>
  <c r="AH40" i="37"/>
  <c r="AA115" i="37"/>
  <c r="AA110" i="37"/>
  <c r="AA111" i="37" s="1"/>
  <c r="AA134" i="37"/>
  <c r="AH125" i="37"/>
  <c r="AA129" i="37"/>
  <c r="X30" i="29"/>
  <c r="CC34" i="29"/>
  <c r="CC37" i="29" s="1"/>
  <c r="AA27" i="37"/>
  <c r="EN21" i="15"/>
  <c r="AS103" i="15"/>
  <c r="EF97" i="15"/>
  <c r="EF10" i="15" s="1"/>
  <c r="EK97" i="15"/>
  <c r="EK98" i="15"/>
  <c r="AW81" i="24"/>
  <c r="FA82" i="24"/>
  <c r="DC9" i="11"/>
  <c r="DC15" i="1"/>
  <c r="DD9" i="1"/>
  <c r="DC29" i="1"/>
  <c r="Z11" i="35"/>
  <c r="Z48" i="35"/>
  <c r="AP60" i="24"/>
  <c r="AP61" i="24" s="1"/>
  <c r="K60" i="24"/>
  <c r="K61" i="24" s="1"/>
  <c r="EE61" i="24"/>
  <c r="AI55" i="24"/>
  <c r="DK56" i="24"/>
  <c r="I56" i="24" s="1"/>
  <c r="DB39" i="11"/>
  <c r="DQ74" i="11"/>
  <c r="DQ155" i="11" s="1"/>
  <c r="DQ55" i="11"/>
  <c r="DQ77" i="11"/>
  <c r="DR75" i="11"/>
  <c r="CZ130" i="11"/>
  <c r="AE129" i="11"/>
  <c r="C40" i="30"/>
  <c r="A41" i="30"/>
  <c r="B40" i="30"/>
  <c r="AR60" i="24"/>
  <c r="AR61" i="24" s="1"/>
  <c r="EM61" i="24"/>
  <c r="DT69" i="11"/>
  <c r="DT156" i="11" s="1"/>
  <c r="DT120" i="1" s="1"/>
  <c r="DT51" i="11"/>
  <c r="DT72" i="11"/>
  <c r="CT57" i="24"/>
  <c r="AC56" i="24"/>
  <c r="CZ58" i="19"/>
  <c r="CZ34" i="15"/>
  <c r="CZ36" i="15"/>
  <c r="CZ92" i="15"/>
  <c r="CZ37" i="15"/>
  <c r="CD13" i="29"/>
  <c r="CE9" i="29" s="1"/>
  <c r="CD30" i="29"/>
  <c r="CD34" i="29" s="1"/>
  <c r="CD37" i="29" s="1"/>
  <c r="CD38" i="29" s="1"/>
  <c r="EU82" i="24"/>
  <c r="AU81" i="24"/>
  <c r="EF53" i="19"/>
  <c r="EF185" i="19" s="1"/>
  <c r="AA73" i="37"/>
  <c r="AA75" i="37"/>
  <c r="AH75" i="37" s="1"/>
  <c r="EL16" i="7"/>
  <c r="AI38" i="36"/>
  <c r="AI39" i="36" s="1"/>
  <c r="EN97" i="15"/>
  <c r="EN98" i="15"/>
  <c r="DB62" i="11"/>
  <c r="DB40" i="11" s="1"/>
  <c r="DB45" i="11" s="1"/>
  <c r="DB61" i="11"/>
  <c r="DB56" i="24"/>
  <c r="AF55" i="24"/>
  <c r="CZ50" i="19"/>
  <c r="CZ23" i="15"/>
  <c r="CZ25" i="15"/>
  <c r="CZ91" i="15"/>
  <c r="CZ26" i="15"/>
  <c r="EM83" i="24"/>
  <c r="AR82" i="24"/>
  <c r="Z15" i="35"/>
  <c r="DC80" i="11"/>
  <c r="DC107" i="11"/>
  <c r="DC135" i="11"/>
  <c r="AF10" i="11"/>
  <c r="DO119" i="1"/>
  <c r="AJ119" i="1" s="1"/>
  <c r="DR98" i="24"/>
  <c r="AK97" i="24"/>
  <c r="CX84" i="1"/>
  <c r="EA83" i="24"/>
  <c r="AN82" i="24"/>
  <c r="DA102" i="11"/>
  <c r="DA104" i="11" s="1"/>
  <c r="DA21" i="11" s="1"/>
  <c r="AQ60" i="24"/>
  <c r="AQ61" i="24" s="1"/>
  <c r="EJ61" i="24"/>
  <c r="AI126" i="24"/>
  <c r="AH99" i="37"/>
  <c r="DQ85" i="24"/>
  <c r="AK84" i="24"/>
  <c r="AL70" i="11"/>
  <c r="AL72" i="11" s="1"/>
  <c r="DS69" i="11"/>
  <c r="DS156" i="11" s="1"/>
  <c r="DS120" i="1" s="1"/>
  <c r="DS51" i="11"/>
  <c r="DS72" i="11"/>
  <c r="EF104" i="15"/>
  <c r="EF22" i="15" s="1"/>
  <c r="EF54" i="19" s="1"/>
  <c r="EF191" i="19" s="1"/>
  <c r="AH77" i="37"/>
  <c r="AH72" i="37"/>
  <c r="AH73" i="37" s="1"/>
  <c r="AB16" i="36"/>
  <c r="AB20" i="36" s="1"/>
  <c r="AI13" i="36"/>
  <c r="EE97" i="15"/>
  <c r="EE98" i="15"/>
  <c r="EJ83" i="24"/>
  <c r="AQ82" i="24"/>
  <c r="CZ83" i="1"/>
  <c r="AE44" i="1"/>
  <c r="AW39" i="30" l="1"/>
  <c r="BD39" i="30"/>
  <c r="AV39" i="30"/>
  <c r="BA39" i="30"/>
  <c r="BC39" i="30"/>
  <c r="BG39" i="30"/>
  <c r="AU39" i="30"/>
  <c r="AY39" i="30"/>
  <c r="BB39" i="30"/>
  <c r="AX39" i="30"/>
  <c r="Z120" i="26"/>
  <c r="Z97" i="26"/>
  <c r="Z87" i="26" s="1"/>
  <c r="EG28" i="11"/>
  <c r="EG32" i="11"/>
  <c r="EH33" i="11"/>
  <c r="DA44" i="1"/>
  <c r="DR86" i="24"/>
  <c r="AK85" i="24"/>
  <c r="CZ55" i="19"/>
  <c r="DA18" i="15"/>
  <c r="AW10" i="7"/>
  <c r="AW11" i="7" s="1"/>
  <c r="AE83" i="1"/>
  <c r="BQ21" i="7"/>
  <c r="AB19" i="36"/>
  <c r="EN10" i="15"/>
  <c r="AS97" i="15"/>
  <c r="F40" i="30"/>
  <c r="DQ119" i="1"/>
  <c r="FB83" i="24"/>
  <c r="AW83" i="24" s="1"/>
  <c r="AW82" i="24"/>
  <c r="AA38" i="37"/>
  <c r="AH27" i="37"/>
  <c r="EI203" i="19"/>
  <c r="J29" i="8"/>
  <c r="I120" i="1"/>
  <c r="AK120" i="1"/>
  <c r="EI98" i="15"/>
  <c r="EI11" i="15" s="1"/>
  <c r="EQ27" i="29"/>
  <c r="ER23" i="29" s="1"/>
  <c r="ER27" i="29" s="1"/>
  <c r="ES23" i="29" s="1"/>
  <c r="ES27" i="29" s="1"/>
  <c r="ET23" i="29" s="1"/>
  <c r="AT23" i="29"/>
  <c r="EP45" i="19"/>
  <c r="CZ66" i="19"/>
  <c r="AQ106" i="15"/>
  <c r="AQ105" i="15"/>
  <c r="DB129" i="11"/>
  <c r="DB130" i="11" s="1"/>
  <c r="DB139" i="11"/>
  <c r="DB162" i="11" s="1"/>
  <c r="AB55" i="24"/>
  <c r="G55" i="24"/>
  <c r="CP56" i="24"/>
  <c r="CO61" i="24"/>
  <c r="CO14" i="24" s="1"/>
  <c r="T40" i="15"/>
  <c r="BQ48" i="15"/>
  <c r="BQ47" i="15"/>
  <c r="J4" i="8"/>
  <c r="AO6" i="25"/>
  <c r="EK22" i="15"/>
  <c r="AR104" i="15"/>
  <c r="EK109" i="15"/>
  <c r="EK110" i="15" s="1"/>
  <c r="EF109" i="15"/>
  <c r="EF32" i="15" s="1"/>
  <c r="EF110" i="15"/>
  <c r="EF33" i="15" s="1"/>
  <c r="EF62" i="19" s="1"/>
  <c r="EF265" i="19" s="1"/>
  <c r="AR106" i="15"/>
  <c r="AR105" i="15"/>
  <c r="CU58" i="24"/>
  <c r="AC57" i="24"/>
  <c r="A42" i="30"/>
  <c r="B41" i="30"/>
  <c r="C41" i="30"/>
  <c r="CC38" i="29"/>
  <c r="CM8" i="25"/>
  <c r="EI45" i="19"/>
  <c r="AS27" i="29"/>
  <c r="AV28" i="29"/>
  <c r="EP46" i="19"/>
  <c r="AA113" i="37"/>
  <c r="AA14" i="37" s="1"/>
  <c r="AH14" i="37" s="1"/>
  <c r="AH94" i="37"/>
  <c r="AH113" i="37" s="1"/>
  <c r="EH53" i="19"/>
  <c r="AQ21" i="15"/>
  <c r="DU86" i="24"/>
  <c r="AL85" i="24"/>
  <c r="EY83" i="24"/>
  <c r="AV82" i="24"/>
  <c r="BP47" i="19"/>
  <c r="BP71" i="19" s="1"/>
  <c r="BP7" i="15"/>
  <c r="BP45" i="15"/>
  <c r="AP33" i="11"/>
  <c r="EE32" i="11"/>
  <c r="EE158" i="11" s="1"/>
  <c r="EE122" i="1" s="1"/>
  <c r="EE28" i="11"/>
  <c r="EJ109" i="15"/>
  <c r="EJ32" i="15" s="1"/>
  <c r="EK53" i="19"/>
  <c r="AR21" i="15"/>
  <c r="EK11" i="15"/>
  <c r="X34" i="29"/>
  <c r="AA35" i="29"/>
  <c r="CZ126" i="1"/>
  <c r="AE126" i="1" s="1"/>
  <c r="AE127" i="1" s="1"/>
  <c r="CZ163" i="11"/>
  <c r="EH10" i="15"/>
  <c r="AQ97" i="15"/>
  <c r="EG45" i="19"/>
  <c r="AH115" i="37"/>
  <c r="AH110" i="37"/>
  <c r="AH111" i="37" s="1"/>
  <c r="BV110" i="1"/>
  <c r="BV99" i="1"/>
  <c r="CZ16" i="11"/>
  <c r="CZ34" i="1" s="1"/>
  <c r="CZ42" i="11"/>
  <c r="AE41" i="11"/>
  <c r="AE16" i="11" s="1"/>
  <c r="T42" i="19"/>
  <c r="T47" i="19" s="1"/>
  <c r="BQ66" i="19"/>
  <c r="T66" i="19" s="1"/>
  <c r="T71" i="19" s="1"/>
  <c r="EF28" i="11"/>
  <c r="EF32" i="11"/>
  <c r="EF158" i="11" s="1"/>
  <c r="EF122" i="1" s="1"/>
  <c r="EI109" i="15"/>
  <c r="EI32" i="15" s="1"/>
  <c r="AA63" i="34"/>
  <c r="AH43" i="35"/>
  <c r="AA64" i="34" s="1"/>
  <c r="AK42" i="35"/>
  <c r="AP104" i="15"/>
  <c r="EF203" i="19"/>
  <c r="EK84" i="24"/>
  <c r="AQ83" i="24"/>
  <c r="EN84" i="24"/>
  <c r="AR83" i="24"/>
  <c r="DC57" i="24"/>
  <c r="AF56" i="24"/>
  <c r="DT52" i="11"/>
  <c r="AE141" i="11"/>
  <c r="EV27" i="7" s="1"/>
  <c r="EV14" i="7"/>
  <c r="DB41" i="11"/>
  <c r="AR97" i="15"/>
  <c r="EK10" i="15"/>
  <c r="AA130" i="37"/>
  <c r="AA132" i="37"/>
  <c r="AE162" i="11"/>
  <c r="EV25" i="7"/>
  <c r="AE142" i="11"/>
  <c r="EV28" i="7" s="1"/>
  <c r="EH98" i="15"/>
  <c r="DJ58" i="24"/>
  <c r="AH57" i="24"/>
  <c r="EG98" i="15"/>
  <c r="EG11" i="15" s="1"/>
  <c r="ET84" i="24"/>
  <c r="AT83" i="24"/>
  <c r="EQ84" i="24"/>
  <c r="AS83" i="24"/>
  <c r="BP50" i="19"/>
  <c r="BP91" i="15"/>
  <c r="BO23" i="15"/>
  <c r="BP26" i="15"/>
  <c r="BP25" i="15"/>
  <c r="DA129" i="11"/>
  <c r="DA139" i="11"/>
  <c r="DA162" i="11" s="1"/>
  <c r="AI42" i="36"/>
  <c r="EM98" i="15"/>
  <c r="EM11" i="15" s="1"/>
  <c r="DX86" i="24"/>
  <c r="AM85" i="24"/>
  <c r="EP109" i="15"/>
  <c r="EP32" i="15" s="1"/>
  <c r="EP43" i="15" s="1"/>
  <c r="EP110" i="15"/>
  <c r="EP33" i="15" s="1"/>
  <c r="EP62" i="19" s="1"/>
  <c r="EP265" i="19" s="1"/>
  <c r="DO98" i="24"/>
  <c r="I97" i="24"/>
  <c r="AJ97" i="24"/>
  <c r="DN126" i="24"/>
  <c r="K104" i="15"/>
  <c r="DA45" i="11"/>
  <c r="DA41" i="11"/>
  <c r="Z16" i="35"/>
  <c r="Z30" i="35"/>
  <c r="Z32" i="35"/>
  <c r="Z28" i="35"/>
  <c r="Z34" i="35"/>
  <c r="EO45" i="19"/>
  <c r="CF63" i="1"/>
  <c r="AI59" i="2"/>
  <c r="DG58" i="24"/>
  <c r="AG57" i="24"/>
  <c r="EJ203" i="19"/>
  <c r="EM45" i="19"/>
  <c r="EH109" i="15"/>
  <c r="EH110" i="15" s="1"/>
  <c r="DO86" i="24"/>
  <c r="AJ85" i="24"/>
  <c r="I85" i="24"/>
  <c r="EO203" i="19"/>
  <c r="DV69" i="11"/>
  <c r="DV156" i="11" s="1"/>
  <c r="DV120" i="1" s="1"/>
  <c r="DV51" i="11"/>
  <c r="DV72" i="11"/>
  <c r="DW70" i="11"/>
  <c r="EE54" i="19"/>
  <c r="AP22" i="15"/>
  <c r="K22" i="15"/>
  <c r="DL57" i="24"/>
  <c r="AI56" i="24"/>
  <c r="DC38" i="11"/>
  <c r="DC28" i="1"/>
  <c r="AF29" i="1"/>
  <c r="AH134" i="37"/>
  <c r="AH129" i="37"/>
  <c r="AH130" i="37" s="1"/>
  <c r="EE10" i="15"/>
  <c r="K97" i="15"/>
  <c r="AP97" i="15"/>
  <c r="DC123" i="11"/>
  <c r="DC134" i="11"/>
  <c r="AF135" i="11"/>
  <c r="EW21" i="7" s="1"/>
  <c r="EV83" i="24"/>
  <c r="L83" i="24" s="1"/>
  <c r="AU82" i="24"/>
  <c r="DR74" i="11"/>
  <c r="DR55" i="11"/>
  <c r="DR77" i="11"/>
  <c r="DS75" i="11"/>
  <c r="DT75" i="11"/>
  <c r="DU75" i="11" s="1"/>
  <c r="AG9" i="1"/>
  <c r="DD14" i="1"/>
  <c r="DD97" i="1"/>
  <c r="DD98" i="1"/>
  <c r="EF98" i="15"/>
  <c r="EF11" i="15" s="1"/>
  <c r="J31" i="8"/>
  <c r="I61" i="8"/>
  <c r="EO98" i="15"/>
  <c r="EO11" i="15" s="1"/>
  <c r="EM203" i="19"/>
  <c r="DA58" i="24"/>
  <c r="AE57" i="24"/>
  <c r="AP106" i="15"/>
  <c r="AP105" i="15"/>
  <c r="EL116" i="24"/>
  <c r="AA15" i="34"/>
  <c r="EP203" i="19"/>
  <c r="EL45" i="19"/>
  <c r="DP93" i="24"/>
  <c r="AJ92" i="24"/>
  <c r="I92" i="24"/>
  <c r="ED17" i="11"/>
  <c r="ED35" i="1" s="1"/>
  <c r="ED29" i="11"/>
  <c r="ED30" i="11" s="1"/>
  <c r="AO28" i="11"/>
  <c r="EM109" i="15"/>
  <c r="EM32" i="15" s="1"/>
  <c r="EM43" i="15" s="1"/>
  <c r="EM110" i="15"/>
  <c r="EM33" i="15" s="1"/>
  <c r="EM62" i="19" s="1"/>
  <c r="EM265" i="19" s="1"/>
  <c r="EO109" i="15"/>
  <c r="EO32" i="15" s="1"/>
  <c r="EO43" i="15" s="1"/>
  <c r="AK75" i="11"/>
  <c r="AK77" i="11" s="1"/>
  <c r="AS104" i="15"/>
  <c r="AF109" i="11"/>
  <c r="AF137" i="11"/>
  <c r="EW23" i="7" s="1"/>
  <c r="AE130" i="11"/>
  <c r="EF45" i="19"/>
  <c r="EF43" i="15"/>
  <c r="AA14" i="34"/>
  <c r="AL51" i="11"/>
  <c r="AL71" i="11" s="1"/>
  <c r="DS52" i="11"/>
  <c r="DS99" i="24"/>
  <c r="AK98" i="24"/>
  <c r="CZ63" i="19"/>
  <c r="DA29" i="15"/>
  <c r="AS106" i="15"/>
  <c r="AS105" i="15"/>
  <c r="J28" i="8"/>
  <c r="DY84" i="24"/>
  <c r="AM83" i="24"/>
  <c r="J83" i="24"/>
  <c r="AI43" i="36"/>
  <c r="EH54" i="19"/>
  <c r="AQ22" i="15"/>
  <c r="AA13" i="37"/>
  <c r="AH55" i="37"/>
  <c r="EE53" i="19"/>
  <c r="K21" i="15"/>
  <c r="AP21" i="15"/>
  <c r="EJ46" i="19"/>
  <c r="AT20" i="29"/>
  <c r="AW21" i="29"/>
  <c r="CZ48" i="15"/>
  <c r="CZ47" i="15"/>
  <c r="BP58" i="19"/>
  <c r="BP36" i="15"/>
  <c r="BO34" i="15"/>
  <c r="BP92" i="15"/>
  <c r="BP37" i="15"/>
  <c r="EL98" i="15"/>
  <c r="EL11" i="15" s="1"/>
  <c r="DS93" i="24"/>
  <c r="AK92" i="24"/>
  <c r="AO32" i="11"/>
  <c r="AO158" i="11" s="1"/>
  <c r="J32" i="11"/>
  <c r="J158" i="11" s="1"/>
  <c r="ED158" i="11"/>
  <c r="ED122" i="1" s="1"/>
  <c r="CW57" i="24"/>
  <c r="AD56" i="24"/>
  <c r="H56" i="24"/>
  <c r="EE109" i="15"/>
  <c r="EE110" i="15" s="1"/>
  <c r="EG109" i="15"/>
  <c r="EG32" i="15" s="1"/>
  <c r="AP84" i="24"/>
  <c r="EF85" i="24"/>
  <c r="K84" i="24"/>
  <c r="AH41" i="37"/>
  <c r="AA27" i="34"/>
  <c r="DU52" i="11"/>
  <c r="EN54" i="19"/>
  <c r="AS22" i="15"/>
  <c r="EB84" i="24"/>
  <c r="AN83" i="24"/>
  <c r="AI41" i="36"/>
  <c r="EE11" i="15"/>
  <c r="AP98" i="15"/>
  <c r="I49" i="8"/>
  <c r="I59" i="8" s="1"/>
  <c r="I57" i="8"/>
  <c r="J27" i="8"/>
  <c r="DC97" i="11"/>
  <c r="DC106" i="11"/>
  <c r="DC112" i="11"/>
  <c r="AF107" i="11"/>
  <c r="EM19" i="7" s="1"/>
  <c r="AB17" i="36"/>
  <c r="AB4" i="36"/>
  <c r="DC60" i="11"/>
  <c r="DC79" i="11"/>
  <c r="AF80" i="11"/>
  <c r="EN11" i="15"/>
  <c r="AS98" i="15"/>
  <c r="CE13" i="29"/>
  <c r="CF9" i="29" s="1"/>
  <c r="CE30" i="29"/>
  <c r="CE34" i="29" s="1"/>
  <c r="CE37" i="29" s="1"/>
  <c r="CE38" i="29" s="1"/>
  <c r="DQ57" i="11"/>
  <c r="I55" i="11"/>
  <c r="EN53" i="19"/>
  <c r="AS21" i="15"/>
  <c r="I60" i="8"/>
  <c r="J30" i="8"/>
  <c r="EG203" i="19"/>
  <c r="AH137" i="37"/>
  <c r="AB21" i="36"/>
  <c r="AI15" i="36"/>
  <c r="AA31" i="37"/>
  <c r="EJ45" i="19"/>
  <c r="EJ43" i="15"/>
  <c r="ET20" i="29"/>
  <c r="EU16" i="29" s="1"/>
  <c r="EU20" i="29" s="1"/>
  <c r="EV16" i="29" s="1"/>
  <c r="EV20" i="29" s="1"/>
  <c r="EW16" i="29" s="1"/>
  <c r="AU16" i="29"/>
  <c r="AU20" i="29" s="1"/>
  <c r="CZ47" i="19"/>
  <c r="CZ71" i="19" s="1"/>
  <c r="DA7" i="15"/>
  <c r="CZ45" i="15"/>
  <c r="EC56" i="1"/>
  <c r="EC40" i="1"/>
  <c r="T12" i="15"/>
  <c r="W14" i="15"/>
  <c r="W15" i="15"/>
  <c r="T90" i="15"/>
  <c r="EH84" i="24"/>
  <c r="AP83" i="24"/>
  <c r="K83" i="24"/>
  <c r="EL109" i="15"/>
  <c r="EL32" i="15" s="1"/>
  <c r="EL43" i="15" s="1"/>
  <c r="EN109" i="15"/>
  <c r="EL203" i="19"/>
  <c r="AA41" i="37"/>
  <c r="AL69" i="11"/>
  <c r="AL156" i="11" s="1"/>
  <c r="DU156" i="11"/>
  <c r="DU120" i="1" s="1"/>
  <c r="AL120" i="1" s="1"/>
  <c r="J35" i="1"/>
  <c r="Z100" i="26" l="1"/>
  <c r="Z101" i="26" s="1"/>
  <c r="Z121" i="26"/>
  <c r="EH33" i="15"/>
  <c r="DU55" i="11"/>
  <c r="DU74" i="11"/>
  <c r="DU77" i="11"/>
  <c r="DV75" i="11"/>
  <c r="EK33" i="15"/>
  <c r="EE33" i="15"/>
  <c r="AF106" i="11"/>
  <c r="DC160" i="11"/>
  <c r="DC124" i="1" s="1"/>
  <c r="AF124" i="1" s="1"/>
  <c r="EG61" i="19"/>
  <c r="EG259" i="19" s="1"/>
  <c r="AO34" i="11"/>
  <c r="AO17" i="11"/>
  <c r="AO29" i="11"/>
  <c r="AO30" i="11" s="1"/>
  <c r="DD9" i="11"/>
  <c r="DD15" i="1"/>
  <c r="DE9" i="1"/>
  <c r="DD29" i="1"/>
  <c r="DP87" i="24"/>
  <c r="AJ86" i="24"/>
  <c r="I86" i="24"/>
  <c r="EM111" i="19"/>
  <c r="EK45" i="19"/>
  <c r="AR10" i="15"/>
  <c r="EK46" i="19"/>
  <c r="AR11" i="15"/>
  <c r="EK44" i="15"/>
  <c r="EJ61" i="19"/>
  <c r="EJ259" i="19" s="1"/>
  <c r="AD58" i="24"/>
  <c r="CV59" i="24"/>
  <c r="CU61" i="24"/>
  <c r="CU14" i="24" s="1"/>
  <c r="CU15" i="24" s="1"/>
  <c r="T45" i="15"/>
  <c r="W48" i="15"/>
  <c r="W47" i="15"/>
  <c r="AT27" i="29"/>
  <c r="AW28" i="29"/>
  <c r="EN32" i="15"/>
  <c r="AS109" i="15"/>
  <c r="CN10" i="25"/>
  <c r="AL99" i="24"/>
  <c r="DT100" i="24"/>
  <c r="EM117" i="24"/>
  <c r="EN118" i="24" s="1"/>
  <c r="EL110" i="15"/>
  <c r="EL33" i="15" s="1"/>
  <c r="EL62" i="19" s="1"/>
  <c r="EL265" i="19" s="1"/>
  <c r="AQ84" i="24"/>
  <c r="EI85" i="24"/>
  <c r="DA42" i="19"/>
  <c r="AF7" i="15"/>
  <c r="DA12" i="15"/>
  <c r="DA40" i="15"/>
  <c r="DA14" i="15"/>
  <c r="DA90" i="15"/>
  <c r="DA15" i="15"/>
  <c r="EJ69" i="19"/>
  <c r="EJ111" i="19"/>
  <c r="AS53" i="19"/>
  <c r="EN185" i="19"/>
  <c r="K98" i="15"/>
  <c r="EG110" i="15"/>
  <c r="EG33" i="15" s="1"/>
  <c r="EG62" i="19" s="1"/>
  <c r="EG265" i="19" s="1"/>
  <c r="AQ54" i="19"/>
  <c r="EH191" i="19"/>
  <c r="AG14" i="1"/>
  <c r="AO6" i="7"/>
  <c r="AO8" i="7" s="1"/>
  <c r="AJ97" i="1"/>
  <c r="AJ98" i="1"/>
  <c r="DR57" i="11"/>
  <c r="AP100" i="15"/>
  <c r="AP99" i="15"/>
  <c r="DC39" i="11"/>
  <c r="AF38" i="11"/>
  <c r="Y63" i="1"/>
  <c r="Y68" i="1" s="1"/>
  <c r="CF68" i="1"/>
  <c r="DY87" i="24"/>
  <c r="AM86" i="24"/>
  <c r="EU85" i="24"/>
  <c r="AU84" i="24"/>
  <c r="DD58" i="24"/>
  <c r="AF57" i="24"/>
  <c r="EE17" i="11"/>
  <c r="EE35" i="1" s="1"/>
  <c r="AP28" i="11"/>
  <c r="EE29" i="11"/>
  <c r="EE30" i="11" s="1"/>
  <c r="EZ84" i="24"/>
  <c r="AV83" i="24"/>
  <c r="AQ53" i="19"/>
  <c r="EH185" i="19"/>
  <c r="X37" i="29"/>
  <c r="EK54" i="19"/>
  <c r="AR22" i="15"/>
  <c r="AU23" i="29"/>
  <c r="AU27" i="29" s="1"/>
  <c r="ET27" i="29"/>
  <c r="EU23" i="29" s="1"/>
  <c r="EU27" i="29" s="1"/>
  <c r="EV23" i="29" s="1"/>
  <c r="EV27" i="29" s="1"/>
  <c r="EW23" i="29" s="1"/>
  <c r="EH32" i="11"/>
  <c r="EH158" i="11" s="1"/>
  <c r="EH122" i="1" s="1"/>
  <c r="EH28" i="11"/>
  <c r="EI33" i="11"/>
  <c r="AA16" i="34"/>
  <c r="EL61" i="19"/>
  <c r="EL259" i="19" s="1"/>
  <c r="AA33" i="37"/>
  <c r="AA36" i="37"/>
  <c r="AH36" i="37" s="1"/>
  <c r="EN46" i="19"/>
  <c r="AS11" i="15"/>
  <c r="DC101" i="11"/>
  <c r="DC111" i="11"/>
  <c r="AF112" i="11"/>
  <c r="EE46" i="19"/>
  <c r="EE44" i="15"/>
  <c r="AP11" i="15"/>
  <c r="AL52" i="11"/>
  <c r="AL87" i="11" s="1"/>
  <c r="ED56" i="1"/>
  <c r="ED40" i="1"/>
  <c r="AO35" i="1"/>
  <c r="EO46" i="19"/>
  <c r="DD10" i="11"/>
  <c r="I74" i="11"/>
  <c r="I155" i="11" s="1"/>
  <c r="AK74" i="11"/>
  <c r="AK155" i="11" s="1"/>
  <c r="DR155" i="11"/>
  <c r="AP54" i="19"/>
  <c r="K54" i="19"/>
  <c r="EE191" i="19"/>
  <c r="EM46" i="19"/>
  <c r="EM44" i="15"/>
  <c r="EM13" i="1" s="1"/>
  <c r="BO55" i="19"/>
  <c r="BO18" i="15"/>
  <c r="EG46" i="19"/>
  <c r="EG44" i="15"/>
  <c r="EI110" i="15"/>
  <c r="EI33" i="15" s="1"/>
  <c r="EI62" i="19" s="1"/>
  <c r="EI265" i="19" s="1"/>
  <c r="EH45" i="19"/>
  <c r="EH43" i="15"/>
  <c r="AQ10" i="15"/>
  <c r="X38" i="29"/>
  <c r="AA110" i="26" s="1"/>
  <c r="AA112" i="26" s="1"/>
  <c r="AB56" i="24"/>
  <c r="G56" i="24"/>
  <c r="CQ57" i="24"/>
  <c r="CP61" i="24"/>
  <c r="CP14" i="24" s="1"/>
  <c r="EI46" i="19"/>
  <c r="EI44" i="15"/>
  <c r="AP32" i="11"/>
  <c r="AP158" i="11" s="1"/>
  <c r="EG158" i="11"/>
  <c r="EG122" i="1" s="1"/>
  <c r="AP122" i="1" s="1"/>
  <c r="EE32" i="15"/>
  <c r="AP109" i="15"/>
  <c r="K109" i="15"/>
  <c r="DT94" i="24"/>
  <c r="AL93" i="24"/>
  <c r="EL69" i="19"/>
  <c r="EL111" i="19"/>
  <c r="EE45" i="19"/>
  <c r="AP10" i="15"/>
  <c r="EE43" i="15"/>
  <c r="K10" i="15"/>
  <c r="DM58" i="24"/>
  <c r="AI57" i="24"/>
  <c r="DW69" i="11"/>
  <c r="DW156" i="11" s="1"/>
  <c r="DW120" i="1" s="1"/>
  <c r="DW51" i="11"/>
  <c r="DW72" i="11"/>
  <c r="DZ70" i="11"/>
  <c r="EH32" i="15"/>
  <c r="AQ109" i="15"/>
  <c r="DB16" i="11"/>
  <c r="DB34" i="1" s="1"/>
  <c r="DB42" i="11"/>
  <c r="DB46" i="11" s="1"/>
  <c r="EO85" i="24"/>
  <c r="AS84" i="24"/>
  <c r="EI61" i="19"/>
  <c r="EI259" i="19" s="1"/>
  <c r="CZ144" i="11"/>
  <c r="CZ127" i="1"/>
  <c r="EI43" i="15"/>
  <c r="AX40" i="30"/>
  <c r="BF40" i="30"/>
  <c r="AY40" i="30"/>
  <c r="BG40" i="30"/>
  <c r="AZ40" i="30"/>
  <c r="BH40" i="30"/>
  <c r="BA40" i="30"/>
  <c r="AT40" i="30"/>
  <c r="AT51" i="30" s="1"/>
  <c r="BB40" i="30"/>
  <c r="AU40" i="30"/>
  <c r="BC40" i="30"/>
  <c r="AV40" i="30"/>
  <c r="BD40" i="30"/>
  <c r="AW40" i="30"/>
  <c r="BE40" i="30"/>
  <c r="DA50" i="19"/>
  <c r="AF50" i="19" s="1"/>
  <c r="AF55" i="19" s="1"/>
  <c r="AF18" i="15"/>
  <c r="DA23" i="15"/>
  <c r="DA26" i="15"/>
  <c r="DA25" i="15"/>
  <c r="DA91" i="15"/>
  <c r="EG17" i="11"/>
  <c r="EG35" i="1" s="1"/>
  <c r="EG29" i="11"/>
  <c r="EG30" i="11" s="1"/>
  <c r="AF79" i="11"/>
  <c r="DC157" i="11"/>
  <c r="DC98" i="11"/>
  <c r="AF98" i="11" s="1"/>
  <c r="AF97" i="11"/>
  <c r="K25" i="15"/>
  <c r="DJ14" i="25" s="1"/>
  <c r="K26" i="15"/>
  <c r="DJ15" i="25" s="1"/>
  <c r="K23" i="15"/>
  <c r="EF111" i="19"/>
  <c r="EO61" i="19"/>
  <c r="EO259" i="19" s="1"/>
  <c r="AF58" i="24"/>
  <c r="DB59" i="24"/>
  <c r="DA61" i="24"/>
  <c r="DA14" i="24" s="1"/>
  <c r="DA15" i="24" s="1"/>
  <c r="EW84" i="24"/>
  <c r="AU83" i="24"/>
  <c r="I57" i="24"/>
  <c r="CZ46" i="11"/>
  <c r="AE42" i="11"/>
  <c r="AE46" i="11" s="1"/>
  <c r="EG43" i="15"/>
  <c r="AE100" i="1"/>
  <c r="CM17" i="7" s="1"/>
  <c r="AE101" i="1"/>
  <c r="CM18" i="7" s="1"/>
  <c r="DV87" i="24"/>
  <c r="AL86" i="24"/>
  <c r="EP44" i="15"/>
  <c r="EI69" i="19"/>
  <c r="EI111" i="19"/>
  <c r="AA24" i="34"/>
  <c r="AA29" i="34" s="1"/>
  <c r="AA30" i="34" s="1"/>
  <c r="AH38" i="37"/>
  <c r="AH31" i="37"/>
  <c r="AH33" i="37" s="1"/>
  <c r="AH34" i="37" s="1"/>
  <c r="I57" i="11"/>
  <c r="DC61" i="11"/>
  <c r="AF61" i="11" s="1"/>
  <c r="DC62" i="11"/>
  <c r="AF60" i="11"/>
  <c r="AF81" i="11" s="1"/>
  <c r="AO84" i="24"/>
  <c r="EC85" i="24"/>
  <c r="EG86" i="24"/>
  <c r="AP85" i="24"/>
  <c r="K53" i="19"/>
  <c r="K55" i="19" s="1"/>
  <c r="L50" i="19" s="1"/>
  <c r="AP53" i="19"/>
  <c r="EE185" i="19"/>
  <c r="DZ85" i="24"/>
  <c r="AN84" i="24"/>
  <c r="J84" i="24"/>
  <c r="DA58" i="19"/>
  <c r="AF58" i="19" s="1"/>
  <c r="AF63" i="19" s="1"/>
  <c r="AF29" i="15"/>
  <c r="DA34" i="15"/>
  <c r="DA92" i="15"/>
  <c r="DA36" i="15"/>
  <c r="DA37" i="15"/>
  <c r="AI16" i="36"/>
  <c r="AI21" i="36" s="1"/>
  <c r="EO110" i="15"/>
  <c r="EO33" i="15" s="1"/>
  <c r="EO62" i="19" s="1"/>
  <c r="EO265" i="19" s="1"/>
  <c r="EF46" i="19"/>
  <c r="EF44" i="15"/>
  <c r="AM51" i="11"/>
  <c r="DV52" i="11"/>
  <c r="DA16" i="11"/>
  <c r="DA34" i="1" s="1"/>
  <c r="DA42" i="11"/>
  <c r="DP99" i="24"/>
  <c r="I98" i="24"/>
  <c r="AJ98" i="24"/>
  <c r="AJ126" i="24" s="1"/>
  <c r="DO126" i="24"/>
  <c r="DA126" i="1"/>
  <c r="DA163" i="11"/>
  <c r="DK59" i="24"/>
  <c r="AI58" i="24"/>
  <c r="DJ61" i="24"/>
  <c r="DJ14" i="24" s="1"/>
  <c r="DJ15" i="24" s="1"/>
  <c r="CM14" i="7"/>
  <c r="AE163" i="11"/>
  <c r="EL85" i="24"/>
  <c r="AR84" i="24"/>
  <c r="CZ33" i="1"/>
  <c r="CZ55" i="1"/>
  <c r="CZ39" i="1"/>
  <c r="AE34" i="1"/>
  <c r="EP70" i="19"/>
  <c r="EP117" i="19"/>
  <c r="F41" i="30"/>
  <c r="EF61" i="19"/>
  <c r="EF259" i="19" s="1"/>
  <c r="DB126" i="1"/>
  <c r="DB163" i="11"/>
  <c r="AS99" i="15"/>
  <c r="AS100" i="15" s="1"/>
  <c r="EL46" i="19"/>
  <c r="EL44" i="15"/>
  <c r="CX58" i="24"/>
  <c r="H57" i="24"/>
  <c r="AD57" i="24"/>
  <c r="AE149" i="11"/>
  <c r="EV15" i="7"/>
  <c r="DQ94" i="24"/>
  <c r="AK93" i="24"/>
  <c r="I93" i="24"/>
  <c r="DT55" i="11"/>
  <c r="DT74" i="11"/>
  <c r="DT155" i="11" s="1"/>
  <c r="DT77" i="11"/>
  <c r="AF134" i="11"/>
  <c r="DC161" i="11"/>
  <c r="DC125" i="1" s="1"/>
  <c r="AF125" i="1" s="1"/>
  <c r="AF52" i="1"/>
  <c r="T7" i="7"/>
  <c r="BR7" i="7"/>
  <c r="EO111" i="19"/>
  <c r="DA130" i="11"/>
  <c r="L84" i="24"/>
  <c r="AT84" i="24"/>
  <c r="ER85" i="24"/>
  <c r="EH11" i="15"/>
  <c r="AQ98" i="15"/>
  <c r="AQ99" i="15" s="1"/>
  <c r="AQ100" i="15" s="1"/>
  <c r="AA15" i="37"/>
  <c r="AH15" i="37" s="1"/>
  <c r="AH132" i="37"/>
  <c r="EF17" i="11"/>
  <c r="EF35" i="1" s="1"/>
  <c r="EF29" i="11"/>
  <c r="EF30" i="11" s="1"/>
  <c r="EG69" i="19"/>
  <c r="EG111" i="19"/>
  <c r="AR53" i="19"/>
  <c r="EK185" i="19"/>
  <c r="BP42" i="19"/>
  <c r="BP66" i="19" s="1"/>
  <c r="BP40" i="15"/>
  <c r="BO12" i="15"/>
  <c r="BP90" i="15"/>
  <c r="BP15" i="15"/>
  <c r="BP14" i="15"/>
  <c r="B42" i="30"/>
  <c r="C42" i="30"/>
  <c r="A43" i="30"/>
  <c r="EN45" i="19"/>
  <c r="AS10" i="15"/>
  <c r="EN43" i="15"/>
  <c r="DS87" i="24"/>
  <c r="AK86" i="24"/>
  <c r="AV16" i="29"/>
  <c r="AV20" i="29" s="1"/>
  <c r="EW20" i="29"/>
  <c r="EX16" i="29" s="1"/>
  <c r="EX20" i="29" s="1"/>
  <c r="EY16" i="29" s="1"/>
  <c r="EY20" i="29" s="1"/>
  <c r="EZ16" i="29" s="1"/>
  <c r="J56" i="1"/>
  <c r="T12" i="25"/>
  <c r="BR12" i="25"/>
  <c r="J40" i="1"/>
  <c r="EN110" i="15"/>
  <c r="Y9" i="29"/>
  <c r="CF13" i="29"/>
  <c r="CG9" i="29" s="1"/>
  <c r="CF30" i="29"/>
  <c r="I56" i="8"/>
  <c r="J26" i="8"/>
  <c r="AS54" i="19"/>
  <c r="EN191" i="19"/>
  <c r="AO122" i="1"/>
  <c r="J122" i="1"/>
  <c r="BO63" i="19"/>
  <c r="BO29" i="15"/>
  <c r="EJ117" i="19"/>
  <c r="AH13" i="37"/>
  <c r="AH17" i="37" s="1"/>
  <c r="I58" i="8"/>
  <c r="AA17" i="34"/>
  <c r="AA18" i="34" s="1"/>
  <c r="EM61" i="19"/>
  <c r="EM259" i="19" s="1"/>
  <c r="DS74" i="11"/>
  <c r="DS155" i="11" s="1"/>
  <c r="DS55" i="11"/>
  <c r="AL75" i="11"/>
  <c r="AL77" i="11" s="1"/>
  <c r="DS77" i="11"/>
  <c r="DC124" i="11"/>
  <c r="AF124" i="11" s="1"/>
  <c r="AF123" i="11"/>
  <c r="DC64" i="1"/>
  <c r="AF28" i="1"/>
  <c r="AM70" i="11"/>
  <c r="AM72" i="11" s="1"/>
  <c r="I58" i="24"/>
  <c r="AH58" i="24"/>
  <c r="DH59" i="24"/>
  <c r="DG61" i="24"/>
  <c r="DG14" i="24" s="1"/>
  <c r="DG15" i="24" s="1"/>
  <c r="EP61" i="19"/>
  <c r="EP259" i="19" s="1"/>
  <c r="BW106" i="1"/>
  <c r="BV113" i="1"/>
  <c r="AR98" i="15"/>
  <c r="AR99" i="15" s="1"/>
  <c r="AR100" i="15" s="1"/>
  <c r="EJ110" i="15"/>
  <c r="EJ33" i="15" s="1"/>
  <c r="EK32" i="15"/>
  <c r="AR109" i="15"/>
  <c r="EP111" i="19"/>
  <c r="DA83" i="1"/>
  <c r="AK55" i="11"/>
  <c r="AK76" i="11" s="1"/>
  <c r="F42" i="30" l="1"/>
  <c r="AA120" i="26"/>
  <c r="AA97" i="26"/>
  <c r="AA87" i="26" s="1"/>
  <c r="Z124" i="26"/>
  <c r="Z123" i="26"/>
  <c r="EM88" i="1"/>
  <c r="AF148" i="11"/>
  <c r="EW9" i="7"/>
  <c r="AS43" i="15"/>
  <c r="EG129" i="19"/>
  <c r="ES86" i="24"/>
  <c r="AT85" i="24"/>
  <c r="AF161" i="11"/>
  <c r="CN13" i="7" s="1"/>
  <c r="EW20" i="7"/>
  <c r="AE58" i="24"/>
  <c r="CY59" i="24"/>
  <c r="CX61" i="24"/>
  <c r="CX14" i="24" s="1"/>
  <c r="CX15" i="24" s="1"/>
  <c r="EM86" i="24"/>
  <c r="AR85" i="24"/>
  <c r="EA86" i="24"/>
  <c r="AN85" i="24"/>
  <c r="J85" i="24"/>
  <c r="DC121" i="1"/>
  <c r="AF121" i="1" s="1"/>
  <c r="AF23" i="15"/>
  <c r="AF91" i="15"/>
  <c r="AI25" i="15"/>
  <c r="AI26" i="15"/>
  <c r="EI277" i="19"/>
  <c r="AP43" i="15"/>
  <c r="EE13" i="1"/>
  <c r="EF13" i="1"/>
  <c r="AQ43" i="15"/>
  <c r="EH13" i="1"/>
  <c r="CM7" i="25"/>
  <c r="AF111" i="11"/>
  <c r="DC159" i="11"/>
  <c r="DC123" i="1" s="1"/>
  <c r="AF123" i="1" s="1"/>
  <c r="EH17" i="11"/>
  <c r="EH35" i="1" s="1"/>
  <c r="AQ28" i="11"/>
  <c r="EH29" i="11"/>
  <c r="EH30" i="11" s="1"/>
  <c r="CG63" i="1"/>
  <c r="CG68" i="1" s="1"/>
  <c r="AJ59" i="2"/>
  <c r="AF40" i="15"/>
  <c r="DA47" i="15"/>
  <c r="DA48" i="15"/>
  <c r="EO119" i="24"/>
  <c r="AR46" i="19"/>
  <c r="EK117" i="19"/>
  <c r="EM69" i="19"/>
  <c r="AP110" i="15"/>
  <c r="AL74" i="11"/>
  <c r="AL155" i="11" s="1"/>
  <c r="DU155" i="11"/>
  <c r="AX42" i="30"/>
  <c r="BF42" i="30"/>
  <c r="AY42" i="30"/>
  <c r="BG42" i="30"/>
  <c r="AZ42" i="30"/>
  <c r="BH42" i="30"/>
  <c r="BA42" i="30"/>
  <c r="BI42" i="30"/>
  <c r="BB42" i="30"/>
  <c r="BJ42" i="30"/>
  <c r="BC42" i="30"/>
  <c r="AV42" i="30"/>
  <c r="BD42" i="30"/>
  <c r="AW42" i="30"/>
  <c r="BE42" i="30"/>
  <c r="EH46" i="19"/>
  <c r="EH44" i="15"/>
  <c r="AQ11" i="15"/>
  <c r="DZ69" i="11"/>
  <c r="DZ156" i="11" s="1"/>
  <c r="DZ120" i="1" s="1"/>
  <c r="DZ51" i="11"/>
  <c r="DZ72" i="11"/>
  <c r="F106" i="1"/>
  <c r="BW110" i="1"/>
  <c r="BW99" i="1"/>
  <c r="BO58" i="19"/>
  <c r="BN34" i="15"/>
  <c r="BO92" i="15"/>
  <c r="BO36" i="15"/>
  <c r="BO37" i="15"/>
  <c r="Y30" i="29"/>
  <c r="CF34" i="29"/>
  <c r="CF37" i="29" s="1"/>
  <c r="AW16" i="29"/>
  <c r="AW20" i="29" s="1"/>
  <c r="EZ20" i="29"/>
  <c r="FA16" i="29" s="1"/>
  <c r="FA20" i="29" s="1"/>
  <c r="FB16" i="29" s="1"/>
  <c r="FB20" i="29" s="1"/>
  <c r="EO129" i="19"/>
  <c r="AP185" i="19"/>
  <c r="K185" i="19"/>
  <c r="EE203" i="19"/>
  <c r="DA65" i="11"/>
  <c r="EF69" i="19"/>
  <c r="AF157" i="11"/>
  <c r="AF82" i="11"/>
  <c r="EI13" i="1"/>
  <c r="DW52" i="11"/>
  <c r="AQ45" i="19"/>
  <c r="EH111" i="19"/>
  <c r="EM70" i="19"/>
  <c r="EM117" i="19"/>
  <c r="DD80" i="11"/>
  <c r="DD107" i="11"/>
  <c r="DD135" i="11"/>
  <c r="DC102" i="11"/>
  <c r="AF102" i="11" s="1"/>
  <c r="AF101" i="11"/>
  <c r="AG58" i="24"/>
  <c r="DE59" i="24"/>
  <c r="DD61" i="24"/>
  <c r="DD14" i="24" s="1"/>
  <c r="DD15" i="24" s="1"/>
  <c r="N44" i="25"/>
  <c r="N44" i="7"/>
  <c r="AS185" i="19"/>
  <c r="EN203" i="19"/>
  <c r="DA47" i="19"/>
  <c r="DB7" i="15"/>
  <c r="DA45" i="15"/>
  <c r="DU101" i="24"/>
  <c r="AL100" i="24"/>
  <c r="EP13" i="1"/>
  <c r="EE62" i="19"/>
  <c r="AP33" i="15"/>
  <c r="DU57" i="11"/>
  <c r="DR95" i="24"/>
  <c r="AK94" i="24"/>
  <c r="I94" i="24"/>
  <c r="EG13" i="1"/>
  <c r="CG13" i="29"/>
  <c r="CH9" i="29" s="1"/>
  <c r="CG30" i="29"/>
  <c r="CG34" i="29" s="1"/>
  <c r="CG37" i="29" s="1"/>
  <c r="CG38" i="29" s="1"/>
  <c r="EO69" i="19"/>
  <c r="EL70" i="19"/>
  <c r="EL117" i="19"/>
  <c r="EF277" i="19"/>
  <c r="AE55" i="1"/>
  <c r="BQ11" i="7"/>
  <c r="S11" i="7"/>
  <c r="AE39" i="1"/>
  <c r="CM39" i="7"/>
  <c r="CM40" i="7" s="1"/>
  <c r="CM15" i="7"/>
  <c r="AM52" i="11"/>
  <c r="AM87" i="11" s="1"/>
  <c r="DC60" i="24"/>
  <c r="AF59" i="24"/>
  <c r="DB61" i="24"/>
  <c r="DB14" i="24" s="1"/>
  <c r="DB15" i="24" s="1"/>
  <c r="DB65" i="11" s="1"/>
  <c r="DJ7" i="25"/>
  <c r="DJ8" i="25" s="1"/>
  <c r="L18" i="15"/>
  <c r="CZ100" i="1"/>
  <c r="CZ101" i="1"/>
  <c r="EP86" i="24"/>
  <c r="AS85" i="24"/>
  <c r="EA70" i="11"/>
  <c r="EO44" i="15"/>
  <c r="AA33" i="34"/>
  <c r="EL277" i="19"/>
  <c r="EW27" i="29"/>
  <c r="EX23" i="29" s="1"/>
  <c r="EX27" i="29" s="1"/>
  <c r="EY23" i="29" s="1"/>
  <c r="EY27" i="29" s="1"/>
  <c r="EZ23" i="29" s="1"/>
  <c r="AV23" i="29"/>
  <c r="AV27" i="29" s="1"/>
  <c r="AW84" i="24"/>
  <c r="FA85" i="24"/>
  <c r="AF12" i="15"/>
  <c r="AF90" i="15"/>
  <c r="AI14" i="15"/>
  <c r="AI15" i="15"/>
  <c r="CU65" i="11"/>
  <c r="AK57" i="11"/>
  <c r="AK88" i="11" s="1"/>
  <c r="DI60" i="24"/>
  <c r="I59" i="24"/>
  <c r="AH59" i="24"/>
  <c r="DH61" i="24"/>
  <c r="DH14" i="24" s="1"/>
  <c r="DH15" i="24" s="1"/>
  <c r="DH65" i="11" s="1"/>
  <c r="AF136" i="11"/>
  <c r="EW22" i="7" s="1"/>
  <c r="EW8" i="7"/>
  <c r="AF117" i="11"/>
  <c r="EM9" i="7"/>
  <c r="EP129" i="19"/>
  <c r="EP69" i="19"/>
  <c r="AF64" i="1"/>
  <c r="Y13" i="29"/>
  <c r="AB14" i="29"/>
  <c r="BO47" i="19"/>
  <c r="BO71" i="19" s="1"/>
  <c r="BO7" i="15"/>
  <c r="BO45" i="15"/>
  <c r="EF56" i="1"/>
  <c r="EF40" i="1"/>
  <c r="DT119" i="1"/>
  <c r="BB41" i="30"/>
  <c r="AU41" i="30"/>
  <c r="AU51" i="30" s="1"/>
  <c r="BC41" i="30"/>
  <c r="AV41" i="30"/>
  <c r="BD41" i="30"/>
  <c r="AW41" i="30"/>
  <c r="BE41" i="30"/>
  <c r="AX41" i="30"/>
  <c r="BF41" i="30"/>
  <c r="AY41" i="30"/>
  <c r="BG41" i="30"/>
  <c r="AZ41" i="30"/>
  <c r="BH41" i="30"/>
  <c r="BA41" i="30"/>
  <c r="BI41" i="30"/>
  <c r="DJ65" i="11"/>
  <c r="I99" i="24"/>
  <c r="AK99" i="24"/>
  <c r="DQ100" i="24"/>
  <c r="DP126" i="24"/>
  <c r="DP14" i="24" s="1"/>
  <c r="DP15" i="24" s="1"/>
  <c r="AM71" i="11"/>
  <c r="DA63" i="19"/>
  <c r="DB29" i="15"/>
  <c r="EG56" i="1"/>
  <c r="EG40" i="1"/>
  <c r="CZ125" i="11"/>
  <c r="AE144" i="11"/>
  <c r="EV30" i="7" s="1"/>
  <c r="DU95" i="24"/>
  <c r="AL94" i="24"/>
  <c r="AP191" i="19"/>
  <c r="EO70" i="19"/>
  <c r="EO117" i="19"/>
  <c r="AF39" i="11"/>
  <c r="EJ129" i="19"/>
  <c r="AF42" i="19"/>
  <c r="AF47" i="19" s="1"/>
  <c r="DA66" i="19"/>
  <c r="AF66" i="19" s="1"/>
  <c r="AF71" i="19" s="1"/>
  <c r="AS111" i="15"/>
  <c r="AS112" i="15" s="1"/>
  <c r="CW60" i="24"/>
  <c r="H59" i="24"/>
  <c r="AD59" i="24"/>
  <c r="CV61" i="24"/>
  <c r="CV14" i="24" s="1"/>
  <c r="CV15" i="24" s="1"/>
  <c r="CV65" i="11" s="1"/>
  <c r="AK87" i="24"/>
  <c r="DQ88" i="24"/>
  <c r="I87" i="24"/>
  <c r="AR110" i="15"/>
  <c r="EO277" i="19"/>
  <c r="EM277" i="19"/>
  <c r="AS45" i="19"/>
  <c r="EN111" i="19"/>
  <c r="AR111" i="15"/>
  <c r="AR112" i="15"/>
  <c r="T6" i="7"/>
  <c r="AX37" i="7" s="1"/>
  <c r="BR6" i="7"/>
  <c r="AL55" i="11"/>
  <c r="AL76" i="11" s="1"/>
  <c r="DS57" i="11"/>
  <c r="EN33" i="15"/>
  <c r="AS110" i="15"/>
  <c r="AL87" i="24"/>
  <c r="DT88" i="24"/>
  <c r="BP48" i="15"/>
  <c r="BP47" i="15"/>
  <c r="DT57" i="11"/>
  <c r="DA46" i="11"/>
  <c r="AF34" i="15"/>
  <c r="AF92" i="15"/>
  <c r="AI36" i="15"/>
  <c r="AI37" i="15"/>
  <c r="DW88" i="24"/>
  <c r="AM87" i="24"/>
  <c r="DB33" i="1"/>
  <c r="DB55" i="1"/>
  <c r="DB39" i="1"/>
  <c r="AP45" i="19"/>
  <c r="K45" i="19"/>
  <c r="EE111" i="19"/>
  <c r="AO56" i="1"/>
  <c r="AO40" i="1"/>
  <c r="AP44" i="15"/>
  <c r="AS46" i="19"/>
  <c r="EN117" i="19"/>
  <c r="AP34" i="11"/>
  <c r="AP17" i="11"/>
  <c r="AP29" i="11"/>
  <c r="AP30" i="11" s="1"/>
  <c r="AG9" i="11"/>
  <c r="AG15" i="1"/>
  <c r="J6" i="7" s="1"/>
  <c r="J29" i="7" s="1"/>
  <c r="AE13" i="7"/>
  <c r="J5" i="7"/>
  <c r="J28" i="7" s="1"/>
  <c r="EJ86" i="24"/>
  <c r="AQ85" i="24"/>
  <c r="EN61" i="19"/>
  <c r="EN69" i="19" s="1"/>
  <c r="AS69" i="19" s="1"/>
  <c r="AS32" i="15"/>
  <c r="DD38" i="11"/>
  <c r="DD28" i="1"/>
  <c r="AF160" i="11"/>
  <c r="CN12" i="7" s="1"/>
  <c r="EM18" i="7"/>
  <c r="EK62" i="19"/>
  <c r="AR33" i="15"/>
  <c r="AI17" i="36"/>
  <c r="AI20" i="36"/>
  <c r="AI19" i="36"/>
  <c r="ED86" i="24"/>
  <c r="AO85" i="24"/>
  <c r="DA55" i="19"/>
  <c r="DB18" i="15"/>
  <c r="EK61" i="19"/>
  <c r="AR32" i="15"/>
  <c r="AH18" i="37"/>
  <c r="AH82" i="38"/>
  <c r="AH116" i="38"/>
  <c r="AH71" i="38"/>
  <c r="AH98" i="38"/>
  <c r="AH91" i="38"/>
  <c r="AH107" i="38"/>
  <c r="AS191" i="19"/>
  <c r="T17" i="25"/>
  <c r="BR17" i="25"/>
  <c r="DB144" i="11"/>
  <c r="DB125" i="11" s="1"/>
  <c r="DB132" i="11" s="1"/>
  <c r="DB22" i="11" s="1"/>
  <c r="DB45" i="1" s="1"/>
  <c r="DB84" i="1" s="1"/>
  <c r="DB127" i="1"/>
  <c r="DL60" i="24"/>
  <c r="AI59" i="24"/>
  <c r="DK61" i="24"/>
  <c r="DK14" i="24" s="1"/>
  <c r="DK15" i="24" s="1"/>
  <c r="DK65" i="11" s="1"/>
  <c r="EF70" i="19"/>
  <c r="EF117" i="19"/>
  <c r="K85" i="24"/>
  <c r="DC40" i="11"/>
  <c r="DC41" i="11" s="1"/>
  <c r="AF62" i="11"/>
  <c r="AF90" i="11" s="1"/>
  <c r="AF108" i="11"/>
  <c r="EM8" i="7"/>
  <c r="EM16" i="7"/>
  <c r="AJ58" i="24"/>
  <c r="DN59" i="24"/>
  <c r="DM61" i="24"/>
  <c r="DM14" i="24" s="1"/>
  <c r="DM15" i="24" s="1"/>
  <c r="EL129" i="19"/>
  <c r="EI70" i="19"/>
  <c r="EI117" i="19"/>
  <c r="EI129" i="19" s="1"/>
  <c r="EG70" i="19"/>
  <c r="EG117" i="19"/>
  <c r="K11" i="15"/>
  <c r="K12" i="15" s="1"/>
  <c r="EI32" i="11"/>
  <c r="EI158" i="11" s="1"/>
  <c r="EI122" i="1" s="1"/>
  <c r="EI28" i="11"/>
  <c r="EM33" i="11"/>
  <c r="EL33" i="11"/>
  <c r="AR54" i="19"/>
  <c r="EK191" i="19"/>
  <c r="EE56" i="1"/>
  <c r="AP35" i="1"/>
  <c r="EE40" i="1"/>
  <c r="EV86" i="24"/>
  <c r="AU85" i="24"/>
  <c r="AQ191" i="19"/>
  <c r="H58" i="24"/>
  <c r="EK43" i="15"/>
  <c r="K43" i="15" s="1"/>
  <c r="EL13" i="1"/>
  <c r="DV55" i="11"/>
  <c r="DV74" i="11"/>
  <c r="DV155" i="11" s="1"/>
  <c r="DV77" i="11"/>
  <c r="DW75" i="11"/>
  <c r="AQ110" i="15"/>
  <c r="AQ111" i="15" s="1"/>
  <c r="AQ112" i="15" s="1"/>
  <c r="EP277" i="19"/>
  <c r="DS119" i="1"/>
  <c r="A44" i="30"/>
  <c r="B43" i="30"/>
  <c r="C43" i="30"/>
  <c r="EJ62" i="19"/>
  <c r="EJ44" i="15"/>
  <c r="DG65" i="11"/>
  <c r="AA17" i="37"/>
  <c r="AR185" i="19"/>
  <c r="EK203" i="19"/>
  <c r="CZ81" i="1"/>
  <c r="CZ38" i="1"/>
  <c r="CZ37" i="1"/>
  <c r="AE33" i="1"/>
  <c r="DA144" i="11"/>
  <c r="DA127" i="1"/>
  <c r="DA33" i="1"/>
  <c r="DA55" i="1"/>
  <c r="DA39" i="1"/>
  <c r="EH87" i="24"/>
  <c r="K86" i="24"/>
  <c r="AP86" i="24"/>
  <c r="AF89" i="11"/>
  <c r="EX85" i="24"/>
  <c r="AV84" i="24"/>
  <c r="DC104" i="11"/>
  <c r="DC21" i="11" s="1"/>
  <c r="EH61" i="19"/>
  <c r="EH69" i="19" s="1"/>
  <c r="AQ69" i="19" s="1"/>
  <c r="AQ32" i="15"/>
  <c r="AP111" i="15"/>
  <c r="AP112" i="15" s="1"/>
  <c r="BO50" i="19"/>
  <c r="BN23" i="15"/>
  <c r="BO91" i="15"/>
  <c r="BO25" i="15"/>
  <c r="BO26" i="15"/>
  <c r="DR119" i="1"/>
  <c r="AP46" i="19"/>
  <c r="EE70" i="19"/>
  <c r="EE117" i="19"/>
  <c r="AA10" i="35"/>
  <c r="AA34" i="37"/>
  <c r="X40" i="29"/>
  <c r="X43" i="29" s="1"/>
  <c r="AR44" i="15"/>
  <c r="AR45" i="19"/>
  <c r="EK69" i="19"/>
  <c r="AR69" i="19" s="1"/>
  <c r="EK111" i="19"/>
  <c r="DE10" i="11"/>
  <c r="DE14" i="1"/>
  <c r="DE97" i="1"/>
  <c r="DE98" i="1"/>
  <c r="EH62" i="19"/>
  <c r="AQ33" i="15"/>
  <c r="EE61" i="19"/>
  <c r="K32" i="15"/>
  <c r="AP32" i="15"/>
  <c r="G57" i="24"/>
  <c r="AB57" i="24"/>
  <c r="AB61" i="24" s="1"/>
  <c r="CR58" i="24"/>
  <c r="CQ61" i="24"/>
  <c r="CQ14" i="24" s="1"/>
  <c r="AF114" i="11"/>
  <c r="EM26" i="7" s="1"/>
  <c r="EM24" i="7"/>
  <c r="AQ33" i="11"/>
  <c r="AQ185" i="19"/>
  <c r="EH203" i="19"/>
  <c r="DZ88" i="24"/>
  <c r="AN87" i="24"/>
  <c r="EM129" i="19"/>
  <c r="EG277" i="19"/>
  <c r="K110" i="15"/>
  <c r="Z126" i="26" l="1"/>
  <c r="Z164" i="26"/>
  <c r="Z163" i="26" s="1"/>
  <c r="F43" i="30"/>
  <c r="AA100" i="26"/>
  <c r="AA101" i="26" s="1"/>
  <c r="AA121" i="26"/>
  <c r="L7" i="15"/>
  <c r="CZ7" i="25"/>
  <c r="CZ8" i="25" s="1"/>
  <c r="DC16" i="11"/>
  <c r="DC34" i="1" s="1"/>
  <c r="AF41" i="11"/>
  <c r="AF16" i="11" s="1"/>
  <c r="DC42" i="11"/>
  <c r="EA89" i="24"/>
  <c r="AN88" i="24"/>
  <c r="K15" i="15"/>
  <c r="CZ15" i="25" s="1"/>
  <c r="DE80" i="11"/>
  <c r="DE107" i="11"/>
  <c r="DE135" i="11"/>
  <c r="I119" i="1"/>
  <c r="AK119" i="1"/>
  <c r="DG23" i="11"/>
  <c r="AP56" i="1"/>
  <c r="AP40" i="1"/>
  <c r="DU89" i="24"/>
  <c r="AL88" i="24"/>
  <c r="AE125" i="11"/>
  <c r="CZ132" i="11"/>
  <c r="CZ22" i="11" s="1"/>
  <c r="I100" i="24"/>
  <c r="AK100" i="24"/>
  <c r="DR101" i="24"/>
  <c r="DQ126" i="24"/>
  <c r="DQ14" i="24" s="1"/>
  <c r="DQ15" i="24" s="1"/>
  <c r="DQ65" i="11" s="1"/>
  <c r="EZ27" i="29"/>
  <c r="FA23" i="29" s="1"/>
  <c r="FA27" i="29" s="1"/>
  <c r="FB23" i="29" s="1"/>
  <c r="FB27" i="29" s="1"/>
  <c r="AW23" i="29"/>
  <c r="AW27" i="29" s="1"/>
  <c r="EA69" i="11"/>
  <c r="EA51" i="11"/>
  <c r="AN51" i="11" s="1"/>
  <c r="AN71" i="11" s="1"/>
  <c r="EA72" i="11"/>
  <c r="EB70" i="11"/>
  <c r="AS203" i="19"/>
  <c r="DA23" i="11"/>
  <c r="DA67" i="11"/>
  <c r="DA92" i="11" s="1"/>
  <c r="BN63" i="19"/>
  <c r="BN29" i="15"/>
  <c r="DZ52" i="11"/>
  <c r="AQ44" i="15"/>
  <c r="EN87" i="24"/>
  <c r="AR86" i="24"/>
  <c r="ET87" i="24"/>
  <c r="AT86" i="24"/>
  <c r="AF113" i="11"/>
  <c r="EM25" i="7" s="1"/>
  <c r="EM12" i="7"/>
  <c r="AQ111" i="19"/>
  <c r="EP120" i="24"/>
  <c r="EQ121" i="24" s="1"/>
  <c r="DC44" i="1"/>
  <c r="AF21" i="11"/>
  <c r="DA100" i="1"/>
  <c r="DA101" i="1"/>
  <c r="Z71" i="38"/>
  <c r="R40" i="34"/>
  <c r="R42" i="34" s="1"/>
  <c r="AA71" i="38"/>
  <c r="AH73" i="38"/>
  <c r="AH74" i="38" s="1"/>
  <c r="X71" i="38"/>
  <c r="Y71" i="38"/>
  <c r="AR61" i="19"/>
  <c r="EK259" i="19"/>
  <c r="DS8" i="7"/>
  <c r="DS7" i="7"/>
  <c r="CW61" i="24"/>
  <c r="CW14" i="24" s="1"/>
  <c r="CW15" i="24" s="1"/>
  <c r="CW65" i="11" s="1"/>
  <c r="AD60" i="24"/>
  <c r="AD61" i="24" s="1"/>
  <c r="BO42" i="19"/>
  <c r="BO66" i="19" s="1"/>
  <c r="BO40" i="15"/>
  <c r="BO15" i="15"/>
  <c r="BO90" i="15"/>
  <c r="BO14" i="15"/>
  <c r="BN12" i="15"/>
  <c r="DI61" i="24"/>
  <c r="DI14" i="24" s="1"/>
  <c r="DI15" i="24" s="1"/>
  <c r="AH60" i="24"/>
  <c r="AH61" i="24" s="1"/>
  <c r="EQ87" i="24"/>
  <c r="AS86" i="24"/>
  <c r="DV102" i="24"/>
  <c r="AL101" i="24"/>
  <c r="AF118" i="11"/>
  <c r="EM13" i="7"/>
  <c r="EI88" i="1"/>
  <c r="EH56" i="1"/>
  <c r="EH40" i="1"/>
  <c r="AQ13" i="1"/>
  <c r="EH88" i="1"/>
  <c r="CZ60" i="24"/>
  <c r="AE59" i="24"/>
  <c r="CY61" i="24"/>
  <c r="CY14" i="24" s="1"/>
  <c r="CY15" i="24" s="1"/>
  <c r="CY65" i="11" s="1"/>
  <c r="AR111" i="19"/>
  <c r="EK129" i="19"/>
  <c r="DW55" i="11"/>
  <c r="DW74" i="11"/>
  <c r="DW155" i="11" s="1"/>
  <c r="DW77" i="11"/>
  <c r="DZ75" i="11"/>
  <c r="CD6" i="7"/>
  <c r="AS111" i="19"/>
  <c r="EN129" i="19"/>
  <c r="DR89" i="24"/>
  <c r="AK88" i="24"/>
  <c r="I88" i="24"/>
  <c r="DC61" i="24"/>
  <c r="DC14" i="24" s="1"/>
  <c r="DC15" i="24" s="1"/>
  <c r="AF60" i="24"/>
  <c r="AF61" i="24" s="1"/>
  <c r="DS96" i="24"/>
  <c r="AK95" i="24"/>
  <c r="I95" i="24"/>
  <c r="AQ46" i="19"/>
  <c r="EH70" i="19"/>
  <c r="AQ70" i="19" s="1"/>
  <c r="EH117" i="19"/>
  <c r="EH129" i="19" s="1"/>
  <c r="DU119" i="1"/>
  <c r="AL119" i="1" s="1"/>
  <c r="AQ34" i="11"/>
  <c r="AQ17" i="11"/>
  <c r="AQ29" i="11"/>
  <c r="AQ30" i="11" s="1"/>
  <c r="EM15" i="7"/>
  <c r="AQ62" i="19"/>
  <c r="EH265" i="19"/>
  <c r="AA11" i="35"/>
  <c r="AH10" i="35"/>
  <c r="AA48" i="35"/>
  <c r="AH48" i="35" s="1"/>
  <c r="AA69" i="34" s="1"/>
  <c r="AA70" i="34" s="1"/>
  <c r="DA125" i="11"/>
  <c r="EJ13" i="1"/>
  <c r="DV119" i="1"/>
  <c r="AR191" i="19"/>
  <c r="DK23" i="11"/>
  <c r="DK46" i="1" s="1"/>
  <c r="DB50" i="19"/>
  <c r="DB23" i="15"/>
  <c r="DB25" i="15"/>
  <c r="DB26" i="15"/>
  <c r="DB91" i="15"/>
  <c r="EK87" i="24"/>
  <c r="AQ86" i="24"/>
  <c r="DB81" i="1"/>
  <c r="DB38" i="1"/>
  <c r="DB37" i="1"/>
  <c r="DJ23" i="11"/>
  <c r="CH13" i="29"/>
  <c r="CI9" i="29" s="1"/>
  <c r="CH30" i="29"/>
  <c r="CH34" i="29" s="1"/>
  <c r="CH37" i="29" s="1"/>
  <c r="CH38" i="29" s="1"/>
  <c r="DD134" i="11"/>
  <c r="DD161" i="11" s="1"/>
  <c r="DD125" i="1" s="1"/>
  <c r="DD123" i="11"/>
  <c r="CF38" i="29"/>
  <c r="F37" i="29"/>
  <c r="DI8" i="7"/>
  <c r="DI7" i="7"/>
  <c r="DD64" i="1"/>
  <c r="AP117" i="19"/>
  <c r="K117" i="19"/>
  <c r="BQ10" i="7"/>
  <c r="AE81" i="1"/>
  <c r="S10" i="7"/>
  <c r="AE38" i="1"/>
  <c r="EJ265" i="19"/>
  <c r="EJ70" i="19"/>
  <c r="DM65" i="11"/>
  <c r="AF104" i="11"/>
  <c r="AR62" i="19"/>
  <c r="EK265" i="19"/>
  <c r="DD39" i="11"/>
  <c r="EN62" i="19"/>
  <c r="AS33" i="15"/>
  <c r="EN44" i="15"/>
  <c r="AF47" i="11"/>
  <c r="AF44" i="11"/>
  <c r="DB58" i="19"/>
  <c r="DB34" i="15"/>
  <c r="DB36" i="15"/>
  <c r="DB92" i="15"/>
  <c r="DB37" i="15"/>
  <c r="CY8" i="7"/>
  <c r="CY7" i="7"/>
  <c r="K33" i="15"/>
  <c r="DB42" i="19"/>
  <c r="DB12" i="15"/>
  <c r="DB40" i="15"/>
  <c r="DB90" i="15"/>
  <c r="DB15" i="15"/>
  <c r="DB14" i="15"/>
  <c r="DD106" i="11"/>
  <c r="DD160" i="11" s="1"/>
  <c r="DD124" i="1" s="1"/>
  <c r="DD97" i="11"/>
  <c r="DD112" i="11"/>
  <c r="Y34" i="29"/>
  <c r="AB35" i="29"/>
  <c r="BX106" i="1"/>
  <c r="BW113" i="1"/>
  <c r="AF159" i="11"/>
  <c r="CN11" i="7" s="1"/>
  <c r="CN38" i="7" s="1"/>
  <c r="EM23" i="7"/>
  <c r="DA81" i="1"/>
  <c r="DA38" i="1"/>
  <c r="DA37" i="1"/>
  <c r="CX65" i="11"/>
  <c r="AQ203" i="19"/>
  <c r="K36" i="15"/>
  <c r="DT14" i="25" s="1"/>
  <c r="K37" i="15"/>
  <c r="DT15" i="25" s="1"/>
  <c r="K34" i="15"/>
  <c r="AP70" i="19"/>
  <c r="EY86" i="24"/>
  <c r="L86" i="24" s="1"/>
  <c r="AV85" i="24"/>
  <c r="AM75" i="11"/>
  <c r="AM77" i="11" s="1"/>
  <c r="EL32" i="11"/>
  <c r="EL158" i="11" s="1"/>
  <c r="EL122" i="1" s="1"/>
  <c r="EL28" i="11"/>
  <c r="AR33" i="11"/>
  <c r="DO60" i="24"/>
  <c r="I60" i="24" s="1"/>
  <c r="I61" i="24" s="1"/>
  <c r="AJ59" i="24"/>
  <c r="DN61" i="24"/>
  <c r="DN14" i="24" s="1"/>
  <c r="DN15" i="24" s="1"/>
  <c r="DN65" i="11" s="1"/>
  <c r="DL61" i="24"/>
  <c r="DL14" i="24" s="1"/>
  <c r="DL15" i="24" s="1"/>
  <c r="DL65" i="11" s="1"/>
  <c r="AI60" i="24"/>
  <c r="AI61" i="24" s="1"/>
  <c r="AS117" i="19"/>
  <c r="K111" i="19"/>
  <c r="K129" i="19" s="1"/>
  <c r="AP111" i="19"/>
  <c r="AP129" i="19" s="1"/>
  <c r="EE129" i="19"/>
  <c r="AL57" i="11"/>
  <c r="AL88" i="11" s="1"/>
  <c r="DV96" i="24"/>
  <c r="AL95" i="24"/>
  <c r="FB86" i="24"/>
  <c r="AW86" i="24" s="1"/>
  <c r="AW85" i="24"/>
  <c r="L105" i="15"/>
  <c r="EL28" i="7"/>
  <c r="CM42" i="7"/>
  <c r="EG88" i="1"/>
  <c r="DA71" i="19"/>
  <c r="DD60" i="11"/>
  <c r="DD79" i="11"/>
  <c r="DD157" i="11" s="1"/>
  <c r="F110" i="1"/>
  <c r="F113" i="1" s="1"/>
  <c r="F99" i="1"/>
  <c r="AJ12" i="25" s="1"/>
  <c r="AV51" i="30"/>
  <c r="AF45" i="15"/>
  <c r="AI48" i="15"/>
  <c r="AI47" i="15"/>
  <c r="EF88" i="1"/>
  <c r="DC140" i="11"/>
  <c r="AQ61" i="19"/>
  <c r="EH259" i="19"/>
  <c r="AR43" i="15"/>
  <c r="EK13" i="1"/>
  <c r="AS61" i="19"/>
  <c r="EN259" i="19"/>
  <c r="G58" i="24"/>
  <c r="AC58" i="24"/>
  <c r="CS59" i="24"/>
  <c r="CR61" i="24"/>
  <c r="CR14" i="24" s="1"/>
  <c r="AP61" i="19"/>
  <c r="K61" i="19"/>
  <c r="K63" i="19" s="1"/>
  <c r="L58" i="19" s="1"/>
  <c r="EE259" i="19"/>
  <c r="K46" i="19"/>
  <c r="BN55" i="19"/>
  <c r="BN18" i="15"/>
  <c r="AE37" i="1"/>
  <c r="AR203" i="19"/>
  <c r="BB43" i="30"/>
  <c r="BJ43" i="30"/>
  <c r="BC43" i="30"/>
  <c r="BK43" i="30"/>
  <c r="BD43" i="30"/>
  <c r="AW43" i="30"/>
  <c r="AW51" i="30" s="1"/>
  <c r="BE43" i="30"/>
  <c r="AX43" i="30"/>
  <c r="BF43" i="30"/>
  <c r="AY43" i="30"/>
  <c r="BG43" i="30"/>
  <c r="AZ43" i="30"/>
  <c r="BH43" i="30"/>
  <c r="BA43" i="30"/>
  <c r="BI43" i="30"/>
  <c r="AM55" i="11"/>
  <c r="AM76" i="11" s="1"/>
  <c r="DV57" i="11"/>
  <c r="EW87" i="24"/>
  <c r="AU86" i="24"/>
  <c r="EM32" i="11"/>
  <c r="EM28" i="11"/>
  <c r="EN33" i="11"/>
  <c r="DB100" i="1"/>
  <c r="DB101" i="1"/>
  <c r="EE69" i="19"/>
  <c r="DX89" i="24"/>
  <c r="AM88" i="24"/>
  <c r="K191" i="19"/>
  <c r="K203" i="19" s="1"/>
  <c r="AF74" i="1"/>
  <c r="CU23" i="11"/>
  <c r="AD65" i="11"/>
  <c r="CU67" i="11"/>
  <c r="S16" i="7"/>
  <c r="BQ16" i="7"/>
  <c r="K62" i="19"/>
  <c r="AP62" i="19"/>
  <c r="EE265" i="19"/>
  <c r="DD65" i="11"/>
  <c r="CN9" i="7"/>
  <c r="AN70" i="11"/>
  <c r="AN72" i="11" s="1"/>
  <c r="AR117" i="19"/>
  <c r="EB87" i="24"/>
  <c r="AN86" i="24"/>
  <c r="J86" i="24"/>
  <c r="L85" i="24"/>
  <c r="K14" i="15"/>
  <c r="CZ14" i="25" s="1"/>
  <c r="AQ87" i="24"/>
  <c r="EI88" i="24"/>
  <c r="DE9" i="11"/>
  <c r="DF9" i="1"/>
  <c r="DE29" i="1"/>
  <c r="DE15" i="1"/>
  <c r="AA18" i="37"/>
  <c r="AA98" i="38"/>
  <c r="AA91" i="38"/>
  <c r="AA107" i="38"/>
  <c r="AA14" i="35"/>
  <c r="AA116" i="38"/>
  <c r="AA82" i="38"/>
  <c r="B44" i="30"/>
  <c r="C44" i="30"/>
  <c r="A45" i="30"/>
  <c r="EL88" i="1"/>
  <c r="EI17" i="11"/>
  <c r="EI35" i="1" s="1"/>
  <c r="AQ35" i="1" s="1"/>
  <c r="EI29" i="11"/>
  <c r="EI30" i="11" s="1"/>
  <c r="DC45" i="11"/>
  <c r="AF40" i="11"/>
  <c r="AF45" i="11" s="1"/>
  <c r="EE87" i="24"/>
  <c r="AO86" i="24"/>
  <c r="K47" i="19"/>
  <c r="L42" i="19" s="1"/>
  <c r="CV23" i="11"/>
  <c r="CV46" i="1" s="1"/>
  <c r="CV67" i="11"/>
  <c r="CV20" i="11" s="1"/>
  <c r="DP65" i="11"/>
  <c r="DH23" i="11"/>
  <c r="DH46" i="1" s="1"/>
  <c r="AD15" i="24"/>
  <c r="EO13" i="1"/>
  <c r="DB23" i="11"/>
  <c r="DB46" i="1" s="1"/>
  <c r="DB67" i="11"/>
  <c r="DB20" i="11" s="1"/>
  <c r="EP88" i="1"/>
  <c r="DF60" i="24"/>
  <c r="H60" i="24" s="1"/>
  <c r="H61" i="24" s="1"/>
  <c r="H14" i="24" s="1"/>
  <c r="H16" i="24" s="1"/>
  <c r="AG59" i="24"/>
  <c r="DE61" i="24"/>
  <c r="DE14" i="24" s="1"/>
  <c r="DE15" i="24" s="1"/>
  <c r="DE65" i="11" s="1"/>
  <c r="AP203" i="19"/>
  <c r="EK70" i="19"/>
  <c r="AR70" i="19" s="1"/>
  <c r="CH63" i="1"/>
  <c r="CH68" i="1" s="1"/>
  <c r="AK59" i="2"/>
  <c r="AP13" i="1"/>
  <c r="EE88" i="1"/>
  <c r="EF129" i="19"/>
  <c r="AA124" i="26" l="1"/>
  <c r="AA123" i="26"/>
  <c r="Y37" i="29"/>
  <c r="AQ56" i="1"/>
  <c r="AQ40" i="1"/>
  <c r="AP259" i="19"/>
  <c r="K259" i="19"/>
  <c r="EE277" i="19"/>
  <c r="AR259" i="19"/>
  <c r="EK277" i="19"/>
  <c r="DE134" i="11"/>
  <c r="DE161" i="11" s="1"/>
  <c r="DE125" i="1" s="1"/>
  <c r="DE123" i="11"/>
  <c r="EO88" i="1"/>
  <c r="EN28" i="11"/>
  <c r="EN32" i="11"/>
  <c r="EN158" i="11" s="1"/>
  <c r="EN122" i="1" s="1"/>
  <c r="EO33" i="11"/>
  <c r="BQ14" i="7"/>
  <c r="S14" i="7"/>
  <c r="AR13" i="1"/>
  <c r="EK88" i="1"/>
  <c r="AM96" i="24"/>
  <c r="DW97" i="24"/>
  <c r="DL23" i="11"/>
  <c r="DL46" i="1" s="1"/>
  <c r="L29" i="15"/>
  <c r="DT7" i="25"/>
  <c r="DT8" i="25" s="1"/>
  <c r="BX110" i="1"/>
  <c r="BX99" i="1"/>
  <c r="AI15" i="24"/>
  <c r="AS44" i="15"/>
  <c r="EN13" i="1"/>
  <c r="K44" i="15"/>
  <c r="DZ74" i="11"/>
  <c r="DZ155" i="11" s="1"/>
  <c r="DZ55" i="11"/>
  <c r="DZ77" i="11"/>
  <c r="ER122" i="24"/>
  <c r="AE145" i="11"/>
  <c r="EV31" i="7" s="1"/>
  <c r="EV10" i="7"/>
  <c r="AE132" i="11"/>
  <c r="DE106" i="11"/>
  <c r="DE160" i="11" s="1"/>
  <c r="DE124" i="1" s="1"/>
  <c r="DE112" i="11"/>
  <c r="DE97" i="11"/>
  <c r="DC33" i="1"/>
  <c r="DC55" i="1"/>
  <c r="DC39" i="1"/>
  <c r="AF34" i="1"/>
  <c r="DC129" i="11"/>
  <c r="DC139" i="11"/>
  <c r="AF140" i="11"/>
  <c r="EW26" i="7" s="1"/>
  <c r="DD124" i="11"/>
  <c r="BO48" i="15"/>
  <c r="BO47" i="15"/>
  <c r="EM17" i="11"/>
  <c r="EM35" i="1" s="1"/>
  <c r="EM29" i="11"/>
  <c r="EM30" i="11" s="1"/>
  <c r="DN23" i="11"/>
  <c r="DN46" i="1" s="1"/>
  <c r="EL17" i="11"/>
  <c r="EL35" i="1" s="1"/>
  <c r="EL29" i="11"/>
  <c r="EL30" i="11" s="1"/>
  <c r="AR28" i="11"/>
  <c r="DM23" i="11"/>
  <c r="AH11" i="35"/>
  <c r="AK10" i="35"/>
  <c r="Y73" i="38"/>
  <c r="Y19" i="35"/>
  <c r="Y21" i="35" s="1"/>
  <c r="Y23" i="35" s="1"/>
  <c r="DA46" i="1"/>
  <c r="DE60" i="11"/>
  <c r="DE79" i="11"/>
  <c r="DE157" i="11" s="1"/>
  <c r="DC83" i="1"/>
  <c r="AF44" i="1"/>
  <c r="DA20" i="11"/>
  <c r="AN69" i="11"/>
  <c r="AN156" i="11" s="1"/>
  <c r="EA156" i="11"/>
  <c r="EA120" i="1" s="1"/>
  <c r="AN120" i="1" s="1"/>
  <c r="CV19" i="11"/>
  <c r="CV43" i="1"/>
  <c r="AR32" i="11"/>
  <c r="AR158" i="11" s="1"/>
  <c r="EM158" i="11"/>
  <c r="EM122" i="1" s="1"/>
  <c r="AR122" i="1" s="1"/>
  <c r="AC59" i="24"/>
  <c r="CT60" i="24"/>
  <c r="G59" i="24"/>
  <c r="CS61" i="24"/>
  <c r="CS14" i="24" s="1"/>
  <c r="DD121" i="1"/>
  <c r="ER105" i="15"/>
  <c r="EZ105" i="15"/>
  <c r="ES105" i="15"/>
  <c r="FA105" i="15"/>
  <c r="ET105" i="15"/>
  <c r="FB105" i="15"/>
  <c r="EU105" i="15"/>
  <c r="EV105" i="15"/>
  <c r="EW105" i="15"/>
  <c r="EX105" i="15"/>
  <c r="EQ105" i="15"/>
  <c r="EY105" i="15"/>
  <c r="DB47" i="15"/>
  <c r="DB48" i="15"/>
  <c r="AS62" i="19"/>
  <c r="EN265" i="19"/>
  <c r="EN70" i="19"/>
  <c r="CI13" i="29"/>
  <c r="CJ9" i="29" s="1"/>
  <c r="CI30" i="29"/>
  <c r="Z9" i="29"/>
  <c r="AL96" i="24"/>
  <c r="DT97" i="24"/>
  <c r="DW119" i="1"/>
  <c r="AR129" i="19"/>
  <c r="DI65" i="11"/>
  <c r="AH15" i="24"/>
  <c r="X73" i="38"/>
  <c r="X19" i="35"/>
  <c r="DQ23" i="11"/>
  <c r="DQ46" i="1" s="1"/>
  <c r="CN44" i="7"/>
  <c r="Z19" i="35"/>
  <c r="Z21" i="35" s="1"/>
  <c r="Z23" i="35" s="1"/>
  <c r="Z73" i="38"/>
  <c r="CC16" i="7"/>
  <c r="CC17" i="7" s="1"/>
  <c r="CN37" i="7"/>
  <c r="DB55" i="19"/>
  <c r="DC18" i="15"/>
  <c r="DA132" i="11"/>
  <c r="DA22" i="11" s="1"/>
  <c r="AS87" i="24"/>
  <c r="EO88" i="24"/>
  <c r="B45" i="30"/>
  <c r="F45" i="30" s="1"/>
  <c r="C45" i="30"/>
  <c r="A46" i="30"/>
  <c r="AD67" i="11"/>
  <c r="AD92" i="11" s="1"/>
  <c r="CU20" i="11"/>
  <c r="CI63" i="1"/>
  <c r="AL59" i="2"/>
  <c r="DF61" i="24"/>
  <c r="DF14" i="24" s="1"/>
  <c r="DF15" i="24" s="1"/>
  <c r="DF65" i="11" s="1"/>
  <c r="AG60" i="24"/>
  <c r="AG61" i="24" s="1"/>
  <c r="DB19" i="11"/>
  <c r="DB43" i="1"/>
  <c r="CV92" i="11"/>
  <c r="AO87" i="24"/>
  <c r="EC88" i="24"/>
  <c r="J87" i="24"/>
  <c r="K265" i="19"/>
  <c r="AP265" i="19"/>
  <c r="CU92" i="11"/>
  <c r="BN50" i="19"/>
  <c r="S50" i="19" s="1"/>
  <c r="S55" i="19" s="1"/>
  <c r="S18" i="15"/>
  <c r="BM23" i="15"/>
  <c r="BN25" i="15"/>
  <c r="BN26" i="15"/>
  <c r="BN91" i="15"/>
  <c r="AQ259" i="19"/>
  <c r="AQ277" i="19" s="1"/>
  <c r="EH277" i="19"/>
  <c r="DD61" i="11"/>
  <c r="DD62" i="11"/>
  <c r="DD67" i="11"/>
  <c r="AJ60" i="24"/>
  <c r="AJ61" i="24" s="1"/>
  <c r="DO61" i="24"/>
  <c r="DO14" i="24" s="1"/>
  <c r="DO15" i="24" s="1"/>
  <c r="DO65" i="11" s="1"/>
  <c r="DB47" i="19"/>
  <c r="DB71" i="19" s="1"/>
  <c r="DC7" i="15"/>
  <c r="DB45" i="15"/>
  <c r="AI65" i="11"/>
  <c r="EL88" i="24"/>
  <c r="AR87" i="24"/>
  <c r="AQ265" i="19"/>
  <c r="EA75" i="11"/>
  <c r="AN75" i="11" s="1"/>
  <c r="AN77" i="11" s="1"/>
  <c r="CY23" i="11"/>
  <c r="CY46" i="1" s="1"/>
  <c r="CY67" i="11"/>
  <c r="CY20" i="11" s="1"/>
  <c r="BN47" i="19"/>
  <c r="BN71" i="19" s="1"/>
  <c r="BN7" i="15"/>
  <c r="BN45" i="15"/>
  <c r="EB69" i="11"/>
  <c r="EB156" i="11" s="1"/>
  <c r="EB120" i="1" s="1"/>
  <c r="EB51" i="11"/>
  <c r="EB72" i="11"/>
  <c r="EC70" i="11"/>
  <c r="DS102" i="24"/>
  <c r="AK101" i="24"/>
  <c r="AK126" i="24" s="1"/>
  <c r="I101" i="24"/>
  <c r="DR126" i="24"/>
  <c r="DR14" i="24" s="1"/>
  <c r="DR15" i="24" s="1"/>
  <c r="DV90" i="24"/>
  <c r="AL89" i="24"/>
  <c r="CZ45" i="1"/>
  <c r="AE22" i="11"/>
  <c r="DS90" i="24"/>
  <c r="AK89" i="24"/>
  <c r="I89" i="24"/>
  <c r="K87" i="24"/>
  <c r="EF88" i="24"/>
  <c r="AP87" i="24"/>
  <c r="DF14" i="1"/>
  <c r="DF10" i="11" s="1"/>
  <c r="DF97" i="1"/>
  <c r="DF98" i="1"/>
  <c r="DE23" i="11"/>
  <c r="DE46" i="1" s="1"/>
  <c r="DD23" i="11"/>
  <c r="AG65" i="11"/>
  <c r="DD92" i="11"/>
  <c r="F44" i="30"/>
  <c r="AP88" i="1"/>
  <c r="DB92" i="11"/>
  <c r="DP23" i="11"/>
  <c r="EI56" i="1"/>
  <c r="EI40" i="1"/>
  <c r="AD23" i="11"/>
  <c r="CU46" i="1"/>
  <c r="DY90" i="24"/>
  <c r="AM89" i="24"/>
  <c r="EX88" i="24"/>
  <c r="AV87" i="24"/>
  <c r="EC8" i="7"/>
  <c r="EC7" i="7"/>
  <c r="CX23" i="11"/>
  <c r="CX67" i="11"/>
  <c r="CX92" i="11" s="1"/>
  <c r="DD101" i="11"/>
  <c r="DD111" i="11"/>
  <c r="DD159" i="11" s="1"/>
  <c r="DD123" i="1" s="1"/>
  <c r="DB66" i="19"/>
  <c r="DB63" i="19"/>
  <c r="DC29" i="15"/>
  <c r="EJ277" i="19"/>
  <c r="Y38" i="29"/>
  <c r="AB110" i="26" s="1"/>
  <c r="AB112" i="26" s="1"/>
  <c r="F38" i="29"/>
  <c r="F40" i="29" s="1"/>
  <c r="F43" i="29" s="1"/>
  <c r="EJ88" i="1"/>
  <c r="DC65" i="11"/>
  <c r="AF15" i="24"/>
  <c r="AS129" i="19"/>
  <c r="DW57" i="11"/>
  <c r="AM57" i="11" s="1"/>
  <c r="AM88" i="11" s="1"/>
  <c r="CW23" i="11"/>
  <c r="CW46" i="1" s="1"/>
  <c r="CW92" i="11"/>
  <c r="CW67" i="11"/>
  <c r="CW20" i="11" s="1"/>
  <c r="AA19" i="35"/>
  <c r="AA21" i="35" s="1"/>
  <c r="AA73" i="38"/>
  <c r="BN58" i="19"/>
  <c r="S58" i="19" s="1"/>
  <c r="S63" i="19" s="1"/>
  <c r="S29" i="15"/>
  <c r="BM34" i="15"/>
  <c r="BN92" i="15"/>
  <c r="BN36" i="15"/>
  <c r="BN37" i="15"/>
  <c r="DG46" i="1"/>
  <c r="EB90" i="24"/>
  <c r="AN89" i="24"/>
  <c r="AR265" i="19"/>
  <c r="DC46" i="11"/>
  <c r="AF42" i="11"/>
  <c r="AF46" i="11" s="1"/>
  <c r="DE38" i="11"/>
  <c r="DE28" i="1"/>
  <c r="AT87" i="24"/>
  <c r="ER88" i="24"/>
  <c r="DB54" i="1"/>
  <c r="AA15" i="35"/>
  <c r="AH14" i="35"/>
  <c r="AH15" i="35" s="1"/>
  <c r="EJ89" i="24"/>
  <c r="AQ88" i="24"/>
  <c r="K69" i="19"/>
  <c r="AP69" i="19"/>
  <c r="AS259" i="19"/>
  <c r="EN277" i="19"/>
  <c r="EZ87" i="24"/>
  <c r="AV86" i="24"/>
  <c r="DD98" i="11"/>
  <c r="BQ15" i="7"/>
  <c r="S15" i="7"/>
  <c r="Y40" i="29"/>
  <c r="Y43" i="29" s="1"/>
  <c r="AI23" i="11"/>
  <c r="DJ46" i="1"/>
  <c r="AQ117" i="19"/>
  <c r="AQ129" i="19" s="1"/>
  <c r="AE60" i="24"/>
  <c r="AE61" i="24" s="1"/>
  <c r="CZ61" i="24"/>
  <c r="CZ14" i="24" s="1"/>
  <c r="CZ15" i="24" s="1"/>
  <c r="H15" i="24" s="1"/>
  <c r="AQ88" i="1"/>
  <c r="DW103" i="24"/>
  <c r="AM102" i="24"/>
  <c r="EU88" i="24"/>
  <c r="AU87" i="24"/>
  <c r="EA52" i="11"/>
  <c r="AN52" i="11" s="1"/>
  <c r="AN87" i="11" s="1"/>
  <c r="L99" i="15"/>
  <c r="AA126" i="26" l="1"/>
  <c r="AA164" i="26"/>
  <c r="AA163" i="26" s="1"/>
  <c r="AB120" i="26"/>
  <c r="AB97" i="26"/>
  <c r="AB87" i="26" s="1"/>
  <c r="I87" i="26" s="1"/>
  <c r="I218" i="26" s="1"/>
  <c r="DF80" i="11"/>
  <c r="DF107" i="11"/>
  <c r="DF135" i="11"/>
  <c r="H10" i="11"/>
  <c r="AG10" i="11"/>
  <c r="DR65" i="11"/>
  <c r="AK15" i="24"/>
  <c r="BM55" i="19"/>
  <c r="BM18" i="15"/>
  <c r="DC50" i="19"/>
  <c r="DC23" i="15"/>
  <c r="DC91" i="15"/>
  <c r="DC25" i="15"/>
  <c r="DC26" i="15"/>
  <c r="Z30" i="29"/>
  <c r="CI34" i="29"/>
  <c r="CI37" i="29" s="1"/>
  <c r="CV57" i="1"/>
  <c r="CV42" i="1"/>
  <c r="CV82" i="1"/>
  <c r="CV85" i="1"/>
  <c r="AW87" i="24"/>
  <c r="FA88" i="24"/>
  <c r="ES89" i="24"/>
  <c r="L88" i="24"/>
  <c r="AT88" i="24"/>
  <c r="ES99" i="15"/>
  <c r="FA99" i="15"/>
  <c r="EQ99" i="15"/>
  <c r="EZ99" i="15"/>
  <c r="ER99" i="15"/>
  <c r="FB99" i="15"/>
  <c r="ET99" i="15"/>
  <c r="EU99" i="15"/>
  <c r="EV99" i="15"/>
  <c r="EW99" i="15"/>
  <c r="EX99" i="15"/>
  <c r="EY99" i="15"/>
  <c r="AN90" i="24"/>
  <c r="DZ91" i="24"/>
  <c r="AG15" i="24"/>
  <c r="DW91" i="24"/>
  <c r="AM90" i="24"/>
  <c r="CY92" i="11"/>
  <c r="DC42" i="19"/>
  <c r="DC66" i="19" s="1"/>
  <c r="DC40" i="15"/>
  <c r="DC12" i="15"/>
  <c r="DC90" i="15"/>
  <c r="DC14" i="15"/>
  <c r="DC15" i="15"/>
  <c r="AD20" i="11"/>
  <c r="AD19" i="11" s="1"/>
  <c r="CU19" i="11"/>
  <c r="CU43" i="1"/>
  <c r="Z24" i="35"/>
  <c r="Z39" i="35"/>
  <c r="Z13" i="29"/>
  <c r="AC14" i="29"/>
  <c r="FB103" i="15"/>
  <c r="FB21" i="15" s="1"/>
  <c r="AR34" i="11"/>
  <c r="AR17" i="11"/>
  <c r="AR29" i="11"/>
  <c r="AR30" i="11" s="1"/>
  <c r="DC130" i="11"/>
  <c r="AF130" i="11" s="1"/>
  <c r="AF129" i="11"/>
  <c r="EV17" i="7"/>
  <c r="EV18" i="7"/>
  <c r="DX98" i="24"/>
  <c r="AM97" i="24"/>
  <c r="DE124" i="11"/>
  <c r="AX44" i="30"/>
  <c r="AX51" i="30" s="1"/>
  <c r="BF44" i="30"/>
  <c r="AY44" i="30"/>
  <c r="BG44" i="30"/>
  <c r="AZ44" i="30"/>
  <c r="BH44" i="30"/>
  <c r="BA44" i="30"/>
  <c r="BI44" i="30"/>
  <c r="BB44" i="30"/>
  <c r="BJ44" i="30"/>
  <c r="BC44" i="30"/>
  <c r="BK44" i="30"/>
  <c r="BD44" i="30"/>
  <c r="BL44" i="30"/>
  <c r="BE44" i="30"/>
  <c r="CX46" i="1"/>
  <c r="I126" i="24"/>
  <c r="I14" i="24" s="1"/>
  <c r="I16" i="24" s="1"/>
  <c r="EA74" i="11"/>
  <c r="EA55" i="11"/>
  <c r="EA77" i="11"/>
  <c r="EB75" i="11"/>
  <c r="EM89" i="24"/>
  <c r="AR88" i="24"/>
  <c r="DO23" i="11"/>
  <c r="DO46" i="1" s="1"/>
  <c r="S23" i="15"/>
  <c r="V25" i="15"/>
  <c r="S91" i="15"/>
  <c r="V26" i="15"/>
  <c r="DF23" i="11"/>
  <c r="DF46" i="1" s="1"/>
  <c r="A47" i="30"/>
  <c r="B46" i="30"/>
  <c r="C46" i="30"/>
  <c r="X30" i="38"/>
  <c r="X74" i="38"/>
  <c r="CJ13" i="29"/>
  <c r="CK9" i="29" s="1"/>
  <c r="CJ30" i="29"/>
  <c r="CJ34" i="29" s="1"/>
  <c r="CJ37" i="29" s="1"/>
  <c r="CJ38" i="29" s="1"/>
  <c r="EY103" i="15"/>
  <c r="EY21" i="15" s="1"/>
  <c r="EY104" i="15"/>
  <c r="EY22" i="15" s="1"/>
  <c r="EY54" i="19" s="1"/>
  <c r="EY191" i="19" s="1"/>
  <c r="FA104" i="15"/>
  <c r="FA22" i="15" s="1"/>
  <c r="FA54" i="19" s="1"/>
  <c r="FA191" i="19" s="1"/>
  <c r="FA103" i="15"/>
  <c r="FA21" i="15" s="1"/>
  <c r="Y30" i="38"/>
  <c r="Y74" i="38"/>
  <c r="EL56" i="1"/>
  <c r="EL40" i="1"/>
  <c r="AR35" i="1"/>
  <c r="DZ57" i="11"/>
  <c r="AN55" i="11"/>
  <c r="AN76" i="11" s="1"/>
  <c r="AR88" i="1"/>
  <c r="AD46" i="1"/>
  <c r="CU54" i="1"/>
  <c r="EO28" i="11"/>
  <c r="EO32" i="11"/>
  <c r="EO158" i="11" s="1"/>
  <c r="EO122" i="1" s="1"/>
  <c r="EP33" i="11"/>
  <c r="EK90" i="24"/>
  <c r="AQ89" i="24"/>
  <c r="DP46" i="1"/>
  <c r="I15" i="24"/>
  <c r="DU98" i="24"/>
  <c r="AL97" i="24"/>
  <c r="EQ103" i="15"/>
  <c r="EQ104" i="15" s="1"/>
  <c r="ES103" i="15"/>
  <c r="ES21" i="15" s="1"/>
  <c r="DZ119" i="1"/>
  <c r="BY106" i="1"/>
  <c r="BX113" i="1"/>
  <c r="K277" i="19"/>
  <c r="ET103" i="15"/>
  <c r="AG23" i="11"/>
  <c r="DD46" i="1"/>
  <c r="EG89" i="24"/>
  <c r="AP88" i="24"/>
  <c r="K88" i="24"/>
  <c r="CZ84" i="1"/>
  <c r="AE45" i="1"/>
  <c r="DT103" i="24"/>
  <c r="AL102" i="24"/>
  <c r="DS126" i="24"/>
  <c r="DS14" i="24" s="1"/>
  <c r="DS15" i="24" s="1"/>
  <c r="BN42" i="19"/>
  <c r="BN15" i="15"/>
  <c r="S7" i="15"/>
  <c r="BN14" i="15"/>
  <c r="BM12" i="15"/>
  <c r="BN90" i="15"/>
  <c r="BN40" i="15"/>
  <c r="DD20" i="11"/>
  <c r="ED89" i="24"/>
  <c r="AO88" i="24"/>
  <c r="J88" i="24"/>
  <c r="BB45" i="30"/>
  <c r="BJ45" i="30"/>
  <c r="BC45" i="30"/>
  <c r="BK45" i="30"/>
  <c r="BD45" i="30"/>
  <c r="BL45" i="30"/>
  <c r="BE45" i="30"/>
  <c r="BM45" i="30"/>
  <c r="BF45" i="30"/>
  <c r="AY45" i="30"/>
  <c r="BG45" i="30"/>
  <c r="AZ45" i="30"/>
  <c r="BH45" i="30"/>
  <c r="BA45" i="30"/>
  <c r="BI45" i="30"/>
  <c r="AJ15" i="24"/>
  <c r="EX104" i="15"/>
  <c r="EX22" i="15" s="1"/>
  <c r="EX54" i="19" s="1"/>
  <c r="EX191" i="19" s="1"/>
  <c r="EX103" i="15"/>
  <c r="EX21" i="15" s="1"/>
  <c r="EZ103" i="15"/>
  <c r="DE121" i="1"/>
  <c r="DC81" i="1"/>
  <c r="DC37" i="1"/>
  <c r="DC38" i="1"/>
  <c r="AF33" i="1"/>
  <c r="ES123" i="24"/>
  <c r="ET124" i="24" s="1"/>
  <c r="K47" i="15"/>
  <c r="ED14" i="25" s="1"/>
  <c r="K48" i="15"/>
  <c r="ED15" i="25" s="1"/>
  <c r="K45" i="15"/>
  <c r="EN17" i="11"/>
  <c r="EN35" i="1" s="1"/>
  <c r="EN29" i="11"/>
  <c r="EN30" i="11" s="1"/>
  <c r="DE39" i="11"/>
  <c r="DC58" i="19"/>
  <c r="DC34" i="15"/>
  <c r="DC92" i="15"/>
  <c r="DC36" i="15"/>
  <c r="DC37" i="15"/>
  <c r="X21" i="35"/>
  <c r="X23" i="35" s="1"/>
  <c r="AH19" i="35"/>
  <c r="L87" i="24"/>
  <c r="AL90" i="24"/>
  <c r="J90" i="24"/>
  <c r="DT91" i="24"/>
  <c r="EC69" i="11"/>
  <c r="EC156" i="11" s="1"/>
  <c r="EC120" i="1" s="1"/>
  <c r="EC51" i="11"/>
  <c r="EC72" i="11"/>
  <c r="ED70" i="11"/>
  <c r="EP89" i="24"/>
  <c r="AS88" i="24"/>
  <c r="DI23" i="11"/>
  <c r="I65" i="11"/>
  <c r="AH65" i="11"/>
  <c r="AS70" i="19"/>
  <c r="K70" i="19"/>
  <c r="K71" i="19" s="1"/>
  <c r="L66" i="19" s="1"/>
  <c r="EW103" i="15"/>
  <c r="EW104" i="15" s="1"/>
  <c r="ER103" i="15"/>
  <c r="ER21" i="15" s="1"/>
  <c r="G60" i="24"/>
  <c r="G61" i="24" s="1"/>
  <c r="G14" i="24" s="1"/>
  <c r="G16" i="24" s="1"/>
  <c r="AC60" i="24"/>
  <c r="AC61" i="24" s="1"/>
  <c r="CT61" i="24"/>
  <c r="CT14" i="24" s="1"/>
  <c r="DE61" i="11"/>
  <c r="DE67" i="11" s="1"/>
  <c r="DE62" i="11"/>
  <c r="DE40" i="11" s="1"/>
  <c r="DE45" i="11" s="1"/>
  <c r="AJ65" i="11"/>
  <c r="DE104" i="11"/>
  <c r="DE21" i="11" s="1"/>
  <c r="DE44" i="1" s="1"/>
  <c r="DE83" i="1" s="1"/>
  <c r="DE98" i="11"/>
  <c r="L111" i="15"/>
  <c r="AP277" i="19"/>
  <c r="AI46" i="1"/>
  <c r="BM63" i="19"/>
  <c r="BM29" i="15"/>
  <c r="DF9" i="11"/>
  <c r="DG9" i="1"/>
  <c r="DF15" i="1"/>
  <c r="DF29" i="1"/>
  <c r="S34" i="15"/>
  <c r="V37" i="15"/>
  <c r="V36" i="15"/>
  <c r="S92" i="15"/>
  <c r="EV89" i="24"/>
  <c r="AU88" i="24"/>
  <c r="AH16" i="35"/>
  <c r="AA36" i="34"/>
  <c r="AA37" i="34" s="1"/>
  <c r="AH30" i="35"/>
  <c r="AK15" i="35"/>
  <c r="AH28" i="35"/>
  <c r="AH34" i="35"/>
  <c r="AH32" i="35"/>
  <c r="AA74" i="38"/>
  <c r="AA30" i="38"/>
  <c r="AA23" i="35"/>
  <c r="AA16" i="35"/>
  <c r="AA30" i="35"/>
  <c r="AA28" i="35"/>
  <c r="AA34" i="35"/>
  <c r="AA32" i="35"/>
  <c r="DX104" i="24"/>
  <c r="AM103" i="24"/>
  <c r="CW19" i="11"/>
  <c r="CW43" i="1"/>
  <c r="CW54" i="1" s="1"/>
  <c r="DC23" i="11"/>
  <c r="DC67" i="11"/>
  <c r="AF65" i="11"/>
  <c r="DD102" i="11"/>
  <c r="EY89" i="24"/>
  <c r="AV88" i="24"/>
  <c r="DD40" i="11"/>
  <c r="Z63" i="1"/>
  <c r="Z68" i="1" s="1"/>
  <c r="CI68" i="1"/>
  <c r="G63" i="1"/>
  <c r="G68" i="1" s="1"/>
  <c r="AS265" i="19"/>
  <c r="AS277" i="19" s="1"/>
  <c r="EV103" i="15"/>
  <c r="EV21" i="15" s="1"/>
  <c r="DA19" i="11"/>
  <c r="DA43" i="1"/>
  <c r="DE101" i="11"/>
  <c r="DE102" i="11" s="1"/>
  <c r="DE111" i="11"/>
  <c r="DE159" i="11" s="1"/>
  <c r="DE123" i="1" s="1"/>
  <c r="AR277" i="19"/>
  <c r="Y39" i="35"/>
  <c r="Y24" i="35"/>
  <c r="AF55" i="1"/>
  <c r="T11" i="7"/>
  <c r="BR11" i="7"/>
  <c r="AF39" i="1"/>
  <c r="CZ65" i="11"/>
  <c r="AE15" i="24"/>
  <c r="AO90" i="24"/>
  <c r="EC91" i="24"/>
  <c r="DE64" i="1"/>
  <c r="CX20" i="11"/>
  <c r="CV54" i="1"/>
  <c r="EB52" i="11"/>
  <c r="CY19" i="11"/>
  <c r="CY43" i="1"/>
  <c r="DB42" i="1"/>
  <c r="DB85" i="1"/>
  <c r="DB82" i="1"/>
  <c r="DB57" i="1"/>
  <c r="DA45" i="1"/>
  <c r="Z74" i="38"/>
  <c r="Z30" i="38"/>
  <c r="EU103" i="15"/>
  <c r="EU21" i="15" s="1"/>
  <c r="DD140" i="11"/>
  <c r="AX10" i="7"/>
  <c r="AX11" i="7" s="1"/>
  <c r="AF83" i="1"/>
  <c r="BR21" i="7"/>
  <c r="AJ23" i="11"/>
  <c r="DM46" i="1"/>
  <c r="EM56" i="1"/>
  <c r="EM40" i="1"/>
  <c r="AF139" i="11"/>
  <c r="DC162" i="11"/>
  <c r="AS13" i="1"/>
  <c r="EN88" i="1"/>
  <c r="K13" i="1"/>
  <c r="AB121" i="26" l="1"/>
  <c r="AB100" i="26"/>
  <c r="AB101" i="26" s="1"/>
  <c r="EW22" i="15"/>
  <c r="AV104" i="15"/>
  <c r="DE20" i="11"/>
  <c r="DE92" i="11"/>
  <c r="EQ22" i="15"/>
  <c r="BB10" i="7"/>
  <c r="O44" i="25"/>
  <c r="BB7" i="7"/>
  <c r="O44" i="7"/>
  <c r="AF162" i="11"/>
  <c r="EW25" i="7"/>
  <c r="AF142" i="11"/>
  <c r="EW28" i="7" s="1"/>
  <c r="Z36" i="38"/>
  <c r="Z13" i="38"/>
  <c r="Z19" i="38" s="1"/>
  <c r="DB48" i="1"/>
  <c r="DB65" i="1"/>
  <c r="DB71" i="1" s="1"/>
  <c r="EV104" i="15"/>
  <c r="EV22" i="15" s="1"/>
  <c r="EV54" i="19" s="1"/>
  <c r="EV191" i="19" s="1"/>
  <c r="CJ63" i="1"/>
  <c r="CJ68" i="1" s="1"/>
  <c r="AM59" i="2"/>
  <c r="EZ90" i="24"/>
  <c r="AV89" i="24"/>
  <c r="AA24" i="35"/>
  <c r="AA39" i="35"/>
  <c r="BM47" i="19"/>
  <c r="BM71" i="19" s="1"/>
  <c r="BM7" i="15"/>
  <c r="BM45" i="15"/>
  <c r="AR90" i="24"/>
  <c r="EL91" i="24"/>
  <c r="CK13" i="29"/>
  <c r="CL9" i="29" s="1"/>
  <c r="CK30" i="29"/>
  <c r="CK34" i="29" s="1"/>
  <c r="CK37" i="29" s="1"/>
  <c r="CK38" i="29" s="1"/>
  <c r="EN90" i="24"/>
  <c r="AR89" i="24"/>
  <c r="AD43" i="1"/>
  <c r="CU57" i="1"/>
  <c r="CU42" i="1"/>
  <c r="CU82" i="1"/>
  <c r="CU85" i="1"/>
  <c r="CY94" i="1"/>
  <c r="CX94" i="1"/>
  <c r="CZ94" i="1"/>
  <c r="CX92" i="1"/>
  <c r="CZ92" i="1"/>
  <c r="CZ93" i="1" s="1"/>
  <c r="DC47" i="15"/>
  <c r="DC48" i="15"/>
  <c r="EX97" i="15"/>
  <c r="EX10" i="15" s="1"/>
  <c r="EQ97" i="15"/>
  <c r="CY92" i="1"/>
  <c r="CY93" i="1" s="1"/>
  <c r="DR23" i="11"/>
  <c r="AK65" i="11"/>
  <c r="AT103" i="15"/>
  <c r="EQ21" i="15"/>
  <c r="L103" i="15"/>
  <c r="EB74" i="11"/>
  <c r="EB155" i="11" s="1"/>
  <c r="EB55" i="11"/>
  <c r="EB77" i="11"/>
  <c r="EC75" i="11"/>
  <c r="CY42" i="1"/>
  <c r="CY57" i="1"/>
  <c r="CY82" i="1"/>
  <c r="CY85" i="1"/>
  <c r="DY105" i="24"/>
  <c r="AM104" i="24"/>
  <c r="DC63" i="19"/>
  <c r="DD29" i="15"/>
  <c r="EN56" i="1"/>
  <c r="EN40" i="1"/>
  <c r="EU125" i="24"/>
  <c r="S12" i="15"/>
  <c r="V14" i="15"/>
  <c r="S90" i="15"/>
  <c r="V15" i="15"/>
  <c r="ET21" i="15"/>
  <c r="AU103" i="15"/>
  <c r="Y36" i="38"/>
  <c r="Y13" i="38"/>
  <c r="Y19" i="38" s="1"/>
  <c r="X13" i="38"/>
  <c r="X19" i="38" s="1"/>
  <c r="AH30" i="38"/>
  <c r="X36" i="38"/>
  <c r="DY99" i="24"/>
  <c r="AM98" i="24"/>
  <c r="FB53" i="19"/>
  <c r="FB185" i="19" s="1"/>
  <c r="EV97" i="15"/>
  <c r="EV10" i="15" s="1"/>
  <c r="ES97" i="15"/>
  <c r="ES10" i="15" s="1"/>
  <c r="ES98" i="15"/>
  <c r="ES11" i="15" s="1"/>
  <c r="CZ23" i="11"/>
  <c r="CZ92" i="11"/>
  <c r="CZ67" i="11"/>
  <c r="H65" i="11"/>
  <c r="AE65" i="11"/>
  <c r="AA13" i="38"/>
  <c r="AA19" i="38" s="1"/>
  <c r="AA36" i="38"/>
  <c r="DF38" i="11"/>
  <c r="DF28" i="1"/>
  <c r="AG29" i="1"/>
  <c r="ER53" i="19"/>
  <c r="ER185" i="19" s="1"/>
  <c r="DU92" i="24"/>
  <c r="J91" i="24"/>
  <c r="AL91" i="24"/>
  <c r="J8" i="8"/>
  <c r="J40" i="8" s="1"/>
  <c r="AO7" i="25"/>
  <c r="AO8" i="25" s="1"/>
  <c r="K98" i="1"/>
  <c r="AO11" i="25" s="1"/>
  <c r="K14" i="1"/>
  <c r="K97" i="1"/>
  <c r="AO10" i="25" s="1"/>
  <c r="DA84" i="1"/>
  <c r="BR16" i="7"/>
  <c r="T16" i="7"/>
  <c r="ER104" i="15"/>
  <c r="ER22" i="15" s="1"/>
  <c r="ER54" i="19" s="1"/>
  <c r="ER191" i="19" s="1"/>
  <c r="DI46" i="1"/>
  <c r="I23" i="11"/>
  <c r="AH23" i="11"/>
  <c r="AS88" i="1"/>
  <c r="K88" i="1"/>
  <c r="AJ46" i="1"/>
  <c r="DD129" i="11"/>
  <c r="DD139" i="11"/>
  <c r="DD162" i="11" s="1"/>
  <c r="DD45" i="11"/>
  <c r="DD41" i="11"/>
  <c r="AF92" i="11"/>
  <c r="AF81" i="1"/>
  <c r="BR10" i="7"/>
  <c r="T10" i="7"/>
  <c r="AF38" i="1"/>
  <c r="DE140" i="11"/>
  <c r="EE90" i="24"/>
  <c r="AO89" i="24"/>
  <c r="J89" i="24"/>
  <c r="ET104" i="15"/>
  <c r="EO17" i="11"/>
  <c r="EO35" i="1" s="1"/>
  <c r="EO29" i="11"/>
  <c r="EO30" i="11" s="1"/>
  <c r="FA53" i="19"/>
  <c r="FA185" i="19" s="1"/>
  <c r="EA57" i="11"/>
  <c r="FB104" i="15"/>
  <c r="FB22" i="15" s="1"/>
  <c r="FB54" i="19" s="1"/>
  <c r="FB191" i="19" s="1"/>
  <c r="EU97" i="15"/>
  <c r="EU10" i="15" s="1"/>
  <c r="EU98" i="15"/>
  <c r="EU11" i="15" s="1"/>
  <c r="DC55" i="19"/>
  <c r="DD18" i="15"/>
  <c r="BY110" i="1"/>
  <c r="BY99" i="1"/>
  <c r="FA97" i="15"/>
  <c r="FA10" i="15" s="1"/>
  <c r="FA98" i="15"/>
  <c r="FA11" i="15" s="1"/>
  <c r="EU53" i="19"/>
  <c r="EU185" i="19" s="1"/>
  <c r="DA42" i="1"/>
  <c r="DA85" i="1"/>
  <c r="DA82" i="1"/>
  <c r="DA57" i="1"/>
  <c r="DC20" i="11"/>
  <c r="AF67" i="11"/>
  <c r="EW90" i="24"/>
  <c r="AU89" i="24"/>
  <c r="DG14" i="1"/>
  <c r="AH9" i="1"/>
  <c r="DG97" i="1"/>
  <c r="DG98" i="1"/>
  <c r="EW21" i="15"/>
  <c r="AV103" i="15"/>
  <c r="EQ90" i="24"/>
  <c r="AS89" i="24"/>
  <c r="S42" i="19"/>
  <c r="S47" i="19" s="1"/>
  <c r="BN66" i="19"/>
  <c r="S66" i="19" s="1"/>
  <c r="S71" i="19" s="1"/>
  <c r="DV99" i="24"/>
  <c r="AL98" i="24"/>
  <c r="AN74" i="11"/>
  <c r="AN155" i="11" s="1"/>
  <c r="EA155" i="11"/>
  <c r="DX92" i="24"/>
  <c r="AM91" i="24"/>
  <c r="ET98" i="15"/>
  <c r="ET97" i="15"/>
  <c r="CV48" i="1"/>
  <c r="CV65" i="1"/>
  <c r="CV71" i="1" s="1"/>
  <c r="DF123" i="11"/>
  <c r="DF134" i="11"/>
  <c r="H135" i="11"/>
  <c r="EU21" i="25" s="1"/>
  <c r="AG135" i="11"/>
  <c r="EX21" i="7" s="1"/>
  <c r="EU104" i="15"/>
  <c r="EU22" i="15" s="1"/>
  <c r="EU54" i="19" s="1"/>
  <c r="EU191" i="19" s="1"/>
  <c r="AA41" i="34"/>
  <c r="AA43" i="34" s="1"/>
  <c r="AH21" i="35"/>
  <c r="AK19" i="35"/>
  <c r="DE41" i="11"/>
  <c r="L40" i="15"/>
  <c r="ED7" i="25"/>
  <c r="ED8" i="25" s="1"/>
  <c r="DS65" i="11"/>
  <c r="CY54" i="1"/>
  <c r="AN57" i="11"/>
  <c r="AN88" i="11" s="1"/>
  <c r="F46" i="30"/>
  <c r="AF141" i="11"/>
  <c r="EW27" i="7" s="1"/>
  <c r="EW14" i="7"/>
  <c r="FB97" i="15"/>
  <c r="FB10" i="15" s="1"/>
  <c r="ET90" i="24"/>
  <c r="L89" i="24"/>
  <c r="AT89" i="24"/>
  <c r="BM50" i="19"/>
  <c r="BM26" i="15"/>
  <c r="BM25" i="15"/>
  <c r="BL23" i="15"/>
  <c r="BM91" i="15"/>
  <c r="DF106" i="11"/>
  <c r="DF97" i="11"/>
  <c r="DF112" i="11"/>
  <c r="H107" i="11"/>
  <c r="EK19" i="25" s="1"/>
  <c r="AG107" i="11"/>
  <c r="EN19" i="7" s="1"/>
  <c r="EV53" i="19"/>
  <c r="EV185" i="19" s="1"/>
  <c r="AA38" i="34"/>
  <c r="AA45" i="34"/>
  <c r="AA52" i="34"/>
  <c r="AA50" i="34"/>
  <c r="AA54" i="34"/>
  <c r="AA56" i="34"/>
  <c r="BQ22" i="7"/>
  <c r="AE84" i="1"/>
  <c r="AW14" i="7"/>
  <c r="AW15" i="7" s="1"/>
  <c r="EW97" i="15"/>
  <c r="EZ21" i="15"/>
  <c r="AW103" i="15"/>
  <c r="BM58" i="19"/>
  <c r="BL34" i="15"/>
  <c r="BM36" i="15"/>
  <c r="BM92" i="15"/>
  <c r="BM37" i="15"/>
  <c r="EV111" i="15"/>
  <c r="EW111" i="15"/>
  <c r="EX111" i="15"/>
  <c r="EQ111" i="15"/>
  <c r="EY111" i="15"/>
  <c r="ER111" i="15"/>
  <c r="EZ111" i="15"/>
  <c r="ES111" i="15"/>
  <c r="FA111" i="15"/>
  <c r="ET111" i="15"/>
  <c r="FB111" i="15"/>
  <c r="EU111" i="15"/>
  <c r="X39" i="35"/>
  <c r="X24" i="35"/>
  <c r="AF37" i="1"/>
  <c r="EZ104" i="15"/>
  <c r="S40" i="15"/>
  <c r="BN47" i="15"/>
  <c r="BN48" i="15"/>
  <c r="EH90" i="24"/>
  <c r="K89" i="24"/>
  <c r="AP89" i="24"/>
  <c r="ES53" i="19"/>
  <c r="ES185" i="19" s="1"/>
  <c r="AR56" i="1"/>
  <c r="AR40" i="1"/>
  <c r="EY53" i="19"/>
  <c r="EY185" i="19" s="1"/>
  <c r="B47" i="30"/>
  <c r="C47" i="30"/>
  <c r="A48" i="30"/>
  <c r="AF149" i="11"/>
  <c r="EW15" i="7"/>
  <c r="Z45" i="35"/>
  <c r="Z51" i="35"/>
  <c r="Z55" i="35" s="1"/>
  <c r="Z40" i="35"/>
  <c r="EA92" i="24"/>
  <c r="AN91" i="24"/>
  <c r="ER97" i="15"/>
  <c r="ER10" i="15" s="1"/>
  <c r="FB89" i="24"/>
  <c r="AW89" i="24" s="1"/>
  <c r="AW88" i="24"/>
  <c r="CI38" i="29"/>
  <c r="DF60" i="11"/>
  <c r="DF79" i="11"/>
  <c r="H80" i="11"/>
  <c r="AG80" i="11"/>
  <c r="EP32" i="11"/>
  <c r="EP28" i="11"/>
  <c r="EQ33" i="11"/>
  <c r="ER33" i="11" s="1"/>
  <c r="DD104" i="11"/>
  <c r="DD21" i="11" s="1"/>
  <c r="DC92" i="11"/>
  <c r="ED69" i="11"/>
  <c r="ED51" i="11"/>
  <c r="ED72" i="11"/>
  <c r="EE70" i="11"/>
  <c r="EF70" i="11"/>
  <c r="EG70" i="11" s="1"/>
  <c r="AO70" i="11"/>
  <c r="AO72" i="11" s="1"/>
  <c r="DD43" i="1"/>
  <c r="ED92" i="24"/>
  <c r="AO91" i="24"/>
  <c r="DC46" i="1"/>
  <c r="AF23" i="11"/>
  <c r="DC126" i="1"/>
  <c r="AF126" i="1" s="1"/>
  <c r="AF127" i="1" s="1"/>
  <c r="DC163" i="11"/>
  <c r="DA54" i="1"/>
  <c r="CX19" i="11"/>
  <c r="CX43" i="1"/>
  <c r="Y40" i="35"/>
  <c r="Y51" i="35"/>
  <c r="Y55" i="35" s="1"/>
  <c r="Y45" i="35"/>
  <c r="BE7" i="25"/>
  <c r="BO27" i="25" s="1"/>
  <c r="BE8" i="25"/>
  <c r="CW57" i="1"/>
  <c r="CW42" i="1"/>
  <c r="CW82" i="1"/>
  <c r="CW85" i="1"/>
  <c r="EC52" i="11"/>
  <c r="J51" i="11"/>
  <c r="EX53" i="19"/>
  <c r="EX185" i="19" s="1"/>
  <c r="AY51" i="30"/>
  <c r="DU104" i="24"/>
  <c r="AL103" i="24"/>
  <c r="DT126" i="24"/>
  <c r="DT14" i="24" s="1"/>
  <c r="DT15" i="24" s="1"/>
  <c r="DT65" i="11" s="1"/>
  <c r="DD54" i="1"/>
  <c r="AG46" i="1"/>
  <c r="AS33" i="11"/>
  <c r="ES104" i="15"/>
  <c r="ES22" i="15" s="1"/>
  <c r="ES54" i="19" s="1"/>
  <c r="ES191" i="19" s="1"/>
  <c r="AD54" i="1"/>
  <c r="BP23" i="7"/>
  <c r="DC47" i="19"/>
  <c r="DC71" i="19" s="1"/>
  <c r="DD7" i="15"/>
  <c r="DC45" i="15"/>
  <c r="EY98" i="15"/>
  <c r="EY11" i="15" s="1"/>
  <c r="EY97" i="15"/>
  <c r="EY10" i="15" s="1"/>
  <c r="EZ98" i="15"/>
  <c r="EZ97" i="15"/>
  <c r="Z34" i="29"/>
  <c r="AC35" i="29"/>
  <c r="F47" i="30" l="1"/>
  <c r="AB124" i="26"/>
  <c r="AB123" i="26"/>
  <c r="EG69" i="11"/>
  <c r="EG51" i="11"/>
  <c r="EG72" i="11"/>
  <c r="EH70" i="11"/>
  <c r="AO52" i="11"/>
  <c r="AO87" i="11" s="1"/>
  <c r="ER32" i="11"/>
  <c r="ER158" i="11" s="1"/>
  <c r="ER122" i="1" s="1"/>
  <c r="ER28" i="11"/>
  <c r="ES33" i="11"/>
  <c r="EZ10" i="15"/>
  <c r="AW97" i="15"/>
  <c r="K32" i="11"/>
  <c r="K158" i="11" s="1"/>
  <c r="AS32" i="11"/>
  <c r="AS158" i="11" s="1"/>
  <c r="EP158" i="11"/>
  <c r="EP122" i="1" s="1"/>
  <c r="EY203" i="19"/>
  <c r="T14" i="7"/>
  <c r="BR14" i="7"/>
  <c r="ES109" i="15"/>
  <c r="ES32" i="15" s="1"/>
  <c r="ES110" i="15"/>
  <c r="ES33" i="15" s="1"/>
  <c r="ES62" i="19" s="1"/>
  <c r="ES265" i="19" s="1"/>
  <c r="EW10" i="15"/>
  <c r="AV97" i="15"/>
  <c r="AA46" i="34"/>
  <c r="AA60" i="34"/>
  <c r="AA61" i="34" s="1"/>
  <c r="DF111" i="11"/>
  <c r="DF101" i="11"/>
  <c r="H112" i="11"/>
  <c r="EK24" i="25" s="1"/>
  <c r="AG112" i="11"/>
  <c r="ET10" i="15"/>
  <c r="AU97" i="15"/>
  <c r="AT90" i="24"/>
  <c r="ER91" i="24"/>
  <c r="L90" i="24"/>
  <c r="ET22" i="15"/>
  <c r="AU104" i="15"/>
  <c r="CZ20" i="11"/>
  <c r="AE67" i="11"/>
  <c r="AE92" i="11" s="1"/>
  <c r="EV45" i="19"/>
  <c r="EB119" i="1"/>
  <c r="BM42" i="19"/>
  <c r="BM66" i="19" s="1"/>
  <c r="BM15" i="15"/>
  <c r="BM14" i="15"/>
  <c r="BL12" i="15"/>
  <c r="BM40" i="15"/>
  <c r="BM90" i="15"/>
  <c r="DB91" i="1"/>
  <c r="DB102" i="1"/>
  <c r="BB8" i="7"/>
  <c r="BL27" i="7"/>
  <c r="EZ11" i="15"/>
  <c r="Z14" i="39"/>
  <c r="Z18" i="39" s="1"/>
  <c r="Z46" i="35"/>
  <c r="AQ90" i="24"/>
  <c r="EI91" i="24"/>
  <c r="EY45" i="19"/>
  <c r="DC144" i="11"/>
  <c r="DC127" i="1"/>
  <c r="EE69" i="11"/>
  <c r="EE156" i="11" s="1"/>
  <c r="EE120" i="1" s="1"/>
  <c r="AP70" i="11"/>
  <c r="AP72" i="11" s="1"/>
  <c r="EE51" i="11"/>
  <c r="EE72" i="11"/>
  <c r="ER98" i="15"/>
  <c r="ER11" i="15" s="1"/>
  <c r="C48" i="30"/>
  <c r="A49" i="30"/>
  <c r="B48" i="30"/>
  <c r="ER109" i="15"/>
  <c r="ER32" i="15" s="1"/>
  <c r="H106" i="11"/>
  <c r="AG106" i="11"/>
  <c r="DF160" i="11"/>
  <c r="DF124" i="1" s="1"/>
  <c r="EU91" i="24"/>
  <c r="AU90" i="24"/>
  <c r="EW53" i="19"/>
  <c r="AV21" i="15"/>
  <c r="DD50" i="19"/>
  <c r="AG50" i="19" s="1"/>
  <c r="AG55" i="19" s="1"/>
  <c r="DD23" i="15"/>
  <c r="AG18" i="15"/>
  <c r="DD25" i="15"/>
  <c r="DD91" i="15"/>
  <c r="DD26" i="15"/>
  <c r="DD16" i="11"/>
  <c r="DD34" i="1" s="1"/>
  <c r="DD42" i="11"/>
  <c r="I46" i="1"/>
  <c r="AH46" i="1"/>
  <c r="DV93" i="24"/>
  <c r="J92" i="24"/>
  <c r="AL92" i="24"/>
  <c r="DF39" i="11"/>
  <c r="AG38" i="11"/>
  <c r="CZ46" i="1"/>
  <c r="AE23" i="11"/>
  <c r="H23" i="11"/>
  <c r="DR46" i="1"/>
  <c r="AK23" i="11"/>
  <c r="AD42" i="1"/>
  <c r="BP19" i="7" s="1"/>
  <c r="CU48" i="1"/>
  <c r="CU65" i="1"/>
  <c r="AA9" i="29"/>
  <c r="CL13" i="29"/>
  <c r="CM9" i="29" s="1"/>
  <c r="CL30" i="29"/>
  <c r="AW90" i="24"/>
  <c r="FA91" i="24"/>
  <c r="DF64" i="1"/>
  <c r="AG28" i="1"/>
  <c r="EY46" i="19"/>
  <c r="BS23" i="7"/>
  <c r="Y14" i="39"/>
  <c r="Y18" i="39" s="1"/>
  <c r="Y46" i="35"/>
  <c r="AF100" i="1"/>
  <c r="CN17" i="7" s="1"/>
  <c r="AF101" i="1"/>
  <c r="CN18" i="7" s="1"/>
  <c r="H79" i="11"/>
  <c r="H157" i="11" s="1"/>
  <c r="AG79" i="11"/>
  <c r="DF157" i="11"/>
  <c r="ER45" i="19"/>
  <c r="ER43" i="15"/>
  <c r="X40" i="35"/>
  <c r="X45" i="35"/>
  <c r="X51" i="35"/>
  <c r="X55" i="35" s="1"/>
  <c r="EY109" i="15"/>
  <c r="EY32" i="15" s="1"/>
  <c r="EY43" i="15" s="1"/>
  <c r="BL63" i="19"/>
  <c r="BL29" i="15"/>
  <c r="FB45" i="19"/>
  <c r="DY93" i="24"/>
  <c r="AM92" i="24"/>
  <c r="DC43" i="1"/>
  <c r="AF20" i="11"/>
  <c r="EF91" i="24"/>
  <c r="AP90" i="24"/>
  <c r="K90" i="24"/>
  <c r="J9" i="8"/>
  <c r="K9" i="11"/>
  <c r="CD6" i="25" s="1"/>
  <c r="L9" i="1"/>
  <c r="K15" i="1"/>
  <c r="J6" i="25" s="1"/>
  <c r="J29" i="25" s="1"/>
  <c r="AE13" i="25"/>
  <c r="J5" i="25"/>
  <c r="J28" i="25" s="1"/>
  <c r="AG137" i="11"/>
  <c r="EX23" i="7" s="1"/>
  <c r="DD58" i="19"/>
  <c r="AG58" i="19" s="1"/>
  <c r="AG63" i="19" s="1"/>
  <c r="DD34" i="15"/>
  <c r="AG29" i="15"/>
  <c r="DD37" i="15"/>
  <c r="DD36" i="15"/>
  <c r="DD92" i="15"/>
  <c r="CX93" i="1"/>
  <c r="DE43" i="1"/>
  <c r="ET11" i="15"/>
  <c r="AV105" i="15"/>
  <c r="AV106" i="15" s="1"/>
  <c r="DA48" i="1"/>
  <c r="DA65" i="1"/>
  <c r="DD57" i="1"/>
  <c r="DD82" i="1"/>
  <c r="DD85" i="1"/>
  <c r="DF61" i="11"/>
  <c r="AG61" i="11" s="1"/>
  <c r="AG89" i="11" s="1"/>
  <c r="AG60" i="11"/>
  <c r="AG81" i="11" s="1"/>
  <c r="BB47" i="30"/>
  <c r="BJ47" i="30"/>
  <c r="BC47" i="30"/>
  <c r="BK47" i="30"/>
  <c r="BD47" i="30"/>
  <c r="BL47" i="30"/>
  <c r="BE47" i="30"/>
  <c r="BM47" i="30"/>
  <c r="BF47" i="30"/>
  <c r="BN47" i="30"/>
  <c r="BG47" i="30"/>
  <c r="BO47" i="30"/>
  <c r="BH47" i="30"/>
  <c r="BA47" i="30"/>
  <c r="BI47" i="30"/>
  <c r="S45" i="15"/>
  <c r="V47" i="15"/>
  <c r="V48" i="15"/>
  <c r="EU109" i="15"/>
  <c r="EU32" i="15" s="1"/>
  <c r="EU110" i="15"/>
  <c r="EU33" i="15" s="1"/>
  <c r="EU62" i="19" s="1"/>
  <c r="EU265" i="19" s="1"/>
  <c r="EQ109" i="15"/>
  <c r="EQ110" i="15"/>
  <c r="BL55" i="19"/>
  <c r="BL18" i="15"/>
  <c r="FB98" i="15"/>
  <c r="FB11" i="15" s="1"/>
  <c r="H134" i="11"/>
  <c r="AG134" i="11"/>
  <c r="DF161" i="11"/>
  <c r="DF125" i="1" s="1"/>
  <c r="EA119" i="1"/>
  <c r="AN119" i="1" s="1"/>
  <c r="DW100" i="24"/>
  <c r="AM99" i="24"/>
  <c r="EU46" i="19"/>
  <c r="DE129" i="11"/>
  <c r="DE130" i="11" s="1"/>
  <c r="DE139" i="11"/>
  <c r="DE162" i="11" s="1"/>
  <c r="AG109" i="11"/>
  <c r="CY48" i="1"/>
  <c r="CY65" i="1"/>
  <c r="CY71" i="1" s="1"/>
  <c r="AT97" i="15"/>
  <c r="EQ10" i="15"/>
  <c r="L97" i="15"/>
  <c r="AD57" i="1"/>
  <c r="AV6" i="7"/>
  <c r="AV7" i="7" s="1"/>
  <c r="BP20" i="7"/>
  <c r="CA7" i="7"/>
  <c r="AB14" i="7"/>
  <c r="AB15" i="7" s="1"/>
  <c r="AD82" i="1"/>
  <c r="AD85" i="1"/>
  <c r="AE94" i="1"/>
  <c r="AC19" i="7" s="1"/>
  <c r="AE92" i="1"/>
  <c r="CK63" i="1"/>
  <c r="CK68" i="1" s="1"/>
  <c r="AN59" i="2"/>
  <c r="L104" i="15"/>
  <c r="DD44" i="1"/>
  <c r="AH36" i="38"/>
  <c r="AH13" i="38"/>
  <c r="AH19" i="38" s="1"/>
  <c r="DD42" i="19"/>
  <c r="DD12" i="15"/>
  <c r="AG7" i="15"/>
  <c r="DD40" i="15"/>
  <c r="DD90" i="15"/>
  <c r="DD15" i="15"/>
  <c r="DD14" i="15"/>
  <c r="AF46" i="1"/>
  <c r="AW104" i="15"/>
  <c r="AW105" i="15" s="1"/>
  <c r="AW106" i="15" s="1"/>
  <c r="EZ22" i="15"/>
  <c r="FB109" i="15"/>
  <c r="FB32" i="15" s="1"/>
  <c r="FB43" i="15" s="1"/>
  <c r="EX109" i="15"/>
  <c r="EX32" i="15" s="1"/>
  <c r="EV203" i="19"/>
  <c r="DE16" i="11"/>
  <c r="DE34" i="1" s="1"/>
  <c r="DE42" i="11"/>
  <c r="DE46" i="11" s="1"/>
  <c r="DF124" i="11"/>
  <c r="AG124" i="11" s="1"/>
  <c r="AG123" i="11"/>
  <c r="AH14" i="1"/>
  <c r="AK97" i="1"/>
  <c r="AK98" i="1"/>
  <c r="EU203" i="19"/>
  <c r="EU45" i="19"/>
  <c r="EU43" i="15"/>
  <c r="FA203" i="19"/>
  <c r="T15" i="7"/>
  <c r="BR15" i="7"/>
  <c r="DD126" i="1"/>
  <c r="DD163" i="11"/>
  <c r="ES46" i="19"/>
  <c r="ES44" i="15"/>
  <c r="FB203" i="19"/>
  <c r="AU105" i="15"/>
  <c r="AU106" i="15" s="1"/>
  <c r="EC74" i="11"/>
  <c r="EC155" i="11" s="1"/>
  <c r="EC55" i="11"/>
  <c r="EC57" i="11" s="1"/>
  <c r="EC77" i="11"/>
  <c r="ED75" i="11"/>
  <c r="EQ98" i="15"/>
  <c r="EM92" i="24"/>
  <c r="AR91" i="24"/>
  <c r="AT104" i="15"/>
  <c r="AT105" i="15" s="1"/>
  <c r="AT106" i="15" s="1"/>
  <c r="EW54" i="19"/>
  <c r="AV22" i="15"/>
  <c r="DV105" i="24"/>
  <c r="AL104" i="24"/>
  <c r="AL126" i="24" s="1"/>
  <c r="DU126" i="24"/>
  <c r="DU14" i="24" s="1"/>
  <c r="DU15" i="24" s="1"/>
  <c r="EF69" i="11"/>
  <c r="EF156" i="11" s="1"/>
  <c r="EF120" i="1" s="1"/>
  <c r="EF51" i="11"/>
  <c r="EF72" i="11"/>
  <c r="EZ109" i="15"/>
  <c r="EZ110" i="15" s="1"/>
  <c r="DF98" i="11"/>
  <c r="AG98" i="11" s="1"/>
  <c r="AG97" i="11"/>
  <c r="AV90" i="24"/>
  <c r="EX91" i="24"/>
  <c r="BZ106" i="1"/>
  <c r="BY113" i="1"/>
  <c r="DT23" i="11"/>
  <c r="DT46" i="1" s="1"/>
  <c r="EX203" i="19"/>
  <c r="CW48" i="1"/>
  <c r="CW65" i="1"/>
  <c r="CW71" i="1" s="1"/>
  <c r="CX57" i="1"/>
  <c r="CX42" i="1"/>
  <c r="CX82" i="1"/>
  <c r="CX85" i="1"/>
  <c r="DA94" i="1"/>
  <c r="DA92" i="1"/>
  <c r="DA93" i="1" s="1"/>
  <c r="ED52" i="11"/>
  <c r="AO51" i="11"/>
  <c r="AO71" i="11" s="1"/>
  <c r="EQ32" i="11"/>
  <c r="EQ158" i="11" s="1"/>
  <c r="EQ122" i="1" s="1"/>
  <c r="EQ28" i="11"/>
  <c r="AT33" i="11"/>
  <c r="Z38" i="29"/>
  <c r="AC110" i="26" s="1"/>
  <c r="AC112" i="26" s="1"/>
  <c r="EB93" i="24"/>
  <c r="AN92" i="24"/>
  <c r="ES203" i="19"/>
  <c r="ET109" i="15"/>
  <c r="EW110" i="15"/>
  <c r="EW109" i="15"/>
  <c r="EZ53" i="19"/>
  <c r="AW21" i="15"/>
  <c r="CV91" i="1"/>
  <c r="CV102" i="1"/>
  <c r="DG9" i="11"/>
  <c r="DG15" i="1"/>
  <c r="DH9" i="1"/>
  <c r="DG29" i="1"/>
  <c r="FA46" i="19"/>
  <c r="DD130" i="11"/>
  <c r="ER203" i="19"/>
  <c r="ES45" i="19"/>
  <c r="ES43" i="15"/>
  <c r="ET53" i="19"/>
  <c r="AU21" i="15"/>
  <c r="DZ106" i="24"/>
  <c r="AN105" i="24"/>
  <c r="EQ53" i="19"/>
  <c r="L21" i="15"/>
  <c r="AT21" i="15"/>
  <c r="EX45" i="19"/>
  <c r="AS90" i="24"/>
  <c r="EO91" i="24"/>
  <c r="CN14" i="7"/>
  <c r="AF163" i="11"/>
  <c r="EQ54" i="19"/>
  <c r="L22" i="15"/>
  <c r="AT22" i="15"/>
  <c r="EE93" i="24"/>
  <c r="AO92" i="24"/>
  <c r="AO69" i="11"/>
  <c r="AO156" i="11" s="1"/>
  <c r="J69" i="11"/>
  <c r="J156" i="11" s="1"/>
  <c r="ED156" i="11"/>
  <c r="ED120" i="1" s="1"/>
  <c r="EP17" i="11"/>
  <c r="EP35" i="1" s="1"/>
  <c r="AS35" i="1" s="1"/>
  <c r="EP29" i="11"/>
  <c r="EP30" i="11" s="1"/>
  <c r="AS28" i="11"/>
  <c r="Z37" i="29"/>
  <c r="CX54" i="1"/>
  <c r="FA109" i="15"/>
  <c r="FA32" i="15" s="1"/>
  <c r="FA110" i="15"/>
  <c r="FA33" i="15" s="1"/>
  <c r="FA62" i="19" s="1"/>
  <c r="FA265" i="19" s="1"/>
  <c r="EV109" i="15"/>
  <c r="EV32" i="15" s="1"/>
  <c r="EW98" i="15"/>
  <c r="BF46" i="30"/>
  <c r="BN46" i="30"/>
  <c r="BG46" i="30"/>
  <c r="AZ46" i="30"/>
  <c r="AZ51" i="30" s="1"/>
  <c r="BH46" i="30"/>
  <c r="BA46" i="30"/>
  <c r="BI46" i="30"/>
  <c r="BB46" i="30"/>
  <c r="BJ46" i="30"/>
  <c r="BC46" i="30"/>
  <c r="BK46" i="30"/>
  <c r="BD46" i="30"/>
  <c r="BL46" i="30"/>
  <c r="BE46" i="30"/>
  <c r="BM46" i="30"/>
  <c r="DS23" i="11"/>
  <c r="AK21" i="35"/>
  <c r="AH23" i="35"/>
  <c r="DG10" i="11"/>
  <c r="FA45" i="19"/>
  <c r="FA43" i="15"/>
  <c r="EO56" i="1"/>
  <c r="EO40" i="1"/>
  <c r="J42" i="8"/>
  <c r="J51" i="8" s="1"/>
  <c r="J43" i="8"/>
  <c r="J52" i="8" s="1"/>
  <c r="J45" i="8"/>
  <c r="J54" i="8" s="1"/>
  <c r="J44" i="8"/>
  <c r="J53" i="8" s="1"/>
  <c r="J41" i="8"/>
  <c r="J50" i="8" s="1"/>
  <c r="U7" i="7"/>
  <c r="BS7" i="7"/>
  <c r="AG52" i="1"/>
  <c r="EV98" i="15"/>
  <c r="EV11" i="15" s="1"/>
  <c r="DZ100" i="24"/>
  <c r="AN99" i="24"/>
  <c r="K35" i="1"/>
  <c r="DB92" i="1"/>
  <c r="DB93" i="1" s="1"/>
  <c r="EB57" i="11"/>
  <c r="EX98" i="15"/>
  <c r="EX11" i="15" s="1"/>
  <c r="DB94" i="1"/>
  <c r="AA40" i="35"/>
  <c r="AA45" i="35"/>
  <c r="AA51" i="35"/>
  <c r="AA55" i="35" s="1"/>
  <c r="AB126" i="26" l="1"/>
  <c r="AB164" i="26"/>
  <c r="AB163" i="26" s="1"/>
  <c r="Z40" i="29"/>
  <c r="Z43" i="29" s="1"/>
  <c r="F48" i="30"/>
  <c r="EZ33" i="15"/>
  <c r="AS56" i="1"/>
  <c r="AS40" i="1"/>
  <c r="DD47" i="19"/>
  <c r="DE7" i="15"/>
  <c r="DD45" i="15"/>
  <c r="DC82" i="1"/>
  <c r="DC85" i="1"/>
  <c r="DC57" i="1"/>
  <c r="AF43" i="1"/>
  <c r="EA101" i="24"/>
  <c r="AN100" i="24"/>
  <c r="J59" i="8"/>
  <c r="EF94" i="24"/>
  <c r="AP93" i="24"/>
  <c r="ES13" i="1"/>
  <c r="DG38" i="11"/>
  <c r="DG28" i="1"/>
  <c r="ET32" i="15"/>
  <c r="AU109" i="15"/>
  <c r="EF52" i="11"/>
  <c r="AV54" i="19"/>
  <c r="EW191" i="19"/>
  <c r="L98" i="15"/>
  <c r="EQ11" i="15"/>
  <c r="AT98" i="15"/>
  <c r="AT99" i="15" s="1"/>
  <c r="AT100" i="15" s="1"/>
  <c r="DE55" i="1"/>
  <c r="DE33" i="1"/>
  <c r="DE39" i="1"/>
  <c r="EX110" i="15"/>
  <c r="EX33" i="15" s="1"/>
  <c r="EX62" i="19" s="1"/>
  <c r="EX265" i="19" s="1"/>
  <c r="AG12" i="15"/>
  <c r="AG90" i="15"/>
  <c r="AJ15" i="15"/>
  <c r="AJ14" i="15"/>
  <c r="H161" i="11"/>
  <c r="EU20" i="25"/>
  <c r="X46" i="35"/>
  <c r="X14" i="39"/>
  <c r="DF121" i="1"/>
  <c r="DF140" i="11"/>
  <c r="AK46" i="1"/>
  <c r="DD46" i="11"/>
  <c r="EV92" i="24"/>
  <c r="AU91" i="24"/>
  <c r="EV69" i="19"/>
  <c r="EV111" i="19"/>
  <c r="AA14" i="39"/>
  <c r="AA18" i="39" s="1"/>
  <c r="AA46" i="35"/>
  <c r="DS46" i="1"/>
  <c r="AG157" i="11"/>
  <c r="AG82" i="11"/>
  <c r="H124" i="1"/>
  <c r="AG124" i="1"/>
  <c r="ER46" i="19"/>
  <c r="DG80" i="11"/>
  <c r="DG107" i="11"/>
  <c r="DG135" i="11"/>
  <c r="EV110" i="15"/>
  <c r="EV33" i="15" s="1"/>
  <c r="EV62" i="19" s="1"/>
  <c r="EV265" i="19" s="1"/>
  <c r="DH14" i="1"/>
  <c r="DH97" i="1"/>
  <c r="DH98" i="1"/>
  <c r="AG108" i="11"/>
  <c r="EN8" i="7"/>
  <c r="FB110" i="15"/>
  <c r="FB33" i="15" s="1"/>
  <c r="FB62" i="19" s="1"/>
  <c r="FB265" i="19" s="1"/>
  <c r="AG42" i="19"/>
  <c r="AG47" i="19" s="1"/>
  <c r="DD66" i="19"/>
  <c r="AG66" i="19" s="1"/>
  <c r="AG71" i="19" s="1"/>
  <c r="DX101" i="24"/>
  <c r="AM100" i="24"/>
  <c r="BL50" i="19"/>
  <c r="BL26" i="15"/>
  <c r="BL25" i="15"/>
  <c r="BK23" i="15"/>
  <c r="BL91" i="15"/>
  <c r="AU98" i="15"/>
  <c r="FB69" i="19"/>
  <c r="FB111" i="19"/>
  <c r="CL9" i="25"/>
  <c r="AG64" i="1"/>
  <c r="CM13" i="29"/>
  <c r="CN9" i="29" s="1"/>
  <c r="CM30" i="29"/>
  <c r="CM34" i="29" s="1"/>
  <c r="CM37" i="29" s="1"/>
  <c r="CM38" i="29" s="1"/>
  <c r="AM93" i="24"/>
  <c r="DW94" i="24"/>
  <c r="J93" i="24"/>
  <c r="DD33" i="1"/>
  <c r="DD55" i="1"/>
  <c r="DD39" i="1"/>
  <c r="AG160" i="11"/>
  <c r="CO12" i="7" s="1"/>
  <c r="EN18" i="7"/>
  <c r="EZ46" i="19"/>
  <c r="AW11" i="15"/>
  <c r="EZ44" i="15"/>
  <c r="BM47" i="15"/>
  <c r="BM48" i="15"/>
  <c r="CZ19" i="11"/>
  <c r="CZ43" i="1"/>
  <c r="AE20" i="11"/>
  <c r="AE19" i="11" s="1"/>
  <c r="ET45" i="19"/>
  <c r="AU10" i="15"/>
  <c r="AV99" i="15"/>
  <c r="AV100" i="15" s="1"/>
  <c r="EZ45" i="19"/>
  <c r="AW10" i="15"/>
  <c r="FA69" i="19"/>
  <c r="FA111" i="19"/>
  <c r="EW11" i="15"/>
  <c r="AV98" i="15"/>
  <c r="ES111" i="19"/>
  <c r="ED55" i="11"/>
  <c r="ED74" i="11"/>
  <c r="ED77" i="11"/>
  <c r="EE75" i="11"/>
  <c r="EF75" i="11"/>
  <c r="EG75" i="11"/>
  <c r="EH75" i="11" s="1"/>
  <c r="AO75" i="11"/>
  <c r="AO77" i="11" s="1"/>
  <c r="EU111" i="19"/>
  <c r="AF54" i="1"/>
  <c r="BR23" i="7"/>
  <c r="EQ17" i="11"/>
  <c r="EQ35" i="1" s="1"/>
  <c r="AT28" i="11"/>
  <c r="EQ29" i="11"/>
  <c r="EQ30" i="11" s="1"/>
  <c r="BZ110" i="1"/>
  <c r="BZ99" i="1"/>
  <c r="AG117" i="11"/>
  <c r="EN9" i="7"/>
  <c r="DU65" i="11"/>
  <c r="DD144" i="11"/>
  <c r="DD127" i="1"/>
  <c r="FB61" i="19"/>
  <c r="FB259" i="19" s="1"/>
  <c r="DC54" i="1"/>
  <c r="DE126" i="1"/>
  <c r="DE163" i="11"/>
  <c r="ET46" i="19"/>
  <c r="AU11" i="15"/>
  <c r="AG34" i="15"/>
  <c r="AG92" i="15"/>
  <c r="AJ37" i="15"/>
  <c r="AJ36" i="15"/>
  <c r="BL58" i="19"/>
  <c r="BK34" i="15"/>
  <c r="BL92" i="15"/>
  <c r="BL37" i="15"/>
  <c r="BL36" i="15"/>
  <c r="EY117" i="19"/>
  <c r="AA13" i="29"/>
  <c r="AD14" i="29"/>
  <c r="H160" i="11"/>
  <c r="EK18" i="25"/>
  <c r="EE52" i="11"/>
  <c r="AP51" i="11"/>
  <c r="AP71" i="11" s="1"/>
  <c r="AW98" i="15"/>
  <c r="AW99" i="15" s="1"/>
  <c r="AW100" i="15" s="1"/>
  <c r="BL47" i="19"/>
  <c r="BL71" i="19" s="1"/>
  <c r="BL45" i="15"/>
  <c r="BL7" i="15"/>
  <c r="AL15" i="24"/>
  <c r="EW45" i="19"/>
  <c r="AV10" i="15"/>
  <c r="ES32" i="11"/>
  <c r="ES28" i="11"/>
  <c r="ET33" i="11"/>
  <c r="EH69" i="11"/>
  <c r="EH156" i="11" s="1"/>
  <c r="EH120" i="1" s="1"/>
  <c r="EH51" i="11"/>
  <c r="EH72" i="11"/>
  <c r="EI70" i="11"/>
  <c r="AH9" i="11"/>
  <c r="AH15" i="1"/>
  <c r="FB46" i="19"/>
  <c r="L25" i="15"/>
  <c r="L26" i="15"/>
  <c r="L23" i="15"/>
  <c r="AU53" i="19"/>
  <c r="ET185" i="19"/>
  <c r="AW53" i="19"/>
  <c r="EZ185" i="19"/>
  <c r="EY92" i="24"/>
  <c r="AV91" i="24"/>
  <c r="EC119" i="1"/>
  <c r="AG136" i="11"/>
  <c r="EX22" i="7" s="1"/>
  <c r="EX8" i="7"/>
  <c r="EZ54" i="19"/>
  <c r="AW22" i="15"/>
  <c r="EQ45" i="19"/>
  <c r="L10" i="15"/>
  <c r="AT10" i="15"/>
  <c r="EQ43" i="15"/>
  <c r="EQ33" i="15"/>
  <c r="AT110" i="15"/>
  <c r="DE57" i="1"/>
  <c r="DE82" i="1"/>
  <c r="DE85" i="1"/>
  <c r="DE54" i="1"/>
  <c r="DD63" i="19"/>
  <c r="DE29" i="15"/>
  <c r="AN93" i="24"/>
  <c r="DZ94" i="24"/>
  <c r="AD65" i="1"/>
  <c r="CU71" i="1"/>
  <c r="CZ54" i="1"/>
  <c r="H46" i="1"/>
  <c r="AE46" i="1"/>
  <c r="BQ23" i="25"/>
  <c r="ER110" i="15"/>
  <c r="ER33" i="15" s="1"/>
  <c r="ER62" i="19" s="1"/>
  <c r="ER265" i="19" s="1"/>
  <c r="ET54" i="19"/>
  <c r="AU22" i="15"/>
  <c r="AG114" i="11"/>
  <c r="EN26" i="7" s="1"/>
  <c r="EN24" i="7"/>
  <c r="AS17" i="11"/>
  <c r="AS34" i="11"/>
  <c r="AS29" i="11"/>
  <c r="AS30" i="11" s="1"/>
  <c r="AU99" i="15"/>
  <c r="AU100" i="15"/>
  <c r="AH39" i="35"/>
  <c r="AH24" i="35"/>
  <c r="AK23" i="35"/>
  <c r="EP56" i="1"/>
  <c r="EP40" i="1"/>
  <c r="AO120" i="1"/>
  <c r="J120" i="1"/>
  <c r="L54" i="19"/>
  <c r="AT54" i="19"/>
  <c r="EQ191" i="19"/>
  <c r="J49" i="8"/>
  <c r="J56" i="8" s="1"/>
  <c r="J57" i="8"/>
  <c r="FA61" i="19"/>
  <c r="FA259" i="19" s="1"/>
  <c r="CN8" i="25"/>
  <c r="L53" i="19"/>
  <c r="AT53" i="19"/>
  <c r="EQ185" i="19"/>
  <c r="EW32" i="15"/>
  <c r="AV109" i="15"/>
  <c r="DD83" i="1"/>
  <c r="CL63" i="1"/>
  <c r="AO59" i="2"/>
  <c r="EU44" i="15"/>
  <c r="L109" i="15"/>
  <c r="EQ32" i="15"/>
  <c r="AT109" i="15"/>
  <c r="BA51" i="30"/>
  <c r="DF62" i="11"/>
  <c r="DA71" i="1"/>
  <c r="EY110" i="15"/>
  <c r="EY33" i="15" s="1"/>
  <c r="AD48" i="1"/>
  <c r="ER61" i="19"/>
  <c r="ER259" i="19" s="1"/>
  <c r="EY111" i="19"/>
  <c r="ES61" i="19"/>
  <c r="ES259" i="19" s="1"/>
  <c r="K122" i="1"/>
  <c r="AS122" i="1"/>
  <c r="ER17" i="11"/>
  <c r="ER35" i="1" s="1"/>
  <c r="ER29" i="11"/>
  <c r="ER30" i="11" s="1"/>
  <c r="EG52" i="11"/>
  <c r="EX61" i="19"/>
  <c r="EX259" i="19" s="1"/>
  <c r="AA30" i="29"/>
  <c r="CL34" i="29"/>
  <c r="CL37" i="29" s="1"/>
  <c r="EV61" i="19"/>
  <c r="EV259" i="19" s="1"/>
  <c r="EX46" i="19"/>
  <c r="EX44" i="15"/>
  <c r="EX43" i="15"/>
  <c r="AG148" i="11"/>
  <c r="EX9" i="7"/>
  <c r="AE93" i="1"/>
  <c r="AC18" i="7" s="1"/>
  <c r="AC17" i="7"/>
  <c r="CY91" i="1"/>
  <c r="CY102" i="1"/>
  <c r="EU70" i="19"/>
  <c r="EU117" i="19"/>
  <c r="H125" i="1"/>
  <c r="AG125" i="1"/>
  <c r="EG92" i="24"/>
  <c r="AP91" i="24"/>
  <c r="K91" i="24"/>
  <c r="EY61" i="19"/>
  <c r="EY259" i="19" s="1"/>
  <c r="AG23" i="15"/>
  <c r="AG91" i="15"/>
  <c r="AJ26" i="15"/>
  <c r="AJ25" i="15"/>
  <c r="AV53" i="19"/>
  <c r="EW185" i="19"/>
  <c r="BF48" i="30"/>
  <c r="BN48" i="30"/>
  <c r="BG48" i="30"/>
  <c r="BO48" i="30"/>
  <c r="BH48" i="30"/>
  <c r="BP48" i="30"/>
  <c r="BI48" i="30"/>
  <c r="BB48" i="30"/>
  <c r="BB51" i="30" s="1"/>
  <c r="BJ48" i="30"/>
  <c r="BC48" i="30"/>
  <c r="BK48" i="30"/>
  <c r="BD48" i="30"/>
  <c r="BL48" i="30"/>
  <c r="BE48" i="30"/>
  <c r="BM48" i="30"/>
  <c r="DC100" i="1"/>
  <c r="DC101" i="1"/>
  <c r="EJ92" i="24"/>
  <c r="AQ91" i="24"/>
  <c r="DF102" i="11"/>
  <c r="AG102" i="11" s="1"/>
  <c r="AG101" i="11"/>
  <c r="EN16" i="7" s="1"/>
  <c r="CW91" i="1"/>
  <c r="CW102" i="1"/>
  <c r="K56" i="1"/>
  <c r="U12" i="25"/>
  <c r="BS12" i="25"/>
  <c r="K40" i="1"/>
  <c r="J60" i="8"/>
  <c r="CN39" i="7"/>
  <c r="CN40" i="7" s="1"/>
  <c r="CN15" i="7"/>
  <c r="FA44" i="15"/>
  <c r="FA13" i="1" s="1"/>
  <c r="EW33" i="15"/>
  <c r="AV110" i="15"/>
  <c r="CX48" i="1"/>
  <c r="CX65" i="1"/>
  <c r="EZ32" i="15"/>
  <c r="EZ43" i="15" s="1"/>
  <c r="AW109" i="15"/>
  <c r="AM105" i="24"/>
  <c r="DW106" i="24"/>
  <c r="DV126" i="24"/>
  <c r="DV14" i="24" s="1"/>
  <c r="DV15" i="24" s="1"/>
  <c r="EV46" i="19"/>
  <c r="EV44" i="15"/>
  <c r="J61" i="8"/>
  <c r="EP92" i="24"/>
  <c r="AS91" i="24"/>
  <c r="EX69" i="19"/>
  <c r="EX111" i="19"/>
  <c r="EA107" i="24"/>
  <c r="AN106" i="24"/>
  <c r="FA70" i="19"/>
  <c r="FA117" i="19"/>
  <c r="ET110" i="15"/>
  <c r="AO93" i="24"/>
  <c r="EC94" i="24"/>
  <c r="EN93" i="24"/>
  <c r="AR92" i="24"/>
  <c r="ES70" i="19"/>
  <c r="ES117" i="19"/>
  <c r="EU13" i="1"/>
  <c r="AG40" i="15"/>
  <c r="DD48" i="15"/>
  <c r="DD47" i="15"/>
  <c r="AG161" i="11"/>
  <c r="CO13" i="7" s="1"/>
  <c r="EX20" i="7"/>
  <c r="EU61" i="19"/>
  <c r="EU259" i="19" s="1"/>
  <c r="ER69" i="19"/>
  <c r="ER111" i="19"/>
  <c r="U6" i="7"/>
  <c r="AY37" i="7" s="1"/>
  <c r="BS6" i="7"/>
  <c r="FB92" i="24"/>
  <c r="AW92" i="24" s="1"/>
  <c r="AW91" i="24"/>
  <c r="AG39" i="11"/>
  <c r="DD55" i="19"/>
  <c r="DE18" i="15"/>
  <c r="B49" i="30"/>
  <c r="C49" i="30"/>
  <c r="DC125" i="11"/>
  <c r="AF144" i="11"/>
  <c r="EW30" i="7" s="1"/>
  <c r="EV43" i="15"/>
  <c r="ES92" i="24"/>
  <c r="AT91" i="24"/>
  <c r="L91" i="24"/>
  <c r="H111" i="11"/>
  <c r="AG111" i="11"/>
  <c r="DF159" i="11"/>
  <c r="DF123" i="1" s="1"/>
  <c r="CO10" i="25"/>
  <c r="DG94" i="1"/>
  <c r="AP69" i="11"/>
  <c r="AP156" i="11" s="1"/>
  <c r="EG156" i="11"/>
  <c r="EG120" i="1" s="1"/>
  <c r="AP120" i="1" s="1"/>
  <c r="AC120" i="26" l="1"/>
  <c r="AC97" i="26"/>
  <c r="AC87" i="26" s="1"/>
  <c r="F49" i="30"/>
  <c r="EH55" i="11"/>
  <c r="EH74" i="11"/>
  <c r="EH155" i="11" s="1"/>
  <c r="EH77" i="11"/>
  <c r="EI75" i="11"/>
  <c r="AQ75" i="11" s="1"/>
  <c r="AQ77" i="11" s="1"/>
  <c r="AW43" i="15"/>
  <c r="EZ13" i="1"/>
  <c r="FA88" i="1"/>
  <c r="EZ93" i="24"/>
  <c r="AV92" i="24"/>
  <c r="ET61" i="19"/>
  <c r="AU32" i="15"/>
  <c r="EU277" i="19"/>
  <c r="EQ93" i="24"/>
  <c r="AS92" i="24"/>
  <c r="AG45" i="15"/>
  <c r="AJ47" i="15"/>
  <c r="AJ48" i="15"/>
  <c r="ED95" i="24"/>
  <c r="AO94" i="24"/>
  <c r="AM106" i="24"/>
  <c r="DX107" i="24"/>
  <c r="DW126" i="24"/>
  <c r="DW14" i="24" s="1"/>
  <c r="DW15" i="24" s="1"/>
  <c r="DW65" i="11" s="1"/>
  <c r="EK93" i="24"/>
  <c r="AQ92" i="24"/>
  <c r="AV111" i="15"/>
  <c r="AV112" i="15"/>
  <c r="AH40" i="35"/>
  <c r="AH45" i="35"/>
  <c r="AH51" i="35"/>
  <c r="AK39" i="35"/>
  <c r="AW54" i="19"/>
  <c r="EZ191" i="19"/>
  <c r="DD100" i="1"/>
  <c r="DD101" i="1"/>
  <c r="EU69" i="19"/>
  <c r="AO74" i="11"/>
  <c r="AO155" i="11" s="1"/>
  <c r="J74" i="11"/>
  <c r="J155" i="11" s="1"/>
  <c r="ED155" i="11"/>
  <c r="FA129" i="19"/>
  <c r="AW45" i="19"/>
  <c r="EZ111" i="19"/>
  <c r="AU45" i="19"/>
  <c r="ET69" i="19"/>
  <c r="ET111" i="19"/>
  <c r="CA16" i="25"/>
  <c r="CA17" i="25" s="1"/>
  <c r="CL37" i="25"/>
  <c r="CL13" i="25"/>
  <c r="J58" i="8"/>
  <c r="AG47" i="11"/>
  <c r="AG44" i="11"/>
  <c r="DD125" i="11"/>
  <c r="DH9" i="11"/>
  <c r="DH15" i="1"/>
  <c r="DI9" i="1"/>
  <c r="DH29" i="1"/>
  <c r="CO9" i="7"/>
  <c r="EV13" i="1"/>
  <c r="ET33" i="15"/>
  <c r="L33" i="15" s="1"/>
  <c r="AU110" i="15"/>
  <c r="AU111" i="15" s="1"/>
  <c r="AU112" i="15" s="1"/>
  <c r="AV185" i="19"/>
  <c r="EW203" i="19"/>
  <c r="EH93" i="24"/>
  <c r="AP92" i="24"/>
  <c r="K92" i="24"/>
  <c r="ER277" i="19"/>
  <c r="L185" i="19"/>
  <c r="AT185" i="19"/>
  <c r="EQ203" i="19"/>
  <c r="FA277" i="19"/>
  <c r="BQ23" i="7"/>
  <c r="EA95" i="24"/>
  <c r="AN94" i="24"/>
  <c r="AW185" i="19"/>
  <c r="EZ203" i="19"/>
  <c r="ES17" i="11"/>
  <c r="ES35" i="1" s="1"/>
  <c r="AT35" i="1" s="1"/>
  <c r="ES29" i="11"/>
  <c r="ES30" i="11" s="1"/>
  <c r="AV45" i="19"/>
  <c r="EW111" i="19"/>
  <c r="AP52" i="11"/>
  <c r="AP87" i="11" s="1"/>
  <c r="EQ56" i="1"/>
  <c r="EQ40" i="1"/>
  <c r="DH10" i="11"/>
  <c r="EQ46" i="19"/>
  <c r="L11" i="15"/>
  <c r="L14" i="15" s="1"/>
  <c r="AT11" i="15"/>
  <c r="EQ44" i="15"/>
  <c r="DA91" i="1"/>
  <c r="DA102" i="1"/>
  <c r="ED57" i="11"/>
  <c r="AO57" i="11" s="1"/>
  <c r="AO88" i="11" s="1"/>
  <c r="J55" i="11"/>
  <c r="AO55" i="11"/>
  <c r="AO76" i="11" s="1"/>
  <c r="ES88" i="1"/>
  <c r="EU88" i="1"/>
  <c r="DF40" i="11"/>
  <c r="AG62" i="11"/>
  <c r="AG90" i="11" s="1"/>
  <c r="BP23" i="25"/>
  <c r="EQ13" i="1"/>
  <c r="AT43" i="15"/>
  <c r="EI69" i="11"/>
  <c r="EI156" i="11" s="1"/>
  <c r="EI120" i="1" s="1"/>
  <c r="EI51" i="11"/>
  <c r="EI72" i="11"/>
  <c r="EL70" i="11"/>
  <c r="DU23" i="11"/>
  <c r="AL65" i="11"/>
  <c r="EG74" i="11"/>
  <c r="EG55" i="11"/>
  <c r="EG57" i="11" s="1"/>
  <c r="EG77" i="11"/>
  <c r="CZ42" i="1"/>
  <c r="CZ82" i="1"/>
  <c r="CZ85" i="1"/>
  <c r="CZ57" i="1"/>
  <c r="DE94" i="1"/>
  <c r="DC94" i="1"/>
  <c r="DC92" i="1"/>
  <c r="DD94" i="1"/>
  <c r="AE43" i="1"/>
  <c r="EW93" i="24"/>
  <c r="AU92" i="24"/>
  <c r="H121" i="1"/>
  <c r="AG121" i="1"/>
  <c r="EB102" i="24"/>
  <c r="AN101" i="24"/>
  <c r="AW110" i="15"/>
  <c r="EW62" i="19"/>
  <c r="AV33" i="15"/>
  <c r="ET32" i="11"/>
  <c r="ET158" i="11" s="1"/>
  <c r="ET122" i="1" s="1"/>
  <c r="AU33" i="11"/>
  <c r="ET28" i="11"/>
  <c r="EU33" i="11"/>
  <c r="AT17" i="11"/>
  <c r="AT34" i="11"/>
  <c r="AT29" i="11"/>
  <c r="AT30" i="11" s="1"/>
  <c r="AW46" i="19"/>
  <c r="EZ117" i="19"/>
  <c r="AA63" i="1"/>
  <c r="AA68" i="1" s="1"/>
  <c r="CL68" i="1"/>
  <c r="L55" i="19"/>
  <c r="DE58" i="19"/>
  <c r="DE34" i="15"/>
  <c r="DE36" i="15"/>
  <c r="DE92" i="15"/>
  <c r="DE37" i="15"/>
  <c r="DF67" i="11"/>
  <c r="AU185" i="19"/>
  <c r="AT32" i="11"/>
  <c r="AT158" i="11" s="1"/>
  <c r="ES158" i="11"/>
  <c r="ES122" i="1" s="1"/>
  <c r="AT122" i="1" s="1"/>
  <c r="BL42" i="19"/>
  <c r="BL66" i="19" s="1"/>
  <c r="BL14" i="15"/>
  <c r="BK12" i="15"/>
  <c r="BL40" i="15"/>
  <c r="BL90" i="15"/>
  <c r="BL15" i="15"/>
  <c r="DT7" i="7"/>
  <c r="DT8" i="7"/>
  <c r="EF55" i="11"/>
  <c r="EF74" i="11"/>
  <c r="EF155" i="11" s="1"/>
  <c r="EF77" i="11"/>
  <c r="ES129" i="19"/>
  <c r="CN13" i="29"/>
  <c r="CO9" i="29" s="1"/>
  <c r="CN30" i="29"/>
  <c r="CN34" i="29" s="1"/>
  <c r="CN37" i="29" s="1"/>
  <c r="CN38" i="29" s="1"/>
  <c r="ER44" i="15"/>
  <c r="X18" i="39"/>
  <c r="AH14" i="39"/>
  <c r="AH15" i="39" s="1"/>
  <c r="X15" i="39"/>
  <c r="Y13" i="39" s="1"/>
  <c r="Y15" i="39" s="1"/>
  <c r="Z13" i="39" s="1"/>
  <c r="Z15" i="39" s="1"/>
  <c r="AA13" i="39" s="1"/>
  <c r="AA15" i="39" s="1"/>
  <c r="CZ7" i="7"/>
  <c r="CZ8" i="7"/>
  <c r="AV191" i="19"/>
  <c r="AF85" i="1"/>
  <c r="AX6" i="7"/>
  <c r="AX7" i="7" s="1"/>
  <c r="BR20" i="7"/>
  <c r="AD14" i="7"/>
  <c r="AD15" i="7" s="1"/>
  <c r="AF82" i="1"/>
  <c r="CC7" i="7"/>
  <c r="AF57" i="1"/>
  <c r="EZ62" i="19"/>
  <c r="AW33" i="15"/>
  <c r="DE144" i="11"/>
  <c r="DE125" i="11" s="1"/>
  <c r="DE132" i="11" s="1"/>
  <c r="DE22" i="11" s="1"/>
  <c r="DE127" i="1"/>
  <c r="DX95" i="24"/>
  <c r="AM94" i="24"/>
  <c r="J94" i="24"/>
  <c r="DF129" i="11"/>
  <c r="DF139" i="11"/>
  <c r="H140" i="11"/>
  <c r="EU26" i="25" s="1"/>
  <c r="AG140" i="11"/>
  <c r="EX26" i="7" s="1"/>
  <c r="EV277" i="19"/>
  <c r="H123" i="1"/>
  <c r="AG123" i="1"/>
  <c r="ER129" i="19"/>
  <c r="CL38" i="29"/>
  <c r="AA37" i="29"/>
  <c r="CX71" i="1"/>
  <c r="AG113" i="11"/>
  <c r="EN25" i="7" s="1"/>
  <c r="EN12" i="7"/>
  <c r="EX13" i="1"/>
  <c r="AA34" i="29"/>
  <c r="AD35" i="29"/>
  <c r="ER56" i="1"/>
  <c r="ER40" i="1"/>
  <c r="EY129" i="19"/>
  <c r="AT111" i="15"/>
  <c r="AT112" i="15" s="1"/>
  <c r="AU54" i="19"/>
  <c r="ET191" i="19"/>
  <c r="FB44" i="15"/>
  <c r="AQ51" i="11"/>
  <c r="EH52" i="11"/>
  <c r="CL12" i="25"/>
  <c r="EE55" i="11"/>
  <c r="AP75" i="11"/>
  <c r="AP77" i="11" s="1"/>
  <c r="EE74" i="11"/>
  <c r="EE155" i="11" s="1"/>
  <c r="EE77" i="11"/>
  <c r="ES69" i="19"/>
  <c r="ET43" i="15"/>
  <c r="AG74" i="1"/>
  <c r="DY102" i="24"/>
  <c r="AM101" i="24"/>
  <c r="AG104" i="11"/>
  <c r="DG134" i="11"/>
  <c r="DG161" i="11" s="1"/>
  <c r="DG125" i="1" s="1"/>
  <c r="DG123" i="11"/>
  <c r="ER70" i="19"/>
  <c r="ER117" i="19"/>
  <c r="DG64" i="1"/>
  <c r="EG95" i="24"/>
  <c r="AP94" i="24"/>
  <c r="DF94" i="1"/>
  <c r="ET93" i="24"/>
  <c r="AT92" i="24"/>
  <c r="L92" i="24"/>
  <c r="EX277" i="19"/>
  <c r="EW61" i="19"/>
  <c r="EW69" i="19" s="1"/>
  <c r="AV69" i="19" s="1"/>
  <c r="AV32" i="15"/>
  <c r="AW111" i="15"/>
  <c r="AW112" i="15"/>
  <c r="EM28" i="7"/>
  <c r="CN42" i="7"/>
  <c r="BJ49" i="30"/>
  <c r="BC49" i="30"/>
  <c r="BC51" i="30" s="1"/>
  <c r="BK49" i="30"/>
  <c r="BD49" i="30"/>
  <c r="BL49" i="30"/>
  <c r="BE49" i="30"/>
  <c r="BM49" i="30"/>
  <c r="BF49" i="30"/>
  <c r="BN49" i="30"/>
  <c r="BG49" i="30"/>
  <c r="BO49" i="30"/>
  <c r="BH49" i="30"/>
  <c r="BP49" i="30"/>
  <c r="BI49" i="30"/>
  <c r="BQ49" i="30"/>
  <c r="EV70" i="19"/>
  <c r="EV117" i="19"/>
  <c r="EV129" i="19" s="1"/>
  <c r="U17" i="25"/>
  <c r="BS17" i="25"/>
  <c r="AG118" i="11"/>
  <c r="EN13" i="7"/>
  <c r="EN15" i="7" s="1"/>
  <c r="EY69" i="19"/>
  <c r="EY62" i="19"/>
  <c r="EY44" i="15"/>
  <c r="EQ61" i="19"/>
  <c r="L32" i="15"/>
  <c r="AT32" i="15"/>
  <c r="AD71" i="1"/>
  <c r="CU91" i="1"/>
  <c r="CU102" i="1"/>
  <c r="CV90" i="1"/>
  <c r="CX90" i="1"/>
  <c r="CW90" i="1"/>
  <c r="CU90" i="1"/>
  <c r="CY90" i="1"/>
  <c r="L110" i="15"/>
  <c r="L45" i="19"/>
  <c r="AT45" i="19"/>
  <c r="EQ111" i="19"/>
  <c r="FB70" i="19"/>
  <c r="FB117" i="19"/>
  <c r="FB129" i="19" s="1"/>
  <c r="AQ70" i="11"/>
  <c r="AQ72" i="11" s="1"/>
  <c r="EW43" i="15"/>
  <c r="DD81" i="1"/>
  <c r="DD37" i="1"/>
  <c r="DD38" i="1"/>
  <c r="DH94" i="1"/>
  <c r="DG106" i="11"/>
  <c r="DG160" i="11" s="1"/>
  <c r="DG124" i="1" s="1"/>
  <c r="DG97" i="11"/>
  <c r="DG112" i="11"/>
  <c r="DG39" i="11"/>
  <c r="DE42" i="19"/>
  <c r="DE12" i="15"/>
  <c r="DE40" i="15"/>
  <c r="DE90" i="15"/>
  <c r="DE14" i="15"/>
  <c r="DE15" i="15"/>
  <c r="ES277" i="19"/>
  <c r="DC132" i="11"/>
  <c r="DC22" i="11" s="1"/>
  <c r="AF125" i="11"/>
  <c r="EZ61" i="19"/>
  <c r="AW32" i="15"/>
  <c r="BF6" i="7"/>
  <c r="BP25" i="7"/>
  <c r="AG159" i="11"/>
  <c r="CO11" i="7" s="1"/>
  <c r="CO38" i="7" s="1"/>
  <c r="EN23" i="7"/>
  <c r="H159" i="11"/>
  <c r="EK23" i="25"/>
  <c r="DE50" i="19"/>
  <c r="DE23" i="15"/>
  <c r="DE25" i="15"/>
  <c r="DE91" i="15"/>
  <c r="DE26" i="15"/>
  <c r="EO94" i="24"/>
  <c r="AS93" i="24"/>
  <c r="EB108" i="24"/>
  <c r="AN107" i="24"/>
  <c r="DV65" i="11"/>
  <c r="DJ7" i="7"/>
  <c r="DJ8" i="7"/>
  <c r="EX70" i="19"/>
  <c r="EX117" i="19"/>
  <c r="L191" i="19"/>
  <c r="AT191" i="19"/>
  <c r="AD75" i="1"/>
  <c r="S46" i="7"/>
  <c r="S46" i="25"/>
  <c r="EQ62" i="19"/>
  <c r="AT33" i="15"/>
  <c r="DF104" i="11"/>
  <c r="DF21" i="11" s="1"/>
  <c r="BK63" i="19"/>
  <c r="BK29" i="15"/>
  <c r="AU46" i="19"/>
  <c r="ET117" i="19"/>
  <c r="FB277" i="19"/>
  <c r="CA106" i="1"/>
  <c r="BZ113" i="1"/>
  <c r="EU129" i="19"/>
  <c r="EW46" i="19"/>
  <c r="EW44" i="15"/>
  <c r="AV11" i="15"/>
  <c r="AW44" i="15"/>
  <c r="BK55" i="19"/>
  <c r="BK18" i="15"/>
  <c r="DG60" i="11"/>
  <c r="DG79" i="11"/>
  <c r="DG157" i="11" s="1"/>
  <c r="DE81" i="1"/>
  <c r="DE37" i="1"/>
  <c r="DE38" i="1"/>
  <c r="DD71" i="19"/>
  <c r="AD97" i="26" l="1"/>
  <c r="AD87" i="26" s="1"/>
  <c r="AC100" i="26"/>
  <c r="AC101" i="26" s="1"/>
  <c r="AC121" i="26"/>
  <c r="AT56" i="1"/>
  <c r="AT40" i="1"/>
  <c r="BK50" i="19"/>
  <c r="E18" i="15"/>
  <c r="BK25" i="15"/>
  <c r="R18" i="15"/>
  <c r="BJ23" i="15"/>
  <c r="BK26" i="15"/>
  <c r="BK91" i="15"/>
  <c r="DF44" i="1"/>
  <c r="AG21" i="11"/>
  <c r="EC109" i="24"/>
  <c r="AO108" i="24"/>
  <c r="L61" i="19"/>
  <c r="AT61" i="19"/>
  <c r="EQ259" i="19"/>
  <c r="AU43" i="15"/>
  <c r="ET13" i="1"/>
  <c r="AU191" i="19"/>
  <c r="AB9" i="29"/>
  <c r="CO13" i="29"/>
  <c r="CP9" i="29" s="1"/>
  <c r="CO30" i="29"/>
  <c r="EF119" i="1"/>
  <c r="AW117" i="19"/>
  <c r="DC93" i="1"/>
  <c r="CZ48" i="1"/>
  <c r="AE48" i="1" s="1"/>
  <c r="AE42" i="1"/>
  <c r="BQ19" i="7" s="1"/>
  <c r="CZ65" i="1"/>
  <c r="DF45" i="11"/>
  <c r="AG40" i="11"/>
  <c r="AG45" i="11" s="1"/>
  <c r="DF41" i="11"/>
  <c r="DH80" i="11"/>
  <c r="DH107" i="11"/>
  <c r="DH135" i="11"/>
  <c r="AQ93" i="24"/>
  <c r="EI94" i="24"/>
  <c r="K93" i="24"/>
  <c r="DH38" i="11"/>
  <c r="DH28" i="1"/>
  <c r="AA66" i="34"/>
  <c r="AA67" i="34" s="1"/>
  <c r="AH46" i="35"/>
  <c r="AK45" i="35"/>
  <c r="EE96" i="24"/>
  <c r="AO95" i="24"/>
  <c r="DC45" i="1"/>
  <c r="AF22" i="11"/>
  <c r="AF19" i="11" s="1"/>
  <c r="DC19" i="11"/>
  <c r="CX102" i="1"/>
  <c r="CX91" i="1"/>
  <c r="DY96" i="24"/>
  <c r="AM95" i="24"/>
  <c r="J95" i="24"/>
  <c r="ER13" i="1"/>
  <c r="EF57" i="11"/>
  <c r="BK47" i="19"/>
  <c r="BK71" i="19" s="1"/>
  <c r="BK7" i="15"/>
  <c r="BK45" i="15"/>
  <c r="AV93" i="24"/>
  <c r="EX94" i="24"/>
  <c r="DU46" i="1"/>
  <c r="AL23" i="11"/>
  <c r="AT13" i="1"/>
  <c r="EQ88" i="1"/>
  <c r="L46" i="19"/>
  <c r="L47" i="19" s="1"/>
  <c r="AT46" i="19"/>
  <c r="EQ70" i="19"/>
  <c r="EQ117" i="19"/>
  <c r="EB96" i="24"/>
  <c r="AN95" i="24"/>
  <c r="AV203" i="19"/>
  <c r="DI14" i="1"/>
  <c r="DI97" i="1"/>
  <c r="DI98" i="1"/>
  <c r="DD132" i="11"/>
  <c r="DD22" i="11" s="1"/>
  <c r="EX129" i="19"/>
  <c r="AD91" i="1"/>
  <c r="AD102" i="1"/>
  <c r="AD89" i="1"/>
  <c r="AD90" i="1"/>
  <c r="DE63" i="19"/>
  <c r="DF29" i="15"/>
  <c r="ET62" i="19"/>
  <c r="AU33" i="15"/>
  <c r="ET44" i="15"/>
  <c r="AU44" i="15" s="1"/>
  <c r="EY265" i="19"/>
  <c r="EY70" i="19"/>
  <c r="AU117" i="19"/>
  <c r="L62" i="19"/>
  <c r="AT62" i="19"/>
  <c r="EQ265" i="19"/>
  <c r="CO44" i="7"/>
  <c r="DE47" i="19"/>
  <c r="DF7" i="15"/>
  <c r="DE45" i="15"/>
  <c r="DG101" i="11"/>
  <c r="DG111" i="11"/>
  <c r="DG159" i="11" s="1"/>
  <c r="DG123" i="1" s="1"/>
  <c r="EH96" i="24"/>
  <c r="AP95" i="24"/>
  <c r="EE119" i="1"/>
  <c r="AQ71" i="11"/>
  <c r="DE100" i="1"/>
  <c r="DE101" i="1"/>
  <c r="AU203" i="19"/>
  <c r="AV62" i="19"/>
  <c r="EW265" i="19"/>
  <c r="EL69" i="11"/>
  <c r="EL156" i="11" s="1"/>
  <c r="EL120" i="1" s="1"/>
  <c r="EL51" i="11"/>
  <c r="EL72" i="11"/>
  <c r="L43" i="15"/>
  <c r="EV88" i="1"/>
  <c r="AU111" i="19"/>
  <c r="AU129" i="19" s="1"/>
  <c r="ET129" i="19"/>
  <c r="ED7" i="7"/>
  <c r="ED8" i="7"/>
  <c r="EI55" i="11"/>
  <c r="EI57" i="11" s="1"/>
  <c r="EI74" i="11"/>
  <c r="EI155" i="11" s="1"/>
  <c r="EI77" i="11"/>
  <c r="EL75" i="11"/>
  <c r="EM75" i="11" s="1"/>
  <c r="EP95" i="24"/>
  <c r="AS94" i="24"/>
  <c r="AW61" i="19"/>
  <c r="EZ259" i="19"/>
  <c r="DE48" i="15"/>
  <c r="DE47" i="15"/>
  <c r="AV43" i="15"/>
  <c r="EW13" i="1"/>
  <c r="DG121" i="1"/>
  <c r="DG140" i="11"/>
  <c r="DE66" i="19"/>
  <c r="DG98" i="11"/>
  <c r="DD92" i="1"/>
  <c r="DD93" i="1" s="1"/>
  <c r="DE92" i="1"/>
  <c r="DE93" i="1" s="1"/>
  <c r="DZ103" i="24"/>
  <c r="AN102" i="24"/>
  <c r="J102" i="24"/>
  <c r="FB13" i="1"/>
  <c r="DE45" i="1"/>
  <c r="DE19" i="11"/>
  <c r="CM63" i="1"/>
  <c r="CM68" i="1" s="1"/>
  <c r="AP59" i="2"/>
  <c r="AE82" i="1"/>
  <c r="AE85" i="1"/>
  <c r="AW6" i="7"/>
  <c r="AW7" i="7" s="1"/>
  <c r="BQ20" i="7"/>
  <c r="CB7" i="7"/>
  <c r="AC14" i="7"/>
  <c r="AC15" i="7" s="1"/>
  <c r="AE57" i="1"/>
  <c r="AF92" i="1"/>
  <c r="AG94" i="1"/>
  <c r="AF94" i="1"/>
  <c r="AD19" i="7" s="1"/>
  <c r="AP74" i="11"/>
  <c r="AP155" i="11" s="1"/>
  <c r="EG155" i="11"/>
  <c r="AE54" i="1"/>
  <c r="AT203" i="19"/>
  <c r="AU69" i="19"/>
  <c r="AW191" i="19"/>
  <c r="AW203" i="19" s="1"/>
  <c r="EH119" i="1"/>
  <c r="DG61" i="11"/>
  <c r="DG62" i="11"/>
  <c r="AV44" i="15"/>
  <c r="CA110" i="1"/>
  <c r="CA99" i="1"/>
  <c r="DV23" i="11"/>
  <c r="AP55" i="11"/>
  <c r="AP76" i="11" s="1"/>
  <c r="EE57" i="11"/>
  <c r="L12" i="15"/>
  <c r="DF20" i="11"/>
  <c r="DF92" i="11"/>
  <c r="AG67" i="11"/>
  <c r="AG92" i="11" s="1"/>
  <c r="BC10" i="7"/>
  <c r="BC7" i="7"/>
  <c r="P44" i="7"/>
  <c r="P44" i="25"/>
  <c r="EY33" i="11"/>
  <c r="EU32" i="11"/>
  <c r="EU158" i="11" s="1"/>
  <c r="EU122" i="1" s="1"/>
  <c r="EU28" i="11"/>
  <c r="EX33" i="11"/>
  <c r="EI52" i="11"/>
  <c r="AQ52" i="11" s="1"/>
  <c r="AQ87" i="11" s="1"/>
  <c r="AV111" i="19"/>
  <c r="EL94" i="24"/>
  <c r="AR93" i="24"/>
  <c r="L93" i="24"/>
  <c r="ER94" i="24"/>
  <c r="AT93" i="24"/>
  <c r="AW93" i="24"/>
  <c r="FA94" i="24"/>
  <c r="AW13" i="1"/>
  <c r="EZ88" i="1"/>
  <c r="CL11" i="25"/>
  <c r="BL47" i="15"/>
  <c r="BL48" i="15"/>
  <c r="ES56" i="1"/>
  <c r="ES40" i="1"/>
  <c r="AV46" i="19"/>
  <c r="EW70" i="19"/>
  <c r="AV70" i="19" s="1"/>
  <c r="EW117" i="19"/>
  <c r="BK58" i="19"/>
  <c r="E29" i="15"/>
  <c r="BK37" i="15"/>
  <c r="BK36" i="15"/>
  <c r="R29" i="15"/>
  <c r="BJ34" i="15"/>
  <c r="BK92" i="15"/>
  <c r="DE55" i="19"/>
  <c r="DF18" i="15"/>
  <c r="L111" i="19"/>
  <c r="AT111" i="19"/>
  <c r="EQ129" i="19"/>
  <c r="L15" i="15"/>
  <c r="EX88" i="1"/>
  <c r="H139" i="11"/>
  <c r="AG139" i="11"/>
  <c r="DF162" i="11"/>
  <c r="AU28" i="11"/>
  <c r="ET17" i="11"/>
  <c r="ET35" i="1" s="1"/>
  <c r="ET29" i="11"/>
  <c r="ET30" i="11" s="1"/>
  <c r="AO102" i="24"/>
  <c r="EC103" i="24"/>
  <c r="L203" i="19"/>
  <c r="AG142" i="11"/>
  <c r="EX28" i="7" s="1"/>
  <c r="AW111" i="19"/>
  <c r="AW129" i="19" s="1"/>
  <c r="EZ129" i="19"/>
  <c r="ED119" i="1"/>
  <c r="DW23" i="11"/>
  <c r="DW46" i="1" s="1"/>
  <c r="AQ55" i="11"/>
  <c r="AQ76" i="11" s="1"/>
  <c r="EH57" i="11"/>
  <c r="AQ57" i="11" s="1"/>
  <c r="AQ88" i="11" s="1"/>
  <c r="EY13" i="1"/>
  <c r="AF145" i="11"/>
  <c r="EW31" i="7" s="1"/>
  <c r="EW10" i="7"/>
  <c r="AF132" i="11"/>
  <c r="EQ69" i="19"/>
  <c r="L36" i="15"/>
  <c r="L37" i="15"/>
  <c r="L34" i="15"/>
  <c r="AV61" i="19"/>
  <c r="EW259" i="19"/>
  <c r="AU93" i="24"/>
  <c r="EU94" i="24"/>
  <c r="DG124" i="11"/>
  <c r="AA38" i="29"/>
  <c r="DF130" i="11"/>
  <c r="AG130" i="11" s="1"/>
  <c r="AG129" i="11"/>
  <c r="AW62" i="19"/>
  <c r="EZ265" i="19"/>
  <c r="ET203" i="19"/>
  <c r="EZ70" i="19"/>
  <c r="AW70" i="19" s="1"/>
  <c r="EM70" i="11"/>
  <c r="AR70" i="11" s="1"/>
  <c r="AR72" i="11" s="1"/>
  <c r="AT44" i="15"/>
  <c r="L44" i="15"/>
  <c r="CD16" i="7"/>
  <c r="CD17" i="7" s="1"/>
  <c r="CO37" i="7"/>
  <c r="EZ69" i="19"/>
  <c r="AW69" i="19" s="1"/>
  <c r="CN7" i="25"/>
  <c r="AH55" i="35"/>
  <c r="AA72" i="34"/>
  <c r="AK51" i="35"/>
  <c r="DY108" i="24"/>
  <c r="AM107" i="24"/>
  <c r="AM126" i="24" s="1"/>
  <c r="DX126" i="24"/>
  <c r="DX14" i="24" s="1"/>
  <c r="DX15" i="24" s="1"/>
  <c r="AU61" i="19"/>
  <c r="ET259" i="19"/>
  <c r="AA40" i="29" l="1"/>
  <c r="AA43" i="29" s="1"/>
  <c r="AC123" i="26"/>
  <c r="AC124" i="26"/>
  <c r="AD100" i="26"/>
  <c r="AD101" i="26" s="1"/>
  <c r="EM55" i="11"/>
  <c r="EM57" i="11" s="1"/>
  <c r="EM74" i="11"/>
  <c r="EM77" i="11"/>
  <c r="EN75" i="11"/>
  <c r="DF126" i="1"/>
  <c r="DF163" i="11"/>
  <c r="J108" i="24"/>
  <c r="DZ109" i="24"/>
  <c r="AN108" i="24"/>
  <c r="DY126" i="24"/>
  <c r="DY14" i="24" s="1"/>
  <c r="DY15" i="24" s="1"/>
  <c r="EY88" i="1"/>
  <c r="J119" i="1"/>
  <c r="AO119" i="1"/>
  <c r="R34" i="15"/>
  <c r="R92" i="15"/>
  <c r="U36" i="15"/>
  <c r="U37" i="15"/>
  <c r="ES95" i="24"/>
  <c r="AT94" i="24"/>
  <c r="L94" i="24"/>
  <c r="DF43" i="1"/>
  <c r="AG20" i="11"/>
  <c r="H20" i="11"/>
  <c r="CN63" i="1"/>
  <c r="CN68" i="1" s="1"/>
  <c r="AQ59" i="2"/>
  <c r="EY95" i="24"/>
  <c r="AV94" i="24"/>
  <c r="ER88" i="1"/>
  <c r="AB30" i="29"/>
  <c r="CO34" i="29"/>
  <c r="CO37" i="29" s="1"/>
  <c r="ED110" i="24"/>
  <c r="AO109" i="24"/>
  <c r="E23" i="15"/>
  <c r="DD7" i="25" s="1"/>
  <c r="E91" i="15"/>
  <c r="E26" i="15"/>
  <c r="DD15" i="25" s="1"/>
  <c r="E25" i="15"/>
  <c r="DD14" i="25" s="1"/>
  <c r="DG129" i="11"/>
  <c r="DG139" i="11"/>
  <c r="DG162" i="11" s="1"/>
  <c r="DF42" i="19"/>
  <c r="DF12" i="15"/>
  <c r="DF40" i="15"/>
  <c r="DF14" i="15"/>
  <c r="DF15" i="15"/>
  <c r="DF90" i="15"/>
  <c r="AU13" i="1"/>
  <c r="ET88" i="1"/>
  <c r="AG162" i="11"/>
  <c r="EX25" i="7"/>
  <c r="DV46" i="1"/>
  <c r="AW259" i="19"/>
  <c r="EZ277" i="19"/>
  <c r="EL52" i="11"/>
  <c r="DE71" i="19"/>
  <c r="AU62" i="19"/>
  <c r="ET265" i="19"/>
  <c r="ET70" i="19"/>
  <c r="AU70" i="19" s="1"/>
  <c r="DD45" i="1"/>
  <c r="DD19" i="11"/>
  <c r="EC97" i="24"/>
  <c r="AO96" i="24"/>
  <c r="CZ71" i="1"/>
  <c r="AE65" i="1"/>
  <c r="AB13" i="29"/>
  <c r="AE14" i="29"/>
  <c r="DF83" i="1"/>
  <c r="AG44" i="1"/>
  <c r="DG40" i="11"/>
  <c r="EG119" i="1"/>
  <c r="AP119" i="1" s="1"/>
  <c r="EI119" i="1"/>
  <c r="ED104" i="24"/>
  <c r="AO103" i="24"/>
  <c r="H162" i="11"/>
  <c r="EU25" i="25"/>
  <c r="E34" i="15"/>
  <c r="DN7" i="25" s="1"/>
  <c r="E37" i="15"/>
  <c r="DN15" i="25" s="1"/>
  <c r="E36" i="15"/>
  <c r="DN14" i="25" s="1"/>
  <c r="E92" i="15"/>
  <c r="EM95" i="24"/>
  <c r="AR94" i="24"/>
  <c r="DE84" i="1"/>
  <c r="DE42" i="1"/>
  <c r="EI97" i="24"/>
  <c r="AQ96" i="24"/>
  <c r="BK42" i="19"/>
  <c r="BK14" i="15"/>
  <c r="R7" i="15"/>
  <c r="BJ12" i="15"/>
  <c r="BK40" i="15"/>
  <c r="E7" i="15"/>
  <c r="BK90" i="15"/>
  <c r="BK15" i="15"/>
  <c r="DC84" i="1"/>
  <c r="AF45" i="1"/>
  <c r="DC42" i="1"/>
  <c r="DH64" i="1"/>
  <c r="DH134" i="11"/>
  <c r="DH161" i="11" s="1"/>
  <c r="DH125" i="1" s="1"/>
  <c r="DH123" i="11"/>
  <c r="AP96" i="24"/>
  <c r="EF97" i="24"/>
  <c r="E50" i="19"/>
  <c r="E55" i="19" s="1"/>
  <c r="R50" i="19"/>
  <c r="R55" i="19" s="1"/>
  <c r="AW265" i="19"/>
  <c r="AU259" i="19"/>
  <c r="L69" i="19"/>
  <c r="AT69" i="19"/>
  <c r="DF50" i="19"/>
  <c r="DF23" i="15"/>
  <c r="DF25" i="15"/>
  <c r="DF91" i="15"/>
  <c r="DF26" i="15"/>
  <c r="R58" i="19"/>
  <c r="R63" i="19" s="1"/>
  <c r="E58" i="19"/>
  <c r="E63" i="19" s="1"/>
  <c r="FB95" i="24"/>
  <c r="AW95" i="24" s="1"/>
  <c r="AW94" i="24"/>
  <c r="BM27" i="7"/>
  <c r="BC8" i="7"/>
  <c r="CB106" i="1"/>
  <c r="CA113" i="1"/>
  <c r="AE19" i="7"/>
  <c r="H94" i="1"/>
  <c r="AB19" i="25" s="1"/>
  <c r="AV265" i="19"/>
  <c r="DF58" i="19"/>
  <c r="DF34" i="15"/>
  <c r="DF37" i="15"/>
  <c r="DF36" i="15"/>
  <c r="DF92" i="15"/>
  <c r="AT117" i="19"/>
  <c r="L117" i="19"/>
  <c r="L129" i="19" s="1"/>
  <c r="L13" i="1"/>
  <c r="DZ97" i="24"/>
  <c r="AN96" i="24"/>
  <c r="J96" i="24"/>
  <c r="DH39" i="11"/>
  <c r="DH112" i="11"/>
  <c r="DH106" i="11"/>
  <c r="DH160" i="11" s="1"/>
  <c r="DH124" i="1" s="1"/>
  <c r="DH97" i="11"/>
  <c r="BG6" i="7"/>
  <c r="BQ25" i="7"/>
  <c r="L259" i="19"/>
  <c r="AT259" i="19"/>
  <c r="EQ277" i="19"/>
  <c r="CP13" i="29"/>
  <c r="CQ9" i="29" s="1"/>
  <c r="CP30" i="29"/>
  <c r="CP34" i="29" s="1"/>
  <c r="CP37" i="29" s="1"/>
  <c r="CP38" i="29" s="1"/>
  <c r="AA76" i="34"/>
  <c r="AK55" i="35"/>
  <c r="AG141" i="11"/>
  <c r="EX27" i="7" s="1"/>
  <c r="EX14" i="7"/>
  <c r="DX65" i="11"/>
  <c r="AM15" i="24"/>
  <c r="EM69" i="11"/>
  <c r="EM51" i="11"/>
  <c r="EM72" i="11"/>
  <c r="EN70" i="11"/>
  <c r="AG149" i="11"/>
  <c r="EX15" i="7"/>
  <c r="EV95" i="24"/>
  <c r="AU94" i="24"/>
  <c r="EW18" i="7"/>
  <c r="EW17" i="7"/>
  <c r="AV117" i="19"/>
  <c r="AV129" i="19" s="1"/>
  <c r="CL38" i="25"/>
  <c r="EW129" i="19"/>
  <c r="AP57" i="11"/>
  <c r="AP88" i="11" s="1"/>
  <c r="AF93" i="1"/>
  <c r="AD18" i="7" s="1"/>
  <c r="AD17" i="7"/>
  <c r="FB88" i="1"/>
  <c r="EQ96" i="24"/>
  <c r="AS95" i="24"/>
  <c r="AT70" i="19"/>
  <c r="L70" i="19"/>
  <c r="DH60" i="11"/>
  <c r="DH79" i="11"/>
  <c r="DH157" i="11" s="1"/>
  <c r="BJ55" i="19"/>
  <c r="BJ18" i="15"/>
  <c r="ET56" i="1"/>
  <c r="AU35" i="1"/>
  <c r="ET40" i="1"/>
  <c r="EX32" i="11"/>
  <c r="EX158" i="11" s="1"/>
  <c r="EX122" i="1" s="1"/>
  <c r="EX28" i="11"/>
  <c r="AV33" i="11"/>
  <c r="DG67" i="11"/>
  <c r="AV13" i="1"/>
  <c r="EW88" i="1"/>
  <c r="EL55" i="11"/>
  <c r="EL74" i="11"/>
  <c r="EL155" i="11" s="1"/>
  <c r="EL77" i="11"/>
  <c r="AR75" i="11"/>
  <c r="AR77" i="11" s="1"/>
  <c r="L265" i="19"/>
  <c r="AT265" i="19"/>
  <c r="DI9" i="11"/>
  <c r="DI15" i="1"/>
  <c r="DJ9" i="1"/>
  <c r="DI29" i="1"/>
  <c r="EJ95" i="24"/>
  <c r="AQ94" i="24"/>
  <c r="K94" i="24"/>
  <c r="L63" i="19"/>
  <c r="R23" i="15"/>
  <c r="R91" i="15"/>
  <c r="U25" i="15"/>
  <c r="U26" i="15"/>
  <c r="EY32" i="11"/>
  <c r="EY28" i="11"/>
  <c r="EZ33" i="11"/>
  <c r="EA104" i="24"/>
  <c r="AN103" i="24"/>
  <c r="J103" i="24"/>
  <c r="AV259" i="19"/>
  <c r="AV277" i="19" s="1"/>
  <c r="EW277" i="19"/>
  <c r="AU34" i="11"/>
  <c r="AU17" i="11"/>
  <c r="AU29" i="11"/>
  <c r="AU30" i="11" s="1"/>
  <c r="AT129" i="19"/>
  <c r="BJ63" i="19"/>
  <c r="BJ29" i="15"/>
  <c r="EU17" i="11"/>
  <c r="EU35" i="1" s="1"/>
  <c r="EU29" i="11"/>
  <c r="EU30" i="11" s="1"/>
  <c r="L47" i="15"/>
  <c r="L48" i="15"/>
  <c r="L45" i="15"/>
  <c r="DG102" i="11"/>
  <c r="EY277" i="19"/>
  <c r="DI10" i="11"/>
  <c r="AL46" i="1"/>
  <c r="DF16" i="11"/>
  <c r="DF34" i="1" s="1"/>
  <c r="DF42" i="11"/>
  <c r="AG41" i="11"/>
  <c r="AG16" i="11" s="1"/>
  <c r="AC126" i="26" l="1"/>
  <c r="AC164" i="26"/>
  <c r="AC163" i="26" s="1"/>
  <c r="AD110" i="26"/>
  <c r="AD120" i="26"/>
  <c r="DX23" i="11"/>
  <c r="AM65" i="11"/>
  <c r="AE75" i="1"/>
  <c r="T46" i="7"/>
  <c r="T46" i="25"/>
  <c r="DG130" i="11"/>
  <c r="L88" i="1"/>
  <c r="DF57" i="1"/>
  <c r="DF82" i="1"/>
  <c r="DF85" i="1"/>
  <c r="DF54" i="1"/>
  <c r="AG43" i="1"/>
  <c r="DI94" i="1"/>
  <c r="H43" i="1"/>
  <c r="H126" i="1"/>
  <c r="H127" i="1" s="1"/>
  <c r="H100" i="1" s="1"/>
  <c r="CL17" i="25" s="1"/>
  <c r="AG126" i="1"/>
  <c r="AG127" i="1" s="1"/>
  <c r="EL119" i="1"/>
  <c r="AT96" i="24"/>
  <c r="ER97" i="24"/>
  <c r="L71" i="19"/>
  <c r="EG98" i="24"/>
  <c r="AP97" i="24"/>
  <c r="DE48" i="1"/>
  <c r="DE65" i="1"/>
  <c r="DE71" i="1" s="1"/>
  <c r="DG45" i="11"/>
  <c r="DG41" i="11"/>
  <c r="CZ91" i="1"/>
  <c r="CZ102" i="1"/>
  <c r="DA90" i="1"/>
  <c r="DB90" i="1"/>
  <c r="CZ90" i="1"/>
  <c r="AE71" i="1"/>
  <c r="AU265" i="19"/>
  <c r="EE111" i="24"/>
  <c r="AO110" i="24"/>
  <c r="DF46" i="11"/>
  <c r="AG42" i="11"/>
  <c r="AG46" i="11" s="1"/>
  <c r="EY17" i="11"/>
  <c r="EY35" i="1" s="1"/>
  <c r="EY29" i="11"/>
  <c r="EY30" i="11" s="1"/>
  <c r="EK96" i="24"/>
  <c r="AQ95" i="24"/>
  <c r="K95" i="24"/>
  <c r="EL57" i="11"/>
  <c r="AR55" i="11"/>
  <c r="AR76" i="11" s="1"/>
  <c r="EN69" i="11"/>
  <c r="EN156" i="11" s="1"/>
  <c r="EN120" i="1" s="1"/>
  <c r="EN51" i="11"/>
  <c r="EN72" i="11"/>
  <c r="EO70" i="11"/>
  <c r="AT277" i="19"/>
  <c r="E12" i="15"/>
  <c r="CT7" i="25" s="1"/>
  <c r="E14" i="15"/>
  <c r="CT14" i="25" s="1"/>
  <c r="E90" i="15"/>
  <c r="E15" i="15"/>
  <c r="CT15" i="25" s="1"/>
  <c r="DO8" i="25"/>
  <c r="AY10" i="7"/>
  <c r="AY11" i="7" s="1"/>
  <c r="AG83" i="1"/>
  <c r="BS21" i="7"/>
  <c r="EZ96" i="24"/>
  <c r="AV95" i="24"/>
  <c r="EZ32" i="11"/>
  <c r="EZ158" i="11" s="1"/>
  <c r="EZ122" i="1" s="1"/>
  <c r="EZ28" i="11"/>
  <c r="FA33" i="11"/>
  <c r="EX17" i="11"/>
  <c r="EX35" i="1" s="1"/>
  <c r="EX29" i="11"/>
  <c r="EX30" i="11" s="1"/>
  <c r="AV28" i="11"/>
  <c r="DF33" i="1"/>
  <c r="DF55" i="1"/>
  <c r="DF39" i="1"/>
  <c r="AG34" i="1"/>
  <c r="AV32" i="11"/>
  <c r="AV158" i="11" s="1"/>
  <c r="EY158" i="11"/>
  <c r="EY122" i="1" s="1"/>
  <c r="AV122" i="1" s="1"/>
  <c r="AV88" i="1"/>
  <c r="CL44" i="25"/>
  <c r="DH98" i="11"/>
  <c r="CB110" i="1"/>
  <c r="CB99" i="1"/>
  <c r="R40" i="15"/>
  <c r="E40" i="15"/>
  <c r="BK47" i="15"/>
  <c r="BK48" i="15"/>
  <c r="CO38" i="29"/>
  <c r="AT88" i="1"/>
  <c r="DY65" i="11"/>
  <c r="EN55" i="11"/>
  <c r="EN74" i="11"/>
  <c r="EN155" i="11" s="1"/>
  <c r="EN77" i="11"/>
  <c r="EO75" i="11"/>
  <c r="EU56" i="1"/>
  <c r="EU40" i="1"/>
  <c r="DI38" i="11"/>
  <c r="DI28" i="1"/>
  <c r="AH29" i="1"/>
  <c r="DH121" i="1"/>
  <c r="EM52" i="11"/>
  <c r="L277" i="19"/>
  <c r="EA98" i="24"/>
  <c r="AN97" i="24"/>
  <c r="J97" i="24"/>
  <c r="ET277" i="19"/>
  <c r="DC48" i="1"/>
  <c r="AF48" i="1" s="1"/>
  <c r="AF42" i="1"/>
  <c r="BR19" i="7" s="1"/>
  <c r="DC65" i="1"/>
  <c r="BJ47" i="19"/>
  <c r="BJ71" i="19" s="1"/>
  <c r="BJ45" i="15"/>
  <c r="BJ7" i="15"/>
  <c r="EN96" i="24"/>
  <c r="AR95" i="24"/>
  <c r="H164" i="11"/>
  <c r="CL14" i="25"/>
  <c r="H163" i="11"/>
  <c r="ED98" i="24"/>
  <c r="AO97" i="24"/>
  <c r="AR51" i="11"/>
  <c r="AR71" i="11" s="1"/>
  <c r="AW277" i="19"/>
  <c r="CO14" i="7"/>
  <c r="AG163" i="11"/>
  <c r="DF47" i="15"/>
  <c r="DF48" i="15"/>
  <c r="AB34" i="29"/>
  <c r="AE35" i="29"/>
  <c r="ET96" i="24"/>
  <c r="L96" i="24" s="1"/>
  <c r="L95" i="24"/>
  <c r="AT95" i="24"/>
  <c r="DH61" i="11"/>
  <c r="DH62" i="11" s="1"/>
  <c r="EM156" i="11"/>
  <c r="EM120" i="1" s="1"/>
  <c r="AR120" i="1" s="1"/>
  <c r="AR69" i="11"/>
  <c r="AR156" i="11" s="1"/>
  <c r="DH101" i="11"/>
  <c r="DH111" i="11"/>
  <c r="DH159" i="11" s="1"/>
  <c r="DH123" i="1" s="1"/>
  <c r="L98" i="1"/>
  <c r="L97" i="1"/>
  <c r="L14" i="1"/>
  <c r="DF55" i="19"/>
  <c r="DG18" i="15"/>
  <c r="BR22" i="7"/>
  <c r="AF84" i="1"/>
  <c r="AX14" i="7"/>
  <c r="AX15" i="7" s="1"/>
  <c r="R12" i="15"/>
  <c r="U15" i="15"/>
  <c r="U14" i="15"/>
  <c r="R90" i="15"/>
  <c r="AR52" i="11"/>
  <c r="AR87" i="11" s="1"/>
  <c r="AU88" i="1"/>
  <c r="DF47" i="19"/>
  <c r="DF45" i="15"/>
  <c r="DG7" i="15"/>
  <c r="CO63" i="1"/>
  <c r="AR59" i="2"/>
  <c r="AW88" i="1"/>
  <c r="AN109" i="24"/>
  <c r="J109" i="24"/>
  <c r="EA110" i="24"/>
  <c r="DZ126" i="24"/>
  <c r="DZ14" i="24" s="1"/>
  <c r="DZ15" i="24" s="1"/>
  <c r="DZ65" i="11" s="1"/>
  <c r="AR74" i="11"/>
  <c r="AR155" i="11" s="1"/>
  <c r="EM155" i="11"/>
  <c r="BJ50" i="19"/>
  <c r="BJ25" i="15"/>
  <c r="BI23" i="15"/>
  <c r="BJ91" i="15"/>
  <c r="BJ26" i="15"/>
  <c r="EJ98" i="24"/>
  <c r="AQ97" i="24"/>
  <c r="EE105" i="24"/>
  <c r="AO104" i="24"/>
  <c r="DD84" i="1"/>
  <c r="DD42" i="1"/>
  <c r="DF66" i="19"/>
  <c r="BJ58" i="19"/>
  <c r="BJ37" i="15"/>
  <c r="BI34" i="15"/>
  <c r="BJ92" i="15"/>
  <c r="BJ36" i="15"/>
  <c r="DJ10" i="11"/>
  <c r="DJ14" i="1"/>
  <c r="AI9" i="1"/>
  <c r="DJ97" i="1"/>
  <c r="DJ98" i="1"/>
  <c r="AU56" i="1"/>
  <c r="AU40" i="1"/>
  <c r="DI80" i="11"/>
  <c r="DI107" i="11"/>
  <c r="DI135" i="11"/>
  <c r="AH10" i="11"/>
  <c r="EB105" i="24"/>
  <c r="AN104" i="24"/>
  <c r="J104" i="24"/>
  <c r="DG20" i="11"/>
  <c r="DG92" i="11"/>
  <c r="EW96" i="24"/>
  <c r="AU95" i="24"/>
  <c r="CQ13" i="29"/>
  <c r="CR9" i="29" s="1"/>
  <c r="CQ30" i="29"/>
  <c r="CQ34" i="29" s="1"/>
  <c r="CQ37" i="29" s="1"/>
  <c r="CQ38" i="29" s="1"/>
  <c r="DF63" i="19"/>
  <c r="DG29" i="15"/>
  <c r="DG104" i="11"/>
  <c r="DG21" i="11" s="1"/>
  <c r="AU277" i="19"/>
  <c r="DH124" i="11"/>
  <c r="E42" i="19"/>
  <c r="E47" i="19" s="1"/>
  <c r="R42" i="19"/>
  <c r="R47" i="19" s="1"/>
  <c r="BK66" i="19"/>
  <c r="DG126" i="1"/>
  <c r="DG163" i="11"/>
  <c r="DE8" i="25"/>
  <c r="DF144" i="11"/>
  <c r="DF127" i="1"/>
  <c r="AD112" i="26" l="1"/>
  <c r="AD121" i="26"/>
  <c r="DH40" i="11"/>
  <c r="DJ80" i="11"/>
  <c r="DJ107" i="11"/>
  <c r="DJ135" i="11"/>
  <c r="EF106" i="24"/>
  <c r="AP105" i="24"/>
  <c r="DH67" i="11"/>
  <c r="DF125" i="11"/>
  <c r="H144" i="11"/>
  <c r="EU30" i="25" s="1"/>
  <c r="AG144" i="11"/>
  <c r="EX30" i="7" s="1"/>
  <c r="CR13" i="29"/>
  <c r="CS9" i="29" s="1"/>
  <c r="CR30" i="29"/>
  <c r="AC9" i="29"/>
  <c r="AO105" i="24"/>
  <c r="EC106" i="24"/>
  <c r="J105" i="24"/>
  <c r="EM119" i="1"/>
  <c r="AR119" i="1" s="1"/>
  <c r="BJ42" i="19"/>
  <c r="BJ66" i="19" s="1"/>
  <c r="BI12" i="15"/>
  <c r="BJ40" i="15"/>
  <c r="BJ90" i="15"/>
  <c r="BJ15" i="15"/>
  <c r="BJ14" i="15"/>
  <c r="EO74" i="11"/>
  <c r="EO155" i="11" s="1"/>
  <c r="EO55" i="11"/>
  <c r="EO77" i="11"/>
  <c r="EP75" i="11"/>
  <c r="AG55" i="1"/>
  <c r="U11" i="7"/>
  <c r="BS11" i="7"/>
  <c r="AG39" i="1"/>
  <c r="EY56" i="1"/>
  <c r="EY40" i="1"/>
  <c r="EK99" i="24"/>
  <c r="AQ98" i="24"/>
  <c r="AB63" i="1"/>
  <c r="AB68" i="1" s="1"/>
  <c r="CO68" i="1"/>
  <c r="H174" i="11"/>
  <c r="H169" i="11"/>
  <c r="H167" i="11"/>
  <c r="H166" i="11"/>
  <c r="H168" i="11"/>
  <c r="H172" i="11"/>
  <c r="H171" i="11"/>
  <c r="H170" i="11"/>
  <c r="EB99" i="24"/>
  <c r="AN98" i="24"/>
  <c r="J98" i="24"/>
  <c r="AH52" i="1"/>
  <c r="CC106" i="1"/>
  <c r="CB113" i="1"/>
  <c r="EX56" i="1"/>
  <c r="EX40" i="1"/>
  <c r="AV35" i="1"/>
  <c r="FA97" i="24"/>
  <c r="AW96" i="24"/>
  <c r="DE91" i="1"/>
  <c r="DE102" i="1"/>
  <c r="EX97" i="24"/>
  <c r="AV96" i="24"/>
  <c r="BI63" i="19"/>
  <c r="BI29" i="15"/>
  <c r="DZ23" i="11"/>
  <c r="DZ46" i="1" s="1"/>
  <c r="DG50" i="19"/>
  <c r="AH50" i="19" s="1"/>
  <c r="AH55" i="19" s="1"/>
  <c r="AH18" i="15"/>
  <c r="DG23" i="15"/>
  <c r="DG26" i="15"/>
  <c r="DG25" i="15"/>
  <c r="DG91" i="15"/>
  <c r="DH102" i="11"/>
  <c r="DH104" i="11" s="1"/>
  <c r="DH21" i="11" s="1"/>
  <c r="CL39" i="25"/>
  <c r="CL40" i="25" s="1"/>
  <c r="CL15" i="25"/>
  <c r="EN119" i="1"/>
  <c r="AB38" i="29"/>
  <c r="AE110" i="26" s="1"/>
  <c r="AE112" i="26" s="1"/>
  <c r="FA32" i="11"/>
  <c r="FA158" i="11" s="1"/>
  <c r="FA122" i="1" s="1"/>
  <c r="FA28" i="11"/>
  <c r="FB33" i="11"/>
  <c r="CU8" i="25"/>
  <c r="CO39" i="7"/>
  <c r="CO40" i="7" s="1"/>
  <c r="CO15" i="7"/>
  <c r="DC71" i="1"/>
  <c r="AF65" i="1"/>
  <c r="DI64" i="1"/>
  <c r="AH28" i="1"/>
  <c r="AB37" i="29"/>
  <c r="DF81" i="1"/>
  <c r="DF37" i="1"/>
  <c r="DF38" i="1"/>
  <c r="AG33" i="1"/>
  <c r="EZ17" i="11"/>
  <c r="EZ35" i="1" s="1"/>
  <c r="EZ29" i="11"/>
  <c r="EZ30" i="11" s="1"/>
  <c r="AR57" i="11"/>
  <c r="AR88" i="11" s="1"/>
  <c r="DX46" i="1"/>
  <c r="AM23" i="11"/>
  <c r="DD48" i="1"/>
  <c r="DD65" i="1"/>
  <c r="AN110" i="24"/>
  <c r="AN126" i="24" s="1"/>
  <c r="J110" i="24"/>
  <c r="EB111" i="24"/>
  <c r="EA126" i="24"/>
  <c r="EA14" i="24" s="1"/>
  <c r="EA15" i="24" s="1"/>
  <c r="EA65" i="11" s="1"/>
  <c r="L9" i="11"/>
  <c r="L15" i="1"/>
  <c r="AU96" i="24"/>
  <c r="EU97" i="24"/>
  <c r="H173" i="11"/>
  <c r="EN57" i="11"/>
  <c r="EO69" i="11"/>
  <c r="EO156" i="11" s="1"/>
  <c r="EO120" i="1" s="1"/>
  <c r="EO51" i="11"/>
  <c r="EO72" i="11"/>
  <c r="EP70" i="11"/>
  <c r="EF112" i="24"/>
  <c r="AP111" i="24"/>
  <c r="AG82" i="1"/>
  <c r="AG85" i="1"/>
  <c r="AY6" i="7"/>
  <c r="AY7" i="7" s="1"/>
  <c r="BS20" i="7"/>
  <c r="CD7" i="7"/>
  <c r="AE14" i="7"/>
  <c r="AE15" i="7" s="1"/>
  <c r="AG57" i="1"/>
  <c r="AG54" i="1"/>
  <c r="AH94" i="1"/>
  <c r="R66" i="19"/>
  <c r="R71" i="19" s="1"/>
  <c r="E66" i="19"/>
  <c r="E71" i="19" s="1"/>
  <c r="DG58" i="19"/>
  <c r="AH58" i="19" s="1"/>
  <c r="AH63" i="19" s="1"/>
  <c r="AH29" i="15"/>
  <c r="DG34" i="15"/>
  <c r="DG92" i="15"/>
  <c r="DG36" i="15"/>
  <c r="DG37" i="15"/>
  <c r="DG43" i="1"/>
  <c r="DI134" i="11"/>
  <c r="DI123" i="11"/>
  <c r="AH135" i="11"/>
  <c r="AH137" i="11" s="1"/>
  <c r="AI14" i="1"/>
  <c r="AL97" i="1"/>
  <c r="AL98" i="1"/>
  <c r="BI55" i="19"/>
  <c r="BI18" i="15"/>
  <c r="DF71" i="19"/>
  <c r="BH6" i="7"/>
  <c r="BR25" i="7"/>
  <c r="DI39" i="11"/>
  <c r="AH38" i="11"/>
  <c r="DY23" i="11"/>
  <c r="AE91" i="1"/>
  <c r="AE102" i="1"/>
  <c r="AE89" i="1"/>
  <c r="AE90" i="1"/>
  <c r="DG16" i="11"/>
  <c r="DG34" i="1" s="1"/>
  <c r="DG42" i="11"/>
  <c r="EH99" i="24"/>
  <c r="AP98" i="24"/>
  <c r="AG100" i="1"/>
  <c r="CO17" i="7" s="1"/>
  <c r="AG101" i="1"/>
  <c r="CO18" i="7" s="1"/>
  <c r="DG42" i="19"/>
  <c r="AH7" i="15"/>
  <c r="DG12" i="15"/>
  <c r="DG40" i="15"/>
  <c r="DG15" i="15"/>
  <c r="DG14" i="15"/>
  <c r="DG90" i="15"/>
  <c r="DG44" i="1"/>
  <c r="DI97" i="11"/>
  <c r="DI106" i="11"/>
  <c r="DI112" i="11"/>
  <c r="AH107" i="11"/>
  <c r="AH109" i="11" s="1"/>
  <c r="DJ9" i="11"/>
  <c r="DJ15" i="1"/>
  <c r="DK9" i="1"/>
  <c r="DJ29" i="1"/>
  <c r="EO97" i="24"/>
  <c r="AS96" i="24"/>
  <c r="DH140" i="11"/>
  <c r="E45" i="15"/>
  <c r="DX7" i="25" s="1"/>
  <c r="E48" i="15"/>
  <c r="DX15" i="25" s="1"/>
  <c r="E47" i="15"/>
  <c r="DX14" i="25" s="1"/>
  <c r="EN52" i="11"/>
  <c r="AR96" i="24"/>
  <c r="EL97" i="24"/>
  <c r="K96" i="24"/>
  <c r="DF100" i="1"/>
  <c r="DF101" i="1"/>
  <c r="DG144" i="11"/>
  <c r="DG127" i="1"/>
  <c r="DI60" i="11"/>
  <c r="DI79" i="11"/>
  <c r="AH80" i="11"/>
  <c r="EE99" i="24"/>
  <c r="AO98" i="24"/>
  <c r="R45" i="15"/>
  <c r="U47" i="15"/>
  <c r="U48" i="15"/>
  <c r="AV34" i="11"/>
  <c r="AV17" i="11"/>
  <c r="AV29" i="11"/>
  <c r="AV30" i="11" s="1"/>
  <c r="ES98" i="24"/>
  <c r="L97" i="24"/>
  <c r="AT97" i="24"/>
  <c r="AB14" i="25"/>
  <c r="AB15" i="25" s="1"/>
  <c r="CA7" i="25"/>
  <c r="AV6" i="25"/>
  <c r="BP20" i="25"/>
  <c r="H57" i="1"/>
  <c r="H54" i="1"/>
  <c r="AB40" i="29" l="1"/>
  <c r="AB43" i="29" s="1"/>
  <c r="AD124" i="26"/>
  <c r="AD123" i="26"/>
  <c r="DH44" i="1"/>
  <c r="DH83" i="1" s="1"/>
  <c r="DG100" i="1"/>
  <c r="DG101" i="1"/>
  <c r="EG113" i="24"/>
  <c r="AP112" i="24"/>
  <c r="EA23" i="11"/>
  <c r="FB32" i="11"/>
  <c r="FB28" i="11"/>
  <c r="AW33" i="11"/>
  <c r="DG55" i="19"/>
  <c r="DH18" i="15"/>
  <c r="EY98" i="24"/>
  <c r="AV97" i="24"/>
  <c r="DF132" i="11"/>
  <c r="DF22" i="11" s="1"/>
  <c r="AG125" i="11"/>
  <c r="DJ60" i="11"/>
  <c r="DJ79" i="11"/>
  <c r="DJ157" i="11" s="1"/>
  <c r="DJ38" i="11"/>
  <c r="DJ28" i="1"/>
  <c r="AO111" i="24"/>
  <c r="EC112" i="24"/>
  <c r="J111" i="24"/>
  <c r="EB126" i="24"/>
  <c r="EB14" i="24" s="1"/>
  <c r="EB15" i="24" s="1"/>
  <c r="AM46" i="1"/>
  <c r="FA17" i="11"/>
  <c r="FA35" i="1" s="1"/>
  <c r="FA29" i="11"/>
  <c r="FA30" i="11" s="1"/>
  <c r="EK28" i="25"/>
  <c r="CL42" i="25"/>
  <c r="AH23" i="15"/>
  <c r="AK26" i="15"/>
  <c r="AH91" i="15"/>
  <c r="AK25" i="15"/>
  <c r="BJ47" i="15"/>
  <c r="BJ48" i="15"/>
  <c r="ED107" i="24"/>
  <c r="AO106" i="24"/>
  <c r="J106" i="24"/>
  <c r="DH20" i="11"/>
  <c r="DH92" i="11"/>
  <c r="AI9" i="11"/>
  <c r="AI15" i="1"/>
  <c r="EP69" i="11"/>
  <c r="EP51" i="11"/>
  <c r="EP72" i="11"/>
  <c r="EQ70" i="11"/>
  <c r="ER70" i="11"/>
  <c r="ES70" i="11" s="1"/>
  <c r="AS70" i="11"/>
  <c r="AS72" i="11" s="1"/>
  <c r="DF92" i="1"/>
  <c r="DF93" i="1" s="1"/>
  <c r="AG37" i="1"/>
  <c r="AF75" i="1"/>
  <c r="U46" i="25"/>
  <c r="U46" i="7"/>
  <c r="FB98" i="24"/>
  <c r="AW98" i="24" s="1"/>
  <c r="AW97" i="24"/>
  <c r="EP74" i="11"/>
  <c r="EP55" i="11"/>
  <c r="EP77" i="11"/>
  <c r="ES75" i="11"/>
  <c r="EQ75" i="11"/>
  <c r="ER75" i="11"/>
  <c r="ET75" i="11"/>
  <c r="AS75" i="11"/>
  <c r="AS77" i="11" s="1"/>
  <c r="BI47" i="19"/>
  <c r="BI71" i="19" s="1"/>
  <c r="BI7" i="15"/>
  <c r="BI45" i="15"/>
  <c r="AH39" i="11"/>
  <c r="AP99" i="24"/>
  <c r="EF100" i="24"/>
  <c r="AV56" i="1"/>
  <c r="AV40" i="1"/>
  <c r="EL100" i="24"/>
  <c r="AR99" i="24"/>
  <c r="AC13" i="29"/>
  <c r="AF14" i="29"/>
  <c r="EP98" i="24"/>
  <c r="AS97" i="24"/>
  <c r="DG125" i="11"/>
  <c r="AH106" i="11"/>
  <c r="AH160" i="11" s="1"/>
  <c r="DI160" i="11"/>
  <c r="DI124" i="1" s="1"/>
  <c r="AH124" i="1" s="1"/>
  <c r="DI98" i="11"/>
  <c r="AH97" i="11"/>
  <c r="DG47" i="19"/>
  <c r="DH7" i="15"/>
  <c r="DG45" i="15"/>
  <c r="DG83" i="1"/>
  <c r="AH12" i="15"/>
  <c r="AH90" i="15"/>
  <c r="AK14" i="15"/>
  <c r="AK15" i="15"/>
  <c r="EO52" i="11"/>
  <c r="K51" i="11"/>
  <c r="DD71" i="1"/>
  <c r="AH64" i="1"/>
  <c r="EO57" i="11"/>
  <c r="K55" i="11"/>
  <c r="AC30" i="29"/>
  <c r="CR34" i="29"/>
  <c r="CR37" i="29" s="1"/>
  <c r="DG33" i="1"/>
  <c r="DG55" i="1"/>
  <c r="DG39" i="1"/>
  <c r="EM98" i="24"/>
  <c r="AR97" i="24"/>
  <c r="K97" i="24"/>
  <c r="AN65" i="11"/>
  <c r="DI124" i="11"/>
  <c r="AH123" i="11"/>
  <c r="EZ56" i="1"/>
  <c r="EZ40" i="1"/>
  <c r="CO42" i="7"/>
  <c r="EN28" i="7"/>
  <c r="BI58" i="19"/>
  <c r="BI36" i="15"/>
  <c r="BH34" i="15"/>
  <c r="BI37" i="15"/>
  <c r="BI92" i="15"/>
  <c r="EC100" i="24"/>
  <c r="AO99" i="24"/>
  <c r="J99" i="24"/>
  <c r="EO119" i="1"/>
  <c r="CS13" i="29"/>
  <c r="CT9" i="29" s="1"/>
  <c r="CS30" i="29"/>
  <c r="CS34" i="29" s="1"/>
  <c r="CS37" i="29" s="1"/>
  <c r="CS38" i="29" s="1"/>
  <c r="EG107" i="24"/>
  <c r="AP106" i="24"/>
  <c r="DH45" i="11"/>
  <c r="DH41" i="11"/>
  <c r="AH40" i="15"/>
  <c r="DG47" i="15"/>
  <c r="DG48" i="15"/>
  <c r="DY8" i="25"/>
  <c r="ET99" i="24"/>
  <c r="AT98" i="24"/>
  <c r="L98" i="24"/>
  <c r="AQ99" i="24"/>
  <c r="EI100" i="24"/>
  <c r="AN23" i="11"/>
  <c r="DY46" i="1"/>
  <c r="BI50" i="19"/>
  <c r="BH23" i="15"/>
  <c r="BI26" i="15"/>
  <c r="BI25" i="15"/>
  <c r="BI91" i="15"/>
  <c r="DI161" i="11"/>
  <c r="DI125" i="1" s="1"/>
  <c r="AH125" i="1" s="1"/>
  <c r="AH134" i="11"/>
  <c r="AH161" i="11" s="1"/>
  <c r="DG63" i="19"/>
  <c r="DH29" i="15"/>
  <c r="AW28" i="11"/>
  <c r="CP63" i="1"/>
  <c r="CP68" i="1" s="1"/>
  <c r="AS59" i="2"/>
  <c r="U16" i="7"/>
  <c r="BS16" i="7"/>
  <c r="DJ134" i="11"/>
  <c r="DJ161" i="11" s="1"/>
  <c r="DJ125" i="1" s="1"/>
  <c r="DJ123" i="11"/>
  <c r="DI101" i="11"/>
  <c r="DI111" i="11"/>
  <c r="AH112" i="11"/>
  <c r="AH114" i="11" s="1"/>
  <c r="DK10" i="11"/>
  <c r="DK14" i="1"/>
  <c r="DK97" i="1"/>
  <c r="DK98" i="1"/>
  <c r="EV98" i="24"/>
  <c r="AU97" i="24"/>
  <c r="DC91" i="1"/>
  <c r="DC102" i="1"/>
  <c r="AF71" i="1"/>
  <c r="DC90" i="1"/>
  <c r="DD90" i="1"/>
  <c r="DE90" i="1"/>
  <c r="AN15" i="24"/>
  <c r="AH42" i="19"/>
  <c r="AH47" i="19" s="1"/>
  <c r="DG66" i="19"/>
  <c r="AH66" i="19" s="1"/>
  <c r="AH71" i="19" s="1"/>
  <c r="DI157" i="11"/>
  <c r="AH79" i="11"/>
  <c r="DH129" i="11"/>
  <c r="DH139" i="11"/>
  <c r="DH162" i="11" s="1"/>
  <c r="DI61" i="11"/>
  <c r="AH60" i="11"/>
  <c r="AH81" i="11" s="1"/>
  <c r="DG46" i="11"/>
  <c r="DG82" i="1"/>
  <c r="DG85" i="1"/>
  <c r="DG57" i="1"/>
  <c r="DG54" i="1"/>
  <c r="DJ94" i="1"/>
  <c r="AH34" i="15"/>
  <c r="AK36" i="15"/>
  <c r="AH92" i="15"/>
  <c r="AK37" i="15"/>
  <c r="AG81" i="1"/>
  <c r="BS10" i="7"/>
  <c r="U10" i="7"/>
  <c r="AG38" i="1"/>
  <c r="CC110" i="1"/>
  <c r="CC99" i="1"/>
  <c r="BD7" i="7"/>
  <c r="Q44" i="7"/>
  <c r="BD10" i="7"/>
  <c r="Q44" i="25"/>
  <c r="DJ97" i="11"/>
  <c r="DJ106" i="11"/>
  <c r="DJ160" i="11" s="1"/>
  <c r="DJ124" i="1" s="1"/>
  <c r="DJ112" i="11"/>
  <c r="AD126" i="26" l="1"/>
  <c r="AD164" i="26"/>
  <c r="AD163" i="26" s="1"/>
  <c r="AE120" i="26"/>
  <c r="AE97" i="26"/>
  <c r="AE87" i="26" s="1"/>
  <c r="ES69" i="11"/>
  <c r="ES51" i="11"/>
  <c r="ES72" i="11"/>
  <c r="ET70" i="11"/>
  <c r="BN27" i="7"/>
  <c r="BD8" i="7"/>
  <c r="AH61" i="11"/>
  <c r="AH89" i="11" s="1"/>
  <c r="DK9" i="11"/>
  <c r="DK15" i="1"/>
  <c r="DL9" i="1"/>
  <c r="DK29" i="1"/>
  <c r="DD91" i="1"/>
  <c r="DD102" i="1"/>
  <c r="EG101" i="24"/>
  <c r="AP100" i="24"/>
  <c r="EP57" i="11"/>
  <c r="AS57" i="11" s="1"/>
  <c r="AS88" i="11" s="1"/>
  <c r="AS55" i="11"/>
  <c r="AS76" i="11" s="1"/>
  <c r="EZ99" i="24"/>
  <c r="AV98" i="24"/>
  <c r="DK80" i="11"/>
  <c r="DK107" i="11"/>
  <c r="DK135" i="11"/>
  <c r="EJ101" i="24"/>
  <c r="AQ100" i="24"/>
  <c r="AH136" i="11"/>
  <c r="EQ99" i="24"/>
  <c r="AS98" i="24"/>
  <c r="K74" i="11"/>
  <c r="K155" i="11" s="1"/>
  <c r="AS74" i="11"/>
  <c r="AS155" i="11" s="1"/>
  <c r="EP155" i="11"/>
  <c r="EB65" i="11"/>
  <c r="DJ39" i="11"/>
  <c r="DH50" i="19"/>
  <c r="DH23" i="15"/>
  <c r="DH91" i="15"/>
  <c r="DH25" i="15"/>
  <c r="DH26" i="15"/>
  <c r="AH124" i="11"/>
  <c r="AH148" i="11" s="1"/>
  <c r="AH98" i="11"/>
  <c r="AH117" i="11" s="1"/>
  <c r="ET55" i="11"/>
  <c r="ET74" i="11"/>
  <c r="ET155" i="11" s="1"/>
  <c r="ET77" i="11"/>
  <c r="EP52" i="11"/>
  <c r="AS51" i="11"/>
  <c r="AS71" i="11" s="1"/>
  <c r="DH43" i="1"/>
  <c r="DJ121" i="1"/>
  <c r="EH114" i="24"/>
  <c r="AP113" i="24"/>
  <c r="DH126" i="1"/>
  <c r="DH163" i="11"/>
  <c r="EH108" i="24"/>
  <c r="AP107" i="24"/>
  <c r="AH44" i="11"/>
  <c r="AH47" i="11"/>
  <c r="ER74" i="11"/>
  <c r="ER155" i="11" s="1"/>
  <c r="ER55" i="11"/>
  <c r="ER57" i="11" s="1"/>
  <c r="ER77" i="11"/>
  <c r="AS69" i="11"/>
  <c r="AS156" i="11" s="1"/>
  <c r="EP156" i="11"/>
  <c r="EP120" i="1" s="1"/>
  <c r="K69" i="11"/>
  <c r="K156" i="11" s="1"/>
  <c r="AO112" i="24"/>
  <c r="ED113" i="24"/>
  <c r="J112" i="24"/>
  <c r="EC126" i="24"/>
  <c r="EC14" i="24" s="1"/>
  <c r="EC15" i="24" s="1"/>
  <c r="EC65" i="11" s="1"/>
  <c r="DJ62" i="11"/>
  <c r="DJ61" i="11"/>
  <c r="DJ67" i="11"/>
  <c r="CD106" i="1"/>
  <c r="CC113" i="1"/>
  <c r="U15" i="7"/>
  <c r="BS15" i="7"/>
  <c r="AG92" i="1"/>
  <c r="DJ98" i="11"/>
  <c r="DH130" i="11"/>
  <c r="DI159" i="11"/>
  <c r="DI123" i="1" s="1"/>
  <c r="AH123" i="1" s="1"/>
  <c r="AH111" i="11"/>
  <c r="AH159" i="11" s="1"/>
  <c r="CQ63" i="1"/>
  <c r="CQ68" i="1" s="1"/>
  <c r="AT59" i="2"/>
  <c r="ED101" i="24"/>
  <c r="AO100" i="24"/>
  <c r="J100" i="24"/>
  <c r="DG81" i="1"/>
  <c r="DG37" i="1"/>
  <c r="DG38" i="1"/>
  <c r="EQ74" i="11"/>
  <c r="EQ155" i="11" s="1"/>
  <c r="EQ55" i="11"/>
  <c r="AT75" i="11"/>
  <c r="AT77" i="11" s="1"/>
  <c r="EQ77" i="11"/>
  <c r="FB17" i="11"/>
  <c r="FB35" i="1" s="1"/>
  <c r="FB29" i="11"/>
  <c r="FB30" i="11" s="1"/>
  <c r="EW99" i="24"/>
  <c r="AU98" i="24"/>
  <c r="DI102" i="11"/>
  <c r="AH101" i="11"/>
  <c r="AH113" i="11" s="1"/>
  <c r="AW34" i="11"/>
  <c r="AW17" i="11"/>
  <c r="AW29" i="11"/>
  <c r="AW30" i="11" s="1"/>
  <c r="BH55" i="19"/>
  <c r="BH18" i="15"/>
  <c r="EU100" i="24"/>
  <c r="AU99" i="24"/>
  <c r="DH16" i="11"/>
  <c r="DH34" i="1" s="1"/>
  <c r="DH42" i="11"/>
  <c r="CT13" i="29"/>
  <c r="CU9" i="29" s="1"/>
  <c r="CT30" i="29"/>
  <c r="CT34" i="29" s="1"/>
  <c r="CT37" i="29" s="1"/>
  <c r="CT38" i="29" s="1"/>
  <c r="CR38" i="29"/>
  <c r="DH42" i="19"/>
  <c r="DH12" i="15"/>
  <c r="DH40" i="15"/>
  <c r="DH14" i="15"/>
  <c r="DH90" i="15"/>
  <c r="DH15" i="15"/>
  <c r="EM101" i="24"/>
  <c r="AR100" i="24"/>
  <c r="EU75" i="11"/>
  <c r="AU75" i="11" s="1"/>
  <c r="AU77" i="11" s="1"/>
  <c r="EE108" i="24"/>
  <c r="AO107" i="24"/>
  <c r="J107" i="24"/>
  <c r="AG145" i="11"/>
  <c r="EX31" i="7" s="1"/>
  <c r="EX10" i="7"/>
  <c r="AG132" i="11"/>
  <c r="AW32" i="11"/>
  <c r="AW158" i="11" s="1"/>
  <c r="L32" i="11"/>
  <c r="L158" i="11" s="1"/>
  <c r="FB158" i="11"/>
  <c r="FB122" i="1" s="1"/>
  <c r="AH45" i="15"/>
  <c r="AK48" i="15"/>
  <c r="AK47" i="15"/>
  <c r="AH157" i="11"/>
  <c r="AH82" i="11"/>
  <c r="DI121" i="1"/>
  <c r="AH121" i="1" s="1"/>
  <c r="DI140" i="11"/>
  <c r="AF91" i="1"/>
  <c r="AF102" i="1"/>
  <c r="AF89" i="1"/>
  <c r="AF90" i="1"/>
  <c r="DJ124" i="11"/>
  <c r="DH58" i="19"/>
  <c r="DH34" i="15"/>
  <c r="DH36" i="15"/>
  <c r="DH92" i="15"/>
  <c r="DH37" i="15"/>
  <c r="AC34" i="29"/>
  <c r="AF35" i="29"/>
  <c r="AH74" i="1"/>
  <c r="DG71" i="19"/>
  <c r="ES55" i="11"/>
  <c r="ES57" i="11" s="1"/>
  <c r="ES74" i="11"/>
  <c r="ES77" i="11"/>
  <c r="ER69" i="11"/>
  <c r="ER156" i="11" s="1"/>
  <c r="ER120" i="1" s="1"/>
  <c r="ER51" i="11"/>
  <c r="ER72" i="11"/>
  <c r="DF45" i="1"/>
  <c r="AG22" i="11"/>
  <c r="AG19" i="11" s="1"/>
  <c r="DF19" i="11"/>
  <c r="DJ101" i="11"/>
  <c r="DJ111" i="11"/>
  <c r="DJ159" i="11" s="1"/>
  <c r="DJ123" i="1" s="1"/>
  <c r="DI62" i="11"/>
  <c r="BH63" i="19"/>
  <c r="BH29" i="15"/>
  <c r="EN99" i="24"/>
  <c r="AR98" i="24"/>
  <c r="K98" i="24"/>
  <c r="AH108" i="11"/>
  <c r="DG132" i="11"/>
  <c r="DG22" i="11" s="1"/>
  <c r="BI42" i="19"/>
  <c r="BI66" i="19" s="1"/>
  <c r="BH12" i="15"/>
  <c r="BI40" i="15"/>
  <c r="BI14" i="15"/>
  <c r="BI90" i="15"/>
  <c r="BI15" i="15"/>
  <c r="U14" i="7"/>
  <c r="BS14" i="7"/>
  <c r="AT70" i="11"/>
  <c r="AT72" i="11" s="1"/>
  <c r="EQ69" i="11"/>
  <c r="EQ156" i="11" s="1"/>
  <c r="EQ120" i="1" s="1"/>
  <c r="EQ51" i="11"/>
  <c r="EQ72" i="11"/>
  <c r="FA56" i="1"/>
  <c r="FA40" i="1"/>
  <c r="DJ64" i="1"/>
  <c r="EA46" i="1"/>
  <c r="AE100" i="26" l="1"/>
  <c r="AE101" i="26" s="1"/>
  <c r="AE121" i="26"/>
  <c r="EV101" i="24"/>
  <c r="AU100" i="24"/>
  <c r="AH102" i="11"/>
  <c r="EE114" i="24"/>
  <c r="AO113" i="24"/>
  <c r="J113" i="24"/>
  <c r="ED126" i="24"/>
  <c r="ED14" i="24" s="1"/>
  <c r="ED15" i="24" s="1"/>
  <c r="ED65" i="11" s="1"/>
  <c r="ER119" i="1"/>
  <c r="DH144" i="11"/>
  <c r="DH127" i="1"/>
  <c r="ET119" i="1"/>
  <c r="L99" i="24"/>
  <c r="AT99" i="24"/>
  <c r="ER100" i="24"/>
  <c r="DK97" i="11"/>
  <c r="DK106" i="11"/>
  <c r="DK160" i="11" s="1"/>
  <c r="DK124" i="1" s="1"/>
  <c r="DK112" i="11"/>
  <c r="EH102" i="24"/>
  <c r="AP101" i="24"/>
  <c r="DL10" i="11"/>
  <c r="DL97" i="1"/>
  <c r="DL14" i="1"/>
  <c r="DL98" i="1"/>
  <c r="AT51" i="11"/>
  <c r="AT71" i="11" s="1"/>
  <c r="EQ52" i="11"/>
  <c r="EQ119" i="1"/>
  <c r="DG45" i="1"/>
  <c r="DG19" i="11"/>
  <c r="BH58" i="19"/>
  <c r="Q58" i="19" s="1"/>
  <c r="Q63" i="19" s="1"/>
  <c r="BH36" i="15"/>
  <c r="BG34" i="15"/>
  <c r="Q29" i="15"/>
  <c r="BH92" i="15"/>
  <c r="BH37" i="15"/>
  <c r="DJ102" i="11"/>
  <c r="CU13" i="29"/>
  <c r="CV9" i="29" s="1"/>
  <c r="CU30" i="29"/>
  <c r="AD9" i="29"/>
  <c r="BH50" i="19"/>
  <c r="Q50" i="19" s="1"/>
  <c r="Q55" i="19" s="1"/>
  <c r="Q18" i="15"/>
  <c r="BH91" i="15"/>
  <c r="BG23" i="15"/>
  <c r="BH26" i="15"/>
  <c r="BH25" i="15"/>
  <c r="CD110" i="1"/>
  <c r="CD99" i="1"/>
  <c r="DK60" i="11"/>
  <c r="DK79" i="11"/>
  <c r="DK157" i="11" s="1"/>
  <c r="EX100" i="24"/>
  <c r="AV99" i="24"/>
  <c r="EE102" i="24"/>
  <c r="AO101" i="24"/>
  <c r="J101" i="24"/>
  <c r="DJ20" i="11"/>
  <c r="DJ92" i="11"/>
  <c r="CO8" i="25"/>
  <c r="DH82" i="1"/>
  <c r="DH85" i="1"/>
  <c r="DH57" i="1"/>
  <c r="DH54" i="1"/>
  <c r="DK94" i="1"/>
  <c r="EB23" i="11"/>
  <c r="AO65" i="11"/>
  <c r="ET69" i="11"/>
  <c r="ET156" i="11" s="1"/>
  <c r="ET120" i="1" s="1"/>
  <c r="AU70" i="11"/>
  <c r="AU72" i="11" s="1"/>
  <c r="ET51" i="11"/>
  <c r="ET72" i="11"/>
  <c r="EU70" i="11"/>
  <c r="DI40" i="11"/>
  <c r="AH62" i="11"/>
  <c r="AH90" i="11" s="1"/>
  <c r="AT74" i="11"/>
  <c r="AT155" i="11" s="1"/>
  <c r="ES155" i="11"/>
  <c r="DI139" i="11"/>
  <c r="DI129" i="11"/>
  <c r="AH140" i="11"/>
  <c r="AW122" i="1"/>
  <c r="L122" i="1"/>
  <c r="DH47" i="15"/>
  <c r="DH48" i="15"/>
  <c r="DG92" i="1"/>
  <c r="K120" i="1"/>
  <c r="AS120" i="1"/>
  <c r="AU55" i="11"/>
  <c r="AU76" i="11" s="1"/>
  <c r="ET57" i="11"/>
  <c r="AU57" i="11" s="1"/>
  <c r="AO15" i="24"/>
  <c r="FA100" i="24"/>
  <c r="AW99" i="24"/>
  <c r="AS99" i="24"/>
  <c r="EO100" i="24"/>
  <c r="K99" i="24"/>
  <c r="AN46" i="1"/>
  <c r="DF84" i="1"/>
  <c r="AG45" i="1"/>
  <c r="DF42" i="1"/>
  <c r="AP108" i="24"/>
  <c r="EF109" i="24"/>
  <c r="DH47" i="19"/>
  <c r="DI7" i="15"/>
  <c r="DH45" i="15"/>
  <c r="DH46" i="11"/>
  <c r="FB56" i="1"/>
  <c r="FB40" i="1"/>
  <c r="H35" i="1"/>
  <c r="I35" i="1"/>
  <c r="L35" i="1"/>
  <c r="AW35" i="1"/>
  <c r="CR63" i="1"/>
  <c r="AU59" i="2"/>
  <c r="DJ40" i="11"/>
  <c r="DJ41" i="11" s="1"/>
  <c r="EI115" i="24"/>
  <c r="AQ114" i="24"/>
  <c r="DH55" i="19"/>
  <c r="DI18" i="15"/>
  <c r="EP119" i="1"/>
  <c r="EK102" i="24"/>
  <c r="AQ101" i="24"/>
  <c r="ES52" i="11"/>
  <c r="DI67" i="11"/>
  <c r="EU55" i="11"/>
  <c r="EU57" i="11" s="1"/>
  <c r="EU74" i="11"/>
  <c r="EU155" i="11" s="1"/>
  <c r="EU77" i="11"/>
  <c r="EX75" i="11"/>
  <c r="DH66" i="19"/>
  <c r="DH33" i="1"/>
  <c r="DH55" i="1"/>
  <c r="DH39" i="1"/>
  <c r="AG93" i="1"/>
  <c r="AE18" i="7" s="1"/>
  <c r="AE17" i="7"/>
  <c r="K57" i="11"/>
  <c r="AT69" i="11"/>
  <c r="AT156" i="11" s="1"/>
  <c r="ES156" i="11"/>
  <c r="ES120" i="1" s="1"/>
  <c r="AT120" i="1" s="1"/>
  <c r="EX18" i="7"/>
  <c r="EX17" i="7"/>
  <c r="AC38" i="29"/>
  <c r="AF110" i="26" s="1"/>
  <c r="AF112" i="26" s="1"/>
  <c r="G38" i="29"/>
  <c r="J110" i="26" s="1"/>
  <c r="J112" i="26" s="1"/>
  <c r="EC23" i="11"/>
  <c r="EC46" i="1" s="1"/>
  <c r="DJ140" i="11"/>
  <c r="AS52" i="11"/>
  <c r="AS87" i="11" s="1"/>
  <c r="K52" i="11"/>
  <c r="CO7" i="25"/>
  <c r="BI48" i="15"/>
  <c r="BI47" i="15"/>
  <c r="ER52" i="11"/>
  <c r="DH63" i="19"/>
  <c r="DI29" i="15"/>
  <c r="BH47" i="19"/>
  <c r="BH71" i="19" s="1"/>
  <c r="BH7" i="15"/>
  <c r="BH45" i="15"/>
  <c r="EN102" i="24"/>
  <c r="AR101" i="24"/>
  <c r="AC37" i="29"/>
  <c r="AT55" i="11"/>
  <c r="AT76" i="11" s="1"/>
  <c r="EQ57" i="11"/>
  <c r="AQ108" i="24"/>
  <c r="EI109" i="24"/>
  <c r="DK123" i="11"/>
  <c r="DK134" i="11"/>
  <c r="DK161" i="11" s="1"/>
  <c r="DK125" i="1" s="1"/>
  <c r="DK38" i="11"/>
  <c r="DK28" i="1"/>
  <c r="DI104" i="11"/>
  <c r="DI21" i="11" s="1"/>
  <c r="AC40" i="29" l="1"/>
  <c r="AC43" i="29" s="1"/>
  <c r="AE124" i="26"/>
  <c r="AE123" i="26"/>
  <c r="DJ16" i="11"/>
  <c r="DJ34" i="1" s="1"/>
  <c r="DJ42" i="11"/>
  <c r="AH118" i="11"/>
  <c r="AH104" i="11"/>
  <c r="DK124" i="11"/>
  <c r="DK39" i="11"/>
  <c r="AT57" i="11"/>
  <c r="AT88" i="11" s="1"/>
  <c r="DI20" i="11"/>
  <c r="DI92" i="11"/>
  <c r="AH67" i="11"/>
  <c r="AH92" i="11" s="1"/>
  <c r="DI50" i="19"/>
  <c r="DI23" i="15"/>
  <c r="DI25" i="15"/>
  <c r="DI91" i="15"/>
  <c r="DI26" i="15"/>
  <c r="AU88" i="11"/>
  <c r="AH139" i="11"/>
  <c r="DI162" i="11"/>
  <c r="ET52" i="11"/>
  <c r="DK61" i="11"/>
  <c r="DK62" i="11" s="1"/>
  <c r="CV13" i="29"/>
  <c r="CW9" i="29" s="1"/>
  <c r="CV30" i="29"/>
  <c r="CV34" i="29" s="1"/>
  <c r="CV37" i="29" s="1"/>
  <c r="CV38" i="29" s="1"/>
  <c r="DL80" i="11"/>
  <c r="DL107" i="11"/>
  <c r="DL135" i="11"/>
  <c r="AI10" i="11"/>
  <c r="DK98" i="11"/>
  <c r="DH125" i="11"/>
  <c r="BH42" i="19"/>
  <c r="Q7" i="15"/>
  <c r="BG12" i="15"/>
  <c r="BH40" i="15"/>
  <c r="BH90" i="15"/>
  <c r="BH14" i="15"/>
  <c r="BH15" i="15"/>
  <c r="AW56" i="1"/>
  <c r="AW40" i="1"/>
  <c r="AG42" i="1"/>
  <c r="BS19" i="7" s="1"/>
  <c r="DF65" i="1"/>
  <c r="DF48" i="1"/>
  <c r="AG48" i="1" s="1"/>
  <c r="EP101" i="24"/>
  <c r="AS100" i="24"/>
  <c r="K100" i="24"/>
  <c r="AP102" i="24"/>
  <c r="K102" i="24"/>
  <c r="EF103" i="24"/>
  <c r="BG55" i="19"/>
  <c r="BG18" i="15"/>
  <c r="AT52" i="11"/>
  <c r="AT87" i="11" s="1"/>
  <c r="ES119" i="1"/>
  <c r="AT119" i="1" s="1"/>
  <c r="ES101" i="24"/>
  <c r="AT100" i="24"/>
  <c r="L100" i="24"/>
  <c r="DI44" i="1"/>
  <c r="AH21" i="11"/>
  <c r="DI58" i="19"/>
  <c r="DI34" i="15"/>
  <c r="DI92" i="15"/>
  <c r="DI36" i="15"/>
  <c r="DI37" i="15"/>
  <c r="EX74" i="11"/>
  <c r="EX155" i="11" s="1"/>
  <c r="EX55" i="11"/>
  <c r="EX77" i="11"/>
  <c r="L56" i="1"/>
  <c r="L40" i="1"/>
  <c r="BS22" i="7"/>
  <c r="AG84" i="1"/>
  <c r="AY14" i="7"/>
  <c r="AY15" i="7" s="1"/>
  <c r="DG84" i="1"/>
  <c r="DG42" i="1"/>
  <c r="EI103" i="24"/>
  <c r="AQ102" i="24"/>
  <c r="CR68" i="1"/>
  <c r="AC63" i="1"/>
  <c r="AC68" i="1" s="1"/>
  <c r="AR102" i="24"/>
  <c r="EL103" i="24"/>
  <c r="EJ116" i="24"/>
  <c r="AQ115" i="24"/>
  <c r="S12" i="25"/>
  <c r="BQ12" i="25"/>
  <c r="I56" i="1"/>
  <c r="I40" i="1"/>
  <c r="DI42" i="19"/>
  <c r="DI12" i="15"/>
  <c r="DI40" i="15"/>
  <c r="DI14" i="15"/>
  <c r="DI90" i="15"/>
  <c r="DI15" i="15"/>
  <c r="EY101" i="24"/>
  <c r="AV100" i="24"/>
  <c r="Q23" i="15"/>
  <c r="T25" i="15"/>
  <c r="T26" i="15"/>
  <c r="Q91" i="15"/>
  <c r="ED23" i="11"/>
  <c r="ED46" i="1" s="1"/>
  <c r="EW102" i="24"/>
  <c r="AU101" i="24"/>
  <c r="R12" i="25"/>
  <c r="BP12" i="25"/>
  <c r="H56" i="1"/>
  <c r="H40" i="1"/>
  <c r="DH71" i="19"/>
  <c r="DG93" i="1"/>
  <c r="DI45" i="11"/>
  <c r="AH40" i="11"/>
  <c r="AH45" i="11" s="1"/>
  <c r="DI41" i="11"/>
  <c r="CE106" i="1"/>
  <c r="CD113" i="1"/>
  <c r="J126" i="24"/>
  <c r="J14" i="24" s="1"/>
  <c r="J16" i="24" s="1"/>
  <c r="EU119" i="1"/>
  <c r="K119" i="1"/>
  <c r="AS119" i="1"/>
  <c r="DK64" i="1"/>
  <c r="EJ110" i="24"/>
  <c r="AQ109" i="24"/>
  <c r="DJ129" i="11"/>
  <c r="DJ139" i="11"/>
  <c r="DJ162" i="11" s="1"/>
  <c r="EY75" i="11"/>
  <c r="AV75" i="11" s="1"/>
  <c r="AV77" i="11" s="1"/>
  <c r="DJ45" i="11"/>
  <c r="FB101" i="24"/>
  <c r="AW101" i="24" s="1"/>
  <c r="AW100" i="24"/>
  <c r="EU69" i="11"/>
  <c r="EU156" i="11" s="1"/>
  <c r="EU120" i="1" s="1"/>
  <c r="EY70" i="11"/>
  <c r="EU51" i="11"/>
  <c r="AU51" i="11" s="1"/>
  <c r="AU71" i="11" s="1"/>
  <c r="EU72" i="11"/>
  <c r="EX70" i="11"/>
  <c r="DJ43" i="1"/>
  <c r="AD13" i="29"/>
  <c r="AG14" i="29"/>
  <c r="Q34" i="15"/>
  <c r="T37" i="15"/>
  <c r="T36" i="15"/>
  <c r="Q92" i="15"/>
  <c r="DL9" i="11"/>
  <c r="DL15" i="1"/>
  <c r="DM9" i="1"/>
  <c r="DL29" i="1"/>
  <c r="DK101" i="11"/>
  <c r="DK111" i="11"/>
  <c r="DK159" i="11" s="1"/>
  <c r="DK123" i="1" s="1"/>
  <c r="AO126" i="24"/>
  <c r="DH81" i="1"/>
  <c r="DH37" i="1"/>
  <c r="DH38" i="1"/>
  <c r="AS102" i="24"/>
  <c r="EO103" i="24"/>
  <c r="EG110" i="24"/>
  <c r="AP109" i="24"/>
  <c r="DI130" i="11"/>
  <c r="AH129" i="11"/>
  <c r="AH141" i="11" s="1"/>
  <c r="AO23" i="11"/>
  <c r="EB46" i="1"/>
  <c r="DJ104" i="11"/>
  <c r="DJ21" i="11" s="1"/>
  <c r="DK121" i="1"/>
  <c r="AD30" i="29"/>
  <c r="CU34" i="29"/>
  <c r="CU37" i="29" s="1"/>
  <c r="BG63" i="19"/>
  <c r="BG29" i="15"/>
  <c r="DH100" i="1"/>
  <c r="DH101" i="1"/>
  <c r="EF115" i="24"/>
  <c r="AP114" i="24"/>
  <c r="EE126" i="24"/>
  <c r="EE14" i="24" s="1"/>
  <c r="EE15" i="24" s="1"/>
  <c r="AE126" i="26" l="1"/>
  <c r="AE164" i="26"/>
  <c r="AE163" i="26" s="1"/>
  <c r="AF120" i="26"/>
  <c r="AF97" i="26"/>
  <c r="AF87" i="26" s="1"/>
  <c r="J87" i="26" s="1"/>
  <c r="J218" i="26" s="1"/>
  <c r="J220" i="26" s="1"/>
  <c r="J222" i="26" s="1"/>
  <c r="J231" i="26" s="1"/>
  <c r="J232" i="26" s="1"/>
  <c r="DK40" i="11"/>
  <c r="CU38" i="29"/>
  <c r="DI48" i="15"/>
  <c r="DI47" i="15"/>
  <c r="EK117" i="24"/>
  <c r="AQ116" i="24"/>
  <c r="DL60" i="11"/>
  <c r="DL79" i="11"/>
  <c r="AI80" i="11"/>
  <c r="AH130" i="11"/>
  <c r="AH149" i="11" s="1"/>
  <c r="DK102" i="11"/>
  <c r="DK104" i="11" s="1"/>
  <c r="DK21" i="11" s="1"/>
  <c r="EX69" i="11"/>
  <c r="EX156" i="11" s="1"/>
  <c r="EX120" i="1" s="1"/>
  <c r="EX51" i="11"/>
  <c r="EX72" i="11"/>
  <c r="AV70" i="11"/>
  <c r="AV72" i="11" s="1"/>
  <c r="DI66" i="19"/>
  <c r="DG65" i="1"/>
  <c r="DG48" i="1"/>
  <c r="DI63" i="19"/>
  <c r="DJ29" i="15"/>
  <c r="EQ102" i="24"/>
  <c r="AS101" i="24"/>
  <c r="K101" i="24"/>
  <c r="CW13" i="29"/>
  <c r="CX9" i="29" s="1"/>
  <c r="CW30" i="29"/>
  <c r="CW34" i="29" s="1"/>
  <c r="CW37" i="29" s="1"/>
  <c r="CW38" i="29" s="1"/>
  <c r="AD34" i="29"/>
  <c r="I12" i="28" s="1"/>
  <c r="AG75" i="26" s="1"/>
  <c r="AG82" i="26" s="1"/>
  <c r="I8" i="28"/>
  <c r="AG71" i="26" s="1"/>
  <c r="AG78" i="26" s="1"/>
  <c r="AG35" i="29"/>
  <c r="DH92" i="1"/>
  <c r="DL38" i="11"/>
  <c r="DL28" i="1"/>
  <c r="AI29" i="1"/>
  <c r="EX103" i="24"/>
  <c r="AV102" i="24"/>
  <c r="BQ17" i="25"/>
  <c r="S17" i="25"/>
  <c r="EG104" i="24"/>
  <c r="AP103" i="24"/>
  <c r="K103" i="24"/>
  <c r="BI6" i="7"/>
  <c r="BS25" i="7"/>
  <c r="Q40" i="15"/>
  <c r="BH47" i="15"/>
  <c r="BH48" i="15"/>
  <c r="DI126" i="1"/>
  <c r="AH126" i="1" s="1"/>
  <c r="AH127" i="1" s="1"/>
  <c r="DI163" i="11"/>
  <c r="EU52" i="11"/>
  <c r="EY74" i="11"/>
  <c r="EY55" i="11"/>
  <c r="EY57" i="11" s="1"/>
  <c r="EY77" i="11"/>
  <c r="EZ75" i="11"/>
  <c r="EZ102" i="24"/>
  <c r="AV101" i="24"/>
  <c r="BE7" i="7"/>
  <c r="R44" i="7"/>
  <c r="BE10" i="7"/>
  <c r="R44" i="25"/>
  <c r="DF71" i="1"/>
  <c r="AG65" i="1"/>
  <c r="BG47" i="19"/>
  <c r="BG71" i="19" s="1"/>
  <c r="BG7" i="15"/>
  <c r="BG45" i="15"/>
  <c r="AH162" i="11"/>
  <c r="AH163" i="11" s="1"/>
  <c r="AH142" i="11"/>
  <c r="DK41" i="11"/>
  <c r="DJ46" i="11"/>
  <c r="EK111" i="24"/>
  <c r="AQ110" i="24"/>
  <c r="EM104" i="24"/>
  <c r="AR103" i="24"/>
  <c r="BG50" i="19"/>
  <c r="BF23" i="15"/>
  <c r="BG91" i="15"/>
  <c r="BG26" i="15"/>
  <c r="BG25" i="15"/>
  <c r="DH132" i="11"/>
  <c r="DH22" i="11" s="1"/>
  <c r="AU52" i="11"/>
  <c r="AU87" i="11" s="1"/>
  <c r="DK140" i="11"/>
  <c r="EY69" i="11"/>
  <c r="EY51" i="11"/>
  <c r="EY72" i="11"/>
  <c r="EZ70" i="11"/>
  <c r="CS63" i="1"/>
  <c r="CS68" i="1" s="1"/>
  <c r="AV59" i="2"/>
  <c r="EX57" i="11"/>
  <c r="Q12" i="15"/>
  <c r="T14" i="15"/>
  <c r="Q90" i="15"/>
  <c r="T15" i="15"/>
  <c r="AI137" i="11"/>
  <c r="DK67" i="11"/>
  <c r="DI43" i="1"/>
  <c r="AH20" i="11"/>
  <c r="DJ33" i="1"/>
  <c r="DJ55" i="1"/>
  <c r="DJ39" i="1"/>
  <c r="DI47" i="19"/>
  <c r="DI71" i="19" s="1"/>
  <c r="DJ7" i="15"/>
  <c r="DI45" i="15"/>
  <c r="ET102" i="24"/>
  <c r="L101" i="24"/>
  <c r="AT101" i="24"/>
  <c r="DI55" i="19"/>
  <c r="DJ18" i="15"/>
  <c r="AP115" i="24"/>
  <c r="EG116" i="24"/>
  <c r="EF126" i="24"/>
  <c r="EF14" i="24" s="1"/>
  <c r="EF15" i="24" s="1"/>
  <c r="EF65" i="11" s="1"/>
  <c r="DM14" i="1"/>
  <c r="DM97" i="1"/>
  <c r="AJ9" i="1"/>
  <c r="DM98" i="1"/>
  <c r="DJ44" i="1"/>
  <c r="EH111" i="24"/>
  <c r="AP110" i="24"/>
  <c r="CE110" i="1"/>
  <c r="CE99" i="1"/>
  <c r="BG58" i="19"/>
  <c r="BF34" i="15"/>
  <c r="BG92" i="15"/>
  <c r="BG37" i="15"/>
  <c r="BG36" i="15"/>
  <c r="AO46" i="1"/>
  <c r="EP104" i="24"/>
  <c r="AS103" i="24"/>
  <c r="DJ85" i="1"/>
  <c r="DJ82" i="1"/>
  <c r="DJ57" i="1"/>
  <c r="DJ54" i="1"/>
  <c r="DM94" i="1"/>
  <c r="DJ126" i="1"/>
  <c r="DJ163" i="11"/>
  <c r="DI16" i="11"/>
  <c r="DI34" i="1" s="1"/>
  <c r="DI42" i="11"/>
  <c r="AH41" i="11"/>
  <c r="AH16" i="11" s="1"/>
  <c r="R17" i="25"/>
  <c r="BP17" i="25"/>
  <c r="EX119" i="1"/>
  <c r="DI83" i="1"/>
  <c r="AH44" i="1"/>
  <c r="AH83" i="1" s="1"/>
  <c r="Q42" i="19"/>
  <c r="Q47" i="19" s="1"/>
  <c r="BH66" i="19"/>
  <c r="Q66" i="19" s="1"/>
  <c r="Q71" i="19" s="1"/>
  <c r="DL134" i="11"/>
  <c r="DL123" i="11"/>
  <c r="AI135" i="11"/>
  <c r="EE65" i="11"/>
  <c r="EJ104" i="24"/>
  <c r="AQ103" i="24"/>
  <c r="DJ130" i="11"/>
  <c r="DL106" i="11"/>
  <c r="DL97" i="11"/>
  <c r="DL112" i="11"/>
  <c r="AI107" i="11"/>
  <c r="AI109" i="11" s="1"/>
  <c r="AF100" i="26" l="1"/>
  <c r="AF101" i="26" s="1"/>
  <c r="AF121" i="26"/>
  <c r="DK44" i="1"/>
  <c r="DI33" i="1"/>
  <c r="DI55" i="1"/>
  <c r="DI39" i="1"/>
  <c r="AH34" i="1"/>
  <c r="AJ14" i="1"/>
  <c r="AM97" i="1"/>
  <c r="AM98" i="1"/>
  <c r="DJ50" i="19"/>
  <c r="AI50" i="19" s="1"/>
  <c r="AI55" i="19" s="1"/>
  <c r="DJ23" i="15"/>
  <c r="AI18" i="15"/>
  <c r="DJ26" i="15"/>
  <c r="DJ25" i="15"/>
  <c r="DJ91" i="15"/>
  <c r="DK20" i="11"/>
  <c r="DK92" i="11"/>
  <c r="DI46" i="11"/>
  <c r="AH42" i="11"/>
  <c r="AH46" i="11" s="1"/>
  <c r="CF106" i="1"/>
  <c r="CE113" i="1"/>
  <c r="AV55" i="11"/>
  <c r="AV76" i="11" s="1"/>
  <c r="AR111" i="24"/>
  <c r="EL112" i="24"/>
  <c r="AV74" i="11"/>
  <c r="AV155" i="11" s="1"/>
  <c r="EY155" i="11"/>
  <c r="Q45" i="15"/>
  <c r="T47" i="15"/>
  <c r="T48" i="15"/>
  <c r="AD37" i="29"/>
  <c r="DM9" i="11"/>
  <c r="DN9" i="1"/>
  <c r="DM29" i="1"/>
  <c r="DM15" i="1"/>
  <c r="EY104" i="24"/>
  <c r="AV103" i="24"/>
  <c r="AD38" i="29"/>
  <c r="AG110" i="26" s="1"/>
  <c r="AG112" i="26" s="1"/>
  <c r="AI134" i="11"/>
  <c r="AI161" i="11" s="1"/>
  <c r="DL161" i="11"/>
  <c r="DL125" i="1" s="1"/>
  <c r="AI125" i="1" s="1"/>
  <c r="DM10" i="11"/>
  <c r="DJ81" i="1"/>
  <c r="DJ37" i="1"/>
  <c r="DJ38" i="1"/>
  <c r="AV69" i="11"/>
  <c r="AV156" i="11" s="1"/>
  <c r="EY156" i="11"/>
  <c r="EY120" i="1" s="1"/>
  <c r="AV120" i="1" s="1"/>
  <c r="BO27" i="7"/>
  <c r="BE8" i="7"/>
  <c r="AI52" i="1"/>
  <c r="AI79" i="11"/>
  <c r="DL157" i="11"/>
  <c r="DL124" i="11"/>
  <c r="AI124" i="11" s="1"/>
  <c r="AI148" i="11" s="1"/>
  <c r="AI123" i="11"/>
  <c r="DJ144" i="11"/>
  <c r="DJ127" i="1"/>
  <c r="EI112" i="24"/>
  <c r="AQ111" i="24"/>
  <c r="EF23" i="11"/>
  <c r="EF46" i="1" s="1"/>
  <c r="EU103" i="24"/>
  <c r="AU102" i="24"/>
  <c r="CT63" i="1"/>
  <c r="CT68" i="1" s="1"/>
  <c r="AW59" i="2"/>
  <c r="DK129" i="11"/>
  <c r="DK139" i="11"/>
  <c r="DK162" i="11" s="1"/>
  <c r="BF55" i="19"/>
  <c r="BF18" i="15"/>
  <c r="BG42" i="19"/>
  <c r="BG66" i="19" s="1"/>
  <c r="BG40" i="15"/>
  <c r="BG15" i="15"/>
  <c r="BG90" i="15"/>
  <c r="BG14" i="15"/>
  <c r="BF12" i="15"/>
  <c r="DI144" i="11"/>
  <c r="DI127" i="1"/>
  <c r="DL64" i="1"/>
  <c r="AI28" i="1"/>
  <c r="DJ58" i="19"/>
  <c r="AI58" i="19" s="1"/>
  <c r="AI63" i="19" s="1"/>
  <c r="DJ34" i="15"/>
  <c r="AI29" i="15"/>
  <c r="DJ37" i="15"/>
  <c r="DJ36" i="15"/>
  <c r="DJ92" i="15"/>
  <c r="EX52" i="11"/>
  <c r="AV51" i="11"/>
  <c r="AV71" i="11" s="1"/>
  <c r="DL61" i="11"/>
  <c r="AI61" i="11" s="1"/>
  <c r="AI89" i="11" s="1"/>
  <c r="AI60" i="11"/>
  <c r="AI81" i="11" s="1"/>
  <c r="DJ83" i="1"/>
  <c r="AP116" i="24"/>
  <c r="EH117" i="24"/>
  <c r="EG126" i="24"/>
  <c r="EG14" i="24" s="1"/>
  <c r="EG15" i="24" s="1"/>
  <c r="AW102" i="24"/>
  <c r="FA103" i="24"/>
  <c r="AH100" i="1"/>
  <c r="AH101" i="1"/>
  <c r="AV57" i="11"/>
  <c r="AV88" i="11" s="1"/>
  <c r="ER103" i="24"/>
  <c r="L102" i="24"/>
  <c r="AT102" i="24"/>
  <c r="EE23" i="11"/>
  <c r="BF63" i="19"/>
  <c r="BF29" i="15"/>
  <c r="DJ42" i="19"/>
  <c r="AI7" i="15"/>
  <c r="DJ12" i="15"/>
  <c r="DJ40" i="15"/>
  <c r="DJ90" i="15"/>
  <c r="DJ14" i="15"/>
  <c r="DJ15" i="15"/>
  <c r="DI85" i="1"/>
  <c r="DI82" i="1"/>
  <c r="DI57" i="1"/>
  <c r="DI54" i="1"/>
  <c r="DL94" i="1"/>
  <c r="AH43" i="1"/>
  <c r="DK16" i="11"/>
  <c r="DK34" i="1" s="1"/>
  <c r="DK42" i="11"/>
  <c r="AG75" i="1"/>
  <c r="V46" i="25"/>
  <c r="V46" i="7"/>
  <c r="EZ74" i="11"/>
  <c r="EZ155" i="11" s="1"/>
  <c r="EZ55" i="11"/>
  <c r="EZ77" i="11"/>
  <c r="FA75" i="11"/>
  <c r="EH105" i="24"/>
  <c r="AP104" i="24"/>
  <c r="K104" i="24"/>
  <c r="DL39" i="11"/>
  <c r="AI38" i="11"/>
  <c r="AR117" i="24"/>
  <c r="EL118" i="24"/>
  <c r="EK105" i="24"/>
  <c r="AQ104" i="24"/>
  <c r="DL101" i="11"/>
  <c r="DL111" i="11"/>
  <c r="AI112" i="11"/>
  <c r="AI114" i="11" s="1"/>
  <c r="DL98" i="11"/>
  <c r="AI98" i="11" s="1"/>
  <c r="AI97" i="11"/>
  <c r="EQ105" i="24"/>
  <c r="AS104" i="24"/>
  <c r="EN105" i="24"/>
  <c r="AR104" i="24"/>
  <c r="DF102" i="1"/>
  <c r="DF91" i="1"/>
  <c r="H71" i="1"/>
  <c r="DF90" i="1"/>
  <c r="AG71" i="1"/>
  <c r="AE9" i="29"/>
  <c r="CX13" i="29"/>
  <c r="CY9" i="29" s="1"/>
  <c r="CX30" i="29"/>
  <c r="DG71" i="1"/>
  <c r="DK45" i="11"/>
  <c r="EY52" i="11"/>
  <c r="AI106" i="11"/>
  <c r="AI160" i="11" s="1"/>
  <c r="DL160" i="11"/>
  <c r="DL124" i="1" s="1"/>
  <c r="AI124" i="1" s="1"/>
  <c r="EZ69" i="11"/>
  <c r="EZ156" i="11" s="1"/>
  <c r="EZ120" i="1" s="1"/>
  <c r="EZ51" i="11"/>
  <c r="EZ72" i="11"/>
  <c r="FA70" i="11"/>
  <c r="DH45" i="1"/>
  <c r="DH19" i="11"/>
  <c r="DH93" i="1"/>
  <c r="AG120" i="26" l="1"/>
  <c r="AG97" i="26"/>
  <c r="AG87" i="26" s="1"/>
  <c r="AF123" i="26"/>
  <c r="AF124" i="26"/>
  <c r="AG91" i="1"/>
  <c r="AG102" i="1"/>
  <c r="AG89" i="1"/>
  <c r="AG90" i="1"/>
  <c r="DG91" i="1"/>
  <c r="DG102" i="1"/>
  <c r="DG90" i="1"/>
  <c r="ER106" i="24"/>
  <c r="AT105" i="24"/>
  <c r="AR105" i="24"/>
  <c r="EL106" i="24"/>
  <c r="AP126" i="24"/>
  <c r="DJ63" i="19"/>
  <c r="DK29" i="15"/>
  <c r="CF110" i="1"/>
  <c r="CF99" i="1"/>
  <c r="DM80" i="11"/>
  <c r="DM107" i="11"/>
  <c r="DM135" i="11"/>
  <c r="AH55" i="1"/>
  <c r="AH39" i="1"/>
  <c r="FA74" i="11"/>
  <c r="FA155" i="11" s="1"/>
  <c r="FA55" i="11"/>
  <c r="FA57" i="11" s="1"/>
  <c r="FA77" i="11"/>
  <c r="FB75" i="11"/>
  <c r="AI40" i="15"/>
  <c r="DJ47" i="15"/>
  <c r="DJ48" i="15"/>
  <c r="DM38" i="11"/>
  <c r="DM28" i="1"/>
  <c r="EY119" i="1"/>
  <c r="AV119" i="1" s="1"/>
  <c r="AI23" i="15"/>
  <c r="AI91" i="15"/>
  <c r="AL25" i="15"/>
  <c r="AL26" i="15"/>
  <c r="AI108" i="11"/>
  <c r="AQ105" i="24"/>
  <c r="EI106" i="24"/>
  <c r="K105" i="24"/>
  <c r="H89" i="1"/>
  <c r="DJ47" i="19"/>
  <c r="DK7" i="15"/>
  <c r="DJ45" i="15"/>
  <c r="EE46" i="1"/>
  <c r="FB104" i="24"/>
  <c r="AW104" i="24" s="1"/>
  <c r="AW103" i="24"/>
  <c r="AV52" i="11"/>
  <c r="AV87" i="11" s="1"/>
  <c r="BG47" i="15"/>
  <c r="BG48" i="15"/>
  <c r="DL121" i="1"/>
  <c r="AI121" i="1" s="1"/>
  <c r="DN14" i="1"/>
  <c r="DN10" i="11" s="1"/>
  <c r="DN97" i="1"/>
  <c r="DN98" i="1"/>
  <c r="DJ55" i="19"/>
  <c r="DK18" i="15"/>
  <c r="EM119" i="24"/>
  <c r="AR118" i="24"/>
  <c r="DK126" i="1"/>
  <c r="DK163" i="11"/>
  <c r="AI117" i="11"/>
  <c r="DK46" i="11"/>
  <c r="DK130" i="11"/>
  <c r="DH84" i="1"/>
  <c r="DH42" i="1"/>
  <c r="AE30" i="29"/>
  <c r="CX34" i="29"/>
  <c r="CX37" i="29" s="1"/>
  <c r="FA69" i="11"/>
  <c r="FA156" i="11" s="1"/>
  <c r="FA120" i="1" s="1"/>
  <c r="FA51" i="11"/>
  <c r="FA72" i="11"/>
  <c r="FB70" i="11"/>
  <c r="CY13" i="29"/>
  <c r="CZ9" i="29" s="1"/>
  <c r="CY30" i="29"/>
  <c r="CY34" i="29" s="1"/>
  <c r="CY37" i="29" s="1"/>
  <c r="CY38" i="29" s="1"/>
  <c r="EZ57" i="11"/>
  <c r="DK33" i="1"/>
  <c r="DK55" i="1"/>
  <c r="DK39" i="1"/>
  <c r="AI12" i="15"/>
  <c r="AI90" i="15"/>
  <c r="AL14" i="15"/>
  <c r="AL15" i="15"/>
  <c r="CU63" i="1"/>
  <c r="AX59" i="2"/>
  <c r="EJ113" i="24"/>
  <c r="AQ112" i="24"/>
  <c r="AI157" i="11"/>
  <c r="AI82" i="11"/>
  <c r="EM113" i="24"/>
  <c r="AR112" i="24"/>
  <c r="DI81" i="1"/>
  <c r="DI37" i="1"/>
  <c r="DI38" i="1"/>
  <c r="AH33" i="1"/>
  <c r="AI64" i="1"/>
  <c r="AE13" i="29"/>
  <c r="AH14" i="29"/>
  <c r="AI39" i="11"/>
  <c r="EG65" i="11"/>
  <c r="AP15" i="24"/>
  <c r="DI100" i="1"/>
  <c r="DI101" i="1"/>
  <c r="BF50" i="19"/>
  <c r="BE23" i="15"/>
  <c r="BF26" i="15"/>
  <c r="BF91" i="15"/>
  <c r="BF25" i="15"/>
  <c r="DJ100" i="1"/>
  <c r="DJ101" i="1"/>
  <c r="DL159" i="11"/>
  <c r="DL123" i="1" s="1"/>
  <c r="AI123" i="1" s="1"/>
  <c r="AI111" i="11"/>
  <c r="AI159" i="11" s="1"/>
  <c r="EZ119" i="1"/>
  <c r="AH82" i="1"/>
  <c r="AH85" i="1"/>
  <c r="AH57" i="1"/>
  <c r="AH54" i="1"/>
  <c r="AI94" i="1"/>
  <c r="AI42" i="19"/>
  <c r="AI47" i="19" s="1"/>
  <c r="DJ66" i="19"/>
  <c r="AI66" i="19" s="1"/>
  <c r="AI71" i="19" s="1"/>
  <c r="EZ52" i="11"/>
  <c r="EO106" i="24"/>
  <c r="AS105" i="24"/>
  <c r="DL102" i="11"/>
  <c r="AI102" i="11" s="1"/>
  <c r="AI118" i="11" s="1"/>
  <c r="AI101" i="11"/>
  <c r="AI113" i="11" s="1"/>
  <c r="AW75" i="11"/>
  <c r="AW77" i="11" s="1"/>
  <c r="BF58" i="19"/>
  <c r="BF92" i="15"/>
  <c r="BE34" i="15"/>
  <c r="BF37" i="15"/>
  <c r="BF36" i="15"/>
  <c r="ES104" i="24"/>
  <c r="L103" i="24"/>
  <c r="AT103" i="24"/>
  <c r="AQ117" i="24"/>
  <c r="EI118" i="24"/>
  <c r="EH126" i="24"/>
  <c r="EH14" i="24" s="1"/>
  <c r="EH15" i="24" s="1"/>
  <c r="DL67" i="11"/>
  <c r="DI125" i="11"/>
  <c r="AH144" i="11"/>
  <c r="DJ125" i="11"/>
  <c r="AD40" i="29"/>
  <c r="AD43" i="29" s="1"/>
  <c r="I15" i="28"/>
  <c r="DK43" i="1"/>
  <c r="DK83" i="1"/>
  <c r="DL62" i="11"/>
  <c r="AI34" i="15"/>
  <c r="AI92" i="15"/>
  <c r="AL37" i="15"/>
  <c r="AL36" i="15"/>
  <c r="BF47" i="19"/>
  <c r="BF71" i="19" s="1"/>
  <c r="BF7" i="15"/>
  <c r="BF45" i="15"/>
  <c r="EV104" i="24"/>
  <c r="AU103" i="24"/>
  <c r="AI136" i="11"/>
  <c r="EZ105" i="24"/>
  <c r="AV104" i="24"/>
  <c r="AJ9" i="11"/>
  <c r="AJ15" i="1"/>
  <c r="AF126" i="26" l="1"/>
  <c r="AF164" i="26"/>
  <c r="AF163" i="26" s="1"/>
  <c r="AG100" i="26"/>
  <c r="AG101" i="26" s="1"/>
  <c r="AG121" i="26"/>
  <c r="DN80" i="11"/>
  <c r="DN107" i="11"/>
  <c r="DN135" i="11"/>
  <c r="AW105" i="24"/>
  <c r="FA106" i="24"/>
  <c r="DI132" i="11"/>
  <c r="DI22" i="11" s="1"/>
  <c r="AH125" i="11"/>
  <c r="ET105" i="24"/>
  <c r="L104" i="24"/>
  <c r="AT104" i="24"/>
  <c r="AI74" i="1"/>
  <c r="EK114" i="24"/>
  <c r="AQ113" i="24"/>
  <c r="I17" i="28"/>
  <c r="I33" i="28"/>
  <c r="I16" i="28"/>
  <c r="I22" i="28"/>
  <c r="I21" i="28"/>
  <c r="I27" i="28"/>
  <c r="I26" i="28"/>
  <c r="I23" i="28"/>
  <c r="I20" i="28"/>
  <c r="AH81" i="1"/>
  <c r="AH38" i="1"/>
  <c r="AH92" i="1" s="1"/>
  <c r="AH93" i="1" s="1"/>
  <c r="H63" i="1"/>
  <c r="CU68" i="1"/>
  <c r="CV63" i="1" s="1"/>
  <c r="CV68" i="1" s="1"/>
  <c r="CW63" i="1" s="1"/>
  <c r="CW68" i="1" s="1"/>
  <c r="CX63" i="1" s="1"/>
  <c r="AD63" i="1"/>
  <c r="AD68" i="1" s="1"/>
  <c r="EN120" i="24"/>
  <c r="AR119" i="24"/>
  <c r="DL104" i="11"/>
  <c r="DL21" i="11" s="1"/>
  <c r="AI45" i="15"/>
  <c r="AL48" i="15"/>
  <c r="AL47" i="15"/>
  <c r="DM106" i="11"/>
  <c r="DM160" i="11" s="1"/>
  <c r="DM124" i="1" s="1"/>
  <c r="DM97" i="11"/>
  <c r="DM112" i="11"/>
  <c r="EH65" i="11"/>
  <c r="EW105" i="24"/>
  <c r="AU104" i="24"/>
  <c r="DL40" i="11"/>
  <c r="AI62" i="11"/>
  <c r="AI90" i="11" s="1"/>
  <c r="AQ118" i="24"/>
  <c r="EJ119" i="24"/>
  <c r="EI126" i="24"/>
  <c r="EI14" i="24" s="1"/>
  <c r="EI15" i="24" s="1"/>
  <c r="EI65" i="11" s="1"/>
  <c r="BE63" i="19"/>
  <c r="BE29" i="15"/>
  <c r="EP107" i="24"/>
  <c r="AS106" i="24"/>
  <c r="EG23" i="11"/>
  <c r="AP65" i="11"/>
  <c r="CX38" i="29"/>
  <c r="DK50" i="19"/>
  <c r="DK23" i="15"/>
  <c r="DK91" i="15"/>
  <c r="DK26" i="15"/>
  <c r="DK25" i="15"/>
  <c r="DL140" i="11"/>
  <c r="FB55" i="11"/>
  <c r="FB74" i="11"/>
  <c r="FB77" i="11"/>
  <c r="DM60" i="11"/>
  <c r="DM79" i="11"/>
  <c r="DM157" i="11" s="1"/>
  <c r="AI44" i="11"/>
  <c r="AI47" i="11"/>
  <c r="AH37" i="1"/>
  <c r="DJ92" i="1"/>
  <c r="DJ93" i="1" s="1"/>
  <c r="DI92" i="1"/>
  <c r="AE34" i="29"/>
  <c r="J12" i="28" s="1"/>
  <c r="AH75" i="26" s="1"/>
  <c r="AH82" i="26" s="1"/>
  <c r="J8" i="28"/>
  <c r="AH71" i="26" s="1"/>
  <c r="AH78" i="26" s="1"/>
  <c r="AH35" i="29"/>
  <c r="AI104" i="11"/>
  <c r="DM64" i="1"/>
  <c r="EM107" i="24"/>
  <c r="AR106" i="24"/>
  <c r="BF42" i="19"/>
  <c r="BF66" i="19" s="1"/>
  <c r="BF15" i="15"/>
  <c r="BF14" i="15"/>
  <c r="BE12" i="15"/>
  <c r="BF40" i="15"/>
  <c r="BF90" i="15"/>
  <c r="DJ132" i="11"/>
  <c r="DJ22" i="11" s="1"/>
  <c r="BE55" i="19"/>
  <c r="BE18" i="15"/>
  <c r="CZ13" i="29"/>
  <c r="DA9" i="29" s="1"/>
  <c r="CZ30" i="29"/>
  <c r="CZ34" i="29" s="1"/>
  <c r="CZ37" i="29" s="1"/>
  <c r="CZ38" i="29" s="1"/>
  <c r="FA119" i="1"/>
  <c r="DK81" i="1"/>
  <c r="DK37" i="1"/>
  <c r="DK92" i="1" s="1"/>
  <c r="DK93" i="1" s="1"/>
  <c r="DK38" i="1"/>
  <c r="FB69" i="11"/>
  <c r="FB51" i="11"/>
  <c r="FB72" i="11"/>
  <c r="AW70" i="11"/>
  <c r="AW72" i="11" s="1"/>
  <c r="DH48" i="1"/>
  <c r="DH65" i="1"/>
  <c r="DK144" i="11"/>
  <c r="DK127" i="1"/>
  <c r="DM39" i="11"/>
  <c r="ES107" i="24"/>
  <c r="AT106" i="24"/>
  <c r="DK42" i="19"/>
  <c r="DK66" i="19" s="1"/>
  <c r="DK40" i="15"/>
  <c r="DK12" i="15"/>
  <c r="DK15" i="15"/>
  <c r="DK90" i="15"/>
  <c r="DK14" i="15"/>
  <c r="CG106" i="1"/>
  <c r="CF113" i="1"/>
  <c r="DK85" i="1"/>
  <c r="DK82" i="1"/>
  <c r="DK57" i="1"/>
  <c r="DK54" i="1"/>
  <c r="DN94" i="1"/>
  <c r="DL20" i="11"/>
  <c r="DL92" i="11"/>
  <c r="AI67" i="11"/>
  <c r="AI92" i="11" s="1"/>
  <c r="EN114" i="24"/>
  <c r="AR113" i="24"/>
  <c r="FA52" i="11"/>
  <c r="DN9" i="11"/>
  <c r="DO9" i="1"/>
  <c r="DN15" i="1"/>
  <c r="DN29" i="1"/>
  <c r="DJ71" i="19"/>
  <c r="EJ107" i="24"/>
  <c r="AQ106" i="24"/>
  <c r="K106" i="24"/>
  <c r="DM134" i="11"/>
  <c r="DM161" i="11" s="1"/>
  <c r="DM125" i="1" s="1"/>
  <c r="DM123" i="11"/>
  <c r="DK58" i="19"/>
  <c r="DK34" i="15"/>
  <c r="DK36" i="15"/>
  <c r="DK92" i="15"/>
  <c r="DK37" i="15"/>
  <c r="AE37" i="29" l="1"/>
  <c r="AG124" i="26"/>
  <c r="AG123" i="26"/>
  <c r="DM124" i="11"/>
  <c r="DN38" i="11"/>
  <c r="DN28" i="1"/>
  <c r="DK47" i="19"/>
  <c r="DL7" i="15"/>
  <c r="DK45" i="15"/>
  <c r="FB52" i="11"/>
  <c r="H51" i="11"/>
  <c r="I51" i="11"/>
  <c r="L51" i="11"/>
  <c r="AW51" i="11"/>
  <c r="AW71" i="11" s="1"/>
  <c r="AE38" i="29"/>
  <c r="AH110" i="26" s="1"/>
  <c r="AH112" i="26" s="1"/>
  <c r="DI45" i="1"/>
  <c r="DI19" i="11"/>
  <c r="AH22" i="11"/>
  <c r="AH19" i="11" s="1"/>
  <c r="DK48" i="15"/>
  <c r="DK47" i="15"/>
  <c r="DK100" i="1"/>
  <c r="DK101" i="1"/>
  <c r="L69" i="11"/>
  <c r="L156" i="11" s="1"/>
  <c r="AW69" i="11"/>
  <c r="AW156" i="11" s="1"/>
  <c r="FB156" i="11"/>
  <c r="FB120" i="1" s="1"/>
  <c r="BE50" i="19"/>
  <c r="P50" i="19" s="1"/>
  <c r="P55" i="19" s="1"/>
  <c r="P18" i="15"/>
  <c r="BE26" i="15"/>
  <c r="BE25" i="15"/>
  <c r="BD23" i="15"/>
  <c r="BE91" i="15"/>
  <c r="DM121" i="1"/>
  <c r="DM140" i="11"/>
  <c r="EI23" i="11"/>
  <c r="EI46" i="1" s="1"/>
  <c r="EX106" i="24"/>
  <c r="AV105" i="24"/>
  <c r="FB107" i="24"/>
  <c r="AW107" i="24" s="1"/>
  <c r="AW106" i="24"/>
  <c r="EO115" i="24"/>
  <c r="AS114" i="24"/>
  <c r="DK125" i="11"/>
  <c r="DI93" i="1"/>
  <c r="DM61" i="11"/>
  <c r="DM62" i="11" s="1"/>
  <c r="DK55" i="19"/>
  <c r="DL18" i="15"/>
  <c r="EH23" i="11"/>
  <c r="DO10" i="11"/>
  <c r="DO14" i="1"/>
  <c r="DO97" i="1"/>
  <c r="DO98" i="1"/>
  <c r="DJ45" i="1"/>
  <c r="DJ19" i="11"/>
  <c r="EK120" i="24"/>
  <c r="AQ119" i="24"/>
  <c r="EJ126" i="24"/>
  <c r="EJ14" i="24" s="1"/>
  <c r="EJ15" i="24" s="1"/>
  <c r="AQ15" i="24"/>
  <c r="DL44" i="1"/>
  <c r="AI21" i="11"/>
  <c r="I24" i="28"/>
  <c r="CG110" i="1"/>
  <c r="CG99" i="1"/>
  <c r="DH71" i="1"/>
  <c r="DA13" i="29"/>
  <c r="DB9" i="29" s="1"/>
  <c r="DA30" i="29"/>
  <c r="AF9" i="29"/>
  <c r="AW74" i="11"/>
  <c r="AW155" i="11" s="1"/>
  <c r="L74" i="11"/>
  <c r="L155" i="11" s="1"/>
  <c r="FB155" i="11"/>
  <c r="EG46" i="1"/>
  <c r="AP23" i="11"/>
  <c r="DM101" i="11"/>
  <c r="DM111" i="11"/>
  <c r="DM159" i="11" s="1"/>
  <c r="DM123" i="1" s="1"/>
  <c r="I18" i="28"/>
  <c r="DN123" i="11"/>
  <c r="DN134" i="11"/>
  <c r="DN161" i="11" s="1"/>
  <c r="DN125" i="1" s="1"/>
  <c r="FB57" i="11"/>
  <c r="H55" i="11"/>
  <c r="L55" i="11"/>
  <c r="AW55" i="11"/>
  <c r="AW76" i="11" s="1"/>
  <c r="DM98" i="11"/>
  <c r="EO121" i="24"/>
  <c r="AS120" i="24"/>
  <c r="AU105" i="24"/>
  <c r="EU106" i="24"/>
  <c r="L105" i="24"/>
  <c r="DN106" i="11"/>
  <c r="DN160" i="11" s="1"/>
  <c r="DN124" i="1" s="1"/>
  <c r="DN97" i="11"/>
  <c r="DN112" i="11"/>
  <c r="EN108" i="24"/>
  <c r="AR107" i="24"/>
  <c r="EK108" i="24"/>
  <c r="AQ107" i="24"/>
  <c r="K107" i="24"/>
  <c r="DL43" i="1"/>
  <c r="AI20" i="11"/>
  <c r="BF47" i="15"/>
  <c r="BF48" i="15"/>
  <c r="DL129" i="11"/>
  <c r="DL139" i="11"/>
  <c r="AI140" i="11"/>
  <c r="EQ108" i="24"/>
  <c r="AS107" i="24"/>
  <c r="BF7" i="7"/>
  <c r="S44" i="7"/>
  <c r="S44" i="25"/>
  <c r="BF10" i="7"/>
  <c r="DN60" i="11"/>
  <c r="DN79" i="11"/>
  <c r="DN157" i="11" s="1"/>
  <c r="ET108" i="24"/>
  <c r="AT107" i="24"/>
  <c r="DK63" i="19"/>
  <c r="DL29" i="15"/>
  <c r="BE47" i="19"/>
  <c r="BE71" i="19" s="1"/>
  <c r="BE7" i="15"/>
  <c r="BE45" i="15"/>
  <c r="J15" i="28"/>
  <c r="BE58" i="19"/>
  <c r="P58" i="19" s="1"/>
  <c r="P63" i="19" s="1"/>
  <c r="BD34" i="15"/>
  <c r="P29" i="15"/>
  <c r="BE36" i="15"/>
  <c r="BE37" i="15"/>
  <c r="BE92" i="15"/>
  <c r="DL45" i="11"/>
  <c r="AI40" i="11"/>
  <c r="AI45" i="11" s="1"/>
  <c r="DL41" i="11"/>
  <c r="AE63" i="1"/>
  <c r="AE68" i="1" s="1"/>
  <c r="CX68" i="1"/>
  <c r="CY63" i="1" s="1"/>
  <c r="CY68" i="1" s="1"/>
  <c r="CZ63" i="1" s="1"/>
  <c r="CZ68" i="1" s="1"/>
  <c r="DA63" i="1" s="1"/>
  <c r="AR114" i="24"/>
  <c r="EL115" i="24"/>
  <c r="K114" i="24"/>
  <c r="AH145" i="11"/>
  <c r="AH132" i="11"/>
  <c r="AG126" i="26" l="1"/>
  <c r="AG164" i="26"/>
  <c r="AG163" i="26" s="1"/>
  <c r="AE40" i="29"/>
  <c r="AE43" i="29" s="1"/>
  <c r="AH120" i="26"/>
  <c r="AH97" i="26"/>
  <c r="AH87" i="26" s="1"/>
  <c r="DM40" i="11"/>
  <c r="DM67" i="11"/>
  <c r="DL83" i="1"/>
  <c r="AI44" i="1"/>
  <c r="AI83" i="1" s="1"/>
  <c r="DM129" i="11"/>
  <c r="DM139" i="11"/>
  <c r="DM162" i="11" s="1"/>
  <c r="DM126" i="1" s="1"/>
  <c r="AW120" i="1"/>
  <c r="L120" i="1"/>
  <c r="AP46" i="1"/>
  <c r="EH46" i="1"/>
  <c r="BG10" i="7"/>
  <c r="T44" i="25"/>
  <c r="BG7" i="7"/>
  <c r="T44" i="7"/>
  <c r="P34" i="15"/>
  <c r="P92" i="15"/>
  <c r="S36" i="15"/>
  <c r="S37" i="15"/>
  <c r="EU109" i="24"/>
  <c r="AU108" i="24"/>
  <c r="EV107" i="24"/>
  <c r="AU106" i="24"/>
  <c r="L106" i="24"/>
  <c r="FB119" i="1"/>
  <c r="DH91" i="1"/>
  <c r="DH102" i="1"/>
  <c r="DH90" i="1"/>
  <c r="EJ65" i="11"/>
  <c r="DI84" i="1"/>
  <c r="DI42" i="1"/>
  <c r="AH45" i="1"/>
  <c r="AH84" i="1" s="1"/>
  <c r="DN64" i="1"/>
  <c r="BE42" i="19"/>
  <c r="P7" i="15"/>
  <c r="BE15" i="15"/>
  <c r="BE14" i="15"/>
  <c r="BD12" i="15"/>
  <c r="BE40" i="15"/>
  <c r="BE90" i="15"/>
  <c r="BP27" i="7"/>
  <c r="BF8" i="7"/>
  <c r="EO109" i="24"/>
  <c r="AS108" i="24"/>
  <c r="DM104" i="11"/>
  <c r="DM21" i="11" s="1"/>
  <c r="DN121" i="1"/>
  <c r="DO9" i="11"/>
  <c r="DO15" i="1"/>
  <c r="DP9" i="1"/>
  <c r="DO29" i="1"/>
  <c r="DL50" i="19"/>
  <c r="DL23" i="15"/>
  <c r="DL91" i="15"/>
  <c r="DL25" i="15"/>
  <c r="DL26" i="15"/>
  <c r="BD55" i="19"/>
  <c r="BD18" i="15"/>
  <c r="DN39" i="11"/>
  <c r="DL58" i="19"/>
  <c r="DL34" i="15"/>
  <c r="DL92" i="15"/>
  <c r="DL37" i="15"/>
  <c r="DL36" i="15"/>
  <c r="CH106" i="1"/>
  <c r="CG113" i="1"/>
  <c r="AQ126" i="24"/>
  <c r="DO80" i="11"/>
  <c r="DO135" i="11"/>
  <c r="DO107" i="11"/>
  <c r="AJ10" i="11"/>
  <c r="EY107" i="24"/>
  <c r="AV106" i="24"/>
  <c r="I52" i="11"/>
  <c r="J52" i="11"/>
  <c r="L52" i="11"/>
  <c r="BD63" i="19"/>
  <c r="BD29" i="15"/>
  <c r="DL82" i="1"/>
  <c r="DL85" i="1"/>
  <c r="DL57" i="1"/>
  <c r="DL54" i="1"/>
  <c r="DO94" i="1"/>
  <c r="AI43" i="1"/>
  <c r="H57" i="11"/>
  <c r="J57" i="11"/>
  <c r="AW57" i="11"/>
  <c r="AW88" i="11" s="1"/>
  <c r="L57" i="11"/>
  <c r="AF13" i="29"/>
  <c r="AI14" i="29"/>
  <c r="I29" i="28"/>
  <c r="EL121" i="24"/>
  <c r="K120" i="24"/>
  <c r="AR120" i="24"/>
  <c r="EK126" i="24"/>
  <c r="EK14" i="24" s="1"/>
  <c r="EK15" i="24" s="1"/>
  <c r="DK132" i="11"/>
  <c r="DK22" i="11" s="1"/>
  <c r="DA68" i="1"/>
  <c r="DB63" i="1" s="1"/>
  <c r="DB68" i="1" s="1"/>
  <c r="DC63" i="1" s="1"/>
  <c r="DC68" i="1" s="1"/>
  <c r="DD63" i="1" s="1"/>
  <c r="AF63" i="1"/>
  <c r="AF68" i="1" s="1"/>
  <c r="J16" i="28"/>
  <c r="J17" i="28" s="1"/>
  <c r="J33" i="28"/>
  <c r="J22" i="28"/>
  <c r="J27" i="28"/>
  <c r="J26" i="28"/>
  <c r="J20" i="28"/>
  <c r="J23" i="28"/>
  <c r="J21" i="28"/>
  <c r="AI139" i="11"/>
  <c r="DL162" i="11"/>
  <c r="EM116" i="24"/>
  <c r="AR115" i="24"/>
  <c r="K115" i="24"/>
  <c r="DL130" i="11"/>
  <c r="AI129" i="11"/>
  <c r="AI141" i="11" s="1"/>
  <c r="DN111" i="11"/>
  <c r="DN159" i="11" s="1"/>
  <c r="DN123" i="1" s="1"/>
  <c r="DN101" i="11"/>
  <c r="DN102" i="11" s="1"/>
  <c r="EP122" i="24"/>
  <c r="AS121" i="24"/>
  <c r="DM102" i="11"/>
  <c r="AF30" i="29"/>
  <c r="DA34" i="29"/>
  <c r="DA37" i="29" s="1"/>
  <c r="P23" i="15"/>
  <c r="S26" i="15"/>
  <c r="S25" i="15"/>
  <c r="P91" i="15"/>
  <c r="DL42" i="19"/>
  <c r="DL66" i="19" s="1"/>
  <c r="DL12" i="15"/>
  <c r="DL40" i="15"/>
  <c r="DL14" i="15"/>
  <c r="DL90" i="15"/>
  <c r="DL15" i="15"/>
  <c r="DL16" i="11"/>
  <c r="DL34" i="1" s="1"/>
  <c r="DL42" i="11"/>
  <c r="AI41" i="11"/>
  <c r="AI16" i="11" s="1"/>
  <c r="AT108" i="24"/>
  <c r="ER109" i="24"/>
  <c r="DN61" i="11"/>
  <c r="DN62" i="11" s="1"/>
  <c r="AR108" i="24"/>
  <c r="EL109" i="24"/>
  <c r="K108" i="24"/>
  <c r="DN104" i="11"/>
  <c r="DN21" i="11" s="1"/>
  <c r="DN44" i="1" s="1"/>
  <c r="DN83" i="1" s="1"/>
  <c r="DN98" i="11"/>
  <c r="DN124" i="11"/>
  <c r="DB13" i="29"/>
  <c r="DC9" i="29" s="1"/>
  <c r="DB30" i="29"/>
  <c r="DB34" i="29" s="1"/>
  <c r="DB37" i="29" s="1"/>
  <c r="DB38" i="29" s="1"/>
  <c r="DJ84" i="1"/>
  <c r="DJ42" i="1"/>
  <c r="EP116" i="24"/>
  <c r="AS115" i="24"/>
  <c r="DM163" i="11"/>
  <c r="DK71" i="19"/>
  <c r="AW52" i="11"/>
  <c r="AW87" i="11" s="1"/>
  <c r="AH100" i="26" l="1"/>
  <c r="AH101" i="26" s="1"/>
  <c r="AH121" i="26"/>
  <c r="DN40" i="11"/>
  <c r="DN45" i="11" s="1"/>
  <c r="DN67" i="11"/>
  <c r="J18" i="28"/>
  <c r="DL47" i="19"/>
  <c r="DM7" i="15"/>
  <c r="DL45" i="15"/>
  <c r="EQ117" i="24"/>
  <c r="AS116" i="24"/>
  <c r="J24" i="28"/>
  <c r="I34" i="28"/>
  <c r="I31" i="28"/>
  <c r="EZ108" i="24"/>
  <c r="AV107" i="24"/>
  <c r="DN140" i="11"/>
  <c r="P40" i="15"/>
  <c r="BE47" i="15"/>
  <c r="BE48" i="15"/>
  <c r="DJ65" i="1"/>
  <c r="DJ48" i="1"/>
  <c r="AG63" i="1"/>
  <c r="AG68" i="1" s="1"/>
  <c r="DD68" i="1"/>
  <c r="DE63" i="1" s="1"/>
  <c r="DE68" i="1" s="1"/>
  <c r="DF63" i="1" s="1"/>
  <c r="DF68" i="1" s="1"/>
  <c r="DG63" i="1" s="1"/>
  <c r="ES110" i="24"/>
  <c r="AT109" i="24"/>
  <c r="AI82" i="1"/>
  <c r="AI85" i="1"/>
  <c r="AI57" i="1"/>
  <c r="AI54" i="1"/>
  <c r="AJ94" i="1"/>
  <c r="DN41" i="11"/>
  <c r="DO38" i="11"/>
  <c r="DO28" i="1"/>
  <c r="AJ29" i="1"/>
  <c r="BD47" i="19"/>
  <c r="BD71" i="19" s="1"/>
  <c r="BD45" i="15"/>
  <c r="BD7" i="15"/>
  <c r="EQ123" i="24"/>
  <c r="AS122" i="24"/>
  <c r="EN117" i="24"/>
  <c r="AR116" i="24"/>
  <c r="K116" i="24"/>
  <c r="BD58" i="19"/>
  <c r="BC34" i="15"/>
  <c r="BD92" i="15"/>
  <c r="BD37" i="15"/>
  <c r="BD36" i="15"/>
  <c r="DO106" i="11"/>
  <c r="DO97" i="11"/>
  <c r="DO112" i="11"/>
  <c r="AJ107" i="11"/>
  <c r="AJ109" i="11" s="1"/>
  <c r="BD50" i="19"/>
  <c r="BD26" i="15"/>
  <c r="BD25" i="15"/>
  <c r="BC23" i="15"/>
  <c r="BD91" i="15"/>
  <c r="DM44" i="1"/>
  <c r="DL126" i="1"/>
  <c r="AI126" i="1" s="1"/>
  <c r="AI127" i="1" s="1"/>
  <c r="DL163" i="11"/>
  <c r="DK45" i="1"/>
  <c r="DK19" i="11"/>
  <c r="DO134" i="11"/>
  <c r="DO123" i="11"/>
  <c r="AJ135" i="11"/>
  <c r="AJ137" i="11" s="1"/>
  <c r="DP10" i="11"/>
  <c r="AK9" i="1"/>
  <c r="DP14" i="1"/>
  <c r="DP97" i="1"/>
  <c r="DP98" i="1"/>
  <c r="DM144" i="11"/>
  <c r="DM127" i="1"/>
  <c r="EM110" i="24"/>
  <c r="AR109" i="24"/>
  <c r="K109" i="24"/>
  <c r="DL47" i="15"/>
  <c r="DL48" i="15"/>
  <c r="AI162" i="11"/>
  <c r="AI163" i="11" s="1"/>
  <c r="AI142" i="11"/>
  <c r="EK65" i="11"/>
  <c r="DO60" i="11"/>
  <c r="DO79" i="11"/>
  <c r="AJ80" i="11"/>
  <c r="EP110" i="24"/>
  <c r="AS109" i="24"/>
  <c r="P12" i="15"/>
  <c r="S14" i="15"/>
  <c r="S15" i="15"/>
  <c r="P90" i="15"/>
  <c r="DI65" i="1"/>
  <c r="DI48" i="1"/>
  <c r="AH48" i="1" s="1"/>
  <c r="AH42" i="1"/>
  <c r="EW108" i="24"/>
  <c r="AU107" i="24"/>
  <c r="L107" i="24"/>
  <c r="DC13" i="29"/>
  <c r="DD9" i="29" s="1"/>
  <c r="DC30" i="29"/>
  <c r="DC34" i="29" s="1"/>
  <c r="DC37" i="29" s="1"/>
  <c r="DC38" i="29" s="1"/>
  <c r="DL46" i="11"/>
  <c r="AI42" i="11"/>
  <c r="AI46" i="11" s="1"/>
  <c r="DA38" i="29"/>
  <c r="DL63" i="19"/>
  <c r="DM29" i="15"/>
  <c r="P42" i="19"/>
  <c r="P47" i="19" s="1"/>
  <c r="BE66" i="19"/>
  <c r="P66" i="19" s="1"/>
  <c r="P71" i="19" s="1"/>
  <c r="BG8" i="7"/>
  <c r="BQ27" i="7"/>
  <c r="DM130" i="11"/>
  <c r="DM20" i="11"/>
  <c r="DM92" i="11"/>
  <c r="AF34" i="29"/>
  <c r="K12" i="28" s="1"/>
  <c r="AI75" i="26" s="1"/>
  <c r="AI82" i="26" s="1"/>
  <c r="K8" i="28"/>
  <c r="AI71" i="26" s="1"/>
  <c r="AI78" i="26" s="1"/>
  <c r="AI35" i="29"/>
  <c r="DL33" i="1"/>
  <c r="DL55" i="1"/>
  <c r="DL39" i="1"/>
  <c r="AI34" i="1"/>
  <c r="AI130" i="11"/>
  <c r="AI149" i="11" s="1"/>
  <c r="BH10" i="7"/>
  <c r="U44" i="25"/>
  <c r="BH7" i="7"/>
  <c r="U44" i="7"/>
  <c r="K121" i="24"/>
  <c r="AR121" i="24"/>
  <c r="EM122" i="24"/>
  <c r="EL126" i="24"/>
  <c r="EL14" i="24" s="1"/>
  <c r="EL15" i="24" s="1"/>
  <c r="EL65" i="11" s="1"/>
  <c r="CH110" i="1"/>
  <c r="CH99" i="1"/>
  <c r="DL55" i="19"/>
  <c r="DM18" i="15"/>
  <c r="EJ23" i="11"/>
  <c r="AQ65" i="11"/>
  <c r="L119" i="1"/>
  <c r="AW119" i="1"/>
  <c r="EV110" i="24"/>
  <c r="AU109" i="24"/>
  <c r="DM45" i="11"/>
  <c r="DM41" i="11"/>
  <c r="AH124" i="26" l="1"/>
  <c r="AH123" i="26"/>
  <c r="EL23" i="11"/>
  <c r="EL46" i="1" s="1"/>
  <c r="EQ111" i="24"/>
  <c r="AS110" i="24"/>
  <c r="DM125" i="11"/>
  <c r="DO161" i="11"/>
  <c r="DO125" i="1" s="1"/>
  <c r="AJ125" i="1" s="1"/>
  <c r="AJ134" i="11"/>
  <c r="AJ161" i="11" s="1"/>
  <c r="DM83" i="1"/>
  <c r="DO101" i="11"/>
  <c r="DO111" i="11"/>
  <c r="AJ112" i="11"/>
  <c r="AJ114" i="11" s="1"/>
  <c r="P45" i="15"/>
  <c r="S47" i="15"/>
  <c r="S48" i="15"/>
  <c r="J29" i="28"/>
  <c r="DM43" i="1"/>
  <c r="DO98" i="11"/>
  <c r="AJ98" i="11" s="1"/>
  <c r="AJ97" i="11"/>
  <c r="AJ52" i="1"/>
  <c r="DJ71" i="1"/>
  <c r="DN129" i="11"/>
  <c r="DN139" i="11"/>
  <c r="DN162" i="11" s="1"/>
  <c r="AJ106" i="11"/>
  <c r="AJ160" i="11" s="1"/>
  <c r="DO160" i="11"/>
  <c r="DO124" i="1" s="1"/>
  <c r="AJ124" i="1" s="1"/>
  <c r="ER118" i="24"/>
  <c r="AT117" i="24"/>
  <c r="DN20" i="11"/>
  <c r="DN92" i="11"/>
  <c r="AG9" i="29"/>
  <c r="DD13" i="29"/>
  <c r="DE9" i="29" s="1"/>
  <c r="DD30" i="29"/>
  <c r="DO61" i="11"/>
  <c r="AJ61" i="11" s="1"/>
  <c r="AJ89" i="11" s="1"/>
  <c r="AJ60" i="11"/>
  <c r="AJ81" i="11" s="1"/>
  <c r="DP9" i="11"/>
  <c r="DP15" i="1"/>
  <c r="DQ9" i="1"/>
  <c r="DP29" i="1"/>
  <c r="BC55" i="19"/>
  <c r="BC18" i="15"/>
  <c r="AS117" i="24"/>
  <c r="EO118" i="24"/>
  <c r="K117" i="24"/>
  <c r="DO64" i="1"/>
  <c r="AJ28" i="1"/>
  <c r="FA109" i="24"/>
  <c r="AW108" i="24"/>
  <c r="K122" i="24"/>
  <c r="EN123" i="24"/>
  <c r="AR122" i="24"/>
  <c r="EM126" i="24"/>
  <c r="EM14" i="24" s="1"/>
  <c r="EM15" i="24" s="1"/>
  <c r="EM65" i="11" s="1"/>
  <c r="DI71" i="1"/>
  <c r="AH65" i="1"/>
  <c r="EW111" i="24"/>
  <c r="AU110" i="24"/>
  <c r="AI55" i="1"/>
  <c r="AI39" i="1"/>
  <c r="AK14" i="1"/>
  <c r="AN97" i="1"/>
  <c r="AN98" i="1"/>
  <c r="DK84" i="1"/>
  <c r="DK42" i="1"/>
  <c r="DO39" i="11"/>
  <c r="AJ38" i="11"/>
  <c r="ET111" i="24"/>
  <c r="AT110" i="24"/>
  <c r="DM42" i="19"/>
  <c r="DM12" i="15"/>
  <c r="DM40" i="15"/>
  <c r="AJ7" i="15"/>
  <c r="DM90" i="15"/>
  <c r="DM14" i="15"/>
  <c r="DM15" i="15"/>
  <c r="EJ46" i="1"/>
  <c r="AQ23" i="11"/>
  <c r="AR15" i="24"/>
  <c r="DP80" i="11"/>
  <c r="DP107" i="11"/>
  <c r="DP135" i="11"/>
  <c r="AT123" i="24"/>
  <c r="ER124" i="24"/>
  <c r="I63" i="1"/>
  <c r="AH63" i="1"/>
  <c r="AH68" i="1" s="1"/>
  <c r="DG68" i="1"/>
  <c r="DH63" i="1" s="1"/>
  <c r="DH68" i="1" s="1"/>
  <c r="DI63" i="1" s="1"/>
  <c r="DI68" i="1" s="1"/>
  <c r="DJ63" i="1" s="1"/>
  <c r="I35" i="28"/>
  <c r="DL71" i="19"/>
  <c r="DM16" i="11"/>
  <c r="DM34" i="1" s="1"/>
  <c r="DM42" i="11"/>
  <c r="DM50" i="19"/>
  <c r="AJ50" i="19" s="1"/>
  <c r="AJ55" i="19" s="1"/>
  <c r="DM23" i="15"/>
  <c r="AJ18" i="15"/>
  <c r="DM91" i="15"/>
  <c r="DM25" i="15"/>
  <c r="DM26" i="15"/>
  <c r="EK23" i="11"/>
  <c r="AR65" i="11"/>
  <c r="BR27" i="7"/>
  <c r="BH8" i="7"/>
  <c r="EN111" i="24"/>
  <c r="AR110" i="24"/>
  <c r="K110" i="24"/>
  <c r="DL144" i="11"/>
  <c r="DL127" i="1"/>
  <c r="BC63" i="19"/>
  <c r="BC29" i="15"/>
  <c r="BD42" i="19"/>
  <c r="BD66" i="19" s="1"/>
  <c r="BD14" i="15"/>
  <c r="BC12" i="15"/>
  <c r="BD40" i="15"/>
  <c r="BD90" i="15"/>
  <c r="BD15" i="15"/>
  <c r="DN16" i="11"/>
  <c r="DN34" i="1" s="1"/>
  <c r="DN42" i="11"/>
  <c r="DN46" i="11" s="1"/>
  <c r="BI10" i="7"/>
  <c r="V44" i="25"/>
  <c r="BI7" i="7"/>
  <c r="V44" i="7"/>
  <c r="DM58" i="19"/>
  <c r="AJ58" i="19" s="1"/>
  <c r="AJ63" i="19" s="1"/>
  <c r="AJ29" i="15"/>
  <c r="DM34" i="15"/>
  <c r="DM36" i="15"/>
  <c r="DM92" i="15"/>
  <c r="DM37" i="15"/>
  <c r="AJ79" i="11"/>
  <c r="DO157" i="11"/>
  <c r="AF37" i="29"/>
  <c r="CI106" i="1"/>
  <c r="CH113" i="1"/>
  <c r="DL81" i="1"/>
  <c r="DL37" i="1"/>
  <c r="DL38" i="1"/>
  <c r="AI33" i="1"/>
  <c r="AF38" i="29"/>
  <c r="AI110" i="26" s="1"/>
  <c r="AI112" i="26" s="1"/>
  <c r="EX109" i="24"/>
  <c r="AV108" i="24"/>
  <c r="L108" i="24"/>
  <c r="DM100" i="1"/>
  <c r="DM101" i="1"/>
  <c r="DO124" i="11"/>
  <c r="AJ124" i="11" s="1"/>
  <c r="AJ123" i="11"/>
  <c r="AI100" i="1"/>
  <c r="AI101" i="1"/>
  <c r="AH126" i="26" l="1"/>
  <c r="AH164" i="26"/>
  <c r="AH163" i="26" s="1"/>
  <c r="AI120" i="26"/>
  <c r="AI97" i="26"/>
  <c r="AI87" i="26" s="1"/>
  <c r="CI110" i="1"/>
  <c r="G106" i="1"/>
  <c r="CI99" i="1"/>
  <c r="DM47" i="19"/>
  <c r="DN7" i="15"/>
  <c r="DM45" i="15"/>
  <c r="K123" i="24"/>
  <c r="AS123" i="24"/>
  <c r="EO124" i="24"/>
  <c r="EN126" i="24"/>
  <c r="EN14" i="24" s="1"/>
  <c r="EN15" i="24" s="1"/>
  <c r="EP119" i="24"/>
  <c r="AS118" i="24"/>
  <c r="K118" i="24"/>
  <c r="DN126" i="1"/>
  <c r="DN163" i="11"/>
  <c r="ES125" i="24"/>
  <c r="AT124" i="24"/>
  <c r="BC58" i="19"/>
  <c r="BC37" i="15"/>
  <c r="BC36" i="15"/>
  <c r="BB34" i="15"/>
  <c r="BC92" i="15"/>
  <c r="AJ23" i="15"/>
  <c r="AJ91" i="15"/>
  <c r="AM25" i="15"/>
  <c r="AM26" i="15"/>
  <c r="AJ42" i="19"/>
  <c r="AJ47" i="19" s="1"/>
  <c r="DM66" i="19"/>
  <c r="AJ66" i="19" s="1"/>
  <c r="AJ71" i="19" s="1"/>
  <c r="DN43" i="1"/>
  <c r="DN130" i="11"/>
  <c r="DM82" i="1"/>
  <c r="DM85" i="1"/>
  <c r="DM57" i="1"/>
  <c r="DM54" i="1"/>
  <c r="DP94" i="1"/>
  <c r="DK65" i="1"/>
  <c r="DK48" i="1"/>
  <c r="EX112" i="24"/>
  <c r="AV111" i="24"/>
  <c r="BC50" i="19"/>
  <c r="BC25" i="15"/>
  <c r="BB23" i="15"/>
  <c r="BC26" i="15"/>
  <c r="BC91" i="15"/>
  <c r="DJ91" i="1"/>
  <c r="DJ102" i="1"/>
  <c r="DJ90" i="1"/>
  <c r="DM132" i="11"/>
  <c r="DM22" i="11" s="1"/>
  <c r="AJ148" i="11"/>
  <c r="AI81" i="1"/>
  <c r="AI38" i="1"/>
  <c r="AI92" i="1" s="1"/>
  <c r="AI93" i="1" s="1"/>
  <c r="K15" i="28"/>
  <c r="AF40" i="29"/>
  <c r="AF43" i="29" s="1"/>
  <c r="DM63" i="19"/>
  <c r="DN29" i="15"/>
  <c r="DN33" i="1"/>
  <c r="DN55" i="1"/>
  <c r="DN39" i="1"/>
  <c r="DM55" i="19"/>
  <c r="DN18" i="15"/>
  <c r="AQ46" i="1"/>
  <c r="AJ34" i="15"/>
  <c r="AJ92" i="15"/>
  <c r="AM36" i="15"/>
  <c r="AM37" i="15"/>
  <c r="DL100" i="1"/>
  <c r="DL101" i="1"/>
  <c r="DP134" i="11"/>
  <c r="DP161" i="11" s="1"/>
  <c r="DP125" i="1" s="1"/>
  <c r="DP123" i="11"/>
  <c r="AH75" i="1"/>
  <c r="W46" i="7"/>
  <c r="W46" i="25"/>
  <c r="FB110" i="24"/>
  <c r="AW110" i="24" s="1"/>
  <c r="AW109" i="24"/>
  <c r="DO62" i="11"/>
  <c r="ES119" i="24"/>
  <c r="AT118" i="24"/>
  <c r="AJ111" i="11"/>
  <c r="AJ159" i="11" s="1"/>
  <c r="DO159" i="11"/>
  <c r="DO123" i="1" s="1"/>
  <c r="AJ123" i="1" s="1"/>
  <c r="DL125" i="11"/>
  <c r="AI144" i="11"/>
  <c r="AI63" i="1"/>
  <c r="DJ68" i="1"/>
  <c r="DK63" i="1" s="1"/>
  <c r="DK68" i="1" s="1"/>
  <c r="DL63" i="1" s="1"/>
  <c r="DP106" i="11"/>
  <c r="DP160" i="11" s="1"/>
  <c r="DP124" i="1" s="1"/>
  <c r="DP97" i="11"/>
  <c r="DP112" i="11"/>
  <c r="EU112" i="24"/>
  <c r="AU111" i="24"/>
  <c r="AJ64" i="1"/>
  <c r="DP38" i="11"/>
  <c r="DP28" i="1"/>
  <c r="DO102" i="11"/>
  <c r="AJ101" i="11"/>
  <c r="AJ113" i="11" s="1"/>
  <c r="AI37" i="1"/>
  <c r="DL92" i="1"/>
  <c r="DO121" i="1"/>
  <c r="AJ121" i="1" s="1"/>
  <c r="DO140" i="11"/>
  <c r="BD48" i="15"/>
  <c r="BD47" i="15"/>
  <c r="W44" i="25"/>
  <c r="W44" i="7"/>
  <c r="DP60" i="11"/>
  <c r="DP79" i="11"/>
  <c r="DP157" i="11" s="1"/>
  <c r="DI91" i="1"/>
  <c r="DI102" i="1"/>
  <c r="DI90" i="1"/>
  <c r="AH71" i="1"/>
  <c r="AG30" i="29"/>
  <c r="DD34" i="29"/>
  <c r="DD37" i="29" s="1"/>
  <c r="J34" i="28"/>
  <c r="J31" i="28"/>
  <c r="AT111" i="24"/>
  <c r="ER112" i="24"/>
  <c r="EK46" i="1"/>
  <c r="EY110" i="24"/>
  <c r="AV109" i="24"/>
  <c r="L109" i="24"/>
  <c r="AJ157" i="11"/>
  <c r="AJ82" i="11"/>
  <c r="BS27" i="7"/>
  <c r="BI8" i="7"/>
  <c r="BC47" i="19"/>
  <c r="BC71" i="19" s="1"/>
  <c r="BC7" i="15"/>
  <c r="BC45" i="15"/>
  <c r="DM46" i="11"/>
  <c r="AJ12" i="15"/>
  <c r="AJ90" i="15"/>
  <c r="AM15" i="15"/>
  <c r="AM14" i="15"/>
  <c r="AK9" i="11"/>
  <c r="AK15" i="1"/>
  <c r="EM23" i="11"/>
  <c r="AR23" i="11" s="1"/>
  <c r="DQ10" i="11"/>
  <c r="DQ14" i="1"/>
  <c r="DQ97" i="1"/>
  <c r="DQ98" i="1"/>
  <c r="DE13" i="29"/>
  <c r="DF9" i="29" s="1"/>
  <c r="DE30" i="29"/>
  <c r="DE34" i="29" s="1"/>
  <c r="DE37" i="29" s="1"/>
  <c r="DE38" i="29" s="1"/>
  <c r="AJ108" i="11"/>
  <c r="AJ136" i="11"/>
  <c r="AS111" i="24"/>
  <c r="EO112" i="24"/>
  <c r="K111" i="24"/>
  <c r="DM55" i="1"/>
  <c r="DM33" i="1"/>
  <c r="DM39" i="1"/>
  <c r="AJ40" i="15"/>
  <c r="DM48" i="15"/>
  <c r="DM47" i="15"/>
  <c r="AJ39" i="11"/>
  <c r="AR126" i="24"/>
  <c r="AG13" i="29"/>
  <c r="AJ14" i="29"/>
  <c r="AJ117" i="11"/>
  <c r="AI100" i="26" l="1"/>
  <c r="AI101" i="26" s="1"/>
  <c r="AI121" i="26"/>
  <c r="ES113" i="24"/>
  <c r="AT112" i="24"/>
  <c r="DL132" i="11"/>
  <c r="DL22" i="11" s="1"/>
  <c r="AI125" i="11"/>
  <c r="AG34" i="29"/>
  <c r="L12" i="28" s="1"/>
  <c r="AJ75" i="26" s="1"/>
  <c r="AJ82" i="26" s="1"/>
  <c r="L8" i="28"/>
  <c r="AJ71" i="26" s="1"/>
  <c r="AJ78" i="26" s="1"/>
  <c r="AJ35" i="29"/>
  <c r="AH91" i="1"/>
  <c r="AH102" i="1"/>
  <c r="AH89" i="1"/>
  <c r="AH90" i="1"/>
  <c r="DL93" i="1"/>
  <c r="BB55" i="19"/>
  <c r="BB18" i="15"/>
  <c r="EQ120" i="24"/>
  <c r="AS119" i="24"/>
  <c r="K119" i="24"/>
  <c r="DF13" i="29"/>
  <c r="DG9" i="29" s="1"/>
  <c r="DF30" i="29"/>
  <c r="DF34" i="29" s="1"/>
  <c r="DF37" i="29" s="1"/>
  <c r="DF38" i="29" s="1"/>
  <c r="AJ74" i="1"/>
  <c r="DN50" i="19"/>
  <c r="DN23" i="15"/>
  <c r="DN26" i="15"/>
  <c r="DN91" i="15"/>
  <c r="DN25" i="15"/>
  <c r="K16" i="28"/>
  <c r="K33" i="28"/>
  <c r="K22" i="28"/>
  <c r="K23" i="28"/>
  <c r="K27" i="28"/>
  <c r="K21" i="28"/>
  <c r="K26" i="28"/>
  <c r="K20" i="28"/>
  <c r="DP124" i="11"/>
  <c r="DN82" i="1"/>
  <c r="DN85" i="1"/>
  <c r="DN57" i="1"/>
  <c r="DN54" i="1"/>
  <c r="DQ94" i="1"/>
  <c r="AT125" i="24"/>
  <c r="DN42" i="19"/>
  <c r="DN12" i="15"/>
  <c r="DN40" i="15"/>
  <c r="DN90" i="15"/>
  <c r="DN15" i="15"/>
  <c r="DN14" i="15"/>
  <c r="ET120" i="24"/>
  <c r="AT119" i="24"/>
  <c r="EY113" i="24"/>
  <c r="AV112" i="24"/>
  <c r="BB63" i="19"/>
  <c r="BB29" i="15"/>
  <c r="DN144" i="11"/>
  <c r="DN127" i="1"/>
  <c r="DM71" i="19"/>
  <c r="AJ44" i="11"/>
  <c r="AJ47" i="11"/>
  <c r="DP39" i="11"/>
  <c r="EP113" i="24"/>
  <c r="AS112" i="24"/>
  <c r="K112" i="24"/>
  <c r="AJ45" i="15"/>
  <c r="AM47" i="15"/>
  <c r="AM48" i="15"/>
  <c r="DQ9" i="11"/>
  <c r="DQ15" i="1"/>
  <c r="DR9" i="1"/>
  <c r="DQ29" i="1"/>
  <c r="DO129" i="11"/>
  <c r="DO139" i="11"/>
  <c r="AJ140" i="11"/>
  <c r="AJ102" i="11"/>
  <c r="DO104" i="11"/>
  <c r="DO21" i="11" s="1"/>
  <c r="EV113" i="24"/>
  <c r="AU112" i="24"/>
  <c r="DO40" i="11"/>
  <c r="AJ62" i="11"/>
  <c r="AJ90" i="11" s="1"/>
  <c r="DO67" i="11"/>
  <c r="J35" i="28"/>
  <c r="DN81" i="1"/>
  <c r="DN38" i="1"/>
  <c r="DN37" i="1"/>
  <c r="DM45" i="1"/>
  <c r="DM19" i="11"/>
  <c r="EN65" i="11"/>
  <c r="G110" i="1"/>
  <c r="G113" i="1" s="1"/>
  <c r="H113" i="1" s="1"/>
  <c r="G99" i="1"/>
  <c r="AK12" i="25" s="1"/>
  <c r="EM46" i="1"/>
  <c r="DQ80" i="11"/>
  <c r="DQ135" i="11"/>
  <c r="DQ107" i="11"/>
  <c r="BC42" i="19"/>
  <c r="BC66" i="19" s="1"/>
  <c r="BC14" i="15"/>
  <c r="BB12" i="15"/>
  <c r="BC40" i="15"/>
  <c r="BC15" i="15"/>
  <c r="BC90" i="15"/>
  <c r="EZ111" i="24"/>
  <c r="AV110" i="24"/>
  <c r="L110" i="24"/>
  <c r="DP121" i="1"/>
  <c r="DP140" i="11"/>
  <c r="DP101" i="11"/>
  <c r="DP111" i="11"/>
  <c r="DP159" i="11" s="1"/>
  <c r="DP123" i="1" s="1"/>
  <c r="DM81" i="1"/>
  <c r="DM38" i="1"/>
  <c r="DM37" i="1"/>
  <c r="AR46" i="1"/>
  <c r="AG37" i="29"/>
  <c r="DD38" i="29"/>
  <c r="H37" i="29"/>
  <c r="DP61" i="11"/>
  <c r="DP62" i="11" s="1"/>
  <c r="DP64" i="1"/>
  <c r="DP98" i="11"/>
  <c r="DN58" i="19"/>
  <c r="DN34" i="15"/>
  <c r="DN92" i="15"/>
  <c r="DN37" i="15"/>
  <c r="DN36" i="15"/>
  <c r="DK71" i="1"/>
  <c r="K124" i="24"/>
  <c r="AS124" i="24"/>
  <c r="EP125" i="24"/>
  <c r="EO126" i="24"/>
  <c r="EO14" i="24" s="1"/>
  <c r="EO15" i="24" s="1"/>
  <c r="EO65" i="11" s="1"/>
  <c r="CJ106" i="1"/>
  <c r="CI113" i="1"/>
  <c r="AJ97" i="26" l="1"/>
  <c r="AJ87" i="26" s="1"/>
  <c r="K87" i="26" s="1"/>
  <c r="K218" i="26" s="1"/>
  <c r="K220" i="26" s="1"/>
  <c r="AI124" i="26"/>
  <c r="AI123" i="26"/>
  <c r="K97" i="26"/>
  <c r="DP40" i="11"/>
  <c r="DK91" i="1"/>
  <c r="DK102" i="1"/>
  <c r="DK90" i="1"/>
  <c r="L15" i="28"/>
  <c r="DN55" i="19"/>
  <c r="DO18" i="15"/>
  <c r="DP102" i="11"/>
  <c r="CJ110" i="1"/>
  <c r="CJ99" i="1"/>
  <c r="DN63" i="19"/>
  <c r="DO29" i="15"/>
  <c r="EN23" i="11"/>
  <c r="DO45" i="11"/>
  <c r="AJ40" i="11"/>
  <c r="AJ45" i="11" s="1"/>
  <c r="DO41" i="11"/>
  <c r="DP41" i="11"/>
  <c r="DN48" i="15"/>
  <c r="DN47" i="15"/>
  <c r="CV113" i="1"/>
  <c r="CV114" i="1" s="1"/>
  <c r="CV109" i="1" s="1"/>
  <c r="DD113" i="1"/>
  <c r="DD114" i="1" s="1"/>
  <c r="DD109" i="1" s="1"/>
  <c r="CW113" i="1"/>
  <c r="CW114" i="1" s="1"/>
  <c r="CW109" i="1" s="1"/>
  <c r="DE113" i="1"/>
  <c r="DE114" i="1" s="1"/>
  <c r="DE109" i="1" s="1"/>
  <c r="CX113" i="1"/>
  <c r="CX114" i="1" s="1"/>
  <c r="CX109" i="1" s="1"/>
  <c r="DF113" i="1"/>
  <c r="DF114" i="1" s="1"/>
  <c r="DF109" i="1" s="1"/>
  <c r="CY113" i="1"/>
  <c r="CY114" i="1" s="1"/>
  <c r="CY109" i="1" s="1"/>
  <c r="CZ113" i="1"/>
  <c r="CZ114" i="1" s="1"/>
  <c r="CZ109" i="1" s="1"/>
  <c r="DA113" i="1"/>
  <c r="DA114" i="1" s="1"/>
  <c r="DA109" i="1" s="1"/>
  <c r="DB113" i="1"/>
  <c r="DB114" i="1" s="1"/>
  <c r="DB109" i="1" s="1"/>
  <c r="CU113" i="1"/>
  <c r="CU114" i="1" s="1"/>
  <c r="CU109" i="1" s="1"/>
  <c r="DC113" i="1"/>
  <c r="DC114" i="1" s="1"/>
  <c r="DC109" i="1" s="1"/>
  <c r="I113" i="1"/>
  <c r="DO130" i="11"/>
  <c r="AJ130" i="11" s="1"/>
  <c r="AJ129" i="11"/>
  <c r="AJ141" i="11" s="1"/>
  <c r="DP67" i="11"/>
  <c r="AW111" i="24"/>
  <c r="FA112" i="24"/>
  <c r="L111" i="24"/>
  <c r="DQ97" i="11"/>
  <c r="DQ106" i="11"/>
  <c r="DQ160" i="11" s="1"/>
  <c r="DQ124" i="1" s="1"/>
  <c r="DQ112" i="11"/>
  <c r="DQ38" i="11"/>
  <c r="DQ28" i="1"/>
  <c r="EZ114" i="24"/>
  <c r="AV113" i="24"/>
  <c r="DN47" i="19"/>
  <c r="DN71" i="19" s="1"/>
  <c r="DN45" i="15"/>
  <c r="DO7" i="15"/>
  <c r="AT120" i="24"/>
  <c r="ER121" i="24"/>
  <c r="AI145" i="11"/>
  <c r="AI132" i="11"/>
  <c r="DP129" i="11"/>
  <c r="DP139" i="11"/>
  <c r="DP162" i="11" s="1"/>
  <c r="DQ134" i="11"/>
  <c r="DQ161" i="11" s="1"/>
  <c r="DQ125" i="1" s="1"/>
  <c r="DQ123" i="11"/>
  <c r="EW114" i="24"/>
  <c r="AU113" i="24"/>
  <c r="DN66" i="19"/>
  <c r="DQ60" i="11"/>
  <c r="DQ79" i="11"/>
  <c r="DQ157" i="11" s="1"/>
  <c r="DO44" i="1"/>
  <c r="AJ21" i="11"/>
  <c r="DR10" i="11"/>
  <c r="DR14" i="1"/>
  <c r="DR97" i="1"/>
  <c r="DR98" i="1"/>
  <c r="K24" i="28"/>
  <c r="K17" i="28"/>
  <c r="BB50" i="19"/>
  <c r="O50" i="19" s="1"/>
  <c r="O55" i="19" s="1"/>
  <c r="O18" i="15"/>
  <c r="BB25" i="15"/>
  <c r="BA23" i="15"/>
  <c r="BB91" i="15"/>
  <c r="BB26" i="15"/>
  <c r="DL45" i="1"/>
  <c r="DL19" i="11"/>
  <c r="AI22" i="11"/>
  <c r="AI19" i="11" s="1"/>
  <c r="DM84" i="1"/>
  <c r="DM42" i="1"/>
  <c r="AJ118" i="11"/>
  <c r="AJ104" i="11"/>
  <c r="DN100" i="1"/>
  <c r="DN101" i="1"/>
  <c r="EU121" i="24"/>
  <c r="AU120" i="24"/>
  <c r="DN92" i="1"/>
  <c r="DN93" i="1" s="1"/>
  <c r="DM92" i="1"/>
  <c r="BC47" i="15"/>
  <c r="BC48" i="15"/>
  <c r="EO23" i="11"/>
  <c r="EO46" i="1" s="1"/>
  <c r="BB47" i="19"/>
  <c r="BB71" i="19" s="1"/>
  <c r="BB45" i="15"/>
  <c r="BB7" i="15"/>
  <c r="DO20" i="11"/>
  <c r="DO92" i="11"/>
  <c r="AJ67" i="11"/>
  <c r="AJ92" i="11" s="1"/>
  <c r="EQ114" i="24"/>
  <c r="AS113" i="24"/>
  <c r="K113" i="24"/>
  <c r="DN125" i="11"/>
  <c r="K125" i="24"/>
  <c r="K126" i="24" s="1"/>
  <c r="K14" i="24" s="1"/>
  <c r="K16" i="24" s="1"/>
  <c r="AS125" i="24"/>
  <c r="EP126" i="24"/>
  <c r="EP14" i="24" s="1"/>
  <c r="EP15" i="24" s="1"/>
  <c r="EP65" i="11" s="1"/>
  <c r="AS65" i="11" s="1"/>
  <c r="AG38" i="29"/>
  <c r="H38" i="29"/>
  <c r="AJ139" i="11"/>
  <c r="DO162" i="11"/>
  <c r="BB58" i="19"/>
  <c r="O58" i="19" s="1"/>
  <c r="O63" i="19" s="1"/>
  <c r="BB37" i="15"/>
  <c r="O29" i="15"/>
  <c r="BA34" i="15"/>
  <c r="BB92" i="15"/>
  <c r="BB36" i="15"/>
  <c r="DG13" i="29"/>
  <c r="DH9" i="29" s="1"/>
  <c r="DG30" i="29"/>
  <c r="AH9" i="29"/>
  <c r="ET114" i="24"/>
  <c r="AT113" i="24"/>
  <c r="AI126" i="26" l="1"/>
  <c r="AI164" i="26"/>
  <c r="AI163" i="26" s="1"/>
  <c r="H40" i="29"/>
  <c r="H43" i="29" s="1"/>
  <c r="AG40" i="29"/>
  <c r="AG43" i="29" s="1"/>
  <c r="K100" i="26"/>
  <c r="AJ100" i="26"/>
  <c r="AJ101" i="26" s="1"/>
  <c r="DM93" i="1"/>
  <c r="O23" i="15"/>
  <c r="R26" i="15"/>
  <c r="R25" i="15"/>
  <c r="O91" i="15"/>
  <c r="DR80" i="11"/>
  <c r="DR107" i="11"/>
  <c r="DR135" i="11"/>
  <c r="I10" i="11"/>
  <c r="AK10" i="11"/>
  <c r="DO42" i="19"/>
  <c r="DO12" i="15"/>
  <c r="DO40" i="15"/>
  <c r="DO90" i="15"/>
  <c r="DO14" i="15"/>
  <c r="DO15" i="15"/>
  <c r="DQ39" i="11"/>
  <c r="AF109" i="1"/>
  <c r="CK106" i="1"/>
  <c r="CJ113" i="1"/>
  <c r="AV114" i="24"/>
  <c r="EX115" i="24"/>
  <c r="AS15" i="24"/>
  <c r="DP20" i="11"/>
  <c r="DP92" i="11"/>
  <c r="AJ162" i="11"/>
  <c r="AJ163" i="11" s="1"/>
  <c r="AJ142" i="11"/>
  <c r="K18" i="28"/>
  <c r="DO83" i="1"/>
  <c r="AJ44" i="1"/>
  <c r="AJ83" i="1" s="1"/>
  <c r="DP104" i="11"/>
  <c r="DP21" i="11" s="1"/>
  <c r="DN132" i="11"/>
  <c r="DN22" i="11" s="1"/>
  <c r="DL84" i="1"/>
  <c r="DL42" i="1"/>
  <c r="AI45" i="1"/>
  <c r="AI84" i="1" s="1"/>
  <c r="DQ124" i="11"/>
  <c r="ES122" i="24"/>
  <c r="AT121" i="24"/>
  <c r="DQ101" i="11"/>
  <c r="DQ111" i="11"/>
  <c r="DQ159" i="11" s="1"/>
  <c r="DQ123" i="1" s="1"/>
  <c r="AJ149" i="11"/>
  <c r="DO50" i="19"/>
  <c r="DO23" i="15"/>
  <c r="DO25" i="15"/>
  <c r="DO26" i="15"/>
  <c r="DO91" i="15"/>
  <c r="DM65" i="1"/>
  <c r="DM48" i="1"/>
  <c r="K29" i="28"/>
  <c r="DQ121" i="1"/>
  <c r="AW114" i="24"/>
  <c r="FA115" i="24"/>
  <c r="J113" i="1"/>
  <c r="DL113" i="1"/>
  <c r="DL114" i="1" s="1"/>
  <c r="DL109" i="1" s="1"/>
  <c r="DM113" i="1"/>
  <c r="DM114" i="1" s="1"/>
  <c r="DM109" i="1" s="1"/>
  <c r="DN113" i="1"/>
  <c r="DN114" i="1" s="1"/>
  <c r="DN109" i="1" s="1"/>
  <c r="DG113" i="1"/>
  <c r="DG114" i="1" s="1"/>
  <c r="DG109" i="1" s="1"/>
  <c r="DO113" i="1"/>
  <c r="DO114" i="1" s="1"/>
  <c r="DO109" i="1" s="1"/>
  <c r="DH113" i="1"/>
  <c r="DH114" i="1" s="1"/>
  <c r="DH109" i="1" s="1"/>
  <c r="DP113" i="1"/>
  <c r="DP114" i="1" s="1"/>
  <c r="DP109" i="1" s="1"/>
  <c r="DI113" i="1"/>
  <c r="DI114" i="1" s="1"/>
  <c r="DI109" i="1" s="1"/>
  <c r="DQ113" i="1"/>
  <c r="DQ114" i="1" s="1"/>
  <c r="DQ109" i="1" s="1"/>
  <c r="DJ113" i="1"/>
  <c r="DJ114" i="1" s="1"/>
  <c r="DJ109" i="1" s="1"/>
  <c r="DR113" i="1"/>
  <c r="DR114" i="1" s="1"/>
  <c r="DR109" i="1" s="1"/>
  <c r="DK113" i="1"/>
  <c r="DK114" i="1" s="1"/>
  <c r="DK109" i="1" s="1"/>
  <c r="AE109" i="1"/>
  <c r="DP16" i="11"/>
  <c r="DP34" i="1" s="1"/>
  <c r="DP42" i="11"/>
  <c r="EN46" i="1"/>
  <c r="AU114" i="24"/>
  <c r="EU115" i="24"/>
  <c r="BB42" i="19"/>
  <c r="BA12" i="15"/>
  <c r="BB40" i="15"/>
  <c r="BB90" i="15"/>
  <c r="O7" i="15"/>
  <c r="BB15" i="15"/>
  <c r="BB14" i="15"/>
  <c r="DQ61" i="11"/>
  <c r="DQ62" i="11" s="1"/>
  <c r="DQ98" i="11"/>
  <c r="DO58" i="19"/>
  <c r="DO34" i="15"/>
  <c r="DO37" i="15"/>
  <c r="DO36" i="15"/>
  <c r="DO92" i="15"/>
  <c r="DH13" i="29"/>
  <c r="DI9" i="29" s="1"/>
  <c r="DH30" i="29"/>
  <c r="DH34" i="29" s="1"/>
  <c r="DH37" i="29" s="1"/>
  <c r="DO43" i="1"/>
  <c r="AJ20" i="11"/>
  <c r="EP23" i="11"/>
  <c r="EP46" i="1" s="1"/>
  <c r="DP126" i="1"/>
  <c r="DP163" i="11"/>
  <c r="DQ64" i="1"/>
  <c r="AD109" i="1"/>
  <c r="H109" i="1"/>
  <c r="DO16" i="11"/>
  <c r="DO34" i="1" s="1"/>
  <c r="DO42" i="11"/>
  <c r="AJ41" i="11"/>
  <c r="AJ16" i="11" s="1"/>
  <c r="DO126" i="1"/>
  <c r="AJ126" i="1" s="1"/>
  <c r="AJ127" i="1" s="1"/>
  <c r="DO163" i="11"/>
  <c r="BA63" i="19"/>
  <c r="BA29" i="15"/>
  <c r="AH13" i="29"/>
  <c r="AK14" i="29"/>
  <c r="O34" i="15"/>
  <c r="R36" i="15"/>
  <c r="R37" i="15"/>
  <c r="O92" i="15"/>
  <c r="ER115" i="24"/>
  <c r="L114" i="24"/>
  <c r="AT114" i="24"/>
  <c r="EQ126" i="24"/>
  <c r="EQ14" i="24" s="1"/>
  <c r="EQ15" i="24" s="1"/>
  <c r="EV122" i="24"/>
  <c r="AU121" i="24"/>
  <c r="BA55" i="19"/>
  <c r="BA18" i="15"/>
  <c r="AH30" i="29"/>
  <c r="DG34" i="29"/>
  <c r="DG37" i="29" s="1"/>
  <c r="AS126" i="24"/>
  <c r="DR9" i="11"/>
  <c r="DR15" i="1"/>
  <c r="DS9" i="1"/>
  <c r="DR29" i="1"/>
  <c r="DP130" i="11"/>
  <c r="FB113" i="24"/>
  <c r="AW112" i="24"/>
  <c r="L112" i="24"/>
  <c r="AG109" i="1"/>
  <c r="L16" i="28"/>
  <c r="C16" i="28" s="1"/>
  <c r="L26" i="28"/>
  <c r="C26" i="28" s="1"/>
  <c r="L33" i="28"/>
  <c r="L21" i="28"/>
  <c r="C21" i="28" s="1"/>
  <c r="L22" i="28"/>
  <c r="C22" i="28" s="1"/>
  <c r="L20" i="28"/>
  <c r="L23" i="28"/>
  <c r="C23" i="28" s="1"/>
  <c r="L27" i="28"/>
  <c r="C27" i="28" s="1"/>
  <c r="C15" i="28"/>
  <c r="DP45" i="11"/>
  <c r="AJ110" i="26" l="1"/>
  <c r="AJ120" i="26"/>
  <c r="K110" i="26"/>
  <c r="K120" i="26"/>
  <c r="DQ40" i="11"/>
  <c r="AW113" i="24"/>
  <c r="L113" i="24"/>
  <c r="O12" i="15"/>
  <c r="R14" i="15"/>
  <c r="O90" i="15"/>
  <c r="R15" i="15"/>
  <c r="AS23" i="11"/>
  <c r="AI109" i="1"/>
  <c r="AJ109" i="1"/>
  <c r="DQ102" i="11"/>
  <c r="DR60" i="11"/>
  <c r="DR79" i="11"/>
  <c r="I80" i="11"/>
  <c r="AK80" i="11"/>
  <c r="BA58" i="19"/>
  <c r="BA36" i="15"/>
  <c r="AZ34" i="15"/>
  <c r="BA92" i="15"/>
  <c r="BA37" i="15"/>
  <c r="DP46" i="11"/>
  <c r="K34" i="28"/>
  <c r="DL65" i="1"/>
  <c r="DL48" i="1"/>
  <c r="AI48" i="1" s="1"/>
  <c r="AI42" i="1"/>
  <c r="DP43" i="1"/>
  <c r="DO48" i="15"/>
  <c r="DO47" i="15"/>
  <c r="H114" i="1"/>
  <c r="DT113" i="1"/>
  <c r="DT114" i="1" s="1"/>
  <c r="DT109" i="1" s="1"/>
  <c r="EB113" i="1"/>
  <c r="EB114" i="1" s="1"/>
  <c r="EB109" i="1" s="1"/>
  <c r="K113" i="1"/>
  <c r="DU113" i="1"/>
  <c r="DU114" i="1" s="1"/>
  <c r="DU109" i="1" s="1"/>
  <c r="EC113" i="1"/>
  <c r="EC114" i="1" s="1"/>
  <c r="EC109" i="1" s="1"/>
  <c r="DV113" i="1"/>
  <c r="DV114" i="1" s="1"/>
  <c r="DV109" i="1" s="1"/>
  <c r="ED113" i="1"/>
  <c r="ED114" i="1" s="1"/>
  <c r="ED109" i="1" s="1"/>
  <c r="DW113" i="1"/>
  <c r="DW114" i="1" s="1"/>
  <c r="DW109" i="1" s="1"/>
  <c r="DX113" i="1"/>
  <c r="DX114" i="1" s="1"/>
  <c r="DX109" i="1" s="1"/>
  <c r="DY113" i="1"/>
  <c r="DY114" i="1" s="1"/>
  <c r="DY109" i="1" s="1"/>
  <c r="DZ113" i="1"/>
  <c r="DZ114" i="1" s="1"/>
  <c r="DZ109" i="1" s="1"/>
  <c r="DS113" i="1"/>
  <c r="DS114" i="1" s="1"/>
  <c r="DS109" i="1" s="1"/>
  <c r="EA113" i="1"/>
  <c r="EA114" i="1" s="1"/>
  <c r="EA109" i="1" s="1"/>
  <c r="DO55" i="19"/>
  <c r="DP18" i="15"/>
  <c r="AF114" i="1"/>
  <c r="DO47" i="19"/>
  <c r="DO71" i="19" s="1"/>
  <c r="DO45" i="15"/>
  <c r="DP7" i="15"/>
  <c r="DG38" i="29"/>
  <c r="DG42" i="29"/>
  <c r="L17" i="28"/>
  <c r="M8" i="28"/>
  <c r="AK71" i="26" s="1"/>
  <c r="AK78" i="26" s="1"/>
  <c r="AH34" i="29"/>
  <c r="M12" i="28" s="1"/>
  <c r="AK75" i="26" s="1"/>
  <c r="AK82" i="26" s="1"/>
  <c r="AK35" i="29"/>
  <c r="O40" i="15"/>
  <c r="BB47" i="15"/>
  <c r="BB48" i="15"/>
  <c r="AG114" i="1"/>
  <c r="DR38" i="11"/>
  <c r="DR28" i="1"/>
  <c r="AK29" i="1"/>
  <c r="BA50" i="19"/>
  <c r="AZ23" i="15"/>
  <c r="BA25" i="15"/>
  <c r="BA91" i="15"/>
  <c r="BA26" i="15"/>
  <c r="DO144" i="11"/>
  <c r="DO127" i="1"/>
  <c r="AG99" i="1"/>
  <c r="AO12" i="7" s="1"/>
  <c r="AF99" i="1"/>
  <c r="AN12" i="7" s="1"/>
  <c r="AE99" i="1"/>
  <c r="AM12" i="7" s="1"/>
  <c r="AD99" i="1"/>
  <c r="AL12" i="7" s="1"/>
  <c r="AD114" i="1"/>
  <c r="AD110" i="1"/>
  <c r="DO63" i="19"/>
  <c r="DP29" i="15"/>
  <c r="DQ67" i="11"/>
  <c r="BA47" i="19"/>
  <c r="BA71" i="19" s="1"/>
  <c r="BA7" i="15"/>
  <c r="BA45" i="15"/>
  <c r="DP33" i="1"/>
  <c r="DP55" i="1"/>
  <c r="DP39" i="1"/>
  <c r="AK109" i="1"/>
  <c r="FB116" i="24"/>
  <c r="AW116" i="24" s="1"/>
  <c r="AW115" i="24"/>
  <c r="DM71" i="1"/>
  <c r="ET123" i="24"/>
  <c r="AT122" i="24"/>
  <c r="K31" i="28"/>
  <c r="EY116" i="24"/>
  <c r="AV115" i="24"/>
  <c r="DO66" i="19"/>
  <c r="ES116" i="24"/>
  <c r="L115" i="24"/>
  <c r="AT115" i="24"/>
  <c r="ER126" i="24"/>
  <c r="ER14" i="24" s="1"/>
  <c r="ER15" i="24" s="1"/>
  <c r="ER65" i="11" s="1"/>
  <c r="L24" i="28"/>
  <c r="C20" i="28"/>
  <c r="AJ100" i="1"/>
  <c r="AJ101" i="1"/>
  <c r="DO82" i="1"/>
  <c r="DO85" i="1"/>
  <c r="DO57" i="1"/>
  <c r="DO54" i="1"/>
  <c r="DR94" i="1"/>
  <c r="AJ43" i="1"/>
  <c r="O42" i="19"/>
  <c r="O47" i="19" s="1"/>
  <c r="BB66" i="19"/>
  <c r="O66" i="19" s="1"/>
  <c r="O71" i="19" s="1"/>
  <c r="DN45" i="1"/>
  <c r="DN19" i="11"/>
  <c r="DS10" i="11"/>
  <c r="AL9" i="1"/>
  <c r="DS14" i="1"/>
  <c r="DS97" i="1"/>
  <c r="DS98" i="1"/>
  <c r="EV116" i="24"/>
  <c r="AU115" i="24"/>
  <c r="AE114" i="1"/>
  <c r="DP44" i="1"/>
  <c r="DQ41" i="11"/>
  <c r="EW123" i="24"/>
  <c r="AU122" i="24"/>
  <c r="DO46" i="11"/>
  <c r="AJ42" i="11"/>
  <c r="AJ46" i="11" s="1"/>
  <c r="DH38" i="29"/>
  <c r="DH42" i="29"/>
  <c r="I109" i="1"/>
  <c r="AH109" i="1"/>
  <c r="DQ140" i="11"/>
  <c r="DR134" i="11"/>
  <c r="DR123" i="11"/>
  <c r="I135" i="11"/>
  <c r="EV21" i="25" s="1"/>
  <c r="AK135" i="11"/>
  <c r="AK137" i="11" s="1"/>
  <c r="C33" i="28"/>
  <c r="EQ65" i="11"/>
  <c r="DO33" i="1"/>
  <c r="DO55" i="1"/>
  <c r="DO39" i="1"/>
  <c r="AJ34" i="1"/>
  <c r="DP144" i="11"/>
  <c r="DP127" i="1"/>
  <c r="DI13" i="29"/>
  <c r="DJ9" i="29" s="1"/>
  <c r="DI30" i="29"/>
  <c r="DI34" i="29" s="1"/>
  <c r="DI37" i="29" s="1"/>
  <c r="AS46" i="1"/>
  <c r="K46" i="1"/>
  <c r="CK110" i="1"/>
  <c r="CK99" i="1"/>
  <c r="DR97" i="11"/>
  <c r="DR106" i="11"/>
  <c r="DR112" i="11"/>
  <c r="I107" i="11"/>
  <c r="EL19" i="25" s="1"/>
  <c r="AK107" i="11"/>
  <c r="AK109" i="11" s="1"/>
  <c r="K112" i="26" l="1"/>
  <c r="K121" i="26"/>
  <c r="AJ112" i="26"/>
  <c r="AJ121" i="26"/>
  <c r="AI9" i="29"/>
  <c r="DJ13" i="29"/>
  <c r="DK9" i="29" s="1"/>
  <c r="DJ30" i="29"/>
  <c r="DP125" i="11"/>
  <c r="AH114" i="1"/>
  <c r="DN84" i="1"/>
  <c r="DN42" i="1"/>
  <c r="DM91" i="1"/>
  <c r="DM102" i="1"/>
  <c r="DP81" i="1"/>
  <c r="DP37" i="1"/>
  <c r="DP38" i="1"/>
  <c r="DO125" i="11"/>
  <c r="AJ144" i="11"/>
  <c r="AL109" i="1"/>
  <c r="J109" i="1"/>
  <c r="K35" i="28"/>
  <c r="AZ63" i="19"/>
  <c r="AZ29" i="15"/>
  <c r="I114" i="1"/>
  <c r="EX124" i="24"/>
  <c r="AV123" i="24"/>
  <c r="DS9" i="11"/>
  <c r="DS15" i="1"/>
  <c r="DT9" i="1"/>
  <c r="DS29" i="1"/>
  <c r="L29" i="28"/>
  <c r="L31" i="28" s="1"/>
  <c r="C24" i="28"/>
  <c r="AE106" i="1"/>
  <c r="AE110" i="1" s="1"/>
  <c r="AD113" i="1"/>
  <c r="DR39" i="11"/>
  <c r="AK38" i="11"/>
  <c r="EJ113" i="1"/>
  <c r="EJ114" i="1" s="1"/>
  <c r="EJ109" i="1" s="1"/>
  <c r="EK113" i="1"/>
  <c r="EK114" i="1" s="1"/>
  <c r="EK109" i="1" s="1"/>
  <c r="L113" i="1"/>
  <c r="EL113" i="1"/>
  <c r="EL114" i="1" s="1"/>
  <c r="EL109" i="1" s="1"/>
  <c r="EE113" i="1"/>
  <c r="EE114" i="1" s="1"/>
  <c r="EE109" i="1" s="1"/>
  <c r="EM113" i="1"/>
  <c r="EM114" i="1" s="1"/>
  <c r="EM109" i="1" s="1"/>
  <c r="EF113" i="1"/>
  <c r="EF114" i="1" s="1"/>
  <c r="EF109" i="1" s="1"/>
  <c r="EN113" i="1"/>
  <c r="EN114" i="1" s="1"/>
  <c r="EN109" i="1" s="1"/>
  <c r="EG113" i="1"/>
  <c r="EG114" i="1" s="1"/>
  <c r="EG109" i="1" s="1"/>
  <c r="EO113" i="1"/>
  <c r="EO114" i="1" s="1"/>
  <c r="EO109" i="1" s="1"/>
  <c r="EH113" i="1"/>
  <c r="EH114" i="1" s="1"/>
  <c r="EH109" i="1" s="1"/>
  <c r="EP113" i="1"/>
  <c r="EP114" i="1" s="1"/>
  <c r="EP109" i="1" s="1"/>
  <c r="EI113" i="1"/>
  <c r="EI114" i="1" s="1"/>
  <c r="EI109" i="1" s="1"/>
  <c r="DP82" i="1"/>
  <c r="DP85" i="1"/>
  <c r="DP57" i="1"/>
  <c r="DP54" i="1"/>
  <c r="DS94" i="1"/>
  <c r="AJ114" i="1"/>
  <c r="BS23" i="25"/>
  <c r="AJ55" i="1"/>
  <c r="AJ39" i="1"/>
  <c r="DR101" i="11"/>
  <c r="DR111" i="11"/>
  <c r="I112" i="11"/>
  <c r="EL24" i="25" s="1"/>
  <c r="AK112" i="11"/>
  <c r="AK114" i="11" s="1"/>
  <c r="AL14" i="1"/>
  <c r="AO97" i="1"/>
  <c r="AO98" i="1"/>
  <c r="L18" i="28"/>
  <c r="C17" i="28"/>
  <c r="AN109" i="1"/>
  <c r="AO109" i="1"/>
  <c r="DS80" i="11"/>
  <c r="DS107" i="11"/>
  <c r="DS135" i="11"/>
  <c r="EZ117" i="24"/>
  <c r="AV116" i="24"/>
  <c r="AK106" i="11"/>
  <c r="AK160" i="11" s="1"/>
  <c r="I106" i="11"/>
  <c r="DR160" i="11"/>
  <c r="DR124" i="1" s="1"/>
  <c r="DQ16" i="11"/>
  <c r="DQ34" i="1" s="1"/>
  <c r="DQ42" i="11"/>
  <c r="EW117" i="24"/>
  <c r="AU116" i="24"/>
  <c r="DO81" i="1"/>
  <c r="DO37" i="1"/>
  <c r="DO38" i="1"/>
  <c r="AJ33" i="1"/>
  <c r="DR124" i="11"/>
  <c r="AK124" i="11" s="1"/>
  <c r="AK148" i="11" s="1"/>
  <c r="AK123" i="11"/>
  <c r="DP83" i="1"/>
  <c r="ER23" i="11"/>
  <c r="ER46" i="1" s="1"/>
  <c r="AK114" i="1"/>
  <c r="AZ55" i="19"/>
  <c r="AZ18" i="15"/>
  <c r="DP50" i="19"/>
  <c r="AK50" i="19" s="1"/>
  <c r="AK55" i="19" s="1"/>
  <c r="DP23" i="15"/>
  <c r="AK18" i="15"/>
  <c r="DP25" i="15"/>
  <c r="DP91" i="15"/>
  <c r="DP26" i="15"/>
  <c r="AI114" i="1"/>
  <c r="BA42" i="19"/>
  <c r="BA66" i="19" s="1"/>
  <c r="AZ12" i="15"/>
  <c r="BA40" i="15"/>
  <c r="BA90" i="15"/>
  <c r="BA14" i="15"/>
  <c r="BA15" i="15"/>
  <c r="DR98" i="11"/>
  <c r="AK98" i="11" s="1"/>
  <c r="AK117" i="11" s="1"/>
  <c r="AK97" i="11"/>
  <c r="DI38" i="29"/>
  <c r="AH38" i="29" s="1"/>
  <c r="AK110" i="26" s="1"/>
  <c r="AK112" i="26" s="1"/>
  <c r="DI42" i="29"/>
  <c r="EQ23" i="11"/>
  <c r="I134" i="11"/>
  <c r="DR161" i="11"/>
  <c r="DR125" i="1" s="1"/>
  <c r="AK134" i="11"/>
  <c r="AK161" i="11" s="1"/>
  <c r="AJ85" i="1"/>
  <c r="AJ82" i="1"/>
  <c r="AJ57" i="1"/>
  <c r="AJ54" i="1"/>
  <c r="AK94" i="1"/>
  <c r="I94" i="1" s="1"/>
  <c r="AC19" i="25" s="1"/>
  <c r="DQ20" i="11"/>
  <c r="DQ92" i="11"/>
  <c r="AH37" i="29"/>
  <c r="AK79" i="11"/>
  <c r="DR157" i="11"/>
  <c r="I79" i="11"/>
  <c r="I157" i="11" s="1"/>
  <c r="DP58" i="19"/>
  <c r="AK58" i="19" s="1"/>
  <c r="AK63" i="19" s="1"/>
  <c r="DP34" i="15"/>
  <c r="AK29" i="15"/>
  <c r="DP92" i="15"/>
  <c r="DP37" i="15"/>
  <c r="DP36" i="15"/>
  <c r="AK52" i="1"/>
  <c r="O45" i="15"/>
  <c r="R48" i="15"/>
  <c r="R47" i="15"/>
  <c r="AM109" i="1"/>
  <c r="DL71" i="1"/>
  <c r="AI65" i="1"/>
  <c r="DL68" i="1"/>
  <c r="DM63" i="1" s="1"/>
  <c r="DR61" i="11"/>
  <c r="AK61" i="11" s="1"/>
  <c r="AK89" i="11" s="1"/>
  <c r="AK60" i="11"/>
  <c r="AK81" i="11" s="1"/>
  <c r="DQ45" i="11"/>
  <c r="CL106" i="1"/>
  <c r="CK113" i="1"/>
  <c r="DP100" i="1"/>
  <c r="DP101" i="1"/>
  <c r="DQ129" i="11"/>
  <c r="DQ139" i="11"/>
  <c r="DQ162" i="11" s="1"/>
  <c r="ET117" i="24"/>
  <c r="AT116" i="24"/>
  <c r="AT126" i="24" s="1"/>
  <c r="L116" i="24"/>
  <c r="ES126" i="24"/>
  <c r="ES14" i="24" s="1"/>
  <c r="ES15" i="24" s="1"/>
  <c r="EU124" i="24"/>
  <c r="AU123" i="24"/>
  <c r="ET126" i="24"/>
  <c r="ET14" i="24" s="1"/>
  <c r="ET15" i="24" s="1"/>
  <c r="DO100" i="1"/>
  <c r="DO101" i="1"/>
  <c r="DR64" i="1"/>
  <c r="AK28" i="1"/>
  <c r="DP42" i="19"/>
  <c r="DP12" i="15"/>
  <c r="AK7" i="15"/>
  <c r="DP40" i="15"/>
  <c r="DP14" i="15"/>
  <c r="DP15" i="15"/>
  <c r="DP90" i="15"/>
  <c r="DQ104" i="11"/>
  <c r="DQ21" i="11" s="1"/>
  <c r="AJ124" i="26" l="1"/>
  <c r="AJ123" i="26"/>
  <c r="AK120" i="26"/>
  <c r="AK97" i="26"/>
  <c r="AK87" i="26" s="1"/>
  <c r="K124" i="26"/>
  <c r="K123" i="26"/>
  <c r="DL91" i="1"/>
  <c r="DL102" i="1"/>
  <c r="DL90" i="1"/>
  <c r="AI71" i="1"/>
  <c r="DR121" i="1"/>
  <c r="AK125" i="1"/>
  <c r="I125" i="1"/>
  <c r="AK108" i="11"/>
  <c r="DP55" i="19"/>
  <c r="DQ18" i="15"/>
  <c r="DS60" i="11"/>
  <c r="DS79" i="11"/>
  <c r="DS157" i="11" s="1"/>
  <c r="DR102" i="11"/>
  <c r="AK102" i="11" s="1"/>
  <c r="AK118" i="11" s="1"/>
  <c r="AK101" i="11"/>
  <c r="AK113" i="11" s="1"/>
  <c r="AZ58" i="19"/>
  <c r="AZ36" i="15"/>
  <c r="AY34" i="15"/>
  <c r="AZ92" i="15"/>
  <c r="AZ37" i="15"/>
  <c r="DM90" i="1"/>
  <c r="EV125" i="24"/>
  <c r="AU124" i="24"/>
  <c r="AK12" i="15"/>
  <c r="AK90" i="15"/>
  <c r="AN15" i="15"/>
  <c r="AN14" i="15"/>
  <c r="DQ44" i="1"/>
  <c r="DP47" i="19"/>
  <c r="DQ7" i="15"/>
  <c r="DP45" i="15"/>
  <c r="ET65" i="11"/>
  <c r="DQ126" i="1"/>
  <c r="DQ163" i="11"/>
  <c r="AK157" i="11"/>
  <c r="AK82" i="11"/>
  <c r="I161" i="11"/>
  <c r="EV20" i="25"/>
  <c r="DR104" i="11"/>
  <c r="DR21" i="11" s="1"/>
  <c r="DR44" i="1" s="1"/>
  <c r="DR83" i="1" s="1"/>
  <c r="DQ46" i="11"/>
  <c r="AH42" i="29"/>
  <c r="AQ109" i="1"/>
  <c r="ER113" i="1"/>
  <c r="ER114" i="1" s="1"/>
  <c r="ER109" i="1" s="1"/>
  <c r="EZ113" i="1"/>
  <c r="EZ114" i="1" s="1"/>
  <c r="EZ109" i="1" s="1"/>
  <c r="ES113" i="1"/>
  <c r="ES114" i="1" s="1"/>
  <c r="ES109" i="1" s="1"/>
  <c r="FA113" i="1"/>
  <c r="FA114" i="1" s="1"/>
  <c r="FA109" i="1" s="1"/>
  <c r="ET113" i="1"/>
  <c r="ET114" i="1" s="1"/>
  <c r="ET109" i="1" s="1"/>
  <c r="FB113" i="1"/>
  <c r="FB114" i="1" s="1"/>
  <c r="FB109" i="1" s="1"/>
  <c r="EU113" i="1"/>
  <c r="EU114" i="1" s="1"/>
  <c r="EU109" i="1" s="1"/>
  <c r="EV113" i="1"/>
  <c r="EV114" i="1" s="1"/>
  <c r="EV109" i="1" s="1"/>
  <c r="EW113" i="1"/>
  <c r="EW114" i="1" s="1"/>
  <c r="EW109" i="1" s="1"/>
  <c r="EX113" i="1"/>
  <c r="EX114" i="1" s="1"/>
  <c r="EX109" i="1" s="1"/>
  <c r="EQ113" i="1"/>
  <c r="EQ114" i="1" s="1"/>
  <c r="EQ109" i="1" s="1"/>
  <c r="EY113" i="1"/>
  <c r="EY114" i="1" s="1"/>
  <c r="EY109" i="1" s="1"/>
  <c r="AF106" i="1"/>
  <c r="AE113" i="1"/>
  <c r="AH99" i="1"/>
  <c r="DO132" i="11"/>
  <c r="DO22" i="11" s="1"/>
  <c r="AJ125" i="11"/>
  <c r="DQ130" i="11"/>
  <c r="AJ37" i="1"/>
  <c r="DP92" i="1"/>
  <c r="DP93" i="1" s="1"/>
  <c r="DO92" i="1"/>
  <c r="DO93" i="1" s="1"/>
  <c r="DQ33" i="1"/>
  <c r="DQ55" i="1"/>
  <c r="DQ39" i="1"/>
  <c r="AR109" i="1"/>
  <c r="DP132" i="11"/>
  <c r="DP22" i="11" s="1"/>
  <c r="AK124" i="1"/>
  <c r="I124" i="1"/>
  <c r="AO114" i="1"/>
  <c r="L34" i="28"/>
  <c r="C29" i="28"/>
  <c r="C31" i="28" s="1"/>
  <c r="M15" i="28"/>
  <c r="AH40" i="29"/>
  <c r="AK64" i="1"/>
  <c r="ES65" i="11"/>
  <c r="AT15" i="24"/>
  <c r="DR62" i="11"/>
  <c r="AK34" i="15"/>
  <c r="AK92" i="15"/>
  <c r="AN36" i="15"/>
  <c r="AN37" i="15"/>
  <c r="AZ50" i="19"/>
  <c r="AY23" i="15"/>
  <c r="AZ91" i="15"/>
  <c r="AZ26" i="15"/>
  <c r="AZ25" i="15"/>
  <c r="AK136" i="11"/>
  <c r="I160" i="11"/>
  <c r="EL18" i="25"/>
  <c r="AL9" i="11"/>
  <c r="AL15" i="1"/>
  <c r="AS109" i="1"/>
  <c r="EY125" i="24"/>
  <c r="AV124" i="24"/>
  <c r="AI30" i="29"/>
  <c r="DJ34" i="29"/>
  <c r="DJ37" i="29" s="1"/>
  <c r="AJ63" i="1"/>
  <c r="DM68" i="1"/>
  <c r="DN63" i="1" s="1"/>
  <c r="DP63" i="19"/>
  <c r="DQ29" i="15"/>
  <c r="EQ46" i="1"/>
  <c r="FA118" i="24"/>
  <c r="AW117" i="24"/>
  <c r="DS38" i="11"/>
  <c r="DS28" i="1"/>
  <c r="DK13" i="29"/>
  <c r="DL9" i="29" s="1"/>
  <c r="DK30" i="29"/>
  <c r="DK34" i="29" s="1"/>
  <c r="DK37" i="29" s="1"/>
  <c r="AK42" i="19"/>
  <c r="AK47" i="19" s="1"/>
  <c r="DP66" i="19"/>
  <c r="AK66" i="19" s="1"/>
  <c r="AK71" i="19" s="1"/>
  <c r="AM114" i="1"/>
  <c r="BA47" i="15"/>
  <c r="BA48" i="15"/>
  <c r="DS123" i="11"/>
  <c r="DS134" i="11"/>
  <c r="DS161" i="11" s="1"/>
  <c r="DS125" i="1" s="1"/>
  <c r="AN114" i="1"/>
  <c r="DT10" i="11"/>
  <c r="DT97" i="1"/>
  <c r="DT14" i="1"/>
  <c r="DT98" i="1"/>
  <c r="J114" i="1"/>
  <c r="DN65" i="1"/>
  <c r="DN48" i="1"/>
  <c r="AI13" i="29"/>
  <c r="AL14" i="29"/>
  <c r="CL110" i="1"/>
  <c r="CL99" i="1"/>
  <c r="AI75" i="1"/>
  <c r="X46" i="25"/>
  <c r="X46" i="7"/>
  <c r="AI68" i="1"/>
  <c r="DQ43" i="1"/>
  <c r="AK40" i="15"/>
  <c r="DP48" i="15"/>
  <c r="DP47" i="15"/>
  <c r="AU117" i="24"/>
  <c r="EU118" i="24"/>
  <c r="EU126" i="24" s="1"/>
  <c r="EU14" i="24" s="1"/>
  <c r="EU15" i="24" s="1"/>
  <c r="L117" i="24"/>
  <c r="CM9" i="25"/>
  <c r="AZ47" i="19"/>
  <c r="AZ71" i="19" s="1"/>
  <c r="AZ7" i="15"/>
  <c r="AZ45" i="15"/>
  <c r="AK23" i="15"/>
  <c r="AK91" i="15"/>
  <c r="AN26" i="15"/>
  <c r="AN25" i="15"/>
  <c r="AJ81" i="1"/>
  <c r="AJ38" i="1"/>
  <c r="AJ92" i="1" s="1"/>
  <c r="AJ93" i="1" s="1"/>
  <c r="EX118" i="24"/>
  <c r="AV117" i="24"/>
  <c r="DS97" i="11"/>
  <c r="DS106" i="11"/>
  <c r="DS160" i="11" s="1"/>
  <c r="DS124" i="1" s="1"/>
  <c r="DS112" i="11"/>
  <c r="C18" i="28"/>
  <c r="AK111" i="11"/>
  <c r="AK159" i="11" s="1"/>
  <c r="I111" i="11"/>
  <c r="DR159" i="11"/>
  <c r="DR123" i="1" s="1"/>
  <c r="AP109" i="1"/>
  <c r="K109" i="1"/>
  <c r="AK39" i="11"/>
  <c r="AL114" i="1"/>
  <c r="K126" i="26" l="1"/>
  <c r="K164" i="26"/>
  <c r="K163" i="26" s="1"/>
  <c r="AJ126" i="26"/>
  <c r="AJ164" i="26"/>
  <c r="AJ163" i="26" s="1"/>
  <c r="AK100" i="26"/>
  <c r="AK101" i="26" s="1"/>
  <c r="AK121" i="26"/>
  <c r="EU65" i="11"/>
  <c r="X44" i="7"/>
  <c r="X44" i="25"/>
  <c r="DL13" i="29"/>
  <c r="DM9" i="29" s="1"/>
  <c r="DL30" i="29"/>
  <c r="DL34" i="29" s="1"/>
  <c r="DL37" i="29" s="1"/>
  <c r="AI37" i="29" s="1"/>
  <c r="FB119" i="24"/>
  <c r="AW119" i="24" s="1"/>
  <c r="AW118" i="24"/>
  <c r="N8" i="28"/>
  <c r="AL71" i="26" s="1"/>
  <c r="AL78" i="26" s="1"/>
  <c r="AI34" i="29"/>
  <c r="N12" i="28" s="1"/>
  <c r="AL75" i="26" s="1"/>
  <c r="AL82" i="26" s="1"/>
  <c r="AL35" i="29"/>
  <c r="M16" i="28"/>
  <c r="M17" i="28"/>
  <c r="M33" i="28"/>
  <c r="M26" i="28"/>
  <c r="M27" i="28"/>
  <c r="M23" i="28"/>
  <c r="M20" i="28"/>
  <c r="M21" i="28"/>
  <c r="M22" i="28"/>
  <c r="AW109" i="1"/>
  <c r="AW114" i="1" s="1"/>
  <c r="ET23" i="11"/>
  <c r="DR140" i="11"/>
  <c r="AI91" i="1"/>
  <c r="AI102" i="1"/>
  <c r="AI89" i="1"/>
  <c r="AI90" i="1"/>
  <c r="DR40" i="11"/>
  <c r="AK62" i="11"/>
  <c r="AK90" i="11" s="1"/>
  <c r="DR67" i="11"/>
  <c r="DP45" i="1"/>
  <c r="DP19" i="11"/>
  <c r="AJ145" i="11"/>
  <c r="AJ132" i="11"/>
  <c r="AV109" i="1"/>
  <c r="AV114" i="1" s="1"/>
  <c r="K114" i="1"/>
  <c r="AZ42" i="19"/>
  <c r="AZ66" i="19" s="1"/>
  <c r="AY12" i="15"/>
  <c r="AZ40" i="15"/>
  <c r="AZ90" i="15"/>
  <c r="AZ15" i="15"/>
  <c r="AZ14" i="15"/>
  <c r="DN71" i="1"/>
  <c r="DS64" i="1"/>
  <c r="L35" i="28"/>
  <c r="C35" i="28" s="1"/>
  <c r="C34" i="28"/>
  <c r="DQ81" i="1"/>
  <c r="DQ38" i="1"/>
  <c r="DQ37" i="1"/>
  <c r="DO45" i="1"/>
  <c r="DO19" i="11"/>
  <c r="AJ22" i="11"/>
  <c r="AJ19" i="11" s="1"/>
  <c r="DQ50" i="19"/>
  <c r="DQ23" i="15"/>
  <c r="DQ25" i="15"/>
  <c r="DQ91" i="15"/>
  <c r="DQ26" i="15"/>
  <c r="I121" i="1"/>
  <c r="AK121" i="1"/>
  <c r="AQ114" i="1"/>
  <c r="CM13" i="25"/>
  <c r="DQ42" i="19"/>
  <c r="DQ12" i="15"/>
  <c r="DQ40" i="15"/>
  <c r="DQ14" i="15"/>
  <c r="DQ90" i="15"/>
  <c r="DQ15" i="15"/>
  <c r="AU125" i="24"/>
  <c r="EY119" i="24"/>
  <c r="AV118" i="24"/>
  <c r="DS101" i="11"/>
  <c r="DS111" i="11"/>
  <c r="DS159" i="11" s="1"/>
  <c r="DS123" i="1" s="1"/>
  <c r="AY55" i="19"/>
  <c r="AY18" i="15"/>
  <c r="AK45" i="15"/>
  <c r="AN47" i="15"/>
  <c r="AN48" i="15"/>
  <c r="ES23" i="11"/>
  <c r="AT65" i="11"/>
  <c r="AR114" i="1"/>
  <c r="AH43" i="29"/>
  <c r="DP71" i="19"/>
  <c r="AK44" i="11"/>
  <c r="AK47" i="11"/>
  <c r="DQ58" i="19"/>
  <c r="DQ34" i="15"/>
  <c r="DQ92" i="15"/>
  <c r="DQ36" i="15"/>
  <c r="DQ37" i="15"/>
  <c r="CB16" i="25"/>
  <c r="CB17" i="25" s="1"/>
  <c r="CM37" i="25"/>
  <c r="CM106" i="1"/>
  <c r="CL113" i="1"/>
  <c r="DS39" i="11"/>
  <c r="DN68" i="1"/>
  <c r="DO63" i="1" s="1"/>
  <c r="AV125" i="24"/>
  <c r="CM12" i="25"/>
  <c r="AK74" i="1"/>
  <c r="AF110" i="1"/>
  <c r="AI99" i="1"/>
  <c r="AU109" i="1"/>
  <c r="AU114" i="1" s="1"/>
  <c r="AK21" i="11"/>
  <c r="AK104" i="11"/>
  <c r="DT80" i="11"/>
  <c r="DT107" i="11"/>
  <c r="DT135" i="11"/>
  <c r="AP114" i="1"/>
  <c r="I123" i="1"/>
  <c r="AK123" i="1"/>
  <c r="DS98" i="11"/>
  <c r="DQ85" i="1"/>
  <c r="DQ82" i="1"/>
  <c r="DQ57" i="1"/>
  <c r="DQ54" i="1"/>
  <c r="DT94" i="1"/>
  <c r="DT9" i="11"/>
  <c r="DT15" i="1"/>
  <c r="DU9" i="1"/>
  <c r="DT29" i="1"/>
  <c r="AS114" i="1"/>
  <c r="DQ144" i="11"/>
  <c r="DQ127" i="1"/>
  <c r="DQ83" i="1"/>
  <c r="AK44" i="1"/>
  <c r="AK83" i="1" s="1"/>
  <c r="DS121" i="1"/>
  <c r="DS140" i="11"/>
  <c r="EV119" i="24"/>
  <c r="AU118" i="24"/>
  <c r="L118" i="24"/>
  <c r="I159" i="11"/>
  <c r="EL23" i="25"/>
  <c r="DS124" i="11"/>
  <c r="DK38" i="29"/>
  <c r="DK42" i="29"/>
  <c r="DJ38" i="29"/>
  <c r="DJ42" i="29"/>
  <c r="AT109" i="1"/>
  <c r="L109" i="1"/>
  <c r="AY63" i="19"/>
  <c r="AY29" i="15"/>
  <c r="DS61" i="11"/>
  <c r="DS67" i="11" s="1"/>
  <c r="DS62" i="11"/>
  <c r="AL97" i="26" l="1"/>
  <c r="AL87" i="26" s="1"/>
  <c r="AK123" i="26"/>
  <c r="AK124" i="26"/>
  <c r="DS20" i="11"/>
  <c r="DS92" i="11"/>
  <c r="DQ100" i="1"/>
  <c r="DQ101" i="1"/>
  <c r="DT38" i="11"/>
  <c r="DT28" i="1"/>
  <c r="DN102" i="1"/>
  <c r="DN91" i="1"/>
  <c r="DN90" i="1"/>
  <c r="DP84" i="1"/>
  <c r="DP42" i="1"/>
  <c r="DL38" i="29"/>
  <c r="AI38" i="29" s="1"/>
  <c r="DL42" i="29"/>
  <c r="AI42" i="29" s="1"/>
  <c r="EW120" i="24"/>
  <c r="AU119" i="24"/>
  <c r="L119" i="24"/>
  <c r="AT114" i="1"/>
  <c r="DQ125" i="11"/>
  <c r="DU14" i="1"/>
  <c r="DU97" i="1"/>
  <c r="DU98" i="1"/>
  <c r="DT134" i="11"/>
  <c r="DT161" i="11" s="1"/>
  <c r="DT125" i="1" s="1"/>
  <c r="DT123" i="11"/>
  <c r="CM110" i="1"/>
  <c r="CM99" i="1"/>
  <c r="DQ63" i="19"/>
  <c r="DR29" i="15"/>
  <c r="DQ47" i="15"/>
  <c r="DQ48" i="15"/>
  <c r="DR129" i="11"/>
  <c r="DR139" i="11"/>
  <c r="I140" i="11"/>
  <c r="EV26" i="25" s="1"/>
  <c r="AK140" i="11"/>
  <c r="M18" i="28"/>
  <c r="AJ9" i="29"/>
  <c r="DM13" i="29"/>
  <c r="DN9" i="29" s="1"/>
  <c r="DM30" i="29"/>
  <c r="DT106" i="11"/>
  <c r="DT160" i="11" s="1"/>
  <c r="DT124" i="1" s="1"/>
  <c r="DT97" i="11"/>
  <c r="DT112" i="11"/>
  <c r="AY50" i="19"/>
  <c r="N18" i="15"/>
  <c r="AY91" i="15"/>
  <c r="D18" i="15"/>
  <c r="AY26" i="15"/>
  <c r="AY25" i="15"/>
  <c r="EZ120" i="24"/>
  <c r="AV119" i="24"/>
  <c r="DQ47" i="19"/>
  <c r="DR7" i="15"/>
  <c r="DQ45" i="15"/>
  <c r="DR20" i="11"/>
  <c r="DR92" i="11"/>
  <c r="AK67" i="11"/>
  <c r="AK92" i="11" s="1"/>
  <c r="AY213" i="19"/>
  <c r="AY210" i="19"/>
  <c r="AY211" i="19"/>
  <c r="AY212" i="19"/>
  <c r="DQ66" i="19"/>
  <c r="DO84" i="1"/>
  <c r="DO42" i="1"/>
  <c r="AJ45" i="1"/>
  <c r="AJ84" i="1" s="1"/>
  <c r="M24" i="28"/>
  <c r="AU126" i="24"/>
  <c r="AZ48" i="15"/>
  <c r="AZ47" i="15"/>
  <c r="DR45" i="11"/>
  <c r="AK40" i="11"/>
  <c r="AK45" i="11" s="1"/>
  <c r="DR41" i="11"/>
  <c r="ET46" i="1"/>
  <c r="DS40" i="11"/>
  <c r="ES46" i="1"/>
  <c r="AT23" i="11"/>
  <c r="EV126" i="24"/>
  <c r="EV14" i="24" s="1"/>
  <c r="EV15" i="24" s="1"/>
  <c r="AY47" i="19"/>
  <c r="AY7" i="15"/>
  <c r="AY45" i="15"/>
  <c r="N15" i="28"/>
  <c r="DS102" i="11"/>
  <c r="DQ55" i="19"/>
  <c r="DR18" i="15"/>
  <c r="DQ92" i="1"/>
  <c r="DQ93" i="1" s="1"/>
  <c r="EU23" i="11"/>
  <c r="EU46" i="1" s="1"/>
  <c r="DS129" i="11"/>
  <c r="DS139" i="11"/>
  <c r="DS162" i="11" s="1"/>
  <c r="DT60" i="11"/>
  <c r="DT79" i="11"/>
  <c r="DT157" i="11" s="1"/>
  <c r="AG106" i="1"/>
  <c r="AF113" i="1"/>
  <c r="AY58" i="19"/>
  <c r="N29" i="15"/>
  <c r="AY36" i="15"/>
  <c r="D29" i="15"/>
  <c r="AY92" i="15"/>
  <c r="AY37" i="15"/>
  <c r="AY285" i="19"/>
  <c r="AY286" i="19"/>
  <c r="AY287" i="19"/>
  <c r="AY284" i="19"/>
  <c r="CM11" i="25"/>
  <c r="DS104" i="11"/>
  <c r="DS21" i="11" s="1"/>
  <c r="AK126" i="26" l="1"/>
  <c r="AK164" i="26"/>
  <c r="AK163" i="26" s="1"/>
  <c r="AL100" i="26"/>
  <c r="AL101" i="26" s="1"/>
  <c r="AI40" i="29"/>
  <c r="DP65" i="1"/>
  <c r="DP48" i="1"/>
  <c r="DS44" i="1"/>
  <c r="AY24" i="19"/>
  <c r="AZ274" i="19"/>
  <c r="AZ286" i="19" s="1"/>
  <c r="AY274" i="19"/>
  <c r="D58" i="19"/>
  <c r="D63" i="19" s="1"/>
  <c r="N58" i="19"/>
  <c r="N63" i="19" s="1"/>
  <c r="AY42" i="19"/>
  <c r="AY40" i="15"/>
  <c r="AY15" i="15"/>
  <c r="AY90" i="15"/>
  <c r="D7" i="15"/>
  <c r="AY14" i="15"/>
  <c r="N7" i="15"/>
  <c r="DS45" i="11"/>
  <c r="AY16" i="19"/>
  <c r="AY198" i="19"/>
  <c r="AZ198" i="19"/>
  <c r="AZ210" i="19" s="1"/>
  <c r="AY209" i="19"/>
  <c r="DN13" i="29"/>
  <c r="DO9" i="29" s="1"/>
  <c r="DN30" i="29"/>
  <c r="DN34" i="29" s="1"/>
  <c r="DN37" i="29" s="1"/>
  <c r="I139" i="11"/>
  <c r="DR162" i="11"/>
  <c r="AK139" i="11"/>
  <c r="N34" i="15"/>
  <c r="Q37" i="15"/>
  <c r="Q36" i="15"/>
  <c r="N92" i="15"/>
  <c r="DS130" i="11"/>
  <c r="DR50" i="19"/>
  <c r="DR23" i="15"/>
  <c r="DR25" i="15"/>
  <c r="DR91" i="15"/>
  <c r="DR26" i="15"/>
  <c r="AY17" i="19"/>
  <c r="AY217" i="19"/>
  <c r="AY199" i="19"/>
  <c r="AZ199" i="19"/>
  <c r="AZ211" i="19" s="1"/>
  <c r="FA121" i="24"/>
  <c r="AW120" i="24"/>
  <c r="AJ30" i="29"/>
  <c r="DM34" i="29"/>
  <c r="DM37" i="29" s="1"/>
  <c r="DT64" i="1"/>
  <c r="AY23" i="19"/>
  <c r="AZ273" i="19"/>
  <c r="AZ285" i="19" s="1"/>
  <c r="AY273" i="19"/>
  <c r="AY71" i="19"/>
  <c r="AY136" i="19"/>
  <c r="AY137" i="19"/>
  <c r="AY138" i="19"/>
  <c r="AY139" i="19"/>
  <c r="M29" i="28"/>
  <c r="AY19" i="19"/>
  <c r="AZ201" i="19"/>
  <c r="AZ213" i="19" s="1"/>
  <c r="AY201" i="19"/>
  <c r="AY219" i="19"/>
  <c r="AJ13" i="29"/>
  <c r="AM14" i="29"/>
  <c r="DR130" i="11"/>
  <c r="AK130" i="11" s="1"/>
  <c r="AK129" i="11"/>
  <c r="AK141" i="11" s="1"/>
  <c r="CN106" i="1"/>
  <c r="CM113" i="1"/>
  <c r="DT39" i="11"/>
  <c r="EV65" i="11"/>
  <c r="AU15" i="24"/>
  <c r="D23" i="15"/>
  <c r="DC7" i="25" s="1"/>
  <c r="DD8" i="25" s="1"/>
  <c r="D25" i="15"/>
  <c r="DC14" i="25" s="1"/>
  <c r="D91" i="15"/>
  <c r="D26" i="15"/>
  <c r="DC15" i="25" s="1"/>
  <c r="DT101" i="11"/>
  <c r="DT111" i="11"/>
  <c r="DT159" i="11" s="1"/>
  <c r="DT123" i="1" s="1"/>
  <c r="DU9" i="11"/>
  <c r="DV9" i="1"/>
  <c r="DU29" i="1"/>
  <c r="DU15" i="1"/>
  <c r="AV120" i="24"/>
  <c r="EX121" i="24"/>
  <c r="L120" i="24"/>
  <c r="EW126" i="24"/>
  <c r="EW14" i="24" s="1"/>
  <c r="EW15" i="24" s="1"/>
  <c r="DS126" i="1"/>
  <c r="DS163" i="11"/>
  <c r="AY25" i="19"/>
  <c r="AY275" i="19"/>
  <c r="AZ275" i="19"/>
  <c r="AZ287" i="19" s="1"/>
  <c r="CM38" i="25"/>
  <c r="AI43" i="29"/>
  <c r="DT121" i="1"/>
  <c r="DT140" i="11"/>
  <c r="DT61" i="11"/>
  <c r="DT62" i="11" s="1"/>
  <c r="DO65" i="1"/>
  <c r="DO48" i="1"/>
  <c r="AJ48" i="1" s="1"/>
  <c r="AJ42" i="1"/>
  <c r="DT98" i="11"/>
  <c r="DU10" i="11"/>
  <c r="AG110" i="1"/>
  <c r="AJ99" i="1"/>
  <c r="AT46" i="1"/>
  <c r="DR42" i="19"/>
  <c r="DR12" i="15"/>
  <c r="DR40" i="15"/>
  <c r="DR14" i="15"/>
  <c r="DR90" i="15"/>
  <c r="DR15" i="15"/>
  <c r="N23" i="15"/>
  <c r="Q25" i="15"/>
  <c r="Q26" i="15"/>
  <c r="N91" i="15"/>
  <c r="DT124" i="11"/>
  <c r="AY22" i="19"/>
  <c r="AY272" i="19"/>
  <c r="AY283" i="19"/>
  <c r="AY290" i="19"/>
  <c r="AZ272" i="19"/>
  <c r="AZ284" i="19" s="1"/>
  <c r="D34" i="15"/>
  <c r="DM7" i="25" s="1"/>
  <c r="DN8" i="25" s="1"/>
  <c r="D92" i="15"/>
  <c r="D37" i="15"/>
  <c r="DM15" i="25" s="1"/>
  <c r="D36" i="15"/>
  <c r="DM14" i="25" s="1"/>
  <c r="N33" i="28"/>
  <c r="N16" i="28"/>
  <c r="N17" i="28" s="1"/>
  <c r="N27" i="28"/>
  <c r="N20" i="28"/>
  <c r="N26" i="28"/>
  <c r="N21" i="28"/>
  <c r="N22" i="28"/>
  <c r="N23" i="28"/>
  <c r="DR16" i="11"/>
  <c r="DR34" i="1" s="1"/>
  <c r="DR42" i="11"/>
  <c r="AK41" i="11"/>
  <c r="AK16" i="11" s="1"/>
  <c r="DS41" i="11"/>
  <c r="DQ71" i="19"/>
  <c r="N50" i="19"/>
  <c r="N55" i="19" s="1"/>
  <c r="D50" i="19"/>
  <c r="D55" i="19" s="1"/>
  <c r="DQ132" i="11"/>
  <c r="DQ22" i="11" s="1"/>
  <c r="DS43" i="1"/>
  <c r="AY18" i="19"/>
  <c r="AY218" i="19"/>
  <c r="AZ200" i="19"/>
  <c r="AZ212" i="19" s="1"/>
  <c r="AY200" i="19"/>
  <c r="DR43" i="1"/>
  <c r="AK20" i="11"/>
  <c r="DR58" i="19"/>
  <c r="DR34" i="15"/>
  <c r="DR92" i="15"/>
  <c r="DR36" i="15"/>
  <c r="DR37" i="15"/>
  <c r="AL110" i="26" l="1"/>
  <c r="AL120" i="26"/>
  <c r="DT40" i="11"/>
  <c r="AY11" i="19"/>
  <c r="AY29" i="19" s="1"/>
  <c r="AY125" i="19"/>
  <c r="AZ125" i="19"/>
  <c r="AZ137" i="19" s="1"/>
  <c r="AZ17" i="19"/>
  <c r="BA199" i="19"/>
  <c r="BA211" i="19" s="1"/>
  <c r="AK162" i="11"/>
  <c r="AK163" i="11" s="1"/>
  <c r="AK142" i="11"/>
  <c r="N198" i="19"/>
  <c r="N210" i="19" s="1"/>
  <c r="D198" i="19"/>
  <c r="AZ24" i="19"/>
  <c r="BA274" i="19"/>
  <c r="BA286" i="19" s="1"/>
  <c r="DR85" i="1"/>
  <c r="DR82" i="1"/>
  <c r="DR57" i="1"/>
  <c r="DR54" i="1"/>
  <c r="DU94" i="1"/>
  <c r="AK43" i="1"/>
  <c r="N24" i="28"/>
  <c r="DT67" i="11"/>
  <c r="CM44" i="25"/>
  <c r="DV14" i="1"/>
  <c r="AM9" i="1"/>
  <c r="DV97" i="1"/>
  <c r="DV98" i="1"/>
  <c r="D201" i="19"/>
  <c r="N201" i="19"/>
  <c r="N213" i="19" s="1"/>
  <c r="AY10" i="19"/>
  <c r="AY28" i="19" s="1"/>
  <c r="AZ124" i="19"/>
  <c r="AZ136" i="19" s="1"/>
  <c r="AY124" i="19"/>
  <c r="AY135" i="19"/>
  <c r="D199" i="19"/>
  <c r="N199" i="19"/>
  <c r="N211" i="19" s="1"/>
  <c r="DR126" i="1"/>
  <c r="DR163" i="11"/>
  <c r="DT41" i="11"/>
  <c r="DR46" i="11"/>
  <c r="AK42" i="11"/>
  <c r="AK46" i="11" s="1"/>
  <c r="AZ22" i="19"/>
  <c r="BA272" i="19"/>
  <c r="BA284" i="19" s="1"/>
  <c r="DR47" i="15"/>
  <c r="DR48" i="15"/>
  <c r="EW65" i="11"/>
  <c r="AZ19" i="19"/>
  <c r="BA201" i="19"/>
  <c r="BA213" i="19" s="1"/>
  <c r="I162" i="11"/>
  <c r="EV25" i="25"/>
  <c r="D40" i="15"/>
  <c r="N40" i="15"/>
  <c r="AY9" i="1"/>
  <c r="AY48" i="15"/>
  <c r="AY47" i="15"/>
  <c r="DS83" i="1"/>
  <c r="CN110" i="1"/>
  <c r="CN99" i="1"/>
  <c r="DN38" i="29"/>
  <c r="DN42" i="29"/>
  <c r="D42" i="19"/>
  <c r="D47" i="19" s="1"/>
  <c r="N42" i="19"/>
  <c r="N47" i="19" s="1"/>
  <c r="AY66" i="19"/>
  <c r="DS16" i="11"/>
  <c r="DS34" i="1" s="1"/>
  <c r="DS42" i="11"/>
  <c r="DU38" i="11"/>
  <c r="DU28" i="1"/>
  <c r="AL29" i="1"/>
  <c r="DM38" i="29"/>
  <c r="DM42" i="29"/>
  <c r="DO13" i="29"/>
  <c r="DP9" i="29" s="1"/>
  <c r="DO30" i="29"/>
  <c r="DO34" i="29" s="1"/>
  <c r="DO37" i="29" s="1"/>
  <c r="AJ37" i="29" s="1"/>
  <c r="DS144" i="11"/>
  <c r="DS127" i="1"/>
  <c r="DR33" i="1"/>
  <c r="DR55" i="1"/>
  <c r="DR39" i="1"/>
  <c r="AK34" i="1"/>
  <c r="AH106" i="1"/>
  <c r="AG113" i="1"/>
  <c r="DQ45" i="1"/>
  <c r="DQ19" i="11"/>
  <c r="AY21" i="19"/>
  <c r="AY271" i="19"/>
  <c r="AZ271" i="19"/>
  <c r="AZ283" i="19" s="1"/>
  <c r="AZ292" i="19" s="1"/>
  <c r="AY289" i="19"/>
  <c r="DR66" i="19"/>
  <c r="DU80" i="11"/>
  <c r="DU107" i="11"/>
  <c r="DU135" i="11"/>
  <c r="AL10" i="11"/>
  <c r="AY293" i="19"/>
  <c r="EY122" i="24"/>
  <c r="AV121" i="24"/>
  <c r="L121" i="24"/>
  <c r="EX126" i="24"/>
  <c r="EX14" i="24" s="1"/>
  <c r="EX15" i="24" s="1"/>
  <c r="D272" i="19"/>
  <c r="N272" i="19"/>
  <c r="N284" i="19" s="1"/>
  <c r="DT129" i="11"/>
  <c r="DT139" i="11"/>
  <c r="DT162" i="11" s="1"/>
  <c r="AZ25" i="19"/>
  <c r="BA275" i="19"/>
  <c r="BA287" i="19" s="1"/>
  <c r="AZ293" i="19"/>
  <c r="EV23" i="11"/>
  <c r="AU65" i="11"/>
  <c r="AK149" i="11"/>
  <c r="M34" i="28"/>
  <c r="M31" i="28"/>
  <c r="D273" i="19"/>
  <c r="N273" i="19"/>
  <c r="N285" i="19" s="1"/>
  <c r="AJ34" i="29"/>
  <c r="O12" i="28" s="1"/>
  <c r="AM75" i="26" s="1"/>
  <c r="AM82" i="26" s="1"/>
  <c r="O8" i="28"/>
  <c r="AM71" i="26" s="1"/>
  <c r="AM78" i="26" s="1"/>
  <c r="AM35" i="29"/>
  <c r="AY15" i="19"/>
  <c r="AY197" i="19"/>
  <c r="AZ197" i="19"/>
  <c r="AZ209" i="19" s="1"/>
  <c r="AZ217" i="19" s="1"/>
  <c r="AY215" i="19"/>
  <c r="N12" i="15"/>
  <c r="Q15" i="15"/>
  <c r="Q14" i="15"/>
  <c r="N90" i="15"/>
  <c r="DR47" i="19"/>
  <c r="DR71" i="19" s="1"/>
  <c r="DS7" i="15"/>
  <c r="DR45" i="15"/>
  <c r="DR63" i="19"/>
  <c r="DS29" i="15"/>
  <c r="D275" i="19"/>
  <c r="N275" i="19"/>
  <c r="N287" i="19" s="1"/>
  <c r="DT102" i="11"/>
  <c r="AY13" i="19"/>
  <c r="AY31" i="19" s="1"/>
  <c r="AY127" i="19"/>
  <c r="AY145" i="19"/>
  <c r="AZ127" i="19"/>
  <c r="AZ139" i="19" s="1"/>
  <c r="AY291" i="19"/>
  <c r="AZ16" i="19"/>
  <c r="AZ216" i="19"/>
  <c r="BA198" i="19"/>
  <c r="BA210" i="19" s="1"/>
  <c r="AY292" i="19"/>
  <c r="DP71" i="1"/>
  <c r="D200" i="19"/>
  <c r="N200" i="19"/>
  <c r="N212" i="19" s="1"/>
  <c r="N18" i="28"/>
  <c r="DO71" i="1"/>
  <c r="AJ65" i="1"/>
  <c r="DO68" i="1"/>
  <c r="DP63" i="1" s="1"/>
  <c r="AZ18" i="19"/>
  <c r="BA200" i="19"/>
  <c r="BA212" i="19" s="1"/>
  <c r="DS85" i="1"/>
  <c r="DS82" i="1"/>
  <c r="DS57" i="1"/>
  <c r="DS54" i="1"/>
  <c r="DV94" i="1"/>
  <c r="AY12" i="19"/>
  <c r="AY30" i="19" s="1"/>
  <c r="AZ126" i="19"/>
  <c r="AZ138" i="19" s="1"/>
  <c r="AY144" i="19"/>
  <c r="AY126" i="19"/>
  <c r="AZ23" i="19"/>
  <c r="BA273" i="19"/>
  <c r="BA285" i="19" s="1"/>
  <c r="AZ291" i="19"/>
  <c r="FB122" i="24"/>
  <c r="AW122" i="24" s="1"/>
  <c r="AW121" i="24"/>
  <c r="DR55" i="19"/>
  <c r="DS18" i="15"/>
  <c r="AY216" i="19"/>
  <c r="D12" i="15"/>
  <c r="CS7" i="25" s="1"/>
  <c r="CT8" i="25" s="1"/>
  <c r="D14" i="15"/>
  <c r="CS14" i="25" s="1"/>
  <c r="D90" i="15"/>
  <c r="D15" i="15"/>
  <c r="CS15" i="25" s="1"/>
  <c r="D274" i="19"/>
  <c r="N274" i="19"/>
  <c r="N286" i="19" s="1"/>
  <c r="AM97" i="26" l="1"/>
  <c r="AM87" i="26" s="1"/>
  <c r="AL112" i="26"/>
  <c r="AL121" i="26"/>
  <c r="N23" i="19"/>
  <c r="DQ84" i="1"/>
  <c r="DQ42" i="1"/>
  <c r="D45" i="15"/>
  <c r="DW7" i="25" s="1"/>
  <c r="DX8" i="25" s="1"/>
  <c r="D47" i="15"/>
  <c r="DW14" i="25" s="1"/>
  <c r="D48" i="15"/>
  <c r="DW15" i="25" s="1"/>
  <c r="D125" i="19"/>
  <c r="N125" i="19"/>
  <c r="N137" i="19" s="1"/>
  <c r="N126" i="19"/>
  <c r="N138" i="19" s="1"/>
  <c r="D126" i="19"/>
  <c r="AZ218" i="19"/>
  <c r="DS42" i="19"/>
  <c r="DS40" i="15"/>
  <c r="AL7" i="15"/>
  <c r="DS12" i="15"/>
  <c r="DS15" i="15"/>
  <c r="DS90" i="15"/>
  <c r="DS14" i="15"/>
  <c r="EV46" i="1"/>
  <c r="AU23" i="11"/>
  <c r="DT130" i="11"/>
  <c r="DS100" i="1"/>
  <c r="DS101" i="1"/>
  <c r="AK126" i="1"/>
  <c r="AK127" i="1" s="1"/>
  <c r="I126" i="1"/>
  <c r="I127" i="1" s="1"/>
  <c r="I100" i="1" s="1"/>
  <c r="CM17" i="25" s="1"/>
  <c r="N19" i="19"/>
  <c r="AK82" i="1"/>
  <c r="AK85" i="1"/>
  <c r="AK57" i="1"/>
  <c r="AK54" i="1"/>
  <c r="AL94" i="1"/>
  <c r="DS33" i="1"/>
  <c r="DS55" i="1"/>
  <c r="DS39" i="1"/>
  <c r="BA17" i="19"/>
  <c r="BB199" i="19"/>
  <c r="BA217" i="19"/>
  <c r="N18" i="19"/>
  <c r="N25" i="19"/>
  <c r="AZ15" i="19"/>
  <c r="BA197" i="19"/>
  <c r="BA209" i="19" s="1"/>
  <c r="AZ215" i="19"/>
  <c r="N22" i="19"/>
  <c r="EZ123" i="24"/>
  <c r="AV122" i="24"/>
  <c r="AV126" i="24" s="1"/>
  <c r="L122" i="24"/>
  <c r="EY126" i="24"/>
  <c r="EY14" i="24" s="1"/>
  <c r="EY15" i="24" s="1"/>
  <c r="EY65" i="11" s="1"/>
  <c r="DS125" i="11"/>
  <c r="AL52" i="1"/>
  <c r="N66" i="19"/>
  <c r="N71" i="19" s="1"/>
  <c r="D66" i="19"/>
  <c r="D71" i="19" s="1"/>
  <c r="I173" i="11"/>
  <c r="I164" i="11"/>
  <c r="CM14" i="25"/>
  <c r="I163" i="11"/>
  <c r="N17" i="19"/>
  <c r="BA24" i="19"/>
  <c r="BB274" i="19"/>
  <c r="BA292" i="19"/>
  <c r="DU60" i="11"/>
  <c r="DU79" i="11"/>
  <c r="AL80" i="11"/>
  <c r="EW23" i="11"/>
  <c r="DS50" i="19"/>
  <c r="AL50" i="19" s="1"/>
  <c r="AL55" i="19" s="1"/>
  <c r="AL18" i="15"/>
  <c r="DS23" i="15"/>
  <c r="DS25" i="15"/>
  <c r="DS91" i="15"/>
  <c r="DS26" i="15"/>
  <c r="BA18" i="19"/>
  <c r="BB200" i="19"/>
  <c r="BA218" i="19"/>
  <c r="N24" i="19"/>
  <c r="AZ12" i="19"/>
  <c r="AZ30" i="19" s="1"/>
  <c r="BA126" i="19"/>
  <c r="BA138" i="19" s="1"/>
  <c r="AZ13" i="19"/>
  <c r="AZ31" i="19" s="1"/>
  <c r="BA127" i="19"/>
  <c r="BA139" i="19" s="1"/>
  <c r="AZ145" i="19"/>
  <c r="D197" i="19"/>
  <c r="N197" i="19"/>
  <c r="N209" i="19" s="1"/>
  <c r="N218" i="19" s="1"/>
  <c r="AZ21" i="19"/>
  <c r="BA271" i="19"/>
  <c r="BA283" i="19" s="1"/>
  <c r="AZ289" i="19"/>
  <c r="DO38" i="29"/>
  <c r="AJ38" i="29" s="1"/>
  <c r="DO42" i="29"/>
  <c r="DU64" i="1"/>
  <c r="AL28" i="1"/>
  <c r="DT126" i="1"/>
  <c r="DT163" i="11"/>
  <c r="AY9" i="19"/>
  <c r="AY27" i="19" s="1"/>
  <c r="AY33" i="19" s="1"/>
  <c r="AY141" i="19"/>
  <c r="AY123" i="19"/>
  <c r="AZ123" i="19"/>
  <c r="AZ135" i="19" s="1"/>
  <c r="AZ144" i="19" s="1"/>
  <c r="DT20" i="11"/>
  <c r="DT92" i="11"/>
  <c r="DR81" i="1"/>
  <c r="DR38" i="1"/>
  <c r="DR37" i="1"/>
  <c r="AK33" i="1"/>
  <c r="M35" i="28"/>
  <c r="N271" i="19"/>
  <c r="N283" i="19" s="1"/>
  <c r="N293" i="19" s="1"/>
  <c r="D271" i="19"/>
  <c r="AH110" i="1"/>
  <c r="AK99" i="1"/>
  <c r="DP13" i="29"/>
  <c r="DQ9" i="29" s="1"/>
  <c r="DP30" i="29"/>
  <c r="AK9" i="29"/>
  <c r="DT104" i="11"/>
  <c r="DT21" i="11" s="1"/>
  <c r="AJ75" i="1"/>
  <c r="Y46" i="25"/>
  <c r="Y46" i="7"/>
  <c r="AJ68" i="1"/>
  <c r="D127" i="19"/>
  <c r="N127" i="19"/>
  <c r="N139" i="19" s="1"/>
  <c r="DS58" i="19"/>
  <c r="AL58" i="19" s="1"/>
  <c r="AL63" i="19" s="1"/>
  <c r="AL29" i="15"/>
  <c r="DS34" i="15"/>
  <c r="DS37" i="15"/>
  <c r="DS92" i="15"/>
  <c r="DS36" i="15"/>
  <c r="AK55" i="1"/>
  <c r="AK39" i="1"/>
  <c r="DU39" i="11"/>
  <c r="AL38" i="11"/>
  <c r="AZ219" i="19"/>
  <c r="D124" i="19"/>
  <c r="N124" i="19"/>
  <c r="N136" i="19" s="1"/>
  <c r="AM14" i="1"/>
  <c r="AP97" i="1"/>
  <c r="AP98" i="1"/>
  <c r="N16" i="19"/>
  <c r="N216" i="19"/>
  <c r="CO106" i="1"/>
  <c r="CN113" i="1"/>
  <c r="DR144" i="11"/>
  <c r="DR127" i="1"/>
  <c r="AK63" i="1"/>
  <c r="DP68" i="1"/>
  <c r="DQ63" i="1" s="1"/>
  <c r="DO91" i="1"/>
  <c r="DO102" i="1"/>
  <c r="DO90" i="1"/>
  <c r="AJ71" i="1"/>
  <c r="AY37" i="19"/>
  <c r="DU134" i="11"/>
  <c r="DU123" i="11"/>
  <c r="AL135" i="11"/>
  <c r="AL137" i="11" s="1"/>
  <c r="AJ42" i="29"/>
  <c r="DS46" i="11"/>
  <c r="D9" i="1"/>
  <c r="N9" i="1"/>
  <c r="AY14" i="1"/>
  <c r="AY10" i="11" s="1"/>
  <c r="AY97" i="1"/>
  <c r="AY98" i="1"/>
  <c r="BJ15" i="1"/>
  <c r="BJ90" i="1" s="1"/>
  <c r="BA19" i="19"/>
  <c r="BB201" i="19"/>
  <c r="BA219" i="19"/>
  <c r="BA22" i="19"/>
  <c r="BB272" i="19"/>
  <c r="BA290" i="19"/>
  <c r="DT16" i="11"/>
  <c r="DT34" i="1" s="1"/>
  <c r="DT42" i="11"/>
  <c r="DT46" i="11" s="1"/>
  <c r="AY142" i="19"/>
  <c r="DV9" i="11"/>
  <c r="DW9" i="1"/>
  <c r="DV15" i="1"/>
  <c r="DV29" i="1"/>
  <c r="N29" i="28"/>
  <c r="AZ11" i="19"/>
  <c r="AZ29" i="19" s="1"/>
  <c r="BA125" i="19"/>
  <c r="BA137" i="19" s="1"/>
  <c r="AZ143" i="19"/>
  <c r="DT45" i="11"/>
  <c r="O15" i="28"/>
  <c r="AY36" i="19"/>
  <c r="DP91" i="1"/>
  <c r="DP102" i="1"/>
  <c r="DP90" i="1"/>
  <c r="BA25" i="19"/>
  <c r="BB275" i="19"/>
  <c r="BA293" i="19"/>
  <c r="BA23" i="19"/>
  <c r="BB273" i="19"/>
  <c r="BA291" i="19"/>
  <c r="BA16" i="19"/>
  <c r="BA216" i="19"/>
  <c r="BB198" i="19"/>
  <c r="EX65" i="11"/>
  <c r="AV65" i="11" s="1"/>
  <c r="DU106" i="11"/>
  <c r="DU112" i="11"/>
  <c r="DU97" i="11"/>
  <c r="AL107" i="11"/>
  <c r="AL109" i="11" s="1"/>
  <c r="N45" i="15"/>
  <c r="Q48" i="15"/>
  <c r="Q47" i="15"/>
  <c r="AZ290" i="19"/>
  <c r="AZ10" i="19"/>
  <c r="AZ28" i="19" s="1"/>
  <c r="AZ142" i="19"/>
  <c r="BA124" i="19"/>
  <c r="BA136" i="19" s="1"/>
  <c r="DV10" i="11"/>
  <c r="AY143" i="19"/>
  <c r="AJ40" i="29" l="1"/>
  <c r="AL124" i="26"/>
  <c r="AL123" i="26"/>
  <c r="AM100" i="26"/>
  <c r="AM101" i="26" s="1"/>
  <c r="D10" i="11"/>
  <c r="N10" i="11"/>
  <c r="AY137" i="11"/>
  <c r="AY109" i="11"/>
  <c r="DU101" i="11"/>
  <c r="DU111" i="11"/>
  <c r="AL112" i="11"/>
  <c r="AL114" i="11" s="1"/>
  <c r="EY23" i="11"/>
  <c r="EY46" i="1" s="1"/>
  <c r="AL106" i="11"/>
  <c r="AL160" i="11" s="1"/>
  <c r="DU160" i="11"/>
  <c r="DU124" i="1" s="1"/>
  <c r="AL124" i="1" s="1"/>
  <c r="O273" i="19"/>
  <c r="O285" i="19" s="1"/>
  <c r="BB285" i="19"/>
  <c r="DW14" i="1"/>
  <c r="DW97" i="1"/>
  <c r="DW98" i="1"/>
  <c r="C4" i="8"/>
  <c r="D14" i="1"/>
  <c r="D97" i="1"/>
  <c r="AH10" i="25" s="1"/>
  <c r="AH6" i="25"/>
  <c r="AH8" i="25" s="1"/>
  <c r="D98" i="1"/>
  <c r="AH11" i="25" s="1"/>
  <c r="AL39" i="11"/>
  <c r="AI106" i="1"/>
  <c r="AH113" i="1"/>
  <c r="BA13" i="19"/>
  <c r="BA31" i="19" s="1"/>
  <c r="BB127" i="19"/>
  <c r="O200" i="19"/>
  <c r="O212" i="19" s="1"/>
  <c r="BB212" i="19"/>
  <c r="O274" i="19"/>
  <c r="O286" i="19" s="1"/>
  <c r="BB286" i="19"/>
  <c r="AK100" i="1"/>
  <c r="AK101" i="1"/>
  <c r="BA11" i="19"/>
  <c r="BA29" i="19" s="1"/>
  <c r="BB125" i="19"/>
  <c r="O201" i="19"/>
  <c r="O213" i="19" s="1"/>
  <c r="BB213" i="19"/>
  <c r="DU124" i="11"/>
  <c r="AL123" i="11"/>
  <c r="N14" i="1"/>
  <c r="Q97" i="1"/>
  <c r="Q98" i="1"/>
  <c r="Q15" i="1"/>
  <c r="Q90" i="1" s="1"/>
  <c r="AK37" i="1"/>
  <c r="DR92" i="1"/>
  <c r="DR93" i="1" s="1"/>
  <c r="EX23" i="11"/>
  <c r="EX46" i="1" s="1"/>
  <c r="AL134" i="11"/>
  <c r="AL161" i="11" s="1"/>
  <c r="DU161" i="11"/>
  <c r="DU125" i="1" s="1"/>
  <c r="AL125" i="1" s="1"/>
  <c r="DR100" i="1"/>
  <c r="DR101" i="1"/>
  <c r="AM9" i="11"/>
  <c r="AM15" i="1"/>
  <c r="DS63" i="19"/>
  <c r="DT29" i="15"/>
  <c r="N21" i="19"/>
  <c r="N289" i="19"/>
  <c r="AY34" i="19"/>
  <c r="BA12" i="19"/>
  <c r="BA30" i="19" s="1"/>
  <c r="BB126" i="19"/>
  <c r="AV23" i="11"/>
  <c r="EW46" i="1"/>
  <c r="N217" i="19"/>
  <c r="FA124" i="24"/>
  <c r="AW123" i="24"/>
  <c r="EZ126" i="24"/>
  <c r="EZ14" i="24" s="1"/>
  <c r="EZ15" i="24" s="1"/>
  <c r="L123" i="24"/>
  <c r="DS81" i="1"/>
  <c r="DS37" i="1"/>
  <c r="DS38" i="1"/>
  <c r="DQ48" i="1"/>
  <c r="DQ65" i="1"/>
  <c r="DV80" i="11"/>
  <c r="DV107" i="11"/>
  <c r="DV135" i="11"/>
  <c r="BA10" i="19"/>
  <c r="BA28" i="19" s="1"/>
  <c r="BB124" i="19"/>
  <c r="O275" i="19"/>
  <c r="O287" i="19" s="1"/>
  <c r="BB287" i="19"/>
  <c r="DR125" i="11"/>
  <c r="I144" i="11"/>
  <c r="EV30" i="25" s="1"/>
  <c r="AK144" i="11"/>
  <c r="N10" i="19"/>
  <c r="N28" i="19" s="1"/>
  <c r="N142" i="19"/>
  <c r="AL34" i="15"/>
  <c r="AL92" i="15"/>
  <c r="AO37" i="15"/>
  <c r="AO36" i="15"/>
  <c r="DT44" i="1"/>
  <c r="DT144" i="11"/>
  <c r="DT127" i="1"/>
  <c r="AL64" i="1"/>
  <c r="BA21" i="19"/>
  <c r="BA289" i="19"/>
  <c r="BB271" i="19"/>
  <c r="N290" i="19"/>
  <c r="DS47" i="19"/>
  <c r="DT7" i="15"/>
  <c r="DS45" i="15"/>
  <c r="N12" i="19"/>
  <c r="N30" i="19" s="1"/>
  <c r="N144" i="19"/>
  <c r="Y44" i="7"/>
  <c r="Y44" i="25"/>
  <c r="D123" i="19"/>
  <c r="N123" i="19"/>
  <c r="N135" i="19" s="1"/>
  <c r="AU46" i="1"/>
  <c r="O198" i="19"/>
  <c r="O210" i="19" s="1"/>
  <c r="BB210" i="19"/>
  <c r="O33" i="28"/>
  <c r="O16" i="28"/>
  <c r="O17" i="28" s="1"/>
  <c r="O27" i="28"/>
  <c r="O22" i="28"/>
  <c r="O26" i="28"/>
  <c r="O21" i="28"/>
  <c r="O23" i="28"/>
  <c r="O20" i="28"/>
  <c r="N34" i="28"/>
  <c r="N31" i="28"/>
  <c r="DT33" i="1"/>
  <c r="DT55" i="1"/>
  <c r="DT39" i="1"/>
  <c r="AK13" i="29"/>
  <c r="AN14" i="29"/>
  <c r="I174" i="11"/>
  <c r="I169" i="11"/>
  <c r="I167" i="11"/>
  <c r="I166" i="11"/>
  <c r="I168" i="11"/>
  <c r="I172" i="11"/>
  <c r="I171" i="11"/>
  <c r="I170" i="11"/>
  <c r="AY35" i="19"/>
  <c r="AL12" i="15"/>
  <c r="AL90" i="15"/>
  <c r="AO15" i="15"/>
  <c r="AO14" i="15"/>
  <c r="N11" i="19"/>
  <c r="N29" i="19" s="1"/>
  <c r="N143" i="19"/>
  <c r="N291" i="19"/>
  <c r="DV38" i="11"/>
  <c r="DV28" i="1"/>
  <c r="AJ91" i="1"/>
  <c r="AJ102" i="1"/>
  <c r="AJ89" i="1"/>
  <c r="AJ90" i="1"/>
  <c r="CO110" i="1"/>
  <c r="CO99" i="1"/>
  <c r="N13" i="19"/>
  <c r="N31" i="19" s="1"/>
  <c r="N145" i="19"/>
  <c r="AK30" i="29"/>
  <c r="DP34" i="29"/>
  <c r="DP37" i="29" s="1"/>
  <c r="AK81" i="1"/>
  <c r="AK38" i="1"/>
  <c r="AK92" i="1" s="1"/>
  <c r="AK93" i="1" s="1"/>
  <c r="DT43" i="1"/>
  <c r="N15" i="19"/>
  <c r="N215" i="19"/>
  <c r="N292" i="19"/>
  <c r="DS55" i="19"/>
  <c r="DT18" i="15"/>
  <c r="AL79" i="11"/>
  <c r="DU157" i="11"/>
  <c r="CM39" i="25"/>
  <c r="CM40" i="25" s="1"/>
  <c r="CM15" i="25"/>
  <c r="DS132" i="11"/>
  <c r="DS22" i="11" s="1"/>
  <c r="O199" i="19"/>
  <c r="O211" i="19" s="1"/>
  <c r="BB211" i="19"/>
  <c r="N219" i="19"/>
  <c r="AL40" i="15"/>
  <c r="DS48" i="15"/>
  <c r="DS47" i="15"/>
  <c r="DU98" i="11"/>
  <c r="AL97" i="11"/>
  <c r="O272" i="19"/>
  <c r="O284" i="19" s="1"/>
  <c r="BB284" i="19"/>
  <c r="AY9" i="11"/>
  <c r="AY82" i="11" s="1"/>
  <c r="AY100" i="1"/>
  <c r="AY113" i="1"/>
  <c r="AY52" i="1"/>
  <c r="D52" i="1" s="1"/>
  <c r="BK15" i="1"/>
  <c r="BK90" i="1" s="1"/>
  <c r="AJ43" i="29"/>
  <c r="DQ13" i="29"/>
  <c r="DR9" i="29" s="1"/>
  <c r="DQ30" i="29"/>
  <c r="DQ34" i="29" s="1"/>
  <c r="DQ37" i="29" s="1"/>
  <c r="AZ9" i="19"/>
  <c r="AZ27" i="19" s="1"/>
  <c r="AZ33" i="19" s="1"/>
  <c r="BA123" i="19"/>
  <c r="BA135" i="19" s="1"/>
  <c r="AZ141" i="19"/>
  <c r="AL23" i="15"/>
  <c r="AO25" i="15"/>
  <c r="AL91" i="15"/>
  <c r="AO26" i="15"/>
  <c r="DU61" i="11"/>
  <c r="DU62" i="11"/>
  <c r="DU67" i="11" s="1"/>
  <c r="AL60" i="11"/>
  <c r="AL81" i="11" s="1"/>
  <c r="BA15" i="19"/>
  <c r="BB197" i="19"/>
  <c r="BA215" i="19"/>
  <c r="AL42" i="19"/>
  <c r="AL47" i="19" s="1"/>
  <c r="DS66" i="19"/>
  <c r="AL66" i="19" s="1"/>
  <c r="AL71" i="19" s="1"/>
  <c r="AV15" i="24"/>
  <c r="AL126" i="26" l="1"/>
  <c r="AL164" i="26"/>
  <c r="AL163" i="26" s="1"/>
  <c r="AM110" i="26"/>
  <c r="AM120" i="26"/>
  <c r="DU20" i="11"/>
  <c r="DU92" i="11"/>
  <c r="AL67" i="11"/>
  <c r="AL92" i="11" s="1"/>
  <c r="BB23" i="19"/>
  <c r="BB291" i="19"/>
  <c r="BC273" i="19"/>
  <c r="BC285" i="19" s="1"/>
  <c r="AL98" i="11"/>
  <c r="AL117" i="11" s="1"/>
  <c r="BB17" i="19"/>
  <c r="BC199" i="19"/>
  <c r="BC211" i="19" s="1"/>
  <c r="AL157" i="11"/>
  <c r="AL82" i="11"/>
  <c r="DT85" i="1"/>
  <c r="DT82" i="1"/>
  <c r="DT57" i="1"/>
  <c r="DT54" i="1"/>
  <c r="DW94" i="1"/>
  <c r="N9" i="19"/>
  <c r="N27" i="19" s="1"/>
  <c r="N33" i="19" s="1"/>
  <c r="N141" i="19"/>
  <c r="DS71" i="19"/>
  <c r="DT100" i="1"/>
  <c r="DT101" i="1"/>
  <c r="BB25" i="19"/>
  <c r="BC275" i="19"/>
  <c r="BC287" i="19" s="1"/>
  <c r="DV106" i="11"/>
  <c r="DV160" i="11" s="1"/>
  <c r="DV124" i="1" s="1"/>
  <c r="DV97" i="11"/>
  <c r="DV112" i="11"/>
  <c r="AV46" i="1"/>
  <c r="DT58" i="19"/>
  <c r="DT34" i="15"/>
  <c r="DT92" i="15"/>
  <c r="DT36" i="15"/>
  <c r="DT37" i="15"/>
  <c r="O23" i="19"/>
  <c r="DU102" i="11"/>
  <c r="AL101" i="11"/>
  <c r="AL113" i="11" s="1"/>
  <c r="DU121" i="1"/>
  <c r="AL121" i="1" s="1"/>
  <c r="DU140" i="11"/>
  <c r="N35" i="28"/>
  <c r="O18" i="28"/>
  <c r="AL111" i="11"/>
  <c r="AL159" i="11" s="1"/>
  <c r="DU159" i="11"/>
  <c r="DU123" i="1" s="1"/>
  <c r="AL123" i="1" s="1"/>
  <c r="O17" i="19"/>
  <c r="DT50" i="19"/>
  <c r="DT23" i="15"/>
  <c r="DT25" i="15"/>
  <c r="DT26" i="15"/>
  <c r="DT91" i="15"/>
  <c r="CP106" i="1"/>
  <c r="CO113" i="1"/>
  <c r="N35" i="19"/>
  <c r="O24" i="28"/>
  <c r="DT125" i="11"/>
  <c r="O25" i="19"/>
  <c r="DV60" i="11"/>
  <c r="DV79" i="11"/>
  <c r="DV157" i="11" s="1"/>
  <c r="AL124" i="11"/>
  <c r="AL148" i="11" s="1"/>
  <c r="BB24" i="19"/>
  <c r="BB292" i="19"/>
  <c r="BC274" i="19"/>
  <c r="BC286" i="19" s="1"/>
  <c r="AI110" i="1"/>
  <c r="AL99" i="1"/>
  <c r="C9" i="8"/>
  <c r="D9" i="11"/>
  <c r="D15" i="1"/>
  <c r="D113" i="1"/>
  <c r="D100" i="1"/>
  <c r="CH17" i="25" s="1"/>
  <c r="C5" i="25"/>
  <c r="C28" i="25" s="1"/>
  <c r="X13" i="25"/>
  <c r="X15" i="25" s="1"/>
  <c r="D76" i="1"/>
  <c r="N37" i="19"/>
  <c r="BA9" i="19"/>
  <c r="BA27" i="19" s="1"/>
  <c r="BA33" i="19" s="1"/>
  <c r="BB123" i="19"/>
  <c r="BA141" i="19"/>
  <c r="DS45" i="1"/>
  <c r="DS19" i="11"/>
  <c r="BB16" i="19"/>
  <c r="BC198" i="19"/>
  <c r="BC210" i="19" s="1"/>
  <c r="O271" i="19"/>
  <c r="O283" i="19" s="1"/>
  <c r="O293" i="19" s="1"/>
  <c r="BB283" i="19"/>
  <c r="O124" i="19"/>
  <c r="O136" i="19" s="1"/>
  <c r="BB136" i="19"/>
  <c r="O126" i="19"/>
  <c r="O138" i="19" s="1"/>
  <c r="BB138" i="19"/>
  <c r="N9" i="11"/>
  <c r="N82" i="11" s="1"/>
  <c r="N113" i="1"/>
  <c r="N100" i="1"/>
  <c r="N52" i="1"/>
  <c r="R15" i="1"/>
  <c r="R90" i="1" s="1"/>
  <c r="BB19" i="19"/>
  <c r="BC201" i="19"/>
  <c r="BC213" i="19" s="1"/>
  <c r="O24" i="19"/>
  <c r="O292" i="19"/>
  <c r="DU40" i="11"/>
  <c r="AL62" i="11"/>
  <c r="AL90" i="11" s="1"/>
  <c r="O16" i="19"/>
  <c r="N34" i="19"/>
  <c r="BA142" i="19"/>
  <c r="DQ71" i="1"/>
  <c r="BA144" i="19"/>
  <c r="AZ35" i="19"/>
  <c r="O19" i="19"/>
  <c r="BB18" i="19"/>
  <c r="BC200" i="19"/>
  <c r="BC212" i="19" s="1"/>
  <c r="AL44" i="11"/>
  <c r="AL47" i="11"/>
  <c r="AL61" i="11"/>
  <c r="AL89" i="11" s="1"/>
  <c r="DP38" i="29"/>
  <c r="DP42" i="29"/>
  <c r="DV64" i="1"/>
  <c r="DT81" i="1"/>
  <c r="DT37" i="1"/>
  <c r="DT38" i="1"/>
  <c r="BA34" i="19"/>
  <c r="EZ65" i="11"/>
  <c r="BA36" i="19"/>
  <c r="AZ37" i="19"/>
  <c r="O125" i="19"/>
  <c r="O137" i="19" s="1"/>
  <c r="BB137" i="19"/>
  <c r="O18" i="19"/>
  <c r="DQ38" i="29"/>
  <c r="DQ42" i="29"/>
  <c r="BB22" i="19"/>
  <c r="BC272" i="19"/>
  <c r="BC284" i="19" s="1"/>
  <c r="BB290" i="19"/>
  <c r="AL45" i="15"/>
  <c r="AO47" i="15"/>
  <c r="AO48" i="15"/>
  <c r="DR13" i="29"/>
  <c r="DS9" i="29" s="1"/>
  <c r="DR30" i="29"/>
  <c r="DR34" i="29" s="1"/>
  <c r="DR37" i="29" s="1"/>
  <c r="O22" i="19"/>
  <c r="O290" i="19"/>
  <c r="AK34" i="29"/>
  <c r="P12" i="28" s="1"/>
  <c r="AN75" i="26" s="1"/>
  <c r="AN82" i="26" s="1"/>
  <c r="P8" i="28"/>
  <c r="AN71" i="26" s="1"/>
  <c r="AN78" i="26" s="1"/>
  <c r="AN35" i="29"/>
  <c r="DV39" i="11"/>
  <c r="N36" i="19"/>
  <c r="AL74" i="1"/>
  <c r="DT83" i="1"/>
  <c r="DS92" i="1"/>
  <c r="BA143" i="19"/>
  <c r="BA145" i="19"/>
  <c r="DQ68" i="1"/>
  <c r="DR63" i="1" s="1"/>
  <c r="DW9" i="11"/>
  <c r="DW15" i="1"/>
  <c r="DX9" i="1"/>
  <c r="DW29" i="1"/>
  <c r="N109" i="11"/>
  <c r="N137" i="11"/>
  <c r="N47" i="11"/>
  <c r="AZ36" i="19"/>
  <c r="DT42" i="19"/>
  <c r="DT66" i="19" s="1"/>
  <c r="DT12" i="15"/>
  <c r="DT40" i="15"/>
  <c r="DT14" i="15"/>
  <c r="DT90" i="15"/>
  <c r="DT15" i="15"/>
  <c r="O197" i="19"/>
  <c r="O209" i="19" s="1"/>
  <c r="O216" i="19" s="1"/>
  <c r="BB209" i="19"/>
  <c r="BB219" i="19" s="1"/>
  <c r="AL108" i="11"/>
  <c r="EL28" i="25"/>
  <c r="CM42" i="25"/>
  <c r="AZ34" i="19"/>
  <c r="DR132" i="11"/>
  <c r="DR22" i="11" s="1"/>
  <c r="AK125" i="11"/>
  <c r="DV123" i="11"/>
  <c r="DV134" i="11"/>
  <c r="DV161" i="11" s="1"/>
  <c r="DV125" i="1" s="1"/>
  <c r="FB125" i="24"/>
  <c r="AW124" i="24"/>
  <c r="FA126" i="24"/>
  <c r="FA14" i="24" s="1"/>
  <c r="FA15" i="24" s="1"/>
  <c r="FA65" i="11" s="1"/>
  <c r="L124" i="24"/>
  <c r="AL136" i="11"/>
  <c r="BA35" i="19"/>
  <c r="O127" i="19"/>
  <c r="O139" i="19" s="1"/>
  <c r="BB139" i="19"/>
  <c r="DW10" i="11"/>
  <c r="D109" i="11"/>
  <c r="D137" i="11"/>
  <c r="EQ23" i="25" s="1"/>
  <c r="AM112" i="26" l="1"/>
  <c r="AM121" i="26"/>
  <c r="DX14" i="1"/>
  <c r="DX97" i="1"/>
  <c r="DX98" i="1"/>
  <c r="BB10" i="19"/>
  <c r="BB28" i="19" s="1"/>
  <c r="BC124" i="19"/>
  <c r="BC136" i="19" s="1"/>
  <c r="DU129" i="11"/>
  <c r="DU139" i="11"/>
  <c r="AL140" i="11"/>
  <c r="DV111" i="11"/>
  <c r="DV159" i="11" s="1"/>
  <c r="DV123" i="1" s="1"/>
  <c r="DV101" i="11"/>
  <c r="BC23" i="19"/>
  <c r="BD273" i="19"/>
  <c r="BD285" i="19" s="1"/>
  <c r="DV124" i="11"/>
  <c r="O10" i="19"/>
  <c r="O28" i="19" s="1"/>
  <c r="O11" i="19"/>
  <c r="O29" i="19" s="1"/>
  <c r="BB218" i="19"/>
  <c r="DQ91" i="1"/>
  <c r="DQ102" i="1"/>
  <c r="DQ90" i="1"/>
  <c r="DU45" i="11"/>
  <c r="AL40" i="11"/>
  <c r="AL45" i="11" s="1"/>
  <c r="DU41" i="11"/>
  <c r="BB21" i="19"/>
  <c r="BC271" i="19"/>
  <c r="BC283" i="19" s="1"/>
  <c r="BB289" i="19"/>
  <c r="BC24" i="19"/>
  <c r="BD274" i="19"/>
  <c r="BD286" i="19" s="1"/>
  <c r="DV61" i="11"/>
  <c r="DV62" i="11" s="1"/>
  <c r="DT55" i="19"/>
  <c r="DU18" i="15"/>
  <c r="DT63" i="19"/>
  <c r="DU29" i="15"/>
  <c r="DV98" i="11"/>
  <c r="DT47" i="19"/>
  <c r="DU7" i="15"/>
  <c r="DT45" i="15"/>
  <c r="DR38" i="29"/>
  <c r="AK38" i="29" s="1"/>
  <c r="AN110" i="26" s="1"/>
  <c r="AN112" i="26" s="1"/>
  <c r="DR42" i="29"/>
  <c r="AK42" i="29" s="1"/>
  <c r="O29" i="28"/>
  <c r="BB217" i="19"/>
  <c r="BA37" i="19"/>
  <c r="BB11" i="19"/>
  <c r="BB29" i="19" s="1"/>
  <c r="BC125" i="19"/>
  <c r="BC137" i="19" s="1"/>
  <c r="DS84" i="1"/>
  <c r="DS42" i="1"/>
  <c r="AK145" i="11"/>
  <c r="AK132" i="11"/>
  <c r="DR45" i="1"/>
  <c r="DR19" i="11"/>
  <c r="AK22" i="11"/>
  <c r="AK19" i="11" s="1"/>
  <c r="BC18" i="19"/>
  <c r="BD200" i="19"/>
  <c r="BD212" i="19" s="1"/>
  <c r="BC218" i="19"/>
  <c r="O21" i="19"/>
  <c r="O289" i="19"/>
  <c r="DW80" i="11"/>
  <c r="DW135" i="11"/>
  <c r="DW107" i="11"/>
  <c r="DS13" i="29"/>
  <c r="DT9" i="29" s="1"/>
  <c r="DS30" i="29"/>
  <c r="AL9" i="29"/>
  <c r="I38" i="29"/>
  <c r="L110" i="26" s="1"/>
  <c r="L112" i="26" s="1"/>
  <c r="BB216" i="19"/>
  <c r="O217" i="19"/>
  <c r="AL102" i="11"/>
  <c r="DU104" i="11"/>
  <c r="DU21" i="11" s="1"/>
  <c r="BB293" i="19"/>
  <c r="BC17" i="19"/>
  <c r="BD199" i="19"/>
  <c r="BD211" i="19" s="1"/>
  <c r="BC217" i="19"/>
  <c r="FA23" i="11"/>
  <c r="FA46" i="1" s="1"/>
  <c r="EZ23" i="11"/>
  <c r="DT92" i="1"/>
  <c r="DT93" i="1" s="1"/>
  <c r="AK37" i="29"/>
  <c r="O219" i="19"/>
  <c r="BC16" i="19"/>
  <c r="BD198" i="19"/>
  <c r="BD210" i="19" s="1"/>
  <c r="BC216" i="19"/>
  <c r="O123" i="19"/>
  <c r="O135" i="19" s="1"/>
  <c r="O143" i="19" s="1"/>
  <c r="BB135" i="19"/>
  <c r="BB143" i="19" s="1"/>
  <c r="C6" i="25"/>
  <c r="C29" i="25" s="1"/>
  <c r="D90" i="1"/>
  <c r="BB10" i="25" s="1"/>
  <c r="O291" i="19"/>
  <c r="BC25" i="19"/>
  <c r="BD275" i="19"/>
  <c r="BD287" i="19" s="1"/>
  <c r="BC293" i="19"/>
  <c r="AJ106" i="1"/>
  <c r="AI113" i="1"/>
  <c r="BB15" i="19"/>
  <c r="BC197" i="19"/>
  <c r="BC209" i="19" s="1"/>
  <c r="BB215" i="19"/>
  <c r="EG21" i="7"/>
  <c r="EG21" i="25"/>
  <c r="O15" i="19"/>
  <c r="O215" i="19"/>
  <c r="BB13" i="19"/>
  <c r="BB31" i="19" s="1"/>
  <c r="BC127" i="19"/>
  <c r="BC139" i="19" s="1"/>
  <c r="AW125" i="24"/>
  <c r="AW126" i="24" s="1"/>
  <c r="FB126" i="24"/>
  <c r="FB14" i="24" s="1"/>
  <c r="FB15" i="24" s="1"/>
  <c r="L125" i="24"/>
  <c r="L126" i="24" s="1"/>
  <c r="L14" i="24" s="1"/>
  <c r="L16" i="24" s="1"/>
  <c r="O13" i="19"/>
  <c r="O31" i="19" s="1"/>
  <c r="O145" i="19"/>
  <c r="DW38" i="11"/>
  <c r="DW28" i="1"/>
  <c r="DS93" i="1"/>
  <c r="BC19" i="19"/>
  <c r="BD201" i="19"/>
  <c r="BD213" i="19" s="1"/>
  <c r="BC219" i="19"/>
  <c r="BB12" i="19"/>
  <c r="BB30" i="19" s="1"/>
  <c r="BC126" i="19"/>
  <c r="BC138" i="19" s="1"/>
  <c r="BB144" i="19"/>
  <c r="D82" i="11"/>
  <c r="BW6" i="25"/>
  <c r="BW17" i="25" s="1"/>
  <c r="CP110" i="1"/>
  <c r="CP99" i="1"/>
  <c r="BC22" i="19"/>
  <c r="BC290" i="19"/>
  <c r="BD272" i="19"/>
  <c r="BD284" i="19" s="1"/>
  <c r="DV121" i="1"/>
  <c r="DV140" i="11"/>
  <c r="DT47" i="15"/>
  <c r="DT48" i="15"/>
  <c r="O218" i="19"/>
  <c r="O12" i="19"/>
  <c r="O30" i="19" s="1"/>
  <c r="O144" i="19"/>
  <c r="DT132" i="11"/>
  <c r="DT22" i="11" s="1"/>
  <c r="DU43" i="1"/>
  <c r="AL20" i="11"/>
  <c r="AN120" i="26" l="1"/>
  <c r="AN97" i="26"/>
  <c r="AN87" i="26" s="1"/>
  <c r="L87" i="26" s="1"/>
  <c r="L218" i="26" s="1"/>
  <c r="L220" i="26" s="1"/>
  <c r="AM124" i="26"/>
  <c r="AM123" i="26"/>
  <c r="DV40" i="11"/>
  <c r="DV67" i="11"/>
  <c r="DS48" i="1"/>
  <c r="DS65" i="1"/>
  <c r="DU50" i="19"/>
  <c r="DU23" i="15"/>
  <c r="DU25" i="15"/>
  <c r="DU91" i="15"/>
  <c r="DU26" i="15"/>
  <c r="BD24" i="19"/>
  <c r="BE274" i="19"/>
  <c r="DV102" i="11"/>
  <c r="BB142" i="19"/>
  <c r="DW134" i="11"/>
  <c r="DW161" i="11" s="1"/>
  <c r="DW125" i="1" s="1"/>
  <c r="DW123" i="11"/>
  <c r="O34" i="28"/>
  <c r="O31" i="28"/>
  <c r="BC10" i="19"/>
  <c r="BC28" i="19" s="1"/>
  <c r="BD124" i="19"/>
  <c r="BD136" i="19" s="1"/>
  <c r="BD25" i="19"/>
  <c r="BE275" i="19"/>
  <c r="BD293" i="19"/>
  <c r="EZ46" i="1"/>
  <c r="CQ106" i="1"/>
  <c r="CP113" i="1"/>
  <c r="DW60" i="11"/>
  <c r="DW79" i="11"/>
  <c r="DW157" i="11" s="1"/>
  <c r="BC21" i="19"/>
  <c r="BD271" i="19"/>
  <c r="BD283" i="19" s="1"/>
  <c r="BD292" i="19" s="1"/>
  <c r="BC289" i="19"/>
  <c r="BB145" i="19"/>
  <c r="BC15" i="19"/>
  <c r="BD197" i="19"/>
  <c r="BD209" i="19" s="1"/>
  <c r="BC215" i="19"/>
  <c r="P15" i="28"/>
  <c r="AK40" i="29"/>
  <c r="AK43" i="29" s="1"/>
  <c r="AL13" i="29"/>
  <c r="AO14" i="29"/>
  <c r="DR84" i="1"/>
  <c r="DR42" i="1"/>
  <c r="AK45" i="1"/>
  <c r="AK84" i="1" s="1"/>
  <c r="BC11" i="19"/>
  <c r="BC29" i="19" s="1"/>
  <c r="BD125" i="19"/>
  <c r="BD137" i="19" s="1"/>
  <c r="BD16" i="19"/>
  <c r="BE198" i="19"/>
  <c r="BD216" i="19"/>
  <c r="DW106" i="11"/>
  <c r="DW160" i="11" s="1"/>
  <c r="DW124" i="1" s="1"/>
  <c r="DW97" i="11"/>
  <c r="DW112" i="11"/>
  <c r="FB65" i="11"/>
  <c r="J15" i="24"/>
  <c r="K15" i="24"/>
  <c r="L15" i="24"/>
  <c r="DV129" i="11"/>
  <c r="DV139" i="11"/>
  <c r="DV162" i="11" s="1"/>
  <c r="DT45" i="1"/>
  <c r="DT19" i="11"/>
  <c r="DW64" i="1"/>
  <c r="BC13" i="19"/>
  <c r="BC31" i="19" s="1"/>
  <c r="BD127" i="19"/>
  <c r="BD139" i="19" s="1"/>
  <c r="BC145" i="19"/>
  <c r="DU44" i="1"/>
  <c r="AL21" i="11"/>
  <c r="AL30" i="29"/>
  <c r="DS34" i="29"/>
  <c r="DS37" i="29" s="1"/>
  <c r="DV104" i="11"/>
  <c r="DV21" i="11" s="1"/>
  <c r="DU16" i="11"/>
  <c r="DU34" i="1" s="1"/>
  <c r="AL41" i="11"/>
  <c r="AL16" i="11" s="1"/>
  <c r="DU42" i="11"/>
  <c r="BD23" i="19"/>
  <c r="BE273" i="19"/>
  <c r="BD291" i="19"/>
  <c r="BD22" i="19"/>
  <c r="BD290" i="19"/>
  <c r="BE272" i="19"/>
  <c r="BB37" i="19"/>
  <c r="BB9" i="19"/>
  <c r="BB27" i="19" s="1"/>
  <c r="BB33" i="19" s="1"/>
  <c r="BC123" i="19"/>
  <c r="BC135" i="19" s="1"/>
  <c r="BC142" i="19" s="1"/>
  <c r="BB141" i="19"/>
  <c r="AL118" i="11"/>
  <c r="AL104" i="11"/>
  <c r="DT13" i="29"/>
  <c r="DU9" i="29" s="1"/>
  <c r="DT30" i="29"/>
  <c r="DT34" i="29" s="1"/>
  <c r="DT37" i="29" s="1"/>
  <c r="BB35" i="19"/>
  <c r="DU42" i="19"/>
  <c r="DU12" i="15"/>
  <c r="DU40" i="15"/>
  <c r="DU14" i="15"/>
  <c r="DU90" i="15"/>
  <c r="DU15" i="15"/>
  <c r="DU58" i="19"/>
  <c r="DU34" i="15"/>
  <c r="DU37" i="15"/>
  <c r="DU92" i="15"/>
  <c r="DU36" i="15"/>
  <c r="BC291" i="19"/>
  <c r="AL139" i="11"/>
  <c r="DU162" i="11"/>
  <c r="DX9" i="11"/>
  <c r="DX15" i="1"/>
  <c r="DY9" i="1"/>
  <c r="DX29" i="1"/>
  <c r="DU82" i="1"/>
  <c r="DU85" i="1"/>
  <c r="DU57" i="1"/>
  <c r="DU54" i="1"/>
  <c r="DX94" i="1"/>
  <c r="AL43" i="1"/>
  <c r="BD17" i="19"/>
  <c r="BE199" i="19"/>
  <c r="BD217" i="19"/>
  <c r="BD19" i="19"/>
  <c r="BE201" i="19"/>
  <c r="BD219" i="19"/>
  <c r="DW39" i="11"/>
  <c r="O36" i="19"/>
  <c r="BC12" i="19"/>
  <c r="BC30" i="19" s="1"/>
  <c r="BD126" i="19"/>
  <c r="BD138" i="19" s="1"/>
  <c r="BC144" i="19"/>
  <c r="AW15" i="24"/>
  <c r="AJ110" i="1"/>
  <c r="AM99" i="1"/>
  <c r="O9" i="19"/>
  <c r="O27" i="19" s="1"/>
  <c r="O33" i="19" s="1"/>
  <c r="O141" i="19"/>
  <c r="BD18" i="19"/>
  <c r="BE200" i="19"/>
  <c r="BD218" i="19"/>
  <c r="DT71" i="19"/>
  <c r="BC292" i="19"/>
  <c r="O142" i="19"/>
  <c r="DU130" i="11"/>
  <c r="AL129" i="11"/>
  <c r="AL141" i="11" s="1"/>
  <c r="DX10" i="11"/>
  <c r="AM126" i="26" l="1"/>
  <c r="AM164" i="26"/>
  <c r="AM163" i="26" s="1"/>
  <c r="AN100" i="26"/>
  <c r="AN101" i="26" s="1"/>
  <c r="AN121" i="26"/>
  <c r="DU46" i="11"/>
  <c r="AL42" i="11"/>
  <c r="AL46" i="11" s="1"/>
  <c r="AL82" i="1"/>
  <c r="AL85" i="1"/>
  <c r="AL57" i="1"/>
  <c r="AL54" i="1"/>
  <c r="AM94" i="1"/>
  <c r="AN9" i="1"/>
  <c r="DY14" i="1"/>
  <c r="DY97" i="1"/>
  <c r="DY98" i="1"/>
  <c r="DV44" i="1"/>
  <c r="DW61" i="11"/>
  <c r="DW62" i="11" s="1"/>
  <c r="BB36" i="19"/>
  <c r="DS71" i="1"/>
  <c r="DU63" i="19"/>
  <c r="DV29" i="15"/>
  <c r="DU83" i="1"/>
  <c r="AL44" i="1"/>
  <c r="AL83" i="1" s="1"/>
  <c r="AK106" i="1"/>
  <c r="AJ113" i="1"/>
  <c r="DS38" i="29"/>
  <c r="DS42" i="29"/>
  <c r="DV126" i="1"/>
  <c r="DV163" i="11"/>
  <c r="DW101" i="11"/>
  <c r="DW111" i="11"/>
  <c r="DW159" i="11" s="1"/>
  <c r="DW123" i="1" s="1"/>
  <c r="BB34" i="19"/>
  <c r="DW124" i="11"/>
  <c r="P274" i="19"/>
  <c r="P286" i="19" s="1"/>
  <c r="BE286" i="19"/>
  <c r="P199" i="19"/>
  <c r="P211" i="19" s="1"/>
  <c r="BE211" i="19"/>
  <c r="DU47" i="15"/>
  <c r="DU48" i="15"/>
  <c r="DX80" i="11"/>
  <c r="DX135" i="11"/>
  <c r="DX107" i="11"/>
  <c r="AM10" i="11"/>
  <c r="P200" i="19"/>
  <c r="P212" i="19" s="1"/>
  <c r="BE212" i="19"/>
  <c r="DU47" i="19"/>
  <c r="DV7" i="15"/>
  <c r="DU45" i="15"/>
  <c r="BC9" i="19"/>
  <c r="BC27" i="19" s="1"/>
  <c r="BC33" i="19" s="1"/>
  <c r="BD123" i="19"/>
  <c r="BD135" i="19" s="1"/>
  <c r="BD142" i="19" s="1"/>
  <c r="BC141" i="19"/>
  <c r="P273" i="19"/>
  <c r="P285" i="19" s="1"/>
  <c r="BE285" i="19"/>
  <c r="AL34" i="29"/>
  <c r="Q12" i="28" s="1"/>
  <c r="AO75" i="26" s="1"/>
  <c r="AO82" i="26" s="1"/>
  <c r="Q8" i="28"/>
  <c r="AO71" i="26" s="1"/>
  <c r="AO78" i="26" s="1"/>
  <c r="AO35" i="29"/>
  <c r="DV130" i="11"/>
  <c r="DW98" i="11"/>
  <c r="CQ110" i="1"/>
  <c r="CQ99" i="1"/>
  <c r="BD10" i="19"/>
  <c r="BD28" i="19" s="1"/>
  <c r="BE124" i="19"/>
  <c r="DU126" i="1"/>
  <c r="AL126" i="1" s="1"/>
  <c r="AL127" i="1" s="1"/>
  <c r="DU163" i="11"/>
  <c r="DU66" i="19"/>
  <c r="BC143" i="19"/>
  <c r="BD21" i="19"/>
  <c r="BD289" i="19"/>
  <c r="BE271" i="19"/>
  <c r="O37" i="19"/>
  <c r="AL162" i="11"/>
  <c r="AL163" i="11" s="1"/>
  <c r="AL142" i="11"/>
  <c r="BD11" i="19"/>
  <c r="BD29" i="19" s="1"/>
  <c r="BE125" i="19"/>
  <c r="P33" i="28"/>
  <c r="P16" i="28"/>
  <c r="D16" i="28" s="1"/>
  <c r="P20" i="28"/>
  <c r="P27" i="28"/>
  <c r="D27" i="28" s="1"/>
  <c r="P26" i="28"/>
  <c r="D26" i="28" s="1"/>
  <c r="P22" i="28"/>
  <c r="D22" i="28" s="1"/>
  <c r="P21" i="28"/>
  <c r="D21" i="28" s="1"/>
  <c r="P23" i="28"/>
  <c r="D23" i="28" s="1"/>
  <c r="D15" i="28"/>
  <c r="DV20" i="11"/>
  <c r="DV92" i="11"/>
  <c r="P198" i="19"/>
  <c r="P210" i="19" s="1"/>
  <c r="BE210" i="19"/>
  <c r="BD12" i="19"/>
  <c r="BD30" i="19" s="1"/>
  <c r="BE126" i="19"/>
  <c r="BC36" i="19"/>
  <c r="DT38" i="29"/>
  <c r="DT42" i="29"/>
  <c r="P272" i="19"/>
  <c r="P284" i="19" s="1"/>
  <c r="BE284" i="19"/>
  <c r="DX38" i="11"/>
  <c r="DX28" i="1"/>
  <c r="AM29" i="1"/>
  <c r="O35" i="19"/>
  <c r="DU13" i="29"/>
  <c r="DV9" i="29" s="1"/>
  <c r="DU30" i="29"/>
  <c r="DU34" i="29" s="1"/>
  <c r="DU37" i="29" s="1"/>
  <c r="FB23" i="11"/>
  <c r="J65" i="11"/>
  <c r="K65" i="11"/>
  <c r="L65" i="11"/>
  <c r="AW65" i="11"/>
  <c r="BD15" i="19"/>
  <c r="BE197" i="19"/>
  <c r="BD215" i="19"/>
  <c r="BE287" i="19"/>
  <c r="P275" i="19"/>
  <c r="P287" i="19" s="1"/>
  <c r="O35" i="28"/>
  <c r="DU55" i="19"/>
  <c r="DV18" i="15"/>
  <c r="AL130" i="11"/>
  <c r="AL149" i="11" s="1"/>
  <c r="P201" i="19"/>
  <c r="P213" i="19" s="1"/>
  <c r="BE213" i="19"/>
  <c r="DU55" i="1"/>
  <c r="DU33" i="1"/>
  <c r="DU39" i="1"/>
  <c r="AL34" i="1"/>
  <c r="BD13" i="19"/>
  <c r="BD31" i="19" s="1"/>
  <c r="BE127" i="19"/>
  <c r="BD145" i="19"/>
  <c r="DT84" i="1"/>
  <c r="DT42" i="1"/>
  <c r="DR48" i="1"/>
  <c r="AK48" i="1" s="1"/>
  <c r="DR65" i="1"/>
  <c r="AK42" i="1"/>
  <c r="DW121" i="1"/>
  <c r="O34" i="19"/>
  <c r="DV45" i="11"/>
  <c r="DV41" i="11"/>
  <c r="AN123" i="26" l="1"/>
  <c r="AN124" i="26"/>
  <c r="DW40" i="11"/>
  <c r="DW67" i="11"/>
  <c r="BE19" i="19"/>
  <c r="BF201" i="19"/>
  <c r="BF213" i="19" s="1"/>
  <c r="P127" i="19"/>
  <c r="P139" i="19" s="1"/>
  <c r="BE139" i="19"/>
  <c r="AM52" i="1"/>
  <c r="P24" i="28"/>
  <c r="D20" i="28"/>
  <c r="P24" i="19"/>
  <c r="DR71" i="1"/>
  <c r="AK65" i="1"/>
  <c r="DR68" i="1"/>
  <c r="DS63" i="1" s="1"/>
  <c r="P25" i="19"/>
  <c r="BD144" i="19"/>
  <c r="DV43" i="1"/>
  <c r="P17" i="28"/>
  <c r="DX60" i="11"/>
  <c r="DX79" i="11"/>
  <c r="AM80" i="11"/>
  <c r="DW102" i="11"/>
  <c r="AK110" i="1"/>
  <c r="AN99" i="1"/>
  <c r="DV16" i="11"/>
  <c r="DV34" i="1" s="1"/>
  <c r="DV42" i="11"/>
  <c r="BE25" i="19"/>
  <c r="BF275" i="19"/>
  <c r="BF287" i="19" s="1"/>
  <c r="DX64" i="1"/>
  <c r="AM28" i="1"/>
  <c r="P126" i="19"/>
  <c r="P138" i="19" s="1"/>
  <c r="BE138" i="19"/>
  <c r="BC34" i="19"/>
  <c r="CR106" i="1"/>
  <c r="CQ113" i="1"/>
  <c r="DV42" i="19"/>
  <c r="DV12" i="15"/>
  <c r="DV40" i="15"/>
  <c r="AM7" i="15"/>
  <c r="DV14" i="15"/>
  <c r="DV90" i="15"/>
  <c r="DV15" i="15"/>
  <c r="DV144" i="11"/>
  <c r="DV127" i="1"/>
  <c r="DS91" i="1"/>
  <c r="DS102" i="1"/>
  <c r="DS90" i="1"/>
  <c r="DU71" i="19"/>
  <c r="DY9" i="11"/>
  <c r="DY15" i="1"/>
  <c r="DZ9" i="1"/>
  <c r="DY29" i="1"/>
  <c r="DX134" i="11"/>
  <c r="DX123" i="11"/>
  <c r="AM135" i="11"/>
  <c r="AL55" i="1"/>
  <c r="AL39" i="1"/>
  <c r="P197" i="19"/>
  <c r="P209" i="19" s="1"/>
  <c r="BE209" i="19"/>
  <c r="BE219" i="19" s="1"/>
  <c r="BE22" i="19"/>
  <c r="BF272" i="19"/>
  <c r="BF284" i="19" s="1"/>
  <c r="BC35" i="19"/>
  <c r="BD143" i="19"/>
  <c r="DU144" i="11"/>
  <c r="DU127" i="1"/>
  <c r="BE23" i="19"/>
  <c r="BF273" i="19"/>
  <c r="BF285" i="19" s="1"/>
  <c r="BE18" i="19"/>
  <c r="BF200" i="19"/>
  <c r="BF212" i="19" s="1"/>
  <c r="BE218" i="19"/>
  <c r="BE17" i="19"/>
  <c r="BF199" i="19"/>
  <c r="BF211" i="19" s="1"/>
  <c r="BE217" i="19"/>
  <c r="AN14" i="1"/>
  <c r="AQ97" i="1"/>
  <c r="AQ98" i="1"/>
  <c r="DV50" i="19"/>
  <c r="AM50" i="19" s="1"/>
  <c r="AM55" i="19" s="1"/>
  <c r="AM18" i="15"/>
  <c r="DV23" i="15"/>
  <c r="DV25" i="15"/>
  <c r="DV91" i="15"/>
  <c r="DV26" i="15"/>
  <c r="FB46" i="1"/>
  <c r="J23" i="11"/>
  <c r="K23" i="11"/>
  <c r="AW23" i="11"/>
  <c r="DU81" i="1"/>
  <c r="DU38" i="1"/>
  <c r="DU37" i="1"/>
  <c r="AL33" i="1"/>
  <c r="DU38" i="29"/>
  <c r="AL38" i="29" s="1"/>
  <c r="AO110" i="26" s="1"/>
  <c r="AO112" i="26" s="1"/>
  <c r="DU42" i="29"/>
  <c r="P22" i="19"/>
  <c r="BE16" i="19"/>
  <c r="BF198" i="19"/>
  <c r="BF210" i="19" s="1"/>
  <c r="BE216" i="19"/>
  <c r="P125" i="19"/>
  <c r="P137" i="19" s="1"/>
  <c r="BE137" i="19"/>
  <c r="AL100" i="1"/>
  <c r="AL101" i="1"/>
  <c r="P23" i="19"/>
  <c r="P18" i="19"/>
  <c r="P218" i="19"/>
  <c r="P17" i="19"/>
  <c r="P217" i="19"/>
  <c r="AL37" i="29"/>
  <c r="DV58" i="19"/>
  <c r="AM58" i="19" s="1"/>
  <c r="AM63" i="19" s="1"/>
  <c r="AM29" i="15"/>
  <c r="DV34" i="15"/>
  <c r="DV36" i="15"/>
  <c r="DV92" i="15"/>
  <c r="DV37" i="15"/>
  <c r="DY10" i="11"/>
  <c r="P19" i="19"/>
  <c r="P219" i="19"/>
  <c r="DX39" i="11"/>
  <c r="AM38" i="11"/>
  <c r="D33" i="28"/>
  <c r="DT65" i="1"/>
  <c r="DT48" i="1"/>
  <c r="DW140" i="11"/>
  <c r="AM9" i="29"/>
  <c r="DV13" i="29"/>
  <c r="DW9" i="29" s="1"/>
  <c r="DV30" i="29"/>
  <c r="P16" i="19"/>
  <c r="P216" i="19"/>
  <c r="AM137" i="11"/>
  <c r="BC37" i="19"/>
  <c r="L23" i="11"/>
  <c r="P271" i="19"/>
  <c r="P283" i="19" s="1"/>
  <c r="P293" i="19" s="1"/>
  <c r="BE283" i="19"/>
  <c r="BE290" i="19" s="1"/>
  <c r="P124" i="19"/>
  <c r="P136" i="19" s="1"/>
  <c r="BE136" i="19"/>
  <c r="BD9" i="19"/>
  <c r="BD27" i="19" s="1"/>
  <c r="BD33" i="19" s="1"/>
  <c r="BE123" i="19"/>
  <c r="BD141" i="19"/>
  <c r="DX97" i="11"/>
  <c r="DX106" i="11"/>
  <c r="DX112" i="11"/>
  <c r="AM107" i="11"/>
  <c r="AM109" i="11" s="1"/>
  <c r="BE24" i="19"/>
  <c r="BF274" i="19"/>
  <c r="BF286" i="19" s="1"/>
  <c r="BE292" i="19"/>
  <c r="DV83" i="1"/>
  <c r="AN126" i="26" l="1"/>
  <c r="AN164" i="26"/>
  <c r="AN163" i="26" s="1"/>
  <c r="AO120" i="26"/>
  <c r="AO97" i="26"/>
  <c r="AO87" i="26" s="1"/>
  <c r="BE10" i="19"/>
  <c r="BE28" i="19" s="1"/>
  <c r="BF124" i="19"/>
  <c r="BF136" i="19" s="1"/>
  <c r="BF24" i="19"/>
  <c r="BG274" i="19"/>
  <c r="BG286" i="19" s="1"/>
  <c r="DW13" i="29"/>
  <c r="DX9" i="29" s="1"/>
  <c r="DW30" i="29"/>
  <c r="DW34" i="29" s="1"/>
  <c r="DW37" i="29" s="1"/>
  <c r="DV55" i="19"/>
  <c r="DW18" i="15"/>
  <c r="BE291" i="19"/>
  <c r="AM12" i="15"/>
  <c r="AM90" i="15"/>
  <c r="AP15" i="15"/>
  <c r="AP14" i="15"/>
  <c r="P12" i="19"/>
  <c r="P30" i="19" s="1"/>
  <c r="DW104" i="11"/>
  <c r="DW21" i="11" s="1"/>
  <c r="P292" i="19"/>
  <c r="P13" i="19"/>
  <c r="P31" i="19" s="1"/>
  <c r="AM13" i="29"/>
  <c r="AP14" i="29"/>
  <c r="BE11" i="19"/>
  <c r="BE29" i="19" s="1"/>
  <c r="BF125" i="19"/>
  <c r="BF137" i="19" s="1"/>
  <c r="AM23" i="15"/>
  <c r="AM91" i="15"/>
  <c r="AP25" i="15"/>
  <c r="AP26" i="15"/>
  <c r="BF23" i="19"/>
  <c r="BG273" i="19"/>
  <c r="BG285" i="19" s="1"/>
  <c r="DX124" i="11"/>
  <c r="AM124" i="11" s="1"/>
  <c r="AM123" i="11"/>
  <c r="AM40" i="15"/>
  <c r="DV48" i="15"/>
  <c r="DV47" i="15"/>
  <c r="AM64" i="1"/>
  <c r="DV46" i="11"/>
  <c r="BE15" i="19"/>
  <c r="BF197" i="19"/>
  <c r="BF209" i="19" s="1"/>
  <c r="BF216" i="19" s="1"/>
  <c r="BE215" i="19"/>
  <c r="AM134" i="11"/>
  <c r="AM161" i="11" s="1"/>
  <c r="DX161" i="11"/>
  <c r="DX125" i="1" s="1"/>
  <c r="AM125" i="1" s="1"/>
  <c r="DV47" i="19"/>
  <c r="DV71" i="19" s="1"/>
  <c r="DV45" i="15"/>
  <c r="DW7" i="15"/>
  <c r="DV33" i="1"/>
  <c r="DV55" i="1"/>
  <c r="DV39" i="1"/>
  <c r="AM79" i="11"/>
  <c r="DX157" i="11"/>
  <c r="BF19" i="19"/>
  <c r="BG201" i="19"/>
  <c r="BG213" i="19" s="1"/>
  <c r="BF219" i="19"/>
  <c r="P11" i="19"/>
  <c r="P29" i="19" s="1"/>
  <c r="DX101" i="11"/>
  <c r="DX111" i="11"/>
  <c r="AM112" i="11"/>
  <c r="AM114" i="11" s="1"/>
  <c r="BE21" i="19"/>
  <c r="BE289" i="19"/>
  <c r="BF271" i="19"/>
  <c r="BF283" i="19" s="1"/>
  <c r="BF291" i="19" s="1"/>
  <c r="DW129" i="11"/>
  <c r="DW139" i="11"/>
  <c r="DW162" i="11" s="1"/>
  <c r="AM39" i="11"/>
  <c r="DV63" i="19"/>
  <c r="DW29" i="15"/>
  <c r="P291" i="19"/>
  <c r="AL37" i="1"/>
  <c r="DU92" i="1"/>
  <c r="BF17" i="19"/>
  <c r="BG199" i="19"/>
  <c r="BG211" i="19" s="1"/>
  <c r="DU100" i="1"/>
  <c r="DU101" i="1"/>
  <c r="P15" i="19"/>
  <c r="P215" i="19"/>
  <c r="DV100" i="1"/>
  <c r="DV101" i="1"/>
  <c r="AM42" i="19"/>
  <c r="AM47" i="19" s="1"/>
  <c r="DV66" i="19"/>
  <c r="AM66" i="19" s="1"/>
  <c r="AM71" i="19" s="1"/>
  <c r="DX61" i="11"/>
  <c r="AM61" i="11" s="1"/>
  <c r="AM89" i="11" s="1"/>
  <c r="AM60" i="11"/>
  <c r="AM81" i="11" s="1"/>
  <c r="P10" i="19"/>
  <c r="P28" i="19" s="1"/>
  <c r="AL81" i="1"/>
  <c r="AL38" i="1"/>
  <c r="AL92" i="1" s="1"/>
  <c r="AL93" i="1" s="1"/>
  <c r="DX160" i="11"/>
  <c r="DX124" i="1" s="1"/>
  <c r="AM124" i="1" s="1"/>
  <c r="AM106" i="11"/>
  <c r="AM160" i="11" s="1"/>
  <c r="P21" i="19"/>
  <c r="P289" i="19"/>
  <c r="BD35" i="19"/>
  <c r="BD34" i="19"/>
  <c r="AM34" i="15"/>
  <c r="AM92" i="15"/>
  <c r="AP37" i="15"/>
  <c r="AP36" i="15"/>
  <c r="BF16" i="19"/>
  <c r="BG198" i="19"/>
  <c r="BG210" i="19" s="1"/>
  <c r="J46" i="1"/>
  <c r="AW46" i="1"/>
  <c r="L46" i="1"/>
  <c r="DU125" i="11"/>
  <c r="AL144" i="11"/>
  <c r="BD36" i="19"/>
  <c r="DY38" i="11"/>
  <c r="DY28" i="1"/>
  <c r="DV125" i="11"/>
  <c r="BE293" i="19"/>
  <c r="P18" i="28"/>
  <c r="D17" i="28"/>
  <c r="P29" i="28"/>
  <c r="D24" i="28"/>
  <c r="DW20" i="11"/>
  <c r="DW92" i="11"/>
  <c r="DX98" i="11"/>
  <c r="AM98" i="11" s="1"/>
  <c r="AM97" i="11"/>
  <c r="AN9" i="11"/>
  <c r="AN15" i="1"/>
  <c r="CR110" i="1"/>
  <c r="CR99" i="1"/>
  <c r="BF25" i="19"/>
  <c r="BG275" i="19"/>
  <c r="BG287" i="19" s="1"/>
  <c r="BF293" i="19"/>
  <c r="AL106" i="1"/>
  <c r="AK113" i="1"/>
  <c r="DS68" i="1"/>
  <c r="DT63" i="1" s="1"/>
  <c r="DT68" i="1" s="1"/>
  <c r="DU63" i="1" s="1"/>
  <c r="AL63" i="1"/>
  <c r="DT71" i="1"/>
  <c r="AL40" i="29"/>
  <c r="Q15" i="28"/>
  <c r="P290" i="19"/>
  <c r="AL42" i="29"/>
  <c r="BF18" i="19"/>
  <c r="BG200" i="19"/>
  <c r="BG212" i="19" s="1"/>
  <c r="BF218" i="19"/>
  <c r="DZ10" i="11"/>
  <c r="DZ14" i="1"/>
  <c r="DZ97" i="1"/>
  <c r="DZ98" i="1"/>
  <c r="DV82" i="1"/>
  <c r="DV85" i="1"/>
  <c r="DV57" i="1"/>
  <c r="DV54" i="1"/>
  <c r="DY94" i="1"/>
  <c r="AK75" i="1"/>
  <c r="Z46" i="7"/>
  <c r="Z46" i="25"/>
  <c r="AK68" i="1"/>
  <c r="P123" i="19"/>
  <c r="P135" i="19" s="1"/>
  <c r="P144" i="19" s="1"/>
  <c r="BE135" i="19"/>
  <c r="BE142" i="19" s="1"/>
  <c r="AM30" i="29"/>
  <c r="DV34" i="29"/>
  <c r="DV37" i="29" s="1"/>
  <c r="DY80" i="11"/>
  <c r="DY107" i="11"/>
  <c r="DY135" i="11"/>
  <c r="BF22" i="19"/>
  <c r="BG272" i="19"/>
  <c r="BG284" i="19" s="1"/>
  <c r="BF290" i="19"/>
  <c r="BD37" i="19"/>
  <c r="BE12" i="19"/>
  <c r="BE30" i="19" s="1"/>
  <c r="BF126" i="19"/>
  <c r="BF138" i="19" s="1"/>
  <c r="BE144" i="19"/>
  <c r="DR91" i="1"/>
  <c r="DR102" i="1"/>
  <c r="DR90" i="1"/>
  <c r="AK71" i="1"/>
  <c r="BE13" i="19"/>
  <c r="BE31" i="19" s="1"/>
  <c r="BF127" i="19"/>
  <c r="BF139" i="19" s="1"/>
  <c r="BE145" i="19"/>
  <c r="DW45" i="11"/>
  <c r="DW41" i="11"/>
  <c r="AO100" i="26" l="1"/>
  <c r="AO101" i="26" s="1"/>
  <c r="AO121" i="26"/>
  <c r="Q33" i="28"/>
  <c r="Q16" i="28"/>
  <c r="Q21" i="28"/>
  <c r="Q22" i="28"/>
  <c r="Q27" i="28"/>
  <c r="Q23" i="28"/>
  <c r="Q26" i="28"/>
  <c r="Q20" i="28"/>
  <c r="AL110" i="1"/>
  <c r="AO99" i="1"/>
  <c r="DX62" i="11"/>
  <c r="BF217" i="19"/>
  <c r="BG19" i="19"/>
  <c r="BH201" i="19"/>
  <c r="DV81" i="1"/>
  <c r="DV37" i="1"/>
  <c r="DV38" i="1"/>
  <c r="AM45" i="15"/>
  <c r="AP48" i="15"/>
  <c r="AP47" i="15"/>
  <c r="P145" i="19"/>
  <c r="DX13" i="29"/>
  <c r="DY9" i="29" s="1"/>
  <c r="DX30" i="29"/>
  <c r="DX34" i="29" s="1"/>
  <c r="DX37" i="29" s="1"/>
  <c r="DY97" i="11"/>
  <c r="DY106" i="11"/>
  <c r="DY160" i="11" s="1"/>
  <c r="DY124" i="1" s="1"/>
  <c r="DY112" i="11"/>
  <c r="Z44" i="7"/>
  <c r="Z44" i="25"/>
  <c r="DZ9" i="11"/>
  <c r="DZ15" i="1"/>
  <c r="EA9" i="1"/>
  <c r="DZ29" i="1"/>
  <c r="P34" i="28"/>
  <c r="D29" i="28"/>
  <c r="D31" i="28" s="1"/>
  <c r="DY64" i="1"/>
  <c r="AM44" i="11"/>
  <c r="AM47" i="11"/>
  <c r="DW42" i="19"/>
  <c r="DW12" i="15"/>
  <c r="DW40" i="15"/>
  <c r="DW14" i="15"/>
  <c r="DW90" i="15"/>
  <c r="DW15" i="15"/>
  <c r="AM136" i="11"/>
  <c r="BF292" i="19"/>
  <c r="DZ107" i="11"/>
  <c r="DZ80" i="11"/>
  <c r="DZ135" i="11"/>
  <c r="AM108" i="11"/>
  <c r="D18" i="28"/>
  <c r="BR23" i="25"/>
  <c r="DX121" i="1"/>
  <c r="AM121" i="1" s="1"/>
  <c r="AM148" i="11"/>
  <c r="BG24" i="19"/>
  <c r="BH274" i="19"/>
  <c r="P31" i="28"/>
  <c r="DY39" i="11"/>
  <c r="DU93" i="1"/>
  <c r="DX159" i="11"/>
  <c r="DX123" i="1" s="1"/>
  <c r="AM123" i="1" s="1"/>
  <c r="AM111" i="11"/>
  <c r="AM159" i="11" s="1"/>
  <c r="AM157" i="11"/>
  <c r="AM82" i="11"/>
  <c r="BE143" i="19"/>
  <c r="DY134" i="11"/>
  <c r="DY161" i="11" s="1"/>
  <c r="DY125" i="1" s="1"/>
  <c r="DY123" i="11"/>
  <c r="DY60" i="11"/>
  <c r="DY79" i="11"/>
  <c r="DY157" i="11" s="1"/>
  <c r="AK89" i="1"/>
  <c r="AK102" i="1"/>
  <c r="AK91" i="1"/>
  <c r="AK90" i="1"/>
  <c r="BF13" i="19"/>
  <c r="BF31" i="19" s="1"/>
  <c r="BG127" i="19"/>
  <c r="BG139" i="19" s="1"/>
  <c r="BF145" i="19"/>
  <c r="DV38" i="29"/>
  <c r="DV42" i="29"/>
  <c r="BG18" i="19"/>
  <c r="BH200" i="19"/>
  <c r="DT91" i="1"/>
  <c r="DT102" i="1"/>
  <c r="DT90" i="1"/>
  <c r="AM117" i="11"/>
  <c r="P142" i="19"/>
  <c r="DX102" i="11"/>
  <c r="AM101" i="11"/>
  <c r="AM113" i="11" s="1"/>
  <c r="AM74" i="1"/>
  <c r="BF11" i="19"/>
  <c r="BF29" i="19" s="1"/>
  <c r="BG125" i="19"/>
  <c r="BG137" i="19" s="1"/>
  <c r="BF143" i="19"/>
  <c r="BG25" i="19"/>
  <c r="BH275" i="19"/>
  <c r="BE36" i="19"/>
  <c r="AM34" i="29"/>
  <c r="R12" i="28" s="1"/>
  <c r="AP75" i="26" s="1"/>
  <c r="AP82" i="26" s="1"/>
  <c r="R8" i="28"/>
  <c r="AP71" i="26" s="1"/>
  <c r="AP78" i="26" s="1"/>
  <c r="AP35" i="29"/>
  <c r="CS106" i="1"/>
  <c r="CR113" i="1"/>
  <c r="DW126" i="1"/>
  <c r="DW163" i="11"/>
  <c r="P143" i="19"/>
  <c r="BG23" i="19"/>
  <c r="BH273" i="19"/>
  <c r="BE35" i="19"/>
  <c r="DW44" i="1"/>
  <c r="DW50" i="19"/>
  <c r="DW23" i="15"/>
  <c r="DW26" i="15"/>
  <c r="DW25" i="15"/>
  <c r="DW91" i="15"/>
  <c r="BF10" i="19"/>
  <c r="BF28" i="19" s="1"/>
  <c r="BG124" i="19"/>
  <c r="BG136" i="19" s="1"/>
  <c r="BF142" i="19"/>
  <c r="BF12" i="19"/>
  <c r="BF30" i="19" s="1"/>
  <c r="BG126" i="19"/>
  <c r="BG138" i="19" s="1"/>
  <c r="BF144" i="19"/>
  <c r="BG22" i="19"/>
  <c r="BH272" i="19"/>
  <c r="AL43" i="29"/>
  <c r="BG16" i="19"/>
  <c r="BH198" i="19"/>
  <c r="DW130" i="11"/>
  <c r="BE34" i="19"/>
  <c r="BE9" i="19"/>
  <c r="BE27" i="19" s="1"/>
  <c r="BE33" i="19" s="1"/>
  <c r="BF123" i="19"/>
  <c r="BF135" i="19" s="1"/>
  <c r="BE141" i="19"/>
  <c r="DW16" i="11"/>
  <c r="DW34" i="1" s="1"/>
  <c r="DW42" i="11"/>
  <c r="P9" i="19"/>
  <c r="P27" i="19" s="1"/>
  <c r="P33" i="19" s="1"/>
  <c r="P141" i="19"/>
  <c r="DW43" i="1"/>
  <c r="DV132" i="11"/>
  <c r="DV22" i="11" s="1"/>
  <c r="DU132" i="11"/>
  <c r="DU22" i="11" s="1"/>
  <c r="AL125" i="11"/>
  <c r="DX67" i="11"/>
  <c r="BG17" i="19"/>
  <c r="BH199" i="19"/>
  <c r="DW58" i="19"/>
  <c r="DW34" i="15"/>
  <c r="DW36" i="15"/>
  <c r="DW92" i="15"/>
  <c r="DW37" i="15"/>
  <c r="BF21" i="19"/>
  <c r="BF289" i="19"/>
  <c r="BG271" i="19"/>
  <c r="BG283" i="19" s="1"/>
  <c r="BF15" i="19"/>
  <c r="BG197" i="19"/>
  <c r="BG209" i="19" s="1"/>
  <c r="BG219" i="19" s="1"/>
  <c r="BF215" i="19"/>
  <c r="DW38" i="29"/>
  <c r="DW42" i="29"/>
  <c r="AO124" i="26" l="1"/>
  <c r="AO123" i="26"/>
  <c r="DW144" i="11"/>
  <c r="DW127" i="1"/>
  <c r="P35" i="19"/>
  <c r="BG21" i="19"/>
  <c r="BH271" i="19"/>
  <c r="BG289" i="19"/>
  <c r="AL145" i="11"/>
  <c r="AL132" i="11"/>
  <c r="DZ134" i="11"/>
  <c r="DZ161" i="11" s="1"/>
  <c r="DZ125" i="1" s="1"/>
  <c r="DZ123" i="11"/>
  <c r="EA10" i="11"/>
  <c r="EA14" i="1"/>
  <c r="EA97" i="1"/>
  <c r="EA98" i="1"/>
  <c r="DY98" i="11"/>
  <c r="DV92" i="1"/>
  <c r="DU45" i="1"/>
  <c r="DU19" i="11"/>
  <c r="AL22" i="11"/>
  <c r="AL19" i="11" s="1"/>
  <c r="BG11" i="19"/>
  <c r="BG29" i="19" s="1"/>
  <c r="BH125" i="19"/>
  <c r="BG218" i="19"/>
  <c r="BG13" i="19"/>
  <c r="BG31" i="19" s="1"/>
  <c r="BH127" i="19"/>
  <c r="DZ60" i="11"/>
  <c r="DZ79" i="11"/>
  <c r="DZ157" i="11" s="1"/>
  <c r="DX38" i="29"/>
  <c r="DX42" i="29"/>
  <c r="DX40" i="11"/>
  <c r="AM62" i="11"/>
  <c r="AM90" i="11" s="1"/>
  <c r="BE37" i="19"/>
  <c r="Q200" i="19"/>
  <c r="Q212" i="19" s="1"/>
  <c r="BH212" i="19"/>
  <c r="DZ97" i="11"/>
  <c r="DZ106" i="11"/>
  <c r="DZ160" i="11" s="1"/>
  <c r="DZ124" i="1" s="1"/>
  <c r="DZ112" i="11"/>
  <c r="DW47" i="15"/>
  <c r="DW48" i="15"/>
  <c r="DY13" i="29"/>
  <c r="DZ9" i="29" s="1"/>
  <c r="DY30" i="29"/>
  <c r="AN9" i="29"/>
  <c r="DW63" i="19"/>
  <c r="DX29" i="15"/>
  <c r="DV45" i="1"/>
  <c r="DV19" i="11"/>
  <c r="DW83" i="1"/>
  <c r="P34" i="19"/>
  <c r="DY121" i="1"/>
  <c r="BG292" i="19"/>
  <c r="DW47" i="19"/>
  <c r="DW71" i="19" s="1"/>
  <c r="DX7" i="15"/>
  <c r="DW45" i="15"/>
  <c r="BG10" i="19"/>
  <c r="BG28" i="19" s="1"/>
  <c r="BH124" i="19"/>
  <c r="DW46" i="11"/>
  <c r="DY61" i="11"/>
  <c r="DY62" i="11"/>
  <c r="DY67" i="11" s="1"/>
  <c r="BH286" i="19"/>
  <c r="Q274" i="19"/>
  <c r="Q286" i="19" s="1"/>
  <c r="P37" i="19"/>
  <c r="DW66" i="19"/>
  <c r="D34" i="28"/>
  <c r="P35" i="28"/>
  <c r="D35" i="28" s="1"/>
  <c r="BG291" i="19"/>
  <c r="CS110" i="1"/>
  <c r="CS99" i="1"/>
  <c r="BG293" i="19"/>
  <c r="AM42" i="29"/>
  <c r="DY101" i="11"/>
  <c r="DY111" i="11"/>
  <c r="DY159" i="11" s="1"/>
  <c r="DY123" i="1" s="1"/>
  <c r="AM106" i="1"/>
  <c r="AL113" i="1"/>
  <c r="BG15" i="19"/>
  <c r="BH197" i="19"/>
  <c r="BG215" i="19"/>
  <c r="BG217" i="19"/>
  <c r="BH284" i="19"/>
  <c r="Q272" i="19"/>
  <c r="Q284" i="19" s="1"/>
  <c r="Q199" i="19"/>
  <c r="Q211" i="19" s="1"/>
  <c r="BH211" i="19"/>
  <c r="BG290" i="19"/>
  <c r="DW33" i="1"/>
  <c r="DW55" i="1"/>
  <c r="DW39" i="1"/>
  <c r="DX20" i="11"/>
  <c r="DX92" i="11"/>
  <c r="AM67" i="11"/>
  <c r="AM92" i="11" s="1"/>
  <c r="DW82" i="1"/>
  <c r="DW85" i="1"/>
  <c r="DW57" i="1"/>
  <c r="DW54" i="1"/>
  <c r="DZ94" i="1"/>
  <c r="Q198" i="19"/>
  <c r="Q210" i="19" s="1"/>
  <c r="BH210" i="19"/>
  <c r="BH285" i="19"/>
  <c r="Q273" i="19"/>
  <c r="Q285" i="19" s="1"/>
  <c r="Q275" i="19"/>
  <c r="Q287" i="19" s="1"/>
  <c r="BH287" i="19"/>
  <c r="AM37" i="29"/>
  <c r="DY124" i="11"/>
  <c r="DZ38" i="11"/>
  <c r="DZ28" i="1"/>
  <c r="BH213" i="19"/>
  <c r="Q201" i="19"/>
  <c r="Q213" i="19" s="1"/>
  <c r="Q24" i="28"/>
  <c r="P36" i="19"/>
  <c r="BF9" i="19"/>
  <c r="BF27" i="19" s="1"/>
  <c r="BF33" i="19" s="1"/>
  <c r="BG123" i="19"/>
  <c r="BG135" i="19" s="1"/>
  <c r="BG142" i="19" s="1"/>
  <c r="BF141" i="19"/>
  <c r="BG216" i="19"/>
  <c r="BG12" i="19"/>
  <c r="BG30" i="19" s="1"/>
  <c r="BH126" i="19"/>
  <c r="DW55" i="19"/>
  <c r="DX18" i="15"/>
  <c r="AM102" i="11"/>
  <c r="AM118" i="11" s="1"/>
  <c r="DX104" i="11"/>
  <c r="DX21" i="11" s="1"/>
  <c r="AM38" i="29"/>
  <c r="AP110" i="26" s="1"/>
  <c r="AP112" i="26" s="1"/>
  <c r="DX140" i="11"/>
  <c r="Q17" i="28"/>
  <c r="AO126" i="26" l="1"/>
  <c r="AO164" i="26"/>
  <c r="AO163" i="26" s="1"/>
  <c r="AP120" i="26"/>
  <c r="AP97" i="26"/>
  <c r="AP87" i="26" s="1"/>
  <c r="DY20" i="11"/>
  <c r="DY92" i="11"/>
  <c r="AM104" i="11"/>
  <c r="BG144" i="19"/>
  <c r="DZ39" i="11"/>
  <c r="BH23" i="19"/>
  <c r="BI273" i="19"/>
  <c r="BI285" i="19" s="1"/>
  <c r="DX43" i="1"/>
  <c r="AM20" i="11"/>
  <c r="Q17" i="19"/>
  <c r="BF35" i="19"/>
  <c r="DZ61" i="11"/>
  <c r="DZ62" i="11" s="1"/>
  <c r="EA80" i="11"/>
  <c r="EA107" i="11"/>
  <c r="EA135" i="11"/>
  <c r="AN10" i="11"/>
  <c r="Q29" i="28"/>
  <c r="DX42" i="19"/>
  <c r="DX12" i="15"/>
  <c r="DX40" i="15"/>
  <c r="DX90" i="15"/>
  <c r="DX15" i="15"/>
  <c r="DX14" i="15"/>
  <c r="DZ98" i="11"/>
  <c r="BH22" i="19"/>
  <c r="BH290" i="19"/>
  <c r="BI272" i="19"/>
  <c r="BI284" i="19" s="1"/>
  <c r="AM110" i="1"/>
  <c r="AP99" i="1"/>
  <c r="CT106" i="1"/>
  <c r="CS113" i="1"/>
  <c r="AN13" i="29"/>
  <c r="AQ14" i="29"/>
  <c r="BG145" i="19"/>
  <c r="Q126" i="19"/>
  <c r="Q138" i="19" s="1"/>
  <c r="BH138" i="19"/>
  <c r="Q22" i="19"/>
  <c r="Q16" i="19"/>
  <c r="BH19" i="19"/>
  <c r="BI201" i="19"/>
  <c r="BI213" i="19" s="1"/>
  <c r="AN30" i="29"/>
  <c r="DY34" i="29"/>
  <c r="DY37" i="29" s="1"/>
  <c r="BH139" i="19"/>
  <c r="Q127" i="19"/>
  <c r="Q139" i="19" s="1"/>
  <c r="DZ124" i="11"/>
  <c r="Q271" i="19"/>
  <c r="Q283" i="19" s="1"/>
  <c r="Q290" i="19" s="1"/>
  <c r="BH283" i="19"/>
  <c r="BH291" i="19" s="1"/>
  <c r="Q24" i="19"/>
  <c r="Q292" i="19"/>
  <c r="BF34" i="19"/>
  <c r="DX44" i="1"/>
  <c r="AM21" i="11"/>
  <c r="AM40" i="29"/>
  <c r="AM43" i="29" s="1"/>
  <c r="R15" i="28"/>
  <c r="BH24" i="19"/>
  <c r="BI274" i="19"/>
  <c r="BI286" i="19" s="1"/>
  <c r="BH292" i="19"/>
  <c r="Q124" i="19"/>
  <c r="Q136" i="19" s="1"/>
  <c r="BH136" i="19"/>
  <c r="DZ13" i="29"/>
  <c r="EA9" i="29" s="1"/>
  <c r="DZ30" i="29"/>
  <c r="DZ34" i="29" s="1"/>
  <c r="DZ37" i="29" s="1"/>
  <c r="DX45" i="11"/>
  <c r="AM40" i="11"/>
  <c r="AM45" i="11" s="1"/>
  <c r="DX41" i="11"/>
  <c r="DU84" i="1"/>
  <c r="DU42" i="1"/>
  <c r="AL45" i="1"/>
  <c r="AL84" i="1" s="1"/>
  <c r="BH25" i="19"/>
  <c r="BI275" i="19"/>
  <c r="BI287" i="19" s="1"/>
  <c r="BH293" i="19"/>
  <c r="Q197" i="19"/>
  <c r="Q209" i="19" s="1"/>
  <c r="Q217" i="19" s="1"/>
  <c r="BH209" i="19"/>
  <c r="DY140" i="11"/>
  <c r="DV84" i="1"/>
  <c r="DV42" i="1"/>
  <c r="BF37" i="19"/>
  <c r="DX129" i="11"/>
  <c r="DX139" i="11"/>
  <c r="AM140" i="11"/>
  <c r="BH16" i="19"/>
  <c r="BH216" i="19"/>
  <c r="BI198" i="19"/>
  <c r="BI210" i="19" s="1"/>
  <c r="Q19" i="19"/>
  <c r="BG9" i="19"/>
  <c r="BG27" i="19" s="1"/>
  <c r="BG33" i="19" s="1"/>
  <c r="BG141" i="19"/>
  <c r="BH123" i="19"/>
  <c r="Q18" i="28"/>
  <c r="Q31" i="28"/>
  <c r="DY40" i="11"/>
  <c r="BG34" i="19"/>
  <c r="BH18" i="19"/>
  <c r="BI200" i="19"/>
  <c r="BI212" i="19" s="1"/>
  <c r="BH218" i="19"/>
  <c r="Q125" i="19"/>
  <c r="Q137" i="19" s="1"/>
  <c r="BH137" i="19"/>
  <c r="DV93" i="1"/>
  <c r="DW100" i="1"/>
  <c r="DW101" i="1"/>
  <c r="DW81" i="1"/>
  <c r="DW37" i="1"/>
  <c r="DW38" i="1"/>
  <c r="DY102" i="11"/>
  <c r="DX50" i="19"/>
  <c r="DX23" i="15"/>
  <c r="DX25" i="15"/>
  <c r="DX91" i="15"/>
  <c r="DX26" i="15"/>
  <c r="DZ64" i="1"/>
  <c r="Q25" i="19"/>
  <c r="Q293" i="19"/>
  <c r="Q23" i="19"/>
  <c r="Q291" i="19"/>
  <c r="BH17" i="19"/>
  <c r="BI199" i="19"/>
  <c r="BI211" i="19" s="1"/>
  <c r="BH217" i="19"/>
  <c r="DX58" i="19"/>
  <c r="DX34" i="15"/>
  <c r="DX37" i="15"/>
  <c r="DX92" i="15"/>
  <c r="DX36" i="15"/>
  <c r="DZ101" i="11"/>
  <c r="DZ102" i="11" s="1"/>
  <c r="DZ111" i="11"/>
  <c r="DZ159" i="11" s="1"/>
  <c r="DZ123" i="1" s="1"/>
  <c r="Q18" i="19"/>
  <c r="Q218" i="19"/>
  <c r="DZ121" i="1"/>
  <c r="BG143" i="19"/>
  <c r="EA9" i="11"/>
  <c r="EA15" i="1"/>
  <c r="EB9" i="1"/>
  <c r="EA29" i="1"/>
  <c r="BF36" i="19"/>
  <c r="DW125" i="11"/>
  <c r="AP100" i="26" l="1"/>
  <c r="AP101" i="26" s="1"/>
  <c r="AP121" i="26"/>
  <c r="DZ40" i="11"/>
  <c r="DZ45" i="11" s="1"/>
  <c r="DZ67" i="11"/>
  <c r="AM139" i="11"/>
  <c r="DX162" i="11"/>
  <c r="DX130" i="11"/>
  <c r="AM130" i="11" s="1"/>
  <c r="AM149" i="11" s="1"/>
  <c r="AM129" i="11"/>
  <c r="AM141" i="11" s="1"/>
  <c r="BG37" i="19"/>
  <c r="Q10" i="19"/>
  <c r="Q28" i="19" s="1"/>
  <c r="DX83" i="1"/>
  <c r="AM44" i="1"/>
  <c r="AM83" i="1" s="1"/>
  <c r="BI19" i="19"/>
  <c r="BJ201" i="19"/>
  <c r="BJ213" i="19" s="1"/>
  <c r="DX47" i="19"/>
  <c r="DY7" i="15"/>
  <c r="DX45" i="15"/>
  <c r="BG35" i="19"/>
  <c r="DX82" i="1"/>
  <c r="DX85" i="1"/>
  <c r="DX57" i="1"/>
  <c r="DX54" i="1"/>
  <c r="EA94" i="1"/>
  <c r="AM43" i="1"/>
  <c r="Q219" i="19"/>
  <c r="BI25" i="19"/>
  <c r="BJ275" i="19"/>
  <c r="BJ287" i="19" s="1"/>
  <c r="DX16" i="11"/>
  <c r="DX34" i="1" s="1"/>
  <c r="DX42" i="11"/>
  <c r="AM41" i="11"/>
  <c r="AM16" i="11" s="1"/>
  <c r="DX66" i="19"/>
  <c r="Q216" i="19"/>
  <c r="DZ104" i="11"/>
  <c r="DZ21" i="11" s="1"/>
  <c r="DZ44" i="1" s="1"/>
  <c r="DZ83" i="1" s="1"/>
  <c r="BG36" i="19"/>
  <c r="DY45" i="11"/>
  <c r="DY41" i="11"/>
  <c r="DZ140" i="11"/>
  <c r="BH11" i="19"/>
  <c r="BH29" i="19" s="1"/>
  <c r="BI125" i="19"/>
  <c r="BI137" i="19" s="1"/>
  <c r="BI16" i="19"/>
  <c r="BJ198" i="19"/>
  <c r="BJ210" i="19" s="1"/>
  <c r="Q13" i="19"/>
  <c r="Q31" i="19" s="1"/>
  <c r="Q34" i="28"/>
  <c r="BI23" i="19"/>
  <c r="BJ273" i="19"/>
  <c r="BJ285" i="19" s="1"/>
  <c r="BI291" i="19"/>
  <c r="DV65" i="1"/>
  <c r="DV48" i="1"/>
  <c r="BI24" i="19"/>
  <c r="BJ274" i="19"/>
  <c r="BJ286" i="19" s="1"/>
  <c r="DX63" i="19"/>
  <c r="DY29" i="15"/>
  <c r="DW92" i="1"/>
  <c r="Q11" i="19"/>
  <c r="Q29" i="19" s="1"/>
  <c r="DZ38" i="29"/>
  <c r="DZ42" i="29"/>
  <c r="R16" i="28"/>
  <c r="R17" i="28"/>
  <c r="R33" i="28"/>
  <c r="R26" i="28"/>
  <c r="R20" i="28"/>
  <c r="R22" i="28"/>
  <c r="R27" i="28"/>
  <c r="R21" i="28"/>
  <c r="R23" i="28"/>
  <c r="BH13" i="19"/>
  <c r="BH31" i="19" s="1"/>
  <c r="BI127" i="19"/>
  <c r="BI139" i="19" s="1"/>
  <c r="CT110" i="1"/>
  <c r="CT99" i="1"/>
  <c r="AN109" i="11"/>
  <c r="BI17" i="19"/>
  <c r="BJ199" i="19"/>
  <c r="BJ211" i="19" s="1"/>
  <c r="DW132" i="11"/>
  <c r="DW22" i="11" s="1"/>
  <c r="DY129" i="11"/>
  <c r="DY139" i="11"/>
  <c r="DY162" i="11" s="1"/>
  <c r="EA13" i="29"/>
  <c r="EB9" i="29" s="1"/>
  <c r="EA30" i="29"/>
  <c r="EA34" i="29" s="1"/>
  <c r="EA37" i="29" s="1"/>
  <c r="AN37" i="29" s="1"/>
  <c r="BH21" i="19"/>
  <c r="BI271" i="19"/>
  <c r="BI283" i="19" s="1"/>
  <c r="BH289" i="19"/>
  <c r="DY38" i="29"/>
  <c r="DY42" i="29"/>
  <c r="EA123" i="11"/>
  <c r="EA134" i="11"/>
  <c r="AN135" i="11"/>
  <c r="AN137" i="11" s="1"/>
  <c r="DY43" i="1"/>
  <c r="EA38" i="11"/>
  <c r="EA28" i="1"/>
  <c r="AN29" i="1"/>
  <c r="DX55" i="19"/>
  <c r="DY18" i="15"/>
  <c r="EB10" i="11"/>
  <c r="AO9" i="1"/>
  <c r="EB97" i="1"/>
  <c r="EB14" i="1"/>
  <c r="EB98" i="1"/>
  <c r="BI18" i="19"/>
  <c r="BJ200" i="19"/>
  <c r="BJ212" i="19" s="1"/>
  <c r="Q123" i="19"/>
  <c r="Q135" i="19" s="1"/>
  <c r="Q142" i="19" s="1"/>
  <c r="BH135" i="19"/>
  <c r="BH142" i="19" s="1"/>
  <c r="BH15" i="19"/>
  <c r="BH215" i="19"/>
  <c r="BI197" i="19"/>
  <c r="BI209" i="19" s="1"/>
  <c r="BI216" i="19" s="1"/>
  <c r="DU65" i="1"/>
  <c r="DU48" i="1"/>
  <c r="AL48" i="1" s="1"/>
  <c r="AL42" i="1"/>
  <c r="Q21" i="19"/>
  <c r="Q289" i="19"/>
  <c r="AN34" i="29"/>
  <c r="S12" i="28" s="1"/>
  <c r="AQ75" i="26" s="1"/>
  <c r="AQ82" i="26" s="1"/>
  <c r="S8" i="28"/>
  <c r="AQ71" i="26" s="1"/>
  <c r="AQ78" i="26" s="1"/>
  <c r="AQ35" i="29"/>
  <c r="BH12" i="19"/>
  <c r="BH30" i="19" s="1"/>
  <c r="BI126" i="19"/>
  <c r="BI138" i="19" s="1"/>
  <c r="AN106" i="1"/>
  <c r="AM113" i="1"/>
  <c r="EA97" i="11"/>
  <c r="EA106" i="11"/>
  <c r="EA112" i="11"/>
  <c r="AN107" i="11"/>
  <c r="Q15" i="19"/>
  <c r="Q215" i="19"/>
  <c r="BH10" i="19"/>
  <c r="BH28" i="19" s="1"/>
  <c r="BI124" i="19"/>
  <c r="BI136" i="19" s="1"/>
  <c r="BH219" i="19"/>
  <c r="Q12" i="19"/>
  <c r="Q30" i="19" s="1"/>
  <c r="BI22" i="19"/>
  <c r="BJ272" i="19"/>
  <c r="BJ284" i="19" s="1"/>
  <c r="BI290" i="19"/>
  <c r="DX47" i="15"/>
  <c r="DX48" i="15"/>
  <c r="EA60" i="11"/>
  <c r="EA79" i="11"/>
  <c r="AN80" i="11"/>
  <c r="DZ41" i="11"/>
  <c r="DY104" i="11"/>
  <c r="DY21" i="11" s="1"/>
  <c r="AQ97" i="26" l="1"/>
  <c r="AQ87" i="26" s="1"/>
  <c r="AP124" i="26"/>
  <c r="AP123" i="26"/>
  <c r="DV71" i="1"/>
  <c r="DY16" i="11"/>
  <c r="DY34" i="1" s="1"/>
  <c r="DY42" i="11"/>
  <c r="DZ16" i="11"/>
  <c r="DZ34" i="1" s="1"/>
  <c r="DZ42" i="11"/>
  <c r="DZ46" i="11" s="1"/>
  <c r="BJ22" i="19"/>
  <c r="BK272" i="19"/>
  <c r="D284" i="19"/>
  <c r="BH144" i="19"/>
  <c r="BI218" i="19"/>
  <c r="AO14" i="1"/>
  <c r="AR97" i="1"/>
  <c r="AR98" i="1"/>
  <c r="DY85" i="1"/>
  <c r="DY82" i="1"/>
  <c r="DY57" i="1"/>
  <c r="DY54" i="1"/>
  <c r="EB94" i="1"/>
  <c r="S15" i="28"/>
  <c r="DY130" i="11"/>
  <c r="DW93" i="1"/>
  <c r="DY58" i="19"/>
  <c r="AN58" i="19" s="1"/>
  <c r="AN63" i="19" s="1"/>
  <c r="AN29" i="15"/>
  <c r="DY34" i="15"/>
  <c r="DY92" i="15"/>
  <c r="DY36" i="15"/>
  <c r="DY37" i="15"/>
  <c r="BJ16" i="19"/>
  <c r="BK198" i="19"/>
  <c r="D210" i="19"/>
  <c r="DX46" i="11"/>
  <c r="AM42" i="11"/>
  <c r="AM46" i="11" s="1"/>
  <c r="AM82" i="1"/>
  <c r="AM85" i="1"/>
  <c r="AM57" i="1"/>
  <c r="AM54" i="1"/>
  <c r="AN94" i="1"/>
  <c r="AN110" i="1"/>
  <c r="AQ99" i="1"/>
  <c r="DY126" i="1"/>
  <c r="DY163" i="11"/>
  <c r="EB80" i="11"/>
  <c r="EB107" i="11"/>
  <c r="EB135" i="11"/>
  <c r="Q144" i="19"/>
  <c r="DU71" i="1"/>
  <c r="AL65" i="1"/>
  <c r="DU68" i="1"/>
  <c r="DV63" i="1" s="1"/>
  <c r="DY50" i="19"/>
  <c r="AN50" i="19" s="1"/>
  <c r="AN55" i="19" s="1"/>
  <c r="AN18" i="15"/>
  <c r="DY23" i="15"/>
  <c r="DY91" i="15"/>
  <c r="DY26" i="15"/>
  <c r="DY25" i="15"/>
  <c r="BJ23" i="19"/>
  <c r="BJ291" i="19"/>
  <c r="BK273" i="19"/>
  <c r="D285" i="19"/>
  <c r="DX33" i="1"/>
  <c r="DX55" i="1"/>
  <c r="DX39" i="1"/>
  <c r="AM34" i="1"/>
  <c r="DX126" i="1"/>
  <c r="AM126" i="1" s="1"/>
  <c r="AM127" i="1" s="1"/>
  <c r="DX163" i="11"/>
  <c r="AN79" i="11"/>
  <c r="EA157" i="11"/>
  <c r="EA101" i="11"/>
  <c r="EA111" i="11"/>
  <c r="AN112" i="11"/>
  <c r="AN114" i="11" s="1"/>
  <c r="BI21" i="19"/>
  <c r="BI289" i="19"/>
  <c r="BJ271" i="19"/>
  <c r="BJ283" i="19" s="1"/>
  <c r="BJ290" i="19" s="1"/>
  <c r="CU106" i="1"/>
  <c r="CT113" i="1"/>
  <c r="Q143" i="19"/>
  <c r="BI292" i="19"/>
  <c r="BH143" i="19"/>
  <c r="BI293" i="19"/>
  <c r="DY42" i="19"/>
  <c r="AN7" i="15"/>
  <c r="DY12" i="15"/>
  <c r="DY40" i="15"/>
  <c r="DY90" i="15"/>
  <c r="DY15" i="15"/>
  <c r="DY14" i="15"/>
  <c r="AM162" i="11"/>
  <c r="AM163" i="11" s="1"/>
  <c r="AM142" i="11"/>
  <c r="R18" i="28"/>
  <c r="BJ18" i="19"/>
  <c r="BK200" i="19"/>
  <c r="D212" i="19"/>
  <c r="BJ218" i="19"/>
  <c r="BI15" i="19"/>
  <c r="BI215" i="19"/>
  <c r="BJ197" i="19"/>
  <c r="BJ209" i="19" s="1"/>
  <c r="EA61" i="11"/>
  <c r="AN61" i="11" s="1"/>
  <c r="AN60" i="11"/>
  <c r="AN81" i="11" s="1"/>
  <c r="AN106" i="11"/>
  <c r="AN160" i="11" s="1"/>
  <c r="EA160" i="11"/>
  <c r="EA124" i="1" s="1"/>
  <c r="AN124" i="1" s="1"/>
  <c r="AN52" i="1"/>
  <c r="AN134" i="11"/>
  <c r="AN161" i="11" s="1"/>
  <c r="EA161" i="11"/>
  <c r="EA125" i="1" s="1"/>
  <c r="AN125" i="1" s="1"/>
  <c r="DW45" i="1"/>
  <c r="DW19" i="11"/>
  <c r="BH145" i="19"/>
  <c r="R24" i="28"/>
  <c r="BJ24" i="19"/>
  <c r="BJ292" i="19"/>
  <c r="BK274" i="19"/>
  <c r="D286" i="19"/>
  <c r="BI11" i="19"/>
  <c r="BI29" i="19" s="1"/>
  <c r="BJ125" i="19"/>
  <c r="BJ137" i="19" s="1"/>
  <c r="BJ25" i="19"/>
  <c r="BK275" i="19"/>
  <c r="D287" i="19"/>
  <c r="BJ293" i="19"/>
  <c r="DX71" i="19"/>
  <c r="Q9" i="19"/>
  <c r="Q27" i="19" s="1"/>
  <c r="Q33" i="19" s="1"/>
  <c r="Q141" i="19"/>
  <c r="BI12" i="19"/>
  <c r="BI30" i="19" s="1"/>
  <c r="BJ126" i="19"/>
  <c r="BJ138" i="19" s="1"/>
  <c r="EA98" i="11"/>
  <c r="AN98" i="11" s="1"/>
  <c r="AN117" i="11" s="1"/>
  <c r="AN97" i="11"/>
  <c r="EA64" i="1"/>
  <c r="AN28" i="1"/>
  <c r="EA124" i="11"/>
  <c r="AN124" i="11" s="1"/>
  <c r="AN123" i="11"/>
  <c r="EA38" i="29"/>
  <c r="AN38" i="29" s="1"/>
  <c r="EA42" i="29"/>
  <c r="AN42" i="29" s="1"/>
  <c r="BI217" i="19"/>
  <c r="BI13" i="19"/>
  <c r="BI31" i="19" s="1"/>
  <c r="BJ127" i="19"/>
  <c r="BJ139" i="19" s="1"/>
  <c r="BI145" i="19"/>
  <c r="Q35" i="28"/>
  <c r="BI219" i="19"/>
  <c r="DY44" i="1"/>
  <c r="BI10" i="19"/>
  <c r="BI28" i="19" s="1"/>
  <c r="BI142" i="19"/>
  <c r="BJ124" i="19"/>
  <c r="BJ136" i="19" s="1"/>
  <c r="BH9" i="19"/>
  <c r="BH27" i="19" s="1"/>
  <c r="BH33" i="19" s="1"/>
  <c r="BH141" i="19"/>
  <c r="BI123" i="19"/>
  <c r="BI135" i="19" s="1"/>
  <c r="BI144" i="19" s="1"/>
  <c r="EB9" i="11"/>
  <c r="EB15" i="1"/>
  <c r="EC9" i="1"/>
  <c r="EB29" i="1"/>
  <c r="AO9" i="29"/>
  <c r="EB13" i="29"/>
  <c r="EC9" i="29" s="1"/>
  <c r="EB30" i="29"/>
  <c r="BJ17" i="19"/>
  <c r="BK199" i="19"/>
  <c r="D211" i="19"/>
  <c r="BJ217" i="19"/>
  <c r="BH37" i="19"/>
  <c r="Q145" i="19"/>
  <c r="DZ129" i="11"/>
  <c r="DZ130" i="11" s="1"/>
  <c r="DZ139" i="11"/>
  <c r="DZ162" i="11" s="1"/>
  <c r="BJ19" i="19"/>
  <c r="BK201" i="19"/>
  <c r="BJ219" i="19"/>
  <c r="D213" i="19"/>
  <c r="DZ20" i="11"/>
  <c r="DZ92" i="11"/>
  <c r="EA39" i="11"/>
  <c r="AN38" i="11"/>
  <c r="AP126" i="26" l="1"/>
  <c r="AP164" i="26"/>
  <c r="AP163" i="26" s="1"/>
  <c r="AN40" i="29"/>
  <c r="AN43" i="29"/>
  <c r="AQ100" i="26"/>
  <c r="AQ101" i="26" s="1"/>
  <c r="E201" i="19"/>
  <c r="R201" i="19"/>
  <c r="R213" i="19" s="1"/>
  <c r="BK213" i="19"/>
  <c r="DY83" i="1"/>
  <c r="D19" i="19"/>
  <c r="D219" i="19"/>
  <c r="EC13" i="29"/>
  <c r="ED9" i="29" s="1"/>
  <c r="EC30" i="29"/>
  <c r="EC34" i="29" s="1"/>
  <c r="EC37" i="29" s="1"/>
  <c r="BH35" i="19"/>
  <c r="AN108" i="11"/>
  <c r="Q34" i="19"/>
  <c r="BJ11" i="19"/>
  <c r="BJ29" i="19" s="1"/>
  <c r="D137" i="19"/>
  <c r="BK125" i="19"/>
  <c r="R29" i="28"/>
  <c r="BJ15" i="19"/>
  <c r="D209" i="19"/>
  <c r="BJ215" i="19"/>
  <c r="BK197" i="19"/>
  <c r="AN40" i="15"/>
  <c r="DY48" i="15"/>
  <c r="DY47" i="15"/>
  <c r="EA102" i="11"/>
  <c r="AN102" i="11" s="1"/>
  <c r="AN118" i="11" s="1"/>
  <c r="AN101" i="11"/>
  <c r="AN113" i="11" s="1"/>
  <c r="AL75" i="1"/>
  <c r="AA46" i="7"/>
  <c r="AA46" i="25"/>
  <c r="AL68" i="1"/>
  <c r="BJ216" i="19"/>
  <c r="AN34" i="15"/>
  <c r="AN92" i="15"/>
  <c r="AQ37" i="15"/>
  <c r="AQ36" i="15"/>
  <c r="DY33" i="1"/>
  <c r="DY55" i="1"/>
  <c r="DY39" i="1"/>
  <c r="EB38" i="11"/>
  <c r="EB28" i="1"/>
  <c r="D25" i="19"/>
  <c r="DZ43" i="1"/>
  <c r="AO13" i="29"/>
  <c r="AR14" i="29"/>
  <c r="EA104" i="11"/>
  <c r="EA21" i="11" s="1"/>
  <c r="DY47" i="19"/>
  <c r="DZ7" i="15"/>
  <c r="DY45" i="15"/>
  <c r="EA121" i="1"/>
  <c r="AN121" i="1" s="1"/>
  <c r="DU91" i="1"/>
  <c r="DU102" i="1"/>
  <c r="DU90" i="1"/>
  <c r="AL71" i="1"/>
  <c r="DY144" i="11"/>
  <c r="DY127" i="1"/>
  <c r="D16" i="19"/>
  <c r="D216" i="19"/>
  <c r="D22" i="19"/>
  <c r="D290" i="19"/>
  <c r="Q37" i="19"/>
  <c r="AN12" i="15"/>
  <c r="AN90" i="15"/>
  <c r="AQ15" i="15"/>
  <c r="AQ14" i="15"/>
  <c r="H106" i="1"/>
  <c r="CU110" i="1"/>
  <c r="CV106" i="1" s="1"/>
  <c r="CU99" i="1"/>
  <c r="AN157" i="11"/>
  <c r="AN82" i="11"/>
  <c r="DX81" i="1"/>
  <c r="DX38" i="1"/>
  <c r="DX37" i="1"/>
  <c r="AM33" i="1"/>
  <c r="BH36" i="19"/>
  <c r="E198" i="19"/>
  <c r="BK210" i="19"/>
  <c r="R198" i="19"/>
  <c r="R210" i="19" s="1"/>
  <c r="S16" i="28"/>
  <c r="S17" i="28" s="1"/>
  <c r="S33" i="28"/>
  <c r="S21" i="28"/>
  <c r="S27" i="28"/>
  <c r="S20" i="28"/>
  <c r="S26" i="28"/>
  <c r="S23" i="28"/>
  <c r="S22" i="28"/>
  <c r="E272" i="19"/>
  <c r="BK284" i="19"/>
  <c r="R272" i="19"/>
  <c r="R284" i="19" s="1"/>
  <c r="DV91" i="1"/>
  <c r="DV102" i="1"/>
  <c r="DV90" i="1"/>
  <c r="D24" i="19"/>
  <c r="AN39" i="11"/>
  <c r="EC10" i="11"/>
  <c r="EC14" i="1"/>
  <c r="EC97" i="1"/>
  <c r="EC98" i="1"/>
  <c r="AN148" i="11"/>
  <c r="E274" i="19"/>
  <c r="BK286" i="19"/>
  <c r="R274" i="19"/>
  <c r="R286" i="19" s="1"/>
  <c r="Q36" i="19"/>
  <c r="AN42" i="19"/>
  <c r="AN47" i="19" s="1"/>
  <c r="DY66" i="19"/>
  <c r="AN66" i="19" s="1"/>
  <c r="AN71" i="19" s="1"/>
  <c r="BJ21" i="19"/>
  <c r="BK271" i="19"/>
  <c r="D283" i="19"/>
  <c r="D293" i="19" s="1"/>
  <c r="BJ289" i="19"/>
  <c r="D23" i="19"/>
  <c r="D291" i="19"/>
  <c r="DY55" i="19"/>
  <c r="DZ18" i="15"/>
  <c r="BJ10" i="19"/>
  <c r="BJ28" i="19" s="1"/>
  <c r="BK124" i="19"/>
  <c r="D136" i="19"/>
  <c r="E273" i="19"/>
  <c r="BK285" i="19"/>
  <c r="R273" i="19"/>
  <c r="R285" i="19" s="1"/>
  <c r="AN23" i="15"/>
  <c r="AN91" i="15"/>
  <c r="AQ25" i="15"/>
  <c r="AQ26" i="15"/>
  <c r="AO106" i="1"/>
  <c r="AN113" i="1"/>
  <c r="DZ126" i="1"/>
  <c r="DZ163" i="11"/>
  <c r="AN64" i="1"/>
  <c r="R275" i="19"/>
  <c r="R287" i="19" s="1"/>
  <c r="E275" i="19"/>
  <c r="BK287" i="19"/>
  <c r="D18" i="19"/>
  <c r="D218" i="19"/>
  <c r="DX144" i="11"/>
  <c r="DX127" i="1"/>
  <c r="EB134" i="11"/>
  <c r="EB161" i="11" s="1"/>
  <c r="EB125" i="1" s="1"/>
  <c r="EB123" i="11"/>
  <c r="AO9" i="11"/>
  <c r="AO15" i="1"/>
  <c r="DZ33" i="1"/>
  <c r="DZ55" i="1"/>
  <c r="DZ39" i="1"/>
  <c r="D17" i="19"/>
  <c r="D217" i="19"/>
  <c r="BJ12" i="19"/>
  <c r="BJ30" i="19" s="1"/>
  <c r="BK126" i="19"/>
  <c r="D138" i="19"/>
  <c r="BJ13" i="19"/>
  <c r="BJ31" i="19" s="1"/>
  <c r="BK127" i="19"/>
  <c r="D139" i="19"/>
  <c r="DW84" i="1"/>
  <c r="DW42" i="1"/>
  <c r="Q35" i="19"/>
  <c r="EA62" i="11"/>
  <c r="E200" i="19"/>
  <c r="BK212" i="19"/>
  <c r="R200" i="19"/>
  <c r="R212" i="19" s="1"/>
  <c r="AM100" i="1"/>
  <c r="AM101" i="1"/>
  <c r="AM63" i="1"/>
  <c r="DV68" i="1"/>
  <c r="DW63" i="1" s="1"/>
  <c r="EB106" i="11"/>
  <c r="EB160" i="11" s="1"/>
  <c r="EB124" i="1" s="1"/>
  <c r="EB97" i="11"/>
  <c r="EB112" i="11"/>
  <c r="DY46" i="11"/>
  <c r="BH34" i="19"/>
  <c r="AN136" i="11"/>
  <c r="E199" i="19"/>
  <c r="BK211" i="19"/>
  <c r="R199" i="19"/>
  <c r="R211" i="19" s="1"/>
  <c r="AO30" i="29"/>
  <c r="EB34" i="29"/>
  <c r="EB37" i="29" s="1"/>
  <c r="BI9" i="19"/>
  <c r="BI27" i="19" s="1"/>
  <c r="BI33" i="19" s="1"/>
  <c r="BJ123" i="19"/>
  <c r="BJ135" i="19" s="1"/>
  <c r="BJ145" i="19" s="1"/>
  <c r="BI141" i="19"/>
  <c r="BI143" i="19"/>
  <c r="AN89" i="11"/>
  <c r="AN111" i="11"/>
  <c r="AN159" i="11" s="1"/>
  <c r="EA159" i="11"/>
  <c r="EA123" i="1" s="1"/>
  <c r="AN123" i="1" s="1"/>
  <c r="AM55" i="1"/>
  <c r="AM39" i="1"/>
  <c r="EB60" i="11"/>
  <c r="EB79" i="11"/>
  <c r="EB157" i="11" s="1"/>
  <c r="DY63" i="19"/>
  <c r="DZ29" i="15"/>
  <c r="AQ110" i="26" l="1"/>
  <c r="AQ120" i="26"/>
  <c r="S18" i="28"/>
  <c r="BI36" i="19"/>
  <c r="R124" i="19"/>
  <c r="R136" i="19" s="1"/>
  <c r="BK136" i="19"/>
  <c r="E124" i="19"/>
  <c r="E271" i="19"/>
  <c r="BK283" i="19"/>
  <c r="R271" i="19"/>
  <c r="R283" i="19" s="1"/>
  <c r="AM81" i="1"/>
  <c r="AM38" i="1"/>
  <c r="AM92" i="1" s="1"/>
  <c r="AM93" i="1" s="1"/>
  <c r="DY71" i="19"/>
  <c r="R34" i="28"/>
  <c r="R31" i="28"/>
  <c r="EB38" i="29"/>
  <c r="EB42" i="29"/>
  <c r="BJ144" i="19"/>
  <c r="DZ81" i="1"/>
  <c r="DZ38" i="1"/>
  <c r="DZ37" i="1"/>
  <c r="DX100" i="1"/>
  <c r="DX101" i="1"/>
  <c r="AN74" i="1"/>
  <c r="CV110" i="1"/>
  <c r="CW106" i="1" s="1"/>
  <c r="CV99" i="1"/>
  <c r="BI35" i="19"/>
  <c r="BJ143" i="19"/>
  <c r="D12" i="19"/>
  <c r="D30" i="19" s="1"/>
  <c r="DX125" i="11"/>
  <c r="AM144" i="11"/>
  <c r="DZ50" i="19"/>
  <c r="DZ23" i="15"/>
  <c r="DZ26" i="15"/>
  <c r="DZ91" i="15"/>
  <c r="DZ25" i="15"/>
  <c r="AM37" i="1"/>
  <c r="DX92" i="1"/>
  <c r="DY92" i="1"/>
  <c r="DY93" i="1" s="1"/>
  <c r="H110" i="1"/>
  <c r="H99" i="1"/>
  <c r="AL12" i="25" s="1"/>
  <c r="EA44" i="1"/>
  <c r="AN21" i="11"/>
  <c r="AA44" i="7"/>
  <c r="AA44" i="25"/>
  <c r="AN45" i="15"/>
  <c r="AQ48" i="15"/>
  <c r="AQ47" i="15"/>
  <c r="R125" i="19"/>
  <c r="R137" i="19" s="1"/>
  <c r="BK137" i="19"/>
  <c r="E125" i="19"/>
  <c r="EB61" i="11"/>
  <c r="EB62" i="11" s="1"/>
  <c r="R17" i="19"/>
  <c r="R18" i="19"/>
  <c r="DW65" i="1"/>
  <c r="DW48" i="1"/>
  <c r="E126" i="19"/>
  <c r="R126" i="19"/>
  <c r="R138" i="19" s="1"/>
  <c r="BK138" i="19"/>
  <c r="DZ144" i="11"/>
  <c r="DZ125" i="11" s="1"/>
  <c r="DZ132" i="11" s="1"/>
  <c r="DZ22" i="11" s="1"/>
  <c r="DZ127" i="1"/>
  <c r="R23" i="19"/>
  <c r="R291" i="19"/>
  <c r="EC9" i="11"/>
  <c r="ED9" i="1"/>
  <c r="EC29" i="1"/>
  <c r="EC15" i="1"/>
  <c r="BI34" i="19"/>
  <c r="DY81" i="1"/>
  <c r="DY38" i="1"/>
  <c r="DY37" i="1"/>
  <c r="DZ92" i="1" s="1"/>
  <c r="DZ93" i="1" s="1"/>
  <c r="BK209" i="19"/>
  <c r="R197" i="19"/>
  <c r="R209" i="19" s="1"/>
  <c r="R217" i="19" s="1"/>
  <c r="E197" i="19"/>
  <c r="D11" i="19"/>
  <c r="D29" i="19" s="1"/>
  <c r="BK17" i="19"/>
  <c r="BL199" i="19"/>
  <c r="BL211" i="19" s="1"/>
  <c r="BK217" i="19"/>
  <c r="EB101" i="11"/>
  <c r="EB111" i="11"/>
  <c r="EB159" i="11" s="1"/>
  <c r="EB123" i="1" s="1"/>
  <c r="BK18" i="19"/>
  <c r="BL200" i="19"/>
  <c r="BL212" i="19" s="1"/>
  <c r="BK23" i="19"/>
  <c r="BK291" i="19"/>
  <c r="BL273" i="19"/>
  <c r="BL285" i="19" s="1"/>
  <c r="EC80" i="11"/>
  <c r="EC107" i="11"/>
  <c r="EC135" i="11"/>
  <c r="R16" i="19"/>
  <c r="R216" i="19"/>
  <c r="DY100" i="1"/>
  <c r="DY101" i="1"/>
  <c r="EA140" i="11"/>
  <c r="EB64" i="1"/>
  <c r="BK19" i="19"/>
  <c r="BL201" i="19"/>
  <c r="BL213" i="19" s="1"/>
  <c r="BK219" i="19"/>
  <c r="AO34" i="29"/>
  <c r="T12" i="28" s="1"/>
  <c r="AR75" i="26" s="1"/>
  <c r="AR82" i="26" s="1"/>
  <c r="T8" i="28"/>
  <c r="AR71" i="26" s="1"/>
  <c r="AR78" i="26" s="1"/>
  <c r="AR35" i="29"/>
  <c r="DZ58" i="19"/>
  <c r="DZ34" i="15"/>
  <c r="DZ37" i="15"/>
  <c r="DZ36" i="15"/>
  <c r="DZ92" i="15"/>
  <c r="EB98" i="11"/>
  <c r="BK25" i="19"/>
  <c r="BL275" i="19"/>
  <c r="BL287" i="19" s="1"/>
  <c r="BK293" i="19"/>
  <c r="R24" i="19"/>
  <c r="R292" i="19"/>
  <c r="AN47" i="11"/>
  <c r="AN44" i="11"/>
  <c r="BK16" i="19"/>
  <c r="BL198" i="19"/>
  <c r="BL210" i="19" s="1"/>
  <c r="BK216" i="19"/>
  <c r="DY125" i="11"/>
  <c r="D15" i="19"/>
  <c r="D215" i="19"/>
  <c r="R19" i="19"/>
  <c r="R219" i="19"/>
  <c r="BI37" i="19"/>
  <c r="EB121" i="1"/>
  <c r="EA40" i="11"/>
  <c r="AN62" i="11"/>
  <c r="AN90" i="11" s="1"/>
  <c r="EA67" i="11"/>
  <c r="D13" i="19"/>
  <c r="D31" i="19" s="1"/>
  <c r="D145" i="19"/>
  <c r="AO110" i="1"/>
  <c r="AR99" i="1"/>
  <c r="D10" i="19"/>
  <c r="D28" i="19" s="1"/>
  <c r="BK24" i="19"/>
  <c r="BL274" i="19"/>
  <c r="BL286" i="19" s="1"/>
  <c r="BK292" i="19"/>
  <c r="R22" i="19"/>
  <c r="R290" i="19"/>
  <c r="S24" i="28"/>
  <c r="AN104" i="11"/>
  <c r="EC38" i="29"/>
  <c r="EC42" i="29"/>
  <c r="BJ9" i="19"/>
  <c r="BJ27" i="19" s="1"/>
  <c r="BJ33" i="19" s="1"/>
  <c r="BK123" i="19"/>
  <c r="BJ141" i="19"/>
  <c r="D135" i="19"/>
  <c r="DW68" i="1"/>
  <c r="DX63" i="1" s="1"/>
  <c r="E127" i="19"/>
  <c r="R127" i="19"/>
  <c r="R139" i="19" s="1"/>
  <c r="BK139" i="19"/>
  <c r="EB124" i="11"/>
  <c r="R25" i="19"/>
  <c r="R293" i="19"/>
  <c r="BJ142" i="19"/>
  <c r="D21" i="19"/>
  <c r="D289" i="19"/>
  <c r="D292" i="19"/>
  <c r="BK22" i="19"/>
  <c r="BK290" i="19"/>
  <c r="BL272" i="19"/>
  <c r="BL284" i="19" s="1"/>
  <c r="AL91" i="1"/>
  <c r="AL102" i="1"/>
  <c r="AL89" i="1"/>
  <c r="AL90" i="1"/>
  <c r="DZ42" i="19"/>
  <c r="DZ66" i="19" s="1"/>
  <c r="DZ12" i="15"/>
  <c r="DZ40" i="15"/>
  <c r="DZ14" i="15"/>
  <c r="DZ90" i="15"/>
  <c r="DZ15" i="15"/>
  <c r="DZ85" i="1"/>
  <c r="DZ82" i="1"/>
  <c r="DZ57" i="1"/>
  <c r="DZ54" i="1"/>
  <c r="EC94" i="1"/>
  <c r="EB39" i="11"/>
  <c r="ED13" i="29"/>
  <c r="EE9" i="29" s="1"/>
  <c r="ED30" i="29"/>
  <c r="ED34" i="29" s="1"/>
  <c r="ED37" i="29" s="1"/>
  <c r="J37" i="29" s="1"/>
  <c r="M97" i="26" l="1"/>
  <c r="AQ112" i="26"/>
  <c r="AQ121" i="26"/>
  <c r="EB40" i="11"/>
  <c r="EB67" i="11"/>
  <c r="BL22" i="19"/>
  <c r="BM272" i="19"/>
  <c r="BM284" i="19" s="1"/>
  <c r="D9" i="19"/>
  <c r="D27" i="19" s="1"/>
  <c r="D33" i="19" s="1"/>
  <c r="D141" i="19"/>
  <c r="S29" i="28"/>
  <c r="EB140" i="11"/>
  <c r="EC134" i="11"/>
  <c r="EC161" i="11" s="1"/>
  <c r="EC125" i="1" s="1"/>
  <c r="EC123" i="11"/>
  <c r="BL18" i="19"/>
  <c r="BM200" i="19"/>
  <c r="BM212" i="19" s="1"/>
  <c r="D143" i="19"/>
  <c r="BK12" i="19"/>
  <c r="BK30" i="19" s="1"/>
  <c r="BL126" i="19"/>
  <c r="BL138" i="19" s="1"/>
  <c r="R11" i="19"/>
  <c r="R29" i="19" s="1"/>
  <c r="D144" i="19"/>
  <c r="R35" i="28"/>
  <c r="AP106" i="1"/>
  <c r="AO113" i="1"/>
  <c r="DY132" i="11"/>
  <c r="DY22" i="11" s="1"/>
  <c r="EA129" i="11"/>
  <c r="EA139" i="11"/>
  <c r="AN140" i="11"/>
  <c r="EC106" i="11"/>
  <c r="EC160" i="11" s="1"/>
  <c r="EC124" i="1" s="1"/>
  <c r="EC112" i="11"/>
  <c r="EC97" i="11"/>
  <c r="D35" i="19"/>
  <c r="FA7" i="7"/>
  <c r="FA7" i="25"/>
  <c r="EC38" i="11"/>
  <c r="EC28" i="1"/>
  <c r="R12" i="19"/>
  <c r="R30" i="19" s="1"/>
  <c r="D36" i="19"/>
  <c r="FA8" i="7"/>
  <c r="FA8" i="25"/>
  <c r="BK10" i="19"/>
  <c r="BK28" i="19" s="1"/>
  <c r="BL124" i="19"/>
  <c r="BL136" i="19" s="1"/>
  <c r="EC60" i="11"/>
  <c r="EC79" i="11"/>
  <c r="EC157" i="11" s="1"/>
  <c r="R10" i="19"/>
  <c r="R28" i="19" s="1"/>
  <c r="ED14" i="1"/>
  <c r="ED97" i="1"/>
  <c r="ED98" i="1"/>
  <c r="DZ47" i="15"/>
  <c r="DZ48" i="15"/>
  <c r="D37" i="19"/>
  <c r="FA9" i="25"/>
  <c r="FA9" i="7"/>
  <c r="BL16" i="19"/>
  <c r="BM198" i="19"/>
  <c r="BM210" i="19" s="1"/>
  <c r="BL25" i="19"/>
  <c r="BM275" i="19"/>
  <c r="BM287" i="19" s="1"/>
  <c r="BL19" i="19"/>
  <c r="BM201" i="19"/>
  <c r="BM213" i="19" s="1"/>
  <c r="BL23" i="19"/>
  <c r="BM273" i="19"/>
  <c r="BM285" i="19" s="1"/>
  <c r="R15" i="19"/>
  <c r="R215" i="19"/>
  <c r="DX93" i="1"/>
  <c r="DZ55" i="19"/>
  <c r="EA18" i="15"/>
  <c r="ED38" i="29"/>
  <c r="AO38" i="29" s="1"/>
  <c r="AR110" i="26" s="1"/>
  <c r="AR112" i="26" s="1"/>
  <c r="ED42" i="29"/>
  <c r="AO42" i="29" s="1"/>
  <c r="EB41" i="11"/>
  <c r="DZ47" i="19"/>
  <c r="DZ71" i="19" s="1"/>
  <c r="EA7" i="15"/>
  <c r="DZ45" i="15"/>
  <c r="BK13" i="19"/>
  <c r="BK31" i="19" s="1"/>
  <c r="BL127" i="19"/>
  <c r="BL139" i="19" s="1"/>
  <c r="BL24" i="19"/>
  <c r="BM274" i="19"/>
  <c r="BM286" i="19" s="1"/>
  <c r="BL292" i="19"/>
  <c r="EA20" i="11"/>
  <c r="EA92" i="11"/>
  <c r="AN67" i="11"/>
  <c r="AN92" i="11" s="1"/>
  <c r="DZ63" i="19"/>
  <c r="EA29" i="15"/>
  <c r="EB102" i="11"/>
  <c r="BK15" i="19"/>
  <c r="BL197" i="19"/>
  <c r="BL209" i="19" s="1"/>
  <c r="BK215" i="19"/>
  <c r="BJ37" i="19"/>
  <c r="R13" i="19"/>
  <c r="R31" i="19" s="1"/>
  <c r="R145" i="19"/>
  <c r="BJ35" i="19"/>
  <c r="DW71" i="1"/>
  <c r="CW110" i="1"/>
  <c r="CX106" i="1" s="1"/>
  <c r="CW99" i="1"/>
  <c r="AO37" i="29"/>
  <c r="R21" i="19"/>
  <c r="R289" i="19"/>
  <c r="E123" i="19"/>
  <c r="R123" i="19"/>
  <c r="R135" i="19" s="1"/>
  <c r="R144" i="19" s="1"/>
  <c r="BK135" i="19"/>
  <c r="BK142" i="19" s="1"/>
  <c r="EE13" i="29"/>
  <c r="EF9" i="29" s="1"/>
  <c r="EE30" i="29"/>
  <c r="AP9" i="29"/>
  <c r="D142" i="19"/>
  <c r="EA45" i="11"/>
  <c r="AN40" i="11"/>
  <c r="AN45" i="11" s="1"/>
  <c r="EA41" i="11"/>
  <c r="BJ36" i="19"/>
  <c r="BL17" i="19"/>
  <c r="BM199" i="19"/>
  <c r="BM211" i="19" s="1"/>
  <c r="DZ100" i="1"/>
  <c r="DZ101" i="1"/>
  <c r="R218" i="19"/>
  <c r="BJ34" i="19"/>
  <c r="BK21" i="19"/>
  <c r="BL271" i="19"/>
  <c r="BL283" i="19" s="1"/>
  <c r="BL291" i="19" s="1"/>
  <c r="BK289" i="19"/>
  <c r="D34" i="19"/>
  <c r="FA6" i="7"/>
  <c r="FA10" i="7" s="1"/>
  <c r="FA6" i="25"/>
  <c r="FA10" i="25" s="1"/>
  <c r="BK218" i="19"/>
  <c r="DZ45" i="1"/>
  <c r="DZ19" i="11"/>
  <c r="BK11" i="19"/>
  <c r="BK29" i="19" s="1"/>
  <c r="BL125" i="19"/>
  <c r="BL137" i="19" s="1"/>
  <c r="BK143" i="19"/>
  <c r="EA83" i="1"/>
  <c r="AN44" i="1"/>
  <c r="AN83" i="1" s="1"/>
  <c r="DX132" i="11"/>
  <c r="DX22" i="11" s="1"/>
  <c r="AM125" i="11"/>
  <c r="AQ124" i="26" l="1"/>
  <c r="AQ123" i="26"/>
  <c r="AR120" i="26"/>
  <c r="AR97" i="26"/>
  <c r="AR87" i="26" s="1"/>
  <c r="M87" i="26" s="1"/>
  <c r="M218" i="26" s="1"/>
  <c r="M220" i="26" s="1"/>
  <c r="M100" i="26"/>
  <c r="AM145" i="11"/>
  <c r="AM132" i="11"/>
  <c r="DW91" i="1"/>
  <c r="DW102" i="1"/>
  <c r="DW90" i="1"/>
  <c r="BL13" i="19"/>
  <c r="BL31" i="19" s="1"/>
  <c r="BM127" i="19"/>
  <c r="BM139" i="19" s="1"/>
  <c r="EA130" i="11"/>
  <c r="AN130" i="11" s="1"/>
  <c r="AN129" i="11"/>
  <c r="AN141" i="11" s="1"/>
  <c r="R143" i="19"/>
  <c r="BL15" i="19"/>
  <c r="BM197" i="19"/>
  <c r="BM209" i="19" s="1"/>
  <c r="BM217" i="19" s="1"/>
  <c r="BL215" i="19"/>
  <c r="BM23" i="19"/>
  <c r="BN273" i="19"/>
  <c r="BL216" i="19"/>
  <c r="EC121" i="1"/>
  <c r="DY45" i="1"/>
  <c r="DY19" i="11"/>
  <c r="BM22" i="19"/>
  <c r="BN272" i="19"/>
  <c r="DX45" i="1"/>
  <c r="DX19" i="11"/>
  <c r="AM22" i="11"/>
  <c r="AM19" i="11" s="1"/>
  <c r="BL21" i="19"/>
  <c r="BL289" i="19"/>
  <c r="BM271" i="19"/>
  <c r="BM283" i="19" s="1"/>
  <c r="BM291" i="19" s="1"/>
  <c r="BL217" i="19"/>
  <c r="AP13" i="29"/>
  <c r="AS14" i="29"/>
  <c r="T15" i="28"/>
  <c r="AO40" i="29"/>
  <c r="AO43" i="29" s="1"/>
  <c r="EA50" i="19"/>
  <c r="EA23" i="15"/>
  <c r="EA26" i="15"/>
  <c r="EA91" i="15"/>
  <c r="EA25" i="15"/>
  <c r="BM16" i="19"/>
  <c r="BN198" i="19"/>
  <c r="BM216" i="19"/>
  <c r="EC61" i="11"/>
  <c r="EC62" i="11" s="1"/>
  <c r="BK144" i="19"/>
  <c r="EC124" i="11"/>
  <c r="BL290" i="19"/>
  <c r="DZ84" i="1"/>
  <c r="DZ42" i="1"/>
  <c r="BM17" i="19"/>
  <c r="BN199" i="19"/>
  <c r="AP30" i="29"/>
  <c r="EE34" i="29"/>
  <c r="EE37" i="29" s="1"/>
  <c r="EB104" i="11"/>
  <c r="EB21" i="11" s="1"/>
  <c r="EA43" i="1"/>
  <c r="AN20" i="11"/>
  <c r="EA42" i="19"/>
  <c r="EA66" i="19" s="1"/>
  <c r="EA40" i="15"/>
  <c r="EA12" i="15"/>
  <c r="EA90" i="15"/>
  <c r="EA14" i="15"/>
  <c r="EA15" i="15"/>
  <c r="BM19" i="19"/>
  <c r="BM219" i="19"/>
  <c r="BN201" i="19"/>
  <c r="EC98" i="11"/>
  <c r="BL12" i="19"/>
  <c r="BL30" i="19" s="1"/>
  <c r="BM126" i="19"/>
  <c r="BM138" i="19" s="1"/>
  <c r="BL219" i="19"/>
  <c r="ED9" i="11"/>
  <c r="EE9" i="1"/>
  <c r="ED15" i="1"/>
  <c r="ED29" i="1"/>
  <c r="BL10" i="19"/>
  <c r="BL28" i="19" s="1"/>
  <c r="BM124" i="19"/>
  <c r="BM136" i="19" s="1"/>
  <c r="EC64" i="1"/>
  <c r="EC101" i="11"/>
  <c r="EC111" i="11"/>
  <c r="EC159" i="11" s="1"/>
  <c r="EC123" i="1" s="1"/>
  <c r="AP110" i="1"/>
  <c r="AQ106" i="1" s="1"/>
  <c r="AS99" i="1"/>
  <c r="BK36" i="19"/>
  <c r="EB129" i="11"/>
  <c r="EB139" i="11"/>
  <c r="EB162" i="11" s="1"/>
  <c r="EB20" i="11"/>
  <c r="EB92" i="11"/>
  <c r="CX110" i="1"/>
  <c r="CY106" i="1" s="1"/>
  <c r="CX99" i="1"/>
  <c r="BK9" i="19"/>
  <c r="BK27" i="19" s="1"/>
  <c r="BK33" i="19" s="1"/>
  <c r="BL123" i="19"/>
  <c r="BL135" i="19" s="1"/>
  <c r="BK141" i="19"/>
  <c r="BM24" i="19"/>
  <c r="BM292" i="19"/>
  <c r="BN274" i="19"/>
  <c r="ED10" i="11"/>
  <c r="BK34" i="19"/>
  <c r="EF13" i="29"/>
  <c r="EG9" i="29" s="1"/>
  <c r="EF30" i="29"/>
  <c r="EF34" i="29" s="1"/>
  <c r="EF37" i="29" s="1"/>
  <c r="BL11" i="19"/>
  <c r="BL29" i="19" s="1"/>
  <c r="BM125" i="19"/>
  <c r="BM137" i="19" s="1"/>
  <c r="EA16" i="11"/>
  <c r="EA34" i="1" s="1"/>
  <c r="AN41" i="11"/>
  <c r="AN16" i="11" s="1"/>
  <c r="EA42" i="11"/>
  <c r="R9" i="19"/>
  <c r="R27" i="19" s="1"/>
  <c r="R33" i="19" s="1"/>
  <c r="R141" i="19"/>
  <c r="EB16" i="11"/>
  <c r="EB34" i="1" s="1"/>
  <c r="EB42" i="11"/>
  <c r="BL293" i="19"/>
  <c r="R142" i="19"/>
  <c r="EC39" i="11"/>
  <c r="BL218" i="19"/>
  <c r="S34" i="28"/>
  <c r="S31" i="28"/>
  <c r="EB45" i="11"/>
  <c r="EA58" i="19"/>
  <c r="EA34" i="15"/>
  <c r="EA92" i="15"/>
  <c r="EA36" i="15"/>
  <c r="EA37" i="15"/>
  <c r="BK145" i="19"/>
  <c r="BM25" i="19"/>
  <c r="BN275" i="19"/>
  <c r="BM293" i="19"/>
  <c r="R34" i="19"/>
  <c r="EA162" i="11"/>
  <c r="AN139" i="11"/>
  <c r="BM18" i="19"/>
  <c r="BM218" i="19"/>
  <c r="BN200" i="19"/>
  <c r="AQ126" i="26" l="1"/>
  <c r="AQ164" i="26"/>
  <c r="AQ163" i="26" s="1"/>
  <c r="AR100" i="26"/>
  <c r="AR101" i="26" s="1"/>
  <c r="AR121" i="26"/>
  <c r="EC40" i="11"/>
  <c r="EC67" i="11"/>
  <c r="EA63" i="19"/>
  <c r="EB29" i="15"/>
  <c r="EF38" i="29"/>
  <c r="EF42" i="29"/>
  <c r="BL9" i="19"/>
  <c r="BL27" i="19" s="1"/>
  <c r="BL33" i="19" s="1"/>
  <c r="BM123" i="19"/>
  <c r="BM135" i="19" s="1"/>
  <c r="BL141" i="19"/>
  <c r="EB130" i="11"/>
  <c r="EA47" i="19"/>
  <c r="EA71" i="19" s="1"/>
  <c r="EB7" i="15"/>
  <c r="EA45" i="15"/>
  <c r="R37" i="19"/>
  <c r="EA55" i="19"/>
  <c r="EB18" i="15"/>
  <c r="S275" i="19"/>
  <c r="S287" i="19" s="1"/>
  <c r="BN287" i="19"/>
  <c r="EC41" i="11"/>
  <c r="EG13" i="29"/>
  <c r="EH9" i="29" s="1"/>
  <c r="EG30" i="29"/>
  <c r="EG34" i="29" s="1"/>
  <c r="EG37" i="29" s="1"/>
  <c r="AP37" i="29" s="1"/>
  <c r="EE14" i="1"/>
  <c r="AP9" i="1"/>
  <c r="EE97" i="1"/>
  <c r="EE98" i="1"/>
  <c r="EA48" i="15"/>
  <c r="EA47" i="15"/>
  <c r="EE38" i="29"/>
  <c r="EE42" i="29"/>
  <c r="R35" i="19"/>
  <c r="S273" i="19"/>
  <c r="S285" i="19" s="1"/>
  <c r="BN285" i="19"/>
  <c r="EA46" i="11"/>
  <c r="AN42" i="11"/>
  <c r="AN46" i="11" s="1"/>
  <c r="ED80" i="11"/>
  <c r="ED107" i="11"/>
  <c r="ED135" i="11"/>
  <c r="J10" i="11"/>
  <c r="AO10" i="11"/>
  <c r="CY110" i="1"/>
  <c r="CZ106" i="1" s="1"/>
  <c r="CY99" i="1"/>
  <c r="BL142" i="19"/>
  <c r="S198" i="19"/>
  <c r="S210" i="19" s="1"/>
  <c r="BN210" i="19"/>
  <c r="T16" i="28"/>
  <c r="E16" i="28" s="1"/>
  <c r="T26" i="28"/>
  <c r="E26" i="28" s="1"/>
  <c r="T33" i="28"/>
  <c r="T22" i="28"/>
  <c r="E22" i="28" s="1"/>
  <c r="T20" i="28"/>
  <c r="T23" i="28"/>
  <c r="E23" i="28" s="1"/>
  <c r="T27" i="28"/>
  <c r="E27" i="28" s="1"/>
  <c r="T21" i="28"/>
  <c r="E21" i="28" s="1"/>
  <c r="E15" i="28"/>
  <c r="DY84" i="1"/>
  <c r="DY42" i="1"/>
  <c r="AN149" i="11"/>
  <c r="BN212" i="19"/>
  <c r="S200" i="19"/>
  <c r="S212" i="19" s="1"/>
  <c r="U8" i="28"/>
  <c r="AS71" i="26" s="1"/>
  <c r="AS78" i="26" s="1"/>
  <c r="AP34" i="29"/>
  <c r="U12" i="28" s="1"/>
  <c r="AS75" i="26" s="1"/>
  <c r="AS82" i="26" s="1"/>
  <c r="AS35" i="29"/>
  <c r="EA33" i="1"/>
  <c r="EA55" i="1"/>
  <c r="EA39" i="1"/>
  <c r="AN34" i="1"/>
  <c r="S274" i="19"/>
  <c r="S286" i="19" s="1"/>
  <c r="BN286" i="19"/>
  <c r="AQ110" i="1"/>
  <c r="AR106" i="1" s="1"/>
  <c r="AT99" i="1"/>
  <c r="BM10" i="19"/>
  <c r="BM28" i="19" s="1"/>
  <c r="BN124" i="19"/>
  <c r="BM142" i="19"/>
  <c r="BL144" i="19"/>
  <c r="EA85" i="1"/>
  <c r="EA82" i="1"/>
  <c r="EA57" i="1"/>
  <c r="EA54" i="1"/>
  <c r="ED94" i="1"/>
  <c r="AN43" i="1"/>
  <c r="S199" i="19"/>
  <c r="S211" i="19" s="1"/>
  <c r="BN211" i="19"/>
  <c r="BL145" i="19"/>
  <c r="S201" i="19"/>
  <c r="S213" i="19" s="1"/>
  <c r="BN213" i="19"/>
  <c r="S35" i="28"/>
  <c r="EB46" i="11"/>
  <c r="BL143" i="19"/>
  <c r="BL34" i="19"/>
  <c r="BM12" i="19"/>
  <c r="BM30" i="19" s="1"/>
  <c r="BN126" i="19"/>
  <c r="BM144" i="19"/>
  <c r="R36" i="19"/>
  <c r="DX84" i="1"/>
  <c r="DX42" i="1"/>
  <c r="AM45" i="1"/>
  <c r="AM84" i="1" s="1"/>
  <c r="EC140" i="11"/>
  <c r="BK37" i="19"/>
  <c r="BM13" i="19"/>
  <c r="BM31" i="19" s="1"/>
  <c r="BM145" i="19"/>
  <c r="BN127" i="19"/>
  <c r="AN162" i="11"/>
  <c r="AN163" i="11" s="1"/>
  <c r="AN142" i="11"/>
  <c r="EA126" i="1"/>
  <c r="AN126" i="1" s="1"/>
  <c r="AN127" i="1" s="1"/>
  <c r="EA163" i="11"/>
  <c r="BM11" i="19"/>
  <c r="BM29" i="19" s="1"/>
  <c r="BN125" i="19"/>
  <c r="BM143" i="19"/>
  <c r="EB43" i="1"/>
  <c r="ED38" i="11"/>
  <c r="ED28" i="1"/>
  <c r="AO29" i="1"/>
  <c r="BL36" i="19"/>
  <c r="EB44" i="1"/>
  <c r="DZ65" i="1"/>
  <c r="DZ71" i="1" s="1"/>
  <c r="DZ48" i="1"/>
  <c r="S272" i="19"/>
  <c r="S284" i="19" s="1"/>
  <c r="BN284" i="19"/>
  <c r="BL37" i="19"/>
  <c r="EB55" i="1"/>
  <c r="EB33" i="1"/>
  <c r="EB39" i="1"/>
  <c r="BL35" i="19"/>
  <c r="EB126" i="1"/>
  <c r="EB163" i="11"/>
  <c r="EC102" i="11"/>
  <c r="BM21" i="19"/>
  <c r="BM289" i="19"/>
  <c r="BN271" i="19"/>
  <c r="BM290" i="19"/>
  <c r="BM15" i="19"/>
  <c r="BN197" i="19"/>
  <c r="BM215" i="19"/>
  <c r="BK35" i="19"/>
  <c r="T17" i="28" l="1"/>
  <c r="AS97" i="26"/>
  <c r="AS87" i="26" s="1"/>
  <c r="AR124" i="26"/>
  <c r="AR123" i="26"/>
  <c r="EB81" i="1"/>
  <c r="EB38" i="1"/>
  <c r="EB37" i="1"/>
  <c r="DX65" i="1"/>
  <c r="DX48" i="1"/>
  <c r="AM48" i="1" s="1"/>
  <c r="AM42" i="1"/>
  <c r="S17" i="19"/>
  <c r="BN24" i="19"/>
  <c r="BO274" i="19"/>
  <c r="BO286" i="19" s="1"/>
  <c r="T18" i="28"/>
  <c r="E17" i="28"/>
  <c r="S23" i="19"/>
  <c r="EB42" i="19"/>
  <c r="EB12" i="15"/>
  <c r="AO7" i="15"/>
  <c r="EB40" i="15"/>
  <c r="EB14" i="15"/>
  <c r="EB90" i="15"/>
  <c r="EB15" i="15"/>
  <c r="S19" i="19"/>
  <c r="S197" i="19"/>
  <c r="S209" i="19" s="1"/>
  <c r="BN209" i="19"/>
  <c r="AO52" i="1"/>
  <c r="S127" i="19"/>
  <c r="S139" i="19" s="1"/>
  <c r="BN139" i="19"/>
  <c r="S24" i="19"/>
  <c r="S18" i="19"/>
  <c r="BN16" i="19"/>
  <c r="BO198" i="19"/>
  <c r="BO210" i="19" s="1"/>
  <c r="BN216" i="19"/>
  <c r="EC16" i="11"/>
  <c r="EC34" i="1" s="1"/>
  <c r="EC42" i="11"/>
  <c r="BN22" i="19"/>
  <c r="BO272" i="19"/>
  <c r="BO284" i="19" s="1"/>
  <c r="AN85" i="1"/>
  <c r="AN82" i="1"/>
  <c r="AN57" i="1"/>
  <c r="AN54" i="1"/>
  <c r="AO94" i="1"/>
  <c r="J94" i="1" s="1"/>
  <c r="AD19" i="25" s="1"/>
  <c r="AN55" i="1"/>
  <c r="AN39" i="1"/>
  <c r="BN18" i="19"/>
  <c r="BN218" i="19"/>
  <c r="BO200" i="19"/>
  <c r="BO212" i="19" s="1"/>
  <c r="S16" i="19"/>
  <c r="S216" i="19"/>
  <c r="ED123" i="11"/>
  <c r="ED134" i="11"/>
  <c r="J135" i="11"/>
  <c r="EW21" i="25" s="1"/>
  <c r="AO135" i="11"/>
  <c r="AO137" i="11" s="1"/>
  <c r="BN25" i="19"/>
  <c r="BO275" i="19"/>
  <c r="BO287" i="19" s="1"/>
  <c r="EB58" i="19"/>
  <c r="AO58" i="19" s="1"/>
  <c r="AO63" i="19" s="1"/>
  <c r="EB34" i="15"/>
  <c r="AO29" i="15"/>
  <c r="EB92" i="15"/>
  <c r="EB37" i="15"/>
  <c r="EB36" i="15"/>
  <c r="S22" i="19"/>
  <c r="ED64" i="1"/>
  <c r="AO28" i="1"/>
  <c r="S125" i="19"/>
  <c r="S137" i="19" s="1"/>
  <c r="BN137" i="19"/>
  <c r="T24" i="28"/>
  <c r="E20" i="28"/>
  <c r="ED106" i="11"/>
  <c r="ED97" i="11"/>
  <c r="ED112" i="11"/>
  <c r="J107" i="11"/>
  <c r="EM19" i="25" s="1"/>
  <c r="AO107" i="11"/>
  <c r="AO109" i="11" s="1"/>
  <c r="AP14" i="1"/>
  <c r="AS97" i="1"/>
  <c r="AS98" i="1"/>
  <c r="S25" i="19"/>
  <c r="DZ91" i="1"/>
  <c r="DZ102" i="1"/>
  <c r="EA144" i="11"/>
  <c r="EA127" i="1"/>
  <c r="EB85" i="1"/>
  <c r="EB82" i="1"/>
  <c r="EB57" i="1"/>
  <c r="EB54" i="1"/>
  <c r="EE94" i="1"/>
  <c r="EB144" i="11"/>
  <c r="EB127" i="1"/>
  <c r="S271" i="19"/>
  <c r="S283" i="19" s="1"/>
  <c r="BN283" i="19"/>
  <c r="BN291" i="19" s="1"/>
  <c r="ED39" i="11"/>
  <c r="AO38" i="11"/>
  <c r="S126" i="19"/>
  <c r="S138" i="19" s="1"/>
  <c r="BN138" i="19"/>
  <c r="BN19" i="19"/>
  <c r="BN219" i="19"/>
  <c r="BO201" i="19"/>
  <c r="BO213" i="19" s="1"/>
  <c r="S124" i="19"/>
  <c r="S136" i="19" s="1"/>
  <c r="BN136" i="19"/>
  <c r="DY48" i="1"/>
  <c r="DY65" i="1"/>
  <c r="ED60" i="11"/>
  <c r="ED79" i="11"/>
  <c r="J80" i="11"/>
  <c r="AO80" i="11"/>
  <c r="EE9" i="11"/>
  <c r="EE15" i="1"/>
  <c r="EF9" i="1"/>
  <c r="EE29" i="1"/>
  <c r="EB50" i="19"/>
  <c r="AO50" i="19" s="1"/>
  <c r="AO55" i="19" s="1"/>
  <c r="EB23" i="15"/>
  <c r="AO18" i="15"/>
  <c r="EB25" i="15"/>
  <c r="EB91" i="15"/>
  <c r="EB26" i="15"/>
  <c r="EC20" i="11"/>
  <c r="EC92" i="11"/>
  <c r="E33" i="28"/>
  <c r="EE10" i="11"/>
  <c r="EC129" i="11"/>
  <c r="EC139" i="11"/>
  <c r="EC162" i="11" s="1"/>
  <c r="EA81" i="1"/>
  <c r="EA37" i="1"/>
  <c r="EA38" i="1"/>
  <c r="AN33" i="1"/>
  <c r="EB83" i="1"/>
  <c r="AN100" i="1"/>
  <c r="AN101" i="1"/>
  <c r="U15" i="28"/>
  <c r="EG38" i="29"/>
  <c r="AP38" i="29" s="1"/>
  <c r="EG42" i="29"/>
  <c r="AP42" i="29" s="1"/>
  <c r="BM9" i="19"/>
  <c r="BM27" i="19" s="1"/>
  <c r="BM33" i="19" s="1"/>
  <c r="BN123" i="19"/>
  <c r="BM141" i="19"/>
  <c r="EC45" i="11"/>
  <c r="BN17" i="19"/>
  <c r="BO199" i="19"/>
  <c r="BO211" i="19" s="1"/>
  <c r="BN217" i="19"/>
  <c r="AR110" i="1"/>
  <c r="AS106" i="1" s="1"/>
  <c r="AU99" i="1"/>
  <c r="CZ110" i="1"/>
  <c r="DA106" i="1" s="1"/>
  <c r="CZ99" i="1"/>
  <c r="BN23" i="19"/>
  <c r="BO273" i="19"/>
  <c r="BO285" i="19" s="1"/>
  <c r="AQ9" i="29"/>
  <c r="EH13" i="29"/>
  <c r="EI9" i="29" s="1"/>
  <c r="EH30" i="29"/>
  <c r="EC104" i="11"/>
  <c r="EC21" i="11" s="1"/>
  <c r="AR126" i="26" l="1"/>
  <c r="AR164" i="26"/>
  <c r="AR163" i="26" s="1"/>
  <c r="AS100" i="26"/>
  <c r="AS101" i="26" s="1"/>
  <c r="AP40" i="29"/>
  <c r="AP43" i="29"/>
  <c r="EC126" i="1"/>
  <c r="EC163" i="11"/>
  <c r="AQ13" i="29"/>
  <c r="AT14" i="29"/>
  <c r="AN81" i="1"/>
  <c r="AN38" i="1"/>
  <c r="AN92" i="1" s="1"/>
  <c r="AN93" i="1" s="1"/>
  <c r="EC130" i="11"/>
  <c r="EF10" i="11"/>
  <c r="EF14" i="1"/>
  <c r="EF97" i="1"/>
  <c r="EF98" i="1"/>
  <c r="ED61" i="11"/>
  <c r="AO61" i="11" s="1"/>
  <c r="AO89" i="11" s="1"/>
  <c r="ED62" i="11"/>
  <c r="ED67" i="11"/>
  <c r="AO60" i="11"/>
  <c r="AO81" i="11" s="1"/>
  <c r="S21" i="19"/>
  <c r="S289" i="19"/>
  <c r="BO25" i="19"/>
  <c r="BP275" i="19"/>
  <c r="BP287" i="19" s="1"/>
  <c r="BO18" i="19"/>
  <c r="BP200" i="19"/>
  <c r="BP212" i="19" s="1"/>
  <c r="BM36" i="19"/>
  <c r="S15" i="19"/>
  <c r="S215" i="19"/>
  <c r="EB47" i="19"/>
  <c r="EC7" i="15"/>
  <c r="EB45" i="15"/>
  <c r="DX71" i="1"/>
  <c r="AM65" i="1"/>
  <c r="DX68" i="1"/>
  <c r="DY63" i="1" s="1"/>
  <c r="BO23" i="19"/>
  <c r="BP273" i="19"/>
  <c r="BP285" i="19" s="1"/>
  <c r="BO17" i="19"/>
  <c r="BP199" i="19"/>
  <c r="BP211" i="19" s="1"/>
  <c r="EE80" i="11"/>
  <c r="EE135" i="11"/>
  <c r="EE107" i="11"/>
  <c r="DY71" i="1"/>
  <c r="BN12" i="19"/>
  <c r="BN30" i="19" s="1"/>
  <c r="BO126" i="19"/>
  <c r="BO138" i="19" s="1"/>
  <c r="EB100" i="1"/>
  <c r="EB101" i="1"/>
  <c r="BM37" i="19"/>
  <c r="EC46" i="11"/>
  <c r="S292" i="19"/>
  <c r="S219" i="19"/>
  <c r="AO42" i="19"/>
  <c r="AO47" i="19" s="1"/>
  <c r="EB66" i="19"/>
  <c r="AO66" i="19" s="1"/>
  <c r="AO71" i="19" s="1"/>
  <c r="BN292" i="19"/>
  <c r="AS110" i="1"/>
  <c r="AT106" i="1" s="1"/>
  <c r="AV99" i="1"/>
  <c r="S12" i="19"/>
  <c r="S30" i="19" s="1"/>
  <c r="EB125" i="11"/>
  <c r="S293" i="19"/>
  <c r="BN11" i="19"/>
  <c r="BN29" i="19" s="1"/>
  <c r="BO125" i="19"/>
  <c r="BO137" i="19" s="1"/>
  <c r="AO64" i="1"/>
  <c r="AO74" i="1" s="1"/>
  <c r="S291" i="19"/>
  <c r="BO24" i="19"/>
  <c r="BP274" i="19"/>
  <c r="BP286" i="19" s="1"/>
  <c r="BM35" i="19"/>
  <c r="EA100" i="1"/>
  <c r="EA101" i="1"/>
  <c r="ED101" i="11"/>
  <c r="ED111" i="11"/>
  <c r="J112" i="11"/>
  <c r="EM24" i="25" s="1"/>
  <c r="AO112" i="11"/>
  <c r="AO114" i="11" s="1"/>
  <c r="S11" i="19"/>
  <c r="S29" i="19" s="1"/>
  <c r="S143" i="19"/>
  <c r="EC55" i="1"/>
  <c r="EC33" i="1"/>
  <c r="EC39" i="1"/>
  <c r="BN13" i="19"/>
  <c r="BN31" i="19" s="1"/>
  <c r="BO127" i="19"/>
  <c r="BO139" i="19" s="1"/>
  <c r="BN21" i="19"/>
  <c r="BN289" i="19"/>
  <c r="BO271" i="19"/>
  <c r="BO283" i="19" s="1"/>
  <c r="BO293" i="19" s="1"/>
  <c r="U16" i="28"/>
  <c r="U17" i="28" s="1"/>
  <c r="U33" i="28"/>
  <c r="U26" i="28"/>
  <c r="U27" i="28"/>
  <c r="U22" i="28"/>
  <c r="U21" i="28"/>
  <c r="U23" i="28"/>
  <c r="U20" i="28"/>
  <c r="EB92" i="1"/>
  <c r="EB93" i="1" s="1"/>
  <c r="AN37" i="1"/>
  <c r="EA92" i="1"/>
  <c r="EA93" i="1" s="1"/>
  <c r="AO23" i="15"/>
  <c r="AO91" i="15"/>
  <c r="AR25" i="15"/>
  <c r="AR26" i="15"/>
  <c r="BM34" i="19"/>
  <c r="EB55" i="19"/>
  <c r="EC18" i="15"/>
  <c r="BN10" i="19"/>
  <c r="BN28" i="19" s="1"/>
  <c r="BO124" i="19"/>
  <c r="BO136" i="19" s="1"/>
  <c r="EA125" i="11"/>
  <c r="AN144" i="11"/>
  <c r="ED98" i="11"/>
  <c r="AO98" i="11" s="1"/>
  <c r="AO117" i="11" s="1"/>
  <c r="AO97" i="11"/>
  <c r="AO34" i="15"/>
  <c r="AO92" i="15"/>
  <c r="AR37" i="15"/>
  <c r="AR36" i="15"/>
  <c r="AO134" i="11"/>
  <c r="AO161" i="11" s="1"/>
  <c r="J134" i="11"/>
  <c r="ED161" i="11"/>
  <c r="ED125" i="1" s="1"/>
  <c r="S13" i="19"/>
  <c r="S31" i="19" s="1"/>
  <c r="S145" i="19"/>
  <c r="S217" i="19"/>
  <c r="EC43" i="1"/>
  <c r="DA110" i="1"/>
  <c r="DB106" i="1" s="1"/>
  <c r="DA99" i="1"/>
  <c r="S10" i="19"/>
  <c r="S28" i="19" s="1"/>
  <c r="S142" i="19"/>
  <c r="J106" i="11"/>
  <c r="AO106" i="11"/>
  <c r="AO160" i="11" s="1"/>
  <c r="ED160" i="11"/>
  <c r="ED124" i="1" s="1"/>
  <c r="EB63" i="19"/>
  <c r="EC29" i="15"/>
  <c r="ED124" i="11"/>
  <c r="AO124" i="11" s="1"/>
  <c r="AO123" i="11"/>
  <c r="BN290" i="19"/>
  <c r="BO16" i="19"/>
  <c r="BP198" i="19"/>
  <c r="BP210" i="19" s="1"/>
  <c r="EI13" i="29"/>
  <c r="EJ9" i="29" s="1"/>
  <c r="EI30" i="29"/>
  <c r="EI34" i="29" s="1"/>
  <c r="EI37" i="29" s="1"/>
  <c r="J79" i="11"/>
  <c r="J157" i="11" s="1"/>
  <c r="AO79" i="11"/>
  <c r="ED157" i="11"/>
  <c r="EC44" i="1"/>
  <c r="AQ30" i="29"/>
  <c r="EH34" i="29"/>
  <c r="EH37" i="29" s="1"/>
  <c r="S123" i="19"/>
  <c r="S135" i="19" s="1"/>
  <c r="BN135" i="19"/>
  <c r="EE38" i="11"/>
  <c r="EE28" i="1"/>
  <c r="BO19" i="19"/>
  <c r="BP201" i="19"/>
  <c r="BP213" i="19" s="1"/>
  <c r="AO39" i="11"/>
  <c r="AP9" i="11"/>
  <c r="AP15" i="1"/>
  <c r="AP113" i="1"/>
  <c r="BO22" i="19"/>
  <c r="BP272" i="19"/>
  <c r="BP284" i="19" s="1"/>
  <c r="BO290" i="19"/>
  <c r="AO40" i="15"/>
  <c r="EB47" i="15"/>
  <c r="EB48" i="15"/>
  <c r="E18" i="28"/>
  <c r="T29" i="28"/>
  <c r="E24" i="28"/>
  <c r="S290" i="19"/>
  <c r="BN293" i="19"/>
  <c r="S218" i="19"/>
  <c r="BN15" i="19"/>
  <c r="BO197" i="19"/>
  <c r="BO209" i="19" s="1"/>
  <c r="BO218" i="19" s="1"/>
  <c r="BN215" i="19"/>
  <c r="AO12" i="15"/>
  <c r="AO90" i="15"/>
  <c r="AR15" i="15"/>
  <c r="AR14" i="15"/>
  <c r="AS110" i="26" l="1"/>
  <c r="AS120" i="26"/>
  <c r="AO47" i="11"/>
  <c r="AO44" i="11"/>
  <c r="AO157" i="11"/>
  <c r="AO82" i="11"/>
  <c r="BO217" i="19"/>
  <c r="BP22" i="19"/>
  <c r="BQ272" i="19"/>
  <c r="BO219" i="19"/>
  <c r="BN9" i="19"/>
  <c r="BN27" i="19" s="1"/>
  <c r="BN33" i="19" s="1"/>
  <c r="BN141" i="19"/>
  <c r="BO123" i="19"/>
  <c r="BO135" i="19" s="1"/>
  <c r="CN9" i="25"/>
  <c r="AO108" i="11"/>
  <c r="EC50" i="19"/>
  <c r="EC23" i="15"/>
  <c r="EC25" i="15"/>
  <c r="EC26" i="15"/>
  <c r="EC91" i="15"/>
  <c r="BN145" i="19"/>
  <c r="BN143" i="19"/>
  <c r="DY91" i="1"/>
  <c r="DY102" i="1"/>
  <c r="DY90" i="1"/>
  <c r="BP17" i="19"/>
  <c r="BQ199" i="19"/>
  <c r="DX91" i="1"/>
  <c r="DX102" i="1"/>
  <c r="DX90" i="1"/>
  <c r="AM71" i="1"/>
  <c r="DZ90" i="1"/>
  <c r="ED20" i="11"/>
  <c r="ED92" i="11"/>
  <c r="AO67" i="11"/>
  <c r="AO92" i="11" s="1"/>
  <c r="BN34" i="19"/>
  <c r="S9" i="19"/>
  <c r="S27" i="19" s="1"/>
  <c r="S33" i="19" s="1"/>
  <c r="S141" i="19"/>
  <c r="EI38" i="29"/>
  <c r="EI42" i="29"/>
  <c r="AO148" i="11"/>
  <c r="AO125" i="1"/>
  <c r="J125" i="1"/>
  <c r="BO13" i="19"/>
  <c r="BO31" i="19" s="1"/>
  <c r="BO145" i="19"/>
  <c r="BP127" i="19"/>
  <c r="BP139" i="19" s="1"/>
  <c r="BO11" i="19"/>
  <c r="BO29" i="19" s="1"/>
  <c r="BP125" i="19"/>
  <c r="BP137" i="19" s="1"/>
  <c r="BO143" i="19"/>
  <c r="ED40" i="11"/>
  <c r="AO62" i="11"/>
  <c r="AO90" i="11" s="1"/>
  <c r="BO15" i="19"/>
  <c r="BP197" i="19"/>
  <c r="BP209" i="19" s="1"/>
  <c r="BP217" i="19" s="1"/>
  <c r="BO215" i="19"/>
  <c r="EH38" i="29"/>
  <c r="EH42" i="29"/>
  <c r="EJ13" i="29"/>
  <c r="EK9" i="29" s="1"/>
  <c r="EJ30" i="29"/>
  <c r="EJ34" i="29" s="1"/>
  <c r="EJ37" i="29" s="1"/>
  <c r="AQ37" i="29" s="1"/>
  <c r="EC58" i="19"/>
  <c r="EC34" i="15"/>
  <c r="EC36" i="15"/>
  <c r="EC92" i="15"/>
  <c r="EC37" i="15"/>
  <c r="DB110" i="1"/>
  <c r="DC106" i="1" s="1"/>
  <c r="DB99" i="1"/>
  <c r="J161" i="11"/>
  <c r="EW20" i="25"/>
  <c r="U18" i="28"/>
  <c r="BN37" i="19"/>
  <c r="BO292" i="19"/>
  <c r="BN35" i="19"/>
  <c r="AT110" i="1"/>
  <c r="AU106" i="1" s="1"/>
  <c r="AU110" i="1" s="1"/>
  <c r="AV106" i="1" s="1"/>
  <c r="AV110" i="1" s="1"/>
  <c r="AW106" i="1" s="1"/>
  <c r="AW110" i="1" s="1"/>
  <c r="AW99" i="1"/>
  <c r="EE106" i="11"/>
  <c r="EE160" i="11" s="1"/>
  <c r="EE124" i="1" s="1"/>
  <c r="EE97" i="11"/>
  <c r="EE112" i="11"/>
  <c r="BO291" i="19"/>
  <c r="EC42" i="19"/>
  <c r="EC66" i="19" s="1"/>
  <c r="EC12" i="15"/>
  <c r="EC40" i="15"/>
  <c r="EC14" i="15"/>
  <c r="EC15" i="15"/>
  <c r="EC90" i="15"/>
  <c r="AO45" i="15"/>
  <c r="AR48" i="15"/>
  <c r="AR47" i="15"/>
  <c r="AO136" i="11"/>
  <c r="BP19" i="19"/>
  <c r="BQ201" i="19"/>
  <c r="V8" i="28"/>
  <c r="AT71" i="26" s="1"/>
  <c r="AT78" i="26" s="1"/>
  <c r="AQ34" i="29"/>
  <c r="V12" i="28" s="1"/>
  <c r="AT75" i="26" s="1"/>
  <c r="AT82" i="26" s="1"/>
  <c r="AT35" i="29"/>
  <c r="BO216" i="19"/>
  <c r="U24" i="28"/>
  <c r="AO111" i="11"/>
  <c r="AO159" i="11" s="1"/>
  <c r="ED159" i="11"/>
  <c r="ED123" i="1" s="1"/>
  <c r="J111" i="11"/>
  <c r="BP24" i="19"/>
  <c r="BQ274" i="19"/>
  <c r="EE134" i="11"/>
  <c r="EE161" i="11" s="1"/>
  <c r="EE125" i="1" s="1"/>
  <c r="EE123" i="11"/>
  <c r="BP23" i="19"/>
  <c r="BQ273" i="19"/>
  <c r="BP291" i="19"/>
  <c r="EB71" i="19"/>
  <c r="BP25" i="19"/>
  <c r="BQ275" i="19"/>
  <c r="BN36" i="19"/>
  <c r="BP16" i="19"/>
  <c r="BQ198" i="19"/>
  <c r="BP216" i="19"/>
  <c r="AO124" i="1"/>
  <c r="J124" i="1"/>
  <c r="EC85" i="1"/>
  <c r="EC82" i="1"/>
  <c r="EC57" i="1"/>
  <c r="EC54" i="1"/>
  <c r="EF94" i="1"/>
  <c r="EA132" i="11"/>
  <c r="EA22" i="11" s="1"/>
  <c r="AN125" i="11"/>
  <c r="ED102" i="11"/>
  <c r="AO102" i="11" s="1"/>
  <c r="AO118" i="11" s="1"/>
  <c r="AO101" i="11"/>
  <c r="AO113" i="11" s="1"/>
  <c r="EE60" i="11"/>
  <c r="EE79" i="11"/>
  <c r="EE157" i="11" s="1"/>
  <c r="S36" i="19"/>
  <c r="T34" i="28"/>
  <c r="E29" i="28"/>
  <c r="E31" i="28" s="1"/>
  <c r="T31" i="28"/>
  <c r="EE64" i="1"/>
  <c r="EC83" i="1"/>
  <c r="BN142" i="19"/>
  <c r="BO21" i="19"/>
  <c r="BP271" i="19"/>
  <c r="BP283" i="19" s="1"/>
  <c r="BO289" i="19"/>
  <c r="EC81" i="1"/>
  <c r="EC37" i="1"/>
  <c r="EC38" i="1"/>
  <c r="EB132" i="11"/>
  <c r="EB22" i="11" s="1"/>
  <c r="BO12" i="19"/>
  <c r="BO30" i="19" s="1"/>
  <c r="BP126" i="19"/>
  <c r="BP138" i="19" s="1"/>
  <c r="BO144" i="19"/>
  <c r="AN63" i="1"/>
  <c r="DY68" i="1"/>
  <c r="DZ63" i="1" s="1"/>
  <c r="DZ68" i="1" s="1"/>
  <c r="EA63" i="1" s="1"/>
  <c r="EF9" i="11"/>
  <c r="EF15" i="1"/>
  <c r="EG9" i="1"/>
  <c r="EF29" i="1"/>
  <c r="EC144" i="11"/>
  <c r="EC127" i="1"/>
  <c r="ED121" i="1"/>
  <c r="J160" i="11"/>
  <c r="EM18" i="25"/>
  <c r="BO10" i="19"/>
  <c r="BO28" i="19" s="1"/>
  <c r="BP124" i="19"/>
  <c r="BP136" i="19" s="1"/>
  <c r="BO142" i="19"/>
  <c r="S144" i="19"/>
  <c r="BN144" i="19"/>
  <c r="AM75" i="1"/>
  <c r="AB46" i="7"/>
  <c r="AB46" i="25"/>
  <c r="AM68" i="1"/>
  <c r="EF80" i="11"/>
  <c r="EF135" i="11"/>
  <c r="EF107" i="11"/>
  <c r="EE39" i="11"/>
  <c r="BP18" i="19"/>
  <c r="BQ200" i="19"/>
  <c r="BP218" i="19"/>
  <c r="AT97" i="26" l="1"/>
  <c r="AT87" i="26" s="1"/>
  <c r="AS112" i="26"/>
  <c r="AS121" i="26"/>
  <c r="V15" i="28"/>
  <c r="E34" i="28"/>
  <c r="T35" i="28"/>
  <c r="E35" i="28" s="1"/>
  <c r="T274" i="19"/>
  <c r="T286" i="19" s="1"/>
  <c r="BQ286" i="19"/>
  <c r="EG14" i="1"/>
  <c r="EG97" i="1"/>
  <c r="EG98" i="1"/>
  <c r="EA45" i="1"/>
  <c r="EA19" i="11"/>
  <c r="AN22" i="11"/>
  <c r="AN19" i="11" s="1"/>
  <c r="BP219" i="19"/>
  <c r="ED140" i="11"/>
  <c r="BP21" i="19"/>
  <c r="BP289" i="19"/>
  <c r="BQ271" i="19"/>
  <c r="BP293" i="19"/>
  <c r="T201" i="19"/>
  <c r="T213" i="19" s="1"/>
  <c r="BQ213" i="19"/>
  <c r="BP290" i="19"/>
  <c r="BP10" i="19"/>
  <c r="BP28" i="19" s="1"/>
  <c r="BQ124" i="19"/>
  <c r="EC92" i="1"/>
  <c r="EC93" i="1" s="1"/>
  <c r="EF112" i="11"/>
  <c r="EF97" i="11"/>
  <c r="EF106" i="11"/>
  <c r="EF160" i="11" s="1"/>
  <c r="EF124" i="1" s="1"/>
  <c r="T275" i="19"/>
  <c r="T287" i="19" s="1"/>
  <c r="BQ287" i="19"/>
  <c r="EE124" i="11"/>
  <c r="U29" i="28"/>
  <c r="BP11" i="19"/>
  <c r="BP29" i="19" s="1"/>
  <c r="BQ125" i="19"/>
  <c r="BP143" i="19"/>
  <c r="EC55" i="19"/>
  <c r="ED18" i="15"/>
  <c r="CC16" i="25"/>
  <c r="CC17" i="25" s="1"/>
  <c r="CN37" i="25"/>
  <c r="EF134" i="11"/>
  <c r="EF161" i="11" s="1"/>
  <c r="EF125" i="1" s="1"/>
  <c r="EF123" i="11"/>
  <c r="AO121" i="1"/>
  <c r="J121" i="1"/>
  <c r="EC47" i="15"/>
  <c r="EC48" i="15"/>
  <c r="BO35" i="19"/>
  <c r="AM91" i="1"/>
  <c r="AM102" i="1"/>
  <c r="AM89" i="1"/>
  <c r="AM90" i="1"/>
  <c r="EC125" i="11"/>
  <c r="EB45" i="1"/>
  <c r="EB19" i="11"/>
  <c r="T200" i="19"/>
  <c r="T212" i="19" s="1"/>
  <c r="BQ212" i="19"/>
  <c r="EF60" i="11"/>
  <c r="EF79" i="11"/>
  <c r="EF157" i="11" s="1"/>
  <c r="EC100" i="1"/>
  <c r="EC101" i="1"/>
  <c r="BP292" i="19"/>
  <c r="EC47" i="19"/>
  <c r="EC71" i="19" s="1"/>
  <c r="ED7" i="15"/>
  <c r="EC45" i="15"/>
  <c r="ED104" i="11"/>
  <c r="ED21" i="11" s="1"/>
  <c r="EC63" i="19"/>
  <c r="ED29" i="15"/>
  <c r="BP13" i="19"/>
  <c r="BP31" i="19" s="1"/>
  <c r="BQ127" i="19"/>
  <c r="ED43" i="1"/>
  <c r="AO20" i="11"/>
  <c r="T199" i="19"/>
  <c r="T211" i="19" s="1"/>
  <c r="BQ211" i="19"/>
  <c r="S35" i="19"/>
  <c r="BO9" i="19"/>
  <c r="BO27" i="19" s="1"/>
  <c r="BO33" i="19" s="1"/>
  <c r="BP123" i="19"/>
  <c r="BP135" i="19" s="1"/>
  <c r="BO141" i="19"/>
  <c r="AB44" i="25"/>
  <c r="AB44" i="7"/>
  <c r="BP15" i="19"/>
  <c r="BQ197" i="19"/>
  <c r="BP215" i="19"/>
  <c r="AO104" i="11"/>
  <c r="BO34" i="19"/>
  <c r="EF38" i="11"/>
  <c r="EF28" i="1"/>
  <c r="BP12" i="19"/>
  <c r="BP30" i="19" s="1"/>
  <c r="BQ126" i="19"/>
  <c r="BP144" i="19"/>
  <c r="BQ210" i="19"/>
  <c r="T198" i="19"/>
  <c r="T210" i="19" s="1"/>
  <c r="T273" i="19"/>
  <c r="T285" i="19" s="1"/>
  <c r="BQ285" i="19"/>
  <c r="CN13" i="25"/>
  <c r="EJ38" i="29"/>
  <c r="AQ38" i="29" s="1"/>
  <c r="EJ42" i="29"/>
  <c r="AQ42" i="29" s="1"/>
  <c r="BO37" i="19"/>
  <c r="S37" i="19"/>
  <c r="BO36" i="19"/>
  <c r="EE121" i="1"/>
  <c r="AN145" i="11"/>
  <c r="AN132" i="11"/>
  <c r="J159" i="11"/>
  <c r="EM23" i="25"/>
  <c r="EE101" i="11"/>
  <c r="EE111" i="11"/>
  <c r="EE159" i="11" s="1"/>
  <c r="EE123" i="1" s="1"/>
  <c r="AR9" i="29"/>
  <c r="EK13" i="29"/>
  <c r="EL9" i="29" s="1"/>
  <c r="EK30" i="29"/>
  <c r="S34" i="19"/>
  <c r="CN12" i="25"/>
  <c r="EE61" i="11"/>
  <c r="EE62" i="11"/>
  <c r="AO123" i="1"/>
  <c r="J123" i="1"/>
  <c r="EE98" i="11"/>
  <c r="DC110" i="1"/>
  <c r="DD106" i="1" s="1"/>
  <c r="DC99" i="1"/>
  <c r="ED45" i="11"/>
  <c r="AO40" i="11"/>
  <c r="AO45" i="11" s="1"/>
  <c r="ED41" i="11"/>
  <c r="BQ284" i="19"/>
  <c r="T272" i="19"/>
  <c r="T284" i="19" s="1"/>
  <c r="AQ40" i="29" l="1"/>
  <c r="AS123" i="26"/>
  <c r="AS124" i="26"/>
  <c r="AT100" i="26"/>
  <c r="AT101" i="26" s="1"/>
  <c r="AQ43" i="29"/>
  <c r="DD110" i="1"/>
  <c r="DE106" i="1" s="1"/>
  <c r="DD99" i="1"/>
  <c r="EL13" i="29"/>
  <c r="EM9" i="29" s="1"/>
  <c r="EL30" i="29"/>
  <c r="EL34" i="29" s="1"/>
  <c r="EL37" i="29" s="1"/>
  <c r="T16" i="19"/>
  <c r="BQ209" i="19"/>
  <c r="T197" i="19"/>
  <c r="T209" i="19" s="1"/>
  <c r="T216" i="19" s="1"/>
  <c r="BQ17" i="19"/>
  <c r="BR199" i="19"/>
  <c r="BR211" i="19" s="1"/>
  <c r="ED58" i="19"/>
  <c r="ED34" i="15"/>
  <c r="ED36" i="15"/>
  <c r="ED92" i="15"/>
  <c r="ED37" i="15"/>
  <c r="ED50" i="19"/>
  <c r="ED23" i="15"/>
  <c r="ED26" i="15"/>
  <c r="ED91" i="15"/>
  <c r="ED25" i="15"/>
  <c r="EF98" i="11"/>
  <c r="BQ283" i="19"/>
  <c r="T271" i="19"/>
  <c r="T283" i="19" s="1"/>
  <c r="BQ24" i="19"/>
  <c r="BR274" i="19"/>
  <c r="BR286" i="19" s="1"/>
  <c r="BQ292" i="19"/>
  <c r="AR13" i="29"/>
  <c r="AU14" i="29"/>
  <c r="BQ16" i="19"/>
  <c r="BR198" i="19"/>
  <c r="BR210" i="19" s="1"/>
  <c r="T17" i="19"/>
  <c r="T217" i="19"/>
  <c r="EF101" i="11"/>
  <c r="EF102" i="11" s="1"/>
  <c r="EF104" i="11" s="1"/>
  <c r="EF21" i="11" s="1"/>
  <c r="EF44" i="1" s="1"/>
  <c r="EF83" i="1" s="1"/>
  <c r="EF111" i="11"/>
  <c r="EF159" i="11" s="1"/>
  <c r="EF123" i="1" s="1"/>
  <c r="T24" i="19"/>
  <c r="T22" i="19"/>
  <c r="T290" i="19"/>
  <c r="ED44" i="1"/>
  <c r="AO21" i="11"/>
  <c r="EF121" i="1"/>
  <c r="EC132" i="11"/>
  <c r="EC22" i="11" s="1"/>
  <c r="EF64" i="1"/>
  <c r="ED82" i="1"/>
  <c r="ED85" i="1"/>
  <c r="ED57" i="1"/>
  <c r="ED54" i="1"/>
  <c r="EG94" i="1"/>
  <c r="AO43" i="1"/>
  <c r="EF61" i="11"/>
  <c r="EF67" i="11" s="1"/>
  <c r="EF62" i="11"/>
  <c r="EF40" i="11" s="1"/>
  <c r="EF45" i="11" s="1"/>
  <c r="EF124" i="11"/>
  <c r="T125" i="19"/>
  <c r="T137" i="19" s="1"/>
  <c r="BQ137" i="19"/>
  <c r="ED129" i="11"/>
  <c r="ED139" i="11"/>
  <c r="J140" i="11"/>
  <c r="EW26" i="25" s="1"/>
  <c r="AO140" i="11"/>
  <c r="EA84" i="1"/>
  <c r="AN45" i="1"/>
  <c r="AN84" i="1" s="1"/>
  <c r="EA42" i="1"/>
  <c r="ED42" i="19"/>
  <c r="ED66" i="19" s="1"/>
  <c r="ED12" i="15"/>
  <c r="ED40" i="15"/>
  <c r="ED14" i="15"/>
  <c r="ED90" i="15"/>
  <c r="ED15" i="15"/>
  <c r="BP35" i="19"/>
  <c r="BQ25" i="19"/>
  <c r="BR275" i="19"/>
  <c r="BR287" i="19" s="1"/>
  <c r="BQ293" i="19"/>
  <c r="BQ19" i="19"/>
  <c r="BR201" i="19"/>
  <c r="BR213" i="19" s="1"/>
  <c r="BQ219" i="19"/>
  <c r="EE40" i="11"/>
  <c r="BQ22" i="19"/>
  <c r="BR272" i="19"/>
  <c r="BR284" i="19" s="1"/>
  <c r="BQ290" i="19"/>
  <c r="ED16" i="11"/>
  <c r="ED34" i="1" s="1"/>
  <c r="ED42" i="11"/>
  <c r="AO41" i="11"/>
  <c r="AO16" i="11" s="1"/>
  <c r="EE102" i="11"/>
  <c r="BP9" i="19"/>
  <c r="BP27" i="19" s="1"/>
  <c r="BP33" i="19" s="1"/>
  <c r="BP141" i="19"/>
  <c r="BQ123" i="19"/>
  <c r="BQ139" i="19"/>
  <c r="T127" i="19"/>
  <c r="T139" i="19" s="1"/>
  <c r="T18" i="19"/>
  <c r="T218" i="19"/>
  <c r="T25" i="19"/>
  <c r="T293" i="19"/>
  <c r="T19" i="19"/>
  <c r="T219" i="19"/>
  <c r="EE140" i="11"/>
  <c r="EF39" i="11"/>
  <c r="BQ23" i="19"/>
  <c r="BR273" i="19"/>
  <c r="BR285" i="19" s="1"/>
  <c r="BQ291" i="19"/>
  <c r="BQ138" i="19"/>
  <c r="T126" i="19"/>
  <c r="T138" i="19" s="1"/>
  <c r="BP145" i="19"/>
  <c r="U34" i="28"/>
  <c r="U31" i="28"/>
  <c r="BP142" i="19"/>
  <c r="EG9" i="11"/>
  <c r="EG15" i="1"/>
  <c r="EH9" i="1"/>
  <c r="EG29" i="1"/>
  <c r="BQ18" i="19"/>
  <c r="BR200" i="19"/>
  <c r="BR212" i="19" s="1"/>
  <c r="BQ218" i="19"/>
  <c r="EE67" i="11"/>
  <c r="AR30" i="29"/>
  <c r="EK34" i="29"/>
  <c r="EK37" i="29" s="1"/>
  <c r="CN11" i="25"/>
  <c r="T23" i="19"/>
  <c r="T291" i="19"/>
  <c r="BP36" i="19"/>
  <c r="BP37" i="19"/>
  <c r="EB84" i="1"/>
  <c r="EB42" i="1"/>
  <c r="T124" i="19"/>
  <c r="T136" i="19" s="1"/>
  <c r="BQ136" i="19"/>
  <c r="EG10" i="11"/>
  <c r="V33" i="28"/>
  <c r="V16" i="28"/>
  <c r="V21" i="28"/>
  <c r="V20" i="28"/>
  <c r="V26" i="28"/>
  <c r="V23" i="28"/>
  <c r="V22" i="28"/>
  <c r="V27" i="28"/>
  <c r="AS126" i="26" l="1"/>
  <c r="AS164" i="26"/>
  <c r="AS163" i="26" s="1"/>
  <c r="AT110" i="26"/>
  <c r="AT120" i="26"/>
  <c r="EF20" i="11"/>
  <c r="EF92" i="11"/>
  <c r="ED47" i="19"/>
  <c r="ED45" i="15"/>
  <c r="EE7" i="15"/>
  <c r="AO139" i="11"/>
  <c r="J139" i="11"/>
  <c r="ED162" i="11"/>
  <c r="BQ15" i="19"/>
  <c r="BR197" i="19"/>
  <c r="BR209" i="19" s="1"/>
  <c r="BQ215" i="19"/>
  <c r="EF41" i="11"/>
  <c r="EE20" i="11"/>
  <c r="EE92" i="11"/>
  <c r="BQ12" i="19"/>
  <c r="BQ30" i="19" s="1"/>
  <c r="BR126" i="19"/>
  <c r="BR138" i="19" s="1"/>
  <c r="BQ144" i="19"/>
  <c r="EE129" i="11"/>
  <c r="EE139" i="11"/>
  <c r="EE162" i="11" s="1"/>
  <c r="T13" i="19"/>
  <c r="T31" i="19" s="1"/>
  <c r="BR25" i="19"/>
  <c r="BS275" i="19"/>
  <c r="BS287" i="19" s="1"/>
  <c r="ED130" i="11"/>
  <c r="AO130" i="11" s="1"/>
  <c r="AO149" i="11" s="1"/>
  <c r="AO129" i="11"/>
  <c r="AO141" i="11" s="1"/>
  <c r="ED83" i="1"/>
  <c r="AO44" i="1"/>
  <c r="AO83" i="1" s="1"/>
  <c r="ED63" i="19"/>
  <c r="EE29" i="15"/>
  <c r="BQ10" i="19"/>
  <c r="BQ28" i="19" s="1"/>
  <c r="BR124" i="19"/>
  <c r="BR136" i="19" s="1"/>
  <c r="BR23" i="19"/>
  <c r="BS273" i="19"/>
  <c r="BS285" i="19" s="1"/>
  <c r="BQ135" i="19"/>
  <c r="T123" i="19"/>
  <c r="T135" i="19" s="1"/>
  <c r="EA65" i="1"/>
  <c r="AN42" i="1"/>
  <c r="EA48" i="1"/>
  <c r="AN48" i="1" s="1"/>
  <c r="BR24" i="19"/>
  <c r="BS274" i="19"/>
  <c r="BS286" i="19" s="1"/>
  <c r="EL38" i="29"/>
  <c r="EL42" i="29"/>
  <c r="AR34" i="29"/>
  <c r="W12" i="28" s="1"/>
  <c r="AU75" i="26" s="1"/>
  <c r="AU82" i="26" s="1"/>
  <c r="W8" i="28"/>
  <c r="AU71" i="26" s="1"/>
  <c r="AU78" i="26" s="1"/>
  <c r="AU35" i="29"/>
  <c r="EG80" i="11"/>
  <c r="EG135" i="11"/>
  <c r="EG107" i="11"/>
  <c r="AP10" i="11"/>
  <c r="BQ13" i="19"/>
  <c r="BQ31" i="19" s="1"/>
  <c r="BR127" i="19"/>
  <c r="BR139" i="19" s="1"/>
  <c r="BR18" i="19"/>
  <c r="BS200" i="19"/>
  <c r="BS212" i="19" s="1"/>
  <c r="BR218" i="19"/>
  <c r="ED46" i="11"/>
  <c r="AO42" i="11"/>
  <c r="AO46" i="11" s="1"/>
  <c r="T10" i="19"/>
  <c r="T28" i="19" s="1"/>
  <c r="ED33" i="1"/>
  <c r="ED55" i="1"/>
  <c r="ED39" i="1"/>
  <c r="AO34" i="1"/>
  <c r="EE45" i="11"/>
  <c r="EE41" i="11"/>
  <c r="BQ11" i="19"/>
  <c r="BQ29" i="19" s="1"/>
  <c r="BR125" i="19"/>
  <c r="BR137" i="19" s="1"/>
  <c r="BQ143" i="19"/>
  <c r="AO85" i="1"/>
  <c r="AO82" i="1"/>
  <c r="AO57" i="1"/>
  <c r="AO54" i="1"/>
  <c r="AP94" i="1"/>
  <c r="BQ217" i="19"/>
  <c r="EM13" i="29"/>
  <c r="EN9" i="29" s="1"/>
  <c r="EM30" i="29"/>
  <c r="EM34" i="29" s="1"/>
  <c r="EM37" i="29" s="1"/>
  <c r="V24" i="28"/>
  <c r="EB65" i="1"/>
  <c r="EB48" i="1"/>
  <c r="CN38" i="25"/>
  <c r="EE104" i="11"/>
  <c r="EE21" i="11" s="1"/>
  <c r="T11" i="19"/>
  <c r="T29" i="19" s="1"/>
  <c r="EC45" i="1"/>
  <c r="EC19" i="11"/>
  <c r="BQ216" i="19"/>
  <c r="T21" i="19"/>
  <c r="T289" i="19"/>
  <c r="ED55" i="19"/>
  <c r="EE18" i="15"/>
  <c r="BR17" i="19"/>
  <c r="BS199" i="19"/>
  <c r="BS211" i="19" s="1"/>
  <c r="BR217" i="19"/>
  <c r="T12" i="19"/>
  <c r="T30" i="19" s="1"/>
  <c r="EG38" i="11"/>
  <c r="EG28" i="1"/>
  <c r="AP29" i="1"/>
  <c r="U35" i="28"/>
  <c r="BR22" i="19"/>
  <c r="BS272" i="19"/>
  <c r="BS284" i="19" s="1"/>
  <c r="BR19" i="19"/>
  <c r="BS201" i="19"/>
  <c r="BS213" i="19" s="1"/>
  <c r="BR219" i="19"/>
  <c r="T292" i="19"/>
  <c r="BR16" i="19"/>
  <c r="BS198" i="19"/>
  <c r="BS210" i="19" s="1"/>
  <c r="BR216" i="19"/>
  <c r="BQ21" i="19"/>
  <c r="BQ289" i="19"/>
  <c r="BR271" i="19"/>
  <c r="BR283" i="19" s="1"/>
  <c r="BR291" i="19" s="1"/>
  <c r="DE110" i="1"/>
  <c r="DF106" i="1" s="1"/>
  <c r="DE99" i="1"/>
  <c r="EH14" i="1"/>
  <c r="AQ9" i="1"/>
  <c r="EH97" i="1"/>
  <c r="EH98" i="1"/>
  <c r="V17" i="28"/>
  <c r="AR37" i="29"/>
  <c r="EK38" i="29"/>
  <c r="EK42" i="29"/>
  <c r="ED48" i="15"/>
  <c r="ED47" i="15"/>
  <c r="EF140" i="11"/>
  <c r="BP34" i="19"/>
  <c r="T15" i="19"/>
  <c r="T215" i="19"/>
  <c r="AU97" i="26" l="1"/>
  <c r="AU87" i="26" s="1"/>
  <c r="AT112" i="26"/>
  <c r="AT121" i="26"/>
  <c r="EH9" i="11"/>
  <c r="EH15" i="1"/>
  <c r="EI9" i="1"/>
  <c r="EH29" i="1"/>
  <c r="EN13" i="29"/>
  <c r="EO9" i="29" s="1"/>
  <c r="EN30" i="29"/>
  <c r="AS9" i="29"/>
  <c r="EA71" i="1"/>
  <c r="AN65" i="1"/>
  <c r="EA68" i="1"/>
  <c r="EB63" i="1" s="1"/>
  <c r="BR293" i="19"/>
  <c r="J162" i="11"/>
  <c r="EW25" i="25"/>
  <c r="BS16" i="19"/>
  <c r="BT198" i="19"/>
  <c r="AO55" i="1"/>
  <c r="AO39" i="1"/>
  <c r="T9" i="19"/>
  <c r="T27" i="19" s="1"/>
  <c r="T33" i="19" s="1"/>
  <c r="T141" i="19"/>
  <c r="BS25" i="19"/>
  <c r="BT275" i="19"/>
  <c r="AO162" i="11"/>
  <c r="AO163" i="11" s="1"/>
  <c r="AO142" i="11"/>
  <c r="EC84" i="1"/>
  <c r="EC42" i="1"/>
  <c r="W15" i="28"/>
  <c r="BR290" i="19"/>
  <c r="EE50" i="19"/>
  <c r="AP50" i="19" s="1"/>
  <c r="AP55" i="19" s="1"/>
  <c r="AP18" i="15"/>
  <c r="EE23" i="15"/>
  <c r="EE25" i="15"/>
  <c r="EE91" i="15"/>
  <c r="EE26" i="15"/>
  <c r="T143" i="19"/>
  <c r="BQ9" i="19"/>
  <c r="BQ27" i="19" s="1"/>
  <c r="BQ33" i="19" s="1"/>
  <c r="BR123" i="19"/>
  <c r="BR135" i="19" s="1"/>
  <c r="BQ141" i="19"/>
  <c r="EE58" i="19"/>
  <c r="AP58" i="19" s="1"/>
  <c r="AP63" i="19" s="1"/>
  <c r="AP29" i="15"/>
  <c r="EE34" i="15"/>
  <c r="EE37" i="15"/>
  <c r="EE36" i="15"/>
  <c r="EE92" i="15"/>
  <c r="BR12" i="19"/>
  <c r="BR30" i="19" s="1"/>
  <c r="BS126" i="19"/>
  <c r="BS138" i="19" s="1"/>
  <c r="BR144" i="19"/>
  <c r="EE42" i="19"/>
  <c r="AP7" i="15"/>
  <c r="EE12" i="15"/>
  <c r="EE40" i="15"/>
  <c r="EE15" i="15"/>
  <c r="EE14" i="15"/>
  <c r="EE90" i="15"/>
  <c r="BS17" i="19"/>
  <c r="BT199" i="19"/>
  <c r="EG64" i="1"/>
  <c r="AP28" i="1"/>
  <c r="V18" i="28"/>
  <c r="DF110" i="1"/>
  <c r="DG106" i="1" s="1"/>
  <c r="DF99" i="1"/>
  <c r="BS22" i="19"/>
  <c r="BT272" i="19"/>
  <c r="EG39" i="11"/>
  <c r="AP38" i="11"/>
  <c r="T35" i="19"/>
  <c r="V29" i="28"/>
  <c r="V31" i="28" s="1"/>
  <c r="BR11" i="19"/>
  <c r="BR29" i="19" s="1"/>
  <c r="BS125" i="19"/>
  <c r="BS137" i="19" s="1"/>
  <c r="BR143" i="19"/>
  <c r="BS18" i="19"/>
  <c r="BT200" i="19"/>
  <c r="EG97" i="11"/>
  <c r="EG106" i="11"/>
  <c r="EG112" i="11"/>
  <c r="AP107" i="11"/>
  <c r="AP109" i="11" s="1"/>
  <c r="BS24" i="19"/>
  <c r="BT274" i="19"/>
  <c r="BS23" i="19"/>
  <c r="BT273" i="19"/>
  <c r="T145" i="19"/>
  <c r="BQ36" i="19"/>
  <c r="EF16" i="11"/>
  <c r="EF34" i="1" s="1"/>
  <c r="EF42" i="11"/>
  <c r="EF46" i="11" s="1"/>
  <c r="EF129" i="11"/>
  <c r="EF130" i="11" s="1"/>
  <c r="EF139" i="11"/>
  <c r="EF162" i="11" s="1"/>
  <c r="BQ35" i="19"/>
  <c r="ED81" i="1"/>
  <c r="ED37" i="1"/>
  <c r="ED38" i="1"/>
  <c r="AO33" i="1"/>
  <c r="EG134" i="11"/>
  <c r="EG123" i="11"/>
  <c r="AP135" i="11"/>
  <c r="AP137" i="11" s="1"/>
  <c r="BR292" i="19"/>
  <c r="T37" i="19"/>
  <c r="ED71" i="19"/>
  <c r="BS19" i="19"/>
  <c r="BT201" i="19"/>
  <c r="T144" i="19"/>
  <c r="EE16" i="11"/>
  <c r="EE34" i="1" s="1"/>
  <c r="EE42" i="11"/>
  <c r="T142" i="19"/>
  <c r="EG60" i="11"/>
  <c r="EG79" i="11"/>
  <c r="AP80" i="11"/>
  <c r="BR15" i="19"/>
  <c r="BS197" i="19"/>
  <c r="BS209" i="19" s="1"/>
  <c r="BR215" i="19"/>
  <c r="EH10" i="11"/>
  <c r="BR21" i="19"/>
  <c r="BS271" i="19"/>
  <c r="BS283" i="19" s="1"/>
  <c r="BS293" i="19" s="1"/>
  <c r="BR289" i="19"/>
  <c r="EE44" i="1"/>
  <c r="T36" i="19"/>
  <c r="CN44" i="25"/>
  <c r="T34" i="19"/>
  <c r="BQ145" i="19"/>
  <c r="BQ142" i="19"/>
  <c r="EE126" i="1"/>
  <c r="EE163" i="11"/>
  <c r="EE43" i="1"/>
  <c r="EB71" i="1"/>
  <c r="AQ14" i="1"/>
  <c r="AT97" i="1"/>
  <c r="AT98" i="1"/>
  <c r="AP52" i="1"/>
  <c r="EM38" i="29"/>
  <c r="AR38" i="29" s="1"/>
  <c r="EM42" i="29"/>
  <c r="BR13" i="19"/>
  <c r="BR31" i="19" s="1"/>
  <c r="BS127" i="19"/>
  <c r="BS139" i="19" s="1"/>
  <c r="BR145" i="19"/>
  <c r="BR10" i="19"/>
  <c r="BR28" i="19" s="1"/>
  <c r="BS124" i="19"/>
  <c r="BS136" i="19" s="1"/>
  <c r="BR142" i="19"/>
  <c r="EE130" i="11"/>
  <c r="ED126" i="1"/>
  <c r="ED163" i="11"/>
  <c r="EF43" i="1"/>
  <c r="AT124" i="26" l="1"/>
  <c r="AT123" i="26"/>
  <c r="AU100" i="26"/>
  <c r="AU101" i="26" s="1"/>
  <c r="AR40" i="29"/>
  <c r="BS11" i="19"/>
  <c r="BS29" i="19" s="1"/>
  <c r="BT125" i="19"/>
  <c r="AP39" i="11"/>
  <c r="AR42" i="29"/>
  <c r="J173" i="11"/>
  <c r="CN14" i="25"/>
  <c r="J163" i="11"/>
  <c r="AS30" i="29"/>
  <c r="EN34" i="29"/>
  <c r="EN37" i="29" s="1"/>
  <c r="EG157" i="11"/>
  <c r="AP79" i="11"/>
  <c r="BS13" i="19"/>
  <c r="BS31" i="19" s="1"/>
  <c r="BT127" i="19"/>
  <c r="EE144" i="11"/>
  <c r="EE127" i="1"/>
  <c r="EH80" i="11"/>
  <c r="EH107" i="11"/>
  <c r="EH135" i="11"/>
  <c r="AQ9" i="11"/>
  <c r="AQ15" i="1"/>
  <c r="AQ113" i="1"/>
  <c r="U273" i="19"/>
  <c r="U285" i="19" s="1"/>
  <c r="BT285" i="19"/>
  <c r="EG101" i="11"/>
  <c r="EG111" i="11"/>
  <c r="AP112" i="11"/>
  <c r="AP114" i="11" s="1"/>
  <c r="U272" i="19"/>
  <c r="U284" i="19" s="1"/>
  <c r="BT284" i="19"/>
  <c r="AP64" i="1"/>
  <c r="BS12" i="19"/>
  <c r="BS30" i="19" s="1"/>
  <c r="BT126" i="19"/>
  <c r="EC65" i="1"/>
  <c r="EC48" i="1"/>
  <c r="EO13" i="29"/>
  <c r="EP9" i="29" s="1"/>
  <c r="EO30" i="29"/>
  <c r="EO34" i="29" s="1"/>
  <c r="EO37" i="29" s="1"/>
  <c r="EB91" i="1"/>
  <c r="EB102" i="1"/>
  <c r="EB90" i="1"/>
  <c r="EE83" i="1"/>
  <c r="BS15" i="19"/>
  <c r="BT197" i="19"/>
  <c r="BS215" i="19"/>
  <c r="EE46" i="11"/>
  <c r="BS219" i="19"/>
  <c r="EG124" i="11"/>
  <c r="AP123" i="11"/>
  <c r="BS291" i="19"/>
  <c r="AP106" i="11"/>
  <c r="AP160" i="11" s="1"/>
  <c r="EG160" i="11"/>
  <c r="EG124" i="1" s="1"/>
  <c r="AP124" i="1" s="1"/>
  <c r="BS290" i="19"/>
  <c r="BR36" i="19"/>
  <c r="BR9" i="19"/>
  <c r="BR27" i="19" s="1"/>
  <c r="BR33" i="19" s="1"/>
  <c r="BS123" i="19"/>
  <c r="BS135" i="19" s="1"/>
  <c r="BS144" i="19" s="1"/>
  <c r="BR141" i="19"/>
  <c r="EE55" i="19"/>
  <c r="EF18" i="15"/>
  <c r="BQ34" i="19"/>
  <c r="EH38" i="11"/>
  <c r="EH28" i="1"/>
  <c r="ED144" i="11"/>
  <c r="ED127" i="1"/>
  <c r="J126" i="1"/>
  <c r="J127" i="1" s="1"/>
  <c r="J100" i="1" s="1"/>
  <c r="CN17" i="25" s="1"/>
  <c r="AO126" i="1"/>
  <c r="AO127" i="1" s="1"/>
  <c r="EG61" i="11"/>
  <c r="EG62" i="11" s="1"/>
  <c r="AP60" i="11"/>
  <c r="AP81" i="11" s="1"/>
  <c r="U201" i="19"/>
  <c r="U213" i="19" s="1"/>
  <c r="BT213" i="19"/>
  <c r="AP134" i="11"/>
  <c r="AP161" i="11" s="1"/>
  <c r="EG161" i="11"/>
  <c r="EG125" i="1" s="1"/>
  <c r="AP125" i="1" s="1"/>
  <c r="EF126" i="1"/>
  <c r="EF163" i="11"/>
  <c r="EG98" i="11"/>
  <c r="AP97" i="11"/>
  <c r="V34" i="28"/>
  <c r="AP23" i="15"/>
  <c r="AS26" i="15"/>
  <c r="AS25" i="15"/>
  <c r="AP91" i="15"/>
  <c r="AO63" i="1"/>
  <c r="EB68" i="1"/>
  <c r="EC63" i="1" s="1"/>
  <c r="EC68" i="1" s="1"/>
  <c r="ED63" i="1" s="1"/>
  <c r="EE33" i="1"/>
  <c r="EE55" i="1"/>
  <c r="EE39" i="1"/>
  <c r="AO81" i="1"/>
  <c r="AO38" i="1"/>
  <c r="AO92" i="1" s="1"/>
  <c r="AO93" i="1" s="1"/>
  <c r="BS292" i="19"/>
  <c r="BS218" i="19"/>
  <c r="BS217" i="19"/>
  <c r="AP40" i="15"/>
  <c r="EE48" i="15"/>
  <c r="EE47" i="15"/>
  <c r="BS216" i="19"/>
  <c r="AN75" i="1"/>
  <c r="AC46" i="25"/>
  <c r="AC46" i="7"/>
  <c r="AN68" i="1"/>
  <c r="EI10" i="11"/>
  <c r="EI14" i="1"/>
  <c r="EI97" i="1"/>
  <c r="EI98" i="1"/>
  <c r="EE82" i="1"/>
  <c r="EE85" i="1"/>
  <c r="EE57" i="1"/>
  <c r="EE54" i="1"/>
  <c r="EH94" i="1"/>
  <c r="EF82" i="1"/>
  <c r="EF85" i="1"/>
  <c r="EF57" i="1"/>
  <c r="EF54" i="1"/>
  <c r="EI94" i="1"/>
  <c r="BS10" i="19"/>
  <c r="BS28" i="19" s="1"/>
  <c r="BT124" i="19"/>
  <c r="BS142" i="19"/>
  <c r="U274" i="19"/>
  <c r="U286" i="19" s="1"/>
  <c r="BT286" i="19"/>
  <c r="U200" i="19"/>
  <c r="U212" i="19" s="1"/>
  <c r="BT212" i="19"/>
  <c r="DG110" i="1"/>
  <c r="DH106" i="1" s="1"/>
  <c r="I106" i="1"/>
  <c r="DG99" i="1"/>
  <c r="U199" i="19"/>
  <c r="U211" i="19" s="1"/>
  <c r="BT211" i="19"/>
  <c r="EE47" i="19"/>
  <c r="EF7" i="15"/>
  <c r="EE45" i="15"/>
  <c r="BT210" i="19"/>
  <c r="U198" i="19"/>
  <c r="U210" i="19" s="1"/>
  <c r="EA91" i="1"/>
  <c r="EA102" i="1"/>
  <c r="EA90" i="1"/>
  <c r="AN71" i="1"/>
  <c r="BR34" i="19"/>
  <c r="BS21" i="19"/>
  <c r="BT271" i="19"/>
  <c r="BS289" i="19"/>
  <c r="EF33" i="1"/>
  <c r="EF55" i="1"/>
  <c r="EF39" i="1"/>
  <c r="AP12" i="15"/>
  <c r="AS14" i="15"/>
  <c r="AP90" i="15"/>
  <c r="AS15" i="15"/>
  <c r="EE63" i="19"/>
  <c r="EF29" i="15"/>
  <c r="U275" i="19"/>
  <c r="U287" i="19" s="1"/>
  <c r="BT287" i="19"/>
  <c r="BQ37" i="19"/>
  <c r="AO37" i="1"/>
  <c r="ED92" i="1"/>
  <c r="ED93" i="1" s="1"/>
  <c r="AP42" i="19"/>
  <c r="AP47" i="19" s="1"/>
  <c r="EE66" i="19"/>
  <c r="AP66" i="19" s="1"/>
  <c r="AP71" i="19" s="1"/>
  <c r="AP34" i="15"/>
  <c r="AP92" i="15"/>
  <c r="AS37" i="15"/>
  <c r="AS36" i="15"/>
  <c r="W33" i="28"/>
  <c r="W16" i="28"/>
  <c r="W17" i="28" s="1"/>
  <c r="W22" i="28"/>
  <c r="W26" i="28"/>
  <c r="W27" i="28"/>
  <c r="W21" i="28"/>
  <c r="W23" i="28"/>
  <c r="W20" i="28"/>
  <c r="AS13" i="29"/>
  <c r="AV14" i="29"/>
  <c r="AT126" i="26" l="1"/>
  <c r="AT164" i="26"/>
  <c r="AT163" i="26" s="1"/>
  <c r="AU110" i="26"/>
  <c r="AU120" i="26"/>
  <c r="AR43" i="29"/>
  <c r="EG40" i="11"/>
  <c r="AP62" i="11"/>
  <c r="EG67" i="11"/>
  <c r="EF81" i="1"/>
  <c r="EF37" i="1"/>
  <c r="EF38" i="1"/>
  <c r="U17" i="19"/>
  <c r="BT23" i="19"/>
  <c r="BU273" i="19"/>
  <c r="BU285" i="19" s="1"/>
  <c r="EH134" i="11"/>
  <c r="EH161" i="11" s="1"/>
  <c r="EH125" i="1" s="1"/>
  <c r="EH123" i="11"/>
  <c r="W18" i="28"/>
  <c r="DH110" i="1"/>
  <c r="DI106" i="1" s="1"/>
  <c r="DH99" i="1"/>
  <c r="BT18" i="19"/>
  <c r="BU200" i="19"/>
  <c r="BU212" i="19" s="1"/>
  <c r="ED100" i="1"/>
  <c r="ED101" i="1"/>
  <c r="EF50" i="19"/>
  <c r="EF23" i="15"/>
  <c r="EF25" i="15"/>
  <c r="EF91" i="15"/>
  <c r="EF26" i="15"/>
  <c r="BT22" i="19"/>
  <c r="BU272" i="19"/>
  <c r="BU284" i="19" s="1"/>
  <c r="U23" i="19"/>
  <c r="EH97" i="11"/>
  <c r="EH112" i="11"/>
  <c r="EH106" i="11"/>
  <c r="EH160" i="11" s="1"/>
  <c r="EH124" i="1" s="1"/>
  <c r="AP157" i="11"/>
  <c r="AP82" i="11"/>
  <c r="AP98" i="11"/>
  <c r="AP117" i="11" s="1"/>
  <c r="W24" i="28"/>
  <c r="BT283" i="19"/>
  <c r="U271" i="19"/>
  <c r="U283" i="19" s="1"/>
  <c r="U16" i="19"/>
  <c r="U18" i="19"/>
  <c r="EI9" i="11"/>
  <c r="EI15" i="1"/>
  <c r="EJ9" i="1"/>
  <c r="EI29" i="1"/>
  <c r="EF144" i="11"/>
  <c r="EF125" i="11" s="1"/>
  <c r="EF132" i="11" s="1"/>
  <c r="EF22" i="11" s="1"/>
  <c r="EF127" i="1"/>
  <c r="ED125" i="11"/>
  <c r="J144" i="11"/>
  <c r="EW30" i="25" s="1"/>
  <c r="AO144" i="11"/>
  <c r="EC71" i="1"/>
  <c r="U22" i="19"/>
  <c r="EH60" i="11"/>
  <c r="EH79" i="11"/>
  <c r="EH157" i="11" s="1"/>
  <c r="EG121" i="1"/>
  <c r="AP121" i="1" s="1"/>
  <c r="AP44" i="11"/>
  <c r="AP47" i="11"/>
  <c r="EI80" i="11"/>
  <c r="EI135" i="11"/>
  <c r="EI107" i="11"/>
  <c r="BR35" i="19"/>
  <c r="EN38" i="29"/>
  <c r="EN42" i="29"/>
  <c r="EF58" i="19"/>
  <c r="EF34" i="15"/>
  <c r="EF36" i="15"/>
  <c r="EF37" i="15"/>
  <c r="EF92" i="15"/>
  <c r="BT16" i="19"/>
  <c r="BU198" i="19"/>
  <c r="BU210" i="19" s="1"/>
  <c r="BT216" i="19"/>
  <c r="BT24" i="19"/>
  <c r="BU274" i="19"/>
  <c r="BU286" i="19" s="1"/>
  <c r="BT292" i="19"/>
  <c r="AP45" i="15"/>
  <c r="AS48" i="15"/>
  <c r="AS47" i="15"/>
  <c r="U24" i="19"/>
  <c r="AC44" i="25"/>
  <c r="AC44" i="7"/>
  <c r="EE81" i="1"/>
  <c r="EE38" i="1"/>
  <c r="EE37" i="1"/>
  <c r="BS9" i="19"/>
  <c r="BS27" i="19" s="1"/>
  <c r="BS33" i="19" s="1"/>
  <c r="BT123" i="19"/>
  <c r="BS141" i="19"/>
  <c r="AP136" i="11"/>
  <c r="BT209" i="19"/>
  <c r="U197" i="19"/>
  <c r="U209" i="19" s="1"/>
  <c r="U126" i="19"/>
  <c r="U138" i="19" s="1"/>
  <c r="BT138" i="19"/>
  <c r="EE100" i="1"/>
  <c r="EE101" i="1"/>
  <c r="AS34" i="29"/>
  <c r="X12" i="28" s="1"/>
  <c r="AV75" i="26" s="1"/>
  <c r="AV82" i="26" s="1"/>
  <c r="X8" i="28"/>
  <c r="AV71" i="26" s="1"/>
  <c r="AV78" i="26" s="1"/>
  <c r="AV35" i="29"/>
  <c r="BS143" i="19"/>
  <c r="EF42" i="19"/>
  <c r="EF66" i="19" s="1"/>
  <c r="EF12" i="15"/>
  <c r="EF40" i="15"/>
  <c r="EF14" i="15"/>
  <c r="EF90" i="15"/>
  <c r="EF15" i="15"/>
  <c r="V35" i="28"/>
  <c r="EH64" i="1"/>
  <c r="AP124" i="11"/>
  <c r="AP148" i="11" s="1"/>
  <c r="BS36" i="19"/>
  <c r="EE125" i="11"/>
  <c r="J174" i="11"/>
  <c r="J169" i="11"/>
  <c r="J167" i="11"/>
  <c r="J166" i="11"/>
  <c r="J168" i="11"/>
  <c r="J172" i="11"/>
  <c r="J171" i="11"/>
  <c r="J170" i="11"/>
  <c r="U125" i="19"/>
  <c r="U137" i="19" s="1"/>
  <c r="BT137" i="19"/>
  <c r="BT25" i="19"/>
  <c r="BU275" i="19"/>
  <c r="BU287" i="19" s="1"/>
  <c r="BT293" i="19"/>
  <c r="EE71" i="19"/>
  <c r="U124" i="19"/>
  <c r="U136" i="19" s="1"/>
  <c r="BT136" i="19"/>
  <c r="BT19" i="19"/>
  <c r="BT219" i="19"/>
  <c r="BU201" i="19"/>
  <c r="BU213" i="19" s="1"/>
  <c r="AP61" i="11"/>
  <c r="AP89" i="11" s="1"/>
  <c r="EO38" i="29"/>
  <c r="EO42" i="29"/>
  <c r="EG159" i="11"/>
  <c r="EG123" i="1" s="1"/>
  <c r="AP123" i="1" s="1"/>
  <c r="AP111" i="11"/>
  <c r="AP159" i="11" s="1"/>
  <c r="BR37" i="19"/>
  <c r="BS145" i="19"/>
  <c r="CN39" i="25"/>
  <c r="CN40" i="25" s="1"/>
  <c r="CN15" i="25"/>
  <c r="BS35" i="19"/>
  <c r="U25" i="19"/>
  <c r="AN91" i="1"/>
  <c r="AN102" i="1"/>
  <c r="AN89" i="1"/>
  <c r="AN90" i="1"/>
  <c r="BT17" i="19"/>
  <c r="BU199" i="19"/>
  <c r="BU211" i="19" s="1"/>
  <c r="BT217" i="19"/>
  <c r="I110" i="1"/>
  <c r="J106" i="1" s="1"/>
  <c r="I99" i="1"/>
  <c r="AM12" i="25" s="1"/>
  <c r="BS34" i="19"/>
  <c r="AP108" i="11"/>
  <c r="U19" i="19"/>
  <c r="U219" i="19"/>
  <c r="AO100" i="1"/>
  <c r="AO101" i="1"/>
  <c r="EH39" i="11"/>
  <c r="EP13" i="29"/>
  <c r="EQ9" i="29" s="1"/>
  <c r="EP30" i="29"/>
  <c r="EP34" i="29" s="1"/>
  <c r="EP37" i="29" s="1"/>
  <c r="K37" i="29" s="1"/>
  <c r="AP74" i="1"/>
  <c r="EG102" i="11"/>
  <c r="AP101" i="11"/>
  <c r="AP113" i="11" s="1"/>
  <c r="U127" i="19"/>
  <c r="U139" i="19" s="1"/>
  <c r="BT139" i="19"/>
  <c r="N97" i="26" l="1"/>
  <c r="AU112" i="26"/>
  <c r="AU121" i="26"/>
  <c r="U11" i="19"/>
  <c r="U29" i="19" s="1"/>
  <c r="U123" i="19"/>
  <c r="U135" i="19" s="1"/>
  <c r="BT135" i="19"/>
  <c r="EG140" i="11"/>
  <c r="EI38" i="11"/>
  <c r="EI28" i="1"/>
  <c r="U21" i="19"/>
  <c r="U289" i="19"/>
  <c r="EF55" i="19"/>
  <c r="EG18" i="15"/>
  <c r="U10" i="19"/>
  <c r="U28" i="19" s="1"/>
  <c r="U142" i="19"/>
  <c r="EF47" i="19"/>
  <c r="EG7" i="15"/>
  <c r="EF45" i="15"/>
  <c r="BT12" i="19"/>
  <c r="BT30" i="19" s="1"/>
  <c r="BU126" i="19"/>
  <c r="BU138" i="19" s="1"/>
  <c r="BT144" i="19"/>
  <c r="BU24" i="19"/>
  <c r="BU292" i="19"/>
  <c r="BV274" i="19"/>
  <c r="BV286" i="19" s="1"/>
  <c r="EF63" i="19"/>
  <c r="EG29" i="15"/>
  <c r="EI97" i="11"/>
  <c r="EI106" i="11"/>
  <c r="EI160" i="11" s="1"/>
  <c r="EI124" i="1" s="1"/>
  <c r="EI112" i="11"/>
  <c r="EC91" i="1"/>
  <c r="EC102" i="1"/>
  <c r="EC90" i="1"/>
  <c r="EJ10" i="11"/>
  <c r="EJ14" i="1"/>
  <c r="EJ97" i="1"/>
  <c r="EJ98" i="1"/>
  <c r="BT21" i="19"/>
  <c r="BT289" i="19"/>
  <c r="BU271" i="19"/>
  <c r="BU283" i="19" s="1"/>
  <c r="BU22" i="19"/>
  <c r="BV272" i="19"/>
  <c r="BV284" i="19" s="1"/>
  <c r="DI110" i="1"/>
  <c r="DJ106" i="1" s="1"/>
  <c r="DI99" i="1"/>
  <c r="BT10" i="19"/>
  <c r="BT28" i="19" s="1"/>
  <c r="BU124" i="19"/>
  <c r="BU136" i="19" s="1"/>
  <c r="BT142" i="19"/>
  <c r="BT13" i="19"/>
  <c r="BT31" i="19" s="1"/>
  <c r="BU127" i="19"/>
  <c r="BU139" i="19" s="1"/>
  <c r="BT145" i="19"/>
  <c r="EE132" i="11"/>
  <c r="EE22" i="11" s="1"/>
  <c r="U12" i="19"/>
  <c r="U30" i="19" s="1"/>
  <c r="U144" i="19"/>
  <c r="EF92" i="1"/>
  <c r="EF93" i="1" s="1"/>
  <c r="EE92" i="1"/>
  <c r="U292" i="19"/>
  <c r="EI123" i="11"/>
  <c r="EI134" i="11"/>
  <c r="EI161" i="11" s="1"/>
  <c r="EI125" i="1" s="1"/>
  <c r="BT290" i="19"/>
  <c r="BT291" i="19"/>
  <c r="U13" i="19"/>
  <c r="U31" i="19" s="1"/>
  <c r="U145" i="19"/>
  <c r="U15" i="19"/>
  <c r="U215" i="19"/>
  <c r="EI60" i="11"/>
  <c r="EI79" i="11"/>
  <c r="EI157" i="11" s="1"/>
  <c r="EH121" i="1"/>
  <c r="EH140" i="11"/>
  <c r="BU23" i="19"/>
  <c r="BV273" i="19"/>
  <c r="BV285" i="19" s="1"/>
  <c r="EF47" i="15"/>
  <c r="EF48" i="15"/>
  <c r="J110" i="1"/>
  <c r="K106" i="1" s="1"/>
  <c r="J99" i="1"/>
  <c r="AN12" i="25" s="1"/>
  <c r="EP38" i="29"/>
  <c r="AS38" i="29" s="1"/>
  <c r="AV110" i="26" s="1"/>
  <c r="AV112" i="26" s="1"/>
  <c r="EP42" i="29"/>
  <c r="AS42" i="29" s="1"/>
  <c r="CN42" i="25"/>
  <c r="EM28" i="25"/>
  <c r="EQ13" i="29"/>
  <c r="ER9" i="29" s="1"/>
  <c r="EQ30" i="29"/>
  <c r="AT9" i="29"/>
  <c r="BU17" i="19"/>
  <c r="BV199" i="19"/>
  <c r="BV211" i="19" s="1"/>
  <c r="BU19" i="19"/>
  <c r="BV201" i="19"/>
  <c r="BV213" i="19" s="1"/>
  <c r="BU25" i="19"/>
  <c r="BV275" i="19"/>
  <c r="BV287" i="19" s="1"/>
  <c r="BU293" i="19"/>
  <c r="BT15" i="19"/>
  <c r="BU197" i="19"/>
  <c r="BU209" i="19" s="1"/>
  <c r="BT215" i="19"/>
  <c r="BU16" i="19"/>
  <c r="BV198" i="19"/>
  <c r="BV210" i="19" s="1"/>
  <c r="EH62" i="11"/>
  <c r="EH61" i="11"/>
  <c r="ED132" i="11"/>
  <c r="ED22" i="11" s="1"/>
  <c r="AO125" i="11"/>
  <c r="U218" i="19"/>
  <c r="EH101" i="11"/>
  <c r="EH111" i="11"/>
  <c r="EH159" i="11" s="1"/>
  <c r="EH123" i="1" s="1"/>
  <c r="BT218" i="19"/>
  <c r="EG20" i="11"/>
  <c r="EG92" i="11"/>
  <c r="AP67" i="11"/>
  <c r="AP92" i="11" s="1"/>
  <c r="AP102" i="11"/>
  <c r="AP118" i="11" s="1"/>
  <c r="EG104" i="11"/>
  <c r="EG21" i="11" s="1"/>
  <c r="U293" i="19"/>
  <c r="K38" i="29"/>
  <c r="EF100" i="1"/>
  <c r="EF101" i="1"/>
  <c r="W29" i="28"/>
  <c r="BU18" i="19"/>
  <c r="BV200" i="19"/>
  <c r="BV212" i="19" s="1"/>
  <c r="BS37" i="19"/>
  <c r="U217" i="19"/>
  <c r="AP104" i="11"/>
  <c r="AS37" i="29"/>
  <c r="U290" i="19"/>
  <c r="EF45" i="1"/>
  <c r="EF19" i="11"/>
  <c r="U216" i="19"/>
  <c r="EH98" i="11"/>
  <c r="AP90" i="11"/>
  <c r="BT11" i="19"/>
  <c r="BT29" i="19" s="1"/>
  <c r="BU125" i="19"/>
  <c r="BU137" i="19" s="1"/>
  <c r="BT143" i="19"/>
  <c r="U291" i="19"/>
  <c r="EH124" i="11"/>
  <c r="EG45" i="11"/>
  <c r="AP40" i="11"/>
  <c r="AP45" i="11" s="1"/>
  <c r="EG41" i="11"/>
  <c r="AU124" i="26" l="1"/>
  <c r="AU123" i="26"/>
  <c r="AV120" i="26"/>
  <c r="AV97" i="26"/>
  <c r="AV87" i="26" s="1"/>
  <c r="N87" i="26" s="1"/>
  <c r="N218" i="26" s="1"/>
  <c r="N220" i="26" s="1"/>
  <c r="N100" i="26"/>
  <c r="N101" i="26" s="1"/>
  <c r="K40" i="29"/>
  <c r="EG44" i="1"/>
  <c r="AP21" i="11"/>
  <c r="BU15" i="19"/>
  <c r="BV197" i="19"/>
  <c r="BV209" i="19" s="1"/>
  <c r="BU215" i="19"/>
  <c r="BU217" i="19"/>
  <c r="BV23" i="19"/>
  <c r="E285" i="19"/>
  <c r="BW273" i="19"/>
  <c r="BV291" i="19"/>
  <c r="BU21" i="19"/>
  <c r="BU289" i="19"/>
  <c r="BV271" i="19"/>
  <c r="BV283" i="19" s="1"/>
  <c r="EG58" i="19"/>
  <c r="EG34" i="15"/>
  <c r="EG92" i="15"/>
  <c r="EG37" i="15"/>
  <c r="EG36" i="15"/>
  <c r="U9" i="19"/>
  <c r="U27" i="19" s="1"/>
  <c r="U33" i="19" s="1"/>
  <c r="U141" i="19"/>
  <c r="EG42" i="19"/>
  <c r="EG12" i="15"/>
  <c r="EG40" i="15"/>
  <c r="EG90" i="15"/>
  <c r="EG15" i="15"/>
  <c r="EG14" i="15"/>
  <c r="U143" i="19"/>
  <c r="EE93" i="1"/>
  <c r="W34" i="28"/>
  <c r="W31" i="28"/>
  <c r="EH102" i="11"/>
  <c r="U37" i="19"/>
  <c r="DJ110" i="1"/>
  <c r="DK106" i="1" s="1"/>
  <c r="DJ99" i="1"/>
  <c r="BV24" i="19"/>
  <c r="E286" i="19"/>
  <c r="BW274" i="19"/>
  <c r="BV292" i="19"/>
  <c r="EF71" i="19"/>
  <c r="U35" i="19"/>
  <c r="X15" i="28"/>
  <c r="AS40" i="29"/>
  <c r="AS43" i="29" s="1"/>
  <c r="EH40" i="11"/>
  <c r="BV25" i="19"/>
  <c r="BW275" i="19"/>
  <c r="E287" i="19"/>
  <c r="BV293" i="19"/>
  <c r="AT13" i="29"/>
  <c r="AW14" i="29"/>
  <c r="EH129" i="11"/>
  <c r="EH139" i="11"/>
  <c r="EH162" i="11" s="1"/>
  <c r="EH126" i="1" s="1"/>
  <c r="BU13" i="19"/>
  <c r="BU31" i="19" s="1"/>
  <c r="BV127" i="19"/>
  <c r="BV139" i="19" s="1"/>
  <c r="BV22" i="19"/>
  <c r="E284" i="19"/>
  <c r="BW272" i="19"/>
  <c r="BV290" i="19"/>
  <c r="EI64" i="1"/>
  <c r="AO145" i="11"/>
  <c r="AO132" i="11"/>
  <c r="BU216" i="19"/>
  <c r="AT30" i="29"/>
  <c r="EQ34" i="29"/>
  <c r="EQ37" i="29" s="1"/>
  <c r="K110" i="1"/>
  <c r="L106" i="1" s="1"/>
  <c r="K99" i="1"/>
  <c r="AO12" i="25" s="1"/>
  <c r="BU290" i="19"/>
  <c r="U34" i="19"/>
  <c r="EG43" i="1"/>
  <c r="AP20" i="11"/>
  <c r="ED45" i="1"/>
  <c r="ED19" i="11"/>
  <c r="AO22" i="11"/>
  <c r="AO19" i="11" s="1"/>
  <c r="BV16" i="19"/>
  <c r="E210" i="19"/>
  <c r="BW198" i="19"/>
  <c r="BV216" i="19"/>
  <c r="BU219" i="19"/>
  <c r="ER13" i="29"/>
  <c r="ES9" i="29" s="1"/>
  <c r="ER30" i="29"/>
  <c r="ER34" i="29" s="1"/>
  <c r="ER37" i="29" s="1"/>
  <c r="EI121" i="1"/>
  <c r="EJ9" i="11"/>
  <c r="EJ15" i="1"/>
  <c r="EJ29" i="1"/>
  <c r="EK9" i="1"/>
  <c r="EI101" i="11"/>
  <c r="EI102" i="11" s="1"/>
  <c r="EI111" i="11"/>
  <c r="EI159" i="11" s="1"/>
  <c r="EI123" i="1" s="1"/>
  <c r="EG50" i="19"/>
  <c r="EG23" i="15"/>
  <c r="EG25" i="15"/>
  <c r="EG91" i="15"/>
  <c r="EG26" i="15"/>
  <c r="EI39" i="11"/>
  <c r="BV19" i="19"/>
  <c r="BW201" i="19"/>
  <c r="E213" i="19"/>
  <c r="BV219" i="19"/>
  <c r="EI61" i="11"/>
  <c r="EI62" i="11" s="1"/>
  <c r="U36" i="19"/>
  <c r="BU10" i="19"/>
  <c r="BU28" i="19" s="1"/>
  <c r="BV124" i="19"/>
  <c r="BV136" i="19" s="1"/>
  <c r="EJ80" i="11"/>
  <c r="EJ107" i="11"/>
  <c r="EJ135" i="11"/>
  <c r="AQ10" i="11"/>
  <c r="BU12" i="19"/>
  <c r="BU30" i="19" s="1"/>
  <c r="BV126" i="19"/>
  <c r="BV138" i="19" s="1"/>
  <c r="EG129" i="11"/>
  <c r="EG139" i="11"/>
  <c r="AP140" i="11"/>
  <c r="BV17" i="19"/>
  <c r="E211" i="19"/>
  <c r="BV217" i="19"/>
  <c r="BW199" i="19"/>
  <c r="BU11" i="19"/>
  <c r="BU29" i="19" s="1"/>
  <c r="BV125" i="19"/>
  <c r="BV137" i="19" s="1"/>
  <c r="BU143" i="19"/>
  <c r="BV18" i="19"/>
  <c r="E212" i="19"/>
  <c r="BV218" i="19"/>
  <c r="BW200" i="19"/>
  <c r="EG16" i="11"/>
  <c r="EG34" i="1" s="1"/>
  <c r="EG42" i="11"/>
  <c r="AP41" i="11"/>
  <c r="AP16" i="11" s="1"/>
  <c r="EF84" i="1"/>
  <c r="EF42" i="1"/>
  <c r="BU218" i="19"/>
  <c r="EH67" i="11"/>
  <c r="BU291" i="19"/>
  <c r="EI124" i="11"/>
  <c r="EE45" i="1"/>
  <c r="EE19" i="11"/>
  <c r="EI98" i="11"/>
  <c r="EI104" i="11"/>
  <c r="EI21" i="11" s="1"/>
  <c r="EI44" i="1" s="1"/>
  <c r="EI83" i="1" s="1"/>
  <c r="BT36" i="19"/>
  <c r="BT9" i="19"/>
  <c r="BT27" i="19" s="1"/>
  <c r="BT33" i="19" s="1"/>
  <c r="BU123" i="19"/>
  <c r="BU135" i="19" s="1"/>
  <c r="BU145" i="19" s="1"/>
  <c r="BT141" i="19"/>
  <c r="AU126" i="26" l="1"/>
  <c r="AU164" i="26"/>
  <c r="AU163" i="26" s="1"/>
  <c r="N110" i="26"/>
  <c r="N120" i="26"/>
  <c r="AV121" i="26"/>
  <c r="AV100" i="26"/>
  <c r="AV101" i="26" s="1"/>
  <c r="EI40" i="11"/>
  <c r="EI45" i="11" s="1"/>
  <c r="E17" i="19"/>
  <c r="EG55" i="19"/>
  <c r="EH18" i="15"/>
  <c r="V198" i="19"/>
  <c r="V210" i="19" s="1"/>
  <c r="F198" i="19"/>
  <c r="BW210" i="19"/>
  <c r="EG85" i="1"/>
  <c r="EG82" i="1"/>
  <c r="EG57" i="1"/>
  <c r="EG54" i="1"/>
  <c r="EJ94" i="1"/>
  <c r="AP43" i="1"/>
  <c r="AT34" i="29"/>
  <c r="Y12" i="28" s="1"/>
  <c r="AW75" i="26" s="1"/>
  <c r="AW82" i="26" s="1"/>
  <c r="Y8" i="28"/>
  <c r="AW71" i="26" s="1"/>
  <c r="AW78" i="26" s="1"/>
  <c r="AW35" i="29"/>
  <c r="EG46" i="11"/>
  <c r="AP42" i="11"/>
  <c r="AP46" i="11" s="1"/>
  <c r="E16" i="19"/>
  <c r="BW286" i="19"/>
  <c r="V274" i="19"/>
  <c r="V286" i="19" s="1"/>
  <c r="F274" i="19"/>
  <c r="EH104" i="11"/>
  <c r="EH21" i="11" s="1"/>
  <c r="EI140" i="11"/>
  <c r="V272" i="19"/>
  <c r="V284" i="19" s="1"/>
  <c r="F272" i="19"/>
  <c r="BW284" i="19"/>
  <c r="EH130" i="11"/>
  <c r="E24" i="19"/>
  <c r="BW285" i="19"/>
  <c r="V273" i="19"/>
  <c r="V285" i="19" s="1"/>
  <c r="F273" i="19"/>
  <c r="EG33" i="1"/>
  <c r="EG55" i="1"/>
  <c r="EG39" i="1"/>
  <c r="AP34" i="1"/>
  <c r="BV11" i="19"/>
  <c r="BV29" i="19" s="1"/>
  <c r="BW125" i="19"/>
  <c r="E137" i="19"/>
  <c r="AQ137" i="11"/>
  <c r="EI67" i="11"/>
  <c r="BT34" i="19"/>
  <c r="EH20" i="11"/>
  <c r="EH92" i="11"/>
  <c r="V200" i="19"/>
  <c r="V212" i="19" s="1"/>
  <c r="F200" i="19"/>
  <c r="BW212" i="19"/>
  <c r="EJ134" i="11"/>
  <c r="EJ123" i="11"/>
  <c r="AQ135" i="11"/>
  <c r="EI41" i="11"/>
  <c r="E22" i="19"/>
  <c r="E290" i="19"/>
  <c r="EH45" i="11"/>
  <c r="EH41" i="11"/>
  <c r="E23" i="19"/>
  <c r="E291" i="19"/>
  <c r="AP139" i="11"/>
  <c r="EG162" i="11"/>
  <c r="EJ106" i="11"/>
  <c r="EJ97" i="11"/>
  <c r="EJ112" i="11"/>
  <c r="AQ107" i="11"/>
  <c r="AQ109" i="11" s="1"/>
  <c r="EK10" i="11"/>
  <c r="EK14" i="1"/>
  <c r="AR9" i="1"/>
  <c r="EK97" i="1"/>
  <c r="EK98" i="1"/>
  <c r="ER38" i="29"/>
  <c r="ER42" i="29"/>
  <c r="BT37" i="19"/>
  <c r="EG47" i="15"/>
  <c r="EG48" i="15"/>
  <c r="EG63" i="19"/>
  <c r="EH29" i="15"/>
  <c r="EE84" i="1"/>
  <c r="EE42" i="1"/>
  <c r="EF65" i="1"/>
  <c r="EF71" i="1" s="1"/>
  <c r="EF48" i="1"/>
  <c r="E18" i="19"/>
  <c r="EG130" i="11"/>
  <c r="AP129" i="11"/>
  <c r="AP141" i="11" s="1"/>
  <c r="EJ60" i="11"/>
  <c r="EJ79" i="11"/>
  <c r="AQ80" i="11"/>
  <c r="ES13" i="29"/>
  <c r="ET9" i="29" s="1"/>
  <c r="ES30" i="29"/>
  <c r="ES34" i="29" s="1"/>
  <c r="ES37" i="29" s="1"/>
  <c r="ED84" i="1"/>
  <c r="ED42" i="1"/>
  <c r="AO45" i="1"/>
  <c r="AO84" i="1" s="1"/>
  <c r="BV13" i="19"/>
  <c r="BV31" i="19" s="1"/>
  <c r="BW127" i="19"/>
  <c r="E139" i="19"/>
  <c r="X16" i="28"/>
  <c r="F16" i="28" s="1"/>
  <c r="X33" i="28"/>
  <c r="X23" i="28"/>
  <c r="F23" i="28" s="1"/>
  <c r="X20" i="28"/>
  <c r="X26" i="28"/>
  <c r="F26" i="28" s="1"/>
  <c r="X27" i="28"/>
  <c r="F27" i="28" s="1"/>
  <c r="X21" i="28"/>
  <c r="F21" i="28" s="1"/>
  <c r="X22" i="28"/>
  <c r="F22" i="28" s="1"/>
  <c r="F15" i="28"/>
  <c r="DK110" i="1"/>
  <c r="DL106" i="1" s="1"/>
  <c r="DK99" i="1"/>
  <c r="W35" i="28"/>
  <c r="EG47" i="19"/>
  <c r="EH7" i="15"/>
  <c r="EG45" i="15"/>
  <c r="EG83" i="1"/>
  <c r="AP44" i="1"/>
  <c r="AP83" i="1" s="1"/>
  <c r="V199" i="19"/>
  <c r="V211" i="19" s="1"/>
  <c r="F199" i="19"/>
  <c r="BW211" i="19"/>
  <c r="BU144" i="19"/>
  <c r="BU142" i="19"/>
  <c r="E19" i="19"/>
  <c r="E219" i="19"/>
  <c r="EJ38" i="11"/>
  <c r="EJ28" i="1"/>
  <c r="AQ29" i="1"/>
  <c r="L110" i="1"/>
  <c r="L99" i="1"/>
  <c r="E25" i="19"/>
  <c r="E293" i="19"/>
  <c r="EG66" i="19"/>
  <c r="BV21" i="19"/>
  <c r="E283" i="19"/>
  <c r="E292" i="19" s="1"/>
  <c r="BV289" i="19"/>
  <c r="BW271" i="19"/>
  <c r="BU9" i="19"/>
  <c r="BU27" i="19" s="1"/>
  <c r="BU33" i="19" s="1"/>
  <c r="BV123" i="19"/>
  <c r="BV135" i="19" s="1"/>
  <c r="BV143" i="19" s="1"/>
  <c r="BU141" i="19"/>
  <c r="BT35" i="19"/>
  <c r="BV12" i="19"/>
  <c r="BV30" i="19" s="1"/>
  <c r="E138" i="19"/>
  <c r="BW126" i="19"/>
  <c r="BV10" i="19"/>
  <c r="BV28" i="19" s="1"/>
  <c r="BW124" i="19"/>
  <c r="E136" i="19"/>
  <c r="V201" i="19"/>
  <c r="V213" i="19" s="1"/>
  <c r="F201" i="19"/>
  <c r="BW213" i="19"/>
  <c r="EQ38" i="29"/>
  <c r="AT37" i="29"/>
  <c r="EQ42" i="29"/>
  <c r="BU37" i="19"/>
  <c r="BW287" i="19"/>
  <c r="V275" i="19"/>
  <c r="V287" i="19" s="1"/>
  <c r="F275" i="19"/>
  <c r="EH163" i="11"/>
  <c r="BV15" i="19"/>
  <c r="E209" i="19"/>
  <c r="E217" i="19" s="1"/>
  <c r="BW197" i="19"/>
  <c r="BV215" i="19"/>
  <c r="X17" i="28" l="1"/>
  <c r="AW97" i="26"/>
  <c r="AW87" i="26" s="1"/>
  <c r="AV123" i="26"/>
  <c r="AV124" i="26"/>
  <c r="N112" i="26"/>
  <c r="N121" i="26"/>
  <c r="Y15" i="28"/>
  <c r="BV142" i="19"/>
  <c r="V17" i="19"/>
  <c r="X24" i="28"/>
  <c r="F20" i="28"/>
  <c r="AU9" i="29"/>
  <c r="AU13" i="29" s="1"/>
  <c r="ET13" i="29"/>
  <c r="EU9" i="29" s="1"/>
  <c r="ET30" i="29"/>
  <c r="AR14" i="1"/>
  <c r="AU97" i="1"/>
  <c r="AU98" i="1"/>
  <c r="AP162" i="11"/>
  <c r="AP163" i="11" s="1"/>
  <c r="AP142" i="11"/>
  <c r="BU35" i="19"/>
  <c r="EI20" i="11"/>
  <c r="EI92" i="11"/>
  <c r="EI129" i="11"/>
  <c r="EI139" i="11"/>
  <c r="EI162" i="11" s="1"/>
  <c r="BW24" i="19"/>
  <c r="BX274" i="19"/>
  <c r="BX286" i="19" s="1"/>
  <c r="BU36" i="19"/>
  <c r="EK9" i="11"/>
  <c r="EL9" i="1"/>
  <c r="EK29" i="1"/>
  <c r="EK15" i="1"/>
  <c r="BW18" i="19"/>
  <c r="BX200" i="19"/>
  <c r="BX212" i="19" s="1"/>
  <c r="E216" i="19"/>
  <c r="AP82" i="1"/>
  <c r="AP85" i="1"/>
  <c r="AP57" i="1"/>
  <c r="AP54" i="1"/>
  <c r="AQ94" i="1"/>
  <c r="BW16" i="19"/>
  <c r="BX198" i="19"/>
  <c r="BX210" i="19" s="1"/>
  <c r="E15" i="19"/>
  <c r="E215" i="19"/>
  <c r="EF91" i="1"/>
  <c r="EF102" i="1"/>
  <c r="EJ61" i="11"/>
  <c r="EJ62" i="11"/>
  <c r="AQ60" i="11"/>
  <c r="AQ81" i="11" s="1"/>
  <c r="V18" i="19"/>
  <c r="EG81" i="1"/>
  <c r="EG38" i="1"/>
  <c r="EG37" i="1"/>
  <c r="AP33" i="1"/>
  <c r="EH44" i="1"/>
  <c r="EI16" i="11"/>
  <c r="EI34" i="1" s="1"/>
  <c r="EI42" i="11"/>
  <c r="EI46" i="11" s="1"/>
  <c r="E11" i="19"/>
  <c r="E29" i="19" s="1"/>
  <c r="V16" i="19"/>
  <c r="E10" i="19"/>
  <c r="E28" i="19" s="1"/>
  <c r="BV9" i="19"/>
  <c r="BV27" i="19" s="1"/>
  <c r="BV33" i="19" s="1"/>
  <c r="BW123" i="19"/>
  <c r="E135" i="19"/>
  <c r="E142" i="19" s="1"/>
  <c r="BV141" i="19"/>
  <c r="F33" i="28"/>
  <c r="EJ101" i="11"/>
  <c r="EJ111" i="11"/>
  <c r="AQ112" i="11"/>
  <c r="AQ114" i="11" s="1"/>
  <c r="BW19" i="19"/>
  <c r="BX201" i="19"/>
  <c r="BX213" i="19" s="1"/>
  <c r="BV144" i="19"/>
  <c r="EH42" i="19"/>
  <c r="AQ7" i="15"/>
  <c r="EH12" i="15"/>
  <c r="EH40" i="15"/>
  <c r="EH15" i="15"/>
  <c r="EH90" i="15"/>
  <c r="EH14" i="15"/>
  <c r="BV145" i="19"/>
  <c r="ED48" i="1"/>
  <c r="AO48" i="1" s="1"/>
  <c r="ED65" i="1"/>
  <c r="AO42" i="1"/>
  <c r="EJ98" i="11"/>
  <c r="AQ97" i="11"/>
  <c r="EH16" i="11"/>
  <c r="EH34" i="1" s="1"/>
  <c r="EH42" i="11"/>
  <c r="F125" i="19"/>
  <c r="V125" i="19"/>
  <c r="V137" i="19" s="1"/>
  <c r="BW137" i="19"/>
  <c r="BW22" i="19"/>
  <c r="BX272" i="19"/>
  <c r="BX284" i="19" s="1"/>
  <c r="EH50" i="19"/>
  <c r="AQ50" i="19" s="1"/>
  <c r="AQ55" i="19" s="1"/>
  <c r="EH23" i="15"/>
  <c r="AQ18" i="15"/>
  <c r="EH91" i="15"/>
  <c r="EH25" i="15"/>
  <c r="EH26" i="15"/>
  <c r="F197" i="19"/>
  <c r="V197" i="19"/>
  <c r="V209" i="19" s="1"/>
  <c r="BW209" i="19"/>
  <c r="BW218" i="19" s="1"/>
  <c r="EJ39" i="11"/>
  <c r="AQ38" i="11"/>
  <c r="V124" i="19"/>
  <c r="V136" i="19" s="1"/>
  <c r="BW136" i="19"/>
  <c r="F124" i="19"/>
  <c r="DL110" i="1"/>
  <c r="DM106" i="1" s="1"/>
  <c r="DL99" i="1"/>
  <c r="EK80" i="11"/>
  <c r="EK107" i="11"/>
  <c r="EK135" i="11"/>
  <c r="BV34" i="19"/>
  <c r="X18" i="28"/>
  <c r="F17" i="28"/>
  <c r="EH144" i="11"/>
  <c r="EH127" i="1"/>
  <c r="V126" i="19"/>
  <c r="V138" i="19" s="1"/>
  <c r="F126" i="19"/>
  <c r="BW138" i="19"/>
  <c r="AQ52" i="1"/>
  <c r="AQ106" i="11"/>
  <c r="AQ160" i="11" s="1"/>
  <c r="EJ160" i="11"/>
  <c r="EJ124" i="1" s="1"/>
  <c r="AQ124" i="1" s="1"/>
  <c r="EJ124" i="11"/>
  <c r="AQ123" i="11"/>
  <c r="EH43" i="1"/>
  <c r="BV35" i="19"/>
  <c r="V23" i="19"/>
  <c r="AQ79" i="11"/>
  <c r="EJ157" i="11"/>
  <c r="EE65" i="1"/>
  <c r="EE48" i="1"/>
  <c r="V271" i="19"/>
  <c r="V283" i="19" s="1"/>
  <c r="F271" i="19"/>
  <c r="BW283" i="19"/>
  <c r="BW290" i="19" s="1"/>
  <c r="V25" i="19"/>
  <c r="V293" i="19"/>
  <c r="E12" i="19"/>
  <c r="E30" i="19" s="1"/>
  <c r="E144" i="19"/>
  <c r="E21" i="19"/>
  <c r="E289" i="19"/>
  <c r="BW17" i="19"/>
  <c r="BW217" i="19"/>
  <c r="BX199" i="19"/>
  <c r="BX211" i="19" s="1"/>
  <c r="EG71" i="19"/>
  <c r="E13" i="19"/>
  <c r="E31" i="19" s="1"/>
  <c r="E145" i="19"/>
  <c r="AP130" i="11"/>
  <c r="AP149" i="11" s="1"/>
  <c r="BW25" i="19"/>
  <c r="BX275" i="19"/>
  <c r="BX287" i="19" s="1"/>
  <c r="V19" i="19"/>
  <c r="V219" i="19"/>
  <c r="BV36" i="19"/>
  <c r="EJ64" i="1"/>
  <c r="AQ28" i="1"/>
  <c r="V127" i="19"/>
  <c r="V139" i="19" s="1"/>
  <c r="F127" i="19"/>
  <c r="BW139" i="19"/>
  <c r="ES38" i="29"/>
  <c r="ES42" i="29"/>
  <c r="E218" i="19"/>
  <c r="EH58" i="19"/>
  <c r="AQ58" i="19" s="1"/>
  <c r="AQ63" i="19" s="1"/>
  <c r="EH34" i="15"/>
  <c r="AQ29" i="15"/>
  <c r="EH92" i="15"/>
  <c r="EH37" i="15"/>
  <c r="EH36" i="15"/>
  <c r="EG126" i="1"/>
  <c r="AP126" i="1" s="1"/>
  <c r="AP127" i="1" s="1"/>
  <c r="EG163" i="11"/>
  <c r="AQ134" i="11"/>
  <c r="AQ161" i="11" s="1"/>
  <c r="EJ161" i="11"/>
  <c r="EJ125" i="1" s="1"/>
  <c r="AQ125" i="1" s="1"/>
  <c r="AP55" i="1"/>
  <c r="AP39" i="1"/>
  <c r="BW23" i="19"/>
  <c r="BX273" i="19"/>
  <c r="BX285" i="19" s="1"/>
  <c r="BW291" i="19"/>
  <c r="V22" i="19"/>
  <c r="V290" i="19"/>
  <c r="V24" i="19"/>
  <c r="V292" i="19"/>
  <c r="BU34" i="19"/>
  <c r="AV126" i="26" l="1"/>
  <c r="AV164" i="26"/>
  <c r="AV163" i="26" s="1"/>
  <c r="N123" i="26"/>
  <c r="N124" i="26"/>
  <c r="AW100" i="26"/>
  <c r="AW101" i="26" s="1"/>
  <c r="EH85" i="1"/>
  <c r="EH82" i="1"/>
  <c r="EH57" i="1"/>
  <c r="EH54" i="1"/>
  <c r="EK94" i="1"/>
  <c r="F18" i="28"/>
  <c r="AQ34" i="15"/>
  <c r="AQ92" i="15"/>
  <c r="AT36" i="15"/>
  <c r="AT37" i="15"/>
  <c r="V13" i="19"/>
  <c r="V31" i="19" s="1"/>
  <c r="BW293" i="19"/>
  <c r="BX17" i="19"/>
  <c r="BY199" i="19"/>
  <c r="BY211" i="19" s="1"/>
  <c r="DM110" i="1"/>
  <c r="DN106" i="1" s="1"/>
  <c r="DM99" i="1"/>
  <c r="V15" i="19"/>
  <c r="V215" i="19"/>
  <c r="EH46" i="11"/>
  <c r="ED71" i="1"/>
  <c r="ED68" i="1"/>
  <c r="EE63" i="1" s="1"/>
  <c r="AO65" i="1"/>
  <c r="AQ12" i="15"/>
  <c r="AQ90" i="15"/>
  <c r="AT15" i="15"/>
  <c r="AT14" i="15"/>
  <c r="EJ159" i="11"/>
  <c r="EJ123" i="1" s="1"/>
  <c r="AQ123" i="1" s="1"/>
  <c r="AQ111" i="11"/>
  <c r="AQ159" i="11" s="1"/>
  <c r="EI33" i="1"/>
  <c r="EI55" i="1"/>
  <c r="EI39" i="1"/>
  <c r="AQ61" i="11"/>
  <c r="AQ89" i="11" s="1"/>
  <c r="BW216" i="19"/>
  <c r="EK38" i="11"/>
  <c r="EK28" i="1"/>
  <c r="X29" i="28"/>
  <c r="F24" i="28"/>
  <c r="EH63" i="19"/>
  <c r="EI29" i="15"/>
  <c r="AQ64" i="1"/>
  <c r="BX25" i="19"/>
  <c r="BY275" i="19"/>
  <c r="BY287" i="19" s="1"/>
  <c r="BW21" i="19"/>
  <c r="BX271" i="19"/>
  <c r="BX283" i="19" s="1"/>
  <c r="BW289" i="19"/>
  <c r="EJ121" i="1"/>
  <c r="AQ121" i="1" s="1"/>
  <c r="BX22" i="19"/>
  <c r="BY272" i="19"/>
  <c r="BY284" i="19" s="1"/>
  <c r="EH33" i="1"/>
  <c r="EH55" i="1"/>
  <c r="EH39" i="1"/>
  <c r="AQ42" i="19"/>
  <c r="AQ47" i="19" s="1"/>
  <c r="EH66" i="19"/>
  <c r="AQ66" i="19" s="1"/>
  <c r="AQ71" i="19" s="1"/>
  <c r="EJ102" i="11"/>
  <c r="AQ101" i="11"/>
  <c r="AQ113" i="11" s="1"/>
  <c r="FB6" i="25"/>
  <c r="FB6" i="7"/>
  <c r="EL14" i="1"/>
  <c r="EL97" i="1"/>
  <c r="EL98" i="1"/>
  <c r="EI126" i="1"/>
  <c r="EI163" i="11"/>
  <c r="V217" i="19"/>
  <c r="AQ157" i="11"/>
  <c r="AQ82" i="11"/>
  <c r="BW12" i="19"/>
  <c r="BW30" i="19" s="1"/>
  <c r="BX126" i="19"/>
  <c r="BX138" i="19" s="1"/>
  <c r="BW144" i="19"/>
  <c r="BW10" i="19"/>
  <c r="BW28" i="19" s="1"/>
  <c r="BX124" i="19"/>
  <c r="BX136" i="19" s="1"/>
  <c r="V216" i="19"/>
  <c r="EH83" i="1"/>
  <c r="V218" i="19"/>
  <c r="EI130" i="11"/>
  <c r="AR9" i="11"/>
  <c r="AR15" i="1"/>
  <c r="AR113" i="1"/>
  <c r="EG144" i="11"/>
  <c r="EG127" i="1"/>
  <c r="V21" i="19"/>
  <c r="V289" i="19"/>
  <c r="V291" i="19"/>
  <c r="AQ136" i="11"/>
  <c r="EK134" i="11"/>
  <c r="EK161" i="11" s="1"/>
  <c r="EK125" i="1" s="1"/>
  <c r="EK123" i="11"/>
  <c r="V10" i="19"/>
  <c r="V28" i="19" s="1"/>
  <c r="BW11" i="19"/>
  <c r="BW29" i="19" s="1"/>
  <c r="BX125" i="19"/>
  <c r="BX137" i="19" s="1"/>
  <c r="AQ108" i="11"/>
  <c r="BW219" i="19"/>
  <c r="AU30" i="29"/>
  <c r="ET34" i="29"/>
  <c r="ET37" i="29" s="1"/>
  <c r="BW13" i="19"/>
  <c r="BW31" i="19" s="1"/>
  <c r="BX127" i="19"/>
  <c r="BX139" i="19" s="1"/>
  <c r="AP100" i="1"/>
  <c r="AP101" i="1"/>
  <c r="AT38" i="29"/>
  <c r="V12" i="19"/>
  <c r="V30" i="19" s="1"/>
  <c r="EK106" i="11"/>
  <c r="EK160" i="11" s="1"/>
  <c r="EK124" i="1" s="1"/>
  <c r="EK112" i="11"/>
  <c r="EK97" i="11"/>
  <c r="V11" i="19"/>
  <c r="V29" i="19" s="1"/>
  <c r="BX19" i="19"/>
  <c r="BY201" i="19"/>
  <c r="BY213" i="19" s="1"/>
  <c r="AP81" i="1"/>
  <c r="AP38" i="1"/>
  <c r="AP92" i="1" s="1"/>
  <c r="AP93" i="1" s="1"/>
  <c r="BX18" i="19"/>
  <c r="BY200" i="19"/>
  <c r="BY212" i="19" s="1"/>
  <c r="BW292" i="19"/>
  <c r="EI43" i="1"/>
  <c r="EU13" i="29"/>
  <c r="EV9" i="29" s="1"/>
  <c r="EU30" i="29"/>
  <c r="EU34" i="29" s="1"/>
  <c r="EU37" i="29" s="1"/>
  <c r="Y33" i="28"/>
  <c r="Y16" i="28"/>
  <c r="Y27" i="28"/>
  <c r="Y22" i="28"/>
  <c r="Y21" i="28"/>
  <c r="Y26" i="28"/>
  <c r="Y23" i="28"/>
  <c r="Y20" i="28"/>
  <c r="BX23" i="19"/>
  <c r="BY273" i="19"/>
  <c r="BY285" i="19" s="1"/>
  <c r="BX291" i="19"/>
  <c r="AQ124" i="11"/>
  <c r="AQ148" i="11" s="1"/>
  <c r="EH100" i="1"/>
  <c r="EH101" i="1"/>
  <c r="EK60" i="11"/>
  <c r="EK79" i="11"/>
  <c r="EK157" i="11" s="1"/>
  <c r="EJ41" i="11"/>
  <c r="AQ39" i="11"/>
  <c r="AQ23" i="15"/>
  <c r="AQ91" i="15"/>
  <c r="AT25" i="15"/>
  <c r="AT26" i="15"/>
  <c r="AQ98" i="11"/>
  <c r="AQ117" i="11" s="1"/>
  <c r="E9" i="19"/>
  <c r="E27" i="19" s="1"/>
  <c r="E33" i="19" s="1"/>
  <c r="E141" i="19"/>
  <c r="E143" i="19"/>
  <c r="AP37" i="1"/>
  <c r="EG92" i="1"/>
  <c r="BX24" i="19"/>
  <c r="BY274" i="19"/>
  <c r="BY286" i="19" s="1"/>
  <c r="BX292" i="19"/>
  <c r="FB9" i="25"/>
  <c r="FB9" i="7"/>
  <c r="FB8" i="7"/>
  <c r="FB8" i="25"/>
  <c r="EH125" i="11"/>
  <c r="EH55" i="19"/>
  <c r="EI18" i="15"/>
  <c r="EJ104" i="11"/>
  <c r="EJ21" i="11" s="1"/>
  <c r="AQ40" i="15"/>
  <c r="EH47" i="15"/>
  <c r="EH48" i="15"/>
  <c r="F123" i="19"/>
  <c r="V123" i="19"/>
  <c r="V135" i="19" s="1"/>
  <c r="V142" i="19" s="1"/>
  <c r="BW135" i="19"/>
  <c r="FB7" i="7"/>
  <c r="FB7" i="25"/>
  <c r="EJ67" i="11"/>
  <c r="BV37" i="19"/>
  <c r="AT42" i="29"/>
  <c r="EE71" i="1"/>
  <c r="BW15" i="19"/>
  <c r="BX197" i="19"/>
  <c r="BX209" i="19" s="1"/>
  <c r="BX219" i="19" s="1"/>
  <c r="BW215" i="19"/>
  <c r="EH47" i="19"/>
  <c r="EH71" i="19" s="1"/>
  <c r="EI7" i="15"/>
  <c r="EH45" i="15"/>
  <c r="EJ40" i="11"/>
  <c r="AQ62" i="11"/>
  <c r="AQ90" i="11" s="1"/>
  <c r="BX16" i="19"/>
  <c r="BY198" i="19"/>
  <c r="BY210" i="19" s="1"/>
  <c r="N126" i="26" l="1"/>
  <c r="N164" i="26"/>
  <c r="N163" i="26" s="1"/>
  <c r="AT40" i="29"/>
  <c r="AT43" i="29"/>
  <c r="E35" i="19"/>
  <c r="EI50" i="19"/>
  <c r="EI23" i="15"/>
  <c r="EI91" i="15"/>
  <c r="EI25" i="15"/>
  <c r="EI26" i="15"/>
  <c r="EI85" i="1"/>
  <c r="EI82" i="1"/>
  <c r="EI57" i="1"/>
  <c r="EI54" i="1"/>
  <c r="EL94" i="1"/>
  <c r="FB10" i="7"/>
  <c r="EI81" i="1"/>
  <c r="EI38" i="1"/>
  <c r="EI37" i="1"/>
  <c r="AP63" i="1"/>
  <c r="EE68" i="1"/>
  <c r="EF63" i="1" s="1"/>
  <c r="EF68" i="1" s="1"/>
  <c r="EG63" i="1" s="1"/>
  <c r="DN110" i="1"/>
  <c r="DO106" i="1" s="1"/>
  <c r="DN99" i="1"/>
  <c r="BX15" i="19"/>
  <c r="BX215" i="19"/>
  <c r="BY197" i="19"/>
  <c r="BY209" i="19" s="1"/>
  <c r="AQ45" i="15"/>
  <c r="AT47" i="15"/>
  <c r="AT48" i="15"/>
  <c r="EE91" i="1"/>
  <c r="EE102" i="1"/>
  <c r="EE90" i="1"/>
  <c r="EJ45" i="11"/>
  <c r="AQ40" i="11"/>
  <c r="AQ45" i="11" s="1"/>
  <c r="BW9" i="19"/>
  <c r="BW27" i="19" s="1"/>
  <c r="BW33" i="19" s="1"/>
  <c r="BW141" i="19"/>
  <c r="BX123" i="19"/>
  <c r="BX135" i="19" s="1"/>
  <c r="BY19" i="19"/>
  <c r="BZ201" i="19"/>
  <c r="V144" i="19"/>
  <c r="ET38" i="29"/>
  <c r="ET42" i="29"/>
  <c r="BW142" i="19"/>
  <c r="FB10" i="25"/>
  <c r="EJ140" i="11"/>
  <c r="AQ74" i="1"/>
  <c r="ED91" i="1"/>
  <c r="ED102" i="1"/>
  <c r="ED90" i="1"/>
  <c r="AO71" i="1"/>
  <c r="EF90" i="1"/>
  <c r="BY17" i="19"/>
  <c r="BZ199" i="19"/>
  <c r="BY217" i="19"/>
  <c r="V9" i="19"/>
  <c r="V27" i="19" s="1"/>
  <c r="V33" i="19" s="1"/>
  <c r="V141" i="19"/>
  <c r="BX10" i="19"/>
  <c r="BX28" i="19" s="1"/>
  <c r="BX142" i="19"/>
  <c r="BY124" i="19"/>
  <c r="BY136" i="19" s="1"/>
  <c r="EI144" i="11"/>
  <c r="EI127" i="1"/>
  <c r="E34" i="19"/>
  <c r="EK39" i="11"/>
  <c r="BX217" i="19"/>
  <c r="E37" i="19"/>
  <c r="BY23" i="19"/>
  <c r="BZ273" i="19"/>
  <c r="AU34" i="29"/>
  <c r="Z12" i="28" s="1"/>
  <c r="AX75" i="26" s="1"/>
  <c r="AX82" i="26" s="1"/>
  <c r="Z8" i="28"/>
  <c r="AX71" i="26" s="1"/>
  <c r="AX78" i="26" s="1"/>
  <c r="EI42" i="19"/>
  <c r="EI40" i="15"/>
  <c r="EI12" i="15"/>
  <c r="EI90" i="15"/>
  <c r="EI14" i="15"/>
  <c r="EI15" i="15"/>
  <c r="EH132" i="11"/>
  <c r="EH22" i="11" s="1"/>
  <c r="AQ44" i="11"/>
  <c r="AQ47" i="11"/>
  <c r="BX218" i="19"/>
  <c r="V143" i="19"/>
  <c r="EG100" i="1"/>
  <c r="EG101" i="1"/>
  <c r="BW34" i="19"/>
  <c r="EI58" i="19"/>
  <c r="EI34" i="15"/>
  <c r="EI92" i="15"/>
  <c r="EI37" i="15"/>
  <c r="EI36" i="15"/>
  <c r="BY24" i="19"/>
  <c r="BZ274" i="19"/>
  <c r="EJ16" i="11"/>
  <c r="EJ34" i="1" s="1"/>
  <c r="EJ42" i="11"/>
  <c r="AQ41" i="11"/>
  <c r="AQ16" i="11" s="1"/>
  <c r="Y24" i="28"/>
  <c r="BY18" i="19"/>
  <c r="BZ200" i="19"/>
  <c r="BY218" i="19"/>
  <c r="V35" i="19"/>
  <c r="EK124" i="11"/>
  <c r="EG125" i="11"/>
  <c r="AP144" i="11"/>
  <c r="EH81" i="1"/>
  <c r="EH38" i="1"/>
  <c r="EH37" i="1"/>
  <c r="BX21" i="19"/>
  <c r="BX289" i="19"/>
  <c r="BY271" i="19"/>
  <c r="BY283" i="19" s="1"/>
  <c r="BY291" i="19" s="1"/>
  <c r="BY16" i="19"/>
  <c r="BY216" i="19"/>
  <c r="BZ198" i="19"/>
  <c r="BX216" i="19"/>
  <c r="EJ20" i="11"/>
  <c r="EJ92" i="11"/>
  <c r="AQ67" i="11"/>
  <c r="AQ92" i="11" s="1"/>
  <c r="Y17" i="28"/>
  <c r="EK98" i="11"/>
  <c r="BX12" i="19"/>
  <c r="BX30" i="19" s="1"/>
  <c r="BX144" i="19"/>
  <c r="BY126" i="19"/>
  <c r="BY138" i="19" s="1"/>
  <c r="AQ102" i="11"/>
  <c r="AQ118" i="11" s="1"/>
  <c r="BY22" i="19"/>
  <c r="BZ272" i="19"/>
  <c r="BY290" i="19"/>
  <c r="V145" i="19"/>
  <c r="EK121" i="1"/>
  <c r="EK140" i="11"/>
  <c r="EU38" i="29"/>
  <c r="EU42" i="29"/>
  <c r="EK101" i="11"/>
  <c r="EK111" i="11"/>
  <c r="EK159" i="11" s="1"/>
  <c r="EK123" i="1" s="1"/>
  <c r="BW145" i="19"/>
  <c r="BX11" i="19"/>
  <c r="BX29" i="19" s="1"/>
  <c r="BY125" i="19"/>
  <c r="BY137" i="19" s="1"/>
  <c r="BX143" i="19"/>
  <c r="BW36" i="19"/>
  <c r="EL9" i="11"/>
  <c r="EM9" i="1"/>
  <c r="EL15" i="1"/>
  <c r="EL29" i="1"/>
  <c r="BX290" i="19"/>
  <c r="BX293" i="19"/>
  <c r="X34" i="28"/>
  <c r="F29" i="28"/>
  <c r="F31" i="28" s="1"/>
  <c r="X31" i="28"/>
  <c r="V37" i="19"/>
  <c r="EJ44" i="1"/>
  <c r="AQ21" i="11"/>
  <c r="E36" i="19"/>
  <c r="EG93" i="1"/>
  <c r="EK61" i="11"/>
  <c r="EK62" i="11" s="1"/>
  <c r="EV13" i="29"/>
  <c r="EW9" i="29" s="1"/>
  <c r="EV30" i="29"/>
  <c r="EV34" i="29" s="1"/>
  <c r="EV37" i="29" s="1"/>
  <c r="AU37" i="29" s="1"/>
  <c r="BX13" i="19"/>
  <c r="BX31" i="19" s="1"/>
  <c r="BY127" i="19"/>
  <c r="BY139" i="19" s="1"/>
  <c r="BX145" i="19"/>
  <c r="BW143" i="19"/>
  <c r="EL10" i="11"/>
  <c r="BY25" i="19"/>
  <c r="BZ275" i="19"/>
  <c r="BY293" i="19"/>
  <c r="EK64" i="1"/>
  <c r="AO75" i="1"/>
  <c r="AO68" i="1"/>
  <c r="AX97" i="26" l="1"/>
  <c r="AX87" i="26" s="1"/>
  <c r="AW110" i="26"/>
  <c r="AW120" i="26"/>
  <c r="Z15" i="28"/>
  <c r="EK40" i="11"/>
  <c r="EL80" i="11"/>
  <c r="EL107" i="11"/>
  <c r="EL135" i="11"/>
  <c r="EK67" i="11"/>
  <c r="EL38" i="11"/>
  <c r="EL28" i="1"/>
  <c r="BY11" i="19"/>
  <c r="BY29" i="19" s="1"/>
  <c r="BZ125" i="19"/>
  <c r="W272" i="19"/>
  <c r="W284" i="19" s="1"/>
  <c r="BZ284" i="19"/>
  <c r="EJ43" i="1"/>
  <c r="AQ20" i="11"/>
  <c r="EI92" i="1"/>
  <c r="EI93" i="1" s="1"/>
  <c r="EH92" i="1"/>
  <c r="EG132" i="11"/>
  <c r="EG22" i="11" s="1"/>
  <c r="AP125" i="11"/>
  <c r="EJ33" i="1"/>
  <c r="EJ55" i="1"/>
  <c r="EJ39" i="1"/>
  <c r="AQ34" i="1"/>
  <c r="EI47" i="15"/>
  <c r="EI48" i="15"/>
  <c r="EI125" i="11"/>
  <c r="BX9" i="19"/>
  <c r="BX27" i="19" s="1"/>
  <c r="BX33" i="19" s="1"/>
  <c r="BY123" i="19"/>
  <c r="BY135" i="19" s="1"/>
  <c r="BY143" i="19" s="1"/>
  <c r="BX141" i="19"/>
  <c r="EJ83" i="1"/>
  <c r="AQ44" i="1"/>
  <c r="AQ83" i="1" s="1"/>
  <c r="BX35" i="19"/>
  <c r="BY292" i="19"/>
  <c r="EI66" i="19"/>
  <c r="BY10" i="19"/>
  <c r="BY28" i="19" s="1"/>
  <c r="BZ124" i="19"/>
  <c r="BY142" i="19"/>
  <c r="BY15" i="19"/>
  <c r="BY215" i="19"/>
  <c r="BZ197" i="19"/>
  <c r="W198" i="19"/>
  <c r="W210" i="19" s="1"/>
  <c r="BZ210" i="19"/>
  <c r="W274" i="19"/>
  <c r="W286" i="19" s="1"/>
  <c r="BZ286" i="19"/>
  <c r="EH45" i="1"/>
  <c r="EH19" i="11"/>
  <c r="W199" i="19"/>
  <c r="W211" i="19" s="1"/>
  <c r="BZ211" i="19"/>
  <c r="BW35" i="19"/>
  <c r="BX37" i="19"/>
  <c r="EM14" i="1"/>
  <c r="EM97" i="1"/>
  <c r="EM98" i="1"/>
  <c r="Y29" i="28"/>
  <c r="EK41" i="11"/>
  <c r="BX34" i="19"/>
  <c r="EK129" i="11"/>
  <c r="EK139" i="11"/>
  <c r="EK162" i="11" s="1"/>
  <c r="BY12" i="19"/>
  <c r="BY30" i="19" s="1"/>
  <c r="BZ126" i="19"/>
  <c r="BY144" i="19"/>
  <c r="Y18" i="28"/>
  <c r="V34" i="19"/>
  <c r="AO91" i="1"/>
  <c r="AO102" i="1"/>
  <c r="AO89" i="1"/>
  <c r="AO90" i="1"/>
  <c r="EJ129" i="11"/>
  <c r="EJ139" i="11"/>
  <c r="AQ140" i="11"/>
  <c r="BY219" i="19"/>
  <c r="BY21" i="19"/>
  <c r="BY289" i="19"/>
  <c r="BZ271" i="19"/>
  <c r="W273" i="19"/>
  <c r="W285" i="19" s="1"/>
  <c r="BZ285" i="19"/>
  <c r="V36" i="19"/>
  <c r="W201" i="19"/>
  <c r="W213" i="19" s="1"/>
  <c r="BZ213" i="19"/>
  <c r="DO110" i="1"/>
  <c r="DP106" i="1" s="1"/>
  <c r="DO99" i="1"/>
  <c r="EI55" i="19"/>
  <c r="EJ18" i="15"/>
  <c r="AD44" i="25"/>
  <c r="AD44" i="7"/>
  <c r="BY13" i="19"/>
  <c r="BY31" i="19" s="1"/>
  <c r="BZ127" i="19"/>
  <c r="BY145" i="19"/>
  <c r="EV38" i="29"/>
  <c r="AU38" i="29" s="1"/>
  <c r="EV42" i="29"/>
  <c r="AU42" i="29" s="1"/>
  <c r="W275" i="19"/>
  <c r="W287" i="19" s="1"/>
  <c r="BZ287" i="19"/>
  <c r="EW13" i="29"/>
  <c r="EX9" i="29" s="1"/>
  <c r="EW30" i="29"/>
  <c r="AV9" i="29"/>
  <c r="AV13" i="29" s="1"/>
  <c r="F34" i="28"/>
  <c r="X35" i="28"/>
  <c r="F35" i="28" s="1"/>
  <c r="EK102" i="11"/>
  <c r="BX36" i="19"/>
  <c r="EJ46" i="11"/>
  <c r="AQ42" i="11"/>
  <c r="AQ46" i="11" s="1"/>
  <c r="BW37" i="19"/>
  <c r="AQ104" i="11"/>
  <c r="W200" i="19"/>
  <c r="W212" i="19" s="1"/>
  <c r="BZ212" i="19"/>
  <c r="EI63" i="19"/>
  <c r="EJ29" i="15"/>
  <c r="EI47" i="19"/>
  <c r="EI71" i="19" s="1"/>
  <c r="EJ7" i="15"/>
  <c r="EI45" i="15"/>
  <c r="EI100" i="1"/>
  <c r="EI101" i="1"/>
  <c r="AU40" i="29" l="1"/>
  <c r="AW112" i="26"/>
  <c r="AW121" i="26"/>
  <c r="AX100" i="26"/>
  <c r="AX101" i="26" s="1"/>
  <c r="AU43" i="29"/>
  <c r="EH84" i="1"/>
  <c r="EH42" i="1"/>
  <c r="W197" i="19"/>
  <c r="W209" i="19" s="1"/>
  <c r="BZ209" i="19"/>
  <c r="W125" i="19"/>
  <c r="W137" i="19" s="1"/>
  <c r="BZ137" i="19"/>
  <c r="EJ42" i="19"/>
  <c r="EJ12" i="15"/>
  <c r="EJ40" i="15"/>
  <c r="EJ14" i="15"/>
  <c r="EJ90" i="15"/>
  <c r="EJ15" i="15"/>
  <c r="AV30" i="29"/>
  <c r="EW34" i="29"/>
  <c r="EW37" i="29" s="1"/>
  <c r="BZ25" i="19"/>
  <c r="CA275" i="19"/>
  <c r="CA287" i="19" s="1"/>
  <c r="BZ23" i="19"/>
  <c r="CA273" i="19"/>
  <c r="CA285" i="19" s="1"/>
  <c r="EK104" i="11"/>
  <c r="EK21" i="11" s="1"/>
  <c r="W23" i="19"/>
  <c r="EK16" i="11"/>
  <c r="EK34" i="1" s="1"/>
  <c r="EK42" i="11"/>
  <c r="EL123" i="11"/>
  <c r="EL134" i="11"/>
  <c r="EL161" i="11" s="1"/>
  <c r="EL125" i="1" s="1"/>
  <c r="W19" i="19"/>
  <c r="W219" i="19"/>
  <c r="W18" i="19"/>
  <c r="W218" i="19"/>
  <c r="W25" i="19"/>
  <c r="EJ50" i="19"/>
  <c r="EJ23" i="15"/>
  <c r="EJ91" i="15"/>
  <c r="EJ26" i="15"/>
  <c r="EJ25" i="15"/>
  <c r="W271" i="19"/>
  <c r="W283" i="19" s="1"/>
  <c r="W293" i="19" s="1"/>
  <c r="BZ283" i="19"/>
  <c r="AQ139" i="11"/>
  <c r="EJ162" i="11"/>
  <c r="W126" i="19"/>
  <c r="W138" i="19" s="1"/>
  <c r="BZ138" i="19"/>
  <c r="BZ24" i="19"/>
  <c r="CA274" i="19"/>
  <c r="CA286" i="19" s="1"/>
  <c r="EJ81" i="1"/>
  <c r="EJ37" i="1"/>
  <c r="EJ38" i="1"/>
  <c r="AQ33" i="1"/>
  <c r="EL106" i="11"/>
  <c r="EL160" i="11" s="1"/>
  <c r="EL124" i="1" s="1"/>
  <c r="EL97" i="11"/>
  <c r="EL112" i="11"/>
  <c r="EJ130" i="11"/>
  <c r="AQ129" i="11"/>
  <c r="AQ141" i="11" s="1"/>
  <c r="Y34" i="28"/>
  <c r="W24" i="19"/>
  <c r="EI132" i="11"/>
  <c r="EI22" i="11" s="1"/>
  <c r="AP145" i="11"/>
  <c r="AP132" i="11"/>
  <c r="EL60" i="11"/>
  <c r="EL79" i="11"/>
  <c r="EL157" i="11" s="1"/>
  <c r="DP110" i="1"/>
  <c r="DQ106" i="1" s="1"/>
  <c r="DP99" i="1"/>
  <c r="BZ16" i="19"/>
  <c r="CA198" i="19"/>
  <c r="CA210" i="19" s="1"/>
  <c r="BZ216" i="19"/>
  <c r="W124" i="19"/>
  <c r="W136" i="19" s="1"/>
  <c r="BZ136" i="19"/>
  <c r="EJ85" i="1"/>
  <c r="EJ82" i="1"/>
  <c r="EJ57" i="1"/>
  <c r="EJ54" i="1"/>
  <c r="EM94" i="1"/>
  <c r="AQ43" i="1"/>
  <c r="EJ58" i="19"/>
  <c r="EJ34" i="15"/>
  <c r="EJ36" i="15"/>
  <c r="EJ92" i="15"/>
  <c r="EJ37" i="15"/>
  <c r="W127" i="19"/>
  <c r="W139" i="19" s="1"/>
  <c r="BZ139" i="19"/>
  <c r="BZ19" i="19"/>
  <c r="CA201" i="19"/>
  <c r="CA213" i="19" s="1"/>
  <c r="BZ219" i="19"/>
  <c r="EK126" i="1"/>
  <c r="EK163" i="11"/>
  <c r="BZ17" i="19"/>
  <c r="CA199" i="19"/>
  <c r="CA211" i="19" s="1"/>
  <c r="BZ217" i="19"/>
  <c r="W16" i="19"/>
  <c r="W216" i="19"/>
  <c r="EG45" i="1"/>
  <c r="AP22" i="11"/>
  <c r="AP19" i="11" s="1"/>
  <c r="EG19" i="11"/>
  <c r="EL64" i="1"/>
  <c r="EK45" i="11"/>
  <c r="EM9" i="11"/>
  <c r="EM15" i="1"/>
  <c r="EN9" i="1"/>
  <c r="EM29" i="1"/>
  <c r="BY9" i="19"/>
  <c r="BY27" i="19" s="1"/>
  <c r="BY33" i="19" s="1"/>
  <c r="BZ123" i="19"/>
  <c r="BY141" i="19"/>
  <c r="EH93" i="1"/>
  <c r="BZ22" i="19"/>
  <c r="CA272" i="19"/>
  <c r="CA284" i="19" s="1"/>
  <c r="BZ290" i="19"/>
  <c r="EL39" i="11"/>
  <c r="Z16" i="28"/>
  <c r="Z17" i="28" s="1"/>
  <c r="Z33" i="28"/>
  <c r="Z23" i="28"/>
  <c r="Z22" i="28"/>
  <c r="Z20" i="28"/>
  <c r="Z27" i="28"/>
  <c r="Z26" i="28"/>
  <c r="Z21" i="28"/>
  <c r="BY36" i="19"/>
  <c r="EK130" i="11"/>
  <c r="W17" i="19"/>
  <c r="W217" i="19"/>
  <c r="BZ18" i="19"/>
  <c r="CA200" i="19"/>
  <c r="CA212" i="19" s="1"/>
  <c r="BZ218" i="19"/>
  <c r="EX13" i="29"/>
  <c r="EY9" i="29" s="1"/>
  <c r="EX30" i="29"/>
  <c r="EX34" i="29" s="1"/>
  <c r="EX37" i="29" s="1"/>
  <c r="Y31" i="28"/>
  <c r="EM10" i="11"/>
  <c r="AQ55" i="1"/>
  <c r="AQ39" i="1"/>
  <c r="W22" i="19"/>
  <c r="W290" i="19"/>
  <c r="EK20" i="11"/>
  <c r="EK92" i="11"/>
  <c r="AW123" i="26" l="1"/>
  <c r="AW124" i="26"/>
  <c r="AX110" i="26"/>
  <c r="AX120" i="26"/>
  <c r="Z18" i="28"/>
  <c r="BZ10" i="19"/>
  <c r="BZ28" i="19" s="1"/>
  <c r="CA124" i="19"/>
  <c r="CA136" i="19" s="1"/>
  <c r="EL121" i="1"/>
  <c r="EL98" i="11"/>
  <c r="AQ162" i="11"/>
  <c r="AQ163" i="11" s="1"/>
  <c r="AQ142" i="11"/>
  <c r="EL124" i="11"/>
  <c r="EK44" i="1"/>
  <c r="EW38" i="29"/>
  <c r="EW42" i="29"/>
  <c r="BZ11" i="19"/>
  <c r="BZ29" i="19" s="1"/>
  <c r="CA125" i="19"/>
  <c r="CA137" i="19" s="1"/>
  <c r="W10" i="19"/>
  <c r="W28" i="19" s="1"/>
  <c r="EL61" i="11"/>
  <c r="EL62" i="11"/>
  <c r="EL67" i="11"/>
  <c r="Y35" i="28"/>
  <c r="BZ21" i="19"/>
  <c r="CA271" i="19"/>
  <c r="CA283" i="19" s="1"/>
  <c r="BZ289" i="19"/>
  <c r="EK46" i="11"/>
  <c r="AV34" i="29"/>
  <c r="AA12" i="28" s="1"/>
  <c r="AY75" i="26" s="1"/>
  <c r="AY82" i="26" s="1"/>
  <c r="AA8" i="28"/>
  <c r="AY71" i="26" s="1"/>
  <c r="AY78" i="26" s="1"/>
  <c r="W11" i="19"/>
  <c r="W29" i="19" s="1"/>
  <c r="BY35" i="19"/>
  <c r="W21" i="19"/>
  <c r="W289" i="19"/>
  <c r="CA23" i="19"/>
  <c r="CB273" i="19"/>
  <c r="CB285" i="19" s="1"/>
  <c r="BZ15" i="19"/>
  <c r="BZ215" i="19"/>
  <c r="CA197" i="19"/>
  <c r="CA209" i="19" s="1"/>
  <c r="BZ13" i="19"/>
  <c r="BZ31" i="19" s="1"/>
  <c r="CA127" i="19"/>
  <c r="CA139" i="19" s="1"/>
  <c r="BZ145" i="19"/>
  <c r="CA18" i="19"/>
  <c r="CB200" i="19"/>
  <c r="CB212" i="19" s="1"/>
  <c r="CA218" i="19"/>
  <c r="CA24" i="19"/>
  <c r="CB274" i="19"/>
  <c r="CB286" i="19" s="1"/>
  <c r="CA292" i="19"/>
  <c r="EM80" i="11"/>
  <c r="EM107" i="11"/>
  <c r="EM135" i="11"/>
  <c r="AR10" i="11"/>
  <c r="W123" i="19"/>
  <c r="W135" i="19" s="1"/>
  <c r="BZ135" i="19"/>
  <c r="EG84" i="1"/>
  <c r="AP45" i="1"/>
  <c r="AP84" i="1" s="1"/>
  <c r="EG42" i="1"/>
  <c r="CA16" i="19"/>
  <c r="CB198" i="19"/>
  <c r="CB210" i="19" s="1"/>
  <c r="CA216" i="19"/>
  <c r="BZ292" i="19"/>
  <c r="EK55" i="1"/>
  <c r="EK33" i="1"/>
  <c r="EK39" i="1"/>
  <c r="BZ291" i="19"/>
  <c r="W15" i="19"/>
  <c r="W215" i="19"/>
  <c r="AS9" i="1"/>
  <c r="EN14" i="1"/>
  <c r="EN97" i="1"/>
  <c r="EN98" i="1"/>
  <c r="W13" i="19"/>
  <c r="W31" i="19" s="1"/>
  <c r="Z24" i="28"/>
  <c r="AQ81" i="1"/>
  <c r="AQ38" i="1"/>
  <c r="AQ92" i="1" s="1"/>
  <c r="AQ93" i="1" s="1"/>
  <c r="EH65" i="1"/>
  <c r="EH48" i="1"/>
  <c r="EJ63" i="19"/>
  <c r="EK29" i="15"/>
  <c r="EX38" i="29"/>
  <c r="EX42" i="29"/>
  <c r="EM38" i="11"/>
  <c r="EM28" i="1"/>
  <c r="AR29" i="1"/>
  <c r="CA19" i="19"/>
  <c r="CB201" i="19"/>
  <c r="CB213" i="19" s="1"/>
  <c r="CA219" i="19"/>
  <c r="EI45" i="1"/>
  <c r="EI19" i="11"/>
  <c r="AQ130" i="11"/>
  <c r="AQ149" i="11" s="1"/>
  <c r="BZ12" i="19"/>
  <c r="BZ30" i="19" s="1"/>
  <c r="CA126" i="19"/>
  <c r="CA138" i="19" s="1"/>
  <c r="BZ144" i="19"/>
  <c r="W291" i="19"/>
  <c r="BZ293" i="19"/>
  <c r="EJ47" i="15"/>
  <c r="EJ48" i="15"/>
  <c r="CA17" i="19"/>
  <c r="CB199" i="19"/>
  <c r="CB211" i="19" s="1"/>
  <c r="CA217" i="19"/>
  <c r="EK144" i="11"/>
  <c r="EK127" i="1"/>
  <c r="BY34" i="19"/>
  <c r="EK43" i="1"/>
  <c r="EY13" i="29"/>
  <c r="EZ9" i="29" s="1"/>
  <c r="EY30" i="29"/>
  <c r="EY34" i="29" s="1"/>
  <c r="EY37" i="29" s="1"/>
  <c r="AV37" i="29" s="1"/>
  <c r="BY37" i="19"/>
  <c r="CA22" i="19"/>
  <c r="CA290" i="19"/>
  <c r="CB272" i="19"/>
  <c r="CB284" i="19" s="1"/>
  <c r="AQ82" i="1"/>
  <c r="AQ85" i="1"/>
  <c r="AQ57" i="1"/>
  <c r="AQ54" i="1"/>
  <c r="AR94" i="1"/>
  <c r="DQ110" i="1"/>
  <c r="DR106" i="1" s="1"/>
  <c r="DQ99" i="1"/>
  <c r="W292" i="19"/>
  <c r="W12" i="19"/>
  <c r="W30" i="19" s="1"/>
  <c r="W144" i="19"/>
  <c r="EJ55" i="19"/>
  <c r="EK18" i="15"/>
  <c r="CA25" i="19"/>
  <c r="CB275" i="19"/>
  <c r="CB287" i="19" s="1"/>
  <c r="CA293" i="19"/>
  <c r="EJ47" i="19"/>
  <c r="EK7" i="15"/>
  <c r="EJ45" i="15"/>
  <c r="EL111" i="11"/>
  <c r="EL159" i="11" s="1"/>
  <c r="EL123" i="1" s="1"/>
  <c r="EL101" i="11"/>
  <c r="AQ37" i="1"/>
  <c r="EJ92" i="1"/>
  <c r="EJ126" i="1"/>
  <c r="AQ126" i="1" s="1"/>
  <c r="AQ127" i="1" s="1"/>
  <c r="EJ163" i="11"/>
  <c r="EJ66" i="19"/>
  <c r="AW126" i="26" l="1"/>
  <c r="AW164" i="26"/>
  <c r="AW163" i="26" s="1"/>
  <c r="AY97" i="26"/>
  <c r="AY87" i="26" s="1"/>
  <c r="AX112" i="26"/>
  <c r="AX121" i="26"/>
  <c r="AA15" i="28"/>
  <c r="AR52" i="1"/>
  <c r="EH71" i="1"/>
  <c r="CA13" i="19"/>
  <c r="CA31" i="19" s="1"/>
  <c r="CB127" i="19"/>
  <c r="CB139" i="19" s="1"/>
  <c r="EL20" i="11"/>
  <c r="EL92" i="11"/>
  <c r="EL140" i="11"/>
  <c r="DR110" i="1"/>
  <c r="DS106" i="1" s="1"/>
  <c r="DR99" i="1"/>
  <c r="CB22" i="19"/>
  <c r="CC272" i="19"/>
  <c r="EK85" i="1"/>
  <c r="EK82" i="1"/>
  <c r="EK57" i="1"/>
  <c r="EK54" i="1"/>
  <c r="EN94" i="1"/>
  <c r="EL102" i="11"/>
  <c r="EK50" i="19"/>
  <c r="AR50" i="19" s="1"/>
  <c r="AR55" i="19" s="1"/>
  <c r="EK23" i="15"/>
  <c r="AR18" i="15"/>
  <c r="EK25" i="15"/>
  <c r="EK91" i="15"/>
  <c r="EK26" i="15"/>
  <c r="CB16" i="19"/>
  <c r="CC198" i="19"/>
  <c r="BZ9" i="19"/>
  <c r="BZ27" i="19" s="1"/>
  <c r="BZ33" i="19" s="1"/>
  <c r="CA123" i="19"/>
  <c r="CA135" i="19" s="1"/>
  <c r="BZ141" i="19"/>
  <c r="CB24" i="19"/>
  <c r="CC274" i="19"/>
  <c r="BZ37" i="19"/>
  <c r="EL40" i="11"/>
  <c r="W9" i="19"/>
  <c r="W27" i="19" s="1"/>
  <c r="W33" i="19" s="1"/>
  <c r="W141" i="19"/>
  <c r="CA15" i="19"/>
  <c r="CB197" i="19"/>
  <c r="CB209" i="19" s="1"/>
  <c r="CA215" i="19"/>
  <c r="CA10" i="19"/>
  <c r="CA28" i="19" s="1"/>
  <c r="CB124" i="19"/>
  <c r="CB136" i="19" s="1"/>
  <c r="EJ144" i="11"/>
  <c r="EJ127" i="1"/>
  <c r="EM64" i="1"/>
  <c r="AR28" i="1"/>
  <c r="EN9" i="11"/>
  <c r="EN15" i="1"/>
  <c r="EO9" i="1"/>
  <c r="EN29" i="1"/>
  <c r="AQ100" i="1"/>
  <c r="AQ101" i="1"/>
  <c r="EM39" i="11"/>
  <c r="AR38" i="11"/>
  <c r="AS14" i="1"/>
  <c r="AV97" i="1"/>
  <c r="AV98" i="1"/>
  <c r="EG48" i="1"/>
  <c r="AP48" i="1" s="1"/>
  <c r="EG65" i="1"/>
  <c r="AP42" i="1"/>
  <c r="W143" i="19"/>
  <c r="CA21" i="19"/>
  <c r="CB271" i="19"/>
  <c r="CB283" i="19" s="1"/>
  <c r="CB292" i="19" s="1"/>
  <c r="CA289" i="19"/>
  <c r="W142" i="19"/>
  <c r="BZ142" i="19"/>
  <c r="CB25" i="19"/>
  <c r="CC275" i="19"/>
  <c r="W36" i="19"/>
  <c r="EK100" i="1"/>
  <c r="EK101" i="1"/>
  <c r="EI84" i="1"/>
  <c r="EI42" i="1"/>
  <c r="EN10" i="11"/>
  <c r="EK81" i="1"/>
  <c r="EK38" i="1"/>
  <c r="EK37" i="1"/>
  <c r="AR109" i="11"/>
  <c r="W35" i="19"/>
  <c r="W34" i="19"/>
  <c r="BZ34" i="19"/>
  <c r="EJ93" i="1"/>
  <c r="EK42" i="19"/>
  <c r="EK12" i="15"/>
  <c r="EK40" i="15"/>
  <c r="AR7" i="15"/>
  <c r="EK14" i="15"/>
  <c r="EK90" i="15"/>
  <c r="EK15" i="15"/>
  <c r="EJ71" i="19"/>
  <c r="EY38" i="29"/>
  <c r="AV38" i="29" s="1"/>
  <c r="EY42" i="29"/>
  <c r="AV42" i="29" s="1"/>
  <c r="EK125" i="11"/>
  <c r="Z29" i="28"/>
  <c r="EM134" i="11"/>
  <c r="EM123" i="11"/>
  <c r="AR135" i="11"/>
  <c r="AR137" i="11" s="1"/>
  <c r="CB18" i="19"/>
  <c r="CC200" i="19"/>
  <c r="CB218" i="19"/>
  <c r="CB23" i="19"/>
  <c r="CC273" i="19"/>
  <c r="CB291" i="19"/>
  <c r="CA11" i="19"/>
  <c r="CA29" i="19" s="1"/>
  <c r="CB125" i="19"/>
  <c r="CB137" i="19" s="1"/>
  <c r="CA143" i="19"/>
  <c r="EK83" i="1"/>
  <c r="AW9" i="29"/>
  <c r="AW13" i="29" s="1"/>
  <c r="EZ13" i="29"/>
  <c r="FA9" i="29" s="1"/>
  <c r="EZ30" i="29"/>
  <c r="CA12" i="19"/>
  <c r="CA30" i="19" s="1"/>
  <c r="CB126" i="19"/>
  <c r="CB138" i="19" s="1"/>
  <c r="CA144" i="19"/>
  <c r="CB19" i="19"/>
  <c r="CC201" i="19"/>
  <c r="CB219" i="19"/>
  <c r="W145" i="19"/>
  <c r="EM106" i="11"/>
  <c r="EM97" i="11"/>
  <c r="EM112" i="11"/>
  <c r="AR107" i="11"/>
  <c r="CA291" i="19"/>
  <c r="BZ143" i="19"/>
  <c r="EL104" i="11"/>
  <c r="EL21" i="11" s="1"/>
  <c r="CB17" i="19"/>
  <c r="CC199" i="19"/>
  <c r="CB217" i="19"/>
  <c r="BZ36" i="19"/>
  <c r="EK58" i="19"/>
  <c r="AR58" i="19" s="1"/>
  <c r="AR63" i="19" s="1"/>
  <c r="AR29" i="15"/>
  <c r="EK34" i="15"/>
  <c r="EK92" i="15"/>
  <c r="EK37" i="15"/>
  <c r="EK36" i="15"/>
  <c r="W37" i="19"/>
  <c r="EM60" i="11"/>
  <c r="EM79" i="11"/>
  <c r="AR80" i="11"/>
  <c r="BZ35" i="19"/>
  <c r="AX123" i="26" l="1"/>
  <c r="AX124" i="26"/>
  <c r="AV40" i="29"/>
  <c r="AV43" i="29" s="1"/>
  <c r="AY100" i="26"/>
  <c r="AY101" i="26" s="1"/>
  <c r="CB11" i="19"/>
  <c r="CB29" i="19" s="1"/>
  <c r="CC125" i="19"/>
  <c r="FA13" i="29"/>
  <c r="FB9" i="29" s="1"/>
  <c r="FA30" i="29"/>
  <c r="FA34" i="29" s="1"/>
  <c r="FA37" i="29" s="1"/>
  <c r="EK47" i="19"/>
  <c r="EL7" i="15"/>
  <c r="EK45" i="15"/>
  <c r="AR39" i="11"/>
  <c r="CA9" i="19"/>
  <c r="CA27" i="19" s="1"/>
  <c r="CA33" i="19" s="1"/>
  <c r="CB123" i="19"/>
  <c r="CB135" i="19" s="1"/>
  <c r="CA141" i="19"/>
  <c r="AR23" i="15"/>
  <c r="AR91" i="15"/>
  <c r="AU26" i="15"/>
  <c r="AU25" i="15"/>
  <c r="CB13" i="19"/>
  <c r="CB31" i="19" s="1"/>
  <c r="CC127" i="19"/>
  <c r="CB145" i="19"/>
  <c r="X199" i="19"/>
  <c r="X211" i="19" s="1"/>
  <c r="CC211" i="19"/>
  <c r="AR106" i="11"/>
  <c r="AR160" i="11" s="1"/>
  <c r="EM160" i="11"/>
  <c r="EM124" i="1" s="1"/>
  <c r="AR124" i="1" s="1"/>
  <c r="EL44" i="1"/>
  <c r="EM124" i="11"/>
  <c r="AR124" i="11" s="1"/>
  <c r="AR123" i="11"/>
  <c r="AR42" i="19"/>
  <c r="AR47" i="19" s="1"/>
  <c r="EK66" i="19"/>
  <c r="AR66" i="19" s="1"/>
  <c r="AR71" i="19" s="1"/>
  <c r="EI65" i="1"/>
  <c r="EI48" i="1"/>
  <c r="EG71" i="1"/>
  <c r="AP65" i="1"/>
  <c r="EG68" i="1"/>
  <c r="EH63" i="1" s="1"/>
  <c r="EK55" i="19"/>
  <c r="EL18" i="15"/>
  <c r="DS110" i="1"/>
  <c r="DT106" i="1" s="1"/>
  <c r="DS99" i="1"/>
  <c r="CA37" i="19"/>
  <c r="EK92" i="1"/>
  <c r="CB15" i="19"/>
  <c r="CC197" i="19"/>
  <c r="CB215" i="19"/>
  <c r="EL45" i="11"/>
  <c r="EL41" i="11"/>
  <c r="CB216" i="19"/>
  <c r="EL129" i="11"/>
  <c r="EL139" i="11"/>
  <c r="EL162" i="11" s="1"/>
  <c r="EH91" i="1"/>
  <c r="EH102" i="1"/>
  <c r="EH90" i="1"/>
  <c r="EN38" i="11"/>
  <c r="EN28" i="1"/>
  <c r="X198" i="19"/>
  <c r="X210" i="19" s="1"/>
  <c r="CC210" i="19"/>
  <c r="EM161" i="11"/>
  <c r="EM125" i="1" s="1"/>
  <c r="AR125" i="1" s="1"/>
  <c r="AR134" i="11"/>
  <c r="AR161" i="11" s="1"/>
  <c r="AR79" i="11"/>
  <c r="EM157" i="11"/>
  <c r="X273" i="19"/>
  <c r="X285" i="19" s="1"/>
  <c r="CC285" i="19"/>
  <c r="EJ125" i="11"/>
  <c r="AQ144" i="11"/>
  <c r="X201" i="19"/>
  <c r="X213" i="19" s="1"/>
  <c r="CC213" i="19"/>
  <c r="AR34" i="15"/>
  <c r="AR92" i="15"/>
  <c r="AU37" i="15"/>
  <c r="AU36" i="15"/>
  <c r="EJ100" i="1"/>
  <c r="EJ101" i="1"/>
  <c r="EM61" i="11"/>
  <c r="AR61" i="11" s="1"/>
  <c r="AR89" i="11" s="1"/>
  <c r="AR60" i="11"/>
  <c r="AR81" i="11" s="1"/>
  <c r="EM101" i="11"/>
  <c r="EM111" i="11"/>
  <c r="AR112" i="11"/>
  <c r="AR114" i="11" s="1"/>
  <c r="CB12" i="19"/>
  <c r="CB30" i="19" s="1"/>
  <c r="CC126" i="19"/>
  <c r="CB144" i="19"/>
  <c r="Z34" i="28"/>
  <c r="Z31" i="28"/>
  <c r="CB21" i="19"/>
  <c r="CB289" i="19"/>
  <c r="CC271" i="19"/>
  <c r="AS9" i="11"/>
  <c r="AS15" i="1"/>
  <c r="AS113" i="1"/>
  <c r="EO10" i="11"/>
  <c r="EO14" i="1"/>
  <c r="EO97" i="1"/>
  <c r="EO98" i="1"/>
  <c r="CB10" i="19"/>
  <c r="CB28" i="19" s="1"/>
  <c r="CC124" i="19"/>
  <c r="CB142" i="19"/>
  <c r="X274" i="19"/>
  <c r="X286" i="19" s="1"/>
  <c r="CC286" i="19"/>
  <c r="X272" i="19"/>
  <c r="X284" i="19" s="1"/>
  <c r="CC284" i="19"/>
  <c r="EM98" i="11"/>
  <c r="AR98" i="11" s="1"/>
  <c r="AR117" i="11" s="1"/>
  <c r="AR97" i="11"/>
  <c r="CA36" i="19"/>
  <c r="X200" i="19"/>
  <c r="X212" i="19" s="1"/>
  <c r="CC212" i="19"/>
  <c r="EK132" i="11"/>
  <c r="EK22" i="11" s="1"/>
  <c r="AR12" i="15"/>
  <c r="AR90" i="15"/>
  <c r="AU14" i="15"/>
  <c r="AU15" i="15"/>
  <c r="CB293" i="19"/>
  <c r="AR64" i="1"/>
  <c r="CA142" i="19"/>
  <c r="CB290" i="19"/>
  <c r="EL43" i="1"/>
  <c r="EK63" i="19"/>
  <c r="EL29" i="15"/>
  <c r="AW30" i="29"/>
  <c r="EZ34" i="29"/>
  <c r="EZ37" i="29" s="1"/>
  <c r="AR40" i="15"/>
  <c r="EK48" i="15"/>
  <c r="EK47" i="15"/>
  <c r="EN80" i="11"/>
  <c r="EN107" i="11"/>
  <c r="EN135" i="11"/>
  <c r="CC287" i="19"/>
  <c r="X275" i="19"/>
  <c r="X287" i="19" s="1"/>
  <c r="CA34" i="19"/>
  <c r="CA145" i="19"/>
  <c r="AA16" i="28"/>
  <c r="AA33" i="28"/>
  <c r="AA27" i="28"/>
  <c r="AA21" i="28"/>
  <c r="AA20" i="28"/>
  <c r="AA26" i="28"/>
  <c r="AA23" i="28"/>
  <c r="AA22" i="28"/>
  <c r="AX126" i="26" l="1"/>
  <c r="AX164" i="26"/>
  <c r="AX163" i="26" s="1"/>
  <c r="AY110" i="26"/>
  <c r="AY120" i="26"/>
  <c r="EN60" i="11"/>
  <c r="EN79" i="11"/>
  <c r="EN157" i="11" s="1"/>
  <c r="X18" i="19"/>
  <c r="X24" i="19"/>
  <c r="CC23" i="19"/>
  <c r="CD273" i="19"/>
  <c r="CD285" i="19" s="1"/>
  <c r="EL42" i="19"/>
  <c r="EL12" i="15"/>
  <c r="EL40" i="15"/>
  <c r="EL90" i="15"/>
  <c r="EL14" i="15"/>
  <c r="EL15" i="15"/>
  <c r="Z35" i="28"/>
  <c r="X23" i="19"/>
  <c r="EN64" i="1"/>
  <c r="X197" i="19"/>
  <c r="X209" i="19" s="1"/>
  <c r="X218" i="19" s="1"/>
  <c r="CC209" i="19"/>
  <c r="DT110" i="1"/>
  <c r="DU106" i="1" s="1"/>
  <c r="DT99" i="1"/>
  <c r="AQ63" i="1"/>
  <c r="EH68" i="1"/>
  <c r="EI63" i="1" s="1"/>
  <c r="EI68" i="1" s="1"/>
  <c r="EJ63" i="1" s="1"/>
  <c r="CC17" i="19"/>
  <c r="CD199" i="19"/>
  <c r="CD211" i="19" s="1"/>
  <c r="EK71" i="19"/>
  <c r="EL85" i="1"/>
  <c r="EL82" i="1"/>
  <c r="EL57" i="1"/>
  <c r="EL54" i="1"/>
  <c r="EO94" i="1"/>
  <c r="AR108" i="11"/>
  <c r="X124" i="19"/>
  <c r="X136" i="19" s="1"/>
  <c r="CC136" i="19"/>
  <c r="EM62" i="11"/>
  <c r="EM67" i="11" s="1"/>
  <c r="CC19" i="19"/>
  <c r="CD201" i="19"/>
  <c r="CD213" i="19" s="1"/>
  <c r="CC219" i="19"/>
  <c r="EM121" i="1"/>
  <c r="AR121" i="1" s="1"/>
  <c r="EL126" i="1"/>
  <c r="EL163" i="11"/>
  <c r="EL50" i="19"/>
  <c r="EL23" i="15"/>
  <c r="EL25" i="15"/>
  <c r="EL91" i="15"/>
  <c r="EL26" i="15"/>
  <c r="AP75" i="1"/>
  <c r="AE46" i="25"/>
  <c r="AE46" i="7"/>
  <c r="AP68" i="1"/>
  <c r="AR136" i="11"/>
  <c r="X17" i="19"/>
  <c r="X217" i="19"/>
  <c r="CA35" i="19"/>
  <c r="AR157" i="11"/>
  <c r="AR82" i="11"/>
  <c r="CB9" i="19"/>
  <c r="CB27" i="19" s="1"/>
  <c r="CB33" i="19" s="1"/>
  <c r="CC123" i="19"/>
  <c r="CB141" i="19"/>
  <c r="FA38" i="29"/>
  <c r="FA42" i="29"/>
  <c r="X126" i="19"/>
  <c r="X138" i="19" s="1"/>
  <c r="CC138" i="19"/>
  <c r="X25" i="19"/>
  <c r="X293" i="19"/>
  <c r="X271" i="19"/>
  <c r="X283" i="19" s="1"/>
  <c r="X291" i="19" s="1"/>
  <c r="CC283" i="19"/>
  <c r="CC291" i="19" s="1"/>
  <c r="EK93" i="1"/>
  <c r="EG91" i="1"/>
  <c r="EG102" i="1"/>
  <c r="EG90" i="1"/>
  <c r="AP71" i="1"/>
  <c r="AR148" i="11"/>
  <c r="X127" i="19"/>
  <c r="X139" i="19" s="1"/>
  <c r="CC139" i="19"/>
  <c r="FB13" i="29"/>
  <c r="FB30" i="29"/>
  <c r="FB34" i="29" s="1"/>
  <c r="FB37" i="29" s="1"/>
  <c r="AW37" i="29" s="1"/>
  <c r="EL130" i="11"/>
  <c r="CC25" i="19"/>
  <c r="CD275" i="19"/>
  <c r="CD287" i="19" s="1"/>
  <c r="CC293" i="19"/>
  <c r="EZ38" i="29"/>
  <c r="EZ42" i="29"/>
  <c r="EK45" i="1"/>
  <c r="EK19" i="11"/>
  <c r="CC22" i="19"/>
  <c r="CC290" i="19"/>
  <c r="CD272" i="19"/>
  <c r="CD284" i="19" s="1"/>
  <c r="EL16" i="11"/>
  <c r="EL34" i="1" s="1"/>
  <c r="EL42" i="11"/>
  <c r="CB37" i="19"/>
  <c r="AR44" i="11"/>
  <c r="AR47" i="11"/>
  <c r="CB143" i="19"/>
  <c r="X19" i="19"/>
  <c r="X219" i="19"/>
  <c r="AA24" i="28"/>
  <c r="EN134" i="11"/>
  <c r="EN161" i="11" s="1"/>
  <c r="EN125" i="1" s="1"/>
  <c r="EN123" i="11"/>
  <c r="AW34" i="29"/>
  <c r="AB12" i="28" s="1"/>
  <c r="AZ75" i="26" s="1"/>
  <c r="AZ82" i="26" s="1"/>
  <c r="AB8" i="28"/>
  <c r="AZ71" i="26" s="1"/>
  <c r="AZ78" i="26" s="1"/>
  <c r="AR74" i="1"/>
  <c r="X22" i="19"/>
  <c r="X290" i="19"/>
  <c r="EO9" i="11"/>
  <c r="EO15" i="1"/>
  <c r="EP9" i="1"/>
  <c r="EO29" i="1"/>
  <c r="AR111" i="11"/>
  <c r="AR159" i="11" s="1"/>
  <c r="EM159" i="11"/>
  <c r="EM123" i="1" s="1"/>
  <c r="AR123" i="1" s="1"/>
  <c r="CC16" i="19"/>
  <c r="CD198" i="19"/>
  <c r="CD210" i="19" s="1"/>
  <c r="CC216" i="19"/>
  <c r="EL83" i="1"/>
  <c r="X125" i="19"/>
  <c r="X137" i="19" s="1"/>
  <c r="CC137" i="19"/>
  <c r="EN39" i="11"/>
  <c r="AR45" i="15"/>
  <c r="AU47" i="15"/>
  <c r="AU48" i="15"/>
  <c r="AA17" i="28"/>
  <c r="EN106" i="11"/>
  <c r="EN160" i="11" s="1"/>
  <c r="EN124" i="1" s="1"/>
  <c r="EN112" i="11"/>
  <c r="EN97" i="11"/>
  <c r="EL58" i="19"/>
  <c r="EL34" i="15"/>
  <c r="EL37" i="15"/>
  <c r="EL36" i="15"/>
  <c r="EL92" i="15"/>
  <c r="CC18" i="19"/>
  <c r="CD200" i="19"/>
  <c r="CD212" i="19" s="1"/>
  <c r="CC218" i="19"/>
  <c r="CC24" i="19"/>
  <c r="CD274" i="19"/>
  <c r="CD286" i="19" s="1"/>
  <c r="CC292" i="19"/>
  <c r="EO80" i="11"/>
  <c r="EO107" i="11"/>
  <c r="EO135" i="11"/>
  <c r="EM102" i="11"/>
  <c r="AR102" i="11" s="1"/>
  <c r="AR101" i="11"/>
  <c r="AR113" i="11" s="1"/>
  <c r="EJ132" i="11"/>
  <c r="EJ22" i="11" s="1"/>
  <c r="AQ125" i="11"/>
  <c r="X16" i="19"/>
  <c r="X216" i="19"/>
  <c r="EI71" i="1"/>
  <c r="CB35" i="19"/>
  <c r="AZ97" i="26" l="1"/>
  <c r="AZ87" i="26" s="1"/>
  <c r="O87" i="26" s="1"/>
  <c r="O218" i="26" s="1"/>
  <c r="O220" i="26" s="1"/>
  <c r="AY112" i="26"/>
  <c r="AY121" i="26"/>
  <c r="EM20" i="11"/>
  <c r="EM92" i="11"/>
  <c r="AR67" i="11"/>
  <c r="AR92" i="11" s="1"/>
  <c r="AQ145" i="11"/>
  <c r="AQ132" i="11"/>
  <c r="EO60" i="11"/>
  <c r="EO79" i="11"/>
  <c r="EO157" i="11" s="1"/>
  <c r="AA18" i="28"/>
  <c r="CC11" i="19"/>
  <c r="CC29" i="19" s="1"/>
  <c r="CD125" i="19"/>
  <c r="CD137" i="19" s="1"/>
  <c r="CC13" i="19"/>
  <c r="CC31" i="19" s="1"/>
  <c r="CD127" i="19"/>
  <c r="CD139" i="19" s="1"/>
  <c r="EL55" i="19"/>
  <c r="EM18" i="15"/>
  <c r="CD19" i="19"/>
  <c r="CE201" i="19"/>
  <c r="CE213" i="19" s="1"/>
  <c r="EL47" i="15"/>
  <c r="EL48" i="15"/>
  <c r="CC12" i="19"/>
  <c r="CC30" i="19" s="1"/>
  <c r="CD126" i="19"/>
  <c r="CD138" i="19" s="1"/>
  <c r="AE44" i="25"/>
  <c r="AE44" i="7"/>
  <c r="DU110" i="1"/>
  <c r="DV106" i="1" s="1"/>
  <c r="DU99" i="1"/>
  <c r="EL47" i="19"/>
  <c r="EL45" i="15"/>
  <c r="EM7" i="15"/>
  <c r="EK84" i="1"/>
  <c r="EK42" i="1"/>
  <c r="AA29" i="28"/>
  <c r="X12" i="19"/>
  <c r="X30" i="19" s="1"/>
  <c r="EL144" i="11"/>
  <c r="EL127" i="1"/>
  <c r="EM40" i="11"/>
  <c r="AR62" i="11"/>
  <c r="AR90" i="11" s="1"/>
  <c r="CC15" i="19"/>
  <c r="CD197" i="19"/>
  <c r="CD209" i="19" s="1"/>
  <c r="CD219" i="19" s="1"/>
  <c r="CC215" i="19"/>
  <c r="EL66" i="19"/>
  <c r="EN121" i="1"/>
  <c r="EP10" i="11"/>
  <c r="EP14" i="1"/>
  <c r="EP97" i="1"/>
  <c r="EP98" i="1"/>
  <c r="EL33" i="1"/>
  <c r="EL55" i="1"/>
  <c r="EL39" i="1"/>
  <c r="EI90" i="1"/>
  <c r="CB36" i="19"/>
  <c r="CC10" i="19"/>
  <c r="CC28" i="19" s="1"/>
  <c r="CD124" i="19"/>
  <c r="CD136" i="19" s="1"/>
  <c r="CC217" i="19"/>
  <c r="X15" i="19"/>
  <c r="X215" i="19"/>
  <c r="EN61" i="11"/>
  <c r="EN62" i="11"/>
  <c r="EN67" i="11" s="1"/>
  <c r="EN98" i="11"/>
  <c r="CD18" i="19"/>
  <c r="CE200" i="19"/>
  <c r="CE212" i="19" s="1"/>
  <c r="EN101" i="11"/>
  <c r="EN111" i="11"/>
  <c r="EN159" i="11" s="1"/>
  <c r="EN123" i="1" s="1"/>
  <c r="CD22" i="19"/>
  <c r="CE272" i="19"/>
  <c r="CE284" i="19" s="1"/>
  <c r="AB15" i="28"/>
  <c r="CB34" i="19"/>
  <c r="CC21" i="19"/>
  <c r="CC289" i="19"/>
  <c r="CD271" i="19"/>
  <c r="CD283" i="19" s="1"/>
  <c r="X10" i="19"/>
  <c r="X28" i="19" s="1"/>
  <c r="CD17" i="19"/>
  <c r="CE199" i="19"/>
  <c r="CE211" i="19" s="1"/>
  <c r="CD217" i="19"/>
  <c r="CD23" i="19"/>
  <c r="CE273" i="19"/>
  <c r="CE285" i="19" s="1"/>
  <c r="EL63" i="19"/>
  <c r="EM29" i="15"/>
  <c r="CD16" i="19"/>
  <c r="CE198" i="19"/>
  <c r="CE210" i="19" s="1"/>
  <c r="CD216" i="19"/>
  <c r="EN124" i="11"/>
  <c r="FB38" i="29"/>
  <c r="D37" i="29"/>
  <c r="D40" i="29" s="1"/>
  <c r="D43" i="29" s="1"/>
  <c r="E37" i="29"/>
  <c r="E40" i="29" s="1"/>
  <c r="E43" i="29" s="1"/>
  <c r="FB42" i="29"/>
  <c r="G37" i="29"/>
  <c r="I37" i="29"/>
  <c r="L37" i="29"/>
  <c r="X21" i="19"/>
  <c r="X289" i="19"/>
  <c r="EM140" i="11"/>
  <c r="X11" i="19"/>
  <c r="X29" i="19" s="1"/>
  <c r="X13" i="19"/>
  <c r="X31" i="19" s="1"/>
  <c r="CD24" i="19"/>
  <c r="CE274" i="19"/>
  <c r="CE286" i="19" s="1"/>
  <c r="CD292" i="19"/>
  <c r="EO38" i="11"/>
  <c r="EO28" i="1"/>
  <c r="EL46" i="11"/>
  <c r="EJ45" i="1"/>
  <c r="EJ19" i="11"/>
  <c r="AQ22" i="11"/>
  <c r="AQ19" i="11" s="1"/>
  <c r="AR118" i="11"/>
  <c r="EI91" i="1"/>
  <c r="EI102" i="1"/>
  <c r="EO134" i="11"/>
  <c r="EO161" i="11" s="1"/>
  <c r="EO125" i="1" s="1"/>
  <c r="EO123" i="11"/>
  <c r="EO97" i="11"/>
  <c r="EO106" i="11"/>
  <c r="EO160" i="11" s="1"/>
  <c r="EO124" i="1" s="1"/>
  <c r="EO112" i="11"/>
  <c r="CD25" i="19"/>
  <c r="CE275" i="19"/>
  <c r="CE287" i="19" s="1"/>
  <c r="CD293" i="19"/>
  <c r="AP91" i="1"/>
  <c r="AP102" i="1"/>
  <c r="AP89" i="1"/>
  <c r="AP90" i="1"/>
  <c r="EM104" i="11"/>
  <c r="EM21" i="11" s="1"/>
  <c r="X123" i="19"/>
  <c r="X135" i="19" s="1"/>
  <c r="X142" i="19" s="1"/>
  <c r="CC135" i="19"/>
  <c r="AR104" i="11"/>
  <c r="X292" i="19"/>
  <c r="AY123" i="26" l="1"/>
  <c r="AY124" i="26"/>
  <c r="O97" i="26"/>
  <c r="I40" i="29"/>
  <c r="AZ100" i="26"/>
  <c r="AZ101" i="26" s="1"/>
  <c r="G40" i="29"/>
  <c r="G43" i="29" s="1"/>
  <c r="EN20" i="11"/>
  <c r="EN92" i="11"/>
  <c r="AB26" i="28"/>
  <c r="G26" i="28" s="1"/>
  <c r="AB33" i="28"/>
  <c r="AB16" i="28"/>
  <c r="G16" i="28" s="1"/>
  <c r="AB23" i="28"/>
  <c r="G23" i="28" s="1"/>
  <c r="AB20" i="28"/>
  <c r="AB27" i="28"/>
  <c r="G27" i="28" s="1"/>
  <c r="AB21" i="28"/>
  <c r="G21" i="28" s="1"/>
  <c r="AB22" i="28"/>
  <c r="G22" i="28" s="1"/>
  <c r="G15" i="28"/>
  <c r="CE18" i="19"/>
  <c r="CF200" i="19"/>
  <c r="EL81" i="1"/>
  <c r="EL38" i="1"/>
  <c r="EL37" i="1"/>
  <c r="EL125" i="11"/>
  <c r="CD13" i="19"/>
  <c r="CD31" i="19" s="1"/>
  <c r="CE127" i="19"/>
  <c r="CE139" i="19" s="1"/>
  <c r="CD145" i="19"/>
  <c r="EO121" i="1"/>
  <c r="CC9" i="19"/>
  <c r="CC27" i="19" s="1"/>
  <c r="CC33" i="19" s="1"/>
  <c r="CD123" i="19"/>
  <c r="CD135" i="19" s="1"/>
  <c r="CC141" i="19"/>
  <c r="EO98" i="11"/>
  <c r="EO104" i="11" s="1"/>
  <c r="EO21" i="11" s="1"/>
  <c r="EO44" i="1" s="1"/>
  <c r="EO83" i="1" s="1"/>
  <c r="EM44" i="1"/>
  <c r="AR21" i="11"/>
  <c r="EO64" i="1"/>
  <c r="X143" i="19"/>
  <c r="I42" i="29"/>
  <c r="I43" i="29" s="1"/>
  <c r="J42" i="29"/>
  <c r="K42" i="29"/>
  <c r="K43" i="29" s="1"/>
  <c r="L42" i="29"/>
  <c r="CE16" i="19"/>
  <c r="CF198" i="19"/>
  <c r="CD21" i="19"/>
  <c r="CD289" i="19"/>
  <c r="CE271" i="19"/>
  <c r="CE283" i="19" s="1"/>
  <c r="CD290" i="19"/>
  <c r="AA34" i="28"/>
  <c r="DV110" i="1"/>
  <c r="DW106" i="1" s="1"/>
  <c r="DV99" i="1"/>
  <c r="CC37" i="19"/>
  <c r="EO61" i="11"/>
  <c r="EO62" i="11"/>
  <c r="EO40" i="11" s="1"/>
  <c r="EO45" i="11" s="1"/>
  <c r="CE22" i="19"/>
  <c r="CF272" i="19"/>
  <c r="EK65" i="1"/>
  <c r="EK48" i="1"/>
  <c r="CE19" i="19"/>
  <c r="CF201" i="19"/>
  <c r="CC143" i="19"/>
  <c r="CE25" i="19"/>
  <c r="CF275" i="19"/>
  <c r="EM58" i="19"/>
  <c r="EM34" i="15"/>
  <c r="EM37" i="15"/>
  <c r="EM36" i="15"/>
  <c r="EM92" i="15"/>
  <c r="EP9" i="11"/>
  <c r="EP15" i="1"/>
  <c r="EQ9" i="1"/>
  <c r="EP29" i="1"/>
  <c r="CD15" i="19"/>
  <c r="CE197" i="19"/>
  <c r="CE209" i="19" s="1"/>
  <c r="CE216" i="19" s="1"/>
  <c r="CD215" i="19"/>
  <c r="X144" i="19"/>
  <c r="CD11" i="19"/>
  <c r="CD29" i="19" s="1"/>
  <c r="CE125" i="19"/>
  <c r="CE137" i="19" s="1"/>
  <c r="CD143" i="19"/>
  <c r="J38" i="29"/>
  <c r="L38" i="29"/>
  <c r="CE17" i="19"/>
  <c r="CF199" i="19"/>
  <c r="CE217" i="19"/>
  <c r="CC142" i="19"/>
  <c r="AW38" i="29"/>
  <c r="EP107" i="11"/>
  <c r="EP80" i="11"/>
  <c r="EP135" i="11"/>
  <c r="K10" i="11"/>
  <c r="AS10" i="11"/>
  <c r="CC144" i="19"/>
  <c r="EM50" i="19"/>
  <c r="EM23" i="15"/>
  <c r="EM25" i="15"/>
  <c r="EM91" i="15"/>
  <c r="EM26" i="15"/>
  <c r="CC35" i="19"/>
  <c r="EO39" i="11"/>
  <c r="EM129" i="11"/>
  <c r="EM139" i="11"/>
  <c r="AR140" i="11"/>
  <c r="EO101" i="11"/>
  <c r="EO102" i="11" s="1"/>
  <c r="EO111" i="11"/>
  <c r="EO159" i="11" s="1"/>
  <c r="EO123" i="1" s="1"/>
  <c r="EJ84" i="1"/>
  <c r="EJ42" i="1"/>
  <c r="AQ45" i="1"/>
  <c r="AQ84" i="1" s="1"/>
  <c r="CE24" i="19"/>
  <c r="CF274" i="19"/>
  <c r="CD10" i="19"/>
  <c r="CD28" i="19" s="1"/>
  <c r="CE124" i="19"/>
  <c r="CE136" i="19" s="1"/>
  <c r="CD142" i="19"/>
  <c r="EN140" i="11"/>
  <c r="EM42" i="19"/>
  <c r="EM12" i="15"/>
  <c r="EM40" i="15"/>
  <c r="EM15" i="15"/>
  <c r="EM14" i="15"/>
  <c r="EM90" i="15"/>
  <c r="CD12" i="19"/>
  <c r="CD30" i="19" s="1"/>
  <c r="CE126" i="19"/>
  <c r="CE138" i="19" s="1"/>
  <c r="CD144" i="19"/>
  <c r="CE23" i="19"/>
  <c r="CF273" i="19"/>
  <c r="CE291" i="19"/>
  <c r="EN102" i="11"/>
  <c r="EN104" i="11" s="1"/>
  <c r="EN21" i="11" s="1"/>
  <c r="EN40" i="11"/>
  <c r="CC34" i="19"/>
  <c r="EM45" i="11"/>
  <c r="EM41" i="11"/>
  <c r="AR40" i="11"/>
  <c r="AR45" i="11" s="1"/>
  <c r="CC36" i="19"/>
  <c r="AA31" i="28"/>
  <c r="EM43" i="1"/>
  <c r="AR20" i="11"/>
  <c r="EO124" i="11"/>
  <c r="X9" i="19"/>
  <c r="X27" i="19" s="1"/>
  <c r="X33" i="19" s="1"/>
  <c r="X141" i="19"/>
  <c r="X145" i="19"/>
  <c r="CD291" i="19"/>
  <c r="X34" i="19"/>
  <c r="CD218" i="19"/>
  <c r="EL100" i="1"/>
  <c r="EL101" i="1"/>
  <c r="AW42" i="29"/>
  <c r="EL71" i="19"/>
  <c r="CC145" i="19"/>
  <c r="AY126" i="26" l="1"/>
  <c r="AY164" i="26"/>
  <c r="AY163" i="26" s="1"/>
  <c r="J40" i="29"/>
  <c r="J43" i="29" s="1"/>
  <c r="L120" i="26"/>
  <c r="L97" i="26"/>
  <c r="L40" i="29"/>
  <c r="L43" i="29" s="1"/>
  <c r="AW40" i="29"/>
  <c r="O100" i="26"/>
  <c r="O101" i="26" s="1"/>
  <c r="J120" i="26"/>
  <c r="J97" i="26"/>
  <c r="EN44" i="1"/>
  <c r="CF213" i="19"/>
  <c r="Y201" i="19"/>
  <c r="Y213" i="19" s="1"/>
  <c r="AA35" i="28"/>
  <c r="X37" i="19"/>
  <c r="EL132" i="11"/>
  <c r="EL22" i="11" s="1"/>
  <c r="CF212" i="19"/>
  <c r="Y200" i="19"/>
  <c r="Y212" i="19" s="1"/>
  <c r="EP38" i="11"/>
  <c r="EP28" i="1"/>
  <c r="AS29" i="1"/>
  <c r="EM63" i="19"/>
  <c r="EN29" i="15"/>
  <c r="EO67" i="11"/>
  <c r="EO140" i="11"/>
  <c r="G33" i="28"/>
  <c r="EM16" i="11"/>
  <c r="EM34" i="1" s="1"/>
  <c r="EM42" i="11"/>
  <c r="AR41" i="11"/>
  <c r="AR16" i="11" s="1"/>
  <c r="EP97" i="11"/>
  <c r="EP106" i="11"/>
  <c r="EP112" i="11"/>
  <c r="K107" i="11"/>
  <c r="EN19" i="25" s="1"/>
  <c r="AS107" i="11"/>
  <c r="CE21" i="19"/>
  <c r="CF271" i="19"/>
  <c r="CE289" i="19"/>
  <c r="EM83" i="1"/>
  <c r="AR44" i="1"/>
  <c r="AR83" i="1" s="1"/>
  <c r="EL92" i="1"/>
  <c r="EL93" i="1" s="1"/>
  <c r="AB17" i="28"/>
  <c r="EJ48" i="1"/>
  <c r="AQ48" i="1" s="1"/>
  <c r="EJ65" i="1"/>
  <c r="AQ42" i="1"/>
  <c r="EM82" i="1"/>
  <c r="EM85" i="1"/>
  <c r="EM57" i="1"/>
  <c r="EM54" i="1"/>
  <c r="EP94" i="1"/>
  <c r="AR43" i="1"/>
  <c r="CE11" i="19"/>
  <c r="CE29" i="19" s="1"/>
  <c r="CF125" i="19"/>
  <c r="CE293" i="19"/>
  <c r="EM130" i="11"/>
  <c r="AR130" i="11" s="1"/>
  <c r="AR129" i="11"/>
  <c r="AR141" i="11" s="1"/>
  <c r="CF285" i="19"/>
  <c r="Y273" i="19"/>
  <c r="Y285" i="19" s="1"/>
  <c r="AT9" i="1"/>
  <c r="EQ14" i="1"/>
  <c r="EQ97" i="1"/>
  <c r="EQ98" i="1"/>
  <c r="EM47" i="15"/>
  <c r="EM48" i="15"/>
  <c r="AS109" i="11"/>
  <c r="Y275" i="19"/>
  <c r="Y287" i="19" s="1"/>
  <c r="CF287" i="19"/>
  <c r="CE13" i="19"/>
  <c r="CE31" i="19" s="1"/>
  <c r="CF127" i="19"/>
  <c r="CE10" i="19"/>
  <c r="CE28" i="19" s="1"/>
  <c r="CF124" i="19"/>
  <c r="CE142" i="19"/>
  <c r="X36" i="19"/>
  <c r="EN45" i="11"/>
  <c r="EN41" i="11"/>
  <c r="X35" i="19"/>
  <c r="EM47" i="19"/>
  <c r="EN7" i="15"/>
  <c r="EM45" i="15"/>
  <c r="CE292" i="19"/>
  <c r="Y199" i="19"/>
  <c r="Y211" i="19" s="1"/>
  <c r="CF211" i="19"/>
  <c r="Y198" i="19"/>
  <c r="Y210" i="19" s="1"/>
  <c r="CF210" i="19"/>
  <c r="EO41" i="11"/>
  <c r="EK71" i="1"/>
  <c r="AW43" i="29"/>
  <c r="EM66" i="19"/>
  <c r="CF286" i="19"/>
  <c r="Y274" i="19"/>
  <c r="Y286" i="19" s="1"/>
  <c r="EP134" i="11"/>
  <c r="EP123" i="11"/>
  <c r="K135" i="11"/>
  <c r="EX21" i="25" s="1"/>
  <c r="AS135" i="11"/>
  <c r="AS137" i="11" s="1"/>
  <c r="CF284" i="19"/>
  <c r="Y272" i="19"/>
  <c r="Y284" i="19" s="1"/>
  <c r="DW110" i="1"/>
  <c r="DX106" i="1" s="1"/>
  <c r="DW99" i="1"/>
  <c r="CD9" i="19"/>
  <c r="CD27" i="19" s="1"/>
  <c r="CD33" i="19" s="1"/>
  <c r="CE123" i="19"/>
  <c r="CE135" i="19" s="1"/>
  <c r="CD141" i="19"/>
  <c r="AB24" i="28"/>
  <c r="G20" i="28"/>
  <c r="EM55" i="19"/>
  <c r="EN18" i="15"/>
  <c r="CE12" i="19"/>
  <c r="CE30" i="19" s="1"/>
  <c r="CF126" i="19"/>
  <c r="CE144" i="19"/>
  <c r="EN129" i="11"/>
  <c r="EN139" i="11"/>
  <c r="EN162" i="11" s="1"/>
  <c r="AR139" i="11"/>
  <c r="EM162" i="11"/>
  <c r="EP60" i="11"/>
  <c r="EP79" i="11"/>
  <c r="K80" i="11"/>
  <c r="AS80" i="11"/>
  <c r="CE15" i="19"/>
  <c r="CF197" i="19"/>
  <c r="CE215" i="19"/>
  <c r="CE219" i="19"/>
  <c r="CE290" i="19"/>
  <c r="CE218" i="19"/>
  <c r="EN43" i="1"/>
  <c r="AZ110" i="26" l="1"/>
  <c r="AZ120" i="26"/>
  <c r="O110" i="26"/>
  <c r="O120" i="26"/>
  <c r="J100" i="26"/>
  <c r="J121" i="26"/>
  <c r="L100" i="26"/>
  <c r="L121" i="26"/>
  <c r="M110" i="26"/>
  <c r="M120" i="26"/>
  <c r="EN130" i="11"/>
  <c r="CF22" i="19"/>
  <c r="CG272" i="19"/>
  <c r="CG284" i="19" s="1"/>
  <c r="CF17" i="19"/>
  <c r="CG199" i="19"/>
  <c r="CG211" i="19" s="1"/>
  <c r="CF139" i="19"/>
  <c r="Y127" i="19"/>
  <c r="Y139" i="19" s="1"/>
  <c r="CF23" i="19"/>
  <c r="CG273" i="19"/>
  <c r="CG285" i="19" s="1"/>
  <c r="AB29" i="28"/>
  <c r="AB31" i="28" s="1"/>
  <c r="G24" i="28"/>
  <c r="EK91" i="1"/>
  <c r="EK102" i="1"/>
  <c r="Y17" i="19"/>
  <c r="AR85" i="1"/>
  <c r="AR82" i="1"/>
  <c r="AR57" i="1"/>
  <c r="AR54" i="1"/>
  <c r="AS94" i="1"/>
  <c r="K94" i="1" s="1"/>
  <c r="AE19" i="25" s="1"/>
  <c r="EP39" i="11"/>
  <c r="AS38" i="11"/>
  <c r="CF25" i="19"/>
  <c r="CG275" i="19"/>
  <c r="CG287" i="19" s="1"/>
  <c r="EJ71" i="1"/>
  <c r="AQ65" i="1"/>
  <c r="EJ68" i="1"/>
  <c r="EK63" i="1" s="1"/>
  <c r="EP101" i="11"/>
  <c r="EP111" i="11"/>
  <c r="K112" i="11"/>
  <c r="EN24" i="25" s="1"/>
  <c r="AS112" i="11"/>
  <c r="AS114" i="11" s="1"/>
  <c r="EO139" i="11"/>
  <c r="EO162" i="11" s="1"/>
  <c r="EO129" i="11"/>
  <c r="EO130" i="11" s="1"/>
  <c r="Y18" i="19"/>
  <c r="K79" i="11"/>
  <c r="K157" i="11" s="1"/>
  <c r="AS79" i="11"/>
  <c r="EP157" i="11"/>
  <c r="Y126" i="19"/>
  <c r="Y138" i="19" s="1"/>
  <c r="CF138" i="19"/>
  <c r="CE9" i="19"/>
  <c r="CE27" i="19" s="1"/>
  <c r="CE33" i="19" s="1"/>
  <c r="CF123" i="19"/>
  <c r="CE141" i="19"/>
  <c r="EP124" i="11"/>
  <c r="AS124" i="11" s="1"/>
  <c r="AS148" i="11" s="1"/>
  <c r="AS123" i="11"/>
  <c r="CD34" i="19"/>
  <c r="Y25" i="19"/>
  <c r="AR149" i="11"/>
  <c r="K106" i="11"/>
  <c r="AS106" i="11"/>
  <c r="AS160" i="11" s="1"/>
  <c r="EP160" i="11"/>
  <c r="EP124" i="1" s="1"/>
  <c r="EO20" i="11"/>
  <c r="EO92" i="11"/>
  <c r="CF18" i="19"/>
  <c r="CG200" i="19"/>
  <c r="CG212" i="19" s="1"/>
  <c r="Y19" i="19"/>
  <c r="EN42" i="19"/>
  <c r="EN12" i="15"/>
  <c r="AS7" i="15"/>
  <c r="EN40" i="15"/>
  <c r="EN90" i="15"/>
  <c r="EN15" i="15"/>
  <c r="EN14" i="15"/>
  <c r="AB18" i="28"/>
  <c r="G17" i="28"/>
  <c r="EN58" i="19"/>
  <c r="AS58" i="19" s="1"/>
  <c r="AS63" i="19" s="1"/>
  <c r="EN34" i="15"/>
  <c r="AS29" i="15"/>
  <c r="EN36" i="15"/>
  <c r="EN92" i="15"/>
  <c r="EN37" i="15"/>
  <c r="CF19" i="19"/>
  <c r="CG201" i="19"/>
  <c r="CG213" i="19" s="1"/>
  <c r="EP62" i="11"/>
  <c r="EP61" i="11"/>
  <c r="AS61" i="11" s="1"/>
  <c r="AS89" i="11" s="1"/>
  <c r="AS60" i="11"/>
  <c r="AS81" i="11" s="1"/>
  <c r="EO16" i="11"/>
  <c r="EO34" i="1" s="1"/>
  <c r="EO42" i="11"/>
  <c r="EO46" i="11" s="1"/>
  <c r="EQ9" i="11"/>
  <c r="EQ15" i="1"/>
  <c r="ER9" i="1"/>
  <c r="EQ29" i="1"/>
  <c r="EP98" i="11"/>
  <c r="AS98" i="11" s="1"/>
  <c r="AS117" i="11" s="1"/>
  <c r="AS97" i="11"/>
  <c r="EM126" i="1"/>
  <c r="AR126" i="1" s="1"/>
  <c r="AR127" i="1" s="1"/>
  <c r="EM163" i="11"/>
  <c r="Y24" i="19"/>
  <c r="CD37" i="19"/>
  <c r="EM71" i="19"/>
  <c r="Y124" i="19"/>
  <c r="Y136" i="19" s="1"/>
  <c r="CF136" i="19"/>
  <c r="AT14" i="1"/>
  <c r="AW97" i="1"/>
  <c r="AW98" i="1"/>
  <c r="CE36" i="19"/>
  <c r="K134" i="11"/>
  <c r="AS134" i="11"/>
  <c r="AS161" i="11" s="1"/>
  <c r="EP161" i="11"/>
  <c r="EP125" i="1" s="1"/>
  <c r="CD35" i="19"/>
  <c r="CD36" i="19"/>
  <c r="Y271" i="19"/>
  <c r="Y283" i="19" s="1"/>
  <c r="Y293" i="19" s="1"/>
  <c r="CF283" i="19"/>
  <c r="EN82" i="1"/>
  <c r="EN85" i="1"/>
  <c r="EN57" i="1"/>
  <c r="EN54" i="1"/>
  <c r="EQ94" i="1"/>
  <c r="AR162" i="11"/>
  <c r="AR163" i="11" s="1"/>
  <c r="AR142" i="11"/>
  <c r="EN50" i="19"/>
  <c r="AS50" i="19" s="1"/>
  <c r="AS55" i="19" s="1"/>
  <c r="EN23" i="15"/>
  <c r="AS18" i="15"/>
  <c r="EN25" i="15"/>
  <c r="EN91" i="15"/>
  <c r="EN26" i="15"/>
  <c r="DX110" i="1"/>
  <c r="DY106" i="1" s="1"/>
  <c r="DX99" i="1"/>
  <c r="CF24" i="19"/>
  <c r="CG274" i="19"/>
  <c r="CG286" i="19" s="1"/>
  <c r="CF16" i="19"/>
  <c r="CG198" i="19"/>
  <c r="CG210" i="19" s="1"/>
  <c r="CE34" i="19"/>
  <c r="EQ10" i="11"/>
  <c r="CE143" i="19"/>
  <c r="EM46" i="11"/>
  <c r="AR42" i="11"/>
  <c r="AR46" i="11" s="1"/>
  <c r="AS52" i="1"/>
  <c r="EL45" i="1"/>
  <c r="EL19" i="11"/>
  <c r="EN83" i="1"/>
  <c r="Y197" i="19"/>
  <c r="Y209" i="19" s="1"/>
  <c r="Y217" i="19" s="1"/>
  <c r="CF209" i="19"/>
  <c r="CF216" i="19" s="1"/>
  <c r="EN126" i="1"/>
  <c r="EN163" i="11"/>
  <c r="Y22" i="19"/>
  <c r="Y16" i="19"/>
  <c r="EN16" i="11"/>
  <c r="EN34" i="1" s="1"/>
  <c r="EN42" i="11"/>
  <c r="CE145" i="19"/>
  <c r="Y23" i="19"/>
  <c r="Y125" i="19"/>
  <c r="Y137" i="19" s="1"/>
  <c r="CF137" i="19"/>
  <c r="EM33" i="1"/>
  <c r="EM55" i="1"/>
  <c r="EM39" i="1"/>
  <c r="AR34" i="1"/>
  <c r="EP64" i="1"/>
  <c r="AS28" i="1"/>
  <c r="L101" i="26" l="1"/>
  <c r="M101" i="26"/>
  <c r="J101" i="26"/>
  <c r="K101" i="26"/>
  <c r="L123" i="26"/>
  <c r="L124" i="26"/>
  <c r="J124" i="26"/>
  <c r="J123" i="26"/>
  <c r="O112" i="26"/>
  <c r="O121" i="26"/>
  <c r="M112" i="26"/>
  <c r="M121" i="26"/>
  <c r="AZ112" i="26"/>
  <c r="AZ121" i="26"/>
  <c r="EM144" i="11"/>
  <c r="EM127" i="1"/>
  <c r="CF219" i="19"/>
  <c r="AR55" i="1"/>
  <c r="AR39" i="1"/>
  <c r="EN144" i="11"/>
  <c r="EN127" i="1"/>
  <c r="DY110" i="1"/>
  <c r="DZ106" i="1" s="1"/>
  <c r="DY99" i="1"/>
  <c r="Y292" i="19"/>
  <c r="EQ38" i="11"/>
  <c r="EQ28" i="1"/>
  <c r="AS34" i="15"/>
  <c r="AS92" i="15"/>
  <c r="AV36" i="15"/>
  <c r="AV37" i="15"/>
  <c r="CG18" i="19"/>
  <c r="CH200" i="19"/>
  <c r="CH212" i="19" s="1"/>
  <c r="Y123" i="19"/>
  <c r="Y135" i="19" s="1"/>
  <c r="CF135" i="19"/>
  <c r="Y218" i="19"/>
  <c r="AR63" i="1"/>
  <c r="EK68" i="1"/>
  <c r="EL63" i="1" s="1"/>
  <c r="CE37" i="19"/>
  <c r="CF217" i="19"/>
  <c r="EN46" i="11"/>
  <c r="EL84" i="1"/>
  <c r="EL42" i="1"/>
  <c r="CF21" i="19"/>
  <c r="CF289" i="19"/>
  <c r="CG271" i="19"/>
  <c r="CG283" i="19" s="1"/>
  <c r="ER14" i="1"/>
  <c r="ER97" i="1"/>
  <c r="ER98" i="1"/>
  <c r="EP40" i="11"/>
  <c r="EP41" i="11" s="1"/>
  <c r="AS62" i="11"/>
  <c r="AS90" i="11" s="1"/>
  <c r="EN63" i="19"/>
  <c r="EO29" i="15"/>
  <c r="AS40" i="15"/>
  <c r="EN48" i="15"/>
  <c r="EN47" i="15"/>
  <c r="AQ75" i="1"/>
  <c r="AF46" i="7"/>
  <c r="AF46" i="25"/>
  <c r="AQ68" i="1"/>
  <c r="AS39" i="11"/>
  <c r="AB34" i="28"/>
  <c r="G29" i="28"/>
  <c r="CG17" i="19"/>
  <c r="CH199" i="19"/>
  <c r="CH211" i="19" s="1"/>
  <c r="CG16" i="19"/>
  <c r="CH198" i="19"/>
  <c r="CH210" i="19" s="1"/>
  <c r="CE35" i="19"/>
  <c r="CF12" i="19"/>
  <c r="CF30" i="19" s="1"/>
  <c r="CG126" i="19"/>
  <c r="CG138" i="19" s="1"/>
  <c r="CF144" i="19"/>
  <c r="EM81" i="1"/>
  <c r="EM37" i="1"/>
  <c r="EM38" i="1"/>
  <c r="AR33" i="1"/>
  <c r="EN33" i="1"/>
  <c r="EN55" i="1"/>
  <c r="EN39" i="1"/>
  <c r="Y15" i="19"/>
  <c r="Y215" i="19"/>
  <c r="AT9" i="11"/>
  <c r="AT15" i="1"/>
  <c r="AT113" i="1"/>
  <c r="AR100" i="1"/>
  <c r="AR101" i="1"/>
  <c r="CG19" i="19"/>
  <c r="CH201" i="19"/>
  <c r="CH213" i="19" s="1"/>
  <c r="G18" i="28"/>
  <c r="G31" i="28"/>
  <c r="EN47" i="19"/>
  <c r="EN71" i="19" s="1"/>
  <c r="EO7" i="15"/>
  <c r="EN45" i="15"/>
  <c r="Y12" i="19"/>
  <c r="Y30" i="19" s="1"/>
  <c r="Y144" i="19"/>
  <c r="EO126" i="1"/>
  <c r="EO163" i="11"/>
  <c r="EJ91" i="1"/>
  <c r="EJ102" i="1"/>
  <c r="EJ90" i="1"/>
  <c r="AQ71" i="1"/>
  <c r="EK90" i="1"/>
  <c r="CF291" i="19"/>
  <c r="CG22" i="19"/>
  <c r="CH272" i="19"/>
  <c r="CH284" i="19" s="1"/>
  <c r="CG290" i="19"/>
  <c r="CF11" i="19"/>
  <c r="CF29" i="19" s="1"/>
  <c r="CG125" i="19"/>
  <c r="CG137" i="19" s="1"/>
  <c r="CF143" i="19"/>
  <c r="Y216" i="19"/>
  <c r="CF292" i="19"/>
  <c r="AS23" i="15"/>
  <c r="AS91" i="15"/>
  <c r="AV26" i="15"/>
  <c r="AV25" i="15"/>
  <c r="CF10" i="19"/>
  <c r="CF28" i="19" s="1"/>
  <c r="CF142" i="19"/>
  <c r="CG124" i="19"/>
  <c r="CG136" i="19" s="1"/>
  <c r="AS108" i="11"/>
  <c r="AS42" i="19"/>
  <c r="AS47" i="19" s="1"/>
  <c r="EN66" i="19"/>
  <c r="AS66" i="19" s="1"/>
  <c r="AS71" i="19" s="1"/>
  <c r="EO43" i="1"/>
  <c r="AS136" i="11"/>
  <c r="EP121" i="1"/>
  <c r="CF293" i="19"/>
  <c r="CG23" i="19"/>
  <c r="CH273" i="19"/>
  <c r="CH285" i="19" s="1"/>
  <c r="CG291" i="19"/>
  <c r="CF290" i="19"/>
  <c r="CF15" i="19"/>
  <c r="CF215" i="19"/>
  <c r="CG197" i="19"/>
  <c r="CG209" i="19" s="1"/>
  <c r="CG217" i="19" s="1"/>
  <c r="AS12" i="15"/>
  <c r="AS90" i="15"/>
  <c r="AV15" i="15"/>
  <c r="AV14" i="15"/>
  <c r="Y11" i="19"/>
  <c r="Y29" i="19" s="1"/>
  <c r="Y143" i="19"/>
  <c r="CG24" i="19"/>
  <c r="CH274" i="19"/>
  <c r="CH286" i="19" s="1"/>
  <c r="CG292" i="19"/>
  <c r="EN55" i="19"/>
  <c r="EO18" i="15"/>
  <c r="K125" i="1"/>
  <c r="AS125" i="1"/>
  <c r="Y10" i="19"/>
  <c r="Y28" i="19" s="1"/>
  <c r="Y142" i="19"/>
  <c r="EO33" i="1"/>
  <c r="EO55" i="1"/>
  <c r="EO39" i="1"/>
  <c r="Y219" i="19"/>
  <c r="AS124" i="1"/>
  <c r="K124" i="1"/>
  <c r="AS157" i="11"/>
  <c r="AS82" i="11"/>
  <c r="CG25" i="19"/>
  <c r="CH275" i="19"/>
  <c r="CH287" i="19" s="1"/>
  <c r="CG293" i="19"/>
  <c r="Y21" i="19"/>
  <c r="Y289" i="19"/>
  <c r="AS64" i="1"/>
  <c r="Y291" i="19"/>
  <c r="Y290" i="19"/>
  <c r="CO9" i="25"/>
  <c r="K111" i="11"/>
  <c r="AS111" i="11"/>
  <c r="AS159" i="11" s="1"/>
  <c r="EP159" i="11"/>
  <c r="EP123" i="1" s="1"/>
  <c r="Y13" i="19"/>
  <c r="Y31" i="19" s="1"/>
  <c r="Y145" i="19"/>
  <c r="EQ80" i="11"/>
  <c r="EQ107" i="11"/>
  <c r="EQ135" i="11"/>
  <c r="K161" i="11"/>
  <c r="EX20" i="25"/>
  <c r="EP67" i="11"/>
  <c r="CF218" i="19"/>
  <c r="K160" i="11"/>
  <c r="EN18" i="25"/>
  <c r="EP102" i="11"/>
  <c r="AS101" i="11"/>
  <c r="AS113" i="11" s="1"/>
  <c r="CF13" i="19"/>
  <c r="CF31" i="19" s="1"/>
  <c r="CG127" i="19"/>
  <c r="CG139" i="19" s="1"/>
  <c r="CF145" i="19"/>
  <c r="J126" i="26" l="1"/>
  <c r="J164" i="26"/>
  <c r="J163" i="26" s="1"/>
  <c r="L126" i="26"/>
  <c r="L164" i="26"/>
  <c r="L163" i="26" s="1"/>
  <c r="M124" i="26"/>
  <c r="M123" i="26"/>
  <c r="O123" i="26"/>
  <c r="O124" i="26"/>
  <c r="AZ124" i="26"/>
  <c r="AZ123" i="26"/>
  <c r="EP16" i="11"/>
  <c r="EP34" i="1" s="1"/>
  <c r="AS41" i="11"/>
  <c r="AS16" i="11" s="1"/>
  <c r="EP42" i="11"/>
  <c r="CO13" i="25"/>
  <c r="EO81" i="1"/>
  <c r="EO38" i="1"/>
  <c r="EO37" i="1"/>
  <c r="CH24" i="19"/>
  <c r="CI274" i="19"/>
  <c r="F286" i="19"/>
  <c r="CG219" i="19"/>
  <c r="G34" i="28"/>
  <c r="AB35" i="28"/>
  <c r="G35" i="28" s="1"/>
  <c r="ER9" i="11"/>
  <c r="ER15" i="1"/>
  <c r="ER29" i="1"/>
  <c r="ES9" i="1"/>
  <c r="CF9" i="19"/>
  <c r="CF27" i="19" s="1"/>
  <c r="CF33" i="19" s="1"/>
  <c r="CF141" i="19"/>
  <c r="CG123" i="19"/>
  <c r="CG135" i="19" s="1"/>
  <c r="DZ110" i="1"/>
  <c r="EA106" i="1" s="1"/>
  <c r="DZ99" i="1"/>
  <c r="EQ123" i="11"/>
  <c r="EQ134" i="11"/>
  <c r="EQ161" i="11" s="1"/>
  <c r="EQ125" i="1" s="1"/>
  <c r="K123" i="1"/>
  <c r="AS123" i="1"/>
  <c r="CG10" i="19"/>
  <c r="CG28" i="19" s="1"/>
  <c r="CH124" i="19"/>
  <c r="CH136" i="19" s="1"/>
  <c r="CG142" i="19"/>
  <c r="CH19" i="19"/>
  <c r="CI201" i="19"/>
  <c r="F213" i="19"/>
  <c r="CG216" i="19"/>
  <c r="AS44" i="11"/>
  <c r="AS47" i="11"/>
  <c r="AS45" i="15"/>
  <c r="AV47" i="15"/>
  <c r="AV48" i="15"/>
  <c r="ER10" i="11"/>
  <c r="Y9" i="19"/>
  <c r="Y27" i="19" s="1"/>
  <c r="Y33" i="19" s="1"/>
  <c r="Y141" i="19"/>
  <c r="EQ64" i="1"/>
  <c r="EN100" i="1"/>
  <c r="EN101" i="1"/>
  <c r="EQ97" i="11"/>
  <c r="EQ106" i="11"/>
  <c r="EQ160" i="11" s="1"/>
  <c r="EQ124" i="1" s="1"/>
  <c r="EQ112" i="11"/>
  <c r="AS74" i="1"/>
  <c r="Y36" i="19"/>
  <c r="AR37" i="1"/>
  <c r="EM92" i="1"/>
  <c r="EM93" i="1" s="1"/>
  <c r="CH16" i="19"/>
  <c r="CI198" i="19"/>
  <c r="F210" i="19"/>
  <c r="EO58" i="19"/>
  <c r="EO34" i="15"/>
  <c r="EO36" i="15"/>
  <c r="EO37" i="15"/>
  <c r="EO92" i="15"/>
  <c r="CG21" i="19"/>
  <c r="CG289" i="19"/>
  <c r="CH271" i="19"/>
  <c r="CH283" i="19" s="1"/>
  <c r="CH292" i="19" s="1"/>
  <c r="CG218" i="19"/>
  <c r="EN125" i="11"/>
  <c r="AS102" i="11"/>
  <c r="AS118" i="11" s="1"/>
  <c r="EP104" i="11"/>
  <c r="EP21" i="11" s="1"/>
  <c r="Y34" i="19"/>
  <c r="CH23" i="19"/>
  <c r="CH291" i="19"/>
  <c r="CI273" i="19"/>
  <c r="F285" i="19"/>
  <c r="EQ60" i="11"/>
  <c r="EQ79" i="11"/>
  <c r="EQ157" i="11" s="1"/>
  <c r="K159" i="11"/>
  <c r="EN23" i="25"/>
  <c r="Y35" i="19"/>
  <c r="EO82" i="1"/>
  <c r="EO85" i="1"/>
  <c r="EO57" i="1"/>
  <c r="EO54" i="1"/>
  <c r="ER94" i="1"/>
  <c r="CF34" i="19"/>
  <c r="CG11" i="19"/>
  <c r="CG29" i="19" s="1"/>
  <c r="CH125" i="19"/>
  <c r="CH137" i="19" s="1"/>
  <c r="CG143" i="19"/>
  <c r="AF44" i="7"/>
  <c r="AF44" i="25"/>
  <c r="CH18" i="19"/>
  <c r="CI200" i="19"/>
  <c r="F212" i="19"/>
  <c r="CO12" i="25"/>
  <c r="CF35" i="19"/>
  <c r="EO42" i="19"/>
  <c r="EO66" i="19" s="1"/>
  <c r="EO12" i="15"/>
  <c r="EO40" i="15"/>
  <c r="EO90" i="15"/>
  <c r="EO15" i="15"/>
  <c r="EO14" i="15"/>
  <c r="EO50" i="19"/>
  <c r="EO23" i="15"/>
  <c r="EO26" i="15"/>
  <c r="EO25" i="15"/>
  <c r="EO91" i="15"/>
  <c r="CG15" i="19"/>
  <c r="CG215" i="19"/>
  <c r="CH197" i="19"/>
  <c r="CH209" i="19" s="1"/>
  <c r="CH219" i="19" s="1"/>
  <c r="EN81" i="1"/>
  <c r="EN37" i="1"/>
  <c r="EN38" i="1"/>
  <c r="EP45" i="11"/>
  <c r="AS40" i="11"/>
  <c r="AS45" i="11" s="1"/>
  <c r="EQ39" i="11"/>
  <c r="CD16" i="25"/>
  <c r="CD17" i="25" s="1"/>
  <c r="CO37" i="25"/>
  <c r="CH22" i="19"/>
  <c r="CI272" i="19"/>
  <c r="F284" i="19"/>
  <c r="CH290" i="19"/>
  <c r="CG12" i="19"/>
  <c r="CG30" i="19" s="1"/>
  <c r="CH126" i="19"/>
  <c r="CH138" i="19" s="1"/>
  <c r="CG144" i="19"/>
  <c r="EM100" i="1"/>
  <c r="EM101" i="1"/>
  <c r="CH17" i="19"/>
  <c r="CI199" i="19"/>
  <c r="F211" i="19"/>
  <c r="CH217" i="19"/>
  <c r="EP20" i="11"/>
  <c r="EP92" i="11"/>
  <c r="AS67" i="11"/>
  <c r="AS92" i="11" s="1"/>
  <c r="EP140" i="11"/>
  <c r="CG13" i="19"/>
  <c r="CG31" i="19" s="1"/>
  <c r="CH127" i="19"/>
  <c r="CH139" i="19" s="1"/>
  <c r="CG145" i="19"/>
  <c r="CH25" i="19"/>
  <c r="CI275" i="19"/>
  <c r="F287" i="19"/>
  <c r="CH293" i="19"/>
  <c r="K121" i="1"/>
  <c r="AS121" i="1"/>
  <c r="AQ91" i="1"/>
  <c r="AQ102" i="1"/>
  <c r="AQ89" i="1"/>
  <c r="AQ90" i="1"/>
  <c r="EO144" i="11"/>
  <c r="EO125" i="11" s="1"/>
  <c r="EO132" i="11" s="1"/>
  <c r="EO22" i="11" s="1"/>
  <c r="EO127" i="1"/>
  <c r="AR81" i="1"/>
  <c r="AR38" i="1"/>
  <c r="AR92" i="1" s="1"/>
  <c r="AR93" i="1" s="1"/>
  <c r="CF36" i="19"/>
  <c r="EL65" i="1"/>
  <c r="EL48" i="1"/>
  <c r="EM125" i="11"/>
  <c r="AR144" i="11"/>
  <c r="O126" i="26" l="1"/>
  <c r="O164" i="26"/>
  <c r="O163" i="26" s="1"/>
  <c r="M126" i="26"/>
  <c r="M164" i="26"/>
  <c r="M163" i="26" s="1"/>
  <c r="AZ126" i="26"/>
  <c r="AZ164" i="26"/>
  <c r="AZ163" i="26" s="1"/>
  <c r="F17" i="19"/>
  <c r="CH218" i="19"/>
  <c r="EN132" i="11"/>
  <c r="EN22" i="11" s="1"/>
  <c r="ER38" i="11"/>
  <c r="ER28" i="1"/>
  <c r="F24" i="19"/>
  <c r="EO48" i="15"/>
  <c r="EO47" i="15"/>
  <c r="G200" i="19"/>
  <c r="Z200" i="19"/>
  <c r="F23" i="19"/>
  <c r="EO63" i="19"/>
  <c r="EP29" i="15"/>
  <c r="EQ101" i="11"/>
  <c r="EQ111" i="11"/>
  <c r="EQ159" i="11" s="1"/>
  <c r="EQ123" i="1" s="1"/>
  <c r="CH10" i="19"/>
  <c r="CH28" i="19" s="1"/>
  <c r="CI124" i="19"/>
  <c r="F136" i="19"/>
  <c r="G274" i="19"/>
  <c r="Z274" i="19"/>
  <c r="Y37" i="19"/>
  <c r="F22" i="19"/>
  <c r="EO47" i="19"/>
  <c r="EP7" i="15"/>
  <c r="EO45" i="15"/>
  <c r="G273" i="19"/>
  <c r="Z273" i="19"/>
  <c r="EO92" i="1"/>
  <c r="EO93" i="1" s="1"/>
  <c r="EA110" i="1"/>
  <c r="EB106" i="1" s="1"/>
  <c r="EA99" i="1"/>
  <c r="EO100" i="1"/>
  <c r="EO101" i="1"/>
  <c r="G199" i="19"/>
  <c r="Z199" i="19"/>
  <c r="EP129" i="11"/>
  <c r="EP139" i="11"/>
  <c r="K140" i="11"/>
  <c r="EX26" i="25" s="1"/>
  <c r="AS140" i="11"/>
  <c r="G272" i="19"/>
  <c r="Z272" i="19"/>
  <c r="CH21" i="19"/>
  <c r="CI271" i="19"/>
  <c r="F283" i="19"/>
  <c r="CH289" i="19"/>
  <c r="CH216" i="19"/>
  <c r="CG9" i="19"/>
  <c r="CG27" i="19" s="1"/>
  <c r="CG33" i="19" s="1"/>
  <c r="CH123" i="19"/>
  <c r="CH135" i="19" s="1"/>
  <c r="CH145" i="19" s="1"/>
  <c r="CG141" i="19"/>
  <c r="EO45" i="1"/>
  <c r="EO19" i="11"/>
  <c r="EO55" i="19"/>
  <c r="EP18" i="15"/>
  <c r="CO11" i="25"/>
  <c r="F16" i="19"/>
  <c r="F19" i="19"/>
  <c r="CF37" i="19"/>
  <c r="CH13" i="19"/>
  <c r="CH31" i="19" s="1"/>
  <c r="CI127" i="19"/>
  <c r="F139" i="19"/>
  <c r="EM132" i="11"/>
  <c r="EM22" i="11" s="1"/>
  <c r="AR125" i="11"/>
  <c r="EL71" i="1"/>
  <c r="F25" i="19"/>
  <c r="F293" i="19"/>
  <c r="G239" i="19" s="1"/>
  <c r="EL68" i="1"/>
  <c r="EM63" i="1" s="1"/>
  <c r="EQ121" i="1"/>
  <c r="EQ140" i="11"/>
  <c r="G198" i="19"/>
  <c r="Z198" i="19"/>
  <c r="EQ98" i="11"/>
  <c r="ER80" i="11"/>
  <c r="ER107" i="11"/>
  <c r="ER135" i="11"/>
  <c r="EP46" i="11"/>
  <c r="AS42" i="11"/>
  <c r="AS46" i="11" s="1"/>
  <c r="Z275" i="19"/>
  <c r="G275" i="19"/>
  <c r="EP43" i="1"/>
  <c r="AS20" i="11"/>
  <c r="CH15" i="19"/>
  <c r="F209" i="19"/>
  <c r="CI197" i="19"/>
  <c r="CH215" i="19"/>
  <c r="CH11" i="19"/>
  <c r="CH29" i="19" s="1"/>
  <c r="CI125" i="19"/>
  <c r="F137" i="19"/>
  <c r="CH143" i="19"/>
  <c r="EQ61" i="11"/>
  <c r="EQ62" i="11"/>
  <c r="EP44" i="1"/>
  <c r="AS21" i="11"/>
  <c r="G201" i="19"/>
  <c r="Z201" i="19"/>
  <c r="EQ124" i="11"/>
  <c r="ES10" i="11"/>
  <c r="ES14" i="1"/>
  <c r="ES97" i="1"/>
  <c r="ES98" i="1"/>
  <c r="CH12" i="19"/>
  <c r="CH30" i="19" s="1"/>
  <c r="CI126" i="19"/>
  <c r="F138" i="19"/>
  <c r="CH144" i="19"/>
  <c r="F18" i="19"/>
  <c r="CG35" i="19"/>
  <c r="EN92" i="1"/>
  <c r="EN93" i="1" s="1"/>
  <c r="AS104" i="11"/>
  <c r="EP33" i="1"/>
  <c r="EP55" i="1"/>
  <c r="EP39" i="1"/>
  <c r="AS34" i="1"/>
  <c r="EQ40" i="11" l="1"/>
  <c r="F15" i="19"/>
  <c r="F215" i="19"/>
  <c r="ER60" i="11"/>
  <c r="ER79" i="11"/>
  <c r="ER157" i="11" s="1"/>
  <c r="EL91" i="1"/>
  <c r="EL102" i="1"/>
  <c r="EL90" i="1"/>
  <c r="EP50" i="19"/>
  <c r="EP23" i="15"/>
  <c r="EP91" i="15"/>
  <c r="EP25" i="15"/>
  <c r="EP26" i="15"/>
  <c r="ES80" i="11"/>
  <c r="ES107" i="11"/>
  <c r="ES135" i="11"/>
  <c r="EQ129" i="11"/>
  <c r="EQ139" i="11"/>
  <c r="EQ162" i="11" s="1"/>
  <c r="AR145" i="11"/>
  <c r="AR132" i="11"/>
  <c r="F219" i="19"/>
  <c r="G165" i="19" s="1"/>
  <c r="F21" i="19"/>
  <c r="F289" i="19"/>
  <c r="K139" i="11"/>
  <c r="EP162" i="11"/>
  <c r="AS139" i="11"/>
  <c r="F290" i="19"/>
  <c r="CH142" i="19"/>
  <c r="EP58" i="19"/>
  <c r="EP34" i="15"/>
  <c r="EP36" i="15"/>
  <c r="EP92" i="15"/>
  <c r="EP37" i="15"/>
  <c r="ER39" i="11"/>
  <c r="EM45" i="1"/>
  <c r="EM19" i="11"/>
  <c r="AR22" i="11"/>
  <c r="AR19" i="11" s="1"/>
  <c r="G271" i="19"/>
  <c r="CI283" i="19"/>
  <c r="Z271" i="19"/>
  <c r="Z283" i="19" s="1"/>
  <c r="EP130" i="11"/>
  <c r="AS130" i="11" s="1"/>
  <c r="AS149" i="11" s="1"/>
  <c r="AS129" i="11"/>
  <c r="AS141" i="11" s="1"/>
  <c r="EP42" i="19"/>
  <c r="EP66" i="19" s="1"/>
  <c r="EP12" i="15"/>
  <c r="EP40" i="15"/>
  <c r="EP14" i="15"/>
  <c r="EP90" i="15"/>
  <c r="EP15" i="15"/>
  <c r="F10" i="19"/>
  <c r="F28" i="19" s="1"/>
  <c r="EN45" i="1"/>
  <c r="EN19" i="11"/>
  <c r="F11" i="19"/>
  <c r="F29" i="19" s="1"/>
  <c r="F216" i="19"/>
  <c r="EO84" i="1"/>
  <c r="EO42" i="1"/>
  <c r="EB110" i="1"/>
  <c r="EC106" i="1" s="1"/>
  <c r="EB99" i="1"/>
  <c r="EO71" i="19"/>
  <c r="CG37" i="19"/>
  <c r="G124" i="19"/>
  <c r="Z124" i="19"/>
  <c r="F292" i="19"/>
  <c r="G238" i="19" s="1"/>
  <c r="EP83" i="1"/>
  <c r="AS44" i="1"/>
  <c r="AS83" i="1" s="1"/>
  <c r="G125" i="19"/>
  <c r="Z125" i="19"/>
  <c r="EP82" i="1"/>
  <c r="EP85" i="1"/>
  <c r="EP57" i="1"/>
  <c r="EP54" i="1"/>
  <c r="ES94" i="1"/>
  <c r="AS43" i="1"/>
  <c r="CO239" i="19"/>
  <c r="CO263" i="19" s="1"/>
  <c r="CP239" i="19"/>
  <c r="CP263" i="19" s="1"/>
  <c r="CI239" i="19"/>
  <c r="CI263" i="19" s="1"/>
  <c r="CQ239" i="19"/>
  <c r="CQ263" i="19" s="1"/>
  <c r="CJ239" i="19"/>
  <c r="CJ263" i="19" s="1"/>
  <c r="CR239" i="19"/>
  <c r="CR263" i="19" s="1"/>
  <c r="CK239" i="19"/>
  <c r="CK263" i="19" s="1"/>
  <c r="CS239" i="19"/>
  <c r="CS263" i="19" s="1"/>
  <c r="CL239" i="19"/>
  <c r="CL263" i="19" s="1"/>
  <c r="CT239" i="19"/>
  <c r="CT263" i="19" s="1"/>
  <c r="CN239" i="19"/>
  <c r="CN263" i="19" s="1"/>
  <c r="G245" i="19"/>
  <c r="CM239" i="19"/>
  <c r="CM263" i="19" s="1"/>
  <c r="F13" i="19"/>
  <c r="F31" i="19" s="1"/>
  <c r="F145" i="19"/>
  <c r="G91" i="19" s="1"/>
  <c r="CG34" i="19"/>
  <c r="CH34" i="19"/>
  <c r="F291" i="19"/>
  <c r="G237" i="19" s="1"/>
  <c r="AS55" i="1"/>
  <c r="AS39" i="1"/>
  <c r="F12" i="19"/>
  <c r="F30" i="19" s="1"/>
  <c r="F144" i="19"/>
  <c r="G90" i="19" s="1"/>
  <c r="EP81" i="1"/>
  <c r="EP38" i="1"/>
  <c r="EP37" i="1"/>
  <c r="AS33" i="1"/>
  <c r="G126" i="19"/>
  <c r="Z126" i="19"/>
  <c r="CH36" i="19"/>
  <c r="EQ67" i="11"/>
  <c r="CH35" i="19"/>
  <c r="AT10" i="11"/>
  <c r="G127" i="19"/>
  <c r="Z127" i="19"/>
  <c r="CH9" i="19"/>
  <c r="CH27" i="19" s="1"/>
  <c r="CH33" i="19" s="1"/>
  <c r="F135" i="19"/>
  <c r="F142" i="19" s="1"/>
  <c r="CH141" i="19"/>
  <c r="CI123" i="19"/>
  <c r="CG36" i="19"/>
  <c r="CH37" i="19"/>
  <c r="CO38" i="25"/>
  <c r="EQ102" i="11"/>
  <c r="F217" i="19"/>
  <c r="G163" i="19" s="1"/>
  <c r="ER134" i="11"/>
  <c r="ER161" i="11" s="1"/>
  <c r="ER125" i="1" s="1"/>
  <c r="ER123" i="11"/>
  <c r="AT135" i="11"/>
  <c r="F218" i="19"/>
  <c r="G164" i="19" s="1"/>
  <c r="ES9" i="11"/>
  <c r="ET9" i="1"/>
  <c r="ES29" i="1"/>
  <c r="ES15" i="1"/>
  <c r="G197" i="19"/>
  <c r="CI209" i="19"/>
  <c r="Z197" i="19"/>
  <c r="Z209" i="19" s="1"/>
  <c r="ER106" i="11"/>
  <c r="ER160" i="11" s="1"/>
  <c r="ER124" i="1" s="1"/>
  <c r="ER97" i="11"/>
  <c r="ER112" i="11"/>
  <c r="AT107" i="11"/>
  <c r="ER64" i="1"/>
  <c r="ES38" i="11" l="1"/>
  <c r="ES28" i="1"/>
  <c r="AT29" i="1"/>
  <c r="AT109" i="11"/>
  <c r="AT137" i="11"/>
  <c r="CK237" i="19"/>
  <c r="CS237" i="19"/>
  <c r="CL237" i="19"/>
  <c r="CT237" i="19"/>
  <c r="G236" i="19"/>
  <c r="CM237" i="19"/>
  <c r="CN237" i="19"/>
  <c r="G243" i="19"/>
  <c r="CO237" i="19"/>
  <c r="CP237" i="19"/>
  <c r="CJ237" i="19"/>
  <c r="CR237" i="19"/>
  <c r="CI237" i="19"/>
  <c r="CQ237" i="19"/>
  <c r="G263" i="19"/>
  <c r="Z263" i="19"/>
  <c r="FC7" i="25"/>
  <c r="AS162" i="11"/>
  <c r="AS163" i="11" s="1"/>
  <c r="AS142" i="11"/>
  <c r="ER121" i="1"/>
  <c r="CN163" i="19"/>
  <c r="G169" i="19"/>
  <c r="CP163" i="19"/>
  <c r="CI163" i="19"/>
  <c r="CQ163" i="19"/>
  <c r="CJ163" i="19"/>
  <c r="CR163" i="19"/>
  <c r="CK163" i="19"/>
  <c r="CS163" i="19"/>
  <c r="G162" i="19"/>
  <c r="CL163" i="19"/>
  <c r="CO163" i="19"/>
  <c r="CM163" i="19"/>
  <c r="CT163" i="19"/>
  <c r="EP48" i="15"/>
  <c r="EP47" i="15"/>
  <c r="EP126" i="1"/>
  <c r="EP163" i="11"/>
  <c r="ES134" i="11"/>
  <c r="ES123" i="11"/>
  <c r="ER61" i="11"/>
  <c r="ER62" i="11"/>
  <c r="ER67" i="11" s="1"/>
  <c r="CO44" i="25"/>
  <c r="ER98" i="11"/>
  <c r="AA263" i="19"/>
  <c r="AB263" i="19"/>
  <c r="EC110" i="1"/>
  <c r="ED106" i="1" s="1"/>
  <c r="EC99" i="1"/>
  <c r="EN84" i="1"/>
  <c r="EN42" i="1"/>
  <c r="EP47" i="19"/>
  <c r="EQ7" i="15"/>
  <c r="EP45" i="15"/>
  <c r="K162" i="11"/>
  <c r="EX25" i="25"/>
  <c r="ES106" i="11"/>
  <c r="ES97" i="11"/>
  <c r="ES112" i="11"/>
  <c r="CM238" i="19"/>
  <c r="CM262" i="19" s="1"/>
  <c r="CN238" i="19"/>
  <c r="CN262" i="19" s="1"/>
  <c r="G244" i="19"/>
  <c r="CO238" i="19"/>
  <c r="CO262" i="19" s="1"/>
  <c r="CP238" i="19"/>
  <c r="CP262" i="19" s="1"/>
  <c r="CI238" i="19"/>
  <c r="CI262" i="19" s="1"/>
  <c r="CQ238" i="19"/>
  <c r="CQ262" i="19" s="1"/>
  <c r="CJ238" i="19"/>
  <c r="CJ262" i="19" s="1"/>
  <c r="CR238" i="19"/>
  <c r="CR262" i="19" s="1"/>
  <c r="CL238" i="19"/>
  <c r="CL262" i="19" s="1"/>
  <c r="CT238" i="19"/>
  <c r="CT262" i="19" s="1"/>
  <c r="CK238" i="19"/>
  <c r="CK262" i="19" s="1"/>
  <c r="CS238" i="19"/>
  <c r="CS262" i="19" s="1"/>
  <c r="EO65" i="1"/>
  <c r="EO71" i="1" s="1"/>
  <c r="EO48" i="1"/>
  <c r="ES60" i="11"/>
  <c r="ES79" i="11"/>
  <c r="ET14" i="1"/>
  <c r="ET10" i="11" s="1"/>
  <c r="AU9" i="1"/>
  <c r="AU14" i="1" s="1"/>
  <c r="ET97" i="1"/>
  <c r="ET98" i="1"/>
  <c r="Z15" i="19"/>
  <c r="Z215" i="19"/>
  <c r="CP164" i="19"/>
  <c r="CP188" i="19" s="1"/>
  <c r="CJ164" i="19"/>
  <c r="CJ188" i="19" s="1"/>
  <c r="CR164" i="19"/>
  <c r="CR188" i="19" s="1"/>
  <c r="CK164" i="19"/>
  <c r="CK188" i="19" s="1"/>
  <c r="CS164" i="19"/>
  <c r="CS188" i="19" s="1"/>
  <c r="CL164" i="19"/>
  <c r="CL188" i="19" s="1"/>
  <c r="CT164" i="19"/>
  <c r="CT188" i="19" s="1"/>
  <c r="CM164" i="19"/>
  <c r="CM188" i="19" s="1"/>
  <c r="CI164" i="19"/>
  <c r="CI188" i="19" s="1"/>
  <c r="CN164" i="19"/>
  <c r="CN188" i="19" s="1"/>
  <c r="CO164" i="19"/>
  <c r="CO188" i="19" s="1"/>
  <c r="G170" i="19"/>
  <c r="CQ164" i="19"/>
  <c r="CQ188" i="19" s="1"/>
  <c r="CM90" i="19"/>
  <c r="CM114" i="19" s="1"/>
  <c r="CN90" i="19"/>
  <c r="CN114" i="19" s="1"/>
  <c r="G96" i="19"/>
  <c r="CO90" i="19"/>
  <c r="CO114" i="19" s="1"/>
  <c r="CP90" i="19"/>
  <c r="CP114" i="19" s="1"/>
  <c r="CI90" i="19"/>
  <c r="CI114" i="19" s="1"/>
  <c r="CQ90" i="19"/>
  <c r="CQ114" i="19" s="1"/>
  <c r="CJ90" i="19"/>
  <c r="CJ114" i="19" s="1"/>
  <c r="CK90" i="19"/>
  <c r="CK114" i="19" s="1"/>
  <c r="CL90" i="19"/>
  <c r="CL114" i="19" s="1"/>
  <c r="CS90" i="19"/>
  <c r="CS114" i="19" s="1"/>
  <c r="CT90" i="19"/>
  <c r="CT114" i="19" s="1"/>
  <c r="CR90" i="19"/>
  <c r="CR114" i="19" s="1"/>
  <c r="CO91" i="19"/>
  <c r="CO115" i="19" s="1"/>
  <c r="CP91" i="19"/>
  <c r="CP115" i="19" s="1"/>
  <c r="CI91" i="19"/>
  <c r="CI115" i="19" s="1"/>
  <c r="CQ91" i="19"/>
  <c r="CQ115" i="19" s="1"/>
  <c r="CJ91" i="19"/>
  <c r="CJ115" i="19" s="1"/>
  <c r="CR91" i="19"/>
  <c r="CR115" i="19" s="1"/>
  <c r="CK91" i="19"/>
  <c r="CK115" i="19" s="1"/>
  <c r="CS91" i="19"/>
  <c r="CS115" i="19" s="1"/>
  <c r="CL91" i="19"/>
  <c r="CL115" i="19" s="1"/>
  <c r="CM91" i="19"/>
  <c r="CM115" i="19" s="1"/>
  <c r="CN91" i="19"/>
  <c r="CN115" i="19" s="1"/>
  <c r="CT91" i="19"/>
  <c r="CT115" i="19" s="1"/>
  <c r="G97" i="19"/>
  <c r="EM84" i="1"/>
  <c r="EM42" i="1"/>
  <c r="AR45" i="1"/>
  <c r="AR84" i="1" s="1"/>
  <c r="EP63" i="19"/>
  <c r="EQ29" i="15"/>
  <c r="ER101" i="11"/>
  <c r="ER111" i="11"/>
  <c r="ER159" i="11" s="1"/>
  <c r="ER123" i="1" s="1"/>
  <c r="AT112" i="11"/>
  <c r="AT114" i="11" s="1"/>
  <c r="AC263" i="19"/>
  <c r="FC6" i="25"/>
  <c r="CJ165" i="19"/>
  <c r="CJ189" i="19" s="1"/>
  <c r="CR165" i="19"/>
  <c r="CR189" i="19" s="1"/>
  <c r="CL165" i="19"/>
  <c r="CL189" i="19" s="1"/>
  <c r="CT165" i="19"/>
  <c r="CT189" i="19" s="1"/>
  <c r="CM165" i="19"/>
  <c r="CM189" i="19" s="1"/>
  <c r="CN165" i="19"/>
  <c r="CN189" i="19" s="1"/>
  <c r="G171" i="19"/>
  <c r="CO165" i="19"/>
  <c r="CO189" i="19" s="1"/>
  <c r="CI165" i="19"/>
  <c r="CI189" i="19" s="1"/>
  <c r="CK165" i="19"/>
  <c r="CK189" i="19" s="1"/>
  <c r="CP165" i="19"/>
  <c r="CP189" i="19" s="1"/>
  <c r="CQ165" i="19"/>
  <c r="CQ189" i="19" s="1"/>
  <c r="CS165" i="19"/>
  <c r="CS189" i="19" s="1"/>
  <c r="CI15" i="19"/>
  <c r="CJ197" i="19"/>
  <c r="CJ209" i="19" s="1"/>
  <c r="CI215" i="19"/>
  <c r="FC8" i="25"/>
  <c r="AS81" i="1"/>
  <c r="AS38" i="1"/>
  <c r="AS92" i="1" s="1"/>
  <c r="AS93" i="1" s="1"/>
  <c r="CM281" i="19"/>
  <c r="AS82" i="1"/>
  <c r="AS85" i="1"/>
  <c r="AS57" i="1"/>
  <c r="AS54" i="1"/>
  <c r="AT94" i="1"/>
  <c r="Z21" i="19"/>
  <c r="Z289" i="19"/>
  <c r="EQ126" i="1"/>
  <c r="EQ163" i="11"/>
  <c r="EQ45" i="11"/>
  <c r="EQ41" i="11"/>
  <c r="Z123" i="19"/>
  <c r="Z135" i="19" s="1"/>
  <c r="G123" i="19"/>
  <c r="CI135" i="19"/>
  <c r="FC9" i="25"/>
  <c r="ER124" i="11"/>
  <c r="AT123" i="11"/>
  <c r="F9" i="19"/>
  <c r="F27" i="19" s="1"/>
  <c r="F33" i="19" s="1"/>
  <c r="F141" i="19"/>
  <c r="EQ20" i="11"/>
  <c r="EQ92" i="11"/>
  <c r="AS37" i="1"/>
  <c r="EP92" i="1"/>
  <c r="EP93" i="1" s="1"/>
  <c r="CO245" i="19"/>
  <c r="CO269" i="19" s="1"/>
  <c r="CO281" i="19" s="1"/>
  <c r="CP245" i="19"/>
  <c r="CP269" i="19" s="1"/>
  <c r="CP281" i="19" s="1"/>
  <c r="CI245" i="19"/>
  <c r="CI269" i="19" s="1"/>
  <c r="CQ245" i="19"/>
  <c r="CQ269" i="19" s="1"/>
  <c r="CJ245" i="19"/>
  <c r="CJ269" i="19" s="1"/>
  <c r="CJ281" i="19" s="1"/>
  <c r="CR245" i="19"/>
  <c r="CR269" i="19" s="1"/>
  <c r="CK245" i="19"/>
  <c r="CK269" i="19" s="1"/>
  <c r="CK281" i="19" s="1"/>
  <c r="CS245" i="19"/>
  <c r="CS269" i="19" s="1"/>
  <c r="CS281" i="19" s="1"/>
  <c r="CL245" i="19"/>
  <c r="CL269" i="19" s="1"/>
  <c r="AA269" i="19" s="1"/>
  <c r="CT245" i="19"/>
  <c r="CT269" i="19" s="1"/>
  <c r="CT281" i="19" s="1"/>
  <c r="CN245" i="19"/>
  <c r="CN269" i="19" s="1"/>
  <c r="CN281" i="19" s="1"/>
  <c r="CM245" i="19"/>
  <c r="CM269" i="19" s="1"/>
  <c r="CQ281" i="19"/>
  <c r="F143" i="19"/>
  <c r="G89" i="19" s="1"/>
  <c r="CI21" i="19"/>
  <c r="CJ271" i="19"/>
  <c r="CJ283" i="19" s="1"/>
  <c r="CI289" i="19"/>
  <c r="EQ130" i="11"/>
  <c r="EP55" i="19"/>
  <c r="EQ18" i="15"/>
  <c r="AT80" i="11"/>
  <c r="EQ104" i="11"/>
  <c r="EQ21" i="11" s="1"/>
  <c r="ER20" i="11" l="1"/>
  <c r="ER92" i="11"/>
  <c r="ET80" i="11"/>
  <c r="ET135" i="11"/>
  <c r="ET107" i="11"/>
  <c r="AA189" i="19"/>
  <c r="AC269" i="19"/>
  <c r="EQ144" i="11"/>
  <c r="EQ127" i="1"/>
  <c r="F36" i="19"/>
  <c r="AC189" i="19"/>
  <c r="AC115" i="19"/>
  <c r="CJ96" i="19"/>
  <c r="CJ120" i="19" s="1"/>
  <c r="CR96" i="19"/>
  <c r="CR120" i="19" s="1"/>
  <c r="AC120" i="19" s="1"/>
  <c r="AC96" i="19" s="1"/>
  <c r="CK96" i="19"/>
  <c r="CK120" i="19" s="1"/>
  <c r="CS96" i="19"/>
  <c r="CS120" i="19" s="1"/>
  <c r="CS132" i="19" s="1"/>
  <c r="CL96" i="19"/>
  <c r="CL120" i="19" s="1"/>
  <c r="AA120" i="19" s="1"/>
  <c r="AA96" i="19" s="1"/>
  <c r="CT96" i="19"/>
  <c r="CT120" i="19" s="1"/>
  <c r="CM96" i="19"/>
  <c r="CM120" i="19" s="1"/>
  <c r="CN96" i="19"/>
  <c r="CN120" i="19" s="1"/>
  <c r="CI96" i="19"/>
  <c r="CI120" i="19" s="1"/>
  <c r="CO96" i="19"/>
  <c r="CO120" i="19" s="1"/>
  <c r="AB120" i="19" s="1"/>
  <c r="AB96" i="19" s="1"/>
  <c r="CP96" i="19"/>
  <c r="CP120" i="19" s="1"/>
  <c r="CQ96" i="19"/>
  <c r="CQ120" i="19" s="1"/>
  <c r="AA262" i="19"/>
  <c r="K173" i="11"/>
  <c r="CO14" i="25"/>
  <c r="K163" i="11"/>
  <c r="ED110" i="1"/>
  <c r="EE106" i="1" s="1"/>
  <c r="ED99" i="1"/>
  <c r="CK162" i="19"/>
  <c r="CK186" i="19" s="1"/>
  <c r="CK187" i="19"/>
  <c r="Z239" i="19"/>
  <c r="CO236" i="19"/>
  <c r="CO260" i="19" s="1"/>
  <c r="CO261" i="19"/>
  <c r="CK236" i="19"/>
  <c r="CK260" i="19" s="1"/>
  <c r="CK261" i="19"/>
  <c r="ER102" i="11"/>
  <c r="CO97" i="19"/>
  <c r="CO121" i="19" s="1"/>
  <c r="CP97" i="19"/>
  <c r="CP121" i="19" s="1"/>
  <c r="CI97" i="19"/>
  <c r="CI121" i="19" s="1"/>
  <c r="CQ97" i="19"/>
  <c r="CQ121" i="19" s="1"/>
  <c r="CJ97" i="19"/>
  <c r="CJ121" i="19" s="1"/>
  <c r="CR97" i="19"/>
  <c r="CR121" i="19" s="1"/>
  <c r="CK97" i="19"/>
  <c r="CK121" i="19" s="1"/>
  <c r="CS97" i="19"/>
  <c r="CS121" i="19" s="1"/>
  <c r="CL97" i="19"/>
  <c r="CL121" i="19" s="1"/>
  <c r="CM97" i="19"/>
  <c r="CM121" i="19" s="1"/>
  <c r="CN97" i="19"/>
  <c r="CN121" i="19" s="1"/>
  <c r="CT97" i="19"/>
  <c r="CT121" i="19" s="1"/>
  <c r="CJ133" i="19"/>
  <c r="AA114" i="19"/>
  <c r="CL132" i="19"/>
  <c r="CN132" i="19"/>
  <c r="G188" i="19"/>
  <c r="Z188" i="19"/>
  <c r="AT79" i="11"/>
  <c r="ES157" i="11"/>
  <c r="AC262" i="19"/>
  <c r="ER104" i="11"/>
  <c r="ER21" i="11" s="1"/>
  <c r="ER44" i="1" s="1"/>
  <c r="ER83" i="1" s="1"/>
  <c r="ER40" i="11"/>
  <c r="CR162" i="19"/>
  <c r="CR186" i="19" s="1"/>
  <c r="CR187" i="19"/>
  <c r="ER140" i="11"/>
  <c r="CP243" i="19"/>
  <c r="CI243" i="19"/>
  <c r="CQ243" i="19"/>
  <c r="CJ243" i="19"/>
  <c r="CR243" i="19"/>
  <c r="CK243" i="19"/>
  <c r="CS243" i="19"/>
  <c r="CL243" i="19"/>
  <c r="CT243" i="19"/>
  <c r="G242" i="19"/>
  <c r="CM243" i="19"/>
  <c r="CO243" i="19"/>
  <c r="CN243" i="19"/>
  <c r="EQ44" i="1"/>
  <c r="CJ15" i="19"/>
  <c r="CK197" i="19"/>
  <c r="CK209" i="19" s="1"/>
  <c r="CJ215" i="19"/>
  <c r="AB189" i="19"/>
  <c r="CO207" i="19"/>
  <c r="FC10" i="25"/>
  <c r="EQ58" i="19"/>
  <c r="AT58" i="19" s="1"/>
  <c r="AT63" i="19" s="1"/>
  <c r="AT29" i="15"/>
  <c r="EQ34" i="15"/>
  <c r="EQ36" i="15"/>
  <c r="EQ92" i="15"/>
  <c r="EQ37" i="15"/>
  <c r="CT133" i="19"/>
  <c r="CQ133" i="19"/>
  <c r="CK132" i="19"/>
  <c r="CM132" i="19"/>
  <c r="ES61" i="11"/>
  <c r="ES62" i="11" s="1"/>
  <c r="EQ42" i="19"/>
  <c r="EQ40" i="15"/>
  <c r="AT7" i="15"/>
  <c r="EQ12" i="15"/>
  <c r="EQ14" i="15"/>
  <c r="EQ90" i="15"/>
  <c r="EQ15" i="15"/>
  <c r="AB239" i="19"/>
  <c r="AT61" i="11"/>
  <c r="CT162" i="19"/>
  <c r="CT186" i="19" s="1"/>
  <c r="CT187" i="19"/>
  <c r="CJ162" i="19"/>
  <c r="CJ186" i="19" s="1"/>
  <c r="CJ187" i="19"/>
  <c r="CN236" i="19"/>
  <c r="CN260" i="19" s="1"/>
  <c r="CN261" i="19"/>
  <c r="CP207" i="19"/>
  <c r="G189" i="19"/>
  <c r="Z189" i="19"/>
  <c r="G269" i="19"/>
  <c r="G281" i="19" s="1"/>
  <c r="Z269" i="19"/>
  <c r="Z281" i="19" s="1"/>
  <c r="Z287" i="19" s="1"/>
  <c r="EQ43" i="1"/>
  <c r="EQ16" i="11"/>
  <c r="EQ34" i="1" s="1"/>
  <c r="EQ42" i="11"/>
  <c r="CJ171" i="19"/>
  <c r="CJ195" i="19" s="1"/>
  <c r="CJ207" i="19" s="1"/>
  <c r="CR171" i="19"/>
  <c r="CR195" i="19" s="1"/>
  <c r="AC195" i="19" s="1"/>
  <c r="CL171" i="19"/>
  <c r="CL195" i="19" s="1"/>
  <c r="AA195" i="19" s="1"/>
  <c r="CT171" i="19"/>
  <c r="CT195" i="19" s="1"/>
  <c r="CM171" i="19"/>
  <c r="CM195" i="19" s="1"/>
  <c r="CM207" i="19" s="1"/>
  <c r="CN171" i="19"/>
  <c r="CN195" i="19" s="1"/>
  <c r="CO171" i="19"/>
  <c r="CO195" i="19" s="1"/>
  <c r="CQ171" i="19"/>
  <c r="CQ195" i="19" s="1"/>
  <c r="CS171" i="19"/>
  <c r="CS195" i="19" s="1"/>
  <c r="CK171" i="19"/>
  <c r="CK195" i="19" s="1"/>
  <c r="CK207" i="19" s="1"/>
  <c r="CI171" i="19"/>
  <c r="CI195" i="19" s="1"/>
  <c r="CI207" i="19" s="1"/>
  <c r="CI213" i="19" s="1"/>
  <c r="CP171" i="19"/>
  <c r="CP195" i="19" s="1"/>
  <c r="F34" i="19"/>
  <c r="CN133" i="19"/>
  <c r="G115" i="19"/>
  <c r="Z115" i="19"/>
  <c r="CI133" i="19"/>
  <c r="CI139" i="19" s="1"/>
  <c r="CJ132" i="19"/>
  <c r="EP71" i="19"/>
  <c r="CL281" i="19"/>
  <c r="ES124" i="11"/>
  <c r="CM162" i="19"/>
  <c r="CM186" i="19" s="1"/>
  <c r="CM187" i="19"/>
  <c r="CQ162" i="19"/>
  <c r="CQ186" i="19" s="1"/>
  <c r="CQ187" i="19"/>
  <c r="CQ236" i="19"/>
  <c r="CQ260" i="19" s="1"/>
  <c r="CQ261" i="19"/>
  <c r="CM236" i="19"/>
  <c r="CM260" i="19" s="1"/>
  <c r="CM261" i="19"/>
  <c r="AT52" i="1"/>
  <c r="AT136" i="11"/>
  <c r="CN207" i="19"/>
  <c r="CR281" i="19"/>
  <c r="CM133" i="19"/>
  <c r="CP133" i="19"/>
  <c r="CQ132" i="19"/>
  <c r="AA188" i="19"/>
  <c r="EO91" i="1"/>
  <c r="EO102" i="1"/>
  <c r="G262" i="19"/>
  <c r="Z262" i="19"/>
  <c r="ES101" i="11"/>
  <c r="ES102" i="11" s="1"/>
  <c r="ES111" i="11"/>
  <c r="EN65" i="1"/>
  <c r="EN48" i="1"/>
  <c r="AA239" i="19"/>
  <c r="AA281" i="19"/>
  <c r="AT134" i="11"/>
  <c r="AT161" i="11" s="1"/>
  <c r="ES161" i="11"/>
  <c r="ES125" i="1" s="1"/>
  <c r="AT125" i="1" s="1"/>
  <c r="CO162" i="19"/>
  <c r="CO186" i="19" s="1"/>
  <c r="CO187" i="19"/>
  <c r="CI162" i="19"/>
  <c r="CI186" i="19" s="1"/>
  <c r="CI187" i="19"/>
  <c r="CI236" i="19"/>
  <c r="CI260" i="19" s="1"/>
  <c r="CI261" i="19"/>
  <c r="CK89" i="19"/>
  <c r="CS89" i="19"/>
  <c r="CL89" i="19"/>
  <c r="CT89" i="19"/>
  <c r="G88" i="19"/>
  <c r="CM89" i="19"/>
  <c r="CN89" i="19"/>
  <c r="G95" i="19"/>
  <c r="CO89" i="19"/>
  <c r="CI89" i="19"/>
  <c r="CJ89" i="19"/>
  <c r="CP89" i="19"/>
  <c r="CQ89" i="19"/>
  <c r="CR89" i="19"/>
  <c r="Z9" i="19"/>
  <c r="Z27" i="19" s="1"/>
  <c r="Z33" i="19" s="1"/>
  <c r="Z141" i="19"/>
  <c r="EQ50" i="19"/>
  <c r="AT50" i="19" s="1"/>
  <c r="AT55" i="19" s="1"/>
  <c r="AT18" i="15"/>
  <c r="EQ23" i="15"/>
  <c r="EQ91" i="15"/>
  <c r="EQ25" i="15"/>
  <c r="EQ26" i="15"/>
  <c r="F37" i="19"/>
  <c r="CJ21" i="19"/>
  <c r="CJ289" i="19"/>
  <c r="CK271" i="19"/>
  <c r="CK283" i="19" s="1"/>
  <c r="AB269" i="19"/>
  <c r="AB281" i="19" s="1"/>
  <c r="CI9" i="19"/>
  <c r="CI27" i="19" s="1"/>
  <c r="CI33" i="19" s="1"/>
  <c r="CI141" i="19"/>
  <c r="CJ123" i="19"/>
  <c r="CJ135" i="19" s="1"/>
  <c r="CS207" i="19"/>
  <c r="AC239" i="19"/>
  <c r="AC281" i="19"/>
  <c r="EM65" i="1"/>
  <c r="EM48" i="1"/>
  <c r="AR48" i="1" s="1"/>
  <c r="AR42" i="1"/>
  <c r="AA115" i="19"/>
  <c r="CL133" i="19"/>
  <c r="AB115" i="19"/>
  <c r="CO133" i="19"/>
  <c r="G114" i="19"/>
  <c r="Z114" i="19"/>
  <c r="CI132" i="19"/>
  <c r="CI138" i="19" s="1"/>
  <c r="CS206" i="19"/>
  <c r="ES98" i="11"/>
  <c r="ES104" i="11" s="1"/>
  <c r="ES21" i="11" s="1"/>
  <c r="ES44" i="1" s="1"/>
  <c r="ES83" i="1" s="1"/>
  <c r="EP144" i="11"/>
  <c r="EP127" i="1"/>
  <c r="CL162" i="19"/>
  <c r="CL186" i="19" s="1"/>
  <c r="CL187" i="19"/>
  <c r="CP162" i="19"/>
  <c r="CP186" i="19" s="1"/>
  <c r="CP187" i="19"/>
  <c r="CR236" i="19"/>
  <c r="CR260" i="19" s="1"/>
  <c r="CR261" i="19"/>
  <c r="CT236" i="19"/>
  <c r="CT260" i="19" s="1"/>
  <c r="CT261" i="19"/>
  <c r="ES64" i="1"/>
  <c r="AT28" i="1"/>
  <c r="CQ207" i="19"/>
  <c r="CT207" i="19"/>
  <c r="CS133" i="19"/>
  <c r="AC114" i="19"/>
  <c r="CR132" i="19"/>
  <c r="CP132" i="19"/>
  <c r="CM170" i="19"/>
  <c r="CM194" i="19" s="1"/>
  <c r="CM206" i="19" s="1"/>
  <c r="CO170" i="19"/>
  <c r="CO194" i="19" s="1"/>
  <c r="CP170" i="19"/>
  <c r="CP194" i="19" s="1"/>
  <c r="CP206" i="19" s="1"/>
  <c r="CI170" i="19"/>
  <c r="CI194" i="19" s="1"/>
  <c r="CQ170" i="19"/>
  <c r="CQ194" i="19" s="1"/>
  <c r="CQ206" i="19" s="1"/>
  <c r="CJ170" i="19"/>
  <c r="CJ194" i="19" s="1"/>
  <c r="CJ206" i="19" s="1"/>
  <c r="CR170" i="19"/>
  <c r="CR194" i="19" s="1"/>
  <c r="AC194" i="19" s="1"/>
  <c r="AC170" i="19" s="1"/>
  <c r="CK170" i="19"/>
  <c r="CK194" i="19" s="1"/>
  <c r="CK206" i="19" s="1"/>
  <c r="CL170" i="19"/>
  <c r="CL194" i="19" s="1"/>
  <c r="AA194" i="19" s="1"/>
  <c r="AA170" i="19" s="1"/>
  <c r="CS170" i="19"/>
  <c r="CS194" i="19" s="1"/>
  <c r="CN170" i="19"/>
  <c r="CN194" i="19" s="1"/>
  <c r="CN206" i="19" s="1"/>
  <c r="CT170" i="19"/>
  <c r="CT194" i="19" s="1"/>
  <c r="CT206" i="19" s="1"/>
  <c r="AU9" i="11"/>
  <c r="AU15" i="1"/>
  <c r="AU113" i="1"/>
  <c r="AB262" i="19"/>
  <c r="CO280" i="19"/>
  <c r="AT106" i="11"/>
  <c r="AT160" i="11" s="1"/>
  <c r="ES160" i="11"/>
  <c r="ES124" i="1" s="1"/>
  <c r="AT124" i="1" s="1"/>
  <c r="AT97" i="11"/>
  <c r="AT60" i="11"/>
  <c r="AT81" i="11" s="1"/>
  <c r="K126" i="1"/>
  <c r="K127" i="1" s="1"/>
  <c r="K100" i="1" s="1"/>
  <c r="CO17" i="25" s="1"/>
  <c r="AS126" i="1"/>
  <c r="AS127" i="1" s="1"/>
  <c r="CK169" i="19"/>
  <c r="CS169" i="19"/>
  <c r="G168" i="19"/>
  <c r="CM169" i="19"/>
  <c r="CN169" i="19"/>
  <c r="CO169" i="19"/>
  <c r="CP169" i="19"/>
  <c r="CT169" i="19"/>
  <c r="CI169" i="19"/>
  <c r="CJ169" i="19"/>
  <c r="CQ169" i="19"/>
  <c r="CL169" i="19"/>
  <c r="CR169" i="19"/>
  <c r="F35" i="19"/>
  <c r="CJ236" i="19"/>
  <c r="CJ260" i="19" s="1"/>
  <c r="CJ261" i="19"/>
  <c r="CL236" i="19"/>
  <c r="CL260" i="19" s="1"/>
  <c r="CL261" i="19"/>
  <c r="CK133" i="19"/>
  <c r="CT132" i="19"/>
  <c r="AB114" i="19"/>
  <c r="CO132" i="19"/>
  <c r="AB188" i="19"/>
  <c r="CO206" i="19"/>
  <c r="AC188" i="19"/>
  <c r="ET9" i="11"/>
  <c r="EU9" i="1"/>
  <c r="ET15" i="1"/>
  <c r="ET29" i="1"/>
  <c r="CT280" i="19"/>
  <c r="CJ244" i="19"/>
  <c r="CJ268" i="19" s="1"/>
  <c r="CJ280" i="19" s="1"/>
  <c r="CR244" i="19"/>
  <c r="CR268" i="19" s="1"/>
  <c r="CK244" i="19"/>
  <c r="CK268" i="19" s="1"/>
  <c r="CK280" i="19" s="1"/>
  <c r="CS244" i="19"/>
  <c r="CS268" i="19" s="1"/>
  <c r="CS280" i="19" s="1"/>
  <c r="CL244" i="19"/>
  <c r="CL268" i="19" s="1"/>
  <c r="AA268" i="19" s="1"/>
  <c r="AA244" i="19" s="1"/>
  <c r="CT244" i="19"/>
  <c r="CT268" i="19" s="1"/>
  <c r="CM244" i="19"/>
  <c r="CM268" i="19" s="1"/>
  <c r="CM280" i="19" s="1"/>
  <c r="CN244" i="19"/>
  <c r="CN268" i="19" s="1"/>
  <c r="CN280" i="19" s="1"/>
  <c r="CO244" i="19"/>
  <c r="CO268" i="19" s="1"/>
  <c r="CI244" i="19"/>
  <c r="CI268" i="19" s="1"/>
  <c r="CQ244" i="19"/>
  <c r="CQ268" i="19" s="1"/>
  <c r="CQ280" i="19" s="1"/>
  <c r="CP244" i="19"/>
  <c r="CP268" i="19" s="1"/>
  <c r="CP280" i="19" s="1"/>
  <c r="CS162" i="19"/>
  <c r="CS186" i="19" s="1"/>
  <c r="CS187" i="19"/>
  <c r="CN162" i="19"/>
  <c r="CN186" i="19" s="1"/>
  <c r="CN187" i="19"/>
  <c r="CI281" i="19"/>
  <c r="CI287" i="19" s="1"/>
  <c r="CP236" i="19"/>
  <c r="CP260" i="19" s="1"/>
  <c r="CP261" i="19"/>
  <c r="CS236" i="19"/>
  <c r="CS260" i="19" s="1"/>
  <c r="CS261" i="19"/>
  <c r="ES39" i="11"/>
  <c r="AT38" i="11"/>
  <c r="ES40" i="11" l="1"/>
  <c r="ES45" i="11" s="1"/>
  <c r="AT62" i="11"/>
  <c r="AT90" i="11" s="1"/>
  <c r="Z25" i="19"/>
  <c r="Z293" i="19"/>
  <c r="CI19" i="19"/>
  <c r="CJ201" i="19"/>
  <c r="CJ213" i="19" s="1"/>
  <c r="CI219" i="19"/>
  <c r="AB90" i="19"/>
  <c r="AB132" i="19"/>
  <c r="CI25" i="19"/>
  <c r="CJ275" i="19"/>
  <c r="CJ287" i="19" s="1"/>
  <c r="CI293" i="19"/>
  <c r="CR206" i="19"/>
  <c r="AA261" i="19"/>
  <c r="CN88" i="19"/>
  <c r="CN112" i="19" s="1"/>
  <c r="CN113" i="19"/>
  <c r="G260" i="19"/>
  <c r="Z260" i="19"/>
  <c r="Z91" i="19"/>
  <c r="EQ46" i="11"/>
  <c r="AT21" i="11"/>
  <c r="CK242" i="19"/>
  <c r="CK266" i="19" s="1"/>
  <c r="CK267" i="19"/>
  <c r="AC187" i="19"/>
  <c r="AC238" i="19"/>
  <c r="K174" i="11"/>
  <c r="K169" i="11"/>
  <c r="K166" i="11"/>
  <c r="K167" i="11"/>
  <c r="K168" i="11"/>
  <c r="K171" i="11"/>
  <c r="K172" i="11"/>
  <c r="K170" i="11"/>
  <c r="AC165" i="19"/>
  <c r="AC207" i="19"/>
  <c r="AC268" i="19"/>
  <c r="AC244" i="19" s="1"/>
  <c r="CJ168" i="19"/>
  <c r="CJ192" i="19" s="1"/>
  <c r="CJ193" i="19"/>
  <c r="Z194" i="19"/>
  <c r="Z170" i="19" s="1"/>
  <c r="G194" i="19"/>
  <c r="AB268" i="19"/>
  <c r="AB244" i="19" s="1"/>
  <c r="AC164" i="19"/>
  <c r="AC206" i="19"/>
  <c r="CI168" i="19"/>
  <c r="CI192" i="19" s="1"/>
  <c r="CI193" i="19"/>
  <c r="CK168" i="19"/>
  <c r="CK192" i="19" s="1"/>
  <c r="CK193" i="19"/>
  <c r="AB238" i="19"/>
  <c r="AB280" i="19"/>
  <c r="AA187" i="19"/>
  <c r="AA91" i="19"/>
  <c r="CJ9" i="19"/>
  <c r="CJ27" i="19" s="1"/>
  <c r="CJ33" i="19" s="1"/>
  <c r="CK123" i="19"/>
  <c r="CK135" i="19" s="1"/>
  <c r="CJ141" i="19"/>
  <c r="CR88" i="19"/>
  <c r="CR112" i="19" s="1"/>
  <c r="CR113" i="19"/>
  <c r="CM88" i="19"/>
  <c r="CM112" i="19" s="1"/>
  <c r="CM113" i="19"/>
  <c r="G187" i="19"/>
  <c r="Z187" i="19"/>
  <c r="CI205" i="19"/>
  <c r="CI211" i="19" s="1"/>
  <c r="AB195" i="19"/>
  <c r="CJ205" i="19"/>
  <c r="ES67" i="11"/>
  <c r="AB165" i="19"/>
  <c r="AB207" i="19"/>
  <c r="CN242" i="19"/>
  <c r="CN266" i="19" s="1"/>
  <c r="CN278" i="19" s="1"/>
  <c r="CN267" i="19"/>
  <c r="CR242" i="19"/>
  <c r="CR266" i="19" s="1"/>
  <c r="CR267" i="19"/>
  <c r="AC186" i="19"/>
  <c r="ES121" i="1"/>
  <c r="AT121" i="1" s="1"/>
  <c r="AA90" i="19"/>
  <c r="AA132" i="19"/>
  <c r="AC121" i="19"/>
  <c r="AT102" i="11"/>
  <c r="CO39" i="25"/>
  <c r="CO40" i="25" s="1"/>
  <c r="CO15" i="25"/>
  <c r="ET106" i="11"/>
  <c r="ET160" i="11" s="1"/>
  <c r="ET124" i="1" s="1"/>
  <c r="ET97" i="11"/>
  <c r="ET112" i="11"/>
  <c r="AT108" i="11"/>
  <c r="G268" i="19"/>
  <c r="G280" i="19" s="1"/>
  <c r="Z268" i="19"/>
  <c r="Z244" i="19" s="1"/>
  <c r="CS168" i="19"/>
  <c r="CS192" i="19" s="1"/>
  <c r="CS193" i="19"/>
  <c r="CS205" i="19" s="1"/>
  <c r="AA260" i="19"/>
  <c r="ES41" i="11"/>
  <c r="AT39" i="11"/>
  <c r="CN204" i="19"/>
  <c r="CJ279" i="19"/>
  <c r="CT168" i="19"/>
  <c r="CT192" i="19" s="1"/>
  <c r="CT193" i="19"/>
  <c r="AS100" i="1"/>
  <c r="AS101" i="1"/>
  <c r="AB194" i="19"/>
  <c r="AB170" i="19" s="1"/>
  <c r="AA186" i="19"/>
  <c r="CQ88" i="19"/>
  <c r="CQ112" i="19" s="1"/>
  <c r="CQ113" i="19"/>
  <c r="G186" i="19"/>
  <c r="Z186" i="19"/>
  <c r="CI204" i="19"/>
  <c r="CI210" i="19" s="1"/>
  <c r="EN71" i="1"/>
  <c r="CQ279" i="19"/>
  <c r="EQ33" i="1"/>
  <c r="EQ55" i="1"/>
  <c r="EQ39" i="1"/>
  <c r="Z165" i="19"/>
  <c r="CJ204" i="19"/>
  <c r="CO242" i="19"/>
  <c r="CO266" i="19" s="1"/>
  <c r="AB266" i="19" s="1"/>
  <c r="AB242" i="19" s="1"/>
  <c r="CO267" i="19"/>
  <c r="CJ242" i="19"/>
  <c r="CJ266" i="19" s="1"/>
  <c r="CJ267" i="19"/>
  <c r="AT157" i="11"/>
  <c r="AT82" i="11"/>
  <c r="CK205" i="19"/>
  <c r="ET123" i="11"/>
  <c r="ET134" i="11"/>
  <c r="ET161" i="11" s="1"/>
  <c r="ET125" i="1" s="1"/>
  <c r="AB164" i="19"/>
  <c r="AB206" i="19"/>
  <c r="CJ278" i="19"/>
  <c r="CP168" i="19"/>
  <c r="CP192" i="19" s="1"/>
  <c r="CP204" i="19" s="1"/>
  <c r="CP193" i="19"/>
  <c r="CI12" i="19"/>
  <c r="CJ126" i="19"/>
  <c r="CJ138" i="19" s="1"/>
  <c r="CI144" i="19"/>
  <c r="CP88" i="19"/>
  <c r="CP112" i="19" s="1"/>
  <c r="CP113" i="19"/>
  <c r="CT88" i="19"/>
  <c r="CT112" i="19" s="1"/>
  <c r="CT113" i="19"/>
  <c r="AB187" i="19"/>
  <c r="CT205" i="19"/>
  <c r="CK15" i="19"/>
  <c r="CL197" i="19"/>
  <c r="CK215" i="19"/>
  <c r="CM242" i="19"/>
  <c r="CM266" i="19" s="1"/>
  <c r="CM278" i="19" s="1"/>
  <c r="CM267" i="19"/>
  <c r="CM279" i="19" s="1"/>
  <c r="CQ242" i="19"/>
  <c r="CQ266" i="19" s="1"/>
  <c r="CQ278" i="19" s="1"/>
  <c r="CQ267" i="19"/>
  <c r="CK279" i="19"/>
  <c r="CK204" i="19"/>
  <c r="Z120" i="19"/>
  <c r="Z96" i="19" s="1"/>
  <c r="G120" i="19"/>
  <c r="EQ100" i="1"/>
  <c r="EQ101" i="1"/>
  <c r="CN168" i="19"/>
  <c r="CN192" i="19" s="1"/>
  <c r="CN193" i="19"/>
  <c r="CN205" i="19" s="1"/>
  <c r="ET38" i="11"/>
  <c r="ET28" i="1"/>
  <c r="EP100" i="1"/>
  <c r="EP101" i="1"/>
  <c r="CS204" i="19"/>
  <c r="CO168" i="19"/>
  <c r="CO192" i="19" s="1"/>
  <c r="CO193" i="19"/>
  <c r="CO205" i="19" s="1"/>
  <c r="EP125" i="11"/>
  <c r="K144" i="11"/>
  <c r="EX30" i="25" s="1"/>
  <c r="AS144" i="11"/>
  <c r="Z90" i="19"/>
  <c r="Z132" i="19"/>
  <c r="Z138" i="19" s="1"/>
  <c r="EM71" i="1"/>
  <c r="AR65" i="1"/>
  <c r="EM68" i="1"/>
  <c r="EN63" i="1" s="1"/>
  <c r="EQ55" i="19"/>
  <c r="ER18" i="15"/>
  <c r="CJ88" i="19"/>
  <c r="CJ112" i="19" s="1"/>
  <c r="CJ113" i="19"/>
  <c r="CL88" i="19"/>
  <c r="CL112" i="19" s="1"/>
  <c r="CL113" i="19"/>
  <c r="AB186" i="19"/>
  <c r="CO204" i="19"/>
  <c r="AT111" i="11"/>
  <c r="AT159" i="11" s="1"/>
  <c r="ES159" i="11"/>
  <c r="ES123" i="1" s="1"/>
  <c r="AT123" i="1" s="1"/>
  <c r="EQ82" i="1"/>
  <c r="EQ85" i="1"/>
  <c r="EQ57" i="1"/>
  <c r="ET94" i="1"/>
  <c r="EQ54" i="1"/>
  <c r="CT204" i="19"/>
  <c r="EQ47" i="19"/>
  <c r="EQ71" i="19" s="1"/>
  <c r="ER7" i="15"/>
  <c r="EQ45" i="15"/>
  <c r="EQ63" i="19"/>
  <c r="ER29" i="15"/>
  <c r="CI242" i="19"/>
  <c r="CI266" i="19" s="1"/>
  <c r="CI278" i="19" s="1"/>
  <c r="CI284" i="19" s="1"/>
  <c r="CI267" i="19"/>
  <c r="ER45" i="11"/>
  <c r="AT40" i="11"/>
  <c r="AT45" i="11" s="1"/>
  <c r="ER41" i="11"/>
  <c r="CI206" i="19"/>
  <c r="CI212" i="19" s="1"/>
  <c r="Z121" i="19"/>
  <c r="Z133" i="19" s="1"/>
  <c r="Z139" i="19" s="1"/>
  <c r="G121" i="19"/>
  <c r="G133" i="19" s="1"/>
  <c r="CK278" i="19"/>
  <c r="AT98" i="11"/>
  <c r="AT117" i="11" s="1"/>
  <c r="CL280" i="19"/>
  <c r="EQ125" i="11"/>
  <c r="ET60" i="11"/>
  <c r="ET79" i="11"/>
  <c r="ET157" i="11" s="1"/>
  <c r="G132" i="19"/>
  <c r="CK21" i="19"/>
  <c r="CK289" i="19"/>
  <c r="CL271" i="19"/>
  <c r="AT23" i="15"/>
  <c r="AW26" i="15"/>
  <c r="AT91" i="15"/>
  <c r="AW25" i="15"/>
  <c r="CI88" i="19"/>
  <c r="CI112" i="19" s="1"/>
  <c r="CI113" i="19"/>
  <c r="CS88" i="19"/>
  <c r="CS112" i="19" s="1"/>
  <c r="CS113" i="19"/>
  <c r="CL206" i="19"/>
  <c r="G195" i="19"/>
  <c r="G207" i="19" s="1"/>
  <c r="Z195" i="19"/>
  <c r="Z207" i="19" s="1"/>
  <c r="Z213" i="19" s="1"/>
  <c r="AT89" i="11"/>
  <c r="AT12" i="15"/>
  <c r="AT90" i="15"/>
  <c r="AW15" i="15"/>
  <c r="AW14" i="15"/>
  <c r="AT34" i="15"/>
  <c r="AT92" i="15"/>
  <c r="AW36" i="15"/>
  <c r="AW37" i="15"/>
  <c r="AT124" i="11"/>
  <c r="CT242" i="19"/>
  <c r="CT266" i="19" s="1"/>
  <c r="CT278" i="19" s="1"/>
  <c r="CT267" i="19"/>
  <c r="CT279" i="19" s="1"/>
  <c r="CP242" i="19"/>
  <c r="CP266" i="19" s="1"/>
  <c r="CP267" i="19"/>
  <c r="Z164" i="19"/>
  <c r="Z206" i="19"/>
  <c r="Z212" i="19" s="1"/>
  <c r="AB261" i="19"/>
  <c r="CO279" i="19"/>
  <c r="AA238" i="19"/>
  <c r="AA280" i="19"/>
  <c r="CR133" i="19"/>
  <c r="CR168" i="19"/>
  <c r="CR192" i="19" s="1"/>
  <c r="AC192" i="19" s="1"/>
  <c r="AC168" i="19" s="1"/>
  <c r="CR193" i="19"/>
  <c r="AC193" i="19" s="1"/>
  <c r="AC169" i="19" s="1"/>
  <c r="CP279" i="19"/>
  <c r="CL168" i="19"/>
  <c r="CL192" i="19" s="1"/>
  <c r="AA192" i="19" s="1"/>
  <c r="AA168" i="19" s="1"/>
  <c r="CL193" i="19"/>
  <c r="AA193" i="19" s="1"/>
  <c r="AA169" i="19" s="1"/>
  <c r="CM168" i="19"/>
  <c r="CM192" i="19" s="1"/>
  <c r="CM193" i="19"/>
  <c r="AC90" i="19"/>
  <c r="AC132" i="19"/>
  <c r="CK88" i="19"/>
  <c r="CK112" i="19" s="1"/>
  <c r="CK113" i="19"/>
  <c r="CI280" i="19"/>
  <c r="CI286" i="19" s="1"/>
  <c r="AA164" i="19"/>
  <c r="AA206" i="19"/>
  <c r="CM205" i="19"/>
  <c r="AT40" i="15"/>
  <c r="EQ47" i="15"/>
  <c r="EQ48" i="15"/>
  <c r="CL242" i="19"/>
  <c r="CL266" i="19" s="1"/>
  <c r="AA266" i="19" s="1"/>
  <c r="AA242" i="19" s="1"/>
  <c r="CL267" i="19"/>
  <c r="AA267" i="19" s="1"/>
  <c r="AA243" i="19" s="1"/>
  <c r="G206" i="19"/>
  <c r="AA121" i="19"/>
  <c r="AA133" i="19" s="1"/>
  <c r="AB121" i="19"/>
  <c r="AB260" i="19"/>
  <c r="CO278" i="19"/>
  <c r="AC91" i="19"/>
  <c r="AC133" i="19"/>
  <c r="CL207" i="19"/>
  <c r="AC261" i="19"/>
  <c r="CR279" i="19"/>
  <c r="EU14" i="1"/>
  <c r="EU97" i="1"/>
  <c r="EU98" i="1"/>
  <c r="AC260" i="19"/>
  <c r="CR278" i="19"/>
  <c r="CO88" i="19"/>
  <c r="CO112" i="19" s="1"/>
  <c r="CO113" i="19"/>
  <c r="CP278" i="19"/>
  <c r="CQ168" i="19"/>
  <c r="CQ192" i="19" s="1"/>
  <c r="CQ204" i="19" s="1"/>
  <c r="CQ193" i="19"/>
  <c r="CQ205" i="19" s="1"/>
  <c r="AT64" i="1"/>
  <c r="AT74" i="1" s="1"/>
  <c r="CP205" i="19"/>
  <c r="AB91" i="19"/>
  <c r="AB133" i="19"/>
  <c r="CP95" i="19"/>
  <c r="CI95" i="19"/>
  <c r="CQ95" i="19"/>
  <c r="CJ95" i="19"/>
  <c r="CR95" i="19"/>
  <c r="CK95" i="19"/>
  <c r="CS95" i="19"/>
  <c r="CL95" i="19"/>
  <c r="CT95" i="19"/>
  <c r="CM95" i="19"/>
  <c r="CN95" i="19"/>
  <c r="CO95" i="19"/>
  <c r="G94" i="19"/>
  <c r="G261" i="19"/>
  <c r="Z261" i="19"/>
  <c r="CI279" i="19"/>
  <c r="CI285" i="19" s="1"/>
  <c r="Z238" i="19"/>
  <c r="Z280" i="19"/>
  <c r="Z286" i="19" s="1"/>
  <c r="CM204" i="19"/>
  <c r="CI13" i="19"/>
  <c r="CI31" i="19" s="1"/>
  <c r="CI37" i="19" s="1"/>
  <c r="CJ127" i="19"/>
  <c r="CJ139" i="19" s="1"/>
  <c r="CI145" i="19"/>
  <c r="CN279" i="19"/>
  <c r="AT42" i="19"/>
  <c r="AT47" i="19" s="1"/>
  <c r="EQ66" i="19"/>
  <c r="AT66" i="19" s="1"/>
  <c r="AT71" i="19" s="1"/>
  <c r="AT44" i="1"/>
  <c r="AT83" i="1" s="1"/>
  <c r="EQ83" i="1"/>
  <c r="CS242" i="19"/>
  <c r="CS266" i="19" s="1"/>
  <c r="CS278" i="19" s="1"/>
  <c r="CS267" i="19"/>
  <c r="CS279" i="19" s="1"/>
  <c r="ER129" i="11"/>
  <c r="ER139" i="11"/>
  <c r="ER162" i="11" s="1"/>
  <c r="CR280" i="19"/>
  <c r="AT101" i="11"/>
  <c r="AT113" i="11" s="1"/>
  <c r="EE110" i="1"/>
  <c r="EF106" i="1" s="1"/>
  <c r="EE99" i="1"/>
  <c r="CR207" i="19"/>
  <c r="AA165" i="19"/>
  <c r="AA207" i="19"/>
  <c r="ER43" i="1"/>
  <c r="CI22" i="19" l="1"/>
  <c r="CI290" i="19"/>
  <c r="CJ272" i="19"/>
  <c r="CJ284" i="19" s="1"/>
  <c r="Z13" i="19"/>
  <c r="Z145" i="19"/>
  <c r="Z19" i="19"/>
  <c r="Z219" i="19"/>
  <c r="CO94" i="19"/>
  <c r="CO118" i="19" s="1"/>
  <c r="CO119" i="19"/>
  <c r="CM94" i="19"/>
  <c r="CM118" i="19" s="1"/>
  <c r="CM119" i="19"/>
  <c r="CT94" i="19"/>
  <c r="CT118" i="19" s="1"/>
  <c r="CT119" i="19"/>
  <c r="AB236" i="19"/>
  <c r="AB278" i="19"/>
  <c r="ER126" i="1"/>
  <c r="ER163" i="11"/>
  <c r="CI23" i="19"/>
  <c r="CI291" i="19"/>
  <c r="CJ273" i="19"/>
  <c r="CJ285" i="19" s="1"/>
  <c r="ER130" i="11"/>
  <c r="Z237" i="19"/>
  <c r="CS94" i="19"/>
  <c r="CS118" i="19" s="1"/>
  <c r="CS119" i="19"/>
  <c r="AB113" i="19"/>
  <c r="CO131" i="19"/>
  <c r="ET61" i="11"/>
  <c r="ET62" i="11" s="1"/>
  <c r="ER58" i="19"/>
  <c r="ER34" i="15"/>
  <c r="ER37" i="15"/>
  <c r="ER36" i="15"/>
  <c r="ER92" i="15"/>
  <c r="Z162" i="19"/>
  <c r="CL278" i="19"/>
  <c r="AC266" i="19"/>
  <c r="AC242" i="19" s="1"/>
  <c r="AC113" i="19"/>
  <c r="AA163" i="19"/>
  <c r="AA205" i="19"/>
  <c r="AA237" i="19"/>
  <c r="AA279" i="19"/>
  <c r="CJ19" i="19"/>
  <c r="CJ219" i="19"/>
  <c r="CK201" i="19"/>
  <c r="CK213" i="19" s="1"/>
  <c r="EF110" i="1"/>
  <c r="EG106" i="1" s="1"/>
  <c r="EF99" i="1"/>
  <c r="CK94" i="19"/>
  <c r="CK118" i="19" s="1"/>
  <c r="CK119" i="19"/>
  <c r="AB112" i="19"/>
  <c r="CO130" i="19"/>
  <c r="AC237" i="19"/>
  <c r="CS131" i="19"/>
  <c r="AA271" i="19"/>
  <c r="AA283" i="19" s="1"/>
  <c r="CL283" i="19"/>
  <c r="EQ132" i="11"/>
  <c r="EQ22" i="11" s="1"/>
  <c r="CI18" i="19"/>
  <c r="CJ200" i="19"/>
  <c r="CJ212" i="19" s="1"/>
  <c r="CI218" i="19"/>
  <c r="EN68" i="1"/>
  <c r="EO63" i="1" s="1"/>
  <c r="EO68" i="1" s="1"/>
  <c r="EP63" i="1" s="1"/>
  <c r="AS63" i="1"/>
  <c r="EP132" i="11"/>
  <c r="EP22" i="11" s="1"/>
  <c r="AS125" i="11"/>
  <c r="CJ12" i="19"/>
  <c r="CK126" i="19"/>
  <c r="CK138" i="19" s="1"/>
  <c r="CJ144" i="19"/>
  <c r="EQ81" i="1"/>
  <c r="EQ37" i="1"/>
  <c r="EQ38" i="1"/>
  <c r="AA236" i="19"/>
  <c r="AA278" i="19"/>
  <c r="ET98" i="11"/>
  <c r="AC112" i="19"/>
  <c r="CI24" i="19"/>
  <c r="CJ274" i="19"/>
  <c r="CJ286" i="19" s="1"/>
  <c r="CI292" i="19"/>
  <c r="CS130" i="19"/>
  <c r="ER16" i="11"/>
  <c r="ER34" i="1" s="1"/>
  <c r="ER42" i="11"/>
  <c r="AT41" i="11"/>
  <c r="AT16" i="11" s="1"/>
  <c r="AB162" i="19"/>
  <c r="CI30" i="19"/>
  <c r="CI36" i="19" s="1"/>
  <c r="AB267" i="19"/>
  <c r="AB243" i="19" s="1"/>
  <c r="AC280" i="19"/>
  <c r="Z236" i="19"/>
  <c r="AC236" i="19"/>
  <c r="AC278" i="19"/>
  <c r="CK131" i="19"/>
  <c r="AT148" i="11"/>
  <c r="Z113" i="19"/>
  <c r="G113" i="19"/>
  <c r="ER42" i="19"/>
  <c r="ER12" i="15"/>
  <c r="ER40" i="15"/>
  <c r="ER14" i="15"/>
  <c r="ER90" i="15"/>
  <c r="ER15" i="15"/>
  <c r="AA113" i="19"/>
  <c r="AR75" i="1"/>
  <c r="AG46" i="7"/>
  <c r="AG46" i="25"/>
  <c r="AR68" i="1"/>
  <c r="AB193" i="19"/>
  <c r="AB169" i="19" s="1"/>
  <c r="AB163" i="19"/>
  <c r="ES140" i="11"/>
  <c r="CI17" i="19"/>
  <c r="CJ199" i="19"/>
  <c r="CJ211" i="19" s="1"/>
  <c r="CI217" i="19"/>
  <c r="CK9" i="19"/>
  <c r="CK27" i="19" s="1"/>
  <c r="CK33" i="19" s="1"/>
  <c r="CL123" i="19"/>
  <c r="CK141" i="19"/>
  <c r="CJ25" i="19"/>
  <c r="CK275" i="19"/>
  <c r="CK287" i="19" s="1"/>
  <c r="CJ293" i="19"/>
  <c r="CJ13" i="19"/>
  <c r="CK127" i="19"/>
  <c r="CK139" i="19" s="1"/>
  <c r="CJ145" i="19"/>
  <c r="ER82" i="1"/>
  <c r="ER85" i="1"/>
  <c r="ER57" i="1"/>
  <c r="ER54" i="1"/>
  <c r="EU94" i="1"/>
  <c r="CQ94" i="19"/>
  <c r="CQ118" i="19" s="1"/>
  <c r="CQ130" i="19" s="1"/>
  <c r="CQ119" i="19"/>
  <c r="CQ131" i="19" s="1"/>
  <c r="CK130" i="19"/>
  <c r="AB237" i="19"/>
  <c r="AB279" i="19"/>
  <c r="Z112" i="19"/>
  <c r="G112" i="19"/>
  <c r="AA112" i="19"/>
  <c r="EM91" i="1"/>
  <c r="EM102" i="1"/>
  <c r="EM90" i="1"/>
  <c r="AR71" i="1"/>
  <c r="EO90" i="1"/>
  <c r="AB192" i="19"/>
  <c r="AB168" i="19" s="1"/>
  <c r="CT131" i="19"/>
  <c r="ET124" i="11"/>
  <c r="CL204" i="19"/>
  <c r="CO42" i="25"/>
  <c r="EN28" i="25"/>
  <c r="Z163" i="19"/>
  <c r="CR205" i="19"/>
  <c r="CR94" i="19"/>
  <c r="CR118" i="19" s="1"/>
  <c r="AC118" i="19" s="1"/>
  <c r="AC94" i="19" s="1"/>
  <c r="CR119" i="19"/>
  <c r="AC119" i="19" s="1"/>
  <c r="AC95" i="19" s="1"/>
  <c r="Z18" i="19"/>
  <c r="Z218" i="19"/>
  <c r="Z12" i="19"/>
  <c r="Z144" i="19"/>
  <c r="ET64" i="1"/>
  <c r="AA197" i="19"/>
  <c r="AA209" i="19" s="1"/>
  <c r="CL209" i="19"/>
  <c r="CT130" i="19"/>
  <c r="EN91" i="1"/>
  <c r="EN102" i="1"/>
  <c r="EN90" i="1"/>
  <c r="AA162" i="19"/>
  <c r="AA204" i="19"/>
  <c r="AT104" i="11"/>
  <c r="AT118" i="11"/>
  <c r="CR204" i="19"/>
  <c r="ES20" i="11"/>
  <c r="ES92" i="11"/>
  <c r="AT67" i="11"/>
  <c r="AT92" i="11" s="1"/>
  <c r="Z193" i="19"/>
  <c r="Z169" i="19" s="1"/>
  <c r="G193" i="19"/>
  <c r="G205" i="19" s="1"/>
  <c r="AC163" i="19"/>
  <c r="AC205" i="19"/>
  <c r="CN94" i="19"/>
  <c r="CN118" i="19" s="1"/>
  <c r="CN130" i="19" s="1"/>
  <c r="CN119" i="19"/>
  <c r="CN131" i="19" s="1"/>
  <c r="Z24" i="19"/>
  <c r="Z292" i="19"/>
  <c r="AT45" i="15"/>
  <c r="AW47" i="15"/>
  <c r="AW48" i="15"/>
  <c r="Z267" i="19"/>
  <c r="Z243" i="19" s="1"/>
  <c r="G267" i="19"/>
  <c r="G279" i="19" s="1"/>
  <c r="ET39" i="11"/>
  <c r="AT44" i="11"/>
  <c r="AT47" i="11"/>
  <c r="AC162" i="19"/>
  <c r="AC204" i="19"/>
  <c r="CM131" i="19"/>
  <c r="G192" i="19"/>
  <c r="G204" i="19" s="1"/>
  <c r="Z192" i="19"/>
  <c r="Z168" i="19" s="1"/>
  <c r="CJ94" i="19"/>
  <c r="CJ118" i="19" s="1"/>
  <c r="CJ130" i="19" s="1"/>
  <c r="CJ119" i="19"/>
  <c r="CJ131" i="19" s="1"/>
  <c r="CI94" i="19"/>
  <c r="CI118" i="19" s="1"/>
  <c r="CI119" i="19"/>
  <c r="CP94" i="19"/>
  <c r="CP118" i="19" s="1"/>
  <c r="CP119" i="19"/>
  <c r="CP131" i="19" s="1"/>
  <c r="EU9" i="11"/>
  <c r="EU15" i="1"/>
  <c r="EV9" i="1"/>
  <c r="EU29" i="1"/>
  <c r="CL94" i="19"/>
  <c r="CL118" i="19" s="1"/>
  <c r="AA118" i="19" s="1"/>
  <c r="AA94" i="19" s="1"/>
  <c r="CL119" i="19"/>
  <c r="AA119" i="19" s="1"/>
  <c r="AA95" i="19" s="1"/>
  <c r="EU10" i="11"/>
  <c r="ET121" i="1"/>
  <c r="ET140" i="11"/>
  <c r="Z266" i="19"/>
  <c r="Z242" i="19" s="1"/>
  <c r="G266" i="19"/>
  <c r="G278" i="19" s="1"/>
  <c r="ER50" i="19"/>
  <c r="ER23" i="15"/>
  <c r="ER25" i="15"/>
  <c r="ER91" i="15"/>
  <c r="ER26" i="15"/>
  <c r="CP130" i="19"/>
  <c r="CI16" i="19"/>
  <c r="CJ198" i="19"/>
  <c r="CJ210" i="19" s="1"/>
  <c r="CI216" i="19"/>
  <c r="ES16" i="11"/>
  <c r="ES34" i="1" s="1"/>
  <c r="ES42" i="11"/>
  <c r="ES46" i="11" s="1"/>
  <c r="ET111" i="11"/>
  <c r="ET159" i="11" s="1"/>
  <c r="ET123" i="1" s="1"/>
  <c r="ET101" i="11"/>
  <c r="AC267" i="19"/>
  <c r="AC243" i="19" s="1"/>
  <c r="CM130" i="19"/>
  <c r="CL205" i="19"/>
  <c r="CL279" i="19"/>
  <c r="ET40" i="11" l="1"/>
  <c r="ES55" i="1"/>
  <c r="ES33" i="1"/>
  <c r="ES39" i="1"/>
  <c r="CJ16" i="19"/>
  <c r="CK198" i="19"/>
  <c r="CK210" i="19" s="1"/>
  <c r="CJ216" i="19"/>
  <c r="ER55" i="19"/>
  <c r="ES18" i="15"/>
  <c r="ET41" i="11"/>
  <c r="AA15" i="19"/>
  <c r="AA215" i="19"/>
  <c r="AR91" i="1"/>
  <c r="AR102" i="1"/>
  <c r="AR89" i="1"/>
  <c r="AR90" i="1"/>
  <c r="CJ17" i="19"/>
  <c r="CK199" i="19"/>
  <c r="CK211" i="19" s="1"/>
  <c r="CJ217" i="19"/>
  <c r="ER48" i="15"/>
  <c r="ER47" i="15"/>
  <c r="CL21" i="19"/>
  <c r="CL289" i="19"/>
  <c r="CM271" i="19"/>
  <c r="CM283" i="19" s="1"/>
  <c r="AB118" i="19"/>
  <c r="AB94" i="19" s="1"/>
  <c r="G119" i="19"/>
  <c r="Z119" i="19"/>
  <c r="Z95" i="19" s="1"/>
  <c r="Z88" i="19"/>
  <c r="CK25" i="19"/>
  <c r="CL275" i="19"/>
  <c r="CK293" i="19"/>
  <c r="ER47" i="19"/>
  <c r="ES7" i="15"/>
  <c r="ER45" i="15"/>
  <c r="AA21" i="19"/>
  <c r="AA289" i="19"/>
  <c r="Z30" i="19"/>
  <c r="ES129" i="11"/>
  <c r="ES139" i="11"/>
  <c r="AT140" i="11"/>
  <c r="ER66" i="19"/>
  <c r="AB204" i="19"/>
  <c r="CJ24" i="19"/>
  <c r="CK274" i="19"/>
  <c r="CK286" i="19" s="1"/>
  <c r="CJ292" i="19"/>
  <c r="EU38" i="11"/>
  <c r="EU28" i="1"/>
  <c r="G118" i="19"/>
  <c r="G130" i="19" s="1"/>
  <c r="Z118" i="19"/>
  <c r="Z94" i="19" s="1"/>
  <c r="ES43" i="1"/>
  <c r="AT20" i="11"/>
  <c r="Z205" i="19"/>
  <c r="Z211" i="19" s="1"/>
  <c r="CL131" i="19"/>
  <c r="CI131" i="19"/>
  <c r="CI137" i="19" s="1"/>
  <c r="Z278" i="19"/>
  <c r="Z284" i="19" s="1"/>
  <c r="CJ18" i="19"/>
  <c r="CK200" i="19"/>
  <c r="CK212" i="19" s="1"/>
  <c r="CJ218" i="19"/>
  <c r="AC279" i="19"/>
  <c r="EG110" i="1"/>
  <c r="EH106" i="1" s="1"/>
  <c r="EG99" i="1"/>
  <c r="CR131" i="19"/>
  <c r="ET102" i="11"/>
  <c r="EV14" i="1"/>
  <c r="EV97" i="1"/>
  <c r="EV98" i="1"/>
  <c r="CL130" i="19"/>
  <c r="AB205" i="19"/>
  <c r="AA89" i="19"/>
  <c r="AA131" i="19"/>
  <c r="G131" i="19"/>
  <c r="CR130" i="19"/>
  <c r="CK12" i="19"/>
  <c r="CL126" i="19"/>
  <c r="CK144" i="19"/>
  <c r="CK19" i="19"/>
  <c r="CK219" i="19"/>
  <c r="CL201" i="19"/>
  <c r="AC89" i="19"/>
  <c r="AC131" i="19"/>
  <c r="ER63" i="19"/>
  <c r="ES29" i="15"/>
  <c r="AB89" i="19"/>
  <c r="AB131" i="19"/>
  <c r="CJ23" i="19"/>
  <c r="CK273" i="19"/>
  <c r="CK285" i="19" s="1"/>
  <c r="CJ291" i="19"/>
  <c r="Z31" i="19"/>
  <c r="ET129" i="11"/>
  <c r="ET139" i="11"/>
  <c r="ET162" i="11" s="1"/>
  <c r="ET126" i="1" s="1"/>
  <c r="AA88" i="19"/>
  <c r="AA130" i="19"/>
  <c r="AA123" i="19"/>
  <c r="AA135" i="19" s="1"/>
  <c r="CL135" i="19"/>
  <c r="Z89" i="19"/>
  <c r="AC88" i="19"/>
  <c r="AC130" i="19"/>
  <c r="CJ30" i="19"/>
  <c r="CJ36" i="19" s="1"/>
  <c r="EQ45" i="1"/>
  <c r="EQ19" i="11"/>
  <c r="CJ22" i="19"/>
  <c r="CJ290" i="19"/>
  <c r="CK272" i="19"/>
  <c r="CK284" i="19" s="1"/>
  <c r="CK13" i="19"/>
  <c r="CK145" i="19"/>
  <c r="CL127" i="19"/>
  <c r="ER46" i="11"/>
  <c r="AT42" i="11"/>
  <c r="AT46" i="11" s="1"/>
  <c r="EQ92" i="1"/>
  <c r="AS145" i="11"/>
  <c r="AS132" i="11"/>
  <c r="AB88" i="19"/>
  <c r="AB130" i="19"/>
  <c r="EU80" i="11"/>
  <c r="EU107" i="11"/>
  <c r="EU135" i="11"/>
  <c r="CL15" i="19"/>
  <c r="CM197" i="19"/>
  <c r="CM209" i="19" s="1"/>
  <c r="CL215" i="19"/>
  <c r="CI130" i="19"/>
  <c r="CI136" i="19" s="1"/>
  <c r="CJ31" i="19"/>
  <c r="CJ37" i="19" s="1"/>
  <c r="AG44" i="7"/>
  <c r="AG44" i="25"/>
  <c r="ER33" i="1"/>
  <c r="ER55" i="1"/>
  <c r="ER39" i="1"/>
  <c r="AT34" i="1"/>
  <c r="EP45" i="1"/>
  <c r="EP19" i="11"/>
  <c r="AS22" i="11"/>
  <c r="AS19" i="11" s="1"/>
  <c r="Z204" i="19"/>
  <c r="Z210" i="19" s="1"/>
  <c r="ET67" i="11"/>
  <c r="Z279" i="19"/>
  <c r="Z285" i="19" s="1"/>
  <c r="ER144" i="11"/>
  <c r="ER127" i="1"/>
  <c r="AB119" i="19"/>
  <c r="AB95" i="19" s="1"/>
  <c r="EU64" i="1" l="1"/>
  <c r="CL9" i="19"/>
  <c r="CL27" i="19" s="1"/>
  <c r="CL33" i="19" s="1"/>
  <c r="CM123" i="19"/>
  <c r="CM135" i="19" s="1"/>
  <c r="CL141" i="19"/>
  <c r="ES82" i="1"/>
  <c r="ES85" i="1"/>
  <c r="ES57" i="1"/>
  <c r="EV94" i="1"/>
  <c r="ES54" i="1"/>
  <c r="AT43" i="1"/>
  <c r="EU39" i="11"/>
  <c r="ES42" i="19"/>
  <c r="ES12" i="15"/>
  <c r="ES40" i="15"/>
  <c r="ES14" i="15"/>
  <c r="ES90" i="15"/>
  <c r="ES15" i="15"/>
  <c r="ET16" i="11"/>
  <c r="ET34" i="1" s="1"/>
  <c r="ET42" i="11"/>
  <c r="ES81" i="1"/>
  <c r="ES37" i="1"/>
  <c r="ES38" i="1"/>
  <c r="Z23" i="19"/>
  <c r="Z291" i="19"/>
  <c r="CM15" i="19"/>
  <c r="CN197" i="19"/>
  <c r="CN209" i="19" s="1"/>
  <c r="CM215" i="19"/>
  <c r="ET20" i="11"/>
  <c r="ET92" i="11"/>
  <c r="EQ84" i="1"/>
  <c r="EQ42" i="1"/>
  <c r="AA9" i="19"/>
  <c r="AA27" i="19" s="1"/>
  <c r="AA33" i="19" s="1"/>
  <c r="AA141" i="19"/>
  <c r="CK23" i="19"/>
  <c r="CL273" i="19"/>
  <c r="CK291" i="19"/>
  <c r="AA201" i="19"/>
  <c r="AA213" i="19" s="1"/>
  <c r="CL213" i="19"/>
  <c r="CK18" i="19"/>
  <c r="CK218" i="19"/>
  <c r="CL200" i="19"/>
  <c r="Z16" i="19"/>
  <c r="Z216" i="19"/>
  <c r="ER81" i="1"/>
  <c r="ER37" i="1"/>
  <c r="ER38" i="1"/>
  <c r="AT33" i="1"/>
  <c r="AA127" i="19"/>
  <c r="AA139" i="19" s="1"/>
  <c r="CL139" i="19"/>
  <c r="AT139" i="11"/>
  <c r="ES162" i="11"/>
  <c r="ER71" i="19"/>
  <c r="Z22" i="19"/>
  <c r="Z290" i="19"/>
  <c r="ES130" i="11"/>
  <c r="AT129" i="11"/>
  <c r="AT141" i="11" s="1"/>
  <c r="CM21" i="19"/>
  <c r="CN271" i="19"/>
  <c r="CN283" i="19" s="1"/>
  <c r="CM289" i="19"/>
  <c r="ES50" i="19"/>
  <c r="ES23" i="15"/>
  <c r="ES25" i="15"/>
  <c r="ES91" i="15"/>
  <c r="ES26" i="15"/>
  <c r="ET104" i="11"/>
  <c r="ET21" i="11" s="1"/>
  <c r="ER125" i="11"/>
  <c r="CK24" i="19"/>
  <c r="CL274" i="19"/>
  <c r="CK292" i="19"/>
  <c r="Z36" i="19"/>
  <c r="FC8" i="7"/>
  <c r="AA275" i="19"/>
  <c r="AA287" i="19" s="1"/>
  <c r="CL287" i="19"/>
  <c r="CK17" i="19"/>
  <c r="CL199" i="19"/>
  <c r="CK217" i="19"/>
  <c r="EU134" i="11"/>
  <c r="EU161" i="11" s="1"/>
  <c r="EU125" i="1" s="1"/>
  <c r="EU123" i="11"/>
  <c r="CK31" i="19"/>
  <c r="CK37" i="19" s="1"/>
  <c r="EV9" i="11"/>
  <c r="EV15" i="1"/>
  <c r="EW9" i="1"/>
  <c r="EV29" i="1"/>
  <c r="EP84" i="1"/>
  <c r="EP42" i="1"/>
  <c r="AS45" i="1"/>
  <c r="AS84" i="1" s="1"/>
  <c r="EU106" i="11"/>
  <c r="EU160" i="11" s="1"/>
  <c r="EU124" i="1" s="1"/>
  <c r="EU97" i="11"/>
  <c r="EU112" i="11"/>
  <c r="CK22" i="19"/>
  <c r="CK290" i="19"/>
  <c r="CL272" i="19"/>
  <c r="ES58" i="19"/>
  <c r="ES34" i="15"/>
  <c r="ES92" i="15"/>
  <c r="ES36" i="15"/>
  <c r="ES37" i="15"/>
  <c r="AA126" i="19"/>
  <c r="AA138" i="19" s="1"/>
  <c r="CL138" i="19"/>
  <c r="EV10" i="11"/>
  <c r="Z37" i="19"/>
  <c r="FC9" i="7"/>
  <c r="EQ93" i="1"/>
  <c r="CI11" i="19"/>
  <c r="CI29" i="19" s="1"/>
  <c r="CI35" i="19" s="1"/>
  <c r="CJ125" i="19"/>
  <c r="CJ137" i="19" s="1"/>
  <c r="CI143" i="19"/>
  <c r="ER100" i="1"/>
  <c r="ER101" i="1"/>
  <c r="AT55" i="1"/>
  <c r="AT39" i="1"/>
  <c r="CI10" i="19"/>
  <c r="CI28" i="19" s="1"/>
  <c r="CI34" i="19" s="1"/>
  <c r="CJ124" i="19"/>
  <c r="CJ136" i="19" s="1"/>
  <c r="CI142" i="19"/>
  <c r="EU60" i="11"/>
  <c r="EU79" i="11"/>
  <c r="EU157" i="11" s="1"/>
  <c r="Z131" i="19"/>
  <c r="Z137" i="19" s="1"/>
  <c r="ET130" i="11"/>
  <c r="CK30" i="19"/>
  <c r="CK36" i="19" s="1"/>
  <c r="ET163" i="11"/>
  <c r="EH110" i="1"/>
  <c r="EI106" i="1" s="1"/>
  <c r="EH99" i="1"/>
  <c r="Z17" i="19"/>
  <c r="Z217" i="19"/>
  <c r="Z130" i="19"/>
  <c r="Z136" i="19" s="1"/>
  <c r="CK16" i="19"/>
  <c r="CL198" i="19"/>
  <c r="CK216" i="19"/>
  <c r="ET45" i="11"/>
  <c r="Z10" i="19" l="1"/>
  <c r="Z28" i="19" s="1"/>
  <c r="Z142" i="19"/>
  <c r="EU121" i="1"/>
  <c r="CL284" i="19"/>
  <c r="AA272" i="19"/>
  <c r="AA284" i="19" s="1"/>
  <c r="CJ10" i="19"/>
  <c r="CJ28" i="19" s="1"/>
  <c r="CJ34" i="19" s="1"/>
  <c r="CK124" i="19"/>
  <c r="CK136" i="19" s="1"/>
  <c r="CJ142" i="19"/>
  <c r="EV38" i="11"/>
  <c r="EV28" i="1"/>
  <c r="AU29" i="1"/>
  <c r="EU124" i="11"/>
  <c r="CL13" i="19"/>
  <c r="CM127" i="19"/>
  <c r="CM139" i="19" s="1"/>
  <c r="CL145" i="19"/>
  <c r="AA19" i="19"/>
  <c r="AA219" i="19"/>
  <c r="ET46" i="11"/>
  <c r="ES66" i="19"/>
  <c r="ET33" i="1"/>
  <c r="ET55" i="1"/>
  <c r="ET39" i="1"/>
  <c r="EU101" i="11"/>
  <c r="EU111" i="11"/>
  <c r="EU159" i="11" s="1"/>
  <c r="EU123" i="1" s="1"/>
  <c r="AV9" i="1"/>
  <c r="AV14" i="1" s="1"/>
  <c r="EW14" i="1"/>
  <c r="EW97" i="1"/>
  <c r="EW98" i="1"/>
  <c r="AA274" i="19"/>
  <c r="AA286" i="19" s="1"/>
  <c r="CL286" i="19"/>
  <c r="AT130" i="11"/>
  <c r="AT149" i="11" s="1"/>
  <c r="AT81" i="1"/>
  <c r="AT38" i="1"/>
  <c r="AT92" i="1" s="1"/>
  <c r="AT93" i="1" s="1"/>
  <c r="CL212" i="19"/>
  <c r="AA200" i="19"/>
  <c r="AA212" i="19" s="1"/>
  <c r="AA273" i="19"/>
  <c r="AA285" i="19" s="1"/>
  <c r="CL285" i="19"/>
  <c r="ES63" i="19"/>
  <c r="ET29" i="15"/>
  <c r="EU98" i="11"/>
  <c r="CL211" i="19"/>
  <c r="AA199" i="19"/>
  <c r="AA211" i="19" s="1"/>
  <c r="ES55" i="19"/>
  <c r="ET18" i="15"/>
  <c r="AA13" i="19"/>
  <c r="AA31" i="19" s="1"/>
  <c r="AA145" i="19"/>
  <c r="Z11" i="19"/>
  <c r="Z29" i="19" s="1"/>
  <c r="Z143" i="19"/>
  <c r="ET43" i="1"/>
  <c r="EI110" i="1"/>
  <c r="EJ106" i="1" s="1"/>
  <c r="EI99" i="1"/>
  <c r="EV80" i="11"/>
  <c r="EV107" i="11"/>
  <c r="EV135" i="11"/>
  <c r="AU10" i="11"/>
  <c r="CL25" i="19"/>
  <c r="CM275" i="19"/>
  <c r="CM287" i="19" s="1"/>
  <c r="CL293" i="19"/>
  <c r="AT37" i="1"/>
  <c r="ES92" i="1"/>
  <c r="ES93" i="1" s="1"/>
  <c r="ER92" i="1"/>
  <c r="ET144" i="11"/>
  <c r="ET127" i="1"/>
  <c r="EU61" i="11"/>
  <c r="EU67" i="11" s="1"/>
  <c r="EU62" i="11"/>
  <c r="CL12" i="19"/>
  <c r="CL144" i="19"/>
  <c r="CM126" i="19"/>
  <c r="CM138" i="19" s="1"/>
  <c r="EP65" i="1"/>
  <c r="EP48" i="1"/>
  <c r="AS48" i="1" s="1"/>
  <c r="AS42" i="1"/>
  <c r="AA25" i="19"/>
  <c r="AA293" i="19"/>
  <c r="ER132" i="11"/>
  <c r="ER22" i="11" s="1"/>
  <c r="CN21" i="19"/>
  <c r="CO271" i="19"/>
  <c r="CN289" i="19"/>
  <c r="ES126" i="1"/>
  <c r="AT126" i="1" s="1"/>
  <c r="AT127" i="1" s="1"/>
  <c r="ES163" i="11"/>
  <c r="EQ48" i="1"/>
  <c r="EQ65" i="1"/>
  <c r="CN15" i="19"/>
  <c r="CO197" i="19"/>
  <c r="CN215" i="19"/>
  <c r="ES47" i="15"/>
  <c r="ES48" i="15"/>
  <c r="AT82" i="1"/>
  <c r="AT85" i="1"/>
  <c r="AT57" i="1"/>
  <c r="AT54" i="1"/>
  <c r="AU94" i="1"/>
  <c r="CM9" i="19"/>
  <c r="CM27" i="19" s="1"/>
  <c r="CM33" i="19" s="1"/>
  <c r="CN123" i="19"/>
  <c r="CN135" i="19" s="1"/>
  <c r="CM141" i="19"/>
  <c r="AA198" i="19"/>
  <c r="AA210" i="19" s="1"/>
  <c r="CL210" i="19"/>
  <c r="CJ11" i="19"/>
  <c r="CJ29" i="19" s="1"/>
  <c r="CJ35" i="19" s="1"/>
  <c r="CK125" i="19"/>
  <c r="CK137" i="19" s="1"/>
  <c r="CJ143" i="19"/>
  <c r="AA12" i="19"/>
  <c r="AA144" i="19"/>
  <c r="ET44" i="1"/>
  <c r="AT162" i="11"/>
  <c r="AT163" i="11" s="1"/>
  <c r="AT142" i="11"/>
  <c r="CL19" i="19"/>
  <c r="CL219" i="19"/>
  <c r="CM201" i="19"/>
  <c r="CM213" i="19" s="1"/>
  <c r="ES47" i="19"/>
  <c r="ES71" i="19" s="1"/>
  <c r="ET7" i="15"/>
  <c r="ES45" i="15"/>
  <c r="EU20" i="11" l="1"/>
  <c r="EU92" i="11"/>
  <c r="ET125" i="11"/>
  <c r="CN9" i="19"/>
  <c r="CN27" i="19" s="1"/>
  <c r="CN33" i="19" s="1"/>
  <c r="CO123" i="19"/>
  <c r="CN141" i="19"/>
  <c r="CM19" i="19"/>
  <c r="CN201" i="19"/>
  <c r="CN213" i="19" s="1"/>
  <c r="CM219" i="19"/>
  <c r="ET82" i="1"/>
  <c r="ET85" i="1"/>
  <c r="ET57" i="1"/>
  <c r="ET54" i="1"/>
  <c r="EW94" i="1"/>
  <c r="EW9" i="11"/>
  <c r="EW15" i="1"/>
  <c r="EX9" i="1"/>
  <c r="EW29" i="1"/>
  <c r="EV60" i="11"/>
  <c r="EV79" i="11"/>
  <c r="AU80" i="11"/>
  <c r="AV9" i="11"/>
  <c r="AV15" i="1"/>
  <c r="AV113" i="1"/>
  <c r="AA22" i="19"/>
  <c r="AA290" i="19"/>
  <c r="EV134" i="11"/>
  <c r="EV123" i="11"/>
  <c r="AU135" i="11"/>
  <c r="ES144" i="11"/>
  <c r="ES127" i="1"/>
  <c r="AT100" i="1"/>
  <c r="AT101" i="1"/>
  <c r="CK11" i="19"/>
  <c r="CK29" i="19" s="1"/>
  <c r="CK35" i="19" s="1"/>
  <c r="CL125" i="19"/>
  <c r="CK143" i="19"/>
  <c r="ET50" i="19"/>
  <c r="AU50" i="19" s="1"/>
  <c r="AU55" i="19" s="1"/>
  <c r="AU18" i="15"/>
  <c r="ET23" i="15"/>
  <c r="ET91" i="15"/>
  <c r="ET25" i="15"/>
  <c r="ET26" i="15"/>
  <c r="ET58" i="19"/>
  <c r="AU58" i="19" s="1"/>
  <c r="AU63" i="19" s="1"/>
  <c r="AU29" i="15"/>
  <c r="ET34" i="15"/>
  <c r="ET92" i="15"/>
  <c r="ET36" i="15"/>
  <c r="ET37" i="15"/>
  <c r="EW10" i="11"/>
  <c r="AU52" i="1"/>
  <c r="CL22" i="19"/>
  <c r="CM272" i="19"/>
  <c r="CM284" i="19" s="1"/>
  <c r="CL290" i="19"/>
  <c r="ER93" i="1"/>
  <c r="EV97" i="11"/>
  <c r="EV106" i="11"/>
  <c r="EV112" i="11"/>
  <c r="AU107" i="11"/>
  <c r="CO209" i="19"/>
  <c r="AB197" i="19"/>
  <c r="AB209" i="19" s="1"/>
  <c r="CO283" i="19"/>
  <c r="AB271" i="19"/>
  <c r="AB283" i="19" s="1"/>
  <c r="EU40" i="11"/>
  <c r="EJ110" i="1"/>
  <c r="EK106" i="1" s="1"/>
  <c r="EJ99" i="1"/>
  <c r="ET81" i="1"/>
  <c r="ET37" i="1"/>
  <c r="ET38" i="1"/>
  <c r="ET42" i="19"/>
  <c r="ET12" i="15"/>
  <c r="ET40" i="15"/>
  <c r="AU7" i="15"/>
  <c r="ET14" i="15"/>
  <c r="ET90" i="15"/>
  <c r="ET15" i="15"/>
  <c r="AA37" i="19"/>
  <c r="FD9" i="7"/>
  <c r="ER45" i="1"/>
  <c r="ER19" i="11"/>
  <c r="CL16" i="19"/>
  <c r="CM198" i="19"/>
  <c r="CM210" i="19" s="1"/>
  <c r="CL216" i="19"/>
  <c r="Z35" i="19"/>
  <c r="FC7" i="7"/>
  <c r="AA17" i="19"/>
  <c r="AA217" i="19"/>
  <c r="CL23" i="19"/>
  <c r="CL291" i="19"/>
  <c r="CM273" i="19"/>
  <c r="CM285" i="19" s="1"/>
  <c r="CL24" i="19"/>
  <c r="CM274" i="19"/>
  <c r="CM286" i="19" s="1"/>
  <c r="CL292" i="19"/>
  <c r="CM13" i="19"/>
  <c r="CM145" i="19"/>
  <c r="CN127" i="19"/>
  <c r="CN139" i="19" s="1"/>
  <c r="EV64" i="1"/>
  <c r="AU28" i="1"/>
  <c r="EU140" i="11"/>
  <c r="AU109" i="11"/>
  <c r="AU137" i="11"/>
  <c r="EP71" i="1"/>
  <c r="AS65" i="1"/>
  <c r="EP68" i="1"/>
  <c r="EQ63" i="1" s="1"/>
  <c r="CM25" i="19"/>
  <c r="CN275" i="19"/>
  <c r="CN287" i="19" s="1"/>
  <c r="CM293" i="19"/>
  <c r="ET83" i="1"/>
  <c r="AA16" i="19"/>
  <c r="AA216" i="19"/>
  <c r="EQ71" i="1"/>
  <c r="CM12" i="19"/>
  <c r="CN126" i="19"/>
  <c r="CN138" i="19" s="1"/>
  <c r="CM144" i="19"/>
  <c r="ET100" i="1"/>
  <c r="ET101" i="1"/>
  <c r="CL17" i="19"/>
  <c r="CL217" i="19"/>
  <c r="CM199" i="19"/>
  <c r="CM211" i="19" s="1"/>
  <c r="AA23" i="19"/>
  <c r="AA291" i="19"/>
  <c r="AA24" i="19"/>
  <c r="AA30" i="19" s="1"/>
  <c r="AA292" i="19"/>
  <c r="CL31" i="19"/>
  <c r="CL37" i="19" s="1"/>
  <c r="EV39" i="11"/>
  <c r="AU38" i="11"/>
  <c r="AA18" i="19"/>
  <c r="AA218" i="19"/>
  <c r="EU102" i="11"/>
  <c r="CL18" i="19"/>
  <c r="CL30" i="19" s="1"/>
  <c r="CL36" i="19" s="1"/>
  <c r="CL218" i="19"/>
  <c r="CM200" i="19"/>
  <c r="CM212" i="19" s="1"/>
  <c r="CK10" i="19"/>
  <c r="CK28" i="19" s="1"/>
  <c r="CK34" i="19" s="1"/>
  <c r="CL124" i="19"/>
  <c r="CK142" i="19"/>
  <c r="Z34" i="19"/>
  <c r="FC6" i="7"/>
  <c r="FC10" i="7" s="1"/>
  <c r="AA36" i="19" l="1"/>
  <c r="FD8" i="7"/>
  <c r="AU34" i="15"/>
  <c r="AU92" i="15"/>
  <c r="EX10" i="11"/>
  <c r="EX14" i="1"/>
  <c r="EX97" i="1"/>
  <c r="EX98" i="1"/>
  <c r="CN25" i="19"/>
  <c r="CO275" i="19"/>
  <c r="CN293" i="19"/>
  <c r="CM22" i="19"/>
  <c r="CN272" i="19"/>
  <c r="CN284" i="19" s="1"/>
  <c r="CM290" i="19"/>
  <c r="EU129" i="11"/>
  <c r="EU139" i="11"/>
  <c r="EU162" i="11" s="1"/>
  <c r="EV101" i="11"/>
  <c r="EV111" i="11"/>
  <c r="AU112" i="11"/>
  <c r="AU114" i="11" s="1"/>
  <c r="AA125" i="19"/>
  <c r="AA137" i="19" s="1"/>
  <c r="CL137" i="19"/>
  <c r="EV124" i="11"/>
  <c r="AU124" i="11" s="1"/>
  <c r="AU148" i="11" s="1"/>
  <c r="AU123" i="11"/>
  <c r="CM31" i="19"/>
  <c r="CM37" i="19" s="1"/>
  <c r="ET92" i="1"/>
  <c r="EU45" i="11"/>
  <c r="EU41" i="11"/>
  <c r="EV160" i="11"/>
  <c r="EV124" i="1" s="1"/>
  <c r="AU124" i="1" s="1"/>
  <c r="AU106" i="11"/>
  <c r="AU160" i="11" s="1"/>
  <c r="AU134" i="11"/>
  <c r="AU161" i="11" s="1"/>
  <c r="EV161" i="11"/>
  <c r="EV125" i="1" s="1"/>
  <c r="AU125" i="1" s="1"/>
  <c r="ET132" i="11"/>
  <c r="ET22" i="11" s="1"/>
  <c r="EK110" i="1"/>
  <c r="EL106" i="1" s="1"/>
  <c r="EK99" i="1"/>
  <c r="AU39" i="11"/>
  <c r="CN13" i="19"/>
  <c r="CN31" i="19" s="1"/>
  <c r="CN37" i="19" s="1"/>
  <c r="CN145" i="19"/>
  <c r="CO127" i="19"/>
  <c r="AB21" i="19"/>
  <c r="AB289" i="19"/>
  <c r="EV98" i="11"/>
  <c r="AU98" i="11" s="1"/>
  <c r="AU117" i="11" s="1"/>
  <c r="AU97" i="11"/>
  <c r="EW80" i="11"/>
  <c r="EW107" i="11"/>
  <c r="EW135" i="11"/>
  <c r="ET63" i="19"/>
  <c r="EU29" i="15"/>
  <c r="AB123" i="19"/>
  <c r="AB135" i="19" s="1"/>
  <c r="CO135" i="19"/>
  <c r="AT63" i="1"/>
  <c r="EQ68" i="1"/>
  <c r="ER63" i="1" s="1"/>
  <c r="AA124" i="19"/>
  <c r="AA136" i="19" s="1"/>
  <c r="CL136" i="19"/>
  <c r="CN12" i="19"/>
  <c r="CN144" i="19"/>
  <c r="CO126" i="19"/>
  <c r="AU64" i="1"/>
  <c r="AU74" i="1" s="1"/>
  <c r="CO21" i="19"/>
  <c r="CO289" i="19"/>
  <c r="CP271" i="19"/>
  <c r="CP283" i="19" s="1"/>
  <c r="AU79" i="11"/>
  <c r="EV157" i="11"/>
  <c r="CN19" i="19"/>
  <c r="CO201" i="19"/>
  <c r="CN219" i="19"/>
  <c r="CM24" i="19"/>
  <c r="CN274" i="19"/>
  <c r="CN286" i="19" s="1"/>
  <c r="CM292" i="19"/>
  <c r="AU40" i="15"/>
  <c r="AU45" i="15" s="1"/>
  <c r="ET47" i="15"/>
  <c r="ET48" i="15"/>
  <c r="EP91" i="1"/>
  <c r="EP102" i="1"/>
  <c r="EP90" i="1"/>
  <c r="AS71" i="1"/>
  <c r="ER84" i="1"/>
  <c r="ER42" i="1"/>
  <c r="ET47" i="19"/>
  <c r="ET71" i="19" s="1"/>
  <c r="ET45" i="15"/>
  <c r="EU7" i="15"/>
  <c r="AB15" i="19"/>
  <c r="AB215" i="19"/>
  <c r="ET55" i="19"/>
  <c r="EU18" i="15"/>
  <c r="ES100" i="1"/>
  <c r="ES101" i="1"/>
  <c r="EV61" i="11"/>
  <c r="AU60" i="11"/>
  <c r="AU81" i="11" s="1"/>
  <c r="EU43" i="1"/>
  <c r="AU12" i="15"/>
  <c r="AU90" i="15"/>
  <c r="AS75" i="1"/>
  <c r="AH46" i="25"/>
  <c r="AH46" i="7"/>
  <c r="AS68" i="1"/>
  <c r="CM18" i="19"/>
  <c r="CM30" i="19" s="1"/>
  <c r="CM36" i="19" s="1"/>
  <c r="CM218" i="19"/>
  <c r="CN200" i="19"/>
  <c r="CN212" i="19" s="1"/>
  <c r="CM17" i="19"/>
  <c r="CM217" i="19"/>
  <c r="CN199" i="19"/>
  <c r="CN211" i="19" s="1"/>
  <c r="EQ91" i="1"/>
  <c r="EQ102" i="1"/>
  <c r="EQ90" i="1"/>
  <c r="CM23" i="19"/>
  <c r="CN273" i="19"/>
  <c r="CN285" i="19" s="1"/>
  <c r="CM291" i="19"/>
  <c r="CM16" i="19"/>
  <c r="CN198" i="19"/>
  <c r="CN210" i="19" s="1"/>
  <c r="CM216" i="19"/>
  <c r="AU42" i="19"/>
  <c r="AU47" i="19" s="1"/>
  <c r="ET66" i="19"/>
  <c r="AU66" i="19" s="1"/>
  <c r="AU71" i="19" s="1"/>
  <c r="CO15" i="19"/>
  <c r="CP197" i="19"/>
  <c r="CP209" i="19" s="1"/>
  <c r="CO215" i="19"/>
  <c r="AU23" i="15"/>
  <c r="AU91" i="15"/>
  <c r="ES125" i="11"/>
  <c r="AT144" i="11"/>
  <c r="EW38" i="11"/>
  <c r="EW28" i="1"/>
  <c r="EU104" i="11"/>
  <c r="EU21" i="11" s="1"/>
  <c r="AS89" i="1" l="1"/>
  <c r="AS102" i="1"/>
  <c r="AS91" i="1"/>
  <c r="AS90" i="1"/>
  <c r="EU16" i="11"/>
  <c r="EU34" i="1" s="1"/>
  <c r="EU42" i="11"/>
  <c r="EW97" i="11"/>
  <c r="EW106" i="11"/>
  <c r="EW160" i="11" s="1"/>
  <c r="EW124" i="1" s="1"/>
  <c r="EW112" i="11"/>
  <c r="ET45" i="1"/>
  <c r="ET19" i="11"/>
  <c r="AA11" i="19"/>
  <c r="AA29" i="19" s="1"/>
  <c r="AA143" i="19"/>
  <c r="EU130" i="11"/>
  <c r="EL110" i="1"/>
  <c r="EM106" i="1" s="1"/>
  <c r="EL99" i="1"/>
  <c r="CL11" i="19"/>
  <c r="CL29" i="19" s="1"/>
  <c r="CL35" i="19" s="1"/>
  <c r="CM125" i="19"/>
  <c r="CM137" i="19" s="1"/>
  <c r="CL143" i="19"/>
  <c r="AB201" i="19"/>
  <c r="AB213" i="19" s="1"/>
  <c r="CO213" i="19"/>
  <c r="EW60" i="11"/>
  <c r="EW79" i="11"/>
  <c r="EW157" i="11" s="1"/>
  <c r="CO139" i="19"/>
  <c r="AB127" i="19"/>
  <c r="AB139" i="19" s="1"/>
  <c r="EX9" i="11"/>
  <c r="EX15" i="1"/>
  <c r="EY9" i="1"/>
  <c r="EX29" i="1"/>
  <c r="CO138" i="19"/>
  <c r="AB126" i="19"/>
  <c r="AB138" i="19" s="1"/>
  <c r="CN22" i="19"/>
  <c r="CN290" i="19"/>
  <c r="CO272" i="19"/>
  <c r="EX107" i="11"/>
  <c r="EX80" i="11"/>
  <c r="EX135" i="11"/>
  <c r="EU126" i="1"/>
  <c r="EU163" i="11"/>
  <c r="ES132" i="11"/>
  <c r="ES22" i="11" s="1"/>
  <c r="AT125" i="11"/>
  <c r="EU82" i="1"/>
  <c r="EU85" i="1"/>
  <c r="EU57" i="1"/>
  <c r="EU54" i="1"/>
  <c r="EX94" i="1"/>
  <c r="ER65" i="1"/>
  <c r="ER68" i="1" s="1"/>
  <c r="ES63" i="1" s="1"/>
  <c r="ER48" i="1"/>
  <c r="EV121" i="1"/>
  <c r="AU121" i="1" s="1"/>
  <c r="EV140" i="11"/>
  <c r="CO9" i="19"/>
  <c r="CO27" i="19" s="1"/>
  <c r="CO33" i="19" s="1"/>
  <c r="CO141" i="19"/>
  <c r="CP123" i="19"/>
  <c r="CP135" i="19" s="1"/>
  <c r="ET93" i="1"/>
  <c r="EV159" i="11"/>
  <c r="EV123" i="1" s="1"/>
  <c r="AU123" i="1" s="1"/>
  <c r="AU111" i="11"/>
  <c r="AU159" i="11" s="1"/>
  <c r="AU61" i="11"/>
  <c r="AU89" i="11" s="1"/>
  <c r="EW134" i="11"/>
  <c r="EW161" i="11" s="1"/>
  <c r="EW125" i="1" s="1"/>
  <c r="EW123" i="11"/>
  <c r="AU157" i="11"/>
  <c r="AU82" i="11"/>
  <c r="AB9" i="19"/>
  <c r="AB27" i="19" s="1"/>
  <c r="AB33" i="19" s="1"/>
  <c r="AB141" i="19"/>
  <c r="AU108" i="11"/>
  <c r="AU44" i="11"/>
  <c r="AU47" i="11"/>
  <c r="AU136" i="11"/>
  <c r="EV102" i="11"/>
  <c r="AU101" i="11"/>
  <c r="AU113" i="11" s="1"/>
  <c r="CN18" i="19"/>
  <c r="CN30" i="19" s="1"/>
  <c r="CN36" i="19" s="1"/>
  <c r="CO200" i="19"/>
  <c r="CN218" i="19"/>
  <c r="EU44" i="1"/>
  <c r="CN16" i="19"/>
  <c r="CO198" i="19"/>
  <c r="CN216" i="19"/>
  <c r="EU50" i="19"/>
  <c r="EU23" i="15"/>
  <c r="EU91" i="15"/>
  <c r="EU25" i="15"/>
  <c r="EU26" i="15"/>
  <c r="AH44" i="7"/>
  <c r="AH44" i="25"/>
  <c r="CN23" i="19"/>
  <c r="CO273" i="19"/>
  <c r="CN291" i="19"/>
  <c r="CN17" i="19"/>
  <c r="CN217" i="19"/>
  <c r="CO199" i="19"/>
  <c r="CP21" i="19"/>
  <c r="CQ271" i="19"/>
  <c r="CQ283" i="19" s="1"/>
  <c r="CP289" i="19"/>
  <c r="CL10" i="19"/>
  <c r="CL28" i="19" s="1"/>
  <c r="CL34" i="19" s="1"/>
  <c r="CM124" i="19"/>
  <c r="CM136" i="19" s="1"/>
  <c r="CL142" i="19"/>
  <c r="EU58" i="19"/>
  <c r="EU34" i="15"/>
  <c r="EU92" i="15"/>
  <c r="EU36" i="15"/>
  <c r="EU37" i="15"/>
  <c r="AB275" i="19"/>
  <c r="AB287" i="19" s="1"/>
  <c r="CO287" i="19"/>
  <c r="EW64" i="1"/>
  <c r="CP15" i="19"/>
  <c r="CQ197" i="19"/>
  <c r="CQ209" i="19" s="1"/>
  <c r="CP215" i="19"/>
  <c r="EW39" i="11"/>
  <c r="EV62" i="11"/>
  <c r="EU42" i="19"/>
  <c r="EU66" i="19" s="1"/>
  <c r="EU12" i="15"/>
  <c r="EU40" i="15"/>
  <c r="EU90" i="15"/>
  <c r="EU15" i="15"/>
  <c r="EU14" i="15"/>
  <c r="CN24" i="19"/>
  <c r="CO274" i="19"/>
  <c r="CN292" i="19"/>
  <c r="AA10" i="19"/>
  <c r="AA28" i="19" s="1"/>
  <c r="AA142" i="19"/>
  <c r="EX97" i="11" l="1"/>
  <c r="EX106" i="11"/>
  <c r="EX160" i="11" s="1"/>
  <c r="EX124" i="1" s="1"/>
  <c r="EX112" i="11"/>
  <c r="CO284" i="19"/>
  <c r="AB272" i="19"/>
  <c r="AB284" i="19" s="1"/>
  <c r="AB19" i="19"/>
  <c r="AB219" i="19"/>
  <c r="AB274" i="19"/>
  <c r="AB286" i="19" s="1"/>
  <c r="CO286" i="19"/>
  <c r="AT145" i="11"/>
  <c r="AT132" i="11"/>
  <c r="EW98" i="11"/>
  <c r="AB273" i="19"/>
  <c r="AB285" i="19" s="1"/>
  <c r="CO285" i="19"/>
  <c r="EW124" i="11"/>
  <c r="EW101" i="11"/>
  <c r="EW111" i="11"/>
  <c r="EW159" i="11" s="1"/>
  <c r="EW123" i="1" s="1"/>
  <c r="CO210" i="19"/>
  <c r="AB198" i="19"/>
  <c r="AB210" i="19" s="1"/>
  <c r="EV104" i="11"/>
  <c r="EV21" i="11" s="1"/>
  <c r="AU102" i="11"/>
  <c r="ES45" i="1"/>
  <c r="ES19" i="11"/>
  <c r="AT22" i="11"/>
  <c r="AT19" i="11" s="1"/>
  <c r="AB13" i="19"/>
  <c r="AB145" i="19"/>
  <c r="CM11" i="19"/>
  <c r="CM29" i="19" s="1"/>
  <c r="CM35" i="19" s="1"/>
  <c r="CM143" i="19"/>
  <c r="CN125" i="19"/>
  <c r="CN137" i="19" s="1"/>
  <c r="AA35" i="19"/>
  <c r="FD7" i="7"/>
  <c r="ER71" i="1"/>
  <c r="EY14" i="1"/>
  <c r="EY97" i="1"/>
  <c r="EY98" i="1"/>
  <c r="EV40" i="11"/>
  <c r="AU62" i="11"/>
  <c r="AU90" i="11" s="1"/>
  <c r="EV67" i="11"/>
  <c r="CO211" i="19"/>
  <c r="AB199" i="19"/>
  <c r="AB211" i="19" s="1"/>
  <c r="EV129" i="11"/>
  <c r="EV139" i="11"/>
  <c r="AU140" i="11"/>
  <c r="EU144" i="11"/>
  <c r="EU127" i="1"/>
  <c r="AB12" i="19"/>
  <c r="AB144" i="19"/>
  <c r="CO13" i="19"/>
  <c r="CP127" i="19"/>
  <c r="CP139" i="19" s="1"/>
  <c r="CO145" i="19"/>
  <c r="CP9" i="19"/>
  <c r="CP27" i="19" s="1"/>
  <c r="CP33" i="19" s="1"/>
  <c r="CQ123" i="19"/>
  <c r="CQ135" i="19" s="1"/>
  <c r="CP141" i="19"/>
  <c r="CO19" i="19"/>
  <c r="CP201" i="19"/>
  <c r="CP213" i="19" s="1"/>
  <c r="CO219" i="19"/>
  <c r="CQ21" i="19"/>
  <c r="CR271" i="19"/>
  <c r="CQ289" i="19"/>
  <c r="EU63" i="19"/>
  <c r="EV29" i="15"/>
  <c r="EU83" i="1"/>
  <c r="CO12" i="19"/>
  <c r="CO144" i="19"/>
  <c r="CP126" i="19"/>
  <c r="CP138" i="19" s="1"/>
  <c r="ET84" i="1"/>
  <c r="ET42" i="1"/>
  <c r="EU46" i="11"/>
  <c r="EX134" i="11"/>
  <c r="EX161" i="11" s="1"/>
  <c r="EX125" i="1" s="1"/>
  <c r="EX123" i="11"/>
  <c r="EW121" i="1"/>
  <c r="EW140" i="11"/>
  <c r="EM110" i="1"/>
  <c r="EN106" i="1" s="1"/>
  <c r="EM99" i="1"/>
  <c r="EU48" i="15"/>
  <c r="EU47" i="15"/>
  <c r="CQ15" i="19"/>
  <c r="CR197" i="19"/>
  <c r="CQ215" i="19"/>
  <c r="CO25" i="19"/>
  <c r="CP275" i="19"/>
  <c r="CP287" i="19" s="1"/>
  <c r="CO293" i="19"/>
  <c r="CM10" i="19"/>
  <c r="CM28" i="19" s="1"/>
  <c r="CM34" i="19" s="1"/>
  <c r="CN124" i="19"/>
  <c r="CN136" i="19" s="1"/>
  <c r="CM142" i="19"/>
  <c r="EX38" i="11"/>
  <c r="EX28" i="1"/>
  <c r="AA34" i="19"/>
  <c r="FD6" i="7"/>
  <c r="FD10" i="7" s="1"/>
  <c r="EU47" i="19"/>
  <c r="EU45" i="15"/>
  <c r="EV7" i="15"/>
  <c r="AB25" i="19"/>
  <c r="AB293" i="19"/>
  <c r="EU55" i="19"/>
  <c r="EV18" i="15"/>
  <c r="AB200" i="19"/>
  <c r="AB212" i="19" s="1"/>
  <c r="CO212" i="19"/>
  <c r="EX60" i="11"/>
  <c r="EX79" i="11"/>
  <c r="EX157" i="11" s="1"/>
  <c r="EW61" i="11"/>
  <c r="EW62" i="11"/>
  <c r="EW67" i="11" s="1"/>
  <c r="EU33" i="1"/>
  <c r="EU55" i="1"/>
  <c r="EU39" i="1"/>
  <c r="EW20" i="11" l="1"/>
  <c r="EW92" i="11"/>
  <c r="EU81" i="1"/>
  <c r="EU37" i="1"/>
  <c r="EU38" i="1"/>
  <c r="EY9" i="11"/>
  <c r="EY15" i="1"/>
  <c r="EZ9" i="1"/>
  <c r="EY29" i="1"/>
  <c r="AU118" i="11"/>
  <c r="AU104" i="11"/>
  <c r="CO18" i="19"/>
  <c r="CP200" i="19"/>
  <c r="CP212" i="19" s="1"/>
  <c r="CO218" i="19"/>
  <c r="EU71" i="19"/>
  <c r="CR209" i="19"/>
  <c r="AC197" i="19"/>
  <c r="AC209" i="19" s="1"/>
  <c r="EV58" i="19"/>
  <c r="EV34" i="15"/>
  <c r="EV36" i="15"/>
  <c r="EV37" i="15"/>
  <c r="EV92" i="15"/>
  <c r="EU100" i="1"/>
  <c r="EU101" i="1"/>
  <c r="EY10" i="11"/>
  <c r="EV44" i="1"/>
  <c r="AU21" i="11"/>
  <c r="AB22" i="19"/>
  <c r="AB290" i="19"/>
  <c r="EW129" i="11"/>
  <c r="EW139" i="11"/>
  <c r="EW162" i="11" s="1"/>
  <c r="CO17" i="19"/>
  <c r="CP199" i="19"/>
  <c r="CP211" i="19" s="1"/>
  <c r="CO217" i="19"/>
  <c r="EX124" i="11"/>
  <c r="CQ9" i="19"/>
  <c r="CQ27" i="19" s="1"/>
  <c r="CQ33" i="19" s="1"/>
  <c r="CR123" i="19"/>
  <c r="CQ141" i="19"/>
  <c r="EU125" i="11"/>
  <c r="CO22" i="19"/>
  <c r="CP272" i="19"/>
  <c r="CP284" i="19" s="1"/>
  <c r="CO290" i="19"/>
  <c r="EW102" i="11"/>
  <c r="EW40" i="11"/>
  <c r="AB18" i="19"/>
  <c r="AB30" i="19" s="1"/>
  <c r="AB218" i="19"/>
  <c r="CP12" i="19"/>
  <c r="CQ126" i="19"/>
  <c r="CQ138" i="19" s="1"/>
  <c r="CP144" i="19"/>
  <c r="EV50" i="19"/>
  <c r="EV23" i="15"/>
  <c r="EV25" i="15"/>
  <c r="EV91" i="15"/>
  <c r="EV26" i="15"/>
  <c r="CN10" i="19"/>
  <c r="CN28" i="19" s="1"/>
  <c r="CN34" i="19" s="1"/>
  <c r="CO124" i="19"/>
  <c r="CN142" i="19"/>
  <c r="EV20" i="11"/>
  <c r="EV92" i="11"/>
  <c r="AU67" i="11"/>
  <c r="AU92" i="11" s="1"/>
  <c r="AB31" i="19"/>
  <c r="CO24" i="19"/>
  <c r="CO30" i="19" s="1"/>
  <c r="CO36" i="19" s="1"/>
  <c r="CP274" i="19"/>
  <c r="CP286" i="19" s="1"/>
  <c r="CO292" i="19"/>
  <c r="EX101" i="11"/>
  <c r="EX102" i="11" s="1"/>
  <c r="EX111" i="11"/>
  <c r="EX159" i="11" s="1"/>
  <c r="EX123" i="1" s="1"/>
  <c r="CR283" i="19"/>
  <c r="AC271" i="19"/>
  <c r="AC283" i="19" s="1"/>
  <c r="ER91" i="1"/>
  <c r="ER102" i="1"/>
  <c r="ER90" i="1"/>
  <c r="AB16" i="19"/>
  <c r="AB216" i="19"/>
  <c r="CO23" i="19"/>
  <c r="CP273" i="19"/>
  <c r="CP285" i="19" s="1"/>
  <c r="CO291" i="19"/>
  <c r="AB24" i="19"/>
  <c r="AB292" i="19"/>
  <c r="CP13" i="19"/>
  <c r="CQ127" i="19"/>
  <c r="CQ139" i="19" s="1"/>
  <c r="CP145" i="19"/>
  <c r="AU139" i="11"/>
  <c r="EV162" i="11"/>
  <c r="EV45" i="11"/>
  <c r="EV41" i="11"/>
  <c r="AU40" i="11"/>
  <c r="AU45" i="11" s="1"/>
  <c r="CO16" i="19"/>
  <c r="CP198" i="19"/>
  <c r="CP210" i="19" s="1"/>
  <c r="CO216" i="19"/>
  <c r="AB23" i="19"/>
  <c r="AB291" i="19"/>
  <c r="EX98" i="11"/>
  <c r="EX104" i="11"/>
  <c r="EX21" i="11" s="1"/>
  <c r="EX44" i="1" s="1"/>
  <c r="EX83" i="1" s="1"/>
  <c r="EX121" i="1"/>
  <c r="EX140" i="11"/>
  <c r="EX64" i="1"/>
  <c r="EX61" i="11"/>
  <c r="CP25" i="19"/>
  <c r="CQ275" i="19"/>
  <c r="CQ287" i="19" s="1"/>
  <c r="CP293" i="19"/>
  <c r="EN110" i="1"/>
  <c r="EO106" i="1" s="1"/>
  <c r="EN99" i="1"/>
  <c r="CO31" i="19"/>
  <c r="CO37" i="19" s="1"/>
  <c r="EV130" i="11"/>
  <c r="AU129" i="11"/>
  <c r="AU141" i="11" s="1"/>
  <c r="ES84" i="1"/>
  <c r="ES42" i="1"/>
  <c r="AT45" i="1"/>
  <c r="AT84" i="1" s="1"/>
  <c r="EW104" i="11"/>
  <c r="EW21" i="11" s="1"/>
  <c r="EV42" i="19"/>
  <c r="EV66" i="19" s="1"/>
  <c r="EV12" i="15"/>
  <c r="EV40" i="15"/>
  <c r="EV15" i="15"/>
  <c r="EV14" i="15"/>
  <c r="EV90" i="15"/>
  <c r="EX39" i="11"/>
  <c r="ET65" i="1"/>
  <c r="ET48" i="1"/>
  <c r="CP19" i="19"/>
  <c r="CQ201" i="19"/>
  <c r="CQ213" i="19" s="1"/>
  <c r="CP219" i="19"/>
  <c r="AB17" i="19"/>
  <c r="AB217" i="19"/>
  <c r="CN11" i="19"/>
  <c r="CN29" i="19" s="1"/>
  <c r="CN35" i="19" s="1"/>
  <c r="CO125" i="19"/>
  <c r="CN143" i="19"/>
  <c r="AB36" i="19" l="1"/>
  <c r="FE8" i="7"/>
  <c r="EV126" i="1"/>
  <c r="AU126" i="1" s="1"/>
  <c r="AU127" i="1" s="1"/>
  <c r="EV163" i="11"/>
  <c r="CP23" i="19"/>
  <c r="CP291" i="19"/>
  <c r="CQ273" i="19"/>
  <c r="CQ285" i="19" s="1"/>
  <c r="CQ12" i="19"/>
  <c r="CR126" i="19"/>
  <c r="CQ144" i="19"/>
  <c r="CR135" i="19"/>
  <c r="AC123" i="19"/>
  <c r="AC135" i="19" s="1"/>
  <c r="EW130" i="11"/>
  <c r="CR15" i="19"/>
  <c r="CS197" i="19"/>
  <c r="CS209" i="19" s="1"/>
  <c r="CR215" i="19"/>
  <c r="EY38" i="11"/>
  <c r="EY28" i="1"/>
  <c r="AV29" i="1"/>
  <c r="EU92" i="1"/>
  <c r="AB125" i="19"/>
  <c r="AB137" i="19" s="1"/>
  <c r="CO137" i="19"/>
  <c r="AC21" i="19"/>
  <c r="AC289" i="19"/>
  <c r="CP22" i="19"/>
  <c r="CQ272" i="19"/>
  <c r="CQ284" i="19" s="1"/>
  <c r="CP290" i="19"/>
  <c r="EZ10" i="11"/>
  <c r="AW9" i="1"/>
  <c r="AW14" i="1" s="1"/>
  <c r="EZ14" i="1"/>
  <c r="EZ97" i="1"/>
  <c r="EZ98" i="1"/>
  <c r="AU130" i="11"/>
  <c r="AU149" i="11" s="1"/>
  <c r="EX129" i="11"/>
  <c r="EX130" i="11" s="1"/>
  <c r="EX139" i="11"/>
  <c r="EX162" i="11" s="1"/>
  <c r="CP16" i="19"/>
  <c r="CQ198" i="19"/>
  <c r="CQ210" i="19" s="1"/>
  <c r="CP216" i="19"/>
  <c r="CR21" i="19"/>
  <c r="CR289" i="19"/>
  <c r="CS271" i="19"/>
  <c r="CS283" i="19" s="1"/>
  <c r="AB37" i="19"/>
  <c r="FE9" i="7"/>
  <c r="EV47" i="15"/>
  <c r="EV48" i="15"/>
  <c r="CP24" i="19"/>
  <c r="CP292" i="19"/>
  <c r="CQ274" i="19"/>
  <c r="CQ286" i="19" s="1"/>
  <c r="EW126" i="1"/>
  <c r="EW163" i="11"/>
  <c r="EV47" i="19"/>
  <c r="EW7" i="15"/>
  <c r="EV45" i="15"/>
  <c r="AU162" i="11"/>
  <c r="AU163" i="11" s="1"/>
  <c r="AU142" i="11"/>
  <c r="EW44" i="1"/>
  <c r="EX62" i="11"/>
  <c r="CQ13" i="19"/>
  <c r="CR127" i="19"/>
  <c r="CQ145" i="19"/>
  <c r="CP18" i="19"/>
  <c r="CP30" i="19" s="1"/>
  <c r="CP36" i="19" s="1"/>
  <c r="CQ200" i="19"/>
  <c r="CQ212" i="19" s="1"/>
  <c r="CP218" i="19"/>
  <c r="ET71" i="1"/>
  <c r="AC15" i="19"/>
  <c r="AC215" i="19"/>
  <c r="CP31" i="19"/>
  <c r="CP37" i="19" s="1"/>
  <c r="EV55" i="19"/>
  <c r="EW18" i="15"/>
  <c r="CQ25" i="19"/>
  <c r="CR275" i="19"/>
  <c r="CQ293" i="19"/>
  <c r="EY80" i="11"/>
  <c r="EY107" i="11"/>
  <c r="EY135" i="11"/>
  <c r="AV10" i="11"/>
  <c r="EO110" i="1"/>
  <c r="EP106" i="1" s="1"/>
  <c r="EO99" i="1"/>
  <c r="EV43" i="1"/>
  <c r="AU20" i="11"/>
  <c r="EW45" i="11"/>
  <c r="EW41" i="11"/>
  <c r="CP17" i="19"/>
  <c r="CQ199" i="19"/>
  <c r="CQ211" i="19" s="1"/>
  <c r="CP217" i="19"/>
  <c r="EV63" i="19"/>
  <c r="EW29" i="15"/>
  <c r="EW43" i="1"/>
  <c r="AB124" i="19"/>
  <c r="AB136" i="19" s="1"/>
  <c r="CO136" i="19"/>
  <c r="CQ19" i="19"/>
  <c r="CR201" i="19"/>
  <c r="CQ219" i="19"/>
  <c r="ES65" i="1"/>
  <c r="ES48" i="1"/>
  <c r="AT48" i="1" s="1"/>
  <c r="AT42" i="1"/>
  <c r="EV16" i="11"/>
  <c r="EV34" i="1" s="1"/>
  <c r="EV42" i="11"/>
  <c r="AU41" i="11"/>
  <c r="AU16" i="11" s="1"/>
  <c r="EU132" i="11"/>
  <c r="EU22" i="11" s="1"/>
  <c r="EV83" i="1"/>
  <c r="AU44" i="1"/>
  <c r="AU83" i="1" s="1"/>
  <c r="EW42" i="19" l="1"/>
  <c r="AV7" i="15"/>
  <c r="EW12" i="15"/>
  <c r="EW40" i="15"/>
  <c r="EW90" i="15"/>
  <c r="EW15" i="15"/>
  <c r="EW14" i="15"/>
  <c r="AU100" i="1"/>
  <c r="AU101" i="1"/>
  <c r="EV33" i="1"/>
  <c r="EV55" i="1"/>
  <c r="EV39" i="1"/>
  <c r="AU34" i="1"/>
  <c r="CO10" i="19"/>
  <c r="CO28" i="19" s="1"/>
  <c r="CO34" i="19" s="1"/>
  <c r="CP124" i="19"/>
  <c r="CP136" i="19" s="1"/>
  <c r="CO142" i="19"/>
  <c r="CQ17" i="19"/>
  <c r="CR199" i="19"/>
  <c r="CQ217" i="19"/>
  <c r="EV71" i="19"/>
  <c r="EX126" i="1"/>
  <c r="EX163" i="11"/>
  <c r="EZ80" i="11"/>
  <c r="EZ107" i="11"/>
  <c r="EZ135" i="11"/>
  <c r="AB11" i="19"/>
  <c r="AB29" i="19" s="1"/>
  <c r="AB143" i="19"/>
  <c r="EY39" i="11"/>
  <c r="AV38" i="11"/>
  <c r="AB10" i="19"/>
  <c r="AB28" i="19" s="1"/>
  <c r="AB142" i="19"/>
  <c r="EP110" i="1"/>
  <c r="EQ106" i="1" s="1"/>
  <c r="EP99" i="1"/>
  <c r="EW50" i="19"/>
  <c r="AV50" i="19" s="1"/>
  <c r="AV55" i="19" s="1"/>
  <c r="AV18" i="15"/>
  <c r="EW23" i="15"/>
  <c r="EW25" i="15"/>
  <c r="EW91" i="15"/>
  <c r="EW26" i="15"/>
  <c r="CQ18" i="19"/>
  <c r="CR200" i="19"/>
  <c r="CQ218" i="19"/>
  <c r="EW144" i="11"/>
  <c r="EW127" i="1"/>
  <c r="CR138" i="19"/>
  <c r="AC126" i="19"/>
  <c r="AC138" i="19" s="1"/>
  <c r="CQ22" i="19"/>
  <c r="CQ290" i="19"/>
  <c r="CR272" i="19"/>
  <c r="CS15" i="19"/>
  <c r="CT197" i="19"/>
  <c r="CT209" i="19" s="1"/>
  <c r="CS215" i="19"/>
  <c r="CQ30" i="19"/>
  <c r="CQ36" i="19" s="1"/>
  <c r="EV46" i="11"/>
  <c r="AU42" i="11"/>
  <c r="AU46" i="11" s="1"/>
  <c r="EX40" i="11"/>
  <c r="EX67" i="11"/>
  <c r="CO11" i="19"/>
  <c r="CO29" i="19" s="1"/>
  <c r="CO35" i="19" s="1"/>
  <c r="CP125" i="19"/>
  <c r="CP137" i="19" s="1"/>
  <c r="CO143" i="19"/>
  <c r="AV109" i="11"/>
  <c r="ES71" i="1"/>
  <c r="ES68" i="1"/>
  <c r="ET63" i="1" s="1"/>
  <c r="AT65" i="1"/>
  <c r="EY123" i="11"/>
  <c r="EY134" i="11"/>
  <c r="AV135" i="11"/>
  <c r="AV137" i="11" s="1"/>
  <c r="CQ24" i="19"/>
  <c r="CR274" i="19"/>
  <c r="CQ292" i="19"/>
  <c r="EU93" i="1"/>
  <c r="CQ23" i="19"/>
  <c r="CQ291" i="19"/>
  <c r="CR273" i="19"/>
  <c r="EW16" i="11"/>
  <c r="EW34" i="1" s="1"/>
  <c r="EW42" i="11"/>
  <c r="EU45" i="1"/>
  <c r="EU19" i="11"/>
  <c r="EY97" i="11"/>
  <c r="EY106" i="11"/>
  <c r="EY112" i="11"/>
  <c r="AV107" i="11"/>
  <c r="AC275" i="19"/>
  <c r="AC287" i="19" s="1"/>
  <c r="CR287" i="19"/>
  <c r="AW9" i="11"/>
  <c r="AW15" i="1"/>
  <c r="AW113" i="1"/>
  <c r="CR9" i="19"/>
  <c r="CR27" i="19" s="1"/>
  <c r="CR33" i="19" s="1"/>
  <c r="CS123" i="19"/>
  <c r="CS135" i="19" s="1"/>
  <c r="CR141" i="19"/>
  <c r="EW82" i="1"/>
  <c r="EW85" i="1"/>
  <c r="EW57" i="1"/>
  <c r="EW54" i="1"/>
  <c r="EZ94" i="1"/>
  <c r="EW83" i="1"/>
  <c r="CS21" i="19"/>
  <c r="CS289" i="19"/>
  <c r="CT271" i="19"/>
  <c r="CT283" i="19" s="1"/>
  <c r="EW58" i="19"/>
  <c r="AV58" i="19" s="1"/>
  <c r="AV63" i="19" s="1"/>
  <c r="AV29" i="15"/>
  <c r="EW34" i="15"/>
  <c r="EW92" i="15"/>
  <c r="EW36" i="15"/>
  <c r="EW37" i="15"/>
  <c r="EY60" i="11"/>
  <c r="EY79" i="11"/>
  <c r="AV80" i="11"/>
  <c r="AC127" i="19"/>
  <c r="AC139" i="19" s="1"/>
  <c r="CR139" i="19"/>
  <c r="AV52" i="1"/>
  <c r="AC201" i="19"/>
  <c r="AC213" i="19" s="1"/>
  <c r="CR213" i="19"/>
  <c r="EV82" i="1"/>
  <c r="EV85" i="1"/>
  <c r="EV57" i="1"/>
  <c r="EV54" i="1"/>
  <c r="EY94" i="1"/>
  <c r="AU43" i="1"/>
  <c r="ET102" i="1"/>
  <c r="ET91" i="1"/>
  <c r="ET90" i="1"/>
  <c r="CQ31" i="19"/>
  <c r="CQ37" i="19" s="1"/>
  <c r="CQ16" i="19"/>
  <c r="CR198" i="19"/>
  <c r="CQ216" i="19"/>
  <c r="EZ9" i="11"/>
  <c r="EZ15" i="1"/>
  <c r="EZ29" i="1"/>
  <c r="FA9" i="1"/>
  <c r="EY64" i="1"/>
  <c r="AV28" i="1"/>
  <c r="AC9" i="19"/>
  <c r="AC27" i="19" s="1"/>
  <c r="AC33" i="19" s="1"/>
  <c r="AC141" i="19"/>
  <c r="EV144" i="11"/>
  <c r="EV127" i="1"/>
  <c r="EW100" i="1" l="1"/>
  <c r="EW101" i="1"/>
  <c r="EW55" i="19"/>
  <c r="EX18" i="15"/>
  <c r="AV39" i="11"/>
  <c r="EX144" i="11"/>
  <c r="EX125" i="11" s="1"/>
  <c r="EX132" i="11" s="1"/>
  <c r="EX22" i="11" s="1"/>
  <c r="EX45" i="1" s="1"/>
  <c r="EX84" i="1" s="1"/>
  <c r="EX127" i="1"/>
  <c r="CP11" i="19"/>
  <c r="CP29" i="19" s="1"/>
  <c r="CP35" i="19" s="1"/>
  <c r="CQ125" i="19"/>
  <c r="CQ137" i="19" s="1"/>
  <c r="CP143" i="19"/>
  <c r="CR25" i="19"/>
  <c r="CR293" i="19"/>
  <c r="CS275" i="19"/>
  <c r="CS287" i="19" s="1"/>
  <c r="EZ38" i="11"/>
  <c r="EZ28" i="1"/>
  <c r="CR13" i="19"/>
  <c r="CS127" i="19"/>
  <c r="CS139" i="19" s="1"/>
  <c r="CR145" i="19"/>
  <c r="AC25" i="19"/>
  <c r="AC293" i="19"/>
  <c r="EU84" i="1"/>
  <c r="EU42" i="1"/>
  <c r="AT75" i="1"/>
  <c r="AT68" i="1"/>
  <c r="EX20" i="11"/>
  <c r="EX92" i="11"/>
  <c r="CT15" i="19"/>
  <c r="CU197" i="19"/>
  <c r="G209" i="19"/>
  <c r="CT215" i="19"/>
  <c r="EW125" i="11"/>
  <c r="AV23" i="15"/>
  <c r="AV91" i="15"/>
  <c r="AU55" i="1"/>
  <c r="AU39" i="1"/>
  <c r="CR12" i="19"/>
  <c r="CS126" i="19"/>
  <c r="CS138" i="19" s="1"/>
  <c r="CR144" i="19"/>
  <c r="ET68" i="1"/>
  <c r="EU63" i="1" s="1"/>
  <c r="AU63" i="1"/>
  <c r="AC13" i="19"/>
  <c r="AC145" i="19"/>
  <c r="CS9" i="19"/>
  <c r="CS27" i="19" s="1"/>
  <c r="CS33" i="19" s="1"/>
  <c r="CT123" i="19"/>
  <c r="CT135" i="19" s="1"/>
  <c r="CS141" i="19"/>
  <c r="EW46" i="11"/>
  <c r="AV34" i="15"/>
  <c r="AV92" i="15"/>
  <c r="AC274" i="19"/>
  <c r="AC286" i="19" s="1"/>
  <c r="CR286" i="19"/>
  <c r="ES91" i="1"/>
  <c r="ES102" i="1"/>
  <c r="ES90" i="1"/>
  <c r="AT71" i="1"/>
  <c r="EX45" i="11"/>
  <c r="EX41" i="11"/>
  <c r="AC272" i="19"/>
  <c r="AC284" i="19" s="1"/>
  <c r="CR284" i="19"/>
  <c r="AC200" i="19"/>
  <c r="AC212" i="19" s="1"/>
  <c r="CR212" i="19"/>
  <c r="AB35" i="19"/>
  <c r="FE7" i="7"/>
  <c r="AV40" i="15"/>
  <c r="AV45" i="15" s="1"/>
  <c r="EW47" i="15"/>
  <c r="EW48" i="15"/>
  <c r="FA10" i="11"/>
  <c r="FA14" i="1"/>
  <c r="FA97" i="1"/>
  <c r="FA98" i="1"/>
  <c r="AV64" i="1"/>
  <c r="AV74" i="1" s="1"/>
  <c r="CR19" i="19"/>
  <c r="CS201" i="19"/>
  <c r="CS213" i="19" s="1"/>
  <c r="CR219" i="19"/>
  <c r="AV79" i="11"/>
  <c r="EY157" i="11"/>
  <c r="EY101" i="11"/>
  <c r="EY111" i="11"/>
  <c r="AV112" i="11"/>
  <c r="AV114" i="11" s="1"/>
  <c r="EW33" i="1"/>
  <c r="EW55" i="1"/>
  <c r="EW39" i="1"/>
  <c r="EQ110" i="1"/>
  <c r="ER106" i="1" s="1"/>
  <c r="EQ99" i="1"/>
  <c r="EZ134" i="11"/>
  <c r="EZ161" i="11" s="1"/>
  <c r="EZ125" i="1" s="1"/>
  <c r="EZ123" i="11"/>
  <c r="AC199" i="19"/>
  <c r="AC211" i="19" s="1"/>
  <c r="CR211" i="19"/>
  <c r="EW47" i="19"/>
  <c r="EX7" i="15"/>
  <c r="EW45" i="15"/>
  <c r="EY124" i="11"/>
  <c r="AV124" i="11" s="1"/>
  <c r="AV148" i="11" s="1"/>
  <c r="AV123" i="11"/>
  <c r="CP10" i="19"/>
  <c r="CP28" i="19" s="1"/>
  <c r="CP34" i="19" s="1"/>
  <c r="CQ124" i="19"/>
  <c r="CQ136" i="19" s="1"/>
  <c r="CP142" i="19"/>
  <c r="EW63" i="19"/>
  <c r="EX29" i="15"/>
  <c r="AU82" i="1"/>
  <c r="AU85" i="1"/>
  <c r="AU57" i="1"/>
  <c r="AU54" i="1"/>
  <c r="AV94" i="1"/>
  <c r="EY61" i="11"/>
  <c r="AV61" i="11" s="1"/>
  <c r="AV60" i="11"/>
  <c r="AV81" i="11" s="1"/>
  <c r="AV106" i="11"/>
  <c r="AV160" i="11" s="1"/>
  <c r="EY160" i="11"/>
  <c r="EY124" i="1" s="1"/>
  <c r="AV124" i="1" s="1"/>
  <c r="EZ106" i="11"/>
  <c r="EZ160" i="11" s="1"/>
  <c r="EZ124" i="1" s="1"/>
  <c r="EZ97" i="11"/>
  <c r="EZ112" i="11"/>
  <c r="EV81" i="1"/>
  <c r="EV38" i="1"/>
  <c r="EV37" i="1"/>
  <c r="AU33" i="1"/>
  <c r="AV12" i="15"/>
  <c r="AV90" i="15"/>
  <c r="EV125" i="11"/>
  <c r="AU144" i="11"/>
  <c r="AC19" i="19"/>
  <c r="AC219" i="19"/>
  <c r="CT21" i="19"/>
  <c r="CT289" i="19"/>
  <c r="CU271" i="19"/>
  <c r="G283" i="19"/>
  <c r="AC273" i="19"/>
  <c r="AC285" i="19" s="1"/>
  <c r="CR285" i="19"/>
  <c r="EV100" i="1"/>
  <c r="EV101" i="1"/>
  <c r="CR210" i="19"/>
  <c r="AC198" i="19"/>
  <c r="AC210" i="19" s="1"/>
  <c r="EY98" i="11"/>
  <c r="AV98" i="11" s="1"/>
  <c r="AV97" i="11"/>
  <c r="AV134" i="11"/>
  <c r="AV161" i="11" s="1"/>
  <c r="EY161" i="11"/>
  <c r="EY125" i="1" s="1"/>
  <c r="AV125" i="1" s="1"/>
  <c r="AC12" i="19"/>
  <c r="AC144" i="19"/>
  <c r="AB34" i="19"/>
  <c r="FE6" i="7"/>
  <c r="FE10" i="7" s="1"/>
  <c r="EZ60" i="11"/>
  <c r="EZ79" i="11"/>
  <c r="EZ157" i="11" s="1"/>
  <c r="AV42" i="19"/>
  <c r="AV47" i="19" s="1"/>
  <c r="EW66" i="19"/>
  <c r="AV66" i="19" s="1"/>
  <c r="AV71" i="19" s="1"/>
  <c r="EX100" i="1" l="1"/>
  <c r="EX101" i="1"/>
  <c r="CR16" i="19"/>
  <c r="CS198" i="19"/>
  <c r="CS210" i="19" s="1"/>
  <c r="CR216" i="19"/>
  <c r="EV132" i="11"/>
  <c r="EV22" i="11" s="1"/>
  <c r="AU125" i="11"/>
  <c r="AV111" i="11"/>
  <c r="AV159" i="11" s="1"/>
  <c r="EY159" i="11"/>
  <c r="EY123" i="1" s="1"/>
  <c r="AV123" i="1" s="1"/>
  <c r="EZ39" i="11"/>
  <c r="EZ101" i="11"/>
  <c r="EZ111" i="11"/>
  <c r="EZ159" i="11" s="1"/>
  <c r="EZ123" i="1" s="1"/>
  <c r="EY62" i="11"/>
  <c r="EX58" i="19"/>
  <c r="EX34" i="15"/>
  <c r="EX92" i="15"/>
  <c r="EX37" i="15"/>
  <c r="EX36" i="15"/>
  <c r="EY102" i="11"/>
  <c r="AV101" i="11"/>
  <c r="AV113" i="11" s="1"/>
  <c r="EX19" i="11"/>
  <c r="EX43" i="1"/>
  <c r="CS25" i="19"/>
  <c r="CT275" i="19"/>
  <c r="CT287" i="19" s="1"/>
  <c r="CS293" i="19"/>
  <c r="AV47" i="11"/>
  <c r="AV44" i="11"/>
  <c r="EZ124" i="11"/>
  <c r="CS12" i="19"/>
  <c r="CT126" i="19"/>
  <c r="CT138" i="19" s="1"/>
  <c r="CS144" i="19"/>
  <c r="EW132" i="11"/>
  <c r="EW22" i="11" s="1"/>
  <c r="ER110" i="1"/>
  <c r="ES106" i="1" s="1"/>
  <c r="ER99" i="1"/>
  <c r="EY121" i="1"/>
  <c r="AV121" i="1" s="1"/>
  <c r="EY140" i="11"/>
  <c r="CR18" i="19"/>
  <c r="CS200" i="19"/>
  <c r="CS212" i="19" s="1"/>
  <c r="CR218" i="19"/>
  <c r="CR23" i="19"/>
  <c r="CS273" i="19"/>
  <c r="CS285" i="19" s="1"/>
  <c r="CR291" i="19"/>
  <c r="AU81" i="1"/>
  <c r="AU38" i="1"/>
  <c r="AU92" i="1" s="1"/>
  <c r="AU93" i="1" s="1"/>
  <c r="EZ98" i="11"/>
  <c r="EW71" i="19"/>
  <c r="AV157" i="11"/>
  <c r="AV82" i="11"/>
  <c r="FA9" i="11"/>
  <c r="FB9" i="1"/>
  <c r="FA29" i="1"/>
  <c r="FA15" i="1"/>
  <c r="AC18" i="19"/>
  <c r="AC30" i="19" s="1"/>
  <c r="AC218" i="19"/>
  <c r="CT9" i="19"/>
  <c r="CT27" i="19" s="1"/>
  <c r="CT33" i="19" s="1"/>
  <c r="CU123" i="19"/>
  <c r="G135" i="19"/>
  <c r="CT141" i="19"/>
  <c r="CR30" i="19"/>
  <c r="CR36" i="19" s="1"/>
  <c r="CS13" i="19"/>
  <c r="CS31" i="19" s="1"/>
  <c r="CS37" i="19" s="1"/>
  <c r="CT127" i="19"/>
  <c r="CT139" i="19" s="1"/>
  <c r="CS145" i="19"/>
  <c r="EX50" i="19"/>
  <c r="EX23" i="15"/>
  <c r="EX91" i="15"/>
  <c r="EX25" i="15"/>
  <c r="EX26" i="15"/>
  <c r="AC16" i="19"/>
  <c r="AC216" i="19"/>
  <c r="AC23" i="19"/>
  <c r="AC291" i="19"/>
  <c r="CR17" i="19"/>
  <c r="CS199" i="19"/>
  <c r="CS211" i="19" s="1"/>
  <c r="CR217" i="19"/>
  <c r="FA80" i="11"/>
  <c r="FA107" i="11"/>
  <c r="FA135" i="11"/>
  <c r="CR22" i="19"/>
  <c r="CR290" i="19"/>
  <c r="CS272" i="19"/>
  <c r="CS284" i="19" s="1"/>
  <c r="CR24" i="19"/>
  <c r="CS274" i="19"/>
  <c r="CS286" i="19" s="1"/>
  <c r="CR292" i="19"/>
  <c r="G15" i="19"/>
  <c r="G215" i="19"/>
  <c r="CR31" i="19"/>
  <c r="CR37" i="19" s="1"/>
  <c r="AV89" i="11"/>
  <c r="EZ121" i="1"/>
  <c r="EZ140" i="11"/>
  <c r="AU37" i="1"/>
  <c r="EV92" i="1"/>
  <c r="EZ61" i="11"/>
  <c r="EZ62" i="11"/>
  <c r="EZ67" i="11"/>
  <c r="G21" i="19"/>
  <c r="G289" i="19"/>
  <c r="AC17" i="19"/>
  <c r="AC217" i="19"/>
  <c r="CS19" i="19"/>
  <c r="CT201" i="19"/>
  <c r="CT213" i="19" s="1"/>
  <c r="CS219" i="19"/>
  <c r="AC22" i="19"/>
  <c r="AC290" i="19"/>
  <c r="AT91" i="1"/>
  <c r="AT102" i="1"/>
  <c r="AT89" i="1"/>
  <c r="AT90" i="1"/>
  <c r="AC24" i="19"/>
  <c r="AC292" i="19"/>
  <c r="H197" i="19"/>
  <c r="CU209" i="19"/>
  <c r="AD197" i="19"/>
  <c r="AD209" i="19" s="1"/>
  <c r="EZ64" i="1"/>
  <c r="CQ11" i="19"/>
  <c r="CQ29" i="19" s="1"/>
  <c r="CQ35" i="19" s="1"/>
  <c r="CR125" i="19"/>
  <c r="CQ143" i="19"/>
  <c r="EX42" i="19"/>
  <c r="EX12" i="15"/>
  <c r="EX40" i="15"/>
  <c r="EX90" i="15"/>
  <c r="EX15" i="15"/>
  <c r="EX14" i="15"/>
  <c r="AV108" i="11"/>
  <c r="CQ10" i="19"/>
  <c r="CQ28" i="19" s="1"/>
  <c r="CQ34" i="19" s="1"/>
  <c r="CR124" i="19"/>
  <c r="CQ142" i="19"/>
  <c r="AV117" i="11"/>
  <c r="AD271" i="19"/>
  <c r="AD283" i="19" s="1"/>
  <c r="H271" i="19"/>
  <c r="CU283" i="19"/>
  <c r="AV136" i="11"/>
  <c r="EW81" i="1"/>
  <c r="EW38" i="1"/>
  <c r="EW37" i="1"/>
  <c r="EX16" i="11"/>
  <c r="EX34" i="1" s="1"/>
  <c r="EX42" i="11"/>
  <c r="AC31" i="19"/>
  <c r="EU48" i="1"/>
  <c r="EU65" i="1"/>
  <c r="EU68" i="1" s="1"/>
  <c r="EV63" i="1" s="1"/>
  <c r="AC36" i="19" l="1"/>
  <c r="FF8" i="7"/>
  <c r="CU15" i="19"/>
  <c r="CV197" i="19"/>
  <c r="CV209" i="19" s="1"/>
  <c r="CU215" i="19"/>
  <c r="AD21" i="19"/>
  <c r="AD289" i="19"/>
  <c r="CS23" i="19"/>
  <c r="CT273" i="19"/>
  <c r="CT285" i="19" s="1"/>
  <c r="CS291" i="19"/>
  <c r="EX42" i="1"/>
  <c r="EX82" i="1"/>
  <c r="EX85" i="1"/>
  <c r="EX57" i="1"/>
  <c r="EX54" i="1"/>
  <c r="FA94" i="1"/>
  <c r="AU145" i="11"/>
  <c r="AU132" i="11"/>
  <c r="EW92" i="1"/>
  <c r="EW93" i="1" s="1"/>
  <c r="FA134" i="11"/>
  <c r="FA161" i="11" s="1"/>
  <c r="FA125" i="1" s="1"/>
  <c r="FA123" i="11"/>
  <c r="CT13" i="19"/>
  <c r="CU127" i="19"/>
  <c r="CT145" i="19"/>
  <c r="G139" i="19"/>
  <c r="ES110" i="1"/>
  <c r="ET106" i="1" s="1"/>
  <c r="ES99" i="1"/>
  <c r="EY40" i="11"/>
  <c r="AV62" i="11"/>
  <c r="AV90" i="11" s="1"/>
  <c r="EV45" i="1"/>
  <c r="EV19" i="11"/>
  <c r="AU22" i="11"/>
  <c r="AU19" i="11" s="1"/>
  <c r="FA106" i="11"/>
  <c r="FA160" i="11" s="1"/>
  <c r="FA124" i="1" s="1"/>
  <c r="FA112" i="11"/>
  <c r="FA97" i="11"/>
  <c r="EW45" i="1"/>
  <c r="EW19" i="11"/>
  <c r="EU71" i="1"/>
  <c r="EX63" i="19"/>
  <c r="EY29" i="15"/>
  <c r="EX47" i="15"/>
  <c r="EX48" i="15"/>
  <c r="EZ20" i="11"/>
  <c r="EZ92" i="11"/>
  <c r="CS24" i="19"/>
  <c r="CS30" i="19" s="1"/>
  <c r="CS36" i="19" s="1"/>
  <c r="CT274" i="19"/>
  <c r="CT286" i="19" s="1"/>
  <c r="CS292" i="19"/>
  <c r="FA60" i="11"/>
  <c r="FA79" i="11"/>
  <c r="FA157" i="11" s="1"/>
  <c r="CS18" i="19"/>
  <c r="CS218" i="19"/>
  <c r="CT200" i="19"/>
  <c r="CT212" i="19" s="1"/>
  <c r="AV102" i="11"/>
  <c r="EY104" i="11"/>
  <c r="EY21" i="11" s="1"/>
  <c r="CS16" i="19"/>
  <c r="CT198" i="19"/>
  <c r="CT210" i="19" s="1"/>
  <c r="CS216" i="19"/>
  <c r="EX47" i="19"/>
  <c r="EY7" i="15"/>
  <c r="EX45" i="15"/>
  <c r="EX46" i="11"/>
  <c r="EX66" i="19"/>
  <c r="EZ129" i="11"/>
  <c r="EZ139" i="11"/>
  <c r="EZ162" i="11" s="1"/>
  <c r="FA38" i="11"/>
  <c r="FA28" i="1"/>
  <c r="EZ102" i="11"/>
  <c r="CT19" i="19"/>
  <c r="CU201" i="19"/>
  <c r="CT219" i="19"/>
  <c r="G213" i="19"/>
  <c r="EZ40" i="11"/>
  <c r="CS22" i="19"/>
  <c r="CS290" i="19"/>
  <c r="CT272" i="19"/>
  <c r="CT284" i="19" s="1"/>
  <c r="CS17" i="19"/>
  <c r="CT199" i="19"/>
  <c r="CT211" i="19" s="1"/>
  <c r="CS217" i="19"/>
  <c r="G9" i="19"/>
  <c r="G27" i="19" s="1"/>
  <c r="G33" i="19" s="1"/>
  <c r="G141" i="19"/>
  <c r="FB10" i="11"/>
  <c r="FB14" i="1"/>
  <c r="FB97" i="1"/>
  <c r="FB98" i="1"/>
  <c r="CT12" i="19"/>
  <c r="CT144" i="19"/>
  <c r="G138" i="19"/>
  <c r="CU126" i="19"/>
  <c r="CT25" i="19"/>
  <c r="CU275" i="19"/>
  <c r="G287" i="19"/>
  <c r="CT293" i="19"/>
  <c r="EV93" i="1"/>
  <c r="AC37" i="19"/>
  <c r="FF9" i="7"/>
  <c r="AC124" i="19"/>
  <c r="AC136" i="19" s="1"/>
  <c r="CR136" i="19"/>
  <c r="EX33" i="1"/>
  <c r="EX55" i="1"/>
  <c r="EX39" i="1"/>
  <c r="CU21" i="19"/>
  <c r="CV271" i="19"/>
  <c r="CV283" i="19" s="1"/>
  <c r="CU289" i="19"/>
  <c r="CR137" i="19"/>
  <c r="AC125" i="19"/>
  <c r="AC137" i="19" s="1"/>
  <c r="AD15" i="19"/>
  <c r="AD215" i="19"/>
  <c r="EX55" i="19"/>
  <c r="EY18" i="15"/>
  <c r="H123" i="19"/>
  <c r="AD123" i="19"/>
  <c r="AD135" i="19" s="1"/>
  <c r="CU135" i="19"/>
  <c r="EY129" i="11"/>
  <c r="EY139" i="11"/>
  <c r="AV140" i="11"/>
  <c r="EY67" i="11"/>
  <c r="AV118" i="11" l="1"/>
  <c r="AV104" i="11"/>
  <c r="CU9" i="19"/>
  <c r="CU27" i="19" s="1"/>
  <c r="CU33" i="19" s="1"/>
  <c r="CV123" i="19"/>
  <c r="CV135" i="19" s="1"/>
  <c r="CU141" i="19"/>
  <c r="AC11" i="19"/>
  <c r="AC29" i="19" s="1"/>
  <c r="AC143" i="19"/>
  <c r="EX81" i="1"/>
  <c r="EX65" i="1"/>
  <c r="EX71" i="1" s="1"/>
  <c r="EX48" i="1"/>
  <c r="EX37" i="1"/>
  <c r="EX38" i="1"/>
  <c r="CT17" i="19"/>
  <c r="G211" i="19"/>
  <c r="CT217" i="19"/>
  <c r="CU199" i="19"/>
  <c r="CT18" i="19"/>
  <c r="CU200" i="19"/>
  <c r="CT218" i="19"/>
  <c r="G212" i="19"/>
  <c r="CT24" i="19"/>
  <c r="CT30" i="19" s="1"/>
  <c r="CT36" i="19" s="1"/>
  <c r="CU274" i="19"/>
  <c r="G286" i="19"/>
  <c r="CT292" i="19"/>
  <c r="FA98" i="11"/>
  <c r="CV15" i="19"/>
  <c r="CV215" i="19"/>
  <c r="CW197" i="19"/>
  <c r="CW209" i="19" s="1"/>
  <c r="FA101" i="11"/>
  <c r="FA111" i="11"/>
  <c r="FA159" i="11" s="1"/>
  <c r="FA123" i="1" s="1"/>
  <c r="ET110" i="1"/>
  <c r="EU106" i="1" s="1"/>
  <c r="ET99" i="1"/>
  <c r="AD9" i="19"/>
  <c r="AD27" i="19" s="1"/>
  <c r="AD33" i="19" s="1"/>
  <c r="AD141" i="19"/>
  <c r="FA39" i="11"/>
  <c r="EZ126" i="1"/>
  <c r="EZ163" i="11"/>
  <c r="EX71" i="19"/>
  <c r="G13" i="19"/>
  <c r="G145" i="19"/>
  <c r="H91" i="19" s="1"/>
  <c r="G19" i="19"/>
  <c r="G219" i="19"/>
  <c r="H165" i="19" s="1"/>
  <c r="AD201" i="19"/>
  <c r="H201" i="19"/>
  <c r="CV21" i="19"/>
  <c r="CW271" i="19"/>
  <c r="CW283" i="19" s="1"/>
  <c r="CV289" i="19"/>
  <c r="AD275" i="19"/>
  <c r="H275" i="19"/>
  <c r="FB9" i="11"/>
  <c r="FB15" i="1"/>
  <c r="FB29" i="1"/>
  <c r="EZ130" i="11"/>
  <c r="EU91" i="1"/>
  <c r="EU102" i="1"/>
  <c r="EU90" i="1"/>
  <c r="EY130" i="11"/>
  <c r="AV130" i="11" s="1"/>
  <c r="AV149" i="11" s="1"/>
  <c r="AV129" i="11"/>
  <c r="AV141" i="11" s="1"/>
  <c r="EY58" i="19"/>
  <c r="EY34" i="15"/>
  <c r="EY92" i="15"/>
  <c r="EY37" i="15"/>
  <c r="EY36" i="15"/>
  <c r="EY45" i="11"/>
  <c r="EY41" i="11"/>
  <c r="AV40" i="11"/>
  <c r="AV45" i="11" s="1"/>
  <c r="CR11" i="19"/>
  <c r="CR29" i="19" s="1"/>
  <c r="CR35" i="19" s="1"/>
  <c r="CS125" i="19"/>
  <c r="CS137" i="19" s="1"/>
  <c r="CR143" i="19"/>
  <c r="G25" i="19"/>
  <c r="G293" i="19"/>
  <c r="H239" i="19" s="1"/>
  <c r="FB80" i="11"/>
  <c r="FB135" i="11"/>
  <c r="FB107" i="11"/>
  <c r="L10" i="11"/>
  <c r="AW10" i="11"/>
  <c r="EZ104" i="11"/>
  <c r="EZ21" i="11" s="1"/>
  <c r="CT16" i="19"/>
  <c r="CU198" i="19"/>
  <c r="G210" i="19"/>
  <c r="CT216" i="19"/>
  <c r="EZ43" i="1"/>
  <c r="AD127" i="19"/>
  <c r="H127" i="19"/>
  <c r="FA64" i="1"/>
  <c r="FA124" i="11"/>
  <c r="EY42" i="19"/>
  <c r="EY40" i="15"/>
  <c r="EY12" i="15"/>
  <c r="EY15" i="15"/>
  <c r="EY90" i="15"/>
  <c r="EY14" i="15"/>
  <c r="AC10" i="19"/>
  <c r="AC28" i="19" s="1"/>
  <c r="AC142" i="19"/>
  <c r="EY20" i="11"/>
  <c r="EY92" i="11"/>
  <c r="AV67" i="11"/>
  <c r="AV92" i="11" s="1"/>
  <c r="AD126" i="19"/>
  <c r="H126" i="19"/>
  <c r="FA121" i="1"/>
  <c r="FA140" i="11"/>
  <c r="EW84" i="1"/>
  <c r="EW42" i="1"/>
  <c r="EV84" i="1"/>
  <c r="EV42" i="1"/>
  <c r="AU45" i="1"/>
  <c r="AU84" i="1" s="1"/>
  <c r="CT31" i="19"/>
  <c r="CT37" i="19" s="1"/>
  <c r="CT23" i="19"/>
  <c r="G285" i="19"/>
  <c r="CT291" i="19"/>
  <c r="CU273" i="19"/>
  <c r="CR10" i="19"/>
  <c r="CR28" i="19" s="1"/>
  <c r="CR34" i="19" s="1"/>
  <c r="CS124" i="19"/>
  <c r="CS136" i="19" s="1"/>
  <c r="CR142" i="19"/>
  <c r="CT22" i="19"/>
  <c r="CU272" i="19"/>
  <c r="G284" i="19"/>
  <c r="CT290" i="19"/>
  <c r="EY50" i="19"/>
  <c r="EY23" i="15"/>
  <c r="EY25" i="15"/>
  <c r="EY91" i="15"/>
  <c r="EY26" i="15"/>
  <c r="EY162" i="11"/>
  <c r="AV139" i="11"/>
  <c r="G12" i="19"/>
  <c r="G144" i="19"/>
  <c r="H90" i="19" s="1"/>
  <c r="EZ45" i="11"/>
  <c r="EY44" i="1"/>
  <c r="AV21" i="11"/>
  <c r="FA61" i="11"/>
  <c r="FA62" i="11"/>
  <c r="FA67" i="11"/>
  <c r="EZ41" i="11"/>
  <c r="EW48" i="1" l="1"/>
  <c r="EW65" i="1"/>
  <c r="EZ82" i="1"/>
  <c r="EZ85" i="1"/>
  <c r="EZ57" i="1"/>
  <c r="EZ54" i="1"/>
  <c r="CW91" i="19"/>
  <c r="CW115" i="19" s="1"/>
  <c r="DE91" i="19"/>
  <c r="DE115" i="19" s="1"/>
  <c r="H97" i="19"/>
  <c r="CX91" i="19"/>
  <c r="CX115" i="19" s="1"/>
  <c r="DF91" i="19"/>
  <c r="DF115" i="19" s="1"/>
  <c r="CY91" i="19"/>
  <c r="CY115" i="19" s="1"/>
  <c r="CZ91" i="19"/>
  <c r="CZ115" i="19" s="1"/>
  <c r="DA91" i="19"/>
  <c r="DA115" i="19" s="1"/>
  <c r="DC91" i="19"/>
  <c r="DC115" i="19" s="1"/>
  <c r="DD91" i="19"/>
  <c r="DD115" i="19" s="1"/>
  <c r="CU91" i="19"/>
  <c r="CU115" i="19" s="1"/>
  <c r="CV91" i="19"/>
  <c r="CV115" i="19" s="1"/>
  <c r="DB91" i="19"/>
  <c r="DB115" i="19" s="1"/>
  <c r="CU90" i="19"/>
  <c r="CU114" i="19" s="1"/>
  <c r="DC90" i="19"/>
  <c r="DC114" i="19" s="1"/>
  <c r="CV90" i="19"/>
  <c r="CV114" i="19" s="1"/>
  <c r="DD90" i="19"/>
  <c r="DD114" i="19" s="1"/>
  <c r="CW90" i="19"/>
  <c r="CW114" i="19" s="1"/>
  <c r="DE90" i="19"/>
  <c r="DE114" i="19" s="1"/>
  <c r="H96" i="19"/>
  <c r="CX90" i="19"/>
  <c r="CX114" i="19" s="1"/>
  <c r="DF90" i="19"/>
  <c r="DF114" i="19" s="1"/>
  <c r="CY90" i="19"/>
  <c r="CY114" i="19" s="1"/>
  <c r="CZ90" i="19"/>
  <c r="CZ114" i="19" s="1"/>
  <c r="DA90" i="19"/>
  <c r="DA114" i="19" s="1"/>
  <c r="DB90" i="19"/>
  <c r="DB114" i="19" s="1"/>
  <c r="FA20" i="11"/>
  <c r="FA92" i="11"/>
  <c r="AV162" i="11"/>
  <c r="AV163" i="11" s="1"/>
  <c r="AV142" i="11"/>
  <c r="G22" i="19"/>
  <c r="G290" i="19"/>
  <c r="G23" i="19"/>
  <c r="G291" i="19"/>
  <c r="H237" i="19" s="1"/>
  <c r="EY47" i="19"/>
  <c r="EZ7" i="15"/>
  <c r="EY45" i="15"/>
  <c r="CS11" i="19"/>
  <c r="CS29" i="19" s="1"/>
  <c r="CS35" i="19" s="1"/>
  <c r="CT125" i="19"/>
  <c r="CT137" i="19" s="1"/>
  <c r="CS143" i="19"/>
  <c r="EY63" i="19"/>
  <c r="EZ29" i="15"/>
  <c r="FB38" i="11"/>
  <c r="FB28" i="1"/>
  <c r="H29" i="1"/>
  <c r="I29" i="1"/>
  <c r="J29" i="1"/>
  <c r="K29" i="1"/>
  <c r="L29" i="1"/>
  <c r="AW29" i="1"/>
  <c r="CW21" i="19"/>
  <c r="CW289" i="19"/>
  <c r="CX271" i="19"/>
  <c r="G31" i="19"/>
  <c r="G18" i="19"/>
  <c r="G30" i="19" s="1"/>
  <c r="G218" i="19"/>
  <c r="H164" i="19" s="1"/>
  <c r="AC35" i="19"/>
  <c r="FF7" i="7"/>
  <c r="G17" i="19"/>
  <c r="G217" i="19"/>
  <c r="H163" i="19" s="1"/>
  <c r="AD274" i="19"/>
  <c r="H274" i="19"/>
  <c r="FA40" i="11"/>
  <c r="EY126" i="1"/>
  <c r="AV126" i="1" s="1"/>
  <c r="AV127" i="1" s="1"/>
  <c r="EY163" i="11"/>
  <c r="EY43" i="1"/>
  <c r="AV20" i="11"/>
  <c r="EY66" i="19"/>
  <c r="FB106" i="11"/>
  <c r="FB97" i="11"/>
  <c r="FB112" i="11"/>
  <c r="L107" i="11"/>
  <c r="AW107" i="11"/>
  <c r="AW109" i="11" s="1"/>
  <c r="EZ144" i="11"/>
  <c r="EZ127" i="1"/>
  <c r="EU110" i="1"/>
  <c r="EV106" i="1" s="1"/>
  <c r="EU99" i="1"/>
  <c r="AD200" i="19"/>
  <c r="H200" i="19"/>
  <c r="CV9" i="19"/>
  <c r="CV27" i="19" s="1"/>
  <c r="CV33" i="19" s="1"/>
  <c r="CW123" i="19"/>
  <c r="CW135" i="19" s="1"/>
  <c r="CV141" i="19"/>
  <c r="FA129" i="11"/>
  <c r="FA139" i="11"/>
  <c r="FA162" i="11" s="1"/>
  <c r="G16" i="19"/>
  <c r="G216" i="19"/>
  <c r="FB123" i="11"/>
  <c r="FB134" i="11"/>
  <c r="L135" i="11"/>
  <c r="AW135" i="11"/>
  <c r="AW137" i="11" s="1"/>
  <c r="EY16" i="11"/>
  <c r="EY34" i="1" s="1"/>
  <c r="EY42" i="11"/>
  <c r="AV41" i="11"/>
  <c r="AV16" i="11" s="1"/>
  <c r="FA104" i="11"/>
  <c r="FA21" i="11" s="1"/>
  <c r="FA44" i="1" s="1"/>
  <c r="FA83" i="1" s="1"/>
  <c r="EX92" i="1"/>
  <c r="EX93" i="1" s="1"/>
  <c r="AD273" i="19"/>
  <c r="H273" i="19"/>
  <c r="CW15" i="19"/>
  <c r="CW215" i="19"/>
  <c r="CX197" i="19"/>
  <c r="EY47" i="15"/>
  <c r="EY48" i="15"/>
  <c r="AC34" i="19"/>
  <c r="FF6" i="7"/>
  <c r="FF10" i="7" s="1"/>
  <c r="AD198" i="19"/>
  <c r="H198" i="19"/>
  <c r="FB60" i="11"/>
  <c r="FB79" i="11"/>
  <c r="L80" i="11"/>
  <c r="AW80" i="11"/>
  <c r="AD199" i="19"/>
  <c r="H199" i="19"/>
  <c r="EZ44" i="1"/>
  <c r="AD272" i="19"/>
  <c r="H272" i="19"/>
  <c r="EY83" i="1"/>
  <c r="AV44" i="1"/>
  <c r="AV83" i="1" s="1"/>
  <c r="CS10" i="19"/>
  <c r="CS28" i="19" s="1"/>
  <c r="CS34" i="19" s="1"/>
  <c r="CT124" i="19"/>
  <c r="CT136" i="19" s="1"/>
  <c r="CS142" i="19"/>
  <c r="EZ16" i="11"/>
  <c r="EZ34" i="1" s="1"/>
  <c r="EZ42" i="11"/>
  <c r="EY55" i="19"/>
  <c r="EZ18" i="15"/>
  <c r="EV48" i="1"/>
  <c r="AU48" i="1" s="1"/>
  <c r="EV65" i="1"/>
  <c r="AU42" i="1"/>
  <c r="CW239" i="19"/>
  <c r="CW263" i="19" s="1"/>
  <c r="DE239" i="19"/>
  <c r="DE263" i="19" s="1"/>
  <c r="H245" i="19"/>
  <c r="CX239" i="19"/>
  <c r="CX263" i="19" s="1"/>
  <c r="DF239" i="19"/>
  <c r="DF263" i="19" s="1"/>
  <c r="CY239" i="19"/>
  <c r="CY263" i="19" s="1"/>
  <c r="CZ239" i="19"/>
  <c r="CZ263" i="19" s="1"/>
  <c r="DA239" i="19"/>
  <c r="DA263" i="19" s="1"/>
  <c r="DB239" i="19"/>
  <c r="DB263" i="19" s="1"/>
  <c r="CV239" i="19"/>
  <c r="CV263" i="19" s="1"/>
  <c r="DD239" i="19"/>
  <c r="DD263" i="19" s="1"/>
  <c r="CU239" i="19"/>
  <c r="CU263" i="19" s="1"/>
  <c r="DC239" i="19"/>
  <c r="DC263" i="19" s="1"/>
  <c r="CZ165" i="19"/>
  <c r="CZ189" i="19" s="1"/>
  <c r="DB165" i="19"/>
  <c r="DB189" i="19" s="1"/>
  <c r="CU165" i="19"/>
  <c r="CU189" i="19" s="1"/>
  <c r="DC165" i="19"/>
  <c r="DC189" i="19" s="1"/>
  <c r="CV165" i="19"/>
  <c r="CV189" i="19" s="1"/>
  <c r="DD165" i="19"/>
  <c r="DD189" i="19" s="1"/>
  <c r="CW165" i="19"/>
  <c r="CW189" i="19" s="1"/>
  <c r="DE165" i="19"/>
  <c r="DE189" i="19" s="1"/>
  <c r="H171" i="19"/>
  <c r="DA165" i="19"/>
  <c r="DA189" i="19" s="1"/>
  <c r="DF165" i="19"/>
  <c r="DF189" i="19" s="1"/>
  <c r="CX165" i="19"/>
  <c r="CX189" i="19" s="1"/>
  <c r="CY165" i="19"/>
  <c r="CY189" i="19" s="1"/>
  <c r="FA41" i="11"/>
  <c r="FA102" i="11"/>
  <c r="G24" i="19"/>
  <c r="G292" i="19"/>
  <c r="H238" i="19" s="1"/>
  <c r="EX91" i="1"/>
  <c r="EX102" i="1"/>
  <c r="G36" i="19" l="1"/>
  <c r="FD8" i="25"/>
  <c r="AE115" i="19"/>
  <c r="DF207" i="19"/>
  <c r="AD189" i="19"/>
  <c r="H189" i="19"/>
  <c r="EY144" i="11"/>
  <c r="EY127" i="1"/>
  <c r="H115" i="19"/>
  <c r="AD115" i="19"/>
  <c r="CW97" i="19"/>
  <c r="CW121" i="19" s="1"/>
  <c r="DE97" i="19"/>
  <c r="DE121" i="19" s="1"/>
  <c r="CX97" i="19"/>
  <c r="CX121" i="19" s="1"/>
  <c r="AE121" i="19" s="1"/>
  <c r="DF97" i="19"/>
  <c r="DF121" i="19" s="1"/>
  <c r="CY97" i="19"/>
  <c r="CY121" i="19" s="1"/>
  <c r="CZ97" i="19"/>
  <c r="CZ121" i="19" s="1"/>
  <c r="DA97" i="19"/>
  <c r="DA121" i="19" s="1"/>
  <c r="DB97" i="19"/>
  <c r="DB121" i="19" s="1"/>
  <c r="DC97" i="19"/>
  <c r="DC121" i="19" s="1"/>
  <c r="DD97" i="19"/>
  <c r="DD121" i="19" s="1"/>
  <c r="AG121" i="19" s="1"/>
  <c r="CU97" i="19"/>
  <c r="CU121" i="19" s="1"/>
  <c r="CU133" i="19" s="1"/>
  <c r="CU139" i="19" s="1"/>
  <c r="CV97" i="19"/>
  <c r="CV121" i="19" s="1"/>
  <c r="EZ46" i="11"/>
  <c r="AE271" i="19"/>
  <c r="AE283" i="19" s="1"/>
  <c r="CX283" i="19"/>
  <c r="CV133" i="19"/>
  <c r="CU238" i="19"/>
  <c r="CU262" i="19" s="1"/>
  <c r="DC238" i="19"/>
  <c r="DC262" i="19" s="1"/>
  <c r="CV238" i="19"/>
  <c r="CV262" i="19" s="1"/>
  <c r="DD238" i="19"/>
  <c r="DD262" i="19" s="1"/>
  <c r="CW238" i="19"/>
  <c r="CW262" i="19" s="1"/>
  <c r="DE238" i="19"/>
  <c r="DE262" i="19" s="1"/>
  <c r="H244" i="19"/>
  <c r="CX238" i="19"/>
  <c r="CX262" i="19" s="1"/>
  <c r="DF238" i="19"/>
  <c r="DF262" i="19" s="1"/>
  <c r="CY238" i="19"/>
  <c r="CY262" i="19" s="1"/>
  <c r="CZ238" i="19"/>
  <c r="CZ262" i="19" s="1"/>
  <c r="DB238" i="19"/>
  <c r="DB262" i="19" s="1"/>
  <c r="DA238" i="19"/>
  <c r="DA262" i="19" s="1"/>
  <c r="AF189" i="19"/>
  <c r="AF263" i="19"/>
  <c r="EZ33" i="1"/>
  <c r="EZ55" i="1"/>
  <c r="EZ39" i="1"/>
  <c r="EY46" i="11"/>
  <c r="AV42" i="11"/>
  <c r="AV46" i="11" s="1"/>
  <c r="FB111" i="11"/>
  <c r="FB101" i="11"/>
  <c r="L112" i="11"/>
  <c r="AW112" i="11"/>
  <c r="AW114" i="11" s="1"/>
  <c r="AV100" i="1"/>
  <c r="AV101" i="1"/>
  <c r="FB64" i="1"/>
  <c r="AW28" i="1"/>
  <c r="AG115" i="19"/>
  <c r="DD133" i="19"/>
  <c r="DE133" i="19"/>
  <c r="H28" i="1"/>
  <c r="BP7" i="25"/>
  <c r="R7" i="25"/>
  <c r="DA237" i="19"/>
  <c r="DB237" i="19"/>
  <c r="CU237" i="19"/>
  <c r="DC237" i="19"/>
  <c r="H236" i="19"/>
  <c r="CV237" i="19"/>
  <c r="DD237" i="19"/>
  <c r="CW237" i="19"/>
  <c r="DE237" i="19"/>
  <c r="H243" i="19"/>
  <c r="CX237" i="19"/>
  <c r="DF237" i="19"/>
  <c r="CZ237" i="19"/>
  <c r="CY237" i="19"/>
  <c r="FA43" i="1"/>
  <c r="CZ96" i="19"/>
  <c r="CZ120" i="19" s="1"/>
  <c r="CZ132" i="19" s="1"/>
  <c r="DA96" i="19"/>
  <c r="DA120" i="19" s="1"/>
  <c r="DB96" i="19"/>
  <c r="DB120" i="19" s="1"/>
  <c r="DB132" i="19" s="1"/>
  <c r="CU96" i="19"/>
  <c r="CU120" i="19" s="1"/>
  <c r="DC96" i="19"/>
  <c r="DC120" i="19" s="1"/>
  <c r="CV96" i="19"/>
  <c r="CV120" i="19" s="1"/>
  <c r="DD96" i="19"/>
  <c r="DD120" i="19" s="1"/>
  <c r="DE96" i="19"/>
  <c r="DE120" i="19" s="1"/>
  <c r="DE132" i="19" s="1"/>
  <c r="DF96" i="19"/>
  <c r="DF120" i="19" s="1"/>
  <c r="CW96" i="19"/>
  <c r="CW120" i="19" s="1"/>
  <c r="CW132" i="19" s="1"/>
  <c r="CY96" i="19"/>
  <c r="CY120" i="19" s="1"/>
  <c r="CX96" i="19"/>
  <c r="CX120" i="19" s="1"/>
  <c r="CZ171" i="19"/>
  <c r="CZ195" i="19" s="1"/>
  <c r="DB171" i="19"/>
  <c r="DB195" i="19" s="1"/>
  <c r="DB207" i="19" s="1"/>
  <c r="CU171" i="19"/>
  <c r="CU195" i="19" s="1"/>
  <c r="DC171" i="19"/>
  <c r="DC195" i="19" s="1"/>
  <c r="DC207" i="19" s="1"/>
  <c r="CV171" i="19"/>
  <c r="CV195" i="19" s="1"/>
  <c r="CV207" i="19" s="1"/>
  <c r="DD171" i="19"/>
  <c r="DD195" i="19" s="1"/>
  <c r="CW171" i="19"/>
  <c r="CW195" i="19" s="1"/>
  <c r="DE171" i="19"/>
  <c r="DE195" i="19" s="1"/>
  <c r="CX171" i="19"/>
  <c r="CX195" i="19" s="1"/>
  <c r="AE195" i="19" s="1"/>
  <c r="CY171" i="19"/>
  <c r="CY195" i="19" s="1"/>
  <c r="CY207" i="19" s="1"/>
  <c r="DA171" i="19"/>
  <c r="DA195" i="19" s="1"/>
  <c r="AF195" i="19" s="1"/>
  <c r="DF171" i="19"/>
  <c r="DF195" i="19" s="1"/>
  <c r="CZ207" i="19"/>
  <c r="EY33" i="1"/>
  <c r="EY55" i="1"/>
  <c r="EY39" i="1"/>
  <c r="AV34" i="1"/>
  <c r="FA126" i="1"/>
  <c r="FA163" i="11"/>
  <c r="FB98" i="11"/>
  <c r="H97" i="11"/>
  <c r="I97" i="11"/>
  <c r="J97" i="11"/>
  <c r="K97" i="11"/>
  <c r="L97" i="11"/>
  <c r="AW97" i="11"/>
  <c r="AW52" i="1"/>
  <c r="FB39" i="11"/>
  <c r="H38" i="11"/>
  <c r="I38" i="11"/>
  <c r="J38" i="11"/>
  <c r="K38" i="11"/>
  <c r="L38" i="11"/>
  <c r="AW38" i="11"/>
  <c r="AF114" i="19"/>
  <c r="DA132" i="19"/>
  <c r="AG114" i="19"/>
  <c r="DD132" i="19"/>
  <c r="DC133" i="19"/>
  <c r="CW133" i="19"/>
  <c r="EW71" i="1"/>
  <c r="H162" i="19"/>
  <c r="CV163" i="19"/>
  <c r="DD163" i="19"/>
  <c r="CX163" i="19"/>
  <c r="DF163" i="19"/>
  <c r="CY163" i="19"/>
  <c r="CZ163" i="19"/>
  <c r="DA163" i="19"/>
  <c r="CU163" i="19"/>
  <c r="CW163" i="19"/>
  <c r="DB163" i="19"/>
  <c r="DC163" i="19"/>
  <c r="DE163" i="19"/>
  <c r="H169" i="19"/>
  <c r="DE207" i="19"/>
  <c r="EV71" i="1"/>
  <c r="EV68" i="1"/>
  <c r="EW63" i="1" s="1"/>
  <c r="AU65" i="1"/>
  <c r="CT10" i="19"/>
  <c r="CT28" i="19" s="1"/>
  <c r="CT34" i="19" s="1"/>
  <c r="CU124" i="19"/>
  <c r="CT142" i="19"/>
  <c r="G136" i="19"/>
  <c r="FA130" i="11"/>
  <c r="L106" i="11"/>
  <c r="L160" i="11" s="1"/>
  <c r="AW106" i="11"/>
  <c r="AW160" i="11" s="1"/>
  <c r="FB160" i="11"/>
  <c r="FB124" i="1" s="1"/>
  <c r="FA45" i="11"/>
  <c r="L28" i="1"/>
  <c r="EZ58" i="19"/>
  <c r="AW58" i="19" s="1"/>
  <c r="AW63" i="19" s="1"/>
  <c r="EZ34" i="15"/>
  <c r="AW29" i="15"/>
  <c r="EZ92" i="15"/>
  <c r="EZ37" i="15"/>
  <c r="EZ36" i="15"/>
  <c r="CV132" i="19"/>
  <c r="AF115" i="19"/>
  <c r="DA133" i="19"/>
  <c r="CW245" i="19"/>
  <c r="CW269" i="19" s="1"/>
  <c r="CW281" i="19" s="1"/>
  <c r="DE245" i="19"/>
  <c r="DE269" i="19" s="1"/>
  <c r="DE281" i="19" s="1"/>
  <c r="CX245" i="19"/>
  <c r="CX269" i="19" s="1"/>
  <c r="DF245" i="19"/>
  <c r="DF269" i="19" s="1"/>
  <c r="DF281" i="19" s="1"/>
  <c r="CY245" i="19"/>
  <c r="CY269" i="19" s="1"/>
  <c r="CY281" i="19" s="1"/>
  <c r="CZ245" i="19"/>
  <c r="CZ269" i="19" s="1"/>
  <c r="CZ281" i="19" s="1"/>
  <c r="DA245" i="19"/>
  <c r="DA269" i="19" s="1"/>
  <c r="AF269" i="19" s="1"/>
  <c r="DB245" i="19"/>
  <c r="DB269" i="19" s="1"/>
  <c r="DB281" i="19" s="1"/>
  <c r="CV245" i="19"/>
  <c r="CV269" i="19" s="1"/>
  <c r="CV281" i="19" s="1"/>
  <c r="DD245" i="19"/>
  <c r="DD269" i="19" s="1"/>
  <c r="DC245" i="19"/>
  <c r="DC269" i="19" s="1"/>
  <c r="CU245" i="19"/>
  <c r="CU269" i="19" s="1"/>
  <c r="AE189" i="19"/>
  <c r="CX207" i="19"/>
  <c r="DC281" i="19"/>
  <c r="EZ83" i="1"/>
  <c r="L79" i="11"/>
  <c r="L157" i="11" s="1"/>
  <c r="AW79" i="11"/>
  <c r="FB157" i="11"/>
  <c r="EV110" i="1"/>
  <c r="EW106" i="1" s="1"/>
  <c r="EV99" i="1"/>
  <c r="CX164" i="19"/>
  <c r="CX188" i="19" s="1"/>
  <c r="DF164" i="19"/>
  <c r="DF188" i="19" s="1"/>
  <c r="CZ164" i="19"/>
  <c r="CZ188" i="19" s="1"/>
  <c r="DA164" i="19"/>
  <c r="DA188" i="19" s="1"/>
  <c r="DB164" i="19"/>
  <c r="DB188" i="19" s="1"/>
  <c r="CU164" i="19"/>
  <c r="CU188" i="19" s="1"/>
  <c r="DC164" i="19"/>
  <c r="DC188" i="19" s="1"/>
  <c r="CY164" i="19"/>
  <c r="CY188" i="19" s="1"/>
  <c r="DD164" i="19"/>
  <c r="DD188" i="19" s="1"/>
  <c r="DE164" i="19"/>
  <c r="DE188" i="19" s="1"/>
  <c r="CV164" i="19"/>
  <c r="CV188" i="19" s="1"/>
  <c r="H170" i="19"/>
  <c r="CW164" i="19"/>
  <c r="CW188" i="19" s="1"/>
  <c r="K28" i="1"/>
  <c r="BS7" i="25"/>
  <c r="U7" i="25"/>
  <c r="CY132" i="19"/>
  <c r="DC132" i="19"/>
  <c r="CZ133" i="19"/>
  <c r="AG263" i="19"/>
  <c r="DD281" i="19"/>
  <c r="CW207" i="19"/>
  <c r="FA16" i="11"/>
  <c r="FA34" i="1" s="1"/>
  <c r="FA42" i="11"/>
  <c r="FA46" i="11" s="1"/>
  <c r="AG189" i="19"/>
  <c r="DD207" i="19"/>
  <c r="AD263" i="19"/>
  <c r="H263" i="19"/>
  <c r="CU281" i="19"/>
  <c r="CU287" i="19" s="1"/>
  <c r="AE263" i="19"/>
  <c r="CX281" i="19"/>
  <c r="EZ50" i="19"/>
  <c r="AW50" i="19" s="1"/>
  <c r="AW55" i="19" s="1"/>
  <c r="EZ23" i="15"/>
  <c r="AW18" i="15"/>
  <c r="EZ91" i="15"/>
  <c r="EZ25" i="15"/>
  <c r="EZ26" i="15"/>
  <c r="FB61" i="11"/>
  <c r="H60" i="11"/>
  <c r="I60" i="11"/>
  <c r="J60" i="11"/>
  <c r="K60" i="11"/>
  <c r="L60" i="11"/>
  <c r="AW60" i="11"/>
  <c r="AW81" i="11" s="1"/>
  <c r="AE197" i="19"/>
  <c r="AE209" i="19" s="1"/>
  <c r="CX209" i="19"/>
  <c r="AW134" i="11"/>
  <c r="AW161" i="11" s="1"/>
  <c r="L134" i="11"/>
  <c r="L161" i="11" s="1"/>
  <c r="FB161" i="11"/>
  <c r="FB125" i="1" s="1"/>
  <c r="CW9" i="19"/>
  <c r="CW27" i="19" s="1"/>
  <c r="CW33" i="19" s="1"/>
  <c r="CX123" i="19"/>
  <c r="CW141" i="19"/>
  <c r="EZ100" i="1"/>
  <c r="EZ101" i="1"/>
  <c r="J28" i="1"/>
  <c r="T7" i="25"/>
  <c r="BR7" i="25"/>
  <c r="EZ42" i="19"/>
  <c r="EZ12" i="15"/>
  <c r="AW7" i="15"/>
  <c r="EZ40" i="15"/>
  <c r="EZ14" i="15"/>
  <c r="EZ90" i="15"/>
  <c r="EZ15" i="15"/>
  <c r="DF132" i="19"/>
  <c r="H114" i="19"/>
  <c r="AD114" i="19"/>
  <c r="CU132" i="19"/>
  <c r="CU138" i="19" s="1"/>
  <c r="CY133" i="19"/>
  <c r="FB124" i="11"/>
  <c r="H123" i="11"/>
  <c r="I123" i="11"/>
  <c r="J123" i="11"/>
  <c r="K123" i="11"/>
  <c r="L123" i="11"/>
  <c r="AW123" i="11"/>
  <c r="EZ125" i="11"/>
  <c r="EY82" i="1"/>
  <c r="EY85" i="1"/>
  <c r="EY57" i="1"/>
  <c r="EY54" i="1"/>
  <c r="FB94" i="1"/>
  <c r="AV43" i="1"/>
  <c r="G37" i="19"/>
  <c r="FD9" i="25"/>
  <c r="I28" i="1"/>
  <c r="BQ7" i="25"/>
  <c r="S7" i="25"/>
  <c r="CT11" i="19"/>
  <c r="CT29" i="19" s="1"/>
  <c r="CT35" i="19" s="1"/>
  <c r="CU125" i="19"/>
  <c r="CT143" i="19"/>
  <c r="G137" i="19"/>
  <c r="EY71" i="19"/>
  <c r="AE114" i="19"/>
  <c r="CX132" i="19"/>
  <c r="DB133" i="19"/>
  <c r="DF133" i="19"/>
  <c r="CU13" i="19" l="1"/>
  <c r="CV127" i="19"/>
  <c r="CV139" i="19" s="1"/>
  <c r="CU145" i="19"/>
  <c r="EU8" i="25"/>
  <c r="H61" i="11"/>
  <c r="I61" i="11"/>
  <c r="J61" i="11"/>
  <c r="K61" i="11"/>
  <c r="L61" i="11"/>
  <c r="AW61" i="11"/>
  <c r="AW89" i="11" s="1"/>
  <c r="AW34" i="15"/>
  <c r="AW92" i="15"/>
  <c r="AE123" i="19"/>
  <c r="AE135" i="19" s="1"/>
  <c r="CX135" i="19"/>
  <c r="AE239" i="19"/>
  <c r="K101" i="1"/>
  <c r="CO18" i="25" s="1"/>
  <c r="U6" i="25"/>
  <c r="AY37" i="25" s="1"/>
  <c r="BS6" i="25"/>
  <c r="EW110" i="1"/>
  <c r="EX106" i="1" s="1"/>
  <c r="EW99" i="1"/>
  <c r="EZ63" i="19"/>
  <c r="FA29" i="15"/>
  <c r="AU75" i="1"/>
  <c r="AU68" i="1"/>
  <c r="DC162" i="19"/>
  <c r="DC186" i="19" s="1"/>
  <c r="DC187" i="19"/>
  <c r="CX162" i="19"/>
  <c r="CX186" i="19" s="1"/>
  <c r="CX187" i="19"/>
  <c r="DE236" i="19"/>
  <c r="DE260" i="19" s="1"/>
  <c r="DE261" i="19"/>
  <c r="DA236" i="19"/>
  <c r="DA260" i="19" s="1"/>
  <c r="DA261" i="19"/>
  <c r="AE262" i="19"/>
  <c r="CX133" i="19"/>
  <c r="G11" i="19"/>
  <c r="G29" i="19" s="1"/>
  <c r="G143" i="19"/>
  <c r="H89" i="19" s="1"/>
  <c r="H125" i="19"/>
  <c r="AD125" i="19"/>
  <c r="J101" i="1"/>
  <c r="CN18" i="25" s="1"/>
  <c r="T6" i="25"/>
  <c r="AX37" i="25" s="1"/>
  <c r="BR6" i="25"/>
  <c r="CU25" i="19"/>
  <c r="CV275" i="19"/>
  <c r="CV287" i="19" s="1"/>
  <c r="CU293" i="19"/>
  <c r="AD188" i="19"/>
  <c r="H188" i="19"/>
  <c r="FB121" i="1"/>
  <c r="AE165" i="19"/>
  <c r="AE207" i="19"/>
  <c r="AF91" i="19"/>
  <c r="EW68" i="1"/>
  <c r="EX63" i="1" s="1"/>
  <c r="EX68" i="1" s="1"/>
  <c r="EY63" i="1" s="1"/>
  <c r="AV63" i="1"/>
  <c r="DB162" i="19"/>
  <c r="DB186" i="19" s="1"/>
  <c r="DB187" i="19"/>
  <c r="DD162" i="19"/>
  <c r="DD186" i="19" s="1"/>
  <c r="DD187" i="19"/>
  <c r="EN8" i="25"/>
  <c r="AV55" i="1"/>
  <c r="AV39" i="1"/>
  <c r="H195" i="19"/>
  <c r="AD195" i="19"/>
  <c r="AG120" i="19"/>
  <c r="AG96" i="19" s="1"/>
  <c r="FA82" i="1"/>
  <c r="FA85" i="1"/>
  <c r="FA57" i="1"/>
  <c r="FA54" i="1"/>
  <c r="CW236" i="19"/>
  <c r="CW260" i="19" s="1"/>
  <c r="CW261" i="19"/>
  <c r="DA207" i="19"/>
  <c r="CZ244" i="19"/>
  <c r="CZ268" i="19" s="1"/>
  <c r="DA244" i="19"/>
  <c r="DA268" i="19" s="1"/>
  <c r="DB244" i="19"/>
  <c r="DB268" i="19" s="1"/>
  <c r="CU244" i="19"/>
  <c r="CU268" i="19" s="1"/>
  <c r="CU280" i="19" s="1"/>
  <c r="CU286" i="19" s="1"/>
  <c r="DC244" i="19"/>
  <c r="DC268" i="19" s="1"/>
  <c r="CV244" i="19"/>
  <c r="CV268" i="19" s="1"/>
  <c r="DD244" i="19"/>
  <c r="DD268" i="19" s="1"/>
  <c r="CW244" i="19"/>
  <c r="CW268" i="19" s="1"/>
  <c r="DE244" i="19"/>
  <c r="DE268" i="19" s="1"/>
  <c r="CY244" i="19"/>
  <c r="CY268" i="19" s="1"/>
  <c r="CX244" i="19"/>
  <c r="CX268" i="19" s="1"/>
  <c r="DF244" i="19"/>
  <c r="DF268" i="19" s="1"/>
  <c r="DF280" i="19" s="1"/>
  <c r="CX21" i="19"/>
  <c r="CY271" i="19"/>
  <c r="CY283" i="19" s="1"/>
  <c r="CX289" i="19"/>
  <c r="AE91" i="19"/>
  <c r="AE133" i="19"/>
  <c r="AG239" i="19"/>
  <c r="AW157" i="11"/>
  <c r="AW82" i="11"/>
  <c r="H269" i="19"/>
  <c r="H281" i="19" s="1"/>
  <c r="AD269" i="19"/>
  <c r="EV91" i="1"/>
  <c r="EV102" i="1"/>
  <c r="EV90" i="1"/>
  <c r="AU71" i="1"/>
  <c r="CW162" i="19"/>
  <c r="CW186" i="19" s="1"/>
  <c r="CW187" i="19"/>
  <c r="CV162" i="19"/>
  <c r="CV186" i="19" s="1"/>
  <c r="CV187" i="19"/>
  <c r="AG90" i="19"/>
  <c r="AG132" i="19"/>
  <c r="EM8" i="25"/>
  <c r="DD236" i="19"/>
  <c r="DD260" i="19" s="1"/>
  <c r="DD261" i="19"/>
  <c r="AF165" i="19"/>
  <c r="AF207" i="19"/>
  <c r="DE280" i="19"/>
  <c r="AE21" i="19"/>
  <c r="AE289" i="19"/>
  <c r="CX243" i="19"/>
  <c r="DF243" i="19"/>
  <c r="CY243" i="19"/>
  <c r="CZ243" i="19"/>
  <c r="DA243" i="19"/>
  <c r="DB243" i="19"/>
  <c r="CU243" i="19"/>
  <c r="DC243" i="19"/>
  <c r="CW243" i="19"/>
  <c r="DE243" i="19"/>
  <c r="CV243" i="19"/>
  <c r="DD243" i="19"/>
  <c r="H242" i="19"/>
  <c r="AV82" i="1"/>
  <c r="AV85" i="1"/>
  <c r="AV57" i="1"/>
  <c r="AV54" i="1"/>
  <c r="AW94" i="1"/>
  <c r="L94" i="1" s="1"/>
  <c r="AW40" i="15"/>
  <c r="AW45" i="15" s="1"/>
  <c r="EZ47" i="15"/>
  <c r="EZ48" i="15"/>
  <c r="AD239" i="19"/>
  <c r="AD281" i="19"/>
  <c r="AD287" i="19" s="1"/>
  <c r="CU170" i="19"/>
  <c r="CU194" i="19" s="1"/>
  <c r="CU206" i="19" s="1"/>
  <c r="CU212" i="19" s="1"/>
  <c r="DC170" i="19"/>
  <c r="DC194" i="19" s="1"/>
  <c r="DC206" i="19" s="1"/>
  <c r="CW170" i="19"/>
  <c r="CW194" i="19" s="1"/>
  <c r="CW206" i="19" s="1"/>
  <c r="DE170" i="19"/>
  <c r="DE194" i="19" s="1"/>
  <c r="CX170" i="19"/>
  <c r="CX194" i="19" s="1"/>
  <c r="DF170" i="19"/>
  <c r="DF194" i="19" s="1"/>
  <c r="CY170" i="19"/>
  <c r="CY194" i="19" s="1"/>
  <c r="CY206" i="19" s="1"/>
  <c r="CZ170" i="19"/>
  <c r="CZ194" i="19" s="1"/>
  <c r="CV170" i="19"/>
  <c r="CV194" i="19" s="1"/>
  <c r="DA170" i="19"/>
  <c r="DA194" i="19" s="1"/>
  <c r="AF194" i="19" s="1"/>
  <c r="AF170" i="19" s="1"/>
  <c r="DB170" i="19"/>
  <c r="DB194" i="19" s="1"/>
  <c r="DB206" i="19" s="1"/>
  <c r="DD170" i="19"/>
  <c r="DD194" i="19" s="1"/>
  <c r="AF188" i="19"/>
  <c r="DA206" i="19"/>
  <c r="AE269" i="19"/>
  <c r="AE281" i="19" s="1"/>
  <c r="L85" i="1"/>
  <c r="G10" i="19"/>
  <c r="G28" i="19" s="1"/>
  <c r="G142" i="19"/>
  <c r="CU162" i="19"/>
  <c r="CU186" i="19" s="1"/>
  <c r="CU187" i="19"/>
  <c r="EL8" i="25"/>
  <c r="CY236" i="19"/>
  <c r="CY260" i="19" s="1"/>
  <c r="CY261" i="19"/>
  <c r="CV236" i="19"/>
  <c r="CV260" i="19" s="1"/>
  <c r="CV261" i="19"/>
  <c r="H101" i="1"/>
  <c r="CL18" i="25" s="1"/>
  <c r="R6" i="25"/>
  <c r="AV37" i="25" s="1"/>
  <c r="AV7" i="25" s="1"/>
  <c r="BP6" i="25"/>
  <c r="H82" i="1"/>
  <c r="H85" i="1"/>
  <c r="H90" i="1"/>
  <c r="BF10" i="25" s="1"/>
  <c r="H102" i="1"/>
  <c r="BF11" i="25" s="1"/>
  <c r="H91" i="1"/>
  <c r="AF262" i="19"/>
  <c r="CW280" i="19"/>
  <c r="AF121" i="19"/>
  <c r="AF133" i="19" s="1"/>
  <c r="AD91" i="19"/>
  <c r="AW108" i="11"/>
  <c r="DB236" i="19"/>
  <c r="DB260" i="19" s="1"/>
  <c r="DB261" i="19"/>
  <c r="AF239" i="19"/>
  <c r="AF281" i="19"/>
  <c r="EY125" i="11"/>
  <c r="AV144" i="11"/>
  <c r="EZ132" i="11"/>
  <c r="EZ22" i="11" s="1"/>
  <c r="L125" i="1"/>
  <c r="AW125" i="1"/>
  <c r="CU12" i="19"/>
  <c r="CV126" i="19"/>
  <c r="CV138" i="19" s="1"/>
  <c r="CU144" i="19"/>
  <c r="AW12" i="15"/>
  <c r="AW90" i="15"/>
  <c r="AW23" i="15"/>
  <c r="AW91" i="15"/>
  <c r="CV206" i="19"/>
  <c r="CZ206" i="19"/>
  <c r="AG269" i="19"/>
  <c r="AG281" i="19" s="1"/>
  <c r="DA162" i="19"/>
  <c r="DA186" i="19" s="1"/>
  <c r="DA187" i="19"/>
  <c r="AF90" i="19"/>
  <c r="H39" i="11"/>
  <c r="H47" i="11" s="1"/>
  <c r="I39" i="11"/>
  <c r="I47" i="11" s="1"/>
  <c r="J39" i="11"/>
  <c r="J47" i="11" s="1"/>
  <c r="K39" i="11"/>
  <c r="K47" i="11" s="1"/>
  <c r="L39" i="11"/>
  <c r="L47" i="11" s="1"/>
  <c r="AW39" i="11"/>
  <c r="EK8" i="25"/>
  <c r="EY81" i="1"/>
  <c r="EY38" i="1"/>
  <c r="EY37" i="1"/>
  <c r="AV33" i="1"/>
  <c r="AE120" i="19"/>
  <c r="AE96" i="19" s="1"/>
  <c r="AD120" i="19"/>
  <c r="AD96" i="19" s="1"/>
  <c r="H120" i="19"/>
  <c r="CZ236" i="19"/>
  <c r="CZ260" i="19" s="1"/>
  <c r="CZ261" i="19"/>
  <c r="H64" i="1"/>
  <c r="I64" i="1"/>
  <c r="J64" i="1"/>
  <c r="J76" i="1" s="1"/>
  <c r="K64" i="1"/>
  <c r="K76" i="1" s="1"/>
  <c r="L64" i="1"/>
  <c r="AW64" i="1"/>
  <c r="AW74" i="1" s="1"/>
  <c r="FB102" i="11"/>
  <c r="H101" i="11"/>
  <c r="EK12" i="25" s="1"/>
  <c r="I101" i="11"/>
  <c r="EL12" i="25" s="1"/>
  <c r="J101" i="11"/>
  <c r="EM12" i="25" s="1"/>
  <c r="K101" i="11"/>
  <c r="EN12" i="25" s="1"/>
  <c r="L101" i="11"/>
  <c r="AW101" i="11"/>
  <c r="AW113" i="11" s="1"/>
  <c r="EZ81" i="1"/>
  <c r="EZ37" i="1"/>
  <c r="EZ38" i="1"/>
  <c r="DB280" i="19"/>
  <c r="AG262" i="19"/>
  <c r="DD280" i="19"/>
  <c r="CU207" i="19"/>
  <c r="CU213" i="19" s="1"/>
  <c r="FA55" i="1"/>
  <c r="FA33" i="1"/>
  <c r="FA39" i="1"/>
  <c r="DF162" i="19"/>
  <c r="DF186" i="19" s="1"/>
  <c r="DF187" i="19"/>
  <c r="AG91" i="19"/>
  <c r="AG133" i="19"/>
  <c r="AD262" i="19"/>
  <c r="H262" i="19"/>
  <c r="H124" i="11"/>
  <c r="EU9" i="25" s="1"/>
  <c r="I124" i="11"/>
  <c r="EV9" i="25" s="1"/>
  <c r="J124" i="11"/>
  <c r="EW9" i="25" s="1"/>
  <c r="K124" i="11"/>
  <c r="EX9" i="25" s="1"/>
  <c r="L124" i="11"/>
  <c r="AW124" i="11"/>
  <c r="AW148" i="11" s="1"/>
  <c r="AW136" i="11"/>
  <c r="EW8" i="25"/>
  <c r="AD90" i="19"/>
  <c r="AD132" i="19"/>
  <c r="AD138" i="19" s="1"/>
  <c r="EZ47" i="19"/>
  <c r="FA7" i="15"/>
  <c r="EZ45" i="15"/>
  <c r="CX15" i="19"/>
  <c r="CX215" i="19"/>
  <c r="CY197" i="19"/>
  <c r="CY209" i="19" s="1"/>
  <c r="EZ55" i="19"/>
  <c r="FA18" i="15"/>
  <c r="AG165" i="19"/>
  <c r="DE206" i="19"/>
  <c r="DF206" i="19"/>
  <c r="H124" i="19"/>
  <c r="AD124" i="19"/>
  <c r="CZ162" i="19"/>
  <c r="CZ186" i="19" s="1"/>
  <c r="CZ187" i="19"/>
  <c r="EW91" i="1"/>
  <c r="EW102" i="1"/>
  <c r="EW90" i="1"/>
  <c r="EX90" i="1"/>
  <c r="H98" i="11"/>
  <c r="EK9" i="25" s="1"/>
  <c r="I98" i="11"/>
  <c r="EL9" i="25" s="1"/>
  <c r="J98" i="11"/>
  <c r="EM9" i="25" s="1"/>
  <c r="K98" i="11"/>
  <c r="EN9" i="25" s="1"/>
  <c r="L98" i="11"/>
  <c r="AW98" i="11"/>
  <c r="AW117" i="11" s="1"/>
  <c r="DF236" i="19"/>
  <c r="DF260" i="19" s="1"/>
  <c r="DF261" i="19"/>
  <c r="DC236" i="19"/>
  <c r="DC260" i="19" s="1"/>
  <c r="DC261" i="19"/>
  <c r="L111" i="11"/>
  <c r="L159" i="11" s="1"/>
  <c r="AW111" i="11"/>
  <c r="AW159" i="11" s="1"/>
  <c r="FB159" i="11"/>
  <c r="FB123" i="1" s="1"/>
  <c r="CZ280" i="19"/>
  <c r="CV280" i="19"/>
  <c r="H207" i="19"/>
  <c r="DE162" i="19"/>
  <c r="DE186" i="19" s="1"/>
  <c r="DE187" i="19"/>
  <c r="FA144" i="11"/>
  <c r="FA127" i="1"/>
  <c r="H121" i="19"/>
  <c r="H133" i="19" s="1"/>
  <c r="AD121" i="19"/>
  <c r="AD133" i="19" s="1"/>
  <c r="AD139" i="19" s="1"/>
  <c r="EX8" i="25"/>
  <c r="AE90" i="19"/>
  <c r="AE132" i="19"/>
  <c r="I101" i="1"/>
  <c r="CM18" i="25" s="1"/>
  <c r="BQ6" i="25"/>
  <c r="S6" i="25"/>
  <c r="AW37" i="25" s="1"/>
  <c r="EV8" i="25"/>
  <c r="H132" i="19"/>
  <c r="AW42" i="19"/>
  <c r="AW47" i="19" s="1"/>
  <c r="EZ66" i="19"/>
  <c r="AW66" i="19" s="1"/>
  <c r="AW71" i="19" s="1"/>
  <c r="AE15" i="19"/>
  <c r="AE215" i="19"/>
  <c r="FB62" i="11"/>
  <c r="FB67" i="11" s="1"/>
  <c r="AG188" i="19"/>
  <c r="DD206" i="19"/>
  <c r="AE188" i="19"/>
  <c r="CX206" i="19"/>
  <c r="L124" i="1"/>
  <c r="AW124" i="1"/>
  <c r="DA169" i="19"/>
  <c r="CU169" i="19"/>
  <c r="DC169" i="19"/>
  <c r="H168" i="19"/>
  <c r="CV169" i="19"/>
  <c r="DD169" i="19"/>
  <c r="CW169" i="19"/>
  <c r="DE169" i="19"/>
  <c r="CX169" i="19"/>
  <c r="DF169" i="19"/>
  <c r="CY169" i="19"/>
  <c r="CZ169" i="19"/>
  <c r="DB169" i="19"/>
  <c r="CY162" i="19"/>
  <c r="CY186" i="19" s="1"/>
  <c r="CY187" i="19"/>
  <c r="FB104" i="11"/>
  <c r="FB21" i="11" s="1"/>
  <c r="AG195" i="19"/>
  <c r="AG207" i="19" s="1"/>
  <c r="AF120" i="19"/>
  <c r="AF96" i="19" s="1"/>
  <c r="CX236" i="19"/>
  <c r="CX260" i="19" s="1"/>
  <c r="CX261" i="19"/>
  <c r="CU236" i="19"/>
  <c r="CU260" i="19" s="1"/>
  <c r="CU261" i="19"/>
  <c r="DA281" i="19"/>
  <c r="CY280" i="19"/>
  <c r="DC280" i="19"/>
  <c r="EY100" i="1"/>
  <c r="EY101" i="1"/>
  <c r="AD165" i="19"/>
  <c r="AD207" i="19"/>
  <c r="AD213" i="19" s="1"/>
  <c r="CU18" i="19" l="1"/>
  <c r="CV200" i="19"/>
  <c r="CV212" i="19" s="1"/>
  <c r="CU218" i="19"/>
  <c r="AD13" i="19"/>
  <c r="AD145" i="19"/>
  <c r="FB20" i="11"/>
  <c r="FB92" i="11"/>
  <c r="AW67" i="11"/>
  <c r="AW92" i="11" s="1"/>
  <c r="CU24" i="19"/>
  <c r="CV274" i="19"/>
  <c r="CV286" i="19" s="1"/>
  <c r="CU292" i="19"/>
  <c r="AG260" i="19"/>
  <c r="CX168" i="19"/>
  <c r="CX192" i="19" s="1"/>
  <c r="CX193" i="19"/>
  <c r="AG238" i="19"/>
  <c r="CU30" i="19"/>
  <c r="CU36" i="19" s="1"/>
  <c r="G34" i="19"/>
  <c r="FD6" i="25"/>
  <c r="CU242" i="19"/>
  <c r="CU266" i="19" s="1"/>
  <c r="CU267" i="19"/>
  <c r="AE268" i="19"/>
  <c r="AE244" i="19" s="1"/>
  <c r="AE9" i="19"/>
  <c r="AE27" i="19" s="1"/>
  <c r="AE33" i="19" s="1"/>
  <c r="AE141" i="19"/>
  <c r="DF168" i="19"/>
  <c r="DF192" i="19" s="1"/>
  <c r="DF193" i="19"/>
  <c r="DF205" i="19" s="1"/>
  <c r="FB40" i="11"/>
  <c r="H62" i="11"/>
  <c r="H67" i="11" s="1"/>
  <c r="H92" i="11" s="1"/>
  <c r="I62" i="11"/>
  <c r="I67" i="11" s="1"/>
  <c r="I92" i="11" s="1"/>
  <c r="J62" i="11"/>
  <c r="J67" i="11" s="1"/>
  <c r="J92" i="11" s="1"/>
  <c r="K62" i="11"/>
  <c r="K67" i="11" s="1"/>
  <c r="K92" i="11" s="1"/>
  <c r="L62" i="11"/>
  <c r="L67" i="11" s="1"/>
  <c r="AW62" i="11"/>
  <c r="AW90" i="11" s="1"/>
  <c r="AD12" i="19"/>
  <c r="AD144" i="19"/>
  <c r="AW121" i="1"/>
  <c r="L121" i="1"/>
  <c r="AF164" i="19"/>
  <c r="AF206" i="19"/>
  <c r="AE194" i="19"/>
  <c r="AE170" i="19" s="1"/>
  <c r="DB242" i="19"/>
  <c r="DB266" i="19" s="1"/>
  <c r="DB267" i="19"/>
  <c r="DB279" i="19" s="1"/>
  <c r="AF268" i="19"/>
  <c r="AF244" i="19" s="1"/>
  <c r="DA89" i="19"/>
  <c r="DB89" i="19"/>
  <c r="CU89" i="19"/>
  <c r="DC89" i="19"/>
  <c r="H88" i="19"/>
  <c r="CV89" i="19"/>
  <c r="DD89" i="19"/>
  <c r="CW89" i="19"/>
  <c r="DE89" i="19"/>
  <c r="H95" i="19"/>
  <c r="CY89" i="19"/>
  <c r="CZ89" i="19"/>
  <c r="DF89" i="19"/>
  <c r="CX89" i="19"/>
  <c r="FA58" i="19"/>
  <c r="FA34" i="15"/>
  <c r="FA37" i="15"/>
  <c r="FA92" i="15"/>
  <c r="FA36" i="15"/>
  <c r="CU168" i="19"/>
  <c r="CU192" i="19" s="1"/>
  <c r="CU193" i="19"/>
  <c r="DE168" i="19"/>
  <c r="DE192" i="19" s="1"/>
  <c r="DE193" i="19"/>
  <c r="DE205" i="19" s="1"/>
  <c r="CY15" i="19"/>
  <c r="CZ197" i="19"/>
  <c r="CZ209" i="19" s="1"/>
  <c r="CY215" i="19"/>
  <c r="DF204" i="19"/>
  <c r="H104" i="11"/>
  <c r="AF132" i="19"/>
  <c r="DB278" i="19"/>
  <c r="DA280" i="19"/>
  <c r="AG194" i="19"/>
  <c r="AG170" i="19" s="1"/>
  <c r="DA242" i="19"/>
  <c r="DA266" i="19" s="1"/>
  <c r="DA267" i="19"/>
  <c r="AF267" i="19" s="1"/>
  <c r="AF243" i="19" s="1"/>
  <c r="AU91" i="1"/>
  <c r="AU102" i="1"/>
  <c r="AU89" i="1"/>
  <c r="AU90" i="1"/>
  <c r="AD164" i="19"/>
  <c r="AD206" i="19"/>
  <c r="AD212" i="19" s="1"/>
  <c r="G35" i="19"/>
  <c r="FD7" i="25"/>
  <c r="CW168" i="19"/>
  <c r="CW192" i="19" s="1"/>
  <c r="CW204" i="19" s="1"/>
  <c r="CW193" i="19"/>
  <c r="AD261" i="19"/>
  <c r="H261" i="19"/>
  <c r="CU279" i="19"/>
  <c r="CU285" i="19" s="1"/>
  <c r="CY204" i="19"/>
  <c r="DD168" i="19"/>
  <c r="DD192" i="19" s="1"/>
  <c r="AG192" i="19" s="1"/>
  <c r="AG168" i="19" s="1"/>
  <c r="DD193" i="19"/>
  <c r="FA100" i="1"/>
  <c r="FA101" i="1"/>
  <c r="AW123" i="1"/>
  <c r="L123" i="1"/>
  <c r="FA81" i="1"/>
  <c r="FA37" i="1"/>
  <c r="FA38" i="1"/>
  <c r="I76" i="1"/>
  <c r="AV81" i="1"/>
  <c r="AV38" i="1"/>
  <c r="AV92" i="1" s="1"/>
  <c r="AV93" i="1" s="1"/>
  <c r="AW47" i="11"/>
  <c r="AW44" i="11"/>
  <c r="EZ45" i="1"/>
  <c r="EZ19" i="11"/>
  <c r="AF238" i="19"/>
  <c r="AF280" i="19"/>
  <c r="DD242" i="19"/>
  <c r="DD266" i="19" s="1"/>
  <c r="DD278" i="19" s="1"/>
  <c r="DD267" i="19"/>
  <c r="CZ242" i="19"/>
  <c r="CZ266" i="19" s="1"/>
  <c r="CZ278" i="19" s="1"/>
  <c r="CZ267" i="19"/>
  <c r="AG187" i="19"/>
  <c r="DD205" i="19"/>
  <c r="AE187" i="19"/>
  <c r="CX205" i="19"/>
  <c r="DC242" i="19"/>
  <c r="DC266" i="19" s="1"/>
  <c r="DC278" i="19" s="1"/>
  <c r="DC267" i="19"/>
  <c r="FB44" i="1"/>
  <c r="H21" i="11"/>
  <c r="I21" i="11"/>
  <c r="J21" i="11"/>
  <c r="K21" i="11"/>
  <c r="AW21" i="11"/>
  <c r="H260" i="19"/>
  <c r="AD260" i="19"/>
  <c r="CU278" i="19"/>
  <c r="CU284" i="19" s="1"/>
  <c r="H76" i="1"/>
  <c r="FA92" i="1"/>
  <c r="FA93" i="1" s="1"/>
  <c r="EZ92" i="1"/>
  <c r="EZ93" i="1" s="1"/>
  <c r="AV37" i="1"/>
  <c r="EY92" i="1"/>
  <c r="EY93" i="1" s="1"/>
  <c r="AF187" i="19"/>
  <c r="DA205" i="19"/>
  <c r="CV242" i="19"/>
  <c r="CV266" i="19" s="1"/>
  <c r="CV278" i="19" s="1"/>
  <c r="CV267" i="19"/>
  <c r="CV279" i="19" s="1"/>
  <c r="CY242" i="19"/>
  <c r="CY266" i="19" s="1"/>
  <c r="CY278" i="19" s="1"/>
  <c r="CY267" i="19"/>
  <c r="CY279" i="19" s="1"/>
  <c r="AG268" i="19"/>
  <c r="AG244" i="19" s="1"/>
  <c r="CW279" i="19"/>
  <c r="AG186" i="19"/>
  <c r="DD204" i="19"/>
  <c r="CV25" i="19"/>
  <c r="CW275" i="19"/>
  <c r="CW287" i="19" s="1"/>
  <c r="CV293" i="19"/>
  <c r="CX280" i="19"/>
  <c r="AE186" i="19"/>
  <c r="CX204" i="19"/>
  <c r="EX110" i="1"/>
  <c r="EY106" i="1" s="1"/>
  <c r="EX99" i="1"/>
  <c r="CV12" i="19"/>
  <c r="CW126" i="19"/>
  <c r="CW138" i="19" s="1"/>
  <c r="CV144" i="19"/>
  <c r="AF260" i="19"/>
  <c r="DA278" i="19"/>
  <c r="DA168" i="19"/>
  <c r="DA192" i="19" s="1"/>
  <c r="DA193" i="19"/>
  <c r="AD19" i="19"/>
  <c r="AD219" i="19"/>
  <c r="DB168" i="19"/>
  <c r="DB192" i="19" s="1"/>
  <c r="DB193" i="19"/>
  <c r="CV168" i="19"/>
  <c r="CV192" i="19" s="1"/>
  <c r="CV204" i="19" s="1"/>
  <c r="CV193" i="19"/>
  <c r="CV205" i="19" s="1"/>
  <c r="AE164" i="19"/>
  <c r="FA125" i="11"/>
  <c r="AE261" i="19"/>
  <c r="CZ168" i="19"/>
  <c r="CZ192" i="19" s="1"/>
  <c r="CZ204" i="19" s="1"/>
  <c r="CZ193" i="19"/>
  <c r="CZ205" i="19" s="1"/>
  <c r="FA42" i="19"/>
  <c r="FA12" i="15"/>
  <c r="FA40" i="15"/>
  <c r="FA14" i="15"/>
  <c r="FA90" i="15"/>
  <c r="FA15" i="15"/>
  <c r="AD238" i="19"/>
  <c r="CU19" i="19"/>
  <c r="CV201" i="19"/>
  <c r="CV213" i="19" s="1"/>
  <c r="CU219" i="19"/>
  <c r="AF186" i="19"/>
  <c r="DA204" i="19"/>
  <c r="H187" i="19"/>
  <c r="AD187" i="19"/>
  <c r="CU205" i="19"/>
  <c r="CU211" i="19" s="1"/>
  <c r="H194" i="19"/>
  <c r="H206" i="19" s="1"/>
  <c r="AD194" i="19"/>
  <c r="AD170" i="19" s="1"/>
  <c r="DE242" i="19"/>
  <c r="DE266" i="19" s="1"/>
  <c r="DE278" i="19" s="1"/>
  <c r="DE267" i="19"/>
  <c r="DE279" i="19" s="1"/>
  <c r="DF242" i="19"/>
  <c r="DF266" i="19" s="1"/>
  <c r="DF278" i="19" s="1"/>
  <c r="DF267" i="19"/>
  <c r="DF279" i="19" s="1"/>
  <c r="CY21" i="19"/>
  <c r="CZ271" i="19"/>
  <c r="CZ283" i="19" s="1"/>
  <c r="CY289" i="19"/>
  <c r="CW278" i="19"/>
  <c r="DB205" i="19"/>
  <c r="AE238" i="19"/>
  <c r="AE280" i="19"/>
  <c r="CV13" i="19"/>
  <c r="CW127" i="19"/>
  <c r="CW139" i="19" s="1"/>
  <c r="CV145" i="19"/>
  <c r="H268" i="19"/>
  <c r="H280" i="19" s="1"/>
  <c r="AD268" i="19"/>
  <c r="AD244" i="19" s="1"/>
  <c r="CX9" i="19"/>
  <c r="CX27" i="19" s="1"/>
  <c r="CX33" i="19" s="1"/>
  <c r="CY123" i="19"/>
  <c r="CY135" i="19" s="1"/>
  <c r="CX141" i="19"/>
  <c r="AE260" i="19"/>
  <c r="CY168" i="19"/>
  <c r="CY192" i="19" s="1"/>
  <c r="CY193" i="19"/>
  <c r="CY205" i="19" s="1"/>
  <c r="DC168" i="19"/>
  <c r="DC192" i="19" s="1"/>
  <c r="DC193" i="19"/>
  <c r="DC205" i="19" s="1"/>
  <c r="AG164" i="19"/>
  <c r="AG206" i="19"/>
  <c r="DE204" i="19"/>
  <c r="DC279" i="19"/>
  <c r="FA50" i="19"/>
  <c r="FA23" i="15"/>
  <c r="FA91" i="15"/>
  <c r="FA25" i="15"/>
  <c r="FA26" i="15"/>
  <c r="EZ71" i="19"/>
  <c r="H102" i="11"/>
  <c r="EK13" i="25" s="1"/>
  <c r="EK15" i="25" s="1"/>
  <c r="EK16" i="25" s="1"/>
  <c r="I102" i="11"/>
  <c r="EL13" i="25" s="1"/>
  <c r="EL15" i="25" s="1"/>
  <c r="EL16" i="25" s="1"/>
  <c r="J102" i="11"/>
  <c r="EM13" i="25" s="1"/>
  <c r="EM15" i="25" s="1"/>
  <c r="K102" i="11"/>
  <c r="EN13" i="25" s="1"/>
  <c r="EN15" i="25" s="1"/>
  <c r="EN16" i="25" s="1"/>
  <c r="L102" i="11"/>
  <c r="L104" i="11" s="1"/>
  <c r="L21" i="11" s="1"/>
  <c r="AW102" i="11"/>
  <c r="AW118" i="11" s="1"/>
  <c r="CZ279" i="19"/>
  <c r="EY132" i="11"/>
  <c r="EY22" i="11" s="1"/>
  <c r="AV125" i="11"/>
  <c r="H186" i="19"/>
  <c r="AD186" i="19"/>
  <c r="CU204" i="19"/>
  <c r="CU210" i="19" s="1"/>
  <c r="AD25" i="19"/>
  <c r="AD293" i="19"/>
  <c r="CW242" i="19"/>
  <c r="CW266" i="19" s="1"/>
  <c r="CW267" i="19"/>
  <c r="CX242" i="19"/>
  <c r="CX266" i="19" s="1"/>
  <c r="AE266" i="19" s="1"/>
  <c r="AE242" i="19" s="1"/>
  <c r="CX267" i="19"/>
  <c r="AE267" i="19" s="1"/>
  <c r="AE243" i="19" s="1"/>
  <c r="AG261" i="19"/>
  <c r="DD279" i="19"/>
  <c r="CW205" i="19"/>
  <c r="DB204" i="19"/>
  <c r="FB140" i="11"/>
  <c r="AF261" i="19"/>
  <c r="DA279" i="19"/>
  <c r="DC204" i="19"/>
  <c r="CU31" i="19"/>
  <c r="CU37" i="19" s="1"/>
  <c r="EM16" i="25" l="1"/>
  <c r="AG237" i="19"/>
  <c r="DB88" i="19"/>
  <c r="DB112" i="19" s="1"/>
  <c r="DB113" i="19"/>
  <c r="AF163" i="19"/>
  <c r="CU23" i="19"/>
  <c r="CV273" i="19"/>
  <c r="CV285" i="19" s="1"/>
  <c r="CU291" i="19"/>
  <c r="FA63" i="19"/>
  <c r="FB29" i="15"/>
  <c r="DE88" i="19"/>
  <c r="DE112" i="19" s="1"/>
  <c r="DE113" i="19"/>
  <c r="DA88" i="19"/>
  <c r="DA112" i="19" s="1"/>
  <c r="DA113" i="19"/>
  <c r="AG280" i="19"/>
  <c r="AG236" i="19"/>
  <c r="CU16" i="19"/>
  <c r="CU216" i="19"/>
  <c r="CV198" i="19"/>
  <c r="CV210" i="19" s="1"/>
  <c r="AD162" i="19"/>
  <c r="AE163" i="19"/>
  <c r="AF162" i="19"/>
  <c r="AE237" i="19"/>
  <c r="AE279" i="19"/>
  <c r="AG163" i="19"/>
  <c r="K104" i="11"/>
  <c r="AF266" i="19"/>
  <c r="AF242" i="19" s="1"/>
  <c r="CW88" i="19"/>
  <c r="CW112" i="19" s="1"/>
  <c r="CW113" i="19"/>
  <c r="FB45" i="11"/>
  <c r="H40" i="11"/>
  <c r="H45" i="11" s="1"/>
  <c r="I40" i="11"/>
  <c r="I45" i="11" s="1"/>
  <c r="J40" i="11"/>
  <c r="J45" i="11" s="1"/>
  <c r="K40" i="11"/>
  <c r="K45" i="11" s="1"/>
  <c r="L40" i="11"/>
  <c r="L45" i="11" s="1"/>
  <c r="AW40" i="11"/>
  <c r="AW45" i="11" s="1"/>
  <c r="FB41" i="11"/>
  <c r="AD18" i="19"/>
  <c r="AD218" i="19"/>
  <c r="EY45" i="1"/>
  <c r="AV22" i="11"/>
  <c r="AV19" i="11" s="1"/>
  <c r="EY19" i="11"/>
  <c r="CX278" i="19"/>
  <c r="CW13" i="19"/>
  <c r="CX127" i="19"/>
  <c r="CW145" i="19"/>
  <c r="CV19" i="19"/>
  <c r="CW201" i="19"/>
  <c r="CW213" i="19" s="1"/>
  <c r="CV219" i="19"/>
  <c r="FA47" i="19"/>
  <c r="FB7" i="15"/>
  <c r="FA45" i="15"/>
  <c r="CW12" i="19"/>
  <c r="CX126" i="19"/>
  <c r="CW144" i="19"/>
  <c r="CW25" i="19"/>
  <c r="CX275" i="19"/>
  <c r="CW293" i="19"/>
  <c r="CU22" i="19"/>
  <c r="CV272" i="19"/>
  <c r="CV284" i="19" s="1"/>
  <c r="CU290" i="19"/>
  <c r="FB83" i="1"/>
  <c r="H44" i="1"/>
  <c r="I44" i="1"/>
  <c r="J44" i="1"/>
  <c r="K44" i="1"/>
  <c r="L44" i="1"/>
  <c r="L83" i="1" s="1"/>
  <c r="AW44" i="1"/>
  <c r="AW83" i="1" s="1"/>
  <c r="AD237" i="19"/>
  <c r="DD88" i="19"/>
  <c r="DD112" i="19" s="1"/>
  <c r="DD113" i="19"/>
  <c r="H267" i="19"/>
  <c r="H279" i="19" s="1"/>
  <c r="AD267" i="19"/>
  <c r="AD243" i="19" s="1"/>
  <c r="AE162" i="19"/>
  <c r="AG266" i="19"/>
  <c r="AG242" i="19" s="1"/>
  <c r="CX95" i="19"/>
  <c r="DF95" i="19"/>
  <c r="CY95" i="19"/>
  <c r="CZ95" i="19"/>
  <c r="DA95" i="19"/>
  <c r="DB95" i="19"/>
  <c r="H94" i="19"/>
  <c r="CW95" i="19"/>
  <c r="DC95" i="19"/>
  <c r="DD95" i="19"/>
  <c r="DE95" i="19"/>
  <c r="CU95" i="19"/>
  <c r="CV95" i="19"/>
  <c r="CX279" i="19"/>
  <c r="AF236" i="19"/>
  <c r="AF278" i="19"/>
  <c r="AF237" i="19"/>
  <c r="AF279" i="19"/>
  <c r="AV145" i="11"/>
  <c r="AV132" i="11"/>
  <c r="FA47" i="15"/>
  <c r="FA48" i="15"/>
  <c r="FB129" i="11"/>
  <c r="FB139" i="11"/>
  <c r="L140" i="11"/>
  <c r="AW140" i="11"/>
  <c r="AE236" i="19"/>
  <c r="AE278" i="19"/>
  <c r="CV31" i="19"/>
  <c r="CV37" i="19" s="1"/>
  <c r="CZ21" i="19"/>
  <c r="CZ289" i="19"/>
  <c r="DA271" i="19"/>
  <c r="FA66" i="19"/>
  <c r="FA132" i="11"/>
  <c r="FA22" i="11" s="1"/>
  <c r="CV30" i="19"/>
  <c r="CV36" i="19" s="1"/>
  <c r="AD236" i="19"/>
  <c r="AD193" i="19"/>
  <c r="AD169" i="19" s="1"/>
  <c r="H193" i="19"/>
  <c r="CX88" i="19"/>
  <c r="CX112" i="19" s="1"/>
  <c r="CX113" i="19"/>
  <c r="CV88" i="19"/>
  <c r="CV112" i="19" s="1"/>
  <c r="CV113" i="19"/>
  <c r="AD266" i="19"/>
  <c r="AD242" i="19" s="1"/>
  <c r="H266" i="19"/>
  <c r="CV24" i="19"/>
  <c r="CW274" i="19"/>
  <c r="CW286" i="19" s="1"/>
  <c r="CV292" i="19"/>
  <c r="AD31" i="19"/>
  <c r="CU17" i="19"/>
  <c r="CU217" i="19"/>
  <c r="CV199" i="19"/>
  <c r="CV211" i="19" s="1"/>
  <c r="AD280" i="19"/>
  <c r="AD286" i="19" s="1"/>
  <c r="AE206" i="19"/>
  <c r="H278" i="19"/>
  <c r="EZ84" i="1"/>
  <c r="EZ42" i="1"/>
  <c r="CZ15" i="19"/>
  <c r="DA197" i="19"/>
  <c r="CZ215" i="19"/>
  <c r="AD192" i="19"/>
  <c r="AD168" i="19" s="1"/>
  <c r="H192" i="19"/>
  <c r="H204" i="19" s="1"/>
  <c r="DF88" i="19"/>
  <c r="DF112" i="19" s="1"/>
  <c r="DF113" i="19"/>
  <c r="J104" i="11"/>
  <c r="L20" i="11"/>
  <c r="L92" i="11"/>
  <c r="FD10" i="25"/>
  <c r="AE193" i="19"/>
  <c r="AE169" i="19" s="1"/>
  <c r="FB43" i="1"/>
  <c r="I20" i="11"/>
  <c r="J20" i="11"/>
  <c r="K20" i="11"/>
  <c r="AW20" i="11"/>
  <c r="CY9" i="19"/>
  <c r="CY27" i="19" s="1"/>
  <c r="CY33" i="19" s="1"/>
  <c r="CZ123" i="19"/>
  <c r="CZ135" i="19" s="1"/>
  <c r="CY141" i="19"/>
  <c r="AD163" i="19"/>
  <c r="AD205" i="19"/>
  <c r="AD211" i="19" s="1"/>
  <c r="AF193" i="19"/>
  <c r="AF169" i="19" s="1"/>
  <c r="EY110" i="1"/>
  <c r="EZ106" i="1" s="1"/>
  <c r="EY99" i="1"/>
  <c r="AG162" i="19"/>
  <c r="AG204" i="19"/>
  <c r="I104" i="11"/>
  <c r="AG193" i="19"/>
  <c r="AG169" i="19" s="1"/>
  <c r="CZ88" i="19"/>
  <c r="CZ112" i="19" s="1"/>
  <c r="CZ113" i="19"/>
  <c r="DC88" i="19"/>
  <c r="DC112" i="19" s="1"/>
  <c r="DC113" i="19"/>
  <c r="AE192" i="19"/>
  <c r="AE168" i="19" s="1"/>
  <c r="CV18" i="19"/>
  <c r="CW200" i="19"/>
  <c r="CW212" i="19" s="1"/>
  <c r="CV218" i="19"/>
  <c r="FA55" i="19"/>
  <c r="FB18" i="15"/>
  <c r="H205" i="19"/>
  <c r="AF192" i="19"/>
  <c r="AF168" i="19" s="1"/>
  <c r="AW104" i="11"/>
  <c r="AG267" i="19"/>
  <c r="AG243" i="19" s="1"/>
  <c r="CY88" i="19"/>
  <c r="CY112" i="19" s="1"/>
  <c r="CY113" i="19"/>
  <c r="CU88" i="19"/>
  <c r="CU112" i="19" s="1"/>
  <c r="CU113" i="19"/>
  <c r="AE112" i="19" l="1"/>
  <c r="CX94" i="19"/>
  <c r="CX118" i="19" s="1"/>
  <c r="CX119" i="19"/>
  <c r="AF112" i="19"/>
  <c r="AF271" i="19"/>
  <c r="AF283" i="19" s="1"/>
  <c r="DA283" i="19"/>
  <c r="AW139" i="11"/>
  <c r="L139" i="11"/>
  <c r="L162" i="11" s="1"/>
  <c r="L163" i="11" s="1"/>
  <c r="FB162" i="11"/>
  <c r="CW94" i="19"/>
  <c r="CW118" i="19" s="1"/>
  <c r="CW119" i="19"/>
  <c r="AD279" i="19"/>
  <c r="AD285" i="19" s="1"/>
  <c r="AE126" i="19"/>
  <c r="AE138" i="19" s="1"/>
  <c r="CX138" i="19"/>
  <c r="CV16" i="19"/>
  <c r="CV216" i="19"/>
  <c r="CW198" i="19"/>
  <c r="CW210" i="19" s="1"/>
  <c r="EZ110" i="1"/>
  <c r="FA106" i="1" s="1"/>
  <c r="EZ99" i="1"/>
  <c r="H113" i="19"/>
  <c r="AD113" i="19"/>
  <c r="FB50" i="19"/>
  <c r="FB23" i="15"/>
  <c r="FB55" i="19" s="1"/>
  <c r="FB91" i="15"/>
  <c r="FB25" i="15"/>
  <c r="FB26" i="15"/>
  <c r="CW18" i="19"/>
  <c r="CW30" i="19" s="1"/>
  <c r="CW36" i="19" s="1"/>
  <c r="CX200" i="19"/>
  <c r="CW218" i="19"/>
  <c r="H83" i="1"/>
  <c r="BP21" i="25"/>
  <c r="AV10" i="25"/>
  <c r="AV11" i="25" s="1"/>
  <c r="AF205" i="19"/>
  <c r="CZ9" i="19"/>
  <c r="CZ27" i="19" s="1"/>
  <c r="CZ33" i="19" s="1"/>
  <c r="DA123" i="19"/>
  <c r="CZ141" i="19"/>
  <c r="CW24" i="19"/>
  <c r="CX274" i="19"/>
  <c r="CW292" i="19"/>
  <c r="AD24" i="19"/>
  <c r="AD30" i="19" s="1"/>
  <c r="AD292" i="19"/>
  <c r="FB130" i="11"/>
  <c r="H129" i="11"/>
  <c r="EU14" i="25" s="1"/>
  <c r="I129" i="11"/>
  <c r="EV14" i="25" s="1"/>
  <c r="J129" i="11"/>
  <c r="EW14" i="25" s="1"/>
  <c r="K129" i="11"/>
  <c r="EX14" i="25" s="1"/>
  <c r="L129" i="11"/>
  <c r="AW129" i="11"/>
  <c r="AW141" i="11" s="1"/>
  <c r="AE204" i="19"/>
  <c r="AE127" i="19"/>
  <c r="AE139" i="19" s="1"/>
  <c r="CX139" i="19"/>
  <c r="FB16" i="11"/>
  <c r="FB34" i="1" s="1"/>
  <c r="H41" i="11"/>
  <c r="H16" i="11" s="1"/>
  <c r="I41" i="11"/>
  <c r="I16" i="11" s="1"/>
  <c r="J41" i="11"/>
  <c r="J16" i="11" s="1"/>
  <c r="K41" i="11"/>
  <c r="K16" i="11" s="1"/>
  <c r="L41" i="11"/>
  <c r="L16" i="11" s="1"/>
  <c r="AW41" i="11"/>
  <c r="AW16" i="11" s="1"/>
  <c r="FB42" i="11"/>
  <c r="CW131" i="19"/>
  <c r="DE130" i="19"/>
  <c r="DC94" i="19"/>
  <c r="DC118" i="19" s="1"/>
  <c r="DC119" i="19"/>
  <c r="DC131" i="19" s="1"/>
  <c r="AG112" i="19"/>
  <c r="DD130" i="19"/>
  <c r="AF197" i="19"/>
  <c r="AF209" i="19" s="1"/>
  <c r="DA209" i="19"/>
  <c r="CV17" i="19"/>
  <c r="CW199" i="19"/>
  <c r="CW211" i="19" s="1"/>
  <c r="CV217" i="19"/>
  <c r="AD278" i="19"/>
  <c r="AD284" i="19" s="1"/>
  <c r="DB94" i="19"/>
  <c r="DB118" i="19" s="1"/>
  <c r="DB119" i="19"/>
  <c r="CV22" i="19"/>
  <c r="CV290" i="19"/>
  <c r="CW272" i="19"/>
  <c r="CW284" i="19" s="1"/>
  <c r="CW130" i="19"/>
  <c r="AF204" i="19"/>
  <c r="FB58" i="19"/>
  <c r="FB34" i="15"/>
  <c r="FB63" i="19" s="1"/>
  <c r="FB92" i="15"/>
  <c r="FB36" i="15"/>
  <c r="FB37" i="15"/>
  <c r="DB131" i="19"/>
  <c r="CV94" i="19"/>
  <c r="CV118" i="19" s="1"/>
  <c r="CV130" i="19" s="1"/>
  <c r="CV119" i="19"/>
  <c r="DA94" i="19"/>
  <c r="DA118" i="19" s="1"/>
  <c r="DA130" i="19" s="1"/>
  <c r="DA119" i="19"/>
  <c r="FB42" i="19"/>
  <c r="FB66" i="19" s="1"/>
  <c r="FB12" i="15"/>
  <c r="FB40" i="15"/>
  <c r="FB15" i="15"/>
  <c r="FB14" i="15"/>
  <c r="FB90" i="15"/>
  <c r="AG278" i="19"/>
  <c r="DB130" i="19"/>
  <c r="DC130" i="19"/>
  <c r="CZ131" i="19"/>
  <c r="CV131" i="19"/>
  <c r="CU94" i="19"/>
  <c r="CU118" i="19" s="1"/>
  <c r="CU119" i="19"/>
  <c r="CU131" i="19" s="1"/>
  <c r="CU137" i="19" s="1"/>
  <c r="CZ94" i="19"/>
  <c r="CZ118" i="19" s="1"/>
  <c r="CZ119" i="19"/>
  <c r="BS21" i="25"/>
  <c r="K83" i="1"/>
  <c r="AY10" i="25"/>
  <c r="AY11" i="25" s="1"/>
  <c r="FA71" i="19"/>
  <c r="AE205" i="19"/>
  <c r="AG279" i="19"/>
  <c r="DE94" i="19"/>
  <c r="DE118" i="19" s="1"/>
  <c r="DE119" i="19"/>
  <c r="DE131" i="19" s="1"/>
  <c r="CY94" i="19"/>
  <c r="CY118" i="19" s="1"/>
  <c r="CY130" i="19" s="1"/>
  <c r="CY119" i="19"/>
  <c r="J83" i="1"/>
  <c r="AX10" i="25"/>
  <c r="AX11" i="25" s="1"/>
  <c r="BR21" i="25"/>
  <c r="AE275" i="19"/>
  <c r="AE287" i="19" s="1"/>
  <c r="CX287" i="19"/>
  <c r="CV23" i="19"/>
  <c r="CW273" i="19"/>
  <c r="CW285" i="19" s="1"/>
  <c r="CV291" i="19"/>
  <c r="EZ65" i="1"/>
  <c r="EZ48" i="1"/>
  <c r="AD112" i="19"/>
  <c r="H112" i="19"/>
  <c r="CU130" i="19"/>
  <c r="CU136" i="19" s="1"/>
  <c r="CZ130" i="19"/>
  <c r="AD17" i="19"/>
  <c r="AD217" i="19"/>
  <c r="CY131" i="19"/>
  <c r="FB82" i="1"/>
  <c r="FB85" i="1"/>
  <c r="FB57" i="1"/>
  <c r="I43" i="1"/>
  <c r="FB54" i="1"/>
  <c r="J43" i="1"/>
  <c r="K43" i="1"/>
  <c r="L43" i="1"/>
  <c r="AW43" i="1"/>
  <c r="AD37" i="19"/>
  <c r="FG9" i="7"/>
  <c r="AE113" i="19"/>
  <c r="CX131" i="19"/>
  <c r="FA45" i="1"/>
  <c r="FA19" i="11"/>
  <c r="DD94" i="19"/>
  <c r="DD118" i="19" s="1"/>
  <c r="DD119" i="19"/>
  <c r="AG119" i="19" s="1"/>
  <c r="AG95" i="19" s="1"/>
  <c r="DF94" i="19"/>
  <c r="DF118" i="19" s="1"/>
  <c r="DF130" i="19" s="1"/>
  <c r="DF119" i="19"/>
  <c r="DF131" i="19" s="1"/>
  <c r="AG113" i="19"/>
  <c r="DD131" i="19"/>
  <c r="I83" i="1"/>
  <c r="AW10" i="25"/>
  <c r="AW11" i="25" s="1"/>
  <c r="BQ21" i="25"/>
  <c r="CW19" i="19"/>
  <c r="CW31" i="19" s="1"/>
  <c r="CW37" i="19" s="1"/>
  <c r="CX201" i="19"/>
  <c r="CW219" i="19"/>
  <c r="EY84" i="1"/>
  <c r="AV45" i="1"/>
  <c r="AV84" i="1" s="1"/>
  <c r="EY42" i="1"/>
  <c r="AG205" i="19"/>
  <c r="AD204" i="19"/>
  <c r="AD210" i="19" s="1"/>
  <c r="AF113" i="19"/>
  <c r="DA131" i="19"/>
  <c r="CU11" i="19" l="1"/>
  <c r="CU29" i="19" s="1"/>
  <c r="CU35" i="19" s="1"/>
  <c r="CU143" i="19"/>
  <c r="CV125" i="19"/>
  <c r="CV137" i="19" s="1"/>
  <c r="J57" i="1"/>
  <c r="AD14" i="25"/>
  <c r="AD15" i="25" s="1"/>
  <c r="J82" i="1"/>
  <c r="AX6" i="25"/>
  <c r="AX7" i="25" s="1"/>
  <c r="BR20" i="25"/>
  <c r="J85" i="1"/>
  <c r="CC7" i="25"/>
  <c r="J54" i="1"/>
  <c r="AD118" i="19"/>
  <c r="AD94" i="19" s="1"/>
  <c r="H118" i="19"/>
  <c r="H130" i="19" s="1"/>
  <c r="AG88" i="19"/>
  <c r="AG130" i="19"/>
  <c r="AD23" i="19"/>
  <c r="AD291" i="19"/>
  <c r="AE12" i="19"/>
  <c r="AE144" i="19"/>
  <c r="AF21" i="19"/>
  <c r="AF289" i="19"/>
  <c r="AG89" i="19"/>
  <c r="AG131" i="19"/>
  <c r="AE89" i="19"/>
  <c r="FB47" i="15"/>
  <c r="FB48" i="15"/>
  <c r="CW17" i="19"/>
  <c r="CX199" i="19"/>
  <c r="CW217" i="19"/>
  <c r="AD36" i="19"/>
  <c r="FG8" i="7"/>
  <c r="FA110" i="1"/>
  <c r="FB106" i="1" s="1"/>
  <c r="FA99" i="1"/>
  <c r="AF88" i="19"/>
  <c r="H130" i="11"/>
  <c r="EU15" i="25" s="1"/>
  <c r="I130" i="11"/>
  <c r="EV15" i="25" s="1"/>
  <c r="J130" i="11"/>
  <c r="EW15" i="25" s="1"/>
  <c r="K130" i="11"/>
  <c r="EX15" i="25" s="1"/>
  <c r="L130" i="11"/>
  <c r="AW130" i="11"/>
  <c r="AW149" i="11" s="1"/>
  <c r="FB47" i="19"/>
  <c r="FB71" i="19" s="1"/>
  <c r="FB45" i="15"/>
  <c r="CW22" i="19"/>
  <c r="CX272" i="19"/>
  <c r="CW290" i="19"/>
  <c r="AE119" i="19"/>
  <c r="AE95" i="19" s="1"/>
  <c r="I57" i="1"/>
  <c r="AC14" i="25"/>
  <c r="AC15" i="25" s="1"/>
  <c r="CB7" i="25"/>
  <c r="I82" i="1"/>
  <c r="I85" i="1"/>
  <c r="BQ20" i="25"/>
  <c r="AW6" i="25"/>
  <c r="AW7" i="25" s="1"/>
  <c r="I54" i="1"/>
  <c r="AF89" i="19"/>
  <c r="DA15" i="19"/>
  <c r="DB197" i="19"/>
  <c r="DB209" i="19" s="1"/>
  <c r="DA215" i="19"/>
  <c r="AE274" i="19"/>
  <c r="AE286" i="19" s="1"/>
  <c r="CX286" i="19"/>
  <c r="CW16" i="19"/>
  <c r="CW216" i="19"/>
  <c r="CX198" i="19"/>
  <c r="FB126" i="1"/>
  <c r="FB163" i="11"/>
  <c r="AE118" i="19"/>
  <c r="AE94" i="19" s="1"/>
  <c r="FA84" i="1"/>
  <c r="FA42" i="1"/>
  <c r="CX25" i="19"/>
  <c r="CY275" i="19"/>
  <c r="CY287" i="19" s="1"/>
  <c r="CX293" i="19"/>
  <c r="AF119" i="19"/>
  <c r="AF95" i="19" s="1"/>
  <c r="AF15" i="19"/>
  <c r="AF215" i="19"/>
  <c r="FB33" i="1"/>
  <c r="FB55" i="1"/>
  <c r="H34" i="1"/>
  <c r="I34" i="1"/>
  <c r="J34" i="1"/>
  <c r="K34" i="1"/>
  <c r="L34" i="1"/>
  <c r="FB39" i="1"/>
  <c r="AW34" i="1"/>
  <c r="CX130" i="19"/>
  <c r="K57" i="1"/>
  <c r="K85" i="1"/>
  <c r="BS20" i="25"/>
  <c r="AE14" i="25"/>
  <c r="AE15" i="25" s="1"/>
  <c r="CD7" i="25"/>
  <c r="K82" i="1"/>
  <c r="AY6" i="25"/>
  <c r="AY7" i="25" s="1"/>
  <c r="K54" i="1"/>
  <c r="AW85" i="1"/>
  <c r="AW82" i="1"/>
  <c r="AW57" i="1"/>
  <c r="AW54" i="1"/>
  <c r="AD88" i="19"/>
  <c r="AD130" i="19"/>
  <c r="AD136" i="19" s="1"/>
  <c r="AE25" i="19"/>
  <c r="AE293" i="19"/>
  <c r="AF118" i="19"/>
  <c r="AF94" i="19" s="1"/>
  <c r="FB46" i="11"/>
  <c r="H42" i="11"/>
  <c r="H46" i="11" s="1"/>
  <c r="I42" i="11"/>
  <c r="I46" i="11" s="1"/>
  <c r="J42" i="11"/>
  <c r="J46" i="11" s="1"/>
  <c r="K42" i="11"/>
  <c r="K46" i="11" s="1"/>
  <c r="L42" i="11"/>
  <c r="L46" i="11" s="1"/>
  <c r="AW42" i="11"/>
  <c r="AW46" i="11" s="1"/>
  <c r="CX13" i="19"/>
  <c r="CY127" i="19"/>
  <c r="CY139" i="19" s="1"/>
  <c r="CX145" i="19"/>
  <c r="AW162" i="11"/>
  <c r="AW163" i="11" s="1"/>
  <c r="AW142" i="11"/>
  <c r="AE88" i="19"/>
  <c r="EZ71" i="1"/>
  <c r="AD119" i="19"/>
  <c r="AD95" i="19" s="1"/>
  <c r="H119" i="19"/>
  <c r="H131" i="19" s="1"/>
  <c r="AD22" i="19"/>
  <c r="AD290" i="19"/>
  <c r="AE201" i="19"/>
  <c r="AE213" i="19" s="1"/>
  <c r="CX213" i="19"/>
  <c r="CW23" i="19"/>
  <c r="CX273" i="19"/>
  <c r="CW291" i="19"/>
  <c r="CU10" i="19"/>
  <c r="CU28" i="19" s="1"/>
  <c r="CU34" i="19" s="1"/>
  <c r="CV124" i="19"/>
  <c r="CV136" i="19" s="1"/>
  <c r="CU142" i="19"/>
  <c r="AD16" i="19"/>
  <c r="AD216" i="19"/>
  <c r="AG118" i="19"/>
  <c r="AG94" i="19" s="1"/>
  <c r="AV42" i="1"/>
  <c r="EY48" i="1"/>
  <c r="AV48" i="1" s="1"/>
  <c r="EY65" i="1"/>
  <c r="L57" i="1"/>
  <c r="L82" i="1"/>
  <c r="L54" i="1"/>
  <c r="AE13" i="19"/>
  <c r="AE145" i="19"/>
  <c r="DA135" i="19"/>
  <c r="AF123" i="19"/>
  <c r="AF135" i="19" s="1"/>
  <c r="AE200" i="19"/>
  <c r="AE212" i="19" s="1"/>
  <c r="CX212" i="19"/>
  <c r="AD89" i="19"/>
  <c r="CX12" i="19"/>
  <c r="CY126" i="19"/>
  <c r="CY138" i="19" s="1"/>
  <c r="CX144" i="19"/>
  <c r="DA21" i="19"/>
  <c r="DA289" i="19"/>
  <c r="DB271" i="19"/>
  <c r="DB283" i="19" s="1"/>
  <c r="AE272" i="19" l="1"/>
  <c r="AE284" i="19" s="1"/>
  <c r="CX284" i="19"/>
  <c r="CY13" i="19"/>
  <c r="CZ127" i="19"/>
  <c r="CZ139" i="19" s="1"/>
  <c r="CY145" i="19"/>
  <c r="T11" i="25"/>
  <c r="BR11" i="25"/>
  <c r="J33" i="1"/>
  <c r="J55" i="1"/>
  <c r="J39" i="1"/>
  <c r="FB144" i="11"/>
  <c r="FB127" i="1"/>
  <c r="DB15" i="19"/>
  <c r="DC197" i="19"/>
  <c r="DC209" i="19" s="1"/>
  <c r="DB215" i="19"/>
  <c r="AE199" i="19"/>
  <c r="AE211" i="19" s="1"/>
  <c r="CX211" i="19"/>
  <c r="K55" i="1"/>
  <c r="K33" i="1"/>
  <c r="U11" i="25"/>
  <c r="BS11" i="25"/>
  <c r="K39" i="1"/>
  <c r="I33" i="1"/>
  <c r="S11" i="25"/>
  <c r="BQ11" i="25"/>
  <c r="I55" i="1"/>
  <c r="I39" i="1"/>
  <c r="CY25" i="19"/>
  <c r="CZ275" i="19"/>
  <c r="CZ287" i="19" s="1"/>
  <c r="CY293" i="19"/>
  <c r="L126" i="1"/>
  <c r="L127" i="1" s="1"/>
  <c r="AW126" i="1"/>
  <c r="AW127" i="1" s="1"/>
  <c r="AF130" i="19"/>
  <c r="CY12" i="19"/>
  <c r="CZ126" i="19"/>
  <c r="CZ138" i="19" s="1"/>
  <c r="CY144" i="19"/>
  <c r="AE273" i="19"/>
  <c r="AE285" i="19" s="1"/>
  <c r="CX285" i="19"/>
  <c r="AD131" i="19"/>
  <c r="AD137" i="19" s="1"/>
  <c r="H33" i="1"/>
  <c r="H55" i="1"/>
  <c r="R11" i="25"/>
  <c r="BP11" i="25"/>
  <c r="H39" i="1"/>
  <c r="AE198" i="19"/>
  <c r="AE210" i="19" s="1"/>
  <c r="CX210" i="19"/>
  <c r="AF131" i="19"/>
  <c r="EZ91" i="1"/>
  <c r="EZ102" i="1"/>
  <c r="CX19" i="19"/>
  <c r="CX31" i="19" s="1"/>
  <c r="CX37" i="19" s="1"/>
  <c r="CY201" i="19"/>
  <c r="CY213" i="19" s="1"/>
  <c r="CX219" i="19"/>
  <c r="AE130" i="19"/>
  <c r="DA9" i="19"/>
  <c r="DA27" i="19" s="1"/>
  <c r="DA33" i="19" s="1"/>
  <c r="DB123" i="19"/>
  <c r="DB135" i="19" s="1"/>
  <c r="DA141" i="19"/>
  <c r="DB21" i="19"/>
  <c r="DB289" i="19"/>
  <c r="DC271" i="19"/>
  <c r="DC283" i="19" s="1"/>
  <c r="CX18" i="19"/>
  <c r="CX30" i="19" s="1"/>
  <c r="CX36" i="19" s="1"/>
  <c r="CY200" i="19"/>
  <c r="CY212" i="19" s="1"/>
  <c r="CX218" i="19"/>
  <c r="AE19" i="19"/>
  <c r="AE31" i="19" s="1"/>
  <c r="AE219" i="19"/>
  <c r="AD10" i="19"/>
  <c r="AD28" i="19" s="1"/>
  <c r="AD142" i="19"/>
  <c r="AW55" i="1"/>
  <c r="AW39" i="1"/>
  <c r="FB81" i="1"/>
  <c r="FB38" i="1"/>
  <c r="FB37" i="1"/>
  <c r="AW33" i="1"/>
  <c r="FB110" i="1"/>
  <c r="FB99" i="1"/>
  <c r="AE131" i="19"/>
  <c r="CV11" i="19"/>
  <c r="CV29" i="19" s="1"/>
  <c r="CV35" i="19" s="1"/>
  <c r="CW125" i="19"/>
  <c r="CW137" i="19" s="1"/>
  <c r="CV143" i="19"/>
  <c r="AE18" i="19"/>
  <c r="AE30" i="19" s="1"/>
  <c r="AE218" i="19"/>
  <c r="FA48" i="1"/>
  <c r="FA65" i="1"/>
  <c r="CX24" i="19"/>
  <c r="CX292" i="19"/>
  <c r="CY274" i="19"/>
  <c r="CY286" i="19" s="1"/>
  <c r="EY71" i="1"/>
  <c r="AV65" i="1"/>
  <c r="EY68" i="1"/>
  <c r="EZ63" i="1" s="1"/>
  <c r="AF9" i="19"/>
  <c r="AF27" i="19" s="1"/>
  <c r="AF33" i="19" s="1"/>
  <c r="AF141" i="19"/>
  <c r="CV10" i="19"/>
  <c r="CV28" i="19" s="1"/>
  <c r="CV34" i="19" s="1"/>
  <c r="CV142" i="19"/>
  <c r="CW124" i="19"/>
  <c r="CW136" i="19" s="1"/>
  <c r="L33" i="1"/>
  <c r="L55" i="1"/>
  <c r="L39" i="1"/>
  <c r="AE24" i="19"/>
  <c r="AE292" i="19"/>
  <c r="AE36" i="19" l="1"/>
  <c r="FH8" i="7"/>
  <c r="AE37" i="19"/>
  <c r="FH9" i="7"/>
  <c r="CX23" i="19"/>
  <c r="CX291" i="19"/>
  <c r="CY273" i="19"/>
  <c r="CY285" i="19" s="1"/>
  <c r="EY91" i="1"/>
  <c r="EY102" i="1"/>
  <c r="EY90" i="1"/>
  <c r="AV71" i="1"/>
  <c r="FB92" i="1"/>
  <c r="AW37" i="1"/>
  <c r="AD34" i="19"/>
  <c r="FG6" i="7"/>
  <c r="AE16" i="19"/>
  <c r="AE216" i="19"/>
  <c r="AE23" i="19"/>
  <c r="AE291" i="19"/>
  <c r="AW81" i="1"/>
  <c r="AW38" i="1"/>
  <c r="AW92" i="1" s="1"/>
  <c r="AW93" i="1" s="1"/>
  <c r="AE17" i="19"/>
  <c r="AE217" i="19"/>
  <c r="EZ90" i="1"/>
  <c r="R16" i="25"/>
  <c r="BP16" i="25"/>
  <c r="CZ25" i="19"/>
  <c r="CZ293" i="19"/>
  <c r="DA275" i="19"/>
  <c r="U16" i="25"/>
  <c r="BS16" i="25"/>
  <c r="DC15" i="19"/>
  <c r="DD197" i="19"/>
  <c r="DC215" i="19"/>
  <c r="BQ10" i="25"/>
  <c r="I81" i="1"/>
  <c r="S10" i="25"/>
  <c r="I37" i="1"/>
  <c r="I38" i="1"/>
  <c r="CW10" i="19"/>
  <c r="CW28" i="19" s="1"/>
  <c r="CW34" i="19" s="1"/>
  <c r="CX124" i="19"/>
  <c r="CW142" i="19"/>
  <c r="CW11" i="19"/>
  <c r="CW29" i="19" s="1"/>
  <c r="CW35" i="19" s="1"/>
  <c r="CW143" i="19"/>
  <c r="CX125" i="19"/>
  <c r="DB9" i="19"/>
  <c r="DB27" i="19" s="1"/>
  <c r="DB33" i="19" s="1"/>
  <c r="DC123" i="19"/>
  <c r="DC135" i="19" s="1"/>
  <c r="DB141" i="19"/>
  <c r="L100" i="1"/>
  <c r="L101" i="1"/>
  <c r="CZ12" i="19"/>
  <c r="DA126" i="19"/>
  <c r="CZ144" i="19"/>
  <c r="S16" i="25"/>
  <c r="BQ16" i="25"/>
  <c r="FB100" i="1"/>
  <c r="FB101" i="1"/>
  <c r="CZ13" i="19"/>
  <c r="DA127" i="19"/>
  <c r="CZ145" i="19"/>
  <c r="AV75" i="1"/>
  <c r="AV68" i="1"/>
  <c r="CX16" i="19"/>
  <c r="CY198" i="19"/>
  <c r="CY210" i="19" s="1"/>
  <c r="CX216" i="19"/>
  <c r="L81" i="1"/>
  <c r="L37" i="1"/>
  <c r="L38" i="1"/>
  <c r="CY24" i="19"/>
  <c r="CZ274" i="19"/>
  <c r="CZ286" i="19" s="1"/>
  <c r="CY292" i="19"/>
  <c r="CY18" i="19"/>
  <c r="CZ200" i="19"/>
  <c r="CZ212" i="19" s="1"/>
  <c r="CY218" i="19"/>
  <c r="CY30" i="19"/>
  <c r="CY36" i="19" s="1"/>
  <c r="K81" i="1"/>
  <c r="U10" i="25"/>
  <c r="BS10" i="25"/>
  <c r="K37" i="1"/>
  <c r="K38" i="1"/>
  <c r="FB125" i="11"/>
  <c r="L144" i="11"/>
  <c r="AW144" i="11"/>
  <c r="CY31" i="19"/>
  <c r="CY37" i="19" s="1"/>
  <c r="BR10" i="25"/>
  <c r="J81" i="1"/>
  <c r="T10" i="25"/>
  <c r="J37" i="1"/>
  <c r="J38" i="1"/>
  <c r="FA71" i="1"/>
  <c r="H81" i="1"/>
  <c r="R10" i="25"/>
  <c r="BP10" i="25"/>
  <c r="H38" i="1"/>
  <c r="H37" i="1"/>
  <c r="T16" i="25"/>
  <c r="BR16" i="25"/>
  <c r="CX22" i="19"/>
  <c r="CY272" i="19"/>
  <c r="CY284" i="19" s="1"/>
  <c r="CX290" i="19"/>
  <c r="CY19" i="19"/>
  <c r="CZ201" i="19"/>
  <c r="CZ213" i="19" s="1"/>
  <c r="CY219" i="19"/>
  <c r="AW63" i="1"/>
  <c r="EZ68" i="1"/>
  <c r="FA63" i="1" s="1"/>
  <c r="FA68" i="1" s="1"/>
  <c r="FB63" i="1" s="1"/>
  <c r="DC21" i="19"/>
  <c r="DD271" i="19"/>
  <c r="DC289" i="19"/>
  <c r="AD11" i="19"/>
  <c r="AD29" i="19" s="1"/>
  <c r="AD143" i="19"/>
  <c r="AW100" i="1"/>
  <c r="AW101" i="1"/>
  <c r="CX17" i="19"/>
  <c r="CY199" i="19"/>
  <c r="CY211" i="19" s="1"/>
  <c r="CX217" i="19"/>
  <c r="AE22" i="19"/>
  <c r="AE290" i="19"/>
  <c r="S15" i="25" l="1"/>
  <c r="BQ15" i="25"/>
  <c r="CY23" i="19"/>
  <c r="CY291" i="19"/>
  <c r="CZ273" i="19"/>
  <c r="CZ285" i="19" s="1"/>
  <c r="FA91" i="1"/>
  <c r="FA102" i="1"/>
  <c r="FA90" i="1"/>
  <c r="AE125" i="19"/>
  <c r="AE137" i="19" s="1"/>
  <c r="CX137" i="19"/>
  <c r="S14" i="25"/>
  <c r="BQ14" i="25"/>
  <c r="DC9" i="19"/>
  <c r="DC27" i="19" s="1"/>
  <c r="DC33" i="19" s="1"/>
  <c r="DD123" i="19"/>
  <c r="DC141" i="19"/>
  <c r="AF126" i="19"/>
  <c r="AF138" i="19" s="1"/>
  <c r="DA138" i="19"/>
  <c r="DA287" i="19"/>
  <c r="AF275" i="19"/>
  <c r="AF287" i="19" s="1"/>
  <c r="R14" i="25"/>
  <c r="BP14" i="25"/>
  <c r="AF127" i="19"/>
  <c r="AF139" i="19" s="1"/>
  <c r="DA139" i="19"/>
  <c r="FB93" i="1"/>
  <c r="H92" i="1"/>
  <c r="I92" i="1"/>
  <c r="J92" i="1"/>
  <c r="K92" i="1"/>
  <c r="L92" i="1"/>
  <c r="L93" i="1" s="1"/>
  <c r="H125" i="11"/>
  <c r="I125" i="11"/>
  <c r="J125" i="11"/>
  <c r="K125" i="11"/>
  <c r="L125" i="11"/>
  <c r="L132" i="11" s="1"/>
  <c r="L22" i="11" s="1"/>
  <c r="L19" i="11" s="1"/>
  <c r="FB132" i="11"/>
  <c r="FB22" i="11" s="1"/>
  <c r="AW125" i="11"/>
  <c r="BP15" i="25"/>
  <c r="R15" i="25"/>
  <c r="T14" i="25"/>
  <c r="BR14" i="25"/>
  <c r="CZ18" i="19"/>
  <c r="CZ30" i="19" s="1"/>
  <c r="CZ36" i="19" s="1"/>
  <c r="DA200" i="19"/>
  <c r="CZ218" i="19"/>
  <c r="AV91" i="1"/>
  <c r="AV102" i="1"/>
  <c r="AV89" i="1"/>
  <c r="AV90" i="1"/>
  <c r="CZ19" i="19"/>
  <c r="CZ31" i="19" s="1"/>
  <c r="CZ37" i="19" s="1"/>
  <c r="CZ219" i="19"/>
  <c r="DA201" i="19"/>
  <c r="T15" i="25"/>
  <c r="BR15" i="25"/>
  <c r="AG271" i="19"/>
  <c r="AG283" i="19" s="1"/>
  <c r="DD283" i="19"/>
  <c r="U15" i="25"/>
  <c r="BS15" i="25"/>
  <c r="AE124" i="19"/>
  <c r="AE136" i="19" s="1"/>
  <c r="CX136" i="19"/>
  <c r="CZ24" i="19"/>
  <c r="DA274" i="19"/>
  <c r="CZ292" i="19"/>
  <c r="AD35" i="19"/>
  <c r="FG7" i="7"/>
  <c r="FG10" i="7" s="1"/>
  <c r="CY17" i="19"/>
  <c r="CZ199" i="19"/>
  <c r="CZ211" i="19" s="1"/>
  <c r="CY217" i="19"/>
  <c r="CY22" i="19"/>
  <c r="CY290" i="19"/>
  <c r="CZ272" i="19"/>
  <c r="CZ284" i="19" s="1"/>
  <c r="U14" i="25"/>
  <c r="BS14" i="25"/>
  <c r="CY16" i="19"/>
  <c r="CZ198" i="19"/>
  <c r="CZ210" i="19" s="1"/>
  <c r="CY216" i="19"/>
  <c r="AG197" i="19"/>
  <c r="AG209" i="19" s="1"/>
  <c r="DD209" i="19"/>
  <c r="CZ17" i="19" l="1"/>
  <c r="DA199" i="19"/>
  <c r="CZ217" i="19"/>
  <c r="AE10" i="19"/>
  <c r="AE28" i="19" s="1"/>
  <c r="AE142" i="19"/>
  <c r="AW145" i="11"/>
  <c r="AW132" i="11"/>
  <c r="AE17" i="25"/>
  <c r="K93" i="1"/>
  <c r="AE18" i="25" s="1"/>
  <c r="CX10" i="19"/>
  <c r="CX28" i="19" s="1"/>
  <c r="CX34" i="19" s="1"/>
  <c r="CX142" i="19"/>
  <c r="CY124" i="19"/>
  <c r="CY136" i="19" s="1"/>
  <c r="AG123" i="19"/>
  <c r="AG135" i="19" s="1"/>
  <c r="DD135" i="19"/>
  <c r="FB45" i="1"/>
  <c r="H22" i="11"/>
  <c r="I22" i="11"/>
  <c r="J22" i="11"/>
  <c r="K22" i="11"/>
  <c r="FB19" i="11"/>
  <c r="AW22" i="11"/>
  <c r="AW19" i="11" s="1"/>
  <c r="AD17" i="25"/>
  <c r="J93" i="1"/>
  <c r="AD18" i="25" s="1"/>
  <c r="CZ23" i="19"/>
  <c r="DA273" i="19"/>
  <c r="CZ291" i="19"/>
  <c r="I93" i="1"/>
  <c r="AC18" i="25" s="1"/>
  <c r="AC17" i="25"/>
  <c r="AF25" i="19"/>
  <c r="AF293" i="19"/>
  <c r="EX10" i="25"/>
  <c r="K132" i="11"/>
  <c r="EX17" i="25" s="1"/>
  <c r="AB17" i="25"/>
  <c r="H93" i="1"/>
  <c r="AB18" i="25" s="1"/>
  <c r="DA25" i="19"/>
  <c r="DB275" i="19"/>
  <c r="DB287" i="19" s="1"/>
  <c r="DA293" i="19"/>
  <c r="CX11" i="19"/>
  <c r="CX29" i="19" s="1"/>
  <c r="CX35" i="19" s="1"/>
  <c r="CY125" i="19"/>
  <c r="CY137" i="19" s="1"/>
  <c r="CX143" i="19"/>
  <c r="AF13" i="19"/>
  <c r="AF145" i="19"/>
  <c r="DD15" i="19"/>
  <c r="DD215" i="19"/>
  <c r="DE197" i="19"/>
  <c r="DE209" i="19" s="1"/>
  <c r="AG21" i="19"/>
  <c r="AG289" i="19"/>
  <c r="EW10" i="25"/>
  <c r="J132" i="11"/>
  <c r="EW17" i="25" s="1"/>
  <c r="EW18" i="25" s="1"/>
  <c r="DA12" i="19"/>
  <c r="DB126" i="19"/>
  <c r="DB138" i="19" s="1"/>
  <c r="DA144" i="19"/>
  <c r="AE11" i="19"/>
  <c r="AE29" i="19" s="1"/>
  <c r="AE143" i="19"/>
  <c r="CZ16" i="19"/>
  <c r="DA198" i="19"/>
  <c r="CZ216" i="19"/>
  <c r="AF201" i="19"/>
  <c r="AF213" i="19" s="1"/>
  <c r="DA213" i="19"/>
  <c r="CZ22" i="19"/>
  <c r="CZ290" i="19"/>
  <c r="DA272" i="19"/>
  <c r="DD21" i="19"/>
  <c r="DD289" i="19"/>
  <c r="DE271" i="19"/>
  <c r="DE283" i="19" s="1"/>
  <c r="AG15" i="19"/>
  <c r="AG215" i="19"/>
  <c r="AF274" i="19"/>
  <c r="AF286" i="19" s="1"/>
  <c r="DA286" i="19"/>
  <c r="EV10" i="25"/>
  <c r="I132" i="11"/>
  <c r="EV17" i="25" s="1"/>
  <c r="AF12" i="19"/>
  <c r="AF144" i="19"/>
  <c r="AF200" i="19"/>
  <c r="AF212" i="19" s="1"/>
  <c r="DA212" i="19"/>
  <c r="EU10" i="25"/>
  <c r="H132" i="11"/>
  <c r="EU17" i="25" s="1"/>
  <c r="EU18" i="25" s="1"/>
  <c r="DA13" i="19"/>
  <c r="DA145" i="19"/>
  <c r="DB127" i="19"/>
  <c r="DB139" i="19" s="1"/>
  <c r="EV18" i="25" l="1"/>
  <c r="CY11" i="19"/>
  <c r="CY29" i="19" s="1"/>
  <c r="CY35" i="19" s="1"/>
  <c r="CZ125" i="19"/>
  <c r="CZ137" i="19" s="1"/>
  <c r="CY143" i="19"/>
  <c r="FB84" i="1"/>
  <c r="H45" i="1"/>
  <c r="I45" i="1"/>
  <c r="J45" i="1"/>
  <c r="K45" i="1"/>
  <c r="L45" i="1"/>
  <c r="FB42" i="1"/>
  <c r="AW45" i="1"/>
  <c r="AW84" i="1" s="1"/>
  <c r="DB13" i="19"/>
  <c r="DC127" i="19"/>
  <c r="DC139" i="19" s="1"/>
  <c r="DB145" i="19"/>
  <c r="AF272" i="19"/>
  <c r="AF284" i="19" s="1"/>
  <c r="DA284" i="19"/>
  <c r="DD9" i="19"/>
  <c r="DD27" i="19" s="1"/>
  <c r="DD33" i="19" s="1"/>
  <c r="DE123" i="19"/>
  <c r="DE135" i="19" s="1"/>
  <c r="DD141" i="19"/>
  <c r="AF19" i="19"/>
  <c r="AF31" i="19" s="1"/>
  <c r="AF219" i="19"/>
  <c r="EX18" i="25"/>
  <c r="DA24" i="19"/>
  <c r="DA292" i="19"/>
  <c r="DB274" i="19"/>
  <c r="DB286" i="19" s="1"/>
  <c r="DE15" i="19"/>
  <c r="DF197" i="19"/>
  <c r="DF209" i="19" s="1"/>
  <c r="DE215" i="19"/>
  <c r="AG9" i="19"/>
  <c r="AG27" i="19" s="1"/>
  <c r="AG33" i="19" s="1"/>
  <c r="AG141" i="19"/>
  <c r="DA18" i="19"/>
  <c r="DB200" i="19"/>
  <c r="DB212" i="19" s="1"/>
  <c r="DA218" i="19"/>
  <c r="DE21" i="19"/>
  <c r="DE289" i="19"/>
  <c r="DF271" i="19"/>
  <c r="DF283" i="19" s="1"/>
  <c r="AF198" i="19"/>
  <c r="AF210" i="19" s="1"/>
  <c r="DA210" i="19"/>
  <c r="AE35" i="19"/>
  <c r="FH7" i="7"/>
  <c r="AF24" i="19"/>
  <c r="AF292" i="19"/>
  <c r="DB25" i="19"/>
  <c r="DC275" i="19"/>
  <c r="DC287" i="19" s="1"/>
  <c r="DB293" i="19"/>
  <c r="H19" i="11"/>
  <c r="I19" i="11"/>
  <c r="J19" i="11"/>
  <c r="K19" i="11"/>
  <c r="CY10" i="19"/>
  <c r="CY28" i="19" s="1"/>
  <c r="CY34" i="19" s="1"/>
  <c r="CY142" i="19"/>
  <c r="CZ124" i="19"/>
  <c r="CZ136" i="19" s="1"/>
  <c r="AE34" i="19"/>
  <c r="FH6" i="7"/>
  <c r="FH10" i="7" s="1"/>
  <c r="DA19" i="19"/>
  <c r="DA31" i="19" s="1"/>
  <c r="DA37" i="19" s="1"/>
  <c r="DA219" i="19"/>
  <c r="DB201" i="19"/>
  <c r="DB213" i="19" s="1"/>
  <c r="DB12" i="19"/>
  <c r="DC126" i="19"/>
  <c r="DC138" i="19" s="1"/>
  <c r="DB144" i="19"/>
  <c r="DA30" i="19"/>
  <c r="DA36" i="19" s="1"/>
  <c r="AF199" i="19"/>
  <c r="AF211" i="19" s="1"/>
  <c r="DA211" i="19"/>
  <c r="AF18" i="19"/>
  <c r="AF30" i="19" s="1"/>
  <c r="AF218" i="19"/>
  <c r="AF273" i="19"/>
  <c r="AF285" i="19" s="1"/>
  <c r="DA285" i="19"/>
  <c r="AF37" i="19" l="1"/>
  <c r="FI9" i="7"/>
  <c r="AF36" i="19"/>
  <c r="FI8" i="7"/>
  <c r="DA23" i="19"/>
  <c r="DB273" i="19"/>
  <c r="DB285" i="19" s="1"/>
  <c r="DA291" i="19"/>
  <c r="I84" i="1"/>
  <c r="AW14" i="25"/>
  <c r="AW15" i="25" s="1"/>
  <c r="BQ22" i="25"/>
  <c r="I42" i="1"/>
  <c r="J84" i="1"/>
  <c r="AX14" i="25"/>
  <c r="AX15" i="25" s="1"/>
  <c r="BR22" i="25"/>
  <c r="J42" i="1"/>
  <c r="AV14" i="25"/>
  <c r="AV15" i="25" s="1"/>
  <c r="BP22" i="25"/>
  <c r="H84" i="1"/>
  <c r="H42" i="1"/>
  <c r="AF17" i="19"/>
  <c r="AF217" i="19"/>
  <c r="CZ10" i="19"/>
  <c r="CZ28" i="19" s="1"/>
  <c r="CZ34" i="19" s="1"/>
  <c r="DA124" i="19"/>
  <c r="CZ142" i="19"/>
  <c r="DC25" i="19"/>
  <c r="DD275" i="19"/>
  <c r="DC293" i="19"/>
  <c r="AF23" i="19"/>
  <c r="AF291" i="19"/>
  <c r="DC12" i="19"/>
  <c r="DD126" i="19"/>
  <c r="DC144" i="19"/>
  <c r="DF21" i="19"/>
  <c r="DG271" i="19"/>
  <c r="H283" i="19"/>
  <c r="DF289" i="19"/>
  <c r="DC13" i="19"/>
  <c r="DD127" i="19"/>
  <c r="DC145" i="19"/>
  <c r="DB30" i="19"/>
  <c r="DB36" i="19" s="1"/>
  <c r="DF15" i="19"/>
  <c r="H209" i="19"/>
  <c r="DG197" i="19"/>
  <c r="DF215" i="19"/>
  <c r="DB19" i="19"/>
  <c r="DB31" i="19" s="1"/>
  <c r="DB37" i="19" s="1"/>
  <c r="DB219" i="19"/>
  <c r="DC201" i="19"/>
  <c r="DC213" i="19" s="1"/>
  <c r="DE9" i="19"/>
  <c r="DE27" i="19" s="1"/>
  <c r="DE33" i="19" s="1"/>
  <c r="DF123" i="19"/>
  <c r="DF135" i="19" s="1"/>
  <c r="DE141" i="19"/>
  <c r="AF16" i="19"/>
  <c r="AF216" i="19"/>
  <c r="DB24" i="19"/>
  <c r="DC274" i="19"/>
  <c r="DC286" i="19" s="1"/>
  <c r="DB292" i="19"/>
  <c r="AW42" i="1"/>
  <c r="FB65" i="1"/>
  <c r="FB48" i="1"/>
  <c r="AW48" i="1" s="1"/>
  <c r="CZ11" i="19"/>
  <c r="CZ29" i="19" s="1"/>
  <c r="CZ35" i="19" s="1"/>
  <c r="DA125" i="19"/>
  <c r="CZ143" i="19"/>
  <c r="DA17" i="19"/>
  <c r="DB199" i="19"/>
  <c r="DB211" i="19" s="1"/>
  <c r="DA217" i="19"/>
  <c r="DB18" i="19"/>
  <c r="DC200" i="19"/>
  <c r="DC212" i="19" s="1"/>
  <c r="DB218" i="19"/>
  <c r="DA22" i="19"/>
  <c r="DA290" i="19"/>
  <c r="DB272" i="19"/>
  <c r="DB284" i="19" s="1"/>
  <c r="L84" i="1"/>
  <c r="L42" i="1"/>
  <c r="L48" i="1" s="1"/>
  <c r="L90" i="1" s="1"/>
  <c r="DA16" i="19"/>
  <c r="DB198" i="19"/>
  <c r="DB210" i="19" s="1"/>
  <c r="DA216" i="19"/>
  <c r="AF22" i="19"/>
  <c r="AF290" i="19"/>
  <c r="BS22" i="25"/>
  <c r="K84" i="1"/>
  <c r="AY14" i="25"/>
  <c r="AY15" i="25" s="1"/>
  <c r="K42" i="1"/>
  <c r="DB22" i="19" l="1"/>
  <c r="DC272" i="19"/>
  <c r="DC284" i="19" s="1"/>
  <c r="DB290" i="19"/>
  <c r="DC24" i="19"/>
  <c r="DD274" i="19"/>
  <c r="DC292" i="19"/>
  <c r="AG126" i="19"/>
  <c r="AG138" i="19" s="1"/>
  <c r="DD138" i="19"/>
  <c r="AF124" i="19"/>
  <c r="AF136" i="19" s="1"/>
  <c r="DA136" i="19"/>
  <c r="BR19" i="25"/>
  <c r="J48" i="1"/>
  <c r="DC19" i="19"/>
  <c r="DC31" i="19" s="1"/>
  <c r="DC37" i="19" s="1"/>
  <c r="DD201" i="19"/>
  <c r="DC219" i="19"/>
  <c r="AG127" i="19"/>
  <c r="AG139" i="19" s="1"/>
  <c r="DD139" i="19"/>
  <c r="DB23" i="19"/>
  <c r="DC273" i="19"/>
  <c r="DC285" i="19" s="1"/>
  <c r="DB291" i="19"/>
  <c r="DB17" i="19"/>
  <c r="DC199" i="19"/>
  <c r="DC211" i="19" s="1"/>
  <c r="DB217" i="19"/>
  <c r="DB16" i="19"/>
  <c r="DC198" i="19"/>
  <c r="DC210" i="19" s="1"/>
  <c r="DB216" i="19"/>
  <c r="DC18" i="19"/>
  <c r="DC30" i="19" s="1"/>
  <c r="DC36" i="19" s="1"/>
  <c r="DD200" i="19"/>
  <c r="DC218" i="19"/>
  <c r="DG209" i="19"/>
  <c r="I197" i="19"/>
  <c r="AH197" i="19"/>
  <c r="AH209" i="19" s="1"/>
  <c r="H21" i="19"/>
  <c r="H289" i="19"/>
  <c r="BP19" i="25"/>
  <c r="H48" i="1"/>
  <c r="BQ19" i="25"/>
  <c r="I48" i="1"/>
  <c r="AF125" i="19"/>
  <c r="AF137" i="19" s="1"/>
  <c r="DA137" i="19"/>
  <c r="BS19" i="25"/>
  <c r="K48" i="1"/>
  <c r="H65" i="1"/>
  <c r="H68" i="1" s="1"/>
  <c r="I65" i="1"/>
  <c r="I68" i="1" s="1"/>
  <c r="J65" i="1"/>
  <c r="K65" i="1"/>
  <c r="L65" i="1"/>
  <c r="FB71" i="1"/>
  <c r="AW65" i="1"/>
  <c r="FB68" i="1"/>
  <c r="DF9" i="19"/>
  <c r="DF27" i="19" s="1"/>
  <c r="DF33" i="19" s="1"/>
  <c r="DG123" i="19"/>
  <c r="H135" i="19"/>
  <c r="DF141" i="19"/>
  <c r="H15" i="19"/>
  <c r="H215" i="19"/>
  <c r="DG283" i="19"/>
  <c r="I271" i="19"/>
  <c r="AH271" i="19"/>
  <c r="AH283" i="19" s="1"/>
  <c r="AG275" i="19"/>
  <c r="AG287" i="19" s="1"/>
  <c r="DD287" i="19"/>
  <c r="AG12" i="19" l="1"/>
  <c r="AG144" i="19"/>
  <c r="J63" i="1"/>
  <c r="J68" i="1" s="1"/>
  <c r="BG7" i="25"/>
  <c r="BQ27" i="25" s="1"/>
  <c r="BG8" i="25"/>
  <c r="BF6" i="25"/>
  <c r="BP25" i="25"/>
  <c r="AG200" i="19"/>
  <c r="AG212" i="19" s="1"/>
  <c r="DD212" i="19"/>
  <c r="AG201" i="19"/>
  <c r="AG213" i="19" s="1"/>
  <c r="DD213" i="19"/>
  <c r="AG13" i="19"/>
  <c r="AG145" i="19"/>
  <c r="DD25" i="19"/>
  <c r="DE275" i="19"/>
  <c r="DE287" i="19" s="1"/>
  <c r="DD293" i="19"/>
  <c r="DD286" i="19"/>
  <c r="AG274" i="19"/>
  <c r="AG286" i="19" s="1"/>
  <c r="DG15" i="19"/>
  <c r="DH197" i="19"/>
  <c r="DH209" i="19" s="1"/>
  <c r="DG215" i="19"/>
  <c r="DC17" i="19"/>
  <c r="DD199" i="19"/>
  <c r="DC217" i="19"/>
  <c r="H9" i="19"/>
  <c r="H27" i="19" s="1"/>
  <c r="H33" i="19" s="1"/>
  <c r="H141" i="19"/>
  <c r="AH123" i="19"/>
  <c r="AH135" i="19" s="1"/>
  <c r="I123" i="19"/>
  <c r="DG135" i="19"/>
  <c r="AH21" i="19"/>
  <c r="AH289" i="19"/>
  <c r="BI6" i="25"/>
  <c r="BS25" i="25"/>
  <c r="DC23" i="19"/>
  <c r="DD273" i="19"/>
  <c r="DC291" i="19"/>
  <c r="BH6" i="25"/>
  <c r="BR25" i="25"/>
  <c r="BF7" i="25"/>
  <c r="BP27" i="25" s="1"/>
  <c r="BF8" i="25"/>
  <c r="DG21" i="19"/>
  <c r="DH271" i="19"/>
  <c r="DH283" i="19" s="1"/>
  <c r="DG289" i="19"/>
  <c r="AW75" i="1"/>
  <c r="AW68" i="1"/>
  <c r="DC16" i="19"/>
  <c r="DD198" i="19"/>
  <c r="DC216" i="19"/>
  <c r="BQ25" i="25"/>
  <c r="BG6" i="25"/>
  <c r="DD12" i="19"/>
  <c r="DE126" i="19"/>
  <c r="DE138" i="19" s="1"/>
  <c r="DD144" i="19"/>
  <c r="AG25" i="19"/>
  <c r="AG293" i="19"/>
  <c r="FB102" i="1"/>
  <c r="FB91" i="1"/>
  <c r="I71" i="1"/>
  <c r="J71" i="1"/>
  <c r="K71" i="1"/>
  <c r="FB90" i="1"/>
  <c r="L71" i="1"/>
  <c r="AW71" i="1"/>
  <c r="DA11" i="19"/>
  <c r="DA29" i="19" s="1"/>
  <c r="DA35" i="19" s="1"/>
  <c r="DB125" i="19"/>
  <c r="DB137" i="19" s="1"/>
  <c r="DA143" i="19"/>
  <c r="AH15" i="19"/>
  <c r="AH215" i="19"/>
  <c r="DA10" i="19"/>
  <c r="DA28" i="19" s="1"/>
  <c r="DA34" i="19" s="1"/>
  <c r="DB124" i="19"/>
  <c r="DB136" i="19" s="1"/>
  <c r="DA142" i="19"/>
  <c r="DC22" i="19"/>
  <c r="DC290" i="19"/>
  <c r="DD272" i="19"/>
  <c r="AF11" i="19"/>
  <c r="AF29" i="19" s="1"/>
  <c r="AF143" i="19"/>
  <c r="DD13" i="19"/>
  <c r="DE127" i="19"/>
  <c r="DE139" i="19" s="1"/>
  <c r="DD145" i="19"/>
  <c r="AF10" i="19"/>
  <c r="AF28" i="19" s="1"/>
  <c r="AF142" i="19"/>
  <c r="AG199" i="19" l="1"/>
  <c r="AG211" i="19" s="1"/>
  <c r="DD211" i="19"/>
  <c r="AF34" i="19"/>
  <c r="FI6" i="7"/>
  <c r="AG18" i="19"/>
  <c r="AG218" i="19"/>
  <c r="L89" i="1"/>
  <c r="L102" i="1"/>
  <c r="AW91" i="1"/>
  <c r="AW102" i="1"/>
  <c r="AW89" i="1"/>
  <c r="AW90" i="1"/>
  <c r="AG198" i="19"/>
  <c r="AG210" i="19" s="1"/>
  <c r="DD210" i="19"/>
  <c r="DE25" i="19"/>
  <c r="DF275" i="19"/>
  <c r="DF287" i="19" s="1"/>
  <c r="DE293" i="19"/>
  <c r="DG9" i="19"/>
  <c r="DG27" i="19" s="1"/>
  <c r="DG33" i="19" s="1"/>
  <c r="DG141" i="19"/>
  <c r="DH123" i="19"/>
  <c r="DH135" i="19" s="1"/>
  <c r="K90" i="1"/>
  <c r="BI10" i="25" s="1"/>
  <c r="K102" i="1"/>
  <c r="BI11" i="25" s="1"/>
  <c r="K91" i="1"/>
  <c r="K89" i="1"/>
  <c r="DE12" i="19"/>
  <c r="DF126" i="19"/>
  <c r="DF138" i="19" s="1"/>
  <c r="DE144" i="19"/>
  <c r="DH15" i="19"/>
  <c r="DI197" i="19"/>
  <c r="DI209" i="19" s="1"/>
  <c r="DH215" i="19"/>
  <c r="DE13" i="19"/>
  <c r="DF127" i="19"/>
  <c r="DF139" i="19" s="1"/>
  <c r="DE145" i="19"/>
  <c r="DB10" i="19"/>
  <c r="DB28" i="19" s="1"/>
  <c r="DB34" i="19" s="1"/>
  <c r="DC124" i="19"/>
  <c r="DC136" i="19" s="1"/>
  <c r="DB142" i="19"/>
  <c r="AF35" i="19"/>
  <c r="FI7" i="7"/>
  <c r="DD285" i="19"/>
  <c r="AG273" i="19"/>
  <c r="AG285" i="19" s="1"/>
  <c r="AH9" i="19"/>
  <c r="AH27" i="19" s="1"/>
  <c r="AH33" i="19" s="1"/>
  <c r="AH141" i="19"/>
  <c r="DD19" i="19"/>
  <c r="DD31" i="19" s="1"/>
  <c r="DD37" i="19" s="1"/>
  <c r="DE201" i="19"/>
  <c r="DE213" i="19" s="1"/>
  <c r="DD219" i="19"/>
  <c r="K63" i="1"/>
  <c r="K68" i="1" s="1"/>
  <c r="BH7" i="25"/>
  <c r="BR27" i="25" s="1"/>
  <c r="BH8" i="25"/>
  <c r="I90" i="1"/>
  <c r="BG10" i="25" s="1"/>
  <c r="I102" i="1"/>
  <c r="BG11" i="25" s="1"/>
  <c r="I89" i="1"/>
  <c r="I91" i="1"/>
  <c r="DH21" i="19"/>
  <c r="DH289" i="19"/>
  <c r="DI271" i="19"/>
  <c r="DI283" i="19" s="1"/>
  <c r="AG24" i="19"/>
  <c r="AG292" i="19"/>
  <c r="AG19" i="19"/>
  <c r="AG31" i="19" s="1"/>
  <c r="AG219" i="19"/>
  <c r="J90" i="1"/>
  <c r="BH10" i="25" s="1"/>
  <c r="J102" i="1"/>
  <c r="BH11" i="25" s="1"/>
  <c r="J89" i="1"/>
  <c r="J91" i="1"/>
  <c r="DD284" i="19"/>
  <c r="AG272" i="19"/>
  <c r="AG284" i="19" s="1"/>
  <c r="DB11" i="19"/>
  <c r="DB29" i="19" s="1"/>
  <c r="DB35" i="19" s="1"/>
  <c r="DC125" i="19"/>
  <c r="DC137" i="19" s="1"/>
  <c r="DB143" i="19"/>
  <c r="DD24" i="19"/>
  <c r="DE274" i="19"/>
  <c r="DE286" i="19" s="1"/>
  <c r="DD292" i="19"/>
  <c r="DD18" i="19"/>
  <c r="DD30" i="19" s="1"/>
  <c r="DD36" i="19" s="1"/>
  <c r="DE200" i="19"/>
  <c r="DE212" i="19" s="1"/>
  <c r="DD218" i="19"/>
  <c r="AG30" i="19"/>
  <c r="AG37" i="19" l="1"/>
  <c r="FJ9" i="7"/>
  <c r="DF25" i="19"/>
  <c r="H287" i="19"/>
  <c r="DG275" i="19"/>
  <c r="DF293" i="19"/>
  <c r="DE19" i="19"/>
  <c r="DF201" i="19"/>
  <c r="DF213" i="19" s="1"/>
  <c r="DE219" i="19"/>
  <c r="AG36" i="19"/>
  <c r="FJ8" i="7"/>
  <c r="DC11" i="19"/>
  <c r="DC29" i="19" s="1"/>
  <c r="DC35" i="19" s="1"/>
  <c r="DD125" i="19"/>
  <c r="DC143" i="19"/>
  <c r="DI15" i="19"/>
  <c r="DJ197" i="19"/>
  <c r="DI215" i="19"/>
  <c r="DD16" i="19"/>
  <c r="DE198" i="19"/>
  <c r="DE210" i="19" s="1"/>
  <c r="DD216" i="19"/>
  <c r="DC10" i="19"/>
  <c r="DC28" i="19" s="1"/>
  <c r="DC34" i="19" s="1"/>
  <c r="DD124" i="19"/>
  <c r="DC142" i="19"/>
  <c r="DH9" i="19"/>
  <c r="DH27" i="19" s="1"/>
  <c r="DH33" i="19" s="1"/>
  <c r="DI123" i="19"/>
  <c r="DI135" i="19" s="1"/>
  <c r="DH141" i="19"/>
  <c r="AG16" i="19"/>
  <c r="AG216" i="19"/>
  <c r="AG22" i="19"/>
  <c r="AG290" i="19"/>
  <c r="FI10" i="7"/>
  <c r="DE18" i="19"/>
  <c r="DE30" i="19" s="1"/>
  <c r="DE36" i="19" s="1"/>
  <c r="DF200" i="19"/>
  <c r="DF212" i="19" s="1"/>
  <c r="DE218" i="19"/>
  <c r="AG23" i="19"/>
  <c r="AG291" i="19"/>
  <c r="DF12" i="19"/>
  <c r="DG126" i="19"/>
  <c r="H138" i="19"/>
  <c r="DF144" i="19"/>
  <c r="DI21" i="19"/>
  <c r="DI289" i="19"/>
  <c r="DJ271" i="19"/>
  <c r="DD23" i="19"/>
  <c r="DE273" i="19"/>
  <c r="DE285" i="19" s="1"/>
  <c r="DD291" i="19"/>
  <c r="DF13" i="19"/>
  <c r="DG127" i="19"/>
  <c r="H139" i="19"/>
  <c r="DF145" i="19"/>
  <c r="DD17" i="19"/>
  <c r="DE199" i="19"/>
  <c r="DE211" i="19" s="1"/>
  <c r="DD217" i="19"/>
  <c r="DD22" i="19"/>
  <c r="DD290" i="19"/>
  <c r="DE272" i="19"/>
  <c r="DE284" i="19" s="1"/>
  <c r="DE24" i="19"/>
  <c r="DF274" i="19"/>
  <c r="DF286" i="19" s="1"/>
  <c r="DE292" i="19"/>
  <c r="L63" i="1"/>
  <c r="L68" i="1" s="1"/>
  <c r="BI7" i="25"/>
  <c r="BS27" i="25" s="1"/>
  <c r="BI8" i="25"/>
  <c r="DE31" i="19"/>
  <c r="DE37" i="19" s="1"/>
  <c r="AG17" i="19"/>
  <c r="AG217" i="19"/>
  <c r="I127" i="19" l="1"/>
  <c r="AH127" i="19"/>
  <c r="AI197" i="19"/>
  <c r="AI209" i="19" s="1"/>
  <c r="DJ209" i="19"/>
  <c r="DF19" i="19"/>
  <c r="DF31" i="19" s="1"/>
  <c r="DF37" i="19" s="1"/>
  <c r="DG201" i="19"/>
  <c r="DF219" i="19"/>
  <c r="H213" i="19"/>
  <c r="AH126" i="19"/>
  <c r="I126" i="19"/>
  <c r="AG124" i="19"/>
  <c r="AG136" i="19" s="1"/>
  <c r="DD136" i="19"/>
  <c r="H12" i="19"/>
  <c r="H144" i="19"/>
  <c r="I90" i="19" s="1"/>
  <c r="AG125" i="19"/>
  <c r="AG137" i="19" s="1"/>
  <c r="DD137" i="19"/>
  <c r="I275" i="19"/>
  <c r="AH275" i="19"/>
  <c r="H25" i="19"/>
  <c r="H293" i="19"/>
  <c r="I239" i="19" s="1"/>
  <c r="DE23" i="19"/>
  <c r="DF273" i="19"/>
  <c r="DF285" i="19" s="1"/>
  <c r="DE291" i="19"/>
  <c r="AI271" i="19"/>
  <c r="AI283" i="19" s="1"/>
  <c r="DJ283" i="19"/>
  <c r="DE16" i="19"/>
  <c r="DF198" i="19"/>
  <c r="DF210" i="19" s="1"/>
  <c r="DE216" i="19"/>
  <c r="DE17" i="19"/>
  <c r="DF199" i="19"/>
  <c r="DF211" i="19" s="1"/>
  <c r="DE217" i="19"/>
  <c r="DF24" i="19"/>
  <c r="H286" i="19"/>
  <c r="DF292" i="19"/>
  <c r="DG274" i="19"/>
  <c r="DE22" i="19"/>
  <c r="DF272" i="19"/>
  <c r="DF284" i="19" s="1"/>
  <c r="DE290" i="19"/>
  <c r="H13" i="19"/>
  <c r="H145" i="19"/>
  <c r="I91" i="19" s="1"/>
  <c r="DF18" i="19"/>
  <c r="DF30" i="19" s="1"/>
  <c r="DF36" i="19" s="1"/>
  <c r="DG200" i="19"/>
  <c r="H212" i="19"/>
  <c r="DF218" i="19"/>
  <c r="DI9" i="19"/>
  <c r="DI27" i="19" s="1"/>
  <c r="DI33" i="19" s="1"/>
  <c r="DJ123" i="19"/>
  <c r="DI141" i="19"/>
  <c r="DM239" i="19" l="1"/>
  <c r="DM263" i="19" s="1"/>
  <c r="DN239" i="19"/>
  <c r="DN263" i="19" s="1"/>
  <c r="I245" i="19"/>
  <c r="DG239" i="19"/>
  <c r="DG263" i="19" s="1"/>
  <c r="DO239" i="19"/>
  <c r="DO263" i="19" s="1"/>
  <c r="DH239" i="19"/>
  <c r="DH263" i="19" s="1"/>
  <c r="DP239" i="19"/>
  <c r="DP263" i="19" s="1"/>
  <c r="DI239" i="19"/>
  <c r="DI263" i="19" s="1"/>
  <c r="DQ239" i="19"/>
  <c r="DQ263" i="19" s="1"/>
  <c r="DJ239" i="19"/>
  <c r="DJ263" i="19" s="1"/>
  <c r="DR239" i="19"/>
  <c r="DR263" i="19" s="1"/>
  <c r="DL239" i="19"/>
  <c r="DL263" i="19" s="1"/>
  <c r="DK239" i="19"/>
  <c r="DK263" i="19" s="1"/>
  <c r="I274" i="19"/>
  <c r="AH274" i="19"/>
  <c r="AG10" i="19"/>
  <c r="AG28" i="19" s="1"/>
  <c r="AG142" i="19"/>
  <c r="DM91" i="19"/>
  <c r="DM115" i="19" s="1"/>
  <c r="DN91" i="19"/>
  <c r="DN115" i="19" s="1"/>
  <c r="I97" i="19"/>
  <c r="DG91" i="19"/>
  <c r="DG115" i="19" s="1"/>
  <c r="DO91" i="19"/>
  <c r="DO115" i="19" s="1"/>
  <c r="DH91" i="19"/>
  <c r="DH115" i="19" s="1"/>
  <c r="DP91" i="19"/>
  <c r="DP115" i="19" s="1"/>
  <c r="DI91" i="19"/>
  <c r="DI115" i="19" s="1"/>
  <c r="DQ91" i="19"/>
  <c r="DQ115" i="19" s="1"/>
  <c r="DJ91" i="19"/>
  <c r="DJ115" i="19" s="1"/>
  <c r="DK91" i="19"/>
  <c r="DK115" i="19" s="1"/>
  <c r="DL91" i="19"/>
  <c r="DL115" i="19" s="1"/>
  <c r="DR91" i="19"/>
  <c r="DR115" i="19" s="1"/>
  <c r="DJ21" i="19"/>
  <c r="DJ289" i="19"/>
  <c r="DK271" i="19"/>
  <c r="DK283" i="19" s="1"/>
  <c r="DJ15" i="19"/>
  <c r="DK197" i="19"/>
  <c r="DK209" i="19" s="1"/>
  <c r="DJ215" i="19"/>
  <c r="DD10" i="19"/>
  <c r="DD28" i="19" s="1"/>
  <c r="DD34" i="19" s="1"/>
  <c r="DE124" i="19"/>
  <c r="DE136" i="19" s="1"/>
  <c r="DD142" i="19"/>
  <c r="AI15" i="19"/>
  <c r="AI215" i="19"/>
  <c r="AI123" i="19"/>
  <c r="AI135" i="19" s="1"/>
  <c r="DJ135" i="19"/>
  <c r="DD11" i="19"/>
  <c r="DD29" i="19" s="1"/>
  <c r="DD35" i="19" s="1"/>
  <c r="DE125" i="19"/>
  <c r="DE137" i="19" s="1"/>
  <c r="DD143" i="19"/>
  <c r="H18" i="19"/>
  <c r="H30" i="19" s="1"/>
  <c r="H218" i="19"/>
  <c r="I164" i="19" s="1"/>
  <c r="DF16" i="19"/>
  <c r="DG198" i="19"/>
  <c r="H210" i="19"/>
  <c r="DF216" i="19"/>
  <c r="H24" i="19"/>
  <c r="H292" i="19"/>
  <c r="I238" i="19" s="1"/>
  <c r="DF17" i="19"/>
  <c r="DG199" i="19"/>
  <c r="H211" i="19"/>
  <c r="DF217" i="19"/>
  <c r="AG11" i="19"/>
  <c r="AG29" i="19" s="1"/>
  <c r="AG143" i="19"/>
  <c r="AH200" i="19"/>
  <c r="I200" i="19"/>
  <c r="I201" i="19"/>
  <c r="AH201" i="19"/>
  <c r="AI21" i="19"/>
  <c r="AI289" i="19"/>
  <c r="DF22" i="19"/>
  <c r="DG272" i="19"/>
  <c r="DF290" i="19"/>
  <c r="H284" i="19"/>
  <c r="DF23" i="19"/>
  <c r="DF291" i="19"/>
  <c r="DG273" i="19"/>
  <c r="H285" i="19"/>
  <c r="DK90" i="19"/>
  <c r="DK114" i="19" s="1"/>
  <c r="DL90" i="19"/>
  <c r="DL114" i="19" s="1"/>
  <c r="DM90" i="19"/>
  <c r="DM114" i="19" s="1"/>
  <c r="DN90" i="19"/>
  <c r="DN114" i="19" s="1"/>
  <c r="I96" i="19"/>
  <c r="DG90" i="19"/>
  <c r="DG114" i="19" s="1"/>
  <c r="DO90" i="19"/>
  <c r="DO114" i="19" s="1"/>
  <c r="DR90" i="19"/>
  <c r="DR114" i="19" s="1"/>
  <c r="DH90" i="19"/>
  <c r="DH114" i="19" s="1"/>
  <c r="DI90" i="19"/>
  <c r="DI114" i="19" s="1"/>
  <c r="DJ90" i="19"/>
  <c r="DJ114" i="19" s="1"/>
  <c r="DP90" i="19"/>
  <c r="DP114" i="19" s="1"/>
  <c r="DQ90" i="19"/>
  <c r="DQ114" i="19" s="1"/>
  <c r="H19" i="19"/>
  <c r="H31" i="19" s="1"/>
  <c r="H219" i="19"/>
  <c r="I165" i="19" s="1"/>
  <c r="H36" i="19" l="1"/>
  <c r="FE8" i="25"/>
  <c r="H37" i="19"/>
  <c r="FE9" i="25"/>
  <c r="I114" i="19"/>
  <c r="AH114" i="19"/>
  <c r="AG35" i="19"/>
  <c r="FJ7" i="7"/>
  <c r="H16" i="19"/>
  <c r="H216" i="19"/>
  <c r="DJ9" i="19"/>
  <c r="DJ27" i="19" s="1"/>
  <c r="DJ33" i="19" s="1"/>
  <c r="DJ141" i="19"/>
  <c r="DK123" i="19"/>
  <c r="DK135" i="19" s="1"/>
  <c r="DR133" i="19"/>
  <c r="AK114" i="19"/>
  <c r="H22" i="19"/>
  <c r="H290" i="19"/>
  <c r="H17" i="19"/>
  <c r="H217" i="19"/>
  <c r="I163" i="19" s="1"/>
  <c r="DK15" i="19"/>
  <c r="DL197" i="19"/>
  <c r="DL209" i="19" s="1"/>
  <c r="DK215" i="19"/>
  <c r="DK133" i="19"/>
  <c r="DM97" i="19"/>
  <c r="DM121" i="19" s="1"/>
  <c r="AJ121" i="19" s="1"/>
  <c r="DN97" i="19"/>
  <c r="DN121" i="19" s="1"/>
  <c r="DG97" i="19"/>
  <c r="DG121" i="19" s="1"/>
  <c r="DO97" i="19"/>
  <c r="DO121" i="19" s="1"/>
  <c r="DO133" i="19" s="1"/>
  <c r="DH97" i="19"/>
  <c r="DH121" i="19" s="1"/>
  <c r="DP97" i="19"/>
  <c r="DP121" i="19" s="1"/>
  <c r="DI97" i="19"/>
  <c r="DI121" i="19" s="1"/>
  <c r="DQ97" i="19"/>
  <c r="DQ121" i="19" s="1"/>
  <c r="DJ97" i="19"/>
  <c r="DJ121" i="19" s="1"/>
  <c r="AI121" i="19" s="1"/>
  <c r="DK97" i="19"/>
  <c r="DK121" i="19" s="1"/>
  <c r="DR97" i="19"/>
  <c r="DR121" i="19" s="1"/>
  <c r="DL97" i="19"/>
  <c r="DL121" i="19" s="1"/>
  <c r="DL133" i="19" s="1"/>
  <c r="AI9" i="19"/>
  <c r="AI27" i="19" s="1"/>
  <c r="AI33" i="19" s="1"/>
  <c r="AI141" i="19"/>
  <c r="AI114" i="19"/>
  <c r="DJ132" i="19"/>
  <c r="AJ114" i="19"/>
  <c r="I199" i="19"/>
  <c r="AH199" i="19"/>
  <c r="DN164" i="19"/>
  <c r="DN188" i="19" s="1"/>
  <c r="I170" i="19"/>
  <c r="DH164" i="19"/>
  <c r="DH188" i="19" s="1"/>
  <c r="DP164" i="19"/>
  <c r="DP188" i="19" s="1"/>
  <c r="DI164" i="19"/>
  <c r="DI188" i="19" s="1"/>
  <c r="DQ164" i="19"/>
  <c r="DQ188" i="19" s="1"/>
  <c r="DJ164" i="19"/>
  <c r="DJ188" i="19" s="1"/>
  <c r="DR164" i="19"/>
  <c r="DR188" i="19" s="1"/>
  <c r="DK164" i="19"/>
  <c r="DK188" i="19" s="1"/>
  <c r="DG164" i="19"/>
  <c r="DG188" i="19" s="1"/>
  <c r="DL164" i="19"/>
  <c r="DL188" i="19" s="1"/>
  <c r="DO164" i="19"/>
  <c r="DO188" i="19" s="1"/>
  <c r="DM164" i="19"/>
  <c r="DM188" i="19" s="1"/>
  <c r="AI115" i="19"/>
  <c r="DN133" i="19"/>
  <c r="DO281" i="19"/>
  <c r="I115" i="19"/>
  <c r="AH115" i="19"/>
  <c r="DG133" i="19"/>
  <c r="DG139" i="19" s="1"/>
  <c r="I272" i="19"/>
  <c r="AH272" i="19"/>
  <c r="DQ133" i="19"/>
  <c r="AJ115" i="19"/>
  <c r="I263" i="19"/>
  <c r="AH263" i="19"/>
  <c r="DH96" i="19"/>
  <c r="DH120" i="19" s="1"/>
  <c r="DH132" i="19" s="1"/>
  <c r="DP96" i="19"/>
  <c r="DP120" i="19" s="1"/>
  <c r="AK120" i="19" s="1"/>
  <c r="AK96" i="19" s="1"/>
  <c r="DI96" i="19"/>
  <c r="DI120" i="19" s="1"/>
  <c r="DQ96" i="19"/>
  <c r="DQ120" i="19" s="1"/>
  <c r="DJ96" i="19"/>
  <c r="DJ120" i="19" s="1"/>
  <c r="DR96" i="19"/>
  <c r="DR120" i="19" s="1"/>
  <c r="DK96" i="19"/>
  <c r="DK120" i="19" s="1"/>
  <c r="DL96" i="19"/>
  <c r="DL120" i="19" s="1"/>
  <c r="DL132" i="19" s="1"/>
  <c r="DG96" i="19"/>
  <c r="DG120" i="19" s="1"/>
  <c r="DG132" i="19" s="1"/>
  <c r="DG138" i="19" s="1"/>
  <c r="DM96" i="19"/>
  <c r="DM120" i="19" s="1"/>
  <c r="AJ120" i="19" s="1"/>
  <c r="AJ96" i="19" s="1"/>
  <c r="DN96" i="19"/>
  <c r="DN120" i="19" s="1"/>
  <c r="DN132" i="19" s="1"/>
  <c r="DO96" i="19"/>
  <c r="DO120" i="19" s="1"/>
  <c r="DK132" i="19"/>
  <c r="DK238" i="19"/>
  <c r="DK262" i="19" s="1"/>
  <c r="DL238" i="19"/>
  <c r="DL262" i="19" s="1"/>
  <c r="DM238" i="19"/>
  <c r="DM262" i="19" s="1"/>
  <c r="DN238" i="19"/>
  <c r="DN262" i="19" s="1"/>
  <c r="I244" i="19"/>
  <c r="DG238" i="19"/>
  <c r="DG262" i="19" s="1"/>
  <c r="DO238" i="19"/>
  <c r="DO262" i="19" s="1"/>
  <c r="DH238" i="19"/>
  <c r="DH262" i="19" s="1"/>
  <c r="DP238" i="19"/>
  <c r="DP262" i="19" s="1"/>
  <c r="DJ238" i="19"/>
  <c r="DJ262" i="19" s="1"/>
  <c r="DR238" i="19"/>
  <c r="DR262" i="19" s="1"/>
  <c r="DI238" i="19"/>
  <c r="DI262" i="19" s="1"/>
  <c r="DQ238" i="19"/>
  <c r="DQ262" i="19" s="1"/>
  <c r="DK21" i="19"/>
  <c r="DL271" i="19"/>
  <c r="DL283" i="19" s="1"/>
  <c r="DK289" i="19"/>
  <c r="DI133" i="19"/>
  <c r="DM245" i="19"/>
  <c r="DM269" i="19" s="1"/>
  <c r="DN245" i="19"/>
  <c r="DN269" i="19" s="1"/>
  <c r="DN281" i="19" s="1"/>
  <c r="DG245" i="19"/>
  <c r="DG269" i="19" s="1"/>
  <c r="DO245" i="19"/>
  <c r="DO269" i="19" s="1"/>
  <c r="DH245" i="19"/>
  <c r="DH269" i="19" s="1"/>
  <c r="DH281" i="19" s="1"/>
  <c r="DP245" i="19"/>
  <c r="DP269" i="19" s="1"/>
  <c r="DP281" i="19" s="1"/>
  <c r="DI245" i="19"/>
  <c r="DI269" i="19" s="1"/>
  <c r="DI281" i="19" s="1"/>
  <c r="DQ245" i="19"/>
  <c r="DQ269" i="19" s="1"/>
  <c r="DJ245" i="19"/>
  <c r="DJ269" i="19" s="1"/>
  <c r="AI269" i="19" s="1"/>
  <c r="DR245" i="19"/>
  <c r="DR269" i="19" s="1"/>
  <c r="DR281" i="19" s="1"/>
  <c r="DL245" i="19"/>
  <c r="DL269" i="19" s="1"/>
  <c r="DL281" i="19" s="1"/>
  <c r="DK245" i="19"/>
  <c r="DK269" i="19" s="1"/>
  <c r="DK281" i="19" s="1"/>
  <c r="DQ132" i="19"/>
  <c r="I198" i="19"/>
  <c r="AH198" i="19"/>
  <c r="DI132" i="19"/>
  <c r="DR132" i="19"/>
  <c r="H23" i="19"/>
  <c r="H291" i="19"/>
  <c r="I237" i="19" s="1"/>
  <c r="DE11" i="19"/>
  <c r="DE29" i="19" s="1"/>
  <c r="DE35" i="19" s="1"/>
  <c r="DF125" i="19"/>
  <c r="DF137" i="19" s="1"/>
  <c r="DE143" i="19"/>
  <c r="AK115" i="19"/>
  <c r="DP133" i="19"/>
  <c r="AG34" i="19"/>
  <c r="FJ6" i="7"/>
  <c r="FJ10" i="7" s="1"/>
  <c r="AI263" i="19"/>
  <c r="AK263" i="19"/>
  <c r="DH165" i="19"/>
  <c r="DH189" i="19" s="1"/>
  <c r="DP165" i="19"/>
  <c r="DP189" i="19" s="1"/>
  <c r="DJ165" i="19"/>
  <c r="DJ189" i="19" s="1"/>
  <c r="DR165" i="19"/>
  <c r="DR189" i="19" s="1"/>
  <c r="DK165" i="19"/>
  <c r="DK189" i="19" s="1"/>
  <c r="DL165" i="19"/>
  <c r="DL189" i="19" s="1"/>
  <c r="DM165" i="19"/>
  <c r="DM189" i="19" s="1"/>
  <c r="DG165" i="19"/>
  <c r="DG189" i="19" s="1"/>
  <c r="DI165" i="19"/>
  <c r="DI189" i="19" s="1"/>
  <c r="DN165" i="19"/>
  <c r="DN189" i="19" s="1"/>
  <c r="DQ165" i="19"/>
  <c r="DQ189" i="19" s="1"/>
  <c r="I171" i="19"/>
  <c r="DO165" i="19"/>
  <c r="DO189" i="19" s="1"/>
  <c r="DO132" i="19"/>
  <c r="I273" i="19"/>
  <c r="AH273" i="19"/>
  <c r="DE10" i="19"/>
  <c r="DE28" i="19" s="1"/>
  <c r="DE34" i="19" s="1"/>
  <c r="DF124" i="19"/>
  <c r="DF136" i="19" s="1"/>
  <c r="DE142" i="19"/>
  <c r="DH133" i="19"/>
  <c r="DQ281" i="19"/>
  <c r="AJ263" i="19"/>
  <c r="DM281" i="19"/>
  <c r="DG12" i="19" l="1"/>
  <c r="DH126" i="19"/>
  <c r="DH138" i="19" s="1"/>
  <c r="DG144" i="19"/>
  <c r="AH90" i="19"/>
  <c r="DF10" i="19"/>
  <c r="DF28" i="19" s="1"/>
  <c r="DF34" i="19" s="1"/>
  <c r="DG124" i="19"/>
  <c r="H136" i="19"/>
  <c r="DF142" i="19"/>
  <c r="AI189" i="19"/>
  <c r="I269" i="19"/>
  <c r="AH269" i="19"/>
  <c r="AH281" i="19" s="1"/>
  <c r="AH287" i="19" s="1"/>
  <c r="DQ280" i="19"/>
  <c r="DH244" i="19"/>
  <c r="DH268" i="19" s="1"/>
  <c r="DP244" i="19"/>
  <c r="DP268" i="19" s="1"/>
  <c r="DI244" i="19"/>
  <c r="DI268" i="19" s="1"/>
  <c r="DQ244" i="19"/>
  <c r="DQ268" i="19" s="1"/>
  <c r="DJ244" i="19"/>
  <c r="DJ268" i="19" s="1"/>
  <c r="DR244" i="19"/>
  <c r="DR268" i="19" s="1"/>
  <c r="DK244" i="19"/>
  <c r="DK268" i="19" s="1"/>
  <c r="DK280" i="19" s="1"/>
  <c r="DL244" i="19"/>
  <c r="DL268" i="19" s="1"/>
  <c r="DM244" i="19"/>
  <c r="DM268" i="19" s="1"/>
  <c r="DG244" i="19"/>
  <c r="DG268" i="19" s="1"/>
  <c r="DO244" i="19"/>
  <c r="DO268" i="19" s="1"/>
  <c r="DN244" i="19"/>
  <c r="DN268" i="19" s="1"/>
  <c r="AJ91" i="19"/>
  <c r="AJ133" i="19"/>
  <c r="AH91" i="19"/>
  <c r="AK188" i="19"/>
  <c r="AJ90" i="19"/>
  <c r="AJ132" i="19"/>
  <c r="AJ262" i="19"/>
  <c r="DM280" i="19"/>
  <c r="I120" i="19"/>
  <c r="I132" i="19" s="1"/>
  <c r="AH120" i="19"/>
  <c r="AH96" i="19" s="1"/>
  <c r="I188" i="19"/>
  <c r="AH188" i="19"/>
  <c r="DK170" i="19"/>
  <c r="DK194" i="19" s="1"/>
  <c r="DK206" i="19" s="1"/>
  <c r="DM170" i="19"/>
  <c r="DM194" i="19" s="1"/>
  <c r="AJ194" i="19" s="1"/>
  <c r="AJ170" i="19" s="1"/>
  <c r="DN170" i="19"/>
  <c r="DN194" i="19" s="1"/>
  <c r="DG170" i="19"/>
  <c r="DG194" i="19" s="1"/>
  <c r="DG206" i="19" s="1"/>
  <c r="DG212" i="19" s="1"/>
  <c r="DO170" i="19"/>
  <c r="DO194" i="19" s="1"/>
  <c r="DO206" i="19" s="1"/>
  <c r="DH170" i="19"/>
  <c r="DH194" i="19" s="1"/>
  <c r="DH206" i="19" s="1"/>
  <c r="DP170" i="19"/>
  <c r="DP194" i="19" s="1"/>
  <c r="DR170" i="19"/>
  <c r="DR194" i="19" s="1"/>
  <c r="DI170" i="19"/>
  <c r="DI194" i="19" s="1"/>
  <c r="DL170" i="19"/>
  <c r="DL194" i="19" s="1"/>
  <c r="DL206" i="19" s="1"/>
  <c r="DJ170" i="19"/>
  <c r="DJ194" i="19" s="1"/>
  <c r="DQ170" i="19"/>
  <c r="DQ194" i="19" s="1"/>
  <c r="AI90" i="19"/>
  <c r="DR280" i="19"/>
  <c r="AJ239" i="19"/>
  <c r="AJ281" i="19"/>
  <c r="AH189" i="19"/>
  <c r="I189" i="19"/>
  <c r="AK91" i="19"/>
  <c r="AK133" i="19"/>
  <c r="AI262" i="19"/>
  <c r="DJ280" i="19"/>
  <c r="DL280" i="19"/>
  <c r="DG281" i="19"/>
  <c r="DG287" i="19" s="1"/>
  <c r="DN206" i="19"/>
  <c r="DP132" i="19"/>
  <c r="AK189" i="19"/>
  <c r="DI280" i="19"/>
  <c r="DH207" i="19"/>
  <c r="AJ269" i="19"/>
  <c r="AJ189" i="19"/>
  <c r="AK239" i="19"/>
  <c r="AK262" i="19"/>
  <c r="DP280" i="19"/>
  <c r="AH239" i="19"/>
  <c r="DR206" i="19"/>
  <c r="AK121" i="19"/>
  <c r="DL15" i="19"/>
  <c r="DM197" i="19"/>
  <c r="DL215" i="19"/>
  <c r="AK90" i="19"/>
  <c r="AK132" i="19"/>
  <c r="AK269" i="19"/>
  <c r="AK281" i="19" s="1"/>
  <c r="DH280" i="19"/>
  <c r="I281" i="19"/>
  <c r="DJ133" i="19"/>
  <c r="AI188" i="19"/>
  <c r="DJ206" i="19"/>
  <c r="DK9" i="19"/>
  <c r="DK27" i="19" s="1"/>
  <c r="DK33" i="19" s="1"/>
  <c r="DK141" i="19"/>
  <c r="DL123" i="19"/>
  <c r="DL135" i="19" s="1"/>
  <c r="DJ281" i="19"/>
  <c r="DL21" i="19"/>
  <c r="DM271" i="19"/>
  <c r="DL289" i="19"/>
  <c r="DO280" i="19"/>
  <c r="AI120" i="19"/>
  <c r="AI96" i="19" s="1"/>
  <c r="AI91" i="19"/>
  <c r="AI133" i="19"/>
  <c r="DQ206" i="19"/>
  <c r="DL163" i="19"/>
  <c r="I162" i="19"/>
  <c r="DN163" i="19"/>
  <c r="I169" i="19"/>
  <c r="DG163" i="19"/>
  <c r="DO163" i="19"/>
  <c r="DH163" i="19"/>
  <c r="DP163" i="19"/>
  <c r="DI163" i="19"/>
  <c r="DQ163" i="19"/>
  <c r="DR163" i="19"/>
  <c r="DK163" i="19"/>
  <c r="DM163" i="19"/>
  <c r="DJ163" i="19"/>
  <c r="DN280" i="19"/>
  <c r="DF11" i="19"/>
  <c r="DF29" i="19" s="1"/>
  <c r="DF35" i="19" s="1"/>
  <c r="DG125" i="19"/>
  <c r="H137" i="19"/>
  <c r="DF143" i="19"/>
  <c r="DO207" i="19"/>
  <c r="DH171" i="19"/>
  <c r="DH195" i="19" s="1"/>
  <c r="DP171" i="19"/>
  <c r="DP195" i="19" s="1"/>
  <c r="DJ171" i="19"/>
  <c r="DJ195" i="19" s="1"/>
  <c r="AI195" i="19" s="1"/>
  <c r="DR171" i="19"/>
  <c r="DR195" i="19" s="1"/>
  <c r="DR207" i="19" s="1"/>
  <c r="DK171" i="19"/>
  <c r="DK195" i="19" s="1"/>
  <c r="DK207" i="19" s="1"/>
  <c r="DL171" i="19"/>
  <c r="DL195" i="19" s="1"/>
  <c r="DL207" i="19" s="1"/>
  <c r="DM171" i="19"/>
  <c r="DM195" i="19" s="1"/>
  <c r="DM207" i="19" s="1"/>
  <c r="DN171" i="19"/>
  <c r="DN195" i="19" s="1"/>
  <c r="DN207" i="19" s="1"/>
  <c r="DO171" i="19"/>
  <c r="DO195" i="19" s="1"/>
  <c r="DQ171" i="19"/>
  <c r="DQ195" i="19" s="1"/>
  <c r="DQ207" i="19" s="1"/>
  <c r="DG171" i="19"/>
  <c r="DG195" i="19" s="1"/>
  <c r="DG207" i="19" s="1"/>
  <c r="DG213" i="19" s="1"/>
  <c r="DI171" i="19"/>
  <c r="DI195" i="19" s="1"/>
  <c r="DI207" i="19" s="1"/>
  <c r="AI239" i="19"/>
  <c r="AI281" i="19"/>
  <c r="DI237" i="19"/>
  <c r="DQ237" i="19"/>
  <c r="DJ237" i="19"/>
  <c r="DR237" i="19"/>
  <c r="DK237" i="19"/>
  <c r="DL237" i="19"/>
  <c r="I236" i="19"/>
  <c r="DM237" i="19"/>
  <c r="DN237" i="19"/>
  <c r="I243" i="19"/>
  <c r="DH237" i="19"/>
  <c r="DP237" i="19"/>
  <c r="DG237" i="19"/>
  <c r="DO237" i="19"/>
  <c r="I262" i="19"/>
  <c r="AH262" i="19"/>
  <c r="DG280" i="19"/>
  <c r="DG286" i="19" s="1"/>
  <c r="DM133" i="19"/>
  <c r="DG13" i="19"/>
  <c r="DH127" i="19"/>
  <c r="DH139" i="19" s="1"/>
  <c r="DG145" i="19"/>
  <c r="AJ188" i="19"/>
  <c r="DI206" i="19"/>
  <c r="DM132" i="19"/>
  <c r="I121" i="19"/>
  <c r="I133" i="19" s="1"/>
  <c r="AH121" i="19"/>
  <c r="AH133" i="19" s="1"/>
  <c r="AH139" i="19" s="1"/>
  <c r="DG18" i="19" l="1"/>
  <c r="DH200" i="19"/>
  <c r="DH212" i="19" s="1"/>
  <c r="DG218" i="19"/>
  <c r="AH25" i="19"/>
  <c r="AH293" i="19"/>
  <c r="AH13" i="19"/>
  <c r="AH145" i="19"/>
  <c r="DG19" i="19"/>
  <c r="DH201" i="19"/>
  <c r="DH213" i="19" s="1"/>
  <c r="DG219" i="19"/>
  <c r="DN243" i="19"/>
  <c r="DG243" i="19"/>
  <c r="DO243" i="19"/>
  <c r="DH243" i="19"/>
  <c r="DP243" i="19"/>
  <c r="DI243" i="19"/>
  <c r="DQ243" i="19"/>
  <c r="DJ243" i="19"/>
  <c r="DR243" i="19"/>
  <c r="DK243" i="19"/>
  <c r="I242" i="19"/>
  <c r="DM243" i="19"/>
  <c r="DL243" i="19"/>
  <c r="DQ236" i="19"/>
  <c r="DQ260" i="19" s="1"/>
  <c r="DQ261" i="19"/>
  <c r="DH162" i="19"/>
  <c r="DH186" i="19" s="1"/>
  <c r="DH187" i="19"/>
  <c r="AK165" i="19"/>
  <c r="AI238" i="19"/>
  <c r="AI280" i="19"/>
  <c r="AI194" i="19"/>
  <c r="AI170" i="19" s="1"/>
  <c r="I124" i="19"/>
  <c r="AH124" i="19"/>
  <c r="DO162" i="19"/>
  <c r="DO186" i="19" s="1"/>
  <c r="DO187" i="19"/>
  <c r="DM236" i="19"/>
  <c r="DM260" i="19" s="1"/>
  <c r="DM261" i="19"/>
  <c r="DM162" i="19"/>
  <c r="DM186" i="19" s="1"/>
  <c r="DM187" i="19"/>
  <c r="AH132" i="19"/>
  <c r="AH138" i="19" s="1"/>
  <c r="DL9" i="19"/>
  <c r="DL27" i="19" s="1"/>
  <c r="DL33" i="19" s="1"/>
  <c r="DM123" i="19"/>
  <c r="DL141" i="19"/>
  <c r="AJ238" i="19"/>
  <c r="AJ280" i="19"/>
  <c r="H11" i="19"/>
  <c r="H29" i="19" s="1"/>
  <c r="H143" i="19"/>
  <c r="I89" i="19" s="1"/>
  <c r="DK162" i="19"/>
  <c r="DK186" i="19" s="1"/>
  <c r="DK187" i="19"/>
  <c r="DI169" i="19"/>
  <c r="DQ169" i="19"/>
  <c r="DK169" i="19"/>
  <c r="DL169" i="19"/>
  <c r="I168" i="19"/>
  <c r="DM169" i="19"/>
  <c r="DN169" i="19"/>
  <c r="DP169" i="19"/>
  <c r="DR169" i="19"/>
  <c r="DG169" i="19"/>
  <c r="DJ169" i="19"/>
  <c r="DH169" i="19"/>
  <c r="DO169" i="19"/>
  <c r="AJ165" i="19"/>
  <c r="AI268" i="19"/>
  <c r="AI244" i="19" s="1"/>
  <c r="DJ207" i="19"/>
  <c r="DJ162" i="19"/>
  <c r="DJ186" i="19" s="1"/>
  <c r="DJ187" i="19"/>
  <c r="AH238" i="19"/>
  <c r="AJ195" i="19"/>
  <c r="AJ207" i="19" s="1"/>
  <c r="DG162" i="19"/>
  <c r="DG186" i="19" s="1"/>
  <c r="DG187" i="19"/>
  <c r="DM206" i="19"/>
  <c r="AJ164" i="19"/>
  <c r="AJ206" i="19"/>
  <c r="DO236" i="19"/>
  <c r="DO260" i="19" s="1"/>
  <c r="DO261" i="19"/>
  <c r="DL236" i="19"/>
  <c r="DL260" i="19" s="1"/>
  <c r="DL261" i="19"/>
  <c r="I125" i="19"/>
  <c r="AH125" i="19"/>
  <c r="DR162" i="19"/>
  <c r="DR186" i="19" s="1"/>
  <c r="DR187" i="19"/>
  <c r="DN162" i="19"/>
  <c r="DN186" i="19" s="1"/>
  <c r="DN187" i="19"/>
  <c r="AK194" i="19"/>
  <c r="AK170" i="19" s="1"/>
  <c r="AH164" i="19"/>
  <c r="AI165" i="19"/>
  <c r="AI207" i="19"/>
  <c r="DI236" i="19"/>
  <c r="DI260" i="19" s="1"/>
  <c r="DI261" i="19"/>
  <c r="DK236" i="19"/>
  <c r="DK260" i="19" s="1"/>
  <c r="DK261" i="19"/>
  <c r="DM283" i="19"/>
  <c r="AJ271" i="19"/>
  <c r="AJ283" i="19" s="1"/>
  <c r="AI132" i="19"/>
  <c r="DP206" i="19"/>
  <c r="DG24" i="19"/>
  <c r="DH274" i="19"/>
  <c r="DH286" i="19" s="1"/>
  <c r="DG292" i="19"/>
  <c r="DG236" i="19"/>
  <c r="DG260" i="19" s="1"/>
  <c r="DG261" i="19"/>
  <c r="DQ162" i="19"/>
  <c r="DQ186" i="19" s="1"/>
  <c r="DQ187" i="19"/>
  <c r="DG25" i="19"/>
  <c r="DH275" i="19"/>
  <c r="DH287" i="19" s="1"/>
  <c r="DG293" i="19"/>
  <c r="DH13" i="19"/>
  <c r="DI127" i="19"/>
  <c r="DI139" i="19" s="1"/>
  <c r="DH145" i="19"/>
  <c r="DP236" i="19"/>
  <c r="DP260" i="19" s="1"/>
  <c r="DP261" i="19"/>
  <c r="DR236" i="19"/>
  <c r="DR260" i="19" s="1"/>
  <c r="DR261" i="19"/>
  <c r="I195" i="19"/>
  <c r="I207" i="19" s="1"/>
  <c r="AH195" i="19"/>
  <c r="DI162" i="19"/>
  <c r="DI186" i="19" s="1"/>
  <c r="DI187" i="19"/>
  <c r="DL162" i="19"/>
  <c r="DL186" i="19" s="1"/>
  <c r="DL187" i="19"/>
  <c r="AI164" i="19"/>
  <c r="AI206" i="19"/>
  <c r="DM209" i="19"/>
  <c r="AJ197" i="19"/>
  <c r="AJ209" i="19" s="1"/>
  <c r="AH165" i="19"/>
  <c r="AH207" i="19"/>
  <c r="AH213" i="19" s="1"/>
  <c r="AK164" i="19"/>
  <c r="AK206" i="19"/>
  <c r="I268" i="19"/>
  <c r="I280" i="19" s="1"/>
  <c r="AH268" i="19"/>
  <c r="AH244" i="19" s="1"/>
  <c r="AK268" i="19"/>
  <c r="AK244" i="19" s="1"/>
  <c r="DH12" i="19"/>
  <c r="DI126" i="19"/>
  <c r="DI138" i="19" s="1"/>
  <c r="DH144" i="19"/>
  <c r="DN236" i="19"/>
  <c r="DN260" i="19" s="1"/>
  <c r="DN261" i="19"/>
  <c r="DG31" i="19"/>
  <c r="DG37" i="19" s="1"/>
  <c r="DH236" i="19"/>
  <c r="DH260" i="19" s="1"/>
  <c r="DH261" i="19"/>
  <c r="DJ236" i="19"/>
  <c r="DJ260" i="19" s="1"/>
  <c r="DJ261" i="19"/>
  <c r="AK195" i="19"/>
  <c r="AK207" i="19" s="1"/>
  <c r="DP162" i="19"/>
  <c r="DP186" i="19" s="1"/>
  <c r="DP187" i="19"/>
  <c r="AK238" i="19"/>
  <c r="DP207" i="19"/>
  <c r="I194" i="19"/>
  <c r="I206" i="19" s="1"/>
  <c r="AH194" i="19"/>
  <c r="AH170" i="19" s="1"/>
  <c r="AJ268" i="19"/>
  <c r="AJ244" i="19" s="1"/>
  <c r="H10" i="19"/>
  <c r="H28" i="19" s="1"/>
  <c r="H142" i="19"/>
  <c r="DG30" i="19"/>
  <c r="DG36" i="19" s="1"/>
  <c r="AK187" i="19" l="1"/>
  <c r="AK261" i="19"/>
  <c r="DP279" i="19"/>
  <c r="DH168" i="19"/>
  <c r="DH192" i="19" s="1"/>
  <c r="DH193" i="19"/>
  <c r="DL168" i="19"/>
  <c r="DL192" i="19" s="1"/>
  <c r="DL204" i="19" s="1"/>
  <c r="DL193" i="19"/>
  <c r="DL205" i="19" s="1"/>
  <c r="AJ186" i="19"/>
  <c r="DI242" i="19"/>
  <c r="DI266" i="19" s="1"/>
  <c r="DI278" i="19" s="1"/>
  <c r="DI267" i="19"/>
  <c r="AK186" i="19"/>
  <c r="DJ168" i="19"/>
  <c r="DJ192" i="19" s="1"/>
  <c r="AI192" i="19" s="1"/>
  <c r="AI168" i="19" s="1"/>
  <c r="DJ193" i="19"/>
  <c r="DP242" i="19"/>
  <c r="DP266" i="19" s="1"/>
  <c r="DP267" i="19"/>
  <c r="AH19" i="19"/>
  <c r="AH219" i="19"/>
  <c r="I261" i="19"/>
  <c r="AH261" i="19"/>
  <c r="AI186" i="19"/>
  <c r="DG168" i="19"/>
  <c r="DG192" i="19" s="1"/>
  <c r="DG193" i="19"/>
  <c r="DQ168" i="19"/>
  <c r="DQ192" i="19" s="1"/>
  <c r="DQ193" i="19"/>
  <c r="DQ205" i="19" s="1"/>
  <c r="AJ260" i="19"/>
  <c r="DM278" i="19"/>
  <c r="DM242" i="19"/>
  <c r="DM266" i="19" s="1"/>
  <c r="DM267" i="19"/>
  <c r="DH242" i="19"/>
  <c r="DH266" i="19" s="1"/>
  <c r="DH267" i="19"/>
  <c r="AH31" i="19"/>
  <c r="AH37" i="19" s="1"/>
  <c r="AI187" i="19"/>
  <c r="DJ205" i="19"/>
  <c r="DK168" i="19"/>
  <c r="DK192" i="19" s="1"/>
  <c r="DK193" i="19"/>
  <c r="AJ261" i="19"/>
  <c r="DM279" i="19"/>
  <c r="DL242" i="19"/>
  <c r="DL266" i="19" s="1"/>
  <c r="DL267" i="19"/>
  <c r="DL279" i="19" s="1"/>
  <c r="AI261" i="19"/>
  <c r="DI12" i="19"/>
  <c r="DJ126" i="19"/>
  <c r="DI144" i="19"/>
  <c r="DI204" i="19"/>
  <c r="DI13" i="19"/>
  <c r="DI145" i="19"/>
  <c r="DJ127" i="19"/>
  <c r="I260" i="19"/>
  <c r="AH260" i="19"/>
  <c r="AJ21" i="19"/>
  <c r="AJ289" i="19"/>
  <c r="AH206" i="19"/>
  <c r="AH212" i="19" s="1"/>
  <c r="DR168" i="19"/>
  <c r="DR192" i="19" s="1"/>
  <c r="DR204" i="19" s="1"/>
  <c r="DR193" i="19"/>
  <c r="DR205" i="19" s="1"/>
  <c r="DI168" i="19"/>
  <c r="DI192" i="19" s="1"/>
  <c r="DI193" i="19"/>
  <c r="DI205" i="19" s="1"/>
  <c r="DO242" i="19"/>
  <c r="DO266" i="19" s="1"/>
  <c r="DO278" i="19" s="1"/>
  <c r="DO267" i="19"/>
  <c r="AI260" i="19"/>
  <c r="DJ278" i="19"/>
  <c r="AJ15" i="19"/>
  <c r="AJ215" i="19"/>
  <c r="DM21" i="19"/>
  <c r="DM289" i="19"/>
  <c r="DN271" i="19"/>
  <c r="DN283" i="19" s="1"/>
  <c r="I187" i="19"/>
  <c r="AH187" i="19"/>
  <c r="DG205" i="19"/>
  <c r="DG211" i="19" s="1"/>
  <c r="DP168" i="19"/>
  <c r="DP192" i="19" s="1"/>
  <c r="DP204" i="19" s="1"/>
  <c r="DP193" i="19"/>
  <c r="DK205" i="19"/>
  <c r="AJ123" i="19"/>
  <c r="AJ135" i="19" s="1"/>
  <c r="DM135" i="19"/>
  <c r="DO204" i="19"/>
  <c r="DK242" i="19"/>
  <c r="DK266" i="19" s="1"/>
  <c r="DK278" i="19" s="1"/>
  <c r="DK267" i="19"/>
  <c r="DG242" i="19"/>
  <c r="DG266" i="19" s="1"/>
  <c r="DG267" i="19"/>
  <c r="DG279" i="19" s="1"/>
  <c r="DG285" i="19" s="1"/>
  <c r="AK260" i="19"/>
  <c r="DP278" i="19"/>
  <c r="DH24" i="19"/>
  <c r="DH30" i="19" s="1"/>
  <c r="DH36" i="19" s="1"/>
  <c r="DI274" i="19"/>
  <c r="DI286" i="19" s="1"/>
  <c r="DH292" i="19"/>
  <c r="DK279" i="19"/>
  <c r="I186" i="19"/>
  <c r="AH186" i="19"/>
  <c r="DG204" i="19"/>
  <c r="DG210" i="19" s="1"/>
  <c r="DN168" i="19"/>
  <c r="DN192" i="19" s="1"/>
  <c r="DN204" i="19" s="1"/>
  <c r="DN193" i="19"/>
  <c r="DN205" i="19" s="1"/>
  <c r="DK204" i="19"/>
  <c r="DH205" i="19"/>
  <c r="DR242" i="19"/>
  <c r="DR266" i="19" s="1"/>
  <c r="DR267" i="19"/>
  <c r="DN242" i="19"/>
  <c r="DN266" i="19" s="1"/>
  <c r="DN278" i="19" s="1"/>
  <c r="DN267" i="19"/>
  <c r="DN279" i="19" s="1"/>
  <c r="H34" i="19"/>
  <c r="FE6" i="25"/>
  <c r="DH279" i="19"/>
  <c r="DM15" i="19"/>
  <c r="DN197" i="19"/>
  <c r="DN209" i="19" s="1"/>
  <c r="DM215" i="19"/>
  <c r="AK280" i="19"/>
  <c r="DH278" i="19"/>
  <c r="DR279" i="19"/>
  <c r="DH25" i="19"/>
  <c r="DH293" i="19"/>
  <c r="DI275" i="19"/>
  <c r="DI287" i="19" s="1"/>
  <c r="DL278" i="19"/>
  <c r="DM168" i="19"/>
  <c r="DM192" i="19" s="1"/>
  <c r="AJ192" i="19" s="1"/>
  <c r="AJ168" i="19" s="1"/>
  <c r="DM193" i="19"/>
  <c r="AJ193" i="19" s="1"/>
  <c r="AJ169" i="19" s="1"/>
  <c r="DI89" i="19"/>
  <c r="DQ89" i="19"/>
  <c r="DJ89" i="19"/>
  <c r="DR89" i="19"/>
  <c r="DK89" i="19"/>
  <c r="DL89" i="19"/>
  <c r="I88" i="19"/>
  <c r="DM89" i="19"/>
  <c r="I95" i="19"/>
  <c r="DG89" i="19"/>
  <c r="DH89" i="19"/>
  <c r="DP89" i="19"/>
  <c r="DN89" i="19"/>
  <c r="DO89" i="19"/>
  <c r="AH12" i="19"/>
  <c r="AH144" i="19"/>
  <c r="DH204" i="19"/>
  <c r="DJ242" i="19"/>
  <c r="DJ266" i="19" s="1"/>
  <c r="DJ267" i="19"/>
  <c r="DJ279" i="19" s="1"/>
  <c r="DH18" i="19"/>
  <c r="DI200" i="19"/>
  <c r="DI212" i="19" s="1"/>
  <c r="DH218" i="19"/>
  <c r="DQ204" i="19"/>
  <c r="DR278" i="19"/>
  <c r="DI279" i="19"/>
  <c r="DO279" i="19"/>
  <c r="AH280" i="19"/>
  <c r="AH286" i="19" s="1"/>
  <c r="DO168" i="19"/>
  <c r="DO192" i="19" s="1"/>
  <c r="DO193" i="19"/>
  <c r="DO205" i="19" s="1"/>
  <c r="H35" i="19"/>
  <c r="FE7" i="25"/>
  <c r="AJ187" i="19"/>
  <c r="DQ242" i="19"/>
  <c r="DQ266" i="19" s="1"/>
  <c r="DQ278" i="19" s="1"/>
  <c r="DQ267" i="19"/>
  <c r="DQ279" i="19" s="1"/>
  <c r="DH19" i="19"/>
  <c r="DH31" i="19" s="1"/>
  <c r="DH37" i="19" s="1"/>
  <c r="DH219" i="19"/>
  <c r="DI201" i="19"/>
  <c r="DI213" i="19" s="1"/>
  <c r="DG23" i="19" l="1"/>
  <c r="DG291" i="19"/>
  <c r="DH273" i="19"/>
  <c r="DH285" i="19" s="1"/>
  <c r="DM88" i="19"/>
  <c r="DM112" i="19" s="1"/>
  <c r="DM113" i="19"/>
  <c r="DI24" i="19"/>
  <c r="DI292" i="19"/>
  <c r="DJ274" i="19"/>
  <c r="AH163" i="19"/>
  <c r="AI193" i="19"/>
  <c r="AI169" i="19" s="1"/>
  <c r="AJ162" i="19"/>
  <c r="AJ204" i="19"/>
  <c r="AI127" i="19"/>
  <c r="AI139" i="19" s="1"/>
  <c r="DJ139" i="19"/>
  <c r="DL88" i="19"/>
  <c r="DL112" i="19" s="1"/>
  <c r="DL113" i="19"/>
  <c r="DM9" i="19"/>
  <c r="DM27" i="19" s="1"/>
  <c r="DM33" i="19" s="1"/>
  <c r="DN123" i="19"/>
  <c r="DN135" i="19" s="1"/>
  <c r="DM141" i="19"/>
  <c r="AI236" i="19"/>
  <c r="AK237" i="19"/>
  <c r="AI163" i="19"/>
  <c r="AI205" i="19"/>
  <c r="AJ236" i="19"/>
  <c r="DO88" i="19"/>
  <c r="DO112" i="19" s="1"/>
  <c r="DO113" i="19"/>
  <c r="DG16" i="19"/>
  <c r="DH198" i="19"/>
  <c r="DH210" i="19" s="1"/>
  <c r="DG216" i="19"/>
  <c r="DN21" i="19"/>
  <c r="DO271" i="19"/>
  <c r="DO283" i="19" s="1"/>
  <c r="DN289" i="19"/>
  <c r="DI18" i="19"/>
  <c r="DI218" i="19"/>
  <c r="DJ200" i="19"/>
  <c r="DN88" i="19"/>
  <c r="DN112" i="19" s="1"/>
  <c r="DN113" i="19"/>
  <c r="DK88" i="19"/>
  <c r="DK112" i="19" s="1"/>
  <c r="DK113" i="19"/>
  <c r="AH162" i="19"/>
  <c r="AK236" i="19"/>
  <c r="AJ9" i="19"/>
  <c r="AJ27" i="19" s="1"/>
  <c r="AJ33" i="19" s="1"/>
  <c r="AJ141" i="19"/>
  <c r="AH18" i="19"/>
  <c r="AH218" i="19"/>
  <c r="AK162" i="19"/>
  <c r="AH237" i="19"/>
  <c r="AH279" i="19"/>
  <c r="AH285" i="19" s="1"/>
  <c r="I193" i="19"/>
  <c r="I205" i="19" s="1"/>
  <c r="AH193" i="19"/>
  <c r="AH169" i="19" s="1"/>
  <c r="DI19" i="19"/>
  <c r="DI31" i="19" s="1"/>
  <c r="DI37" i="19" s="1"/>
  <c r="DI219" i="19"/>
  <c r="DJ201" i="19"/>
  <c r="DP88" i="19"/>
  <c r="DP112" i="19" s="1"/>
  <c r="DP113" i="19"/>
  <c r="DN15" i="19"/>
  <c r="DO197" i="19"/>
  <c r="DO209" i="19" s="1"/>
  <c r="DN215" i="19"/>
  <c r="AI267" i="19"/>
  <c r="AI243" i="19" s="1"/>
  <c r="DH88" i="19"/>
  <c r="DH112" i="19" s="1"/>
  <c r="DH113" i="19"/>
  <c r="DJ88" i="19"/>
  <c r="DJ112" i="19" s="1"/>
  <c r="DJ113" i="19"/>
  <c r="DI25" i="19"/>
  <c r="DJ275" i="19"/>
  <c r="DI293" i="19"/>
  <c r="I267" i="19"/>
  <c r="I279" i="19" s="1"/>
  <c r="AH267" i="19"/>
  <c r="AH243" i="19" s="1"/>
  <c r="AK193" i="19"/>
  <c r="AK169" i="19" s="1"/>
  <c r="AJ237" i="19"/>
  <c r="I192" i="19"/>
  <c r="I204" i="19" s="1"/>
  <c r="AH192" i="19"/>
  <c r="AH168" i="19" s="1"/>
  <c r="DP205" i="19"/>
  <c r="AH24" i="19"/>
  <c r="AH30" i="19" s="1"/>
  <c r="AH36" i="19" s="1"/>
  <c r="AH292" i="19"/>
  <c r="AI266" i="19"/>
  <c r="AI242" i="19" s="1"/>
  <c r="DG88" i="19"/>
  <c r="DG112" i="19" s="1"/>
  <c r="DG113" i="19"/>
  <c r="DQ88" i="19"/>
  <c r="DQ112" i="19" s="1"/>
  <c r="DQ113" i="19"/>
  <c r="I266" i="19"/>
  <c r="I278" i="19" s="1"/>
  <c r="AH266" i="19"/>
  <c r="AH242" i="19" s="1"/>
  <c r="AK192" i="19"/>
  <c r="AK168" i="19" s="1"/>
  <c r="DG278" i="19"/>
  <c r="DG284" i="19" s="1"/>
  <c r="AI126" i="19"/>
  <c r="AI138" i="19" s="1"/>
  <c r="DJ138" i="19"/>
  <c r="AJ267" i="19"/>
  <c r="AJ243" i="19" s="1"/>
  <c r="DJ204" i="19"/>
  <c r="AK267" i="19"/>
  <c r="AK243" i="19" s="1"/>
  <c r="AK163" i="19"/>
  <c r="AI237" i="19"/>
  <c r="AI279" i="19"/>
  <c r="DR88" i="19"/>
  <c r="DR112" i="19" s="1"/>
  <c r="DR113" i="19"/>
  <c r="DM205" i="19"/>
  <c r="AJ163" i="19"/>
  <c r="AJ205" i="19"/>
  <c r="DN95" i="19"/>
  <c r="DG95" i="19"/>
  <c r="DO95" i="19"/>
  <c r="DH95" i="19"/>
  <c r="DP95" i="19"/>
  <c r="DI95" i="19"/>
  <c r="DQ95" i="19"/>
  <c r="DJ95" i="19"/>
  <c r="DR95" i="19"/>
  <c r="I94" i="19"/>
  <c r="DK95" i="19"/>
  <c r="DL95" i="19"/>
  <c r="DM95" i="19"/>
  <c r="DI88" i="19"/>
  <c r="DI112" i="19" s="1"/>
  <c r="DI113" i="19"/>
  <c r="FE10" i="25"/>
  <c r="DG17" i="19"/>
  <c r="DH199" i="19"/>
  <c r="DH211" i="19" s="1"/>
  <c r="DG217" i="19"/>
  <c r="AH236" i="19"/>
  <c r="DI30" i="19"/>
  <c r="DI36" i="19" s="1"/>
  <c r="AJ266" i="19"/>
  <c r="AJ242" i="19" s="1"/>
  <c r="AI162" i="19"/>
  <c r="AI204" i="19"/>
  <c r="AK266" i="19"/>
  <c r="AK242" i="19" s="1"/>
  <c r="DM204" i="19"/>
  <c r="DJ94" i="19" l="1"/>
  <c r="DJ118" i="19" s="1"/>
  <c r="DJ119" i="19"/>
  <c r="AJ278" i="19"/>
  <c r="AI278" i="19"/>
  <c r="AI13" i="19"/>
  <c r="AI145" i="19"/>
  <c r="AI274" i="19"/>
  <c r="AI286" i="19" s="1"/>
  <c r="DJ286" i="19"/>
  <c r="DN9" i="19"/>
  <c r="DN27" i="19" s="1"/>
  <c r="DN33" i="19" s="1"/>
  <c r="DO123" i="19"/>
  <c r="DO135" i="19" s="1"/>
  <c r="DN141" i="19"/>
  <c r="AJ113" i="19"/>
  <c r="DM131" i="19"/>
  <c r="DM94" i="19"/>
  <c r="DM118" i="19" s="1"/>
  <c r="DM119" i="19"/>
  <c r="DL94" i="19"/>
  <c r="DL118" i="19" s="1"/>
  <c r="DL119" i="19"/>
  <c r="DH94" i="19"/>
  <c r="DH118" i="19" s="1"/>
  <c r="DH119" i="19"/>
  <c r="DJ12" i="19"/>
  <c r="DJ144" i="19"/>
  <c r="DK126" i="19"/>
  <c r="DK138" i="19" s="1"/>
  <c r="I113" i="19"/>
  <c r="AH113" i="19"/>
  <c r="AJ279" i="19"/>
  <c r="AI113" i="19"/>
  <c r="DJ131" i="19"/>
  <c r="AK113" i="19"/>
  <c r="AH23" i="19"/>
  <c r="AH291" i="19"/>
  <c r="DH16" i="19"/>
  <c r="DI198" i="19"/>
  <c r="DI210" i="19" s="1"/>
  <c r="DH216" i="19"/>
  <c r="AJ112" i="19"/>
  <c r="DM130" i="19"/>
  <c r="DK131" i="19"/>
  <c r="DO15" i="19"/>
  <c r="DP197" i="19"/>
  <c r="DO215" i="19"/>
  <c r="DK94" i="19"/>
  <c r="DK118" i="19" s="1"/>
  <c r="DK130" i="19" s="1"/>
  <c r="DK119" i="19"/>
  <c r="DO94" i="19"/>
  <c r="DO118" i="19" s="1"/>
  <c r="DO119" i="19"/>
  <c r="AI12" i="19"/>
  <c r="AI144" i="19"/>
  <c r="I112" i="19"/>
  <c r="AH112" i="19"/>
  <c r="AI112" i="19"/>
  <c r="DJ130" i="19"/>
  <c r="AK112" i="19"/>
  <c r="AK278" i="19"/>
  <c r="AI200" i="19"/>
  <c r="AI212" i="19" s="1"/>
  <c r="DJ212" i="19"/>
  <c r="AK279" i="19"/>
  <c r="DL131" i="19"/>
  <c r="DH23" i="19"/>
  <c r="DI273" i="19"/>
  <c r="DI285" i="19" s="1"/>
  <c r="DH291" i="19"/>
  <c r="DO21" i="19"/>
  <c r="DP271" i="19"/>
  <c r="DO289" i="19"/>
  <c r="AI275" i="19"/>
  <c r="AI287" i="19" s="1"/>
  <c r="DJ287" i="19"/>
  <c r="AH278" i="19"/>
  <c r="AH284" i="19" s="1"/>
  <c r="DQ130" i="19"/>
  <c r="DG94" i="19"/>
  <c r="DG118" i="19" s="1"/>
  <c r="DG119" i="19"/>
  <c r="DG22" i="19"/>
  <c r="DG290" i="19"/>
  <c r="DH272" i="19"/>
  <c r="DH284" i="19" s="1"/>
  <c r="DH131" i="19"/>
  <c r="AI201" i="19"/>
  <c r="AI213" i="19" s="1"/>
  <c r="DJ213" i="19"/>
  <c r="AK204" i="19"/>
  <c r="DO131" i="19"/>
  <c r="DL130" i="19"/>
  <c r="AH205" i="19"/>
  <c r="AH211" i="19" s="1"/>
  <c r="DQ94" i="19"/>
  <c r="DQ118" i="19" s="1"/>
  <c r="DQ119" i="19"/>
  <c r="DQ131" i="19" s="1"/>
  <c r="DI94" i="19"/>
  <c r="DI118" i="19" s="1"/>
  <c r="DI130" i="19" s="1"/>
  <c r="DI119" i="19"/>
  <c r="DI131" i="19" s="1"/>
  <c r="DP94" i="19"/>
  <c r="DP118" i="19" s="1"/>
  <c r="AK118" i="19" s="1"/>
  <c r="AK94" i="19" s="1"/>
  <c r="DP119" i="19"/>
  <c r="AK119" i="19" s="1"/>
  <c r="AK95" i="19" s="1"/>
  <c r="DH17" i="19"/>
  <c r="DI199" i="19"/>
  <c r="DI211" i="19" s="1"/>
  <c r="DH217" i="19"/>
  <c r="DR94" i="19"/>
  <c r="DR118" i="19" s="1"/>
  <c r="DR130" i="19" s="1"/>
  <c r="DR119" i="19"/>
  <c r="DR131" i="19" s="1"/>
  <c r="DN94" i="19"/>
  <c r="DN118" i="19" s="1"/>
  <c r="DN130" i="19" s="1"/>
  <c r="DN119" i="19"/>
  <c r="DN131" i="19" s="1"/>
  <c r="AK205" i="19"/>
  <c r="DH130" i="19"/>
  <c r="AH204" i="19"/>
  <c r="AH210" i="19" s="1"/>
  <c r="DO130" i="19"/>
  <c r="DJ13" i="19"/>
  <c r="DK127" i="19"/>
  <c r="DK139" i="19" s="1"/>
  <c r="DJ145" i="19"/>
  <c r="I119" i="19" l="1"/>
  <c r="AH119" i="19"/>
  <c r="AH95" i="19" s="1"/>
  <c r="DJ18" i="19"/>
  <c r="DJ218" i="19"/>
  <c r="DK200" i="19"/>
  <c r="DK212" i="19" s="1"/>
  <c r="AH88" i="19"/>
  <c r="DI16" i="19"/>
  <c r="DJ198" i="19"/>
  <c r="DI216" i="19"/>
  <c r="AI89" i="19"/>
  <c r="DJ24" i="19"/>
  <c r="DK274" i="19"/>
  <c r="DK286" i="19" s="1"/>
  <c r="DJ292" i="19"/>
  <c r="AJ89" i="19"/>
  <c r="AI24" i="19"/>
  <c r="AI292" i="19"/>
  <c r="AI18" i="19"/>
  <c r="AI218" i="19"/>
  <c r="I118" i="19"/>
  <c r="I130" i="19" s="1"/>
  <c r="AH118" i="19"/>
  <c r="AH94" i="19" s="1"/>
  <c r="DP209" i="19"/>
  <c r="AK197" i="19"/>
  <c r="AK209" i="19" s="1"/>
  <c r="DG131" i="19"/>
  <c r="DG137" i="19" s="1"/>
  <c r="DP283" i="19"/>
  <c r="AK271" i="19"/>
  <c r="AK283" i="19" s="1"/>
  <c r="DJ19" i="19"/>
  <c r="DK201" i="19"/>
  <c r="DK213" i="19" s="1"/>
  <c r="DJ219" i="19"/>
  <c r="DP130" i="19"/>
  <c r="AI30" i="19"/>
  <c r="AI36" i="19" s="1"/>
  <c r="AH89" i="19"/>
  <c r="AH131" i="19"/>
  <c r="AH137" i="19" s="1"/>
  <c r="DO9" i="19"/>
  <c r="DO27" i="19" s="1"/>
  <c r="DO33" i="19" s="1"/>
  <c r="DP123" i="19"/>
  <c r="DO141" i="19"/>
  <c r="I131" i="19"/>
  <c r="DK13" i="19"/>
  <c r="DK145" i="19"/>
  <c r="DL127" i="19"/>
  <c r="DL139" i="19" s="1"/>
  <c r="DI23" i="19"/>
  <c r="DJ273" i="19"/>
  <c r="DI291" i="19"/>
  <c r="DJ25" i="19"/>
  <c r="DJ31" i="19" s="1"/>
  <c r="DJ37" i="19" s="1"/>
  <c r="DK275" i="19"/>
  <c r="DK287" i="19" s="1"/>
  <c r="DJ293" i="19"/>
  <c r="DP131" i="19"/>
  <c r="DK12" i="19"/>
  <c r="DL126" i="19"/>
  <c r="DL138" i="19" s="1"/>
  <c r="DK144" i="19"/>
  <c r="AJ119" i="19"/>
  <c r="AJ95" i="19" s="1"/>
  <c r="AI19" i="19"/>
  <c r="AI31" i="19" s="1"/>
  <c r="AI37" i="19" s="1"/>
  <c r="AI219" i="19"/>
  <c r="AK88" i="19"/>
  <c r="AK130" i="19"/>
  <c r="DH22" i="19"/>
  <c r="DH290" i="19"/>
  <c r="DI272" i="19"/>
  <c r="DI284" i="19" s="1"/>
  <c r="AI25" i="19"/>
  <c r="AI293" i="19"/>
  <c r="AI88" i="19"/>
  <c r="AJ88" i="19"/>
  <c r="AK89" i="19"/>
  <c r="AK131" i="19"/>
  <c r="AJ118" i="19"/>
  <c r="AJ94" i="19" s="1"/>
  <c r="AI119" i="19"/>
  <c r="AI95" i="19" s="1"/>
  <c r="AH22" i="19"/>
  <c r="AH290" i="19"/>
  <c r="AH16" i="19"/>
  <c r="AH216" i="19"/>
  <c r="DI17" i="19"/>
  <c r="DJ199" i="19"/>
  <c r="DI217" i="19"/>
  <c r="AH17" i="19"/>
  <c r="AH217" i="19"/>
  <c r="DG130" i="19"/>
  <c r="DG136" i="19" s="1"/>
  <c r="DJ30" i="19"/>
  <c r="DJ36" i="19" s="1"/>
  <c r="AI118" i="19"/>
  <c r="AI94" i="19" s="1"/>
  <c r="AH130" i="19" l="1"/>
  <c r="AH136" i="19" s="1"/>
  <c r="DJ211" i="19"/>
  <c r="AI199" i="19"/>
  <c r="AI211" i="19" s="1"/>
  <c r="DK19" i="19"/>
  <c r="DL201" i="19"/>
  <c r="DL213" i="19" s="1"/>
  <c r="DK219" i="19"/>
  <c r="DL12" i="19"/>
  <c r="DL144" i="19"/>
  <c r="DM126" i="19"/>
  <c r="AI273" i="19"/>
  <c r="AI285" i="19" s="1"/>
  <c r="DJ285" i="19"/>
  <c r="AK123" i="19"/>
  <c r="AK135" i="19" s="1"/>
  <c r="DP135" i="19"/>
  <c r="DK24" i="19"/>
  <c r="DL274" i="19"/>
  <c r="DL286" i="19" s="1"/>
  <c r="DK292" i="19"/>
  <c r="AJ130" i="19"/>
  <c r="AK21" i="19"/>
  <c r="AK289" i="19"/>
  <c r="DK18" i="19"/>
  <c r="DK30" i="19" s="1"/>
  <c r="DK36" i="19" s="1"/>
  <c r="DK218" i="19"/>
  <c r="DL200" i="19"/>
  <c r="DL212" i="19" s="1"/>
  <c r="DL13" i="19"/>
  <c r="DM127" i="19"/>
  <c r="DL145" i="19"/>
  <c r="AH11" i="19"/>
  <c r="AH29" i="19" s="1"/>
  <c r="AH35" i="19" s="1"/>
  <c r="AH143" i="19"/>
  <c r="DP21" i="19"/>
  <c r="DP289" i="19"/>
  <c r="DQ271" i="19"/>
  <c r="DQ283" i="19" s="1"/>
  <c r="AI131" i="19"/>
  <c r="DG10" i="19"/>
  <c r="DG28" i="19" s="1"/>
  <c r="DG34" i="19" s="1"/>
  <c r="DH124" i="19"/>
  <c r="DH136" i="19" s="1"/>
  <c r="DG142" i="19"/>
  <c r="AI130" i="19"/>
  <c r="DG11" i="19"/>
  <c r="DG29" i="19" s="1"/>
  <c r="DG35" i="19" s="1"/>
  <c r="DH125" i="19"/>
  <c r="DH137" i="19" s="1"/>
  <c r="DG143" i="19"/>
  <c r="DI22" i="19"/>
  <c r="DI290" i="19"/>
  <c r="DJ272" i="19"/>
  <c r="DK25" i="19"/>
  <c r="DL275" i="19"/>
  <c r="DL287" i="19" s="1"/>
  <c r="DK293" i="19"/>
  <c r="DK31" i="19"/>
  <c r="DK37" i="19" s="1"/>
  <c r="AK15" i="19"/>
  <c r="AK215" i="19"/>
  <c r="AJ131" i="19"/>
  <c r="DP15" i="19"/>
  <c r="DQ197" i="19"/>
  <c r="DQ209" i="19" s="1"/>
  <c r="DP215" i="19"/>
  <c r="DJ210" i="19"/>
  <c r="AI198" i="19"/>
  <c r="AI210" i="19" s="1"/>
  <c r="DQ21" i="19" l="1"/>
  <c r="DQ289" i="19"/>
  <c r="DR271" i="19"/>
  <c r="DR283" i="19" s="1"/>
  <c r="DH11" i="19"/>
  <c r="DH29" i="19" s="1"/>
  <c r="DH35" i="19" s="1"/>
  <c r="DI125" i="19"/>
  <c r="DI137" i="19" s="1"/>
  <c r="DH143" i="19"/>
  <c r="DP9" i="19"/>
  <c r="DP27" i="19" s="1"/>
  <c r="DP33" i="19" s="1"/>
  <c r="DQ123" i="19"/>
  <c r="DQ135" i="19" s="1"/>
  <c r="DP141" i="19"/>
  <c r="DL19" i="19"/>
  <c r="DL31" i="19" s="1"/>
  <c r="DL37" i="19" s="1"/>
  <c r="DM201" i="19"/>
  <c r="DL219" i="19"/>
  <c r="DL18" i="19"/>
  <c r="DL30" i="19" s="1"/>
  <c r="DL36" i="19" s="1"/>
  <c r="DM200" i="19"/>
  <c r="DL218" i="19"/>
  <c r="AK9" i="19"/>
  <c r="AK27" i="19" s="1"/>
  <c r="AK33" i="19" s="1"/>
  <c r="AK141" i="19"/>
  <c r="DL24" i="19"/>
  <c r="DM274" i="19"/>
  <c r="DL292" i="19"/>
  <c r="DQ15" i="19"/>
  <c r="DR197" i="19"/>
  <c r="DR209" i="19" s="1"/>
  <c r="DQ215" i="19"/>
  <c r="DJ23" i="19"/>
  <c r="DK273" i="19"/>
  <c r="DK285" i="19" s="1"/>
  <c r="DJ291" i="19"/>
  <c r="AI17" i="19"/>
  <c r="AI217" i="19"/>
  <c r="DH10" i="19"/>
  <c r="DH28" i="19" s="1"/>
  <c r="DH34" i="19" s="1"/>
  <c r="DI124" i="19"/>
  <c r="DI136" i="19" s="1"/>
  <c r="DH142" i="19"/>
  <c r="AI23" i="19"/>
  <c r="AI291" i="19"/>
  <c r="DJ17" i="19"/>
  <c r="DJ217" i="19"/>
  <c r="DK199" i="19"/>
  <c r="DK211" i="19" s="1"/>
  <c r="AI16" i="19"/>
  <c r="AI216" i="19"/>
  <c r="DJ16" i="19"/>
  <c r="DK198" i="19"/>
  <c r="DK210" i="19" s="1"/>
  <c r="DJ216" i="19"/>
  <c r="DL25" i="19"/>
  <c r="DM275" i="19"/>
  <c r="DL293" i="19"/>
  <c r="AI272" i="19"/>
  <c r="AI284" i="19" s="1"/>
  <c r="DJ284" i="19"/>
  <c r="DM139" i="19"/>
  <c r="AJ127" i="19"/>
  <c r="AJ139" i="19" s="1"/>
  <c r="AJ126" i="19"/>
  <c r="AJ138" i="19" s="1"/>
  <c r="DM138" i="19"/>
  <c r="AH10" i="19"/>
  <c r="AH28" i="19" s="1"/>
  <c r="AH34" i="19" s="1"/>
  <c r="AH142" i="19"/>
  <c r="AJ200" i="19" l="1"/>
  <c r="AJ212" i="19" s="1"/>
  <c r="DM212" i="19"/>
  <c r="DI11" i="19"/>
  <c r="DI29" i="19" s="1"/>
  <c r="DI35" i="19" s="1"/>
  <c r="DJ125" i="19"/>
  <c r="DI143" i="19"/>
  <c r="AI22" i="19"/>
  <c r="AI290" i="19"/>
  <c r="AJ274" i="19"/>
  <c r="AJ286" i="19" s="1"/>
  <c r="DM286" i="19"/>
  <c r="AJ201" i="19"/>
  <c r="AJ213" i="19" s="1"/>
  <c r="DM213" i="19"/>
  <c r="DK17" i="19"/>
  <c r="DK217" i="19"/>
  <c r="DL199" i="19"/>
  <c r="DL211" i="19" s="1"/>
  <c r="DR21" i="19"/>
  <c r="DR289" i="19"/>
  <c r="DS271" i="19"/>
  <c r="I283" i="19"/>
  <c r="DI10" i="19"/>
  <c r="DI28" i="19" s="1"/>
  <c r="DI34" i="19" s="1"/>
  <c r="DJ124" i="19"/>
  <c r="DI142" i="19"/>
  <c r="DK23" i="19"/>
  <c r="DL273" i="19"/>
  <c r="DL285" i="19" s="1"/>
  <c r="DK291" i="19"/>
  <c r="DJ22" i="19"/>
  <c r="DK272" i="19"/>
  <c r="DK284" i="19" s="1"/>
  <c r="DJ290" i="19"/>
  <c r="AJ275" i="19"/>
  <c r="AJ287" i="19" s="1"/>
  <c r="DM287" i="19"/>
  <c r="DQ9" i="19"/>
  <c r="DQ27" i="19" s="1"/>
  <c r="DQ33" i="19" s="1"/>
  <c r="DR123" i="19"/>
  <c r="DR135" i="19" s="1"/>
  <c r="DQ141" i="19"/>
  <c r="DR15" i="19"/>
  <c r="DS197" i="19"/>
  <c r="I209" i="19"/>
  <c r="DR215" i="19"/>
  <c r="DM12" i="19"/>
  <c r="DM144" i="19"/>
  <c r="DN126" i="19"/>
  <c r="DN138" i="19" s="1"/>
  <c r="AJ12" i="19"/>
  <c r="AJ144" i="19"/>
  <c r="AJ13" i="19"/>
  <c r="AJ145" i="19"/>
  <c r="DK16" i="19"/>
  <c r="DK216" i="19"/>
  <c r="DL198" i="19"/>
  <c r="DL210" i="19" s="1"/>
  <c r="DM13" i="19"/>
  <c r="DN127" i="19"/>
  <c r="DN139" i="19" s="1"/>
  <c r="DM145" i="19"/>
  <c r="AJ24" i="19" l="1"/>
  <c r="AJ292" i="19"/>
  <c r="DL23" i="19"/>
  <c r="DM273" i="19"/>
  <c r="DL291" i="19"/>
  <c r="AJ30" i="19"/>
  <c r="AJ36" i="19" s="1"/>
  <c r="DL17" i="19"/>
  <c r="DL217" i="19"/>
  <c r="DM199" i="19"/>
  <c r="DN12" i="19"/>
  <c r="DO126" i="19"/>
  <c r="DO138" i="19" s="1"/>
  <c r="DN144" i="19"/>
  <c r="DM25" i="19"/>
  <c r="DN275" i="19"/>
  <c r="DN287" i="19" s="1"/>
  <c r="DM293" i="19"/>
  <c r="AJ25" i="19"/>
  <c r="AJ293" i="19"/>
  <c r="DJ136" i="19"/>
  <c r="AI124" i="19"/>
  <c r="AI136" i="19" s="1"/>
  <c r="DJ137" i="19"/>
  <c r="AI125" i="19"/>
  <c r="AI137" i="19" s="1"/>
  <c r="DR9" i="19"/>
  <c r="DR27" i="19" s="1"/>
  <c r="DR33" i="19" s="1"/>
  <c r="DS123" i="19"/>
  <c r="I135" i="19"/>
  <c r="DR141" i="19"/>
  <c r="DM19" i="19"/>
  <c r="DM31" i="19" s="1"/>
  <c r="DM37" i="19" s="1"/>
  <c r="DN201" i="19"/>
  <c r="DN213" i="19" s="1"/>
  <c r="DM219" i="19"/>
  <c r="DN13" i="19"/>
  <c r="DO127" i="19"/>
  <c r="DO139" i="19" s="1"/>
  <c r="DN145" i="19"/>
  <c r="DL16" i="19"/>
  <c r="DL216" i="19"/>
  <c r="DM198" i="19"/>
  <c r="DK22" i="19"/>
  <c r="DK290" i="19"/>
  <c r="DL272" i="19"/>
  <c r="DL284" i="19" s="1"/>
  <c r="AJ19" i="19"/>
  <c r="AJ31" i="19" s="1"/>
  <c r="AJ37" i="19" s="1"/>
  <c r="AJ219" i="19"/>
  <c r="DM18" i="19"/>
  <c r="DN200" i="19"/>
  <c r="DN212" i="19" s="1"/>
  <c r="DM218" i="19"/>
  <c r="I15" i="19"/>
  <c r="I215" i="19"/>
  <c r="J197" i="19"/>
  <c r="DS209" i="19"/>
  <c r="AL197" i="19"/>
  <c r="AL209" i="19" s="1"/>
  <c r="I21" i="19"/>
  <c r="I289" i="19"/>
  <c r="AL271" i="19"/>
  <c r="AL283" i="19" s="1"/>
  <c r="J271" i="19"/>
  <c r="DS283" i="19"/>
  <c r="DM24" i="19"/>
  <c r="DM30" i="19" s="1"/>
  <c r="DM36" i="19" s="1"/>
  <c r="DN274" i="19"/>
  <c r="DN286" i="19" s="1"/>
  <c r="DM292" i="19"/>
  <c r="AJ18" i="19"/>
  <c r="AJ218" i="19"/>
  <c r="AI11" i="19" l="1"/>
  <c r="AI29" i="19" s="1"/>
  <c r="AI35" i="19" s="1"/>
  <c r="AI143" i="19"/>
  <c r="DN25" i="19"/>
  <c r="DO275" i="19"/>
  <c r="DO287" i="19" s="1"/>
  <c r="DN293" i="19"/>
  <c r="DN19" i="19"/>
  <c r="DN31" i="19" s="1"/>
  <c r="DN37" i="19" s="1"/>
  <c r="DO201" i="19"/>
  <c r="DO213" i="19" s="1"/>
  <c r="DN219" i="19"/>
  <c r="AI10" i="19"/>
  <c r="AI28" i="19" s="1"/>
  <c r="AI34" i="19" s="1"/>
  <c r="AI142" i="19"/>
  <c r="DL22" i="19"/>
  <c r="DL290" i="19"/>
  <c r="DM272" i="19"/>
  <c r="DM210" i="19"/>
  <c r="AJ198" i="19"/>
  <c r="AJ210" i="19" s="1"/>
  <c r="DJ10" i="19"/>
  <c r="DJ28" i="19" s="1"/>
  <c r="DJ34" i="19" s="1"/>
  <c r="DK124" i="19"/>
  <c r="DK136" i="19" s="1"/>
  <c r="DJ142" i="19"/>
  <c r="AJ273" i="19"/>
  <c r="AJ285" i="19" s="1"/>
  <c r="DM285" i="19"/>
  <c r="DS21" i="19"/>
  <c r="DT271" i="19"/>
  <c r="DT283" i="19" s="1"/>
  <c r="DS289" i="19"/>
  <c r="DN18" i="19"/>
  <c r="DO200" i="19"/>
  <c r="DO212" i="19" s="1"/>
  <c r="DN218" i="19"/>
  <c r="DO12" i="19"/>
  <c r="DP126" i="19"/>
  <c r="DO144" i="19"/>
  <c r="AL21" i="19"/>
  <c r="AL289" i="19"/>
  <c r="DO13" i="19"/>
  <c r="DP127" i="19"/>
  <c r="DO145" i="19"/>
  <c r="DJ11" i="19"/>
  <c r="DJ29" i="19" s="1"/>
  <c r="DJ35" i="19" s="1"/>
  <c r="DK125" i="19"/>
  <c r="DK137" i="19" s="1"/>
  <c r="DJ143" i="19"/>
  <c r="AL15" i="19"/>
  <c r="AL215" i="19"/>
  <c r="I9" i="19"/>
  <c r="I27" i="19" s="1"/>
  <c r="I33" i="19" s="1"/>
  <c r="I141" i="19"/>
  <c r="DN24" i="19"/>
  <c r="DN30" i="19" s="1"/>
  <c r="DN36" i="19" s="1"/>
  <c r="DN292" i="19"/>
  <c r="DO274" i="19"/>
  <c r="DO286" i="19" s="1"/>
  <c r="DS15" i="19"/>
  <c r="DT197" i="19"/>
  <c r="DT209" i="19" s="1"/>
  <c r="DS215" i="19"/>
  <c r="DS135" i="19"/>
  <c r="J123" i="19"/>
  <c r="AL123" i="19"/>
  <c r="AL135" i="19" s="1"/>
  <c r="AJ199" i="19"/>
  <c r="AJ211" i="19" s="1"/>
  <c r="DM211" i="19"/>
  <c r="AJ16" i="19" l="1"/>
  <c r="AJ216" i="19"/>
  <c r="DO19" i="19"/>
  <c r="DO31" i="19" s="1"/>
  <c r="DO37" i="19" s="1"/>
  <c r="DP201" i="19"/>
  <c r="DO219" i="19"/>
  <c r="DT21" i="19"/>
  <c r="DU271" i="19"/>
  <c r="DU283" i="19" s="1"/>
  <c r="DT289" i="19"/>
  <c r="DM16" i="19"/>
  <c r="DM216" i="19"/>
  <c r="DN198" i="19"/>
  <c r="DN210" i="19" s="1"/>
  <c r="DK11" i="19"/>
  <c r="DK29" i="19" s="1"/>
  <c r="DK35" i="19" s="1"/>
  <c r="DK143" i="19"/>
  <c r="DL125" i="19"/>
  <c r="DL137" i="19" s="1"/>
  <c r="DM284" i="19"/>
  <c r="AJ272" i="19"/>
  <c r="AJ284" i="19" s="1"/>
  <c r="DM17" i="19"/>
  <c r="DN199" i="19"/>
  <c r="DN211" i="19" s="1"/>
  <c r="DM217" i="19"/>
  <c r="AK126" i="19"/>
  <c r="AK138" i="19" s="1"/>
  <c r="DP138" i="19"/>
  <c r="DM23" i="19"/>
  <c r="DN273" i="19"/>
  <c r="DN285" i="19" s="1"/>
  <c r="DM291" i="19"/>
  <c r="AJ23" i="19"/>
  <c r="AJ291" i="19"/>
  <c r="DO25" i="19"/>
  <c r="DP275" i="19"/>
  <c r="DO293" i="19"/>
  <c r="DO30" i="19"/>
  <c r="DO36" i="19" s="1"/>
  <c r="AK127" i="19"/>
  <c r="AK139" i="19" s="1"/>
  <c r="DP139" i="19"/>
  <c r="DT15" i="19"/>
  <c r="DT215" i="19"/>
  <c r="DU197" i="19"/>
  <c r="DU209" i="19" s="1"/>
  <c r="DO24" i="19"/>
  <c r="DP274" i="19"/>
  <c r="DO292" i="19"/>
  <c r="AL9" i="19"/>
  <c r="AL27" i="19" s="1"/>
  <c r="AL33" i="19" s="1"/>
  <c r="AL141" i="19"/>
  <c r="DO18" i="19"/>
  <c r="DP200" i="19"/>
  <c r="DO218" i="19"/>
  <c r="DK10" i="19"/>
  <c r="DK28" i="19" s="1"/>
  <c r="DK34" i="19" s="1"/>
  <c r="DL124" i="19"/>
  <c r="DL136" i="19" s="1"/>
  <c r="DK142" i="19"/>
  <c r="AJ17" i="19"/>
  <c r="AJ217" i="19"/>
  <c r="DS9" i="19"/>
  <c r="DS27" i="19" s="1"/>
  <c r="DS33" i="19" s="1"/>
  <c r="DS141" i="19"/>
  <c r="DT123" i="19"/>
  <c r="DT135" i="19" s="1"/>
  <c r="AJ22" i="19" l="1"/>
  <c r="AJ290" i="19"/>
  <c r="DU21" i="19"/>
  <c r="DU289" i="19"/>
  <c r="DV271" i="19"/>
  <c r="DM22" i="19"/>
  <c r="DN272" i="19"/>
  <c r="DN284" i="19" s="1"/>
  <c r="DM290" i="19"/>
  <c r="DP12" i="19"/>
  <c r="DQ126" i="19"/>
  <c r="DQ138" i="19" s="1"/>
  <c r="DP144" i="19"/>
  <c r="DP13" i="19"/>
  <c r="DQ127" i="19"/>
  <c r="DQ139" i="19" s="1"/>
  <c r="DP145" i="19"/>
  <c r="DL10" i="19"/>
  <c r="DL28" i="19" s="1"/>
  <c r="DL34" i="19" s="1"/>
  <c r="DL142" i="19"/>
  <c r="DM124" i="19"/>
  <c r="AK201" i="19"/>
  <c r="AK213" i="19" s="1"/>
  <c r="DP213" i="19"/>
  <c r="AK13" i="19"/>
  <c r="AK145" i="19"/>
  <c r="AK274" i="19"/>
  <c r="AK286" i="19" s="1"/>
  <c r="DP286" i="19"/>
  <c r="AK200" i="19"/>
  <c r="AK212" i="19" s="1"/>
  <c r="DP212" i="19"/>
  <c r="DU15" i="19"/>
  <c r="DU215" i="19"/>
  <c r="DV197" i="19"/>
  <c r="DN16" i="19"/>
  <c r="DO198" i="19"/>
  <c r="DO210" i="19" s="1"/>
  <c r="DN216" i="19"/>
  <c r="AK12" i="19"/>
  <c r="AK144" i="19"/>
  <c r="DN23" i="19"/>
  <c r="DN291" i="19"/>
  <c r="DO273" i="19"/>
  <c r="DO285" i="19" s="1"/>
  <c r="DL11" i="19"/>
  <c r="DL29" i="19" s="1"/>
  <c r="DL35" i="19" s="1"/>
  <c r="DM125" i="19"/>
  <c r="DL143" i="19"/>
  <c r="DT9" i="19"/>
  <c r="DT27" i="19" s="1"/>
  <c r="DT33" i="19" s="1"/>
  <c r="DT141" i="19"/>
  <c r="DU123" i="19"/>
  <c r="DU135" i="19" s="1"/>
  <c r="AK275" i="19"/>
  <c r="AK287" i="19" s="1"/>
  <c r="DP287" i="19"/>
  <c r="DN17" i="19"/>
  <c r="DO199" i="19"/>
  <c r="DO211" i="19" s="1"/>
  <c r="DN217" i="19"/>
  <c r="AK18" i="19" l="1"/>
  <c r="AK218" i="19"/>
  <c r="DP24" i="19"/>
  <c r="DQ274" i="19"/>
  <c r="DQ286" i="19" s="1"/>
  <c r="DP292" i="19"/>
  <c r="DN22" i="19"/>
  <c r="DO272" i="19"/>
  <c r="DO284" i="19" s="1"/>
  <c r="DN290" i="19"/>
  <c r="AJ125" i="19"/>
  <c r="AJ137" i="19" s="1"/>
  <c r="DM137" i="19"/>
  <c r="DQ13" i="19"/>
  <c r="DR127" i="19"/>
  <c r="DR139" i="19" s="1"/>
  <c r="DQ145" i="19"/>
  <c r="AM271" i="19"/>
  <c r="AM283" i="19" s="1"/>
  <c r="DV283" i="19"/>
  <c r="DO16" i="19"/>
  <c r="DP198" i="19"/>
  <c r="DO216" i="19"/>
  <c r="DO17" i="19"/>
  <c r="DP199" i="19"/>
  <c r="DO217" i="19"/>
  <c r="DP19" i="19"/>
  <c r="DP31" i="19" s="1"/>
  <c r="DP37" i="19" s="1"/>
  <c r="DQ201" i="19"/>
  <c r="DQ213" i="19" s="1"/>
  <c r="DP219" i="19"/>
  <c r="DO23" i="19"/>
  <c r="DO291" i="19"/>
  <c r="DP273" i="19"/>
  <c r="AM197" i="19"/>
  <c r="AM209" i="19" s="1"/>
  <c r="DV209" i="19"/>
  <c r="AK19" i="19"/>
  <c r="AK31" i="19" s="1"/>
  <c r="AK37" i="19" s="1"/>
  <c r="AK219" i="19"/>
  <c r="DQ12" i="19"/>
  <c r="DR126" i="19"/>
  <c r="DR138" i="19" s="1"/>
  <c r="DQ144" i="19"/>
  <c r="AK24" i="19"/>
  <c r="AK30" i="19" s="1"/>
  <c r="AK36" i="19" s="1"/>
  <c r="AK292" i="19"/>
  <c r="DP25" i="19"/>
  <c r="DQ275" i="19"/>
  <c r="DQ287" i="19" s="1"/>
  <c r="DP293" i="19"/>
  <c r="AK25" i="19"/>
  <c r="AK293" i="19"/>
  <c r="DU9" i="19"/>
  <c r="DU27" i="19" s="1"/>
  <c r="DU33" i="19" s="1"/>
  <c r="DV123" i="19"/>
  <c r="DU141" i="19"/>
  <c r="DP18" i="19"/>
  <c r="DP30" i="19" s="1"/>
  <c r="DP36" i="19" s="1"/>
  <c r="DQ200" i="19"/>
  <c r="DQ212" i="19" s="1"/>
  <c r="DP218" i="19"/>
  <c r="AJ124" i="19"/>
  <c r="AJ136" i="19" s="1"/>
  <c r="DM136" i="19"/>
  <c r="DV21" i="19" l="1"/>
  <c r="DW271" i="19"/>
  <c r="DW283" i="19" s="1"/>
  <c r="DV289" i="19"/>
  <c r="DO22" i="19"/>
  <c r="DO290" i="19"/>
  <c r="DP272" i="19"/>
  <c r="AK273" i="19"/>
  <c r="AK285" i="19" s="1"/>
  <c r="DP285" i="19"/>
  <c r="AK199" i="19"/>
  <c r="AK211" i="19" s="1"/>
  <c r="DP211" i="19"/>
  <c r="AM15" i="19"/>
  <c r="AM215" i="19"/>
  <c r="DR13" i="19"/>
  <c r="DS127" i="19"/>
  <c r="DR145" i="19"/>
  <c r="I139" i="19"/>
  <c r="DQ24" i="19"/>
  <c r="DR274" i="19"/>
  <c r="DR286" i="19" s="1"/>
  <c r="DQ292" i="19"/>
  <c r="DV15" i="19"/>
  <c r="DV215" i="19"/>
  <c r="DW197" i="19"/>
  <c r="DW209" i="19" s="1"/>
  <c r="AM123" i="19"/>
  <c r="AM135" i="19" s="1"/>
  <c r="DV135" i="19"/>
  <c r="DM11" i="19"/>
  <c r="DM29" i="19" s="1"/>
  <c r="DM35" i="19" s="1"/>
  <c r="DM143" i="19"/>
  <c r="DN125" i="19"/>
  <c r="DN137" i="19" s="1"/>
  <c r="AM21" i="19"/>
  <c r="AM289" i="19"/>
  <c r="DM10" i="19"/>
  <c r="DM28" i="19" s="1"/>
  <c r="DM34" i="19" s="1"/>
  <c r="DN124" i="19"/>
  <c r="DN136" i="19" s="1"/>
  <c r="DM142" i="19"/>
  <c r="AJ10" i="19"/>
  <c r="AJ28" i="19" s="1"/>
  <c r="AJ34" i="19" s="1"/>
  <c r="AJ142" i="19"/>
  <c r="DR12" i="19"/>
  <c r="DS126" i="19"/>
  <c r="DR144" i="19"/>
  <c r="I138" i="19"/>
  <c r="DQ18" i="19"/>
  <c r="DQ30" i="19" s="1"/>
  <c r="DQ36" i="19" s="1"/>
  <c r="DR200" i="19"/>
  <c r="DR212" i="19" s="1"/>
  <c r="DQ218" i="19"/>
  <c r="DQ25" i="19"/>
  <c r="DR275" i="19"/>
  <c r="DR287" i="19" s="1"/>
  <c r="DQ293" i="19"/>
  <c r="DQ19" i="19"/>
  <c r="DQ31" i="19" s="1"/>
  <c r="DQ37" i="19" s="1"/>
  <c r="DR201" i="19"/>
  <c r="DR213" i="19" s="1"/>
  <c r="DQ219" i="19"/>
  <c r="DP210" i="19"/>
  <c r="AK198" i="19"/>
  <c r="AK210" i="19" s="1"/>
  <c r="AJ11" i="19"/>
  <c r="AJ29" i="19" s="1"/>
  <c r="AJ35" i="19" s="1"/>
  <c r="AJ143" i="19"/>
  <c r="I13" i="19" l="1"/>
  <c r="I145" i="19"/>
  <c r="J91" i="19" s="1"/>
  <c r="DP23" i="19"/>
  <c r="DQ273" i="19"/>
  <c r="DQ285" i="19" s="1"/>
  <c r="DP291" i="19"/>
  <c r="AK23" i="19"/>
  <c r="AK291" i="19"/>
  <c r="DW15" i="19"/>
  <c r="DX197" i="19"/>
  <c r="DX209" i="19" s="1"/>
  <c r="DW215" i="19"/>
  <c r="AL127" i="19"/>
  <c r="J127" i="19"/>
  <c r="AK272" i="19"/>
  <c r="AK284" i="19" s="1"/>
  <c r="DP284" i="19"/>
  <c r="I12" i="19"/>
  <c r="I144" i="19"/>
  <c r="J90" i="19" s="1"/>
  <c r="DN11" i="19"/>
  <c r="DN29" i="19" s="1"/>
  <c r="DN35" i="19" s="1"/>
  <c r="DN143" i="19"/>
  <c r="DO125" i="19"/>
  <c r="DO137" i="19" s="1"/>
  <c r="DR31" i="19"/>
  <c r="DR37" i="19" s="1"/>
  <c r="DR19" i="19"/>
  <c r="I213" i="19"/>
  <c r="DS201" i="19"/>
  <c r="DR219" i="19"/>
  <c r="AM9" i="19"/>
  <c r="AM27" i="19" s="1"/>
  <c r="AM33" i="19" s="1"/>
  <c r="AM141" i="19"/>
  <c r="AL126" i="19"/>
  <c r="J126" i="19"/>
  <c r="DV9" i="19"/>
  <c r="DV27" i="19" s="1"/>
  <c r="DV33" i="19" s="1"/>
  <c r="DW123" i="19"/>
  <c r="DW135" i="19" s="1"/>
  <c r="DV141" i="19"/>
  <c r="DR25" i="19"/>
  <c r="DS275" i="19"/>
  <c r="I287" i="19"/>
  <c r="DR293" i="19"/>
  <c r="DR18" i="19"/>
  <c r="DR30" i="19" s="1"/>
  <c r="DR36" i="19" s="1"/>
  <c r="DS200" i="19"/>
  <c r="I212" i="19"/>
  <c r="DR218" i="19"/>
  <c r="DR24" i="19"/>
  <c r="I286" i="19"/>
  <c r="DS274" i="19"/>
  <c r="DR292" i="19"/>
  <c r="DP17" i="19"/>
  <c r="DQ199" i="19"/>
  <c r="DQ211" i="19" s="1"/>
  <c r="DP217" i="19"/>
  <c r="DW21" i="19"/>
  <c r="DX271" i="19"/>
  <c r="DX283" i="19" s="1"/>
  <c r="DW289" i="19"/>
  <c r="AK16" i="19"/>
  <c r="AK216" i="19"/>
  <c r="DP16" i="19"/>
  <c r="DQ198" i="19"/>
  <c r="DQ210" i="19" s="1"/>
  <c r="DP216" i="19"/>
  <c r="DN10" i="19"/>
  <c r="DN28" i="19" s="1"/>
  <c r="DN34" i="19" s="1"/>
  <c r="DO124" i="19"/>
  <c r="DO136" i="19" s="1"/>
  <c r="DN142" i="19"/>
  <c r="AK17" i="19"/>
  <c r="AK217" i="19"/>
  <c r="DQ16" i="19" l="1"/>
  <c r="DR198" i="19"/>
  <c r="DR210" i="19" s="1"/>
  <c r="DQ216" i="19"/>
  <c r="I19" i="19"/>
  <c r="I219" i="19"/>
  <c r="J165" i="19" s="1"/>
  <c r="DP22" i="19"/>
  <c r="DP290" i="19"/>
  <c r="DQ272" i="19"/>
  <c r="DQ284" i="19" s="1"/>
  <c r="AK22" i="19"/>
  <c r="AK290" i="19"/>
  <c r="J274" i="19"/>
  <c r="AL274" i="19"/>
  <c r="I25" i="19"/>
  <c r="I293" i="19"/>
  <c r="J239" i="19" s="1"/>
  <c r="DO11" i="19"/>
  <c r="DO29" i="19" s="1"/>
  <c r="DO35" i="19" s="1"/>
  <c r="DP125" i="19"/>
  <c r="DO143" i="19"/>
  <c r="DQ17" i="19"/>
  <c r="DR199" i="19"/>
  <c r="DR211" i="19" s="1"/>
  <c r="DQ217" i="19"/>
  <c r="I24" i="19"/>
  <c r="I292" i="19"/>
  <c r="J238" i="19" s="1"/>
  <c r="J275" i="19"/>
  <c r="AL275" i="19"/>
  <c r="DQ23" i="19"/>
  <c r="DR273" i="19"/>
  <c r="DR285" i="19" s="1"/>
  <c r="DQ291" i="19"/>
  <c r="AL200" i="19"/>
  <c r="J200" i="19"/>
  <c r="DO10" i="19"/>
  <c r="DO28" i="19" s="1"/>
  <c r="DO34" i="19" s="1"/>
  <c r="DP124" i="19"/>
  <c r="DO142" i="19"/>
  <c r="DU91" i="19"/>
  <c r="DU115" i="19" s="1"/>
  <c r="EC91" i="19"/>
  <c r="EC115" i="19" s="1"/>
  <c r="DV91" i="19"/>
  <c r="DV115" i="19" s="1"/>
  <c r="ED91" i="19"/>
  <c r="ED115" i="19" s="1"/>
  <c r="DW91" i="19"/>
  <c r="DW115" i="19" s="1"/>
  <c r="J97" i="19"/>
  <c r="DX91" i="19"/>
  <c r="DX115" i="19" s="1"/>
  <c r="DY91" i="19"/>
  <c r="DY115" i="19" s="1"/>
  <c r="DZ91" i="19"/>
  <c r="DZ115" i="19" s="1"/>
  <c r="EA91" i="19"/>
  <c r="EA115" i="19" s="1"/>
  <c r="EB91" i="19"/>
  <c r="EB115" i="19" s="1"/>
  <c r="DS91" i="19"/>
  <c r="DS115" i="19" s="1"/>
  <c r="DT91" i="19"/>
  <c r="DT115" i="19" s="1"/>
  <c r="DX21" i="19"/>
  <c r="DX289" i="19"/>
  <c r="DY271" i="19"/>
  <c r="I18" i="19"/>
  <c r="I30" i="19" s="1"/>
  <c r="I218" i="19"/>
  <c r="J164" i="19" s="1"/>
  <c r="DW9" i="19"/>
  <c r="DW27" i="19" s="1"/>
  <c r="DW33" i="19" s="1"/>
  <c r="DX123" i="19"/>
  <c r="DX135" i="19" s="1"/>
  <c r="DW141" i="19"/>
  <c r="J201" i="19"/>
  <c r="AL201" i="19"/>
  <c r="DS90" i="19"/>
  <c r="DS114" i="19" s="1"/>
  <c r="EA90" i="19"/>
  <c r="EA114" i="19" s="1"/>
  <c r="DT90" i="19"/>
  <c r="DT114" i="19" s="1"/>
  <c r="EB90" i="19"/>
  <c r="EB114" i="19" s="1"/>
  <c r="DU90" i="19"/>
  <c r="DU114" i="19" s="1"/>
  <c r="EC90" i="19"/>
  <c r="EC114" i="19" s="1"/>
  <c r="DV90" i="19"/>
  <c r="DV114" i="19" s="1"/>
  <c r="ED90" i="19"/>
  <c r="ED114" i="19" s="1"/>
  <c r="DW90" i="19"/>
  <c r="DW114" i="19" s="1"/>
  <c r="J96" i="19"/>
  <c r="DX90" i="19"/>
  <c r="DX114" i="19" s="1"/>
  <c r="DY90" i="19"/>
  <c r="DY114" i="19" s="1"/>
  <c r="DZ90" i="19"/>
  <c r="DZ114" i="19" s="1"/>
  <c r="DX15" i="19"/>
  <c r="DY197" i="19"/>
  <c r="DX215" i="19"/>
  <c r="I31" i="19"/>
  <c r="I36" i="19" l="1"/>
  <c r="FF8" i="25"/>
  <c r="DU239" i="19"/>
  <c r="DU263" i="19" s="1"/>
  <c r="EC239" i="19"/>
  <c r="EC263" i="19" s="1"/>
  <c r="DV239" i="19"/>
  <c r="DV263" i="19" s="1"/>
  <c r="ED239" i="19"/>
  <c r="ED263" i="19" s="1"/>
  <c r="DW239" i="19"/>
  <c r="DW263" i="19" s="1"/>
  <c r="J245" i="19"/>
  <c r="DX239" i="19"/>
  <c r="DX263" i="19" s="1"/>
  <c r="DY239" i="19"/>
  <c r="DY263" i="19" s="1"/>
  <c r="DZ239" i="19"/>
  <c r="DZ263" i="19" s="1"/>
  <c r="DT239" i="19"/>
  <c r="DT263" i="19" s="1"/>
  <c r="EB239" i="19"/>
  <c r="EB263" i="19" s="1"/>
  <c r="DS239" i="19"/>
  <c r="DS263" i="19" s="1"/>
  <c r="EA239" i="19"/>
  <c r="EA263" i="19" s="1"/>
  <c r="AN271" i="19"/>
  <c r="AN283" i="19" s="1"/>
  <c r="DY283" i="19"/>
  <c r="AN115" i="19"/>
  <c r="DR23" i="19"/>
  <c r="I285" i="19"/>
  <c r="DS273" i="19"/>
  <c r="DR291" i="19"/>
  <c r="DR17" i="19"/>
  <c r="DR217" i="19"/>
  <c r="I211" i="19"/>
  <c r="DS199" i="19"/>
  <c r="AM114" i="19"/>
  <c r="AK124" i="19"/>
  <c r="AK136" i="19" s="1"/>
  <c r="DP136" i="19"/>
  <c r="DX165" i="19"/>
  <c r="DX189" i="19" s="1"/>
  <c r="DZ165" i="19"/>
  <c r="DZ189" i="19" s="1"/>
  <c r="DS165" i="19"/>
  <c r="DS189" i="19" s="1"/>
  <c r="EA165" i="19"/>
  <c r="EA189" i="19" s="1"/>
  <c r="DT165" i="19"/>
  <c r="DT189" i="19" s="1"/>
  <c r="EB165" i="19"/>
  <c r="EB189" i="19" s="1"/>
  <c r="DU165" i="19"/>
  <c r="DU189" i="19" s="1"/>
  <c r="EC165" i="19"/>
  <c r="EC189" i="19" s="1"/>
  <c r="DW165" i="19"/>
  <c r="DW189" i="19" s="1"/>
  <c r="DY165" i="19"/>
  <c r="DY189" i="19" s="1"/>
  <c r="ED165" i="19"/>
  <c r="ED189" i="19" s="1"/>
  <c r="DV165" i="19"/>
  <c r="DV189" i="19" s="1"/>
  <c r="J171" i="19"/>
  <c r="J114" i="19"/>
  <c r="AL114" i="19"/>
  <c r="AN197" i="19"/>
  <c r="AN209" i="19" s="1"/>
  <c r="DY209" i="19"/>
  <c r="DU97" i="19"/>
  <c r="DU121" i="19" s="1"/>
  <c r="DU133" i="19" s="1"/>
  <c r="EC97" i="19"/>
  <c r="EC121" i="19" s="1"/>
  <c r="EC133" i="19" s="1"/>
  <c r="DV97" i="19"/>
  <c r="DV121" i="19" s="1"/>
  <c r="AM121" i="19" s="1"/>
  <c r="ED97" i="19"/>
  <c r="ED121" i="19" s="1"/>
  <c r="DW97" i="19"/>
  <c r="DW121" i="19" s="1"/>
  <c r="DX97" i="19"/>
  <c r="DX121" i="19" s="1"/>
  <c r="DX133" i="19" s="1"/>
  <c r="DY97" i="19"/>
  <c r="DY121" i="19" s="1"/>
  <c r="DT97" i="19"/>
  <c r="DT121" i="19" s="1"/>
  <c r="DZ97" i="19"/>
  <c r="DZ121" i="19" s="1"/>
  <c r="DZ133" i="19" s="1"/>
  <c r="EA97" i="19"/>
  <c r="EA121" i="19" s="1"/>
  <c r="EA133" i="19" s="1"/>
  <c r="EB97" i="19"/>
  <c r="EB121" i="19" s="1"/>
  <c r="AO121" i="19" s="1"/>
  <c r="DS97" i="19"/>
  <c r="DS121" i="19" s="1"/>
  <c r="DX96" i="19"/>
  <c r="DX120" i="19" s="1"/>
  <c r="DY96" i="19"/>
  <c r="DY120" i="19" s="1"/>
  <c r="DZ96" i="19"/>
  <c r="DZ120" i="19" s="1"/>
  <c r="DS96" i="19"/>
  <c r="DS120" i="19" s="1"/>
  <c r="EA96" i="19"/>
  <c r="EA120" i="19" s="1"/>
  <c r="EA132" i="19" s="1"/>
  <c r="DT96" i="19"/>
  <c r="DT120" i="19" s="1"/>
  <c r="DT132" i="19" s="1"/>
  <c r="EB96" i="19"/>
  <c r="EB120" i="19" s="1"/>
  <c r="DW96" i="19"/>
  <c r="DW120" i="19" s="1"/>
  <c r="DW132" i="19" s="1"/>
  <c r="EC96" i="19"/>
  <c r="EC120" i="19" s="1"/>
  <c r="EC132" i="19" s="1"/>
  <c r="ED96" i="19"/>
  <c r="ED120" i="19" s="1"/>
  <c r="ED132" i="19" s="1"/>
  <c r="DV96" i="19"/>
  <c r="DV120" i="19" s="1"/>
  <c r="AM120" i="19" s="1"/>
  <c r="AM96" i="19" s="1"/>
  <c r="DU96" i="19"/>
  <c r="DU120" i="19" s="1"/>
  <c r="DU132" i="19" s="1"/>
  <c r="I37" i="19"/>
  <c r="FF9" i="25"/>
  <c r="DT133" i="19"/>
  <c r="DW133" i="19"/>
  <c r="DP137" i="19"/>
  <c r="AK125" i="19"/>
  <c r="AK137" i="19" s="1"/>
  <c r="DZ132" i="19"/>
  <c r="AO114" i="19"/>
  <c r="EB132" i="19"/>
  <c r="DX9" i="19"/>
  <c r="DX27" i="19" s="1"/>
  <c r="DX33" i="19" s="1"/>
  <c r="DY123" i="19"/>
  <c r="DX141" i="19"/>
  <c r="J115" i="19"/>
  <c r="AL115" i="19"/>
  <c r="DS133" i="19"/>
  <c r="DS139" i="19" s="1"/>
  <c r="ED133" i="19"/>
  <c r="DR16" i="19"/>
  <c r="DS198" i="19"/>
  <c r="DR216" i="19"/>
  <c r="I210" i="19"/>
  <c r="DV164" i="19"/>
  <c r="DV188" i="19" s="1"/>
  <c r="ED164" i="19"/>
  <c r="ED188" i="19" s="1"/>
  <c r="DX164" i="19"/>
  <c r="DX188" i="19" s="1"/>
  <c r="DY164" i="19"/>
  <c r="DY188" i="19" s="1"/>
  <c r="DZ164" i="19"/>
  <c r="DZ188" i="19" s="1"/>
  <c r="DS164" i="19"/>
  <c r="DS188" i="19" s="1"/>
  <c r="EA164" i="19"/>
  <c r="EA188" i="19" s="1"/>
  <c r="DU164" i="19"/>
  <c r="DU188" i="19" s="1"/>
  <c r="J170" i="19"/>
  <c r="DW164" i="19"/>
  <c r="DW188" i="19" s="1"/>
  <c r="EB164" i="19"/>
  <c r="EB188" i="19" s="1"/>
  <c r="EC164" i="19"/>
  <c r="EC188" i="19" s="1"/>
  <c r="DT164" i="19"/>
  <c r="DT188" i="19" s="1"/>
  <c r="AN114" i="19"/>
  <c r="DY132" i="19"/>
  <c r="DX132" i="19"/>
  <c r="AO115" i="19"/>
  <c r="AM115" i="19"/>
  <c r="DV133" i="19"/>
  <c r="DS238" i="19"/>
  <c r="DS262" i="19" s="1"/>
  <c r="EA238" i="19"/>
  <c r="EA262" i="19" s="1"/>
  <c r="DT238" i="19"/>
  <c r="DT262" i="19" s="1"/>
  <c r="EB238" i="19"/>
  <c r="EB262" i="19" s="1"/>
  <c r="DU238" i="19"/>
  <c r="DU262" i="19" s="1"/>
  <c r="EC238" i="19"/>
  <c r="EC262" i="19" s="1"/>
  <c r="DV238" i="19"/>
  <c r="DV262" i="19" s="1"/>
  <c r="ED238" i="19"/>
  <c r="ED262" i="19" s="1"/>
  <c r="DW238" i="19"/>
  <c r="DW262" i="19" s="1"/>
  <c r="J244" i="19"/>
  <c r="DX238" i="19"/>
  <c r="DX262" i="19" s="1"/>
  <c r="DZ238" i="19"/>
  <c r="DZ262" i="19" s="1"/>
  <c r="DY238" i="19"/>
  <c r="DY262" i="19" s="1"/>
  <c r="DQ22" i="19"/>
  <c r="DQ290" i="19"/>
  <c r="DR272" i="19"/>
  <c r="DR284" i="19" s="1"/>
  <c r="AO189" i="19" l="1"/>
  <c r="DY21" i="19"/>
  <c r="DY289" i="19"/>
  <c r="DZ271" i="19"/>
  <c r="DZ283" i="19" s="1"/>
  <c r="AO263" i="19"/>
  <c r="AM263" i="19"/>
  <c r="DR22" i="19"/>
  <c r="DS272" i="19"/>
  <c r="I284" i="19"/>
  <c r="DR290" i="19"/>
  <c r="AM262" i="19"/>
  <c r="AM91" i="19"/>
  <c r="AM133" i="19"/>
  <c r="AN188" i="19"/>
  <c r="AO90" i="19"/>
  <c r="DX171" i="19"/>
  <c r="DX195" i="19" s="1"/>
  <c r="DZ171" i="19"/>
  <c r="DZ195" i="19" s="1"/>
  <c r="DS171" i="19"/>
  <c r="DS195" i="19" s="1"/>
  <c r="EA171" i="19"/>
  <c r="EA195" i="19" s="1"/>
  <c r="DT171" i="19"/>
  <c r="DT195" i="19" s="1"/>
  <c r="EB171" i="19"/>
  <c r="EB195" i="19" s="1"/>
  <c r="DU171" i="19"/>
  <c r="DU195" i="19" s="1"/>
  <c r="EC171" i="19"/>
  <c r="EC195" i="19" s="1"/>
  <c r="DV171" i="19"/>
  <c r="DV195" i="19" s="1"/>
  <c r="AM195" i="19" s="1"/>
  <c r="DW171" i="19"/>
  <c r="DW195" i="19" s="1"/>
  <c r="ED171" i="19"/>
  <c r="ED195" i="19" s="1"/>
  <c r="DY171" i="19"/>
  <c r="DY195" i="19" s="1"/>
  <c r="AN195" i="19" s="1"/>
  <c r="DT207" i="19"/>
  <c r="AN21" i="19"/>
  <c r="AN289" i="19"/>
  <c r="DS13" i="19"/>
  <c r="DT127" i="19"/>
  <c r="DT139" i="19" s="1"/>
  <c r="DS145" i="19"/>
  <c r="J120" i="19"/>
  <c r="J132" i="19" s="1"/>
  <c r="AL120" i="19"/>
  <c r="AL96" i="19" s="1"/>
  <c r="AM189" i="19"/>
  <c r="EA207" i="19"/>
  <c r="DV132" i="19"/>
  <c r="AN262" i="19"/>
  <c r="AL91" i="19"/>
  <c r="AK11" i="19"/>
  <c r="AK29" i="19" s="1"/>
  <c r="AK35" i="19" s="1"/>
  <c r="AK143" i="19"/>
  <c r="ED207" i="19"/>
  <c r="AL189" i="19"/>
  <c r="J189" i="19"/>
  <c r="DS207" i="19"/>
  <c r="DS213" i="19" s="1"/>
  <c r="AM90" i="19"/>
  <c r="AM132" i="19"/>
  <c r="AL273" i="19"/>
  <c r="J273" i="19"/>
  <c r="AN263" i="19"/>
  <c r="DY281" i="19"/>
  <c r="DP11" i="19"/>
  <c r="DP29" i="19" s="1"/>
  <c r="DP35" i="19" s="1"/>
  <c r="DQ125" i="19"/>
  <c r="DQ137" i="19" s="1"/>
  <c r="DP143" i="19"/>
  <c r="AN120" i="19"/>
  <c r="AN96" i="19" s="1"/>
  <c r="AN121" i="19"/>
  <c r="DY15" i="19"/>
  <c r="DZ197" i="19"/>
  <c r="DZ209" i="19" s="1"/>
  <c r="DY215" i="19"/>
  <c r="AN189" i="19"/>
  <c r="DY207" i="19"/>
  <c r="DZ207" i="19"/>
  <c r="I23" i="19"/>
  <c r="I291" i="19"/>
  <c r="J237" i="19" s="1"/>
  <c r="DT206" i="19"/>
  <c r="EB133" i="19"/>
  <c r="I16" i="19"/>
  <c r="I216" i="19"/>
  <c r="AN15" i="19"/>
  <c r="AN215" i="19"/>
  <c r="DW207" i="19"/>
  <c r="DX207" i="19"/>
  <c r="DU245" i="19"/>
  <c r="DU269" i="19" s="1"/>
  <c r="DU281" i="19" s="1"/>
  <c r="EC245" i="19"/>
  <c r="EC269" i="19" s="1"/>
  <c r="EC281" i="19" s="1"/>
  <c r="DV245" i="19"/>
  <c r="DV269" i="19" s="1"/>
  <c r="AM269" i="19" s="1"/>
  <c r="ED245" i="19"/>
  <c r="ED269" i="19" s="1"/>
  <c r="DW245" i="19"/>
  <c r="DW269" i="19" s="1"/>
  <c r="DX245" i="19"/>
  <c r="DX269" i="19" s="1"/>
  <c r="DX281" i="19" s="1"/>
  <c r="DY245" i="19"/>
  <c r="DY269" i="19" s="1"/>
  <c r="DZ245" i="19"/>
  <c r="DZ269" i="19" s="1"/>
  <c r="DZ281" i="19" s="1"/>
  <c r="DT245" i="19"/>
  <c r="DT269" i="19" s="1"/>
  <c r="DT281" i="19" s="1"/>
  <c r="EB245" i="19"/>
  <c r="EB269" i="19" s="1"/>
  <c r="AO269" i="19" s="1"/>
  <c r="DS245" i="19"/>
  <c r="DS269" i="19" s="1"/>
  <c r="EA245" i="19"/>
  <c r="EA269" i="19" s="1"/>
  <c r="AO188" i="19"/>
  <c r="AO262" i="19"/>
  <c r="DS170" i="19"/>
  <c r="DS194" i="19" s="1"/>
  <c r="EA170" i="19"/>
  <c r="EA194" i="19" s="1"/>
  <c r="DU170" i="19"/>
  <c r="DU194" i="19" s="1"/>
  <c r="DU206" i="19" s="1"/>
  <c r="EC170" i="19"/>
  <c r="EC194" i="19" s="1"/>
  <c r="EC206" i="19" s="1"/>
  <c r="DV170" i="19"/>
  <c r="DV194" i="19" s="1"/>
  <c r="AM194" i="19" s="1"/>
  <c r="AM170" i="19" s="1"/>
  <c r="ED170" i="19"/>
  <c r="ED194" i="19" s="1"/>
  <c r="ED206" i="19" s="1"/>
  <c r="DW170" i="19"/>
  <c r="DW194" i="19" s="1"/>
  <c r="DW206" i="19" s="1"/>
  <c r="DX170" i="19"/>
  <c r="DX194" i="19" s="1"/>
  <c r="DX206" i="19" s="1"/>
  <c r="DT170" i="19"/>
  <c r="DT194" i="19" s="1"/>
  <c r="DY170" i="19"/>
  <c r="DY194" i="19" s="1"/>
  <c r="AN194" i="19" s="1"/>
  <c r="AN170" i="19" s="1"/>
  <c r="DZ170" i="19"/>
  <c r="DZ194" i="19" s="1"/>
  <c r="DZ206" i="19" s="1"/>
  <c r="EB170" i="19"/>
  <c r="EB194" i="19" s="1"/>
  <c r="AO194" i="19" s="1"/>
  <c r="AO170" i="19" s="1"/>
  <c r="DT280" i="19"/>
  <c r="DX244" i="19"/>
  <c r="DX268" i="19" s="1"/>
  <c r="DX280" i="19" s="1"/>
  <c r="DY244" i="19"/>
  <c r="DY268" i="19" s="1"/>
  <c r="DY280" i="19" s="1"/>
  <c r="DZ244" i="19"/>
  <c r="DZ268" i="19" s="1"/>
  <c r="DZ280" i="19" s="1"/>
  <c r="DS244" i="19"/>
  <c r="DS268" i="19" s="1"/>
  <c r="EA244" i="19"/>
  <c r="EA268" i="19" s="1"/>
  <c r="EA280" i="19" s="1"/>
  <c r="DT244" i="19"/>
  <c r="DT268" i="19" s="1"/>
  <c r="EB244" i="19"/>
  <c r="EB268" i="19" s="1"/>
  <c r="AO268" i="19" s="1"/>
  <c r="AO244" i="19" s="1"/>
  <c r="DU244" i="19"/>
  <c r="DU268" i="19" s="1"/>
  <c r="DU280" i="19" s="1"/>
  <c r="EC244" i="19"/>
  <c r="EC268" i="19" s="1"/>
  <c r="EC280" i="19" s="1"/>
  <c r="DW244" i="19"/>
  <c r="DW268" i="19" s="1"/>
  <c r="DV244" i="19"/>
  <c r="DV268" i="19" s="1"/>
  <c r="AM268" i="19" s="1"/>
  <c r="AM244" i="19" s="1"/>
  <c r="ED244" i="19"/>
  <c r="ED268" i="19" s="1"/>
  <c r="ED280" i="19" s="1"/>
  <c r="EA206" i="19"/>
  <c r="DY135" i="19"/>
  <c r="AN123" i="19"/>
  <c r="AN135" i="19" s="1"/>
  <c r="DS132" i="19"/>
  <c r="DS138" i="19" s="1"/>
  <c r="EC207" i="19"/>
  <c r="DP10" i="19"/>
  <c r="DP28" i="19" s="1"/>
  <c r="DP34" i="19" s="1"/>
  <c r="DQ124" i="19"/>
  <c r="DQ136" i="19" s="1"/>
  <c r="DP142" i="19"/>
  <c r="AL199" i="19"/>
  <c r="J199" i="19"/>
  <c r="DY133" i="19"/>
  <c r="EA281" i="19"/>
  <c r="DW281" i="19"/>
  <c r="AO91" i="19"/>
  <c r="AO133" i="19"/>
  <c r="AM188" i="19"/>
  <c r="DV206" i="19"/>
  <c r="DW280" i="19"/>
  <c r="AL262" i="19"/>
  <c r="J262" i="19"/>
  <c r="DS280" i="19"/>
  <c r="DS286" i="19" s="1"/>
  <c r="AN90" i="19"/>
  <c r="AN132" i="19"/>
  <c r="AL188" i="19"/>
  <c r="J188" i="19"/>
  <c r="DS206" i="19"/>
  <c r="DS212" i="19" s="1"/>
  <c r="AL198" i="19"/>
  <c r="J198" i="19"/>
  <c r="AO120" i="19"/>
  <c r="AO96" i="19" s="1"/>
  <c r="J121" i="19"/>
  <c r="J133" i="19" s="1"/>
  <c r="AL121" i="19"/>
  <c r="AL133" i="19" s="1"/>
  <c r="AL139" i="19" s="1"/>
  <c r="AL90" i="19"/>
  <c r="AL132" i="19"/>
  <c r="AL138" i="19" s="1"/>
  <c r="DU207" i="19"/>
  <c r="AK10" i="19"/>
  <c r="AK28" i="19" s="1"/>
  <c r="AK34" i="19" s="1"/>
  <c r="AK142" i="19"/>
  <c r="I17" i="19"/>
  <c r="I217" i="19"/>
  <c r="J163" i="19" s="1"/>
  <c r="AN91" i="19"/>
  <c r="AN133" i="19"/>
  <c r="AL263" i="19"/>
  <c r="J263" i="19"/>
  <c r="DS281" i="19"/>
  <c r="DS287" i="19" s="1"/>
  <c r="ED281" i="19"/>
  <c r="AL13" i="19" l="1"/>
  <c r="AL145" i="19"/>
  <c r="AL164" i="19"/>
  <c r="AN9" i="19"/>
  <c r="AN27" i="19" s="1"/>
  <c r="AN33" i="19" s="1"/>
  <c r="AN141" i="19"/>
  <c r="AN239" i="19"/>
  <c r="AL165" i="19"/>
  <c r="AM165" i="19"/>
  <c r="AM207" i="19"/>
  <c r="DV280" i="19"/>
  <c r="EB281" i="19"/>
  <c r="AM164" i="19"/>
  <c r="AM206" i="19"/>
  <c r="DY9" i="19"/>
  <c r="DY27" i="19" s="1"/>
  <c r="DY33" i="19" s="1"/>
  <c r="DZ123" i="19"/>
  <c r="DZ135" i="19" s="1"/>
  <c r="DY141" i="19"/>
  <c r="DY237" i="19"/>
  <c r="DZ237" i="19"/>
  <c r="DS237" i="19"/>
  <c r="EA237" i="19"/>
  <c r="DT237" i="19"/>
  <c r="EB237" i="19"/>
  <c r="DU237" i="19"/>
  <c r="EC237" i="19"/>
  <c r="J236" i="19"/>
  <c r="DV237" i="19"/>
  <c r="ED237" i="19"/>
  <c r="DX237" i="19"/>
  <c r="DW237" i="19"/>
  <c r="J243" i="19"/>
  <c r="AN238" i="19"/>
  <c r="AO132" i="19"/>
  <c r="AM238" i="19"/>
  <c r="AM280" i="19"/>
  <c r="AO239" i="19"/>
  <c r="AO281" i="19"/>
  <c r="J269" i="19"/>
  <c r="J281" i="19" s="1"/>
  <c r="AL269" i="19"/>
  <c r="DZ21" i="19"/>
  <c r="DZ289" i="19"/>
  <c r="EA271" i="19"/>
  <c r="EA283" i="19" s="1"/>
  <c r="DT163" i="19"/>
  <c r="EB163" i="19"/>
  <c r="J162" i="19"/>
  <c r="DV163" i="19"/>
  <c r="ED163" i="19"/>
  <c r="DW163" i="19"/>
  <c r="J169" i="19"/>
  <c r="DX163" i="19"/>
  <c r="DY163" i="19"/>
  <c r="DS163" i="19"/>
  <c r="DU163" i="19"/>
  <c r="DZ163" i="19"/>
  <c r="EA163" i="19"/>
  <c r="EC163" i="19"/>
  <c r="DS24" i="19"/>
  <c r="DT274" i="19"/>
  <c r="DT286" i="19" s="1"/>
  <c r="DS292" i="19"/>
  <c r="J268" i="19"/>
  <c r="J280" i="19" s="1"/>
  <c r="AL268" i="19"/>
  <c r="AL244" i="19" s="1"/>
  <c r="J194" i="19"/>
  <c r="J206" i="19" s="1"/>
  <c r="AL194" i="19"/>
  <c r="AL170" i="19" s="1"/>
  <c r="AO195" i="19"/>
  <c r="DY206" i="19"/>
  <c r="I22" i="19"/>
  <c r="I290" i="19"/>
  <c r="DQ10" i="19"/>
  <c r="DQ28" i="19" s="1"/>
  <c r="DQ34" i="19" s="1"/>
  <c r="DR124" i="19"/>
  <c r="DR136" i="19" s="1"/>
  <c r="DQ142" i="19"/>
  <c r="EB280" i="19"/>
  <c r="DQ11" i="19"/>
  <c r="DQ29" i="19" s="1"/>
  <c r="DQ35" i="19" s="1"/>
  <c r="DR125" i="19"/>
  <c r="DR137" i="19" s="1"/>
  <c r="DQ143" i="19"/>
  <c r="DT13" i="19"/>
  <c r="DU127" i="19"/>
  <c r="DU139" i="19" s="1"/>
  <c r="DT145" i="19"/>
  <c r="AN164" i="19"/>
  <c r="AN206" i="19"/>
  <c r="AL272" i="19"/>
  <c r="J272" i="19"/>
  <c r="AL238" i="19"/>
  <c r="AN268" i="19"/>
  <c r="AN244" i="19" s="1"/>
  <c r="AO238" i="19"/>
  <c r="AO280" i="19"/>
  <c r="AN165" i="19"/>
  <c r="AN207" i="19"/>
  <c r="DS31" i="19"/>
  <c r="DS37" i="19" s="1"/>
  <c r="EB207" i="19"/>
  <c r="DS25" i="19"/>
  <c r="DT275" i="19"/>
  <c r="DT287" i="19" s="1"/>
  <c r="DS293" i="19"/>
  <c r="AL239" i="19"/>
  <c r="AL281" i="19"/>
  <c r="AL287" i="19" s="1"/>
  <c r="AL12" i="19"/>
  <c r="AL144" i="19"/>
  <c r="DS18" i="19"/>
  <c r="DT200" i="19"/>
  <c r="DT212" i="19" s="1"/>
  <c r="DS218" i="19"/>
  <c r="EB206" i="19"/>
  <c r="AN269" i="19"/>
  <c r="AN281" i="19" s="1"/>
  <c r="DS19" i="19"/>
  <c r="DT201" i="19"/>
  <c r="DT213" i="19" s="1"/>
  <c r="DS219" i="19"/>
  <c r="J195" i="19"/>
  <c r="J207" i="19" s="1"/>
  <c r="AL195" i="19"/>
  <c r="AL207" i="19" s="1"/>
  <c r="AL213" i="19" s="1"/>
  <c r="DV281" i="19"/>
  <c r="AO165" i="19"/>
  <c r="AO207" i="19"/>
  <c r="DS12" i="19"/>
  <c r="DT126" i="19"/>
  <c r="DT138" i="19" s="1"/>
  <c r="DS144" i="19"/>
  <c r="AO164" i="19"/>
  <c r="AO206" i="19"/>
  <c r="DZ15" i="19"/>
  <c r="EA197" i="19"/>
  <c r="EA209" i="19" s="1"/>
  <c r="DZ215" i="19"/>
  <c r="DV207" i="19"/>
  <c r="AM239" i="19"/>
  <c r="AM281" i="19"/>
  <c r="AL19" i="19" l="1"/>
  <c r="AL219" i="19"/>
  <c r="DR11" i="19"/>
  <c r="DR29" i="19" s="1"/>
  <c r="DR35" i="19" s="1"/>
  <c r="DS125" i="19"/>
  <c r="DR143" i="19"/>
  <c r="I137" i="19"/>
  <c r="DT24" i="19"/>
  <c r="DU274" i="19"/>
  <c r="DU286" i="19" s="1"/>
  <c r="DT292" i="19"/>
  <c r="DX162" i="19"/>
  <c r="DX186" i="19" s="1"/>
  <c r="DX187" i="19"/>
  <c r="EA21" i="19"/>
  <c r="EB271" i="19"/>
  <c r="EA289" i="19"/>
  <c r="DX236" i="19"/>
  <c r="DX260" i="19" s="1"/>
  <c r="DX261" i="19"/>
  <c r="EA236" i="19"/>
  <c r="EA260" i="19" s="1"/>
  <c r="EA261" i="19"/>
  <c r="EA15" i="19"/>
  <c r="EB197" i="19"/>
  <c r="EA215" i="19"/>
  <c r="DY169" i="19"/>
  <c r="DS169" i="19"/>
  <c r="EA169" i="19"/>
  <c r="DT169" i="19"/>
  <c r="EB169" i="19"/>
  <c r="DU169" i="19"/>
  <c r="EC169" i="19"/>
  <c r="J168" i="19"/>
  <c r="DV169" i="19"/>
  <c r="ED169" i="19"/>
  <c r="DW169" i="19"/>
  <c r="DX169" i="19"/>
  <c r="DZ169" i="19"/>
  <c r="ED236" i="19"/>
  <c r="ED260" i="19" s="1"/>
  <c r="ED261" i="19"/>
  <c r="DS236" i="19"/>
  <c r="DS260" i="19" s="1"/>
  <c r="DS261" i="19"/>
  <c r="DT25" i="19"/>
  <c r="DU275" i="19"/>
  <c r="DU287" i="19" s="1"/>
  <c r="DT293" i="19"/>
  <c r="EC162" i="19"/>
  <c r="EC186" i="19" s="1"/>
  <c r="EC187" i="19"/>
  <c r="DW162" i="19"/>
  <c r="DW186" i="19" s="1"/>
  <c r="DW187" i="19"/>
  <c r="DV236" i="19"/>
  <c r="DV260" i="19" s="1"/>
  <c r="DV261" i="19"/>
  <c r="DZ236" i="19"/>
  <c r="DZ260" i="19" s="1"/>
  <c r="DZ261" i="19"/>
  <c r="DR10" i="19"/>
  <c r="DR28" i="19" s="1"/>
  <c r="DR34" i="19" s="1"/>
  <c r="DS124" i="19"/>
  <c r="DR142" i="19"/>
  <c r="I136" i="19"/>
  <c r="DT18" i="19"/>
  <c r="DU200" i="19"/>
  <c r="DU212" i="19" s="1"/>
  <c r="DT218" i="19"/>
  <c r="AL280" i="19"/>
  <c r="AL286" i="19" s="1"/>
  <c r="EA162" i="19"/>
  <c r="EA186" i="19" s="1"/>
  <c r="EA187" i="19"/>
  <c r="ED162" i="19"/>
  <c r="ED186" i="19" s="1"/>
  <c r="ED187" i="19"/>
  <c r="DY236" i="19"/>
  <c r="DY260" i="19" s="1"/>
  <c r="DY261" i="19"/>
  <c r="AL206" i="19"/>
  <c r="AL212" i="19" s="1"/>
  <c r="DZ162" i="19"/>
  <c r="DZ186" i="19" s="1"/>
  <c r="DZ187" i="19"/>
  <c r="DV162" i="19"/>
  <c r="DV186" i="19" s="1"/>
  <c r="DV187" i="19"/>
  <c r="AN280" i="19"/>
  <c r="EC236" i="19"/>
  <c r="EC260" i="19" s="1"/>
  <c r="EC261" i="19"/>
  <c r="DU162" i="19"/>
  <c r="DU186" i="19" s="1"/>
  <c r="DU187" i="19"/>
  <c r="DU236" i="19"/>
  <c r="DU260" i="19" s="1"/>
  <c r="DU261" i="19"/>
  <c r="DZ9" i="19"/>
  <c r="DZ27" i="19" s="1"/>
  <c r="DZ33" i="19" s="1"/>
  <c r="EA123" i="19"/>
  <c r="EA135" i="19" s="1"/>
  <c r="DZ141" i="19"/>
  <c r="DS162" i="19"/>
  <c r="DS186" i="19" s="1"/>
  <c r="DS187" i="19"/>
  <c r="EB162" i="19"/>
  <c r="EB186" i="19" s="1"/>
  <c r="EB187" i="19"/>
  <c r="J242" i="19"/>
  <c r="DV243" i="19"/>
  <c r="ED243" i="19"/>
  <c r="DW243" i="19"/>
  <c r="DX243" i="19"/>
  <c r="DY243" i="19"/>
  <c r="DZ243" i="19"/>
  <c r="DS243" i="19"/>
  <c r="EA243" i="19"/>
  <c r="DU243" i="19"/>
  <c r="EC243" i="19"/>
  <c r="DT243" i="19"/>
  <c r="EB243" i="19"/>
  <c r="EB236" i="19"/>
  <c r="EB260" i="19" s="1"/>
  <c r="EB261" i="19"/>
  <c r="DU13" i="19"/>
  <c r="DV127" i="19"/>
  <c r="DU145" i="19"/>
  <c r="DT12" i="19"/>
  <c r="DT30" i="19" s="1"/>
  <c r="DT36" i="19" s="1"/>
  <c r="DU126" i="19"/>
  <c r="DU138" i="19" s="1"/>
  <c r="DT144" i="19"/>
  <c r="DT19" i="19"/>
  <c r="DU201" i="19"/>
  <c r="DU213" i="19" s="1"/>
  <c r="DT219" i="19"/>
  <c r="DT31" i="19"/>
  <c r="DT37" i="19" s="1"/>
  <c r="DS30" i="19"/>
  <c r="DS36" i="19" s="1"/>
  <c r="AL25" i="19"/>
  <c r="AL31" i="19" s="1"/>
  <c r="AL37" i="19" s="1"/>
  <c r="AL293" i="19"/>
  <c r="DY162" i="19"/>
  <c r="DY186" i="19" s="1"/>
  <c r="DY187" i="19"/>
  <c r="DT162" i="19"/>
  <c r="DT186" i="19" s="1"/>
  <c r="DT187" i="19"/>
  <c r="DW236" i="19"/>
  <c r="DW260" i="19" s="1"/>
  <c r="DW261" i="19"/>
  <c r="DT236" i="19"/>
  <c r="DT260" i="19" s="1"/>
  <c r="DT261" i="19"/>
  <c r="EB242" i="19" l="1"/>
  <c r="EB266" i="19" s="1"/>
  <c r="EB267" i="19"/>
  <c r="DX242" i="19"/>
  <c r="DX266" i="19" s="1"/>
  <c r="DX267" i="19"/>
  <c r="J186" i="19"/>
  <c r="AL186" i="19"/>
  <c r="DS204" i="19"/>
  <c r="DS210" i="19" s="1"/>
  <c r="EC279" i="19"/>
  <c r="AN261" i="19"/>
  <c r="DU18" i="19"/>
  <c r="DV200" i="19"/>
  <c r="DU218" i="19"/>
  <c r="AM261" i="19"/>
  <c r="ED168" i="19"/>
  <c r="ED192" i="19" s="1"/>
  <c r="ED193" i="19"/>
  <c r="DS168" i="19"/>
  <c r="DS192" i="19" s="1"/>
  <c r="DS193" i="19"/>
  <c r="DX279" i="19"/>
  <c r="DU24" i="19"/>
  <c r="DV274" i="19"/>
  <c r="DU292" i="19"/>
  <c r="DT242" i="19"/>
  <c r="DT266" i="19" s="1"/>
  <c r="DT267" i="19"/>
  <c r="DW242" i="19"/>
  <c r="DW266" i="19" s="1"/>
  <c r="DW267" i="19"/>
  <c r="AN260" i="19"/>
  <c r="AM260" i="19"/>
  <c r="DV278" i="19"/>
  <c r="AL261" i="19"/>
  <c r="J261" i="19"/>
  <c r="DV168" i="19"/>
  <c r="DV192" i="19" s="1"/>
  <c r="DV193" i="19"/>
  <c r="DV205" i="19" s="1"/>
  <c r="DY168" i="19"/>
  <c r="DY192" i="19" s="1"/>
  <c r="DY193" i="19"/>
  <c r="DX278" i="19"/>
  <c r="DW279" i="19"/>
  <c r="EC242" i="19"/>
  <c r="EC266" i="19" s="1"/>
  <c r="EC278" i="19" s="1"/>
  <c r="EC267" i="19"/>
  <c r="ED242" i="19"/>
  <c r="ED266" i="19" s="1"/>
  <c r="ED267" i="19"/>
  <c r="ED279" i="19" s="1"/>
  <c r="EA9" i="19"/>
  <c r="EA27" i="19" s="1"/>
  <c r="EA33" i="19" s="1"/>
  <c r="EB123" i="19"/>
  <c r="EA141" i="19"/>
  <c r="ED205" i="19"/>
  <c r="I10" i="19"/>
  <c r="I28" i="19" s="1"/>
  <c r="I142" i="19"/>
  <c r="J260" i="19"/>
  <c r="AL260" i="19"/>
  <c r="DS278" i="19"/>
  <c r="DS284" i="19" s="1"/>
  <c r="I11" i="19"/>
  <c r="I29" i="19" s="1"/>
  <c r="I143" i="19"/>
  <c r="J89" i="19" s="1"/>
  <c r="DU242" i="19"/>
  <c r="DU266" i="19" s="1"/>
  <c r="DU267" i="19"/>
  <c r="DV242" i="19"/>
  <c r="DV266" i="19" s="1"/>
  <c r="AM266" i="19" s="1"/>
  <c r="AM242" i="19" s="1"/>
  <c r="DV267" i="19"/>
  <c r="AM267" i="19" s="1"/>
  <c r="AM243" i="19" s="1"/>
  <c r="AM187" i="19"/>
  <c r="ED204" i="19"/>
  <c r="EC168" i="19"/>
  <c r="EC192" i="19" s="1"/>
  <c r="EC193" i="19"/>
  <c r="AO271" i="19"/>
  <c r="AO283" i="19" s="1"/>
  <c r="EB283" i="19"/>
  <c r="DU12" i="19"/>
  <c r="DV126" i="19"/>
  <c r="DU144" i="19"/>
  <c r="DT205" i="19"/>
  <c r="AM127" i="19"/>
  <c r="AM139" i="19" s="1"/>
  <c r="DV139" i="19"/>
  <c r="EA242" i="19"/>
  <c r="EA266" i="19" s="1"/>
  <c r="EA278" i="19" s="1"/>
  <c r="EA267" i="19"/>
  <c r="DU279" i="19"/>
  <c r="AM186" i="19"/>
  <c r="DV204" i="19"/>
  <c r="J124" i="19"/>
  <c r="AL124" i="19"/>
  <c r="EC205" i="19"/>
  <c r="ED278" i="19"/>
  <c r="DU168" i="19"/>
  <c r="DU192" i="19" s="1"/>
  <c r="DU193" i="19"/>
  <c r="AO197" i="19"/>
  <c r="AO209" i="19" s="1"/>
  <c r="EB209" i="19"/>
  <c r="AL125" i="19"/>
  <c r="J125" i="19"/>
  <c r="DT279" i="19"/>
  <c r="DS242" i="19"/>
  <c r="DS266" i="19" s="1"/>
  <c r="DS267" i="19"/>
  <c r="DS279" i="19" s="1"/>
  <c r="DS285" i="19" s="1"/>
  <c r="AO187" i="19"/>
  <c r="DU278" i="19"/>
  <c r="EA204" i="19"/>
  <c r="EC204" i="19"/>
  <c r="DZ168" i="19"/>
  <c r="DZ192" i="19" s="1"/>
  <c r="DZ193" i="19"/>
  <c r="DZ205" i="19" s="1"/>
  <c r="EB168" i="19"/>
  <c r="EB192" i="19" s="1"/>
  <c r="AO192" i="19" s="1"/>
  <c r="AO168" i="19" s="1"/>
  <c r="EB193" i="19"/>
  <c r="AO193" i="19" s="1"/>
  <c r="AO169" i="19" s="1"/>
  <c r="DX205" i="19"/>
  <c r="DW278" i="19"/>
  <c r="DU19" i="19"/>
  <c r="DU31" i="19" s="1"/>
  <c r="DU37" i="19" s="1"/>
  <c r="DV201" i="19"/>
  <c r="DU219" i="19"/>
  <c r="AO261" i="19"/>
  <c r="EB279" i="19"/>
  <c r="AO186" i="19"/>
  <c r="EB204" i="19"/>
  <c r="DU205" i="19"/>
  <c r="DZ204" i="19"/>
  <c r="AL24" i="19"/>
  <c r="AL292" i="19"/>
  <c r="DZ279" i="19"/>
  <c r="DX168" i="19"/>
  <c r="DX192" i="19" s="1"/>
  <c r="DX193" i="19"/>
  <c r="DT168" i="19"/>
  <c r="DT192" i="19" s="1"/>
  <c r="DT204" i="19" s="1"/>
  <c r="DT193" i="19"/>
  <c r="EA279" i="19"/>
  <c r="DX204" i="19"/>
  <c r="DT278" i="19"/>
  <c r="AN187" i="19"/>
  <c r="DY205" i="19"/>
  <c r="DZ242" i="19"/>
  <c r="DZ266" i="19" s="1"/>
  <c r="DZ278" i="19" s="1"/>
  <c r="DZ267" i="19"/>
  <c r="AN186" i="19"/>
  <c r="DY204" i="19"/>
  <c r="AO260" i="19"/>
  <c r="EB278" i="19"/>
  <c r="DY242" i="19"/>
  <c r="DY266" i="19" s="1"/>
  <c r="DY278" i="19" s="1"/>
  <c r="DY267" i="19"/>
  <c r="J187" i="19"/>
  <c r="AL187" i="19"/>
  <c r="DS205" i="19"/>
  <c r="DS211" i="19" s="1"/>
  <c r="DU204" i="19"/>
  <c r="AL18" i="19"/>
  <c r="AL218" i="19"/>
  <c r="DU25" i="19"/>
  <c r="DV275" i="19"/>
  <c r="DU293" i="19"/>
  <c r="DW168" i="19"/>
  <c r="DW192" i="19" s="1"/>
  <c r="DW204" i="19" s="1"/>
  <c r="DW193" i="19"/>
  <c r="DW205" i="19" s="1"/>
  <c r="EA168" i="19"/>
  <c r="EA192" i="19" s="1"/>
  <c r="EA193" i="19"/>
  <c r="EA205" i="19" s="1"/>
  <c r="DS23" i="19" l="1"/>
  <c r="DT273" i="19"/>
  <c r="DT285" i="19" s="1"/>
  <c r="DS291" i="19"/>
  <c r="AM201" i="19"/>
  <c r="AM213" i="19" s="1"/>
  <c r="DV213" i="19"/>
  <c r="AM162" i="19"/>
  <c r="AM204" i="19"/>
  <c r="AM126" i="19"/>
  <c r="AM138" i="19" s="1"/>
  <c r="DV138" i="19"/>
  <c r="I35" i="19"/>
  <c r="FF7" i="25"/>
  <c r="DS17" i="19"/>
  <c r="DT199" i="19"/>
  <c r="DT211" i="19" s="1"/>
  <c r="DS217" i="19"/>
  <c r="AN162" i="19"/>
  <c r="DU30" i="19"/>
  <c r="DU36" i="19" s="1"/>
  <c r="DS22" i="19"/>
  <c r="DS290" i="19"/>
  <c r="DT272" i="19"/>
  <c r="DT284" i="19" s="1"/>
  <c r="AO123" i="19"/>
  <c r="AO135" i="19" s="1"/>
  <c r="EB135" i="19"/>
  <c r="AN193" i="19"/>
  <c r="AN169" i="19" s="1"/>
  <c r="AM236" i="19"/>
  <c r="AM278" i="19"/>
  <c r="DV279" i="19"/>
  <c r="DS16" i="19"/>
  <c r="DS216" i="19"/>
  <c r="DT198" i="19"/>
  <c r="DT210" i="19" s="1"/>
  <c r="AL163" i="19"/>
  <c r="AL205" i="19"/>
  <c r="AL211" i="19" s="1"/>
  <c r="EB21" i="19"/>
  <c r="EB289" i="19"/>
  <c r="EC271" i="19"/>
  <c r="EC283" i="19" s="1"/>
  <c r="AM163" i="19"/>
  <c r="AL236" i="19"/>
  <c r="AL278" i="19"/>
  <c r="AL284" i="19" s="1"/>
  <c r="AN192" i="19"/>
  <c r="AN168" i="19" s="1"/>
  <c r="AM274" i="19"/>
  <c r="AM286" i="19" s="1"/>
  <c r="DV286" i="19"/>
  <c r="AM237" i="19"/>
  <c r="AM279" i="19"/>
  <c r="AL162" i="19"/>
  <c r="AL204" i="19"/>
  <c r="AL210" i="19" s="1"/>
  <c r="AN236" i="19"/>
  <c r="J204" i="19"/>
  <c r="AO162" i="19"/>
  <c r="AO204" i="19"/>
  <c r="EB205" i="19"/>
  <c r="DV13" i="19"/>
  <c r="DW127" i="19"/>
  <c r="DW139" i="19" s="1"/>
  <c r="DV145" i="19"/>
  <c r="AM192" i="19"/>
  <c r="AM168" i="19" s="1"/>
  <c r="AM200" i="19"/>
  <c r="AM212" i="19" s="1"/>
  <c r="DV212" i="19"/>
  <c r="AO21" i="19"/>
  <c r="AO289" i="19"/>
  <c r="AM193" i="19"/>
  <c r="AM169" i="19" s="1"/>
  <c r="AN267" i="19"/>
  <c r="AN243" i="19" s="1"/>
  <c r="AN266" i="19"/>
  <c r="AN242" i="19" s="1"/>
  <c r="AN163" i="19"/>
  <c r="AO163" i="19"/>
  <c r="AO205" i="19"/>
  <c r="EB15" i="19"/>
  <c r="EC197" i="19"/>
  <c r="EC209" i="19" s="1"/>
  <c r="EB215" i="19"/>
  <c r="AM13" i="19"/>
  <c r="AM145" i="19"/>
  <c r="J193" i="19"/>
  <c r="J205" i="19" s="1"/>
  <c r="AL193" i="19"/>
  <c r="AL169" i="19" s="1"/>
  <c r="AM275" i="19"/>
  <c r="AM287" i="19" s="1"/>
  <c r="DV287" i="19"/>
  <c r="J192" i="19"/>
  <c r="AL192" i="19"/>
  <c r="AL168" i="19" s="1"/>
  <c r="DY279" i="19"/>
  <c r="AO267" i="19"/>
  <c r="AO243" i="19" s="1"/>
  <c r="AO237" i="19"/>
  <c r="AO279" i="19"/>
  <c r="J267" i="19"/>
  <c r="J279" i="19" s="1"/>
  <c r="AL267" i="19"/>
  <c r="AL243" i="19" s="1"/>
  <c r="AO15" i="19"/>
  <c r="AO215" i="19"/>
  <c r="I34" i="19"/>
  <c r="FF6" i="25"/>
  <c r="FF10" i="25" s="1"/>
  <c r="AL30" i="19"/>
  <c r="AL36" i="19" s="1"/>
  <c r="AO236" i="19"/>
  <c r="AO278" i="19"/>
  <c r="J266" i="19"/>
  <c r="J278" i="19" s="1"/>
  <c r="AL266" i="19"/>
  <c r="AL242" i="19" s="1"/>
  <c r="DY89" i="19"/>
  <c r="DZ89" i="19"/>
  <c r="DS89" i="19"/>
  <c r="EA89" i="19"/>
  <c r="DT89" i="19"/>
  <c r="EB89" i="19"/>
  <c r="DU89" i="19"/>
  <c r="EC89" i="19"/>
  <c r="DV89" i="19"/>
  <c r="DW89" i="19"/>
  <c r="J95" i="19"/>
  <c r="DX89" i="19"/>
  <c r="ED89" i="19"/>
  <c r="J88" i="19"/>
  <c r="AL237" i="19"/>
  <c r="AN237" i="19"/>
  <c r="AN279" i="19"/>
  <c r="AO266" i="19"/>
  <c r="AO242" i="19" s="1"/>
  <c r="DU88" i="19" l="1"/>
  <c r="DU112" i="19" s="1"/>
  <c r="DU113" i="19"/>
  <c r="EC15" i="19"/>
  <c r="ED197" i="19"/>
  <c r="ED209" i="19" s="1"/>
  <c r="EC215" i="19"/>
  <c r="AL17" i="19"/>
  <c r="AL217" i="19"/>
  <c r="AL22" i="19"/>
  <c r="AL290" i="19"/>
  <c r="EB9" i="19"/>
  <c r="EB27" i="19" s="1"/>
  <c r="EB33" i="19" s="1"/>
  <c r="EB141" i="19"/>
  <c r="EC123" i="19"/>
  <c r="EC135" i="19" s="1"/>
  <c r="ED88" i="19"/>
  <c r="ED112" i="19" s="1"/>
  <c r="ED113" i="19"/>
  <c r="DT88" i="19"/>
  <c r="DT112" i="19" s="1"/>
  <c r="DT113" i="19"/>
  <c r="AM25" i="19"/>
  <c r="AM293" i="19"/>
  <c r="AL16" i="19"/>
  <c r="AL216" i="19"/>
  <c r="DT16" i="19"/>
  <c r="DT216" i="19"/>
  <c r="DU198" i="19"/>
  <c r="DU210" i="19" s="1"/>
  <c r="AO9" i="19"/>
  <c r="AO27" i="19" s="1"/>
  <c r="AO33" i="19" s="1"/>
  <c r="AO141" i="19"/>
  <c r="DT17" i="19"/>
  <c r="DU199" i="19"/>
  <c r="DU211" i="19" s="1"/>
  <c r="DT217" i="19"/>
  <c r="DX88" i="19"/>
  <c r="DX112" i="19" s="1"/>
  <c r="DX113" i="19"/>
  <c r="EA88" i="19"/>
  <c r="EA112" i="19" s="1"/>
  <c r="EA113" i="19"/>
  <c r="DV18" i="19"/>
  <c r="DW200" i="19"/>
  <c r="DW212" i="19" s="1"/>
  <c r="DV218" i="19"/>
  <c r="AM205" i="19"/>
  <c r="DT22" i="19"/>
  <c r="DT290" i="19"/>
  <c r="DU272" i="19"/>
  <c r="DU284" i="19" s="1"/>
  <c r="DV19" i="19"/>
  <c r="DV31" i="19" s="1"/>
  <c r="DV37" i="19" s="1"/>
  <c r="DW201" i="19"/>
  <c r="DW213" i="19" s="1"/>
  <c r="DV219" i="19"/>
  <c r="J94" i="19"/>
  <c r="DV95" i="19"/>
  <c r="ED95" i="19"/>
  <c r="DW95" i="19"/>
  <c r="DX95" i="19"/>
  <c r="DY95" i="19"/>
  <c r="DZ95" i="19"/>
  <c r="DT95" i="19"/>
  <c r="DU95" i="19"/>
  <c r="EA95" i="19"/>
  <c r="EB95" i="19"/>
  <c r="EC95" i="19"/>
  <c r="DS95" i="19"/>
  <c r="DS88" i="19"/>
  <c r="DS112" i="19" s="1"/>
  <c r="DS113" i="19"/>
  <c r="AN205" i="19"/>
  <c r="DW88" i="19"/>
  <c r="DW112" i="19" s="1"/>
  <c r="DW113" i="19"/>
  <c r="EC21" i="19"/>
  <c r="EC289" i="19"/>
  <c r="ED271" i="19"/>
  <c r="ED283" i="19" s="1"/>
  <c r="DV88" i="19"/>
  <c r="DV112" i="19" s="1"/>
  <c r="DV113" i="19"/>
  <c r="AM12" i="19"/>
  <c r="AM144" i="19"/>
  <c r="EB88" i="19"/>
  <c r="EB112" i="19" s="1"/>
  <c r="EB113" i="19"/>
  <c r="DV25" i="19"/>
  <c r="DW275" i="19"/>
  <c r="DW287" i="19" s="1"/>
  <c r="DV293" i="19"/>
  <c r="AM18" i="19"/>
  <c r="AM218" i="19"/>
  <c r="AM19" i="19"/>
  <c r="AM31" i="19" s="1"/>
  <c r="AM37" i="19" s="1"/>
  <c r="AM219" i="19"/>
  <c r="DZ88" i="19"/>
  <c r="DZ112" i="19" s="1"/>
  <c r="DZ113" i="19"/>
  <c r="DY88" i="19"/>
  <c r="DY112" i="19" s="1"/>
  <c r="DY113" i="19"/>
  <c r="DV24" i="19"/>
  <c r="DV292" i="19"/>
  <c r="DW274" i="19"/>
  <c r="DW286" i="19" s="1"/>
  <c r="DT23" i="19"/>
  <c r="DU273" i="19"/>
  <c r="DU285" i="19" s="1"/>
  <c r="DT291" i="19"/>
  <c r="AL279" i="19"/>
  <c r="AL285" i="19" s="1"/>
  <c r="EC88" i="19"/>
  <c r="EC112" i="19" s="1"/>
  <c r="EC113" i="19"/>
  <c r="DW13" i="19"/>
  <c r="DX127" i="19"/>
  <c r="DX139" i="19" s="1"/>
  <c r="DW145" i="19"/>
  <c r="AN278" i="19"/>
  <c r="AM24" i="19"/>
  <c r="AM292" i="19"/>
  <c r="AN204" i="19"/>
  <c r="DV12" i="19"/>
  <c r="DV30" i="19" s="1"/>
  <c r="DV36" i="19" s="1"/>
  <c r="DW126" i="19"/>
  <c r="DW138" i="19" s="1"/>
  <c r="DV144" i="19"/>
  <c r="AO113" i="19" l="1"/>
  <c r="ED21" i="19"/>
  <c r="EE271" i="19"/>
  <c r="J283" i="19"/>
  <c r="ED289" i="19"/>
  <c r="DS94" i="19"/>
  <c r="DS118" i="19" s="1"/>
  <c r="DS119" i="19"/>
  <c r="DX94" i="19"/>
  <c r="DX118" i="19" s="1"/>
  <c r="DX119" i="19"/>
  <c r="DU22" i="19"/>
  <c r="DV272" i="19"/>
  <c r="DU290" i="19"/>
  <c r="EA130" i="19"/>
  <c r="DU16" i="19"/>
  <c r="DV198" i="19"/>
  <c r="DU216" i="19"/>
  <c r="AM112" i="19"/>
  <c r="AO112" i="19"/>
  <c r="EC94" i="19"/>
  <c r="EC118" i="19" s="1"/>
  <c r="EC119" i="19"/>
  <c r="DW94" i="19"/>
  <c r="DW118" i="19" s="1"/>
  <c r="DW130" i="19" s="1"/>
  <c r="DW119" i="19"/>
  <c r="DW131" i="19" s="1"/>
  <c r="DX131" i="19"/>
  <c r="DT131" i="19"/>
  <c r="DW24" i="19"/>
  <c r="DX274" i="19"/>
  <c r="DX286" i="19" s="1"/>
  <c r="DW292" i="19"/>
  <c r="EB94" i="19"/>
  <c r="EB118" i="19" s="1"/>
  <c r="EB119" i="19"/>
  <c r="ED94" i="19"/>
  <c r="ED118" i="19" s="1"/>
  <c r="ED130" i="19" s="1"/>
  <c r="ED119" i="19"/>
  <c r="ED131" i="19" s="1"/>
  <c r="DX130" i="19"/>
  <c r="EC9" i="19"/>
  <c r="EC27" i="19" s="1"/>
  <c r="EC33" i="19" s="1"/>
  <c r="EC141" i="19"/>
  <c r="ED123" i="19"/>
  <c r="ED135" i="19" s="1"/>
  <c r="ED15" i="19"/>
  <c r="J209" i="19"/>
  <c r="EE197" i="19"/>
  <c r="ED215" i="19"/>
  <c r="J112" i="19"/>
  <c r="AL112" i="19"/>
  <c r="DS130" i="19"/>
  <c r="DS136" i="19" s="1"/>
  <c r="EA94" i="19"/>
  <c r="EA118" i="19" s="1"/>
  <c r="EA119" i="19"/>
  <c r="EA131" i="19" s="1"/>
  <c r="EC131" i="19"/>
  <c r="DU94" i="19"/>
  <c r="DU118" i="19" s="1"/>
  <c r="DU119" i="19"/>
  <c r="DU17" i="19"/>
  <c r="DV199" i="19"/>
  <c r="DU217" i="19"/>
  <c r="DY94" i="19"/>
  <c r="DY118" i="19" s="1"/>
  <c r="DY119" i="19"/>
  <c r="AN119" i="19" s="1"/>
  <c r="AN95" i="19" s="1"/>
  <c r="DU23" i="19"/>
  <c r="DV273" i="19"/>
  <c r="DU291" i="19"/>
  <c r="DW12" i="19"/>
  <c r="DX126" i="19"/>
  <c r="DX138" i="19" s="1"/>
  <c r="DW144" i="19"/>
  <c r="DV94" i="19"/>
  <c r="DV118" i="19" s="1"/>
  <c r="AM118" i="19" s="1"/>
  <c r="AM94" i="19" s="1"/>
  <c r="DV119" i="19"/>
  <c r="AM119" i="19" s="1"/>
  <c r="AM95" i="19" s="1"/>
  <c r="AN113" i="19"/>
  <c r="DT94" i="19"/>
  <c r="DT118" i="19" s="1"/>
  <c r="DT130" i="19" s="1"/>
  <c r="DT119" i="19"/>
  <c r="DW18" i="19"/>
  <c r="DX200" i="19"/>
  <c r="DX212" i="19" s="1"/>
  <c r="DW218" i="19"/>
  <c r="DU131" i="19"/>
  <c r="DX13" i="19"/>
  <c r="DY127" i="19"/>
  <c r="DX145" i="19"/>
  <c r="AM30" i="19"/>
  <c r="AM36" i="19" s="1"/>
  <c r="EC130" i="19"/>
  <c r="AL23" i="19"/>
  <c r="AL291" i="19"/>
  <c r="AN112" i="19"/>
  <c r="DW25" i="19"/>
  <c r="DX275" i="19"/>
  <c r="DX287" i="19" s="1"/>
  <c r="DW293" i="19"/>
  <c r="AM113" i="19"/>
  <c r="J113" i="19"/>
  <c r="AL113" i="19"/>
  <c r="DS131" i="19"/>
  <c r="DS137" i="19" s="1"/>
  <c r="DZ94" i="19"/>
  <c r="DZ118" i="19" s="1"/>
  <c r="DZ130" i="19" s="1"/>
  <c r="DZ119" i="19"/>
  <c r="DZ131" i="19" s="1"/>
  <c r="DW19" i="19"/>
  <c r="DW31" i="19" s="1"/>
  <c r="DW37" i="19" s="1"/>
  <c r="DX201" i="19"/>
  <c r="DX213" i="19" s="1"/>
  <c r="DW219" i="19"/>
  <c r="DU130" i="19"/>
  <c r="AN118" i="19" l="1"/>
  <c r="AN94" i="19" s="1"/>
  <c r="J15" i="19"/>
  <c r="J215" i="19"/>
  <c r="DV130" i="19"/>
  <c r="J21" i="19"/>
  <c r="J289" i="19"/>
  <c r="AL89" i="19"/>
  <c r="AL131" i="19"/>
  <c r="AL137" i="19" s="1"/>
  <c r="DV131" i="19"/>
  <c r="DX18" i="19"/>
  <c r="DY200" i="19"/>
  <c r="DX218" i="19"/>
  <c r="AM88" i="19"/>
  <c r="AM130" i="19"/>
  <c r="AM272" i="19"/>
  <c r="AM284" i="19" s="1"/>
  <c r="DV284" i="19"/>
  <c r="EE283" i="19"/>
  <c r="AP271" i="19"/>
  <c r="AP283" i="19" s="1"/>
  <c r="K271" i="19"/>
  <c r="EE209" i="19"/>
  <c r="AP197" i="19"/>
  <c r="AP209" i="19" s="1"/>
  <c r="K197" i="19"/>
  <c r="AO88" i="19"/>
  <c r="AO130" i="19"/>
  <c r="AM89" i="19"/>
  <c r="AM131" i="19"/>
  <c r="DX12" i="19"/>
  <c r="DX30" i="19" s="1"/>
  <c r="DX36" i="19" s="1"/>
  <c r="DY126" i="19"/>
  <c r="DX144" i="19"/>
  <c r="AM199" i="19"/>
  <c r="AM211" i="19" s="1"/>
  <c r="DV211" i="19"/>
  <c r="ED9" i="19"/>
  <c r="ED27" i="19" s="1"/>
  <c r="ED33" i="19" s="1"/>
  <c r="EE123" i="19"/>
  <c r="ED141" i="19"/>
  <c r="J135" i="19"/>
  <c r="AO119" i="19"/>
  <c r="AO95" i="19" s="1"/>
  <c r="AN88" i="19"/>
  <c r="AN130" i="19"/>
  <c r="DX19" i="19"/>
  <c r="DX31" i="19" s="1"/>
  <c r="DX37" i="19" s="1"/>
  <c r="DX219" i="19"/>
  <c r="DY201" i="19"/>
  <c r="DS10" i="19"/>
  <c r="DS28" i="19" s="1"/>
  <c r="DS34" i="19" s="1"/>
  <c r="DT124" i="19"/>
  <c r="DT136" i="19" s="1"/>
  <c r="DS142" i="19"/>
  <c r="AO118" i="19"/>
  <c r="AO94" i="19" s="1"/>
  <c r="EB131" i="19"/>
  <c r="DW30" i="19"/>
  <c r="DW36" i="19" s="1"/>
  <c r="DX25" i="19"/>
  <c r="DY275" i="19"/>
  <c r="DX293" i="19"/>
  <c r="AL88" i="19"/>
  <c r="AO89" i="19"/>
  <c r="AO131" i="19"/>
  <c r="DX24" i="19"/>
  <c r="DY274" i="19"/>
  <c r="DX292" i="19"/>
  <c r="AM198" i="19"/>
  <c r="AM210" i="19" s="1"/>
  <c r="DV210" i="19"/>
  <c r="AL119" i="19"/>
  <c r="AL95" i="19" s="1"/>
  <c r="J119" i="19"/>
  <c r="J131" i="19" s="1"/>
  <c r="AN127" i="19"/>
  <c r="AN139" i="19" s="1"/>
  <c r="DY139" i="19"/>
  <c r="DY131" i="19"/>
  <c r="AM273" i="19"/>
  <c r="AM285" i="19" s="1"/>
  <c r="DV285" i="19"/>
  <c r="DS11" i="19"/>
  <c r="DS29" i="19" s="1"/>
  <c r="DS35" i="19" s="1"/>
  <c r="DS143" i="19"/>
  <c r="DT125" i="19"/>
  <c r="DT137" i="19" s="1"/>
  <c r="DY130" i="19"/>
  <c r="AN89" i="19"/>
  <c r="AN131" i="19"/>
  <c r="EB130" i="19"/>
  <c r="AL118" i="19"/>
  <c r="AL94" i="19" s="1"/>
  <c r="J118" i="19"/>
  <c r="J130" i="19" s="1"/>
  <c r="DV17" i="19" l="1"/>
  <c r="DW199" i="19"/>
  <c r="DW211" i="19" s="1"/>
  <c r="DV217" i="19"/>
  <c r="AM22" i="19"/>
  <c r="AM290" i="19"/>
  <c r="AM17" i="19"/>
  <c r="AM217" i="19"/>
  <c r="AP15" i="19"/>
  <c r="AP215" i="19"/>
  <c r="AL130" i="19"/>
  <c r="AL136" i="19" s="1"/>
  <c r="DV23" i="19"/>
  <c r="DV291" i="19"/>
  <c r="DW273" i="19"/>
  <c r="DW285" i="19" s="1"/>
  <c r="AN126" i="19"/>
  <c r="AN138" i="19" s="1"/>
  <c r="DY138" i="19"/>
  <c r="EE15" i="19"/>
  <c r="EF197" i="19"/>
  <c r="EF209" i="19" s="1"/>
  <c r="EE215" i="19"/>
  <c r="AL11" i="19"/>
  <c r="AL29" i="19" s="1"/>
  <c r="AL35" i="19" s="1"/>
  <c r="AL143" i="19"/>
  <c r="DT10" i="19"/>
  <c r="DT28" i="19" s="1"/>
  <c r="DT34" i="19" s="1"/>
  <c r="DT142" i="19"/>
  <c r="DU124" i="19"/>
  <c r="DU136" i="19" s="1"/>
  <c r="J9" i="19"/>
  <c r="J27" i="19" s="1"/>
  <c r="J33" i="19" s="1"/>
  <c r="J141" i="19"/>
  <c r="AN200" i="19"/>
  <c r="AN212" i="19" s="1"/>
  <c r="DY212" i="19"/>
  <c r="DV22" i="19"/>
  <c r="DW272" i="19"/>
  <c r="DW284" i="19" s="1"/>
  <c r="DV290" i="19"/>
  <c r="DV16" i="19"/>
  <c r="DW198" i="19"/>
  <c r="DW210" i="19" s="1"/>
  <c r="DV216" i="19"/>
  <c r="AP21" i="19"/>
  <c r="AP289" i="19"/>
  <c r="AN13" i="19"/>
  <c r="AN145" i="19"/>
  <c r="DT11" i="19"/>
  <c r="DT29" i="19" s="1"/>
  <c r="DT35" i="19" s="1"/>
  <c r="DU125" i="19"/>
  <c r="DU137" i="19" s="1"/>
  <c r="DT143" i="19"/>
  <c r="AM16" i="19"/>
  <c r="AM216" i="19"/>
  <c r="AM23" i="19"/>
  <c r="AM291" i="19"/>
  <c r="AN274" i="19"/>
  <c r="AN286" i="19" s="1"/>
  <c r="DY286" i="19"/>
  <c r="DY287" i="19"/>
  <c r="AN275" i="19"/>
  <c r="AN287" i="19" s="1"/>
  <c r="DY13" i="19"/>
  <c r="DY145" i="19"/>
  <c r="DZ127" i="19"/>
  <c r="DZ139" i="19" s="1"/>
  <c r="AN201" i="19"/>
  <c r="AN213" i="19" s="1"/>
  <c r="DY213" i="19"/>
  <c r="K123" i="19"/>
  <c r="AP123" i="19"/>
  <c r="AP135" i="19" s="1"/>
  <c r="EE135" i="19"/>
  <c r="EE21" i="19"/>
  <c r="EF271" i="19"/>
  <c r="EF283" i="19" s="1"/>
  <c r="EE289" i="19"/>
  <c r="DY25" i="19" l="1"/>
  <c r="DZ275" i="19"/>
  <c r="DZ287" i="19" s="1"/>
  <c r="DY293" i="19"/>
  <c r="DU11" i="19"/>
  <c r="DU29" i="19" s="1"/>
  <c r="DU35" i="19" s="1"/>
  <c r="DV125" i="19"/>
  <c r="DU143" i="19"/>
  <c r="DU10" i="19"/>
  <c r="DU28" i="19" s="1"/>
  <c r="DU34" i="19" s="1"/>
  <c r="DV124" i="19"/>
  <c r="DU142" i="19"/>
  <c r="DY12" i="19"/>
  <c r="DZ126" i="19"/>
  <c r="DZ138" i="19" s="1"/>
  <c r="DY144" i="19"/>
  <c r="AN12" i="19"/>
  <c r="AN144" i="19"/>
  <c r="DW22" i="19"/>
  <c r="DW290" i="19"/>
  <c r="DX272" i="19"/>
  <c r="DX284" i="19" s="1"/>
  <c r="DW23" i="19"/>
  <c r="DW291" i="19"/>
  <c r="DX273" i="19"/>
  <c r="DX285" i="19" s="1"/>
  <c r="AP9" i="19"/>
  <c r="AP27" i="19" s="1"/>
  <c r="AP33" i="19" s="1"/>
  <c r="AP141" i="19"/>
  <c r="DY24" i="19"/>
  <c r="DZ274" i="19"/>
  <c r="DZ286" i="19" s="1"/>
  <c r="DY292" i="19"/>
  <c r="DW16" i="19"/>
  <c r="DX198" i="19"/>
  <c r="DX210" i="19" s="1"/>
  <c r="DW216" i="19"/>
  <c r="DY18" i="19"/>
  <c r="DY218" i="19"/>
  <c r="DZ200" i="19"/>
  <c r="DZ212" i="19" s="1"/>
  <c r="EE9" i="19"/>
  <c r="EE27" i="19" s="1"/>
  <c r="EE33" i="19" s="1"/>
  <c r="EF123" i="19"/>
  <c r="EF135" i="19" s="1"/>
  <c r="EE141" i="19"/>
  <c r="DY19" i="19"/>
  <c r="DY31" i="19" s="1"/>
  <c r="DY37" i="19" s="1"/>
  <c r="DY219" i="19"/>
  <c r="DZ201" i="19"/>
  <c r="DZ213" i="19" s="1"/>
  <c r="AL10" i="19"/>
  <c r="AL28" i="19" s="1"/>
  <c r="AL34" i="19" s="1"/>
  <c r="AL142" i="19"/>
  <c r="DW17" i="19"/>
  <c r="DX199" i="19"/>
  <c r="DX211" i="19" s="1"/>
  <c r="DW217" i="19"/>
  <c r="AN25" i="19"/>
  <c r="AN293" i="19"/>
  <c r="AN24" i="19"/>
  <c r="AN292" i="19"/>
  <c r="AN19" i="19"/>
  <c r="AN31" i="19" s="1"/>
  <c r="AN37" i="19" s="1"/>
  <c r="AN219" i="19"/>
  <c r="DZ13" i="19"/>
  <c r="EA127" i="19"/>
  <c r="EA139" i="19" s="1"/>
  <c r="DZ145" i="19"/>
  <c r="EF21" i="19"/>
  <c r="EF289" i="19"/>
  <c r="EG271" i="19"/>
  <c r="EG283" i="19" s="1"/>
  <c r="AN18" i="19"/>
  <c r="AN218" i="19"/>
  <c r="EF15" i="19"/>
  <c r="EG197" i="19"/>
  <c r="EG209" i="19" s="1"/>
  <c r="EF215" i="19"/>
  <c r="DZ24" i="19" l="1"/>
  <c r="EA274" i="19"/>
  <c r="EA286" i="19" s="1"/>
  <c r="DZ292" i="19"/>
  <c r="DZ19" i="19"/>
  <c r="DZ219" i="19"/>
  <c r="EA201" i="19"/>
  <c r="EA213" i="19" s="1"/>
  <c r="AN30" i="19"/>
  <c r="AN36" i="19" s="1"/>
  <c r="AM125" i="19"/>
  <c r="AM137" i="19" s="1"/>
  <c r="DV137" i="19"/>
  <c r="DZ18" i="19"/>
  <c r="DZ218" i="19"/>
  <c r="EA200" i="19"/>
  <c r="EA212" i="19" s="1"/>
  <c r="EG15" i="19"/>
  <c r="EH197" i="19"/>
  <c r="EG215" i="19"/>
  <c r="DX23" i="19"/>
  <c r="DY273" i="19"/>
  <c r="DX291" i="19"/>
  <c r="AM124" i="19"/>
  <c r="AM136" i="19" s="1"/>
  <c r="DV136" i="19"/>
  <c r="DX16" i="19"/>
  <c r="DY198" i="19"/>
  <c r="DX216" i="19"/>
  <c r="DZ12" i="19"/>
  <c r="DZ30" i="19" s="1"/>
  <c r="DZ36" i="19" s="1"/>
  <c r="DZ144" i="19"/>
  <c r="EA126" i="19"/>
  <c r="EA138" i="19" s="1"/>
  <c r="EF9" i="19"/>
  <c r="EF27" i="19" s="1"/>
  <c r="EF33" i="19" s="1"/>
  <c r="EG123" i="19"/>
  <c r="EG135" i="19" s="1"/>
  <c r="EF141" i="19"/>
  <c r="DY30" i="19"/>
  <c r="DY36" i="19" s="1"/>
  <c r="DZ25" i="19"/>
  <c r="EA275" i="19"/>
  <c r="EA287" i="19" s="1"/>
  <c r="DZ293" i="19"/>
  <c r="EG21" i="19"/>
  <c r="EG289" i="19"/>
  <c r="EH271" i="19"/>
  <c r="EA13" i="19"/>
  <c r="EA145" i="19"/>
  <c r="EB127" i="19"/>
  <c r="DZ31" i="19"/>
  <c r="DZ37" i="19" s="1"/>
  <c r="DX17" i="19"/>
  <c r="DY199" i="19"/>
  <c r="DX217" i="19"/>
  <c r="DX22" i="19"/>
  <c r="DX290" i="19"/>
  <c r="DY272" i="19"/>
  <c r="AM11" i="19" l="1"/>
  <c r="AM29" i="19" s="1"/>
  <c r="AM35" i="19" s="1"/>
  <c r="AM143" i="19"/>
  <c r="AN198" i="19"/>
  <c r="AN210" i="19" s="1"/>
  <c r="DY210" i="19"/>
  <c r="AQ197" i="19"/>
  <c r="AQ209" i="19" s="1"/>
  <c r="EH209" i="19"/>
  <c r="EA19" i="19"/>
  <c r="EA31" i="19" s="1"/>
  <c r="EA37" i="19" s="1"/>
  <c r="EB201" i="19"/>
  <c r="EA219" i="19"/>
  <c r="AQ271" i="19"/>
  <c r="AQ283" i="19" s="1"/>
  <c r="EH283" i="19"/>
  <c r="DV10" i="19"/>
  <c r="DV28" i="19" s="1"/>
  <c r="DV34" i="19" s="1"/>
  <c r="DV142" i="19"/>
  <c r="DW124" i="19"/>
  <c r="DW136" i="19" s="1"/>
  <c r="EA18" i="19"/>
  <c r="EA218" i="19"/>
  <c r="EB200" i="19"/>
  <c r="EA25" i="19"/>
  <c r="EB275" i="19"/>
  <c r="EA293" i="19"/>
  <c r="EB139" i="19"/>
  <c r="AO127" i="19"/>
  <c r="AO139" i="19" s="1"/>
  <c r="AM10" i="19"/>
  <c r="AM28" i="19" s="1"/>
  <c r="AM34" i="19" s="1"/>
  <c r="AM142" i="19"/>
  <c r="AN272" i="19"/>
  <c r="AN284" i="19" s="1"/>
  <c r="DY284" i="19"/>
  <c r="EG9" i="19"/>
  <c r="EG27" i="19" s="1"/>
  <c r="EG33" i="19" s="1"/>
  <c r="EH123" i="19"/>
  <c r="EG141" i="19"/>
  <c r="EA24" i="19"/>
  <c r="EB274" i="19"/>
  <c r="EA292" i="19"/>
  <c r="AN199" i="19"/>
  <c r="AN211" i="19" s="1"/>
  <c r="DY211" i="19"/>
  <c r="EA12" i="19"/>
  <c r="EA30" i="19" s="1"/>
  <c r="EA36" i="19" s="1"/>
  <c r="EB126" i="19"/>
  <c r="EA144" i="19"/>
  <c r="AN273" i="19"/>
  <c r="AN285" i="19" s="1"/>
  <c r="DY285" i="19"/>
  <c r="DV11" i="19"/>
  <c r="DV29" i="19" s="1"/>
  <c r="DV35" i="19" s="1"/>
  <c r="DW125" i="19"/>
  <c r="DW137" i="19" s="1"/>
  <c r="DV143" i="19"/>
  <c r="EB213" i="19" l="1"/>
  <c r="AO201" i="19"/>
  <c r="AO213" i="19" s="1"/>
  <c r="AN23" i="19"/>
  <c r="AN291" i="19"/>
  <c r="EB286" i="19"/>
  <c r="AO274" i="19"/>
  <c r="AO286" i="19" s="1"/>
  <c r="AO13" i="19"/>
  <c r="AO145" i="19"/>
  <c r="DW10" i="19"/>
  <c r="DW28" i="19" s="1"/>
  <c r="DW34" i="19" s="1"/>
  <c r="DX124" i="19"/>
  <c r="DX136" i="19" s="1"/>
  <c r="DW142" i="19"/>
  <c r="EH15" i="19"/>
  <c r="EI197" i="19"/>
  <c r="EI209" i="19" s="1"/>
  <c r="EH215" i="19"/>
  <c r="EB13" i="19"/>
  <c r="EB145" i="19"/>
  <c r="EC127" i="19"/>
  <c r="EC139" i="19" s="1"/>
  <c r="DY16" i="19"/>
  <c r="DZ198" i="19"/>
  <c r="DZ210" i="19" s="1"/>
  <c r="DY216" i="19"/>
  <c r="AQ123" i="19"/>
  <c r="AQ135" i="19" s="1"/>
  <c r="EH135" i="19"/>
  <c r="DY17" i="19"/>
  <c r="DZ199" i="19"/>
  <c r="DZ211" i="19" s="1"/>
  <c r="DY217" i="19"/>
  <c r="AO275" i="19"/>
  <c r="AO287" i="19" s="1"/>
  <c r="EB287" i="19"/>
  <c r="EH21" i="19"/>
  <c r="EH289" i="19"/>
  <c r="EI271" i="19"/>
  <c r="EI283" i="19" s="1"/>
  <c r="AN16" i="19"/>
  <c r="AN216" i="19"/>
  <c r="DY23" i="19"/>
  <c r="DZ273" i="19"/>
  <c r="DZ285" i="19" s="1"/>
  <c r="DY291" i="19"/>
  <c r="AO126" i="19"/>
  <c r="AO138" i="19" s="1"/>
  <c r="EB138" i="19"/>
  <c r="DW11" i="19"/>
  <c r="DW29" i="19" s="1"/>
  <c r="DW35" i="19" s="1"/>
  <c r="DX125" i="19"/>
  <c r="DX137" i="19" s="1"/>
  <c r="DW143" i="19"/>
  <c r="AN17" i="19"/>
  <c r="AN217" i="19"/>
  <c r="DY22" i="19"/>
  <c r="DY290" i="19"/>
  <c r="DZ272" i="19"/>
  <c r="DZ284" i="19" s="1"/>
  <c r="AQ21" i="19"/>
  <c r="AQ289" i="19"/>
  <c r="AQ15" i="19"/>
  <c r="AQ215" i="19"/>
  <c r="AN22" i="19"/>
  <c r="AN290" i="19"/>
  <c r="AO200" i="19"/>
  <c r="AO212" i="19" s="1"/>
  <c r="EB212" i="19"/>
  <c r="EI21" i="19" l="1"/>
  <c r="EJ271" i="19"/>
  <c r="EJ283" i="19" s="1"/>
  <c r="EI289" i="19"/>
  <c r="EH9" i="19"/>
  <c r="EH27" i="19" s="1"/>
  <c r="EH33" i="19" s="1"/>
  <c r="EI123" i="19"/>
  <c r="EI135" i="19" s="1"/>
  <c r="EH141" i="19"/>
  <c r="AO24" i="19"/>
  <c r="AO292" i="19"/>
  <c r="EB12" i="19"/>
  <c r="EC126" i="19"/>
  <c r="EC138" i="19" s="1"/>
  <c r="EB144" i="19"/>
  <c r="AQ9" i="19"/>
  <c r="AQ27" i="19" s="1"/>
  <c r="AQ33" i="19" s="1"/>
  <c r="AQ141" i="19"/>
  <c r="AO12" i="19"/>
  <c r="AO30" i="19" s="1"/>
  <c r="AO36" i="19" s="1"/>
  <c r="AO144" i="19"/>
  <c r="DZ17" i="19"/>
  <c r="EA199" i="19"/>
  <c r="EA211" i="19" s="1"/>
  <c r="DZ217" i="19"/>
  <c r="EB24" i="19"/>
  <c r="EC274" i="19"/>
  <c r="EC286" i="19" s="1"/>
  <c r="EB292" i="19"/>
  <c r="EB25" i="19"/>
  <c r="EC275" i="19"/>
  <c r="EC287" i="19" s="1"/>
  <c r="EB293" i="19"/>
  <c r="DZ16" i="19"/>
  <c r="EA198" i="19"/>
  <c r="EA210" i="19" s="1"/>
  <c r="DZ216" i="19"/>
  <c r="EB18" i="19"/>
  <c r="EC200" i="19"/>
  <c r="EC212" i="19" s="1"/>
  <c r="EB218" i="19"/>
  <c r="EI15" i="19"/>
  <c r="EJ197" i="19"/>
  <c r="EJ209" i="19" s="1"/>
  <c r="EI215" i="19"/>
  <c r="AO25" i="19"/>
  <c r="AO293" i="19"/>
  <c r="DX10" i="19"/>
  <c r="DX28" i="19" s="1"/>
  <c r="DX34" i="19" s="1"/>
  <c r="DY124" i="19"/>
  <c r="DX142" i="19"/>
  <c r="AO19" i="19"/>
  <c r="AO31" i="19" s="1"/>
  <c r="AO37" i="19" s="1"/>
  <c r="AO219" i="19"/>
  <c r="DX11" i="19"/>
  <c r="DX29" i="19" s="1"/>
  <c r="DX35" i="19" s="1"/>
  <c r="DY125" i="19"/>
  <c r="DX143" i="19"/>
  <c r="DZ22" i="19"/>
  <c r="EA272" i="19"/>
  <c r="EA284" i="19" s="1"/>
  <c r="DZ290" i="19"/>
  <c r="AO18" i="19"/>
  <c r="AO218" i="19"/>
  <c r="DZ23" i="19"/>
  <c r="DZ291" i="19"/>
  <c r="EA273" i="19"/>
  <c r="EA285" i="19" s="1"/>
  <c r="EC13" i="19"/>
  <c r="ED127" i="19"/>
  <c r="ED139" i="19" s="1"/>
  <c r="EC145" i="19"/>
  <c r="EB19" i="19"/>
  <c r="EB31" i="19" s="1"/>
  <c r="EB37" i="19" s="1"/>
  <c r="EC201" i="19"/>
  <c r="EC213" i="19" s="1"/>
  <c r="EB219" i="19"/>
  <c r="ED13" i="19" l="1"/>
  <c r="EE127" i="19"/>
  <c r="J139" i="19"/>
  <c r="ED145" i="19"/>
  <c r="EC18" i="19"/>
  <c r="ED200" i="19"/>
  <c r="ED212" i="19" s="1"/>
  <c r="EC218" i="19"/>
  <c r="EI9" i="19"/>
  <c r="EI27" i="19" s="1"/>
  <c r="EI33" i="19" s="1"/>
  <c r="EI141" i="19"/>
  <c r="EJ123" i="19"/>
  <c r="EJ135" i="19" s="1"/>
  <c r="EC24" i="19"/>
  <c r="ED274" i="19"/>
  <c r="ED286" i="19" s="1"/>
  <c r="EC292" i="19"/>
  <c r="EC31" i="19"/>
  <c r="EC37" i="19" s="1"/>
  <c r="AN125" i="19"/>
  <c r="AN137" i="19" s="1"/>
  <c r="DY137" i="19"/>
  <c r="EA16" i="19"/>
  <c r="EB198" i="19"/>
  <c r="EA216" i="19"/>
  <c r="EC12" i="19"/>
  <c r="ED126" i="19"/>
  <c r="ED138" i="19" s="1"/>
  <c r="EC144" i="19"/>
  <c r="EJ21" i="19"/>
  <c r="EJ289" i="19"/>
  <c r="EK271" i="19"/>
  <c r="AN124" i="19"/>
  <c r="AN136" i="19" s="1"/>
  <c r="DY136" i="19"/>
  <c r="EA17" i="19"/>
  <c r="EB199" i="19"/>
  <c r="EA217" i="19"/>
  <c r="EB30" i="19"/>
  <c r="EB36" i="19" s="1"/>
  <c r="EA22" i="19"/>
  <c r="EB272" i="19"/>
  <c r="EA290" i="19"/>
  <c r="EA23" i="19"/>
  <c r="EB273" i="19"/>
  <c r="EA291" i="19"/>
  <c r="EC19" i="19"/>
  <c r="ED201" i="19"/>
  <c r="ED213" i="19" s="1"/>
  <c r="EC219" i="19"/>
  <c r="EJ15" i="19"/>
  <c r="EJ215" i="19"/>
  <c r="EK197" i="19"/>
  <c r="EC25" i="19"/>
  <c r="ED275" i="19"/>
  <c r="ED287" i="19" s="1"/>
  <c r="EC293" i="19"/>
  <c r="AN11" i="19" l="1"/>
  <c r="AN29" i="19" s="1"/>
  <c r="AN35" i="19" s="1"/>
  <c r="AN143" i="19"/>
  <c r="ED18" i="19"/>
  <c r="EE200" i="19"/>
  <c r="J212" i="19"/>
  <c r="ED218" i="19"/>
  <c r="ED25" i="19"/>
  <c r="J287" i="19"/>
  <c r="EE275" i="19"/>
  <c r="ED293" i="19"/>
  <c r="DY11" i="19"/>
  <c r="DY29" i="19" s="1"/>
  <c r="DY35" i="19" s="1"/>
  <c r="DZ125" i="19"/>
  <c r="DZ137" i="19" s="1"/>
  <c r="DY143" i="19"/>
  <c r="EC30" i="19"/>
  <c r="EC36" i="19" s="1"/>
  <c r="ED24" i="19"/>
  <c r="ED292" i="19"/>
  <c r="J286" i="19"/>
  <c r="EE274" i="19"/>
  <c r="EK209" i="19"/>
  <c r="AR197" i="19"/>
  <c r="AR209" i="19" s="1"/>
  <c r="DY10" i="19"/>
  <c r="DY28" i="19" s="1"/>
  <c r="DY34" i="19" s="1"/>
  <c r="DZ124" i="19"/>
  <c r="DZ136" i="19" s="1"/>
  <c r="DY142" i="19"/>
  <c r="J13" i="19"/>
  <c r="J145" i="19"/>
  <c r="K91" i="19" s="1"/>
  <c r="ED19" i="19"/>
  <c r="EE201" i="19"/>
  <c r="ED219" i="19"/>
  <c r="J213" i="19"/>
  <c r="AO199" i="19"/>
  <c r="AO211" i="19" s="1"/>
  <c r="EB211" i="19"/>
  <c r="EB285" i="19"/>
  <c r="AO273" i="19"/>
  <c r="AO285" i="19" s="1"/>
  <c r="AN10" i="19"/>
  <c r="AN28" i="19" s="1"/>
  <c r="AN34" i="19" s="1"/>
  <c r="AN142" i="19"/>
  <c r="AO198" i="19"/>
  <c r="AO210" i="19" s="1"/>
  <c r="EB210" i="19"/>
  <c r="EJ9" i="19"/>
  <c r="EJ27" i="19" s="1"/>
  <c r="EJ33" i="19" s="1"/>
  <c r="EK123" i="19"/>
  <c r="EJ141" i="19"/>
  <c r="AP127" i="19"/>
  <c r="K127" i="19"/>
  <c r="ED12" i="19"/>
  <c r="ED30" i="19" s="1"/>
  <c r="ED36" i="19" s="1"/>
  <c r="EE126" i="19"/>
  <c r="ED144" i="19"/>
  <c r="J138" i="19"/>
  <c r="EB284" i="19"/>
  <c r="AO272" i="19"/>
  <c r="AO284" i="19" s="1"/>
  <c r="EK283" i="19"/>
  <c r="AR271" i="19"/>
  <c r="AR283" i="19" s="1"/>
  <c r="ED31" i="19"/>
  <c r="ED37" i="19" s="1"/>
  <c r="AR123" i="19" l="1"/>
  <c r="AR135" i="19" s="1"/>
  <c r="EK135" i="19"/>
  <c r="EB17" i="19"/>
  <c r="EC199" i="19"/>
  <c r="EC211" i="19" s="1"/>
  <c r="EB217" i="19"/>
  <c r="DZ10" i="19"/>
  <c r="DZ28" i="19" s="1"/>
  <c r="DZ34" i="19" s="1"/>
  <c r="EA124" i="19"/>
  <c r="EA136" i="19" s="1"/>
  <c r="DZ142" i="19"/>
  <c r="J18" i="19"/>
  <c r="J218" i="19"/>
  <c r="K164" i="19" s="1"/>
  <c r="EB23" i="19"/>
  <c r="EC273" i="19"/>
  <c r="EC285" i="19" s="1"/>
  <c r="EB291" i="19"/>
  <c r="AO17" i="19"/>
  <c r="AO217" i="19"/>
  <c r="AO16" i="19"/>
  <c r="AO216" i="19"/>
  <c r="AR15" i="19"/>
  <c r="AR215" i="19"/>
  <c r="DZ11" i="19"/>
  <c r="DZ29" i="19" s="1"/>
  <c r="DZ35" i="19" s="1"/>
  <c r="EA125" i="19"/>
  <c r="EA137" i="19" s="1"/>
  <c r="DZ143" i="19"/>
  <c r="K200" i="19"/>
  <c r="AP200" i="19"/>
  <c r="J12" i="19"/>
  <c r="J144" i="19"/>
  <c r="K90" i="19" s="1"/>
  <c r="AR21" i="19"/>
  <c r="AR289" i="19"/>
  <c r="K201" i="19"/>
  <c r="AP201" i="19"/>
  <c r="EK15" i="19"/>
  <c r="EK215" i="19"/>
  <c r="EL197" i="19"/>
  <c r="EL209" i="19" s="1"/>
  <c r="EB22" i="19"/>
  <c r="EB290" i="19"/>
  <c r="EC272" i="19"/>
  <c r="EC284" i="19" s="1"/>
  <c r="AP126" i="19"/>
  <c r="K126" i="19"/>
  <c r="EK21" i="19"/>
  <c r="EK289" i="19"/>
  <c r="EL271" i="19"/>
  <c r="EL283" i="19" s="1"/>
  <c r="K274" i="19"/>
  <c r="AP274" i="19"/>
  <c r="J25" i="19"/>
  <c r="J293" i="19"/>
  <c r="K239" i="19" s="1"/>
  <c r="EB16" i="19"/>
  <c r="EC198" i="19"/>
  <c r="EC210" i="19" s="1"/>
  <c r="EB216" i="19"/>
  <c r="J19" i="19"/>
  <c r="J31" i="19" s="1"/>
  <c r="J219" i="19"/>
  <c r="K165" i="19" s="1"/>
  <c r="AO22" i="19"/>
  <c r="AO290" i="19"/>
  <c r="AO23" i="19"/>
  <c r="AO291" i="19"/>
  <c r="EK91" i="19"/>
  <c r="EK115" i="19" s="1"/>
  <c r="EL91" i="19"/>
  <c r="EL115" i="19" s="1"/>
  <c r="EE91" i="19"/>
  <c r="EE115" i="19" s="1"/>
  <c r="EM91" i="19"/>
  <c r="EM115" i="19" s="1"/>
  <c r="EF91" i="19"/>
  <c r="EF115" i="19" s="1"/>
  <c r="EN91" i="19"/>
  <c r="EN115" i="19" s="1"/>
  <c r="K97" i="19"/>
  <c r="EG91" i="19"/>
  <c r="EG115" i="19" s="1"/>
  <c r="EO91" i="19"/>
  <c r="EO115" i="19" s="1"/>
  <c r="EH91" i="19"/>
  <c r="EH115" i="19" s="1"/>
  <c r="EI91" i="19"/>
  <c r="EI115" i="19" s="1"/>
  <c r="EJ91" i="19"/>
  <c r="EJ115" i="19" s="1"/>
  <c r="EP91" i="19"/>
  <c r="EP115" i="19" s="1"/>
  <c r="J24" i="19"/>
  <c r="J292" i="19"/>
  <c r="K238" i="19" s="1"/>
  <c r="AP275" i="19"/>
  <c r="K275" i="19"/>
  <c r="J37" i="19" l="1"/>
  <c r="FG9" i="25"/>
  <c r="EF165" i="19"/>
  <c r="EF189" i="19" s="1"/>
  <c r="EN165" i="19"/>
  <c r="EN189" i="19" s="1"/>
  <c r="K171" i="19"/>
  <c r="EH165" i="19"/>
  <c r="EH189" i="19" s="1"/>
  <c r="EP165" i="19"/>
  <c r="EP189" i="19" s="1"/>
  <c r="EI165" i="19"/>
  <c r="EI189" i="19" s="1"/>
  <c r="EJ165" i="19"/>
  <c r="EJ189" i="19" s="1"/>
  <c r="EK165" i="19"/>
  <c r="EK189" i="19" s="1"/>
  <c r="EE165" i="19"/>
  <c r="EE189" i="19" s="1"/>
  <c r="EG165" i="19"/>
  <c r="EG189" i="19" s="1"/>
  <c r="EM165" i="19"/>
  <c r="EM189" i="19" s="1"/>
  <c r="EO165" i="19"/>
  <c r="EO189" i="19" s="1"/>
  <c r="EL165" i="19"/>
  <c r="EL189" i="19" s="1"/>
  <c r="EA10" i="19"/>
  <c r="EA28" i="19" s="1"/>
  <c r="EA34" i="19" s="1"/>
  <c r="EB124" i="19"/>
  <c r="EA142" i="19"/>
  <c r="AR115" i="19"/>
  <c r="EL21" i="19"/>
  <c r="EM271" i="19"/>
  <c r="EM283" i="19" s="1"/>
  <c r="EL289" i="19"/>
  <c r="EA11" i="19"/>
  <c r="EA29" i="19" s="1"/>
  <c r="EA35" i="19" s="1"/>
  <c r="EB125" i="19"/>
  <c r="EA143" i="19"/>
  <c r="EC16" i="19"/>
  <c r="ED198" i="19"/>
  <c r="ED210" i="19" s="1"/>
  <c r="EC216" i="19"/>
  <c r="EL15" i="19"/>
  <c r="EL215" i="19"/>
  <c r="EM197" i="19"/>
  <c r="EM209" i="19" s="1"/>
  <c r="EI90" i="19"/>
  <c r="EI114" i="19" s="1"/>
  <c r="EJ90" i="19"/>
  <c r="EJ114" i="19" s="1"/>
  <c r="EK90" i="19"/>
  <c r="EK114" i="19" s="1"/>
  <c r="EL90" i="19"/>
  <c r="EL114" i="19" s="1"/>
  <c r="EE90" i="19"/>
  <c r="EE114" i="19" s="1"/>
  <c r="EM90" i="19"/>
  <c r="EM114" i="19" s="1"/>
  <c r="EO90" i="19"/>
  <c r="EO114" i="19" s="1"/>
  <c r="EP90" i="19"/>
  <c r="EP114" i="19" s="1"/>
  <c r="EF90" i="19"/>
  <c r="EF114" i="19" s="1"/>
  <c r="K96" i="19"/>
  <c r="EG90" i="19"/>
  <c r="EG114" i="19" s="1"/>
  <c r="EH90" i="19"/>
  <c r="EH114" i="19" s="1"/>
  <c r="EN90" i="19"/>
  <c r="EN114" i="19" s="1"/>
  <c r="EC23" i="19"/>
  <c r="ED273" i="19"/>
  <c r="ED285" i="19" s="1"/>
  <c r="EC291" i="19"/>
  <c r="EC17" i="19"/>
  <c r="ED199" i="19"/>
  <c r="ED211" i="19" s="1"/>
  <c r="EC217" i="19"/>
  <c r="EC22" i="19"/>
  <c r="ED272" i="19"/>
  <c r="ED284" i="19" s="1"/>
  <c r="EC290" i="19"/>
  <c r="EI238" i="19"/>
  <c r="EI262" i="19" s="1"/>
  <c r="EJ238" i="19"/>
  <c r="EJ262" i="19" s="1"/>
  <c r="EK238" i="19"/>
  <c r="EK262" i="19" s="1"/>
  <c r="EL238" i="19"/>
  <c r="EL262" i="19" s="1"/>
  <c r="EE238" i="19"/>
  <c r="EE262" i="19" s="1"/>
  <c r="EM238" i="19"/>
  <c r="EM262" i="19" s="1"/>
  <c r="EF238" i="19"/>
  <c r="EF262" i="19" s="1"/>
  <c r="EN238" i="19"/>
  <c r="EN262" i="19" s="1"/>
  <c r="K244" i="19"/>
  <c r="EH238" i="19"/>
  <c r="EH262" i="19" s="1"/>
  <c r="EP238" i="19"/>
  <c r="EP262" i="19" s="1"/>
  <c r="EG238" i="19"/>
  <c r="EG262" i="19" s="1"/>
  <c r="EO238" i="19"/>
  <c r="EO262" i="19" s="1"/>
  <c r="EK97" i="19"/>
  <c r="EK121" i="19" s="1"/>
  <c r="EK133" i="19" s="1"/>
  <c r="EL97" i="19"/>
  <c r="EL121" i="19" s="1"/>
  <c r="EL133" i="19" s="1"/>
  <c r="EE97" i="19"/>
  <c r="EE121" i="19" s="1"/>
  <c r="EM97" i="19"/>
  <c r="EM121" i="19" s="1"/>
  <c r="EM133" i="19" s="1"/>
  <c r="EF97" i="19"/>
  <c r="EF121" i="19" s="1"/>
  <c r="EN97" i="19"/>
  <c r="EN121" i="19" s="1"/>
  <c r="EG97" i="19"/>
  <c r="EG121" i="19" s="1"/>
  <c r="EG133" i="19" s="1"/>
  <c r="EO97" i="19"/>
  <c r="EO121" i="19" s="1"/>
  <c r="EO133" i="19" s="1"/>
  <c r="EH97" i="19"/>
  <c r="EH121" i="19" s="1"/>
  <c r="EH133" i="19" s="1"/>
  <c r="EJ97" i="19"/>
  <c r="EJ121" i="19" s="1"/>
  <c r="EJ133" i="19" s="1"/>
  <c r="EP97" i="19"/>
  <c r="EP121" i="19" s="1"/>
  <c r="EI97" i="19"/>
  <c r="EI121" i="19" s="1"/>
  <c r="EI133" i="19" s="1"/>
  <c r="J30" i="19"/>
  <c r="AP115" i="19"/>
  <c r="K115" i="19"/>
  <c r="EE133" i="19"/>
  <c r="EE139" i="19" s="1"/>
  <c r="AQ115" i="19"/>
  <c r="AS115" i="19"/>
  <c r="EN133" i="19"/>
  <c r="EK239" i="19"/>
  <c r="EK263" i="19" s="1"/>
  <c r="EL239" i="19"/>
  <c r="EL263" i="19" s="1"/>
  <c r="EE239" i="19"/>
  <c r="EE263" i="19" s="1"/>
  <c r="EM239" i="19"/>
  <c r="EM263" i="19" s="1"/>
  <c r="EF239" i="19"/>
  <c r="EF263" i="19" s="1"/>
  <c r="EN239" i="19"/>
  <c r="EN263" i="19" s="1"/>
  <c r="K245" i="19"/>
  <c r="EG239" i="19"/>
  <c r="EG263" i="19" s="1"/>
  <c r="EO239" i="19"/>
  <c r="EO263" i="19" s="1"/>
  <c r="EH239" i="19"/>
  <c r="EH263" i="19" s="1"/>
  <c r="EP239" i="19"/>
  <c r="EP263" i="19" s="1"/>
  <c r="EJ239" i="19"/>
  <c r="EJ263" i="19" s="1"/>
  <c r="EI239" i="19"/>
  <c r="EI263" i="19" s="1"/>
  <c r="EL164" i="19"/>
  <c r="EL188" i="19" s="1"/>
  <c r="EF164" i="19"/>
  <c r="EF188" i="19" s="1"/>
  <c r="EN164" i="19"/>
  <c r="EN188" i="19" s="1"/>
  <c r="K170" i="19"/>
  <c r="EG164" i="19"/>
  <c r="EG188" i="19" s="1"/>
  <c r="EO164" i="19"/>
  <c r="EO188" i="19" s="1"/>
  <c r="EH164" i="19"/>
  <c r="EH188" i="19" s="1"/>
  <c r="EP164" i="19"/>
  <c r="EP188" i="19" s="1"/>
  <c r="EI164" i="19"/>
  <c r="EI188" i="19" s="1"/>
  <c r="EE164" i="19"/>
  <c r="EE188" i="19" s="1"/>
  <c r="EK164" i="19"/>
  <c r="EK188" i="19" s="1"/>
  <c r="EJ164" i="19"/>
  <c r="EJ188" i="19" s="1"/>
  <c r="EM164" i="19"/>
  <c r="EM188" i="19" s="1"/>
  <c r="EK9" i="19"/>
  <c r="EK27" i="19" s="1"/>
  <c r="EK33" i="19" s="1"/>
  <c r="EK141" i="19"/>
  <c r="EL123" i="19"/>
  <c r="EL135" i="19" s="1"/>
  <c r="EP133" i="19"/>
  <c r="EF133" i="19"/>
  <c r="AR9" i="19"/>
  <c r="AR27" i="19" s="1"/>
  <c r="AR33" i="19" s="1"/>
  <c r="AR141" i="19"/>
  <c r="EF244" i="19" l="1"/>
  <c r="EF268" i="19" s="1"/>
  <c r="EN244" i="19"/>
  <c r="EN268" i="19" s="1"/>
  <c r="EG244" i="19"/>
  <c r="EG268" i="19" s="1"/>
  <c r="EO244" i="19"/>
  <c r="EO268" i="19" s="1"/>
  <c r="EH244" i="19"/>
  <c r="EH268" i="19" s="1"/>
  <c r="EP244" i="19"/>
  <c r="EP268" i="19" s="1"/>
  <c r="EI244" i="19"/>
  <c r="EI268" i="19" s="1"/>
  <c r="EI280" i="19" s="1"/>
  <c r="EJ244" i="19"/>
  <c r="EJ268" i="19" s="1"/>
  <c r="EK244" i="19"/>
  <c r="EK268" i="19" s="1"/>
  <c r="EE244" i="19"/>
  <c r="EE268" i="19" s="1"/>
  <c r="EM244" i="19"/>
  <c r="EM268" i="19" s="1"/>
  <c r="EL244" i="19"/>
  <c r="EL268" i="19" s="1"/>
  <c r="AQ189" i="19"/>
  <c r="AS188" i="19"/>
  <c r="AP188" i="19"/>
  <c r="K188" i="19"/>
  <c r="EK245" i="19"/>
  <c r="EK269" i="19" s="1"/>
  <c r="EL245" i="19"/>
  <c r="EL269" i="19" s="1"/>
  <c r="EE245" i="19"/>
  <c r="EE269" i="19" s="1"/>
  <c r="EM245" i="19"/>
  <c r="EM269" i="19" s="1"/>
  <c r="EF245" i="19"/>
  <c r="EF269" i="19" s="1"/>
  <c r="EN245" i="19"/>
  <c r="EN269" i="19" s="1"/>
  <c r="AS269" i="19" s="1"/>
  <c r="EG245" i="19"/>
  <c r="EG269" i="19" s="1"/>
  <c r="EG281" i="19" s="1"/>
  <c r="EO245" i="19"/>
  <c r="EO269" i="19" s="1"/>
  <c r="EH245" i="19"/>
  <c r="EH269" i="19" s="1"/>
  <c r="EP245" i="19"/>
  <c r="EP269" i="19" s="1"/>
  <c r="EJ245" i="19"/>
  <c r="EJ269" i="19" s="1"/>
  <c r="EI245" i="19"/>
  <c r="EI269" i="19" s="1"/>
  <c r="AS91" i="19"/>
  <c r="AS133" i="19"/>
  <c r="AP121" i="19"/>
  <c r="K121" i="19"/>
  <c r="AS262" i="19"/>
  <c r="EN280" i="19"/>
  <c r="EM15" i="19"/>
  <c r="EN197" i="19"/>
  <c r="EM215" i="19"/>
  <c r="AR91" i="19"/>
  <c r="AR133" i="19"/>
  <c r="EF171" i="19"/>
  <c r="EF195" i="19" s="1"/>
  <c r="EN171" i="19"/>
  <c r="EN195" i="19" s="1"/>
  <c r="EH171" i="19"/>
  <c r="EH195" i="19" s="1"/>
  <c r="EP171" i="19"/>
  <c r="EP195" i="19" s="1"/>
  <c r="EI171" i="19"/>
  <c r="EI195" i="19" s="1"/>
  <c r="EI207" i="19" s="1"/>
  <c r="EJ171" i="19"/>
  <c r="EJ195" i="19" s="1"/>
  <c r="EK171" i="19"/>
  <c r="EK195" i="19" s="1"/>
  <c r="AR195" i="19" s="1"/>
  <c r="EG171" i="19"/>
  <c r="EG195" i="19" s="1"/>
  <c r="EL171" i="19"/>
  <c r="EL195" i="19" s="1"/>
  <c r="EM171" i="19"/>
  <c r="EM195" i="19" s="1"/>
  <c r="EM207" i="19" s="1"/>
  <c r="EO171" i="19"/>
  <c r="EO195" i="19" s="1"/>
  <c r="EO207" i="19" s="1"/>
  <c r="EE171" i="19"/>
  <c r="EE195" i="19" s="1"/>
  <c r="AR188" i="19"/>
  <c r="AS263" i="19"/>
  <c r="EF280" i="19"/>
  <c r="ED23" i="19"/>
  <c r="ED291" i="19"/>
  <c r="J285" i="19"/>
  <c r="EE273" i="19"/>
  <c r="EG207" i="19"/>
  <c r="AS189" i="19"/>
  <c r="EN207" i="19"/>
  <c r="EL9" i="19"/>
  <c r="EL27" i="19" s="1"/>
  <c r="EL33" i="19" s="1"/>
  <c r="EM123" i="19"/>
  <c r="EM135" i="19" s="1"/>
  <c r="EL141" i="19"/>
  <c r="EI281" i="19"/>
  <c r="EF281" i="19"/>
  <c r="AQ91" i="19"/>
  <c r="AQ121" i="19"/>
  <c r="AQ133" i="19" s="1"/>
  <c r="AR121" i="19"/>
  <c r="EM280" i="19"/>
  <c r="ED22" i="19"/>
  <c r="J284" i="19"/>
  <c r="EE272" i="19"/>
  <c r="ED290" i="19"/>
  <c r="AO125" i="19"/>
  <c r="AO137" i="19" s="1"/>
  <c r="EB137" i="19"/>
  <c r="AP189" i="19"/>
  <c r="K189" i="19"/>
  <c r="EE207" i="19"/>
  <c r="EE213" i="19" s="1"/>
  <c r="EF207" i="19"/>
  <c r="AQ188" i="19"/>
  <c r="EJ281" i="19"/>
  <c r="EM281" i="19"/>
  <c r="EE13" i="19"/>
  <c r="EF127" i="19"/>
  <c r="EF139" i="19" s="1"/>
  <c r="EE145" i="19"/>
  <c r="EO280" i="19"/>
  <c r="AP262" i="19"/>
  <c r="K262" i="19"/>
  <c r="EE280" i="19"/>
  <c r="EE286" i="19" s="1"/>
  <c r="AS114" i="19"/>
  <c r="AP114" i="19"/>
  <c r="K114" i="19"/>
  <c r="AR189" i="19"/>
  <c r="EK207" i="19"/>
  <c r="K133" i="19"/>
  <c r="EG280" i="19"/>
  <c r="EL280" i="19"/>
  <c r="AQ114" i="19"/>
  <c r="EH132" i="19"/>
  <c r="ED16" i="19"/>
  <c r="EE198" i="19"/>
  <c r="J210" i="19"/>
  <c r="ED216" i="19"/>
  <c r="AO124" i="19"/>
  <c r="AO136" i="19" s="1"/>
  <c r="EB136" i="19"/>
  <c r="EJ207" i="19"/>
  <c r="K263" i="19"/>
  <c r="AP263" i="19"/>
  <c r="EE281" i="19"/>
  <c r="EE287" i="19" s="1"/>
  <c r="AQ263" i="19"/>
  <c r="EH281" i="19"/>
  <c r="EL281" i="19"/>
  <c r="AP91" i="19"/>
  <c r="AP133" i="19"/>
  <c r="AP139" i="19" s="1"/>
  <c r="AS121" i="19"/>
  <c r="EP280" i="19"/>
  <c r="AR262" i="19"/>
  <c r="EK280" i="19"/>
  <c r="AR114" i="19"/>
  <c r="EM21" i="19"/>
  <c r="EN271" i="19"/>
  <c r="EM289" i="19"/>
  <c r="EP281" i="19"/>
  <c r="EM206" i="19"/>
  <c r="EI170" i="19"/>
  <c r="EI194" i="19" s="1"/>
  <c r="EI206" i="19" s="1"/>
  <c r="EK170" i="19"/>
  <c r="EK194" i="19" s="1"/>
  <c r="AR194" i="19" s="1"/>
  <c r="AR170" i="19" s="1"/>
  <c r="EL170" i="19"/>
  <c r="EL194" i="19" s="1"/>
  <c r="EL206" i="19" s="1"/>
  <c r="EE170" i="19"/>
  <c r="EE194" i="19" s="1"/>
  <c r="EM170" i="19"/>
  <c r="EM194" i="19" s="1"/>
  <c r="EF170" i="19"/>
  <c r="EF194" i="19" s="1"/>
  <c r="EF206" i="19" s="1"/>
  <c r="EN170" i="19"/>
  <c r="EN194" i="19" s="1"/>
  <c r="EN206" i="19" s="1"/>
  <c r="EO170" i="19"/>
  <c r="EO194" i="19" s="1"/>
  <c r="EO206" i="19" s="1"/>
  <c r="EP170" i="19"/>
  <c r="EP194" i="19" s="1"/>
  <c r="EP206" i="19" s="1"/>
  <c r="EH170" i="19"/>
  <c r="EH194" i="19" s="1"/>
  <c r="AQ194" i="19" s="1"/>
  <c r="AQ170" i="19" s="1"/>
  <c r="EG170" i="19"/>
  <c r="EG194" i="19" s="1"/>
  <c r="EG206" i="19" s="1"/>
  <c r="EJ170" i="19"/>
  <c r="EJ194" i="19" s="1"/>
  <c r="EJ206" i="19" s="1"/>
  <c r="EO281" i="19"/>
  <c r="AR263" i="19"/>
  <c r="EK281" i="19"/>
  <c r="J36" i="19"/>
  <c r="FG8" i="25"/>
  <c r="AQ262" i="19"/>
  <c r="EH280" i="19"/>
  <c r="EJ280" i="19"/>
  <c r="ED17" i="19"/>
  <c r="J211" i="19"/>
  <c r="EE199" i="19"/>
  <c r="ED217" i="19"/>
  <c r="EF96" i="19"/>
  <c r="EF120" i="19" s="1"/>
  <c r="EF132" i="19" s="1"/>
  <c r="EN96" i="19"/>
  <c r="EN120" i="19" s="1"/>
  <c r="AS120" i="19" s="1"/>
  <c r="AS96" i="19" s="1"/>
  <c r="EG96" i="19"/>
  <c r="EG120" i="19" s="1"/>
  <c r="EG132" i="19" s="1"/>
  <c r="EO96" i="19"/>
  <c r="EO120" i="19" s="1"/>
  <c r="EO132" i="19" s="1"/>
  <c r="EH96" i="19"/>
  <c r="EH120" i="19" s="1"/>
  <c r="EP96" i="19"/>
  <c r="EP120" i="19" s="1"/>
  <c r="EP132" i="19" s="1"/>
  <c r="EI96" i="19"/>
  <c r="EI120" i="19" s="1"/>
  <c r="EI132" i="19" s="1"/>
  <c r="EJ96" i="19"/>
  <c r="EJ120" i="19" s="1"/>
  <c r="EJ132" i="19" s="1"/>
  <c r="EE96" i="19"/>
  <c r="EE120" i="19" s="1"/>
  <c r="EE132" i="19" s="1"/>
  <c r="EE138" i="19" s="1"/>
  <c r="EK96" i="19"/>
  <c r="EK120" i="19" s="1"/>
  <c r="AR120" i="19" s="1"/>
  <c r="AR96" i="19" s="1"/>
  <c r="EL96" i="19"/>
  <c r="EL120" i="19" s="1"/>
  <c r="EL132" i="19" s="1"/>
  <c r="EM96" i="19"/>
  <c r="EM120" i="19" s="1"/>
  <c r="EM132" i="19" s="1"/>
  <c r="EL207" i="19"/>
  <c r="EP207" i="19"/>
  <c r="EE12" i="19" l="1"/>
  <c r="EF126" i="19"/>
  <c r="EF138" i="19" s="1"/>
  <c r="EE144" i="19"/>
  <c r="J17" i="19"/>
  <c r="J217" i="19"/>
  <c r="K163" i="19" s="1"/>
  <c r="AR239" i="19"/>
  <c r="AS90" i="19"/>
  <c r="AS132" i="19"/>
  <c r="AP165" i="19"/>
  <c r="AP207" i="19"/>
  <c r="AP213" i="19" s="1"/>
  <c r="AR164" i="19"/>
  <c r="AR206" i="19"/>
  <c r="AQ238" i="19"/>
  <c r="AQ280" i="19"/>
  <c r="AQ239" i="19"/>
  <c r="EM9" i="19"/>
  <c r="EM27" i="19" s="1"/>
  <c r="EM33" i="19" s="1"/>
  <c r="EN123" i="19"/>
  <c r="EM141" i="19"/>
  <c r="AQ120" i="19"/>
  <c r="AQ96" i="19" s="1"/>
  <c r="AR238" i="19"/>
  <c r="J16" i="19"/>
  <c r="J216" i="19"/>
  <c r="EE24" i="19"/>
  <c r="EF274" i="19"/>
  <c r="EF286" i="19" s="1"/>
  <c r="EE292" i="19"/>
  <c r="EB11" i="19"/>
  <c r="EB29" i="19" s="1"/>
  <c r="EB35" i="19" s="1"/>
  <c r="EC125" i="19"/>
  <c r="EC137" i="19" s="1"/>
  <c r="EB143" i="19"/>
  <c r="AP195" i="19"/>
  <c r="K195" i="19"/>
  <c r="EN209" i="19"/>
  <c r="AS197" i="19"/>
  <c r="AS209" i="19" s="1"/>
  <c r="AP164" i="19"/>
  <c r="AP206" i="19"/>
  <c r="AP212" i="19" s="1"/>
  <c r="AP194" i="19"/>
  <c r="AP170" i="19" s="1"/>
  <c r="K194" i="19"/>
  <c r="K206" i="19" s="1"/>
  <c r="AP198" i="19"/>
  <c r="K198" i="19"/>
  <c r="EH206" i="19"/>
  <c r="AO11" i="19"/>
  <c r="AO29" i="19" s="1"/>
  <c r="AO35" i="19" s="1"/>
  <c r="AO143" i="19"/>
  <c r="AQ195" i="19"/>
  <c r="AQ268" i="19"/>
  <c r="AQ244" i="19" s="1"/>
  <c r="EE25" i="19"/>
  <c r="EF275" i="19"/>
  <c r="EF287" i="19" s="1"/>
  <c r="EE293" i="19"/>
  <c r="EN283" i="19"/>
  <c r="AS271" i="19"/>
  <c r="AS283" i="19" s="1"/>
  <c r="AP239" i="19"/>
  <c r="AP281" i="19"/>
  <c r="AP287" i="19" s="1"/>
  <c r="AR165" i="19"/>
  <c r="AR207" i="19"/>
  <c r="AP238" i="19"/>
  <c r="AQ164" i="19"/>
  <c r="AQ206" i="19"/>
  <c r="AS165" i="19"/>
  <c r="AS207" i="19"/>
  <c r="EN281" i="19"/>
  <c r="AS195" i="19"/>
  <c r="AP269" i="19"/>
  <c r="K269" i="19"/>
  <c r="K281" i="19" s="1"/>
  <c r="AS164" i="19"/>
  <c r="AP13" i="19"/>
  <c r="AP145" i="19"/>
  <c r="AS239" i="19"/>
  <c r="AS281" i="19"/>
  <c r="K120" i="19"/>
  <c r="K132" i="19" s="1"/>
  <c r="AP120" i="19"/>
  <c r="AP96" i="19" s="1"/>
  <c r="EK132" i="19"/>
  <c r="AP272" i="19"/>
  <c r="K272" i="19"/>
  <c r="AS238" i="19"/>
  <c r="AS280" i="19"/>
  <c r="AQ269" i="19"/>
  <c r="AQ281" i="19" s="1"/>
  <c r="AR269" i="19"/>
  <c r="AR281" i="19" s="1"/>
  <c r="EH207" i="19"/>
  <c r="AP268" i="19"/>
  <c r="AP244" i="19" s="1"/>
  <c r="K268" i="19"/>
  <c r="K280" i="19" s="1"/>
  <c r="AS268" i="19"/>
  <c r="AS244" i="19" s="1"/>
  <c r="AR90" i="19"/>
  <c r="AR132" i="19"/>
  <c r="EB10" i="19"/>
  <c r="EB28" i="19" s="1"/>
  <c r="EB34" i="19" s="1"/>
  <c r="EC124" i="19"/>
  <c r="EC136" i="19" s="1"/>
  <c r="EB142" i="19"/>
  <c r="AQ90" i="19"/>
  <c r="AQ132" i="19"/>
  <c r="AP90" i="19"/>
  <c r="AP132" i="19"/>
  <c r="AP138" i="19" s="1"/>
  <c r="EF13" i="19"/>
  <c r="EG127" i="19"/>
  <c r="EG139" i="19" s="1"/>
  <c r="EF145" i="19"/>
  <c r="EE19" i="19"/>
  <c r="EF201" i="19"/>
  <c r="EF213" i="19" s="1"/>
  <c r="EE219" i="19"/>
  <c r="J22" i="19"/>
  <c r="J290" i="19"/>
  <c r="K273" i="19"/>
  <c r="AP273" i="19"/>
  <c r="AQ165" i="19"/>
  <c r="AQ207" i="19"/>
  <c r="AR268" i="19"/>
  <c r="AR244" i="19" s="1"/>
  <c r="AP199" i="19"/>
  <c r="K199" i="19"/>
  <c r="AS194" i="19"/>
  <c r="AS170" i="19" s="1"/>
  <c r="AO10" i="19"/>
  <c r="AO28" i="19" s="1"/>
  <c r="AO34" i="19" s="1"/>
  <c r="AO142" i="19"/>
  <c r="EN132" i="19"/>
  <c r="EE31" i="19"/>
  <c r="EE37" i="19" s="1"/>
  <c r="K207" i="19"/>
  <c r="J23" i="19"/>
  <c r="J291" i="19"/>
  <c r="K237" i="19" s="1"/>
  <c r="EK206" i="19"/>
  <c r="EE206" i="19"/>
  <c r="EE212" i="19" s="1"/>
  <c r="AR280" i="19" l="1"/>
  <c r="EC11" i="19"/>
  <c r="EC29" i="19" s="1"/>
  <c r="EC35" i="19" s="1"/>
  <c r="ED125" i="19"/>
  <c r="ED137" i="19" s="1"/>
  <c r="EC143" i="19"/>
  <c r="EF19" i="19"/>
  <c r="EF31" i="19" s="1"/>
  <c r="EF37" i="19" s="1"/>
  <c r="EF219" i="19"/>
  <c r="EG201" i="19"/>
  <c r="EG213" i="19" s="1"/>
  <c r="EE18" i="19"/>
  <c r="EF200" i="19"/>
  <c r="EF212" i="19" s="1"/>
  <c r="EE218" i="19"/>
  <c r="EC10" i="19"/>
  <c r="EC28" i="19" s="1"/>
  <c r="EC34" i="19" s="1"/>
  <c r="ED124" i="19"/>
  <c r="ED136" i="19" s="1"/>
  <c r="EC142" i="19"/>
  <c r="AS206" i="19"/>
  <c r="AS21" i="19"/>
  <c r="AS289" i="19"/>
  <c r="AP18" i="19"/>
  <c r="AP218" i="19"/>
  <c r="EG237" i="19"/>
  <c r="EO237" i="19"/>
  <c r="EH237" i="19"/>
  <c r="EP237" i="19"/>
  <c r="EI237" i="19"/>
  <c r="EJ237" i="19"/>
  <c r="EK237" i="19"/>
  <c r="EL237" i="19"/>
  <c r="EF237" i="19"/>
  <c r="EN237" i="19"/>
  <c r="K243" i="19"/>
  <c r="EE237" i="19"/>
  <c r="EM237" i="19"/>
  <c r="K236" i="19"/>
  <c r="AP25" i="19"/>
  <c r="AP293" i="19"/>
  <c r="EG13" i="19"/>
  <c r="EG145" i="19"/>
  <c r="EH127" i="19"/>
  <c r="EN21" i="19"/>
  <c r="EN289" i="19"/>
  <c r="EO271" i="19"/>
  <c r="EO283" i="19" s="1"/>
  <c r="EJ163" i="19"/>
  <c r="EL163" i="19"/>
  <c r="K162" i="19"/>
  <c r="EE163" i="19"/>
  <c r="EM163" i="19"/>
  <c r="EF163" i="19"/>
  <c r="EN163" i="19"/>
  <c r="K169" i="19"/>
  <c r="EG163" i="19"/>
  <c r="EO163" i="19"/>
  <c r="EK163" i="19"/>
  <c r="EP163" i="19"/>
  <c r="EH163" i="19"/>
  <c r="EI163" i="19"/>
  <c r="AP280" i="19"/>
  <c r="AP286" i="19" s="1"/>
  <c r="AS15" i="19"/>
  <c r="AS215" i="19"/>
  <c r="EF24" i="19"/>
  <c r="EG274" i="19"/>
  <c r="EG286" i="19" s="1"/>
  <c r="EF292" i="19"/>
  <c r="AS123" i="19"/>
  <c r="AS135" i="19" s="1"/>
  <c r="EN135" i="19"/>
  <c r="AP12" i="19"/>
  <c r="AP144" i="19"/>
  <c r="EF25" i="19"/>
  <c r="EG275" i="19"/>
  <c r="EG287" i="19" s="1"/>
  <c r="EF293" i="19"/>
  <c r="EN15" i="19"/>
  <c r="EO197" i="19"/>
  <c r="EO209" i="19" s="1"/>
  <c r="EN215" i="19"/>
  <c r="AP19" i="19"/>
  <c r="AP31" i="19" s="1"/>
  <c r="AP37" i="19" s="1"/>
  <c r="AP219" i="19"/>
  <c r="EF12" i="19"/>
  <c r="EG126" i="19"/>
  <c r="EG138" i="19" s="1"/>
  <c r="EF144" i="19"/>
  <c r="EE30" i="19"/>
  <c r="EE36" i="19" s="1"/>
  <c r="EE236" i="19" l="1"/>
  <c r="EE260" i="19" s="1"/>
  <c r="EE261" i="19"/>
  <c r="AS9" i="19"/>
  <c r="AS27" i="19" s="1"/>
  <c r="AS33" i="19" s="1"/>
  <c r="AS141" i="19"/>
  <c r="EH162" i="19"/>
  <c r="EH186" i="19" s="1"/>
  <c r="EH187" i="19"/>
  <c r="EM162" i="19"/>
  <c r="EM186" i="19" s="1"/>
  <c r="EM187" i="19"/>
  <c r="AQ127" i="19"/>
  <c r="AQ139" i="19" s="1"/>
  <c r="EH139" i="19"/>
  <c r="EL243" i="19"/>
  <c r="K242" i="19"/>
  <c r="EE243" i="19"/>
  <c r="EM243" i="19"/>
  <c r="EF243" i="19"/>
  <c r="EN243" i="19"/>
  <c r="EG243" i="19"/>
  <c r="EO243" i="19"/>
  <c r="EH243" i="19"/>
  <c r="EP243" i="19"/>
  <c r="EI243" i="19"/>
  <c r="EK243" i="19"/>
  <c r="EJ243" i="19"/>
  <c r="EH236" i="19"/>
  <c r="EH260" i="19" s="1"/>
  <c r="EH261" i="19"/>
  <c r="EF162" i="19"/>
  <c r="EF186" i="19" s="1"/>
  <c r="EF187" i="19"/>
  <c r="EG19" i="19"/>
  <c r="EG31" i="19" s="1"/>
  <c r="EG37" i="19" s="1"/>
  <c r="EH201" i="19"/>
  <c r="EG219" i="19"/>
  <c r="EN236" i="19"/>
  <c r="EN260" i="19" s="1"/>
  <c r="EN261" i="19"/>
  <c r="EF236" i="19"/>
  <c r="EF260" i="19" s="1"/>
  <c r="EF261" i="19"/>
  <c r="EG236" i="19"/>
  <c r="EG260" i="19" s="1"/>
  <c r="EG261" i="19"/>
  <c r="EO15" i="19"/>
  <c r="EP197" i="19"/>
  <c r="EP209" i="19" s="1"/>
  <c r="EO215" i="19"/>
  <c r="EK162" i="19"/>
  <c r="EK186" i="19" s="1"/>
  <c r="EK187" i="19"/>
  <c r="EO162" i="19"/>
  <c r="EO186" i="19" s="1"/>
  <c r="EO187" i="19"/>
  <c r="EL162" i="19"/>
  <c r="EL186" i="19" s="1"/>
  <c r="EL187" i="19"/>
  <c r="EL236" i="19"/>
  <c r="EL260" i="19" s="1"/>
  <c r="EL261" i="19"/>
  <c r="EP236" i="19"/>
  <c r="EP260" i="19" s="1"/>
  <c r="EP261" i="19"/>
  <c r="EP162" i="19"/>
  <c r="EP186" i="19" s="1"/>
  <c r="EP187" i="19"/>
  <c r="ED10" i="19"/>
  <c r="ED28" i="19" s="1"/>
  <c r="ED34" i="19" s="1"/>
  <c r="EE124" i="19"/>
  <c r="ED142" i="19"/>
  <c r="J136" i="19"/>
  <c r="EG25" i="19"/>
  <c r="EH275" i="19"/>
  <c r="EG293" i="19"/>
  <c r="EG162" i="19"/>
  <c r="EG186" i="19" s="1"/>
  <c r="EG187" i="19"/>
  <c r="EJ162" i="19"/>
  <c r="EJ186" i="19" s="1"/>
  <c r="EJ187" i="19"/>
  <c r="EK236" i="19"/>
  <c r="EK260" i="19" s="1"/>
  <c r="EK261" i="19"/>
  <c r="ED11" i="19"/>
  <c r="ED29" i="19" s="1"/>
  <c r="ED35" i="19" s="1"/>
  <c r="EE125" i="19"/>
  <c r="ED143" i="19"/>
  <c r="J137" i="19"/>
  <c r="EI162" i="19"/>
  <c r="EI186" i="19" s="1"/>
  <c r="EI187" i="19"/>
  <c r="EE162" i="19"/>
  <c r="EE186" i="19" s="1"/>
  <c r="EE187" i="19"/>
  <c r="EG24" i="19"/>
  <c r="EG292" i="19"/>
  <c r="EH274" i="19"/>
  <c r="EG169" i="19"/>
  <c r="EO169" i="19"/>
  <c r="EI169" i="19"/>
  <c r="EJ169" i="19"/>
  <c r="EK169" i="19"/>
  <c r="EL169" i="19"/>
  <c r="EM169" i="19"/>
  <c r="EN169" i="19"/>
  <c r="EP169" i="19"/>
  <c r="EF169" i="19"/>
  <c r="K168" i="19"/>
  <c r="EE169" i="19"/>
  <c r="EH169" i="19"/>
  <c r="EO21" i="19"/>
  <c r="EO289" i="19"/>
  <c r="EP271" i="19"/>
  <c r="EP283" i="19" s="1"/>
  <c r="EJ236" i="19"/>
  <c r="EJ260" i="19" s="1"/>
  <c r="EJ261" i="19"/>
  <c r="EF18" i="19"/>
  <c r="EG200" i="19"/>
  <c r="EG212" i="19" s="1"/>
  <c r="EF218" i="19"/>
  <c r="EN9" i="19"/>
  <c r="EN27" i="19" s="1"/>
  <c r="EN33" i="19" s="1"/>
  <c r="EO123" i="19"/>
  <c r="EO135" i="19" s="1"/>
  <c r="EN141" i="19"/>
  <c r="EG12" i="19"/>
  <c r="EH126" i="19"/>
  <c r="EG144" i="19"/>
  <c r="EO236" i="19"/>
  <c r="EO260" i="19" s="1"/>
  <c r="EO261" i="19"/>
  <c r="EF30" i="19"/>
  <c r="EF36" i="19" s="1"/>
  <c r="AP24" i="19"/>
  <c r="AP30" i="19" s="1"/>
  <c r="AP36" i="19" s="1"/>
  <c r="AP292" i="19"/>
  <c r="EN162" i="19"/>
  <c r="EN186" i="19" s="1"/>
  <c r="EN187" i="19"/>
  <c r="EM236" i="19"/>
  <c r="EM260" i="19" s="1"/>
  <c r="EM261" i="19"/>
  <c r="EI236" i="19"/>
  <c r="EI260" i="19" s="1"/>
  <c r="EI261" i="19"/>
  <c r="EI168" i="19" l="1"/>
  <c r="EI192" i="19" s="1"/>
  <c r="EI193" i="19"/>
  <c r="AP186" i="19"/>
  <c r="K186" i="19"/>
  <c r="EE204" i="19"/>
  <c r="EE210" i="19" s="1"/>
  <c r="AR260" i="19"/>
  <c r="J10" i="19"/>
  <c r="J28" i="19" s="1"/>
  <c r="J142" i="19"/>
  <c r="AS261" i="19"/>
  <c r="EN279" i="19"/>
  <c r="AQ260" i="19"/>
  <c r="EN242" i="19"/>
  <c r="EN266" i="19" s="1"/>
  <c r="EN267" i="19"/>
  <c r="EO168" i="19"/>
  <c r="EO192" i="19" s="1"/>
  <c r="EO193" i="19"/>
  <c r="EF242" i="19"/>
  <c r="EF266" i="19" s="1"/>
  <c r="EF278" i="19" s="1"/>
  <c r="EF267" i="19"/>
  <c r="EP168" i="19"/>
  <c r="EP192" i="19" s="1"/>
  <c r="EP193" i="19"/>
  <c r="EG168" i="19"/>
  <c r="EG192" i="19" s="1"/>
  <c r="EG193" i="19"/>
  <c r="EI204" i="19"/>
  <c r="K124" i="19"/>
  <c r="AP124" i="19"/>
  <c r="EK242" i="19"/>
  <c r="EK266" i="19" s="1"/>
  <c r="EK267" i="19"/>
  <c r="EM242" i="19"/>
  <c r="EM266" i="19" s="1"/>
  <c r="EM278" i="19" s="1"/>
  <c r="EM267" i="19"/>
  <c r="AQ187" i="19"/>
  <c r="EH205" i="19"/>
  <c r="EI205" i="19"/>
  <c r="EJ242" i="19"/>
  <c r="EJ266" i="19" s="1"/>
  <c r="EJ267" i="19"/>
  <c r="EJ279" i="19" s="1"/>
  <c r="EJ278" i="19"/>
  <c r="EP21" i="19"/>
  <c r="K283" i="19"/>
  <c r="EP289" i="19"/>
  <c r="EQ271" i="19"/>
  <c r="EN168" i="19"/>
  <c r="EN192" i="19" s="1"/>
  <c r="AS192" i="19" s="1"/>
  <c r="AS168" i="19" s="1"/>
  <c r="EN193" i="19"/>
  <c r="AS193" i="19" s="1"/>
  <c r="AS169" i="19" s="1"/>
  <c r="J11" i="19"/>
  <c r="J29" i="19" s="1"/>
  <c r="J143" i="19"/>
  <c r="K89" i="19" s="1"/>
  <c r="EG205" i="19"/>
  <c r="EG279" i="19"/>
  <c r="AQ201" i="19"/>
  <c r="AQ213" i="19" s="1"/>
  <c r="EH213" i="19"/>
  <c r="EI242" i="19"/>
  <c r="EI266" i="19" s="1"/>
  <c r="EI267" i="19"/>
  <c r="EE242" i="19"/>
  <c r="EE266" i="19" s="1"/>
  <c r="EE267" i="19"/>
  <c r="AQ186" i="19"/>
  <c r="EH204" i="19"/>
  <c r="AQ126" i="19"/>
  <c r="AQ138" i="19" s="1"/>
  <c r="EH138" i="19"/>
  <c r="AS186" i="19"/>
  <c r="EO9" i="19"/>
  <c r="EO27" i="19" s="1"/>
  <c r="EO33" i="19" s="1"/>
  <c r="EP123" i="19"/>
  <c r="EP135" i="19" s="1"/>
  <c r="EO141" i="19"/>
  <c r="EM168" i="19"/>
  <c r="EM192" i="19" s="1"/>
  <c r="EM204" i="19" s="1"/>
  <c r="EM193" i="19"/>
  <c r="EM205" i="19" s="1"/>
  <c r="AQ274" i="19"/>
  <c r="AQ286" i="19" s="1"/>
  <c r="EH286" i="19"/>
  <c r="EG204" i="19"/>
  <c r="EP205" i="19"/>
  <c r="EO205" i="19"/>
  <c r="EG278" i="19"/>
  <c r="EP242" i="19"/>
  <c r="EP266" i="19" s="1"/>
  <c r="EP267" i="19"/>
  <c r="EF168" i="19"/>
  <c r="EF192" i="19" s="1"/>
  <c r="EF193" i="19"/>
  <c r="EP15" i="19"/>
  <c r="EQ197" i="19"/>
  <c r="EP215" i="19"/>
  <c r="K209" i="19"/>
  <c r="EL168" i="19"/>
  <c r="EL192" i="19" s="1"/>
  <c r="EL204" i="19" s="1"/>
  <c r="EL193" i="19"/>
  <c r="EL205" i="19" s="1"/>
  <c r="AP125" i="19"/>
  <c r="K125" i="19"/>
  <c r="EP204" i="19"/>
  <c r="EO204" i="19"/>
  <c r="EF279" i="19"/>
  <c r="EF205" i="19"/>
  <c r="EH242" i="19"/>
  <c r="EH266" i="19" s="1"/>
  <c r="AQ266" i="19" s="1"/>
  <c r="AQ242" i="19" s="1"/>
  <c r="EH267" i="19"/>
  <c r="AQ267" i="19" s="1"/>
  <c r="AQ243" i="19" s="1"/>
  <c r="EL242" i="19"/>
  <c r="EL266" i="19" s="1"/>
  <c r="EL267" i="19"/>
  <c r="EL279" i="19" s="1"/>
  <c r="AS187" i="19"/>
  <c r="EN205" i="19"/>
  <c r="EJ205" i="19"/>
  <c r="AS260" i="19"/>
  <c r="EN278" i="19"/>
  <c r="EI278" i="19"/>
  <c r="EH168" i="19"/>
  <c r="EH192" i="19" s="1"/>
  <c r="EH193" i="19"/>
  <c r="EK168" i="19"/>
  <c r="EK192" i="19" s="1"/>
  <c r="EK193" i="19"/>
  <c r="AR193" i="19" s="1"/>
  <c r="AR169" i="19" s="1"/>
  <c r="AQ275" i="19"/>
  <c r="AQ287" i="19" s="1"/>
  <c r="EH287" i="19"/>
  <c r="EP279" i="19"/>
  <c r="AR187" i="19"/>
  <c r="EF204" i="19"/>
  <c r="EO242" i="19"/>
  <c r="EO266" i="19" s="1"/>
  <c r="EO278" i="19" s="1"/>
  <c r="EO267" i="19"/>
  <c r="EO279" i="19" s="1"/>
  <c r="EH13" i="19"/>
  <c r="EI127" i="19"/>
  <c r="EI139" i="19" s="1"/>
  <c r="EH145" i="19"/>
  <c r="AP261" i="19"/>
  <c r="K261" i="19"/>
  <c r="EE279" i="19"/>
  <c r="EE285" i="19" s="1"/>
  <c r="EL278" i="19"/>
  <c r="EI279" i="19"/>
  <c r="EM279" i="19"/>
  <c r="EG18" i="19"/>
  <c r="EG30" i="19" s="1"/>
  <c r="EG36" i="19" s="1"/>
  <c r="EG218" i="19"/>
  <c r="EH200" i="19"/>
  <c r="EE168" i="19"/>
  <c r="EE192" i="19" s="1"/>
  <c r="EE193" i="19"/>
  <c r="EJ168" i="19"/>
  <c r="EJ192" i="19" s="1"/>
  <c r="EJ204" i="19" s="1"/>
  <c r="EJ193" i="19"/>
  <c r="AP187" i="19"/>
  <c r="K187" i="19"/>
  <c r="AR261" i="19"/>
  <c r="EK279" i="19"/>
  <c r="EP278" i="19"/>
  <c r="AR186" i="19"/>
  <c r="EK204" i="19"/>
  <c r="AQ261" i="19"/>
  <c r="EH279" i="19"/>
  <c r="EG242" i="19"/>
  <c r="EG266" i="19" s="1"/>
  <c r="EG267" i="19"/>
  <c r="AQ13" i="19"/>
  <c r="AQ145" i="19"/>
  <c r="AP260" i="19"/>
  <c r="K260" i="19"/>
  <c r="EE278" i="19"/>
  <c r="EE284" i="19" s="1"/>
  <c r="EE16" i="19" l="1"/>
  <c r="EF198" i="19"/>
  <c r="EF210" i="19" s="1"/>
  <c r="EE216" i="19"/>
  <c r="AP236" i="19"/>
  <c r="AR162" i="19"/>
  <c r="EH31" i="19"/>
  <c r="EH37" i="19" s="1"/>
  <c r="EH25" i="19"/>
  <c r="EI275" i="19"/>
  <c r="EI287" i="19" s="1"/>
  <c r="EH293" i="19"/>
  <c r="AS236" i="19"/>
  <c r="EH12" i="19"/>
  <c r="EH144" i="19"/>
  <c r="EI126" i="19"/>
  <c r="EI138" i="19" s="1"/>
  <c r="EH19" i="19"/>
  <c r="EI201" i="19"/>
  <c r="EI213" i="19" s="1"/>
  <c r="EH219" i="19"/>
  <c r="EH278" i="19"/>
  <c r="AR236" i="19"/>
  <c r="AP193" i="19"/>
  <c r="AP169" i="19" s="1"/>
  <c r="K193" i="19"/>
  <c r="K205" i="19" s="1"/>
  <c r="K15" i="19"/>
  <c r="K215" i="19"/>
  <c r="EP9" i="19"/>
  <c r="EP27" i="19" s="1"/>
  <c r="EP33" i="19" s="1"/>
  <c r="EQ123" i="19"/>
  <c r="K135" i="19"/>
  <c r="EP141" i="19"/>
  <c r="AQ163" i="19"/>
  <c r="AQ205" i="19"/>
  <c r="AQ25" i="19"/>
  <c r="AQ293" i="19"/>
  <c r="AQ12" i="19"/>
  <c r="AQ144" i="19"/>
  <c r="AQ31" i="19"/>
  <c r="AQ37" i="19" s="1"/>
  <c r="AR237" i="19"/>
  <c r="EH212" i="19"/>
  <c r="AQ200" i="19"/>
  <c r="AQ212" i="19" s="1"/>
  <c r="EE23" i="19"/>
  <c r="EE291" i="19"/>
  <c r="EF273" i="19"/>
  <c r="EF285" i="19" s="1"/>
  <c r="AR192" i="19"/>
  <c r="AR168" i="19" s="1"/>
  <c r="AS163" i="19"/>
  <c r="AS205" i="19"/>
  <c r="AT197" i="19"/>
  <c r="AT209" i="19" s="1"/>
  <c r="EQ209" i="19"/>
  <c r="L197" i="19"/>
  <c r="AQ162" i="19"/>
  <c r="AQ204" i="19"/>
  <c r="K21" i="19"/>
  <c r="K289" i="19"/>
  <c r="AS237" i="19"/>
  <c r="AP162" i="19"/>
  <c r="AQ193" i="19"/>
  <c r="AQ169" i="19" s="1"/>
  <c r="AP267" i="19"/>
  <c r="AP243" i="19" s="1"/>
  <c r="K267" i="19"/>
  <c r="K279" i="19" s="1"/>
  <c r="AP237" i="19"/>
  <c r="EK205" i="19"/>
  <c r="AQ192" i="19"/>
  <c r="AQ168" i="19" s="1"/>
  <c r="EH24" i="19"/>
  <c r="EI274" i="19"/>
  <c r="EI286" i="19" s="1"/>
  <c r="EH292" i="19"/>
  <c r="EN204" i="19"/>
  <c r="AP266" i="19"/>
  <c r="AP242" i="19" s="1"/>
  <c r="K266" i="19"/>
  <c r="K278" i="19" s="1"/>
  <c r="EG89" i="19"/>
  <c r="EO89" i="19"/>
  <c r="EH89" i="19"/>
  <c r="EP89" i="19"/>
  <c r="EI89" i="19"/>
  <c r="EJ89" i="19"/>
  <c r="EK89" i="19"/>
  <c r="EN89" i="19"/>
  <c r="K95" i="19"/>
  <c r="EE89" i="19"/>
  <c r="EF89" i="19"/>
  <c r="K88" i="19"/>
  <c r="EL89" i="19"/>
  <c r="EM89" i="19"/>
  <c r="AR267" i="19"/>
  <c r="AR243" i="19" s="1"/>
  <c r="AQ19" i="19"/>
  <c r="AQ219" i="19"/>
  <c r="AT271" i="19"/>
  <c r="AT283" i="19" s="1"/>
  <c r="L271" i="19"/>
  <c r="EQ283" i="19"/>
  <c r="AQ236" i="19"/>
  <c r="AQ278" i="19"/>
  <c r="K192" i="19"/>
  <c r="K204" i="19" s="1"/>
  <c r="AP192" i="19"/>
  <c r="AP168" i="19" s="1"/>
  <c r="EE205" i="19"/>
  <c r="EE211" i="19" s="1"/>
  <c r="EE22" i="19"/>
  <c r="EE290" i="19"/>
  <c r="EF272" i="19"/>
  <c r="EF284" i="19" s="1"/>
  <c r="AQ237" i="19"/>
  <c r="AQ279" i="19"/>
  <c r="AP163" i="19"/>
  <c r="AP205" i="19"/>
  <c r="AP211" i="19" s="1"/>
  <c r="AR163" i="19"/>
  <c r="AR205" i="19"/>
  <c r="AQ24" i="19"/>
  <c r="AQ292" i="19"/>
  <c r="AS162" i="19"/>
  <c r="AS204" i="19"/>
  <c r="J35" i="19"/>
  <c r="FG7" i="25"/>
  <c r="AR266" i="19"/>
  <c r="AR242" i="19" s="1"/>
  <c r="AS267" i="19"/>
  <c r="AS243" i="19" s="1"/>
  <c r="J34" i="19"/>
  <c r="FG6" i="25"/>
  <c r="FG10" i="25" s="1"/>
  <c r="EI13" i="19"/>
  <c r="EJ127" i="19"/>
  <c r="EJ139" i="19" s="1"/>
  <c r="EI145" i="19"/>
  <c r="AS266" i="19"/>
  <c r="AS242" i="19" s="1"/>
  <c r="EK278" i="19"/>
  <c r="EL88" i="19" l="1"/>
  <c r="EL112" i="19" s="1"/>
  <c r="EL113" i="19"/>
  <c r="EI12" i="19"/>
  <c r="EJ126" i="19"/>
  <c r="EJ138" i="19" s="1"/>
  <c r="EI144" i="19"/>
  <c r="EP88" i="19"/>
  <c r="EP112" i="19" s="1"/>
  <c r="EP113" i="19"/>
  <c r="EF88" i="19"/>
  <c r="EF112" i="19" s="1"/>
  <c r="EF113" i="19"/>
  <c r="EH88" i="19"/>
  <c r="EH112" i="19" s="1"/>
  <c r="EH113" i="19"/>
  <c r="EF23" i="19"/>
  <c r="EG273" i="19"/>
  <c r="EG285" i="19" s="1"/>
  <c r="EF291" i="19"/>
  <c r="AR278" i="19"/>
  <c r="EI24" i="19"/>
  <c r="EJ274" i="19"/>
  <c r="EJ286" i="19" s="1"/>
  <c r="EI292" i="19"/>
  <c r="AR204" i="19"/>
  <c r="AT21" i="19"/>
  <c r="AT289" i="19"/>
  <c r="EE88" i="19"/>
  <c r="EE112" i="19" s="1"/>
  <c r="EE113" i="19"/>
  <c r="EO88" i="19"/>
  <c r="EO112" i="19" s="1"/>
  <c r="EO113" i="19"/>
  <c r="K9" i="19"/>
  <c r="K27" i="19" s="1"/>
  <c r="K33" i="19" s="1"/>
  <c r="K141" i="19"/>
  <c r="AS278" i="19"/>
  <c r="AP278" i="19"/>
  <c r="AP284" i="19" s="1"/>
  <c r="EI88" i="19"/>
  <c r="EI112" i="19" s="1"/>
  <c r="EI113" i="19"/>
  <c r="EQ21" i="19"/>
  <c r="ER271" i="19"/>
  <c r="ER283" i="19" s="1"/>
  <c r="EQ289" i="19"/>
  <c r="EE17" i="19"/>
  <c r="EF199" i="19"/>
  <c r="EF211" i="19" s="1"/>
  <c r="EE217" i="19"/>
  <c r="EL95" i="19"/>
  <c r="K94" i="19"/>
  <c r="EE95" i="19"/>
  <c r="EM95" i="19"/>
  <c r="EF95" i="19"/>
  <c r="EN95" i="19"/>
  <c r="EG95" i="19"/>
  <c r="EO95" i="19"/>
  <c r="EH95" i="19"/>
  <c r="EP95" i="19"/>
  <c r="EK95" i="19"/>
  <c r="EI95" i="19"/>
  <c r="EJ95" i="19"/>
  <c r="EG88" i="19"/>
  <c r="EG112" i="19" s="1"/>
  <c r="EG113" i="19"/>
  <c r="AP204" i="19"/>
  <c r="AP210" i="19" s="1"/>
  <c r="AQ30" i="19"/>
  <c r="AQ36" i="19" s="1"/>
  <c r="AT123" i="19"/>
  <c r="AT135" i="19" s="1"/>
  <c r="EQ135" i="19"/>
  <c r="L123" i="19"/>
  <c r="AP17" i="19"/>
  <c r="AP217" i="19"/>
  <c r="AP279" i="19"/>
  <c r="AP285" i="19" s="1"/>
  <c r="EQ15" i="19"/>
  <c r="ER197" i="19"/>
  <c r="ER209" i="19" s="1"/>
  <c r="EQ215" i="19"/>
  <c r="AQ18" i="19"/>
  <c r="AQ218" i="19"/>
  <c r="EK88" i="19"/>
  <c r="EK112" i="19" s="1"/>
  <c r="EK113" i="19"/>
  <c r="AS279" i="19"/>
  <c r="AT15" i="19"/>
  <c r="AT215" i="19"/>
  <c r="EH18" i="19"/>
  <c r="EH30" i="19" s="1"/>
  <c r="EH36" i="19" s="1"/>
  <c r="EH218" i="19"/>
  <c r="EI200" i="19"/>
  <c r="EI212" i="19" s="1"/>
  <c r="EI19" i="19"/>
  <c r="EJ201" i="19"/>
  <c r="EJ213" i="19" s="1"/>
  <c r="EI219" i="19"/>
  <c r="EI25" i="19"/>
  <c r="EJ275" i="19"/>
  <c r="EJ287" i="19" s="1"/>
  <c r="EI293" i="19"/>
  <c r="EF16" i="19"/>
  <c r="EG198" i="19"/>
  <c r="EG210" i="19" s="1"/>
  <c r="EF216" i="19"/>
  <c r="EF22" i="19"/>
  <c r="EF290" i="19"/>
  <c r="EG272" i="19"/>
  <c r="EG284" i="19" s="1"/>
  <c r="EJ13" i="19"/>
  <c r="EK127" i="19"/>
  <c r="EJ145" i="19"/>
  <c r="EN88" i="19"/>
  <c r="EN112" i="19" s="1"/>
  <c r="EN113" i="19"/>
  <c r="EI31" i="19"/>
  <c r="EI37" i="19" s="1"/>
  <c r="EM88" i="19"/>
  <c r="EM112" i="19" s="1"/>
  <c r="EM113" i="19"/>
  <c r="EJ88" i="19"/>
  <c r="EJ112" i="19" s="1"/>
  <c r="EJ113" i="19"/>
  <c r="AR279" i="19"/>
  <c r="EJ130" i="19" l="1"/>
  <c r="EL94" i="19"/>
  <c r="EL118" i="19" s="1"/>
  <c r="EL119" i="19"/>
  <c r="EK139" i="19"/>
  <c r="AR127" i="19"/>
  <c r="AR139" i="19" s="1"/>
  <c r="AT9" i="19"/>
  <c r="AT27" i="19" s="1"/>
  <c r="AT33" i="19" s="1"/>
  <c r="AT141" i="19"/>
  <c r="EP94" i="19"/>
  <c r="EP118" i="19" s="1"/>
  <c r="EP130" i="19" s="1"/>
  <c r="EP119" i="19"/>
  <c r="AP113" i="19"/>
  <c r="K113" i="19"/>
  <c r="ER15" i="19"/>
  <c r="ER215" i="19"/>
  <c r="ES197" i="19"/>
  <c r="ES209" i="19" s="1"/>
  <c r="EG22" i="19"/>
  <c r="EH272" i="19"/>
  <c r="EG290" i="19"/>
  <c r="AP16" i="19"/>
  <c r="AP216" i="19"/>
  <c r="EO94" i="19"/>
  <c r="EO118" i="19" s="1"/>
  <c r="EO130" i="19" s="1"/>
  <c r="EO119" i="19"/>
  <c r="AP22" i="19"/>
  <c r="AP290" i="19"/>
  <c r="EH94" i="19"/>
  <c r="EH118" i="19" s="1"/>
  <c r="EH119" i="19"/>
  <c r="EM130" i="19"/>
  <c r="AP23" i="19"/>
  <c r="AP291" i="19"/>
  <c r="EG94" i="19"/>
  <c r="EG118" i="19" s="1"/>
  <c r="EG130" i="19" s="1"/>
  <c r="EG119" i="19"/>
  <c r="EG131" i="19" s="1"/>
  <c r="EF17" i="19"/>
  <c r="EG199" i="19"/>
  <c r="EG211" i="19" s="1"/>
  <c r="EF217" i="19"/>
  <c r="EG23" i="19"/>
  <c r="EH273" i="19"/>
  <c r="EG291" i="19"/>
  <c r="EP131" i="19"/>
  <c r="EJ19" i="19"/>
  <c r="EJ31" i="19" s="1"/>
  <c r="EJ37" i="19" s="1"/>
  <c r="EK201" i="19"/>
  <c r="EJ219" i="19"/>
  <c r="AR113" i="19"/>
  <c r="EK131" i="19"/>
  <c r="EN94" i="19"/>
  <c r="EN118" i="19" s="1"/>
  <c r="EN119" i="19"/>
  <c r="AS119" i="19" s="1"/>
  <c r="AS95" i="19" s="1"/>
  <c r="EJ12" i="19"/>
  <c r="EJ144" i="19"/>
  <c r="EK126" i="19"/>
  <c r="EM131" i="19"/>
  <c r="AS113" i="19"/>
  <c r="AR112" i="19"/>
  <c r="EJ94" i="19"/>
  <c r="EJ118" i="19" s="1"/>
  <c r="EJ119" i="19"/>
  <c r="EJ131" i="19" s="1"/>
  <c r="EF94" i="19"/>
  <c r="EF118" i="19" s="1"/>
  <c r="EF130" i="19" s="1"/>
  <c r="EF119" i="19"/>
  <c r="AQ113" i="19"/>
  <c r="EJ25" i="19"/>
  <c r="EK275" i="19"/>
  <c r="EJ293" i="19"/>
  <c r="EI130" i="19"/>
  <c r="AS112" i="19"/>
  <c r="EN130" i="19"/>
  <c r="EG16" i="19"/>
  <c r="EH198" i="19"/>
  <c r="EG216" i="19"/>
  <c r="EI18" i="19"/>
  <c r="EI30" i="19" s="1"/>
  <c r="EI36" i="19" s="1"/>
  <c r="EJ200" i="19"/>
  <c r="EJ212" i="19" s="1"/>
  <c r="EI218" i="19"/>
  <c r="EI94" i="19"/>
  <c r="EI118" i="19" s="1"/>
  <c r="EI119" i="19"/>
  <c r="EI131" i="19" s="1"/>
  <c r="EM94" i="19"/>
  <c r="EM118" i="19" s="1"/>
  <c r="EM119" i="19"/>
  <c r="ER21" i="19"/>
  <c r="ER289" i="19"/>
  <c r="ES271" i="19"/>
  <c r="ES283" i="19" s="1"/>
  <c r="EO131" i="19"/>
  <c r="EJ24" i="19"/>
  <c r="EK274" i="19"/>
  <c r="EJ292" i="19"/>
  <c r="AQ112" i="19"/>
  <c r="EH130" i="19"/>
  <c r="EL131" i="19"/>
  <c r="AP112" i="19"/>
  <c r="K112" i="19"/>
  <c r="EE130" i="19"/>
  <c r="EE136" i="19" s="1"/>
  <c r="EQ9" i="19"/>
  <c r="EQ27" i="19" s="1"/>
  <c r="EQ33" i="19" s="1"/>
  <c r="ER123" i="19"/>
  <c r="ER135" i="19" s="1"/>
  <c r="EQ141" i="19"/>
  <c r="EK94" i="19"/>
  <c r="EK118" i="19" s="1"/>
  <c r="AR118" i="19" s="1"/>
  <c r="AR94" i="19" s="1"/>
  <c r="EK119" i="19"/>
  <c r="AR119" i="19" s="1"/>
  <c r="AR95" i="19" s="1"/>
  <c r="EE94" i="19"/>
  <c r="EE118" i="19" s="1"/>
  <c r="EE119" i="19"/>
  <c r="EF131" i="19"/>
  <c r="EL130" i="19"/>
  <c r="EE10" i="19" l="1"/>
  <c r="EE28" i="19" s="1"/>
  <c r="EE34" i="19" s="1"/>
  <c r="EF124" i="19"/>
  <c r="EF136" i="19" s="1"/>
  <c r="EE142" i="19"/>
  <c r="AS88" i="19"/>
  <c r="AR89" i="19"/>
  <c r="AR131" i="19"/>
  <c r="AQ89" i="19"/>
  <c r="K119" i="19"/>
  <c r="K131" i="19" s="1"/>
  <c r="AP119" i="19"/>
  <c r="AP95" i="19" s="1"/>
  <c r="EG17" i="19"/>
  <c r="EH199" i="19"/>
  <c r="EG217" i="19"/>
  <c r="K118" i="19"/>
  <c r="K130" i="19" s="1"/>
  <c r="AP118" i="19"/>
  <c r="AP94" i="19" s="1"/>
  <c r="AP88" i="19"/>
  <c r="AP130" i="19"/>
  <c r="AP136" i="19" s="1"/>
  <c r="ES21" i="19"/>
  <c r="ES289" i="19"/>
  <c r="ET271" i="19"/>
  <c r="EJ18" i="19"/>
  <c r="EK200" i="19"/>
  <c r="EJ218" i="19"/>
  <c r="AR201" i="19"/>
  <c r="AR213" i="19" s="1"/>
  <c r="EK213" i="19"/>
  <c r="AQ118" i="19"/>
  <c r="AQ94" i="19" s="1"/>
  <c r="EE131" i="19"/>
  <c r="EE137" i="19" s="1"/>
  <c r="AR13" i="19"/>
  <c r="AR145" i="19"/>
  <c r="EK13" i="19"/>
  <c r="EL127" i="19"/>
  <c r="EL139" i="19" s="1"/>
  <c r="EK145" i="19"/>
  <c r="EK138" i="19"/>
  <c r="AR126" i="19"/>
  <c r="AR138" i="19" s="1"/>
  <c r="AR275" i="19"/>
  <c r="AR287" i="19" s="1"/>
  <c r="EK287" i="19"/>
  <c r="EK130" i="19"/>
  <c r="AP89" i="19"/>
  <c r="AP131" i="19"/>
  <c r="AP137" i="19" s="1"/>
  <c r="AQ88" i="19"/>
  <c r="AQ130" i="19"/>
  <c r="AQ198" i="19"/>
  <c r="AQ210" i="19" s="1"/>
  <c r="EH210" i="19"/>
  <c r="AR88" i="19"/>
  <c r="AR130" i="19"/>
  <c r="AS118" i="19"/>
  <c r="AS94" i="19" s="1"/>
  <c r="ES15" i="19"/>
  <c r="ES215" i="19"/>
  <c r="ET197" i="19"/>
  <c r="AR274" i="19"/>
  <c r="AR286" i="19" s="1"/>
  <c r="EK286" i="19"/>
  <c r="AS89" i="19"/>
  <c r="AS131" i="19"/>
  <c r="AQ119" i="19"/>
  <c r="AQ95" i="19" s="1"/>
  <c r="EJ30" i="19"/>
  <c r="EJ36" i="19" s="1"/>
  <c r="EH284" i="19"/>
  <c r="AQ272" i="19"/>
  <c r="AQ284" i="19" s="1"/>
  <c r="ER9" i="19"/>
  <c r="ER27" i="19" s="1"/>
  <c r="ER33" i="19" s="1"/>
  <c r="ES123" i="19"/>
  <c r="ES135" i="19" s="1"/>
  <c r="ER141" i="19"/>
  <c r="EH131" i="19"/>
  <c r="EN131" i="19"/>
  <c r="AQ273" i="19"/>
  <c r="AQ285" i="19" s="1"/>
  <c r="EH285" i="19"/>
  <c r="ES9" i="19" l="1"/>
  <c r="ES27" i="19" s="1"/>
  <c r="ES33" i="19" s="1"/>
  <c r="ET123" i="19"/>
  <c r="ES141" i="19"/>
  <c r="EK24" i="19"/>
  <c r="EL274" i="19"/>
  <c r="EL286" i="19" s="1"/>
  <c r="EK292" i="19"/>
  <c r="EH16" i="19"/>
  <c r="EI198" i="19"/>
  <c r="EI210" i="19" s="1"/>
  <c r="EH216" i="19"/>
  <c r="EK25" i="19"/>
  <c r="EL275" i="19"/>
  <c r="EL287" i="19" s="1"/>
  <c r="EK293" i="19"/>
  <c r="AR24" i="19"/>
  <c r="AR292" i="19"/>
  <c r="AQ16" i="19"/>
  <c r="AQ216" i="19"/>
  <c r="AR25" i="19"/>
  <c r="AR293" i="19"/>
  <c r="AU271" i="19"/>
  <c r="AU283" i="19" s="1"/>
  <c r="ET283" i="19"/>
  <c r="AQ199" i="19"/>
  <c r="AQ211" i="19" s="1"/>
  <c r="EH211" i="19"/>
  <c r="AS130" i="19"/>
  <c r="AQ23" i="19"/>
  <c r="AQ291" i="19"/>
  <c r="AR12" i="19"/>
  <c r="AR144" i="19"/>
  <c r="EE11" i="19"/>
  <c r="EE29" i="19" s="1"/>
  <c r="EE35" i="19" s="1"/>
  <c r="EF125" i="19"/>
  <c r="EF137" i="19" s="1"/>
  <c r="EE143" i="19"/>
  <c r="AR200" i="19"/>
  <c r="AR212" i="19" s="1"/>
  <c r="EK212" i="19"/>
  <c r="AQ22" i="19"/>
  <c r="AQ290" i="19"/>
  <c r="AU197" i="19"/>
  <c r="AU209" i="19" s="1"/>
  <c r="ET209" i="19"/>
  <c r="EH23" i="19"/>
  <c r="EI273" i="19"/>
  <c r="EI285" i="19" s="1"/>
  <c r="EH291" i="19"/>
  <c r="EH22" i="19"/>
  <c r="EI272" i="19"/>
  <c r="EI284" i="19" s="1"/>
  <c r="EH290" i="19"/>
  <c r="EK12" i="19"/>
  <c r="EL126" i="19"/>
  <c r="EL138" i="19" s="1"/>
  <c r="EK144" i="19"/>
  <c r="EF10" i="19"/>
  <c r="EF28" i="19" s="1"/>
  <c r="EF34" i="19" s="1"/>
  <c r="EG124" i="19"/>
  <c r="EG136" i="19" s="1"/>
  <c r="EF142" i="19"/>
  <c r="EK19" i="19"/>
  <c r="EK31" i="19" s="1"/>
  <c r="EK37" i="19" s="1"/>
  <c r="EL201" i="19"/>
  <c r="EL213" i="19" s="1"/>
  <c r="EK219" i="19"/>
  <c r="AP10" i="19"/>
  <c r="AP28" i="19" s="1"/>
  <c r="AP34" i="19" s="1"/>
  <c r="AP142" i="19"/>
  <c r="AP11" i="19"/>
  <c r="AP29" i="19" s="1"/>
  <c r="AP35" i="19" s="1"/>
  <c r="AP143" i="19"/>
  <c r="EL13" i="19"/>
  <c r="EM127" i="19"/>
  <c r="EM139" i="19" s="1"/>
  <c r="EL145" i="19"/>
  <c r="AR19" i="19"/>
  <c r="AR31" i="19" s="1"/>
  <c r="AR37" i="19" s="1"/>
  <c r="AR219" i="19"/>
  <c r="AQ131" i="19"/>
  <c r="EI23" i="19" l="1"/>
  <c r="EJ273" i="19"/>
  <c r="EJ285" i="19" s="1"/>
  <c r="EI291" i="19"/>
  <c r="EH17" i="19"/>
  <c r="EH217" i="19"/>
  <c r="EI199" i="19"/>
  <c r="EI211" i="19" s="1"/>
  <c r="ET21" i="19"/>
  <c r="EU271" i="19"/>
  <c r="EU283" i="19" s="1"/>
  <c r="ET289" i="19"/>
  <c r="EL24" i="19"/>
  <c r="EL292" i="19"/>
  <c r="EM274" i="19"/>
  <c r="EM286" i="19" s="1"/>
  <c r="AU15" i="19"/>
  <c r="AU215" i="19"/>
  <c r="AU21" i="19"/>
  <c r="AU289" i="19"/>
  <c r="EL25" i="19"/>
  <c r="EM275" i="19"/>
  <c r="EM287" i="19" s="1"/>
  <c r="EL293" i="19"/>
  <c r="AQ17" i="19"/>
  <c r="AQ217" i="19"/>
  <c r="EL12" i="19"/>
  <c r="EM126" i="19"/>
  <c r="EM138" i="19" s="1"/>
  <c r="EL144" i="19"/>
  <c r="EM13" i="19"/>
  <c r="EN127" i="19"/>
  <c r="EM145" i="19"/>
  <c r="EI22" i="19"/>
  <c r="EJ272" i="19"/>
  <c r="EJ284" i="19" s="1"/>
  <c r="EI290" i="19"/>
  <c r="AU123" i="19"/>
  <c r="AU135" i="19" s="1"/>
  <c r="ET135" i="19"/>
  <c r="EL19" i="19"/>
  <c r="EM201" i="19"/>
  <c r="EM213" i="19" s="1"/>
  <c r="EL219" i="19"/>
  <c r="EK18" i="19"/>
  <c r="EK30" i="19" s="1"/>
  <c r="EK36" i="19" s="1"/>
  <c r="EL200" i="19"/>
  <c r="EL212" i="19" s="1"/>
  <c r="EK218" i="19"/>
  <c r="EF11" i="19"/>
  <c r="EF29" i="19" s="1"/>
  <c r="EF35" i="19" s="1"/>
  <c r="EG125" i="19"/>
  <c r="EG137" i="19" s="1"/>
  <c r="EF143" i="19"/>
  <c r="ET15" i="19"/>
  <c r="EU197" i="19"/>
  <c r="EU209" i="19" s="1"/>
  <c r="ET215" i="19"/>
  <c r="EL31" i="19"/>
  <c r="EL37" i="19" s="1"/>
  <c r="EG10" i="19"/>
  <c r="EG28" i="19" s="1"/>
  <c r="EG34" i="19" s="1"/>
  <c r="EH124" i="19"/>
  <c r="EG142" i="19"/>
  <c r="AR18" i="19"/>
  <c r="AR30" i="19" s="1"/>
  <c r="AR36" i="19" s="1"/>
  <c r="AR218" i="19"/>
  <c r="EI16" i="19"/>
  <c r="EI216" i="19"/>
  <c r="EJ198" i="19"/>
  <c r="EJ210" i="19" s="1"/>
  <c r="EU21" i="19" l="1"/>
  <c r="EV271" i="19"/>
  <c r="EV283" i="19" s="1"/>
  <c r="EU289" i="19"/>
  <c r="EI17" i="19"/>
  <c r="EI217" i="19"/>
  <c r="EJ199" i="19"/>
  <c r="EJ211" i="19" s="1"/>
  <c r="EJ16" i="19"/>
  <c r="EJ216" i="19"/>
  <c r="EK198" i="19"/>
  <c r="EU15" i="19"/>
  <c r="EV197" i="19"/>
  <c r="EV209" i="19" s="1"/>
  <c r="EU215" i="19"/>
  <c r="EM19" i="19"/>
  <c r="EN201" i="19"/>
  <c r="EM219" i="19"/>
  <c r="AS127" i="19"/>
  <c r="AS139" i="19" s="1"/>
  <c r="EN139" i="19"/>
  <c r="EM25" i="19"/>
  <c r="EN275" i="19"/>
  <c r="EM293" i="19"/>
  <c r="EM24" i="19"/>
  <c r="EN274" i="19"/>
  <c r="EM292" i="19"/>
  <c r="EM31" i="19"/>
  <c r="EM37" i="19" s="1"/>
  <c r="EJ22" i="19"/>
  <c r="EK272" i="19"/>
  <c r="EJ290" i="19"/>
  <c r="EG11" i="19"/>
  <c r="EG29" i="19" s="1"/>
  <c r="EG35" i="19" s="1"/>
  <c r="EH125" i="19"/>
  <c r="EG143" i="19"/>
  <c r="EJ23" i="19"/>
  <c r="EK273" i="19"/>
  <c r="EJ291" i="19"/>
  <c r="EL18" i="19"/>
  <c r="EL30" i="19" s="1"/>
  <c r="EL36" i="19" s="1"/>
  <c r="EM200" i="19"/>
  <c r="EM212" i="19" s="1"/>
  <c r="EL218" i="19"/>
  <c r="ET9" i="19"/>
  <c r="ET27" i="19" s="1"/>
  <c r="ET33" i="19" s="1"/>
  <c r="EU123" i="19"/>
  <c r="EU135" i="19" s="1"/>
  <c r="ET141" i="19"/>
  <c r="AQ124" i="19"/>
  <c r="AQ136" i="19" s="1"/>
  <c r="EH136" i="19"/>
  <c r="AU9" i="19"/>
  <c r="AU27" i="19" s="1"/>
  <c r="AU33" i="19" s="1"/>
  <c r="AU141" i="19"/>
  <c r="EM12" i="19"/>
  <c r="EN126" i="19"/>
  <c r="EM144" i="19"/>
  <c r="AS13" i="19" l="1"/>
  <c r="AS145" i="19"/>
  <c r="AS274" i="19"/>
  <c r="AS286" i="19" s="1"/>
  <c r="EN286" i="19"/>
  <c r="EJ17" i="19"/>
  <c r="EJ217" i="19"/>
  <c r="EK199" i="19"/>
  <c r="EN138" i="19"/>
  <c r="AS126" i="19"/>
  <c r="AS138" i="19" s="1"/>
  <c r="AQ125" i="19"/>
  <c r="AQ137" i="19" s="1"/>
  <c r="EH137" i="19"/>
  <c r="AS201" i="19"/>
  <c r="AS213" i="19" s="1"/>
  <c r="EN213" i="19"/>
  <c r="EM18" i="19"/>
  <c r="EM30" i="19" s="1"/>
  <c r="EM36" i="19" s="1"/>
  <c r="EN200" i="19"/>
  <c r="EM218" i="19"/>
  <c r="EK284" i="19"/>
  <c r="AR272" i="19"/>
  <c r="AR284" i="19" s="1"/>
  <c r="EV15" i="19"/>
  <c r="EW197" i="19"/>
  <c r="EV215" i="19"/>
  <c r="EU9" i="19"/>
  <c r="EU27" i="19" s="1"/>
  <c r="EU33" i="19" s="1"/>
  <c r="EV123" i="19"/>
  <c r="EV135" i="19" s="1"/>
  <c r="EU141" i="19"/>
  <c r="EH10" i="19"/>
  <c r="EH28" i="19" s="1"/>
  <c r="EH34" i="19" s="1"/>
  <c r="EI124" i="19"/>
  <c r="EI136" i="19" s="1"/>
  <c r="EH142" i="19"/>
  <c r="EV21" i="19"/>
  <c r="EV289" i="19"/>
  <c r="EW271" i="19"/>
  <c r="AS275" i="19"/>
  <c r="AS287" i="19" s="1"/>
  <c r="EN287" i="19"/>
  <c r="AQ10" i="19"/>
  <c r="AQ28" i="19" s="1"/>
  <c r="AQ34" i="19" s="1"/>
  <c r="AQ142" i="19"/>
  <c r="AR273" i="19"/>
  <c r="AR285" i="19" s="1"/>
  <c r="EK285" i="19"/>
  <c r="EN13" i="19"/>
  <c r="EO127" i="19"/>
  <c r="EO139" i="19" s="1"/>
  <c r="EN145" i="19"/>
  <c r="EK210" i="19"/>
  <c r="AR198" i="19"/>
  <c r="AR210" i="19" s="1"/>
  <c r="EN12" i="19" l="1"/>
  <c r="EO126" i="19"/>
  <c r="EO138" i="19" s="1"/>
  <c r="EN144" i="19"/>
  <c r="AV271" i="19"/>
  <c r="AV283" i="19" s="1"/>
  <c r="EW283" i="19"/>
  <c r="EV9" i="19"/>
  <c r="EV27" i="19" s="1"/>
  <c r="EV33" i="19" s="1"/>
  <c r="EW123" i="19"/>
  <c r="EV141" i="19"/>
  <c r="EK23" i="19"/>
  <c r="EL273" i="19"/>
  <c r="EL285" i="19" s="1"/>
  <c r="EK291" i="19"/>
  <c r="EN19" i="19"/>
  <c r="EO201" i="19"/>
  <c r="EO213" i="19" s="1"/>
  <c r="EN219" i="19"/>
  <c r="AV197" i="19"/>
  <c r="AV209" i="19" s="1"/>
  <c r="EW209" i="19"/>
  <c r="AS19" i="19"/>
  <c r="AS219" i="19"/>
  <c r="EN24" i="19"/>
  <c r="EO274" i="19"/>
  <c r="EO286" i="19" s="1"/>
  <c r="EN292" i="19"/>
  <c r="EO13" i="19"/>
  <c r="EP127" i="19"/>
  <c r="EP139" i="19" s="1"/>
  <c r="EO145" i="19"/>
  <c r="AR199" i="19"/>
  <c r="AR211" i="19" s="1"/>
  <c r="EK211" i="19"/>
  <c r="EI10" i="19"/>
  <c r="EI28" i="19" s="1"/>
  <c r="EI34" i="19" s="1"/>
  <c r="EJ124" i="19"/>
  <c r="EJ136" i="19" s="1"/>
  <c r="EI142" i="19"/>
  <c r="EH11" i="19"/>
  <c r="EH29" i="19" s="1"/>
  <c r="EH35" i="19" s="1"/>
  <c r="EI125" i="19"/>
  <c r="EI137" i="19" s="1"/>
  <c r="EH143" i="19"/>
  <c r="AS24" i="19"/>
  <c r="AS292" i="19"/>
  <c r="AS25" i="19"/>
  <c r="AS293" i="19"/>
  <c r="AS200" i="19"/>
  <c r="AS212" i="19" s="1"/>
  <c r="EN212" i="19"/>
  <c r="AR22" i="19"/>
  <c r="AR290" i="19"/>
  <c r="AQ11" i="19"/>
  <c r="AQ29" i="19" s="1"/>
  <c r="AQ35" i="19" s="1"/>
  <c r="AQ143" i="19"/>
  <c r="AR23" i="19"/>
  <c r="AR291" i="19"/>
  <c r="AR16" i="19"/>
  <c r="AR216" i="19"/>
  <c r="EK16" i="19"/>
  <c r="EK216" i="19"/>
  <c r="EL198" i="19"/>
  <c r="EL210" i="19" s="1"/>
  <c r="EN25" i="19"/>
  <c r="EN31" i="19" s="1"/>
  <c r="EN37" i="19" s="1"/>
  <c r="EO275" i="19"/>
  <c r="EO287" i="19" s="1"/>
  <c r="EN293" i="19"/>
  <c r="EK22" i="19"/>
  <c r="EL272" i="19"/>
  <c r="EL284" i="19" s="1"/>
  <c r="EK290" i="19"/>
  <c r="AS12" i="19"/>
  <c r="AS144" i="19"/>
  <c r="AS31" i="19"/>
  <c r="AS37" i="19" s="1"/>
  <c r="EW15" i="19" l="1"/>
  <c r="EX197" i="19"/>
  <c r="EX209" i="19" s="1"/>
  <c r="EW215" i="19"/>
  <c r="AV15" i="19"/>
  <c r="AV215" i="19"/>
  <c r="AS18" i="19"/>
  <c r="AS218" i="19"/>
  <c r="EO19" i="19"/>
  <c r="EO31" i="19" s="1"/>
  <c r="EO37" i="19" s="1"/>
  <c r="EP201" i="19"/>
  <c r="EP213" i="19" s="1"/>
  <c r="EO219" i="19"/>
  <c r="EW21" i="19"/>
  <c r="EW289" i="19"/>
  <c r="EX271" i="19"/>
  <c r="EX283" i="19" s="1"/>
  <c r="AV123" i="19"/>
  <c r="AV135" i="19" s="1"/>
  <c r="EW135" i="19"/>
  <c r="EO25" i="19"/>
  <c r="EP275" i="19"/>
  <c r="EP287" i="19" s="1"/>
  <c r="EO293" i="19"/>
  <c r="EJ10" i="19"/>
  <c r="EJ28" i="19" s="1"/>
  <c r="EJ34" i="19" s="1"/>
  <c r="EJ142" i="19"/>
  <c r="EK124" i="19"/>
  <c r="EO24" i="19"/>
  <c r="EP274" i="19"/>
  <c r="EP286" i="19" s="1"/>
  <c r="EO292" i="19"/>
  <c r="AV21" i="19"/>
  <c r="AV289" i="19"/>
  <c r="EL22" i="19"/>
  <c r="EM272" i="19"/>
  <c r="EM284" i="19" s="1"/>
  <c r="EL290" i="19"/>
  <c r="EI11" i="19"/>
  <c r="EI29" i="19" s="1"/>
  <c r="EI35" i="19" s="1"/>
  <c r="EI143" i="19"/>
  <c r="EJ125" i="19"/>
  <c r="EJ137" i="19" s="1"/>
  <c r="EN18" i="19"/>
  <c r="EO200" i="19"/>
  <c r="EO212" i="19" s="1"/>
  <c r="EN218" i="19"/>
  <c r="EP13" i="19"/>
  <c r="EQ127" i="19"/>
  <c r="K139" i="19"/>
  <c r="EP145" i="19"/>
  <c r="EK17" i="19"/>
  <c r="EL199" i="19"/>
  <c r="EL211" i="19" s="1"/>
  <c r="EK217" i="19"/>
  <c r="EL23" i="19"/>
  <c r="EL291" i="19"/>
  <c r="EM273" i="19"/>
  <c r="EM285" i="19" s="1"/>
  <c r="EO12" i="19"/>
  <c r="EP126" i="19"/>
  <c r="EP138" i="19" s="1"/>
  <c r="EO144" i="19"/>
  <c r="EL16" i="19"/>
  <c r="EM198" i="19"/>
  <c r="EM210" i="19" s="1"/>
  <c r="EL216" i="19"/>
  <c r="AS30" i="19"/>
  <c r="AS36" i="19" s="1"/>
  <c r="AR17" i="19"/>
  <c r="AR217" i="19"/>
  <c r="EN30" i="19"/>
  <c r="EN36" i="19" s="1"/>
  <c r="EJ11" i="19" l="1"/>
  <c r="EJ29" i="19" s="1"/>
  <c r="EJ35" i="19" s="1"/>
  <c r="EK125" i="19"/>
  <c r="EJ143" i="19"/>
  <c r="AV9" i="19"/>
  <c r="AV27" i="19" s="1"/>
  <c r="AV33" i="19" s="1"/>
  <c r="AV141" i="19"/>
  <c r="L127" i="19"/>
  <c r="AT127" i="19"/>
  <c r="AR124" i="19"/>
  <c r="AR136" i="19" s="1"/>
  <c r="EK136" i="19"/>
  <c r="EX21" i="19"/>
  <c r="EX289" i="19"/>
  <c r="EY271" i="19"/>
  <c r="EY283" i="19" s="1"/>
  <c r="EP24" i="19"/>
  <c r="K286" i="19"/>
  <c r="EQ274" i="19"/>
  <c r="EP292" i="19"/>
  <c r="EM22" i="19"/>
  <c r="EM290" i="19"/>
  <c r="EN272" i="19"/>
  <c r="EP12" i="19"/>
  <c r="K138" i="19"/>
  <c r="EQ126" i="19"/>
  <c r="EP144" i="19"/>
  <c r="EW9" i="19"/>
  <c r="EW27" i="19" s="1"/>
  <c r="EW33" i="19" s="1"/>
  <c r="EX123" i="19"/>
  <c r="EX135" i="19" s="1"/>
  <c r="EW141" i="19"/>
  <c r="K13" i="19"/>
  <c r="K145" i="19"/>
  <c r="L91" i="19" s="1"/>
  <c r="EM23" i="19"/>
  <c r="EM291" i="19"/>
  <c r="EN273" i="19"/>
  <c r="EO18" i="19"/>
  <c r="EP200" i="19"/>
  <c r="EP212" i="19" s="1"/>
  <c r="EO218" i="19"/>
  <c r="EX15" i="19"/>
  <c r="EY197" i="19"/>
  <c r="EY209" i="19" s="1"/>
  <c r="EX215" i="19"/>
  <c r="EO30" i="19"/>
  <c r="EO36" i="19" s="1"/>
  <c r="EP31" i="19"/>
  <c r="EP37" i="19" s="1"/>
  <c r="EM16" i="19"/>
  <c r="EN198" i="19"/>
  <c r="EM216" i="19"/>
  <c r="EL17" i="19"/>
  <c r="EM199" i="19"/>
  <c r="EM211" i="19" s="1"/>
  <c r="EL217" i="19"/>
  <c r="EP25" i="19"/>
  <c r="EQ275" i="19"/>
  <c r="K287" i="19"/>
  <c r="EP293" i="19"/>
  <c r="EP19" i="19"/>
  <c r="K213" i="19"/>
  <c r="EQ201" i="19"/>
  <c r="EP219" i="19"/>
  <c r="L274" i="19" l="1"/>
  <c r="AT274" i="19"/>
  <c r="K12" i="19"/>
  <c r="K144" i="19"/>
  <c r="L90" i="19" s="1"/>
  <c r="L275" i="19"/>
  <c r="AT275" i="19"/>
  <c r="EY21" i="19"/>
  <c r="EZ271" i="19"/>
  <c r="EY289" i="19"/>
  <c r="K24" i="19"/>
  <c r="K292" i="19"/>
  <c r="L238" i="19" s="1"/>
  <c r="K19" i="19"/>
  <c r="K31" i="19" s="1"/>
  <c r="K219" i="19"/>
  <c r="L165" i="19" s="1"/>
  <c r="AS272" i="19"/>
  <c r="AS284" i="19" s="1"/>
  <c r="EN284" i="19"/>
  <c r="AS273" i="19"/>
  <c r="AS285" i="19" s="1"/>
  <c r="EN285" i="19"/>
  <c r="EM17" i="19"/>
  <c r="EN199" i="19"/>
  <c r="EM217" i="19"/>
  <c r="ES91" i="19"/>
  <c r="ES115" i="19" s="1"/>
  <c r="FA91" i="19"/>
  <c r="FA115" i="19" s="1"/>
  <c r="ET91" i="19"/>
  <c r="ET115" i="19" s="1"/>
  <c r="FB91" i="19"/>
  <c r="FB115" i="19" s="1"/>
  <c r="EU91" i="19"/>
  <c r="EU115" i="19" s="1"/>
  <c r="EV91" i="19"/>
  <c r="EV115" i="19" s="1"/>
  <c r="EW91" i="19"/>
  <c r="EW115" i="19" s="1"/>
  <c r="L97" i="19"/>
  <c r="ER91" i="19"/>
  <c r="ER115" i="19" s="1"/>
  <c r="EX91" i="19"/>
  <c r="EX115" i="19" s="1"/>
  <c r="EY91" i="19"/>
  <c r="EY115" i="19" s="1"/>
  <c r="EZ91" i="19"/>
  <c r="EZ115" i="19" s="1"/>
  <c r="EQ91" i="19"/>
  <c r="EQ115" i="19" s="1"/>
  <c r="EX9" i="19"/>
  <c r="EX27" i="19" s="1"/>
  <c r="EX33" i="19" s="1"/>
  <c r="EY123" i="19"/>
  <c r="EY135" i="19" s="1"/>
  <c r="EX141" i="19"/>
  <c r="EK10" i="19"/>
  <c r="EK28" i="19" s="1"/>
  <c r="EK34" i="19" s="1"/>
  <c r="EL124" i="19"/>
  <c r="EL136" i="19" s="1"/>
  <c r="EK142" i="19"/>
  <c r="AR125" i="19"/>
  <c r="AR137" i="19" s="1"/>
  <c r="EK137" i="19"/>
  <c r="AT126" i="19"/>
  <c r="L126" i="19"/>
  <c r="L201" i="19"/>
  <c r="AT201" i="19"/>
  <c r="EY15" i="19"/>
  <c r="EZ197" i="19"/>
  <c r="EY215" i="19"/>
  <c r="EN210" i="19"/>
  <c r="AS198" i="19"/>
  <c r="AS210" i="19" s="1"/>
  <c r="EP18" i="19"/>
  <c r="EP30" i="19" s="1"/>
  <c r="EP36" i="19" s="1"/>
  <c r="EQ200" i="19"/>
  <c r="K212" i="19"/>
  <c r="EP218" i="19"/>
  <c r="K25" i="19"/>
  <c r="K293" i="19"/>
  <c r="L239" i="19" s="1"/>
  <c r="AR10" i="19"/>
  <c r="AR28" i="19" s="1"/>
  <c r="AR34" i="19" s="1"/>
  <c r="AR142" i="19"/>
  <c r="K37" i="19" l="1"/>
  <c r="FH9" i="25"/>
  <c r="EN16" i="19"/>
  <c r="EO198" i="19"/>
  <c r="EO210" i="19" s="1"/>
  <c r="EN216" i="19"/>
  <c r="EY9" i="19"/>
  <c r="EY27" i="19" s="1"/>
  <c r="EY33" i="19" s="1"/>
  <c r="EZ123" i="19"/>
  <c r="EY141" i="19"/>
  <c r="AV115" i="19"/>
  <c r="AS199" i="19"/>
  <c r="AS211" i="19" s="1"/>
  <c r="EN211" i="19"/>
  <c r="EV165" i="19"/>
  <c r="EV189" i="19" s="1"/>
  <c r="EX165" i="19"/>
  <c r="EX189" i="19" s="1"/>
  <c r="EQ165" i="19"/>
  <c r="EQ189" i="19" s="1"/>
  <c r="EY165" i="19"/>
  <c r="EY189" i="19" s="1"/>
  <c r="ER165" i="19"/>
  <c r="ER189" i="19" s="1"/>
  <c r="EZ165" i="19"/>
  <c r="EZ189" i="19" s="1"/>
  <c r="ES165" i="19"/>
  <c r="ES189" i="19" s="1"/>
  <c r="FA165" i="19"/>
  <c r="FA189" i="19" s="1"/>
  <c r="ET165" i="19"/>
  <c r="ET189" i="19" s="1"/>
  <c r="L171" i="19"/>
  <c r="EU165" i="19"/>
  <c r="EU189" i="19" s="1"/>
  <c r="EW165" i="19"/>
  <c r="EW189" i="19" s="1"/>
  <c r="FB165" i="19"/>
  <c r="FB189" i="19" s="1"/>
  <c r="AW197" i="19"/>
  <c r="AW209" i="19" s="1"/>
  <c r="EZ209" i="19"/>
  <c r="EK11" i="19"/>
  <c r="EK29" i="19" s="1"/>
  <c r="EK35" i="19" s="1"/>
  <c r="EK143" i="19"/>
  <c r="EL125" i="19"/>
  <c r="EL137" i="19" s="1"/>
  <c r="AT115" i="19"/>
  <c r="L115" i="19"/>
  <c r="EQ238" i="19"/>
  <c r="EQ262" i="19" s="1"/>
  <c r="EY238" i="19"/>
  <c r="EY262" i="19" s="1"/>
  <c r="ER238" i="19"/>
  <c r="ER262" i="19" s="1"/>
  <c r="EZ238" i="19"/>
  <c r="EZ262" i="19" s="1"/>
  <c r="ES238" i="19"/>
  <c r="ES262" i="19" s="1"/>
  <c r="FA238" i="19"/>
  <c r="FA262" i="19" s="1"/>
  <c r="ET238" i="19"/>
  <c r="ET262" i="19" s="1"/>
  <c r="FB238" i="19"/>
  <c r="FB262" i="19" s="1"/>
  <c r="EU238" i="19"/>
  <c r="EU262" i="19" s="1"/>
  <c r="EV238" i="19"/>
  <c r="EV262" i="19" s="1"/>
  <c r="EX238" i="19"/>
  <c r="EX262" i="19" s="1"/>
  <c r="L244" i="19"/>
  <c r="EW238" i="19"/>
  <c r="EW262" i="19" s="1"/>
  <c r="AR11" i="19"/>
  <c r="AR29" i="19" s="1"/>
  <c r="AR35" i="19" s="1"/>
  <c r="AR143" i="19"/>
  <c r="AW115" i="19"/>
  <c r="EQ90" i="19"/>
  <c r="EQ114" i="19" s="1"/>
  <c r="EY90" i="19"/>
  <c r="EY114" i="19" s="1"/>
  <c r="ER90" i="19"/>
  <c r="ER114" i="19" s="1"/>
  <c r="EZ90" i="19"/>
  <c r="EZ114" i="19" s="1"/>
  <c r="ES90" i="19"/>
  <c r="ES114" i="19" s="1"/>
  <c r="FA90" i="19"/>
  <c r="FA114" i="19" s="1"/>
  <c r="ET90" i="19"/>
  <c r="ET114" i="19" s="1"/>
  <c r="FB90" i="19"/>
  <c r="FB114" i="19" s="1"/>
  <c r="EU90" i="19"/>
  <c r="EU114" i="19" s="1"/>
  <c r="EV90" i="19"/>
  <c r="EV114" i="19" s="1"/>
  <c r="EW90" i="19"/>
  <c r="EW114" i="19" s="1"/>
  <c r="EX90" i="19"/>
  <c r="EX114" i="19" s="1"/>
  <c r="L96" i="19"/>
  <c r="K18" i="19"/>
  <c r="K218" i="19"/>
  <c r="L164" i="19" s="1"/>
  <c r="AU115" i="19"/>
  <c r="EN23" i="19"/>
  <c r="EO273" i="19"/>
  <c r="EO285" i="19" s="1"/>
  <c r="EN291" i="19"/>
  <c r="K30" i="19"/>
  <c r="FA133" i="19"/>
  <c r="AS23" i="19"/>
  <c r="AS291" i="19"/>
  <c r="AW271" i="19"/>
  <c r="AW283" i="19" s="1"/>
  <c r="EZ283" i="19"/>
  <c r="L200" i="19"/>
  <c r="AT200" i="19"/>
  <c r="EN22" i="19"/>
  <c r="EN290" i="19"/>
  <c r="EO272" i="19"/>
  <c r="EO284" i="19" s="1"/>
  <c r="ES239" i="19"/>
  <c r="ES263" i="19" s="1"/>
  <c r="FA239" i="19"/>
  <c r="FA263" i="19" s="1"/>
  <c r="ET239" i="19"/>
  <c r="ET263" i="19" s="1"/>
  <c r="FB239" i="19"/>
  <c r="FB263" i="19" s="1"/>
  <c r="EU239" i="19"/>
  <c r="EU263" i="19" s="1"/>
  <c r="EV239" i="19"/>
  <c r="EV263" i="19" s="1"/>
  <c r="EW239" i="19"/>
  <c r="EW263" i="19" s="1"/>
  <c r="L245" i="19"/>
  <c r="EX239" i="19"/>
  <c r="EX263" i="19" s="1"/>
  <c r="ER239" i="19"/>
  <c r="ER263" i="19" s="1"/>
  <c r="EZ239" i="19"/>
  <c r="EZ263" i="19" s="1"/>
  <c r="EY239" i="19"/>
  <c r="EY263" i="19" s="1"/>
  <c r="EQ239" i="19"/>
  <c r="EQ263" i="19" s="1"/>
  <c r="EL10" i="19"/>
  <c r="EL28" i="19" s="1"/>
  <c r="EL34" i="19" s="1"/>
  <c r="EL142" i="19"/>
  <c r="EM124" i="19"/>
  <c r="EM136" i="19" s="1"/>
  <c r="AS16" i="19"/>
  <c r="AS216" i="19"/>
  <c r="ES97" i="19"/>
  <c r="ES121" i="19" s="1"/>
  <c r="ES133" i="19" s="1"/>
  <c r="FA97" i="19"/>
  <c r="FA121" i="19" s="1"/>
  <c r="ET97" i="19"/>
  <c r="ET121" i="19" s="1"/>
  <c r="AU121" i="19" s="1"/>
  <c r="FB97" i="19"/>
  <c r="FB121" i="19" s="1"/>
  <c r="FB133" i="19" s="1"/>
  <c r="EU97" i="19"/>
  <c r="EU121" i="19" s="1"/>
  <c r="EU133" i="19" s="1"/>
  <c r="EV97" i="19"/>
  <c r="EV121" i="19" s="1"/>
  <c r="EV133" i="19" s="1"/>
  <c r="EW97" i="19"/>
  <c r="EW121" i="19" s="1"/>
  <c r="EQ97" i="19"/>
  <c r="EQ121" i="19" s="1"/>
  <c r="EQ133" i="19" s="1"/>
  <c r="EQ139" i="19" s="1"/>
  <c r="ER97" i="19"/>
  <c r="ER121" i="19" s="1"/>
  <c r="ER133" i="19" s="1"/>
  <c r="EX97" i="19"/>
  <c r="EX121" i="19" s="1"/>
  <c r="EX133" i="19" s="1"/>
  <c r="EY97" i="19"/>
  <c r="EY121" i="19" s="1"/>
  <c r="EY133" i="19" s="1"/>
  <c r="EZ97" i="19"/>
  <c r="EZ121" i="19" s="1"/>
  <c r="EZ133" i="19" s="1"/>
  <c r="AS22" i="19"/>
  <c r="AS290" i="19"/>
  <c r="EQ13" i="19" l="1"/>
  <c r="ER127" i="19"/>
  <c r="ER139" i="19" s="1"/>
  <c r="EQ145" i="19"/>
  <c r="AV263" i="19"/>
  <c r="L263" i="19"/>
  <c r="AT263" i="19"/>
  <c r="AU91" i="19"/>
  <c r="AU133" i="19"/>
  <c r="EV244" i="19"/>
  <c r="EV268" i="19" s="1"/>
  <c r="EW244" i="19"/>
  <c r="EW268" i="19" s="1"/>
  <c r="AV268" i="19" s="1"/>
  <c r="AV244" i="19" s="1"/>
  <c r="EX244" i="19"/>
  <c r="EX268" i="19" s="1"/>
  <c r="EX280" i="19" s="1"/>
  <c r="EQ244" i="19"/>
  <c r="EQ268" i="19" s="1"/>
  <c r="EY244" i="19"/>
  <c r="EY268" i="19" s="1"/>
  <c r="ER244" i="19"/>
  <c r="ER268" i="19" s="1"/>
  <c r="EZ244" i="19"/>
  <c r="EZ268" i="19" s="1"/>
  <c r="ES244" i="19"/>
  <c r="ES268" i="19" s="1"/>
  <c r="FA244" i="19"/>
  <c r="FA268" i="19" s="1"/>
  <c r="EU244" i="19"/>
  <c r="EU268" i="19" s="1"/>
  <c r="EU280" i="19" s="1"/>
  <c r="ET244" i="19"/>
  <c r="ET268" i="19" s="1"/>
  <c r="FB244" i="19"/>
  <c r="FB268" i="19" s="1"/>
  <c r="AW262" i="19"/>
  <c r="EL11" i="19"/>
  <c r="EL29" i="19" s="1"/>
  <c r="EL35" i="19" s="1"/>
  <c r="EL143" i="19"/>
  <c r="EM125" i="19"/>
  <c r="EM137" i="19" s="1"/>
  <c r="AV189" i="19"/>
  <c r="AV121" i="19"/>
  <c r="AW263" i="19"/>
  <c r="AU263" i="19"/>
  <c r="ET281" i="19"/>
  <c r="ET164" i="19"/>
  <c r="ET188" i="19" s="1"/>
  <c r="FB164" i="19"/>
  <c r="FB188" i="19" s="1"/>
  <c r="EV164" i="19"/>
  <c r="EV188" i="19" s="1"/>
  <c r="EW164" i="19"/>
  <c r="EW188" i="19" s="1"/>
  <c r="L170" i="19"/>
  <c r="EX164" i="19"/>
  <c r="EX188" i="19" s="1"/>
  <c r="EQ164" i="19"/>
  <c r="EQ188" i="19" s="1"/>
  <c r="EY164" i="19"/>
  <c r="EY188" i="19" s="1"/>
  <c r="ER164" i="19"/>
  <c r="ER188" i="19" s="1"/>
  <c r="ES164" i="19"/>
  <c r="ES188" i="19" s="1"/>
  <c r="EU164" i="19"/>
  <c r="EU188" i="19" s="1"/>
  <c r="EZ164" i="19"/>
  <c r="EZ188" i="19" s="1"/>
  <c r="FA164" i="19"/>
  <c r="FA188" i="19" s="1"/>
  <c r="FB132" i="19"/>
  <c r="EV280" i="19"/>
  <c r="EY280" i="19"/>
  <c r="EV171" i="19"/>
  <c r="EV195" i="19" s="1"/>
  <c r="EX171" i="19"/>
  <c r="EX195" i="19" s="1"/>
  <c r="EX207" i="19" s="1"/>
  <c r="EQ171" i="19"/>
  <c r="EQ195" i="19" s="1"/>
  <c r="EY171" i="19"/>
  <c r="EY195" i="19" s="1"/>
  <c r="EY207" i="19" s="1"/>
  <c r="ER171" i="19"/>
  <c r="ER195" i="19" s="1"/>
  <c r="EZ171" i="19"/>
  <c r="EZ195" i="19" s="1"/>
  <c r="AW195" i="19" s="1"/>
  <c r="ES171" i="19"/>
  <c r="ES195" i="19" s="1"/>
  <c r="ES207" i="19" s="1"/>
  <c r="FA171" i="19"/>
  <c r="FA195" i="19" s="1"/>
  <c r="ET171" i="19"/>
  <c r="ET195" i="19" s="1"/>
  <c r="AU195" i="19" s="1"/>
  <c r="EW171" i="19"/>
  <c r="EW195" i="19" s="1"/>
  <c r="AV195" i="19" s="1"/>
  <c r="EU171" i="19"/>
  <c r="EU195" i="19" s="1"/>
  <c r="FB171" i="19"/>
  <c r="FB195" i="19" s="1"/>
  <c r="EU132" i="19"/>
  <c r="EU207" i="19"/>
  <c r="K36" i="19"/>
  <c r="FH8" i="25"/>
  <c r="AU114" i="19"/>
  <c r="L262" i="19"/>
  <c r="AT262" i="19"/>
  <c r="EQ280" i="19"/>
  <c r="EQ286" i="19" s="1"/>
  <c r="EZ15" i="19"/>
  <c r="FA197" i="19"/>
  <c r="FA209" i="19" s="1"/>
  <c r="EZ215" i="19"/>
  <c r="AU189" i="19"/>
  <c r="ET207" i="19"/>
  <c r="EV207" i="19"/>
  <c r="AT114" i="19"/>
  <c r="L114" i="19"/>
  <c r="L189" i="19"/>
  <c r="AT189" i="19"/>
  <c r="EQ207" i="19"/>
  <c r="EQ213" i="19" s="1"/>
  <c r="EM10" i="19"/>
  <c r="EM28" i="19" s="1"/>
  <c r="EM34" i="19" s="1"/>
  <c r="EM142" i="19"/>
  <c r="EN124" i="19"/>
  <c r="EX281" i="19"/>
  <c r="AW91" i="19"/>
  <c r="AW133" i="19"/>
  <c r="FB280" i="19"/>
  <c r="AW15" i="19"/>
  <c r="AW215" i="19"/>
  <c r="FA207" i="19"/>
  <c r="EN17" i="19"/>
  <c r="EO199" i="19"/>
  <c r="EO211" i="19" s="1"/>
  <c r="EN217" i="19"/>
  <c r="EO16" i="19"/>
  <c r="EP198" i="19"/>
  <c r="EP210" i="19" s="1"/>
  <c r="EO216" i="19"/>
  <c r="ER280" i="19"/>
  <c r="AW123" i="19"/>
  <c r="AW135" i="19" s="1"/>
  <c r="EZ135" i="19"/>
  <c r="AW121" i="19"/>
  <c r="ES245" i="19"/>
  <c r="ES269" i="19" s="1"/>
  <c r="ES281" i="19" s="1"/>
  <c r="FA245" i="19"/>
  <c r="FA269" i="19" s="1"/>
  <c r="FA281" i="19" s="1"/>
  <c r="ET245" i="19"/>
  <c r="ET269" i="19" s="1"/>
  <c r="FB245" i="19"/>
  <c r="FB269" i="19" s="1"/>
  <c r="FB281" i="19" s="1"/>
  <c r="EU245" i="19"/>
  <c r="EU269" i="19" s="1"/>
  <c r="EU281" i="19" s="1"/>
  <c r="EV245" i="19"/>
  <c r="EV269" i="19" s="1"/>
  <c r="EW245" i="19"/>
  <c r="EW269" i="19" s="1"/>
  <c r="AV269" i="19" s="1"/>
  <c r="EX245" i="19"/>
  <c r="EX269" i="19" s="1"/>
  <c r="ER245" i="19"/>
  <c r="ER269" i="19" s="1"/>
  <c r="ER281" i="19" s="1"/>
  <c r="EZ245" i="19"/>
  <c r="EZ269" i="19" s="1"/>
  <c r="AW269" i="19" s="1"/>
  <c r="EQ245" i="19"/>
  <c r="EQ269" i="19" s="1"/>
  <c r="EY245" i="19"/>
  <c r="EY269" i="19" s="1"/>
  <c r="EY281" i="19" s="1"/>
  <c r="EO22" i="19"/>
  <c r="EP272" i="19"/>
  <c r="EP284" i="19" s="1"/>
  <c r="EO290" i="19"/>
  <c r="EZ21" i="19"/>
  <c r="FA271" i="19"/>
  <c r="FA283" i="19" s="1"/>
  <c r="EZ289" i="19"/>
  <c r="EO23" i="19"/>
  <c r="EP273" i="19"/>
  <c r="EP285" i="19" s="1"/>
  <c r="EO291" i="19"/>
  <c r="EV96" i="19"/>
  <c r="EV120" i="19" s="1"/>
  <c r="EV132" i="19" s="1"/>
  <c r="EW96" i="19"/>
  <c r="EW120" i="19" s="1"/>
  <c r="EX96" i="19"/>
  <c r="EX120" i="19" s="1"/>
  <c r="EQ96" i="19"/>
  <c r="EQ120" i="19" s="1"/>
  <c r="EQ132" i="19" s="1"/>
  <c r="EQ138" i="19" s="1"/>
  <c r="EY96" i="19"/>
  <c r="EY120" i="19" s="1"/>
  <c r="EY132" i="19" s="1"/>
  <c r="ER96" i="19"/>
  <c r="ER120" i="19" s="1"/>
  <c r="EZ96" i="19"/>
  <c r="EZ120" i="19" s="1"/>
  <c r="ET96" i="19"/>
  <c r="ET120" i="19" s="1"/>
  <c r="AU120" i="19" s="1"/>
  <c r="AU96" i="19" s="1"/>
  <c r="EU96" i="19"/>
  <c r="EU120" i="19" s="1"/>
  <c r="FA96" i="19"/>
  <c r="FA120" i="19" s="1"/>
  <c r="FA132" i="19" s="1"/>
  <c r="FB96" i="19"/>
  <c r="FB120" i="19" s="1"/>
  <c r="ES96" i="19"/>
  <c r="ES120" i="19" s="1"/>
  <c r="ES132" i="19"/>
  <c r="AU262" i="19"/>
  <c r="ET280" i="19"/>
  <c r="AS17" i="19"/>
  <c r="AS217" i="19"/>
  <c r="L121" i="19"/>
  <c r="AT121" i="19"/>
  <c r="AT133" i="19" s="1"/>
  <c r="AT139" i="19" s="1"/>
  <c r="AW21" i="19"/>
  <c r="AW289" i="19"/>
  <c r="AW114" i="19"/>
  <c r="EZ132" i="19"/>
  <c r="FA280" i="19"/>
  <c r="L133" i="19"/>
  <c r="AW189" i="19"/>
  <c r="EZ207" i="19"/>
  <c r="EW133" i="19"/>
  <c r="EX132" i="19"/>
  <c r="EV281" i="19"/>
  <c r="ET133" i="19"/>
  <c r="AV114" i="19"/>
  <c r="EW132" i="19"/>
  <c r="ER132" i="19"/>
  <c r="AV262" i="19"/>
  <c r="EW280" i="19"/>
  <c r="ES280" i="19"/>
  <c r="AT91" i="19"/>
  <c r="FB207" i="19"/>
  <c r="ER207" i="19"/>
  <c r="AV91" i="19"/>
  <c r="AV133" i="19"/>
  <c r="AT13" i="19" l="1"/>
  <c r="AT145" i="19"/>
  <c r="EQ12" i="19"/>
  <c r="ER126" i="19"/>
  <c r="ER138" i="19" s="1"/>
  <c r="EQ144" i="19"/>
  <c r="EP16" i="19"/>
  <c r="K210" i="19"/>
  <c r="EQ198" i="19"/>
  <c r="EP216" i="19"/>
  <c r="AT188" i="19"/>
  <c r="L188" i="19"/>
  <c r="AU238" i="19"/>
  <c r="AT269" i="19"/>
  <c r="AT281" i="19" s="1"/>
  <c r="AT287" i="19" s="1"/>
  <c r="L269" i="19"/>
  <c r="L281" i="19" s="1"/>
  <c r="AU269" i="19"/>
  <c r="AT238" i="19"/>
  <c r="AT280" i="19"/>
  <c r="AT286" i="19" s="1"/>
  <c r="EW207" i="19"/>
  <c r="AU268" i="19"/>
  <c r="AU244" i="19" s="1"/>
  <c r="EQ281" i="19"/>
  <c r="EQ287" i="19" s="1"/>
  <c r="AV165" i="19"/>
  <c r="AV207" i="19"/>
  <c r="FA21" i="19"/>
  <c r="FA289" i="19"/>
  <c r="FB271" i="19"/>
  <c r="FB283" i="19" s="1"/>
  <c r="EQ19" i="19"/>
  <c r="ER201" i="19"/>
  <c r="ER213" i="19" s="1"/>
  <c r="EQ219" i="19"/>
  <c r="EX206" i="19"/>
  <c r="AU239" i="19"/>
  <c r="AU281" i="19"/>
  <c r="EM11" i="19"/>
  <c r="EM29" i="19" s="1"/>
  <c r="EM35" i="19" s="1"/>
  <c r="EN125" i="19"/>
  <c r="EM143" i="19"/>
  <c r="AV238" i="19"/>
  <c r="AV280" i="19"/>
  <c r="AT165" i="19"/>
  <c r="AU165" i="19"/>
  <c r="AU207" i="19"/>
  <c r="ET132" i="19"/>
  <c r="FA206" i="19"/>
  <c r="EQ170" i="19"/>
  <c r="EQ194" i="19" s="1"/>
  <c r="EY170" i="19"/>
  <c r="EY194" i="19" s="1"/>
  <c r="EY206" i="19" s="1"/>
  <c r="ES170" i="19"/>
  <c r="ES194" i="19" s="1"/>
  <c r="FA170" i="19"/>
  <c r="FA194" i="19" s="1"/>
  <c r="ET170" i="19"/>
  <c r="ET194" i="19" s="1"/>
  <c r="AU194" i="19" s="1"/>
  <c r="AU170" i="19" s="1"/>
  <c r="FB170" i="19"/>
  <c r="FB194" i="19" s="1"/>
  <c r="EU170" i="19"/>
  <c r="EU194" i="19" s="1"/>
  <c r="EV170" i="19"/>
  <c r="EV194" i="19" s="1"/>
  <c r="EV206" i="19" s="1"/>
  <c r="ER170" i="19"/>
  <c r="ER194" i="19" s="1"/>
  <c r="ER206" i="19" s="1"/>
  <c r="EW170" i="19"/>
  <c r="EW194" i="19" s="1"/>
  <c r="EX170" i="19"/>
  <c r="EX194" i="19" s="1"/>
  <c r="EZ170" i="19"/>
  <c r="EZ194" i="19" s="1"/>
  <c r="EZ281" i="19"/>
  <c r="EW281" i="19"/>
  <c r="AT239" i="19"/>
  <c r="EO17" i="19"/>
  <c r="EP199" i="19"/>
  <c r="EP211" i="19" s="1"/>
  <c r="EO217" i="19"/>
  <c r="AU90" i="19"/>
  <c r="AU132" i="19"/>
  <c r="AW188" i="19"/>
  <c r="EZ206" i="19"/>
  <c r="AV188" i="19"/>
  <c r="AW239" i="19"/>
  <c r="AW281" i="19"/>
  <c r="AW268" i="19"/>
  <c r="AW244" i="19" s="1"/>
  <c r="AV239" i="19"/>
  <c r="AV281" i="19"/>
  <c r="AV120" i="19"/>
  <c r="AV96" i="19" s="1"/>
  <c r="EZ9" i="19"/>
  <c r="EZ27" i="19" s="1"/>
  <c r="EZ33" i="19" s="1"/>
  <c r="FA123" i="19"/>
  <c r="FA135" i="19" s="1"/>
  <c r="EZ141" i="19"/>
  <c r="AV90" i="19"/>
  <c r="EP22" i="19"/>
  <c r="K284" i="19"/>
  <c r="EQ272" i="19"/>
  <c r="EP290" i="19"/>
  <c r="AW9" i="19"/>
  <c r="AW27" i="19" s="1"/>
  <c r="AW33" i="19" s="1"/>
  <c r="AW141" i="19"/>
  <c r="FA15" i="19"/>
  <c r="FB197" i="19"/>
  <c r="FB209" i="19" s="1"/>
  <c r="FA215" i="19"/>
  <c r="L195" i="19"/>
  <c r="L207" i="19" s="1"/>
  <c r="AT195" i="19"/>
  <c r="AT207" i="19" s="1"/>
  <c r="AT213" i="19" s="1"/>
  <c r="EU206" i="19"/>
  <c r="EZ280" i="19"/>
  <c r="L120" i="19"/>
  <c r="L132" i="19" s="1"/>
  <c r="AT120" i="19"/>
  <c r="AT96" i="19" s="1"/>
  <c r="AW165" i="19"/>
  <c r="AW207" i="19"/>
  <c r="ES206" i="19"/>
  <c r="FB206" i="19"/>
  <c r="AW238" i="19"/>
  <c r="AW280" i="19"/>
  <c r="ER13" i="19"/>
  <c r="ES127" i="19"/>
  <c r="ES139" i="19" s="1"/>
  <c r="ER145" i="19"/>
  <c r="AW90" i="19"/>
  <c r="AW132" i="19"/>
  <c r="AW120" i="19"/>
  <c r="AW96" i="19" s="1"/>
  <c r="EP23" i="19"/>
  <c r="K285" i="19"/>
  <c r="EP291" i="19"/>
  <c r="EQ273" i="19"/>
  <c r="AS124" i="19"/>
  <c r="AS136" i="19" s="1"/>
  <c r="EN136" i="19"/>
  <c r="AT90" i="19"/>
  <c r="EQ24" i="19"/>
  <c r="ER274" i="19"/>
  <c r="ER286" i="19" s="1"/>
  <c r="EQ292" i="19"/>
  <c r="AU188" i="19"/>
  <c r="ET206" i="19"/>
  <c r="L268" i="19"/>
  <c r="L280" i="19" s="1"/>
  <c r="AT268" i="19"/>
  <c r="AT244" i="19" s="1"/>
  <c r="AT25" i="19" l="1"/>
  <c r="AT293" i="19"/>
  <c r="AT19" i="19"/>
  <c r="AT219" i="19"/>
  <c r="AT198" i="19"/>
  <c r="L198" i="19"/>
  <c r="ER19" i="19"/>
  <c r="ES201" i="19"/>
  <c r="ES213" i="19" s="1"/>
  <c r="ER219" i="19"/>
  <c r="AU280" i="19"/>
  <c r="AV194" i="19"/>
  <c r="AV170" i="19" s="1"/>
  <c r="EQ25" i="19"/>
  <c r="EQ31" i="19" s="1"/>
  <c r="EQ37" i="19" s="1"/>
  <c r="ER275" i="19"/>
  <c r="ER287" i="19" s="1"/>
  <c r="EQ293" i="19"/>
  <c r="AU164" i="19"/>
  <c r="AU206" i="19"/>
  <c r="K22" i="19"/>
  <c r="K290" i="19"/>
  <c r="L273" i="19"/>
  <c r="AT273" i="19"/>
  <c r="ES13" i="19"/>
  <c r="ET127" i="19"/>
  <c r="ES145" i="19"/>
  <c r="AW164" i="19"/>
  <c r="EP17" i="19"/>
  <c r="K211" i="19"/>
  <c r="EQ199" i="19"/>
  <c r="EP217" i="19"/>
  <c r="L194" i="19"/>
  <c r="L206" i="19" s="1"/>
  <c r="AT194" i="19"/>
  <c r="AT170" i="19" s="1"/>
  <c r="K16" i="19"/>
  <c r="K216" i="19"/>
  <c r="AS10" i="19"/>
  <c r="AS28" i="19" s="1"/>
  <c r="AS34" i="19" s="1"/>
  <c r="AS142" i="19"/>
  <c r="FB15" i="19"/>
  <c r="L209" i="19"/>
  <c r="L15" i="19" s="1"/>
  <c r="FB215" i="19"/>
  <c r="L215" i="19" s="1"/>
  <c r="AV132" i="19"/>
  <c r="AS125" i="19"/>
  <c r="AS137" i="19" s="1"/>
  <c r="EN137" i="19"/>
  <c r="FB21" i="19"/>
  <c r="L283" i="19"/>
  <c r="FB289" i="19"/>
  <c r="EQ206" i="19"/>
  <c r="EQ212" i="19" s="1"/>
  <c r="ER12" i="19"/>
  <c r="ES126" i="19"/>
  <c r="ES138" i="19" s="1"/>
  <c r="ER144" i="19"/>
  <c r="EW206" i="19"/>
  <c r="EN10" i="19"/>
  <c r="EN28" i="19" s="1"/>
  <c r="EN34" i="19" s="1"/>
  <c r="EO124" i="19"/>
  <c r="EO136" i="19" s="1"/>
  <c r="EN142" i="19"/>
  <c r="ER24" i="19"/>
  <c r="ES274" i="19"/>
  <c r="ES286" i="19" s="1"/>
  <c r="ER292" i="19"/>
  <c r="L272" i="19"/>
  <c r="AT272" i="19"/>
  <c r="AV164" i="19"/>
  <c r="AV206" i="19"/>
  <c r="K23" i="19"/>
  <c r="K291" i="19"/>
  <c r="L237" i="19" s="1"/>
  <c r="AW194" i="19"/>
  <c r="AW170" i="19" s="1"/>
  <c r="AT164" i="19"/>
  <c r="AT206" i="19"/>
  <c r="AT212" i="19" s="1"/>
  <c r="AT24" i="19"/>
  <c r="AT292" i="19"/>
  <c r="AT132" i="19"/>
  <c r="AT138" i="19" s="1"/>
  <c r="FA9" i="19"/>
  <c r="FA27" i="19" s="1"/>
  <c r="FA33" i="19" s="1"/>
  <c r="FA141" i="19"/>
  <c r="FB123" i="19"/>
  <c r="FB135" i="19" s="1"/>
  <c r="AT31" i="19"/>
  <c r="AT37" i="19" s="1"/>
  <c r="AU127" i="19" l="1"/>
  <c r="AU139" i="19" s="1"/>
  <c r="ET139" i="19"/>
  <c r="EO10" i="19"/>
  <c r="EO28" i="19" s="1"/>
  <c r="EO34" i="19" s="1"/>
  <c r="EP124" i="19"/>
  <c r="EP136" i="19" s="1"/>
  <c r="EO142" i="19"/>
  <c r="L21" i="19"/>
  <c r="L289" i="19"/>
  <c r="L199" i="19"/>
  <c r="AT199" i="19"/>
  <c r="ER25" i="19"/>
  <c r="ER31" i="19" s="1"/>
  <c r="ER37" i="19" s="1"/>
  <c r="ES275" i="19"/>
  <c r="ES287" i="19" s="1"/>
  <c r="ER293" i="19"/>
  <c r="K17" i="19"/>
  <c r="K217" i="19"/>
  <c r="L163" i="19" s="1"/>
  <c r="AT18" i="19"/>
  <c r="AT218" i="19"/>
  <c r="EN11" i="19"/>
  <c r="EN29" i="19" s="1"/>
  <c r="EN35" i="19" s="1"/>
  <c r="EO125" i="19"/>
  <c r="EO137" i="19" s="1"/>
  <c r="EN143" i="19"/>
  <c r="FB9" i="19"/>
  <c r="FB27" i="19" s="1"/>
  <c r="FB33" i="19" s="1"/>
  <c r="FB141" i="19"/>
  <c r="L141" i="19" s="1"/>
  <c r="L135" i="19"/>
  <c r="L9" i="19" s="1"/>
  <c r="EW237" i="19"/>
  <c r="L243" i="19"/>
  <c r="EX237" i="19"/>
  <c r="EQ237" i="19"/>
  <c r="EY237" i="19"/>
  <c r="ER237" i="19"/>
  <c r="EZ237" i="19"/>
  <c r="ES237" i="19"/>
  <c r="FA237" i="19"/>
  <c r="ET237" i="19"/>
  <c r="FB237" i="19"/>
  <c r="L236" i="19"/>
  <c r="EV237" i="19"/>
  <c r="EU237" i="19"/>
  <c r="AS11" i="19"/>
  <c r="AS29" i="19" s="1"/>
  <c r="AS35" i="19" s="1"/>
  <c r="AS143" i="19"/>
  <c r="AW206" i="19"/>
  <c r="ES12" i="19"/>
  <c r="ET126" i="19"/>
  <c r="ES144" i="19"/>
  <c r="EQ18" i="19"/>
  <c r="EQ30" i="19" s="1"/>
  <c r="EQ36" i="19" s="1"/>
  <c r="ER200" i="19"/>
  <c r="ER212" i="19" s="1"/>
  <c r="EQ218" i="19"/>
  <c r="AT12" i="19"/>
  <c r="AT30" i="19" s="1"/>
  <c r="AT36" i="19" s="1"/>
  <c r="AT144" i="19"/>
  <c r="ES24" i="19"/>
  <c r="ET274" i="19"/>
  <c r="ES292" i="19"/>
  <c r="ES19" i="19"/>
  <c r="ET201" i="19"/>
  <c r="ES219" i="19"/>
  <c r="EQ236" i="19" l="1"/>
  <c r="EQ260" i="19" s="1"/>
  <c r="EQ261" i="19"/>
  <c r="AU274" i="19"/>
  <c r="AU286" i="19" s="1"/>
  <c r="ET286" i="19"/>
  <c r="ET236" i="19"/>
  <c r="ET260" i="19" s="1"/>
  <c r="ET261" i="19"/>
  <c r="ET243" i="19"/>
  <c r="FB243" i="19"/>
  <c r="EU243" i="19"/>
  <c r="L242" i="19"/>
  <c r="EV243" i="19"/>
  <c r="EW243" i="19"/>
  <c r="EX243" i="19"/>
  <c r="EQ243" i="19"/>
  <c r="EY243" i="19"/>
  <c r="ES243" i="19"/>
  <c r="FA243" i="19"/>
  <c r="EZ243" i="19"/>
  <c r="ER243" i="19"/>
  <c r="ES25" i="19"/>
  <c r="ES31" i="19" s="1"/>
  <c r="ES37" i="19" s="1"/>
  <c r="ET275" i="19"/>
  <c r="ES293" i="19"/>
  <c r="FB236" i="19"/>
  <c r="FB260" i="19" s="1"/>
  <c r="FB261" i="19"/>
  <c r="FA236" i="19"/>
  <c r="FA260" i="19" s="1"/>
  <c r="FA261" i="19"/>
  <c r="EW236" i="19"/>
  <c r="EW260" i="19" s="1"/>
  <c r="EW261" i="19"/>
  <c r="EP10" i="19"/>
  <c r="EP28" i="19" s="1"/>
  <c r="EP34" i="19" s="1"/>
  <c r="EQ124" i="19"/>
  <c r="EP142" i="19"/>
  <c r="K136" i="19"/>
  <c r="EO11" i="19"/>
  <c r="EO29" i="19" s="1"/>
  <c r="EO35" i="19" s="1"/>
  <c r="EP125" i="19"/>
  <c r="EP137" i="19" s="1"/>
  <c r="EO143" i="19"/>
  <c r="ES236" i="19"/>
  <c r="ES260" i="19" s="1"/>
  <c r="ES261" i="19"/>
  <c r="L27" i="19"/>
  <c r="L33" i="19" s="1"/>
  <c r="EX236" i="19"/>
  <c r="EX260" i="19" s="1"/>
  <c r="EX261" i="19"/>
  <c r="AU201" i="19"/>
  <c r="AU213" i="19" s="1"/>
  <c r="ET213" i="19"/>
  <c r="EZ236" i="19"/>
  <c r="EZ260" i="19" s="1"/>
  <c r="EZ261" i="19"/>
  <c r="ER18" i="19"/>
  <c r="ER30" i="19" s="1"/>
  <c r="ER36" i="19" s="1"/>
  <c r="ES200" i="19"/>
  <c r="ES212" i="19" s="1"/>
  <c r="ER218" i="19"/>
  <c r="EU236" i="19"/>
  <c r="EU260" i="19" s="1"/>
  <c r="EU261" i="19"/>
  <c r="ER236" i="19"/>
  <c r="ER260" i="19" s="1"/>
  <c r="ER261" i="19"/>
  <c r="ER163" i="19"/>
  <c r="EZ163" i="19"/>
  <c r="ET163" i="19"/>
  <c r="FB163" i="19"/>
  <c r="EU163" i="19"/>
  <c r="L162" i="19"/>
  <c r="EV163" i="19"/>
  <c r="EW163" i="19"/>
  <c r="L169" i="19"/>
  <c r="EQ163" i="19"/>
  <c r="ES163" i="19"/>
  <c r="EX163" i="19"/>
  <c r="FA163" i="19"/>
  <c r="EY163" i="19"/>
  <c r="ET13" i="19"/>
  <c r="EU127" i="19"/>
  <c r="EU139" i="19" s="1"/>
  <c r="ET145" i="19"/>
  <c r="AU126" i="19"/>
  <c r="AU138" i="19" s="1"/>
  <c r="ET138" i="19"/>
  <c r="EV236" i="19"/>
  <c r="EV260" i="19" s="1"/>
  <c r="EV261" i="19"/>
  <c r="EY236" i="19"/>
  <c r="EY260" i="19" s="1"/>
  <c r="EY261" i="19"/>
  <c r="AU13" i="19"/>
  <c r="AU145" i="19"/>
  <c r="EQ162" i="19" l="1"/>
  <c r="EQ186" i="19" s="1"/>
  <c r="EQ187" i="19"/>
  <c r="EZ162" i="19"/>
  <c r="EZ186" i="19" s="1"/>
  <c r="EZ187" i="19"/>
  <c r="AU275" i="19"/>
  <c r="AU287" i="19" s="1"/>
  <c r="ET287" i="19"/>
  <c r="EX242" i="19"/>
  <c r="EX266" i="19" s="1"/>
  <c r="EX267" i="19"/>
  <c r="AU260" i="19"/>
  <c r="EU13" i="19"/>
  <c r="EV127" i="19"/>
  <c r="EV139" i="19" s="1"/>
  <c r="EU145" i="19"/>
  <c r="AV261" i="19"/>
  <c r="EW162" i="19"/>
  <c r="EW186" i="19" s="1"/>
  <c r="EW187" i="19"/>
  <c r="ER279" i="19"/>
  <c r="AW260" i="19"/>
  <c r="AV260" i="19"/>
  <c r="ER242" i="19"/>
  <c r="ER266" i="19" s="1"/>
  <c r="ER267" i="19"/>
  <c r="EV242" i="19"/>
  <c r="EV266" i="19" s="1"/>
  <c r="EV267" i="19"/>
  <c r="ET24" i="19"/>
  <c r="EU274" i="19"/>
  <c r="EU286" i="19" s="1"/>
  <c r="ET292" i="19"/>
  <c r="ER162" i="19"/>
  <c r="ER186" i="19" s="1"/>
  <c r="ER187" i="19"/>
  <c r="EV162" i="19"/>
  <c r="EV186" i="19" s="1"/>
  <c r="EV187" i="19"/>
  <c r="ER278" i="19"/>
  <c r="ET19" i="19"/>
  <c r="EU201" i="19"/>
  <c r="EU213" i="19" s="1"/>
  <c r="ET219" i="19"/>
  <c r="EP11" i="19"/>
  <c r="EP29" i="19" s="1"/>
  <c r="EP35" i="19" s="1"/>
  <c r="EQ125" i="19"/>
  <c r="EP143" i="19"/>
  <c r="K137" i="19"/>
  <c r="EZ242" i="19"/>
  <c r="EZ266" i="19" s="1"/>
  <c r="EZ267" i="19"/>
  <c r="AW267" i="19" s="1"/>
  <c r="AW243" i="19" s="1"/>
  <c r="AU24" i="19"/>
  <c r="AU292" i="19"/>
  <c r="EW169" i="19"/>
  <c r="EQ169" i="19"/>
  <c r="EY169" i="19"/>
  <c r="ER169" i="19"/>
  <c r="EZ169" i="19"/>
  <c r="ES169" i="19"/>
  <c r="FA169" i="19"/>
  <c r="ET169" i="19"/>
  <c r="FB169" i="19"/>
  <c r="L168" i="19"/>
  <c r="EU169" i="19"/>
  <c r="EV169" i="19"/>
  <c r="EX169" i="19"/>
  <c r="EY162" i="19"/>
  <c r="EY186" i="19" s="1"/>
  <c r="EY187" i="19"/>
  <c r="AU19" i="19"/>
  <c r="AU219" i="19"/>
  <c r="FA242" i="19"/>
  <c r="FA266" i="19" s="1"/>
  <c r="FA278" i="19" s="1"/>
  <c r="FA267" i="19"/>
  <c r="FA279" i="19" s="1"/>
  <c r="EU242" i="19"/>
  <c r="EU266" i="19" s="1"/>
  <c r="EU278" i="19" s="1"/>
  <c r="EU267" i="19"/>
  <c r="EU279" i="19" s="1"/>
  <c r="AT261" i="19"/>
  <c r="L261" i="19"/>
  <c r="EX279" i="19"/>
  <c r="K10" i="19"/>
  <c r="K28" i="19" s="1"/>
  <c r="K142" i="19"/>
  <c r="FB279" i="19"/>
  <c r="ES242" i="19"/>
  <c r="ES266" i="19" s="1"/>
  <c r="ES278" i="19" s="1"/>
  <c r="ES267" i="19"/>
  <c r="ES279" i="19" s="1"/>
  <c r="FB242" i="19"/>
  <c r="FB266" i="19" s="1"/>
  <c r="FB267" i="19"/>
  <c r="AT260" i="19"/>
  <c r="L260" i="19"/>
  <c r="EW242" i="19"/>
  <c r="EW266" i="19" s="1"/>
  <c r="AV266" i="19" s="1"/>
  <c r="AV242" i="19" s="1"/>
  <c r="EW267" i="19"/>
  <c r="AV267" i="19" s="1"/>
  <c r="AV243" i="19" s="1"/>
  <c r="EV279" i="19"/>
  <c r="FA162" i="19"/>
  <c r="FA186" i="19" s="1"/>
  <c r="FA187" i="19"/>
  <c r="FB162" i="19"/>
  <c r="FB186" i="19" s="1"/>
  <c r="FB187" i="19"/>
  <c r="EX278" i="19"/>
  <c r="FB278" i="19"/>
  <c r="EY242" i="19"/>
  <c r="EY266" i="19" s="1"/>
  <c r="EY278" i="19" s="1"/>
  <c r="EY267" i="19"/>
  <c r="EY279" i="19" s="1"/>
  <c r="ET242" i="19"/>
  <c r="ET266" i="19" s="1"/>
  <c r="ET267" i="19"/>
  <c r="AU267" i="19" s="1"/>
  <c r="AU243" i="19" s="1"/>
  <c r="AW261" i="19"/>
  <c r="EV278" i="19"/>
  <c r="EU162" i="19"/>
  <c r="EU186" i="19" s="1"/>
  <c r="EU187" i="19"/>
  <c r="ET12" i="19"/>
  <c r="EU126" i="19"/>
  <c r="EU138" i="19" s="1"/>
  <c r="ET144" i="19"/>
  <c r="EX162" i="19"/>
  <c r="EX186" i="19" s="1"/>
  <c r="EX187" i="19"/>
  <c r="AU12" i="19"/>
  <c r="AU144" i="19"/>
  <c r="ES162" i="19"/>
  <c r="ES186" i="19" s="1"/>
  <c r="ES187" i="19"/>
  <c r="ET162" i="19"/>
  <c r="ET186" i="19" s="1"/>
  <c r="ET187" i="19"/>
  <c r="ES18" i="19"/>
  <c r="ES30" i="19" s="1"/>
  <c r="ES36" i="19" s="1"/>
  <c r="ET200" i="19"/>
  <c r="ES218" i="19"/>
  <c r="AT124" i="19"/>
  <c r="L124" i="19"/>
  <c r="EQ242" i="19"/>
  <c r="EQ266" i="19" s="1"/>
  <c r="EQ267" i="19"/>
  <c r="AU261" i="19"/>
  <c r="K34" i="19" l="1"/>
  <c r="FH6" i="25"/>
  <c r="FA168" i="19"/>
  <c r="FA192" i="19" s="1"/>
  <c r="FA193" i="19"/>
  <c r="FA205" i="19" s="1"/>
  <c r="EW278" i="19"/>
  <c r="EW279" i="19"/>
  <c r="EU19" i="19"/>
  <c r="EV201" i="19"/>
  <c r="EV213" i="19" s="1"/>
  <c r="EU219" i="19"/>
  <c r="AV237" i="19"/>
  <c r="AV279" i="19"/>
  <c r="ET25" i="19"/>
  <c r="ET31" i="19" s="1"/>
  <c r="ET37" i="19" s="1"/>
  <c r="EU275" i="19"/>
  <c r="EU287" i="19" s="1"/>
  <c r="ET293" i="19"/>
  <c r="L266" i="19"/>
  <c r="L278" i="19" s="1"/>
  <c r="AT266" i="19"/>
  <c r="AT242" i="19" s="1"/>
  <c r="AU186" i="19"/>
  <c r="EU12" i="19"/>
  <c r="EV126" i="19"/>
  <c r="EV138" i="19" s="1"/>
  <c r="EU144" i="19"/>
  <c r="EX168" i="19"/>
  <c r="EX192" i="19" s="1"/>
  <c r="EX204" i="19" s="1"/>
  <c r="EX193" i="19"/>
  <c r="EZ168" i="19"/>
  <c r="EZ192" i="19" s="1"/>
  <c r="EZ193" i="19"/>
  <c r="AW266" i="19"/>
  <c r="AW242" i="19" s="1"/>
  <c r="EU24" i="19"/>
  <c r="EV274" i="19"/>
  <c r="EV286" i="19" s="1"/>
  <c r="EU292" i="19"/>
  <c r="EZ278" i="19"/>
  <c r="AU25" i="19"/>
  <c r="AU31" i="19" s="1"/>
  <c r="AU37" i="19" s="1"/>
  <c r="AU293" i="19"/>
  <c r="ES168" i="19"/>
  <c r="ES192" i="19" s="1"/>
  <c r="ES193" i="19"/>
  <c r="AU266" i="19"/>
  <c r="AU242" i="19" s="1"/>
  <c r="FA204" i="19"/>
  <c r="EV168" i="19"/>
  <c r="EV192" i="19" s="1"/>
  <c r="EV193" i="19"/>
  <c r="ER168" i="19"/>
  <c r="ER192" i="19" s="1"/>
  <c r="ER204" i="19" s="1"/>
  <c r="ER193" i="19"/>
  <c r="AW236" i="19"/>
  <c r="EV13" i="19"/>
  <c r="EW127" i="19"/>
  <c r="EV145" i="19"/>
  <c r="FB204" i="19"/>
  <c r="ES205" i="19"/>
  <c r="ES204" i="19"/>
  <c r="EU168" i="19"/>
  <c r="EU192" i="19" s="1"/>
  <c r="EU193" i="19"/>
  <c r="EU205" i="19" s="1"/>
  <c r="EY168" i="19"/>
  <c r="EY192" i="19" s="1"/>
  <c r="EY204" i="19" s="1"/>
  <c r="EY193" i="19"/>
  <c r="EY205" i="19" s="1"/>
  <c r="K11" i="19"/>
  <c r="K29" i="19" s="1"/>
  <c r="K143" i="19"/>
  <c r="L89" i="19" s="1"/>
  <c r="EV205" i="19"/>
  <c r="AW187" i="19"/>
  <c r="EZ205" i="19"/>
  <c r="AU237" i="19"/>
  <c r="AU279" i="19"/>
  <c r="AW237" i="19"/>
  <c r="AW279" i="19"/>
  <c r="L267" i="19"/>
  <c r="L279" i="19" s="1"/>
  <c r="AT267" i="19"/>
  <c r="AT243" i="19" s="1"/>
  <c r="AT236" i="19"/>
  <c r="AT278" i="19"/>
  <c r="AT284" i="19" s="1"/>
  <c r="AV236" i="19"/>
  <c r="AV278" i="19"/>
  <c r="EU204" i="19"/>
  <c r="EQ279" i="19"/>
  <c r="EQ285" i="19" s="1"/>
  <c r="EQ168" i="19"/>
  <c r="EQ192" i="19" s="1"/>
  <c r="EQ193" i="19"/>
  <c r="EV204" i="19"/>
  <c r="AV187" i="19"/>
  <c r="ET278" i="19"/>
  <c r="AW186" i="19"/>
  <c r="EZ204" i="19"/>
  <c r="FB168" i="19"/>
  <c r="FB192" i="19" s="1"/>
  <c r="FB193" i="19"/>
  <c r="EW168" i="19"/>
  <c r="EW192" i="19" s="1"/>
  <c r="AV192" i="19" s="1"/>
  <c r="AV168" i="19" s="1"/>
  <c r="EW193" i="19"/>
  <c r="AV193" i="19" s="1"/>
  <c r="AV169" i="19" s="1"/>
  <c r="AT125" i="19"/>
  <c r="L125" i="19"/>
  <c r="AV186" i="19"/>
  <c r="AU236" i="19"/>
  <c r="AU278" i="19"/>
  <c r="L187" i="19"/>
  <c r="AT187" i="19"/>
  <c r="EQ205" i="19"/>
  <c r="EQ211" i="19" s="1"/>
  <c r="FB205" i="19"/>
  <c r="AU187" i="19"/>
  <c r="ET279" i="19"/>
  <c r="AU200" i="19"/>
  <c r="AU212" i="19" s="1"/>
  <c r="ET212" i="19"/>
  <c r="EX205" i="19"/>
  <c r="EZ279" i="19"/>
  <c r="EQ278" i="19"/>
  <c r="EQ284" i="19" s="1"/>
  <c r="AT237" i="19"/>
  <c r="AT279" i="19"/>
  <c r="AT285" i="19" s="1"/>
  <c r="ET168" i="19"/>
  <c r="ET192" i="19" s="1"/>
  <c r="AU192" i="19" s="1"/>
  <c r="AU168" i="19" s="1"/>
  <c r="ET193" i="19"/>
  <c r="AU193" i="19" s="1"/>
  <c r="AU169" i="19" s="1"/>
  <c r="ER205" i="19"/>
  <c r="AT186" i="19"/>
  <c r="L186" i="19"/>
  <c r="EQ204" i="19"/>
  <c r="EQ210" i="19" s="1"/>
  <c r="EU31" i="19" l="1"/>
  <c r="EU37" i="19" s="1"/>
  <c r="AT162" i="19"/>
  <c r="EQ17" i="19"/>
  <c r="ER199" i="19"/>
  <c r="ER211" i="19" s="1"/>
  <c r="EQ217" i="19"/>
  <c r="AW162" i="19"/>
  <c r="AW204" i="19"/>
  <c r="EW89" i="19"/>
  <c r="L95" i="19"/>
  <c r="EX89" i="19"/>
  <c r="EQ89" i="19"/>
  <c r="EY89" i="19"/>
  <c r="ER89" i="19"/>
  <c r="EZ89" i="19"/>
  <c r="ES89" i="19"/>
  <c r="FA89" i="19"/>
  <c r="L88" i="19"/>
  <c r="ET89" i="19"/>
  <c r="EU89" i="19"/>
  <c r="EV89" i="19"/>
  <c r="FB89" i="19"/>
  <c r="AW193" i="19"/>
  <c r="AW169" i="19" s="1"/>
  <c r="ET204" i="19"/>
  <c r="EQ23" i="19"/>
  <c r="ER273" i="19"/>
  <c r="ER285" i="19" s="1"/>
  <c r="EQ291" i="19"/>
  <c r="ET18" i="19"/>
  <c r="ET30" i="19" s="1"/>
  <c r="ET36" i="19" s="1"/>
  <c r="EU200" i="19"/>
  <c r="EU212" i="19" s="1"/>
  <c r="ET218" i="19"/>
  <c r="AT163" i="19"/>
  <c r="AT205" i="19"/>
  <c r="AT211" i="19" s="1"/>
  <c r="K35" i="19"/>
  <c r="FH7" i="25"/>
  <c r="AW192" i="19"/>
  <c r="AW168" i="19" s="1"/>
  <c r="AU162" i="19"/>
  <c r="AU204" i="19"/>
  <c r="EW205" i="19"/>
  <c r="EV19" i="19"/>
  <c r="EV219" i="19"/>
  <c r="EW201" i="19"/>
  <c r="FH10" i="25"/>
  <c r="AV127" i="19"/>
  <c r="AV139" i="19" s="1"/>
  <c r="EW139" i="19"/>
  <c r="AT22" i="19"/>
  <c r="AT290" i="19"/>
  <c r="AV163" i="19"/>
  <c r="AV205" i="19"/>
  <c r="ET205" i="19"/>
  <c r="L193" i="19"/>
  <c r="L205" i="19" s="1"/>
  <c r="AT193" i="19"/>
  <c r="AT169" i="19" s="1"/>
  <c r="AW163" i="19"/>
  <c r="AW205" i="19"/>
  <c r="AW278" i="19"/>
  <c r="EV24" i="19"/>
  <c r="EW274" i="19"/>
  <c r="EV292" i="19"/>
  <c r="EU25" i="19"/>
  <c r="EV275" i="19"/>
  <c r="EV287" i="19" s="1"/>
  <c r="EU293" i="19"/>
  <c r="AU18" i="19"/>
  <c r="AU30" i="19" s="1"/>
  <c r="AU36" i="19" s="1"/>
  <c r="AU218" i="19"/>
  <c r="AT23" i="19"/>
  <c r="AT291" i="19"/>
  <c r="EW204" i="19"/>
  <c r="EQ16" i="19"/>
  <c r="EQ216" i="19"/>
  <c r="ER198" i="19"/>
  <c r="ER210" i="19" s="1"/>
  <c r="EQ22" i="19"/>
  <c r="ER272" i="19"/>
  <c r="ER284" i="19" s="1"/>
  <c r="EQ290" i="19"/>
  <c r="AU163" i="19"/>
  <c r="AU205" i="19"/>
  <c r="AV162" i="19"/>
  <c r="AV204" i="19"/>
  <c r="L192" i="19"/>
  <c r="L204" i="19" s="1"/>
  <c r="AT192" i="19"/>
  <c r="AT168" i="19" s="1"/>
  <c r="EV12" i="19"/>
  <c r="EW126" i="19"/>
  <c r="EV144" i="19"/>
  <c r="ER16" i="19" l="1"/>
  <c r="ES198" i="19"/>
  <c r="ES210" i="19" s="1"/>
  <c r="ER216" i="19"/>
  <c r="EV25" i="19"/>
  <c r="EV31" i="19" s="1"/>
  <c r="EV37" i="19" s="1"/>
  <c r="EW275" i="19"/>
  <c r="EV293" i="19"/>
  <c r="EW13" i="19"/>
  <c r="EW145" i="19"/>
  <c r="EX127" i="19"/>
  <c r="EX139" i="19" s="1"/>
  <c r="EZ88" i="19"/>
  <c r="EZ112" i="19" s="1"/>
  <c r="EZ113" i="19"/>
  <c r="AT17" i="19"/>
  <c r="AT217" i="19"/>
  <c r="AV13" i="19"/>
  <c r="AV145" i="19"/>
  <c r="FB88" i="19"/>
  <c r="FB112" i="19" s="1"/>
  <c r="FB113" i="19"/>
  <c r="ER88" i="19"/>
  <c r="ER112" i="19" s="1"/>
  <c r="ER113" i="19"/>
  <c r="EU18" i="19"/>
  <c r="EU30" i="19" s="1"/>
  <c r="EU36" i="19" s="1"/>
  <c r="EV200" i="19"/>
  <c r="EV212" i="19" s="1"/>
  <c r="EU218" i="19"/>
  <c r="EV88" i="19"/>
  <c r="EV112" i="19" s="1"/>
  <c r="EV113" i="19"/>
  <c r="EY88" i="19"/>
  <c r="EY112" i="19" s="1"/>
  <c r="EY113" i="19"/>
  <c r="ER17" i="19"/>
  <c r="ES199" i="19"/>
  <c r="ES211" i="19" s="1"/>
  <c r="ER217" i="19"/>
  <c r="EU88" i="19"/>
  <c r="EU112" i="19" s="1"/>
  <c r="EU113" i="19"/>
  <c r="EQ88" i="19"/>
  <c r="EQ112" i="19" s="1"/>
  <c r="EQ113" i="19"/>
  <c r="AV126" i="19"/>
  <c r="AV138" i="19" s="1"/>
  <c r="EW138" i="19"/>
  <c r="EW213" i="19"/>
  <c r="AV201" i="19"/>
  <c r="AV213" i="19" s="1"/>
  <c r="ET88" i="19"/>
  <c r="ET112" i="19" s="1"/>
  <c r="ET113" i="19"/>
  <c r="EX88" i="19"/>
  <c r="EX112" i="19" s="1"/>
  <c r="EX113" i="19"/>
  <c r="AT204" i="19"/>
  <c r="AT210" i="19" s="1"/>
  <c r="ES88" i="19"/>
  <c r="ES112" i="19" s="1"/>
  <c r="ES113" i="19"/>
  <c r="ER22" i="19"/>
  <c r="ES272" i="19"/>
  <c r="ES284" i="19" s="1"/>
  <c r="ER290" i="19"/>
  <c r="ER23" i="19"/>
  <c r="ES273" i="19"/>
  <c r="ES285" i="19" s="1"/>
  <c r="ER291" i="19"/>
  <c r="ET95" i="19"/>
  <c r="FB95" i="19"/>
  <c r="EU95" i="19"/>
  <c r="L94" i="19"/>
  <c r="EV95" i="19"/>
  <c r="EW95" i="19"/>
  <c r="EX95" i="19"/>
  <c r="EQ95" i="19"/>
  <c r="ER95" i="19"/>
  <c r="ES95" i="19"/>
  <c r="EY95" i="19"/>
  <c r="EZ95" i="19"/>
  <c r="FA95" i="19"/>
  <c r="AV274" i="19"/>
  <c r="AV286" i="19" s="1"/>
  <c r="EW286" i="19"/>
  <c r="FA88" i="19"/>
  <c r="FA112" i="19" s="1"/>
  <c r="FA113" i="19"/>
  <c r="EW88" i="19"/>
  <c r="EW112" i="19" s="1"/>
  <c r="EW113" i="19"/>
  <c r="EZ94" i="19" l="1"/>
  <c r="EZ118" i="19" s="1"/>
  <c r="EZ119" i="19"/>
  <c r="ES22" i="19"/>
  <c r="ET272" i="19"/>
  <c r="ES290" i="19"/>
  <c r="AU113" i="19"/>
  <c r="ET131" i="19"/>
  <c r="ES94" i="19"/>
  <c r="ES118" i="19" s="1"/>
  <c r="ES119" i="19"/>
  <c r="FB94" i="19"/>
  <c r="FB118" i="19" s="1"/>
  <c r="FB119" i="19"/>
  <c r="FB131" i="19" s="1"/>
  <c r="AV19" i="19"/>
  <c r="AV219" i="19"/>
  <c r="EV18" i="19"/>
  <c r="EV30" i="19" s="1"/>
  <c r="EV36" i="19" s="1"/>
  <c r="EW200" i="19"/>
  <c r="EV218" i="19"/>
  <c r="EW287" i="19"/>
  <c r="AV275" i="19"/>
  <c r="AV287" i="19" s="1"/>
  <c r="AV113" i="19"/>
  <c r="ER94" i="19"/>
  <c r="ER118" i="19" s="1"/>
  <c r="ER119" i="19"/>
  <c r="ET94" i="19"/>
  <c r="ET118" i="19" s="1"/>
  <c r="ET119" i="19"/>
  <c r="ES131" i="19"/>
  <c r="EW19" i="19"/>
  <c r="EW219" i="19"/>
  <c r="EX201" i="19"/>
  <c r="EX213" i="19" s="1"/>
  <c r="ES17" i="19"/>
  <c r="ET199" i="19"/>
  <c r="ES217" i="19"/>
  <c r="AU112" i="19"/>
  <c r="ET130" i="19"/>
  <c r="EQ94" i="19"/>
  <c r="EQ118" i="19" s="1"/>
  <c r="EQ119" i="19"/>
  <c r="ES130" i="19"/>
  <c r="EW12" i="19"/>
  <c r="EX126" i="19"/>
  <c r="EX138" i="19" s="1"/>
  <c r="EW144" i="19"/>
  <c r="ER131" i="19"/>
  <c r="AW113" i="19"/>
  <c r="EZ131" i="19"/>
  <c r="EY94" i="19"/>
  <c r="EY118" i="19" s="1"/>
  <c r="EY119" i="19"/>
  <c r="EX94" i="19"/>
  <c r="EX118" i="19" s="1"/>
  <c r="EX119" i="19"/>
  <c r="ES23" i="19"/>
  <c r="ET273" i="19"/>
  <c r="ES291" i="19"/>
  <c r="AT16" i="19"/>
  <c r="AT216" i="19"/>
  <c r="AV12" i="19"/>
  <c r="AV144" i="19"/>
  <c r="EY131" i="19"/>
  <c r="ER130" i="19"/>
  <c r="AW112" i="19"/>
  <c r="EZ130" i="19"/>
  <c r="ES16" i="19"/>
  <c r="ET198" i="19"/>
  <c r="ES216" i="19"/>
  <c r="AV112" i="19"/>
  <c r="EW130" i="19"/>
  <c r="EW24" i="19"/>
  <c r="EX274" i="19"/>
  <c r="EX286" i="19" s="1"/>
  <c r="EW292" i="19"/>
  <c r="AV24" i="19"/>
  <c r="AV292" i="19"/>
  <c r="EW94" i="19"/>
  <c r="EW118" i="19" s="1"/>
  <c r="AV118" i="19" s="1"/>
  <c r="AV94" i="19" s="1"/>
  <c r="EW119" i="19"/>
  <c r="AV119" i="19" s="1"/>
  <c r="AV95" i="19" s="1"/>
  <c r="EX131" i="19"/>
  <c r="L113" i="19"/>
  <c r="AT113" i="19"/>
  <c r="EQ131" i="19"/>
  <c r="EQ137" i="19" s="1"/>
  <c r="EY130" i="19"/>
  <c r="EX13" i="19"/>
  <c r="EY127" i="19"/>
  <c r="EY139" i="19" s="1"/>
  <c r="EX145" i="19"/>
  <c r="EU94" i="19"/>
  <c r="EU118" i="19" s="1"/>
  <c r="EU130" i="19" s="1"/>
  <c r="EU119" i="19"/>
  <c r="EU131" i="19" s="1"/>
  <c r="FA94" i="19"/>
  <c r="FA118" i="19" s="1"/>
  <c r="FA130" i="19" s="1"/>
  <c r="FA119" i="19"/>
  <c r="FA131" i="19" s="1"/>
  <c r="EV94" i="19"/>
  <c r="EV118" i="19" s="1"/>
  <c r="EV130" i="19" s="1"/>
  <c r="EV119" i="19"/>
  <c r="EX130" i="19"/>
  <c r="L112" i="19"/>
  <c r="AT112" i="19"/>
  <c r="EQ130" i="19"/>
  <c r="EQ136" i="19" s="1"/>
  <c r="EV131" i="19"/>
  <c r="FB130" i="19"/>
  <c r="EQ11" i="19" l="1"/>
  <c r="EQ29" i="19" s="1"/>
  <c r="EQ35" i="19" s="1"/>
  <c r="ER125" i="19"/>
  <c r="ER137" i="19" s="1"/>
  <c r="EQ143" i="19"/>
  <c r="L118" i="19"/>
  <c r="L130" i="19" s="1"/>
  <c r="AT118" i="19"/>
  <c r="AT94" i="19" s="1"/>
  <c r="EW131" i="19"/>
  <c r="AV25" i="19"/>
  <c r="AV31" i="19" s="1"/>
  <c r="AV37" i="19" s="1"/>
  <c r="AV293" i="19"/>
  <c r="AU89" i="19"/>
  <c r="AU88" i="19"/>
  <c r="AU119" i="19"/>
  <c r="AU95" i="19" s="1"/>
  <c r="EW25" i="19"/>
  <c r="EW31" i="19" s="1"/>
  <c r="EW37" i="19" s="1"/>
  <c r="EX275" i="19"/>
  <c r="EX287" i="19" s="1"/>
  <c r="EW293" i="19"/>
  <c r="EQ10" i="19"/>
  <c r="EQ28" i="19" s="1"/>
  <c r="EQ34" i="19" s="1"/>
  <c r="ER124" i="19"/>
  <c r="ER136" i="19" s="1"/>
  <c r="EQ142" i="19"/>
  <c r="EX24" i="19"/>
  <c r="EY274" i="19"/>
  <c r="EY286" i="19" s="1"/>
  <c r="EX292" i="19"/>
  <c r="AW89" i="19"/>
  <c r="AV89" i="19"/>
  <c r="AV131" i="19"/>
  <c r="AT88" i="19"/>
  <c r="AT130" i="19"/>
  <c r="AT136" i="19" s="1"/>
  <c r="AV88" i="19"/>
  <c r="AV130" i="19"/>
  <c r="EX12" i="19"/>
  <c r="EX144" i="19"/>
  <c r="EY126" i="19"/>
  <c r="EY138" i="19" s="1"/>
  <c r="AU118" i="19"/>
  <c r="AU94" i="19" s="1"/>
  <c r="AU272" i="19"/>
  <c r="AU284" i="19" s="1"/>
  <c r="ET284" i="19"/>
  <c r="AU199" i="19"/>
  <c r="AU211" i="19" s="1"/>
  <c r="ET211" i="19"/>
  <c r="AV200" i="19"/>
  <c r="AV212" i="19" s="1"/>
  <c r="EW212" i="19"/>
  <c r="AT89" i="19"/>
  <c r="AT131" i="19"/>
  <c r="AT137" i="19" s="1"/>
  <c r="AU273" i="19"/>
  <c r="AU285" i="19" s="1"/>
  <c r="ET285" i="19"/>
  <c r="EY13" i="19"/>
  <c r="EY145" i="19"/>
  <c r="EZ127" i="19"/>
  <c r="AW119" i="19"/>
  <c r="AW95" i="19" s="1"/>
  <c r="AW88" i="19"/>
  <c r="AU198" i="19"/>
  <c r="AU210" i="19" s="1"/>
  <c r="ET210" i="19"/>
  <c r="L119" i="19"/>
  <c r="L131" i="19" s="1"/>
  <c r="AT119" i="19"/>
  <c r="AT95" i="19" s="1"/>
  <c r="EX19" i="19"/>
  <c r="EX219" i="19"/>
  <c r="EY201" i="19"/>
  <c r="EY213" i="19" s="1"/>
  <c r="AW118" i="19"/>
  <c r="AW94" i="19" s="1"/>
  <c r="AW130" i="19" l="1"/>
  <c r="AU23" i="19"/>
  <c r="AU291" i="19"/>
  <c r="ET22" i="19"/>
  <c r="EU272" i="19"/>
  <c r="EU284" i="19" s="1"/>
  <c r="ET290" i="19"/>
  <c r="AT10" i="19"/>
  <c r="AT28" i="19" s="1"/>
  <c r="AT34" i="19" s="1"/>
  <c r="AT142" i="19"/>
  <c r="AU130" i="19"/>
  <c r="AU22" i="19"/>
  <c r="AU290" i="19"/>
  <c r="ER10" i="19"/>
  <c r="ER28" i="19" s="1"/>
  <c r="ER34" i="19" s="1"/>
  <c r="ER142" i="19"/>
  <c r="ES124" i="19"/>
  <c r="ES136" i="19" s="1"/>
  <c r="EY19" i="19"/>
  <c r="EZ201" i="19"/>
  <c r="EY219" i="19"/>
  <c r="EZ139" i="19"/>
  <c r="AW127" i="19"/>
  <c r="AW139" i="19" s="1"/>
  <c r="ET17" i="19"/>
  <c r="EU199" i="19"/>
  <c r="EU211" i="19" s="1"/>
  <c r="ET217" i="19"/>
  <c r="AU131" i="19"/>
  <c r="ER11" i="19"/>
  <c r="ER29" i="19" s="1"/>
  <c r="ER35" i="19" s="1"/>
  <c r="ES125" i="19"/>
  <c r="ES137" i="19" s="1"/>
  <c r="ER143" i="19"/>
  <c r="ET16" i="19"/>
  <c r="EU198" i="19"/>
  <c r="EU210" i="19" s="1"/>
  <c r="ET216" i="19"/>
  <c r="AU17" i="19"/>
  <c r="AU217" i="19"/>
  <c r="AT11" i="19"/>
  <c r="AT29" i="19" s="1"/>
  <c r="AT35" i="19" s="1"/>
  <c r="AT143" i="19"/>
  <c r="EY24" i="19"/>
  <c r="EZ274" i="19"/>
  <c r="EY292" i="19"/>
  <c r="EW18" i="19"/>
  <c r="EW30" i="19" s="1"/>
  <c r="EW36" i="19" s="1"/>
  <c r="EW218" i="19"/>
  <c r="EX200" i="19"/>
  <c r="EX212" i="19" s="1"/>
  <c r="AV18" i="19"/>
  <c r="AV30" i="19" s="1"/>
  <c r="AV36" i="19" s="1"/>
  <c r="AV218" i="19"/>
  <c r="EY12" i="19"/>
  <c r="EZ126" i="19"/>
  <c r="EY144" i="19"/>
  <c r="AW131" i="19"/>
  <c r="AU16" i="19"/>
  <c r="AU216" i="19"/>
  <c r="ET23" i="19"/>
  <c r="ET291" i="19"/>
  <c r="EU273" i="19"/>
  <c r="EU285" i="19" s="1"/>
  <c r="EX25" i="19"/>
  <c r="EX31" i="19" s="1"/>
  <c r="EX37" i="19" s="1"/>
  <c r="EY275" i="19"/>
  <c r="EY287" i="19" s="1"/>
  <c r="EX293" i="19"/>
  <c r="EU17" i="19" l="1"/>
  <c r="EV199" i="19"/>
  <c r="EV211" i="19" s="1"/>
  <c r="EU217" i="19"/>
  <c r="EU22" i="19"/>
  <c r="EU290" i="19"/>
  <c r="EV272" i="19"/>
  <c r="EV284" i="19" s="1"/>
  <c r="EU16" i="19"/>
  <c r="EV198" i="19"/>
  <c r="EV210" i="19" s="1"/>
  <c r="EU216" i="19"/>
  <c r="EX18" i="19"/>
  <c r="EX30" i="19" s="1"/>
  <c r="EX36" i="19" s="1"/>
  <c r="EX218" i="19"/>
  <c r="EY200" i="19"/>
  <c r="EY212" i="19" s="1"/>
  <c r="ES10" i="19"/>
  <c r="ES28" i="19" s="1"/>
  <c r="ES34" i="19" s="1"/>
  <c r="ET124" i="19"/>
  <c r="ES142" i="19"/>
  <c r="AW126" i="19"/>
  <c r="AW138" i="19" s="1"/>
  <c r="EZ138" i="19"/>
  <c r="AW13" i="19"/>
  <c r="AW145" i="19"/>
  <c r="EZ13" i="19"/>
  <c r="EZ145" i="19"/>
  <c r="FA127" i="19"/>
  <c r="FA139" i="19" s="1"/>
  <c r="EY25" i="19"/>
  <c r="EY31" i="19" s="1"/>
  <c r="EY37" i="19" s="1"/>
  <c r="EZ275" i="19"/>
  <c r="EY293" i="19"/>
  <c r="EU23" i="19"/>
  <c r="EU291" i="19"/>
  <c r="EV273" i="19"/>
  <c r="EV285" i="19" s="1"/>
  <c r="ES11" i="19"/>
  <c r="ES29" i="19" s="1"/>
  <c r="ES35" i="19" s="1"/>
  <c r="ET125" i="19"/>
  <c r="ES143" i="19"/>
  <c r="EZ286" i="19"/>
  <c r="AW274" i="19"/>
  <c r="AW286" i="19" s="1"/>
  <c r="EZ213" i="19"/>
  <c r="AW201" i="19"/>
  <c r="AW213" i="19" s="1"/>
  <c r="FA13" i="19" l="1"/>
  <c r="FB127" i="19"/>
  <c r="FB139" i="19" s="1"/>
  <c r="FA145" i="19"/>
  <c r="EV23" i="19"/>
  <c r="EW273" i="19"/>
  <c r="EV291" i="19"/>
  <c r="AU124" i="19"/>
  <c r="AU136" i="19" s="1"/>
  <c r="ET136" i="19"/>
  <c r="EY18" i="19"/>
  <c r="EY30" i="19" s="1"/>
  <c r="EY36" i="19" s="1"/>
  <c r="EY218" i="19"/>
  <c r="EZ200" i="19"/>
  <c r="EZ19" i="19"/>
  <c r="FA201" i="19"/>
  <c r="FA213" i="19" s="1"/>
  <c r="EZ219" i="19"/>
  <c r="EV17" i="19"/>
  <c r="EW199" i="19"/>
  <c r="EV217" i="19"/>
  <c r="EV22" i="19"/>
  <c r="EV290" i="19"/>
  <c r="EW272" i="19"/>
  <c r="EZ24" i="19"/>
  <c r="FA274" i="19"/>
  <c r="FA286" i="19" s="1"/>
  <c r="EZ292" i="19"/>
  <c r="AW275" i="19"/>
  <c r="AW287" i="19" s="1"/>
  <c r="EZ287" i="19"/>
  <c r="EZ12" i="19"/>
  <c r="EZ144" i="19"/>
  <c r="FA126" i="19"/>
  <c r="FA138" i="19" s="1"/>
  <c r="AU125" i="19"/>
  <c r="AU137" i="19" s="1"/>
  <c r="ET137" i="19"/>
  <c r="AW19" i="19"/>
  <c r="AW219" i="19"/>
  <c r="AW24" i="19"/>
  <c r="AW292" i="19"/>
  <c r="AW12" i="19"/>
  <c r="AW144" i="19"/>
  <c r="EV16" i="19"/>
  <c r="EW198" i="19"/>
  <c r="EV216" i="19"/>
  <c r="FA24" i="19" l="1"/>
  <c r="FB274" i="19"/>
  <c r="FB286" i="19" s="1"/>
  <c r="FA292" i="19"/>
  <c r="ET10" i="19"/>
  <c r="ET28" i="19" s="1"/>
  <c r="ET34" i="19" s="1"/>
  <c r="EU124" i="19"/>
  <c r="EU136" i="19" s="1"/>
  <c r="ET142" i="19"/>
  <c r="ET11" i="19"/>
  <c r="ET29" i="19" s="1"/>
  <c r="ET35" i="19" s="1"/>
  <c r="EU125" i="19"/>
  <c r="EU137" i="19" s="1"/>
  <c r="ET143" i="19"/>
  <c r="FA19" i="19"/>
  <c r="FB201" i="19"/>
  <c r="FB213" i="19" s="1"/>
  <c r="FA219" i="19"/>
  <c r="AV273" i="19"/>
  <c r="AV285" i="19" s="1"/>
  <c r="EW285" i="19"/>
  <c r="AU10" i="19"/>
  <c r="AU28" i="19" s="1"/>
  <c r="AU34" i="19" s="1"/>
  <c r="AU142" i="19"/>
  <c r="AV198" i="19"/>
  <c r="AV210" i="19" s="1"/>
  <c r="EW210" i="19"/>
  <c r="AV272" i="19"/>
  <c r="AV284" i="19" s="1"/>
  <c r="EW284" i="19"/>
  <c r="EZ25" i="19"/>
  <c r="EZ31" i="19" s="1"/>
  <c r="EZ37" i="19" s="1"/>
  <c r="FA275" i="19"/>
  <c r="FA287" i="19" s="1"/>
  <c r="EZ293" i="19"/>
  <c r="EZ212" i="19"/>
  <c r="AW200" i="19"/>
  <c r="AW212" i="19" s="1"/>
  <c r="FB13" i="19"/>
  <c r="L139" i="19"/>
  <c r="L13" i="19" s="1"/>
  <c r="FB145" i="19"/>
  <c r="L145" i="19" s="1"/>
  <c r="AU11" i="19"/>
  <c r="AU29" i="19" s="1"/>
  <c r="AU35" i="19" s="1"/>
  <c r="AU143" i="19"/>
  <c r="FA12" i="19"/>
  <c r="FA144" i="19"/>
  <c r="FB126" i="19"/>
  <c r="FB138" i="19" s="1"/>
  <c r="AW25" i="19"/>
  <c r="AW31" i="19" s="1"/>
  <c r="AW37" i="19" s="1"/>
  <c r="AW293" i="19"/>
  <c r="AV199" i="19"/>
  <c r="AV211" i="19" s="1"/>
  <c r="EW211" i="19"/>
  <c r="EU11" i="19" l="1"/>
  <c r="EU29" i="19" s="1"/>
  <c r="EU35" i="19" s="1"/>
  <c r="EV125" i="19"/>
  <c r="EV137" i="19" s="1"/>
  <c r="EU143" i="19"/>
  <c r="AV17" i="19"/>
  <c r="AV217" i="19"/>
  <c r="EW22" i="19"/>
  <c r="EX272" i="19"/>
  <c r="EX284" i="19" s="1"/>
  <c r="EW290" i="19"/>
  <c r="EU10" i="19"/>
  <c r="EU28" i="19" s="1"/>
  <c r="EU34" i="19" s="1"/>
  <c r="EV124" i="19"/>
  <c r="EV136" i="19" s="1"/>
  <c r="EU142" i="19"/>
  <c r="EW17" i="19"/>
  <c r="EX199" i="19"/>
  <c r="EX211" i="19" s="1"/>
  <c r="EW217" i="19"/>
  <c r="FA25" i="19"/>
  <c r="FA31" i="19" s="1"/>
  <c r="FA37" i="19" s="1"/>
  <c r="FB275" i="19"/>
  <c r="FB287" i="19" s="1"/>
  <c r="FA293" i="19"/>
  <c r="FB19" i="19"/>
  <c r="FB219" i="19"/>
  <c r="L219" i="19" s="1"/>
  <c r="L213" i="19"/>
  <c r="L19" i="19" s="1"/>
  <c r="EW16" i="19"/>
  <c r="EX198" i="19"/>
  <c r="EX210" i="19" s="1"/>
  <c r="EW216" i="19"/>
  <c r="FB12" i="19"/>
  <c r="L138" i="19"/>
  <c r="L12" i="19" s="1"/>
  <c r="FB144" i="19"/>
  <c r="L144" i="19" s="1"/>
  <c r="AV16" i="19"/>
  <c r="AV216" i="19"/>
  <c r="FB24" i="19"/>
  <c r="L286" i="19"/>
  <c r="FB292" i="19"/>
  <c r="EW23" i="19"/>
  <c r="EX273" i="19"/>
  <c r="EX285" i="19" s="1"/>
  <c r="EW291" i="19"/>
  <c r="AV23" i="19"/>
  <c r="AV291" i="19"/>
  <c r="AV22" i="19"/>
  <c r="AV290" i="19"/>
  <c r="AW18" i="19"/>
  <c r="AW30" i="19" s="1"/>
  <c r="AW36" i="19" s="1"/>
  <c r="AW218" i="19"/>
  <c r="EZ18" i="19"/>
  <c r="EZ30" i="19" s="1"/>
  <c r="EZ36" i="19" s="1"/>
  <c r="FA200" i="19"/>
  <c r="FA212" i="19" s="1"/>
  <c r="EZ218" i="19"/>
  <c r="L24" i="19" l="1"/>
  <c r="L292" i="19"/>
  <c r="EX16" i="19"/>
  <c r="EY198" i="19"/>
  <c r="EY210" i="19" s="1"/>
  <c r="EX216" i="19"/>
  <c r="FB25" i="19"/>
  <c r="FB31" i="19" s="1"/>
  <c r="FB37" i="19" s="1"/>
  <c r="L287" i="19"/>
  <c r="FB293" i="19"/>
  <c r="EX22" i="19"/>
  <c r="EY272" i="19"/>
  <c r="EY284" i="19" s="1"/>
  <c r="EX290" i="19"/>
  <c r="EX17" i="19"/>
  <c r="EX217" i="19"/>
  <c r="EY199" i="19"/>
  <c r="EY211" i="19" s="1"/>
  <c r="FA18" i="19"/>
  <c r="FA30" i="19" s="1"/>
  <c r="FA36" i="19" s="1"/>
  <c r="FB200" i="19"/>
  <c r="FB212" i="19" s="1"/>
  <c r="FA218" i="19"/>
  <c r="EX23" i="19"/>
  <c r="EX291" i="19"/>
  <c r="EY273" i="19"/>
  <c r="EY285" i="19" s="1"/>
  <c r="EV10" i="19"/>
  <c r="EV28" i="19" s="1"/>
  <c r="EV34" i="19" s="1"/>
  <c r="EW124" i="19"/>
  <c r="EV142" i="19"/>
  <c r="EV11" i="19"/>
  <c r="EV29" i="19" s="1"/>
  <c r="EV35" i="19" s="1"/>
  <c r="EW125" i="19"/>
  <c r="EV143" i="19"/>
  <c r="L25" i="19" l="1"/>
  <c r="L293" i="19"/>
  <c r="EY17" i="19"/>
  <c r="EY217" i="19"/>
  <c r="EZ199" i="19"/>
  <c r="EY16" i="19"/>
  <c r="EZ198" i="19"/>
  <c r="EY216" i="19"/>
  <c r="EY22" i="19"/>
  <c r="EY290" i="19"/>
  <c r="EZ272" i="19"/>
  <c r="AV124" i="19"/>
  <c r="AV136" i="19" s="1"/>
  <c r="EW136" i="19"/>
  <c r="FB18" i="19"/>
  <c r="FB30" i="19" s="1"/>
  <c r="FB36" i="19" s="1"/>
  <c r="L212" i="19"/>
  <c r="L18" i="19" s="1"/>
  <c r="FB218" i="19"/>
  <c r="L218" i="19" s="1"/>
  <c r="EY23" i="19"/>
  <c r="EZ273" i="19"/>
  <c r="EY291" i="19"/>
  <c r="AV125" i="19"/>
  <c r="AV137" i="19" s="1"/>
  <c r="EW137" i="19"/>
  <c r="L30" i="19" l="1"/>
  <c r="L36" i="19" s="1"/>
  <c r="EW10" i="19"/>
  <c r="EW28" i="19" s="1"/>
  <c r="EW34" i="19" s="1"/>
  <c r="EX124" i="19"/>
  <c r="EX136" i="19" s="1"/>
  <c r="EW142" i="19"/>
  <c r="AW198" i="19"/>
  <c r="AW210" i="19" s="1"/>
  <c r="EZ210" i="19"/>
  <c r="EW11" i="19"/>
  <c r="EW29" i="19" s="1"/>
  <c r="EW35" i="19" s="1"/>
  <c r="EX125" i="19"/>
  <c r="EX137" i="19" s="1"/>
  <c r="EW143" i="19"/>
  <c r="AW199" i="19"/>
  <c r="AW211" i="19" s="1"/>
  <c r="EZ211" i="19"/>
  <c r="AV11" i="19"/>
  <c r="AV29" i="19" s="1"/>
  <c r="AV35" i="19" s="1"/>
  <c r="AV143" i="19"/>
  <c r="AV10" i="19"/>
  <c r="AV28" i="19" s="1"/>
  <c r="AV34" i="19" s="1"/>
  <c r="AV142" i="19"/>
  <c r="EZ284" i="19"/>
  <c r="AW272" i="19"/>
  <c r="AW284" i="19" s="1"/>
  <c r="EZ285" i="19"/>
  <c r="AW273" i="19"/>
  <c r="AW285" i="19" s="1"/>
  <c r="L31" i="19"/>
  <c r="L37" i="19" s="1"/>
  <c r="AW23" i="19" l="1"/>
  <c r="AW291" i="19"/>
  <c r="EX10" i="19"/>
  <c r="EX28" i="19" s="1"/>
  <c r="EX34" i="19" s="1"/>
  <c r="EY124" i="19"/>
  <c r="EY136" i="19" s="1"/>
  <c r="EX142" i="19"/>
  <c r="AW16" i="19"/>
  <c r="AW216" i="19"/>
  <c r="EZ16" i="19"/>
  <c r="FA198" i="19"/>
  <c r="FA210" i="19" s="1"/>
  <c r="EZ216" i="19"/>
  <c r="EZ23" i="19"/>
  <c r="FA273" i="19"/>
  <c r="FA285" i="19" s="1"/>
  <c r="EZ291" i="19"/>
  <c r="EZ17" i="19"/>
  <c r="EZ217" i="19"/>
  <c r="FA199" i="19"/>
  <c r="FA211" i="19" s="1"/>
  <c r="AW17" i="19"/>
  <c r="AW217" i="19"/>
  <c r="AW22" i="19"/>
  <c r="AW290" i="19"/>
  <c r="EZ22" i="19"/>
  <c r="FA272" i="19"/>
  <c r="FA284" i="19" s="1"/>
  <c r="EZ290" i="19"/>
  <c r="EX11" i="19"/>
  <c r="EX29" i="19" s="1"/>
  <c r="EX35" i="19" s="1"/>
  <c r="EY125" i="19"/>
  <c r="EY137" i="19" s="1"/>
  <c r="EX143" i="19"/>
  <c r="EY10" i="19" l="1"/>
  <c r="EY28" i="19" s="1"/>
  <c r="EY34" i="19" s="1"/>
  <c r="EZ124" i="19"/>
  <c r="EY142" i="19"/>
  <c r="FA17" i="19"/>
  <c r="FB199" i="19"/>
  <c r="FB211" i="19" s="1"/>
  <c r="FA217" i="19"/>
  <c r="FA22" i="19"/>
  <c r="FB272" i="19"/>
  <c r="FB284" i="19" s="1"/>
  <c r="FA290" i="19"/>
  <c r="FA23" i="19"/>
  <c r="FB273" i="19"/>
  <c r="FB285" i="19" s="1"/>
  <c r="FA291" i="19"/>
  <c r="EY11" i="19"/>
  <c r="EY29" i="19" s="1"/>
  <c r="EY35" i="19" s="1"/>
  <c r="EY143" i="19"/>
  <c r="EZ125" i="19"/>
  <c r="FA16" i="19"/>
  <c r="FB198" i="19"/>
  <c r="FB210" i="19" s="1"/>
  <c r="FA216" i="19"/>
  <c r="AW125" i="19" l="1"/>
  <c r="AW137" i="19" s="1"/>
  <c r="EZ137" i="19"/>
  <c r="AW124" i="19"/>
  <c r="AW136" i="19" s="1"/>
  <c r="EZ136" i="19"/>
  <c r="FB22" i="19"/>
  <c r="L284" i="19"/>
  <c r="FB290" i="19"/>
  <c r="FB17" i="19"/>
  <c r="L211" i="19"/>
  <c r="L17" i="19" s="1"/>
  <c r="FB217" i="19"/>
  <c r="L217" i="19" s="1"/>
  <c r="FB23" i="19"/>
  <c r="FB291" i="19"/>
  <c r="L285" i="19"/>
  <c r="FB16" i="19"/>
  <c r="L210" i="19"/>
  <c r="L16" i="19" s="1"/>
  <c r="FB216" i="19"/>
  <c r="L216" i="19" s="1"/>
  <c r="L22" i="19" l="1"/>
  <c r="L290" i="19"/>
  <c r="AW10" i="19"/>
  <c r="AW28" i="19" s="1"/>
  <c r="AW34" i="19" s="1"/>
  <c r="AW142" i="19"/>
  <c r="L23" i="19"/>
  <c r="L291" i="19"/>
  <c r="EZ10" i="19"/>
  <c r="EZ28" i="19" s="1"/>
  <c r="EZ34" i="19" s="1"/>
  <c r="FA124" i="19"/>
  <c r="FA136" i="19" s="1"/>
  <c r="EZ142" i="19"/>
  <c r="EZ11" i="19"/>
  <c r="EZ29" i="19" s="1"/>
  <c r="EZ35" i="19" s="1"/>
  <c r="FA125" i="19"/>
  <c r="FA137" i="19" s="1"/>
  <c r="EZ143" i="19"/>
  <c r="AW11" i="19"/>
  <c r="AW29" i="19" s="1"/>
  <c r="AW35" i="19" s="1"/>
  <c r="AW143" i="19"/>
  <c r="FA10" i="19" l="1"/>
  <c r="FA28" i="19" s="1"/>
  <c r="FA34" i="19" s="1"/>
  <c r="FB124" i="19"/>
  <c r="FB136" i="19" s="1"/>
  <c r="FA142" i="19"/>
  <c r="FA11" i="19"/>
  <c r="FA29" i="19" s="1"/>
  <c r="FA35" i="19" s="1"/>
  <c r="FB125" i="19"/>
  <c r="FB137" i="19" s="1"/>
  <c r="FA143" i="19"/>
  <c r="FB11" i="19" l="1"/>
  <c r="FB29" i="19" s="1"/>
  <c r="FB35" i="19" s="1"/>
  <c r="L137" i="19"/>
  <c r="L11" i="19" s="1"/>
  <c r="L29" i="19" s="1"/>
  <c r="L35" i="19" s="1"/>
  <c r="FB143" i="19"/>
  <c r="L143" i="19" s="1"/>
  <c r="FB10" i="19"/>
  <c r="FB28" i="19" s="1"/>
  <c r="FB34" i="19" s="1"/>
  <c r="FB142" i="19"/>
  <c r="L142" i="19" s="1"/>
  <c r="L136" i="19"/>
  <c r="L10" i="19" s="1"/>
  <c r="L28" i="19" s="1"/>
  <c r="L34" i="19" s="1"/>
  <c r="D4" i="26"/>
  <c r="L181" i="26" l="1"/>
  <c r="M181" i="26"/>
  <c r="N181" i="26"/>
  <c r="O181" i="26"/>
  <c r="AK181" i="26"/>
  <c r="AL181" i="26"/>
  <c r="AM181" i="26"/>
  <c r="AN181" i="26"/>
  <c r="AO181" i="26"/>
  <c r="AP181" i="26"/>
  <c r="AQ181" i="26"/>
  <c r="AR181" i="26"/>
  <c r="AS181" i="26"/>
  <c r="AT181" i="26"/>
  <c r="AU181" i="26"/>
  <c r="AV181" i="26"/>
  <c r="AW181" i="26"/>
  <c r="AX181" i="26"/>
  <c r="AY181" i="26"/>
  <c r="AZ181" i="26"/>
  <c r="K185" i="26"/>
  <c r="AJ185" i="26"/>
  <c r="K186" i="26"/>
  <c r="L186" i="26"/>
  <c r="M186" i="26"/>
  <c r="N186" i="26"/>
  <c r="O186" i="26"/>
  <c r="AJ186" i="26"/>
  <c r="AK186" i="26"/>
  <c r="AL186" i="26"/>
  <c r="AM186" i="26"/>
  <c r="AN186" i="26"/>
  <c r="AO186" i="26"/>
  <c r="AP186" i="26"/>
  <c r="AQ186" i="26"/>
  <c r="AR186" i="26"/>
  <c r="AS186" i="26"/>
  <c r="AT186" i="26"/>
  <c r="AU186" i="26"/>
  <c r="AV186" i="26"/>
  <c r="AW186" i="26"/>
  <c r="AX186" i="26"/>
  <c r="AY186" i="26"/>
  <c r="AZ186" i="26"/>
  <c r="K195" i="26"/>
  <c r="L195" i="26"/>
  <c r="M195" i="26"/>
  <c r="N195" i="26"/>
  <c r="O195" i="26"/>
  <c r="K196" i="26"/>
  <c r="L196" i="26"/>
  <c r="M196" i="26"/>
  <c r="N196" i="26"/>
  <c r="O196" i="26"/>
  <c r="K202" i="26"/>
  <c r="L202" i="26"/>
  <c r="M202" i="26"/>
  <c r="N202" i="26"/>
  <c r="O202" i="26"/>
  <c r="L206" i="26"/>
  <c r="M206" i="26"/>
  <c r="N206" i="26"/>
  <c r="O206" i="26"/>
  <c r="AK206" i="26"/>
  <c r="AL206" i="26"/>
  <c r="AM206" i="26"/>
  <c r="AN206" i="26"/>
  <c r="AO206" i="26"/>
  <c r="AP206" i="26"/>
  <c r="AQ206" i="26"/>
  <c r="AR206" i="26"/>
  <c r="AS206" i="26"/>
  <c r="AT206" i="26"/>
  <c r="AU206" i="26"/>
  <c r="AV206" i="26"/>
  <c r="AW206" i="26"/>
  <c r="AX206" i="26"/>
  <c r="AY206" i="26"/>
  <c r="AZ206" i="26"/>
  <c r="K214" i="26"/>
  <c r="AJ214" i="26"/>
  <c r="K215" i="26"/>
  <c r="L215" i="26"/>
  <c r="M215" i="26"/>
  <c r="N215" i="26"/>
  <c r="O215" i="26"/>
  <c r="AJ215" i="26"/>
  <c r="AK215" i="26"/>
  <c r="AL215" i="26"/>
  <c r="AM215" i="26"/>
  <c r="AN215" i="26"/>
  <c r="AO215" i="26"/>
  <c r="AP215" i="26"/>
  <c r="AQ215" i="26"/>
  <c r="AR215" i="26"/>
  <c r="AS215" i="26"/>
  <c r="AT215" i="26"/>
  <c r="AU215" i="26"/>
  <c r="AV215" i="26"/>
  <c r="AW215" i="26"/>
  <c r="AX215" i="26"/>
  <c r="AY215" i="26"/>
  <c r="AZ215" i="26"/>
  <c r="K221" i="26"/>
  <c r="L221" i="26"/>
  <c r="M221" i="26"/>
  <c r="N221" i="26"/>
  <c r="O221" i="26"/>
  <c r="K222" i="26"/>
  <c r="L222" i="26"/>
  <c r="M222" i="26"/>
  <c r="N222" i="26"/>
  <c r="O222" i="26"/>
  <c r="K227" i="26"/>
  <c r="L227" i="26"/>
  <c r="M227" i="26"/>
  <c r="N227" i="26"/>
  <c r="O227" i="26"/>
  <c r="K229" i="26"/>
  <c r="L229" i="26"/>
  <c r="M229" i="26"/>
  <c r="N229" i="26"/>
  <c r="O229" i="26"/>
  <c r="K231" i="26"/>
  <c r="L231" i="26"/>
  <c r="M231" i="26"/>
  <c r="N231" i="26"/>
  <c r="O231" i="26"/>
  <c r="K232" i="26"/>
  <c r="L232" i="26"/>
  <c r="M232" i="26"/>
  <c r="N232" i="26"/>
  <c r="O232" i="26"/>
  <c r="H237" i="26"/>
  <c r="D238" i="26" a="1"/>
  <c r="D238" i="26"/>
  <c r="E238" i="26" a="1"/>
  <c r="E238" i="26"/>
  <c r="Q238" i="26"/>
  <c r="R238" i="26"/>
  <c r="S238" i="26"/>
  <c r="T238" i="26"/>
  <c r="U238" i="26"/>
  <c r="D239" i="26"/>
  <c r="E239" i="26"/>
  <c r="Q239" i="26"/>
  <c r="R239" i="26"/>
  <c r="S239" i="26"/>
  <c r="T239" i="26"/>
  <c r="U239" i="26"/>
  <c r="D240" i="26"/>
  <c r="E240" i="26"/>
  <c r="Q240" i="26"/>
  <c r="R240" i="26"/>
  <c r="S240" i="26"/>
  <c r="T240" i="26"/>
  <c r="U240" i="26"/>
  <c r="D241" i="26"/>
  <c r="E241" i="26"/>
  <c r="Q241" i="26"/>
  <c r="R241" i="26"/>
  <c r="S241" i="26"/>
  <c r="T241" i="26"/>
  <c r="U241" i="26"/>
  <c r="D242" i="26"/>
  <c r="E242" i="26"/>
  <c r="Q242" i="26"/>
  <c r="R242" i="26"/>
  <c r="S242" i="26"/>
  <c r="T242" i="26"/>
  <c r="U242" i="26"/>
  <c r="H246" i="26"/>
  <c r="I247" i="26"/>
  <c r="J247" i="26"/>
  <c r="K247" i="26"/>
  <c r="L247" i="26"/>
  <c r="M247" i="26"/>
  <c r="Q247" i="26"/>
  <c r="R247" i="26"/>
  <c r="S247" i="26"/>
  <c r="T247" i="26"/>
  <c r="U247" i="26"/>
  <c r="I248" i="26"/>
  <c r="J248" i="26"/>
  <c r="K248" i="26"/>
  <c r="L248" i="26"/>
  <c r="M248" i="26"/>
  <c r="Q248" i="26"/>
  <c r="R248" i="26"/>
  <c r="S248" i="26"/>
  <c r="T248" i="26"/>
  <c r="U248" i="26"/>
  <c r="I249" i="26"/>
  <c r="J249" i="26"/>
  <c r="K249" i="26"/>
  <c r="L249" i="26"/>
  <c r="M249" i="26"/>
  <c r="Q249" i="26"/>
  <c r="R249" i="26"/>
  <c r="S249" i="26"/>
  <c r="T249" i="26"/>
  <c r="U249" i="26"/>
  <c r="I250" i="26"/>
  <c r="J250" i="26"/>
  <c r="K250" i="26"/>
  <c r="L250" i="26"/>
  <c r="M250" i="26"/>
  <c r="Q250" i="26"/>
  <c r="R250" i="26"/>
  <c r="S250" i="26"/>
  <c r="T250" i="26"/>
  <c r="U250" i="26"/>
  <c r="I251" i="26"/>
  <c r="J251" i="26"/>
  <c r="K251" i="26"/>
  <c r="L251" i="26"/>
  <c r="M251" i="26"/>
  <c r="Q251" i="26"/>
  <c r="R251" i="26"/>
  <c r="S251" i="26"/>
  <c r="T251" i="26"/>
  <c r="U251" i="26"/>
  <c r="H255" i="26"/>
  <c r="I256" i="26"/>
  <c r="J256" i="26"/>
  <c r="K256" i="26"/>
  <c r="L256" i="26"/>
  <c r="M256" i="26"/>
  <c r="Q256" i="26"/>
  <c r="R256" i="26"/>
  <c r="S256" i="26"/>
  <c r="T256" i="26"/>
  <c r="U256" i="26"/>
  <c r="I257" i="26"/>
  <c r="J257" i="26"/>
  <c r="K257" i="26"/>
  <c r="L257" i="26"/>
  <c r="M257" i="26"/>
  <c r="Q257" i="26"/>
  <c r="R257" i="26"/>
  <c r="S257" i="26"/>
  <c r="T257" i="26"/>
  <c r="U257" i="26"/>
  <c r="I258" i="26"/>
  <c r="J258" i="26"/>
  <c r="K258" i="26"/>
  <c r="L258" i="26"/>
  <c r="M258" i="26"/>
  <c r="Q258" i="26"/>
  <c r="R258" i="26"/>
  <c r="S258" i="26"/>
  <c r="T258" i="26"/>
  <c r="U258" i="26"/>
  <c r="I259" i="26"/>
  <c r="J259" i="26"/>
  <c r="K259" i="26"/>
  <c r="L259" i="26"/>
  <c r="M259" i="26"/>
  <c r="Q259" i="26"/>
  <c r="R259" i="26"/>
  <c r="S259" i="26"/>
  <c r="T259" i="26"/>
  <c r="U259" i="26"/>
  <c r="I260" i="26"/>
  <c r="J260" i="26"/>
  <c r="K260" i="26"/>
  <c r="L260" i="26"/>
  <c r="M260" i="26"/>
  <c r="Q260" i="26"/>
  <c r="R260" i="26"/>
  <c r="S260" i="26"/>
  <c r="T260" i="26"/>
  <c r="U260" i="2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Pieter</author>
  </authors>
  <commentList>
    <comment ref="C74" authorId="0" shapeId="0" xr:uid="{0C999036-0DCA-4679-A6EE-2641D82FF5A5}">
      <text>
        <r>
          <rPr>
            <b/>
            <sz val="9"/>
            <color indexed="81"/>
            <rFont val="Tahoma"/>
            <family val="2"/>
          </rPr>
          <t>Pieter:</t>
        </r>
        <r>
          <rPr>
            <sz val="9"/>
            <color indexed="81"/>
            <rFont val="Tahoma"/>
            <family val="2"/>
          </rPr>
          <t xml:space="preserve">
Product a bit more efficient than Pendo</t>
        </r>
      </text>
    </comment>
    <comment ref="C75" authorId="0" shapeId="0" xr:uid="{C4FBD8E4-B0F6-4A15-AD8A-5AE134FF18FE}">
      <text>
        <r>
          <rPr>
            <b/>
            <sz val="9"/>
            <color indexed="81"/>
            <rFont val="Tahoma"/>
            <family val="2"/>
          </rPr>
          <t>Pieter:</t>
        </r>
        <r>
          <rPr>
            <sz val="9"/>
            <color indexed="81"/>
            <rFont val="Tahoma"/>
            <family val="2"/>
          </rPr>
          <t xml:space="preserve">
Existing sales team at Harpoon + ASP increases due to inclusion in </t>
        </r>
      </text>
    </comment>
    <comment ref="C78" authorId="0" shapeId="0" xr:uid="{5F353C8B-CB32-4967-8D44-1FE54100E3EA}">
      <text>
        <r>
          <rPr>
            <b/>
            <sz val="9"/>
            <color indexed="81"/>
            <rFont val="Tahoma"/>
            <family val="2"/>
          </rPr>
          <t>Pieter:</t>
        </r>
        <r>
          <rPr>
            <sz val="9"/>
            <color indexed="81"/>
            <rFont val="Tahoma"/>
            <family val="2"/>
          </rPr>
          <t xml:space="preserve">
To align with the existing sales team</t>
        </r>
      </text>
    </comment>
    <comment ref="C79" authorId="0" shapeId="0" xr:uid="{AC0244A2-0CC0-4573-B4EF-372DC9BB8A4C}">
      <text>
        <r>
          <rPr>
            <b/>
            <sz val="9"/>
            <color indexed="81"/>
            <rFont val="Tahoma"/>
            <family val="2"/>
          </rPr>
          <t>Pieter:</t>
        </r>
        <r>
          <rPr>
            <sz val="9"/>
            <color indexed="81"/>
            <rFont val="Tahoma"/>
            <family val="2"/>
          </rPr>
          <t xml:space="preserve">
Existing team will grow at a similar pace of the Pendo team</t>
        </r>
      </text>
    </comment>
    <comment ref="C80" authorId="0" shapeId="0" xr:uid="{25D187D6-FFEB-4BBA-AA2E-201E5833F385}">
      <text>
        <r>
          <rPr>
            <b/>
            <sz val="9"/>
            <color indexed="81"/>
            <rFont val="Tahoma"/>
            <family val="2"/>
          </rPr>
          <t>Pieter:</t>
        </r>
        <r>
          <rPr>
            <sz val="9"/>
            <color indexed="81"/>
            <rFont val="Tahoma"/>
            <family val="2"/>
          </rPr>
          <t xml:space="preserve">
This headcount is incremental to the headcount at Harpoon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Pieter</author>
  </authors>
  <commentList>
    <comment ref="C22" authorId="0" shapeId="0" xr:uid="{E35495C0-819A-479B-A781-B5E5B73BE41C}">
      <text>
        <r>
          <rPr>
            <b/>
            <sz val="9"/>
            <color indexed="81"/>
            <rFont val="Tahoma"/>
            <family val="2"/>
          </rPr>
          <t>Pieter:</t>
        </r>
        <r>
          <rPr>
            <sz val="9"/>
            <color indexed="81"/>
            <rFont val="Tahoma"/>
            <family val="2"/>
          </rPr>
          <t xml:space="preserve">
average of 3 years of actuals</t>
        </r>
      </text>
    </comment>
    <comment ref="C23" authorId="0" shapeId="0" xr:uid="{DB9A5F06-FE98-4BD1-8F0B-2F180BA4EACB}">
      <text>
        <r>
          <rPr>
            <b/>
            <sz val="9"/>
            <color indexed="81"/>
            <rFont val="Tahoma"/>
            <family val="2"/>
          </rPr>
          <t>Pieter:</t>
        </r>
        <r>
          <rPr>
            <sz val="9"/>
            <color indexed="81"/>
            <rFont val="Tahoma"/>
            <family val="2"/>
          </rPr>
          <t xml:space="preserve">
average of 3 years of actuals</t>
        </r>
      </text>
    </comment>
    <comment ref="C92" authorId="0" shapeId="0" xr:uid="{629305B1-D256-49D9-8A0D-543298E88996}">
      <text>
        <r>
          <rPr>
            <b/>
            <sz val="9"/>
            <color indexed="81"/>
            <rFont val="Tahoma"/>
            <family val="2"/>
          </rPr>
          <t>Pieter:</t>
        </r>
        <r>
          <rPr>
            <sz val="9"/>
            <color indexed="81"/>
            <rFont val="Tahoma"/>
            <family val="2"/>
          </rPr>
          <t xml:space="preserve">
 --&gt; Net New ARR * GM %age / Prior Qtr S&amp;M</t>
        </r>
      </text>
    </comment>
    <comment ref="C94" authorId="0" shapeId="0" xr:uid="{852CC3EB-06AD-4F3D-AE4F-D8C3AC428731}">
      <text>
        <r>
          <rPr>
            <b/>
            <sz val="9"/>
            <color indexed="81"/>
            <rFont val="Tahoma"/>
            <family val="2"/>
          </rPr>
          <t>Pieter:</t>
        </r>
        <r>
          <rPr>
            <sz val="9"/>
            <color indexed="81"/>
            <rFont val="Tahoma"/>
            <family val="2"/>
          </rPr>
          <t xml:space="preserve">
 --&gt; Net New ARR / Prior 4 Qtr S&amp;M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Pieter</author>
  </authors>
  <commentList>
    <comment ref="C94" authorId="0" shapeId="0" xr:uid="{24CD79D3-397F-44FE-BB80-87B5990BCA2A}">
      <text>
        <r>
          <rPr>
            <b/>
            <sz val="9"/>
            <color indexed="81"/>
            <rFont val="Tahoma"/>
            <family val="2"/>
          </rPr>
          <t>Pieter:</t>
        </r>
        <r>
          <rPr>
            <sz val="9"/>
            <color indexed="81"/>
            <rFont val="Tahoma"/>
            <family val="2"/>
          </rPr>
          <t xml:space="preserve">
average of 3 years of actuals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Pieter</author>
  </authors>
  <commentList>
    <comment ref="A44" authorId="0" shapeId="0" xr:uid="{23A04EA2-B52B-4BDD-B6B5-4C67C3CA8D20}">
      <text>
        <r>
          <rPr>
            <b/>
            <sz val="9"/>
            <color rgb="FF000000"/>
            <rFont val="Tahoma"/>
            <family val="2"/>
          </rPr>
          <t>Pieter:</t>
        </r>
        <r>
          <rPr>
            <sz val="9"/>
            <color rgb="FF000000"/>
            <rFont val="Tahoma"/>
            <family val="2"/>
          </rPr>
          <t xml:space="preserve">
</t>
        </r>
        <r>
          <rPr>
            <sz val="9"/>
            <color rgb="FF000000"/>
            <rFont val="Tahoma"/>
            <family val="2"/>
          </rPr>
          <t>monthly assumption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tc={8F932F22-0E1D-4B69-9A94-904741882B52}</author>
    <author>Author</author>
  </authors>
  <commentList>
    <comment ref="G125" authorId="0" shapeId="0" xr:uid="{8F932F22-0E1D-4B69-9A94-904741882B52}">
      <text>
        <t>[Threaded comment]
Your version of Excel allows you to read this threaded comment; however, any edits to it will get removed if the file is opened in a newer version of Excel. Learn more: https://go.microsoft.com/fwlink/?linkid=870924
Comment:
    Tieing to collections right now. Should be tied to AR Balance.</t>
      </text>
    </comment>
    <comment ref="Q255" authorId="1" shapeId="0" xr:uid="{AFFB1085-CAE5-4F25-89AD-51C08F45A145}">
      <text>
        <r>
          <rPr>
            <b/>
            <sz val="9"/>
            <color indexed="81"/>
            <rFont val="Tahoma"/>
            <family val="2"/>
          </rPr>
          <t>Author:</t>
        </r>
        <r>
          <rPr>
            <sz val="9"/>
            <color indexed="81"/>
            <rFont val="Tahoma"/>
            <family val="2"/>
          </rPr>
          <t xml:space="preserve">
RainForest + QA Israel</t>
        </r>
      </text>
    </comment>
    <comment ref="AC255" authorId="1" shapeId="0" xr:uid="{85AA824B-C6F7-42D8-A9D2-62EBD7F5E725}">
      <text>
        <r>
          <rPr>
            <b/>
            <sz val="9"/>
            <color indexed="81"/>
            <rFont val="Tahoma"/>
            <family val="2"/>
          </rPr>
          <t>Author:</t>
        </r>
        <r>
          <rPr>
            <sz val="9"/>
            <color indexed="81"/>
            <rFont val="Tahoma"/>
            <family val="2"/>
          </rPr>
          <t xml:space="preserve">
RainForest + QA Israel</t>
        </r>
      </text>
    </comment>
    <comment ref="AO255" authorId="1" shapeId="0" xr:uid="{BEFD7A75-B5F3-4500-B1E5-773136CC5B81}">
      <text>
        <r>
          <rPr>
            <b/>
            <sz val="9"/>
            <color indexed="81"/>
            <rFont val="Tahoma"/>
            <family val="2"/>
          </rPr>
          <t>Author:</t>
        </r>
        <r>
          <rPr>
            <sz val="9"/>
            <color indexed="81"/>
            <rFont val="Tahoma"/>
            <family val="2"/>
          </rPr>
          <t xml:space="preserve">
RainForest + QA Israel</t>
        </r>
      </text>
    </comment>
  </commentList>
</comments>
</file>

<file path=xl/sharedStrings.xml><?xml version="1.0" encoding="utf-8"?>
<sst xmlns="http://schemas.openxmlformats.org/spreadsheetml/2006/main" count="9363" uniqueCount="1336">
  <si>
    <t>Subscription</t>
  </si>
  <si>
    <t>PS</t>
  </si>
  <si>
    <t>Other</t>
  </si>
  <si>
    <t>COGS</t>
  </si>
  <si>
    <t>Subscription COGS</t>
  </si>
  <si>
    <t>PS COGS</t>
  </si>
  <si>
    <t>Gross Margin</t>
  </si>
  <si>
    <t>GM %</t>
  </si>
  <si>
    <t>Subscription GM %</t>
  </si>
  <si>
    <t>PS GM %</t>
  </si>
  <si>
    <t>Sales</t>
  </si>
  <si>
    <t>Marketing</t>
  </si>
  <si>
    <t>Sales &amp; Marketing</t>
  </si>
  <si>
    <t>R&amp;D</t>
  </si>
  <si>
    <t>G&amp;A</t>
  </si>
  <si>
    <t>ASC 606 Adjustment</t>
  </si>
  <si>
    <t>Operating EBITDA Income/(Loss)</t>
  </si>
  <si>
    <t>ARR</t>
  </si>
  <si>
    <t>BOP ARR</t>
  </si>
  <si>
    <t>Acquisitions</t>
  </si>
  <si>
    <t>New Customer ARR</t>
  </si>
  <si>
    <t>Expansion ARR</t>
  </si>
  <si>
    <t>Churn</t>
  </si>
  <si>
    <t>Net New ARR</t>
  </si>
  <si>
    <t>EOP ARR</t>
  </si>
  <si>
    <t>Metrics</t>
  </si>
  <si>
    <t xml:space="preserve">  COGS</t>
  </si>
  <si>
    <t xml:space="preserve">  S&amp;M</t>
  </si>
  <si>
    <t xml:space="preserve">  R&amp;D</t>
  </si>
  <si>
    <t xml:space="preserve">  G&amp;A</t>
  </si>
  <si>
    <t>Revenue %</t>
  </si>
  <si>
    <t>Revenue</t>
  </si>
  <si>
    <t>Operating Expenses</t>
  </si>
  <si>
    <t>Efficiency</t>
  </si>
  <si>
    <t>CAC Ratio</t>
  </si>
  <si>
    <t>Headcount</t>
  </si>
  <si>
    <t>FY2019</t>
  </si>
  <si>
    <t>FY2020</t>
  </si>
  <si>
    <t>FY2021</t>
  </si>
  <si>
    <t>FY2022</t>
  </si>
  <si>
    <t>FY2023</t>
  </si>
  <si>
    <t>FY2024</t>
  </si>
  <si>
    <t>Product</t>
  </si>
  <si>
    <t>HR</t>
  </si>
  <si>
    <t>BusDev</t>
  </si>
  <si>
    <t>Grand Total</t>
  </si>
  <si>
    <t>Payback Period (Mo)</t>
  </si>
  <si>
    <t>Magic Number</t>
  </si>
  <si>
    <t>NRR (Annual)</t>
  </si>
  <si>
    <t>Logo Churn %</t>
  </si>
  <si>
    <t>ARR per Employee</t>
  </si>
  <si>
    <t>CHECK</t>
  </si>
  <si>
    <t>GAAP P&amp;L</t>
  </si>
  <si>
    <t>Actuals</t>
  </si>
  <si>
    <t>Forecast</t>
  </si>
  <si>
    <t>Cash Burn per Net New ARR $</t>
  </si>
  <si>
    <t>The Rule of 40%</t>
  </si>
  <si>
    <t>Cash Burn</t>
  </si>
  <si>
    <t>Cash BOP</t>
  </si>
  <si>
    <t>Incoming Cash</t>
  </si>
  <si>
    <t>Total Expenses</t>
  </si>
  <si>
    <t>Equity</t>
  </si>
  <si>
    <t>Cash EOP</t>
  </si>
  <si>
    <t>PS Bookings</t>
  </si>
  <si>
    <t>Q1 FY19</t>
  </si>
  <si>
    <t>Q2 FY19</t>
  </si>
  <si>
    <t>Q3 FY19</t>
  </si>
  <si>
    <t>Q4 FY19</t>
  </si>
  <si>
    <t>Q1 FY20</t>
  </si>
  <si>
    <t>Q2 FY20</t>
  </si>
  <si>
    <t>Q3 FY20</t>
  </si>
  <si>
    <t>Q4 FY20</t>
  </si>
  <si>
    <t>Q1 FY21</t>
  </si>
  <si>
    <t>Q2 FY21</t>
  </si>
  <si>
    <t>Q3 FY21</t>
  </si>
  <si>
    <t>Q4 FY21</t>
  </si>
  <si>
    <t>Q1 FY22</t>
  </si>
  <si>
    <t>Q2 FY22</t>
  </si>
  <si>
    <t>Q3 FY22</t>
  </si>
  <si>
    <t>Q4 FY22</t>
  </si>
  <si>
    <t>Q1 FY23</t>
  </si>
  <si>
    <t>Q2 FY23</t>
  </si>
  <si>
    <t>Q3 FY23</t>
  </si>
  <si>
    <t>Q4 FY23</t>
  </si>
  <si>
    <t>Customer Counts</t>
  </si>
  <si>
    <t>ASC606 - Only Quarterly in the Model</t>
  </si>
  <si>
    <t>ASC 606 Adjustment - Quarterly</t>
  </si>
  <si>
    <t>ASC 606 Adjustment - Monthly</t>
  </si>
  <si>
    <t>Cash Burn - Only Quarterly in the model for FY23</t>
  </si>
  <si>
    <t xml:space="preserve">  Total Liabilities and Equity</t>
  </si>
  <si>
    <t xml:space="preserve"> </t>
  </si>
  <si>
    <t xml:space="preserve">    Total Stockholders Equity</t>
  </si>
  <si>
    <t xml:space="preserve">      Net Income</t>
  </si>
  <si>
    <t xml:space="preserve">      Retained Earnings</t>
  </si>
  <si>
    <t xml:space="preserve">      Cumulative Translation Adjustment</t>
  </si>
  <si>
    <t xml:space="preserve">      Additional Paid In Capital</t>
  </si>
  <si>
    <t xml:space="preserve">      Common Stock</t>
  </si>
  <si>
    <t xml:space="preserve">      Preferred Stock</t>
  </si>
  <si>
    <t xml:space="preserve">    </t>
  </si>
  <si>
    <t xml:space="preserve">    Stockholders Equity</t>
  </si>
  <si>
    <t xml:space="preserve">    Total Other Liabilities</t>
  </si>
  <si>
    <t xml:space="preserve">      Other Liabilities</t>
  </si>
  <si>
    <t xml:space="preserve">    Other Liabilities</t>
  </si>
  <si>
    <t xml:space="preserve">    Total Current Liabilities</t>
  </si>
  <si>
    <t xml:space="preserve">      Other Current Liabilities</t>
  </si>
  <si>
    <t xml:space="preserve">      Sales &amp; Used Tax Payable</t>
  </si>
  <si>
    <t xml:space="preserve">      Deferred Revenue</t>
  </si>
  <si>
    <t xml:space="preserve">      Accrued Liabilities</t>
  </si>
  <si>
    <t xml:space="preserve">      Accounts Payable</t>
  </si>
  <si>
    <t xml:space="preserve">    Current Liabilities</t>
  </si>
  <si>
    <t xml:space="preserve">  </t>
  </si>
  <si>
    <t xml:space="preserve">  Liabilities and Equity</t>
  </si>
  <si>
    <t xml:space="preserve">  Total Assets</t>
  </si>
  <si>
    <t xml:space="preserve">    Total Other Assets</t>
  </si>
  <si>
    <t xml:space="preserve">      Other Assets</t>
  </si>
  <si>
    <t xml:space="preserve">      Employee Advances / Loans</t>
  </si>
  <si>
    <t xml:space="preserve">      Deposits and Prepayments</t>
  </si>
  <si>
    <t xml:space="preserve">    Other Assets</t>
  </si>
  <si>
    <t xml:space="preserve">    Total Intangible Assets, Net</t>
  </si>
  <si>
    <t xml:space="preserve">      Amortization</t>
  </si>
  <si>
    <t xml:space="preserve">      Goodwill</t>
  </si>
  <si>
    <t xml:space="preserve">      Intangible Assets</t>
  </si>
  <si>
    <t xml:space="preserve">    Intangible Assets, Net</t>
  </si>
  <si>
    <t xml:space="preserve">    Total Fixed Assets, Net</t>
  </si>
  <si>
    <t xml:space="preserve">      Accumulated Depreciation</t>
  </si>
  <si>
    <t xml:space="preserve">      Fixed Assets</t>
  </si>
  <si>
    <t xml:space="preserve">    Fixed Assets, Net</t>
  </si>
  <si>
    <t xml:space="preserve">    Total Current Assets</t>
  </si>
  <si>
    <t xml:space="preserve">      Other Current Assets</t>
  </si>
  <si>
    <t xml:space="preserve">      Prepaid Expenses</t>
  </si>
  <si>
    <t xml:space="preserve">      Total Accounts Receivable, Net</t>
  </si>
  <si>
    <t xml:space="preserve">      Short Term Investments</t>
  </si>
  <si>
    <t xml:space="preserve">      Cash and Cash Equivalents</t>
  </si>
  <si>
    <t xml:space="preserve">    Current Assets</t>
  </si>
  <si>
    <t xml:space="preserve">  Assets</t>
  </si>
  <si>
    <t>Actual</t>
  </si>
  <si>
    <t>04/30/2021</t>
  </si>
  <si>
    <t>03/31/2021</t>
  </si>
  <si>
    <t>02/28/2021</t>
  </si>
  <si>
    <t>01/31/2021</t>
  </si>
  <si>
    <t>12/31/2020</t>
  </si>
  <si>
    <t>11/30/2020</t>
  </si>
  <si>
    <t>10/31/2020</t>
  </si>
  <si>
    <t>09/30/2020</t>
  </si>
  <si>
    <t>08/31/2020</t>
  </si>
  <si>
    <t>07/31/2020</t>
  </si>
  <si>
    <t>06/30/2020</t>
  </si>
  <si>
    <t>05/31/2020</t>
  </si>
  <si>
    <t>04/30/2020</t>
  </si>
  <si>
    <t>03/31/2020</t>
  </si>
  <si>
    <t>02/29/2020</t>
  </si>
  <si>
    <t>01/31/2020</t>
  </si>
  <si>
    <t>12/31/2019</t>
  </si>
  <si>
    <t>11/30/2019</t>
  </si>
  <si>
    <t>10/31/2019</t>
  </si>
  <si>
    <t>09/30/2019</t>
  </si>
  <si>
    <t>08/31/2019</t>
  </si>
  <si>
    <t>07/31/2019</t>
  </si>
  <si>
    <t>06/30/2019</t>
  </si>
  <si>
    <t>05/31/2019</t>
  </si>
  <si>
    <t>04/30/2019</t>
  </si>
  <si>
    <t>03/31/2019</t>
  </si>
  <si>
    <t>02/28/2019</t>
  </si>
  <si>
    <t>01/31/2019</t>
  </si>
  <si>
    <t>12/31/2018</t>
  </si>
  <si>
    <t>11/30/2018</t>
  </si>
  <si>
    <t>10/31/2018</t>
  </si>
  <si>
    <t>09/30/2018</t>
  </si>
  <si>
    <t>08/31/2018</t>
  </si>
  <si>
    <t>07/31/2018</t>
  </si>
  <si>
    <t>06/30/2018</t>
  </si>
  <si>
    <t>05/31/2018</t>
  </si>
  <si>
    <t>04/30/2018</t>
  </si>
  <si>
    <t>03/31/2018</t>
  </si>
  <si>
    <t>02/28/2018</t>
  </si>
  <si>
    <t>Month Ending</t>
  </si>
  <si>
    <t>As of Date:</t>
  </si>
  <si>
    <t>CONS-USD</t>
  </si>
  <si>
    <t>Reporting Book:</t>
  </si>
  <si>
    <t>Pendo - Consolidated Balance Sheet TTM (in USD)</t>
  </si>
  <si>
    <t>Pendo.io Inc.</t>
  </si>
  <si>
    <t>FY 2020</t>
  </si>
  <si>
    <t>FY 2021</t>
  </si>
  <si>
    <t>Cash &amp; Cash Eq.</t>
  </si>
  <si>
    <t>Drivers</t>
  </si>
  <si>
    <t>Incoming Cash % Revenue</t>
  </si>
  <si>
    <t>Outgoing Cash % Op Ex + COGS</t>
  </si>
  <si>
    <t>Check to Model</t>
  </si>
  <si>
    <t>ASC 606 Adjustment % S&amp;M</t>
  </si>
  <si>
    <t>Subscription COGS % Rev</t>
  </si>
  <si>
    <t>PS COGS % Rev</t>
  </si>
  <si>
    <t>PS Rev % PS Bookings</t>
  </si>
  <si>
    <t>Churn % BOP ARR</t>
  </si>
  <si>
    <t>Seasonality of Churn</t>
  </si>
  <si>
    <t>1Q19</t>
  </si>
  <si>
    <t>2Q19</t>
  </si>
  <si>
    <t>3Q19</t>
  </si>
  <si>
    <t>4Q19</t>
  </si>
  <si>
    <t>1Q20</t>
  </si>
  <si>
    <t>2Q20</t>
  </si>
  <si>
    <t>3Q20</t>
  </si>
  <si>
    <t>4Q20</t>
  </si>
  <si>
    <t>1Q21</t>
  </si>
  <si>
    <t>2Q21</t>
  </si>
  <si>
    <t>3Q21</t>
  </si>
  <si>
    <t>4Q21</t>
  </si>
  <si>
    <t>1Q22</t>
  </si>
  <si>
    <t>2Q22</t>
  </si>
  <si>
    <t>3Q22</t>
  </si>
  <si>
    <t>4Q22</t>
  </si>
  <si>
    <t>1Q23</t>
  </si>
  <si>
    <t>2Q23</t>
  </si>
  <si>
    <t>3Q23</t>
  </si>
  <si>
    <t>4Q23</t>
  </si>
  <si>
    <t>1Q24</t>
  </si>
  <si>
    <t>2Q24</t>
  </si>
  <si>
    <t>3Q24</t>
  </si>
  <si>
    <t>4Q24</t>
  </si>
  <si>
    <t>YoY Growth</t>
  </si>
  <si>
    <t>Other Non-Recurring</t>
  </si>
  <si>
    <t>Operating Cash Burn</t>
  </si>
  <si>
    <t>Seasonality of Bookings</t>
  </si>
  <si>
    <t>PS % Total Bookings</t>
  </si>
  <si>
    <t>Total Bookings / S&amp;M Excl 606</t>
  </si>
  <si>
    <t>GRR (Annual)</t>
  </si>
  <si>
    <t>BOP Customer</t>
  </si>
  <si>
    <t>Acquisition</t>
  </si>
  <si>
    <t>New Customer</t>
  </si>
  <si>
    <t>Churn Customer</t>
  </si>
  <si>
    <t>EOP Customer</t>
  </si>
  <si>
    <t>ARPA New</t>
  </si>
  <si>
    <t>ARPA Base</t>
  </si>
  <si>
    <t>LTM Rev per Employee</t>
  </si>
  <si>
    <t>FY2025</t>
  </si>
  <si>
    <t>FY2026</t>
  </si>
  <si>
    <t>FY2027</t>
  </si>
  <si>
    <t>1Q25</t>
  </si>
  <si>
    <t>2Q25</t>
  </si>
  <si>
    <t>3Q25</t>
  </si>
  <si>
    <t>4Q25</t>
  </si>
  <si>
    <t>1Q26</t>
  </si>
  <si>
    <t>2Q26</t>
  </si>
  <si>
    <t>3Q26</t>
  </si>
  <si>
    <t>4Q26</t>
  </si>
  <si>
    <t>1Q27</t>
  </si>
  <si>
    <t>2Q27</t>
  </si>
  <si>
    <t>3Q27</t>
  </si>
  <si>
    <t>4Q27</t>
  </si>
  <si>
    <t>Op Burn % Revenue</t>
  </si>
  <si>
    <t>Gross Bookings</t>
  </si>
  <si>
    <t>Hedge</t>
  </si>
  <si>
    <t>Sub Rev % ARR (per mo)</t>
  </si>
  <si>
    <t>FY19</t>
  </si>
  <si>
    <t>FY20</t>
  </si>
  <si>
    <t>FY21</t>
  </si>
  <si>
    <t>FY22</t>
  </si>
  <si>
    <t>FY23</t>
  </si>
  <si>
    <t>FY24</t>
  </si>
  <si>
    <t>FY25</t>
  </si>
  <si>
    <t>FY26</t>
  </si>
  <si>
    <t>Slide 1</t>
  </si>
  <si>
    <t>Slide 2</t>
  </si>
  <si>
    <t>Sub</t>
  </si>
  <si>
    <t>GM ($)</t>
  </si>
  <si>
    <t>Growth (%)</t>
  </si>
  <si>
    <t>Rev</t>
  </si>
  <si>
    <t>Q3</t>
  </si>
  <si>
    <t>Q4</t>
  </si>
  <si>
    <t>Fix</t>
  </si>
  <si>
    <t>PS %</t>
  </si>
  <si>
    <t>Sub %</t>
  </si>
  <si>
    <t>Slide 3</t>
  </si>
  <si>
    <t>PS % Gross</t>
  </si>
  <si>
    <t>Net ARR Growth</t>
  </si>
  <si>
    <r>
      <t>S&amp;M Spend</t>
    </r>
    <r>
      <rPr>
        <vertAlign val="superscript"/>
        <sz val="11"/>
        <color rgb="FF1A1C25"/>
        <rFont val="Arial"/>
        <family val="2"/>
      </rPr>
      <t>1</t>
    </r>
  </si>
  <si>
    <t>Payback Period (mo)</t>
  </si>
  <si>
    <t>Efficiency Ratio</t>
  </si>
  <si>
    <t>Slide 4</t>
  </si>
  <si>
    <t>Churn ARPA</t>
  </si>
  <si>
    <t>Operating Burn</t>
  </si>
  <si>
    <t>Slide 5</t>
  </si>
  <si>
    <t>S&amp;M % Revenue</t>
  </si>
  <si>
    <t>S&amp;M</t>
  </si>
  <si>
    <t>G&amp;A % Revenue</t>
  </si>
  <si>
    <t>R&amp;D % Revenue</t>
  </si>
  <si>
    <t>Slide 6</t>
  </si>
  <si>
    <t>Cash</t>
  </si>
  <si>
    <t>Slide 7</t>
  </si>
  <si>
    <t>Median</t>
  </si>
  <si>
    <t>Median (LT)</t>
  </si>
  <si>
    <t>Median (IPO)</t>
  </si>
  <si>
    <t>Operating EBITDA</t>
  </si>
  <si>
    <t>Non-GAAP EBITDA</t>
  </si>
  <si>
    <t>Cash Balance</t>
  </si>
  <si>
    <t>Cash Burn (ex Equity)</t>
  </si>
  <si>
    <t>Appendix 1</t>
  </si>
  <si>
    <t>Core</t>
  </si>
  <si>
    <t>Mobile</t>
  </si>
  <si>
    <t>VoC</t>
  </si>
  <si>
    <t>DAP</t>
  </si>
  <si>
    <t>Adopt</t>
  </si>
  <si>
    <t>BD/MS</t>
  </si>
  <si>
    <t>BUDGET</t>
  </si>
  <si>
    <t>ACTUAL/FORECAST</t>
  </si>
  <si>
    <t>Q1</t>
  </si>
  <si>
    <t>Q2</t>
  </si>
  <si>
    <t>EOY FY22</t>
  </si>
  <si>
    <t>EOY FY23</t>
  </si>
  <si>
    <t>Total</t>
  </si>
  <si>
    <t>Team</t>
  </si>
  <si>
    <t>Corp</t>
  </si>
  <si>
    <t>original JK forecast for VOC</t>
  </si>
  <si>
    <t>Comm</t>
  </si>
  <si>
    <t>Enterprise</t>
  </si>
  <si>
    <t>EMEA</t>
  </si>
  <si>
    <t>original JK forecast for mobile</t>
  </si>
  <si>
    <t>Sub Success</t>
  </si>
  <si>
    <t>Japan</t>
  </si>
  <si>
    <t>ANZ</t>
  </si>
  <si>
    <t>BD/MS/Partner</t>
  </si>
  <si>
    <t>Net</t>
  </si>
  <si>
    <t>need to find $500k, should be $20.7M</t>
  </si>
  <si>
    <t>delta</t>
  </si>
  <si>
    <t>BOY</t>
  </si>
  <si>
    <t>EOY</t>
  </si>
  <si>
    <t>Level Four Grouping</t>
  </si>
  <si>
    <t>Digital Adoption</t>
  </si>
  <si>
    <t>Feedback</t>
  </si>
  <si>
    <t>Guidance</t>
  </si>
  <si>
    <t>Insights</t>
  </si>
  <si>
    <t>Integration</t>
  </si>
  <si>
    <t>TAM/Support</t>
  </si>
  <si>
    <t>Close Fiscal Quarter</t>
  </si>
  <si>
    <t>Inferred ARR</t>
  </si>
  <si>
    <t>FY2021-Q3</t>
  </si>
  <si>
    <t>FY2021-Q4</t>
  </si>
  <si>
    <t>FY2022-Q1</t>
  </si>
  <si>
    <t>FY2022-Q2</t>
  </si>
  <si>
    <t>FY2022-Q3</t>
  </si>
  <si>
    <t>Web</t>
  </si>
  <si>
    <t>Non Platform ARR</t>
  </si>
  <si>
    <t>annual increase</t>
  </si>
  <si>
    <t>Starting ARR</t>
  </si>
  <si>
    <t>Bookings</t>
  </si>
  <si>
    <t>Ending ARR</t>
  </si>
  <si>
    <t>Ending ARR (%)</t>
  </si>
  <si>
    <t>Engage</t>
  </si>
  <si>
    <t>DA</t>
  </si>
  <si>
    <t>Subscription Revenue</t>
  </si>
  <si>
    <t>Headcount &amp; Related</t>
  </si>
  <si>
    <t>Contractors</t>
  </si>
  <si>
    <t>CS/PS</t>
  </si>
  <si>
    <t>P&amp;L Code</t>
  </si>
  <si>
    <t>Sub Department</t>
  </si>
  <si>
    <t>Department</t>
  </si>
  <si>
    <t>Intacct Department</t>
  </si>
  <si>
    <t>Intacct GL Code</t>
  </si>
  <si>
    <t>Intacct GL Name</t>
  </si>
  <si>
    <t>February</t>
  </si>
  <si>
    <t>March</t>
  </si>
  <si>
    <t>April</t>
  </si>
  <si>
    <t>May</t>
  </si>
  <si>
    <t>June</t>
  </si>
  <si>
    <t>July</t>
  </si>
  <si>
    <t>August</t>
  </si>
  <si>
    <t>September</t>
  </si>
  <si>
    <t>October</t>
  </si>
  <si>
    <t>November</t>
  </si>
  <si>
    <t>December</t>
  </si>
  <si>
    <t>January</t>
  </si>
  <si>
    <t>Hosting</t>
  </si>
  <si>
    <t>COST OF GOOD SOLD</t>
  </si>
  <si>
    <t>D200</t>
  </si>
  <si>
    <t>Cost of Revenue - Subscriptions</t>
  </si>
  <si>
    <t xml:space="preserve">Sales &amp; Marketing </t>
  </si>
  <si>
    <t>HOSTING S&amp;M</t>
  </si>
  <si>
    <t>SALES</t>
  </si>
  <si>
    <t>D700</t>
  </si>
  <si>
    <t>Infrastructure as a Service</t>
  </si>
  <si>
    <t>R&amp;D &amp; Product</t>
  </si>
  <si>
    <t>HOSTING R&amp;D</t>
  </si>
  <si>
    <t>D201</t>
  </si>
  <si>
    <t>Referral Commission</t>
  </si>
  <si>
    <t>D715</t>
  </si>
  <si>
    <t>Cost of Revenue - Other</t>
  </si>
  <si>
    <t>Customer Success</t>
  </si>
  <si>
    <t>CUSTOMER SUCCESS COGS</t>
  </si>
  <si>
    <t>D100</t>
  </si>
  <si>
    <t>Salaries &amp; Wages</t>
  </si>
  <si>
    <t>Benefits &amp; Payroll Taxes</t>
  </si>
  <si>
    <t>CS Commissions</t>
  </si>
  <si>
    <t>Payroll Taxes</t>
  </si>
  <si>
    <t>Contractors &amp; Interns</t>
  </si>
  <si>
    <t>Employee Development</t>
  </si>
  <si>
    <t>Software as a Service</t>
  </si>
  <si>
    <t>Department Activity</t>
  </si>
  <si>
    <t>TRAVEL CUSTOMER SUCCESS</t>
  </si>
  <si>
    <t>Travel</t>
  </si>
  <si>
    <t>CUSTOMER SUCCESS S&amp;M</t>
  </si>
  <si>
    <t>Cost of Revenue Allocation</t>
  </si>
  <si>
    <t>Professional Services</t>
  </si>
  <si>
    <t>D600</t>
  </si>
  <si>
    <t>PS Commissions</t>
  </si>
  <si>
    <t>EXPENSES</t>
  </si>
  <si>
    <t>D300</t>
  </si>
  <si>
    <t>Bonuses</t>
  </si>
  <si>
    <t>TRAVEL</t>
  </si>
  <si>
    <t>OFFICE</t>
  </si>
  <si>
    <t>Rent</t>
  </si>
  <si>
    <t>Parking</t>
  </si>
  <si>
    <t>Taxes</t>
  </si>
  <si>
    <t>Insurance</t>
  </si>
  <si>
    <t>Shipping &amp; Delivery</t>
  </si>
  <si>
    <t>Office-Related</t>
  </si>
  <si>
    <t>Food &amp; Refreshments - Office</t>
  </si>
  <si>
    <t>FINANCE &amp; LEGAL</t>
  </si>
  <si>
    <t>D310</t>
  </si>
  <si>
    <t>Professional Fees</t>
  </si>
  <si>
    <t>Payroll Services</t>
  </si>
  <si>
    <t>Dues &amp; Subscriptions</t>
  </si>
  <si>
    <t>Stripe Fees</t>
  </si>
  <si>
    <t>Bad Debt</t>
  </si>
  <si>
    <t>Legal</t>
  </si>
  <si>
    <t>Legal - Litigation</t>
  </si>
  <si>
    <t>Todd Discretionary</t>
  </si>
  <si>
    <t>IT</t>
  </si>
  <si>
    <t>D330</t>
  </si>
  <si>
    <t>Utilities</t>
  </si>
  <si>
    <t>Fixed Assets</t>
  </si>
  <si>
    <t>Computers &amp; Monitors</t>
  </si>
  <si>
    <t xml:space="preserve">HR </t>
  </si>
  <si>
    <t>D320</t>
  </si>
  <si>
    <t>Recruiting Events</t>
  </si>
  <si>
    <t>Company Holidays &amp; Events</t>
  </si>
  <si>
    <t>Employee Incentives</t>
  </si>
  <si>
    <t>Relocation</t>
  </si>
  <si>
    <t>D400</t>
  </si>
  <si>
    <t xml:space="preserve">CONTENT </t>
  </si>
  <si>
    <t>Outsourced written Content</t>
  </si>
  <si>
    <t>Content design</t>
  </si>
  <si>
    <t>Social media publishing and tracking</t>
  </si>
  <si>
    <t>Video Productions</t>
  </si>
  <si>
    <t>EVENTS</t>
  </si>
  <si>
    <t>Events &amp; Sponsorships</t>
  </si>
  <si>
    <t>Booth Materials + Printings</t>
  </si>
  <si>
    <t>Tradeshows Gifts</t>
  </si>
  <si>
    <t>Field events/happy hours</t>
  </si>
  <si>
    <t>MARCOM &amp; MEDIA RELATIONS</t>
  </si>
  <si>
    <t xml:space="preserve">Customer Gifts </t>
  </si>
  <si>
    <t>Public Relations &amp; Media Placement</t>
  </si>
  <si>
    <t>Analysts Relations</t>
  </si>
  <si>
    <t>LEAD GENERATION</t>
  </si>
  <si>
    <t>Email Campaigns</t>
  </si>
  <si>
    <t>PPC+SEM Expense</t>
  </si>
  <si>
    <t>Webinars</t>
  </si>
  <si>
    <t>SEO Expense</t>
  </si>
  <si>
    <t>WEBSITE</t>
  </si>
  <si>
    <t>Web Design</t>
  </si>
  <si>
    <t>MARKETING INFRASTRUCTURE</t>
  </si>
  <si>
    <t>Evangelist</t>
  </si>
  <si>
    <t>D900</t>
  </si>
  <si>
    <t xml:space="preserve">Sales </t>
  </si>
  <si>
    <t>D710</t>
  </si>
  <si>
    <t>SALES EXPENSES</t>
  </si>
  <si>
    <t>Sales Commissions</t>
  </si>
  <si>
    <t>President Club</t>
  </si>
  <si>
    <t>Japan &amp; ANZ</t>
  </si>
  <si>
    <t>Sales Enablement</t>
  </si>
  <si>
    <t>D730</t>
  </si>
  <si>
    <t>Strategic Accounts Sales</t>
  </si>
  <si>
    <t>D720</t>
  </si>
  <si>
    <t>D800</t>
  </si>
  <si>
    <t>Retention Bonus</t>
  </si>
  <si>
    <t>R&amp;D EXPENSES</t>
  </si>
  <si>
    <t>D500</t>
  </si>
  <si>
    <t>Financial Expenses</t>
  </si>
  <si>
    <t>OTHER EXPENSES</t>
  </si>
  <si>
    <t>Financial Services Fees</t>
  </si>
  <si>
    <t>Interest Expense</t>
  </si>
  <si>
    <t>Withholding Tax â€“ Clearing Account</t>
  </si>
  <si>
    <t>Income Taxes</t>
  </si>
  <si>
    <t>People</t>
  </si>
  <si>
    <t>ASC 606</t>
  </si>
  <si>
    <t>Marketing Discretionary</t>
  </si>
  <si>
    <t>SalesHC</t>
  </si>
  <si>
    <t>SalesOther</t>
  </si>
  <si>
    <t>Classification</t>
  </si>
  <si>
    <t>SalesOps</t>
  </si>
  <si>
    <t>JapanANZ</t>
  </si>
  <si>
    <t>Japan and Australia</t>
  </si>
  <si>
    <t>SalesOpsHC</t>
  </si>
  <si>
    <t>SalesOpsOther</t>
  </si>
  <si>
    <t>MarketingHC</t>
  </si>
  <si>
    <t>MarketingOther</t>
  </si>
  <si>
    <t>MarketingDiscretionary</t>
  </si>
  <si>
    <t>PeopleHC</t>
  </si>
  <si>
    <t>EngineeringHC</t>
  </si>
  <si>
    <t>ProductHC</t>
  </si>
  <si>
    <t>G&amp;AHC</t>
  </si>
  <si>
    <t>CS/PSHC</t>
  </si>
  <si>
    <t>CS/PSOther</t>
  </si>
  <si>
    <t>Total Sales &amp; Marketing</t>
  </si>
  <si>
    <t>Total Research &amp; Development</t>
  </si>
  <si>
    <t>Engineering</t>
  </si>
  <si>
    <t>COGSCS</t>
  </si>
  <si>
    <t>COGSHosting</t>
  </si>
  <si>
    <t>CS/PSAllocation</t>
  </si>
  <si>
    <t>G&amp;Aother</t>
  </si>
  <si>
    <t>G&amp;AOther</t>
  </si>
  <si>
    <t>PeopleOther</t>
  </si>
  <si>
    <t>Total General &amp; Administrative</t>
  </si>
  <si>
    <t>EngineeringOther</t>
  </si>
  <si>
    <t>ProductOther</t>
  </si>
  <si>
    <t>Total Operating Expenses</t>
  </si>
  <si>
    <t>ASC606</t>
  </si>
  <si>
    <t>COGS: Hosting Costs</t>
  </si>
  <si>
    <t>Total COGS</t>
  </si>
  <si>
    <t>COGS Allocation</t>
  </si>
  <si>
    <t>$ per Head</t>
  </si>
  <si>
    <t>Sales Headcount (Avg)</t>
  </si>
  <si>
    <t>Marketing Headcount (Avg)</t>
  </si>
  <si>
    <t>Sales Headcount (EOP)</t>
  </si>
  <si>
    <t>Marketing Headcount (EOP)</t>
  </si>
  <si>
    <t>ARR (EOP)</t>
  </si>
  <si>
    <t>ARR (Avg)</t>
  </si>
  <si>
    <t>Other Drivers</t>
  </si>
  <si>
    <t>Other % Sales HC</t>
  </si>
  <si>
    <t>Other % Marketing HC</t>
  </si>
  <si>
    <t>Other % CS/PS/TS HC</t>
  </si>
  <si>
    <t>COGS % CS/PS/TS</t>
  </si>
  <si>
    <t>ARR per Head (EOP)</t>
  </si>
  <si>
    <t>Gross Bookings per Head</t>
  </si>
  <si>
    <t>Mktg Disc % Gross Bookings</t>
  </si>
  <si>
    <t>Mktg Disc Seasonality</t>
  </si>
  <si>
    <t>Research &amp; Development</t>
  </si>
  <si>
    <t>Product Headcount (EOP)</t>
  </si>
  <si>
    <t>Product Headcount (Avg)</t>
  </si>
  <si>
    <t>Engineering Headcount (EOP)</t>
  </si>
  <si>
    <t>Engineering Headcount (Avg)</t>
  </si>
  <si>
    <t>Other % Eng HC</t>
  </si>
  <si>
    <t>Other % Prod HC</t>
  </si>
  <si>
    <t>Eng per Prod Head</t>
  </si>
  <si>
    <t>ARR per Head (Avg)</t>
  </si>
  <si>
    <t>General &amp; Administrative</t>
  </si>
  <si>
    <t>G&amp;A Headcount (EOP)</t>
  </si>
  <si>
    <t>G&amp;A Headcount (Avg)</t>
  </si>
  <si>
    <t>People Headcount (EOP)</t>
  </si>
  <si>
    <t>People Headcount (Avg)</t>
  </si>
  <si>
    <t>Other % People HC</t>
  </si>
  <si>
    <t>Other % G&amp;A HC</t>
  </si>
  <si>
    <t>Total Headcount</t>
  </si>
  <si>
    <t>Employees per People HC (EOP)</t>
  </si>
  <si>
    <t>Total Avg Headcount</t>
  </si>
  <si>
    <t>Rent per Head (USD)</t>
  </si>
  <si>
    <t>Hosting Expenses</t>
  </si>
  <si>
    <t>Hosting Expenses % Rev</t>
  </si>
  <si>
    <t>CS/PS % Rev</t>
  </si>
  <si>
    <t>Subscription Margin (%)</t>
  </si>
  <si>
    <t>Subscription Margin ($)</t>
  </si>
  <si>
    <t>COGSPS</t>
  </si>
  <si>
    <t>COGS: PS</t>
  </si>
  <si>
    <t>COGS: CS</t>
  </si>
  <si>
    <t>PS Revenue</t>
  </si>
  <si>
    <t>PS Margin ($)</t>
  </si>
  <si>
    <t>PS Margin (%)</t>
  </si>
  <si>
    <t>CS/TS Expenses</t>
  </si>
  <si>
    <t>CS/TS</t>
  </si>
  <si>
    <t>CS/TS Headcount (EOP)</t>
  </si>
  <si>
    <t>CS/TS Headcount (Avg)</t>
  </si>
  <si>
    <t>PS Headcount (EOP)</t>
  </si>
  <si>
    <t>PS Headcount (Avg)</t>
  </si>
  <si>
    <t>Gross Bookings ($M)</t>
  </si>
  <si>
    <t>Headcount (Year-end)</t>
  </si>
  <si>
    <t>Total S&amp;M Expense ($M)</t>
  </si>
  <si>
    <t>ARR (YE)</t>
  </si>
  <si>
    <t>Average Marketing Heads</t>
  </si>
  <si>
    <t>Average Sales Heads</t>
  </si>
  <si>
    <t>% Gross Bookings</t>
  </si>
  <si>
    <t>Bookings per Avg Sales HC ($M)</t>
  </si>
  <si>
    <t>ARR per CS Head (YE, $M)</t>
  </si>
  <si>
    <t>Bookings per Avg Mktg HC ($M)</t>
  </si>
  <si>
    <t>Year-End CS Heads</t>
  </si>
  <si>
    <t>Closed Transaction Type</t>
  </si>
  <si>
    <t>Downgrade</t>
  </si>
  <si>
    <t>Expansion</t>
  </si>
  <si>
    <t>Initial Sale</t>
  </si>
  <si>
    <t>Date Fiscal Quarter</t>
  </si>
  <si>
    <t>Total ARR</t>
  </si>
  <si>
    <t>FY2017-Q4</t>
  </si>
  <si>
    <t>FY2018-Q1</t>
  </si>
  <si>
    <t>FY2018-Q2</t>
  </si>
  <si>
    <t>FY2018-Q3</t>
  </si>
  <si>
    <t>FY2018-Q4</t>
  </si>
  <si>
    <t>FY2019-Q1</t>
  </si>
  <si>
    <t>FY2019-Q2</t>
  </si>
  <si>
    <t>FY2019-Q3</t>
  </si>
  <si>
    <t>FY2019-Q4</t>
  </si>
  <si>
    <t>FY2020-Q1</t>
  </si>
  <si>
    <t>FY2020-Q2</t>
  </si>
  <si>
    <t>FY2020-Q3</t>
  </si>
  <si>
    <t>FY2020-Q4</t>
  </si>
  <si>
    <t>FY2021-Q1</t>
  </si>
  <si>
    <t>FY2021-Q2</t>
  </si>
  <si>
    <t>Partner</t>
  </si>
  <si>
    <t/>
  </si>
  <si>
    <t>Segment</t>
  </si>
  <si>
    <t>Date Month</t>
  </si>
  <si>
    <t>Corporate</t>
  </si>
  <si>
    <t>Commercial</t>
  </si>
  <si>
    <t>Strategic</t>
  </si>
  <si>
    <t>Sr. Commercial</t>
  </si>
  <si>
    <t>Subscription Success</t>
  </si>
  <si>
    <t>DAP/VoC</t>
  </si>
  <si>
    <t>Comments</t>
  </si>
  <si>
    <t>Downgrade % Total Churn - L4Q</t>
  </si>
  <si>
    <t>Downgrade %</t>
  </si>
  <si>
    <t>GRR</t>
  </si>
  <si>
    <t>NRR</t>
  </si>
  <si>
    <t>GRR - Corp</t>
  </si>
  <si>
    <t>NRR - Corp</t>
  </si>
  <si>
    <t>GRR - Ent</t>
  </si>
  <si>
    <t>NRR - Ent</t>
  </si>
  <si>
    <t>GRR - Comm</t>
  </si>
  <si>
    <t>NRR - Comm</t>
  </si>
  <si>
    <t>Initial Sale %</t>
  </si>
  <si>
    <t>% of Total</t>
  </si>
  <si>
    <t>Initial Sale $</t>
  </si>
  <si>
    <t>Expansion $</t>
  </si>
  <si>
    <t>Retention</t>
  </si>
  <si>
    <t>Median LTM Rev/Empl: 2020 IPOs</t>
  </si>
  <si>
    <t>ARR per Head (Avg) ($M)</t>
  </si>
  <si>
    <t>Cost per Head ($k)</t>
  </si>
  <si>
    <t>Total Emp. per People HC (EOP)</t>
  </si>
  <si>
    <t>R&amp;D % Total Headcount</t>
  </si>
  <si>
    <t>Products</t>
  </si>
  <si>
    <t>ARR - Corp</t>
  </si>
  <si>
    <t>ARR - Comm</t>
  </si>
  <si>
    <t>ARR - Enterprise</t>
  </si>
  <si>
    <t>ARR - Total</t>
  </si>
  <si>
    <t>Corporate Mix</t>
  </si>
  <si>
    <t>Initial Sale (%)</t>
  </si>
  <si>
    <t>Expansion (%)</t>
  </si>
  <si>
    <t>Downgrade (%)</t>
  </si>
  <si>
    <t>Churn (%)</t>
  </si>
  <si>
    <t>Initial Sale ($)</t>
  </si>
  <si>
    <t>Expansion ($)</t>
  </si>
  <si>
    <t>Downgrade ($)</t>
  </si>
  <si>
    <t>Churn ($)</t>
  </si>
  <si>
    <t>Net ARR</t>
  </si>
  <si>
    <t>Commercial Mix</t>
  </si>
  <si>
    <t>Enterprise Mix</t>
  </si>
  <si>
    <t>Product Mix</t>
  </si>
  <si>
    <t>Mix by Product</t>
  </si>
  <si>
    <t>Gross Bookings (%)</t>
  </si>
  <si>
    <t>Gross Bookings ($)</t>
  </si>
  <si>
    <t>% Core</t>
  </si>
  <si>
    <t>% VoC</t>
  </si>
  <si>
    <t>% DAP</t>
  </si>
  <si>
    <t>% Adopt</t>
  </si>
  <si>
    <t>Transaction Type</t>
  </si>
  <si>
    <t>Close Month</t>
  </si>
  <si>
    <t>Variance</t>
  </si>
  <si>
    <t>Per ARR</t>
  </si>
  <si>
    <t>North America</t>
  </si>
  <si>
    <t>APAC</t>
  </si>
  <si>
    <t>AMER</t>
  </si>
  <si>
    <t>Total Gross Bookings</t>
  </si>
  <si>
    <t>(blank)</t>
  </si>
  <si>
    <t>LATAM</t>
  </si>
  <si>
    <t>Sep</t>
  </si>
  <si>
    <t>Aug</t>
  </si>
  <si>
    <t>Jul</t>
  </si>
  <si>
    <t>Jun</t>
  </si>
  <si>
    <t>Apr</t>
  </si>
  <si>
    <t>Mar</t>
  </si>
  <si>
    <t>Feb</t>
  </si>
  <si>
    <t>Jan</t>
  </si>
  <si>
    <t>Dec</t>
  </si>
  <si>
    <t>Nov</t>
  </si>
  <si>
    <t>Oct</t>
  </si>
  <si>
    <t>Row Labels</t>
  </si>
  <si>
    <t>2021</t>
  </si>
  <si>
    <t>2020</t>
  </si>
  <si>
    <t>2019</t>
  </si>
  <si>
    <t>2018</t>
  </si>
  <si>
    <t>2017</t>
  </si>
  <si>
    <t>2016</t>
  </si>
  <si>
    <t>2015</t>
  </si>
  <si>
    <t>2014</t>
  </si>
  <si>
    <t>Column Labels</t>
  </si>
  <si>
    <t>Sum of Expansion</t>
  </si>
  <si>
    <t>Expansion Bookings</t>
  </si>
  <si>
    <t>Sum of Initial Sale</t>
  </si>
  <si>
    <t>Total per ARR</t>
  </si>
  <si>
    <t>YoY Bookings Growth</t>
  </si>
  <si>
    <t>% Total Bookings</t>
  </si>
  <si>
    <t>Sum of Downgrade</t>
  </si>
  <si>
    <t>Sum of Churn</t>
  </si>
  <si>
    <t>Sum of Partner</t>
  </si>
  <si>
    <t>(All)</t>
  </si>
  <si>
    <t>% Channel</t>
  </si>
  <si>
    <t>$ Channel</t>
  </si>
  <si>
    <t>AMER Segments</t>
  </si>
  <si>
    <t>EMEA Segments</t>
  </si>
  <si>
    <t>APAC Segments</t>
  </si>
  <si>
    <t>Total AMER</t>
  </si>
  <si>
    <t>Total EMEA</t>
  </si>
  <si>
    <t>Total APAC</t>
  </si>
  <si>
    <t>YoY Growth %</t>
  </si>
  <si>
    <t>Channel %</t>
  </si>
  <si>
    <t>Corp - DG</t>
  </si>
  <si>
    <t>Corp - Churn</t>
  </si>
  <si>
    <t>Comm - DG</t>
  </si>
  <si>
    <t>Comm - Churn</t>
  </si>
  <si>
    <t>Ent - DG</t>
  </si>
  <si>
    <t>Ent - Churn</t>
  </si>
  <si>
    <t>Adjustment</t>
  </si>
  <si>
    <t>Target</t>
  </si>
  <si>
    <t>Q3 Adj</t>
  </si>
  <si>
    <t>Q4 Adj</t>
  </si>
  <si>
    <t>Burn % Rev</t>
  </si>
  <si>
    <t xml:space="preserve">  S&amp;M incl 606</t>
  </si>
  <si>
    <t>Cash Burn % Rev</t>
  </si>
  <si>
    <t>Headcount % Total</t>
  </si>
  <si>
    <t>Headcount Expense</t>
  </si>
  <si>
    <t>Commission Rate</t>
  </si>
  <si>
    <t>Month 1</t>
  </si>
  <si>
    <t>Month 2</t>
  </si>
  <si>
    <t>Month 3</t>
  </si>
  <si>
    <t>Month 4</t>
  </si>
  <si>
    <t>Month 5</t>
  </si>
  <si>
    <t>Month 6</t>
  </si>
  <si>
    <t>Month 7</t>
  </si>
  <si>
    <t>Month 8</t>
  </si>
  <si>
    <t>Month 9</t>
  </si>
  <si>
    <t>Month 10</t>
  </si>
  <si>
    <t>Month 11</t>
  </si>
  <si>
    <t>Month 12</t>
  </si>
  <si>
    <t>Month 13</t>
  </si>
  <si>
    <t>Month 14</t>
  </si>
  <si>
    <t>Month 15</t>
  </si>
  <si>
    <t>Month 16</t>
  </si>
  <si>
    <t>Month 17</t>
  </si>
  <si>
    <t>Month 18</t>
  </si>
  <si>
    <t>Month 19</t>
  </si>
  <si>
    <t>Month 20</t>
  </si>
  <si>
    <t>Month 21</t>
  </si>
  <si>
    <t>Month 22</t>
  </si>
  <si>
    <t>Month 23</t>
  </si>
  <si>
    <t>Month 24</t>
  </si>
  <si>
    <t>Month 25</t>
  </si>
  <si>
    <t>Month 26</t>
  </si>
  <si>
    <t>Month 27</t>
  </si>
  <si>
    <t>Month 28</t>
  </si>
  <si>
    <t>Month 29</t>
  </si>
  <si>
    <t>Month 30</t>
  </si>
  <si>
    <t>Month 31</t>
  </si>
  <si>
    <t>Month 32</t>
  </si>
  <si>
    <t>Month 33</t>
  </si>
  <si>
    <t>Month 34</t>
  </si>
  <si>
    <t>Month 35</t>
  </si>
  <si>
    <t>Month 36</t>
  </si>
  <si>
    <t>Month 37</t>
  </si>
  <si>
    <t>Month 38</t>
  </si>
  <si>
    <t>Month 39</t>
  </si>
  <si>
    <t>Month 40</t>
  </si>
  <si>
    <t>Month 41</t>
  </si>
  <si>
    <t>Month 42</t>
  </si>
  <si>
    <t>Month 43</t>
  </si>
  <si>
    <t>Month 44</t>
  </si>
  <si>
    <t>Month 45</t>
  </si>
  <si>
    <t>Month 46</t>
  </si>
  <si>
    <t>Month 47</t>
  </si>
  <si>
    <t>Month 48</t>
  </si>
  <si>
    <t>Month 49</t>
  </si>
  <si>
    <t>Month 50</t>
  </si>
  <si>
    <t>Month 51</t>
  </si>
  <si>
    <t>Month 52</t>
  </si>
  <si>
    <t>Month 53</t>
  </si>
  <si>
    <t>Month 54</t>
  </si>
  <si>
    <t>Month 55</t>
  </si>
  <si>
    <t>Month 56</t>
  </si>
  <si>
    <t>Month 57</t>
  </si>
  <si>
    <t>Month 58</t>
  </si>
  <si>
    <t>Month 59</t>
  </si>
  <si>
    <t>Month 60</t>
  </si>
  <si>
    <t>Amortization</t>
  </si>
  <si>
    <t>Depreciation</t>
  </si>
  <si>
    <t>3 Year Depreciation</t>
  </si>
  <si>
    <t>5 Year Depreciation</t>
  </si>
  <si>
    <t>Capitalized Commissions</t>
  </si>
  <si>
    <t>36 mo Amortization</t>
  </si>
  <si>
    <t>Prior Yr Adj</t>
  </si>
  <si>
    <t>Amount to Amortize</t>
  </si>
  <si>
    <t>60 mo Amortization</t>
  </si>
  <si>
    <t>Comm AEs</t>
  </si>
  <si>
    <t>100% of Adopt Bookings</t>
  </si>
  <si>
    <t>70% VoC, DA, BD, JPN, ANZ</t>
  </si>
  <si>
    <t>90% of SS Bookings</t>
  </si>
  <si>
    <t>EMEA: $400k/585k Q3/Q4</t>
  </si>
  <si>
    <t>Original Forecast Source</t>
  </si>
  <si>
    <t>Total Adj</t>
  </si>
  <si>
    <t>Unadjusted Comm AEs</t>
  </si>
  <si>
    <t>&lt;--- Adjusted per JK</t>
  </si>
  <si>
    <t>Rule of 40%</t>
  </si>
  <si>
    <t>Gross Profit</t>
  </si>
  <si>
    <t>LogRocket</t>
  </si>
  <si>
    <t>Pendo</t>
  </si>
  <si>
    <t>($ in mm)</t>
  </si>
  <si>
    <t>Forecast Fiscal Year Ending Jan. 31,</t>
  </si>
  <si>
    <t>Historical FYE Jan. 31,</t>
  </si>
  <si>
    <t>Financial Summary</t>
  </si>
  <si>
    <t>(Note: LR financials off by 1 month due to Dec. 31 FYE)</t>
  </si>
  <si>
    <t>Total Uses</t>
  </si>
  <si>
    <t>Fees and Expenses</t>
  </si>
  <si>
    <t>Equity Purchase Price</t>
  </si>
  <si>
    <t>Cash to B/S</t>
  </si>
  <si>
    <t>%</t>
  </si>
  <si>
    <t>$ Amt</t>
  </si>
  <si>
    <t>Uses</t>
  </si>
  <si>
    <t>Total Sources</t>
  </si>
  <si>
    <t>of shares outstanding</t>
  </si>
  <si>
    <t>Year 3</t>
  </si>
  <si>
    <t>''</t>
  </si>
  <si>
    <t>Year 2</t>
  </si>
  <si>
    <t>IPO</t>
  </si>
  <si>
    <t>Year 1</t>
  </si>
  <si>
    <t>New Equity</t>
  </si>
  <si>
    <t>Cash Earnout Payments</t>
  </si>
  <si>
    <t>Autonomy to execute product roadmap, reporting structure to CPO </t>
  </si>
  <si>
    <t>Cash from Pendo B/S</t>
  </si>
  <si>
    <t>Matt - main founder will become VP/GM of Session Replay</t>
  </si>
  <si>
    <t>Cash from LR B/S</t>
  </si>
  <si>
    <t>Non-Tangible Benefits:</t>
  </si>
  <si>
    <t>Sources</t>
  </si>
  <si>
    <t>Key employees would get principal packages and add'l equity</t>
  </si>
  <si>
    <t>Founder would get VP packages and add'l equity</t>
  </si>
  <si>
    <t>Employment Agreement:  </t>
  </si>
  <si>
    <t>Cash: $10M to Founders (Collectively) - $2M upon Close; $3M upon completion of tight integration with Pendo platform for Pendo product persona; $5M upon 18 mos.</t>
  </si>
  <si>
    <t>36 mos.</t>
  </si>
  <si>
    <t xml:space="preserve">24 mos. </t>
  </si>
  <si>
    <t>18 mos.</t>
  </si>
  <si>
    <t>12 mos.</t>
  </si>
  <si>
    <t>At Close</t>
  </si>
  <si>
    <t>Equity Purchase: $180MM</t>
  </si>
  <si>
    <t>Consideration Schedule</t>
  </si>
  <si>
    <t>Equity Value</t>
  </si>
  <si>
    <t>Plus: Cash</t>
  </si>
  <si>
    <t>Less: Debt</t>
  </si>
  <si>
    <t>Enterprise Value</t>
  </si>
  <si>
    <t>Multiple</t>
  </si>
  <si>
    <t>CY'21E Revenue / ARR</t>
  </si>
  <si>
    <t>Purchase Price Overview</t>
  </si>
  <si>
    <t>Assumptions</t>
  </si>
  <si>
    <t>Will existing cash be paid out?</t>
  </si>
  <si>
    <t>Project Landsowne Merger Model</t>
  </si>
  <si>
    <t>Questions:</t>
  </si>
  <si>
    <t>Cash Out</t>
  </si>
  <si>
    <t>Cash In</t>
  </si>
  <si>
    <t>Harpoon Assumptions - Cashflow</t>
  </si>
  <si>
    <t>Harpoon Assumption Adjustments</t>
  </si>
  <si>
    <t>Total Op Ex</t>
  </si>
  <si>
    <t>% Revenue</t>
  </si>
  <si>
    <t>Gross Margin %</t>
  </si>
  <si>
    <t>Pendo LT Model</t>
  </si>
  <si>
    <t>Assumption Drivers</t>
  </si>
  <si>
    <t>Cash Generated</t>
  </si>
  <si>
    <t>Total Op Income</t>
  </si>
  <si>
    <t>Total G&amp;A</t>
  </si>
  <si>
    <t>Total R&amp;D</t>
  </si>
  <si>
    <t>Total S&amp;M</t>
  </si>
  <si>
    <t>GRR %</t>
  </si>
  <si>
    <t>Total BOP ARR</t>
  </si>
  <si>
    <t>assume normal attrition</t>
  </si>
  <si>
    <t>$24.5M ending ARR - assume we offset abnormal attrition with Pendo upsell</t>
  </si>
  <si>
    <t>Total Bookings</t>
  </si>
  <si>
    <t>Worst Case</t>
  </si>
  <si>
    <t>Best Case</t>
  </si>
  <si>
    <t>Harpoon</t>
  </si>
  <si>
    <t>Base</t>
  </si>
  <si>
    <t>Post-Launch</t>
  </si>
  <si>
    <t>Pre-Launch</t>
  </si>
  <si>
    <t>Penetration of Existing</t>
  </si>
  <si>
    <t>Price Point</t>
  </si>
  <si>
    <t>Customer Count</t>
  </si>
  <si>
    <t>Customer Size Avg</t>
  </si>
  <si>
    <t>GRAVEYARD</t>
  </si>
  <si>
    <t>LT Model Bookings</t>
  </si>
  <si>
    <t>Total Expansion Bookings</t>
  </si>
  <si>
    <t>Enterprise Harpoon Bookings</t>
  </si>
  <si>
    <t>Commercial Harpoon Bookings</t>
  </si>
  <si>
    <t>Corporate Harpoon Bookings</t>
  </si>
  <si>
    <t>Enterprise Bookings Seasonality</t>
  </si>
  <si>
    <t>Commercial Bookings Seasonality</t>
  </si>
  <si>
    <t>Corporate Bookings Seasonality</t>
  </si>
  <si>
    <t>Total New Bookings</t>
  </si>
  <si>
    <t>ASP Increase (%)</t>
  </si>
  <si>
    <t>Attach Rate</t>
  </si>
  <si>
    <t>ASP</t>
  </si>
  <si>
    <t>Corporate Bookings</t>
  </si>
  <si>
    <t>New Bookings</t>
  </si>
  <si>
    <t>Harpoon Selling Months</t>
  </si>
  <si>
    <t>Attach Rate Assumptions</t>
  </si>
  <si>
    <t>Commission Rate (% Bookings)</t>
  </si>
  <si>
    <t>Subscription Revenue % of ARR (per Mo.)</t>
  </si>
  <si>
    <t>Net Harpoon Cash Contribution</t>
  </si>
  <si>
    <t>NWC Impact - Deferred Revenue</t>
  </si>
  <si>
    <t>Net Harpoon Contribution</t>
  </si>
  <si>
    <t>Commission</t>
  </si>
  <si>
    <t>Enterprise BOP ARR</t>
  </si>
  <si>
    <t>Commercial BOP ARR</t>
  </si>
  <si>
    <t>Corporate BOP ARR</t>
  </si>
  <si>
    <t>ARR Build - Harpoon</t>
  </si>
  <si>
    <t>Sum Cash-in</t>
  </si>
  <si>
    <t>Total Bookings for Collections</t>
  </si>
  <si>
    <t>Running Total ATR Bookings</t>
  </si>
  <si>
    <t>Initial Sale Bookings</t>
  </si>
  <si>
    <t>Month</t>
  </si>
  <si>
    <t>CY2018A - CY2023E</t>
  </si>
  <si>
    <t>Project Lansdowne - Financial Model (Q3 Rollforward)</t>
  </si>
  <si>
    <t>MD&amp;A</t>
  </si>
  <si>
    <t>Net Profit</t>
  </si>
  <si>
    <t>Interest Income</t>
  </si>
  <si>
    <t>EBIT</t>
  </si>
  <si>
    <t>Software Subscriptions</t>
  </si>
  <si>
    <t>% ARR</t>
  </si>
  <si>
    <t>Rent &amp; Lease</t>
  </si>
  <si>
    <t>D&amp;A</t>
  </si>
  <si>
    <t>Computer Equipment</t>
  </si>
  <si>
    <t>% margin</t>
  </si>
  <si>
    <t>Cash EBITDA</t>
  </si>
  <si>
    <t>% of Change in ARR</t>
  </si>
  <si>
    <t>Change in Deferred Revenue</t>
  </si>
  <si>
    <t>Cloud Hosting - G&amp;A</t>
  </si>
  <si>
    <t>EBITDA</t>
  </si>
  <si>
    <t>Stock Compensation</t>
  </si>
  <si>
    <t>% revenue</t>
  </si>
  <si>
    <t>Avg. Initial ARR, New Bookings</t>
  </si>
  <si>
    <t>Advertising &amp; Marketing</t>
  </si>
  <si>
    <t>Converted Logos From Events</t>
  </si>
  <si>
    <t># of Events</t>
  </si>
  <si>
    <t>Tradeshow Assumptions</t>
  </si>
  <si>
    <t>Upsell % of Beginning ARR</t>
  </si>
  <si>
    <t># of New Logos</t>
  </si>
  <si>
    <t xml:space="preserve">Hosting </t>
  </si>
  <si>
    <t>Cost of Sales</t>
  </si>
  <si>
    <t>Credit Card Fees</t>
  </si>
  <si>
    <t>Other Assumptions</t>
  </si>
  <si>
    <t>COS</t>
  </si>
  <si>
    <t>Total AEs</t>
  </si>
  <si>
    <t>n/a</t>
  </si>
  <si>
    <t>y/y growth</t>
  </si>
  <si>
    <t>Non-Headcount Expense Assumptions</t>
  </si>
  <si>
    <t>Fully Ramped Equivalent Reps (avg.)</t>
  </si>
  <si>
    <t>Total Revenue</t>
  </si>
  <si>
    <t>New AEs</t>
  </si>
  <si>
    <t>Headcount Assumptions</t>
  </si>
  <si>
    <t>% Net $ Retention</t>
  </si>
  <si>
    <t>% Gross $ Retention (cancellations)</t>
  </si>
  <si>
    <t>Headcount Expense by Function</t>
  </si>
  <si>
    <t>Ending Balance</t>
  </si>
  <si>
    <t>(+) Other</t>
  </si>
  <si>
    <t>(-) Downsell</t>
  </si>
  <si>
    <t>(-) Lapsed</t>
  </si>
  <si>
    <t>(-) Churn</t>
  </si>
  <si>
    <t>(+) Upsell</t>
  </si>
  <si>
    <t>Average Annual Headcount Expense by Function</t>
  </si>
  <si>
    <t>(+) Returning</t>
  </si>
  <si>
    <t>(+) New</t>
  </si>
  <si>
    <t>Headcount Expense Assumptions</t>
  </si>
  <si>
    <t>Outbound Lead Assumptions</t>
  </si>
  <si>
    <t>Beginning Balance</t>
  </si>
  <si>
    <t>Consolidated ARR Snowball</t>
  </si>
  <si>
    <t>MQL to Paying Conversion %</t>
  </si>
  <si>
    <t>% YoY Growth</t>
  </si>
  <si>
    <t>Total MQLs from Website and Blogs (#s as is)</t>
  </si>
  <si>
    <t>Inbound Lead Assumptions</t>
  </si>
  <si>
    <t>2023E</t>
  </si>
  <si>
    <t>2022E</t>
  </si>
  <si>
    <t>2021E</t>
  </si>
  <si>
    <t>2020A</t>
  </si>
  <si>
    <t>2019A</t>
  </si>
  <si>
    <t>2018A</t>
  </si>
  <si>
    <t>CYE December 31</t>
  </si>
  <si>
    <t>ARR Waterfall &amp; Summary P&amp;L</t>
  </si>
  <si>
    <t>Expense Assumptions</t>
  </si>
  <si>
    <t>Bookings Assumptions</t>
  </si>
  <si>
    <t>$ in 000s</t>
  </si>
  <si>
    <t>Cash EBITDA - Change in Deferred Revenue</t>
  </si>
  <si>
    <t>Transaction Expense Add Back</t>
  </si>
  <si>
    <t>-</t>
  </si>
  <si>
    <t>2020A-2023E</t>
  </si>
  <si>
    <t>2018A-2020A</t>
  </si>
  <si>
    <t>Q4E</t>
  </si>
  <si>
    <t>Q3E</t>
  </si>
  <si>
    <t>Q2A</t>
  </si>
  <si>
    <t>Q1A</t>
  </si>
  <si>
    <t>Q3A</t>
  </si>
  <si>
    <t>Q4A</t>
  </si>
  <si>
    <t>CAGR</t>
  </si>
  <si>
    <t>CY2023E</t>
  </si>
  <si>
    <t>CY2022E</t>
  </si>
  <si>
    <t>CY2021E</t>
  </si>
  <si>
    <t>CY2020A</t>
  </si>
  <si>
    <t>CY2019A</t>
  </si>
  <si>
    <t>CY2018A</t>
  </si>
  <si>
    <t>Functional P&amp;L</t>
  </si>
  <si>
    <t>Total Logos</t>
  </si>
  <si>
    <t># of Lapsed Logos</t>
  </si>
  <si>
    <t># of Churned Logos</t>
  </si>
  <si>
    <t># of Returning Logos</t>
  </si>
  <si>
    <t>BoP Logos</t>
  </si>
  <si>
    <t>Converted Logos Per Event</t>
  </si>
  <si>
    <t>Beginning ARR</t>
  </si>
  <si>
    <t>Upsell ARR</t>
  </si>
  <si>
    <t xml:space="preserve">New ARR </t>
  </si>
  <si>
    <t>Tradeshow</t>
  </si>
  <si>
    <t>Tradeshows Leads</t>
  </si>
  <si>
    <t>x</t>
  </si>
  <si>
    <t>Fully ramped Rep Productivity - %</t>
  </si>
  <si>
    <t>Fully Ramped Rep Productivity - $</t>
  </si>
  <si>
    <t>Annual Quota for Fully Ramped Commercial Reps</t>
  </si>
  <si>
    <t>Total Bookings Fulfilling Quota</t>
  </si>
  <si>
    <t>(+) Commercial Bookings</t>
  </si>
  <si>
    <t>(+) Historical Enterprise Bookings</t>
  </si>
  <si>
    <t>(+) Sales-Led Inbound Bookings</t>
  </si>
  <si>
    <t>Quota Fulfillment &amp; Rep Productivity</t>
  </si>
  <si>
    <t>Fully Ramped Reps</t>
  </si>
  <si>
    <t>Rep Ramp, 6 Months</t>
  </si>
  <si>
    <t>Rep Ramp, 3 Months</t>
  </si>
  <si>
    <t>Avg. # of Closed Outbound Deals per Rep</t>
  </si>
  <si>
    <t>Commercial Assumptions</t>
  </si>
  <si>
    <t>Annual Quota for Fully Ramped Enterprise Reps</t>
  </si>
  <si>
    <t>New Enterprise AEs</t>
  </si>
  <si>
    <t>Total Enterprise AEs</t>
  </si>
  <si>
    <t>Enterprise Assumptions</t>
  </si>
  <si>
    <t>Outbound</t>
  </si>
  <si>
    <t>Outbound Leads</t>
  </si>
  <si>
    <t>Inbound</t>
  </si>
  <si>
    <t>Inbound Leads</t>
  </si>
  <si>
    <t>Assumptions and Calculations</t>
  </si>
  <si>
    <t>Tradeshow % of Total Upsell ARR</t>
  </si>
  <si>
    <t>Outbound % of Total Upsell ARR</t>
  </si>
  <si>
    <t>Inbound % of Total Upsell ARR</t>
  </si>
  <si>
    <t>Total Upsell ARR</t>
  </si>
  <si>
    <t>Upsell ARR Summary</t>
  </si>
  <si>
    <t>Tradeshow % of Total New ARR</t>
  </si>
  <si>
    <t>Outbound % of Total New ARR</t>
  </si>
  <si>
    <t>Inbound % of Total New ARR</t>
  </si>
  <si>
    <t>Total New ARR</t>
  </si>
  <si>
    <t>New ARR Summary</t>
  </si>
  <si>
    <t>Tradeshow % of Total ARR</t>
  </si>
  <si>
    <t>Outbound % of Total ARR</t>
  </si>
  <si>
    <t>Inbound % of Total ARR</t>
  </si>
  <si>
    <t>Total New + Upsell ARR</t>
  </si>
  <si>
    <t>Bookings Summary by Lead Type</t>
  </si>
  <si>
    <t>ARR Bookings Summary</t>
  </si>
  <si>
    <t>Q2E</t>
  </si>
  <si>
    <t>Q1E</t>
  </si>
  <si>
    <t>Bookings Build</t>
  </si>
  <si>
    <t>Revenue Reconcilitaion to P&amp;L</t>
  </si>
  <si>
    <t>Revenue Reconciliation</t>
  </si>
  <si>
    <t>Net $ Retention</t>
  </si>
  <si>
    <t>Gross $ Retention (cancellations + downsell)</t>
  </si>
  <si>
    <t>Gross $ Retention (cancellations)</t>
  </si>
  <si>
    <t>Upsell % of Beginning</t>
  </si>
  <si>
    <t>Recognized Revenue</t>
  </si>
  <si>
    <t>Ending</t>
  </si>
  <si>
    <t>Beginning</t>
  </si>
  <si>
    <t>ARR Waterfall</t>
  </si>
  <si>
    <t>Total Outbound</t>
  </si>
  <si>
    <t>Total Ending ARR</t>
  </si>
  <si>
    <t>Other ARR</t>
  </si>
  <si>
    <t>All Lead Types</t>
  </si>
  <si>
    <t>By Lead Type</t>
  </si>
  <si>
    <t>% growth</t>
  </si>
  <si>
    <t>Revenue Reconciliation to P&amp;L</t>
  </si>
  <si>
    <t>Revenue Summary</t>
  </si>
  <si>
    <t>Revenue Build</t>
  </si>
  <si>
    <t>Total Customer Success</t>
  </si>
  <si>
    <t>Total Marketing</t>
  </si>
  <si>
    <t>Total Sales</t>
  </si>
  <si>
    <t>Total Cost of Sales</t>
  </si>
  <si>
    <t>Total Average Employee Headcount Expense</t>
  </si>
  <si>
    <t>Average Qtrly Headcount Expense by Function (EoP)</t>
  </si>
  <si>
    <t>Total Headcount by Function</t>
  </si>
  <si>
    <t>Average Headcount</t>
  </si>
  <si>
    <t>Average Headcount by Function</t>
  </si>
  <si>
    <t>Headcount Summary</t>
  </si>
  <si>
    <t>Total Non-Headcount Expenses</t>
  </si>
  <si>
    <t>Non-Headcount Expenses</t>
  </si>
  <si>
    <t>Total Headcount Expenses</t>
  </si>
  <si>
    <t>Total Expense by Function</t>
  </si>
  <si>
    <t>Expense Summary</t>
  </si>
  <si>
    <t>Expense Build</t>
  </si>
  <si>
    <t>Ending Cash Balance</t>
  </si>
  <si>
    <t>Net Cash Burn From Operations</t>
  </si>
  <si>
    <t>Beginning Cash Balance</t>
  </si>
  <si>
    <t>Cash Balance Waterfall</t>
  </si>
  <si>
    <t>Cash Summary</t>
  </si>
  <si>
    <t>Ben</t>
  </si>
  <si>
    <t>Matt</t>
  </si>
  <si>
    <t>150% Increase</t>
  </si>
  <si>
    <t>100% Increase</t>
  </si>
  <si>
    <t>50% Increase</t>
  </si>
  <si>
    <t>Stock Value ($12.13)</t>
  </si>
  <si>
    <t>FD Ownership</t>
  </si>
  <si>
    <t>Key Shareholders (founders)</t>
  </si>
  <si>
    <t>Value of stock portion as price increases</t>
  </si>
  <si>
    <t>.50% Increase</t>
  </si>
  <si>
    <t>Stock Value at Purchase</t>
  </si>
  <si>
    <t>% of holdback</t>
  </si>
  <si>
    <t>Stock</t>
  </si>
  <si>
    <t>Holdback Amount</t>
  </si>
  <si>
    <t>Day 1 Cash</t>
  </si>
  <si>
    <t>Founders</t>
  </si>
  <si>
    <t>Cash Payout Summary</t>
  </si>
  <si>
    <t>Founder Consideration</t>
  </si>
  <si>
    <t>Sale Price</t>
  </si>
  <si>
    <t>Any box color is an assumption</t>
  </si>
  <si>
    <t>Price per share</t>
  </si>
  <si>
    <t>Percentage Outstanding</t>
  </si>
  <si>
    <t>Total Shares Outstanding</t>
  </si>
  <si>
    <t>Fully Diluted Ownership</t>
  </si>
  <si>
    <t>Fully diluted shares</t>
  </si>
  <si>
    <t>Shares available for issuance under the plan</t>
  </si>
  <si>
    <t>Options and RSU's issued and outstanding</t>
  </si>
  <si>
    <t>Zachary Day</t>
  </si>
  <si>
    <t>William Seider</t>
  </si>
  <si>
    <t>William Lundgren IV</t>
  </si>
  <si>
    <t>Will Berner</t>
  </si>
  <si>
    <t>Weston &amp; Co. X LLC</t>
  </si>
  <si>
    <t>Tyler Fallon</t>
  </si>
  <si>
    <t>Trisha Paul</t>
  </si>
  <si>
    <t>The Dorm Room Fund II, LP</t>
  </si>
  <si>
    <t>Tait Larson</t>
  </si>
  <si>
    <t>Susan Cotter</t>
  </si>
  <si>
    <t>Sonya Dube</t>
  </si>
  <si>
    <t>SNR - 1 dB, LLC</t>
  </si>
  <si>
    <t>Siobhan Buckley</t>
  </si>
  <si>
    <t>Sheffield Reynolds</t>
  </si>
  <si>
    <t>Shane Meth</t>
  </si>
  <si>
    <t>Samuel Yoder</t>
  </si>
  <si>
    <t>Rochelle Burnside</t>
  </si>
  <si>
    <t>Robert Lasell</t>
  </si>
  <si>
    <t>Renzo Lucioni</t>
  </si>
  <si>
    <t>Paul Mikulskis</t>
  </si>
  <si>
    <t>Patrick Morey</t>
  </si>
  <si>
    <t>Pascal Kriete</t>
  </si>
  <si>
    <t>Noel Minchow</t>
  </si>
  <si>
    <t>Nitesh Banta</t>
  </si>
  <si>
    <t>Nikhil Phatak</t>
  </si>
  <si>
    <t>Nicholas Barton</t>
  </si>
  <si>
    <t>Nathaniel Lewis</t>
  </si>
  <si>
    <t>Morgan Curtis</t>
  </si>
  <si>
    <t>Molly Smith</t>
  </si>
  <si>
    <t>Molly McGaan</t>
  </si>
  <si>
    <t>Molly Cousins</t>
  </si>
  <si>
    <t>Michelle Douglas</t>
  </si>
  <si>
    <t>Michael Smith</t>
  </si>
  <si>
    <t>Michael Fleischman</t>
  </si>
  <si>
    <t>Michael Flanagan</t>
  </si>
  <si>
    <t>Michael Della Torre</t>
  </si>
  <si>
    <t>Micaela Clark</t>
  </si>
  <si>
    <t>Melissa Miller</t>
  </si>
  <si>
    <t>McKenzie Welter</t>
  </si>
  <si>
    <t>Matthew Arbesfeld</t>
  </si>
  <si>
    <t>Matthew Angelosanto</t>
  </si>
  <si>
    <t>Matrix Partners X, L.P.</t>
  </si>
  <si>
    <t>Luke Tubinis</t>
  </si>
  <si>
    <t>Leanne Torres</t>
  </si>
  <si>
    <t>Lauren Saalmuller</t>
  </si>
  <si>
    <t>Lauren Ostroff</t>
  </si>
  <si>
    <t>Lauren Leclerc</t>
  </si>
  <si>
    <t>Kevin Falcone and Andrea Falcone Joint Tenants with Right to Survivorship</t>
  </si>
  <si>
    <t>Kevin Falcone</t>
  </si>
  <si>
    <t>Katrina Beske</t>
  </si>
  <si>
    <t>Kathryn Trahan</t>
  </si>
  <si>
    <t>Katherine Monica</t>
  </si>
  <si>
    <t>Kaelan Cooter</t>
  </si>
  <si>
    <t>Julianne Cappello</t>
  </si>
  <si>
    <t>Julia Kelly</t>
  </si>
  <si>
    <t>Joshua Norton</t>
  </si>
  <si>
    <t>Jordan Jacobs</t>
  </si>
  <si>
    <t>John Levis</t>
  </si>
  <si>
    <t>John Bastian</t>
  </si>
  <si>
    <t>James Walerius</t>
  </si>
  <si>
    <t>Jillian Healy</t>
  </si>
  <si>
    <t>Jessica Rieger</t>
  </si>
  <si>
    <t>Jessica LeSage</t>
  </si>
  <si>
    <t>Jenna Lavin</t>
  </si>
  <si>
    <t>Jenna Danoy</t>
  </si>
  <si>
    <t>Jeffrey Wharton</t>
  </si>
  <si>
    <t>Jason Silverstein</t>
  </si>
  <si>
    <t>Jason Lee</t>
  </si>
  <si>
    <t>James Logsdon</t>
  </si>
  <si>
    <t>Jade Yang</t>
  </si>
  <si>
    <t>Jackson Bartlett</t>
  </si>
  <si>
    <t>John Turgeon</t>
  </si>
  <si>
    <t>Isaac Smolund</t>
  </si>
  <si>
    <t>Hannah Freilich</t>
  </si>
  <si>
    <t>Gregory Allen</t>
  </si>
  <si>
    <t>Gregory Harrington</t>
  </si>
  <si>
    <t>Greg Andrews</t>
  </si>
  <si>
    <t>Grace Seta</t>
  </si>
  <si>
    <t>George Hayes</t>
  </si>
  <si>
    <t>GC Innovation III, LLC</t>
  </si>
  <si>
    <t>Gazel Hebbert</t>
  </si>
  <si>
    <t>Galen Vinter</t>
  </si>
  <si>
    <t>Ferrite II, LLC</t>
  </si>
  <si>
    <t>Ezeanyinabia Anyanwu</t>
  </si>
  <si>
    <t>Evan Sauve</t>
  </si>
  <si>
    <t>Erin Dion</t>
  </si>
  <si>
    <t>Emma Larson</t>
  </si>
  <si>
    <t>Emily Kochanek Ketner</t>
  </si>
  <si>
    <t>Elena Allison</t>
  </si>
  <si>
    <t>Dylan Paiva</t>
  </si>
  <si>
    <t>Diou Shi</t>
  </si>
  <si>
    <t>Daniel Dewey</t>
  </si>
  <si>
    <t>Daniel, G Sheridan</t>
  </si>
  <si>
    <t>Connor Blanck</t>
  </si>
  <si>
    <t>Christopher McLean</t>
  </si>
  <si>
    <t>Christopher Carvalho</t>
  </si>
  <si>
    <t>Christopher Botaish</t>
  </si>
  <si>
    <t>Chae Young Kim</t>
  </si>
  <si>
    <t>Carney Crawford</t>
  </si>
  <si>
    <t>Bryan Floberg</t>
  </si>
  <si>
    <t>Brooke Pettengill</t>
  </si>
  <si>
    <t>Brian Neville-O'Neill</t>
  </si>
  <si>
    <t>Brian Burke</t>
  </si>
  <si>
    <t>Brendan Downing</t>
  </si>
  <si>
    <t>Benjamin Koopman</t>
  </si>
  <si>
    <t>Benjamin Edelstein</t>
  </si>
  <si>
    <t>Battery Ventures XII, L.P.</t>
  </si>
  <si>
    <t>Battery Investment Partners XII, LLC</t>
  </si>
  <si>
    <t>Ashley Atkins</t>
  </si>
  <si>
    <t>Arthur Abbate</t>
  </si>
  <si>
    <t>Anthony Stimpfel</t>
  </si>
  <si>
    <t>Anne Piccolo</t>
  </si>
  <si>
    <t>Amy Wass</t>
  </si>
  <si>
    <t>Amos Wasgatt</t>
  </si>
  <si>
    <t>Alyxandra Spikerman</t>
  </si>
  <si>
    <t>Allon Guseynov</t>
  </si>
  <si>
    <t>Alexandre Martin</t>
  </si>
  <si>
    <t>Alexander Schlosberg</t>
  </si>
  <si>
    <t>Alexander Flynn</t>
  </si>
  <si>
    <t>Alejandro Colon</t>
  </si>
  <si>
    <t>Aimee Mun</t>
  </si>
  <si>
    <t>Adam Deligianis</t>
  </si>
  <si>
    <t>Outstanding Ownership</t>
  </si>
  <si>
    <t>Fully Diluted Shares</t>
  </si>
  <si>
    <t>Outstanding Shares</t>
  </si>
  <si>
    <t>Options and RSU's Outstanding Under 2016 Stock Incentive Plan</t>
  </si>
  <si>
    <t>Series Seed Preferred (PS)
1:1 Conversion Ratio</t>
  </si>
  <si>
    <t>Series Seed Preferred (PS)</t>
  </si>
  <si>
    <t>Series B Preferred (PB)
1:1 Conversion Ratio</t>
  </si>
  <si>
    <t>Series B Preferred (PB)</t>
  </si>
  <si>
    <t>Series A Preferred (PA)
1:1 Conversion Ratio</t>
  </si>
  <si>
    <t>Series A Preferred (PA)</t>
  </si>
  <si>
    <t>Common (CS)</t>
  </si>
  <si>
    <t>Anonymized Employee ID / Investor</t>
  </si>
  <si>
    <t>As of 10/13/2021</t>
  </si>
  <si>
    <t>LogRocket, Inc. Detailed Capitalization Table With Drafts</t>
  </si>
  <si>
    <t>What is the schedule of payout</t>
  </si>
  <si>
    <t>Cash to Founders</t>
  </si>
  <si>
    <t>Equity to Founders</t>
  </si>
  <si>
    <t>Cash to Other S/H</t>
  </si>
  <si>
    <t>Equity to Other S/H</t>
  </si>
  <si>
    <t>Pendo EOP ARR</t>
  </si>
  <si>
    <t>LR EOP ARR</t>
  </si>
  <si>
    <t>Synergy EOP ARR</t>
  </si>
  <si>
    <t>Synergies</t>
  </si>
  <si>
    <t>Consolidated</t>
  </si>
  <si>
    <t>Consolidated EOP ARR</t>
  </si>
  <si>
    <t>Pendo Subscription Rev.</t>
  </si>
  <si>
    <t>Total Subscription</t>
  </si>
  <si>
    <t>Pendo Subscription COGS</t>
  </si>
  <si>
    <t>LR COGS</t>
  </si>
  <si>
    <t>Synergy COGS</t>
  </si>
  <si>
    <t>Total Subscription COGS</t>
  </si>
  <si>
    <t>Pendo Subscription GP</t>
  </si>
  <si>
    <t>LR GP</t>
  </si>
  <si>
    <t>Synergy GP</t>
  </si>
  <si>
    <t>Total Subscription GP</t>
  </si>
  <si>
    <t>PS &amp; Other GP</t>
  </si>
  <si>
    <t>Total Gross Profit</t>
  </si>
  <si>
    <t>Total Pendo OpEx</t>
  </si>
  <si>
    <t>Total LR OpEx</t>
  </si>
  <si>
    <t>Synergy LR OpEx</t>
  </si>
  <si>
    <t>Standalone LR OpEx</t>
  </si>
  <si>
    <t>Total LR Synergies OpEx</t>
  </si>
  <si>
    <t>Consolidated Opex</t>
  </si>
  <si>
    <t>Pendo Standalone EBITDA</t>
  </si>
  <si>
    <t>LR + Synergy EBITDA</t>
  </si>
  <si>
    <t>G&amp;A Growth</t>
  </si>
  <si>
    <t>R&amp;D Growth</t>
  </si>
  <si>
    <t>S&amp;M Growth</t>
  </si>
  <si>
    <t>LR COGS % of Rev</t>
  </si>
  <si>
    <t>PF Consolidated EBITDA</t>
  </si>
  <si>
    <t>Memo: Pendo Standalone Rev.</t>
  </si>
  <si>
    <t>Pendo Standalone</t>
  </si>
  <si>
    <t>Pendo + LR Pro Forma</t>
  </si>
  <si>
    <t>Pendo Standalone Cash Flow</t>
  </si>
  <si>
    <t>Synergies Cash Flow</t>
  </si>
  <si>
    <t>LR Standalone EBITDA</t>
  </si>
  <si>
    <t>LR Change in Deferred Rev</t>
  </si>
  <si>
    <t>LR Standalone Revenue</t>
  </si>
  <si>
    <t>Plus: LR SBC</t>
  </si>
  <si>
    <t>Total Cash</t>
  </si>
  <si>
    <t>Total Equity</t>
  </si>
  <si>
    <t>LR Txn Cash</t>
  </si>
  <si>
    <t>Shares Outstanding</t>
  </si>
  <si>
    <t>Valuation</t>
  </si>
  <si>
    <t>Less: Net Debt</t>
  </si>
  <si>
    <t>$ / Share</t>
  </si>
  <si>
    <t>Shares Issued For LR</t>
  </si>
  <si>
    <t>Base Shares Outstanding</t>
  </si>
  <si>
    <t>Total Shares Oustanding</t>
  </si>
  <si>
    <t>IPO Primary Shares Issued</t>
  </si>
  <si>
    <t>LR SBC Shares Issued</t>
  </si>
  <si>
    <t>Memo: LR Equity Issued</t>
  </si>
  <si>
    <t>Acc / (Dil.) to Standalone</t>
  </si>
  <si>
    <t>Memo: Public Markets-Style Implied ARR Calculation</t>
  </si>
  <si>
    <t>PF Consolidated</t>
  </si>
  <si>
    <t>EOP Public-Style Implied ARR</t>
  </si>
  <si>
    <t>Standalone</t>
  </si>
  <si>
    <t>PF Consolidated ARR Multiple</t>
  </si>
  <si>
    <t>FY2023E PF Share Price Accretion / Dilution to Standalone</t>
  </si>
  <si>
    <t>FY2024E PF Share Price Accretion / Dilution to Standalone</t>
  </si>
  <si>
    <t>FY2025E PF Share Price Accretion / Dilution to Standalone</t>
  </si>
  <si>
    <t>PF Share Price</t>
  </si>
  <si>
    <t>FYE</t>
  </si>
  <si>
    <t>January,</t>
  </si>
  <si>
    <t>ARR Multiple</t>
  </si>
  <si>
    <t>PF Accretion / Dilution to Standalone (assuming 30x standalone multiple)</t>
  </si>
  <si>
    <t>PF Accretion / Dilution to Standalone (assuming same standalone multiple)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</si>
</sst>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3">
    <numFmt numFmtId="5" formatCode="&quot;$&quot;#,##0_);\(&quot;$&quot;#,##0\)"/>
    <numFmt numFmtId="7" formatCode="&quot;$&quot;#,##0.00_);\(&quot;$&quot;#,##0.00\)"/>
    <numFmt numFmtId="8" formatCode="&quot;$&quot;#,##0.00_);[Red]\(&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mmm\ yy"/>
    <numFmt numFmtId="165" formatCode="_(* #,##0_);_(* \(#,##0\);_(* &quot;-&quot;??_);_(@_)"/>
    <numFmt numFmtId="166" formatCode="&quot;$&quot;\ #,##0;&quot;$&quot;\ \(#,##0\)"/>
    <numFmt numFmtId="167" formatCode="#,##0;\(#,##0\)"/>
    <numFmt numFmtId="168" formatCode="0.0%\ ;\(0.0%\)"/>
    <numFmt numFmtId="169" formatCode="0%\ ;\(0%\)"/>
    <numFmt numFmtId="170" formatCode="0.0%"/>
    <numFmt numFmtId="171" formatCode="_(* #,##0.0_);_(* \(#,##0.0\);_(* &quot;-&quot;??_);_(@_)"/>
    <numFmt numFmtId="172" formatCode="&quot;$&quot;#,##0.0_);\(&quot;$&quot;#,##0.0\)"/>
    <numFmt numFmtId="173" formatCode="#,##0.0,,"/>
    <numFmt numFmtId="174" formatCode="\$#,##0"/>
    <numFmt numFmtId="175" formatCode="_ [$₪-40D]\ * #,##0.00_ ;_ [$₪-40D]\ * \-#,##0.00_ ;_ [$₪-40D]\ * &quot;-&quot;??_ ;_ @_ "/>
    <numFmt numFmtId="176" formatCode="yyyy\-mm"/>
    <numFmt numFmtId="177" formatCode="_(* #,##0.00000_);_(* \(#,##0.00000\);_(* &quot;-&quot;??_);_(@_)"/>
    <numFmt numFmtId="178" formatCode="_(* #,##0.0000000_);_(* \(#,##0.0000000\);_(* &quot;-&quot;??_);_(@_)"/>
    <numFmt numFmtId="179" formatCode="_([$$]#,##0.0_)_);\([$$]#,##0.0\)_);_(&quot;$–&quot;_)_);_(@_)_)"/>
    <numFmt numFmtId="180" formatCode="0.0"/>
    <numFmt numFmtId="181" formatCode="yyyy\E"/>
    <numFmt numFmtId="182" formatCode="yyyy\A"/>
    <numFmt numFmtId="183" formatCode="_(#,##0.0%_);\(#,##0.0%\);_(&quot;–&quot;_)_%;_(@_)_%"/>
    <numFmt numFmtId="184" formatCode="_(#,##0.0_)_);\(#,##0.0\)_);_(&quot;–&quot;_);_(@_)"/>
    <numFmt numFmtId="185" formatCode="_(#,##0.0_)_%;\(#,##0.0\)_%;_(&quot;–&quot;_)_%;_(@_)_%"/>
    <numFmt numFmtId="186" formatCode="_(0.0\x_)_';_(\(0.0\x\)_';_(&quot;–&quot;_)_%;_(@_)_%"/>
    <numFmt numFmtId="187" formatCode="&quot;$&quot;#,##0"/>
    <numFmt numFmtId="188" formatCode="General_)"/>
    <numFmt numFmtId="189" formatCode="0.0%;\(0.0%\);&quot;-&quot;_);@_)"/>
    <numFmt numFmtId="190" formatCode="0%;\(0%\);&quot;-&quot;_);@_)"/>
    <numFmt numFmtId="191" formatCode="_(* #,##0,_);_(* \(#,##0,\);_(* &quot;-&quot;_);_(@_)"/>
    <numFmt numFmtId="192" formatCode="_(#,##0%_);\(#,##0%\);_(* &quot;-&quot;_);_(@_)"/>
    <numFmt numFmtId="193" formatCode="_(* #,##0.0_);_(* \(#,##0.0\);_(* &quot;-&quot;_);_(@_)"/>
    <numFmt numFmtId="194" formatCode="&quot;$&quot;\ #,##0_);\(&quot;$&quot;\ #,##0\);&quot;–&quot;_)"/>
    <numFmt numFmtId="195" formatCode="#,##0.0%_);\(#,##0.0%\);&quot;–&quot;_)"/>
    <numFmt numFmtId="196" formatCode="_ [$€-413]\ * #,##0,_ ;_ [$€-413]\ * \(#,##0,\)_ ;_ [$€-413]\ * &quot;-&quot;_ ;_ @_ "/>
    <numFmt numFmtId="197" formatCode="_(* #,##0.0%_);_(* \(#,##0.0%\);_(* &quot;-&quot;_);_(@_)"/>
    <numFmt numFmtId="198" formatCode="_(* #,##0_);_(* \(#,##0\);_(* &quot;-&quot;?_);_(@_)"/>
    <numFmt numFmtId="199" formatCode="_(* #,##0%_);_(* \(#,##0%\);_(* &quot;-&quot;_);_(@_)"/>
    <numFmt numFmtId="200" formatCode="#,##0%_);\(#,##0%\);&quot;–&quot;_)"/>
    <numFmt numFmtId="201" formatCode="_(* #,##0.0_);_(* \(#,##0.0\);_(* &quot;-&quot;?_);_(@_)"/>
    <numFmt numFmtId="202" formatCode="_(* #,##0.0\x_);_(* \(#,##0.0\x\);_(* &quot;-&quot;_);_(@_)"/>
    <numFmt numFmtId="203" formatCode="_(&quot;$&quot;* #,##0_);_(&quot;$&quot;* \(#,##0\);_(&quot;$&quot;* &quot;-&quot;??_);_(@_)"/>
    <numFmt numFmtId="204" formatCode="_ [$€-413]\ * #,##0_ ;_ [$€-413]\ * \-#,##0_ ;_ [$€-413]\ * &quot;-&quot;_ ;_ @_ "/>
    <numFmt numFmtId="205" formatCode="_ [$€-413]\ * #,##0.0000_ ;_ [$€-413]\ * \-#,##0.0000_ ;_ [$€-413]\ * &quot;-&quot;_ ;_ @_ "/>
    <numFmt numFmtId="206" formatCode="_ [$€-413]\ * #,##0.0_ ;_ [$€-413]\ * \-#,##0.0_ ;_ [$€-413]\ * &quot;-&quot;_ ;_ @_ "/>
    <numFmt numFmtId="207" formatCode="&quot;$&quot;#,##0.00"/>
    <numFmt numFmtId="208" formatCode="0.0000%"/>
    <numFmt numFmtId="209" formatCode="#.0000%"/>
    <numFmt numFmtId="210" formatCode="#,###"/>
    <numFmt numFmtId="211" formatCode="_-[$$]* #,##0.0000_-;\-[$$]* #,##0.0000_-;_-[$$]* &quot;-&quot;??_-;* @"/>
    <numFmt numFmtId="212" formatCode="_-[$$]* #,##0.00000_-;\-[$$]* #,##0.00000_-;_-[$$]* &quot;-&quot;??_-;* @"/>
    <numFmt numFmtId="213" formatCode="_([$$]#,##0_)_);\([$$]#,##0\)_);_(&quot;$–&quot;_)_);_(@_)_)"/>
    <numFmt numFmtId="214" formatCode="_([$$]#,##0.00_)_);\([$$]#,##0.00\)_);_(&quot;$–&quot;_)_);_(@_)_)"/>
    <numFmt numFmtId="215" formatCode="_([$$]#,##0.000_)_);\([$$]#,##0.000\)_);_(&quot;$–&quot;_)_);_(@_)_)"/>
    <numFmt numFmtId="216" formatCode="_(#,##0%_);\(#,##0%\);_(&quot;–&quot;_)_%;_(@_)_%"/>
    <numFmt numFmtId="217" formatCode="_(#,##0.0_)_);\(#,##0.0\)_);_(&quot;–&quot;_)_);_(@_)"/>
    <numFmt numFmtId="218" formatCode="_(#,##0.00_)_);\(#,##0.00\)_);_(&quot;–&quot;_)_);_(@_)"/>
    <numFmt numFmtId="219" formatCode="_(#,##0.000_)_);\(#,##0.000\)_);_(&quot;–&quot;_)_);_(@_)"/>
  </numFmts>
  <fonts count="141"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b/>
      <u/>
      <sz val="11"/>
      <color theme="1"/>
      <name val="Calibri"/>
      <family val="2"/>
      <scheme val="minor"/>
    </font>
    <font>
      <b/>
      <i/>
      <u/>
      <sz val="11"/>
      <color theme="1"/>
      <name val="Calibri"/>
      <family val="2"/>
      <scheme val="minor"/>
    </font>
    <font>
      <sz val="9"/>
      <color indexed="81"/>
      <name val="Tahoma"/>
      <family val="2"/>
    </font>
    <font>
      <b/>
      <sz val="9"/>
      <color indexed="81"/>
      <name val="Tahoma"/>
      <family val="2"/>
    </font>
    <font>
      <i/>
      <sz val="11"/>
      <color theme="1"/>
      <name val="Calibri"/>
      <family val="2"/>
      <scheme val="minor"/>
    </font>
    <font>
      <sz val="8"/>
      <name val="Calibri"/>
      <family val="2"/>
      <scheme val="minor"/>
    </font>
    <font>
      <sz val="10"/>
      <name val="Arial"/>
      <family val="2"/>
    </font>
    <font>
      <sz val="10"/>
      <name val="Helvetica"/>
      <family val="2"/>
    </font>
    <font>
      <b/>
      <sz val="10"/>
      <name val="Helvetica"/>
      <family val="2"/>
    </font>
    <font>
      <sz val="8"/>
      <name val="Helvetica"/>
      <family val="2"/>
    </font>
    <font>
      <b/>
      <sz val="12"/>
      <name val="Helvetica"/>
      <family val="2"/>
    </font>
    <font>
      <sz val="11"/>
      <color rgb="FF00B050"/>
      <name val="Calibri"/>
      <family val="2"/>
      <scheme val="minor"/>
    </font>
    <font>
      <sz val="11"/>
      <color rgb="FF0000FF"/>
      <name val="Calibri"/>
      <family val="2"/>
      <scheme val="minor"/>
    </font>
    <font>
      <b/>
      <sz val="11"/>
      <name val="Calibri"/>
      <family val="2"/>
      <scheme val="minor"/>
    </font>
    <font>
      <sz val="11"/>
      <name val="Calibri"/>
      <family val="2"/>
      <scheme val="minor"/>
    </font>
    <font>
      <b/>
      <sz val="11"/>
      <color rgb="FF1A1C25"/>
      <name val="Arial"/>
      <family val="2"/>
    </font>
    <font>
      <sz val="11"/>
      <color rgb="FF1A1C25"/>
      <name val="Arial"/>
      <family val="2"/>
    </font>
    <font>
      <sz val="10"/>
      <color rgb="FF1A1C25"/>
      <name val="Arial"/>
      <family val="2"/>
    </font>
    <font>
      <b/>
      <sz val="9"/>
      <color rgb="FF1A1C25"/>
      <name val="Arial"/>
      <family val="2"/>
    </font>
    <font>
      <sz val="9"/>
      <color rgb="FF1A1C25"/>
      <name val="Arial"/>
      <family val="2"/>
    </font>
    <font>
      <i/>
      <sz val="10"/>
      <color rgb="FF1A1C25"/>
      <name val="Arial"/>
      <family val="2"/>
    </font>
    <font>
      <vertAlign val="superscript"/>
      <sz val="11"/>
      <color rgb="FF1A1C25"/>
      <name val="Arial"/>
      <family val="2"/>
    </font>
    <font>
      <u/>
      <sz val="11"/>
      <color rgb="FF1A1C25"/>
      <name val="Arial"/>
      <family val="2"/>
    </font>
    <font>
      <i/>
      <sz val="11"/>
      <color rgb="FF1A1C25"/>
      <name val="Arial"/>
      <family val="2"/>
    </font>
    <font>
      <sz val="11"/>
      <color theme="1"/>
      <name val="Arial"/>
      <family val="2"/>
    </font>
    <font>
      <b/>
      <sz val="11"/>
      <color theme="1"/>
      <name val="Arial"/>
      <family val="2"/>
    </font>
    <font>
      <sz val="11"/>
      <color rgb="FF0000FF"/>
      <name val="Arial"/>
      <family val="2"/>
    </font>
    <font>
      <sz val="12"/>
      <color theme="1"/>
      <name val="Calibri"/>
      <family val="2"/>
      <scheme val="minor"/>
    </font>
    <font>
      <b/>
      <sz val="12"/>
      <color rgb="FF000000"/>
      <name val="Calibri"/>
      <family val="2"/>
    </font>
    <font>
      <sz val="12"/>
      <color theme="1"/>
      <name val="Calibri"/>
      <family val="2"/>
    </font>
    <font>
      <b/>
      <sz val="12"/>
      <color theme="1"/>
      <name val="Calibri"/>
      <family val="2"/>
    </font>
    <font>
      <b/>
      <sz val="12"/>
      <color theme="1"/>
      <name val="Calibri"/>
      <family val="2"/>
      <scheme val="minor"/>
    </font>
    <font>
      <sz val="11"/>
      <color theme="1"/>
      <name val="Calibri"/>
      <family val="2"/>
    </font>
    <font>
      <b/>
      <u/>
      <sz val="10"/>
      <name val="Calibri"/>
      <family val="2"/>
      <scheme val="minor"/>
    </font>
    <font>
      <b/>
      <sz val="12"/>
      <name val="Calibri"/>
      <family val="2"/>
      <scheme val="minor"/>
    </font>
    <font>
      <sz val="10"/>
      <name val="Calibri"/>
      <family val="2"/>
      <scheme val="minor"/>
    </font>
    <font>
      <sz val="11"/>
      <color rgb="FF000000"/>
      <name val="Calibri"/>
      <family val="2"/>
      <scheme val="minor"/>
    </font>
    <font>
      <i/>
      <sz val="11"/>
      <color theme="1"/>
      <name val="Arial"/>
      <family val="2"/>
    </font>
    <font>
      <b/>
      <sz val="11"/>
      <color theme="0"/>
      <name val="Arial"/>
      <family val="2"/>
    </font>
    <font>
      <i/>
      <sz val="9"/>
      <color theme="1"/>
      <name val="Arial"/>
      <family val="2"/>
    </font>
    <font>
      <b/>
      <sz val="11"/>
      <color rgb="FF000000"/>
      <name val="Calibri"/>
      <family val="2"/>
      <scheme val="minor"/>
    </font>
    <font>
      <i/>
      <sz val="9"/>
      <color rgb="FF1A1C25"/>
      <name val="Arial"/>
      <family val="2"/>
    </font>
    <font>
      <sz val="11"/>
      <color rgb="FFFF0000"/>
      <name val="Calibri"/>
      <family val="2"/>
      <scheme val="minor"/>
    </font>
    <font>
      <i/>
      <sz val="9"/>
      <color rgb="FFFF0000"/>
      <name val="Arial"/>
      <family val="2"/>
    </font>
    <font>
      <sz val="11"/>
      <color theme="0"/>
      <name val="Calibri"/>
      <family val="2"/>
      <scheme val="minor"/>
    </font>
    <font>
      <sz val="10"/>
      <color theme="1"/>
      <name val="Arial"/>
      <family val="2"/>
    </font>
    <font>
      <b/>
      <sz val="10"/>
      <color rgb="FF1A1C25"/>
      <name val="Arial"/>
      <family val="2"/>
    </font>
    <font>
      <b/>
      <sz val="10"/>
      <color theme="1"/>
      <name val="Arial"/>
      <family val="2"/>
    </font>
    <font>
      <b/>
      <sz val="11"/>
      <color rgb="FF0000FF"/>
      <name val="Calibri"/>
      <family val="2"/>
      <scheme val="minor"/>
    </font>
    <font>
      <b/>
      <sz val="9"/>
      <color rgb="FF000000"/>
      <name val="Tahoma"/>
      <family val="2"/>
    </font>
    <font>
      <sz val="9"/>
      <color rgb="FF000000"/>
      <name val="Tahoma"/>
      <family val="2"/>
    </font>
    <font>
      <sz val="10"/>
      <color theme="1"/>
      <name val="Calibri"/>
      <family val="2"/>
      <scheme val="minor"/>
    </font>
    <font>
      <sz val="11"/>
      <color rgb="FF008000"/>
      <name val="Calibri"/>
      <family val="2"/>
      <scheme val="minor"/>
    </font>
    <font>
      <b/>
      <sz val="11"/>
      <color rgb="FF008000"/>
      <name val="Calibri"/>
      <family val="2"/>
      <scheme val="minor"/>
    </font>
    <font>
      <i/>
      <sz val="11"/>
      <color rgb="FF008000"/>
      <name val="Calibri"/>
      <family val="2"/>
      <scheme val="minor"/>
    </font>
    <font>
      <b/>
      <u val="singleAccounting"/>
      <sz val="11"/>
      <color theme="0"/>
      <name val="Calibri"/>
      <family val="2"/>
      <scheme val="minor"/>
    </font>
    <font>
      <i/>
      <u/>
      <sz val="11"/>
      <color theme="0"/>
      <name val="Calibri"/>
      <family val="2"/>
      <scheme val="minor"/>
    </font>
    <font>
      <b/>
      <sz val="10"/>
      <color rgb="FF000000"/>
      <name val="Calibri"/>
      <family val="2"/>
      <scheme val="minor"/>
    </font>
    <font>
      <b/>
      <sz val="10"/>
      <color theme="1"/>
      <name val="Calibri"/>
      <family val="2"/>
      <scheme val="minor"/>
    </font>
    <font>
      <sz val="10"/>
      <color rgb="FF000000"/>
      <name val="Calibri"/>
      <family val="2"/>
      <scheme val="minor"/>
    </font>
    <font>
      <sz val="10"/>
      <color rgb="FF0000FF"/>
      <name val="Calibri"/>
      <family val="2"/>
      <scheme val="minor"/>
    </font>
    <font>
      <b/>
      <sz val="10"/>
      <color rgb="FF0000FF"/>
      <name val="Calibri"/>
      <family val="2"/>
      <scheme val="minor"/>
    </font>
    <font>
      <u val="singleAccounting"/>
      <sz val="10"/>
      <color theme="1"/>
      <name val="Calibri"/>
      <family val="2"/>
      <scheme val="minor"/>
    </font>
    <font>
      <sz val="10"/>
      <color rgb="FF008000"/>
      <name val="Calibri"/>
      <family val="2"/>
      <scheme val="minor"/>
    </font>
    <font>
      <b/>
      <sz val="10"/>
      <color rgb="FF008000"/>
      <name val="Calibri"/>
      <family val="2"/>
      <scheme val="minor"/>
    </font>
    <font>
      <b/>
      <u val="singleAccounting"/>
      <sz val="11"/>
      <color theme="1"/>
      <name val="Calibri"/>
      <family val="2"/>
      <scheme val="minor"/>
    </font>
    <font>
      <sz val="10"/>
      <color theme="1"/>
      <name val="Calibri"/>
      <family val="2"/>
    </font>
    <font>
      <i/>
      <sz val="10"/>
      <name val="Calibri"/>
      <family val="2"/>
      <scheme val="minor"/>
    </font>
    <font>
      <i/>
      <sz val="10"/>
      <color rgb="FF12376E"/>
      <name val="Calibri"/>
      <family val="2"/>
      <scheme val="minor"/>
    </font>
    <font>
      <sz val="10"/>
      <color rgb="FFFF0000"/>
      <name val="Calibri"/>
      <family val="2"/>
      <scheme val="minor"/>
    </font>
    <font>
      <b/>
      <u/>
      <sz val="10"/>
      <color rgb="FFFF0000"/>
      <name val="Calibri"/>
      <family val="2"/>
      <scheme val="minor"/>
    </font>
    <font>
      <b/>
      <sz val="10"/>
      <color rgb="FF12376E"/>
      <name val="Calibri"/>
      <family val="2"/>
      <scheme val="minor"/>
    </font>
    <font>
      <b/>
      <sz val="16"/>
      <color theme="1"/>
      <name val="Calibri"/>
      <family val="2"/>
      <scheme val="minor"/>
    </font>
    <font>
      <sz val="11"/>
      <color rgb="FF000000"/>
      <name val="Calibri"/>
      <family val="2"/>
    </font>
    <font>
      <sz val="8"/>
      <color rgb="FF000000"/>
      <name val="Calibri"/>
      <family val="2"/>
      <scheme val="minor"/>
    </font>
    <font>
      <sz val="9"/>
      <color rgb="FF000000"/>
      <name val="Calibri"/>
      <family val="2"/>
      <scheme val="minor"/>
    </font>
    <font>
      <b/>
      <u/>
      <sz val="9"/>
      <color rgb="FF000000"/>
      <name val="Calibri"/>
      <family val="2"/>
      <scheme val="minor"/>
    </font>
    <font>
      <b/>
      <sz val="9"/>
      <color rgb="FF000000"/>
      <name val="Calibri"/>
      <family val="2"/>
      <scheme val="minor"/>
    </font>
    <font>
      <sz val="9"/>
      <name val="Calibri"/>
      <family val="2"/>
      <scheme val="minor"/>
    </font>
    <font>
      <sz val="9"/>
      <color rgb="FFFF0000"/>
      <name val="Calibri"/>
      <family val="2"/>
      <scheme val="minor"/>
    </font>
    <font>
      <b/>
      <sz val="12"/>
      <color rgb="FF12376E"/>
      <name val="Calibri"/>
      <family val="2"/>
      <scheme val="minor"/>
    </font>
    <font>
      <b/>
      <sz val="10"/>
      <name val="Calibri"/>
      <family val="2"/>
      <scheme val="minor"/>
    </font>
    <font>
      <b/>
      <sz val="16"/>
      <color rgb="FF12376E"/>
      <name val="Calibri"/>
      <family val="2"/>
      <scheme val="minor"/>
    </font>
    <font>
      <b/>
      <sz val="12"/>
      <color rgb="FF000000"/>
      <name val="Calibri"/>
      <family val="2"/>
      <scheme val="minor"/>
    </font>
    <font>
      <u val="singleAccounting"/>
      <sz val="10"/>
      <color rgb="FF008000"/>
      <name val="Calibri"/>
      <family val="2"/>
      <scheme val="minor"/>
    </font>
    <font>
      <i/>
      <sz val="10"/>
      <color rgb="FF000000"/>
      <name val="Calibri"/>
      <family val="2"/>
      <scheme val="minor"/>
    </font>
    <font>
      <b/>
      <sz val="10"/>
      <color rgb="FF0070C0"/>
      <name val="Calibri"/>
      <family val="2"/>
      <scheme val="minor"/>
    </font>
    <font>
      <sz val="9"/>
      <color theme="1"/>
      <name val="Franklin Gothic Book"/>
      <family val="2"/>
    </font>
    <font>
      <i/>
      <sz val="10"/>
      <color theme="1"/>
      <name val="Calibri"/>
      <family val="2"/>
      <scheme val="minor"/>
    </font>
    <font>
      <b/>
      <u val="singleAccounting"/>
      <sz val="10"/>
      <color rgb="FF000000"/>
      <name val="Calibri"/>
      <family val="2"/>
      <scheme val="minor"/>
    </font>
    <font>
      <sz val="10"/>
      <color rgb="FFFFFFFF"/>
      <name val="Calibri"/>
      <family val="2"/>
      <scheme val="minor"/>
    </font>
    <font>
      <b/>
      <sz val="10"/>
      <color rgb="FFFFFFFF"/>
      <name val="Calibri"/>
      <family val="2"/>
      <scheme val="minor"/>
    </font>
    <font>
      <b/>
      <sz val="10"/>
      <color rgb="FFFF0000"/>
      <name val="Calibri"/>
      <family val="2"/>
      <scheme val="minor"/>
    </font>
    <font>
      <sz val="10"/>
      <color rgb="FF12376E"/>
      <name val="Calibri"/>
      <family val="2"/>
      <scheme val="minor"/>
    </font>
    <font>
      <sz val="9"/>
      <color rgb="FF12376E"/>
      <name val="Calibri"/>
      <family val="2"/>
      <scheme val="minor"/>
    </font>
    <font>
      <sz val="10"/>
      <color rgb="FF0000E1"/>
      <name val="Calibri"/>
      <family val="2"/>
      <scheme val="minor"/>
    </font>
    <font>
      <i/>
      <u val="singleAccounting"/>
      <sz val="10"/>
      <color theme="1"/>
      <name val="Calibri"/>
      <family val="2"/>
      <scheme val="minor"/>
    </font>
    <font>
      <u val="singleAccounting"/>
      <sz val="10"/>
      <name val="Calibri"/>
      <family val="2"/>
      <scheme val="minor"/>
    </font>
    <font>
      <b/>
      <u val="singleAccounting"/>
      <sz val="10"/>
      <name val="Calibri"/>
      <family val="2"/>
      <scheme val="minor"/>
    </font>
    <font>
      <sz val="10"/>
      <color rgb="FF009900"/>
      <name val="Calibri"/>
      <family val="2"/>
      <scheme val="minor"/>
    </font>
    <font>
      <i/>
      <u/>
      <sz val="10"/>
      <name val="Calibri"/>
      <family val="2"/>
      <scheme val="minor"/>
    </font>
    <font>
      <b/>
      <sz val="10"/>
      <color theme="0"/>
      <name val="Calibri"/>
      <family val="2"/>
      <scheme val="minor"/>
    </font>
    <font>
      <i/>
      <sz val="10"/>
      <color rgb="FF0000FF"/>
      <name val="Calibri"/>
      <family val="2"/>
      <scheme val="minor"/>
    </font>
    <font>
      <i/>
      <sz val="10"/>
      <color theme="4"/>
      <name val="Calibri"/>
      <family val="2"/>
      <scheme val="minor"/>
    </font>
    <font>
      <u val="singleAccounting"/>
      <sz val="10"/>
      <color rgb="FF000000"/>
      <name val="Calibri"/>
      <family val="2"/>
      <scheme val="minor"/>
    </font>
    <font>
      <u val="singleAccounting"/>
      <sz val="10"/>
      <color rgb="FF0000E1"/>
      <name val="Calibri"/>
      <family val="2"/>
      <scheme val="minor"/>
    </font>
    <font>
      <i/>
      <sz val="10"/>
      <color rgb="FFFF0000"/>
      <name val="Calibri"/>
      <family val="2"/>
      <scheme val="minor"/>
    </font>
    <font>
      <b/>
      <sz val="10"/>
      <color rgb="FFC5072C"/>
      <name val="Calibri"/>
      <family val="2"/>
      <scheme val="minor"/>
    </font>
    <font>
      <sz val="12"/>
      <color theme="1"/>
      <name val="Arial"/>
      <family val="2"/>
    </font>
    <font>
      <b/>
      <sz val="12"/>
      <color rgb="FF1F1F1F"/>
      <name val="Arial"/>
      <family val="2"/>
    </font>
    <font>
      <sz val="12"/>
      <color rgb="FF1F1F1F"/>
      <name val="Arial"/>
      <family val="2"/>
    </font>
    <font>
      <b/>
      <sz val="14"/>
      <color rgb="FF1F1F1F"/>
      <name val="Arial"/>
      <family val="2"/>
    </font>
    <font>
      <sz val="10"/>
      <name val="Calibri"/>
      <family val="2"/>
    </font>
    <font>
      <sz val="12"/>
      <name val="Arial"/>
      <family val="2"/>
    </font>
    <font>
      <i/>
      <sz val="10"/>
      <name val="Calibri"/>
      <family val="2"/>
    </font>
    <font>
      <b/>
      <sz val="12"/>
      <name val="Calibri"/>
      <family val="2"/>
    </font>
    <font>
      <b/>
      <sz val="10"/>
      <name val="Calibri"/>
      <family val="2"/>
    </font>
    <font>
      <sz val="8"/>
      <name val="Calibri"/>
      <family val="2"/>
    </font>
    <font>
      <b/>
      <sz val="12"/>
      <color rgb="FF0000FF"/>
      <name val="Calibri"/>
      <family val="2"/>
    </font>
    <font>
      <sz val="10"/>
      <color rgb="FF000000"/>
      <name val="Calibri"/>
      <family val="2"/>
    </font>
    <font>
      <b/>
      <sz val="10"/>
      <color rgb="FF000000"/>
      <name val="Calibri"/>
      <family val="2"/>
    </font>
    <font>
      <sz val="10"/>
      <color rgb="FF0000FF"/>
      <name val="Calibri"/>
      <family val="2"/>
    </font>
    <font>
      <sz val="8"/>
      <color rgb="FF0000FF"/>
      <name val="Calibri"/>
      <family val="2"/>
    </font>
    <font>
      <sz val="8"/>
      <color rgb="FF000000"/>
      <name val="Calibri"/>
      <family val="2"/>
    </font>
    <font>
      <sz val="10"/>
      <color rgb="FF008000"/>
      <name val="Calibri"/>
      <family val="2"/>
    </font>
    <font>
      <i/>
      <sz val="11"/>
      <color rgb="FF000000"/>
      <name val="Calibri"/>
      <family val="2"/>
      <scheme val="minor"/>
    </font>
    <font>
      <b/>
      <i/>
      <sz val="11"/>
      <color theme="1"/>
      <name val="Calibri"/>
      <family val="2"/>
      <scheme val="minor"/>
    </font>
    <font>
      <u val="singleAccounting"/>
      <sz val="10"/>
      <color rgb="FF0000FF"/>
      <name val="Calibri"/>
      <family val="2"/>
      <scheme val="minor"/>
    </font>
    <font>
      <b/>
      <i/>
      <sz val="11"/>
      <color rgb="FF000000"/>
      <name val="Calibri"/>
      <family val="2"/>
      <scheme val="minor"/>
    </font>
    <font>
      <b/>
      <i/>
      <sz val="11"/>
      <color rgb="FF0000FF"/>
      <name val="Calibri"/>
      <family val="2"/>
      <scheme val="minor"/>
    </font>
    <font>
      <i/>
      <u/>
      <sz val="11"/>
      <color theme="1"/>
      <name val="Calibri"/>
      <family val="2"/>
      <scheme val="minor"/>
    </font>
    <font>
      <b/>
      <u/>
      <sz val="11"/>
      <color theme="0"/>
      <name val="Calibri"/>
      <family val="2"/>
      <scheme val="minor"/>
    </font>
    <font>
      <u val="singleAccounting"/>
      <sz val="11"/>
      <color theme="1"/>
      <name val="Calibri"/>
      <family val="2"/>
      <scheme val="minor"/>
    </font>
    <font>
      <u val="singleAccounting"/>
      <sz val="11"/>
      <color rgb="FF008000"/>
      <name val="Calibri"/>
      <family val="2"/>
      <scheme val="minor"/>
    </font>
    <font>
      <u val="singleAccounting"/>
      <sz val="11"/>
      <color theme="0"/>
      <name val="Calibri"/>
      <family val="2"/>
      <scheme val="minor"/>
    </font>
    <font>
      <b/>
      <u val="singleAccounting"/>
      <sz val="11"/>
      <color rgb="FF000000"/>
      <name val="Calibri"/>
      <family val="2"/>
      <scheme val="minor"/>
    </font>
    <font>
      <i/>
      <sz val="11"/>
      <color theme="0"/>
      <name val="Calibri"/>
      <family val="2"/>
      <scheme val="minor"/>
    </font>
  </fonts>
  <fills count="43">
    <fill>
      <patternFill patternType="none"/>
    </fill>
    <fill>
      <patternFill patternType="gray125"/>
    </fill>
    <fill>
      <patternFill patternType="solid">
        <fgColor theme="0" tint="-0.14999847407452621"/>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2" tint="-9.9978637043366805E-2"/>
        <bgColor indexed="64"/>
      </patternFill>
    </fill>
    <fill>
      <patternFill patternType="solid">
        <fgColor rgb="FFFFFFFF"/>
        <bgColor indexed="64"/>
      </patternFill>
    </fill>
    <fill>
      <patternFill patternType="solid">
        <fgColor theme="7" tint="0.79998168889431442"/>
        <bgColor indexed="64"/>
      </patternFill>
    </fill>
    <fill>
      <patternFill patternType="solid">
        <fgColor theme="3" tint="-0.249977111117893"/>
        <bgColor indexed="64"/>
      </patternFill>
    </fill>
    <fill>
      <patternFill patternType="solid">
        <fgColor theme="6"/>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9" tint="0.39997558519241921"/>
        <bgColor indexed="64"/>
      </patternFill>
    </fill>
    <fill>
      <patternFill patternType="solid">
        <fgColor rgb="FFFFDAE4"/>
        <bgColor indexed="64"/>
      </patternFill>
    </fill>
    <fill>
      <patternFill patternType="solid">
        <fgColor theme="9" tint="0.79998168889431442"/>
        <bgColor indexed="64"/>
      </patternFill>
    </fill>
    <fill>
      <patternFill patternType="solid">
        <fgColor theme="3" tint="0.79998168889431442"/>
        <bgColor indexed="64"/>
      </patternFill>
    </fill>
    <fill>
      <patternFill patternType="solid">
        <fgColor theme="8" tint="0.59999389629810485"/>
        <bgColor indexed="64"/>
      </patternFill>
    </fill>
    <fill>
      <patternFill patternType="solid">
        <fgColor theme="4" tint="0.79998168889431442"/>
        <bgColor indexed="64"/>
      </patternFill>
    </fill>
    <fill>
      <patternFill patternType="solid">
        <fgColor theme="0" tint="-0.24997711111789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499984740745262"/>
        <bgColor indexed="64"/>
      </patternFill>
    </fill>
    <fill>
      <patternFill patternType="solid">
        <fgColor theme="6" tint="0.79998168889431442"/>
        <bgColor indexed="64"/>
      </patternFill>
    </fill>
    <fill>
      <patternFill patternType="solid">
        <fgColor theme="4" tint="-0.499984740745262"/>
        <bgColor indexed="64"/>
      </patternFill>
    </fill>
    <fill>
      <patternFill patternType="solid">
        <fgColor theme="5" tint="0.59999389629810485"/>
        <bgColor indexed="64"/>
      </patternFill>
    </fill>
    <fill>
      <patternFill patternType="solid">
        <fgColor theme="0"/>
        <bgColor indexed="64"/>
      </patternFill>
    </fill>
    <fill>
      <patternFill patternType="solid">
        <fgColor rgb="FFDDEBF7"/>
        <bgColor rgb="FF000000"/>
      </patternFill>
    </fill>
    <fill>
      <patternFill patternType="solid">
        <fgColor theme="9" tint="0.79998168889431442"/>
        <bgColor rgb="FF000000"/>
      </patternFill>
    </fill>
    <fill>
      <patternFill patternType="solid">
        <fgColor rgb="FFD9D9D9"/>
        <bgColor indexed="64"/>
      </patternFill>
    </fill>
    <fill>
      <patternFill patternType="solid">
        <fgColor theme="0"/>
        <bgColor rgb="FF000000"/>
      </patternFill>
    </fill>
    <fill>
      <patternFill patternType="solid">
        <fgColor theme="8" tint="0.79998168889431442"/>
        <bgColor indexed="64"/>
      </patternFill>
    </fill>
    <fill>
      <patternFill patternType="solid">
        <fgColor theme="3"/>
        <bgColor indexed="64"/>
      </patternFill>
    </fill>
    <fill>
      <patternFill patternType="solid">
        <fgColor theme="3"/>
        <bgColor rgb="FF000000"/>
      </patternFill>
    </fill>
    <fill>
      <patternFill patternType="solid">
        <fgColor rgb="FFDDEBF7"/>
        <bgColor indexed="64"/>
      </patternFill>
    </fill>
    <fill>
      <patternFill patternType="solid">
        <fgColor rgb="FFEAF4E4"/>
        <bgColor rgb="FF000000"/>
      </patternFill>
    </fill>
    <fill>
      <patternFill patternType="solid">
        <fgColor rgb="FFFFFFFF"/>
        <bgColor rgb="FF000000"/>
      </patternFill>
    </fill>
    <fill>
      <patternFill patternType="solid">
        <fgColor rgb="FFDEEAF6"/>
        <bgColor rgb="FFDEEAF6"/>
      </patternFill>
    </fill>
    <fill>
      <patternFill patternType="solid">
        <fgColor rgb="FFFEF2CB"/>
        <bgColor rgb="FFFEF2CB"/>
      </patternFill>
    </fill>
    <fill>
      <patternFill patternType="solid">
        <fgColor theme="1"/>
        <bgColor theme="1"/>
      </patternFill>
    </fill>
    <fill>
      <patternFill patternType="solid">
        <fgColor rgb="FFD0CECE"/>
        <bgColor rgb="FFD0CECE"/>
      </patternFill>
    </fill>
    <fill>
      <patternFill patternType="solid">
        <fgColor rgb="FFD8D8DE"/>
        <bgColor rgb="FFD8D8DE"/>
      </patternFill>
    </fill>
    <fill>
      <patternFill patternType="solid">
        <fgColor rgb="FFEFEDF3"/>
        <bgColor rgb="FFEFEDF3"/>
      </patternFill>
    </fill>
    <fill>
      <patternFill patternType="solid">
        <fgColor rgb="FFC6EBF4"/>
        <bgColor rgb="FFC6EBF4"/>
      </patternFill>
    </fill>
  </fills>
  <borders count="69">
    <border>
      <left/>
      <right/>
      <top/>
      <bottom/>
      <diagonal/>
    </border>
    <border>
      <left/>
      <right style="thin">
        <color theme="0"/>
      </right>
      <top/>
      <bottom/>
      <diagonal/>
    </border>
    <border>
      <left style="thin">
        <color theme="0"/>
      </left>
      <right style="thin">
        <color theme="0"/>
      </right>
      <top/>
      <bottom/>
      <diagonal/>
    </border>
    <border>
      <left style="thin">
        <color indexed="64"/>
      </left>
      <right style="thin">
        <color indexed="64"/>
      </right>
      <top style="thin">
        <color indexed="64"/>
      </top>
      <bottom style="thin">
        <color indexed="64"/>
      </bottom>
      <diagonal/>
    </border>
    <border>
      <left/>
      <right/>
      <top style="thin">
        <color indexed="64"/>
      </top>
      <bottom style="double">
        <color indexed="64"/>
      </bottom>
      <diagonal/>
    </border>
    <border>
      <left/>
      <right/>
      <top/>
      <bottom style="thin">
        <color indexed="64"/>
      </bottom>
      <diagonal/>
    </border>
    <border>
      <left/>
      <right/>
      <top/>
      <bottom style="double">
        <color auto="1"/>
      </bottom>
      <diagonal/>
    </border>
    <border>
      <left/>
      <right/>
      <top style="thin">
        <color auto="1"/>
      </top>
      <bottom style="thin">
        <color auto="1"/>
      </bottom>
      <diagonal/>
    </border>
    <border>
      <left/>
      <right/>
      <top style="thin">
        <color auto="1"/>
      </top>
      <bottom/>
      <diagonal/>
    </border>
    <border>
      <left style="thin">
        <color theme="0" tint="-0.249977111117893"/>
      </left>
      <right style="thin">
        <color theme="0" tint="-0.249977111117893"/>
      </right>
      <top/>
      <bottom/>
      <diagonal/>
    </border>
    <border>
      <left style="thin">
        <color theme="0" tint="-0.249977111117893"/>
      </left>
      <right/>
      <top/>
      <bottom/>
      <diagonal/>
    </border>
    <border>
      <left style="thin">
        <color rgb="FFBFBFBF"/>
      </left>
      <right style="thin">
        <color rgb="FFBFBFBF"/>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hair">
        <color rgb="FF000000"/>
      </right>
      <top/>
      <bottom/>
      <diagonal/>
    </border>
    <border>
      <left/>
      <right style="hair">
        <color rgb="FF000000"/>
      </right>
      <top/>
      <bottom style="thin">
        <color indexed="64"/>
      </bottom>
      <diagonal/>
    </border>
    <border>
      <left/>
      <right/>
      <top style="thin">
        <color rgb="FF000000"/>
      </top>
      <bottom/>
      <diagonal/>
    </border>
    <border>
      <left style="thin">
        <color theme="0"/>
      </left>
      <right/>
      <top/>
      <bottom/>
      <diagonal/>
    </border>
    <border>
      <left/>
      <right/>
      <top/>
      <bottom style="medium">
        <color rgb="FF000000"/>
      </bottom>
      <diagonal/>
    </border>
    <border>
      <left/>
      <right/>
      <top style="thin">
        <color rgb="FF000000"/>
      </top>
      <bottom style="thin">
        <color rgb="FF000000"/>
      </bottom>
      <diagonal/>
    </border>
    <border>
      <left/>
      <right style="hair">
        <color indexed="64"/>
      </right>
      <top/>
      <bottom style="hair">
        <color indexed="64"/>
      </bottom>
      <diagonal/>
    </border>
    <border>
      <left/>
      <right/>
      <top/>
      <bottom style="hair">
        <color indexed="64"/>
      </bottom>
      <diagonal/>
    </border>
    <border>
      <left style="hair">
        <color indexed="64"/>
      </left>
      <right/>
      <top/>
      <bottom style="hair">
        <color indexed="64"/>
      </bottom>
      <diagonal/>
    </border>
    <border>
      <left/>
      <right style="hair">
        <color indexed="64"/>
      </right>
      <top/>
      <bottom/>
      <diagonal/>
    </border>
    <border>
      <left style="hair">
        <color indexed="64"/>
      </left>
      <right/>
      <top/>
      <bottom/>
      <diagonal/>
    </border>
    <border>
      <left/>
      <right style="hair">
        <color indexed="64"/>
      </right>
      <top/>
      <bottom style="thin">
        <color indexed="64"/>
      </bottom>
      <diagonal/>
    </border>
    <border>
      <left/>
      <right style="hair">
        <color indexed="64"/>
      </right>
      <top style="thin">
        <color indexed="64"/>
      </top>
      <bottom/>
      <diagonal/>
    </border>
    <border>
      <left/>
      <right style="hair">
        <color indexed="64"/>
      </right>
      <top style="hair">
        <color indexed="64"/>
      </top>
      <bottom/>
      <diagonal/>
    </border>
    <border>
      <left/>
      <right/>
      <top style="hair">
        <color indexed="64"/>
      </top>
      <bottom/>
      <diagonal/>
    </border>
    <border>
      <left style="hair">
        <color indexed="64"/>
      </left>
      <right/>
      <top style="hair">
        <color indexed="64"/>
      </top>
      <bottom/>
      <diagonal/>
    </border>
    <border>
      <left style="hair">
        <color indexed="64"/>
      </left>
      <right style="thin">
        <color indexed="64"/>
      </right>
      <top/>
      <bottom style="hair">
        <color indexed="64"/>
      </bottom>
      <diagonal/>
    </border>
    <border>
      <left/>
      <right style="thin">
        <color indexed="64"/>
      </right>
      <top/>
      <bottom/>
      <diagonal/>
    </border>
    <border>
      <left/>
      <right/>
      <top style="medium">
        <color rgb="FF000000"/>
      </top>
      <bottom/>
      <diagonal/>
    </border>
    <border>
      <left style="hair">
        <color rgb="FF000000"/>
      </left>
      <right/>
      <top/>
      <bottom/>
      <diagonal/>
    </border>
    <border>
      <left/>
      <right/>
      <top style="hair">
        <color auto="1"/>
      </top>
      <bottom style="hair">
        <color auto="1"/>
      </bottom>
      <diagonal/>
    </border>
    <border>
      <left/>
      <right style="hair">
        <color rgb="FF000000"/>
      </right>
      <top style="hair">
        <color rgb="FF000000"/>
      </top>
      <bottom/>
      <diagonal/>
    </border>
    <border>
      <left/>
      <right/>
      <top style="hair">
        <color rgb="FF000000"/>
      </top>
      <bottom/>
      <diagonal/>
    </border>
    <border>
      <left style="hair">
        <color rgb="FF000000"/>
      </left>
      <right/>
      <top style="hair">
        <color rgb="FF000000"/>
      </top>
      <bottom/>
      <diagonal/>
    </border>
    <border>
      <left/>
      <right/>
      <top/>
      <bottom style="hair">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diagonal/>
    </border>
    <border>
      <left style="thin">
        <color rgb="FF000000"/>
      </left>
      <right/>
      <top/>
      <bottom/>
      <diagonal/>
    </border>
    <border>
      <left/>
      <right style="thin">
        <color rgb="FF000000"/>
      </right>
      <top style="thin">
        <color rgb="FF000000"/>
      </top>
      <bottom/>
      <diagonal/>
    </border>
    <border>
      <left style="thin">
        <color rgb="FF000000"/>
      </left>
      <right/>
      <top style="thin">
        <color rgb="FF000000"/>
      </top>
      <bottom/>
      <diagonal/>
    </border>
    <border>
      <left/>
      <right/>
      <top style="medium">
        <color rgb="FF888A85"/>
      </top>
      <bottom/>
      <diagonal/>
    </border>
    <border>
      <left/>
      <right/>
      <top style="thin">
        <color rgb="FF888A85"/>
      </top>
      <bottom/>
      <diagonal/>
    </border>
    <border>
      <left/>
      <right/>
      <top style="thin">
        <color rgb="FFEEEEEC"/>
      </top>
      <bottom/>
      <diagonal/>
    </border>
    <border>
      <left/>
      <right/>
      <top/>
      <bottom style="medium">
        <color rgb="FF888A85"/>
      </bottom>
      <diagonal/>
    </border>
    <border>
      <left style="thin">
        <color indexed="64"/>
      </left>
      <right/>
      <top/>
      <bottom/>
      <diagonal/>
    </border>
    <border>
      <left style="thin">
        <color indexed="64"/>
      </left>
      <right/>
      <top/>
      <bottom style="thin">
        <color indexed="64"/>
      </bottom>
      <diagonal/>
    </border>
    <border>
      <left style="hair">
        <color rgb="FF000000"/>
      </left>
      <right/>
      <top/>
      <bottom style="thin">
        <color indexed="64"/>
      </bottom>
      <diagonal/>
    </border>
    <border>
      <left/>
      <right style="thin">
        <color indexed="64"/>
      </right>
      <top/>
      <bottom style="thin">
        <color indexed="64"/>
      </bottom>
      <diagonal/>
    </border>
    <border>
      <left/>
      <right style="hair">
        <color rgb="FF000000"/>
      </right>
      <top/>
      <bottom style="hair">
        <color rgb="FF000000"/>
      </bottom>
      <diagonal/>
    </border>
    <border>
      <left style="hair">
        <color rgb="FF000000"/>
      </left>
      <right/>
      <top/>
      <bottom style="hair">
        <color rgb="FF000000"/>
      </bottom>
      <diagonal/>
    </border>
    <border>
      <left/>
      <right style="hair">
        <color rgb="FF000000"/>
      </right>
      <top/>
      <bottom style="thin">
        <color rgb="FF000000"/>
      </bottom>
      <diagonal/>
    </border>
    <border>
      <left style="hair">
        <color rgb="FF000000"/>
      </left>
      <right/>
      <top/>
      <bottom style="thin">
        <color rgb="FF000000"/>
      </bottom>
      <diagonal/>
    </border>
    <border>
      <left/>
      <right style="hair">
        <color rgb="FF000000"/>
      </right>
      <top style="thin">
        <color indexed="64"/>
      </top>
      <bottom/>
      <diagonal/>
    </border>
    <border>
      <left style="hair">
        <color rgb="FF000000"/>
      </left>
      <right/>
      <top style="thin">
        <color indexed="64"/>
      </top>
      <bottom/>
      <diagonal/>
    </border>
    <border>
      <left/>
      <right style="hair">
        <color rgb="FF000000"/>
      </right>
      <top style="thin">
        <color indexed="64"/>
      </top>
      <bottom style="thin">
        <color indexed="64"/>
      </bottom>
      <diagonal/>
    </border>
    <border>
      <left/>
      <right style="hair">
        <color rgb="FF000000"/>
      </right>
      <top style="thin">
        <color rgb="FF000000"/>
      </top>
      <bottom/>
      <diagonal/>
    </border>
    <border>
      <left style="hair">
        <color rgb="FF000000"/>
      </left>
      <right/>
      <top style="thin">
        <color rgb="FF000000"/>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23">
    <xf numFmtId="0" fontId="0" fillId="0" borderId="0"/>
    <xf numFmtId="43" fontId="1" fillId="0" borderId="0" applyFont="0" applyFill="0" applyBorder="0" applyAlignment="0" applyProtection="0"/>
    <xf numFmtId="9" fontId="1" fillId="0" borderId="0" applyFont="0" applyFill="0" applyBorder="0" applyAlignment="0" applyProtection="0"/>
    <xf numFmtId="0" fontId="10" fillId="0" borderId="0"/>
    <xf numFmtId="0" fontId="31" fillId="0" borderId="0"/>
    <xf numFmtId="9" fontId="31" fillId="0" borderId="0" applyFont="0" applyFill="0" applyBorder="0" applyAlignment="0" applyProtection="0"/>
    <xf numFmtId="175" fontId="1" fillId="0" borderId="0"/>
    <xf numFmtId="0" fontId="70" fillId="0" borderId="0"/>
    <xf numFmtId="0" fontId="55" fillId="0" borderId="0"/>
    <xf numFmtId="0" fontId="77" fillId="0" borderId="0"/>
    <xf numFmtId="0" fontId="77" fillId="0" borderId="0"/>
    <xf numFmtId="0" fontId="10" fillId="0" borderId="0"/>
    <xf numFmtId="9" fontId="55" fillId="0" borderId="0" applyFont="0" applyFill="0" applyBorder="0" applyAlignment="0" applyProtection="0"/>
    <xf numFmtId="0" fontId="1" fillId="0" borderId="0"/>
    <xf numFmtId="9" fontId="91" fillId="0" borderId="0" applyFont="0" applyFill="0" applyBorder="0" applyAlignment="0" applyProtection="0"/>
    <xf numFmtId="0" fontId="1" fillId="0" borderId="0"/>
    <xf numFmtId="0" fontId="1" fillId="0" borderId="0"/>
    <xf numFmtId="0" fontId="49" fillId="0" borderId="0"/>
    <xf numFmtId="9" fontId="77" fillId="0" borderId="0" applyFont="0" applyFill="0" applyBorder="0" applyAlignment="0" applyProtection="0"/>
    <xf numFmtId="9" fontId="1" fillId="0" borderId="0" applyFont="0" applyFill="0" applyBorder="0" applyAlignment="0" applyProtection="0"/>
    <xf numFmtId="43" fontId="55" fillId="0" borderId="0" applyFont="0" applyFill="0" applyBorder="0" applyAlignment="0" applyProtection="0"/>
    <xf numFmtId="0" fontId="1" fillId="0" borderId="0"/>
    <xf numFmtId="0" fontId="112" fillId="0" borderId="0"/>
  </cellStyleXfs>
  <cellXfs count="1823">
    <xf numFmtId="0" fontId="0" fillId="0" borderId="0" xfId="0"/>
    <xf numFmtId="0" fontId="3" fillId="0" borderId="0" xfId="0" applyFont="1"/>
    <xf numFmtId="0" fontId="0" fillId="0" borderId="0" xfId="0" applyAlignment="1">
      <alignment horizontal="left" indent="1"/>
    </xf>
    <xf numFmtId="0" fontId="3" fillId="2" borderId="0" xfId="0" applyFont="1" applyFill="1"/>
    <xf numFmtId="0" fontId="0" fillId="2" borderId="0" xfId="0" applyFill="1"/>
    <xf numFmtId="0" fontId="0" fillId="0" borderId="0" xfId="0" applyAlignment="1">
      <alignment horizontal="left"/>
    </xf>
    <xf numFmtId="0" fontId="5" fillId="0" borderId="0" xfId="0" applyFont="1"/>
    <xf numFmtId="0" fontId="4" fillId="0" borderId="0" xfId="0" applyFont="1"/>
    <xf numFmtId="164" fontId="3" fillId="4" borderId="0" xfId="0" applyNumberFormat="1" applyFont="1" applyFill="1" applyBorder="1" applyAlignment="1">
      <alignment horizontal="center"/>
    </xf>
    <xf numFmtId="164" fontId="3" fillId="4" borderId="2" xfId="0" applyNumberFormat="1" applyFont="1" applyFill="1" applyBorder="1" applyAlignment="1">
      <alignment horizontal="center"/>
    </xf>
    <xf numFmtId="164" fontId="3" fillId="3" borderId="2" xfId="0" applyNumberFormat="1" applyFont="1" applyFill="1" applyBorder="1" applyAlignment="1">
      <alignment horizontal="center"/>
    </xf>
    <xf numFmtId="0" fontId="0" fillId="3" borderId="0" xfId="0" applyFill="1" applyAlignment="1">
      <alignment horizontal="centerContinuous"/>
    </xf>
    <xf numFmtId="0" fontId="3" fillId="3" borderId="0" xfId="0" applyFont="1" applyFill="1" applyAlignment="1">
      <alignment horizontal="centerContinuous"/>
    </xf>
    <xf numFmtId="0" fontId="3" fillId="4" borderId="0" xfId="0" applyFont="1" applyFill="1" applyAlignment="1">
      <alignment horizontal="centerContinuous"/>
    </xf>
    <xf numFmtId="0" fontId="3" fillId="0" borderId="0" xfId="0" applyFont="1" applyBorder="1"/>
    <xf numFmtId="43" fontId="0" fillId="0" borderId="0" xfId="1" applyFont="1"/>
    <xf numFmtId="165" fontId="0" fillId="0" borderId="0" xfId="1" applyNumberFormat="1" applyFont="1"/>
    <xf numFmtId="164" fontId="3" fillId="4" borderId="1" xfId="0" applyNumberFormat="1" applyFont="1" applyFill="1" applyBorder="1" applyAlignment="1">
      <alignment horizontal="center"/>
    </xf>
    <xf numFmtId="165" fontId="3" fillId="0" borderId="0" xfId="1" applyNumberFormat="1" applyFont="1"/>
    <xf numFmtId="9" fontId="0" fillId="0" borderId="0" xfId="2" applyFont="1"/>
    <xf numFmtId="165" fontId="0" fillId="0" borderId="0" xfId="0" applyNumberFormat="1"/>
    <xf numFmtId="0" fontId="8" fillId="0" borderId="0" xfId="0" applyFont="1" applyAlignment="1">
      <alignment horizontal="left" indent="2"/>
    </xf>
    <xf numFmtId="5" fontId="3" fillId="0" borderId="0" xfId="1" applyNumberFormat="1" applyFont="1"/>
    <xf numFmtId="5" fontId="3" fillId="0" borderId="4" xfId="1" applyNumberFormat="1" applyFont="1" applyBorder="1"/>
    <xf numFmtId="0" fontId="0" fillId="0" borderId="0" xfId="0" applyBorder="1"/>
    <xf numFmtId="0" fontId="3" fillId="5" borderId="0" xfId="0" applyFont="1" applyFill="1" applyAlignment="1">
      <alignment horizontal="centerContinuous"/>
    </xf>
    <xf numFmtId="164" fontId="3" fillId="5" borderId="1" xfId="0" applyNumberFormat="1" applyFont="1" applyFill="1" applyBorder="1" applyAlignment="1">
      <alignment horizontal="center"/>
    </xf>
    <xf numFmtId="165" fontId="0" fillId="0" borderId="5" xfId="1" applyNumberFormat="1" applyFont="1" applyBorder="1"/>
    <xf numFmtId="0" fontId="8" fillId="0" borderId="0" xfId="0" applyFont="1" applyAlignment="1">
      <alignment horizontal="left" indent="1"/>
    </xf>
    <xf numFmtId="165" fontId="0" fillId="0" borderId="5" xfId="0" applyNumberFormat="1" applyBorder="1"/>
    <xf numFmtId="5" fontId="1" fillId="0" borderId="0" xfId="1" applyNumberFormat="1" applyFont="1"/>
    <xf numFmtId="0" fontId="4" fillId="2" borderId="0" xfId="0" applyFont="1" applyFill="1" applyAlignment="1">
      <alignment horizontal="center"/>
    </xf>
    <xf numFmtId="0" fontId="0" fillId="0" borderId="0" xfId="0" applyAlignment="1">
      <alignment horizontal="center"/>
    </xf>
    <xf numFmtId="0" fontId="10" fillId="6" borderId="0" xfId="3" applyFill="1"/>
    <xf numFmtId="166" fontId="10" fillId="6" borderId="0" xfId="3" applyNumberFormat="1" applyFill="1"/>
    <xf numFmtId="166" fontId="11" fillId="6" borderId="6" xfId="3" applyNumberFormat="1" applyFont="1" applyFill="1" applyBorder="1" applyAlignment="1">
      <alignment horizontal="right"/>
    </xf>
    <xf numFmtId="0" fontId="11" fillId="6" borderId="0" xfId="3" applyFont="1" applyFill="1" applyAlignment="1">
      <alignment horizontal="left"/>
    </xf>
    <xf numFmtId="0" fontId="12" fillId="6" borderId="0" xfId="3" applyFont="1" applyFill="1"/>
    <xf numFmtId="167" fontId="11" fillId="6" borderId="7" xfId="3" applyNumberFormat="1" applyFont="1" applyFill="1" applyBorder="1" applyAlignment="1">
      <alignment horizontal="right"/>
    </xf>
    <xf numFmtId="167" fontId="11" fillId="6" borderId="0" xfId="3" applyNumberFormat="1" applyFont="1" applyFill="1" applyAlignment="1">
      <alignment horizontal="right"/>
    </xf>
    <xf numFmtId="0" fontId="13" fillId="6" borderId="8" xfId="3" applyFont="1" applyFill="1" applyBorder="1" applyAlignment="1">
      <alignment horizontal="right"/>
    </xf>
    <xf numFmtId="0" fontId="13" fillId="6" borderId="0" xfId="3" applyFont="1" applyFill="1" applyAlignment="1">
      <alignment horizontal="left"/>
    </xf>
    <xf numFmtId="0" fontId="11" fillId="6" borderId="5" xfId="3" applyFont="1" applyFill="1" applyBorder="1" applyAlignment="1">
      <alignment horizontal="right"/>
    </xf>
    <xf numFmtId="0" fontId="11" fillId="6" borderId="0" xfId="3" applyFont="1" applyFill="1" applyAlignment="1">
      <alignment horizontal="right"/>
    </xf>
    <xf numFmtId="0" fontId="10" fillId="6" borderId="0" xfId="3" applyFill="1" applyAlignment="1">
      <alignment horizontal="left"/>
    </xf>
    <xf numFmtId="0" fontId="14" fillId="6" borderId="0" xfId="3" applyFont="1" applyFill="1" applyAlignment="1">
      <alignment horizontal="left"/>
    </xf>
    <xf numFmtId="0" fontId="12" fillId="6" borderId="0" xfId="3" applyFont="1" applyFill="1" applyAlignment="1"/>
    <xf numFmtId="167" fontId="10" fillId="6" borderId="0" xfId="3" applyNumberFormat="1" applyFill="1"/>
    <xf numFmtId="165" fontId="15" fillId="0" borderId="0" xfId="1" applyNumberFormat="1" applyFont="1"/>
    <xf numFmtId="165" fontId="3" fillId="0" borderId="0" xfId="0" applyNumberFormat="1" applyFont="1"/>
    <xf numFmtId="165" fontId="0" fillId="0" borderId="0" xfId="0" applyNumberFormat="1" applyFill="1"/>
    <xf numFmtId="165" fontId="0" fillId="0" borderId="5" xfId="0" applyNumberFormat="1" applyFill="1" applyBorder="1"/>
    <xf numFmtId="165" fontId="15" fillId="0" borderId="5" xfId="1" applyNumberFormat="1" applyFont="1" applyBorder="1"/>
    <xf numFmtId="5" fontId="3" fillId="0" borderId="0" xfId="1" applyNumberFormat="1" applyFont="1" applyFill="1"/>
    <xf numFmtId="165" fontId="15" fillId="0" borderId="0" xfId="1" applyNumberFormat="1" applyFont="1" applyFill="1"/>
    <xf numFmtId="165" fontId="0" fillId="0" borderId="0" xfId="1" applyNumberFormat="1" applyFont="1" applyFill="1"/>
    <xf numFmtId="165" fontId="15" fillId="0" borderId="5" xfId="1" applyNumberFormat="1" applyFont="1" applyFill="1" applyBorder="1"/>
    <xf numFmtId="5" fontId="3" fillId="0" borderId="4" xfId="1" applyNumberFormat="1" applyFont="1" applyFill="1" applyBorder="1"/>
    <xf numFmtId="7" fontId="0" fillId="0" borderId="0" xfId="1" applyNumberFormat="1" applyFont="1"/>
    <xf numFmtId="165" fontId="16" fillId="7" borderId="3" xfId="0" applyNumberFormat="1" applyFont="1" applyFill="1" applyBorder="1"/>
    <xf numFmtId="168" fontId="0" fillId="0" borderId="0" xfId="2" applyNumberFormat="1" applyFont="1"/>
    <xf numFmtId="168" fontId="0" fillId="0" borderId="0" xfId="0" applyNumberFormat="1"/>
    <xf numFmtId="168" fontId="16" fillId="7" borderId="3" xfId="0" applyNumberFormat="1" applyFont="1" applyFill="1" applyBorder="1"/>
    <xf numFmtId="169" fontId="0" fillId="0" borderId="0" xfId="2" applyNumberFormat="1" applyFont="1"/>
    <xf numFmtId="169" fontId="0" fillId="0" borderId="0" xfId="0" applyNumberFormat="1"/>
    <xf numFmtId="169" fontId="16" fillId="7" borderId="3" xfId="0" applyNumberFormat="1" applyFont="1" applyFill="1" applyBorder="1"/>
    <xf numFmtId="0" fontId="0" fillId="2" borderId="0" xfId="0" applyFill="1" applyAlignment="1">
      <alignment horizontal="center"/>
    </xf>
    <xf numFmtId="9" fontId="0" fillId="0" borderId="0" xfId="2" applyFont="1" applyFill="1"/>
    <xf numFmtId="5" fontId="1" fillId="0" borderId="0" xfId="1" applyNumberFormat="1" applyFont="1" applyFill="1"/>
    <xf numFmtId="0" fontId="2" fillId="8" borderId="0" xfId="0" applyFont="1" applyFill="1" applyAlignment="1">
      <alignment horizontal="centerContinuous"/>
    </xf>
    <xf numFmtId="164" fontId="2" fillId="8" borderId="1" xfId="0" applyNumberFormat="1" applyFont="1" applyFill="1" applyBorder="1" applyAlignment="1">
      <alignment horizontal="center"/>
    </xf>
    <xf numFmtId="0" fontId="3" fillId="9" borderId="0" xfId="0" applyFont="1" applyFill="1" applyAlignment="1">
      <alignment horizontal="centerContinuous"/>
    </xf>
    <xf numFmtId="164" fontId="3" fillId="9" borderId="1" xfId="0" applyNumberFormat="1" applyFont="1" applyFill="1" applyBorder="1" applyAlignment="1">
      <alignment horizontal="center"/>
    </xf>
    <xf numFmtId="164" fontId="3" fillId="9" borderId="2" xfId="0" applyNumberFormat="1" applyFont="1" applyFill="1" applyBorder="1" applyAlignment="1">
      <alignment horizontal="center"/>
    </xf>
    <xf numFmtId="164" fontId="3" fillId="9" borderId="0" xfId="0" applyNumberFormat="1" applyFont="1" applyFill="1" applyBorder="1" applyAlignment="1">
      <alignment horizontal="center"/>
    </xf>
    <xf numFmtId="164" fontId="2" fillId="8" borderId="2" xfId="0" applyNumberFormat="1" applyFont="1" applyFill="1" applyBorder="1" applyAlignment="1">
      <alignment horizontal="center"/>
    </xf>
    <xf numFmtId="9" fontId="8" fillId="0" borderId="0" xfId="2" applyFont="1"/>
    <xf numFmtId="169" fontId="8" fillId="0" borderId="0" xfId="2" applyNumberFormat="1" applyFont="1"/>
    <xf numFmtId="169" fontId="0" fillId="10" borderId="0" xfId="2" applyNumberFormat="1" applyFont="1" applyFill="1"/>
    <xf numFmtId="0" fontId="0" fillId="10" borderId="0" xfId="0" applyFill="1"/>
    <xf numFmtId="43" fontId="0" fillId="0" borderId="0" xfId="1" applyFont="1" applyFill="1"/>
    <xf numFmtId="5" fontId="17" fillId="0" borderId="0" xfId="1" applyNumberFormat="1" applyFont="1"/>
    <xf numFmtId="5" fontId="17" fillId="0" borderId="0" xfId="1" applyNumberFormat="1" applyFont="1" applyFill="1"/>
    <xf numFmtId="165" fontId="0" fillId="0" borderId="5" xfId="1" applyNumberFormat="1" applyFont="1" applyFill="1" applyBorder="1"/>
    <xf numFmtId="43" fontId="0" fillId="0" borderId="0" xfId="0" applyNumberFormat="1"/>
    <xf numFmtId="168" fontId="16" fillId="0" borderId="0" xfId="0" applyNumberFormat="1" applyFont="1"/>
    <xf numFmtId="165" fontId="18" fillId="0" borderId="0" xfId="1" applyNumberFormat="1" applyFont="1" applyBorder="1"/>
    <xf numFmtId="165" fontId="18" fillId="0" borderId="5" xfId="1" applyNumberFormat="1" applyFont="1" applyBorder="1"/>
    <xf numFmtId="165" fontId="16" fillId="0" borderId="5" xfId="1" applyNumberFormat="1" applyFont="1" applyBorder="1"/>
    <xf numFmtId="165" fontId="16" fillId="0" borderId="0" xfId="1" applyNumberFormat="1" applyFont="1" applyBorder="1"/>
    <xf numFmtId="165" fontId="16" fillId="0" borderId="0" xfId="1" applyNumberFormat="1" applyFont="1"/>
    <xf numFmtId="165" fontId="18" fillId="0" borderId="0" xfId="1" applyNumberFormat="1" applyFont="1"/>
    <xf numFmtId="165" fontId="0" fillId="0" borderId="0" xfId="0" applyNumberFormat="1" applyBorder="1"/>
    <xf numFmtId="9" fontId="16" fillId="0" borderId="0" xfId="2" applyFont="1"/>
    <xf numFmtId="0" fontId="3" fillId="12" borderId="0" xfId="0" applyFont="1" applyFill="1" applyAlignment="1">
      <alignment horizontal="centerContinuous"/>
    </xf>
    <xf numFmtId="164" fontId="3" fillId="12" borderId="1" xfId="0" applyNumberFormat="1" applyFont="1" applyFill="1" applyBorder="1" applyAlignment="1">
      <alignment horizontal="center"/>
    </xf>
    <xf numFmtId="164" fontId="3" fillId="12" borderId="0" xfId="0" applyNumberFormat="1" applyFont="1" applyFill="1" applyBorder="1" applyAlignment="1">
      <alignment horizontal="center"/>
    </xf>
    <xf numFmtId="9" fontId="15" fillId="0" borderId="0" xfId="2" applyFont="1" applyFill="1" applyBorder="1"/>
    <xf numFmtId="165" fontId="16" fillId="0" borderId="0" xfId="1" applyNumberFormat="1" applyFont="1" applyFill="1"/>
    <xf numFmtId="0" fontId="0" fillId="0" borderId="0" xfId="0" applyFill="1"/>
    <xf numFmtId="165" fontId="0" fillId="11" borderId="0" xfId="1" applyNumberFormat="1" applyFont="1" applyFill="1"/>
    <xf numFmtId="165" fontId="0" fillId="11" borderId="5" xfId="1" applyNumberFormat="1" applyFont="1" applyFill="1" applyBorder="1"/>
    <xf numFmtId="0" fontId="0" fillId="0" borderId="0" xfId="0" applyFill="1" applyAlignment="1">
      <alignment horizontal="left" indent="1"/>
    </xf>
    <xf numFmtId="0" fontId="19" fillId="2" borderId="0" xfId="0" applyFont="1" applyFill="1"/>
    <xf numFmtId="0" fontId="20" fillId="0" borderId="0" xfId="0" applyFont="1"/>
    <xf numFmtId="0" fontId="19" fillId="0" borderId="0" xfId="0" applyFont="1" applyAlignment="1">
      <alignment horizontal="center"/>
    </xf>
    <xf numFmtId="165" fontId="20" fillId="0" borderId="0" xfId="1" applyNumberFormat="1" applyFont="1"/>
    <xf numFmtId="9" fontId="20" fillId="0" borderId="0" xfId="0" applyNumberFormat="1" applyFont="1"/>
    <xf numFmtId="0" fontId="19" fillId="0" borderId="0" xfId="0" applyFont="1"/>
    <xf numFmtId="172" fontId="19" fillId="0" borderId="0" xfId="1" applyNumberFormat="1" applyFont="1"/>
    <xf numFmtId="0" fontId="20" fillId="0" borderId="0" xfId="0" applyFont="1" applyAlignment="1">
      <alignment horizontal="left" indent="1"/>
    </xf>
    <xf numFmtId="171" fontId="20" fillId="0" borderId="0" xfId="1" applyNumberFormat="1" applyFont="1" applyFill="1"/>
    <xf numFmtId="165" fontId="20" fillId="0" borderId="0" xfId="1" applyNumberFormat="1" applyFont="1" applyFill="1"/>
    <xf numFmtId="9" fontId="20" fillId="0" borderId="0" xfId="2" applyFont="1" applyFill="1"/>
    <xf numFmtId="0" fontId="19" fillId="0" borderId="0" xfId="0" applyFont="1" applyAlignment="1">
      <alignment horizontal="right"/>
    </xf>
    <xf numFmtId="0" fontId="20" fillId="0" borderId="0" xfId="0" applyFont="1" applyAlignment="1">
      <alignment horizontal="right"/>
    </xf>
    <xf numFmtId="5" fontId="19" fillId="0" borderId="0" xfId="1" applyNumberFormat="1" applyFont="1" applyFill="1"/>
    <xf numFmtId="165" fontId="20" fillId="0" borderId="0" xfId="0" applyNumberFormat="1" applyFont="1" applyFill="1"/>
    <xf numFmtId="5" fontId="19" fillId="0" borderId="0" xfId="1" applyNumberFormat="1" applyFont="1"/>
    <xf numFmtId="5" fontId="22" fillId="0" borderId="0" xfId="1" applyNumberFormat="1" applyFont="1" applyAlignment="1">
      <alignment horizontal="center"/>
    </xf>
    <xf numFmtId="9" fontId="23" fillId="0" borderId="0" xfId="0" applyNumberFormat="1" applyFont="1" applyAlignment="1">
      <alignment horizontal="center"/>
    </xf>
    <xf numFmtId="0" fontId="0" fillId="0" borderId="0" xfId="0" applyAlignment="1">
      <alignment horizontal="right" indent="1"/>
    </xf>
    <xf numFmtId="165" fontId="0" fillId="11" borderId="0" xfId="0" applyNumberFormat="1" applyFill="1"/>
    <xf numFmtId="0" fontId="3" fillId="11" borderId="0" xfId="0" applyFont="1" applyFill="1"/>
    <xf numFmtId="0" fontId="20" fillId="0" borderId="9" xfId="0" applyFont="1" applyBorder="1"/>
    <xf numFmtId="172" fontId="20" fillId="0" borderId="9" xfId="1" applyNumberFormat="1" applyFont="1" applyBorder="1"/>
    <xf numFmtId="170" fontId="24" fillId="0" borderId="9" xfId="2" applyNumberFormat="1" applyFont="1" applyBorder="1"/>
    <xf numFmtId="43" fontId="24" fillId="0" borderId="9" xfId="1" applyFont="1" applyBorder="1"/>
    <xf numFmtId="43" fontId="20" fillId="0" borderId="9" xfId="1" applyFont="1" applyBorder="1"/>
    <xf numFmtId="0" fontId="20" fillId="0" borderId="10" xfId="0" applyFont="1" applyBorder="1"/>
    <xf numFmtId="172" fontId="20" fillId="0" borderId="10" xfId="1" applyNumberFormat="1" applyFont="1" applyBorder="1"/>
    <xf numFmtId="170" fontId="24" fillId="0" borderId="10" xfId="2" applyNumberFormat="1" applyFont="1" applyBorder="1"/>
    <xf numFmtId="43" fontId="24" fillId="0" borderId="10" xfId="1" applyFont="1" applyBorder="1"/>
    <xf numFmtId="43" fontId="20" fillId="0" borderId="10" xfId="1" applyFont="1" applyBorder="1"/>
    <xf numFmtId="0" fontId="20" fillId="0" borderId="0" xfId="0" applyFont="1" applyBorder="1"/>
    <xf numFmtId="172" fontId="19" fillId="0" borderId="9" xfId="1" applyNumberFormat="1" applyFont="1" applyBorder="1"/>
    <xf numFmtId="171" fontId="20" fillId="0" borderId="9" xfId="1" applyNumberFormat="1" applyFont="1" applyFill="1" applyBorder="1"/>
    <xf numFmtId="165" fontId="20" fillId="0" borderId="9" xfId="1" applyNumberFormat="1" applyFont="1" applyBorder="1"/>
    <xf numFmtId="9" fontId="20" fillId="0" borderId="9" xfId="2" applyFont="1" applyBorder="1"/>
    <xf numFmtId="0" fontId="24" fillId="0" borderId="0" xfId="0" applyFont="1" applyBorder="1" applyAlignment="1">
      <alignment horizontal="left" indent="1"/>
    </xf>
    <xf numFmtId="0" fontId="20" fillId="0" borderId="0" xfId="0" applyFont="1" applyBorder="1" applyAlignment="1">
      <alignment horizontal="left"/>
    </xf>
    <xf numFmtId="0" fontId="21" fillId="0" borderId="9" xfId="0" applyFont="1" applyBorder="1"/>
    <xf numFmtId="0" fontId="19" fillId="13" borderId="0" xfId="0" applyFont="1" applyFill="1" applyBorder="1" applyAlignment="1">
      <alignment horizontal="center"/>
    </xf>
    <xf numFmtId="0" fontId="19" fillId="0" borderId="0" xfId="0" applyFont="1" applyBorder="1" applyAlignment="1">
      <alignment horizontal="center"/>
    </xf>
    <xf numFmtId="0" fontId="20" fillId="0" borderId="1" xfId="0" applyFont="1" applyBorder="1"/>
    <xf numFmtId="0" fontId="19" fillId="13" borderId="2" xfId="0" applyFont="1" applyFill="1" applyBorder="1" applyAlignment="1">
      <alignment horizontal="center"/>
    </xf>
    <xf numFmtId="168" fontId="21" fillId="0" borderId="9" xfId="2" applyNumberFormat="1" applyFont="1" applyBorder="1"/>
    <xf numFmtId="168" fontId="24" fillId="0" borderId="9" xfId="2" applyNumberFormat="1" applyFont="1" applyBorder="1"/>
    <xf numFmtId="168" fontId="24" fillId="0" borderId="10" xfId="2" applyNumberFormat="1" applyFont="1" applyBorder="1"/>
    <xf numFmtId="168" fontId="20" fillId="0" borderId="9" xfId="2" applyNumberFormat="1" applyFont="1" applyBorder="1"/>
    <xf numFmtId="168" fontId="20" fillId="0" borderId="10" xfId="2" applyNumberFormat="1" applyFont="1" applyBorder="1"/>
    <xf numFmtId="170" fontId="20" fillId="0" borderId="9" xfId="2" applyNumberFormat="1" applyFont="1" applyBorder="1"/>
    <xf numFmtId="170" fontId="20" fillId="0" borderId="10" xfId="2" applyNumberFormat="1" applyFont="1" applyBorder="1"/>
    <xf numFmtId="0" fontId="26" fillId="0" borderId="0" xfId="0" applyFont="1"/>
    <xf numFmtId="172" fontId="20" fillId="0" borderId="0" xfId="0" applyNumberFormat="1" applyFont="1"/>
    <xf numFmtId="169" fontId="21" fillId="0" borderId="9" xfId="2" applyNumberFormat="1" applyFont="1" applyBorder="1"/>
    <xf numFmtId="169" fontId="21" fillId="0" borderId="10" xfId="2" applyNumberFormat="1" applyFont="1" applyBorder="1"/>
    <xf numFmtId="172" fontId="27" fillId="0" borderId="9" xfId="1" applyNumberFormat="1" applyFont="1" applyBorder="1"/>
    <xf numFmtId="172" fontId="20" fillId="0" borderId="11" xfId="0" applyNumberFormat="1" applyFont="1" applyBorder="1"/>
    <xf numFmtId="165" fontId="16" fillId="0" borderId="5" xfId="0" applyNumberFormat="1" applyFont="1" applyBorder="1"/>
    <xf numFmtId="165" fontId="20" fillId="0" borderId="5" xfId="1" applyNumberFormat="1" applyFont="1" applyBorder="1"/>
    <xf numFmtId="0" fontId="28" fillId="0" borderId="0" xfId="0" applyFont="1"/>
    <xf numFmtId="0" fontId="29" fillId="0" borderId="0" xfId="0" applyFont="1"/>
    <xf numFmtId="0" fontId="28" fillId="0" borderId="0" xfId="0" applyFont="1" applyAlignment="1">
      <alignment horizontal="left" indent="1"/>
    </xf>
    <xf numFmtId="171" fontId="28" fillId="0" borderId="0" xfId="1" applyNumberFormat="1" applyFont="1"/>
    <xf numFmtId="171" fontId="28" fillId="0" borderId="0" xfId="0" applyNumberFormat="1" applyFont="1"/>
    <xf numFmtId="172" fontId="28" fillId="0" borderId="0" xfId="0" applyNumberFormat="1" applyFont="1"/>
    <xf numFmtId="171" fontId="28" fillId="0" borderId="5" xfId="1" applyNumberFormat="1" applyFont="1" applyBorder="1"/>
    <xf numFmtId="9" fontId="28" fillId="0" borderId="0" xfId="2" applyFont="1"/>
    <xf numFmtId="9" fontId="30" fillId="7" borderId="3" xfId="2" applyFont="1" applyFill="1" applyBorder="1"/>
    <xf numFmtId="0" fontId="31" fillId="0" borderId="0" xfId="4"/>
    <xf numFmtId="0" fontId="32" fillId="0" borderId="0" xfId="4" applyFont="1"/>
    <xf numFmtId="0" fontId="33" fillId="0" borderId="0" xfId="4" applyFont="1"/>
    <xf numFmtId="0" fontId="32" fillId="0" borderId="12" xfId="4" applyFont="1" applyBorder="1" applyAlignment="1">
      <alignment horizontal="center"/>
    </xf>
    <xf numFmtId="0" fontId="32" fillId="0" borderId="7" xfId="4" applyFont="1" applyBorder="1" applyAlignment="1">
      <alignment horizontal="center"/>
    </xf>
    <xf numFmtId="0" fontId="32" fillId="0" borderId="13" xfId="4" applyFont="1" applyBorder="1" applyAlignment="1">
      <alignment horizontal="center"/>
    </xf>
    <xf numFmtId="173" fontId="33" fillId="0" borderId="0" xfId="4" applyNumberFormat="1" applyFont="1"/>
    <xf numFmtId="170" fontId="0" fillId="0" borderId="0" xfId="5" applyNumberFormat="1" applyFont="1"/>
    <xf numFmtId="173" fontId="32" fillId="0" borderId="0" xfId="4" applyNumberFormat="1" applyFont="1"/>
    <xf numFmtId="173" fontId="34" fillId="0" borderId="0" xfId="4" applyNumberFormat="1" applyFont="1"/>
    <xf numFmtId="173" fontId="31" fillId="0" borderId="0" xfId="4" applyNumberFormat="1"/>
    <xf numFmtId="0" fontId="34" fillId="0" borderId="0" xfId="4" applyFont="1"/>
    <xf numFmtId="0" fontId="35" fillId="0" borderId="0" xfId="4" applyFont="1"/>
    <xf numFmtId="170" fontId="35" fillId="0" borderId="0" xfId="5" applyNumberFormat="1" applyFont="1"/>
    <xf numFmtId="9" fontId="0" fillId="0" borderId="0" xfId="5" applyFont="1"/>
    <xf numFmtId="174" fontId="36" fillId="0" borderId="0" xfId="4" applyNumberFormat="1" applyFont="1"/>
    <xf numFmtId="0" fontId="36" fillId="0" borderId="0" xfId="4" applyFont="1"/>
    <xf numFmtId="9" fontId="28" fillId="0" borderId="0" xfId="0" applyNumberFormat="1" applyFont="1"/>
    <xf numFmtId="9" fontId="28" fillId="0" borderId="0" xfId="0" applyNumberFormat="1" applyFont="1" applyAlignment="1">
      <alignment horizontal="center"/>
    </xf>
    <xf numFmtId="0" fontId="29" fillId="2" borderId="0" xfId="0" applyFont="1" applyFill="1"/>
    <xf numFmtId="0" fontId="28" fillId="2" borderId="0" xfId="0" applyFont="1" applyFill="1"/>
    <xf numFmtId="171" fontId="29" fillId="2" borderId="5" xfId="1" applyNumberFormat="1" applyFont="1" applyFill="1" applyBorder="1"/>
    <xf numFmtId="0" fontId="29" fillId="14" borderId="0" xfId="0" applyFont="1" applyFill="1"/>
    <xf numFmtId="171" fontId="29" fillId="14" borderId="5" xfId="1" applyNumberFormat="1" applyFont="1" applyFill="1" applyBorder="1"/>
    <xf numFmtId="9" fontId="30" fillId="11" borderId="3" xfId="2" applyFont="1" applyFill="1" applyBorder="1"/>
    <xf numFmtId="171" fontId="29" fillId="0" borderId="0" xfId="0" applyNumberFormat="1" applyFont="1"/>
    <xf numFmtId="0" fontId="28" fillId="0" borderId="0" xfId="0" applyFont="1" applyFill="1"/>
    <xf numFmtId="0" fontId="19" fillId="0" borderId="0" xfId="0" applyFont="1" applyFill="1" applyBorder="1" applyAlignment="1">
      <alignment horizontal="center"/>
    </xf>
    <xf numFmtId="9" fontId="29" fillId="0" borderId="0" xfId="2" applyFont="1"/>
    <xf numFmtId="172" fontId="29" fillId="0" borderId="0" xfId="0" applyNumberFormat="1" applyFont="1"/>
    <xf numFmtId="9" fontId="28" fillId="11" borderId="0" xfId="2" applyFont="1" applyFill="1"/>
    <xf numFmtId="0" fontId="3" fillId="0" borderId="0" xfId="0" applyFont="1" applyFill="1"/>
    <xf numFmtId="165" fontId="3" fillId="0" borderId="0" xfId="1" applyNumberFormat="1" applyFont="1" applyFill="1"/>
    <xf numFmtId="0" fontId="4" fillId="2" borderId="0" xfId="0" applyFont="1" applyFill="1" applyAlignment="1">
      <alignment wrapText="1"/>
    </xf>
    <xf numFmtId="0" fontId="37" fillId="2" borderId="0" xfId="0" applyFont="1" applyFill="1"/>
    <xf numFmtId="0" fontId="4" fillId="2" borderId="0" xfId="0" applyFont="1" applyFill="1"/>
    <xf numFmtId="0" fontId="35" fillId="15" borderId="0" xfId="0" applyFont="1" applyFill="1"/>
    <xf numFmtId="0" fontId="38" fillId="15" borderId="0" xfId="0" applyFont="1" applyFill="1" applyAlignment="1">
      <alignment horizontal="left"/>
    </xf>
    <xf numFmtId="0" fontId="0" fillId="10" borderId="0" xfId="0" applyFill="1" applyAlignment="1">
      <alignment horizontal="center"/>
    </xf>
    <xf numFmtId="175" fontId="0" fillId="0" borderId="0" xfId="6" applyFont="1"/>
    <xf numFmtId="0" fontId="39" fillId="0" borderId="0" xfId="0" applyFont="1" applyAlignment="1">
      <alignment horizontal="left"/>
    </xf>
    <xf numFmtId="0" fontId="40" fillId="0" borderId="0" xfId="0" applyFont="1"/>
    <xf numFmtId="0" fontId="0" fillId="11" borderId="0" xfId="0" applyFill="1"/>
    <xf numFmtId="165" fontId="18" fillId="10" borderId="0" xfId="1" applyNumberFormat="1" applyFont="1" applyFill="1"/>
    <xf numFmtId="165" fontId="18" fillId="10" borderId="5" xfId="1" applyNumberFormat="1" applyFont="1" applyFill="1" applyBorder="1"/>
    <xf numFmtId="165" fontId="18" fillId="10" borderId="0" xfId="1" applyNumberFormat="1" applyFont="1" applyFill="1" applyBorder="1"/>
    <xf numFmtId="165" fontId="17" fillId="10" borderId="0" xfId="1" applyNumberFormat="1" applyFont="1" applyFill="1"/>
    <xf numFmtId="0" fontId="0" fillId="4" borderId="0" xfId="0" applyFill="1" applyAlignment="1">
      <alignment horizontal="center"/>
    </xf>
    <xf numFmtId="0" fontId="0" fillId="16" borderId="0" xfId="0" applyFill="1" applyAlignment="1">
      <alignment horizontal="center"/>
    </xf>
    <xf numFmtId="165" fontId="3" fillId="0" borderId="4" xfId="0" applyNumberFormat="1" applyFont="1" applyBorder="1"/>
    <xf numFmtId="0" fontId="3" fillId="0" borderId="5" xfId="0" applyFont="1" applyFill="1" applyBorder="1" applyAlignment="1">
      <alignment horizontal="center"/>
    </xf>
    <xf numFmtId="0" fontId="3" fillId="0" borderId="0" xfId="0" applyFont="1" applyFill="1" applyBorder="1" applyAlignment="1">
      <alignment horizontal="center"/>
    </xf>
    <xf numFmtId="0" fontId="3" fillId="17" borderId="0" xfId="0" applyFont="1" applyFill="1" applyAlignment="1">
      <alignment horizontal="left"/>
    </xf>
    <xf numFmtId="0" fontId="0" fillId="17" borderId="0" xfId="0" applyFill="1" applyAlignment="1">
      <alignment horizontal="left" indent="1"/>
    </xf>
    <xf numFmtId="0" fontId="0" fillId="17" borderId="0" xfId="0" applyFill="1"/>
    <xf numFmtId="0" fontId="3" fillId="17" borderId="4" xfId="0" applyFont="1" applyFill="1" applyBorder="1"/>
    <xf numFmtId="0" fontId="3" fillId="7" borderId="0" xfId="0" applyFont="1" applyFill="1" applyAlignment="1">
      <alignment horizontal="left"/>
    </xf>
    <xf numFmtId="0" fontId="0" fillId="7" borderId="0" xfId="0" applyFill="1" applyAlignment="1">
      <alignment horizontal="left" indent="1"/>
    </xf>
    <xf numFmtId="0" fontId="0" fillId="7" borderId="0" xfId="0" applyFill="1"/>
    <xf numFmtId="0" fontId="3" fillId="7" borderId="0" xfId="0" applyFont="1" applyFill="1"/>
    <xf numFmtId="0" fontId="3" fillId="7" borderId="4" xfId="0" applyFont="1" applyFill="1" applyBorder="1"/>
    <xf numFmtId="0" fontId="3" fillId="14" borderId="0" xfId="0" applyFont="1" applyFill="1" applyAlignment="1">
      <alignment horizontal="left"/>
    </xf>
    <xf numFmtId="0" fontId="0" fillId="14" borderId="0" xfId="0" applyFill="1" applyAlignment="1">
      <alignment horizontal="left" indent="1"/>
    </xf>
    <xf numFmtId="0" fontId="0" fillId="14" borderId="0" xfId="0" applyFill="1"/>
    <xf numFmtId="0" fontId="3" fillId="14" borderId="4" xfId="0" applyFont="1" applyFill="1" applyBorder="1"/>
    <xf numFmtId="0" fontId="3" fillId="0" borderId="4" xfId="0" applyFont="1" applyFill="1" applyBorder="1"/>
    <xf numFmtId="165" fontId="3" fillId="0" borderId="4" xfId="1" applyNumberFormat="1" applyFont="1" applyBorder="1"/>
    <xf numFmtId="0" fontId="0" fillId="15" borderId="0" xfId="0" applyFill="1"/>
    <xf numFmtId="0" fontId="3" fillId="15" borderId="4" xfId="0" applyFont="1" applyFill="1" applyBorder="1"/>
    <xf numFmtId="165" fontId="3" fillId="0" borderId="4" xfId="0" applyNumberFormat="1" applyFont="1" applyFill="1" applyBorder="1" applyAlignment="1">
      <alignment horizontal="center"/>
    </xf>
    <xf numFmtId="0" fontId="3" fillId="0" borderId="8" xfId="0" applyFont="1" applyFill="1" applyBorder="1"/>
    <xf numFmtId="165" fontId="3" fillId="0" borderId="8" xfId="1" applyNumberFormat="1" applyFont="1" applyBorder="1"/>
    <xf numFmtId="0" fontId="8" fillId="0" borderId="0" xfId="0" applyFont="1" applyBorder="1" applyAlignment="1">
      <alignment horizontal="left" indent="1"/>
    </xf>
    <xf numFmtId="165" fontId="1" fillId="0" borderId="0" xfId="1" applyNumberFormat="1" applyFont="1" applyFill="1"/>
    <xf numFmtId="165" fontId="1" fillId="0" borderId="0" xfId="1" applyNumberFormat="1" applyFont="1"/>
    <xf numFmtId="0" fontId="4" fillId="0" borderId="0" xfId="0" applyFont="1" applyFill="1" applyAlignment="1">
      <alignment wrapText="1"/>
    </xf>
    <xf numFmtId="0" fontId="37" fillId="0" borderId="0" xfId="0" applyFont="1" applyFill="1"/>
    <xf numFmtId="0" fontId="4" fillId="0" borderId="0" xfId="0" applyFont="1" applyFill="1"/>
    <xf numFmtId="5" fontId="0" fillId="0" borderId="0" xfId="0" applyNumberFormat="1"/>
    <xf numFmtId="165" fontId="16" fillId="7" borderId="3" xfId="1" applyNumberFormat="1" applyFont="1" applyFill="1" applyBorder="1"/>
    <xf numFmtId="9" fontId="16" fillId="7" borderId="3" xfId="2" applyFont="1" applyFill="1" applyBorder="1"/>
    <xf numFmtId="165" fontId="0" fillId="14" borderId="0" xfId="1" applyNumberFormat="1" applyFont="1" applyFill="1"/>
    <xf numFmtId="0" fontId="3" fillId="0" borderId="0" xfId="0" applyFont="1" applyFill="1" applyAlignment="1">
      <alignment horizontal="left"/>
    </xf>
    <xf numFmtId="171" fontId="0" fillId="0" borderId="0" xfId="1" applyNumberFormat="1" applyFont="1"/>
    <xf numFmtId="171" fontId="16" fillId="7" borderId="3" xfId="1" applyNumberFormat="1" applyFont="1" applyFill="1" applyBorder="1"/>
    <xf numFmtId="171" fontId="16" fillId="0" borderId="0" xfId="1" applyNumberFormat="1" applyFont="1"/>
    <xf numFmtId="0" fontId="8" fillId="0" borderId="0" xfId="0" applyFont="1" applyFill="1" applyAlignment="1">
      <alignment horizontal="left" indent="1"/>
    </xf>
    <xf numFmtId="165" fontId="16" fillId="0" borderId="0" xfId="1" applyNumberFormat="1" applyFont="1" applyFill="1" applyBorder="1"/>
    <xf numFmtId="0" fontId="0" fillId="0" borderId="0" xfId="0" applyAlignment="1">
      <alignment horizontal="left" indent="2"/>
    </xf>
    <xf numFmtId="0" fontId="3" fillId="0" borderId="0" xfId="0" applyFont="1" applyAlignment="1">
      <alignment horizontal="left" indent="1"/>
    </xf>
    <xf numFmtId="170" fontId="0" fillId="0" borderId="0" xfId="2" applyNumberFormat="1" applyFont="1"/>
    <xf numFmtId="170" fontId="16" fillId="7" borderId="3" xfId="2" applyNumberFormat="1" applyFont="1" applyFill="1" applyBorder="1"/>
    <xf numFmtId="170" fontId="16" fillId="0" borderId="0" xfId="2" applyNumberFormat="1" applyFont="1"/>
    <xf numFmtId="9" fontId="16" fillId="7" borderId="3" xfId="2" applyNumberFormat="1" applyFont="1" applyFill="1" applyBorder="1"/>
    <xf numFmtId="165" fontId="3" fillId="0" borderId="4" xfId="1" applyNumberFormat="1" applyFont="1" applyFill="1" applyBorder="1"/>
    <xf numFmtId="171" fontId="20" fillId="0" borderId="9" xfId="1" applyNumberFormat="1" applyFont="1" applyBorder="1"/>
    <xf numFmtId="171" fontId="20" fillId="0" borderId="10" xfId="1" applyNumberFormat="1" applyFont="1" applyBorder="1"/>
    <xf numFmtId="5" fontId="29" fillId="0" borderId="0" xfId="1" applyNumberFormat="1" applyFont="1"/>
    <xf numFmtId="5" fontId="29" fillId="0" borderId="0" xfId="1" applyNumberFormat="1" applyFont="1" applyFill="1"/>
    <xf numFmtId="165" fontId="28" fillId="0" borderId="0" xfId="0" applyNumberFormat="1" applyFont="1" applyFill="1"/>
    <xf numFmtId="165" fontId="28" fillId="0" borderId="0" xfId="1" applyNumberFormat="1" applyFont="1"/>
    <xf numFmtId="165" fontId="28" fillId="0" borderId="0" xfId="1" applyNumberFormat="1" applyFont="1" applyFill="1"/>
    <xf numFmtId="9" fontId="28" fillId="0" borderId="0" xfId="2" applyFont="1" applyFill="1"/>
    <xf numFmtId="5" fontId="29" fillId="0" borderId="4" xfId="1" applyNumberFormat="1" applyFont="1" applyBorder="1"/>
    <xf numFmtId="5" fontId="29" fillId="0" borderId="4" xfId="1" applyNumberFormat="1" applyFont="1" applyFill="1" applyBorder="1"/>
    <xf numFmtId="0" fontId="41" fillId="0" borderId="0" xfId="0" applyFont="1"/>
    <xf numFmtId="5" fontId="41" fillId="0" borderId="0" xfId="1" applyNumberFormat="1" applyFont="1" applyBorder="1"/>
    <xf numFmtId="5" fontId="41" fillId="0" borderId="0" xfId="1" applyNumberFormat="1" applyFont="1" applyFill="1" applyBorder="1"/>
    <xf numFmtId="164" fontId="29" fillId="9" borderId="1" xfId="0" applyNumberFormat="1" applyFont="1" applyFill="1" applyBorder="1" applyAlignment="1">
      <alignment horizontal="center"/>
    </xf>
    <xf numFmtId="164" fontId="42" fillId="8" borderId="1" xfId="0" applyNumberFormat="1" applyFont="1" applyFill="1" applyBorder="1" applyAlignment="1">
      <alignment horizontal="center"/>
    </xf>
    <xf numFmtId="172" fontId="28" fillId="0" borderId="0" xfId="1" applyNumberFormat="1" applyFont="1" applyAlignment="1">
      <alignment horizontal="right"/>
    </xf>
    <xf numFmtId="172" fontId="43" fillId="0" borderId="0" xfId="1" applyNumberFormat="1" applyFont="1" applyAlignment="1">
      <alignment horizontal="right"/>
    </xf>
    <xf numFmtId="0" fontId="43" fillId="0" borderId="0" xfId="0" applyFont="1" applyAlignment="1">
      <alignment horizontal="left" indent="1"/>
    </xf>
    <xf numFmtId="7" fontId="43" fillId="0" borderId="0" xfId="1" applyNumberFormat="1" applyFont="1" applyAlignment="1">
      <alignment horizontal="right"/>
    </xf>
    <xf numFmtId="9" fontId="43" fillId="0" borderId="0" xfId="2" applyFont="1" applyAlignment="1">
      <alignment horizontal="right"/>
    </xf>
    <xf numFmtId="165" fontId="20" fillId="0" borderId="0" xfId="0" applyNumberFormat="1" applyFont="1"/>
    <xf numFmtId="165" fontId="29" fillId="0" borderId="0" xfId="1" applyNumberFormat="1" applyFont="1" applyAlignment="1">
      <alignment horizontal="right"/>
    </xf>
    <xf numFmtId="5" fontId="28" fillId="0" borderId="0" xfId="1" applyNumberFormat="1" applyFont="1" applyAlignment="1">
      <alignment horizontal="right"/>
    </xf>
    <xf numFmtId="165" fontId="20" fillId="0" borderId="5" xfId="0" applyNumberFormat="1" applyFont="1" applyBorder="1"/>
    <xf numFmtId="174" fontId="0" fillId="0" borderId="0" xfId="0" applyNumberFormat="1"/>
    <xf numFmtId="176" fontId="0" fillId="0" borderId="0" xfId="0" applyNumberFormat="1"/>
    <xf numFmtId="174" fontId="0" fillId="0" borderId="0" xfId="0" applyNumberFormat="1" applyAlignment="1">
      <alignment horizontal="left" indent="1"/>
    </xf>
    <xf numFmtId="0" fontId="0" fillId="0" borderId="0" xfId="0" applyFont="1"/>
    <xf numFmtId="174" fontId="0" fillId="11" borderId="0" xfId="0" applyNumberFormat="1" applyFill="1"/>
    <xf numFmtId="165" fontId="1" fillId="0" borderId="0" xfId="1" applyNumberFormat="1" applyFont="1" applyBorder="1"/>
    <xf numFmtId="165" fontId="1" fillId="0" borderId="5" xfId="1" applyNumberFormat="1" applyFont="1" applyBorder="1"/>
    <xf numFmtId="165" fontId="0" fillId="0" borderId="0" xfId="0" applyNumberFormat="1" applyFont="1"/>
    <xf numFmtId="165" fontId="0" fillId="0" borderId="5" xfId="0" applyNumberFormat="1" applyFont="1" applyBorder="1"/>
    <xf numFmtId="0" fontId="3" fillId="18" borderId="0" xfId="0" applyFont="1" applyFill="1"/>
    <xf numFmtId="17" fontId="3" fillId="18" borderId="0" xfId="0" applyNumberFormat="1" applyFont="1" applyFill="1" applyAlignment="1">
      <alignment horizontal="center"/>
    </xf>
    <xf numFmtId="0" fontId="3" fillId="0" borderId="0" xfId="0" applyFont="1" applyAlignment="1">
      <alignment horizontal="center"/>
    </xf>
    <xf numFmtId="175" fontId="3" fillId="0" borderId="0" xfId="6" applyFont="1"/>
    <xf numFmtId="9" fontId="0" fillId="0" borderId="0" xfId="0" applyNumberFormat="1"/>
    <xf numFmtId="9" fontId="16" fillId="7" borderId="3" xfId="0" applyNumberFormat="1" applyFont="1" applyFill="1" applyBorder="1"/>
    <xf numFmtId="0" fontId="3" fillId="0" borderId="0" xfId="0" applyFont="1" applyAlignment="1">
      <alignment horizontal="left"/>
    </xf>
    <xf numFmtId="0" fontId="3" fillId="0" borderId="5" xfId="0" applyFont="1" applyBorder="1" applyAlignment="1">
      <alignment horizontal="center"/>
    </xf>
    <xf numFmtId="0" fontId="40" fillId="0" borderId="0" xfId="0" applyFont="1" applyAlignment="1">
      <alignment horizontal="left" indent="1"/>
    </xf>
    <xf numFmtId="0" fontId="44" fillId="0" borderId="0" xfId="0" applyFont="1"/>
    <xf numFmtId="9" fontId="1" fillId="0" borderId="0" xfId="2" applyFont="1"/>
    <xf numFmtId="174" fontId="3" fillId="2" borderId="0" xfId="0" applyNumberFormat="1" applyFont="1" applyFill="1"/>
    <xf numFmtId="0" fontId="0" fillId="0" borderId="0" xfId="0" applyFont="1" applyAlignment="1">
      <alignment horizontal="left"/>
    </xf>
    <xf numFmtId="9" fontId="0" fillId="0" borderId="0" xfId="2" applyFont="1" applyAlignment="1">
      <alignment horizontal="right"/>
    </xf>
    <xf numFmtId="9" fontId="0" fillId="0" borderId="5" xfId="2" applyFont="1" applyBorder="1" applyAlignment="1">
      <alignment horizontal="right"/>
    </xf>
    <xf numFmtId="9" fontId="0" fillId="0" borderId="5" xfId="2" applyFont="1" applyBorder="1"/>
    <xf numFmtId="168" fontId="0" fillId="0" borderId="5" xfId="2" applyNumberFormat="1" applyFont="1" applyBorder="1"/>
    <xf numFmtId="168" fontId="16" fillId="0" borderId="5" xfId="0" applyNumberFormat="1" applyFont="1" applyBorder="1"/>
    <xf numFmtId="0" fontId="27" fillId="0" borderId="0" xfId="0" applyFont="1" applyAlignment="1">
      <alignment horizontal="left" indent="1"/>
    </xf>
    <xf numFmtId="9" fontId="20" fillId="0" borderId="0" xfId="2" applyFont="1"/>
    <xf numFmtId="0" fontId="29" fillId="17" borderId="0" xfId="0" applyFont="1" applyFill="1"/>
    <xf numFmtId="5" fontId="29" fillId="17" borderId="0" xfId="1" applyNumberFormat="1" applyFont="1" applyFill="1"/>
    <xf numFmtId="171" fontId="28" fillId="0" borderId="0" xfId="1" applyNumberFormat="1" applyFont="1" applyAlignment="1">
      <alignment horizontal="right"/>
    </xf>
    <xf numFmtId="165" fontId="28" fillId="0" borderId="0" xfId="1" applyNumberFormat="1" applyFont="1" applyAlignment="1">
      <alignment horizontal="right"/>
    </xf>
    <xf numFmtId="0" fontId="45" fillId="0" borderId="0" xfId="0" applyFont="1" applyAlignment="1">
      <alignment horizontal="left" indent="1"/>
    </xf>
    <xf numFmtId="171" fontId="43" fillId="0" borderId="0" xfId="1" applyNumberFormat="1" applyFont="1" applyAlignment="1">
      <alignment horizontal="right"/>
    </xf>
    <xf numFmtId="172" fontId="29" fillId="0" borderId="7" xfId="1" applyNumberFormat="1" applyFont="1" applyBorder="1" applyAlignment="1">
      <alignment horizontal="right"/>
    </xf>
    <xf numFmtId="5" fontId="43" fillId="0" borderId="0" xfId="1" applyNumberFormat="1" applyFont="1" applyAlignment="1">
      <alignment horizontal="right"/>
    </xf>
    <xf numFmtId="165" fontId="20" fillId="0" borderId="5" xfId="0" applyNumberFormat="1" applyFont="1" applyFill="1" applyBorder="1"/>
    <xf numFmtId="174" fontId="0" fillId="2" borderId="0" xfId="0" applyNumberFormat="1" applyFill="1"/>
    <xf numFmtId="177" fontId="0" fillId="0" borderId="0" xfId="1" applyNumberFormat="1" applyFont="1"/>
    <xf numFmtId="14" fontId="3" fillId="0" borderId="0" xfId="0" applyNumberFormat="1" applyFont="1" applyAlignment="1">
      <alignment horizontal="center"/>
    </xf>
    <xf numFmtId="9" fontId="46" fillId="0" borderId="0" xfId="2" applyFont="1" applyFill="1"/>
    <xf numFmtId="0" fontId="46" fillId="0" borderId="0" xfId="0" applyFont="1" applyFill="1"/>
    <xf numFmtId="165" fontId="3" fillId="7" borderId="0" xfId="0" applyNumberFormat="1" applyFont="1" applyFill="1"/>
    <xf numFmtId="165" fontId="0" fillId="7" borderId="0" xfId="0" applyNumberFormat="1" applyFont="1" applyFill="1"/>
    <xf numFmtId="170" fontId="46" fillId="11" borderId="0" xfId="2" applyNumberFormat="1" applyFont="1" applyFill="1" applyBorder="1"/>
    <xf numFmtId="9" fontId="3" fillId="0" borderId="0" xfId="2" applyFont="1"/>
    <xf numFmtId="0" fontId="20" fillId="0" borderId="0" xfId="0" applyFont="1" applyFill="1" applyBorder="1" applyAlignment="1">
      <alignment horizontal="left" indent="1"/>
    </xf>
    <xf numFmtId="0" fontId="20" fillId="0" borderId="0" xfId="0" applyFont="1" applyFill="1" applyBorder="1"/>
    <xf numFmtId="172" fontId="28" fillId="0" borderId="0" xfId="1" applyNumberFormat="1" applyFont="1" applyFill="1" applyBorder="1" applyAlignment="1">
      <alignment horizontal="right"/>
    </xf>
    <xf numFmtId="165" fontId="28" fillId="0" borderId="0" xfId="1" applyNumberFormat="1" applyFont="1" applyFill="1" applyBorder="1" applyAlignment="1">
      <alignment horizontal="right"/>
    </xf>
    <xf numFmtId="0" fontId="45" fillId="0" borderId="0" xfId="0" applyFont="1" applyFill="1" applyBorder="1" applyAlignment="1">
      <alignment horizontal="left" indent="1"/>
    </xf>
    <xf numFmtId="171" fontId="43" fillId="0" borderId="0" xfId="1" applyNumberFormat="1" applyFont="1" applyFill="1" applyBorder="1" applyAlignment="1">
      <alignment horizontal="right"/>
    </xf>
    <xf numFmtId="5" fontId="43" fillId="0" borderId="0" xfId="1" applyNumberFormat="1" applyFont="1" applyFill="1" applyBorder="1" applyAlignment="1">
      <alignment horizontal="right"/>
    </xf>
    <xf numFmtId="0" fontId="19" fillId="0" borderId="0" xfId="0" applyFont="1" applyAlignment="1">
      <alignment horizontal="left"/>
    </xf>
    <xf numFmtId="172" fontId="29" fillId="0" borderId="0" xfId="1" applyNumberFormat="1" applyFont="1" applyAlignment="1">
      <alignment horizontal="right"/>
    </xf>
    <xf numFmtId="171" fontId="28" fillId="0" borderId="5" xfId="1" applyNumberFormat="1" applyFont="1" applyBorder="1" applyAlignment="1">
      <alignment horizontal="right"/>
    </xf>
    <xf numFmtId="9" fontId="28" fillId="0" borderId="0" xfId="2" applyFont="1" applyAlignment="1">
      <alignment horizontal="right"/>
    </xf>
    <xf numFmtId="9" fontId="28" fillId="0" borderId="5" xfId="2" applyFont="1" applyBorder="1" applyAlignment="1">
      <alignment horizontal="right"/>
    </xf>
    <xf numFmtId="9" fontId="29" fillId="0" borderId="0" xfId="2" applyFont="1" applyAlignment="1">
      <alignment horizontal="right"/>
    </xf>
    <xf numFmtId="9" fontId="28" fillId="0" borderId="0" xfId="2" applyFont="1" applyFill="1" applyBorder="1"/>
    <xf numFmtId="0" fontId="1" fillId="0" borderId="0" xfId="0" applyFont="1"/>
    <xf numFmtId="9" fontId="28" fillId="10" borderId="3" xfId="2" applyFont="1" applyFill="1" applyBorder="1"/>
    <xf numFmtId="9" fontId="45" fillId="0" borderId="0" xfId="2" applyFont="1"/>
    <xf numFmtId="0" fontId="19" fillId="3" borderId="0" xfId="0" applyFont="1" applyFill="1"/>
    <xf numFmtId="0" fontId="20" fillId="3" borderId="0" xfId="0" applyFont="1" applyFill="1"/>
    <xf numFmtId="9" fontId="47" fillId="10" borderId="0" xfId="2" applyFont="1" applyFill="1"/>
    <xf numFmtId="172" fontId="28" fillId="10" borderId="0" xfId="1" applyNumberFormat="1" applyFont="1" applyFill="1" applyAlignment="1">
      <alignment horizontal="right"/>
    </xf>
    <xf numFmtId="171" fontId="28" fillId="10" borderId="0" xfId="1" applyNumberFormat="1" applyFont="1" applyFill="1" applyAlignment="1">
      <alignment horizontal="right"/>
    </xf>
    <xf numFmtId="171" fontId="28" fillId="10" borderId="5" xfId="1" applyNumberFormat="1" applyFont="1" applyFill="1" applyBorder="1" applyAlignment="1">
      <alignment horizontal="right"/>
    </xf>
    <xf numFmtId="0" fontId="19" fillId="0" borderId="0" xfId="0" applyFont="1" applyFill="1"/>
    <xf numFmtId="14" fontId="0" fillId="0" borderId="0" xfId="0" applyNumberFormat="1"/>
    <xf numFmtId="176" fontId="48" fillId="0" borderId="0" xfId="0" applyNumberFormat="1" applyFont="1"/>
    <xf numFmtId="165" fontId="0" fillId="19" borderId="0" xfId="0" applyNumberFormat="1" applyFill="1"/>
    <xf numFmtId="14" fontId="0" fillId="2" borderId="0" xfId="0" applyNumberFormat="1" applyFill="1"/>
    <xf numFmtId="176" fontId="3" fillId="2" borderId="0" xfId="0" applyNumberFormat="1" applyFont="1" applyFill="1"/>
    <xf numFmtId="165" fontId="3" fillId="2" borderId="0" xfId="1" applyNumberFormat="1" applyFont="1" applyFill="1"/>
    <xf numFmtId="176" fontId="0" fillId="14" borderId="0" xfId="0" applyNumberFormat="1" applyFill="1"/>
    <xf numFmtId="9" fontId="0" fillId="14" borderId="0" xfId="2" applyFont="1" applyFill="1"/>
    <xf numFmtId="14" fontId="0" fillId="0" borderId="5" xfId="0" applyNumberFormat="1" applyBorder="1"/>
    <xf numFmtId="0" fontId="0" fillId="0" borderId="0" xfId="0" pivotButton="1"/>
    <xf numFmtId="14" fontId="0" fillId="0" borderId="0" xfId="0" applyNumberFormat="1" applyBorder="1"/>
    <xf numFmtId="165" fontId="15" fillId="0" borderId="0" xfId="0" applyNumberFormat="1" applyFont="1" applyFill="1"/>
    <xf numFmtId="0" fontId="0" fillId="2" borderId="0" xfId="0" applyFont="1" applyFill="1" applyAlignment="1">
      <alignment horizontal="center"/>
    </xf>
    <xf numFmtId="0" fontId="0" fillId="0" borderId="0" xfId="0" applyFont="1" applyBorder="1"/>
    <xf numFmtId="174" fontId="0" fillId="0" borderId="0" xfId="0" applyNumberFormat="1" applyFont="1"/>
    <xf numFmtId="174" fontId="0" fillId="2" borderId="0" xfId="0" applyNumberFormat="1" applyFont="1" applyFill="1"/>
    <xf numFmtId="0" fontId="0" fillId="2" borderId="0" xfId="0" applyFont="1" applyFill="1"/>
    <xf numFmtId="0" fontId="0" fillId="0" borderId="0" xfId="0" applyFont="1" applyAlignment="1">
      <alignment horizontal="left" indent="1"/>
    </xf>
    <xf numFmtId="0" fontId="0" fillId="0" borderId="0" xfId="0" applyFont="1" applyFill="1"/>
    <xf numFmtId="0" fontId="0" fillId="10" borderId="0" xfId="0" applyFont="1" applyFill="1"/>
    <xf numFmtId="9" fontId="16" fillId="7" borderId="14" xfId="2" applyNumberFormat="1" applyFont="1" applyFill="1" applyBorder="1"/>
    <xf numFmtId="0" fontId="3" fillId="10" borderId="0" xfId="0" applyFont="1" applyFill="1"/>
    <xf numFmtId="9" fontId="16" fillId="0" borderId="0" xfId="2" applyNumberFormat="1" applyFont="1"/>
    <xf numFmtId="165" fontId="20" fillId="3" borderId="0" xfId="1" applyNumberFormat="1" applyFont="1" applyFill="1"/>
    <xf numFmtId="172" fontId="20" fillId="0" borderId="5" xfId="0" applyNumberFormat="1" applyFont="1" applyBorder="1"/>
    <xf numFmtId="0" fontId="45" fillId="0" borderId="0" xfId="0" applyFont="1" applyAlignment="1">
      <alignment horizontal="left" indent="2"/>
    </xf>
    <xf numFmtId="165" fontId="43" fillId="0" borderId="0" xfId="1" applyNumberFormat="1" applyFont="1"/>
    <xf numFmtId="9" fontId="43" fillId="0" borderId="0" xfId="2" applyFont="1"/>
    <xf numFmtId="0" fontId="21" fillId="0" borderId="0" xfId="0" applyFont="1" applyAlignment="1">
      <alignment horizontal="left" indent="2"/>
    </xf>
    <xf numFmtId="172" fontId="49" fillId="0" borderId="0" xfId="1" applyNumberFormat="1" applyFont="1" applyAlignment="1">
      <alignment horizontal="right"/>
    </xf>
    <xf numFmtId="171" fontId="49" fillId="0" borderId="0" xfId="1" applyNumberFormat="1" applyFont="1" applyAlignment="1">
      <alignment horizontal="right"/>
    </xf>
    <xf numFmtId="171" fontId="49" fillId="0" borderId="5" xfId="1" applyNumberFormat="1" applyFont="1" applyBorder="1" applyAlignment="1">
      <alignment horizontal="right"/>
    </xf>
    <xf numFmtId="0" fontId="50" fillId="0" borderId="0" xfId="0" applyFont="1" applyAlignment="1">
      <alignment horizontal="left" indent="1"/>
    </xf>
    <xf numFmtId="172" fontId="51" fillId="0" borderId="0" xfId="1" applyNumberFormat="1" applyFont="1" applyAlignment="1">
      <alignment horizontal="right"/>
    </xf>
    <xf numFmtId="5" fontId="20" fillId="0" borderId="0" xfId="0" applyNumberFormat="1" applyFont="1"/>
    <xf numFmtId="0" fontId="19" fillId="0" borderId="2" xfId="0" applyFont="1" applyFill="1" applyBorder="1" applyAlignment="1">
      <alignment horizontal="center"/>
    </xf>
    <xf numFmtId="0" fontId="20" fillId="0" borderId="0" xfId="0" applyFont="1" applyFill="1"/>
    <xf numFmtId="172" fontId="28" fillId="0" borderId="0" xfId="1" applyNumberFormat="1" applyFont="1" applyFill="1" applyAlignment="1">
      <alignment horizontal="right"/>
    </xf>
    <xf numFmtId="171" fontId="28" fillId="0" borderId="0" xfId="1" applyNumberFormat="1" applyFont="1" applyFill="1" applyAlignment="1">
      <alignment horizontal="right"/>
    </xf>
    <xf numFmtId="171" fontId="28" fillId="0" borderId="5" xfId="1" applyNumberFormat="1" applyFont="1" applyFill="1" applyBorder="1" applyAlignment="1">
      <alignment horizontal="right"/>
    </xf>
    <xf numFmtId="172" fontId="29" fillId="0" borderId="0" xfId="1" applyNumberFormat="1" applyFont="1" applyFill="1" applyAlignment="1">
      <alignment horizontal="right"/>
    </xf>
    <xf numFmtId="9" fontId="28" fillId="0" borderId="0" xfId="2" applyFont="1" applyFill="1" applyAlignment="1">
      <alignment horizontal="right"/>
    </xf>
    <xf numFmtId="9" fontId="28" fillId="0" borderId="5" xfId="2" applyFont="1" applyFill="1" applyBorder="1" applyAlignment="1">
      <alignment horizontal="right"/>
    </xf>
    <xf numFmtId="9" fontId="29" fillId="0" borderId="0" xfId="2" applyFont="1" applyFill="1" applyAlignment="1">
      <alignment horizontal="right"/>
    </xf>
    <xf numFmtId="170" fontId="24" fillId="0" borderId="9" xfId="2" applyNumberFormat="1" applyFont="1" applyFill="1" applyBorder="1"/>
    <xf numFmtId="9" fontId="27" fillId="0" borderId="0" xfId="2" applyFont="1" applyFill="1"/>
    <xf numFmtId="0" fontId="27" fillId="0" borderId="0" xfId="0" applyFont="1" applyFill="1" applyAlignment="1">
      <alignment horizontal="left" indent="1"/>
    </xf>
    <xf numFmtId="0" fontId="45" fillId="0" borderId="0" xfId="0" applyFont="1" applyFill="1" applyAlignment="1">
      <alignment horizontal="left" indent="2"/>
    </xf>
    <xf numFmtId="165" fontId="43" fillId="0" borderId="0" xfId="1" applyNumberFormat="1" applyFont="1" applyFill="1"/>
    <xf numFmtId="9" fontId="43" fillId="0" borderId="0" xfId="2" applyFont="1" applyFill="1"/>
    <xf numFmtId="9" fontId="18" fillId="7" borderId="3" xfId="0" applyNumberFormat="1" applyFont="1" applyFill="1" applyBorder="1"/>
    <xf numFmtId="0" fontId="52" fillId="0" borderId="0" xfId="0" applyFont="1"/>
    <xf numFmtId="17" fontId="17" fillId="20" borderId="0" xfId="0" applyNumberFormat="1" applyFont="1" applyFill="1" applyAlignment="1">
      <alignment horizontal="center"/>
    </xf>
    <xf numFmtId="9" fontId="1" fillId="10" borderId="0" xfId="2" applyFont="1" applyFill="1"/>
    <xf numFmtId="9" fontId="16" fillId="0" borderId="5" xfId="2" applyFont="1" applyBorder="1"/>
    <xf numFmtId="9" fontId="1" fillId="0" borderId="5" xfId="2" applyFont="1" applyBorder="1"/>
    <xf numFmtId="5" fontId="0" fillId="0" borderId="0" xfId="0" applyNumberFormat="1" applyFont="1"/>
    <xf numFmtId="5" fontId="3" fillId="0" borderId="0" xfId="0" applyNumberFormat="1" applyFont="1"/>
    <xf numFmtId="5" fontId="3" fillId="0" borderId="8" xfId="0" applyNumberFormat="1" applyFont="1" applyBorder="1"/>
    <xf numFmtId="5" fontId="0" fillId="0" borderId="5" xfId="0" applyNumberFormat="1" applyFont="1" applyBorder="1"/>
    <xf numFmtId="5" fontId="0" fillId="0" borderId="5" xfId="0" applyNumberFormat="1" applyBorder="1"/>
    <xf numFmtId="5" fontId="16" fillId="7" borderId="3" xfId="1" applyNumberFormat="1" applyFont="1" applyFill="1" applyBorder="1"/>
    <xf numFmtId="170" fontId="16" fillId="7" borderId="3" xfId="0" applyNumberFormat="1" applyFont="1" applyFill="1" applyBorder="1"/>
    <xf numFmtId="9" fontId="16" fillId="7" borderId="0" xfId="2" applyFont="1" applyFill="1" applyBorder="1"/>
    <xf numFmtId="178" fontId="0" fillId="0" borderId="0" xfId="1" applyNumberFormat="1" applyFont="1"/>
    <xf numFmtId="165" fontId="0" fillId="0" borderId="5" xfId="0" applyNumberFormat="1" applyFont="1" applyFill="1" applyBorder="1"/>
    <xf numFmtId="0" fontId="19" fillId="13" borderId="0" xfId="0" applyFont="1" applyFill="1" applyAlignment="1">
      <alignment horizontal="center"/>
    </xf>
    <xf numFmtId="165" fontId="28" fillId="0" borderId="0" xfId="0" applyNumberFormat="1" applyFont="1"/>
    <xf numFmtId="0" fontId="20" fillId="0" borderId="0" xfId="0" applyFont="1" applyAlignment="1">
      <alignment horizontal="left"/>
    </xf>
    <xf numFmtId="9" fontId="27" fillId="0" borderId="0" xfId="2" applyFont="1"/>
    <xf numFmtId="0" fontId="20" fillId="10" borderId="0" xfId="0" applyFont="1" applyFill="1"/>
    <xf numFmtId="0" fontId="24" fillId="0" borderId="0" xfId="0" applyFont="1" applyAlignment="1">
      <alignment horizontal="left" indent="1"/>
    </xf>
    <xf numFmtId="0" fontId="3" fillId="0" borderId="0" xfId="0" applyFont="1" applyAlignment="1">
      <alignment horizontal="centerContinuous"/>
    </xf>
    <xf numFmtId="165" fontId="0" fillId="0" borderId="7" xfId="0" applyNumberFormat="1" applyBorder="1"/>
    <xf numFmtId="9" fontId="16" fillId="7" borderId="3" xfId="2" applyFont="1" applyFill="1" applyBorder="1" applyAlignment="1">
      <alignment horizontal="center"/>
    </xf>
    <xf numFmtId="175" fontId="0" fillId="0" borderId="0" xfId="6" applyFont="1" applyFill="1"/>
    <xf numFmtId="175" fontId="3" fillId="0" borderId="0" xfId="6" applyFont="1" applyFill="1"/>
    <xf numFmtId="165" fontId="16" fillId="0" borderId="0" xfId="0" applyNumberFormat="1" applyFont="1"/>
    <xf numFmtId="0" fontId="24" fillId="0" borderId="0" xfId="0" applyFont="1" applyAlignment="1">
      <alignment horizontal="left"/>
    </xf>
    <xf numFmtId="165" fontId="56" fillId="0" borderId="0" xfId="1" applyNumberFormat="1" applyFont="1"/>
    <xf numFmtId="165" fontId="56" fillId="0" borderId="0" xfId="1" applyNumberFormat="1" applyFont="1" applyBorder="1"/>
    <xf numFmtId="165" fontId="56" fillId="0" borderId="15" xfId="1" applyNumberFormat="1" applyFont="1" applyBorder="1"/>
    <xf numFmtId="165" fontId="56" fillId="0" borderId="5" xfId="1" applyNumberFormat="1" applyFont="1" applyBorder="1"/>
    <xf numFmtId="165" fontId="56" fillId="0" borderId="16" xfId="1" applyNumberFormat="1" applyFont="1" applyBorder="1"/>
    <xf numFmtId="165" fontId="56" fillId="0" borderId="0" xfId="1" applyNumberFormat="1" applyFont="1" applyFill="1"/>
    <xf numFmtId="165" fontId="56" fillId="7" borderId="3" xfId="0" applyNumberFormat="1" applyFont="1" applyFill="1" applyBorder="1"/>
    <xf numFmtId="0" fontId="56" fillId="0" borderId="0" xfId="0" applyFont="1"/>
    <xf numFmtId="0" fontId="56" fillId="0" borderId="15" xfId="0" applyFont="1" applyBorder="1"/>
    <xf numFmtId="165" fontId="57" fillId="0" borderId="0" xfId="0" applyNumberFormat="1" applyFont="1"/>
    <xf numFmtId="165" fontId="57" fillId="0" borderId="15" xfId="0" applyNumberFormat="1" applyFont="1" applyBorder="1"/>
    <xf numFmtId="165" fontId="56" fillId="0" borderId="5" xfId="0" applyNumberFormat="1" applyFont="1" applyBorder="1"/>
    <xf numFmtId="165" fontId="56" fillId="0" borderId="16" xfId="0" applyNumberFormat="1" applyFont="1" applyBorder="1"/>
    <xf numFmtId="165" fontId="56" fillId="0" borderId="0" xfId="0" applyNumberFormat="1" applyFont="1"/>
    <xf numFmtId="165" fontId="56" fillId="0" borderId="15" xfId="0" applyNumberFormat="1" applyFont="1" applyBorder="1"/>
    <xf numFmtId="0" fontId="56" fillId="2" borderId="0" xfId="0" applyFont="1" applyFill="1"/>
    <xf numFmtId="0" fontId="56" fillId="2" borderId="15" xfId="0" applyFont="1" applyFill="1" applyBorder="1"/>
    <xf numFmtId="169" fontId="56" fillId="0" borderId="0" xfId="2" applyNumberFormat="1" applyFont="1"/>
    <xf numFmtId="169" fontId="56" fillId="0" borderId="0" xfId="2" applyNumberFormat="1" applyFont="1" applyBorder="1"/>
    <xf numFmtId="169" fontId="56" fillId="0" borderId="15" xfId="2" applyNumberFormat="1" applyFont="1" applyBorder="1"/>
    <xf numFmtId="169" fontId="56" fillId="10" borderId="0" xfId="2" applyNumberFormat="1" applyFont="1" applyFill="1"/>
    <xf numFmtId="43" fontId="56" fillId="0" borderId="0" xfId="1" applyFont="1" applyFill="1"/>
    <xf numFmtId="0" fontId="56" fillId="10" borderId="0" xfId="0" applyFont="1" applyFill="1"/>
    <xf numFmtId="43" fontId="56" fillId="0" borderId="0" xfId="1" applyFont="1"/>
    <xf numFmtId="43" fontId="56" fillId="0" borderId="0" xfId="1" applyFont="1" applyFill="1" applyBorder="1"/>
    <xf numFmtId="43" fontId="56" fillId="0" borderId="15" xfId="1" applyFont="1" applyBorder="1"/>
    <xf numFmtId="7" fontId="56" fillId="0" borderId="0" xfId="1" applyNumberFormat="1" applyFont="1"/>
    <xf numFmtId="7" fontId="56" fillId="0" borderId="0" xfId="1" applyNumberFormat="1" applyFont="1" applyBorder="1"/>
    <xf numFmtId="7" fontId="56" fillId="0" borderId="15" xfId="1" applyNumberFormat="1" applyFont="1" applyBorder="1"/>
    <xf numFmtId="179" fontId="56" fillId="0" borderId="0" xfId="1" applyNumberFormat="1" applyFont="1"/>
    <xf numFmtId="179" fontId="56" fillId="0" borderId="0" xfId="0" applyNumberFormat="1" applyFont="1"/>
    <xf numFmtId="179" fontId="56" fillId="0" borderId="15" xfId="0" applyNumberFormat="1" applyFont="1" applyBorder="1"/>
    <xf numFmtId="170" fontId="0" fillId="0" borderId="0" xfId="2" applyNumberFormat="1" applyFont="1" applyBorder="1"/>
    <xf numFmtId="9" fontId="56" fillId="0" borderId="0" xfId="2" applyFont="1"/>
    <xf numFmtId="9" fontId="56" fillId="0" borderId="0" xfId="2" applyFont="1" applyBorder="1"/>
    <xf numFmtId="172" fontId="56" fillId="0" borderId="0" xfId="1" applyNumberFormat="1" applyFont="1" applyFill="1" applyBorder="1" applyAlignment="1"/>
    <xf numFmtId="172" fontId="40" fillId="0" borderId="0" xfId="0" applyNumberFormat="1" applyFont="1"/>
    <xf numFmtId="172" fontId="56" fillId="0" borderId="15" xfId="1" applyNumberFormat="1" applyFont="1" applyFill="1" applyBorder="1" applyAlignment="1"/>
    <xf numFmtId="171" fontId="56" fillId="0" borderId="0" xfId="0" applyNumberFormat="1" applyFont="1"/>
    <xf numFmtId="171" fontId="56" fillId="0" borderId="15" xfId="0" applyNumberFormat="1" applyFont="1" applyBorder="1"/>
    <xf numFmtId="171" fontId="57" fillId="0" borderId="0" xfId="1" applyNumberFormat="1" applyFont="1"/>
    <xf numFmtId="172" fontId="57" fillId="0" borderId="0" xfId="1" applyNumberFormat="1" applyFont="1" applyFill="1"/>
    <xf numFmtId="172" fontId="57" fillId="0" borderId="0" xfId="1" applyNumberFormat="1" applyFont="1"/>
    <xf numFmtId="172" fontId="57" fillId="0" borderId="0" xfId="1" applyNumberFormat="1" applyFont="1" applyBorder="1"/>
    <xf numFmtId="172" fontId="57" fillId="0" borderId="15" xfId="1" applyNumberFormat="1" applyFont="1" applyBorder="1"/>
    <xf numFmtId="171" fontId="56" fillId="0" borderId="5" xfId="1" applyNumberFormat="1" applyFont="1" applyBorder="1"/>
    <xf numFmtId="171" fontId="56" fillId="0" borderId="5" xfId="1" applyNumberFormat="1" applyFont="1" applyFill="1" applyBorder="1"/>
    <xf numFmtId="171" fontId="56" fillId="0" borderId="16" xfId="1" applyNumberFormat="1" applyFont="1" applyBorder="1"/>
    <xf numFmtId="171" fontId="56" fillId="0" borderId="0" xfId="1" applyNumberFormat="1" applyFont="1"/>
    <xf numFmtId="171" fontId="56" fillId="0" borderId="0" xfId="1" applyNumberFormat="1" applyFont="1" applyFill="1"/>
    <xf numFmtId="171" fontId="56" fillId="0" borderId="0" xfId="1" applyNumberFormat="1" applyFont="1" applyBorder="1"/>
    <xf numFmtId="171" fontId="56" fillId="0" borderId="15" xfId="1" applyNumberFormat="1" applyFont="1" applyBorder="1"/>
    <xf numFmtId="165" fontId="0" fillId="0" borderId="0" xfId="1" applyNumberFormat="1" applyFont="1" applyBorder="1"/>
    <xf numFmtId="165" fontId="0" fillId="0" borderId="15" xfId="1" applyNumberFormat="1" applyFont="1" applyBorder="1"/>
    <xf numFmtId="169" fontId="58" fillId="0" borderId="0" xfId="2" applyNumberFormat="1" applyFont="1"/>
    <xf numFmtId="9" fontId="58" fillId="0" borderId="0" xfId="2" applyFont="1"/>
    <xf numFmtId="172" fontId="44" fillId="0" borderId="0" xfId="1" applyNumberFormat="1" applyFont="1"/>
    <xf numFmtId="171" fontId="56" fillId="0" borderId="5" xfId="0" applyNumberFormat="1" applyFont="1" applyBorder="1"/>
    <xf numFmtId="171" fontId="56" fillId="0" borderId="16" xfId="0" applyNumberFormat="1" applyFont="1" applyBorder="1"/>
    <xf numFmtId="164" fontId="59" fillId="21" borderId="0" xfId="0" applyNumberFormat="1" applyFont="1" applyFill="1" applyAlignment="1">
      <alignment horizontal="center"/>
    </xf>
    <xf numFmtId="181" fontId="59" fillId="21" borderId="0" xfId="0" applyNumberFormat="1" applyFont="1" applyFill="1" applyAlignment="1">
      <alignment horizontal="center"/>
    </xf>
    <xf numFmtId="182" fontId="59" fillId="21" borderId="15" xfId="0" applyNumberFormat="1" applyFont="1" applyFill="1" applyBorder="1" applyAlignment="1">
      <alignment horizontal="center"/>
    </xf>
    <xf numFmtId="182" fontId="59" fillId="21" borderId="0" xfId="0" applyNumberFormat="1" applyFont="1" applyFill="1" applyAlignment="1">
      <alignment horizontal="center"/>
    </xf>
    <xf numFmtId="0" fontId="48" fillId="21" borderId="0" xfId="0" applyFont="1" applyFill="1"/>
    <xf numFmtId="0" fontId="60" fillId="21" borderId="0" xfId="0" applyFont="1" applyFill="1"/>
    <xf numFmtId="0" fontId="59" fillId="21" borderId="0" xfId="0" applyFont="1" applyFill="1" applyAlignment="1">
      <alignment horizontal="centerContinuous"/>
    </xf>
    <xf numFmtId="0" fontId="59" fillId="21" borderId="15" xfId="0" applyFont="1" applyFill="1" applyBorder="1" applyAlignment="1">
      <alignment horizontal="centerContinuous"/>
    </xf>
    <xf numFmtId="0" fontId="2" fillId="21" borderId="0" xfId="0" applyFont="1" applyFill="1"/>
    <xf numFmtId="9" fontId="16" fillId="0" borderId="0" xfId="0" applyNumberFormat="1" applyFont="1"/>
    <xf numFmtId="9" fontId="8" fillId="0" borderId="0" xfId="2" applyFont="1" applyAlignment="1">
      <alignment horizontal="left" indent="1"/>
    </xf>
    <xf numFmtId="172" fontId="0" fillId="0" borderId="0" xfId="1" applyNumberFormat="1" applyFont="1"/>
    <xf numFmtId="5" fontId="0" fillId="0" borderId="0" xfId="1" applyNumberFormat="1" applyFont="1"/>
    <xf numFmtId="174" fontId="8" fillId="0" borderId="0" xfId="0" applyNumberFormat="1" applyFont="1" applyAlignment="1">
      <alignment horizontal="left" indent="2"/>
    </xf>
    <xf numFmtId="174" fontId="3" fillId="0" borderId="0" xfId="0" applyNumberFormat="1" applyFont="1" applyAlignment="1">
      <alignment horizontal="left" indent="1"/>
    </xf>
    <xf numFmtId="164" fontId="2" fillId="23" borderId="0" xfId="0" applyNumberFormat="1" applyFont="1" applyFill="1" applyAlignment="1">
      <alignment horizontal="center"/>
    </xf>
    <xf numFmtId="164" fontId="2" fillId="23" borderId="1" xfId="0" applyNumberFormat="1" applyFont="1" applyFill="1" applyBorder="1" applyAlignment="1">
      <alignment horizontal="center"/>
    </xf>
    <xf numFmtId="0" fontId="2" fillId="23" borderId="0" xfId="0" applyFont="1" applyFill="1" applyAlignment="1">
      <alignment horizontal="centerContinuous"/>
    </xf>
    <xf numFmtId="0" fontId="2" fillId="23" borderId="18" xfId="0" applyFont="1" applyFill="1" applyBorder="1" applyAlignment="1">
      <alignment horizontal="centerContinuous"/>
    </xf>
    <xf numFmtId="0" fontId="2" fillId="23" borderId="1" xfId="0" applyFont="1" applyFill="1" applyBorder="1" applyAlignment="1">
      <alignment horizontal="centerContinuous"/>
    </xf>
    <xf numFmtId="170" fontId="1" fillId="0" borderId="0" xfId="2" applyNumberFormat="1" applyFont="1"/>
    <xf numFmtId="0" fontId="16" fillId="7" borderId="3" xfId="0" applyFont="1" applyFill="1" applyBorder="1"/>
    <xf numFmtId="0" fontId="18" fillId="0" borderId="0" xfId="0" applyFont="1"/>
    <xf numFmtId="165" fontId="16" fillId="0" borderId="8" xfId="1" applyNumberFormat="1" applyFont="1" applyBorder="1"/>
    <xf numFmtId="168" fontId="16" fillId="14" borderId="0" xfId="0" applyNumberFormat="1" applyFont="1" applyFill="1"/>
    <xf numFmtId="168" fontId="16" fillId="10" borderId="0" xfId="0" applyNumberFormat="1" applyFont="1" applyFill="1"/>
    <xf numFmtId="0" fontId="0" fillId="10" borderId="5" xfId="0" applyFill="1" applyBorder="1"/>
    <xf numFmtId="168" fontId="16" fillId="14" borderId="5" xfId="0" applyNumberFormat="1" applyFont="1" applyFill="1" applyBorder="1"/>
    <xf numFmtId="168" fontId="16" fillId="10" borderId="5" xfId="0" applyNumberFormat="1" applyFont="1" applyFill="1" applyBorder="1"/>
    <xf numFmtId="0" fontId="0" fillId="0" borderId="5" xfId="0" applyBorder="1"/>
    <xf numFmtId="14" fontId="16" fillId="7" borderId="3" xfId="0" applyNumberFormat="1" applyFont="1" applyFill="1" applyBorder="1"/>
    <xf numFmtId="170" fontId="16" fillId="0" borderId="0" xfId="0" applyNumberFormat="1" applyFont="1"/>
    <xf numFmtId="37" fontId="0" fillId="0" borderId="0" xfId="0" applyNumberFormat="1"/>
    <xf numFmtId="7" fontId="0" fillId="0" borderId="0" xfId="0" applyNumberFormat="1"/>
    <xf numFmtId="164" fontId="3" fillId="12" borderId="0" xfId="0" applyNumberFormat="1" applyFont="1" applyFill="1" applyAlignment="1">
      <alignment horizontal="center"/>
    </xf>
    <xf numFmtId="9" fontId="16" fillId="7" borderId="0" xfId="2" applyFont="1" applyFill="1"/>
    <xf numFmtId="0" fontId="69" fillId="0" borderId="0" xfId="0" applyFont="1"/>
    <xf numFmtId="9" fontId="16" fillId="7" borderId="0" xfId="0" applyNumberFormat="1" applyFont="1" applyFill="1"/>
    <xf numFmtId="14" fontId="3" fillId="0" borderId="0" xfId="0" applyNumberFormat="1" applyFont="1"/>
    <xf numFmtId="187" fontId="0" fillId="0" borderId="0" xfId="0" applyNumberFormat="1"/>
    <xf numFmtId="14" fontId="48" fillId="8" borderId="0" xfId="0" applyNumberFormat="1" applyFont="1" applyFill="1"/>
    <xf numFmtId="14" fontId="48" fillId="0" borderId="0" xfId="0" applyNumberFormat="1" applyFont="1"/>
    <xf numFmtId="0" fontId="55" fillId="18" borderId="0" xfId="7" applyFont="1" applyFill="1"/>
    <xf numFmtId="0" fontId="55" fillId="25" borderId="0" xfId="7" applyFont="1" applyFill="1"/>
    <xf numFmtId="0" fontId="71" fillId="25" borderId="0" xfId="7" applyFont="1" applyFill="1"/>
    <xf numFmtId="0" fontId="72" fillId="25" borderId="0" xfId="7" applyFont="1" applyFill="1"/>
    <xf numFmtId="0" fontId="73" fillId="25" borderId="0" xfId="7" applyFont="1" applyFill="1"/>
    <xf numFmtId="0" fontId="74" fillId="25" borderId="0" xfId="7" applyFont="1" applyFill="1"/>
    <xf numFmtId="0" fontId="75" fillId="25" borderId="0" xfId="7" applyFont="1" applyFill="1" applyAlignment="1">
      <alignment horizontal="left"/>
    </xf>
    <xf numFmtId="0" fontId="62" fillId="18" borderId="0" xfId="7" applyFont="1" applyFill="1" applyAlignment="1">
      <alignment vertical="center"/>
    </xf>
    <xf numFmtId="0" fontId="62" fillId="25" borderId="0" xfId="7" applyFont="1" applyFill="1" applyAlignment="1">
      <alignment vertical="center"/>
    </xf>
    <xf numFmtId="0" fontId="62" fillId="26" borderId="5" xfId="8" applyFont="1" applyFill="1" applyBorder="1" applyAlignment="1">
      <alignment vertical="center"/>
    </xf>
    <xf numFmtId="0" fontId="76" fillId="26" borderId="5" xfId="8" applyFont="1" applyFill="1" applyBorder="1" applyAlignment="1">
      <alignment horizontal="left" vertical="center" indent="1"/>
    </xf>
    <xf numFmtId="0" fontId="40" fillId="0" borderId="0" xfId="9" applyFont="1"/>
    <xf numFmtId="0" fontId="78" fillId="0" borderId="0" xfId="9" applyFont="1"/>
    <xf numFmtId="0" fontId="63" fillId="0" borderId="0" xfId="9" applyFont="1"/>
    <xf numFmtId="0" fontId="79" fillId="0" borderId="0" xfId="10" applyFont="1"/>
    <xf numFmtId="0" fontId="79" fillId="0" borderId="0" xfId="10" quotePrefix="1" applyFont="1"/>
    <xf numFmtId="0" fontId="80" fillId="0" borderId="0" xfId="10" applyFont="1"/>
    <xf numFmtId="0" fontId="81" fillId="0" borderId="0" xfId="10" applyFont="1"/>
    <xf numFmtId="0" fontId="82" fillId="0" borderId="0" xfId="10" quotePrefix="1" applyFont="1"/>
    <xf numFmtId="0" fontId="82" fillId="0" borderId="0" xfId="10" quotePrefix="1" applyFont="1" applyAlignment="1">
      <alignment wrapText="1"/>
    </xf>
    <xf numFmtId="0" fontId="83" fillId="0" borderId="0" xfId="10" quotePrefix="1" applyFont="1"/>
    <xf numFmtId="0" fontId="79" fillId="0" borderId="0" xfId="10" quotePrefix="1" applyFont="1" applyAlignment="1">
      <alignment horizontal="left" indent="2"/>
    </xf>
    <xf numFmtId="0" fontId="79" fillId="0" borderId="0" xfId="10" quotePrefix="1" applyFont="1" applyAlignment="1">
      <alignment horizontal="left" indent="4"/>
    </xf>
    <xf numFmtId="0" fontId="79" fillId="0" borderId="0" xfId="10" applyFont="1" applyAlignment="1">
      <alignment wrapText="1"/>
    </xf>
    <xf numFmtId="0" fontId="79" fillId="0" borderId="0" xfId="10" quotePrefix="1" applyFont="1" applyAlignment="1">
      <alignment wrapText="1"/>
    </xf>
    <xf numFmtId="0" fontId="73" fillId="0" borderId="0" xfId="9" applyFont="1"/>
    <xf numFmtId="0" fontId="39" fillId="0" borderId="0" xfId="7" applyFont="1"/>
    <xf numFmtId="0" fontId="84" fillId="25" borderId="0" xfId="7" applyFont="1" applyFill="1"/>
    <xf numFmtId="0" fontId="85" fillId="25" borderId="0" xfId="7" applyFont="1" applyFill="1"/>
    <xf numFmtId="188" fontId="86" fillId="0" borderId="0" xfId="7" applyNumberFormat="1" applyFont="1"/>
    <xf numFmtId="0" fontId="85" fillId="25" borderId="0" xfId="7" applyFont="1" applyFill="1" applyAlignment="1">
      <alignment vertical="center"/>
    </xf>
    <xf numFmtId="188" fontId="87" fillId="0" borderId="19" xfId="7" applyNumberFormat="1" applyFont="1" applyBorder="1"/>
    <xf numFmtId="0" fontId="55" fillId="0" borderId="0" xfId="7" applyFont="1"/>
    <xf numFmtId="42" fontId="61" fillId="27" borderId="7" xfId="11" applyNumberFormat="1" applyFont="1" applyFill="1" applyBorder="1" applyAlignment="1">
      <alignment vertical="center"/>
    </xf>
    <xf numFmtId="0" fontId="61" fillId="27" borderId="20" xfId="7" applyFont="1" applyFill="1" applyBorder="1" applyAlignment="1">
      <alignment horizontal="left" vertical="center"/>
    </xf>
    <xf numFmtId="0" fontId="55" fillId="0" borderId="0" xfId="7" applyFont="1" applyAlignment="1">
      <alignment vertical="center"/>
    </xf>
    <xf numFmtId="41" fontId="67" fillId="0" borderId="0" xfId="7" applyNumberFormat="1" applyFont="1" applyAlignment="1">
      <alignment vertical="center"/>
    </xf>
    <xf numFmtId="41" fontId="61" fillId="0" borderId="0" xfId="7" applyNumberFormat="1" applyFont="1"/>
    <xf numFmtId="0" fontId="39" fillId="0" borderId="0" xfId="7" applyFont="1" applyAlignment="1">
      <alignment vertical="center"/>
    </xf>
    <xf numFmtId="0" fontId="85" fillId="0" borderId="0" xfId="7" applyFont="1" applyAlignment="1">
      <alignment horizontal="left" vertical="center"/>
    </xf>
    <xf numFmtId="41" fontId="88" fillId="0" borderId="0" xfId="7" applyNumberFormat="1" applyFont="1"/>
    <xf numFmtId="41" fontId="88" fillId="28" borderId="0" xfId="7" applyNumberFormat="1" applyFont="1" applyFill="1"/>
    <xf numFmtId="0" fontId="39" fillId="0" borderId="0" xfId="7" applyFont="1" applyAlignment="1">
      <alignment horizontal="left" vertical="center" indent="1"/>
    </xf>
    <xf numFmtId="41" fontId="67" fillId="28" borderId="0" xfId="7" applyNumberFormat="1" applyFont="1" applyFill="1" applyAlignment="1">
      <alignment vertical="center"/>
    </xf>
    <xf numFmtId="189" fontId="39" fillId="0" borderId="0" xfId="7" applyNumberFormat="1" applyFont="1" applyAlignment="1">
      <alignment horizontal="right" vertical="center"/>
    </xf>
    <xf numFmtId="0" fontId="89" fillId="0" borderId="0" xfId="7" applyFont="1" applyAlignment="1">
      <alignment horizontal="left" vertical="center"/>
    </xf>
    <xf numFmtId="3" fontId="55" fillId="0" borderId="0" xfId="7" applyNumberFormat="1" applyFont="1" applyAlignment="1">
      <alignment vertical="center"/>
    </xf>
    <xf numFmtId="0" fontId="55" fillId="25" borderId="0" xfId="7" applyFont="1" applyFill="1" applyAlignment="1">
      <alignment vertical="center"/>
    </xf>
    <xf numFmtId="190" fontId="89" fillId="29" borderId="0" xfId="7" applyNumberFormat="1" applyFont="1" applyFill="1" applyAlignment="1">
      <alignment horizontal="left" vertical="center"/>
    </xf>
    <xf numFmtId="190" fontId="89" fillId="27" borderId="5" xfId="7" applyNumberFormat="1" applyFont="1" applyFill="1" applyBorder="1" applyAlignment="1">
      <alignment horizontal="right" vertical="center"/>
    </xf>
    <xf numFmtId="190" fontId="89" fillId="27" borderId="5" xfId="7" applyNumberFormat="1" applyFont="1" applyFill="1" applyBorder="1" applyAlignment="1">
      <alignment horizontal="left" vertical="center"/>
    </xf>
    <xf numFmtId="42" fontId="61" fillId="27" borderId="8" xfId="11" applyNumberFormat="1" applyFont="1" applyFill="1" applyBorder="1" applyAlignment="1">
      <alignment vertical="center"/>
    </xf>
    <xf numFmtId="0" fontId="61" fillId="27" borderId="8" xfId="7" applyFont="1" applyFill="1" applyBorder="1" applyAlignment="1">
      <alignment horizontal="left" vertical="center"/>
    </xf>
    <xf numFmtId="190" fontId="67" fillId="0" borderId="0" xfId="7" applyNumberFormat="1" applyFont="1" applyAlignment="1">
      <alignment horizontal="right" vertical="center"/>
    </xf>
    <xf numFmtId="189" fontId="67" fillId="0" borderId="0" xfId="7" applyNumberFormat="1" applyFont="1" applyAlignment="1">
      <alignment horizontal="right" vertical="center"/>
    </xf>
    <xf numFmtId="0" fontId="0" fillId="0" borderId="0" xfId="7" applyFont="1" applyAlignment="1">
      <alignment vertical="center"/>
    </xf>
    <xf numFmtId="191" fontId="67" fillId="0" borderId="0" xfId="7" applyNumberFormat="1" applyFont="1" applyAlignment="1">
      <alignment vertical="center"/>
    </xf>
    <xf numFmtId="0" fontId="39" fillId="0" borderId="0" xfId="7" applyFont="1" applyAlignment="1">
      <alignment horizontal="left" vertical="center"/>
    </xf>
    <xf numFmtId="192" fontId="89" fillId="25" borderId="0" xfId="7" applyNumberFormat="1" applyFont="1" applyFill="1" applyAlignment="1">
      <alignment horizontal="right" vertical="center"/>
    </xf>
    <xf numFmtId="190" fontId="71" fillId="0" borderId="0" xfId="7" applyNumberFormat="1" applyFont="1" applyAlignment="1">
      <alignment horizontal="right" vertical="center"/>
    </xf>
    <xf numFmtId="42" fontId="61" fillId="0" borderId="0" xfId="11" applyNumberFormat="1" applyFont="1" applyAlignment="1">
      <alignment vertical="center"/>
    </xf>
    <xf numFmtId="0" fontId="61" fillId="0" borderId="0" xfId="7" applyFont="1" applyAlignment="1">
      <alignment vertical="center"/>
    </xf>
    <xf numFmtId="0" fontId="63" fillId="0" borderId="0" xfId="7" applyFont="1" applyAlignment="1">
      <alignment horizontal="left" vertical="center"/>
    </xf>
    <xf numFmtId="193" fontId="67" fillId="0" borderId="0" xfId="7" applyNumberFormat="1" applyFont="1" applyAlignment="1">
      <alignment vertical="center"/>
    </xf>
    <xf numFmtId="0" fontId="39" fillId="0" borderId="0" xfId="7" applyFont="1" applyAlignment="1">
      <alignment horizontal="left" vertical="top"/>
    </xf>
    <xf numFmtId="41" fontId="67" fillId="0" borderId="0" xfId="7" applyNumberFormat="1" applyFont="1" applyAlignment="1">
      <alignment horizontal="right" vertical="center"/>
    </xf>
    <xf numFmtId="9" fontId="39" fillId="0" borderId="0" xfId="12" applyFont="1" applyAlignment="1">
      <alignment vertical="center"/>
    </xf>
    <xf numFmtId="0" fontId="62" fillId="0" borderId="0" xfId="7" applyFont="1" applyAlignment="1">
      <alignment vertical="center"/>
    </xf>
    <xf numFmtId="194" fontId="37" fillId="0" borderId="0" xfId="13" applyNumberFormat="1" applyFont="1"/>
    <xf numFmtId="192" fontId="71" fillId="0" borderId="0" xfId="7" applyNumberFormat="1" applyFont="1" applyAlignment="1">
      <alignment horizontal="right" vertical="center"/>
    </xf>
    <xf numFmtId="190" fontId="89" fillId="0" borderId="0" xfId="7" applyNumberFormat="1" applyFont="1" applyAlignment="1">
      <alignment horizontal="left" vertical="center"/>
    </xf>
    <xf numFmtId="170" fontId="67" fillId="28" borderId="0" xfId="12" applyNumberFormat="1" applyFont="1" applyFill="1" applyAlignment="1">
      <alignment horizontal="right" vertical="center"/>
    </xf>
    <xf numFmtId="0" fontId="85" fillId="26" borderId="0" xfId="7" applyFont="1" applyFill="1" applyAlignment="1">
      <alignment vertical="center"/>
    </xf>
    <xf numFmtId="170" fontId="67" fillId="0" borderId="0" xfId="12" applyNumberFormat="1" applyFont="1" applyAlignment="1">
      <alignment vertical="center"/>
    </xf>
    <xf numFmtId="170" fontId="67" fillId="0" borderId="0" xfId="12" applyNumberFormat="1" applyFont="1" applyAlignment="1">
      <alignment horizontal="right" vertical="center"/>
    </xf>
    <xf numFmtId="41" fontId="88" fillId="0" borderId="0" xfId="7" applyNumberFormat="1" applyFont="1" applyAlignment="1">
      <alignment vertical="center"/>
    </xf>
    <xf numFmtId="193" fontId="67" fillId="0" borderId="0" xfId="7" applyNumberFormat="1" applyFont="1" applyAlignment="1">
      <alignment horizontal="right" vertical="center"/>
    </xf>
    <xf numFmtId="9" fontId="55" fillId="0" borderId="0" xfId="12" applyFont="1" applyAlignment="1">
      <alignment vertical="center"/>
    </xf>
    <xf numFmtId="41" fontId="39" fillId="0" borderId="0" xfId="7" applyNumberFormat="1" applyFont="1" applyAlignment="1">
      <alignment vertical="center"/>
    </xf>
    <xf numFmtId="0" fontId="71" fillId="0" borderId="0" xfId="7" applyFont="1" applyAlignment="1">
      <alignment horizontal="right" vertical="center"/>
    </xf>
    <xf numFmtId="0" fontId="61" fillId="0" borderId="0" xfId="7" applyFont="1" applyAlignment="1">
      <alignment horizontal="left" vertical="center"/>
    </xf>
    <xf numFmtId="0" fontId="85" fillId="0" borderId="0" xfId="7" applyFont="1" applyAlignment="1">
      <alignment vertical="center"/>
    </xf>
    <xf numFmtId="0" fontId="90" fillId="0" borderId="0" xfId="11" applyFont="1"/>
    <xf numFmtId="192" fontId="71" fillId="0" borderId="0" xfId="14" applyNumberFormat="1" applyFont="1" applyFill="1" applyBorder="1" applyAlignment="1">
      <alignment vertical="center"/>
    </xf>
    <xf numFmtId="0" fontId="92" fillId="0" borderId="0" xfId="15" applyFont="1" applyAlignment="1">
      <alignment vertical="center"/>
    </xf>
    <xf numFmtId="42" fontId="39" fillId="0" borderId="0" xfId="7" applyNumberFormat="1" applyFont="1" applyAlignment="1">
      <alignment vertical="center"/>
    </xf>
    <xf numFmtId="41" fontId="67" fillId="0" borderId="0" xfId="16" applyNumberFormat="1" applyFont="1" applyAlignment="1">
      <alignment vertical="center"/>
    </xf>
    <xf numFmtId="0" fontId="63" fillId="0" borderId="0" xfId="11" applyFont="1" applyAlignment="1">
      <alignment vertical="center"/>
    </xf>
    <xf numFmtId="0" fontId="71" fillId="0" borderId="0" xfId="7" applyFont="1" applyAlignment="1">
      <alignment horizontal="left" vertical="center"/>
    </xf>
    <xf numFmtId="170" fontId="67" fillId="2" borderId="0" xfId="12" applyNumberFormat="1" applyFont="1" applyFill="1" applyAlignment="1">
      <alignment vertical="center"/>
    </xf>
    <xf numFmtId="9" fontId="67" fillId="0" borderId="0" xfId="12" applyFont="1" applyAlignment="1">
      <alignment vertical="center"/>
    </xf>
    <xf numFmtId="195" fontId="71" fillId="0" borderId="0" xfId="13" applyNumberFormat="1" applyFont="1" applyAlignment="1">
      <alignment horizontal="left" indent="1"/>
    </xf>
    <xf numFmtId="41" fontId="88" fillId="0" borderId="0" xfId="7" applyNumberFormat="1" applyFont="1" applyAlignment="1">
      <alignment horizontal="right" vertical="center"/>
    </xf>
    <xf numFmtId="41" fontId="67" fillId="2" borderId="0" xfId="7" applyNumberFormat="1" applyFont="1" applyFill="1" applyAlignment="1">
      <alignment vertical="center"/>
    </xf>
    <xf numFmtId="0" fontId="61" fillId="0" borderId="0" xfId="11" applyFont="1" applyAlignment="1">
      <alignment vertical="center"/>
    </xf>
    <xf numFmtId="0" fontId="37" fillId="0" borderId="0" xfId="7" applyFont="1" applyAlignment="1">
      <alignment vertical="center"/>
    </xf>
    <xf numFmtId="0" fontId="93" fillId="0" borderId="0" xfId="7" quotePrefix="1" applyFont="1" applyAlignment="1">
      <alignment horizontal="centerContinuous" vertical="center"/>
    </xf>
    <xf numFmtId="0" fontId="85" fillId="0" borderId="0" xfId="7" applyFont="1"/>
    <xf numFmtId="0" fontId="93" fillId="0" borderId="0" xfId="7" quotePrefix="1" applyFont="1" applyAlignment="1">
      <alignment horizontal="centerContinuous"/>
    </xf>
    <xf numFmtId="0" fontId="94" fillId="0" borderId="0" xfId="7" applyFont="1" applyAlignment="1">
      <alignment horizontal="centerContinuous"/>
    </xf>
    <xf numFmtId="0" fontId="95" fillId="0" borderId="0" xfId="7" applyFont="1" applyAlignment="1">
      <alignment horizontal="centerContinuous"/>
    </xf>
    <xf numFmtId="0" fontId="96" fillId="0" borderId="0" xfId="7" applyFont="1"/>
    <xf numFmtId="0" fontId="97" fillId="0" borderId="0" xfId="7" applyFont="1" applyAlignment="1">
      <alignment vertical="center"/>
    </xf>
    <xf numFmtId="0" fontId="98" fillId="0" borderId="0" xfId="7" applyFont="1"/>
    <xf numFmtId="43" fontId="39" fillId="0" borderId="0" xfId="7" applyNumberFormat="1" applyFont="1"/>
    <xf numFmtId="196" fontId="55" fillId="0" borderId="0" xfId="7" applyNumberFormat="1" applyFont="1"/>
    <xf numFmtId="0" fontId="62" fillId="0" borderId="0" xfId="7" applyFont="1"/>
    <xf numFmtId="191" fontId="62" fillId="0" borderId="0" xfId="7" applyNumberFormat="1" applyFont="1"/>
    <xf numFmtId="192" fontId="39" fillId="25" borderId="0" xfId="7" applyNumberFormat="1" applyFont="1" applyFill="1" applyAlignment="1">
      <alignment horizontal="right"/>
    </xf>
    <xf numFmtId="42" fontId="85" fillId="27" borderId="7" xfId="11" applyNumberFormat="1" applyFont="1" applyFill="1" applyBorder="1"/>
    <xf numFmtId="42" fontId="61" fillId="14" borderId="7" xfId="11" applyNumberFormat="1" applyFont="1" applyFill="1" applyBorder="1"/>
    <xf numFmtId="0" fontId="62" fillId="27" borderId="20" xfId="7" applyFont="1" applyFill="1" applyBorder="1"/>
    <xf numFmtId="0" fontId="61" fillId="27" borderId="20" xfId="7" applyFont="1" applyFill="1" applyBorder="1" applyAlignment="1">
      <alignment horizontal="left"/>
    </xf>
    <xf numFmtId="196" fontId="39" fillId="0" borderId="0" xfId="7" applyNumberFormat="1" applyFont="1"/>
    <xf numFmtId="41" fontId="39" fillId="0" borderId="0" xfId="7" applyNumberFormat="1" applyFont="1"/>
    <xf numFmtId="0" fontId="67" fillId="0" borderId="0" xfId="7" applyFont="1"/>
    <xf numFmtId="41" fontId="67" fillId="0" borderId="0" xfId="7" applyNumberFormat="1" applyFont="1"/>
    <xf numFmtId="170" fontId="39" fillId="0" borderId="0" xfId="12" applyNumberFormat="1" applyFont="1"/>
    <xf numFmtId="3" fontId="55" fillId="0" borderId="0" xfId="7" applyNumberFormat="1" applyFont="1"/>
    <xf numFmtId="3" fontId="39" fillId="0" borderId="0" xfId="7" applyNumberFormat="1" applyFont="1"/>
    <xf numFmtId="197" fontId="99" fillId="7" borderId="3" xfId="12" applyNumberFormat="1" applyFont="1" applyFill="1" applyBorder="1" applyAlignment="1">
      <alignment horizontal="right"/>
    </xf>
    <xf numFmtId="170" fontId="55" fillId="0" borderId="0" xfId="12" applyNumberFormat="1" applyFont="1"/>
    <xf numFmtId="3" fontId="67" fillId="25" borderId="0" xfId="7" applyNumberFormat="1" applyFont="1" applyFill="1"/>
    <xf numFmtId="0" fontId="89" fillId="0" borderId="0" xfId="7" applyFont="1" applyAlignment="1">
      <alignment horizontal="left" indent="1"/>
    </xf>
    <xf numFmtId="0" fontId="39" fillId="25" borderId="0" xfId="7" applyFont="1" applyFill="1"/>
    <xf numFmtId="9" fontId="39" fillId="25" borderId="0" xfId="12" applyFont="1" applyFill="1"/>
    <xf numFmtId="196" fontId="39" fillId="25" borderId="0" xfId="7" applyNumberFormat="1" applyFont="1" applyFill="1"/>
    <xf numFmtId="190" fontId="89" fillId="29" borderId="0" xfId="7" applyNumberFormat="1" applyFont="1" applyFill="1" applyAlignment="1">
      <alignment horizontal="left" indent="1"/>
    </xf>
    <xf numFmtId="190" fontId="71" fillId="27" borderId="5" xfId="7" applyNumberFormat="1" applyFont="1" applyFill="1" applyBorder="1" applyAlignment="1">
      <alignment horizontal="right"/>
    </xf>
    <xf numFmtId="190" fontId="89" fillId="27" borderId="5" xfId="7" applyNumberFormat="1" applyFont="1" applyFill="1" applyBorder="1" applyAlignment="1">
      <alignment horizontal="right"/>
    </xf>
    <xf numFmtId="190" fontId="92" fillId="27" borderId="5" xfId="7" applyNumberFormat="1" applyFont="1" applyFill="1" applyBorder="1"/>
    <xf numFmtId="190" fontId="89" fillId="27" borderId="5" xfId="7" applyNumberFormat="1" applyFont="1" applyFill="1" applyBorder="1" applyAlignment="1">
      <alignment horizontal="left" indent="1"/>
    </xf>
    <xf numFmtId="42" fontId="85" fillId="27" borderId="8" xfId="11" applyNumberFormat="1" applyFont="1" applyFill="1" applyBorder="1"/>
    <xf numFmtId="42" fontId="61" fillId="14" borderId="8" xfId="11" applyNumberFormat="1" applyFont="1" applyFill="1" applyBorder="1"/>
    <xf numFmtId="0" fontId="62" fillId="27" borderId="8" xfId="7" applyFont="1" applyFill="1" applyBorder="1"/>
    <xf numFmtId="0" fontId="61" fillId="27" borderId="8" xfId="7" applyFont="1" applyFill="1" applyBorder="1" applyAlignment="1">
      <alignment horizontal="left"/>
    </xf>
    <xf numFmtId="9" fontId="55" fillId="0" borderId="0" xfId="12" applyFont="1"/>
    <xf numFmtId="9" fontId="55" fillId="2" borderId="0" xfId="12" applyFont="1" applyFill="1"/>
    <xf numFmtId="9" fontId="99" fillId="7" borderId="3" xfId="12" applyFont="1" applyFill="1" applyBorder="1"/>
    <xf numFmtId="41" fontId="39" fillId="2" borderId="0" xfId="7" applyNumberFormat="1" applyFont="1" applyFill="1"/>
    <xf numFmtId="41" fontId="67" fillId="25" borderId="0" xfId="7" applyNumberFormat="1" applyFont="1" applyFill="1"/>
    <xf numFmtId="0" fontId="67" fillId="2" borderId="0" xfId="7" applyFont="1" applyFill="1"/>
    <xf numFmtId="0" fontId="0" fillId="0" borderId="0" xfId="7" applyFont="1"/>
    <xf numFmtId="41" fontId="55" fillId="0" borderId="0" xfId="7" applyNumberFormat="1" applyFont="1"/>
    <xf numFmtId="190" fontId="92" fillId="0" borderId="0" xfId="7" applyNumberFormat="1" applyFont="1"/>
    <xf numFmtId="190" fontId="71" fillId="0" borderId="0" xfId="7" applyNumberFormat="1" applyFont="1"/>
    <xf numFmtId="190" fontId="92" fillId="0" borderId="0" xfId="7" applyNumberFormat="1" applyFont="1" applyAlignment="1">
      <alignment horizontal="right"/>
    </xf>
    <xf numFmtId="42" fontId="55" fillId="0" borderId="0" xfId="7" applyNumberFormat="1" applyFont="1"/>
    <xf numFmtId="198" fontId="55" fillId="0" borderId="0" xfId="8" applyNumberFormat="1"/>
    <xf numFmtId="198" fontId="39" fillId="0" borderId="0" xfId="7" applyNumberFormat="1" applyFont="1"/>
    <xf numFmtId="41" fontId="99" fillId="0" borderId="0" xfId="7" applyNumberFormat="1" applyFont="1"/>
    <xf numFmtId="198" fontId="99" fillId="7" borderId="3" xfId="8" applyNumberFormat="1" applyFont="1" applyFill="1" applyBorder="1"/>
    <xf numFmtId="42" fontId="0" fillId="0" borderId="0" xfId="7" applyNumberFormat="1" applyFont="1"/>
    <xf numFmtId="0" fontId="92" fillId="0" borderId="0" xfId="7" applyFont="1"/>
    <xf numFmtId="0" fontId="71" fillId="0" borderId="0" xfId="7" applyFont="1"/>
    <xf numFmtId="192" fontId="71" fillId="25" borderId="0" xfId="7" applyNumberFormat="1" applyFont="1" applyFill="1" applyAlignment="1">
      <alignment horizontal="right"/>
    </xf>
    <xf numFmtId="192" fontId="89" fillId="0" borderId="0" xfId="7" applyNumberFormat="1" applyFont="1" applyAlignment="1">
      <alignment horizontal="right"/>
    </xf>
    <xf numFmtId="42" fontId="85" fillId="0" borderId="0" xfId="11" applyNumberFormat="1" applyFont="1"/>
    <xf numFmtId="42" fontId="61" fillId="0" borderId="0" xfId="11" applyNumberFormat="1" applyFont="1"/>
    <xf numFmtId="0" fontId="61" fillId="0" borderId="0" xfId="7" applyFont="1"/>
    <xf numFmtId="0" fontId="100" fillId="0" borderId="0" xfId="7" applyFont="1"/>
    <xf numFmtId="0" fontId="89" fillId="0" borderId="0" xfId="7" applyFont="1" applyAlignment="1">
      <alignment horizontal="left" indent="2"/>
    </xf>
    <xf numFmtId="41" fontId="39" fillId="25" borderId="0" xfId="7" applyNumberFormat="1" applyFont="1" applyFill="1"/>
    <xf numFmtId="0" fontId="67" fillId="25" borderId="0" xfId="7" applyFont="1" applyFill="1"/>
    <xf numFmtId="0" fontId="63" fillId="0" borderId="0" xfId="7" applyFont="1" applyAlignment="1">
      <alignment horizontal="left" indent="1"/>
    </xf>
    <xf numFmtId="0" fontId="92" fillId="25" borderId="0" xfId="7" applyFont="1" applyFill="1"/>
    <xf numFmtId="192" fontId="89" fillId="25" borderId="0" xfId="7" applyNumberFormat="1" applyFont="1" applyFill="1" applyAlignment="1">
      <alignment horizontal="right"/>
    </xf>
    <xf numFmtId="190" fontId="71" fillId="0" borderId="0" xfId="7" applyNumberFormat="1" applyFont="1" applyAlignment="1">
      <alignment horizontal="right"/>
    </xf>
    <xf numFmtId="190" fontId="89" fillId="0" borderId="0" xfId="7" applyNumberFormat="1" applyFont="1" applyAlignment="1">
      <alignment horizontal="right"/>
    </xf>
    <xf numFmtId="190" fontId="89" fillId="0" borderId="0" xfId="7" applyNumberFormat="1" applyFont="1" applyAlignment="1">
      <alignment horizontal="left" indent="1"/>
    </xf>
    <xf numFmtId="0" fontId="62" fillId="25" borderId="0" xfId="7" applyFont="1" applyFill="1"/>
    <xf numFmtId="191" fontId="85" fillId="0" borderId="0" xfId="7" applyNumberFormat="1" applyFont="1"/>
    <xf numFmtId="41" fontId="101" fillId="0" borderId="0" xfId="7" applyNumberFormat="1" applyFont="1"/>
    <xf numFmtId="191" fontId="67" fillId="0" borderId="0" xfId="7" applyNumberFormat="1" applyFont="1"/>
    <xf numFmtId="41" fontId="71" fillId="0" borderId="0" xfId="7" applyNumberFormat="1" applyFont="1" applyAlignment="1">
      <alignment horizontal="right"/>
    </xf>
    <xf numFmtId="190" fontId="89" fillId="29" borderId="0" xfId="7" applyNumberFormat="1" applyFont="1" applyFill="1" applyAlignment="1">
      <alignment horizontal="right"/>
    </xf>
    <xf numFmtId="41" fontId="89" fillId="0" borderId="0" xfId="7" applyNumberFormat="1" applyFont="1" applyAlignment="1">
      <alignment horizontal="right"/>
    </xf>
    <xf numFmtId="9" fontId="85" fillId="0" borderId="0" xfId="14" applyFont="1" applyBorder="1"/>
    <xf numFmtId="0" fontId="61" fillId="0" borderId="0" xfId="7" applyFont="1" applyAlignment="1">
      <alignment horizontal="left"/>
    </xf>
    <xf numFmtId="42" fontId="62" fillId="0" borderId="0" xfId="7" applyNumberFormat="1" applyFont="1"/>
    <xf numFmtId="0" fontId="63" fillId="0" borderId="0" xfId="7" applyFont="1"/>
    <xf numFmtId="42" fontId="85" fillId="0" borderId="0" xfId="7" applyNumberFormat="1" applyFont="1"/>
    <xf numFmtId="42" fontId="67" fillId="0" borderId="0" xfId="7" applyNumberFormat="1" applyFont="1"/>
    <xf numFmtId="11" fontId="102" fillId="0" borderId="0" xfId="17" applyNumberFormat="1" applyFont="1" applyAlignment="1">
      <alignment horizontal="center"/>
    </xf>
    <xf numFmtId="0" fontId="102" fillId="0" borderId="0" xfId="17" applyFont="1" applyAlignment="1">
      <alignment horizontal="center"/>
    </xf>
    <xf numFmtId="0" fontId="102" fillId="0" borderId="0" xfId="7" quotePrefix="1" applyFont="1" applyAlignment="1">
      <alignment horizontal="centerContinuous" vertical="center"/>
    </xf>
    <xf numFmtId="0" fontId="93" fillId="0" borderId="0" xfId="7" applyFont="1" applyAlignment="1">
      <alignment horizontal="center" vertical="center"/>
    </xf>
    <xf numFmtId="43" fontId="93" fillId="0" borderId="0" xfId="7" applyNumberFormat="1" applyFont="1" applyAlignment="1">
      <alignment horizontal="center" vertical="center"/>
    </xf>
    <xf numFmtId="14" fontId="102" fillId="0" borderId="0" xfId="17" applyNumberFormat="1" applyFont="1" applyAlignment="1">
      <alignment horizontal="centerContinuous"/>
    </xf>
    <xf numFmtId="0" fontId="39" fillId="0" borderId="0" xfId="7" applyFont="1" applyAlignment="1">
      <alignment horizontal="center"/>
    </xf>
    <xf numFmtId="0" fontId="73" fillId="25" borderId="0" xfId="7" applyFont="1" applyFill="1" applyAlignment="1">
      <alignment horizontal="center"/>
    </xf>
    <xf numFmtId="0" fontId="39" fillId="0" borderId="19" xfId="7" applyFont="1" applyBorder="1"/>
    <xf numFmtId="43" fontId="39" fillId="0" borderId="19" xfId="7" applyNumberFormat="1" applyFont="1" applyBorder="1"/>
    <xf numFmtId="0" fontId="55" fillId="0" borderId="0" xfId="13" applyFont="1"/>
    <xf numFmtId="9" fontId="55" fillId="0" borderId="0" xfId="18" applyFont="1" applyBorder="1"/>
    <xf numFmtId="41" fontId="55" fillId="0" borderId="0" xfId="13" applyNumberFormat="1" applyFont="1"/>
    <xf numFmtId="0" fontId="55" fillId="25" borderId="0" xfId="13" applyFont="1" applyFill="1"/>
    <xf numFmtId="9" fontId="92" fillId="25" borderId="0" xfId="12" applyFont="1" applyFill="1" applyBorder="1" applyAlignment="1">
      <alignment horizontal="right"/>
    </xf>
    <xf numFmtId="195" fontId="55" fillId="25" borderId="0" xfId="13" applyNumberFormat="1" applyFont="1" applyFill="1"/>
    <xf numFmtId="195" fontId="65" fillId="25" borderId="0" xfId="13" applyNumberFormat="1" applyFont="1" applyFill="1"/>
    <xf numFmtId="170" fontId="92" fillId="25" borderId="0" xfId="18" applyNumberFormat="1" applyFont="1" applyFill="1" applyBorder="1" applyAlignment="1">
      <alignment horizontal="right"/>
    </xf>
    <xf numFmtId="194" fontId="39" fillId="25" borderId="0" xfId="13" applyNumberFormat="1" applyFont="1" applyFill="1"/>
    <xf numFmtId="0" fontId="55" fillId="0" borderId="0" xfId="13" applyFont="1" applyAlignment="1">
      <alignment horizontal="right"/>
    </xf>
    <xf numFmtId="199" fontId="99" fillId="7" borderId="3" xfId="12" applyNumberFormat="1" applyFont="1" applyFill="1" applyBorder="1" applyAlignment="1">
      <alignment horizontal="right"/>
    </xf>
    <xf numFmtId="200" fontId="63" fillId="29" borderId="21" xfId="13" applyNumberFormat="1" applyFont="1" applyFill="1" applyBorder="1" applyAlignment="1">
      <alignment horizontal="right"/>
    </xf>
    <xf numFmtId="200" fontId="63" fillId="29" borderId="22" xfId="13" applyNumberFormat="1" applyFont="1" applyFill="1" applyBorder="1" applyAlignment="1">
      <alignment horizontal="right"/>
    </xf>
    <xf numFmtId="41" fontId="55" fillId="0" borderId="22" xfId="13" applyNumberFormat="1" applyFont="1" applyBorder="1" applyAlignment="1">
      <alignment horizontal="right"/>
    </xf>
    <xf numFmtId="200" fontId="99" fillId="29" borderId="22" xfId="13" applyNumberFormat="1" applyFont="1" applyFill="1" applyBorder="1" applyAlignment="1">
      <alignment horizontal="right"/>
    </xf>
    <xf numFmtId="0" fontId="55" fillId="0" borderId="22" xfId="13" applyFont="1" applyBorder="1"/>
    <xf numFmtId="194" fontId="39" fillId="0" borderId="22" xfId="13" applyNumberFormat="1" applyFont="1" applyBorder="1"/>
    <xf numFmtId="194" fontId="39" fillId="0" borderId="23" xfId="13" applyNumberFormat="1" applyFont="1" applyBorder="1"/>
    <xf numFmtId="193" fontId="99" fillId="7" borderId="3" xfId="8" applyNumberFormat="1" applyFont="1" applyFill="1" applyBorder="1"/>
    <xf numFmtId="193" fontId="39" fillId="0" borderId="24" xfId="16" applyNumberFormat="1" applyFont="1" applyBorder="1"/>
    <xf numFmtId="193" fontId="39" fillId="0" borderId="0" xfId="16" applyNumberFormat="1" applyFont="1"/>
    <xf numFmtId="41" fontId="55" fillId="0" borderId="0" xfId="13" applyNumberFormat="1" applyFont="1" applyAlignment="1">
      <alignment horizontal="right"/>
    </xf>
    <xf numFmtId="193" fontId="55" fillId="0" borderId="0" xfId="13" applyNumberFormat="1" applyFont="1" applyAlignment="1">
      <alignment horizontal="right"/>
    </xf>
    <xf numFmtId="193" fontId="99" fillId="0" borderId="0" xfId="13" applyNumberFormat="1" applyFont="1" applyAlignment="1">
      <alignment horizontal="right"/>
    </xf>
    <xf numFmtId="193" fontId="55" fillId="0" borderId="24" xfId="13" applyNumberFormat="1" applyFont="1" applyBorder="1" applyAlignment="1">
      <alignment horizontal="right"/>
    </xf>
    <xf numFmtId="194" fontId="39" fillId="0" borderId="0" xfId="13" applyNumberFormat="1" applyFont="1"/>
    <xf numFmtId="194" fontId="39" fillId="0" borderId="25" xfId="13" applyNumberFormat="1" applyFont="1" applyBorder="1"/>
    <xf numFmtId="41" fontId="55" fillId="0" borderId="26" xfId="13" applyNumberFormat="1" applyFont="1" applyBorder="1" applyAlignment="1">
      <alignment horizontal="right"/>
    </xf>
    <xf numFmtId="41" fontId="63" fillId="0" borderId="24" xfId="13" applyNumberFormat="1" applyFont="1" applyBorder="1"/>
    <xf numFmtId="41" fontId="63" fillId="0" borderId="0" xfId="13" applyNumberFormat="1" applyFont="1"/>
    <xf numFmtId="41" fontId="39" fillId="0" borderId="0" xfId="19" applyNumberFormat="1" applyFont="1" applyFill="1" applyBorder="1" applyAlignment="1">
      <alignment horizontal="right"/>
    </xf>
    <xf numFmtId="41" fontId="39" fillId="0" borderId="24" xfId="7" applyNumberFormat="1" applyFont="1" applyBorder="1"/>
    <xf numFmtId="41" fontId="55" fillId="0" borderId="27" xfId="13" applyNumberFormat="1" applyFont="1" applyBorder="1" applyAlignment="1">
      <alignment horizontal="right"/>
    </xf>
    <xf numFmtId="41" fontId="99" fillId="0" borderId="0" xfId="13" applyNumberFormat="1" applyFont="1" applyAlignment="1">
      <alignment horizontal="right"/>
    </xf>
    <xf numFmtId="41" fontId="67" fillId="0" borderId="24" xfId="7" applyNumberFormat="1" applyFont="1" applyBorder="1"/>
    <xf numFmtId="198" fontId="39" fillId="25" borderId="25" xfId="8" applyNumberFormat="1" applyFont="1" applyFill="1" applyBorder="1"/>
    <xf numFmtId="41" fontId="99" fillId="0" borderId="0" xfId="19" applyNumberFormat="1" applyFont="1" applyFill="1" applyBorder="1" applyAlignment="1">
      <alignment horizontal="right"/>
    </xf>
    <xf numFmtId="0" fontId="55" fillId="0" borderId="25" xfId="13" applyFont="1" applyBorder="1" applyAlignment="1">
      <alignment horizontal="right"/>
    </xf>
    <xf numFmtId="41" fontId="55" fillId="0" borderId="24" xfId="13" applyNumberFormat="1" applyFont="1" applyBorder="1" applyAlignment="1">
      <alignment horizontal="right"/>
    </xf>
    <xf numFmtId="41" fontId="39" fillId="25" borderId="0" xfId="19" applyNumberFormat="1" applyFont="1" applyFill="1" applyBorder="1" applyAlignment="1">
      <alignment horizontal="right"/>
    </xf>
    <xf numFmtId="41" fontId="39" fillId="0" borderId="0" xfId="16" applyNumberFormat="1" applyFont="1" applyAlignment="1">
      <alignment horizontal="right"/>
    </xf>
    <xf numFmtId="41" fontId="99" fillId="25" borderId="0" xfId="19" applyNumberFormat="1" applyFont="1" applyFill="1" applyBorder="1" applyAlignment="1">
      <alignment horizontal="right"/>
    </xf>
    <xf numFmtId="41" fontId="39" fillId="0" borderId="24" xfId="19" applyNumberFormat="1" applyFont="1" applyFill="1" applyBorder="1" applyAlignment="1">
      <alignment horizontal="right"/>
    </xf>
    <xf numFmtId="41" fontId="39" fillId="0" borderId="0" xfId="13" applyNumberFormat="1" applyFont="1" applyAlignment="1">
      <alignment horizontal="right"/>
    </xf>
    <xf numFmtId="41" fontId="99" fillId="0" borderId="24" xfId="13" applyNumberFormat="1" applyFont="1" applyBorder="1" applyAlignment="1">
      <alignment horizontal="right"/>
    </xf>
    <xf numFmtId="41" fontId="99" fillId="25" borderId="0" xfId="13" applyNumberFormat="1" applyFont="1" applyFill="1" applyAlignment="1">
      <alignment horizontal="right"/>
    </xf>
    <xf numFmtId="41" fontId="103" fillId="0" borderId="0" xfId="13" applyNumberFormat="1" applyFont="1" applyAlignment="1">
      <alignment horizontal="right"/>
    </xf>
    <xf numFmtId="0" fontId="55" fillId="0" borderId="24" xfId="13" applyFont="1" applyBorder="1"/>
    <xf numFmtId="7" fontId="55" fillId="0" borderId="0" xfId="13" applyNumberFormat="1" applyFont="1"/>
    <xf numFmtId="0" fontId="104" fillId="0" borderId="0" xfId="13" applyFont="1"/>
    <xf numFmtId="194" fontId="85" fillId="0" borderId="25" xfId="13" applyNumberFormat="1" applyFont="1" applyBorder="1"/>
    <xf numFmtId="194" fontId="85" fillId="0" borderId="0" xfId="13" applyNumberFormat="1" applyFont="1"/>
    <xf numFmtId="0" fontId="39" fillId="0" borderId="24" xfId="13" applyFont="1" applyBorder="1"/>
    <xf numFmtId="0" fontId="39" fillId="0" borderId="0" xfId="13" applyFont="1"/>
    <xf numFmtId="0" fontId="39" fillId="0" borderId="25" xfId="13" applyFont="1" applyBorder="1"/>
    <xf numFmtId="200" fontId="71" fillId="0" borderId="24" xfId="13" applyNumberFormat="1" applyFont="1" applyBorder="1" applyAlignment="1">
      <alignment horizontal="right"/>
    </xf>
    <xf numFmtId="200" fontId="71" fillId="0" borderId="0" xfId="13" applyNumberFormat="1" applyFont="1" applyAlignment="1">
      <alignment horizontal="right"/>
    </xf>
    <xf numFmtId="41" fontId="39" fillId="25" borderId="0" xfId="13" applyNumberFormat="1" applyFont="1" applyFill="1"/>
    <xf numFmtId="200" fontId="89" fillId="0" borderId="0" xfId="13" applyNumberFormat="1" applyFont="1" applyAlignment="1">
      <alignment horizontal="right"/>
    </xf>
    <xf numFmtId="200" fontId="89" fillId="0" borderId="24" xfId="13" applyNumberFormat="1" applyFont="1" applyBorder="1" applyAlignment="1">
      <alignment horizontal="right"/>
    </xf>
    <xf numFmtId="195" fontId="71" fillId="0" borderId="25" xfId="13" applyNumberFormat="1" applyFont="1" applyBorder="1" applyAlignment="1">
      <alignment horizontal="left" indent="1"/>
    </xf>
    <xf numFmtId="41" fontId="39" fillId="25" borderId="24" xfId="13" applyNumberFormat="1" applyFont="1" applyFill="1" applyBorder="1"/>
    <xf numFmtId="41" fontId="101" fillId="0" borderId="24" xfId="7" applyNumberFormat="1" applyFont="1" applyBorder="1"/>
    <xf numFmtId="41" fontId="88" fillId="0" borderId="24" xfId="7" applyNumberFormat="1" applyFont="1" applyBorder="1"/>
    <xf numFmtId="41" fontId="39" fillId="0" borderId="0" xfId="16" applyNumberFormat="1" applyFont="1"/>
    <xf numFmtId="41" fontId="39" fillId="0" borderId="24" xfId="16" applyNumberFormat="1" applyFont="1" applyBorder="1"/>
    <xf numFmtId="42" fontId="55" fillId="0" borderId="0" xfId="13" applyNumberFormat="1" applyFont="1"/>
    <xf numFmtId="0" fontId="39" fillId="0" borderId="28" xfId="13" applyFont="1" applyBorder="1"/>
    <xf numFmtId="0" fontId="39" fillId="0" borderId="29" xfId="13" applyFont="1" applyBorder="1"/>
    <xf numFmtId="0" fontId="55" fillId="0" borderId="29" xfId="13" applyFont="1" applyBorder="1"/>
    <xf numFmtId="0" fontId="55" fillId="0" borderId="28" xfId="13" applyFont="1" applyBorder="1"/>
    <xf numFmtId="0" fontId="62" fillId="0" borderId="29" xfId="15" applyFont="1" applyBorder="1"/>
    <xf numFmtId="0" fontId="62" fillId="30" borderId="29" xfId="15" applyFont="1" applyFill="1" applyBorder="1"/>
    <xf numFmtId="0" fontId="62" fillId="30" borderId="30" xfId="15" applyFont="1" applyFill="1" applyBorder="1"/>
    <xf numFmtId="37" fontId="39" fillId="0" borderId="0" xfId="13" applyNumberFormat="1" applyFont="1"/>
    <xf numFmtId="37" fontId="55" fillId="0" borderId="0" xfId="13" applyNumberFormat="1" applyFont="1"/>
    <xf numFmtId="194" fontId="55" fillId="0" borderId="0" xfId="13" applyNumberFormat="1" applyFont="1"/>
    <xf numFmtId="194" fontId="64" fillId="0" borderId="0" xfId="13" applyNumberFormat="1" applyFont="1"/>
    <xf numFmtId="0" fontId="85" fillId="31" borderId="0" xfId="7" applyFont="1" applyFill="1"/>
    <xf numFmtId="0" fontId="105" fillId="31" borderId="0" xfId="7" applyFont="1" applyFill="1"/>
    <xf numFmtId="0" fontId="105" fillId="32" borderId="0" xfId="7" applyFont="1" applyFill="1"/>
    <xf numFmtId="0" fontId="105" fillId="31" borderId="0" xfId="7" applyFont="1" applyFill="1" applyAlignment="1">
      <alignment wrapText="1"/>
    </xf>
    <xf numFmtId="0" fontId="39" fillId="0" borderId="0" xfId="7" applyFont="1" applyAlignment="1">
      <alignment horizontal="right"/>
    </xf>
    <xf numFmtId="194" fontId="106" fillId="0" borderId="0" xfId="13" applyNumberFormat="1" applyFont="1"/>
    <xf numFmtId="9" fontId="39" fillId="0" borderId="21" xfId="12" applyFont="1" applyFill="1" applyBorder="1" applyAlignment="1">
      <alignment horizontal="right"/>
    </xf>
    <xf numFmtId="9" fontId="39" fillId="0" borderId="22" xfId="12" applyFont="1" applyFill="1" applyBorder="1" applyAlignment="1">
      <alignment horizontal="right"/>
    </xf>
    <xf numFmtId="193" fontId="85" fillId="2" borderId="22" xfId="13" applyNumberFormat="1" applyFont="1" applyFill="1" applyBorder="1" applyAlignment="1">
      <alignment horizontal="right"/>
    </xf>
    <xf numFmtId="193" fontId="85" fillId="2" borderId="21" xfId="13" applyNumberFormat="1" applyFont="1" applyFill="1" applyBorder="1" applyAlignment="1">
      <alignment horizontal="right"/>
    </xf>
    <xf numFmtId="0" fontId="62" fillId="0" borderId="22" xfId="13" applyFont="1" applyBorder="1"/>
    <xf numFmtId="194" fontId="85" fillId="0" borderId="22" xfId="13" applyNumberFormat="1" applyFont="1" applyBorder="1"/>
    <xf numFmtId="41" fontId="39" fillId="0" borderId="24" xfId="13" applyNumberFormat="1" applyFont="1" applyBorder="1" applyAlignment="1">
      <alignment horizontal="right"/>
    </xf>
    <xf numFmtId="41" fontId="39" fillId="2" borderId="0" xfId="13" applyNumberFormat="1" applyFont="1" applyFill="1" applyAlignment="1">
      <alignment horizontal="right"/>
    </xf>
    <xf numFmtId="41" fontId="39" fillId="2" borderId="24" xfId="13" applyNumberFormat="1" applyFont="1" applyFill="1" applyBorder="1" applyAlignment="1">
      <alignment horizontal="right"/>
    </xf>
    <xf numFmtId="0" fontId="62" fillId="0" borderId="0" xfId="13" applyFont="1"/>
    <xf numFmtId="193" fontId="85" fillId="2" borderId="0" xfId="13" applyNumberFormat="1" applyFont="1" applyFill="1" applyAlignment="1">
      <alignment horizontal="right"/>
    </xf>
    <xf numFmtId="193" fontId="85" fillId="2" borderId="24" xfId="13" applyNumberFormat="1" applyFont="1" applyFill="1" applyBorder="1" applyAlignment="1">
      <alignment horizontal="right"/>
    </xf>
    <xf numFmtId="194" fontId="39" fillId="0" borderId="25" xfId="13" applyNumberFormat="1" applyFont="1" applyBorder="1" applyAlignment="1">
      <alignment horizontal="left" indent="1"/>
    </xf>
    <xf numFmtId="193" fontId="85" fillId="28" borderId="0" xfId="13" applyNumberFormat="1" applyFont="1" applyFill="1" applyAlignment="1">
      <alignment horizontal="right"/>
    </xf>
    <xf numFmtId="41" fontId="39" fillId="25" borderId="0" xfId="13" applyNumberFormat="1" applyFont="1" applyFill="1" applyAlignment="1">
      <alignment horizontal="right"/>
    </xf>
    <xf numFmtId="193" fontId="39" fillId="0" borderId="0" xfId="13" applyNumberFormat="1" applyFont="1" applyAlignment="1">
      <alignment horizontal="right"/>
    </xf>
    <xf numFmtId="193" fontId="85" fillId="0" borderId="24" xfId="13" applyNumberFormat="1" applyFont="1" applyBorder="1" applyAlignment="1">
      <alignment horizontal="right"/>
    </xf>
    <xf numFmtId="193" fontId="85" fillId="0" borderId="0" xfId="13" applyNumberFormat="1" applyFont="1" applyAlignment="1">
      <alignment horizontal="right"/>
    </xf>
    <xf numFmtId="193" fontId="85" fillId="25" borderId="0" xfId="13" applyNumberFormat="1" applyFont="1" applyFill="1" applyAlignment="1">
      <alignment horizontal="right"/>
    </xf>
    <xf numFmtId="193" fontId="39" fillId="0" borderId="24" xfId="13" applyNumberFormat="1" applyFont="1" applyBorder="1" applyAlignment="1">
      <alignment horizontal="right"/>
    </xf>
    <xf numFmtId="9" fontId="99" fillId="7" borderId="3" xfId="8" applyNumberFormat="1" applyFont="1" applyFill="1" applyBorder="1" applyAlignment="1">
      <alignment horizontal="center"/>
    </xf>
    <xf numFmtId="193" fontId="67" fillId="0" borderId="24" xfId="13" applyNumberFormat="1" applyFont="1" applyBorder="1" applyAlignment="1">
      <alignment horizontal="right"/>
    </xf>
    <xf numFmtId="193" fontId="67" fillId="0" borderId="0" xfId="13" applyNumberFormat="1" applyFont="1" applyAlignment="1">
      <alignment horizontal="right"/>
    </xf>
    <xf numFmtId="0" fontId="55" fillId="0" borderId="25" xfId="13" applyFont="1" applyBorder="1"/>
    <xf numFmtId="41" fontId="39" fillId="0" borderId="24" xfId="13" applyNumberFormat="1" applyFont="1" applyBorder="1"/>
    <xf numFmtId="41" fontId="39" fillId="0" borderId="0" xfId="13" applyNumberFormat="1" applyFont="1"/>
    <xf numFmtId="41" fontId="107" fillId="25" borderId="0" xfId="19" applyNumberFormat="1" applyFont="1" applyFill="1" applyBorder="1" applyAlignment="1">
      <alignment horizontal="right"/>
    </xf>
    <xf numFmtId="41" fontId="107" fillId="25" borderId="24" xfId="19" applyNumberFormat="1" applyFont="1" applyFill="1" applyBorder="1" applyAlignment="1">
      <alignment horizontal="right"/>
    </xf>
    <xf numFmtId="41" fontId="39" fillId="0" borderId="27" xfId="13" applyNumberFormat="1" applyFont="1" applyBorder="1"/>
    <xf numFmtId="194" fontId="104" fillId="0" borderId="0" xfId="13" applyNumberFormat="1" applyFont="1"/>
    <xf numFmtId="194" fontId="104" fillId="25" borderId="25" xfId="13" applyNumberFormat="1" applyFont="1" applyFill="1" applyBorder="1"/>
    <xf numFmtId="9" fontId="99" fillId="7" borderId="3" xfId="8" applyNumberFormat="1" applyFont="1" applyFill="1" applyBorder="1" applyAlignment="1">
      <alignment horizontal="right"/>
    </xf>
    <xf numFmtId="9" fontId="39" fillId="25" borderId="25" xfId="8" applyNumberFormat="1" applyFont="1" applyFill="1" applyBorder="1" applyAlignment="1">
      <alignment horizontal="right"/>
    </xf>
    <xf numFmtId="200" fontId="63" fillId="29" borderId="0" xfId="13" applyNumberFormat="1" applyFont="1" applyFill="1" applyAlignment="1">
      <alignment horizontal="right"/>
    </xf>
    <xf numFmtId="200" fontId="99" fillId="29" borderId="0" xfId="13" applyNumberFormat="1" applyFont="1" applyFill="1" applyAlignment="1">
      <alignment horizontal="right"/>
    </xf>
    <xf numFmtId="200" fontId="63" fillId="29" borderId="24" xfId="13" applyNumberFormat="1" applyFont="1" applyFill="1" applyBorder="1" applyAlignment="1">
      <alignment horizontal="right"/>
    </xf>
    <xf numFmtId="0" fontId="0" fillId="0" borderId="0" xfId="13" applyFont="1"/>
    <xf numFmtId="41" fontId="67" fillId="0" borderId="24" xfId="13" applyNumberFormat="1" applyFont="1" applyBorder="1" applyAlignment="1">
      <alignment horizontal="right"/>
    </xf>
    <xf numFmtId="41" fontId="67" fillId="0" borderId="0" xfId="13" applyNumberFormat="1" applyFont="1" applyAlignment="1">
      <alignment horizontal="right"/>
    </xf>
    <xf numFmtId="201" fontId="99" fillId="7" borderId="3" xfId="8" applyNumberFormat="1" applyFont="1" applyFill="1" applyBorder="1"/>
    <xf numFmtId="193" fontId="39" fillId="0" borderId="0" xfId="16" applyNumberFormat="1" applyFont="1" applyAlignment="1">
      <alignment horizontal="right"/>
    </xf>
    <xf numFmtId="0" fontId="67" fillId="0" borderId="0" xfId="13" applyFont="1"/>
    <xf numFmtId="0" fontId="85" fillId="0" borderId="25" xfId="13" applyFont="1" applyBorder="1"/>
    <xf numFmtId="41" fontId="67" fillId="0" borderId="0" xfId="13" applyNumberFormat="1" applyFont="1"/>
    <xf numFmtId="42" fontId="67" fillId="0" borderId="0" xfId="13" applyNumberFormat="1" applyFont="1"/>
    <xf numFmtId="0" fontId="62" fillId="0" borderId="0" xfId="15" applyFont="1"/>
    <xf numFmtId="0" fontId="90" fillId="0" borderId="25" xfId="11" applyFont="1" applyBorder="1"/>
    <xf numFmtId="0" fontId="62" fillId="0" borderId="25" xfId="15" applyFont="1" applyBorder="1"/>
    <xf numFmtId="9" fontId="39" fillId="0" borderId="24" xfId="12" applyFont="1" applyFill="1" applyBorder="1"/>
    <xf numFmtId="9" fontId="39" fillId="0" borderId="0" xfId="12" applyFont="1" applyFill="1" applyBorder="1"/>
    <xf numFmtId="193" fontId="85" fillId="28" borderId="24" xfId="13" applyNumberFormat="1" applyFont="1" applyFill="1" applyBorder="1" applyAlignment="1">
      <alignment horizontal="right"/>
    </xf>
    <xf numFmtId="193" fontId="39" fillId="28" borderId="24" xfId="16" applyNumberFormat="1" applyFont="1" applyFill="1" applyBorder="1"/>
    <xf numFmtId="193" fontId="39" fillId="28" borderId="0" xfId="16" applyNumberFormat="1" applyFont="1" applyFill="1"/>
    <xf numFmtId="193" fontId="39" fillId="28" borderId="0" xfId="13" applyNumberFormat="1" applyFont="1" applyFill="1" applyAlignment="1">
      <alignment horizontal="right"/>
    </xf>
    <xf numFmtId="193" fontId="99" fillId="28" borderId="0" xfId="13" applyNumberFormat="1" applyFont="1" applyFill="1" applyAlignment="1">
      <alignment horizontal="right"/>
    </xf>
    <xf numFmtId="193" fontId="67" fillId="28" borderId="0" xfId="13" applyNumberFormat="1" applyFont="1" applyFill="1" applyAlignment="1">
      <alignment horizontal="right"/>
    </xf>
    <xf numFmtId="43" fontId="39" fillId="0" borderId="24" xfId="13" applyNumberFormat="1" applyFont="1" applyBorder="1"/>
    <xf numFmtId="43" fontId="39" fillId="0" borderId="0" xfId="13" applyNumberFormat="1" applyFont="1"/>
    <xf numFmtId="201" fontId="39" fillId="0" borderId="27" xfId="13" applyNumberFormat="1" applyFont="1" applyBorder="1"/>
    <xf numFmtId="201" fontId="39" fillId="0" borderId="0" xfId="13" applyNumberFormat="1" applyFont="1"/>
    <xf numFmtId="193" fontId="55" fillId="0" borderId="21" xfId="13" applyNumberFormat="1" applyFont="1" applyBorder="1" applyAlignment="1">
      <alignment horizontal="right"/>
    </xf>
    <xf numFmtId="193" fontId="55" fillId="2" borderId="0" xfId="13" applyNumberFormat="1" applyFont="1" applyFill="1" applyAlignment="1">
      <alignment horizontal="right"/>
    </xf>
    <xf numFmtId="193" fontId="55" fillId="28" borderId="0" xfId="13" applyNumberFormat="1" applyFont="1" applyFill="1" applyAlignment="1">
      <alignment horizontal="right"/>
    </xf>
    <xf numFmtId="193" fontId="55" fillId="28" borderId="24" xfId="13" applyNumberFormat="1" applyFont="1" applyFill="1" applyBorder="1" applyAlignment="1">
      <alignment horizontal="right"/>
    </xf>
    <xf numFmtId="201" fontId="39" fillId="25" borderId="25" xfId="8" applyNumberFormat="1" applyFont="1" applyFill="1" applyBorder="1"/>
    <xf numFmtId="193" fontId="55" fillId="25" borderId="24" xfId="13" applyNumberFormat="1" applyFont="1" applyFill="1" applyBorder="1" applyAlignment="1">
      <alignment horizontal="right"/>
    </xf>
    <xf numFmtId="0" fontId="39" fillId="25" borderId="25" xfId="13" applyFont="1" applyFill="1" applyBorder="1"/>
    <xf numFmtId="0" fontId="62" fillId="33" borderId="29" xfId="15" applyFont="1" applyFill="1" applyBorder="1"/>
    <xf numFmtId="0" fontId="62" fillId="33" borderId="30" xfId="15" applyFont="1" applyFill="1" applyBorder="1"/>
    <xf numFmtId="9" fontId="39" fillId="0" borderId="0" xfId="12" applyFont="1"/>
    <xf numFmtId="9" fontId="55" fillId="0" borderId="0" xfId="12" applyFont="1" applyBorder="1"/>
    <xf numFmtId="199" fontId="39" fillId="25" borderId="31" xfId="12" applyNumberFormat="1" applyFont="1" applyFill="1" applyBorder="1" applyAlignment="1">
      <alignment horizontal="right"/>
    </xf>
    <xf numFmtId="0" fontId="39" fillId="0" borderId="22" xfId="13" applyFont="1" applyBorder="1"/>
    <xf numFmtId="41" fontId="39" fillId="0" borderId="26" xfId="16" applyNumberFormat="1" applyFont="1" applyBorder="1"/>
    <xf numFmtId="41" fontId="39" fillId="0" borderId="27" xfId="16" applyNumberFormat="1" applyFont="1" applyBorder="1"/>
    <xf numFmtId="198" fontId="55" fillId="0" borderId="0" xfId="13" applyNumberFormat="1" applyFont="1"/>
    <xf numFmtId="201" fontId="55" fillId="0" borderId="0" xfId="13" applyNumberFormat="1" applyFont="1"/>
    <xf numFmtId="201" fontId="99" fillId="0" borderId="0" xfId="13" applyNumberFormat="1" applyFont="1"/>
    <xf numFmtId="193" fontId="63" fillId="0" borderId="24" xfId="13" applyNumberFormat="1" applyFont="1" applyBorder="1"/>
    <xf numFmtId="193" fontId="63" fillId="0" borderId="0" xfId="13" applyNumberFormat="1" applyFont="1"/>
    <xf numFmtId="199" fontId="99" fillId="7" borderId="13" xfId="12" applyNumberFormat="1" applyFont="1" applyFill="1" applyBorder="1" applyAlignment="1">
      <alignment horizontal="right"/>
    </xf>
    <xf numFmtId="199" fontId="39" fillId="25" borderId="32" xfId="12" applyNumberFormat="1" applyFont="1" applyFill="1" applyBorder="1" applyAlignment="1">
      <alignment horizontal="right"/>
    </xf>
    <xf numFmtId="199" fontId="55" fillId="0" borderId="24" xfId="13" applyNumberFormat="1" applyFont="1" applyBorder="1"/>
    <xf numFmtId="199" fontId="55" fillId="0" borderId="0" xfId="13" applyNumberFormat="1" applyFont="1"/>
    <xf numFmtId="199" fontId="55" fillId="2" borderId="0" xfId="13" applyNumberFormat="1" applyFont="1" applyFill="1"/>
    <xf numFmtId="199" fontId="99" fillId="0" borderId="0" xfId="13" applyNumberFormat="1" applyFont="1"/>
    <xf numFmtId="0" fontId="55" fillId="2" borderId="0" xfId="13" applyFont="1" applyFill="1"/>
    <xf numFmtId="199" fontId="55" fillId="0" borderId="0" xfId="13" quotePrefix="1" applyNumberFormat="1" applyFont="1" applyAlignment="1">
      <alignment horizontal="right"/>
    </xf>
    <xf numFmtId="200" fontId="89" fillId="29" borderId="0" xfId="13" applyNumberFormat="1" applyFont="1" applyFill="1" applyAlignment="1">
      <alignment horizontal="right"/>
    </xf>
    <xf numFmtId="200" fontId="89" fillId="29" borderId="24" xfId="13" applyNumberFormat="1" applyFont="1" applyFill="1" applyBorder="1" applyAlignment="1">
      <alignment horizontal="right"/>
    </xf>
    <xf numFmtId="200" fontId="89" fillId="29" borderId="0" xfId="13" quotePrefix="1" applyNumberFormat="1" applyFont="1" applyFill="1" applyAlignment="1">
      <alignment horizontal="right"/>
    </xf>
    <xf numFmtId="41" fontId="39" fillId="2" borderId="0" xfId="16" applyNumberFormat="1" applyFont="1" applyFill="1"/>
    <xf numFmtId="3" fontId="55" fillId="0" borderId="0" xfId="13" applyNumberFormat="1" applyFont="1"/>
    <xf numFmtId="3" fontId="55" fillId="25" borderId="0" xfId="13" applyNumberFormat="1" applyFont="1" applyFill="1"/>
    <xf numFmtId="3" fontId="99" fillId="0" borderId="0" xfId="13" applyNumberFormat="1" applyFont="1"/>
    <xf numFmtId="3" fontId="99" fillId="25" borderId="24" xfId="13" applyNumberFormat="1" applyFont="1" applyFill="1" applyBorder="1"/>
    <xf numFmtId="9" fontId="55" fillId="0" borderId="24" xfId="12" applyFont="1" applyBorder="1"/>
    <xf numFmtId="41" fontId="55" fillId="0" borderId="29" xfId="13" applyNumberFormat="1" applyFont="1" applyBorder="1"/>
    <xf numFmtId="41" fontId="39" fillId="0" borderId="33" xfId="7" applyNumberFormat="1" applyFont="1" applyBorder="1" applyAlignment="1">
      <alignment horizontal="right"/>
    </xf>
    <xf numFmtId="41" fontId="39" fillId="0" borderId="33" xfId="7" applyNumberFormat="1" applyFont="1" applyBorder="1"/>
    <xf numFmtId="41" fontId="63" fillId="0" borderId="33" xfId="7" applyNumberFormat="1" applyFont="1" applyBorder="1" applyAlignment="1">
      <alignment horizontal="right"/>
    </xf>
    <xf numFmtId="0" fontId="39" fillId="0" borderId="33" xfId="7" applyFont="1" applyBorder="1"/>
    <xf numFmtId="0" fontId="85" fillId="0" borderId="33" xfId="7" applyFont="1" applyBorder="1" applyAlignment="1">
      <alignment horizontal="left"/>
    </xf>
    <xf numFmtId="41" fontId="73" fillId="0" borderId="0" xfId="7" applyNumberFormat="1" applyFont="1"/>
    <xf numFmtId="0" fontId="71" fillId="0" borderId="0" xfId="7" applyFont="1" applyAlignment="1">
      <alignment horizontal="left" indent="1"/>
    </xf>
    <xf numFmtId="200" fontId="71" fillId="29" borderId="21" xfId="13" applyNumberFormat="1" applyFont="1" applyFill="1" applyBorder="1" applyAlignment="1">
      <alignment horizontal="right"/>
    </xf>
    <xf numFmtId="200" fontId="71" fillId="29" borderId="22" xfId="13" applyNumberFormat="1" applyFont="1" applyFill="1" applyBorder="1" applyAlignment="1">
      <alignment horizontal="right"/>
    </xf>
    <xf numFmtId="0" fontId="55" fillId="25" borderId="22" xfId="13" applyFont="1" applyFill="1" applyBorder="1"/>
    <xf numFmtId="200" fontId="89" fillId="29" borderId="22" xfId="13" applyNumberFormat="1" applyFont="1" applyFill="1" applyBorder="1" applyAlignment="1">
      <alignment horizontal="right"/>
    </xf>
    <xf numFmtId="200" fontId="89" fillId="29" borderId="21" xfId="13" applyNumberFormat="1" applyFont="1" applyFill="1" applyBorder="1" applyAlignment="1">
      <alignment horizontal="right"/>
    </xf>
    <xf numFmtId="195" fontId="63" fillId="29" borderId="22" xfId="13" applyNumberFormat="1" applyFont="1" applyFill="1" applyBorder="1" applyAlignment="1">
      <alignment horizontal="left" indent="1"/>
    </xf>
    <xf numFmtId="195" fontId="71" fillId="0" borderId="22" xfId="13" applyNumberFormat="1" applyFont="1" applyBorder="1"/>
    <xf numFmtId="195" fontId="71" fillId="0" borderId="23" xfId="13" applyNumberFormat="1" applyFont="1" applyBorder="1"/>
    <xf numFmtId="200" fontId="71" fillId="29" borderId="24" xfId="13" applyNumberFormat="1" applyFont="1" applyFill="1" applyBorder="1" applyAlignment="1">
      <alignment horizontal="right"/>
    </xf>
    <xf numFmtId="200" fontId="71" fillId="29" borderId="0" xfId="13" applyNumberFormat="1" applyFont="1" applyFill="1" applyAlignment="1">
      <alignment horizontal="right"/>
    </xf>
    <xf numFmtId="195" fontId="63" fillId="29" borderId="0" xfId="13" applyNumberFormat="1" applyFont="1" applyFill="1" applyAlignment="1">
      <alignment horizontal="left" indent="1"/>
    </xf>
    <xf numFmtId="195" fontId="71" fillId="0" borderId="0" xfId="13" applyNumberFormat="1" applyFont="1"/>
    <xf numFmtId="195" fontId="71" fillId="0" borderId="25" xfId="13" applyNumberFormat="1" applyFont="1" applyBorder="1"/>
    <xf numFmtId="195" fontId="71" fillId="29" borderId="24" xfId="13" applyNumberFormat="1" applyFont="1" applyFill="1" applyBorder="1" applyAlignment="1">
      <alignment horizontal="right"/>
    </xf>
    <xf numFmtId="195" fontId="71" fillId="29" borderId="0" xfId="13" applyNumberFormat="1" applyFont="1" applyFill="1" applyAlignment="1">
      <alignment horizontal="right"/>
    </xf>
    <xf numFmtId="195" fontId="89" fillId="29" borderId="0" xfId="13" applyNumberFormat="1" applyFont="1" applyFill="1" applyAlignment="1">
      <alignment horizontal="right"/>
    </xf>
    <xf numFmtId="195" fontId="89" fillId="29" borderId="24" xfId="13" applyNumberFormat="1" applyFont="1" applyFill="1" applyBorder="1" applyAlignment="1">
      <alignment horizontal="right"/>
    </xf>
    <xf numFmtId="195" fontId="71" fillId="29" borderId="0" xfId="13" applyNumberFormat="1" applyFont="1" applyFill="1" applyAlignment="1">
      <alignment horizontal="left" indent="1"/>
    </xf>
    <xf numFmtId="195" fontId="71" fillId="29" borderId="25" xfId="13" applyNumberFormat="1" applyFont="1" applyFill="1" applyBorder="1" applyAlignment="1">
      <alignment horizontal="left" indent="1"/>
    </xf>
    <xf numFmtId="200" fontId="71" fillId="34" borderId="24" xfId="13" applyNumberFormat="1" applyFont="1" applyFill="1" applyBorder="1" applyAlignment="1">
      <alignment horizontal="right"/>
    </xf>
    <xf numFmtId="200" fontId="71" fillId="34" borderId="0" xfId="13" applyNumberFormat="1" applyFont="1" applyFill="1" applyAlignment="1">
      <alignment horizontal="right"/>
    </xf>
    <xf numFmtId="195" fontId="71" fillId="34" borderId="0" xfId="13" applyNumberFormat="1" applyFont="1" applyFill="1" applyAlignment="1">
      <alignment horizontal="right"/>
    </xf>
    <xf numFmtId="200" fontId="89" fillId="34" borderId="0" xfId="13" applyNumberFormat="1" applyFont="1" applyFill="1" applyAlignment="1">
      <alignment horizontal="right"/>
    </xf>
    <xf numFmtId="200" fontId="89" fillId="34" borderId="24" xfId="13" applyNumberFormat="1" applyFont="1" applyFill="1" applyBorder="1" applyAlignment="1">
      <alignment horizontal="right"/>
    </xf>
    <xf numFmtId="195" fontId="63" fillId="34" borderId="0" xfId="13" applyNumberFormat="1" applyFont="1" applyFill="1" applyAlignment="1">
      <alignment horizontal="left" indent="1"/>
    </xf>
    <xf numFmtId="195" fontId="71" fillId="34" borderId="0" xfId="13" applyNumberFormat="1" applyFont="1" applyFill="1" applyAlignment="1">
      <alignment horizontal="left" indent="1"/>
    </xf>
    <xf numFmtId="195" fontId="71" fillId="34" borderId="25" xfId="13" applyNumberFormat="1" applyFont="1" applyFill="1" applyBorder="1" applyAlignment="1">
      <alignment horizontal="left" indent="1"/>
    </xf>
    <xf numFmtId="42" fontId="85" fillId="34" borderId="15" xfId="11" applyNumberFormat="1" applyFont="1" applyFill="1" applyBorder="1"/>
    <xf numFmtId="42" fontId="85" fillId="34" borderId="0" xfId="11" applyNumberFormat="1" applyFont="1" applyFill="1"/>
    <xf numFmtId="42" fontId="85" fillId="34" borderId="34" xfId="11" applyNumberFormat="1" applyFont="1" applyFill="1" applyBorder="1"/>
    <xf numFmtId="42" fontId="85" fillId="34" borderId="0" xfId="7" applyNumberFormat="1" applyFont="1" applyFill="1"/>
    <xf numFmtId="42" fontId="85" fillId="34" borderId="24" xfId="7" applyNumberFormat="1" applyFont="1" applyFill="1" applyBorder="1"/>
    <xf numFmtId="42" fontId="61" fillId="34" borderId="0" xfId="11" applyNumberFormat="1" applyFont="1" applyFill="1"/>
    <xf numFmtId="42" fontId="61" fillId="34" borderId="0" xfId="11" applyNumberFormat="1" applyFont="1" applyFill="1" applyAlignment="1">
      <alignment horizontal="center"/>
    </xf>
    <xf numFmtId="0" fontId="85" fillId="34" borderId="0" xfId="7" applyFont="1" applyFill="1" applyAlignment="1">
      <alignment horizontal="left" indent="1"/>
    </xf>
    <xf numFmtId="0" fontId="85" fillId="34" borderId="0" xfId="7" applyFont="1" applyFill="1"/>
    <xf numFmtId="0" fontId="85" fillId="34" borderId="34" xfId="7" applyFont="1" applyFill="1" applyBorder="1"/>
    <xf numFmtId="0" fontId="85" fillId="0" borderId="0" xfId="7" applyFont="1" applyAlignment="1">
      <alignment horizontal="right"/>
    </xf>
    <xf numFmtId="41" fontId="101" fillId="0" borderId="15" xfId="7" applyNumberFormat="1" applyFont="1" applyBorder="1"/>
    <xf numFmtId="41" fontId="101" fillId="0" borderId="34" xfId="7" applyNumberFormat="1" applyFont="1" applyBorder="1"/>
    <xf numFmtId="41" fontId="101" fillId="0" borderId="0" xfId="7" applyNumberFormat="1" applyFont="1" applyAlignment="1">
      <alignment horizontal="center"/>
    </xf>
    <xf numFmtId="0" fontId="62" fillId="30" borderId="0" xfId="15" applyFont="1" applyFill="1"/>
    <xf numFmtId="0" fontId="62" fillId="30" borderId="25" xfId="15" applyFont="1" applyFill="1" applyBorder="1"/>
    <xf numFmtId="194" fontId="106" fillId="0" borderId="25" xfId="13" applyNumberFormat="1" applyFont="1" applyBorder="1"/>
    <xf numFmtId="42" fontId="85" fillId="29" borderId="0" xfId="7" applyNumberFormat="1" applyFont="1" applyFill="1"/>
    <xf numFmtId="41" fontId="101" fillId="25" borderId="34" xfId="7" applyNumberFormat="1" applyFont="1" applyFill="1" applyBorder="1"/>
    <xf numFmtId="195" fontId="106" fillId="0" borderId="0" xfId="13" applyNumberFormat="1" applyFont="1"/>
    <xf numFmtId="195" fontId="106" fillId="0" borderId="25" xfId="13" applyNumberFormat="1" applyFont="1" applyBorder="1"/>
    <xf numFmtId="42" fontId="85" fillId="29" borderId="24" xfId="11" applyNumberFormat="1" applyFont="1" applyFill="1" applyBorder="1"/>
    <xf numFmtId="42" fontId="85" fillId="29" borderId="0" xfId="11" applyNumberFormat="1" applyFont="1" applyFill="1"/>
    <xf numFmtId="42" fontId="85" fillId="29" borderId="25" xfId="11" applyNumberFormat="1" applyFont="1" applyFill="1" applyBorder="1"/>
    <xf numFmtId="42" fontId="85" fillId="29" borderId="24" xfId="7" applyNumberFormat="1" applyFont="1" applyFill="1" applyBorder="1"/>
    <xf numFmtId="195" fontId="106" fillId="29" borderId="0" xfId="13" applyNumberFormat="1" applyFont="1" applyFill="1" applyAlignment="1">
      <alignment horizontal="left" indent="1"/>
    </xf>
    <xf numFmtId="195" fontId="106" fillId="29" borderId="25" xfId="13" applyNumberFormat="1" applyFont="1" applyFill="1" applyBorder="1" applyAlignment="1">
      <alignment horizontal="left" indent="1"/>
    </xf>
    <xf numFmtId="0" fontId="99" fillId="0" borderId="29" xfId="13" applyFont="1" applyBorder="1" applyAlignment="1">
      <alignment horizontal="right"/>
    </xf>
    <xf numFmtId="0" fontId="105" fillId="0" borderId="0" xfId="7" applyFont="1"/>
    <xf numFmtId="0" fontId="55" fillId="0" borderId="0" xfId="15" applyFont="1"/>
    <xf numFmtId="165" fontId="55" fillId="0" borderId="0" xfId="20" applyNumberFormat="1" applyFont="1"/>
    <xf numFmtId="0" fontId="55" fillId="0" borderId="0" xfId="21" applyFont="1"/>
    <xf numFmtId="188" fontId="61" fillId="0" borderId="19" xfId="7" applyNumberFormat="1" applyFont="1" applyBorder="1"/>
    <xf numFmtId="0" fontId="55" fillId="0" borderId="22" xfId="15" applyFont="1" applyBorder="1"/>
    <xf numFmtId="0" fontId="55" fillId="2" borderId="22" xfId="15" applyFont="1" applyFill="1" applyBorder="1"/>
    <xf numFmtId="41" fontId="67" fillId="0" borderId="21" xfId="7" applyNumberFormat="1" applyFont="1" applyBorder="1"/>
    <xf numFmtId="0" fontId="0" fillId="0" borderId="23" xfId="15" applyFont="1" applyBorder="1"/>
    <xf numFmtId="0" fontId="55" fillId="0" borderId="28" xfId="15" applyFont="1" applyBorder="1"/>
    <xf numFmtId="0" fontId="55" fillId="0" borderId="29" xfId="15" applyFont="1" applyBorder="1"/>
    <xf numFmtId="0" fontId="92" fillId="0" borderId="0" xfId="15" applyFont="1"/>
    <xf numFmtId="199" fontId="71" fillId="0" borderId="0" xfId="19" applyNumberFormat="1" applyFont="1" applyFill="1" applyBorder="1" applyAlignment="1">
      <alignment horizontal="right"/>
    </xf>
    <xf numFmtId="199" fontId="71" fillId="0" borderId="22" xfId="19" applyNumberFormat="1" applyFont="1" applyFill="1" applyBorder="1" applyAlignment="1">
      <alignment horizontal="right"/>
    </xf>
    <xf numFmtId="0" fontId="92" fillId="0" borderId="22" xfId="15" applyFont="1" applyBorder="1"/>
    <xf numFmtId="199" fontId="92" fillId="0" borderId="0" xfId="19" applyNumberFormat="1" applyFont="1" applyFill="1" applyBorder="1" applyAlignment="1">
      <alignment horizontal="right"/>
    </xf>
    <xf numFmtId="199" fontId="92" fillId="0" borderId="22" xfId="19" applyNumberFormat="1" applyFont="1" applyFill="1" applyBorder="1" applyAlignment="1">
      <alignment horizontal="right"/>
    </xf>
    <xf numFmtId="0" fontId="92" fillId="0" borderId="23" xfId="15" applyFont="1" applyBorder="1"/>
    <xf numFmtId="0" fontId="92" fillId="0" borderId="24" xfId="15" applyFont="1" applyBorder="1"/>
    <xf numFmtId="199" fontId="71" fillId="0" borderId="24" xfId="19" applyNumberFormat="1" applyFont="1" applyFill="1" applyBorder="1" applyAlignment="1">
      <alignment horizontal="right"/>
    </xf>
    <xf numFmtId="199" fontId="92" fillId="0" borderId="24" xfId="19" applyNumberFormat="1" applyFont="1" applyFill="1" applyBorder="1" applyAlignment="1">
      <alignment horizontal="right"/>
    </xf>
    <xf numFmtId="42" fontId="39" fillId="0" borderId="24" xfId="16" applyNumberFormat="1" applyFont="1" applyBorder="1"/>
    <xf numFmtId="42" fontId="39" fillId="0" borderId="0" xfId="16" applyNumberFormat="1" applyFont="1"/>
    <xf numFmtId="0" fontId="39" fillId="0" borderId="0" xfId="15" applyFont="1"/>
    <xf numFmtId="9" fontId="55" fillId="0" borderId="0" xfId="19" applyFont="1" applyFill="1"/>
    <xf numFmtId="42" fontId="55" fillId="0" borderId="0" xfId="16" applyNumberFormat="1" applyFont="1"/>
    <xf numFmtId="42" fontId="55" fillId="0" borderId="24" xfId="16" applyNumberFormat="1" applyFont="1" applyBorder="1"/>
    <xf numFmtId="0" fontId="55" fillId="0" borderId="24" xfId="15" applyFont="1" applyBorder="1"/>
    <xf numFmtId="0" fontId="85" fillId="34" borderId="25" xfId="7" applyFont="1" applyFill="1" applyBorder="1"/>
    <xf numFmtId="9" fontId="55" fillId="0" borderId="0" xfId="19" applyFont="1" applyFill="1" applyBorder="1"/>
    <xf numFmtId="41" fontId="85" fillId="0" borderId="0" xfId="7" applyNumberFormat="1" applyFont="1"/>
    <xf numFmtId="42" fontId="61" fillId="0" borderId="24" xfId="11" applyNumberFormat="1" applyFont="1" applyBorder="1"/>
    <xf numFmtId="0" fontId="85" fillId="0" borderId="25" xfId="7" applyFont="1" applyBorder="1"/>
    <xf numFmtId="0" fontId="39" fillId="0" borderId="25" xfId="7" applyFont="1" applyBorder="1" applyAlignment="1">
      <alignment horizontal="left" vertical="center" indent="1"/>
    </xf>
    <xf numFmtId="41" fontId="39" fillId="0" borderId="0" xfId="15" applyNumberFormat="1" applyFont="1"/>
    <xf numFmtId="41" fontId="55" fillId="0" borderId="0" xfId="15" applyNumberFormat="1" applyFont="1"/>
    <xf numFmtId="41" fontId="67" fillId="0" borderId="0" xfId="16" applyNumberFormat="1" applyFont="1"/>
    <xf numFmtId="41" fontId="67" fillId="0" borderId="0" xfId="15" applyNumberFormat="1" applyFont="1"/>
    <xf numFmtId="0" fontId="39" fillId="0" borderId="24" xfId="15" applyFont="1" applyBorder="1"/>
    <xf numFmtId="0" fontId="39" fillId="0" borderId="28" xfId="15" applyFont="1" applyBorder="1"/>
    <xf numFmtId="0" fontId="39" fillId="0" borderId="29" xfId="15" applyFont="1" applyBorder="1"/>
    <xf numFmtId="199" fontId="71" fillId="0" borderId="25" xfId="19" applyNumberFormat="1" applyFont="1" applyFill="1" applyBorder="1" applyAlignment="1">
      <alignment horizontal="right"/>
    </xf>
    <xf numFmtId="42" fontId="61" fillId="34" borderId="24" xfId="11" applyNumberFormat="1" applyFont="1" applyFill="1" applyBorder="1"/>
    <xf numFmtId="9" fontId="39" fillId="0" borderId="24" xfId="12" applyFont="1" applyBorder="1"/>
    <xf numFmtId="9" fontId="55" fillId="0" borderId="24" xfId="19" applyFont="1" applyFill="1" applyBorder="1"/>
    <xf numFmtId="0" fontId="39" fillId="0" borderId="25" xfId="15" applyFont="1" applyBorder="1"/>
    <xf numFmtId="0" fontId="92" fillId="0" borderId="25" xfId="15" applyFont="1" applyBorder="1"/>
    <xf numFmtId="0" fontId="55" fillId="0" borderId="25" xfId="15" applyFont="1" applyBorder="1"/>
    <xf numFmtId="41" fontId="108" fillId="0" borderId="0" xfId="7" applyNumberFormat="1" applyFont="1"/>
    <xf numFmtId="9" fontId="39" fillId="0" borderId="0" xfId="12" applyFont="1" applyBorder="1"/>
    <xf numFmtId="0" fontId="39" fillId="0" borderId="35" xfId="15" applyFont="1" applyBorder="1"/>
    <xf numFmtId="9" fontId="39" fillId="0" borderId="24" xfId="19" applyFont="1" applyFill="1" applyBorder="1"/>
    <xf numFmtId="9" fontId="39" fillId="0" borderId="0" xfId="19" applyFont="1" applyFill="1" applyBorder="1"/>
    <xf numFmtId="202" fontId="71" fillId="0" borderId="24" xfId="19" applyNumberFormat="1" applyFont="1" applyFill="1" applyBorder="1" applyAlignment="1">
      <alignment horizontal="right"/>
    </xf>
    <xf numFmtId="202" fontId="71" fillId="0" borderId="0" xfId="19" applyNumberFormat="1" applyFont="1" applyFill="1" applyBorder="1" applyAlignment="1">
      <alignment horizontal="right"/>
    </xf>
    <xf numFmtId="42" fontId="63" fillId="0" borderId="0" xfId="11" applyNumberFormat="1" applyFont="1"/>
    <xf numFmtId="42" fontId="99" fillId="0" borderId="24" xfId="11" applyNumberFormat="1" applyFont="1" applyBorder="1"/>
    <xf numFmtId="203" fontId="55" fillId="0" borderId="0" xfId="15" applyNumberFormat="1" applyFont="1"/>
    <xf numFmtId="44" fontId="55" fillId="0" borderId="0" xfId="15" applyNumberFormat="1" applyFont="1"/>
    <xf numFmtId="41" fontId="101" fillId="25" borderId="0" xfId="7" applyNumberFormat="1" applyFont="1" applyFill="1"/>
    <xf numFmtId="41" fontId="101" fillId="25" borderId="24" xfId="7" applyNumberFormat="1" applyFont="1" applyFill="1" applyBorder="1"/>
    <xf numFmtId="42" fontId="85" fillId="29" borderId="29" xfId="15" applyNumberFormat="1" applyFont="1" applyFill="1" applyBorder="1"/>
    <xf numFmtId="42" fontId="55" fillId="0" borderId="0" xfId="15" applyNumberFormat="1" applyFont="1"/>
    <xf numFmtId="199" fontId="71" fillId="34" borderId="0" xfId="19" applyNumberFormat="1" applyFont="1" applyFill="1" applyBorder="1" applyAlignment="1">
      <alignment horizontal="right"/>
    </xf>
    <xf numFmtId="0" fontId="92" fillId="34" borderId="22" xfId="15" applyFont="1" applyFill="1" applyBorder="1"/>
    <xf numFmtId="0" fontId="92" fillId="34" borderId="23" xfId="15" applyFont="1" applyFill="1" applyBorder="1" applyAlignment="1">
      <alignment horizontal="left" indent="1"/>
    </xf>
    <xf numFmtId="0" fontId="62" fillId="34" borderId="0" xfId="15" applyFont="1" applyFill="1"/>
    <xf numFmtId="0" fontId="85" fillId="0" borderId="29" xfId="7" applyFont="1" applyBorder="1"/>
    <xf numFmtId="0" fontId="85" fillId="26" borderId="30" xfId="7" applyFont="1" applyFill="1" applyBorder="1"/>
    <xf numFmtId="43" fontId="63" fillId="0" borderId="0" xfId="7" applyNumberFormat="1" applyFont="1"/>
    <xf numFmtId="0" fontId="93" fillId="25" borderId="0" xfId="7" applyFont="1" applyFill="1" applyAlignment="1">
      <alignment horizontal="center" vertical="center"/>
    </xf>
    <xf numFmtId="165" fontId="39" fillId="0" borderId="0" xfId="20" applyNumberFormat="1" applyFont="1"/>
    <xf numFmtId="165" fontId="39" fillId="0" borderId="19" xfId="20" applyNumberFormat="1" applyFont="1" applyBorder="1"/>
    <xf numFmtId="0" fontId="63" fillId="0" borderId="19" xfId="7" applyFont="1" applyBorder="1"/>
    <xf numFmtId="9" fontId="71" fillId="0" borderId="21" xfId="12" applyFont="1" applyBorder="1"/>
    <xf numFmtId="9" fontId="71" fillId="0" borderId="22" xfId="12" applyFont="1" applyBorder="1"/>
    <xf numFmtId="0" fontId="39" fillId="0" borderId="22" xfId="7" applyFont="1" applyBorder="1"/>
    <xf numFmtId="0" fontId="71" fillId="0" borderId="23" xfId="7" applyFont="1" applyBorder="1"/>
    <xf numFmtId="42" fontId="61" fillId="34" borderId="15" xfId="11" applyNumberFormat="1" applyFont="1" applyFill="1" applyBorder="1"/>
    <xf numFmtId="42" fontId="61" fillId="34" borderId="34" xfId="11" applyNumberFormat="1" applyFont="1" applyFill="1" applyBorder="1"/>
    <xf numFmtId="42" fontId="61" fillId="34" borderId="0" xfId="7" applyNumberFormat="1" applyFont="1" applyFill="1"/>
    <xf numFmtId="42" fontId="61" fillId="34" borderId="24" xfId="7" applyNumberFormat="1" applyFont="1" applyFill="1" applyBorder="1"/>
    <xf numFmtId="0" fontId="85" fillId="34" borderId="25" xfId="7" applyFont="1" applyFill="1" applyBorder="1" applyAlignment="1">
      <alignment horizontal="left"/>
    </xf>
    <xf numFmtId="41" fontId="101" fillId="28" borderId="0" xfId="7" applyNumberFormat="1" applyFont="1" applyFill="1"/>
    <xf numFmtId="41" fontId="88" fillId="25" borderId="0" xfId="7" applyNumberFormat="1" applyFont="1" applyFill="1"/>
    <xf numFmtId="0" fontId="39" fillId="25" borderId="25" xfId="7" applyFont="1" applyFill="1" applyBorder="1" applyAlignment="1">
      <alignment horizontal="left" indent="1"/>
    </xf>
    <xf numFmtId="0" fontId="39" fillId="25" borderId="0" xfId="7" applyFont="1" applyFill="1" applyAlignment="1">
      <alignment horizontal="right"/>
    </xf>
    <xf numFmtId="41" fontId="39" fillId="28" borderId="0" xfId="7" applyNumberFormat="1" applyFont="1" applyFill="1"/>
    <xf numFmtId="41" fontId="67" fillId="28" borderId="0" xfId="7" applyNumberFormat="1" applyFont="1" applyFill="1"/>
    <xf numFmtId="0" fontId="39" fillId="0" borderId="25" xfId="7" applyFont="1" applyBorder="1" applyAlignment="1">
      <alignment horizontal="left" indent="1"/>
    </xf>
    <xf numFmtId="204" fontId="85" fillId="0" borderId="15" xfId="7" applyNumberFormat="1" applyFont="1" applyBorder="1"/>
    <xf numFmtId="204" fontId="85" fillId="0" borderId="0" xfId="7" applyNumberFormat="1" applyFont="1"/>
    <xf numFmtId="204" fontId="85" fillId="0" borderId="34" xfId="7" applyNumberFormat="1" applyFont="1" applyBorder="1"/>
    <xf numFmtId="204" fontId="85" fillId="0" borderId="24" xfId="7" applyNumberFormat="1" applyFont="1" applyBorder="1"/>
    <xf numFmtId="0" fontId="85" fillId="0" borderId="0" xfId="7" applyFont="1" applyAlignment="1">
      <alignment horizontal="left" indent="1"/>
    </xf>
    <xf numFmtId="0" fontId="85" fillId="0" borderId="34" xfId="7" applyFont="1" applyBorder="1" applyAlignment="1">
      <alignment horizontal="left"/>
    </xf>
    <xf numFmtId="0" fontId="85" fillId="0" borderId="34" xfId="7" applyFont="1" applyBorder="1" applyAlignment="1">
      <alignment horizontal="left" indent="1"/>
    </xf>
    <xf numFmtId="9" fontId="89" fillId="29" borderId="24" xfId="12" applyFont="1" applyFill="1" applyBorder="1"/>
    <xf numFmtId="9" fontId="89" fillId="29" borderId="0" xfId="12" applyFont="1" applyFill="1" applyBorder="1"/>
    <xf numFmtId="0" fontId="85" fillId="29" borderId="0" xfId="7" applyFont="1" applyFill="1" applyAlignment="1">
      <alignment horizontal="left" indent="1"/>
    </xf>
    <xf numFmtId="0" fontId="71" fillId="0" borderId="25" xfId="7" applyFont="1" applyBorder="1"/>
    <xf numFmtId="0" fontId="85" fillId="25" borderId="0" xfId="7" applyFont="1" applyFill="1" applyAlignment="1">
      <alignment horizontal="right"/>
    </xf>
    <xf numFmtId="0" fontId="85" fillId="0" borderId="25" xfId="7" applyFont="1" applyBorder="1" applyAlignment="1">
      <alignment horizontal="left"/>
    </xf>
    <xf numFmtId="0" fontId="85" fillId="0" borderId="25" xfId="7" applyFont="1" applyBorder="1" applyAlignment="1">
      <alignment horizontal="left" indent="1"/>
    </xf>
    <xf numFmtId="0" fontId="71" fillId="25" borderId="25" xfId="7" applyFont="1" applyFill="1" applyBorder="1"/>
    <xf numFmtId="41" fontId="88" fillId="28" borderId="0" xfId="7" applyNumberFormat="1" applyFont="1" applyFill="1" applyAlignment="1">
      <alignment horizontal="center"/>
    </xf>
    <xf numFmtId="41" fontId="67" fillId="28" borderId="0" xfId="7" applyNumberFormat="1" applyFont="1" applyFill="1" applyAlignment="1">
      <alignment horizontal="center"/>
    </xf>
    <xf numFmtId="9" fontId="85" fillId="0" borderId="26" xfId="12" applyFont="1" applyBorder="1"/>
    <xf numFmtId="9" fontId="85" fillId="0" borderId="0" xfId="12" applyFont="1" applyBorder="1"/>
    <xf numFmtId="9" fontId="85" fillId="0" borderId="24" xfId="12" applyFont="1" applyBorder="1"/>
    <xf numFmtId="205" fontId="85" fillId="0" borderId="0" xfId="7" applyNumberFormat="1" applyFont="1"/>
    <xf numFmtId="204" fontId="68" fillId="0" borderId="24" xfId="7" applyNumberFormat="1" applyFont="1" applyBorder="1"/>
    <xf numFmtId="170" fontId="85" fillId="0" borderId="15" xfId="12" applyNumberFormat="1" applyFont="1" applyBorder="1"/>
    <xf numFmtId="170" fontId="85" fillId="0" borderId="0" xfId="12" applyNumberFormat="1" applyFont="1" applyBorder="1"/>
    <xf numFmtId="170" fontId="85" fillId="0" borderId="34" xfId="12" applyNumberFormat="1" applyFont="1" applyBorder="1"/>
    <xf numFmtId="41" fontId="85" fillId="0" borderId="24" xfId="7" applyNumberFormat="1" applyFont="1" applyBorder="1"/>
    <xf numFmtId="42" fontId="39" fillId="0" borderId="0" xfId="7" applyNumberFormat="1" applyFont="1"/>
    <xf numFmtId="198" fontId="67" fillId="7" borderId="3" xfId="8" applyNumberFormat="1" applyFont="1" applyFill="1" applyBorder="1"/>
    <xf numFmtId="42" fontId="39" fillId="0" borderId="36" xfId="7" applyNumberFormat="1" applyFont="1" applyBorder="1"/>
    <xf numFmtId="42" fontId="39" fillId="0" borderId="37" xfId="7" applyNumberFormat="1" applyFont="1" applyBorder="1"/>
    <xf numFmtId="42" fontId="39" fillId="0" borderId="38" xfId="7" applyNumberFormat="1" applyFont="1" applyBorder="1"/>
    <xf numFmtId="42" fontId="63" fillId="0" borderId="28" xfId="7" applyNumberFormat="1" applyFont="1" applyBorder="1"/>
    <xf numFmtId="42" fontId="39" fillId="0" borderId="29" xfId="7" applyNumberFormat="1" applyFont="1" applyBorder="1"/>
    <xf numFmtId="42" fontId="63" fillId="0" borderId="37" xfId="7" applyNumberFormat="1" applyFont="1" applyBorder="1"/>
    <xf numFmtId="0" fontId="39" fillId="0" borderId="37" xfId="7" applyFont="1" applyBorder="1"/>
    <xf numFmtId="0" fontId="85" fillId="0" borderId="38" xfId="7" applyFont="1" applyBorder="1" applyAlignment="1">
      <alignment horizontal="left"/>
    </xf>
    <xf numFmtId="42" fontId="63" fillId="0" borderId="0" xfId="7" applyNumberFormat="1" applyFont="1"/>
    <xf numFmtId="41" fontId="39" fillId="0" borderId="0" xfId="7" applyNumberFormat="1" applyFont="1" applyAlignment="1">
      <alignment horizontal="right"/>
    </xf>
    <xf numFmtId="41" fontId="63" fillId="0" borderId="0" xfId="7" applyNumberFormat="1" applyFont="1" applyAlignment="1">
      <alignment horizontal="right"/>
    </xf>
    <xf numFmtId="0" fontId="39" fillId="0" borderId="0" xfId="7" applyFont="1" applyAlignment="1">
      <alignment horizontal="left"/>
    </xf>
    <xf numFmtId="42" fontId="61" fillId="0" borderId="21" xfId="11" applyNumberFormat="1" applyFont="1" applyBorder="1" applyAlignment="1">
      <alignment horizontal="right"/>
    </xf>
    <xf numFmtId="42" fontId="61" fillId="0" borderId="22" xfId="11" applyNumberFormat="1" applyFont="1" applyBorder="1" applyAlignment="1">
      <alignment horizontal="right"/>
    </xf>
    <xf numFmtId="0" fontId="85" fillId="0" borderId="22" xfId="7" applyFont="1" applyBorder="1"/>
    <xf numFmtId="42" fontId="61" fillId="0" borderId="22" xfId="7" applyNumberFormat="1" applyFont="1" applyBorder="1" applyAlignment="1">
      <alignment horizontal="right"/>
    </xf>
    <xf numFmtId="42" fontId="61" fillId="0" borderId="21" xfId="7" applyNumberFormat="1" applyFont="1" applyBorder="1" applyAlignment="1">
      <alignment horizontal="right"/>
    </xf>
    <xf numFmtId="0" fontId="85" fillId="0" borderId="23" xfId="7" applyFont="1" applyBorder="1" applyAlignment="1">
      <alignment horizontal="left"/>
    </xf>
    <xf numFmtId="41" fontId="108" fillId="0" borderId="0" xfId="7" applyNumberFormat="1" applyFont="1" applyAlignment="1">
      <alignment horizontal="right"/>
    </xf>
    <xf numFmtId="41" fontId="108" fillId="0" borderId="24" xfId="7" applyNumberFormat="1" applyFont="1" applyBorder="1" applyAlignment="1">
      <alignment horizontal="right"/>
    </xf>
    <xf numFmtId="41" fontId="109" fillId="0" borderId="0" xfId="7" applyNumberFormat="1" applyFont="1" applyAlignment="1">
      <alignment horizontal="right"/>
    </xf>
    <xf numFmtId="41" fontId="101" fillId="0" borderId="24" xfId="7" applyNumberFormat="1" applyFont="1" applyBorder="1" applyAlignment="1">
      <alignment horizontal="right"/>
    </xf>
    <xf numFmtId="41" fontId="63" fillId="0" borderId="24" xfId="7" applyNumberFormat="1" applyFont="1" applyBorder="1" applyAlignment="1">
      <alignment horizontal="right"/>
    </xf>
    <xf numFmtId="41" fontId="99" fillId="0" borderId="0" xfId="7" applyNumberFormat="1" applyFont="1" applyAlignment="1">
      <alignment horizontal="right"/>
    </xf>
    <xf numFmtId="41" fontId="39" fillId="0" borderId="24" xfId="7" applyNumberFormat="1" applyFont="1" applyBorder="1" applyAlignment="1">
      <alignment horizontal="right"/>
    </xf>
    <xf numFmtId="9" fontId="39" fillId="0" borderId="28" xfId="12" applyFont="1" applyBorder="1"/>
    <xf numFmtId="0" fontId="39" fillId="0" borderId="29" xfId="7" applyFont="1" applyBorder="1"/>
    <xf numFmtId="0" fontId="39" fillId="0" borderId="28" xfId="7" applyFont="1" applyBorder="1" applyAlignment="1">
      <alignment horizontal="centerContinuous"/>
    </xf>
    <xf numFmtId="0" fontId="39" fillId="25" borderId="29" xfId="7" applyFont="1" applyFill="1" applyBorder="1" applyAlignment="1">
      <alignment horizontal="centerContinuous"/>
    </xf>
    <xf numFmtId="0" fontId="39" fillId="0" borderId="29" xfId="7" applyFont="1" applyBorder="1" applyAlignment="1">
      <alignment horizontal="centerContinuous"/>
    </xf>
    <xf numFmtId="0" fontId="63" fillId="0" borderId="28" xfId="7" applyFont="1" applyBorder="1"/>
    <xf numFmtId="43" fontId="63" fillId="0" borderId="29" xfId="7" applyNumberFormat="1" applyFont="1" applyBorder="1"/>
    <xf numFmtId="0" fontId="61" fillId="26" borderId="30" xfId="7" applyFont="1" applyFill="1" applyBorder="1"/>
    <xf numFmtId="9" fontId="39" fillId="0" borderId="0" xfId="7" applyNumberFormat="1" applyFont="1"/>
    <xf numFmtId="41" fontId="63" fillId="0" borderId="0" xfId="7" applyNumberFormat="1" applyFont="1"/>
    <xf numFmtId="198" fontId="39" fillId="25" borderId="0" xfId="7" applyNumberFormat="1" applyFont="1" applyFill="1"/>
    <xf numFmtId="41" fontId="85" fillId="0" borderId="21" xfId="7" applyNumberFormat="1" applyFont="1" applyBorder="1"/>
    <xf numFmtId="41" fontId="85" fillId="0" borderId="22" xfId="7" applyNumberFormat="1" applyFont="1" applyBorder="1"/>
    <xf numFmtId="41" fontId="85" fillId="0" borderId="23" xfId="7" applyNumberFormat="1" applyFont="1" applyBorder="1"/>
    <xf numFmtId="41" fontId="61" fillId="0" borderId="22" xfId="7" applyNumberFormat="1" applyFont="1" applyBorder="1"/>
    <xf numFmtId="41" fontId="61" fillId="0" borderId="21" xfId="7" applyNumberFormat="1" applyFont="1" applyBorder="1"/>
    <xf numFmtId="0" fontId="61" fillId="0" borderId="22" xfId="7" applyFont="1" applyBorder="1"/>
    <xf numFmtId="0" fontId="61" fillId="0" borderId="23" xfId="7" applyFont="1" applyBorder="1" applyAlignment="1">
      <alignment horizontal="left" vertical="center"/>
    </xf>
    <xf numFmtId="41" fontId="109" fillId="0" borderId="0" xfId="7" applyNumberFormat="1" applyFont="1"/>
    <xf numFmtId="41" fontId="99" fillId="7" borderId="3" xfId="8" applyNumberFormat="1" applyFont="1" applyFill="1" applyBorder="1"/>
    <xf numFmtId="41" fontId="39" fillId="0" borderId="25" xfId="7" applyNumberFormat="1" applyFont="1" applyBorder="1"/>
    <xf numFmtId="41" fontId="63" fillId="0" borderId="24" xfId="7" applyNumberFormat="1" applyFont="1" applyBorder="1"/>
    <xf numFmtId="0" fontId="61" fillId="26" borderId="25" xfId="7" applyFont="1" applyFill="1" applyBorder="1"/>
    <xf numFmtId="43" fontId="39" fillId="0" borderId="24" xfId="7" applyNumberFormat="1" applyFont="1" applyBorder="1"/>
    <xf numFmtId="43" fontId="39" fillId="0" borderId="25" xfId="7" applyNumberFormat="1" applyFont="1" applyBorder="1"/>
    <xf numFmtId="43" fontId="63" fillId="0" borderId="24" xfId="7" applyNumberFormat="1" applyFont="1" applyBorder="1"/>
    <xf numFmtId="0" fontId="61" fillId="0" borderId="25" xfId="7" applyFont="1" applyBorder="1" applyAlignment="1">
      <alignment horizontal="left" vertical="center"/>
    </xf>
    <xf numFmtId="41" fontId="85" fillId="25" borderId="24" xfId="7" applyNumberFormat="1" applyFont="1" applyFill="1" applyBorder="1"/>
    <xf numFmtId="41" fontId="85" fillId="25" borderId="0" xfId="7" applyNumberFormat="1" applyFont="1" applyFill="1"/>
    <xf numFmtId="41" fontId="85" fillId="25" borderId="25" xfId="7" applyNumberFormat="1" applyFont="1" applyFill="1" applyBorder="1"/>
    <xf numFmtId="41" fontId="61" fillId="0" borderId="24" xfId="7" applyNumberFormat="1" applyFont="1" applyBorder="1"/>
    <xf numFmtId="41" fontId="68" fillId="0" borderId="0" xfId="7" applyNumberFormat="1" applyFont="1"/>
    <xf numFmtId="41" fontId="101" fillId="25" borderId="25" xfId="7" applyNumberFormat="1" applyFont="1" applyFill="1" applyBorder="1"/>
    <xf numFmtId="41" fontId="108" fillId="0" borderId="24" xfId="7" applyNumberFormat="1" applyFont="1" applyBorder="1"/>
    <xf numFmtId="41" fontId="39" fillId="25" borderId="24" xfId="7" applyNumberFormat="1" applyFont="1" applyFill="1" applyBorder="1"/>
    <xf numFmtId="41" fontId="39" fillId="25" borderId="25" xfId="7" applyNumberFormat="1" applyFont="1" applyFill="1" applyBorder="1"/>
    <xf numFmtId="43" fontId="39" fillId="0" borderId="28" xfId="7" applyNumberFormat="1" applyFont="1" applyBorder="1"/>
    <xf numFmtId="43" fontId="39" fillId="0" borderId="29" xfId="7" applyNumberFormat="1" applyFont="1" applyBorder="1"/>
    <xf numFmtId="43" fontId="39" fillId="0" borderId="30" xfId="7" applyNumberFormat="1" applyFont="1" applyBorder="1"/>
    <xf numFmtId="43" fontId="63" fillId="0" borderId="28" xfId="7" applyNumberFormat="1" applyFont="1" applyBorder="1"/>
    <xf numFmtId="41" fontId="39" fillId="0" borderId="37" xfId="7" applyNumberFormat="1" applyFont="1" applyBorder="1"/>
    <xf numFmtId="42" fontId="61" fillId="0" borderId="21" xfId="11" applyNumberFormat="1" applyFont="1" applyBorder="1"/>
    <xf numFmtId="42" fontId="61" fillId="0" borderId="22" xfId="11" applyNumberFormat="1" applyFont="1" applyBorder="1"/>
    <xf numFmtId="42" fontId="61" fillId="0" borderId="23" xfId="11" applyNumberFormat="1" applyFont="1" applyBorder="1"/>
    <xf numFmtId="0" fontId="85" fillId="0" borderId="39" xfId="7" applyFont="1" applyBorder="1"/>
    <xf numFmtId="42" fontId="61" fillId="0" borderId="21" xfId="7" applyNumberFormat="1" applyFont="1" applyBorder="1"/>
    <xf numFmtId="0" fontId="85" fillId="0" borderId="23" xfId="7" applyFont="1" applyBorder="1"/>
    <xf numFmtId="41" fontId="108" fillId="25" borderId="24" xfId="7" applyNumberFormat="1" applyFont="1" applyFill="1" applyBorder="1"/>
    <xf numFmtId="41" fontId="108" fillId="25" borderId="0" xfId="7" applyNumberFormat="1" applyFont="1" applyFill="1"/>
    <xf numFmtId="41" fontId="63" fillId="25" borderId="0" xfId="7" applyNumberFormat="1" applyFont="1" applyFill="1"/>
    <xf numFmtId="0" fontId="39" fillId="0" borderId="34" xfId="7" applyFont="1" applyBorder="1" applyAlignment="1">
      <alignment horizontal="left" vertical="center" indent="1"/>
    </xf>
    <xf numFmtId="41" fontId="63" fillId="25" borderId="24" xfId="7" applyNumberFormat="1" applyFont="1" applyFill="1" applyBorder="1"/>
    <xf numFmtId="0" fontId="39" fillId="0" borderId="24" xfId="7" applyFont="1" applyBorder="1"/>
    <xf numFmtId="0" fontId="85" fillId="26" borderId="25" xfId="7" applyFont="1" applyFill="1" applyBorder="1"/>
    <xf numFmtId="9" fontId="39" fillId="25" borderId="24" xfId="12" applyFont="1" applyFill="1" applyBorder="1"/>
    <xf numFmtId="41" fontId="110" fillId="25" borderId="0" xfId="7" applyNumberFormat="1" applyFont="1" applyFill="1"/>
    <xf numFmtId="41" fontId="110" fillId="35" borderId="24" xfId="7" applyNumberFormat="1" applyFont="1" applyFill="1" applyBorder="1"/>
    <xf numFmtId="43" fontId="39" fillId="25" borderId="0" xfId="7" applyNumberFormat="1" applyFont="1" applyFill="1"/>
    <xf numFmtId="41" fontId="63" fillId="35" borderId="0" xfId="7" applyNumberFormat="1" applyFont="1" applyFill="1"/>
    <xf numFmtId="204" fontId="39" fillId="25" borderId="0" xfId="7" applyNumberFormat="1" applyFont="1" applyFill="1"/>
    <xf numFmtId="0" fontId="85" fillId="25" borderId="25" xfId="7" applyFont="1" applyFill="1" applyBorder="1" applyAlignment="1">
      <alignment horizontal="left"/>
    </xf>
    <xf numFmtId="41" fontId="55" fillId="0" borderId="24" xfId="8" applyNumberFormat="1" applyBorder="1"/>
    <xf numFmtId="41" fontId="55" fillId="0" borderId="0" xfId="8" applyNumberFormat="1"/>
    <xf numFmtId="204" fontId="39" fillId="0" borderId="24" xfId="7" applyNumberFormat="1" applyFont="1" applyBorder="1"/>
    <xf numFmtId="204" fontId="39" fillId="0" borderId="0" xfId="7" applyNumberFormat="1" applyFont="1"/>
    <xf numFmtId="204" fontId="63" fillId="0" borderId="24" xfId="7" applyNumberFormat="1" applyFont="1" applyBorder="1"/>
    <xf numFmtId="206" fontId="39" fillId="0" borderId="0" xfId="7" applyNumberFormat="1" applyFont="1"/>
    <xf numFmtId="41" fontId="110" fillId="25" borderId="24" xfId="7" applyNumberFormat="1" applyFont="1" applyFill="1" applyBorder="1"/>
    <xf numFmtId="203" fontId="39" fillId="25" borderId="0" xfId="7" applyNumberFormat="1" applyFont="1" applyFill="1"/>
    <xf numFmtId="44" fontId="39" fillId="25" borderId="0" xfId="7" applyNumberFormat="1" applyFont="1" applyFill="1"/>
    <xf numFmtId="42" fontId="39" fillId="25" borderId="0" xfId="7" applyNumberFormat="1" applyFont="1" applyFill="1"/>
    <xf numFmtId="0" fontId="85" fillId="25" borderId="25" xfId="7" applyFont="1" applyFill="1" applyBorder="1" applyAlignment="1">
      <alignment horizontal="right"/>
    </xf>
    <xf numFmtId="0" fontId="39" fillId="0" borderId="28" xfId="7" applyFont="1" applyBorder="1"/>
    <xf numFmtId="191" fontId="39" fillId="0" borderId="37" xfId="7" applyNumberFormat="1" applyFont="1" applyBorder="1"/>
    <xf numFmtId="0" fontId="63" fillId="0" borderId="29" xfId="7" applyFont="1" applyBorder="1"/>
    <xf numFmtId="0" fontId="111" fillId="0" borderId="0" xfId="7" applyFont="1" applyAlignment="1">
      <alignment horizontal="right" vertical="center"/>
    </xf>
    <xf numFmtId="0" fontId="63" fillId="0" borderId="0" xfId="7" applyFont="1" applyAlignment="1">
      <alignment horizontal="center"/>
    </xf>
    <xf numFmtId="165" fontId="39" fillId="0" borderId="0" xfId="7" applyNumberFormat="1" applyFont="1"/>
    <xf numFmtId="0" fontId="85" fillId="25" borderId="0" xfId="7" applyFont="1" applyFill="1" applyAlignment="1">
      <alignment horizontal="left"/>
    </xf>
    <xf numFmtId="41" fontId="61" fillId="0" borderId="21" xfId="7" applyNumberFormat="1" applyFont="1" applyBorder="1" applyAlignment="1">
      <alignment horizontal="right"/>
    </xf>
    <xf numFmtId="41" fontId="61" fillId="0" borderId="22" xfId="7" applyNumberFormat="1" applyFont="1" applyBorder="1" applyAlignment="1">
      <alignment horizontal="right"/>
    </xf>
    <xf numFmtId="41" fontId="39" fillId="28" borderId="21" xfId="7" applyNumberFormat="1" applyFont="1" applyFill="1" applyBorder="1"/>
    <xf numFmtId="41" fontId="63" fillId="28" borderId="22" xfId="7" applyNumberFormat="1" applyFont="1" applyFill="1" applyBorder="1" applyAlignment="1">
      <alignment horizontal="right"/>
    </xf>
    <xf numFmtId="41" fontId="39" fillId="0" borderId="22" xfId="7" applyNumberFormat="1" applyFont="1" applyBorder="1"/>
    <xf numFmtId="41" fontId="39" fillId="28" borderId="22" xfId="7" applyNumberFormat="1" applyFont="1" applyFill="1" applyBorder="1"/>
    <xf numFmtId="0" fontId="85" fillId="0" borderId="23" xfId="7" applyFont="1" applyBorder="1" applyAlignment="1">
      <alignment horizontal="left" vertical="center"/>
    </xf>
    <xf numFmtId="41" fontId="88" fillId="28" borderId="24" xfId="7" applyNumberFormat="1" applyFont="1" applyFill="1" applyBorder="1"/>
    <xf numFmtId="41" fontId="66" fillId="0" borderId="24" xfId="7" applyNumberFormat="1" applyFont="1" applyBorder="1"/>
    <xf numFmtId="0" fontId="39" fillId="0" borderId="25" xfId="7" applyFont="1" applyBorder="1" applyAlignment="1">
      <alignment horizontal="left" vertical="center"/>
    </xf>
    <xf numFmtId="41" fontId="39" fillId="28" borderId="24" xfId="7" applyNumberFormat="1" applyFont="1" applyFill="1" applyBorder="1"/>
    <xf numFmtId="41" fontId="63" fillId="28" borderId="0" xfId="7" applyNumberFormat="1" applyFont="1" applyFill="1" applyAlignment="1">
      <alignment horizontal="right"/>
    </xf>
    <xf numFmtId="41" fontId="99" fillId="0" borderId="24" xfId="7" applyNumberFormat="1" applyFont="1" applyBorder="1"/>
    <xf numFmtId="191" fontId="39" fillId="0" borderId="29" xfId="7" applyNumberFormat="1" applyFont="1" applyBorder="1"/>
    <xf numFmtId="0" fontId="112" fillId="0" borderId="0" xfId="22"/>
    <xf numFmtId="208" fontId="113" fillId="40" borderId="0" xfId="22" applyNumberFormat="1" applyFont="1" applyFill="1" applyAlignment="1">
      <alignment horizontal="right" vertical="center" wrapText="1"/>
    </xf>
    <xf numFmtId="209" fontId="113" fillId="40" borderId="0" xfId="22" applyNumberFormat="1" applyFont="1" applyFill="1" applyAlignment="1">
      <alignment horizontal="right" vertical="center" wrapText="1"/>
    </xf>
    <xf numFmtId="210" fontId="113" fillId="40" borderId="0" xfId="22" applyNumberFormat="1" applyFont="1" applyFill="1" applyAlignment="1">
      <alignment horizontal="right" vertical="center" wrapText="1"/>
    </xf>
    <xf numFmtId="211" fontId="113" fillId="40" borderId="0" xfId="22" applyNumberFormat="1" applyFont="1" applyFill="1" applyAlignment="1">
      <alignment horizontal="right" vertical="center" wrapText="1"/>
    </xf>
    <xf numFmtId="212" fontId="113" fillId="40" borderId="0" xfId="22" applyNumberFormat="1" applyFont="1" applyFill="1" applyAlignment="1">
      <alignment horizontal="right" vertical="center" wrapText="1"/>
    </xf>
    <xf numFmtId="0" fontId="113" fillId="40" borderId="0" xfId="22" applyFont="1" applyFill="1" applyAlignment="1">
      <alignment horizontal="left" vertical="center"/>
    </xf>
    <xf numFmtId="208" fontId="113" fillId="40" borderId="47" xfId="22" applyNumberFormat="1" applyFont="1" applyFill="1" applyBorder="1" applyAlignment="1">
      <alignment horizontal="right" vertical="center" wrapText="1"/>
    </xf>
    <xf numFmtId="209" fontId="113" fillId="40" borderId="47" xfId="22" applyNumberFormat="1" applyFont="1" applyFill="1" applyBorder="1" applyAlignment="1">
      <alignment horizontal="right" vertical="center" wrapText="1"/>
    </xf>
    <xf numFmtId="210" fontId="113" fillId="40" borderId="47" xfId="22" applyNumberFormat="1" applyFont="1" applyFill="1" applyBorder="1" applyAlignment="1">
      <alignment horizontal="right" vertical="center" wrapText="1"/>
    </xf>
    <xf numFmtId="0" fontId="113" fillId="40" borderId="47" xfId="22" applyFont="1" applyFill="1" applyBorder="1" applyAlignment="1">
      <alignment horizontal="left" vertical="center"/>
    </xf>
    <xf numFmtId="208" fontId="114" fillId="41" borderId="0" xfId="22" applyNumberFormat="1" applyFont="1" applyFill="1" applyAlignment="1">
      <alignment horizontal="right" vertical="center" wrapText="1"/>
    </xf>
    <xf numFmtId="209" fontId="114" fillId="41" borderId="0" xfId="22" applyNumberFormat="1" applyFont="1" applyFill="1" applyAlignment="1">
      <alignment horizontal="right" vertical="center" wrapText="1"/>
    </xf>
    <xf numFmtId="210" fontId="114" fillId="41" borderId="0" xfId="22" applyNumberFormat="1" applyFont="1" applyFill="1" applyAlignment="1">
      <alignment horizontal="right" vertical="center" wrapText="1"/>
    </xf>
    <xf numFmtId="0" fontId="114" fillId="41" borderId="0" xfId="22" applyFont="1" applyFill="1" applyAlignment="1">
      <alignment horizontal="left" vertical="center"/>
    </xf>
    <xf numFmtId="208" fontId="114" fillId="41" borderId="48" xfId="22" applyNumberFormat="1" applyFont="1" applyFill="1" applyBorder="1" applyAlignment="1">
      <alignment horizontal="right" vertical="center" wrapText="1"/>
    </xf>
    <xf numFmtId="209" fontId="114" fillId="41" borderId="48" xfId="22" applyNumberFormat="1" applyFont="1" applyFill="1" applyBorder="1" applyAlignment="1">
      <alignment horizontal="right" vertical="center" wrapText="1"/>
    </xf>
    <xf numFmtId="210" fontId="114" fillId="41" borderId="48" xfId="22" applyNumberFormat="1" applyFont="1" applyFill="1" applyBorder="1" applyAlignment="1">
      <alignment horizontal="right" vertical="center" wrapText="1"/>
    </xf>
    <xf numFmtId="0" fontId="114" fillId="41" borderId="48" xfId="22" applyFont="1" applyFill="1" applyBorder="1" applyAlignment="1">
      <alignment horizontal="left" vertical="center"/>
    </xf>
    <xf numFmtId="208" fontId="114" fillId="41" borderId="49" xfId="22" applyNumberFormat="1" applyFont="1" applyFill="1" applyBorder="1" applyAlignment="1">
      <alignment horizontal="right" vertical="center" wrapText="1"/>
    </xf>
    <xf numFmtId="209" fontId="114" fillId="41" borderId="49" xfId="22" applyNumberFormat="1" applyFont="1" applyFill="1" applyBorder="1" applyAlignment="1">
      <alignment horizontal="right" vertical="center" wrapText="1"/>
    </xf>
    <xf numFmtId="210" fontId="114" fillId="41" borderId="49" xfId="22" applyNumberFormat="1" applyFont="1" applyFill="1" applyBorder="1" applyAlignment="1">
      <alignment horizontal="right" vertical="center" wrapText="1"/>
    </xf>
    <xf numFmtId="210" fontId="114" fillId="0" borderId="49" xfId="22" applyNumberFormat="1" applyFont="1" applyBorder="1" applyAlignment="1">
      <alignment horizontal="right" vertical="center" wrapText="1"/>
    </xf>
    <xf numFmtId="0" fontId="114" fillId="0" borderId="49" xfId="22" applyFont="1" applyBorder="1" applyAlignment="1">
      <alignment horizontal="left" vertical="center"/>
    </xf>
    <xf numFmtId="208" fontId="113" fillId="42" borderId="50" xfId="22" applyNumberFormat="1" applyFont="1" applyFill="1" applyBorder="1" applyAlignment="1">
      <alignment horizontal="right" vertical="center" wrapText="1"/>
    </xf>
    <xf numFmtId="209" fontId="113" fillId="42" borderId="50" xfId="22" applyNumberFormat="1" applyFont="1" applyFill="1" applyBorder="1" applyAlignment="1">
      <alignment horizontal="right" vertical="center" wrapText="1"/>
    </xf>
    <xf numFmtId="210" fontId="113" fillId="42" borderId="50" xfId="22" applyNumberFormat="1" applyFont="1" applyFill="1" applyBorder="1" applyAlignment="1">
      <alignment horizontal="right" vertical="center" wrapText="1"/>
    </xf>
    <xf numFmtId="0" fontId="113" fillId="42" borderId="50" xfId="22" applyFont="1" applyFill="1" applyBorder="1" applyAlignment="1">
      <alignment horizontal="left" vertical="center"/>
    </xf>
    <xf numFmtId="0" fontId="114" fillId="42" borderId="0" xfId="22" applyFont="1" applyFill="1"/>
    <xf numFmtId="0" fontId="115" fillId="42" borderId="0" xfId="22" applyFont="1" applyFill="1"/>
    <xf numFmtId="0" fontId="116" fillId="0" borderId="0" xfId="22" applyFont="1"/>
    <xf numFmtId="0" fontId="117" fillId="0" borderId="0" xfId="22" applyFont="1"/>
    <xf numFmtId="0" fontId="118" fillId="0" borderId="0" xfId="22" applyFont="1"/>
    <xf numFmtId="0" fontId="119" fillId="0" borderId="0" xfId="22" applyFont="1"/>
    <xf numFmtId="0" fontId="120" fillId="38" borderId="46" xfId="22" applyFont="1" applyFill="1" applyBorder="1"/>
    <xf numFmtId="0" fontId="116" fillId="38" borderId="17" xfId="22" applyFont="1" applyFill="1" applyBorder="1"/>
    <xf numFmtId="0" fontId="116" fillId="38" borderId="45" xfId="22" applyFont="1" applyFill="1" applyBorder="1"/>
    <xf numFmtId="0" fontId="116" fillId="0" borderId="44" xfId="22" applyFont="1" applyBorder="1"/>
    <xf numFmtId="0" fontId="116" fillId="0" borderId="0" xfId="22" applyFont="1" applyAlignment="1">
      <alignment horizontal="center"/>
    </xf>
    <xf numFmtId="0" fontId="116" fillId="0" borderId="43" xfId="22" applyFont="1" applyBorder="1" applyAlignment="1">
      <alignment horizontal="center"/>
    </xf>
    <xf numFmtId="0" fontId="116" fillId="0" borderId="42" xfId="22" applyFont="1" applyBorder="1"/>
    <xf numFmtId="0" fontId="116" fillId="0" borderId="40" xfId="22" applyFont="1" applyBorder="1"/>
    <xf numFmtId="0" fontId="121" fillId="0" borderId="0" xfId="22" applyFont="1"/>
    <xf numFmtId="0" fontId="120" fillId="0" borderId="0" xfId="22" applyFont="1"/>
    <xf numFmtId="0" fontId="120" fillId="36" borderId="0" xfId="22" applyFont="1" applyFill="1"/>
    <xf numFmtId="203" fontId="122" fillId="39" borderId="0" xfId="22" applyNumberFormat="1" applyFont="1" applyFill="1"/>
    <xf numFmtId="203" fontId="123" fillId="0" borderId="0" xfId="22" applyNumberFormat="1" applyFont="1"/>
    <xf numFmtId="207" fontId="123" fillId="0" borderId="0" xfId="22" applyNumberFormat="1" applyFont="1" applyAlignment="1">
      <alignment horizontal="center"/>
    </xf>
    <xf numFmtId="207" fontId="124" fillId="0" borderId="43" xfId="22" applyNumberFormat="1" applyFont="1" applyBorder="1" applyAlignment="1">
      <alignment horizontal="center"/>
    </xf>
    <xf numFmtId="9" fontId="125" fillId="37" borderId="0" xfId="22" applyNumberFormat="1" applyFont="1" applyFill="1"/>
    <xf numFmtId="44" fontId="123" fillId="0" borderId="0" xfId="22" applyNumberFormat="1" applyFont="1"/>
    <xf numFmtId="165" fontId="123" fillId="0" borderId="0" xfId="22" applyNumberFormat="1" applyFont="1"/>
    <xf numFmtId="207" fontId="123" fillId="0" borderId="40" xfId="22" applyNumberFormat="1" applyFont="1" applyBorder="1" applyAlignment="1">
      <alignment horizontal="center"/>
    </xf>
    <xf numFmtId="207" fontId="124" fillId="0" borderId="41" xfId="22" applyNumberFormat="1" applyFont="1" applyBorder="1" applyAlignment="1">
      <alignment horizontal="center"/>
    </xf>
    <xf numFmtId="9" fontId="125" fillId="37" borderId="40" xfId="22" applyNumberFormat="1" applyFont="1" applyFill="1" applyBorder="1"/>
    <xf numFmtId="44" fontId="123" fillId="0" borderId="40" xfId="22" applyNumberFormat="1" applyFont="1" applyBorder="1"/>
    <xf numFmtId="9" fontId="126" fillId="37" borderId="0" xfId="22" applyNumberFormat="1" applyFont="1" applyFill="1"/>
    <xf numFmtId="9" fontId="127" fillId="0" borderId="0" xfId="22" applyNumberFormat="1" applyFont="1"/>
    <xf numFmtId="9" fontId="123" fillId="0" borderId="0" xfId="22" applyNumberFormat="1" applyFont="1"/>
    <xf numFmtId="8" fontId="125" fillId="36" borderId="0" xfId="22" applyNumberFormat="1" applyFont="1" applyFill="1"/>
    <xf numFmtId="8" fontId="123" fillId="0" borderId="0" xfId="22" applyNumberFormat="1" applyFont="1"/>
    <xf numFmtId="10" fontId="128" fillId="0" borderId="0" xfId="22" applyNumberFormat="1" applyFont="1"/>
    <xf numFmtId="207" fontId="123" fillId="0" borderId="0" xfId="22" applyNumberFormat="1" applyFont="1"/>
    <xf numFmtId="203" fontId="123" fillId="36" borderId="0" xfId="22" applyNumberFormat="1" applyFont="1" applyFill="1"/>
    <xf numFmtId="10" fontId="128" fillId="0" borderId="40" xfId="22" applyNumberFormat="1" applyFont="1" applyBorder="1"/>
    <xf numFmtId="207" fontId="123" fillId="0" borderId="40" xfId="22" applyNumberFormat="1" applyFont="1" applyBorder="1"/>
    <xf numFmtId="203" fontId="123" fillId="36" borderId="40" xfId="22" applyNumberFormat="1" applyFont="1" applyFill="1" applyBorder="1"/>
    <xf numFmtId="10" fontId="123" fillId="0" borderId="0" xfId="22" applyNumberFormat="1" applyFont="1"/>
    <xf numFmtId="43" fontId="123" fillId="0" borderId="0" xfId="22" applyNumberFormat="1" applyFont="1"/>
    <xf numFmtId="0" fontId="59" fillId="21" borderId="0" xfId="0" applyFont="1" applyFill="1" applyBorder="1" applyAlignment="1">
      <alignment horizontal="centerContinuous"/>
    </xf>
    <xf numFmtId="164" fontId="59" fillId="21" borderId="0" xfId="0" applyNumberFormat="1" applyFont="1" applyFill="1" applyBorder="1" applyAlignment="1">
      <alignment horizontal="center"/>
    </xf>
    <xf numFmtId="171" fontId="56" fillId="0" borderId="0" xfId="0" applyNumberFormat="1" applyFont="1" applyBorder="1"/>
    <xf numFmtId="169" fontId="58" fillId="0" borderId="0" xfId="2" applyNumberFormat="1" applyFont="1" applyBorder="1"/>
    <xf numFmtId="165" fontId="56" fillId="0" borderId="0" xfId="0" applyNumberFormat="1" applyFont="1" applyBorder="1"/>
    <xf numFmtId="172" fontId="44" fillId="0" borderId="0" xfId="1" applyNumberFormat="1" applyFont="1" applyBorder="1"/>
    <xf numFmtId="171" fontId="57" fillId="0" borderId="0" xfId="1" applyNumberFormat="1" applyFont="1" applyBorder="1"/>
    <xf numFmtId="179" fontId="56" fillId="0" borderId="0" xfId="1" applyNumberFormat="1" applyFont="1" applyBorder="1"/>
    <xf numFmtId="0" fontId="56" fillId="2" borderId="0" xfId="0" applyFont="1" applyFill="1" applyBorder="1"/>
    <xf numFmtId="0" fontId="56" fillId="0" borderId="0" xfId="0" applyFont="1" applyBorder="1"/>
    <xf numFmtId="165" fontId="57" fillId="0" borderId="0" xfId="0" applyNumberFormat="1" applyFont="1" applyBorder="1"/>
    <xf numFmtId="0" fontId="59" fillId="21" borderId="34" xfId="0" applyFont="1" applyFill="1" applyBorder="1" applyAlignment="1">
      <alignment horizontal="centerContinuous"/>
    </xf>
    <xf numFmtId="164" fontId="59" fillId="21" borderId="34" xfId="0" applyNumberFormat="1" applyFont="1" applyFill="1" applyBorder="1" applyAlignment="1">
      <alignment horizontal="center"/>
    </xf>
    <xf numFmtId="172" fontId="57" fillId="0" borderId="34" xfId="1" applyNumberFormat="1" applyFont="1" applyBorder="1"/>
    <xf numFmtId="171" fontId="56" fillId="0" borderId="34" xfId="0" applyNumberFormat="1" applyFont="1" applyBorder="1"/>
    <xf numFmtId="171" fontId="56" fillId="0" borderId="53" xfId="0" applyNumberFormat="1" applyFont="1" applyBorder="1"/>
    <xf numFmtId="169" fontId="58" fillId="0" borderId="34" xfId="2" applyNumberFormat="1" applyFont="1" applyBorder="1"/>
    <xf numFmtId="165" fontId="56" fillId="0" borderId="34" xfId="0" applyNumberFormat="1" applyFont="1" applyBorder="1"/>
    <xf numFmtId="171" fontId="56" fillId="0" borderId="34" xfId="1" applyNumberFormat="1" applyFont="1" applyBorder="1"/>
    <xf numFmtId="165" fontId="0" fillId="0" borderId="34" xfId="1" applyNumberFormat="1" applyFont="1" applyBorder="1"/>
    <xf numFmtId="171" fontId="56" fillId="0" borderId="53" xfId="1" applyNumberFormat="1" applyFont="1" applyBorder="1"/>
    <xf numFmtId="171" fontId="57" fillId="0" borderId="34" xfId="1" applyNumberFormat="1" applyFont="1" applyBorder="1"/>
    <xf numFmtId="172" fontId="56" fillId="0" borderId="34" xfId="1" applyNumberFormat="1" applyFont="1" applyFill="1" applyBorder="1" applyAlignment="1"/>
    <xf numFmtId="169" fontId="56" fillId="0" borderId="34" xfId="2" applyNumberFormat="1" applyFont="1" applyBorder="1"/>
    <xf numFmtId="179" fontId="56" fillId="0" borderId="34" xfId="1" applyNumberFormat="1" applyFont="1" applyBorder="1"/>
    <xf numFmtId="7" fontId="56" fillId="0" borderId="34" xfId="1" applyNumberFormat="1" applyFont="1" applyBorder="1"/>
    <xf numFmtId="43" fontId="56" fillId="0" borderId="34" xfId="1" applyFont="1" applyFill="1" applyBorder="1"/>
    <xf numFmtId="165" fontId="56" fillId="0" borderId="34" xfId="1" applyNumberFormat="1" applyFont="1" applyBorder="1"/>
    <xf numFmtId="0" fontId="56" fillId="2" borderId="34" xfId="0" applyFont="1" applyFill="1" applyBorder="1"/>
    <xf numFmtId="0" fontId="56" fillId="0" borderId="34" xfId="0" applyFont="1" applyBorder="1"/>
    <xf numFmtId="165" fontId="56" fillId="0" borderId="53" xfId="1" applyNumberFormat="1" applyFont="1" applyBorder="1"/>
    <xf numFmtId="165" fontId="57" fillId="0" borderId="34" xfId="0" applyNumberFormat="1" applyFont="1" applyBorder="1"/>
    <xf numFmtId="164" fontId="59" fillId="21" borderId="15" xfId="0" applyNumberFormat="1" applyFont="1" applyFill="1" applyBorder="1" applyAlignment="1">
      <alignment horizontal="center"/>
    </xf>
    <xf numFmtId="169" fontId="58" fillId="0" borderId="15" xfId="2" applyNumberFormat="1" applyFont="1" applyBorder="1"/>
    <xf numFmtId="172" fontId="44" fillId="0" borderId="15" xfId="1" applyNumberFormat="1" applyFont="1" applyBorder="1"/>
    <xf numFmtId="171" fontId="57" fillId="0" borderId="15" xfId="1" applyNumberFormat="1" applyFont="1" applyBorder="1"/>
    <xf numFmtId="179" fontId="56" fillId="0" borderId="15" xfId="1" applyNumberFormat="1" applyFont="1" applyBorder="1"/>
    <xf numFmtId="43" fontId="56" fillId="0" borderId="15" xfId="1" applyFont="1" applyFill="1" applyBorder="1"/>
    <xf numFmtId="179" fontId="57" fillId="0" borderId="0" xfId="1" applyNumberFormat="1" applyFont="1"/>
    <xf numFmtId="179" fontId="57" fillId="0" borderId="15" xfId="1" applyNumberFormat="1" applyFont="1" applyBorder="1"/>
    <xf numFmtId="179" fontId="57" fillId="0" borderId="0" xfId="1" applyNumberFormat="1" applyFont="1" applyBorder="1"/>
    <xf numFmtId="179" fontId="57" fillId="0" borderId="0" xfId="1" applyNumberFormat="1" applyFont="1" applyFill="1"/>
    <xf numFmtId="184" fontId="56" fillId="0" borderId="0" xfId="0" applyNumberFormat="1" applyFont="1"/>
    <xf numFmtId="184" fontId="56" fillId="0" borderId="15" xfId="0" applyNumberFormat="1" applyFont="1" applyBorder="1"/>
    <xf numFmtId="184" fontId="56" fillId="0" borderId="5" xfId="0" applyNumberFormat="1" applyFont="1" applyBorder="1"/>
    <xf numFmtId="184" fontId="56" fillId="0" borderId="16" xfId="0" applyNumberFormat="1" applyFont="1" applyBorder="1"/>
    <xf numFmtId="171" fontId="40" fillId="0" borderId="0" xfId="0" applyNumberFormat="1" applyFont="1"/>
    <xf numFmtId="171" fontId="40" fillId="0" borderId="15" xfId="0" applyNumberFormat="1" applyFont="1" applyBorder="1"/>
    <xf numFmtId="179" fontId="44" fillId="0" borderId="0" xfId="1" applyNumberFormat="1" applyFont="1"/>
    <xf numFmtId="179" fontId="44" fillId="0" borderId="15" xfId="1" applyNumberFormat="1" applyFont="1" applyBorder="1"/>
    <xf numFmtId="179" fontId="44" fillId="0" borderId="0" xfId="1" applyNumberFormat="1" applyFont="1" applyBorder="1"/>
    <xf numFmtId="179" fontId="44" fillId="0" borderId="0" xfId="1" applyNumberFormat="1" applyFont="1" applyFill="1"/>
    <xf numFmtId="172" fontId="44" fillId="0" borderId="0" xfId="1" applyNumberFormat="1" applyFont="1" applyFill="1"/>
    <xf numFmtId="9" fontId="129" fillId="0" borderId="0" xfId="2" applyFont="1"/>
    <xf numFmtId="183" fontId="129" fillId="0" borderId="0" xfId="2" applyNumberFormat="1" applyFont="1" applyAlignment="1">
      <alignment horizontal="right"/>
    </xf>
    <xf numFmtId="183" fontId="129" fillId="0" borderId="15" xfId="2" applyNumberFormat="1" applyFont="1" applyBorder="1" applyAlignment="1">
      <alignment horizontal="right"/>
    </xf>
    <xf numFmtId="183" fontId="129" fillId="0" borderId="0" xfId="2" applyNumberFormat="1" applyFont="1" applyBorder="1" applyAlignment="1">
      <alignment horizontal="right"/>
    </xf>
    <xf numFmtId="216" fontId="58" fillId="0" borderId="0" xfId="2" applyNumberFormat="1" applyFont="1"/>
    <xf numFmtId="216" fontId="58" fillId="0" borderId="15" xfId="2" applyNumberFormat="1" applyFont="1" applyBorder="1"/>
    <xf numFmtId="216" fontId="58" fillId="0" borderId="0" xfId="2" applyNumberFormat="1" applyFont="1" applyBorder="1"/>
    <xf numFmtId="216" fontId="58" fillId="0" borderId="34" xfId="2" applyNumberFormat="1" applyFont="1" applyBorder="1"/>
    <xf numFmtId="216" fontId="40" fillId="0" borderId="0" xfId="2" applyNumberFormat="1" applyFont="1" applyAlignment="1">
      <alignment horizontal="right"/>
    </xf>
    <xf numFmtId="216" fontId="40" fillId="0" borderId="15" xfId="2" applyNumberFormat="1" applyFont="1" applyBorder="1" applyAlignment="1">
      <alignment horizontal="right"/>
    </xf>
    <xf numFmtId="216" fontId="40" fillId="0" borderId="0" xfId="2" applyNumberFormat="1" applyFont="1" applyBorder="1" applyAlignment="1">
      <alignment horizontal="right"/>
    </xf>
    <xf numFmtId="216" fontId="129" fillId="0" borderId="0" xfId="2" applyNumberFormat="1" applyFont="1" applyAlignment="1">
      <alignment horizontal="right"/>
    </xf>
    <xf numFmtId="216" fontId="129" fillId="0" borderId="15" xfId="2" applyNumberFormat="1" applyFont="1" applyBorder="1" applyAlignment="1">
      <alignment horizontal="right"/>
    </xf>
    <xf numFmtId="216" fontId="129" fillId="0" borderId="0" xfId="2" applyNumberFormat="1" applyFont="1" applyBorder="1" applyAlignment="1">
      <alignment horizontal="right"/>
    </xf>
    <xf numFmtId="179" fontId="56" fillId="0" borderId="34" xfId="0" applyNumberFormat="1" applyFont="1" applyBorder="1"/>
    <xf numFmtId="179" fontId="56" fillId="0" borderId="0" xfId="0" applyNumberFormat="1" applyFont="1" applyBorder="1"/>
    <xf numFmtId="179" fontId="44" fillId="0" borderId="34" xfId="1" applyNumberFormat="1" applyFont="1" applyBorder="1"/>
    <xf numFmtId="179" fontId="57" fillId="0" borderId="34" xfId="1" applyNumberFormat="1" applyFont="1" applyBorder="1"/>
    <xf numFmtId="184" fontId="56" fillId="0" borderId="0" xfId="0" applyNumberFormat="1" applyFont="1" applyBorder="1"/>
    <xf numFmtId="184" fontId="56" fillId="0" borderId="34" xfId="0" applyNumberFormat="1" applyFont="1" applyBorder="1"/>
    <xf numFmtId="184" fontId="56" fillId="0" borderId="53" xfId="0" applyNumberFormat="1" applyFont="1" applyBorder="1"/>
    <xf numFmtId="217" fontId="56" fillId="0" borderId="0" xfId="0" applyNumberFormat="1" applyFont="1"/>
    <xf numFmtId="217" fontId="56" fillId="0" borderId="15" xfId="0" applyNumberFormat="1" applyFont="1" applyBorder="1"/>
    <xf numFmtId="217" fontId="56" fillId="0" borderId="0" xfId="0" applyNumberFormat="1" applyFont="1" applyBorder="1"/>
    <xf numFmtId="217" fontId="56" fillId="0" borderId="34" xfId="0" applyNumberFormat="1" applyFont="1" applyBorder="1"/>
    <xf numFmtId="217" fontId="40" fillId="0" borderId="0" xfId="0" applyNumberFormat="1" applyFont="1"/>
    <xf numFmtId="217" fontId="40" fillId="0" borderId="15" xfId="0" applyNumberFormat="1" applyFont="1" applyBorder="1"/>
    <xf numFmtId="217" fontId="56" fillId="0" borderId="0" xfId="0" applyNumberFormat="1" applyFont="1" applyFill="1"/>
    <xf numFmtId="217" fontId="56" fillId="0" borderId="0" xfId="0" applyNumberFormat="1" applyFont="1" applyFill="1" applyBorder="1"/>
    <xf numFmtId="217" fontId="56" fillId="0" borderId="34" xfId="0" applyNumberFormat="1" applyFont="1" applyFill="1" applyBorder="1"/>
    <xf numFmtId="217" fontId="56" fillId="0" borderId="15" xfId="0" applyNumberFormat="1" applyFont="1" applyFill="1" applyBorder="1"/>
    <xf numFmtId="217" fontId="40" fillId="0" borderId="5" xfId="0" applyNumberFormat="1" applyFont="1" applyBorder="1"/>
    <xf numFmtId="217" fontId="40" fillId="0" borderId="16" xfId="0" applyNumberFormat="1" applyFont="1" applyBorder="1"/>
    <xf numFmtId="217" fontId="56" fillId="0" borderId="5" xfId="0" applyNumberFormat="1" applyFont="1" applyFill="1" applyBorder="1"/>
    <xf numFmtId="217" fontId="56" fillId="0" borderId="53" xfId="0" applyNumberFormat="1" applyFont="1" applyFill="1" applyBorder="1"/>
    <xf numFmtId="217" fontId="56" fillId="0" borderId="16" xfId="0" applyNumberFormat="1" applyFont="1" applyFill="1" applyBorder="1"/>
    <xf numFmtId="0" fontId="4" fillId="0" borderId="0" xfId="0" applyFont="1" applyAlignment="1">
      <alignment horizontal="left" indent="1"/>
    </xf>
    <xf numFmtId="0" fontId="4" fillId="0" borderId="0" xfId="0" applyFont="1" applyAlignment="1">
      <alignment horizontal="left"/>
    </xf>
    <xf numFmtId="0" fontId="0" fillId="0" borderId="0" xfId="0" applyFont="1" applyAlignment="1">
      <alignment horizontal="left" indent="2"/>
    </xf>
    <xf numFmtId="179" fontId="40" fillId="0" borderId="0" xfId="0" applyNumberFormat="1" applyFont="1"/>
    <xf numFmtId="217" fontId="40" fillId="0" borderId="39" xfId="0" applyNumberFormat="1" applyFont="1" applyBorder="1"/>
    <xf numFmtId="179" fontId="40" fillId="0" borderId="0" xfId="0" applyNumberFormat="1" applyFont="1" applyBorder="1"/>
    <xf numFmtId="179" fontId="40" fillId="0" borderId="15" xfId="0" applyNumberFormat="1" applyFont="1" applyBorder="1"/>
    <xf numFmtId="217" fontId="40" fillId="0" borderId="55" xfId="0" applyNumberFormat="1" applyFont="1" applyBorder="1"/>
    <xf numFmtId="179" fontId="44" fillId="0" borderId="0" xfId="0" applyNumberFormat="1" applyFont="1" applyBorder="1"/>
    <xf numFmtId="179" fontId="44" fillId="0" borderId="15" xfId="0" applyNumberFormat="1" applyFont="1" applyBorder="1"/>
    <xf numFmtId="179" fontId="3" fillId="0" borderId="0" xfId="0" applyNumberFormat="1" applyFont="1" applyBorder="1"/>
    <xf numFmtId="179" fontId="3" fillId="0" borderId="34" xfId="0" applyNumberFormat="1" applyFont="1" applyBorder="1"/>
    <xf numFmtId="179" fontId="3" fillId="0" borderId="15" xfId="0" applyNumberFormat="1" applyFont="1" applyBorder="1"/>
    <xf numFmtId="179" fontId="57" fillId="0" borderId="34" xfId="0" applyNumberFormat="1" applyFont="1" applyBorder="1"/>
    <xf numFmtId="179" fontId="57" fillId="0" borderId="0" xfId="0" applyNumberFormat="1" applyFont="1" applyBorder="1"/>
    <xf numFmtId="179" fontId="57" fillId="0" borderId="15" xfId="0" applyNumberFormat="1" applyFont="1" applyBorder="1"/>
    <xf numFmtId="165" fontId="0" fillId="0" borderId="39" xfId="1" applyNumberFormat="1" applyFont="1" applyBorder="1"/>
    <xf numFmtId="165" fontId="0" fillId="0" borderId="55" xfId="1" applyNumberFormat="1" applyFont="1" applyBorder="1"/>
    <xf numFmtId="0" fontId="3" fillId="0" borderId="0" xfId="0" applyFont="1" applyBorder="1" applyAlignment="1">
      <alignment horizontal="left"/>
    </xf>
    <xf numFmtId="217" fontId="56" fillId="0" borderId="39" xfId="1" applyNumberFormat="1" applyFont="1" applyBorder="1"/>
    <xf numFmtId="217" fontId="56" fillId="0" borderId="56" xfId="1" applyNumberFormat="1" applyFont="1" applyBorder="1"/>
    <xf numFmtId="217" fontId="56" fillId="0" borderId="55" xfId="1" applyNumberFormat="1" applyFont="1" applyBorder="1"/>
    <xf numFmtId="217" fontId="56" fillId="0" borderId="0" xfId="1" applyNumberFormat="1" applyFont="1"/>
    <xf numFmtId="217" fontId="56" fillId="0" borderId="0" xfId="1" applyNumberFormat="1" applyFont="1" applyBorder="1"/>
    <xf numFmtId="217" fontId="56" fillId="0" borderId="34" xfId="1" applyNumberFormat="1" applyFont="1" applyBorder="1"/>
    <xf numFmtId="217" fontId="56" fillId="0" borderId="15" xfId="1" applyNumberFormat="1" applyFont="1" applyBorder="1"/>
    <xf numFmtId="217" fontId="56" fillId="0" borderId="39" xfId="1" applyNumberFormat="1" applyFont="1" applyFill="1" applyBorder="1"/>
    <xf numFmtId="179" fontId="0" fillId="0" borderId="0" xfId="1" applyNumberFormat="1" applyFont="1" applyBorder="1"/>
    <xf numFmtId="179" fontId="0" fillId="0" borderId="15" xfId="1" applyNumberFormat="1" applyFont="1" applyBorder="1"/>
    <xf numFmtId="179" fontId="0" fillId="0" borderId="0" xfId="1" applyNumberFormat="1" applyFont="1" applyFill="1" applyBorder="1"/>
    <xf numFmtId="179" fontId="0" fillId="0" borderId="34" xfId="1" applyNumberFormat="1" applyFont="1" applyBorder="1"/>
    <xf numFmtId="217" fontId="56" fillId="0" borderId="40" xfId="0" applyNumberFormat="1" applyFont="1" applyBorder="1"/>
    <xf numFmtId="217" fontId="56" fillId="0" borderId="57" xfId="0" applyNumberFormat="1" applyFont="1" applyBorder="1"/>
    <xf numFmtId="217" fontId="56" fillId="0" borderId="40" xfId="1" applyNumberFormat="1" applyFont="1" applyBorder="1"/>
    <xf numFmtId="217" fontId="56" fillId="0" borderId="58" xfId="1" applyNumberFormat="1" applyFont="1" applyBorder="1"/>
    <xf numFmtId="217" fontId="56" fillId="0" borderId="57" xfId="1" applyNumberFormat="1" applyFont="1" applyBorder="1"/>
    <xf numFmtId="179" fontId="3" fillId="0" borderId="0" xfId="1" applyNumberFormat="1" applyFont="1" applyBorder="1"/>
    <xf numFmtId="179" fontId="3" fillId="0" borderId="15" xfId="1" applyNumberFormat="1" applyFont="1" applyBorder="1"/>
    <xf numFmtId="179" fontId="3" fillId="0" borderId="0" xfId="1" applyNumberFormat="1" applyFont="1" applyFill="1" applyBorder="1"/>
    <xf numFmtId="179" fontId="3" fillId="0" borderId="34" xfId="1" applyNumberFormat="1" applyFont="1" applyBorder="1"/>
    <xf numFmtId="217" fontId="56" fillId="0" borderId="39" xfId="0" applyNumberFormat="1" applyFont="1" applyBorder="1"/>
    <xf numFmtId="217" fontId="56" fillId="0" borderId="55" xfId="0" applyNumberFormat="1" applyFont="1" applyBorder="1"/>
    <xf numFmtId="0" fontId="3" fillId="0" borderId="0" xfId="0" applyFont="1" applyBorder="1" applyAlignment="1">
      <alignment horizontal="left" indent="1"/>
    </xf>
    <xf numFmtId="216" fontId="129" fillId="0" borderId="0" xfId="2" applyNumberFormat="1" applyFont="1"/>
    <xf numFmtId="216" fontId="129" fillId="0" borderId="15" xfId="2" applyNumberFormat="1" applyFont="1" applyBorder="1"/>
    <xf numFmtId="216" fontId="129" fillId="0" borderId="0" xfId="2" applyNumberFormat="1" applyFont="1" applyBorder="1"/>
    <xf numFmtId="216" fontId="129" fillId="0" borderId="0" xfId="2" applyNumberFormat="1" applyFont="1" applyFill="1"/>
    <xf numFmtId="216" fontId="129" fillId="0" borderId="40" xfId="2" applyNumberFormat="1" applyFont="1" applyBorder="1"/>
    <xf numFmtId="216" fontId="129" fillId="0" borderId="57" xfId="2" applyNumberFormat="1" applyFont="1" applyBorder="1"/>
    <xf numFmtId="216" fontId="129" fillId="0" borderId="40" xfId="2" applyNumberFormat="1" applyFont="1" applyFill="1" applyBorder="1"/>
    <xf numFmtId="216" fontId="129" fillId="0" borderId="0" xfId="2" applyNumberFormat="1" applyFont="1" applyFill="1" applyBorder="1"/>
    <xf numFmtId="216" fontId="129" fillId="0" borderId="34" xfId="2" applyNumberFormat="1" applyFont="1" applyBorder="1"/>
    <xf numFmtId="216" fontId="129" fillId="0" borderId="58" xfId="2" applyNumberFormat="1" applyFont="1" applyBorder="1"/>
    <xf numFmtId="0" fontId="0" fillId="0" borderId="0" xfId="0" applyFont="1" applyBorder="1" applyAlignment="1">
      <alignment horizontal="left" indent="1"/>
    </xf>
    <xf numFmtId="179" fontId="40" fillId="0" borderId="0" xfId="1" applyNumberFormat="1" applyFont="1" applyBorder="1"/>
    <xf numFmtId="179" fontId="40" fillId="0" borderId="34" xfId="1" applyNumberFormat="1" applyFont="1" applyBorder="1"/>
    <xf numFmtId="179" fontId="40" fillId="0" borderId="15" xfId="1" applyNumberFormat="1" applyFont="1" applyBorder="1"/>
    <xf numFmtId="179" fontId="40" fillId="0" borderId="0" xfId="1" applyNumberFormat="1" applyFont="1"/>
    <xf numFmtId="217" fontId="40" fillId="0" borderId="0" xfId="1" applyNumberFormat="1" applyFont="1"/>
    <xf numFmtId="217" fontId="40" fillId="0" borderId="0" xfId="1" applyNumberFormat="1" applyFont="1" applyBorder="1"/>
    <xf numFmtId="217" fontId="40" fillId="0" borderId="34" xfId="1" applyNumberFormat="1" applyFont="1" applyBorder="1"/>
    <xf numFmtId="217" fontId="40" fillId="0" borderId="15" xfId="1" applyNumberFormat="1" applyFont="1" applyBorder="1"/>
    <xf numFmtId="217" fontId="40" fillId="0" borderId="39" xfId="1" applyNumberFormat="1" applyFont="1" applyBorder="1"/>
    <xf numFmtId="217" fontId="40" fillId="0" borderId="56" xfId="1" applyNumberFormat="1" applyFont="1" applyBorder="1"/>
    <xf numFmtId="217" fontId="40" fillId="0" borderId="55" xfId="1" applyNumberFormat="1" applyFont="1" applyBorder="1"/>
    <xf numFmtId="217" fontId="40" fillId="0" borderId="40" xfId="0" applyNumberFormat="1" applyFont="1" applyBorder="1"/>
    <xf numFmtId="217" fontId="40" fillId="0" borderId="57" xfId="0" applyNumberFormat="1" applyFont="1" applyBorder="1"/>
    <xf numFmtId="217" fontId="40" fillId="0" borderId="40" xfId="1" applyNumberFormat="1" applyFont="1" applyBorder="1"/>
    <xf numFmtId="217" fontId="40" fillId="0" borderId="58" xfId="1" applyNumberFormat="1" applyFont="1" applyBorder="1"/>
    <xf numFmtId="217" fontId="40" fillId="0" borderId="57" xfId="1" applyNumberFormat="1" applyFont="1" applyBorder="1"/>
    <xf numFmtId="168" fontId="56" fillId="11" borderId="0" xfId="2" applyNumberFormat="1" applyFont="1" applyFill="1"/>
    <xf numFmtId="168" fontId="56" fillId="11" borderId="15" xfId="2" applyNumberFormat="1" applyFont="1" applyFill="1" applyBorder="1"/>
    <xf numFmtId="168" fontId="56" fillId="11" borderId="0" xfId="2" applyNumberFormat="1" applyFont="1" applyFill="1" applyBorder="1"/>
    <xf numFmtId="168" fontId="56" fillId="11" borderId="3" xfId="0" applyNumberFormat="1" applyFont="1" applyFill="1" applyBorder="1"/>
    <xf numFmtId="168" fontId="56" fillId="11" borderId="34" xfId="2" applyNumberFormat="1" applyFont="1" applyFill="1" applyBorder="1"/>
    <xf numFmtId="43" fontId="56" fillId="11" borderId="0" xfId="1" applyFont="1" applyFill="1"/>
    <xf numFmtId="43" fontId="56" fillId="11" borderId="15" xfId="1" applyFont="1" applyFill="1" applyBorder="1"/>
    <xf numFmtId="43" fontId="56" fillId="11" borderId="0" xfId="1" applyFont="1" applyFill="1" applyBorder="1"/>
    <xf numFmtId="43" fontId="56" fillId="11" borderId="34" xfId="1" applyFont="1" applyFill="1" applyBorder="1"/>
    <xf numFmtId="179" fontId="57" fillId="0" borderId="0" xfId="1" applyNumberFormat="1" applyFont="1" applyFill="1" applyBorder="1"/>
    <xf numFmtId="172" fontId="56" fillId="0" borderId="0" xfId="1" applyNumberFormat="1" applyFont="1"/>
    <xf numFmtId="172" fontId="56" fillId="0" borderId="5" xfId="1" applyNumberFormat="1" applyFont="1" applyBorder="1"/>
    <xf numFmtId="172" fontId="57" fillId="0" borderId="0" xfId="0" applyNumberFormat="1" applyFont="1"/>
    <xf numFmtId="9" fontId="40" fillId="0" borderId="0" xfId="2" applyFont="1"/>
    <xf numFmtId="172" fontId="40" fillId="0" borderId="0" xfId="1" applyNumberFormat="1" applyFont="1"/>
    <xf numFmtId="171" fontId="40" fillId="0" borderId="5" xfId="1" applyNumberFormat="1" applyFont="1" applyBorder="1"/>
    <xf numFmtId="171" fontId="40" fillId="0" borderId="0" xfId="1" applyNumberFormat="1" applyFont="1"/>
    <xf numFmtId="172" fontId="44" fillId="0" borderId="0" xfId="0" applyNumberFormat="1" applyFont="1"/>
    <xf numFmtId="172" fontId="44" fillId="0" borderId="7" xfId="1" applyNumberFormat="1" applyFont="1" applyBorder="1"/>
    <xf numFmtId="172" fontId="44" fillId="0" borderId="4" xfId="1" applyNumberFormat="1" applyFont="1" applyBorder="1"/>
    <xf numFmtId="165" fontId="44" fillId="0" borderId="0" xfId="1" applyNumberFormat="1" applyFont="1"/>
    <xf numFmtId="165" fontId="44" fillId="0" borderId="0" xfId="0" applyNumberFormat="1" applyFont="1"/>
    <xf numFmtId="9" fontId="40" fillId="0" borderId="5" xfId="2" applyFont="1" applyBorder="1"/>
    <xf numFmtId="9" fontId="40" fillId="0" borderId="0" xfId="2" applyFont="1" applyBorder="1"/>
    <xf numFmtId="9" fontId="40" fillId="0" borderId="0" xfId="0" applyNumberFormat="1" applyFont="1"/>
    <xf numFmtId="0" fontId="16" fillId="0" borderId="0" xfId="0" applyFont="1"/>
    <xf numFmtId="164" fontId="52" fillId="9" borderId="1" xfId="0" applyNumberFormat="1" applyFont="1" applyFill="1" applyBorder="1" applyAlignment="1">
      <alignment horizontal="center"/>
    </xf>
    <xf numFmtId="164" fontId="52" fillId="9" borderId="2" xfId="0" applyNumberFormat="1" applyFont="1" applyFill="1" applyBorder="1" applyAlignment="1">
      <alignment horizontal="center"/>
    </xf>
    <xf numFmtId="164" fontId="52" fillId="9" borderId="0" xfId="0" applyNumberFormat="1" applyFont="1" applyFill="1" applyAlignment="1">
      <alignment horizontal="center"/>
    </xf>
    <xf numFmtId="5" fontId="40" fillId="0" borderId="0" xfId="1" applyNumberFormat="1" applyFont="1"/>
    <xf numFmtId="5" fontId="16" fillId="0" borderId="0" xfId="1" applyNumberFormat="1" applyFont="1"/>
    <xf numFmtId="165" fontId="40" fillId="0" borderId="0" xfId="1" applyNumberFormat="1" applyFont="1"/>
    <xf numFmtId="165" fontId="40" fillId="0" borderId="5" xfId="1" applyNumberFormat="1" applyFont="1" applyBorder="1"/>
    <xf numFmtId="5" fontId="44" fillId="0" borderId="0" xfId="0" applyNumberFormat="1" applyFont="1"/>
    <xf numFmtId="5" fontId="40" fillId="0" borderId="0" xfId="0" applyNumberFormat="1" applyFont="1"/>
    <xf numFmtId="165" fontId="40" fillId="0" borderId="0" xfId="1" applyNumberFormat="1" applyFont="1" applyBorder="1"/>
    <xf numFmtId="5" fontId="44" fillId="0" borderId="8" xfId="0" applyNumberFormat="1" applyFont="1" applyBorder="1"/>
    <xf numFmtId="5" fontId="56" fillId="0" borderId="0" xfId="0" applyNumberFormat="1" applyFont="1"/>
    <xf numFmtId="5" fontId="44" fillId="0" borderId="8" xfId="1" applyNumberFormat="1" applyFont="1" applyBorder="1"/>
    <xf numFmtId="5" fontId="44" fillId="0" borderId="0" xfId="1" applyNumberFormat="1" applyFont="1"/>
    <xf numFmtId="170" fontId="40" fillId="0" borderId="0" xfId="2" applyNumberFormat="1" applyFont="1"/>
    <xf numFmtId="165" fontId="40" fillId="0" borderId="0" xfId="0" applyNumberFormat="1" applyFont="1"/>
    <xf numFmtId="168" fontId="40" fillId="0" borderId="0" xfId="0" applyNumberFormat="1" applyFont="1"/>
    <xf numFmtId="168" fontId="40" fillId="14" borderId="0" xfId="0" applyNumberFormat="1" applyFont="1" applyFill="1"/>
    <xf numFmtId="168" fontId="40" fillId="0" borderId="5" xfId="0" applyNumberFormat="1" applyFont="1" applyBorder="1"/>
    <xf numFmtId="168" fontId="40" fillId="14" borderId="5" xfId="0" applyNumberFormat="1" applyFont="1" applyFill="1" applyBorder="1"/>
    <xf numFmtId="165" fontId="40" fillId="0" borderId="8" xfId="1" applyNumberFormat="1" applyFont="1" applyBorder="1"/>
    <xf numFmtId="165" fontId="40" fillId="0" borderId="8" xfId="0" applyNumberFormat="1" applyFont="1" applyBorder="1"/>
    <xf numFmtId="165" fontId="44" fillId="0" borderId="8" xfId="0" applyNumberFormat="1" applyFont="1" applyBorder="1"/>
    <xf numFmtId="0" fontId="40" fillId="10" borderId="3" xfId="0" applyFont="1" applyFill="1" applyBorder="1"/>
    <xf numFmtId="165" fontId="44" fillId="0" borderId="4" xfId="0" applyNumberFormat="1" applyFont="1" applyBorder="1"/>
    <xf numFmtId="5" fontId="40" fillId="0" borderId="0" xfId="1" applyNumberFormat="1" applyFont="1" applyFill="1"/>
    <xf numFmtId="165" fontId="16" fillId="0" borderId="5" xfId="1" applyNumberFormat="1" applyFont="1" applyFill="1" applyBorder="1"/>
    <xf numFmtId="165" fontId="40" fillId="0" borderId="5" xfId="0" applyNumberFormat="1" applyFont="1" applyBorder="1"/>
    <xf numFmtId="165" fontId="52" fillId="4" borderId="0" xfId="0" applyNumberFormat="1" applyFont="1" applyFill="1"/>
    <xf numFmtId="165" fontId="44" fillId="4" borderId="0" xfId="0" applyNumberFormat="1" applyFont="1" applyFill="1"/>
    <xf numFmtId="165" fontId="52" fillId="24" borderId="0" xfId="0" applyNumberFormat="1" applyFont="1" applyFill="1"/>
    <xf numFmtId="14" fontId="16" fillId="0" borderId="0" xfId="0" applyNumberFormat="1" applyFont="1"/>
    <xf numFmtId="187" fontId="56" fillId="0" borderId="0" xfId="0" applyNumberFormat="1" applyFont="1"/>
    <xf numFmtId="187" fontId="16" fillId="0" borderId="0" xfId="0" applyNumberFormat="1" applyFont="1"/>
    <xf numFmtId="187" fontId="40" fillId="0" borderId="0" xfId="0" applyNumberFormat="1" applyFont="1"/>
    <xf numFmtId="14" fontId="40" fillId="0" borderId="0" xfId="0" applyNumberFormat="1" applyFont="1"/>
    <xf numFmtId="187" fontId="44" fillId="0" borderId="8" xfId="0" applyNumberFormat="1" applyFont="1" applyBorder="1"/>
    <xf numFmtId="179" fontId="44" fillId="0" borderId="0" xfId="1" applyNumberFormat="1" applyFont="1" applyFill="1" applyBorder="1"/>
    <xf numFmtId="217" fontId="56" fillId="11" borderId="0" xfId="0" applyNumberFormat="1" applyFont="1" applyFill="1" applyBorder="1"/>
    <xf numFmtId="217" fontId="56" fillId="11" borderId="15" xfId="0" applyNumberFormat="1" applyFont="1" applyFill="1" applyBorder="1"/>
    <xf numFmtId="217" fontId="56" fillId="11" borderId="0" xfId="1" applyNumberFormat="1" applyFont="1" applyFill="1" applyBorder="1"/>
    <xf numFmtId="217" fontId="56" fillId="11" borderId="34" xfId="1" applyNumberFormat="1" applyFont="1" applyFill="1" applyBorder="1"/>
    <xf numFmtId="217" fontId="56" fillId="11" borderId="15" xfId="1" applyNumberFormat="1" applyFont="1" applyFill="1" applyBorder="1"/>
    <xf numFmtId="217" fontId="56" fillId="0" borderId="0" xfId="1" applyNumberFormat="1" applyFont="1" applyFill="1" applyBorder="1"/>
    <xf numFmtId="217" fontId="56" fillId="0" borderId="34" xfId="1" applyNumberFormat="1" applyFont="1" applyFill="1" applyBorder="1"/>
    <xf numFmtId="217" fontId="56" fillId="0" borderId="15" xfId="1" applyNumberFormat="1" applyFont="1" applyFill="1" applyBorder="1"/>
    <xf numFmtId="179" fontId="3" fillId="0" borderId="0" xfId="0" applyNumberFormat="1" applyFont="1" applyFill="1" applyBorder="1"/>
    <xf numFmtId="179" fontId="0" fillId="0" borderId="0" xfId="0" applyNumberFormat="1" applyFont="1" applyFill="1" applyBorder="1" applyAlignment="1">
      <alignment horizontal="left" indent="1"/>
    </xf>
    <xf numFmtId="179" fontId="44" fillId="0" borderId="0" xfId="0" applyNumberFormat="1" applyFont="1" applyFill="1" applyBorder="1" applyAlignment="1">
      <alignment horizontal="left" indent="1"/>
    </xf>
    <xf numFmtId="216" fontId="8" fillId="0" borderId="0" xfId="0" applyNumberFormat="1" applyFont="1" applyFill="1" applyBorder="1" applyAlignment="1">
      <alignment horizontal="left" indent="1"/>
    </xf>
    <xf numFmtId="165" fontId="56" fillId="7" borderId="12" xfId="0" applyNumberFormat="1" applyFont="1" applyFill="1" applyBorder="1"/>
    <xf numFmtId="168" fontId="56" fillId="11" borderId="12" xfId="0" applyNumberFormat="1" applyFont="1" applyFill="1" applyBorder="1"/>
    <xf numFmtId="0" fontId="3" fillId="0" borderId="0" xfId="0" applyFont="1" applyFill="1" applyBorder="1"/>
    <xf numFmtId="180" fontId="3" fillId="0" borderId="0" xfId="0" applyNumberFormat="1" applyFont="1" applyFill="1" applyBorder="1"/>
    <xf numFmtId="216" fontId="130" fillId="0" borderId="0" xfId="0" applyNumberFormat="1" applyFont="1" applyFill="1" applyBorder="1"/>
    <xf numFmtId="172" fontId="3" fillId="0" borderId="0" xfId="0" applyNumberFormat="1" applyFont="1" applyFill="1" applyBorder="1"/>
    <xf numFmtId="0" fontId="8" fillId="0" borderId="0" xfId="0" applyFont="1" applyFill="1" applyBorder="1" applyAlignment="1">
      <alignment horizontal="left" indent="2"/>
    </xf>
    <xf numFmtId="172" fontId="8" fillId="0" borderId="0" xfId="0" applyNumberFormat="1" applyFont="1" applyFill="1" applyBorder="1" applyAlignment="1">
      <alignment horizontal="left" indent="2"/>
    </xf>
    <xf numFmtId="172" fontId="40" fillId="0" borderId="0" xfId="0" applyNumberFormat="1" applyFont="1" applyFill="1" applyBorder="1"/>
    <xf numFmtId="0" fontId="5" fillId="0" borderId="0" xfId="0" applyFont="1" applyFill="1" applyBorder="1"/>
    <xf numFmtId="179" fontId="0" fillId="0" borderId="0" xfId="1" applyNumberFormat="1" applyFont="1"/>
    <xf numFmtId="179" fontId="0" fillId="0" borderId="0" xfId="1" applyNumberFormat="1" applyFont="1" applyFill="1"/>
    <xf numFmtId="217" fontId="0" fillId="0" borderId="0" xfId="1" applyNumberFormat="1" applyFont="1"/>
    <xf numFmtId="217" fontId="0" fillId="0" borderId="15" xfId="1" applyNumberFormat="1" applyFont="1" applyBorder="1"/>
    <xf numFmtId="217" fontId="0" fillId="0" borderId="0" xfId="1" applyNumberFormat="1" applyFont="1" applyBorder="1"/>
    <xf numFmtId="217" fontId="0" fillId="0" borderId="0" xfId="1" applyNumberFormat="1" applyFont="1" applyFill="1"/>
    <xf numFmtId="217" fontId="0" fillId="0" borderId="34" xfId="1" applyNumberFormat="1" applyFont="1" applyBorder="1"/>
    <xf numFmtId="217" fontId="0" fillId="0" borderId="40" xfId="1" applyNumberFormat="1" applyFont="1" applyBorder="1"/>
    <xf numFmtId="217" fontId="0" fillId="0" borderId="57" xfId="1" applyNumberFormat="1" applyFont="1" applyBorder="1"/>
    <xf numFmtId="217" fontId="0" fillId="0" borderId="40" xfId="1" applyNumberFormat="1" applyFont="1" applyFill="1" applyBorder="1"/>
    <xf numFmtId="217" fontId="0" fillId="0" borderId="58" xfId="1" applyNumberFormat="1" applyFont="1" applyBorder="1"/>
    <xf numFmtId="179" fontId="0" fillId="0" borderId="0" xfId="0" applyNumberFormat="1" applyFont="1" applyFill="1" applyBorder="1"/>
    <xf numFmtId="165" fontId="4" fillId="0" borderId="0" xfId="1" applyNumberFormat="1" applyFont="1"/>
    <xf numFmtId="165" fontId="4" fillId="0" borderId="15" xfId="1" applyNumberFormat="1" applyFont="1" applyBorder="1"/>
    <xf numFmtId="165" fontId="4" fillId="0" borderId="0" xfId="1" applyNumberFormat="1" applyFont="1" applyBorder="1"/>
    <xf numFmtId="165" fontId="4" fillId="0" borderId="0" xfId="1" applyNumberFormat="1" applyFont="1" applyFill="1"/>
    <xf numFmtId="0" fontId="4" fillId="0" borderId="0" xfId="0" applyFont="1" applyFill="1" applyBorder="1"/>
    <xf numFmtId="165" fontId="4" fillId="0" borderId="34" xfId="1" applyNumberFormat="1" applyFont="1" applyBorder="1"/>
    <xf numFmtId="9" fontId="89" fillId="0" borderId="0" xfId="12" applyFont="1"/>
    <xf numFmtId="41" fontId="63" fillId="0" borderId="0" xfId="16" applyNumberFormat="1" applyFont="1"/>
    <xf numFmtId="41" fontId="63" fillId="0" borderId="24" xfId="16" applyNumberFormat="1" applyFont="1" applyBorder="1"/>
    <xf numFmtId="41" fontId="63" fillId="0" borderId="0" xfId="15" applyNumberFormat="1" applyFont="1"/>
    <xf numFmtId="42" fontId="61" fillId="34" borderId="0" xfId="15" applyNumberFormat="1" applyFont="1" applyFill="1"/>
    <xf numFmtId="42" fontId="61" fillId="34" borderId="24" xfId="15" applyNumberFormat="1" applyFont="1" applyFill="1" applyBorder="1"/>
    <xf numFmtId="199" fontId="89" fillId="34" borderId="22" xfId="19" applyNumberFormat="1" applyFont="1" applyFill="1" applyBorder="1" applyAlignment="1">
      <alignment horizontal="right"/>
    </xf>
    <xf numFmtId="199" fontId="89" fillId="34" borderId="21" xfId="19" applyNumberFormat="1" applyFont="1" applyFill="1" applyBorder="1" applyAlignment="1">
      <alignment horizontal="right"/>
    </xf>
    <xf numFmtId="199" fontId="89" fillId="34" borderId="0" xfId="19" applyNumberFormat="1" applyFont="1" applyFill="1" applyBorder="1" applyAlignment="1">
      <alignment horizontal="right"/>
    </xf>
    <xf numFmtId="199" fontId="89" fillId="34" borderId="24" xfId="19" applyNumberFormat="1" applyFont="1" applyFill="1" applyBorder="1" applyAlignment="1">
      <alignment horizontal="right"/>
    </xf>
    <xf numFmtId="41" fontId="63" fillId="25" borderId="0" xfId="16" applyNumberFormat="1" applyFont="1" applyFill="1"/>
    <xf numFmtId="41" fontId="63" fillId="25" borderId="24" xfId="16" applyNumberFormat="1" applyFont="1" applyFill="1" applyBorder="1"/>
    <xf numFmtId="41" fontId="64" fillId="0" borderId="25" xfId="16" applyNumberFormat="1" applyFont="1" applyBorder="1"/>
    <xf numFmtId="41" fontId="64" fillId="0" borderId="0" xfId="16" applyNumberFormat="1" applyFont="1"/>
    <xf numFmtId="41" fontId="64" fillId="0" borderId="24" xfId="16" applyNumberFormat="1" applyFont="1" applyBorder="1"/>
    <xf numFmtId="42" fontId="61" fillId="34" borderId="0" xfId="7" applyNumberFormat="1" applyFont="1" applyFill="1" applyAlignment="1">
      <alignment horizontal="left" indent="1"/>
    </xf>
    <xf numFmtId="199" fontId="89" fillId="0" borderId="0" xfId="19" applyNumberFormat="1" applyFont="1" applyFill="1" applyBorder="1" applyAlignment="1">
      <alignment horizontal="right"/>
    </xf>
    <xf numFmtId="199" fontId="89" fillId="0" borderId="24" xfId="19" applyNumberFormat="1" applyFont="1" applyFill="1" applyBorder="1" applyAlignment="1">
      <alignment horizontal="right"/>
    </xf>
    <xf numFmtId="199" fontId="89" fillId="0" borderId="22" xfId="19" applyNumberFormat="1" applyFont="1" applyFill="1" applyBorder="1" applyAlignment="1">
      <alignment horizontal="right"/>
    </xf>
    <xf numFmtId="199" fontId="89" fillId="0" borderId="21" xfId="19" applyNumberFormat="1" applyFont="1" applyFill="1" applyBorder="1" applyAlignment="1">
      <alignment horizontal="right"/>
    </xf>
    <xf numFmtId="41" fontId="64" fillId="0" borderId="0" xfId="7" applyNumberFormat="1" applyFont="1"/>
    <xf numFmtId="41" fontId="64" fillId="0" borderId="24" xfId="7" applyNumberFormat="1" applyFont="1" applyBorder="1"/>
    <xf numFmtId="193" fontId="64" fillId="0" borderId="0" xfId="13" applyNumberFormat="1" applyFont="1" applyAlignment="1">
      <alignment horizontal="right"/>
    </xf>
    <xf numFmtId="41" fontId="131" fillId="0" borderId="0" xfId="7" applyNumberFormat="1" applyFont="1"/>
    <xf numFmtId="41" fontId="131" fillId="0" borderId="24" xfId="7" applyNumberFormat="1" applyFont="1" applyBorder="1"/>
    <xf numFmtId="42" fontId="65" fillId="34" borderId="0" xfId="11" applyNumberFormat="1" applyFont="1" applyFill="1"/>
    <xf numFmtId="42" fontId="65" fillId="34" borderId="24" xfId="11" applyNumberFormat="1" applyFont="1" applyFill="1" applyBorder="1"/>
    <xf numFmtId="199" fontId="106" fillId="0" borderId="0" xfId="19" applyNumberFormat="1" applyFont="1" applyFill="1" applyBorder="1" applyAlignment="1">
      <alignment horizontal="right"/>
    </xf>
    <xf numFmtId="199" fontId="89" fillId="25" borderId="25" xfId="19" applyNumberFormat="1" applyFont="1" applyFill="1" applyBorder="1" applyAlignment="1">
      <alignment horizontal="right"/>
    </xf>
    <xf numFmtId="199" fontId="106" fillId="7" borderId="3" xfId="19" applyNumberFormat="1" applyFont="1" applyFill="1" applyBorder="1" applyAlignment="1">
      <alignment horizontal="right"/>
    </xf>
    <xf numFmtId="199" fontId="89" fillId="7" borderId="3" xfId="19" applyNumberFormat="1" applyFont="1" applyFill="1" applyBorder="1" applyAlignment="1">
      <alignment horizontal="right"/>
    </xf>
    <xf numFmtId="199" fontId="89" fillId="0" borderId="25" xfId="19" applyNumberFormat="1" applyFont="1" applyFill="1" applyBorder="1" applyAlignment="1">
      <alignment horizontal="right"/>
    </xf>
    <xf numFmtId="199" fontId="89" fillId="0" borderId="27" xfId="19" applyNumberFormat="1" applyFont="1" applyFill="1" applyBorder="1" applyAlignment="1">
      <alignment horizontal="right"/>
    </xf>
    <xf numFmtId="41" fontId="63" fillId="0" borderId="24" xfId="15" applyNumberFormat="1" applyFont="1" applyBorder="1"/>
    <xf numFmtId="199" fontId="89" fillId="0" borderId="23" xfId="19" applyNumberFormat="1" applyFont="1" applyFill="1" applyBorder="1" applyAlignment="1">
      <alignment horizontal="right"/>
    </xf>
    <xf numFmtId="199" fontId="106" fillId="7" borderId="13" xfId="19" applyNumberFormat="1" applyFont="1" applyFill="1" applyBorder="1" applyAlignment="1">
      <alignment horizontal="right"/>
    </xf>
    <xf numFmtId="41" fontId="64" fillId="0" borderId="22" xfId="7" applyNumberFormat="1" applyFont="1" applyBorder="1"/>
    <xf numFmtId="41" fontId="64" fillId="0" borderId="21" xfId="7" applyNumberFormat="1" applyFont="1" applyBorder="1"/>
    <xf numFmtId="41" fontId="63" fillId="0" borderId="22" xfId="15" applyNumberFormat="1" applyFont="1" applyBorder="1"/>
    <xf numFmtId="41" fontId="63" fillId="0" borderId="22" xfId="16" applyNumberFormat="1" applyFont="1" applyBorder="1"/>
    <xf numFmtId="41" fontId="63" fillId="0" borderId="21" xfId="16" applyNumberFormat="1" applyFont="1" applyBorder="1"/>
    <xf numFmtId="168" fontId="129" fillId="0" borderId="0" xfId="2" applyNumberFormat="1" applyFont="1"/>
    <xf numFmtId="168" fontId="129" fillId="0" borderId="0" xfId="2" applyNumberFormat="1" applyFont="1" applyBorder="1"/>
    <xf numFmtId="168" fontId="129" fillId="0" borderId="34" xfId="2" applyNumberFormat="1" applyFont="1" applyBorder="1"/>
    <xf numFmtId="168" fontId="129" fillId="0" borderId="15" xfId="2" applyNumberFormat="1" applyFont="1" applyBorder="1"/>
    <xf numFmtId="183" fontId="129" fillId="0" borderId="0" xfId="2" applyNumberFormat="1" applyFont="1"/>
    <xf numFmtId="183" fontId="129" fillId="0" borderId="0" xfId="2" applyNumberFormat="1" applyFont="1" applyBorder="1"/>
    <xf numFmtId="179" fontId="40" fillId="0" borderId="0" xfId="1" applyNumberFormat="1" applyFont="1" applyFill="1" applyBorder="1"/>
    <xf numFmtId="183" fontId="132" fillId="0" borderId="0" xfId="1" applyNumberFormat="1" applyFont="1" applyBorder="1"/>
    <xf numFmtId="183" fontId="132" fillId="0" borderId="0" xfId="1" applyNumberFormat="1" applyFont="1" applyFill="1" applyBorder="1"/>
    <xf numFmtId="183" fontId="129" fillId="0" borderId="0" xfId="1" applyNumberFormat="1" applyFont="1" applyBorder="1"/>
    <xf numFmtId="183" fontId="129" fillId="0" borderId="15" xfId="1" applyNumberFormat="1" applyFont="1" applyBorder="1"/>
    <xf numFmtId="183" fontId="129" fillId="0" borderId="0" xfId="1" applyNumberFormat="1" applyFont="1" applyFill="1" applyBorder="1"/>
    <xf numFmtId="183" fontId="133" fillId="0" borderId="0" xfId="1" applyNumberFormat="1" applyFont="1" applyFill="1" applyBorder="1"/>
    <xf numFmtId="217" fontId="40" fillId="0" borderId="0" xfId="0" applyNumberFormat="1" applyFont="1" applyBorder="1"/>
    <xf numFmtId="0" fontId="8" fillId="0" borderId="0" xfId="0" applyFont="1" applyBorder="1" applyAlignment="1">
      <alignment horizontal="left"/>
    </xf>
    <xf numFmtId="0" fontId="129" fillId="0" borderId="0" xfId="0" applyNumberFormat="1" applyFont="1" applyFill="1" applyBorder="1" applyAlignment="1">
      <alignment horizontal="left"/>
    </xf>
    <xf numFmtId="0" fontId="129" fillId="0" borderId="0" xfId="0" applyNumberFormat="1" applyFont="1" applyFill="1" applyBorder="1" applyAlignment="1"/>
    <xf numFmtId="179" fontId="129" fillId="0" borderId="0" xfId="1" applyNumberFormat="1" applyFont="1" applyFill="1" applyBorder="1" applyAlignment="1"/>
    <xf numFmtId="179" fontId="129" fillId="0" borderId="15" xfId="1" applyNumberFormat="1" applyFont="1" applyFill="1" applyBorder="1" applyAlignment="1"/>
    <xf numFmtId="179" fontId="129" fillId="0" borderId="34" xfId="1" applyNumberFormat="1" applyFont="1" applyFill="1" applyBorder="1" applyAlignment="1"/>
    <xf numFmtId="179" fontId="129" fillId="0" borderId="0" xfId="0" applyNumberFormat="1" applyFont="1" applyFill="1" applyBorder="1" applyAlignment="1"/>
    <xf numFmtId="0" fontId="129" fillId="0" borderId="0" xfId="0" applyNumberFormat="1" applyFont="1" applyFill="1" applyBorder="1" applyAlignment="1">
      <alignment horizontal="left" indent="1"/>
    </xf>
    <xf numFmtId="183" fontId="129" fillId="0" borderId="0" xfId="1" applyNumberFormat="1" applyFont="1" applyFill="1" applyBorder="1" applyAlignment="1"/>
    <xf numFmtId="183" fontId="129" fillId="0" borderId="34" xfId="1" applyNumberFormat="1" applyFont="1" applyFill="1" applyBorder="1" applyAlignment="1"/>
    <xf numFmtId="179" fontId="129" fillId="0" borderId="0" xfId="0" applyNumberFormat="1" applyFont="1" applyBorder="1"/>
    <xf numFmtId="179" fontId="129" fillId="0" borderId="0" xfId="0" applyNumberFormat="1" applyFont="1" applyFill="1" applyBorder="1" applyAlignment="1">
      <alignment horizontal="left" indent="1"/>
    </xf>
    <xf numFmtId="183" fontId="129" fillId="0" borderId="0" xfId="0" applyNumberFormat="1" applyFont="1" applyBorder="1"/>
    <xf numFmtId="183" fontId="129" fillId="0" borderId="15" xfId="0" applyNumberFormat="1" applyFont="1" applyBorder="1"/>
    <xf numFmtId="183" fontId="129" fillId="0" borderId="34" xfId="1" applyNumberFormat="1" applyFont="1" applyBorder="1"/>
    <xf numFmtId="183" fontId="129" fillId="30" borderId="0" xfId="1" applyNumberFormat="1" applyFont="1" applyFill="1" applyBorder="1"/>
    <xf numFmtId="183" fontId="129" fillId="30" borderId="34" xfId="1" applyNumberFormat="1" applyFont="1" applyFill="1" applyBorder="1"/>
    <xf numFmtId="183" fontId="129" fillId="30" borderId="15" xfId="1" applyNumberFormat="1" applyFont="1" applyFill="1" applyBorder="1"/>
    <xf numFmtId="183" fontId="129" fillId="30" borderId="0" xfId="2" applyNumberFormat="1" applyFont="1" applyFill="1" applyBorder="1"/>
    <xf numFmtId="183" fontId="129" fillId="30" borderId="0" xfId="2" applyNumberFormat="1" applyFont="1" applyFill="1"/>
    <xf numFmtId="183" fontId="129" fillId="30" borderId="34" xfId="2" applyNumberFormat="1" applyFont="1" applyFill="1" applyBorder="1"/>
    <xf numFmtId="183" fontId="129" fillId="30" borderId="15" xfId="2" applyNumberFormat="1" applyFont="1" applyFill="1" applyBorder="1"/>
    <xf numFmtId="183" fontId="132" fillId="0" borderId="34" xfId="1" applyNumberFormat="1" applyFont="1" applyBorder="1"/>
    <xf numFmtId="179" fontId="57" fillId="0" borderId="8" xfId="1" applyNumberFormat="1" applyFont="1" applyBorder="1"/>
    <xf numFmtId="179" fontId="57" fillId="0" borderId="59" xfId="1" applyNumberFormat="1" applyFont="1" applyBorder="1"/>
    <xf numFmtId="179" fontId="57" fillId="0" borderId="8" xfId="1" applyNumberFormat="1" applyFont="1" applyFill="1" applyBorder="1"/>
    <xf numFmtId="179" fontId="57" fillId="0" borderId="60" xfId="1" applyNumberFormat="1" applyFont="1" applyBorder="1"/>
    <xf numFmtId="179" fontId="44" fillId="0" borderId="0" xfId="0" applyNumberFormat="1" applyFont="1"/>
    <xf numFmtId="183" fontId="8" fillId="0" borderId="0" xfId="0" applyNumberFormat="1" applyFont="1" applyBorder="1"/>
    <xf numFmtId="179" fontId="0" fillId="0" borderId="0" xfId="0" applyNumberFormat="1" applyFont="1" applyBorder="1"/>
    <xf numFmtId="179" fontId="0" fillId="0" borderId="34" xfId="0" applyNumberFormat="1" applyFont="1" applyBorder="1"/>
    <xf numFmtId="179" fontId="0" fillId="0" borderId="15" xfId="0" applyNumberFormat="1" applyFont="1" applyBorder="1"/>
    <xf numFmtId="0" fontId="130" fillId="0" borderId="0" xfId="0" applyFont="1" applyFill="1" applyBorder="1" applyAlignment="1">
      <alignment horizontal="left" indent="2"/>
    </xf>
    <xf numFmtId="0" fontId="130" fillId="0" borderId="0" xfId="0" applyFont="1" applyBorder="1" applyAlignment="1">
      <alignment horizontal="left" indent="2"/>
    </xf>
    <xf numFmtId="0" fontId="3" fillId="0" borderId="17" xfId="0" applyFont="1" applyBorder="1" applyAlignment="1">
      <alignment horizontal="left"/>
    </xf>
    <xf numFmtId="0" fontId="8" fillId="0" borderId="17" xfId="0" applyFont="1" applyBorder="1" applyAlignment="1">
      <alignment horizontal="left" indent="2"/>
    </xf>
    <xf numFmtId="179" fontId="44" fillId="0" borderId="17" xfId="0" applyNumberFormat="1" applyFont="1" applyBorder="1"/>
    <xf numFmtId="179" fontId="44" fillId="0" borderId="62" xfId="0" applyNumberFormat="1" applyFont="1" applyBorder="1"/>
    <xf numFmtId="179" fontId="3" fillId="0" borderId="17" xfId="0" applyNumberFormat="1" applyFont="1" applyBorder="1"/>
    <xf numFmtId="179" fontId="3" fillId="0" borderId="63" xfId="0" applyNumberFormat="1" applyFont="1" applyBorder="1"/>
    <xf numFmtId="179" fontId="3" fillId="0" borderId="62" xfId="0" applyNumberFormat="1" applyFont="1" applyBorder="1"/>
    <xf numFmtId="0" fontId="40" fillId="0" borderId="0" xfId="0" applyNumberFormat="1" applyFont="1" applyFill="1" applyBorder="1" applyAlignment="1"/>
    <xf numFmtId="179" fontId="40" fillId="0" borderId="0" xfId="1" applyNumberFormat="1" applyFont="1" applyFill="1" applyBorder="1" applyAlignment="1"/>
    <xf numFmtId="183" fontId="129" fillId="0" borderId="15" xfId="1" applyNumberFormat="1" applyFont="1" applyFill="1" applyBorder="1" applyAlignment="1"/>
    <xf numFmtId="172" fontId="40" fillId="0" borderId="0" xfId="1" applyNumberFormat="1" applyFont="1" applyFill="1" applyBorder="1" applyAlignment="1"/>
    <xf numFmtId="172" fontId="40" fillId="0" borderId="15" xfId="1" applyNumberFormat="1" applyFont="1" applyFill="1" applyBorder="1" applyAlignment="1"/>
    <xf numFmtId="172" fontId="40" fillId="0" borderId="34" xfId="1" applyNumberFormat="1" applyFont="1" applyFill="1" applyBorder="1" applyAlignment="1"/>
    <xf numFmtId="172" fontId="40" fillId="0" borderId="40" xfId="0" applyNumberFormat="1" applyFont="1" applyFill="1" applyBorder="1"/>
    <xf numFmtId="172" fontId="57" fillId="0" borderId="0" xfId="1" applyNumberFormat="1" applyFont="1" applyFill="1" applyBorder="1" applyAlignment="1"/>
    <xf numFmtId="172" fontId="44" fillId="0" borderId="15" xfId="1" applyNumberFormat="1" applyFont="1" applyFill="1" applyBorder="1" applyAlignment="1"/>
    <xf numFmtId="172" fontId="44" fillId="0" borderId="0" xfId="0" applyNumberFormat="1" applyFont="1" applyFill="1" applyBorder="1"/>
    <xf numFmtId="172" fontId="57" fillId="0" borderId="34" xfId="1" applyNumberFormat="1" applyFont="1" applyFill="1" applyBorder="1" applyAlignment="1"/>
    <xf numFmtId="172" fontId="57" fillId="0" borderId="15" xfId="1" applyNumberFormat="1" applyFont="1" applyFill="1" applyBorder="1" applyAlignment="1"/>
    <xf numFmtId="172" fontId="56" fillId="0" borderId="17" xfId="1" applyNumberFormat="1" applyFont="1" applyFill="1" applyBorder="1" applyAlignment="1"/>
    <xf numFmtId="172" fontId="56" fillId="0" borderId="62" xfId="1" applyNumberFormat="1" applyFont="1" applyFill="1" applyBorder="1" applyAlignment="1"/>
    <xf numFmtId="186" fontId="16" fillId="0" borderId="15" xfId="1" applyNumberFormat="1" applyFont="1" applyFill="1" applyBorder="1" applyAlignment="1"/>
    <xf numFmtId="186" fontId="40" fillId="0" borderId="0" xfId="1" applyNumberFormat="1" applyFont="1" applyFill="1" applyBorder="1" applyAlignment="1"/>
    <xf numFmtId="219" fontId="16" fillId="0" borderId="0" xfId="1" applyNumberFormat="1" applyFont="1" applyFill="1" applyBorder="1" applyAlignment="1"/>
    <xf numFmtId="179" fontId="44" fillId="0" borderId="62" xfId="1" applyNumberFormat="1" applyFont="1" applyFill="1" applyBorder="1" applyAlignment="1"/>
    <xf numFmtId="179" fontId="44" fillId="0" borderId="17" xfId="1" applyNumberFormat="1" applyFont="1" applyFill="1" applyBorder="1" applyAlignment="1"/>
    <xf numFmtId="0" fontId="3" fillId="0" borderId="17" xfId="0" applyFont="1" applyBorder="1"/>
    <xf numFmtId="179" fontId="44" fillId="0" borderId="15" xfId="1" applyNumberFormat="1" applyFont="1" applyFill="1" applyBorder="1" applyAlignment="1"/>
    <xf numFmtId="179" fontId="44" fillId="0" borderId="0" xfId="1" applyNumberFormat="1" applyFont="1" applyFill="1" applyBorder="1" applyAlignment="1"/>
    <xf numFmtId="172" fontId="44" fillId="0" borderId="17" xfId="1" applyNumberFormat="1" applyFont="1" applyFill="1" applyBorder="1" applyAlignment="1"/>
    <xf numFmtId="214" fontId="40" fillId="0" borderId="0" xfId="1" applyNumberFormat="1" applyFont="1" applyFill="1" applyBorder="1" applyAlignment="1"/>
    <xf numFmtId="217" fontId="56" fillId="0" borderId="0" xfId="1" applyNumberFormat="1" applyFont="1" applyFill="1" applyBorder="1" applyAlignment="1"/>
    <xf numFmtId="219" fontId="56" fillId="0" borderId="0" xfId="1" applyNumberFormat="1" applyFont="1" applyFill="1" applyBorder="1" applyAlignment="1"/>
    <xf numFmtId="0" fontId="3" fillId="13" borderId="12" xfId="0" applyFont="1" applyFill="1" applyBorder="1"/>
    <xf numFmtId="0" fontId="3" fillId="13" borderId="7" xfId="0" applyFont="1" applyFill="1" applyBorder="1"/>
    <xf numFmtId="172" fontId="57" fillId="13" borderId="7" xfId="1" applyNumberFormat="1" applyFont="1" applyFill="1" applyBorder="1" applyAlignment="1"/>
    <xf numFmtId="172" fontId="57" fillId="13" borderId="61" xfId="1" applyNumberFormat="1" applyFont="1" applyFill="1" applyBorder="1" applyAlignment="1"/>
    <xf numFmtId="214" fontId="44" fillId="13" borderId="7" xfId="1" applyNumberFormat="1" applyFont="1" applyFill="1" applyBorder="1" applyAlignment="1"/>
    <xf numFmtId="214" fontId="44" fillId="13" borderId="13" xfId="1" applyNumberFormat="1" applyFont="1" applyFill="1" applyBorder="1" applyAlignment="1"/>
    <xf numFmtId="8" fontId="56" fillId="0" borderId="3" xfId="0" applyNumberFormat="1" applyFont="1" applyBorder="1"/>
    <xf numFmtId="219" fontId="40" fillId="0" borderId="0" xfId="1" applyNumberFormat="1" applyFont="1" applyFill="1" applyBorder="1" applyAlignment="1"/>
    <xf numFmtId="9" fontId="56" fillId="0" borderId="5" xfId="0" applyNumberFormat="1" applyFont="1" applyBorder="1"/>
    <xf numFmtId="0" fontId="0" fillId="0" borderId="17" xfId="0" applyFont="1" applyBorder="1"/>
    <xf numFmtId="219" fontId="40" fillId="0" borderId="17" xfId="1" applyNumberFormat="1" applyFont="1" applyFill="1" applyBorder="1" applyAlignment="1"/>
    <xf numFmtId="0" fontId="3" fillId="0" borderId="17" xfId="0" applyFont="1" applyFill="1" applyBorder="1"/>
    <xf numFmtId="172" fontId="40" fillId="0" borderId="40" xfId="1" applyNumberFormat="1" applyFont="1" applyFill="1" applyBorder="1" applyAlignment="1"/>
    <xf numFmtId="9" fontId="56" fillId="0" borderId="17" xfId="0" applyNumberFormat="1" applyFont="1" applyBorder="1"/>
    <xf numFmtId="170" fontId="16" fillId="0" borderId="66" xfId="0" applyNumberFormat="1" applyFont="1" applyBorder="1"/>
    <xf numFmtId="171" fontId="40" fillId="0" borderId="0" xfId="0" applyNumberFormat="1" applyFont="1" applyBorder="1"/>
    <xf numFmtId="171" fontId="40" fillId="0" borderId="34" xfId="0" applyNumberFormat="1" applyFont="1" applyBorder="1"/>
    <xf numFmtId="171" fontId="44" fillId="0" borderId="0" xfId="1" applyNumberFormat="1" applyFont="1" applyBorder="1"/>
    <xf numFmtId="171" fontId="44" fillId="0" borderId="0" xfId="1" applyNumberFormat="1" applyFont="1"/>
    <xf numFmtId="171" fontId="44" fillId="0" borderId="34" xfId="1" applyNumberFormat="1" applyFont="1" applyBorder="1"/>
    <xf numFmtId="171" fontId="44" fillId="0" borderId="15" xfId="1" applyNumberFormat="1" applyFont="1" applyBorder="1"/>
    <xf numFmtId="0" fontId="0" fillId="0" borderId="0" xfId="0" applyFont="1" applyFill="1" applyBorder="1"/>
    <xf numFmtId="0" fontId="0" fillId="0" borderId="15" xfId="0" applyFont="1" applyBorder="1"/>
    <xf numFmtId="0" fontId="0" fillId="0" borderId="34" xfId="0" applyFont="1" applyBorder="1"/>
    <xf numFmtId="0" fontId="0" fillId="2" borderId="15" xfId="0" applyFont="1" applyFill="1" applyBorder="1"/>
    <xf numFmtId="0" fontId="0" fillId="2" borderId="0" xfId="0" applyFont="1" applyFill="1" applyBorder="1"/>
    <xf numFmtId="0" fontId="0" fillId="2" borderId="34" xfId="0" applyFont="1" applyFill="1" applyBorder="1"/>
    <xf numFmtId="180" fontId="0" fillId="0" borderId="0" xfId="0" applyNumberFormat="1" applyFont="1" applyFill="1" applyBorder="1" applyAlignment="1">
      <alignment horizontal="left" indent="1"/>
    </xf>
    <xf numFmtId="168" fontId="0" fillId="0" borderId="0" xfId="0" applyNumberFormat="1" applyFont="1" applyFill="1" applyBorder="1"/>
    <xf numFmtId="0" fontId="0" fillId="0" borderId="0" xfId="0" applyFont="1" applyFill="1" applyBorder="1" applyAlignment="1">
      <alignment horizontal="left" indent="1"/>
    </xf>
    <xf numFmtId="217" fontId="0" fillId="0" borderId="0" xfId="0" applyNumberFormat="1" applyFont="1" applyFill="1" applyBorder="1" applyAlignment="1">
      <alignment horizontal="left" indent="1"/>
    </xf>
    <xf numFmtId="179" fontId="0" fillId="0" borderId="0" xfId="0" applyNumberFormat="1" applyFont="1"/>
    <xf numFmtId="217" fontId="0" fillId="0" borderId="0" xfId="0" applyNumberFormat="1" applyFont="1"/>
    <xf numFmtId="217" fontId="0" fillId="0" borderId="0" xfId="0" applyNumberFormat="1" applyFont="1" applyBorder="1"/>
    <xf numFmtId="217" fontId="0" fillId="0" borderId="34" xfId="0" applyNumberFormat="1" applyFont="1" applyBorder="1"/>
    <xf numFmtId="217" fontId="0" fillId="0" borderId="15" xfId="0" applyNumberFormat="1" applyFont="1" applyBorder="1"/>
    <xf numFmtId="0" fontId="0" fillId="0" borderId="39" xfId="0" applyFont="1" applyBorder="1" applyAlignment="1">
      <alignment horizontal="left" indent="1"/>
    </xf>
    <xf numFmtId="0" fontId="0" fillId="0" borderId="39" xfId="0" applyFont="1" applyBorder="1"/>
    <xf numFmtId="0" fontId="0" fillId="0" borderId="55" xfId="0" applyFont="1" applyBorder="1"/>
    <xf numFmtId="217" fontId="0" fillId="0" borderId="39" xfId="0" applyNumberFormat="1" applyFont="1" applyBorder="1"/>
    <xf numFmtId="217" fontId="0" fillId="0" borderId="56" xfId="0" applyNumberFormat="1" applyFont="1" applyBorder="1"/>
    <xf numFmtId="217" fontId="0" fillId="0" borderId="55" xfId="0" applyNumberFormat="1" applyFont="1" applyBorder="1"/>
    <xf numFmtId="172" fontId="0" fillId="0" borderId="0" xfId="0" applyNumberFormat="1" applyFont="1" applyFill="1" applyBorder="1" applyAlignment="1">
      <alignment horizontal="left" indent="1"/>
    </xf>
    <xf numFmtId="0" fontId="0" fillId="0" borderId="39" xfId="0" applyFont="1" applyBorder="1" applyAlignment="1">
      <alignment horizontal="left" indent="2"/>
    </xf>
    <xf numFmtId="0" fontId="0" fillId="0" borderId="40" xfId="0" applyFont="1" applyBorder="1" applyAlignment="1">
      <alignment horizontal="left" indent="1"/>
    </xf>
    <xf numFmtId="0" fontId="0" fillId="0" borderId="0" xfId="0" applyFont="1" applyBorder="1" applyAlignment="1">
      <alignment horizontal="left" indent="2"/>
    </xf>
    <xf numFmtId="0" fontId="0" fillId="0" borderId="0" xfId="0" applyFont="1" applyFill="1" applyBorder="1" applyAlignment="1">
      <alignment horizontal="left" indent="2"/>
    </xf>
    <xf numFmtId="217" fontId="0" fillId="0" borderId="0" xfId="0" applyNumberFormat="1" applyFont="1" applyFill="1" applyBorder="1"/>
    <xf numFmtId="0" fontId="0" fillId="0" borderId="40" xfId="0" applyFont="1" applyBorder="1" applyAlignment="1">
      <alignment horizontal="left" indent="2"/>
    </xf>
    <xf numFmtId="0" fontId="0" fillId="0" borderId="40" xfId="0" applyFont="1" applyBorder="1"/>
    <xf numFmtId="0" fontId="0" fillId="11" borderId="0" xfId="0" applyFont="1" applyFill="1" applyAlignment="1">
      <alignment horizontal="left" indent="1"/>
    </xf>
    <xf numFmtId="165" fontId="0" fillId="0" borderId="15" xfId="0" applyNumberFormat="1" applyFont="1" applyBorder="1"/>
    <xf numFmtId="165" fontId="0" fillId="0" borderId="0" xfId="0" applyNumberFormat="1" applyFont="1" applyBorder="1"/>
    <xf numFmtId="165" fontId="0" fillId="0" borderId="34" xfId="0" applyNumberFormat="1" applyFont="1" applyBorder="1"/>
    <xf numFmtId="172" fontId="0" fillId="0" borderId="0" xfId="0" applyNumberFormat="1" applyFont="1" applyFill="1" applyBorder="1"/>
    <xf numFmtId="9" fontId="0" fillId="0" borderId="0" xfId="0" applyNumberFormat="1" applyFont="1"/>
    <xf numFmtId="169" fontId="0" fillId="0" borderId="0" xfId="0" applyNumberFormat="1" applyFont="1" applyFill="1" applyBorder="1"/>
    <xf numFmtId="213" fontId="0" fillId="0" borderId="0" xfId="0" applyNumberFormat="1" applyFont="1"/>
    <xf numFmtId="0" fontId="134" fillId="0" borderId="0" xfId="0" applyFont="1"/>
    <xf numFmtId="0" fontId="135" fillId="21" borderId="0" xfId="0" applyFont="1" applyFill="1"/>
    <xf numFmtId="179" fontId="57" fillId="0" borderId="0" xfId="0" applyNumberFormat="1" applyFont="1"/>
    <xf numFmtId="186" fontId="40" fillId="0" borderId="0" xfId="0" applyNumberFormat="1" applyFont="1"/>
    <xf numFmtId="179" fontId="57" fillId="0" borderId="17" xfId="0" applyNumberFormat="1" applyFont="1" applyBorder="1" applyAlignment="1">
      <alignment horizontal="right"/>
    </xf>
    <xf numFmtId="185" fontId="16" fillId="0" borderId="0" xfId="0" applyNumberFormat="1" applyFont="1" applyAlignment="1">
      <alignment horizontal="right"/>
    </xf>
    <xf numFmtId="184" fontId="56" fillId="0" borderId="0" xfId="0" applyNumberFormat="1" applyFont="1" applyAlignment="1">
      <alignment horizontal="right"/>
    </xf>
    <xf numFmtId="0" fontId="0" fillId="0" borderId="0" xfId="0" quotePrefix="1" applyFont="1"/>
    <xf numFmtId="0" fontId="136" fillId="0" borderId="0" xfId="0" applyFont="1"/>
    <xf numFmtId="0" fontId="136" fillId="0" borderId="0" xfId="0" applyFont="1" applyAlignment="1">
      <alignment horizontal="center"/>
    </xf>
    <xf numFmtId="0" fontId="69" fillId="0" borderId="0" xfId="0" applyFont="1" applyAlignment="1">
      <alignment horizontal="center"/>
    </xf>
    <xf numFmtId="183" fontId="16" fillId="0" borderId="34" xfId="0" applyNumberFormat="1" applyFont="1" applyBorder="1"/>
    <xf numFmtId="183" fontId="16" fillId="0" borderId="0" xfId="0" applyNumberFormat="1" applyFont="1"/>
    <xf numFmtId="183" fontId="16" fillId="0" borderId="0" xfId="0" applyNumberFormat="1" applyFont="1" applyFill="1" applyBorder="1"/>
    <xf numFmtId="183" fontId="0" fillId="0" borderId="0" xfId="0" applyNumberFormat="1" applyFont="1"/>
    <xf numFmtId="215" fontId="52" fillId="0" borderId="0" xfId="0" applyNumberFormat="1" applyFont="1"/>
    <xf numFmtId="0" fontId="59" fillId="21" borderId="0" xfId="0" applyFont="1" applyFill="1"/>
    <xf numFmtId="183" fontId="40" fillId="0" borderId="0" xfId="0" applyNumberFormat="1" applyFont="1"/>
    <xf numFmtId="184" fontId="40" fillId="0" borderId="0" xfId="0" applyNumberFormat="1" applyFont="1"/>
    <xf numFmtId="184" fontId="0" fillId="0" borderId="0" xfId="0" applyNumberFormat="1" applyFont="1"/>
    <xf numFmtId="0" fontId="0" fillId="0" borderId="0" xfId="0" quotePrefix="1" applyFont="1" applyAlignment="1">
      <alignment horizontal="right"/>
    </xf>
    <xf numFmtId="17" fontId="0" fillId="0" borderId="0" xfId="0" applyNumberFormat="1" applyFont="1"/>
    <xf numFmtId="0" fontId="3" fillId="22" borderId="17" xfId="0" applyFont="1" applyFill="1" applyBorder="1"/>
    <xf numFmtId="179" fontId="44" fillId="22" borderId="17" xfId="0" applyNumberFormat="1" applyFont="1" applyFill="1" applyBorder="1"/>
    <xf numFmtId="183" fontId="44" fillId="22" borderId="17" xfId="0" applyNumberFormat="1" applyFont="1" applyFill="1" applyBorder="1"/>
    <xf numFmtId="179" fontId="16" fillId="0" borderId="0" xfId="0" applyNumberFormat="1" applyFont="1"/>
    <xf numFmtId="184" fontId="16" fillId="0" borderId="0" xfId="0" applyNumberFormat="1" applyFont="1"/>
    <xf numFmtId="0" fontId="8" fillId="0" borderId="0" xfId="0" applyFont="1"/>
    <xf numFmtId="172" fontId="44" fillId="0" borderId="17" xfId="1" applyNumberFormat="1" applyFont="1" applyBorder="1"/>
    <xf numFmtId="8" fontId="56" fillId="0" borderId="0" xfId="0" applyNumberFormat="1" applyFont="1" applyBorder="1"/>
    <xf numFmtId="9" fontId="56" fillId="0" borderId="0" xfId="0" applyNumberFormat="1" applyFont="1" applyBorder="1"/>
    <xf numFmtId="170" fontId="16" fillId="0" borderId="3" xfId="0" applyNumberFormat="1" applyFont="1" applyBorder="1"/>
    <xf numFmtId="179" fontId="57" fillId="0" borderId="0" xfId="1" applyNumberFormat="1" applyFont="1" applyFill="1" applyBorder="1" applyAlignment="1"/>
    <xf numFmtId="179" fontId="57" fillId="0" borderId="15" xfId="1" applyNumberFormat="1" applyFont="1" applyFill="1" applyBorder="1" applyAlignment="1"/>
    <xf numFmtId="179" fontId="40" fillId="0" borderId="15" xfId="1" applyNumberFormat="1" applyFont="1" applyFill="1" applyBorder="1" applyAlignment="1"/>
    <xf numFmtId="217" fontId="56" fillId="0" borderId="15" xfId="1" applyNumberFormat="1" applyFont="1" applyFill="1" applyBorder="1" applyAlignment="1"/>
    <xf numFmtId="217" fontId="40" fillId="0" borderId="0" xfId="1" applyNumberFormat="1" applyFont="1" applyFill="1" applyBorder="1" applyAlignment="1"/>
    <xf numFmtId="217" fontId="56" fillId="0" borderId="40" xfId="1" applyNumberFormat="1" applyFont="1" applyFill="1" applyBorder="1" applyAlignment="1"/>
    <xf numFmtId="217" fontId="56" fillId="0" borderId="57" xfId="1" applyNumberFormat="1" applyFont="1" applyFill="1" applyBorder="1" applyAlignment="1"/>
    <xf numFmtId="217" fontId="40" fillId="0" borderId="40" xfId="1" applyNumberFormat="1" applyFont="1" applyFill="1" applyBorder="1" applyAlignment="1"/>
    <xf numFmtId="0" fontId="8" fillId="0" borderId="0" xfId="0" applyFont="1" applyFill="1" applyBorder="1"/>
    <xf numFmtId="172" fontId="58" fillId="0" borderId="0" xfId="1" applyNumberFormat="1" applyFont="1" applyFill="1" applyBorder="1" applyAlignment="1"/>
    <xf numFmtId="172" fontId="58" fillId="0" borderId="15" xfId="1" applyNumberFormat="1" applyFont="1" applyFill="1" applyBorder="1" applyAlignment="1"/>
    <xf numFmtId="172" fontId="129" fillId="0" borderId="0" xfId="1" applyNumberFormat="1" applyFont="1" applyFill="1" applyBorder="1" applyAlignment="1"/>
    <xf numFmtId="172" fontId="129" fillId="0" borderId="0" xfId="0" applyNumberFormat="1" applyFont="1" applyFill="1" applyBorder="1"/>
    <xf numFmtId="172" fontId="58" fillId="0" borderId="34" xfId="1" applyNumberFormat="1" applyFont="1" applyFill="1" applyBorder="1" applyAlignment="1"/>
    <xf numFmtId="9" fontId="0" fillId="0" borderId="0" xfId="0" applyNumberFormat="1" applyFont="1" applyBorder="1"/>
    <xf numFmtId="9" fontId="137" fillId="0" borderId="0" xfId="2" applyFont="1" applyBorder="1" applyAlignment="1">
      <alignment horizontal="centerContinuous"/>
    </xf>
    <xf numFmtId="9" fontId="138" fillId="21" borderId="0" xfId="2" applyFont="1" applyFill="1" applyBorder="1" applyAlignment="1">
      <alignment horizontal="centerContinuous"/>
    </xf>
    <xf numFmtId="9" fontId="44" fillId="0" borderId="0" xfId="2" applyFont="1" applyBorder="1" applyAlignment="1">
      <alignment horizontal="center"/>
    </xf>
    <xf numFmtId="179" fontId="40" fillId="0" borderId="0" xfId="2" applyNumberFormat="1" applyFont="1"/>
    <xf numFmtId="179" fontId="40" fillId="0" borderId="0" xfId="2" applyNumberFormat="1" applyFont="1" applyBorder="1"/>
    <xf numFmtId="179" fontId="40" fillId="0" borderId="34" xfId="2" applyNumberFormat="1" applyFont="1" applyBorder="1"/>
    <xf numFmtId="179" fontId="40" fillId="0" borderId="15" xfId="2" applyNumberFormat="1" applyFont="1" applyBorder="1"/>
    <xf numFmtId="179" fontId="40" fillId="0" borderId="34" xfId="2" applyNumberFormat="1" applyFont="1" applyBorder="1" applyAlignment="1">
      <alignment horizontal="right"/>
    </xf>
    <xf numFmtId="179" fontId="40" fillId="0" borderId="0" xfId="2" applyNumberFormat="1" applyFont="1" applyAlignment="1">
      <alignment horizontal="right"/>
    </xf>
    <xf numFmtId="179" fontId="40" fillId="0" borderId="15" xfId="2" applyNumberFormat="1" applyFont="1" applyBorder="1" applyAlignment="1">
      <alignment horizontal="right"/>
    </xf>
    <xf numFmtId="9" fontId="139" fillId="0" borderId="0" xfId="2" applyFont="1" applyBorder="1" applyAlignment="1">
      <alignment horizontal="centerContinuous"/>
    </xf>
    <xf numFmtId="186" fontId="3" fillId="0" borderId="0" xfId="0" applyNumberFormat="1" applyFont="1" applyBorder="1"/>
    <xf numFmtId="186" fontId="3" fillId="0" borderId="0" xfId="0" applyNumberFormat="1" applyFont="1" applyBorder="1" applyAlignment="1">
      <alignment horizontal="center"/>
    </xf>
    <xf numFmtId="186" fontId="52" fillId="0" borderId="67" xfId="2" applyNumberFormat="1" applyFont="1" applyBorder="1"/>
    <xf numFmtId="186" fontId="52" fillId="0" borderId="44" xfId="2" applyNumberFormat="1" applyFont="1" applyBorder="1"/>
    <xf numFmtId="9" fontId="59" fillId="21" borderId="0" xfId="2" applyFont="1" applyFill="1" applyBorder="1" applyAlignment="1">
      <alignment horizontal="centerContinuous"/>
    </xf>
    <xf numFmtId="183" fontId="8" fillId="0" borderId="17" xfId="0" applyNumberFormat="1" applyFont="1" applyBorder="1"/>
    <xf numFmtId="183" fontId="129" fillId="0" borderId="46" xfId="2" applyNumberFormat="1" applyFont="1" applyBorder="1"/>
    <xf numFmtId="183" fontId="129" fillId="0" borderId="17" xfId="2" applyNumberFormat="1" applyFont="1" applyBorder="1"/>
    <xf numFmtId="183" fontId="129" fillId="0" borderId="17" xfId="0" applyNumberFormat="1" applyFont="1" applyBorder="1"/>
    <xf numFmtId="183" fontId="129" fillId="0" borderId="64" xfId="2" applyNumberFormat="1" applyFont="1" applyBorder="1"/>
    <xf numFmtId="183" fontId="129" fillId="0" borderId="8" xfId="2" applyNumberFormat="1" applyFont="1" applyBorder="1"/>
    <xf numFmtId="183" fontId="129" fillId="0" borderId="65" xfId="2" applyNumberFormat="1" applyFont="1" applyBorder="1"/>
    <xf numFmtId="183" fontId="129" fillId="0" borderId="51" xfId="2" applyNumberFormat="1" applyFont="1" applyBorder="1"/>
    <xf numFmtId="183" fontId="129" fillId="0" borderId="32" xfId="2" applyNumberFormat="1" applyFont="1" applyBorder="1"/>
    <xf numFmtId="183" fontId="129" fillId="0" borderId="52" xfId="2" applyNumberFormat="1" applyFont="1" applyBorder="1"/>
    <xf numFmtId="183" fontId="129" fillId="0" borderId="5" xfId="2" applyNumberFormat="1" applyFont="1" applyBorder="1"/>
    <xf numFmtId="183" fontId="129" fillId="0" borderId="54" xfId="2" applyNumberFormat="1" applyFont="1" applyBorder="1"/>
    <xf numFmtId="183" fontId="140" fillId="0" borderId="0" xfId="2" applyNumberFormat="1" applyFont="1" applyBorder="1"/>
    <xf numFmtId="0" fontId="44" fillId="0" borderId="0" xfId="0" applyNumberFormat="1" applyFont="1" applyFill="1" applyBorder="1" applyAlignment="1">
      <alignment horizontal="center"/>
    </xf>
    <xf numFmtId="181" fontId="17" fillId="0" borderId="44" xfId="0" applyNumberFormat="1" applyFont="1" applyFill="1" applyBorder="1" applyAlignment="1">
      <alignment horizontal="center"/>
    </xf>
    <xf numFmtId="214" fontId="0" fillId="0" borderId="0" xfId="0" applyNumberFormat="1" applyFont="1" applyBorder="1"/>
    <xf numFmtId="214" fontId="0" fillId="0" borderId="46" xfId="0" applyNumberFormat="1" applyFont="1" applyBorder="1"/>
    <xf numFmtId="214" fontId="0" fillId="0" borderId="17" xfId="0" applyNumberFormat="1" applyFont="1" applyBorder="1"/>
    <xf numFmtId="218" fontId="0" fillId="0" borderId="44" xfId="0" applyNumberFormat="1" applyFont="1" applyBorder="1"/>
    <xf numFmtId="218" fontId="0" fillId="0" borderId="0" xfId="0" applyNumberFormat="1" applyFont="1" applyBorder="1"/>
    <xf numFmtId="214" fontId="0" fillId="0" borderId="63" xfId="0" applyNumberFormat="1" applyFont="1" applyBorder="1"/>
    <xf numFmtId="218" fontId="0" fillId="0" borderId="34" xfId="0" applyNumberFormat="1" applyFont="1" applyBorder="1"/>
    <xf numFmtId="214" fontId="0" fillId="0" borderId="62" xfId="0" applyNumberFormat="1" applyFont="1" applyBorder="1"/>
    <xf numFmtId="218" fontId="0" fillId="0" borderId="15" xfId="0" applyNumberFormat="1" applyFont="1" applyBorder="1"/>
    <xf numFmtId="218" fontId="0" fillId="0" borderId="67" xfId="0" applyNumberFormat="1" applyFont="1" applyBorder="1"/>
    <xf numFmtId="186" fontId="3" fillId="0" borderId="40" xfId="0" applyNumberFormat="1" applyFont="1" applyBorder="1" applyAlignment="1">
      <alignment horizontal="center"/>
    </xf>
    <xf numFmtId="214" fontId="0" fillId="0" borderId="67" xfId="0" applyNumberFormat="1" applyFont="1" applyBorder="1"/>
    <xf numFmtId="186" fontId="3" fillId="0" borderId="68" xfId="0" applyNumberFormat="1" applyFont="1" applyBorder="1" applyAlignment="1">
      <alignment horizontal="center"/>
    </xf>
    <xf numFmtId="183" fontId="8" fillId="0" borderId="46" xfId="0" applyNumberFormat="1" applyFont="1" applyBorder="1"/>
    <xf numFmtId="183" fontId="8" fillId="0" borderId="63" xfId="0" applyNumberFormat="1" applyFont="1" applyBorder="1"/>
    <xf numFmtId="183" fontId="8" fillId="0" borderId="67" xfId="0" applyNumberFormat="1" applyFont="1" applyBorder="1"/>
    <xf numFmtId="183" fontId="8" fillId="0" borderId="62" xfId="0" applyNumberFormat="1" applyFont="1" applyBorder="1"/>
    <xf numFmtId="183" fontId="8" fillId="0" borderId="44" xfId="0" applyNumberFormat="1" applyFont="1" applyBorder="1"/>
    <xf numFmtId="183" fontId="8" fillId="0" borderId="34" xfId="0" applyNumberFormat="1" applyFont="1" applyBorder="1"/>
    <xf numFmtId="183" fontId="8" fillId="0" borderId="15" xfId="0" applyNumberFormat="1" applyFont="1" applyBorder="1"/>
  </cellXfs>
  <cellStyles count="23">
    <cellStyle name="Comma" xfId="1" builtinId="3"/>
    <cellStyle name="Comma 2" xfId="20" xr:uid="{082797B7-8A19-4717-98FC-704DDCD177EF}"/>
    <cellStyle name="Normal" xfId="0" builtinId="0"/>
    <cellStyle name="Normal 10" xfId="15" xr:uid="{83B994D2-8A28-4810-805A-7AF83361151C}"/>
    <cellStyle name="Normal 10 2 2 2" xfId="11" xr:uid="{B2F53A5B-E8BA-4778-B905-A69E4049273A}"/>
    <cellStyle name="Normal 15 2" xfId="9" xr:uid="{870DEF87-49EA-4001-827E-790D6C3B0E7B}"/>
    <cellStyle name="Normal 2" xfId="3" xr:uid="{1B4A4EA9-FC03-4684-9AB7-BA5A9434DF63}"/>
    <cellStyle name="Normal 2 9" xfId="13" xr:uid="{D203ADA7-1C6F-40C3-BDC6-4AD25B0A72BB}"/>
    <cellStyle name="Normal 3" xfId="4" xr:uid="{3EB7A997-1A54-4130-B02F-58B5B4FE98C8}"/>
    <cellStyle name="Normal 3 2 2 4" xfId="7" xr:uid="{E91F8945-4FFA-45F1-B2F9-19AEC4285E92}"/>
    <cellStyle name="Normal 3 5" xfId="16" xr:uid="{9B30D346-997C-48DC-B087-927EB6428B17}"/>
    <cellStyle name="Normal 3 6" xfId="10" xr:uid="{E3805940-8452-4941-A345-C10FD0496386}"/>
    <cellStyle name="Normal 4" xfId="8" xr:uid="{DAAE38FC-A16B-4BD0-A013-CE68EEF6A1FF}"/>
    <cellStyle name="Normal 4 2" xfId="17" xr:uid="{E8D78B28-7A2D-4E1C-B351-B774EA9B6E04}"/>
    <cellStyle name="Normal 5" xfId="22" xr:uid="{20D77D45-D1D6-43DC-9BA3-6D52B77DCD7E}"/>
    <cellStyle name="Normal 7 4" xfId="21" xr:uid="{08AB349E-C6A4-46E8-AEC3-88479E75E435}"/>
    <cellStyle name="Normal 8" xfId="6" xr:uid="{F9F8B861-9E53-4439-AA1D-1E2F5E6C860A}"/>
    <cellStyle name="Percent" xfId="2" builtinId="5"/>
    <cellStyle name="Percent 2" xfId="5" xr:uid="{D41B861A-8152-47C9-A2D1-E5DB7E99E56D}"/>
    <cellStyle name="Percent 3" xfId="12" xr:uid="{DD47B1F5-B127-4330-870B-FD963D2428B8}"/>
    <cellStyle name="Percent 6 2" xfId="14" xr:uid="{72D60919-2D2D-4CBE-915F-C0792D742D02}"/>
    <cellStyle name="Percent 8" xfId="19" xr:uid="{97D899FD-CFCE-460C-84C6-696C99FA15ED}"/>
    <cellStyle name="Percent 9" xfId="18" xr:uid="{EDA4E40F-FE75-4AF6-B43C-1F430B43FE80}"/>
  </cellStyles>
  <dxfs count="3">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DAE4"/>
      <color rgb="FF0000FF"/>
      <color rgb="FF1A1C2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pivotCacheDefinition" Target="pivotCache/pivotCacheDefinition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47"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45"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microsoft.com/office/2017/10/relationships/person" Target="persons/perso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2.xml"/><Relationship Id="rId20" Type="http://schemas.openxmlformats.org/officeDocument/2006/relationships/worksheet" Target="worksheets/sheet20.xml"/><Relationship Id="rId41"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ARR</a:t>
            </a:r>
            <a:r>
              <a:rPr lang="en-US" b="1" baseline="0"/>
              <a:t> Growth</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Presentation!$C$4:$J$4</c:f>
              <c:strCache>
                <c:ptCount val="8"/>
                <c:pt idx="0">
                  <c:v>FY19</c:v>
                </c:pt>
                <c:pt idx="1">
                  <c:v>FY20</c:v>
                </c:pt>
                <c:pt idx="2">
                  <c:v>FY21</c:v>
                </c:pt>
                <c:pt idx="3">
                  <c:v>FY22</c:v>
                </c:pt>
                <c:pt idx="4">
                  <c:v>FY23</c:v>
                </c:pt>
                <c:pt idx="5">
                  <c:v>FY24</c:v>
                </c:pt>
                <c:pt idx="6">
                  <c:v>FY25</c:v>
                </c:pt>
                <c:pt idx="7">
                  <c:v>FY26</c:v>
                </c:pt>
              </c:strCache>
            </c:strRef>
          </c:cat>
          <c:val>
            <c:numRef>
              <c:f>Presentation!$C$5:$J$5</c:f>
              <c:numCache>
                <c:formatCode>_(* #,##0_);_(* \(#,##0\);_(* "-"??_);_(@_)</c:formatCode>
                <c:ptCount val="8"/>
                <c:pt idx="0">
                  <c:v>31062420.149999995</c:v>
                </c:pt>
                <c:pt idx="1">
                  <c:v>55699084.79091499</c:v>
                </c:pt>
                <c:pt idx="2">
                  <c:v>82420487.857434958</c:v>
                </c:pt>
                <c:pt idx="3">
                  <c:v>139753842.15791994</c:v>
                </c:pt>
                <c:pt idx="4">
                  <c:v>216111472.94072866</c:v>
                </c:pt>
                <c:pt idx="5">
                  <c:v>327799305.54458565</c:v>
                </c:pt>
                <c:pt idx="6">
                  <c:v>489688397.82248545</c:v>
                </c:pt>
                <c:pt idx="7">
                  <c:v>720349010.2787658</c:v>
                </c:pt>
              </c:numCache>
            </c:numRef>
          </c:val>
          <c:extLst>
            <c:ext xmlns:c16="http://schemas.microsoft.com/office/drawing/2014/chart" uri="{C3380CC4-5D6E-409C-BE32-E72D297353CC}">
              <c16:uniqueId val="{00000000-13F7-4E6A-9A58-D50FCF1DC8DF}"/>
            </c:ext>
          </c:extLst>
        </c:ser>
        <c:dLbls>
          <c:showLegendKey val="0"/>
          <c:showVal val="0"/>
          <c:showCatName val="0"/>
          <c:showSerName val="0"/>
          <c:showPercent val="0"/>
          <c:showBubbleSize val="0"/>
        </c:dLbls>
        <c:gapWidth val="50"/>
        <c:overlap val="-27"/>
        <c:axId val="409768416"/>
        <c:axId val="409750112"/>
      </c:barChart>
      <c:catAx>
        <c:axId val="409768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9750112"/>
        <c:crosses val="autoZero"/>
        <c:auto val="1"/>
        <c:lblAlgn val="ctr"/>
        <c:lblOffset val="100"/>
        <c:noMultiLvlLbl val="0"/>
      </c:catAx>
      <c:valAx>
        <c:axId val="40975011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9768416"/>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Presentation!$M$15</c:f>
              <c:strCache>
                <c:ptCount val="1"/>
                <c:pt idx="0">
                  <c:v>GM %</c:v>
                </c:pt>
              </c:strCache>
            </c:strRef>
          </c:tx>
          <c:spPr>
            <a:ln w="28575" cap="rnd">
              <a:solidFill>
                <a:schemeClr val="accent1"/>
              </a:solidFill>
              <a:round/>
            </a:ln>
            <a:effectLst/>
          </c:spPr>
          <c:marker>
            <c:symbol val="none"/>
          </c:marker>
          <c:cat>
            <c:strRef>
              <c:f>Presentation!$N$4:$U$4</c:f>
              <c:strCache>
                <c:ptCount val="8"/>
                <c:pt idx="0">
                  <c:v>FY19</c:v>
                </c:pt>
                <c:pt idx="1">
                  <c:v>FY20</c:v>
                </c:pt>
                <c:pt idx="2">
                  <c:v>FY21</c:v>
                </c:pt>
                <c:pt idx="3">
                  <c:v>FY22</c:v>
                </c:pt>
                <c:pt idx="4">
                  <c:v>FY23</c:v>
                </c:pt>
                <c:pt idx="5">
                  <c:v>FY24</c:v>
                </c:pt>
                <c:pt idx="6">
                  <c:v>FY25</c:v>
                </c:pt>
                <c:pt idx="7">
                  <c:v>FY26</c:v>
                </c:pt>
              </c:strCache>
            </c:strRef>
          </c:cat>
          <c:val>
            <c:numRef>
              <c:f>Presentation!$N$15:$U$15</c:f>
              <c:numCache>
                <c:formatCode>0%</c:formatCode>
                <c:ptCount val="8"/>
                <c:pt idx="0">
                  <c:v>0.61118914094920107</c:v>
                </c:pt>
                <c:pt idx="1">
                  <c:v>0.58333970987737316</c:v>
                </c:pt>
                <c:pt idx="2">
                  <c:v>0.63697549095872041</c:v>
                </c:pt>
                <c:pt idx="3">
                  <c:v>0.64477135716461365</c:v>
                </c:pt>
                <c:pt idx="4">
                  <c:v>0.71263289222586546</c:v>
                </c:pt>
                <c:pt idx="5">
                  <c:v>0.72495774812711666</c:v>
                </c:pt>
                <c:pt idx="6">
                  <c:v>0.73691542393582599</c:v>
                </c:pt>
                <c:pt idx="7">
                  <c:v>0.74894142094972704</c:v>
                </c:pt>
              </c:numCache>
            </c:numRef>
          </c:val>
          <c:smooth val="0"/>
          <c:extLst>
            <c:ext xmlns:c16="http://schemas.microsoft.com/office/drawing/2014/chart" uri="{C3380CC4-5D6E-409C-BE32-E72D297353CC}">
              <c16:uniqueId val="{00000000-8FDA-425F-904A-FD95F80AAE3C}"/>
            </c:ext>
          </c:extLst>
        </c:ser>
        <c:dLbls>
          <c:showLegendKey val="0"/>
          <c:showVal val="0"/>
          <c:showCatName val="0"/>
          <c:showSerName val="0"/>
          <c:showPercent val="0"/>
          <c:showBubbleSize val="0"/>
        </c:dLbls>
        <c:smooth val="0"/>
        <c:axId val="236217440"/>
        <c:axId val="236211616"/>
      </c:lineChart>
      <c:catAx>
        <c:axId val="236217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6211616"/>
        <c:crosses val="autoZero"/>
        <c:auto val="1"/>
        <c:lblAlgn val="ctr"/>
        <c:lblOffset val="100"/>
        <c:noMultiLvlLbl val="0"/>
      </c:catAx>
      <c:valAx>
        <c:axId val="2362116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6217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Presentation!$AG$10</c:f>
              <c:strCache>
                <c:ptCount val="1"/>
                <c:pt idx="0">
                  <c:v>NRR (Annual)</c:v>
                </c:pt>
              </c:strCache>
            </c:strRef>
          </c:tx>
          <c:spPr>
            <a:ln w="28575" cap="rnd">
              <a:solidFill>
                <a:schemeClr val="accent1"/>
              </a:solidFill>
              <a:round/>
            </a:ln>
            <a:effectLst/>
          </c:spPr>
          <c:marker>
            <c:symbol val="none"/>
          </c:marker>
          <c:cat>
            <c:strRef>
              <c:f>Presentation!$AH$4:$AO$4</c:f>
              <c:strCache>
                <c:ptCount val="8"/>
                <c:pt idx="0">
                  <c:v>FY19</c:v>
                </c:pt>
                <c:pt idx="1">
                  <c:v>FY20</c:v>
                </c:pt>
                <c:pt idx="2">
                  <c:v>FY21</c:v>
                </c:pt>
                <c:pt idx="3">
                  <c:v>FY22</c:v>
                </c:pt>
                <c:pt idx="4">
                  <c:v>FY23</c:v>
                </c:pt>
                <c:pt idx="5">
                  <c:v>FY24</c:v>
                </c:pt>
                <c:pt idx="6">
                  <c:v>FY25</c:v>
                </c:pt>
                <c:pt idx="7">
                  <c:v>FY26</c:v>
                </c:pt>
              </c:strCache>
            </c:strRef>
          </c:cat>
          <c:val>
            <c:numRef>
              <c:f>Presentation!$AH$10:$AO$10</c:f>
              <c:numCache>
                <c:formatCode>0.0%</c:formatCode>
                <c:ptCount val="8"/>
                <c:pt idx="0">
                  <c:v>1.3340311322710687</c:v>
                </c:pt>
                <c:pt idx="1">
                  <c:v>1.2518848056961256</c:v>
                </c:pt>
                <c:pt idx="2">
                  <c:v>1.1654440034484099</c:v>
                </c:pt>
                <c:pt idx="3">
                  <c:v>1.2960651883044938</c:v>
                </c:pt>
                <c:pt idx="4">
                  <c:v>1.274389666770624</c:v>
                </c:pt>
                <c:pt idx="5">
                  <c:v>1.2762831682230023</c:v>
                </c:pt>
                <c:pt idx="6">
                  <c:v>1.2862854875459073</c:v>
                </c:pt>
                <c:pt idx="7">
                  <c:v>1.2913632386692333</c:v>
                </c:pt>
              </c:numCache>
            </c:numRef>
          </c:val>
          <c:smooth val="0"/>
          <c:extLst>
            <c:ext xmlns:c16="http://schemas.microsoft.com/office/drawing/2014/chart" uri="{C3380CC4-5D6E-409C-BE32-E72D297353CC}">
              <c16:uniqueId val="{00000000-7BE7-421E-A26B-EE3DC98551D1}"/>
            </c:ext>
          </c:extLst>
        </c:ser>
        <c:dLbls>
          <c:showLegendKey val="0"/>
          <c:showVal val="0"/>
          <c:showCatName val="0"/>
          <c:showSerName val="0"/>
          <c:showPercent val="0"/>
          <c:showBubbleSize val="0"/>
        </c:dLbls>
        <c:smooth val="0"/>
        <c:axId val="283540912"/>
        <c:axId val="283539248"/>
      </c:lineChart>
      <c:catAx>
        <c:axId val="283540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539248"/>
        <c:crosses val="autoZero"/>
        <c:auto val="1"/>
        <c:lblAlgn val="ctr"/>
        <c:lblOffset val="100"/>
        <c:noMultiLvlLbl val="0"/>
      </c:catAx>
      <c:valAx>
        <c:axId val="28353924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540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2"/>
          <c:order val="1"/>
          <c:tx>
            <c:strRef>
              <c:f>Presentation!$B$46</c:f>
              <c:strCache>
                <c:ptCount val="1"/>
                <c:pt idx="0">
                  <c:v>Operating Burn</c:v>
                </c:pt>
              </c:strCache>
            </c:strRef>
          </c:tx>
          <c:spPr>
            <a:solidFill>
              <a:schemeClr val="accent3"/>
            </a:solidFill>
            <a:ln>
              <a:noFill/>
            </a:ln>
            <a:effectLst/>
          </c:spPr>
          <c:invertIfNegative val="0"/>
          <c:cat>
            <c:strRef>
              <c:f>Presentation!$O$43:$AH$43</c:f>
              <c:strCache>
                <c:ptCount val="20"/>
                <c:pt idx="0">
                  <c:v>1Q22</c:v>
                </c:pt>
                <c:pt idx="1">
                  <c:v>2Q22</c:v>
                </c:pt>
                <c:pt idx="2">
                  <c:v>3Q22</c:v>
                </c:pt>
                <c:pt idx="3">
                  <c:v>4Q22</c:v>
                </c:pt>
                <c:pt idx="4">
                  <c:v>1Q23</c:v>
                </c:pt>
                <c:pt idx="5">
                  <c:v>2Q23</c:v>
                </c:pt>
                <c:pt idx="6">
                  <c:v>3Q23</c:v>
                </c:pt>
                <c:pt idx="7">
                  <c:v>4Q23</c:v>
                </c:pt>
                <c:pt idx="8">
                  <c:v>1Q24</c:v>
                </c:pt>
                <c:pt idx="9">
                  <c:v>2Q24</c:v>
                </c:pt>
                <c:pt idx="10">
                  <c:v>3Q24</c:v>
                </c:pt>
                <c:pt idx="11">
                  <c:v>4Q24</c:v>
                </c:pt>
                <c:pt idx="12">
                  <c:v>1Q25</c:v>
                </c:pt>
                <c:pt idx="13">
                  <c:v>2Q25</c:v>
                </c:pt>
                <c:pt idx="14">
                  <c:v>3Q25</c:v>
                </c:pt>
                <c:pt idx="15">
                  <c:v>4Q25</c:v>
                </c:pt>
                <c:pt idx="16">
                  <c:v>1Q26</c:v>
                </c:pt>
                <c:pt idx="17">
                  <c:v>2Q26</c:v>
                </c:pt>
                <c:pt idx="18">
                  <c:v>3Q26</c:v>
                </c:pt>
                <c:pt idx="19">
                  <c:v>4Q26</c:v>
                </c:pt>
              </c:strCache>
            </c:strRef>
          </c:cat>
          <c:val>
            <c:numRef>
              <c:f>Presentation!$O$46:$AH$46</c:f>
              <c:numCache>
                <c:formatCode>"$"#,##0.0_);\("$"#,##0.0\)</c:formatCode>
                <c:ptCount val="20"/>
                <c:pt idx="0">
                  <c:v>-11.253809704400004</c:v>
                </c:pt>
                <c:pt idx="1">
                  <c:v>-12.13491459660001</c:v>
                </c:pt>
                <c:pt idx="2">
                  <c:v>-16.785130911543771</c:v>
                </c:pt>
                <c:pt idx="3">
                  <c:v>-14.115495082365944</c:v>
                </c:pt>
                <c:pt idx="4">
                  <c:v>-17.838342746171275</c:v>
                </c:pt>
                <c:pt idx="5">
                  <c:v>-14.645224092926934</c:v>
                </c:pt>
                <c:pt idx="6">
                  <c:v>-14.581388674406789</c:v>
                </c:pt>
                <c:pt idx="7">
                  <c:v>-11.372822801440165</c:v>
                </c:pt>
                <c:pt idx="8">
                  <c:v>-14.297067320440725</c:v>
                </c:pt>
                <c:pt idx="9">
                  <c:v>-11.558348970383719</c:v>
                </c:pt>
                <c:pt idx="10">
                  <c:v>-13.744310529935271</c:v>
                </c:pt>
                <c:pt idx="11">
                  <c:v>-11.914504828956991</c:v>
                </c:pt>
                <c:pt idx="12">
                  <c:v>-14.10649843516028</c:v>
                </c:pt>
                <c:pt idx="13">
                  <c:v>-5.34403193875134</c:v>
                </c:pt>
                <c:pt idx="14">
                  <c:v>-4.1199945982466044</c:v>
                </c:pt>
                <c:pt idx="15">
                  <c:v>-5.4</c:v>
                </c:pt>
                <c:pt idx="16">
                  <c:v>1.3341234015416206</c:v>
                </c:pt>
                <c:pt idx="17">
                  <c:v>11.846397421975135</c:v>
                </c:pt>
                <c:pt idx="18">
                  <c:v>12.949595728288264</c:v>
                </c:pt>
                <c:pt idx="19">
                  <c:v>22.663952459348618</c:v>
                </c:pt>
              </c:numCache>
            </c:numRef>
          </c:val>
          <c:extLst>
            <c:ext xmlns:c16="http://schemas.microsoft.com/office/drawing/2014/chart" uri="{C3380CC4-5D6E-409C-BE32-E72D297353CC}">
              <c16:uniqueId val="{00000000-3589-4402-8A95-34B0E7D16BF3}"/>
            </c:ext>
          </c:extLst>
        </c:ser>
        <c:dLbls>
          <c:showLegendKey val="0"/>
          <c:showVal val="0"/>
          <c:showCatName val="0"/>
          <c:showSerName val="0"/>
          <c:showPercent val="0"/>
          <c:showBubbleSize val="0"/>
        </c:dLbls>
        <c:gapWidth val="150"/>
        <c:axId val="852170912"/>
        <c:axId val="852161344"/>
      </c:barChart>
      <c:lineChart>
        <c:grouping val="standard"/>
        <c:varyColors val="0"/>
        <c:ser>
          <c:idx val="0"/>
          <c:order val="0"/>
          <c:tx>
            <c:strRef>
              <c:f>Presentation!$B$44</c:f>
              <c:strCache>
                <c:ptCount val="1"/>
                <c:pt idx="0">
                  <c:v>Cash</c:v>
                </c:pt>
              </c:strCache>
            </c:strRef>
          </c:tx>
          <c:spPr>
            <a:ln w="28575" cap="rnd">
              <a:solidFill>
                <a:schemeClr val="accent1"/>
              </a:solidFill>
              <a:round/>
            </a:ln>
            <a:effectLst/>
          </c:spPr>
          <c:marker>
            <c:symbol val="none"/>
          </c:marker>
          <c:cat>
            <c:strRef>
              <c:f>Presentation!$O$43:$AH$43</c:f>
              <c:strCache>
                <c:ptCount val="20"/>
                <c:pt idx="0">
                  <c:v>1Q22</c:v>
                </c:pt>
                <c:pt idx="1">
                  <c:v>2Q22</c:v>
                </c:pt>
                <c:pt idx="2">
                  <c:v>3Q22</c:v>
                </c:pt>
                <c:pt idx="3">
                  <c:v>4Q22</c:v>
                </c:pt>
                <c:pt idx="4">
                  <c:v>1Q23</c:v>
                </c:pt>
                <c:pt idx="5">
                  <c:v>2Q23</c:v>
                </c:pt>
                <c:pt idx="6">
                  <c:v>3Q23</c:v>
                </c:pt>
                <c:pt idx="7">
                  <c:v>4Q23</c:v>
                </c:pt>
                <c:pt idx="8">
                  <c:v>1Q24</c:v>
                </c:pt>
                <c:pt idx="9">
                  <c:v>2Q24</c:v>
                </c:pt>
                <c:pt idx="10">
                  <c:v>3Q24</c:v>
                </c:pt>
                <c:pt idx="11">
                  <c:v>4Q24</c:v>
                </c:pt>
                <c:pt idx="12">
                  <c:v>1Q25</c:v>
                </c:pt>
                <c:pt idx="13">
                  <c:v>2Q25</c:v>
                </c:pt>
                <c:pt idx="14">
                  <c:v>3Q25</c:v>
                </c:pt>
                <c:pt idx="15">
                  <c:v>4Q25</c:v>
                </c:pt>
                <c:pt idx="16">
                  <c:v>1Q26</c:v>
                </c:pt>
                <c:pt idx="17">
                  <c:v>2Q26</c:v>
                </c:pt>
                <c:pt idx="18">
                  <c:v>3Q26</c:v>
                </c:pt>
                <c:pt idx="19">
                  <c:v>4Q26</c:v>
                </c:pt>
              </c:strCache>
            </c:strRef>
          </c:cat>
          <c:val>
            <c:numRef>
              <c:f>Presentation!$O$44:$AH$44</c:f>
              <c:numCache>
                <c:formatCode>"$"#,##0.0_);\("$"#,##0.0\)</c:formatCode>
                <c:ptCount val="20"/>
                <c:pt idx="0">
                  <c:v>86.058441699295585</c:v>
                </c:pt>
                <c:pt idx="1">
                  <c:v>224.13640230269559</c:v>
                </c:pt>
                <c:pt idx="2">
                  <c:v>208.15127139115179</c:v>
                </c:pt>
                <c:pt idx="3">
                  <c:v>194.03577630878581</c:v>
                </c:pt>
                <c:pt idx="4">
                  <c:v>176.19743356261449</c:v>
                </c:pt>
                <c:pt idx="5">
                  <c:v>161.55220946968754</c:v>
                </c:pt>
                <c:pt idx="6">
                  <c:v>146.97082079528079</c:v>
                </c:pt>
                <c:pt idx="7">
                  <c:v>135.59799799384064</c:v>
                </c:pt>
                <c:pt idx="8">
                  <c:v>121.3009306733999</c:v>
                </c:pt>
                <c:pt idx="9">
                  <c:v>109.74258170301623</c:v>
                </c:pt>
                <c:pt idx="10">
                  <c:v>95.998271173080923</c:v>
                </c:pt>
                <c:pt idx="11">
                  <c:v>84.08376634412393</c:v>
                </c:pt>
                <c:pt idx="12">
                  <c:v>69.977267908963654</c:v>
                </c:pt>
                <c:pt idx="13">
                  <c:v>64.633235970212311</c:v>
                </c:pt>
                <c:pt idx="14">
                  <c:v>60.513241371965705</c:v>
                </c:pt>
                <c:pt idx="15">
                  <c:v>64.188915367398707</c:v>
                </c:pt>
                <c:pt idx="16">
                  <c:v>65.523038768940296</c:v>
                </c:pt>
                <c:pt idx="17">
                  <c:v>77.369436190915437</c:v>
                </c:pt>
                <c:pt idx="18">
                  <c:v>90.319031919203695</c:v>
                </c:pt>
                <c:pt idx="19">
                  <c:v>112.98298437855232</c:v>
                </c:pt>
              </c:numCache>
            </c:numRef>
          </c:val>
          <c:smooth val="0"/>
          <c:extLst>
            <c:ext xmlns:c16="http://schemas.microsoft.com/office/drawing/2014/chart" uri="{C3380CC4-5D6E-409C-BE32-E72D297353CC}">
              <c16:uniqueId val="{00000001-3589-4402-8A95-34B0E7D16BF3}"/>
            </c:ext>
          </c:extLst>
        </c:ser>
        <c:dLbls>
          <c:showLegendKey val="0"/>
          <c:showVal val="0"/>
          <c:showCatName val="0"/>
          <c:showSerName val="0"/>
          <c:showPercent val="0"/>
          <c:showBubbleSize val="0"/>
        </c:dLbls>
        <c:marker val="1"/>
        <c:smooth val="0"/>
        <c:axId val="1863804976"/>
        <c:axId val="1863806624"/>
      </c:lineChart>
      <c:catAx>
        <c:axId val="186380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3806624"/>
        <c:crosses val="autoZero"/>
        <c:auto val="1"/>
        <c:lblAlgn val="ctr"/>
        <c:lblOffset val="100"/>
        <c:noMultiLvlLbl val="0"/>
      </c:catAx>
      <c:valAx>
        <c:axId val="1863806624"/>
        <c:scaling>
          <c:orientation val="minMax"/>
          <c:max val="250"/>
          <c:min val="-300"/>
        </c:scaling>
        <c:delete val="0"/>
        <c:axPos val="l"/>
        <c:majorGridlines>
          <c:spPr>
            <a:ln w="9525" cap="flat" cmpd="sng" algn="ctr">
              <a:solidFill>
                <a:schemeClr val="tx1">
                  <a:lumMod val="15000"/>
                  <a:lumOff val="85000"/>
                </a:schemeClr>
              </a:solidFill>
              <a:round/>
            </a:ln>
            <a:effectLst/>
          </c:spPr>
        </c:majorGridlines>
        <c:numFmt formatCode="&quot;$&quot;#,##0_);\(&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3804976"/>
        <c:crosses val="autoZero"/>
        <c:crossBetween val="between"/>
        <c:majorUnit val="50"/>
      </c:valAx>
      <c:valAx>
        <c:axId val="852161344"/>
        <c:scaling>
          <c:orientation val="minMax"/>
        </c:scaling>
        <c:delete val="0"/>
        <c:axPos val="r"/>
        <c:numFmt formatCode="&quot;$&quot;#,##0.0_);\(&quot;$&quot;#,##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2170912"/>
        <c:crosses val="max"/>
        <c:crossBetween val="between"/>
      </c:valAx>
      <c:catAx>
        <c:axId val="852170912"/>
        <c:scaling>
          <c:orientation val="minMax"/>
        </c:scaling>
        <c:delete val="1"/>
        <c:axPos val="b"/>
        <c:numFmt formatCode="General" sourceLinked="1"/>
        <c:majorTickMark val="out"/>
        <c:minorTickMark val="none"/>
        <c:tickLblPos val="nextTo"/>
        <c:crossAx val="85216134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Presentation!$AQ$7</c:f>
              <c:strCache>
                <c:ptCount val="1"/>
                <c:pt idx="0">
                  <c:v>S&amp;M % Revenue</c:v>
                </c:pt>
              </c:strCache>
            </c:strRef>
          </c:tx>
          <c:spPr>
            <a:solidFill>
              <a:schemeClr val="accent1"/>
            </a:solidFill>
            <a:ln>
              <a:noFill/>
            </a:ln>
            <a:effectLst/>
          </c:spPr>
          <c:invertIfNegative val="0"/>
          <c:cat>
            <c:strRef>
              <c:f>Presentation!$AR$4:$AY$4</c:f>
              <c:strCache>
                <c:ptCount val="8"/>
                <c:pt idx="0">
                  <c:v>FY19</c:v>
                </c:pt>
                <c:pt idx="1">
                  <c:v>FY20</c:v>
                </c:pt>
                <c:pt idx="2">
                  <c:v>FY21</c:v>
                </c:pt>
                <c:pt idx="3">
                  <c:v>FY22</c:v>
                </c:pt>
                <c:pt idx="4">
                  <c:v>FY23</c:v>
                </c:pt>
                <c:pt idx="5">
                  <c:v>FY24</c:v>
                </c:pt>
                <c:pt idx="6">
                  <c:v>FY25</c:v>
                </c:pt>
                <c:pt idx="7">
                  <c:v>FY26</c:v>
                </c:pt>
              </c:strCache>
            </c:strRef>
          </c:cat>
          <c:val>
            <c:numRef>
              <c:f>Presentation!$AR$7:$AY$7</c:f>
              <c:numCache>
                <c:formatCode>0%\ ;\(0%\)</c:formatCode>
                <c:ptCount val="8"/>
                <c:pt idx="0">
                  <c:v>1.0444950784641067</c:v>
                </c:pt>
                <c:pt idx="1">
                  <c:v>0.74399137560665995</c:v>
                </c:pt>
                <c:pt idx="2">
                  <c:v>0.57288350187533776</c:v>
                </c:pt>
                <c:pt idx="3">
                  <c:v>0.64692126860829924</c:v>
                </c:pt>
                <c:pt idx="4">
                  <c:v>0.50134095476407181</c:v>
                </c:pt>
                <c:pt idx="5">
                  <c:v>0.45300788700748063</c:v>
                </c:pt>
                <c:pt idx="6">
                  <c:v>0.40174594999996388</c:v>
                </c:pt>
                <c:pt idx="7">
                  <c:v>0.36177135474387601</c:v>
                </c:pt>
              </c:numCache>
            </c:numRef>
          </c:val>
          <c:extLst>
            <c:ext xmlns:c16="http://schemas.microsoft.com/office/drawing/2014/chart" uri="{C3380CC4-5D6E-409C-BE32-E72D297353CC}">
              <c16:uniqueId val="{00000000-8530-499D-8CD7-1B4E35054A6E}"/>
            </c:ext>
          </c:extLst>
        </c:ser>
        <c:dLbls>
          <c:showLegendKey val="0"/>
          <c:showVal val="0"/>
          <c:showCatName val="0"/>
          <c:showSerName val="0"/>
          <c:showPercent val="0"/>
          <c:showBubbleSize val="0"/>
        </c:dLbls>
        <c:gapWidth val="75"/>
        <c:overlap val="-27"/>
        <c:axId val="696543968"/>
        <c:axId val="696542720"/>
      </c:barChart>
      <c:lineChart>
        <c:grouping val="standard"/>
        <c:varyColors val="0"/>
        <c:ser>
          <c:idx val="1"/>
          <c:order val="1"/>
          <c:tx>
            <c:strRef>
              <c:f>Presentation!$AQ$8</c:f>
              <c:strCache>
                <c:ptCount val="1"/>
                <c:pt idx="0">
                  <c:v>Median</c:v>
                </c:pt>
              </c:strCache>
            </c:strRef>
          </c:tx>
          <c:spPr>
            <a:ln w="28575" cap="rnd">
              <a:solidFill>
                <a:schemeClr val="accent2"/>
              </a:solidFill>
              <a:round/>
            </a:ln>
            <a:effectLst/>
          </c:spPr>
          <c:marker>
            <c:symbol val="none"/>
          </c:marker>
          <c:cat>
            <c:strRef>
              <c:f>Presentation!$AR$4:$AY$4</c:f>
              <c:strCache>
                <c:ptCount val="8"/>
                <c:pt idx="0">
                  <c:v>FY19</c:v>
                </c:pt>
                <c:pt idx="1">
                  <c:v>FY20</c:v>
                </c:pt>
                <c:pt idx="2">
                  <c:v>FY21</c:v>
                </c:pt>
                <c:pt idx="3">
                  <c:v>FY22</c:v>
                </c:pt>
                <c:pt idx="4">
                  <c:v>FY23</c:v>
                </c:pt>
                <c:pt idx="5">
                  <c:v>FY24</c:v>
                </c:pt>
                <c:pt idx="6">
                  <c:v>FY25</c:v>
                </c:pt>
                <c:pt idx="7">
                  <c:v>FY26</c:v>
                </c:pt>
              </c:strCache>
            </c:strRef>
          </c:cat>
          <c:val>
            <c:numRef>
              <c:f>Presentation!$AR$8:$AY$8</c:f>
              <c:numCache>
                <c:formatCode>0%\ ;\(0%\)</c:formatCode>
                <c:ptCount val="8"/>
                <c:pt idx="0">
                  <c:v>0.33</c:v>
                </c:pt>
                <c:pt idx="1">
                  <c:v>0.33</c:v>
                </c:pt>
                <c:pt idx="2">
                  <c:v>0.33</c:v>
                </c:pt>
                <c:pt idx="3">
                  <c:v>0.33</c:v>
                </c:pt>
                <c:pt idx="4">
                  <c:v>0.33</c:v>
                </c:pt>
                <c:pt idx="5">
                  <c:v>0.33</c:v>
                </c:pt>
                <c:pt idx="6">
                  <c:v>0.33</c:v>
                </c:pt>
                <c:pt idx="7">
                  <c:v>0.33</c:v>
                </c:pt>
              </c:numCache>
            </c:numRef>
          </c:val>
          <c:smooth val="0"/>
          <c:extLst>
            <c:ext xmlns:c16="http://schemas.microsoft.com/office/drawing/2014/chart" uri="{C3380CC4-5D6E-409C-BE32-E72D297353CC}">
              <c16:uniqueId val="{00000001-8530-499D-8CD7-1B4E35054A6E}"/>
            </c:ext>
          </c:extLst>
        </c:ser>
        <c:dLbls>
          <c:showLegendKey val="0"/>
          <c:showVal val="0"/>
          <c:showCatName val="0"/>
          <c:showSerName val="0"/>
          <c:showPercent val="0"/>
          <c:showBubbleSize val="0"/>
        </c:dLbls>
        <c:marker val="1"/>
        <c:smooth val="0"/>
        <c:axId val="696543968"/>
        <c:axId val="696542720"/>
      </c:lineChart>
      <c:catAx>
        <c:axId val="696543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542720"/>
        <c:crosses val="autoZero"/>
        <c:auto val="1"/>
        <c:lblAlgn val="ctr"/>
        <c:lblOffset val="100"/>
        <c:noMultiLvlLbl val="0"/>
      </c:catAx>
      <c:valAx>
        <c:axId val="696542720"/>
        <c:scaling>
          <c:orientation val="minMax"/>
        </c:scaling>
        <c:delete val="0"/>
        <c:axPos val="l"/>
        <c:majorGridlines>
          <c:spPr>
            <a:ln w="9525" cap="flat" cmpd="sng" algn="ctr">
              <a:solidFill>
                <a:schemeClr val="tx1">
                  <a:lumMod val="15000"/>
                  <a:lumOff val="85000"/>
                </a:schemeClr>
              </a:solidFill>
              <a:round/>
            </a:ln>
            <a:effectLst/>
          </c:spPr>
        </c:majorGridlines>
        <c:numFmt formatCode="0%\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5439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Presentation!$AQ$11</c:f>
              <c:strCache>
                <c:ptCount val="1"/>
                <c:pt idx="0">
                  <c:v>R&amp;D % Revenue</c:v>
                </c:pt>
              </c:strCache>
            </c:strRef>
          </c:tx>
          <c:spPr>
            <a:solidFill>
              <a:schemeClr val="accent1"/>
            </a:solidFill>
            <a:ln>
              <a:noFill/>
            </a:ln>
            <a:effectLst/>
          </c:spPr>
          <c:invertIfNegative val="0"/>
          <c:cat>
            <c:strRef>
              <c:f>Presentation!$AR$4:$AY$4</c:f>
              <c:strCache>
                <c:ptCount val="8"/>
                <c:pt idx="0">
                  <c:v>FY19</c:v>
                </c:pt>
                <c:pt idx="1">
                  <c:v>FY20</c:v>
                </c:pt>
                <c:pt idx="2">
                  <c:v>FY21</c:v>
                </c:pt>
                <c:pt idx="3">
                  <c:v>FY22</c:v>
                </c:pt>
                <c:pt idx="4">
                  <c:v>FY23</c:v>
                </c:pt>
                <c:pt idx="5">
                  <c:v>FY24</c:v>
                </c:pt>
                <c:pt idx="6">
                  <c:v>FY25</c:v>
                </c:pt>
                <c:pt idx="7">
                  <c:v>FY26</c:v>
                </c:pt>
              </c:strCache>
            </c:strRef>
          </c:cat>
          <c:val>
            <c:numRef>
              <c:f>Presentation!$AR$11:$AY$11</c:f>
              <c:numCache>
                <c:formatCode>0%\ ;\(0%\)</c:formatCode>
                <c:ptCount val="8"/>
                <c:pt idx="0">
                  <c:v>0.53480840114476502</c:v>
                </c:pt>
                <c:pt idx="1">
                  <c:v>0.42543067426282932</c:v>
                </c:pt>
                <c:pt idx="2">
                  <c:v>0.34547250474888186</c:v>
                </c:pt>
                <c:pt idx="3">
                  <c:v>0.38953139235984002</c:v>
                </c:pt>
                <c:pt idx="4">
                  <c:v>0.3692242743305581</c:v>
                </c:pt>
                <c:pt idx="5">
                  <c:v>0.33963632145105632</c:v>
                </c:pt>
                <c:pt idx="6">
                  <c:v>0.30320621736881048</c:v>
                </c:pt>
                <c:pt idx="7">
                  <c:v>0.26655322533828602</c:v>
                </c:pt>
              </c:numCache>
            </c:numRef>
          </c:val>
          <c:extLst>
            <c:ext xmlns:c16="http://schemas.microsoft.com/office/drawing/2014/chart" uri="{C3380CC4-5D6E-409C-BE32-E72D297353CC}">
              <c16:uniqueId val="{00000000-F1BC-4720-A5EF-D0C2DFB92C2C}"/>
            </c:ext>
          </c:extLst>
        </c:ser>
        <c:dLbls>
          <c:showLegendKey val="0"/>
          <c:showVal val="0"/>
          <c:showCatName val="0"/>
          <c:showSerName val="0"/>
          <c:showPercent val="0"/>
          <c:showBubbleSize val="0"/>
        </c:dLbls>
        <c:gapWidth val="75"/>
        <c:overlap val="-27"/>
        <c:axId val="585924816"/>
        <c:axId val="585922320"/>
      </c:barChart>
      <c:lineChart>
        <c:grouping val="standard"/>
        <c:varyColors val="0"/>
        <c:ser>
          <c:idx val="1"/>
          <c:order val="1"/>
          <c:tx>
            <c:strRef>
              <c:f>Presentation!$AQ$12</c:f>
              <c:strCache>
                <c:ptCount val="1"/>
                <c:pt idx="0">
                  <c:v>Median</c:v>
                </c:pt>
              </c:strCache>
            </c:strRef>
          </c:tx>
          <c:spPr>
            <a:ln w="28575" cap="rnd">
              <a:solidFill>
                <a:schemeClr val="accent2"/>
              </a:solidFill>
              <a:round/>
            </a:ln>
            <a:effectLst/>
          </c:spPr>
          <c:marker>
            <c:symbol val="none"/>
          </c:marker>
          <c:cat>
            <c:strRef>
              <c:f>Presentation!$AR$4:$AY$4</c:f>
              <c:strCache>
                <c:ptCount val="8"/>
                <c:pt idx="0">
                  <c:v>FY19</c:v>
                </c:pt>
                <c:pt idx="1">
                  <c:v>FY20</c:v>
                </c:pt>
                <c:pt idx="2">
                  <c:v>FY21</c:v>
                </c:pt>
                <c:pt idx="3">
                  <c:v>FY22</c:v>
                </c:pt>
                <c:pt idx="4">
                  <c:v>FY23</c:v>
                </c:pt>
                <c:pt idx="5">
                  <c:v>FY24</c:v>
                </c:pt>
                <c:pt idx="6">
                  <c:v>FY25</c:v>
                </c:pt>
                <c:pt idx="7">
                  <c:v>FY26</c:v>
                </c:pt>
              </c:strCache>
            </c:strRef>
          </c:cat>
          <c:val>
            <c:numRef>
              <c:f>Presentation!$AR$12:$AY$12</c:f>
              <c:numCache>
                <c:formatCode>0%\ ;\(0%\)</c:formatCode>
                <c:ptCount val="8"/>
                <c:pt idx="0">
                  <c:v>0.16</c:v>
                </c:pt>
                <c:pt idx="1">
                  <c:v>0.16</c:v>
                </c:pt>
                <c:pt idx="2">
                  <c:v>0.16</c:v>
                </c:pt>
                <c:pt idx="3">
                  <c:v>0.16</c:v>
                </c:pt>
                <c:pt idx="4">
                  <c:v>0.16</c:v>
                </c:pt>
                <c:pt idx="5">
                  <c:v>0.16</c:v>
                </c:pt>
                <c:pt idx="6">
                  <c:v>0.16</c:v>
                </c:pt>
                <c:pt idx="7">
                  <c:v>0.16</c:v>
                </c:pt>
              </c:numCache>
            </c:numRef>
          </c:val>
          <c:smooth val="0"/>
          <c:extLst>
            <c:ext xmlns:c16="http://schemas.microsoft.com/office/drawing/2014/chart" uri="{C3380CC4-5D6E-409C-BE32-E72D297353CC}">
              <c16:uniqueId val="{00000001-F1BC-4720-A5EF-D0C2DFB92C2C}"/>
            </c:ext>
          </c:extLst>
        </c:ser>
        <c:dLbls>
          <c:showLegendKey val="0"/>
          <c:showVal val="0"/>
          <c:showCatName val="0"/>
          <c:showSerName val="0"/>
          <c:showPercent val="0"/>
          <c:showBubbleSize val="0"/>
        </c:dLbls>
        <c:marker val="1"/>
        <c:smooth val="0"/>
        <c:axId val="585924816"/>
        <c:axId val="585922320"/>
      </c:lineChart>
      <c:catAx>
        <c:axId val="585924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22320"/>
        <c:crosses val="autoZero"/>
        <c:auto val="1"/>
        <c:lblAlgn val="ctr"/>
        <c:lblOffset val="100"/>
        <c:noMultiLvlLbl val="0"/>
      </c:catAx>
      <c:valAx>
        <c:axId val="585922320"/>
        <c:scaling>
          <c:orientation val="minMax"/>
        </c:scaling>
        <c:delete val="0"/>
        <c:axPos val="l"/>
        <c:majorGridlines>
          <c:spPr>
            <a:ln w="9525" cap="flat" cmpd="sng" algn="ctr">
              <a:solidFill>
                <a:schemeClr val="tx1">
                  <a:lumMod val="15000"/>
                  <a:lumOff val="85000"/>
                </a:schemeClr>
              </a:solidFill>
              <a:round/>
            </a:ln>
            <a:effectLst/>
          </c:spPr>
        </c:majorGridlines>
        <c:numFmt formatCode="0%\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248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Presentation!$AQ$15</c:f>
              <c:strCache>
                <c:ptCount val="1"/>
                <c:pt idx="0">
                  <c:v>G&amp;A % Revenue</c:v>
                </c:pt>
              </c:strCache>
            </c:strRef>
          </c:tx>
          <c:spPr>
            <a:solidFill>
              <a:schemeClr val="accent1"/>
            </a:solidFill>
            <a:ln>
              <a:noFill/>
            </a:ln>
            <a:effectLst/>
          </c:spPr>
          <c:invertIfNegative val="0"/>
          <c:cat>
            <c:strRef>
              <c:f>Presentation!$AR$4:$AY$4</c:f>
              <c:strCache>
                <c:ptCount val="8"/>
                <c:pt idx="0">
                  <c:v>FY19</c:v>
                </c:pt>
                <c:pt idx="1">
                  <c:v>FY20</c:v>
                </c:pt>
                <c:pt idx="2">
                  <c:v>FY21</c:v>
                </c:pt>
                <c:pt idx="3">
                  <c:v>FY22</c:v>
                </c:pt>
                <c:pt idx="4">
                  <c:v>FY23</c:v>
                </c:pt>
                <c:pt idx="5">
                  <c:v>FY24</c:v>
                </c:pt>
                <c:pt idx="6">
                  <c:v>FY25</c:v>
                </c:pt>
                <c:pt idx="7">
                  <c:v>FY26</c:v>
                </c:pt>
              </c:strCache>
            </c:strRef>
          </c:cat>
          <c:val>
            <c:numRef>
              <c:f>Presentation!$AR$15:$AY$15</c:f>
              <c:numCache>
                <c:formatCode>0%\ ;\(0%\)</c:formatCode>
                <c:ptCount val="8"/>
                <c:pt idx="0">
                  <c:v>0.45578019079418086</c:v>
                </c:pt>
                <c:pt idx="1">
                  <c:v>0.33343155349398729</c:v>
                </c:pt>
                <c:pt idx="2">
                  <c:v>0.24330663315404941</c:v>
                </c:pt>
                <c:pt idx="3">
                  <c:v>0.30665966255727645</c:v>
                </c:pt>
                <c:pt idx="4">
                  <c:v>0.27955235993997157</c:v>
                </c:pt>
                <c:pt idx="5">
                  <c:v>0.22395347098377777</c:v>
                </c:pt>
                <c:pt idx="6">
                  <c:v>0.18733691993758936</c:v>
                </c:pt>
                <c:pt idx="7">
                  <c:v>0.15647439184399178</c:v>
                </c:pt>
              </c:numCache>
            </c:numRef>
          </c:val>
          <c:extLst>
            <c:ext xmlns:c16="http://schemas.microsoft.com/office/drawing/2014/chart" uri="{C3380CC4-5D6E-409C-BE32-E72D297353CC}">
              <c16:uniqueId val="{00000000-EF62-4290-A76D-96B9CFB5D86D}"/>
            </c:ext>
          </c:extLst>
        </c:ser>
        <c:dLbls>
          <c:showLegendKey val="0"/>
          <c:showVal val="0"/>
          <c:showCatName val="0"/>
          <c:showSerName val="0"/>
          <c:showPercent val="0"/>
          <c:showBubbleSize val="0"/>
        </c:dLbls>
        <c:gapWidth val="75"/>
        <c:overlap val="-27"/>
        <c:axId val="983519152"/>
        <c:axId val="983525392"/>
      </c:barChart>
      <c:lineChart>
        <c:grouping val="standard"/>
        <c:varyColors val="0"/>
        <c:ser>
          <c:idx val="1"/>
          <c:order val="1"/>
          <c:tx>
            <c:strRef>
              <c:f>Presentation!$AQ$16</c:f>
              <c:strCache>
                <c:ptCount val="1"/>
                <c:pt idx="0">
                  <c:v>Median</c:v>
                </c:pt>
              </c:strCache>
            </c:strRef>
          </c:tx>
          <c:spPr>
            <a:ln w="28575" cap="rnd">
              <a:solidFill>
                <a:schemeClr val="accent2"/>
              </a:solidFill>
              <a:round/>
            </a:ln>
            <a:effectLst/>
          </c:spPr>
          <c:marker>
            <c:symbol val="none"/>
          </c:marker>
          <c:cat>
            <c:strRef>
              <c:f>Presentation!$AR$4:$AY$4</c:f>
              <c:strCache>
                <c:ptCount val="8"/>
                <c:pt idx="0">
                  <c:v>FY19</c:v>
                </c:pt>
                <c:pt idx="1">
                  <c:v>FY20</c:v>
                </c:pt>
                <c:pt idx="2">
                  <c:v>FY21</c:v>
                </c:pt>
                <c:pt idx="3">
                  <c:v>FY22</c:v>
                </c:pt>
                <c:pt idx="4">
                  <c:v>FY23</c:v>
                </c:pt>
                <c:pt idx="5">
                  <c:v>FY24</c:v>
                </c:pt>
                <c:pt idx="6">
                  <c:v>FY25</c:v>
                </c:pt>
                <c:pt idx="7">
                  <c:v>FY26</c:v>
                </c:pt>
              </c:strCache>
            </c:strRef>
          </c:cat>
          <c:val>
            <c:numRef>
              <c:f>Presentation!$AR$16:$AY$16</c:f>
              <c:numCache>
                <c:formatCode>0%\ ;\(0%\)</c:formatCode>
                <c:ptCount val="8"/>
                <c:pt idx="0">
                  <c:v>0.09</c:v>
                </c:pt>
                <c:pt idx="1">
                  <c:v>0.09</c:v>
                </c:pt>
                <c:pt idx="2">
                  <c:v>0.09</c:v>
                </c:pt>
                <c:pt idx="3">
                  <c:v>0.09</c:v>
                </c:pt>
                <c:pt idx="4">
                  <c:v>0.09</c:v>
                </c:pt>
                <c:pt idx="5">
                  <c:v>0.09</c:v>
                </c:pt>
                <c:pt idx="6">
                  <c:v>0.09</c:v>
                </c:pt>
                <c:pt idx="7">
                  <c:v>0.09</c:v>
                </c:pt>
              </c:numCache>
            </c:numRef>
          </c:val>
          <c:smooth val="0"/>
          <c:extLst>
            <c:ext xmlns:c16="http://schemas.microsoft.com/office/drawing/2014/chart" uri="{C3380CC4-5D6E-409C-BE32-E72D297353CC}">
              <c16:uniqueId val="{00000001-EF62-4290-A76D-96B9CFB5D86D}"/>
            </c:ext>
          </c:extLst>
        </c:ser>
        <c:dLbls>
          <c:showLegendKey val="0"/>
          <c:showVal val="0"/>
          <c:showCatName val="0"/>
          <c:showSerName val="0"/>
          <c:showPercent val="0"/>
          <c:showBubbleSize val="0"/>
        </c:dLbls>
        <c:marker val="1"/>
        <c:smooth val="0"/>
        <c:axId val="983519152"/>
        <c:axId val="983525392"/>
      </c:lineChart>
      <c:catAx>
        <c:axId val="983519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525392"/>
        <c:crosses val="autoZero"/>
        <c:auto val="1"/>
        <c:lblAlgn val="ctr"/>
        <c:lblOffset val="100"/>
        <c:noMultiLvlLbl val="0"/>
      </c:catAx>
      <c:valAx>
        <c:axId val="983525392"/>
        <c:scaling>
          <c:orientation val="minMax"/>
        </c:scaling>
        <c:delete val="0"/>
        <c:axPos val="l"/>
        <c:majorGridlines>
          <c:spPr>
            <a:ln w="9525" cap="flat" cmpd="sng" algn="ctr">
              <a:solidFill>
                <a:schemeClr val="tx1">
                  <a:lumMod val="15000"/>
                  <a:lumOff val="85000"/>
                </a:schemeClr>
              </a:solidFill>
              <a:round/>
            </a:ln>
            <a:effectLst/>
          </c:spPr>
        </c:majorGridlines>
        <c:numFmt formatCode="0%\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5191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Presentation!$M$15</c:f>
              <c:strCache>
                <c:ptCount val="1"/>
                <c:pt idx="0">
                  <c:v>GM %</c:v>
                </c:pt>
              </c:strCache>
            </c:strRef>
          </c:tx>
          <c:spPr>
            <a:ln w="28575" cap="rnd">
              <a:solidFill>
                <a:schemeClr val="accent1"/>
              </a:solidFill>
              <a:round/>
            </a:ln>
            <a:effectLst/>
          </c:spPr>
          <c:marker>
            <c:symbol val="none"/>
          </c:marker>
          <c:cat>
            <c:strRef>
              <c:f>Presentation!$N$4:$U$4</c:f>
              <c:strCache>
                <c:ptCount val="8"/>
                <c:pt idx="0">
                  <c:v>FY19</c:v>
                </c:pt>
                <c:pt idx="1">
                  <c:v>FY20</c:v>
                </c:pt>
                <c:pt idx="2">
                  <c:v>FY21</c:v>
                </c:pt>
                <c:pt idx="3">
                  <c:v>FY22</c:v>
                </c:pt>
                <c:pt idx="4">
                  <c:v>FY23</c:v>
                </c:pt>
                <c:pt idx="5">
                  <c:v>FY24</c:v>
                </c:pt>
                <c:pt idx="6">
                  <c:v>FY25</c:v>
                </c:pt>
                <c:pt idx="7">
                  <c:v>FY26</c:v>
                </c:pt>
              </c:strCache>
            </c:strRef>
          </c:cat>
          <c:val>
            <c:numRef>
              <c:f>Presentation!$N$15:$U$15</c:f>
              <c:numCache>
                <c:formatCode>0%</c:formatCode>
                <c:ptCount val="8"/>
                <c:pt idx="0">
                  <c:v>0.61118914094920107</c:v>
                </c:pt>
                <c:pt idx="1">
                  <c:v>0.58333970987737316</c:v>
                </c:pt>
                <c:pt idx="2">
                  <c:v>0.63697549095872041</c:v>
                </c:pt>
                <c:pt idx="3">
                  <c:v>0.64477135716461365</c:v>
                </c:pt>
                <c:pt idx="4">
                  <c:v>0.71263289222586546</c:v>
                </c:pt>
                <c:pt idx="5">
                  <c:v>0.72495774812711666</c:v>
                </c:pt>
                <c:pt idx="6">
                  <c:v>0.73691542393582599</c:v>
                </c:pt>
                <c:pt idx="7">
                  <c:v>0.74894142094972704</c:v>
                </c:pt>
              </c:numCache>
            </c:numRef>
          </c:val>
          <c:smooth val="0"/>
          <c:extLst>
            <c:ext xmlns:c16="http://schemas.microsoft.com/office/drawing/2014/chart" uri="{C3380CC4-5D6E-409C-BE32-E72D297353CC}">
              <c16:uniqueId val="{00000000-6447-48B7-92CB-1CD34D576CBC}"/>
            </c:ext>
          </c:extLst>
        </c:ser>
        <c:ser>
          <c:idx val="1"/>
          <c:order val="1"/>
          <c:tx>
            <c:strRef>
              <c:f>Presentation!$M$18</c:f>
              <c:strCache>
                <c:ptCount val="1"/>
                <c:pt idx="0">
                  <c:v>Median (IPO)</c:v>
                </c:pt>
              </c:strCache>
            </c:strRef>
          </c:tx>
          <c:spPr>
            <a:ln w="28575" cap="rnd">
              <a:solidFill>
                <a:schemeClr val="accent2"/>
              </a:solidFill>
              <a:round/>
            </a:ln>
            <a:effectLst/>
          </c:spPr>
          <c:marker>
            <c:symbol val="none"/>
          </c:marker>
          <c:cat>
            <c:strRef>
              <c:f>Presentation!$N$4:$U$4</c:f>
              <c:strCache>
                <c:ptCount val="8"/>
                <c:pt idx="0">
                  <c:v>FY19</c:v>
                </c:pt>
                <c:pt idx="1">
                  <c:v>FY20</c:v>
                </c:pt>
                <c:pt idx="2">
                  <c:v>FY21</c:v>
                </c:pt>
                <c:pt idx="3">
                  <c:v>FY22</c:v>
                </c:pt>
                <c:pt idx="4">
                  <c:v>FY23</c:v>
                </c:pt>
                <c:pt idx="5">
                  <c:v>FY24</c:v>
                </c:pt>
                <c:pt idx="6">
                  <c:v>FY25</c:v>
                </c:pt>
                <c:pt idx="7">
                  <c:v>FY26</c:v>
                </c:pt>
              </c:strCache>
            </c:strRef>
          </c:cat>
          <c:val>
            <c:numRef>
              <c:f>Presentation!$N$18:$U$18</c:f>
              <c:numCache>
                <c:formatCode>0%</c:formatCode>
                <c:ptCount val="8"/>
                <c:pt idx="0">
                  <c:v>0.76</c:v>
                </c:pt>
                <c:pt idx="1">
                  <c:v>0.76</c:v>
                </c:pt>
                <c:pt idx="2">
                  <c:v>0.76</c:v>
                </c:pt>
                <c:pt idx="3">
                  <c:v>0.76</c:v>
                </c:pt>
                <c:pt idx="4">
                  <c:v>0.76</c:v>
                </c:pt>
                <c:pt idx="5">
                  <c:v>0.76</c:v>
                </c:pt>
                <c:pt idx="6">
                  <c:v>0.76</c:v>
                </c:pt>
                <c:pt idx="7">
                  <c:v>0.76</c:v>
                </c:pt>
              </c:numCache>
            </c:numRef>
          </c:val>
          <c:smooth val="0"/>
          <c:extLst>
            <c:ext xmlns:c16="http://schemas.microsoft.com/office/drawing/2014/chart" uri="{C3380CC4-5D6E-409C-BE32-E72D297353CC}">
              <c16:uniqueId val="{00000001-6447-48B7-92CB-1CD34D576CBC}"/>
            </c:ext>
          </c:extLst>
        </c:ser>
        <c:ser>
          <c:idx val="2"/>
          <c:order val="2"/>
          <c:tx>
            <c:strRef>
              <c:f>Presentation!$M$19</c:f>
              <c:strCache>
                <c:ptCount val="1"/>
                <c:pt idx="0">
                  <c:v>Median (LT)</c:v>
                </c:pt>
              </c:strCache>
            </c:strRef>
          </c:tx>
          <c:spPr>
            <a:ln w="28575" cap="rnd">
              <a:solidFill>
                <a:schemeClr val="accent3"/>
              </a:solidFill>
              <a:round/>
            </a:ln>
            <a:effectLst/>
          </c:spPr>
          <c:marker>
            <c:symbol val="none"/>
          </c:marker>
          <c:cat>
            <c:strRef>
              <c:f>Presentation!$N$4:$U$4</c:f>
              <c:strCache>
                <c:ptCount val="8"/>
                <c:pt idx="0">
                  <c:v>FY19</c:v>
                </c:pt>
                <c:pt idx="1">
                  <c:v>FY20</c:v>
                </c:pt>
                <c:pt idx="2">
                  <c:v>FY21</c:v>
                </c:pt>
                <c:pt idx="3">
                  <c:v>FY22</c:v>
                </c:pt>
                <c:pt idx="4">
                  <c:v>FY23</c:v>
                </c:pt>
                <c:pt idx="5">
                  <c:v>FY24</c:v>
                </c:pt>
                <c:pt idx="6">
                  <c:v>FY25</c:v>
                </c:pt>
                <c:pt idx="7">
                  <c:v>FY26</c:v>
                </c:pt>
              </c:strCache>
            </c:strRef>
          </c:cat>
          <c:val>
            <c:numRef>
              <c:f>Presentation!$N$19:$U$19</c:f>
              <c:numCache>
                <c:formatCode>0%</c:formatCode>
                <c:ptCount val="8"/>
                <c:pt idx="0">
                  <c:v>0.79</c:v>
                </c:pt>
                <c:pt idx="1">
                  <c:v>0.79</c:v>
                </c:pt>
                <c:pt idx="2">
                  <c:v>0.79</c:v>
                </c:pt>
                <c:pt idx="3">
                  <c:v>0.79</c:v>
                </c:pt>
                <c:pt idx="4">
                  <c:v>0.79</c:v>
                </c:pt>
                <c:pt idx="5">
                  <c:v>0.79</c:v>
                </c:pt>
                <c:pt idx="6">
                  <c:v>0.79</c:v>
                </c:pt>
                <c:pt idx="7">
                  <c:v>0.79</c:v>
                </c:pt>
              </c:numCache>
            </c:numRef>
          </c:val>
          <c:smooth val="0"/>
          <c:extLst>
            <c:ext xmlns:c16="http://schemas.microsoft.com/office/drawing/2014/chart" uri="{C3380CC4-5D6E-409C-BE32-E72D297353CC}">
              <c16:uniqueId val="{00000002-6447-48B7-92CB-1CD34D576CBC}"/>
            </c:ext>
          </c:extLst>
        </c:ser>
        <c:dLbls>
          <c:showLegendKey val="0"/>
          <c:showVal val="0"/>
          <c:showCatName val="0"/>
          <c:showSerName val="0"/>
          <c:showPercent val="0"/>
          <c:showBubbleSize val="0"/>
        </c:dLbls>
        <c:smooth val="0"/>
        <c:axId val="284103472"/>
        <c:axId val="284104304"/>
      </c:lineChart>
      <c:catAx>
        <c:axId val="284103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104304"/>
        <c:crosses val="autoZero"/>
        <c:auto val="1"/>
        <c:lblAlgn val="ctr"/>
        <c:lblOffset val="100"/>
        <c:noMultiLvlLbl val="0"/>
      </c:catAx>
      <c:valAx>
        <c:axId val="284104304"/>
        <c:scaling>
          <c:orientation val="minMax"/>
          <c:min val="0.55000000000000004"/>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1034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Presentation!$CG$7</c:f>
              <c:strCache>
                <c:ptCount val="1"/>
                <c:pt idx="0">
                  <c:v>Marketing</c:v>
                </c:pt>
              </c:strCache>
            </c:strRef>
          </c:tx>
          <c:spPr>
            <a:solidFill>
              <a:schemeClr val="accent1"/>
            </a:solidFill>
            <a:ln>
              <a:noFill/>
            </a:ln>
            <a:effectLst/>
          </c:spPr>
          <c:invertIfNegative val="0"/>
          <c:cat>
            <c:strRef>
              <c:f>Presentation!$BW$4:$CD$4</c:f>
              <c:strCache>
                <c:ptCount val="8"/>
                <c:pt idx="0">
                  <c:v>FY19</c:v>
                </c:pt>
                <c:pt idx="1">
                  <c:v>FY20</c:v>
                </c:pt>
                <c:pt idx="2">
                  <c:v>FY21</c:v>
                </c:pt>
                <c:pt idx="3">
                  <c:v>FY22</c:v>
                </c:pt>
                <c:pt idx="4">
                  <c:v>FY23</c:v>
                </c:pt>
                <c:pt idx="5">
                  <c:v>FY24</c:v>
                </c:pt>
                <c:pt idx="6">
                  <c:v>FY25</c:v>
                </c:pt>
                <c:pt idx="7">
                  <c:v>FY26</c:v>
                </c:pt>
              </c:strCache>
            </c:strRef>
          </c:cat>
          <c:val>
            <c:numRef>
              <c:f>Presentation!$CH$7:$CO$7</c:f>
              <c:numCache>
                <c:formatCode>_(* #,##0_);_(* \(#,##0\);_(* "-"??_);_(@_)</c:formatCode>
                <c:ptCount val="8"/>
                <c:pt idx="0">
                  <c:v>22</c:v>
                </c:pt>
                <c:pt idx="1">
                  <c:v>26</c:v>
                </c:pt>
                <c:pt idx="2">
                  <c:v>31</c:v>
                </c:pt>
                <c:pt idx="3">
                  <c:v>52</c:v>
                </c:pt>
                <c:pt idx="4">
                  <c:v>53.05053829989459</c:v>
                </c:pt>
                <c:pt idx="5">
                  <c:v>85.033227773431349</c:v>
                </c:pt>
                <c:pt idx="6">
                  <c:v>92.09629342113891</c:v>
                </c:pt>
                <c:pt idx="7">
                  <c:v>125.17845934273734</c:v>
                </c:pt>
              </c:numCache>
            </c:numRef>
          </c:val>
          <c:extLst>
            <c:ext xmlns:c16="http://schemas.microsoft.com/office/drawing/2014/chart" uri="{C3380CC4-5D6E-409C-BE32-E72D297353CC}">
              <c16:uniqueId val="{00000000-C3D1-4927-A0B7-A55BD1055941}"/>
            </c:ext>
          </c:extLst>
        </c:ser>
        <c:ser>
          <c:idx val="1"/>
          <c:order val="1"/>
          <c:tx>
            <c:strRef>
              <c:f>Presentation!$CG$8</c:f>
              <c:strCache>
                <c:ptCount val="1"/>
                <c:pt idx="0">
                  <c:v>Sales</c:v>
                </c:pt>
              </c:strCache>
            </c:strRef>
          </c:tx>
          <c:spPr>
            <a:solidFill>
              <a:schemeClr val="accent2"/>
            </a:solidFill>
            <a:ln>
              <a:noFill/>
            </a:ln>
            <a:effectLst/>
          </c:spPr>
          <c:invertIfNegative val="0"/>
          <c:cat>
            <c:strRef>
              <c:f>Presentation!$BW$4:$CD$4</c:f>
              <c:strCache>
                <c:ptCount val="8"/>
                <c:pt idx="0">
                  <c:v>FY19</c:v>
                </c:pt>
                <c:pt idx="1">
                  <c:v>FY20</c:v>
                </c:pt>
                <c:pt idx="2">
                  <c:v>FY21</c:v>
                </c:pt>
                <c:pt idx="3">
                  <c:v>FY22</c:v>
                </c:pt>
                <c:pt idx="4">
                  <c:v>FY23</c:v>
                </c:pt>
                <c:pt idx="5">
                  <c:v>FY24</c:v>
                </c:pt>
                <c:pt idx="6">
                  <c:v>FY25</c:v>
                </c:pt>
                <c:pt idx="7">
                  <c:v>FY26</c:v>
                </c:pt>
              </c:strCache>
            </c:strRef>
          </c:cat>
          <c:val>
            <c:numRef>
              <c:f>Presentation!$CH$8:$CO$8</c:f>
              <c:numCache>
                <c:formatCode>_(* #,##0_);_(* \(#,##0\);_(* "-"??_);_(@_)</c:formatCode>
                <c:ptCount val="8"/>
                <c:pt idx="0">
                  <c:v>93</c:v>
                </c:pt>
                <c:pt idx="1">
                  <c:v>134</c:v>
                </c:pt>
                <c:pt idx="2">
                  <c:v>137</c:v>
                </c:pt>
                <c:pt idx="3">
                  <c:v>285</c:v>
                </c:pt>
                <c:pt idx="4">
                  <c:v>325.5988731894563</c:v>
                </c:pt>
                <c:pt idx="5">
                  <c:v>483.73200381586048</c:v>
                </c:pt>
                <c:pt idx="6">
                  <c:v>548.92771621454301</c:v>
                </c:pt>
                <c:pt idx="7">
                  <c:v>722.25914965054039</c:v>
                </c:pt>
              </c:numCache>
            </c:numRef>
          </c:val>
          <c:extLst>
            <c:ext xmlns:c16="http://schemas.microsoft.com/office/drawing/2014/chart" uri="{C3380CC4-5D6E-409C-BE32-E72D297353CC}">
              <c16:uniqueId val="{00000001-C3D1-4927-A0B7-A55BD1055941}"/>
            </c:ext>
          </c:extLst>
        </c:ser>
        <c:ser>
          <c:idx val="2"/>
          <c:order val="2"/>
          <c:tx>
            <c:strRef>
              <c:f>Presentation!$CG$9</c:f>
              <c:strCache>
                <c:ptCount val="1"/>
                <c:pt idx="0">
                  <c:v>CS/TS</c:v>
                </c:pt>
              </c:strCache>
            </c:strRef>
          </c:tx>
          <c:spPr>
            <a:solidFill>
              <a:schemeClr val="accent3"/>
            </a:solidFill>
            <a:ln>
              <a:noFill/>
            </a:ln>
            <a:effectLst/>
          </c:spPr>
          <c:invertIfNegative val="0"/>
          <c:cat>
            <c:strRef>
              <c:f>Presentation!$BW$4:$CD$4</c:f>
              <c:strCache>
                <c:ptCount val="8"/>
                <c:pt idx="0">
                  <c:v>FY19</c:v>
                </c:pt>
                <c:pt idx="1">
                  <c:v>FY20</c:v>
                </c:pt>
                <c:pt idx="2">
                  <c:v>FY21</c:v>
                </c:pt>
                <c:pt idx="3">
                  <c:v>FY22</c:v>
                </c:pt>
                <c:pt idx="4">
                  <c:v>FY23</c:v>
                </c:pt>
                <c:pt idx="5">
                  <c:v>FY24</c:v>
                </c:pt>
                <c:pt idx="6">
                  <c:v>FY25</c:v>
                </c:pt>
                <c:pt idx="7">
                  <c:v>FY26</c:v>
                </c:pt>
              </c:strCache>
            </c:strRef>
          </c:cat>
          <c:val>
            <c:numRef>
              <c:f>Presentation!$CH$9:$CO$9</c:f>
              <c:numCache>
                <c:formatCode>_(* #,##0_);_(* \(#,##0\);_(* "-"??_);_(@_)</c:formatCode>
                <c:ptCount val="8"/>
                <c:pt idx="0">
                  <c:v>28</c:v>
                </c:pt>
                <c:pt idx="1">
                  <c:v>52</c:v>
                </c:pt>
                <c:pt idx="2">
                  <c:v>59</c:v>
                </c:pt>
                <c:pt idx="3">
                  <c:v>102</c:v>
                </c:pt>
                <c:pt idx="4">
                  <c:v>145.3324472629449</c:v>
                </c:pt>
                <c:pt idx="5">
                  <c:v>210.65247192073409</c:v>
                </c:pt>
                <c:pt idx="6">
                  <c:v>300.17130157671318</c:v>
                </c:pt>
                <c:pt idx="7">
                  <c:v>421.09426593461086</c:v>
                </c:pt>
              </c:numCache>
            </c:numRef>
          </c:val>
          <c:extLst>
            <c:ext xmlns:c16="http://schemas.microsoft.com/office/drawing/2014/chart" uri="{C3380CC4-5D6E-409C-BE32-E72D297353CC}">
              <c16:uniqueId val="{00000002-C3D1-4927-A0B7-A55BD1055941}"/>
            </c:ext>
          </c:extLst>
        </c:ser>
        <c:ser>
          <c:idx val="3"/>
          <c:order val="3"/>
          <c:tx>
            <c:strRef>
              <c:f>Presentation!$CG$10</c:f>
              <c:strCache>
                <c:ptCount val="1"/>
                <c:pt idx="0">
                  <c:v>PS</c:v>
                </c:pt>
              </c:strCache>
            </c:strRef>
          </c:tx>
          <c:spPr>
            <a:solidFill>
              <a:schemeClr val="accent4"/>
            </a:solidFill>
            <a:ln>
              <a:noFill/>
            </a:ln>
            <a:effectLst/>
          </c:spPr>
          <c:invertIfNegative val="0"/>
          <c:cat>
            <c:strRef>
              <c:f>Presentation!$BW$4:$CD$4</c:f>
              <c:strCache>
                <c:ptCount val="8"/>
                <c:pt idx="0">
                  <c:v>FY19</c:v>
                </c:pt>
                <c:pt idx="1">
                  <c:v>FY20</c:v>
                </c:pt>
                <c:pt idx="2">
                  <c:v>FY21</c:v>
                </c:pt>
                <c:pt idx="3">
                  <c:v>FY22</c:v>
                </c:pt>
                <c:pt idx="4">
                  <c:v>FY23</c:v>
                </c:pt>
                <c:pt idx="5">
                  <c:v>FY24</c:v>
                </c:pt>
                <c:pt idx="6">
                  <c:v>FY25</c:v>
                </c:pt>
                <c:pt idx="7">
                  <c:v>FY26</c:v>
                </c:pt>
              </c:strCache>
            </c:strRef>
          </c:cat>
          <c:val>
            <c:numRef>
              <c:f>Presentation!$CH$10:$CO$10</c:f>
              <c:numCache>
                <c:formatCode>_(* #,##0_);_(* \(#,##0\);_(* "-"??_);_(@_)</c:formatCode>
                <c:ptCount val="8"/>
                <c:pt idx="0">
                  <c:v>15</c:v>
                </c:pt>
                <c:pt idx="1">
                  <c:v>20</c:v>
                </c:pt>
                <c:pt idx="2">
                  <c:v>16</c:v>
                </c:pt>
                <c:pt idx="3">
                  <c:v>46</c:v>
                </c:pt>
                <c:pt idx="4">
                  <c:v>57.089784731078716</c:v>
                </c:pt>
                <c:pt idx="5">
                  <c:v>86.471940481251352</c:v>
                </c:pt>
                <c:pt idx="6">
                  <c:v>113.05224348581552</c:v>
                </c:pt>
                <c:pt idx="7">
                  <c:v>157.01348879874712</c:v>
                </c:pt>
              </c:numCache>
            </c:numRef>
          </c:val>
          <c:extLst>
            <c:ext xmlns:c16="http://schemas.microsoft.com/office/drawing/2014/chart" uri="{C3380CC4-5D6E-409C-BE32-E72D297353CC}">
              <c16:uniqueId val="{00000003-C3D1-4927-A0B7-A55BD1055941}"/>
            </c:ext>
          </c:extLst>
        </c:ser>
        <c:dLbls>
          <c:showLegendKey val="0"/>
          <c:showVal val="0"/>
          <c:showCatName val="0"/>
          <c:showSerName val="0"/>
          <c:showPercent val="0"/>
          <c:showBubbleSize val="0"/>
        </c:dLbls>
        <c:gapWidth val="150"/>
        <c:overlap val="100"/>
        <c:axId val="603079344"/>
        <c:axId val="603090160"/>
      </c:barChart>
      <c:lineChart>
        <c:grouping val="standard"/>
        <c:varyColors val="0"/>
        <c:ser>
          <c:idx val="4"/>
          <c:order val="4"/>
          <c:tx>
            <c:strRef>
              <c:f>Presentation!$CG$11</c:f>
              <c:strCache>
                <c:ptCount val="1"/>
                <c:pt idx="0">
                  <c:v>R&amp;D</c:v>
                </c:pt>
              </c:strCache>
            </c:strRef>
          </c:tx>
          <c:spPr>
            <a:ln w="28575" cap="rnd">
              <a:no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Presentation!$BW$4:$CD$4</c:f>
              <c:strCache>
                <c:ptCount val="8"/>
                <c:pt idx="0">
                  <c:v>FY19</c:v>
                </c:pt>
                <c:pt idx="1">
                  <c:v>FY20</c:v>
                </c:pt>
                <c:pt idx="2">
                  <c:v>FY21</c:v>
                </c:pt>
                <c:pt idx="3">
                  <c:v>FY22</c:v>
                </c:pt>
                <c:pt idx="4">
                  <c:v>FY23</c:v>
                </c:pt>
                <c:pt idx="5">
                  <c:v>FY24</c:v>
                </c:pt>
                <c:pt idx="6">
                  <c:v>FY25</c:v>
                </c:pt>
                <c:pt idx="7">
                  <c:v>FY26</c:v>
                </c:pt>
              </c:strCache>
            </c:strRef>
          </c:cat>
          <c:val>
            <c:numRef>
              <c:f>Presentation!$CH$11:$CO$11</c:f>
              <c:numCache>
                <c:formatCode>_(* #,##0_);_(* \(#,##0\);_(* "-"??_);_(@_)</c:formatCode>
                <c:ptCount val="8"/>
                <c:pt idx="0">
                  <c:v>83</c:v>
                </c:pt>
                <c:pt idx="1">
                  <c:v>107</c:v>
                </c:pt>
                <c:pt idx="2">
                  <c:v>140</c:v>
                </c:pt>
                <c:pt idx="3">
                  <c:v>248</c:v>
                </c:pt>
                <c:pt idx="4">
                  <c:v>340.82570840537682</c:v>
                </c:pt>
                <c:pt idx="5">
                  <c:v>451.05320990930113</c:v>
                </c:pt>
                <c:pt idx="6">
                  <c:v>562.39110028603943</c:v>
                </c:pt>
                <c:pt idx="7">
                  <c:v>690.3298483624759</c:v>
                </c:pt>
              </c:numCache>
            </c:numRef>
          </c:val>
          <c:smooth val="0"/>
          <c:extLst>
            <c:ext xmlns:c16="http://schemas.microsoft.com/office/drawing/2014/chart" uri="{C3380CC4-5D6E-409C-BE32-E72D297353CC}">
              <c16:uniqueId val="{00000004-C3D1-4927-A0B7-A55BD1055941}"/>
            </c:ext>
          </c:extLst>
        </c:ser>
        <c:dLbls>
          <c:showLegendKey val="0"/>
          <c:showVal val="0"/>
          <c:showCatName val="0"/>
          <c:showSerName val="0"/>
          <c:showPercent val="0"/>
          <c:showBubbleSize val="0"/>
        </c:dLbls>
        <c:marker val="1"/>
        <c:smooth val="0"/>
        <c:axId val="603079344"/>
        <c:axId val="603090160"/>
      </c:lineChart>
      <c:catAx>
        <c:axId val="603079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3090160"/>
        <c:crosses val="autoZero"/>
        <c:auto val="1"/>
        <c:lblAlgn val="ctr"/>
        <c:lblOffset val="100"/>
        <c:noMultiLvlLbl val="0"/>
      </c:catAx>
      <c:valAx>
        <c:axId val="603090160"/>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30793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Presentation!$CG$17</c:f>
              <c:strCache>
                <c:ptCount val="1"/>
                <c:pt idx="0">
                  <c:v>ARR per Employee</c:v>
                </c:pt>
              </c:strCache>
            </c:strRef>
          </c:tx>
          <c:spPr>
            <a:ln w="28575" cap="rnd">
              <a:solidFill>
                <a:schemeClr val="accent2"/>
              </a:solidFill>
              <a:round/>
            </a:ln>
            <a:effectLst/>
          </c:spPr>
          <c:marker>
            <c:symbol val="none"/>
          </c:marker>
          <c:cat>
            <c:strRef>
              <c:f>Presentation!$CH$4:$CO$4</c:f>
              <c:strCache>
                <c:ptCount val="8"/>
                <c:pt idx="0">
                  <c:v>FY19</c:v>
                </c:pt>
                <c:pt idx="1">
                  <c:v>FY20</c:v>
                </c:pt>
                <c:pt idx="2">
                  <c:v>FY21</c:v>
                </c:pt>
                <c:pt idx="3">
                  <c:v>FY22</c:v>
                </c:pt>
                <c:pt idx="4">
                  <c:v>FY23</c:v>
                </c:pt>
                <c:pt idx="5">
                  <c:v>FY24</c:v>
                </c:pt>
                <c:pt idx="6">
                  <c:v>FY25</c:v>
                </c:pt>
                <c:pt idx="7">
                  <c:v>FY26</c:v>
                </c:pt>
              </c:strCache>
            </c:strRef>
          </c:cat>
          <c:val>
            <c:numRef>
              <c:f>Presentation!$CH$17:$CO$17</c:f>
              <c:numCache>
                <c:formatCode>"$"#,##0_);\("$"#,##0\)</c:formatCode>
                <c:ptCount val="8"/>
                <c:pt idx="0">
                  <c:v>110150.42606382977</c:v>
                </c:pt>
                <c:pt idx="1">
                  <c:v>136183.58139588017</c:v>
                </c:pt>
                <c:pt idx="2">
                  <c:v>174619.67766405712</c:v>
                </c:pt>
                <c:pt idx="3">
                  <c:v>152403.31751136307</c:v>
                </c:pt>
                <c:pt idx="4">
                  <c:v>188566.25003508155</c:v>
                </c:pt>
                <c:pt idx="5">
                  <c:v>204420.04505455215</c:v>
                </c:pt>
                <c:pt idx="6">
                  <c:v>249537.61472901472</c:v>
                </c:pt>
                <c:pt idx="7">
                  <c:v>284355.20006021648</c:v>
                </c:pt>
              </c:numCache>
            </c:numRef>
          </c:val>
          <c:smooth val="0"/>
          <c:extLst>
            <c:ext xmlns:c16="http://schemas.microsoft.com/office/drawing/2014/chart" uri="{C3380CC4-5D6E-409C-BE32-E72D297353CC}">
              <c16:uniqueId val="{00000000-4BD7-4D53-B8A7-9B1B04AF587F}"/>
            </c:ext>
          </c:extLst>
        </c:ser>
        <c:ser>
          <c:idx val="2"/>
          <c:order val="1"/>
          <c:tx>
            <c:strRef>
              <c:f>Presentation!$CG$18</c:f>
              <c:strCache>
                <c:ptCount val="1"/>
                <c:pt idx="0">
                  <c:v>LTM Rev per Employee</c:v>
                </c:pt>
              </c:strCache>
            </c:strRef>
          </c:tx>
          <c:spPr>
            <a:ln w="28575" cap="rnd">
              <a:solidFill>
                <a:schemeClr val="accent3"/>
              </a:solidFill>
              <a:round/>
            </a:ln>
            <a:effectLst/>
          </c:spPr>
          <c:marker>
            <c:symbol val="none"/>
          </c:marker>
          <c:cat>
            <c:strRef>
              <c:f>Presentation!$CH$4:$CO$4</c:f>
              <c:strCache>
                <c:ptCount val="8"/>
                <c:pt idx="0">
                  <c:v>FY19</c:v>
                </c:pt>
                <c:pt idx="1">
                  <c:v>FY20</c:v>
                </c:pt>
                <c:pt idx="2">
                  <c:v>FY21</c:v>
                </c:pt>
                <c:pt idx="3">
                  <c:v>FY22</c:v>
                </c:pt>
                <c:pt idx="4">
                  <c:v>FY23</c:v>
                </c:pt>
                <c:pt idx="5">
                  <c:v>FY24</c:v>
                </c:pt>
                <c:pt idx="6">
                  <c:v>FY25</c:v>
                </c:pt>
                <c:pt idx="7">
                  <c:v>FY26</c:v>
                </c:pt>
              </c:strCache>
            </c:strRef>
          </c:cat>
          <c:val>
            <c:numRef>
              <c:f>Presentation!$CH$18:$CO$18</c:f>
              <c:numCache>
                <c:formatCode>"$"#,##0_);\("$"#,##0\)</c:formatCode>
                <c:ptCount val="8"/>
                <c:pt idx="0">
                  <c:v>74343.97163120567</c:v>
                </c:pt>
                <c:pt idx="1">
                  <c:v>105426.62836185819</c:v>
                </c:pt>
                <c:pt idx="2">
                  <c:v>143690.61506355932</c:v>
                </c:pt>
                <c:pt idx="3">
                  <c:v>114339.56387687982</c:v>
                </c:pt>
                <c:pt idx="4">
                  <c:v>153250.60288154511</c:v>
                </c:pt>
                <c:pt idx="5">
                  <c:v>168155.78071691652</c:v>
                </c:pt>
                <c:pt idx="6">
                  <c:v>206357.81627035898</c:v>
                </c:pt>
                <c:pt idx="7">
                  <c:v>236347.03400190145</c:v>
                </c:pt>
              </c:numCache>
            </c:numRef>
          </c:val>
          <c:smooth val="0"/>
          <c:extLst>
            <c:ext xmlns:c16="http://schemas.microsoft.com/office/drawing/2014/chart" uri="{C3380CC4-5D6E-409C-BE32-E72D297353CC}">
              <c16:uniqueId val="{00000001-4BD7-4D53-B8A7-9B1B04AF587F}"/>
            </c:ext>
          </c:extLst>
        </c:ser>
        <c:ser>
          <c:idx val="0"/>
          <c:order val="2"/>
          <c:tx>
            <c:strRef>
              <c:f>Presentation!$CG$19</c:f>
              <c:strCache>
                <c:ptCount val="1"/>
                <c:pt idx="0">
                  <c:v>Median LTM Rev/Empl: 2020 IPOs</c:v>
                </c:pt>
              </c:strCache>
            </c:strRef>
          </c:tx>
          <c:spPr>
            <a:ln w="28575" cap="rnd">
              <a:solidFill>
                <a:schemeClr val="accent1"/>
              </a:solidFill>
              <a:round/>
            </a:ln>
            <a:effectLst/>
          </c:spPr>
          <c:marker>
            <c:symbol val="none"/>
          </c:marker>
          <c:cat>
            <c:strRef>
              <c:f>Presentation!$CH$4:$CO$4</c:f>
              <c:strCache>
                <c:ptCount val="8"/>
                <c:pt idx="0">
                  <c:v>FY19</c:v>
                </c:pt>
                <c:pt idx="1">
                  <c:v>FY20</c:v>
                </c:pt>
                <c:pt idx="2">
                  <c:v>FY21</c:v>
                </c:pt>
                <c:pt idx="3">
                  <c:v>FY22</c:v>
                </c:pt>
                <c:pt idx="4">
                  <c:v>FY23</c:v>
                </c:pt>
                <c:pt idx="5">
                  <c:v>FY24</c:v>
                </c:pt>
                <c:pt idx="6">
                  <c:v>FY25</c:v>
                </c:pt>
                <c:pt idx="7">
                  <c:v>FY26</c:v>
                </c:pt>
              </c:strCache>
            </c:strRef>
          </c:cat>
          <c:val>
            <c:numRef>
              <c:f>Presentation!$CH$19:$CO$19</c:f>
              <c:numCache>
                <c:formatCode>"$"#,##0_);\("$"#,##0\)</c:formatCode>
                <c:ptCount val="8"/>
                <c:pt idx="0">
                  <c:v>199000</c:v>
                </c:pt>
                <c:pt idx="1">
                  <c:v>199000</c:v>
                </c:pt>
                <c:pt idx="2">
                  <c:v>199000</c:v>
                </c:pt>
                <c:pt idx="3">
                  <c:v>199000</c:v>
                </c:pt>
                <c:pt idx="4">
                  <c:v>199000</c:v>
                </c:pt>
                <c:pt idx="5">
                  <c:v>199000</c:v>
                </c:pt>
                <c:pt idx="6">
                  <c:v>199000</c:v>
                </c:pt>
                <c:pt idx="7">
                  <c:v>199000</c:v>
                </c:pt>
              </c:numCache>
            </c:numRef>
          </c:val>
          <c:smooth val="0"/>
          <c:extLst>
            <c:ext xmlns:c16="http://schemas.microsoft.com/office/drawing/2014/chart" uri="{C3380CC4-5D6E-409C-BE32-E72D297353CC}">
              <c16:uniqueId val="{00000002-4BD7-4D53-B8A7-9B1B04AF587F}"/>
            </c:ext>
          </c:extLst>
        </c:ser>
        <c:dLbls>
          <c:showLegendKey val="0"/>
          <c:showVal val="0"/>
          <c:showCatName val="0"/>
          <c:showSerName val="0"/>
          <c:showPercent val="0"/>
          <c:showBubbleSize val="0"/>
        </c:dLbls>
        <c:smooth val="0"/>
        <c:axId val="1031612672"/>
        <c:axId val="1031614352"/>
      </c:lineChart>
      <c:catAx>
        <c:axId val="1031612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614352"/>
        <c:crosses val="autoZero"/>
        <c:auto val="1"/>
        <c:lblAlgn val="ctr"/>
        <c:lblOffset val="100"/>
        <c:noMultiLvlLbl val="0"/>
      </c:catAx>
      <c:valAx>
        <c:axId val="103161435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612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Presentation!$CG$37</c:f>
              <c:strCache>
                <c:ptCount val="1"/>
                <c:pt idx="0">
                  <c:v>S&amp;M</c:v>
                </c:pt>
              </c:strCache>
            </c:strRef>
          </c:tx>
          <c:spPr>
            <a:solidFill>
              <a:schemeClr val="accent1"/>
            </a:solidFill>
            <a:ln>
              <a:noFill/>
            </a:ln>
            <a:effectLst/>
          </c:spPr>
          <c:invertIfNegative val="0"/>
          <c:cat>
            <c:strRef>
              <c:f>Presentation!$CH$36:$CO$36</c:f>
              <c:strCache>
                <c:ptCount val="8"/>
                <c:pt idx="0">
                  <c:v>FY19</c:v>
                </c:pt>
                <c:pt idx="1">
                  <c:v>FY20</c:v>
                </c:pt>
                <c:pt idx="2">
                  <c:v>FY21</c:v>
                </c:pt>
                <c:pt idx="3">
                  <c:v>FY22</c:v>
                </c:pt>
                <c:pt idx="4">
                  <c:v>FY23</c:v>
                </c:pt>
                <c:pt idx="5">
                  <c:v>FY24</c:v>
                </c:pt>
                <c:pt idx="6">
                  <c:v>FY25</c:v>
                </c:pt>
                <c:pt idx="7">
                  <c:v>FY26</c:v>
                </c:pt>
              </c:strCache>
            </c:strRef>
          </c:cat>
          <c:val>
            <c:numRef>
              <c:f>Presentation!$CH$37:$CO$37</c:f>
              <c:numCache>
                <c:formatCode>_(* #,##0_);_(* \(#,##0\);_(* "-"??_);_(@_)</c:formatCode>
                <c:ptCount val="8"/>
                <c:pt idx="0">
                  <c:v>158</c:v>
                </c:pt>
                <c:pt idx="1">
                  <c:v>232</c:v>
                </c:pt>
                <c:pt idx="2">
                  <c:v>243</c:v>
                </c:pt>
                <c:pt idx="3">
                  <c:v>485</c:v>
                </c:pt>
                <c:pt idx="4">
                  <c:v>581.07164348337449</c:v>
                </c:pt>
                <c:pt idx="5">
                  <c:v>865.88964399127735</c:v>
                </c:pt>
                <c:pt idx="6">
                  <c:v>1054.2475546982107</c:v>
                </c:pt>
                <c:pt idx="7">
                  <c:v>1425.5453637266357</c:v>
                </c:pt>
              </c:numCache>
            </c:numRef>
          </c:val>
          <c:extLst>
            <c:ext xmlns:c16="http://schemas.microsoft.com/office/drawing/2014/chart" uri="{C3380CC4-5D6E-409C-BE32-E72D297353CC}">
              <c16:uniqueId val="{00000000-63F9-4E2A-BA3A-782489FB438C}"/>
            </c:ext>
          </c:extLst>
        </c:ser>
        <c:ser>
          <c:idx val="1"/>
          <c:order val="1"/>
          <c:tx>
            <c:strRef>
              <c:f>Presentation!$CG$38</c:f>
              <c:strCache>
                <c:ptCount val="1"/>
                <c:pt idx="0">
                  <c:v>R&amp;D</c:v>
                </c:pt>
              </c:strCache>
            </c:strRef>
          </c:tx>
          <c:spPr>
            <a:solidFill>
              <a:schemeClr val="accent2"/>
            </a:solidFill>
            <a:ln>
              <a:noFill/>
            </a:ln>
            <a:effectLst/>
          </c:spPr>
          <c:invertIfNegative val="0"/>
          <c:cat>
            <c:strRef>
              <c:f>Presentation!$CH$36:$CO$36</c:f>
              <c:strCache>
                <c:ptCount val="8"/>
                <c:pt idx="0">
                  <c:v>FY19</c:v>
                </c:pt>
                <c:pt idx="1">
                  <c:v>FY20</c:v>
                </c:pt>
                <c:pt idx="2">
                  <c:v>FY21</c:v>
                </c:pt>
                <c:pt idx="3">
                  <c:v>FY22</c:v>
                </c:pt>
                <c:pt idx="4">
                  <c:v>FY23</c:v>
                </c:pt>
                <c:pt idx="5">
                  <c:v>FY24</c:v>
                </c:pt>
                <c:pt idx="6">
                  <c:v>FY25</c:v>
                </c:pt>
                <c:pt idx="7">
                  <c:v>FY26</c:v>
                </c:pt>
              </c:strCache>
            </c:strRef>
          </c:cat>
          <c:val>
            <c:numRef>
              <c:f>Presentation!$CH$38:$CO$38</c:f>
              <c:numCache>
                <c:formatCode>_(* #,##0_);_(* \(#,##0\);_(* "-"??_);_(@_)</c:formatCode>
                <c:ptCount val="8"/>
                <c:pt idx="0">
                  <c:v>97</c:v>
                </c:pt>
                <c:pt idx="1">
                  <c:v>134</c:v>
                </c:pt>
                <c:pt idx="2">
                  <c:v>174</c:v>
                </c:pt>
                <c:pt idx="3">
                  <c:v>310</c:v>
                </c:pt>
                <c:pt idx="4">
                  <c:v>425.34313474848909</c:v>
                </c:pt>
                <c:pt idx="5">
                  <c:v>562.90467975203887</c:v>
                </c:pt>
                <c:pt idx="6">
                  <c:v>701.85196612516506</c:v>
                </c:pt>
                <c:pt idx="7">
                  <c:v>861.51676493753735</c:v>
                </c:pt>
              </c:numCache>
            </c:numRef>
          </c:val>
          <c:extLst>
            <c:ext xmlns:c16="http://schemas.microsoft.com/office/drawing/2014/chart" uri="{C3380CC4-5D6E-409C-BE32-E72D297353CC}">
              <c16:uniqueId val="{00000001-63F9-4E2A-BA3A-782489FB438C}"/>
            </c:ext>
          </c:extLst>
        </c:ser>
        <c:ser>
          <c:idx val="2"/>
          <c:order val="2"/>
          <c:tx>
            <c:strRef>
              <c:f>Presentation!$CG$39</c:f>
              <c:strCache>
                <c:ptCount val="1"/>
                <c:pt idx="0">
                  <c:v>G&amp;A</c:v>
                </c:pt>
              </c:strCache>
            </c:strRef>
          </c:tx>
          <c:spPr>
            <a:solidFill>
              <a:schemeClr val="accent3"/>
            </a:solidFill>
            <a:ln>
              <a:noFill/>
            </a:ln>
            <a:effectLst/>
          </c:spPr>
          <c:invertIfNegative val="0"/>
          <c:cat>
            <c:strRef>
              <c:f>Presentation!$CH$36:$CO$36</c:f>
              <c:strCache>
                <c:ptCount val="8"/>
                <c:pt idx="0">
                  <c:v>FY19</c:v>
                </c:pt>
                <c:pt idx="1">
                  <c:v>FY20</c:v>
                </c:pt>
                <c:pt idx="2">
                  <c:v>FY21</c:v>
                </c:pt>
                <c:pt idx="3">
                  <c:v>FY22</c:v>
                </c:pt>
                <c:pt idx="4">
                  <c:v>FY23</c:v>
                </c:pt>
                <c:pt idx="5">
                  <c:v>FY24</c:v>
                </c:pt>
                <c:pt idx="6">
                  <c:v>FY25</c:v>
                </c:pt>
                <c:pt idx="7">
                  <c:v>FY26</c:v>
                </c:pt>
              </c:strCache>
            </c:strRef>
          </c:cat>
          <c:val>
            <c:numRef>
              <c:f>Presentation!$CH$39:$CO$39</c:f>
              <c:numCache>
                <c:formatCode>_(* #,##0_);_(* \(#,##0\);_(* "-"??_);_(@_)</c:formatCode>
                <c:ptCount val="8"/>
                <c:pt idx="0">
                  <c:v>27</c:v>
                </c:pt>
                <c:pt idx="1">
                  <c:v>43</c:v>
                </c:pt>
                <c:pt idx="2">
                  <c:v>55</c:v>
                </c:pt>
                <c:pt idx="3">
                  <c:v>122</c:v>
                </c:pt>
                <c:pt idx="4">
                  <c:v>139.66238510209735</c:v>
                </c:pt>
                <c:pt idx="5">
                  <c:v>174.7632210028857</c:v>
                </c:pt>
                <c:pt idx="6">
                  <c:v>206.28357863143952</c:v>
                </c:pt>
                <c:pt idx="7">
                  <c:v>246.20967408893671</c:v>
                </c:pt>
              </c:numCache>
            </c:numRef>
          </c:val>
          <c:extLst>
            <c:ext xmlns:c16="http://schemas.microsoft.com/office/drawing/2014/chart" uri="{C3380CC4-5D6E-409C-BE32-E72D297353CC}">
              <c16:uniqueId val="{00000002-63F9-4E2A-BA3A-782489FB438C}"/>
            </c:ext>
          </c:extLst>
        </c:ser>
        <c:dLbls>
          <c:showLegendKey val="0"/>
          <c:showVal val="0"/>
          <c:showCatName val="0"/>
          <c:showSerName val="0"/>
          <c:showPercent val="0"/>
          <c:showBubbleSize val="0"/>
        </c:dLbls>
        <c:gapWidth val="150"/>
        <c:overlap val="100"/>
        <c:axId val="1043371184"/>
        <c:axId val="1043372832"/>
      </c:barChart>
      <c:lineChart>
        <c:grouping val="standard"/>
        <c:varyColors val="0"/>
        <c:ser>
          <c:idx val="3"/>
          <c:order val="3"/>
          <c:tx>
            <c:strRef>
              <c:f>Presentation!$CG$40</c:f>
              <c:strCache>
                <c:ptCount val="1"/>
              </c:strCache>
            </c:strRef>
          </c:tx>
          <c:spPr>
            <a:ln w="28575" cap="rnd">
              <a:no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Presentation!$CH$36:$CO$36</c:f>
              <c:strCache>
                <c:ptCount val="8"/>
                <c:pt idx="0">
                  <c:v>FY19</c:v>
                </c:pt>
                <c:pt idx="1">
                  <c:v>FY20</c:v>
                </c:pt>
                <c:pt idx="2">
                  <c:v>FY21</c:v>
                </c:pt>
                <c:pt idx="3">
                  <c:v>FY22</c:v>
                </c:pt>
                <c:pt idx="4">
                  <c:v>FY23</c:v>
                </c:pt>
                <c:pt idx="5">
                  <c:v>FY24</c:v>
                </c:pt>
                <c:pt idx="6">
                  <c:v>FY25</c:v>
                </c:pt>
                <c:pt idx="7">
                  <c:v>FY26</c:v>
                </c:pt>
              </c:strCache>
            </c:strRef>
          </c:cat>
          <c:val>
            <c:numRef>
              <c:f>Presentation!$CH$40:$CO$40</c:f>
              <c:numCache>
                <c:formatCode>_(* #,##0_);_(* \(#,##0\);_(* "-"??_);_(@_)</c:formatCode>
                <c:ptCount val="8"/>
                <c:pt idx="0">
                  <c:v>282</c:v>
                </c:pt>
                <c:pt idx="1">
                  <c:v>409</c:v>
                </c:pt>
                <c:pt idx="2">
                  <c:v>472</c:v>
                </c:pt>
                <c:pt idx="3">
                  <c:v>917</c:v>
                </c:pt>
                <c:pt idx="4">
                  <c:v>1146.0771633339609</c:v>
                </c:pt>
                <c:pt idx="5">
                  <c:v>1603.557544746202</c:v>
                </c:pt>
                <c:pt idx="6">
                  <c:v>1962.3830994548152</c:v>
                </c:pt>
                <c:pt idx="7">
                  <c:v>2533.27180275311</c:v>
                </c:pt>
              </c:numCache>
            </c:numRef>
          </c:val>
          <c:smooth val="0"/>
          <c:extLst>
            <c:ext xmlns:c16="http://schemas.microsoft.com/office/drawing/2014/chart" uri="{C3380CC4-5D6E-409C-BE32-E72D297353CC}">
              <c16:uniqueId val="{00000003-63F9-4E2A-BA3A-782489FB438C}"/>
            </c:ext>
          </c:extLst>
        </c:ser>
        <c:dLbls>
          <c:showLegendKey val="0"/>
          <c:showVal val="0"/>
          <c:showCatName val="0"/>
          <c:showSerName val="0"/>
          <c:showPercent val="0"/>
          <c:showBubbleSize val="0"/>
        </c:dLbls>
        <c:marker val="1"/>
        <c:smooth val="0"/>
        <c:axId val="1043371184"/>
        <c:axId val="1043372832"/>
      </c:lineChart>
      <c:catAx>
        <c:axId val="1043371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372832"/>
        <c:crosses val="autoZero"/>
        <c:auto val="1"/>
        <c:lblAlgn val="ctr"/>
        <c:lblOffset val="100"/>
        <c:noMultiLvlLbl val="0"/>
      </c:catAx>
      <c:valAx>
        <c:axId val="104337283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371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Presentation!$EZ$6</c:f>
              <c:strCache>
                <c:ptCount val="1"/>
                <c:pt idx="0">
                  <c:v>Core</c:v>
                </c:pt>
              </c:strCache>
            </c:strRef>
          </c:tx>
          <c:spPr>
            <a:solidFill>
              <a:schemeClr val="accent1"/>
            </a:solidFill>
            <a:ln>
              <a:noFill/>
            </a:ln>
            <a:effectLst/>
          </c:spPr>
          <c:invertIfNegative val="0"/>
          <c:cat>
            <c:strRef>
              <c:f>Presentation!$FA$4:$FH$5</c:f>
              <c:strCache>
                <c:ptCount val="6"/>
                <c:pt idx="0">
                  <c:v>FY21</c:v>
                </c:pt>
                <c:pt idx="1">
                  <c:v>FY22</c:v>
                </c:pt>
                <c:pt idx="2">
                  <c:v>FY23</c:v>
                </c:pt>
                <c:pt idx="3">
                  <c:v>FY24</c:v>
                </c:pt>
                <c:pt idx="4">
                  <c:v>FY25</c:v>
                </c:pt>
                <c:pt idx="5">
                  <c:v>FY26</c:v>
                </c:pt>
              </c:strCache>
            </c:strRef>
          </c:cat>
          <c:val>
            <c:numRef>
              <c:f>Presentation!$FA$6:$FH$6</c:f>
              <c:numCache>
                <c:formatCode>"$"#,##0.0_);\("$"#,##0.0\)</c:formatCode>
                <c:ptCount val="6"/>
                <c:pt idx="0">
                  <c:v>78.350071558112617</c:v>
                </c:pt>
                <c:pt idx="1">
                  <c:v>129.16160192583527</c:v>
                </c:pt>
                <c:pt idx="2">
                  <c:v>192.328325604599</c:v>
                </c:pt>
                <c:pt idx="3">
                  <c:v>255.83744494557232</c:v>
                </c:pt>
                <c:pt idx="4">
                  <c:v>327.75126358684844</c:v>
                </c:pt>
                <c:pt idx="5">
                  <c:v>416.11905636776686</c:v>
                </c:pt>
              </c:numCache>
            </c:numRef>
          </c:val>
          <c:extLst>
            <c:ext xmlns:c16="http://schemas.microsoft.com/office/drawing/2014/chart" uri="{C3380CC4-5D6E-409C-BE32-E72D297353CC}">
              <c16:uniqueId val="{00000000-E6D7-4E92-BA82-DBF75324E966}"/>
            </c:ext>
          </c:extLst>
        </c:ser>
        <c:ser>
          <c:idx val="1"/>
          <c:order val="1"/>
          <c:tx>
            <c:strRef>
              <c:f>Presentation!#REF!</c:f>
              <c:strCache>
                <c:ptCount val="1"/>
                <c:pt idx="0">
                  <c:v>#REF!</c:v>
                </c:pt>
              </c:strCache>
            </c:strRef>
          </c:tx>
          <c:spPr>
            <a:solidFill>
              <a:schemeClr val="accent2"/>
            </a:solidFill>
            <a:ln>
              <a:noFill/>
            </a:ln>
            <a:effectLst/>
          </c:spPr>
          <c:invertIfNegative val="0"/>
          <c:cat>
            <c:strRef>
              <c:f>Presentation!$FA$4:$FH$5</c:f>
              <c:strCache>
                <c:ptCount val="6"/>
                <c:pt idx="0">
                  <c:v>FY21</c:v>
                </c:pt>
                <c:pt idx="1">
                  <c:v>FY22</c:v>
                </c:pt>
                <c:pt idx="2">
                  <c:v>FY23</c:v>
                </c:pt>
                <c:pt idx="3">
                  <c:v>FY24</c:v>
                </c:pt>
                <c:pt idx="4">
                  <c:v>FY25</c:v>
                </c:pt>
                <c:pt idx="5">
                  <c:v>FY26</c:v>
                </c:pt>
              </c:strCache>
            </c:strRef>
          </c:cat>
          <c:val>
            <c:numRef>
              <c:f>Presentation!#REF!</c:f>
              <c:numCache>
                <c:formatCode>General</c:formatCode>
                <c:ptCount val="1"/>
                <c:pt idx="0">
                  <c:v>1</c:v>
                </c:pt>
              </c:numCache>
            </c:numRef>
          </c:val>
          <c:extLst>
            <c:ext xmlns:c16="http://schemas.microsoft.com/office/drawing/2014/chart" uri="{C3380CC4-5D6E-409C-BE32-E72D297353CC}">
              <c16:uniqueId val="{00000001-E6D7-4E92-BA82-DBF75324E966}"/>
            </c:ext>
          </c:extLst>
        </c:ser>
        <c:ser>
          <c:idx val="2"/>
          <c:order val="2"/>
          <c:tx>
            <c:strRef>
              <c:f>Presentation!$EZ$7</c:f>
              <c:strCache>
                <c:ptCount val="1"/>
                <c:pt idx="0">
                  <c:v>VoC</c:v>
                </c:pt>
              </c:strCache>
            </c:strRef>
          </c:tx>
          <c:spPr>
            <a:solidFill>
              <a:schemeClr val="accent3"/>
            </a:solidFill>
            <a:ln>
              <a:noFill/>
            </a:ln>
            <a:effectLst/>
          </c:spPr>
          <c:invertIfNegative val="0"/>
          <c:cat>
            <c:strRef>
              <c:f>Presentation!$FA$4:$FH$5</c:f>
              <c:strCache>
                <c:ptCount val="6"/>
                <c:pt idx="0">
                  <c:v>FY21</c:v>
                </c:pt>
                <c:pt idx="1">
                  <c:v>FY22</c:v>
                </c:pt>
                <c:pt idx="2">
                  <c:v>FY23</c:v>
                </c:pt>
                <c:pt idx="3">
                  <c:v>FY24</c:v>
                </c:pt>
                <c:pt idx="4">
                  <c:v>FY25</c:v>
                </c:pt>
                <c:pt idx="5">
                  <c:v>FY26</c:v>
                </c:pt>
              </c:strCache>
            </c:strRef>
          </c:cat>
          <c:val>
            <c:numRef>
              <c:f>Presentation!$FA$7:$FH$7</c:f>
              <c:numCache>
                <c:formatCode>_(* #,##0.0_);_(* \(#,##0.0\);_(* "-"??_);_(@_)</c:formatCode>
                <c:ptCount val="6"/>
                <c:pt idx="0">
                  <c:v>1.649728589567</c:v>
                </c:pt>
                <c:pt idx="1">
                  <c:v>3.4332811930988569</c:v>
                </c:pt>
                <c:pt idx="2">
                  <c:v>7.0955155774900982</c:v>
                </c:pt>
                <c:pt idx="3">
                  <c:v>22.823432003468117</c:v>
                </c:pt>
                <c:pt idx="4">
                  <c:v>45.569208615087675</c:v>
                </c:pt>
                <c:pt idx="5">
                  <c:v>76.940163900478964</c:v>
                </c:pt>
              </c:numCache>
            </c:numRef>
          </c:val>
          <c:extLst>
            <c:ext xmlns:c16="http://schemas.microsoft.com/office/drawing/2014/chart" uri="{C3380CC4-5D6E-409C-BE32-E72D297353CC}">
              <c16:uniqueId val="{00000002-E6D7-4E92-BA82-DBF75324E966}"/>
            </c:ext>
          </c:extLst>
        </c:ser>
        <c:ser>
          <c:idx val="3"/>
          <c:order val="3"/>
          <c:tx>
            <c:strRef>
              <c:f>Presentation!$EZ$8</c:f>
              <c:strCache>
                <c:ptCount val="1"/>
                <c:pt idx="0">
                  <c:v>DAP</c:v>
                </c:pt>
              </c:strCache>
            </c:strRef>
          </c:tx>
          <c:spPr>
            <a:solidFill>
              <a:schemeClr val="accent4"/>
            </a:solidFill>
            <a:ln>
              <a:noFill/>
            </a:ln>
            <a:effectLst/>
          </c:spPr>
          <c:invertIfNegative val="0"/>
          <c:cat>
            <c:strRef>
              <c:f>Presentation!$FA$4:$FH$5</c:f>
              <c:strCache>
                <c:ptCount val="6"/>
                <c:pt idx="0">
                  <c:v>FY21</c:v>
                </c:pt>
                <c:pt idx="1">
                  <c:v>FY22</c:v>
                </c:pt>
                <c:pt idx="2">
                  <c:v>FY23</c:v>
                </c:pt>
                <c:pt idx="3">
                  <c:v>FY24</c:v>
                </c:pt>
                <c:pt idx="4">
                  <c:v>FY25</c:v>
                </c:pt>
                <c:pt idx="5">
                  <c:v>FY26</c:v>
                </c:pt>
              </c:strCache>
            </c:strRef>
          </c:cat>
          <c:val>
            <c:numRef>
              <c:f>Presentation!$FA$8:$FH$8</c:f>
              <c:numCache>
                <c:formatCode>_(* #,##0.0_);_(* \(#,##0.0\);_(* "-"??_);_(@_)</c:formatCode>
                <c:ptCount val="6"/>
                <c:pt idx="0">
                  <c:v>0.67135475917434995</c:v>
                </c:pt>
                <c:pt idx="1">
                  <c:v>2.956096503163598</c:v>
                </c:pt>
                <c:pt idx="2">
                  <c:v>9.4054094502819972</c:v>
                </c:pt>
                <c:pt idx="3">
                  <c:v>37.248397729794789</c:v>
                </c:pt>
                <c:pt idx="4">
                  <c:v>97.668243387089433</c:v>
                </c:pt>
                <c:pt idx="5">
                  <c:v>198.6769065423386</c:v>
                </c:pt>
              </c:numCache>
            </c:numRef>
          </c:val>
          <c:extLst>
            <c:ext xmlns:c16="http://schemas.microsoft.com/office/drawing/2014/chart" uri="{C3380CC4-5D6E-409C-BE32-E72D297353CC}">
              <c16:uniqueId val="{00000003-E6D7-4E92-BA82-DBF75324E966}"/>
            </c:ext>
          </c:extLst>
        </c:ser>
        <c:ser>
          <c:idx val="4"/>
          <c:order val="4"/>
          <c:tx>
            <c:strRef>
              <c:f>Presentation!$EZ$9</c:f>
              <c:strCache>
                <c:ptCount val="1"/>
                <c:pt idx="0">
                  <c:v>Adopt</c:v>
                </c:pt>
              </c:strCache>
            </c:strRef>
          </c:tx>
          <c:spPr>
            <a:solidFill>
              <a:schemeClr val="accent5"/>
            </a:solidFill>
            <a:ln>
              <a:noFill/>
            </a:ln>
            <a:effectLst/>
          </c:spPr>
          <c:invertIfNegative val="0"/>
          <c:cat>
            <c:strRef>
              <c:f>Presentation!$FA$4:$FH$5</c:f>
              <c:strCache>
                <c:ptCount val="6"/>
                <c:pt idx="0">
                  <c:v>FY21</c:v>
                </c:pt>
                <c:pt idx="1">
                  <c:v>FY22</c:v>
                </c:pt>
                <c:pt idx="2">
                  <c:v>FY23</c:v>
                </c:pt>
                <c:pt idx="3">
                  <c:v>FY24</c:v>
                </c:pt>
                <c:pt idx="4">
                  <c:v>FY25</c:v>
                </c:pt>
                <c:pt idx="5">
                  <c:v>FY26</c:v>
                </c:pt>
              </c:strCache>
            </c:strRef>
          </c:cat>
          <c:val>
            <c:numRef>
              <c:f>Presentation!$FA$9:$FH$9</c:f>
              <c:numCache>
                <c:formatCode>_(* #,##0.0_);_(* \(#,##0.0\);_(* "-"??_);_(@_)</c:formatCode>
                <c:ptCount val="6"/>
                <c:pt idx="0">
                  <c:v>1.1256781584959998</c:v>
                </c:pt>
                <c:pt idx="1">
                  <c:v>3.5132644011722616</c:v>
                </c:pt>
                <c:pt idx="2">
                  <c:v>6.5926241737075761</c:v>
                </c:pt>
                <c:pt idx="3">
                  <c:v>11.200432731100403</c:v>
                </c:pt>
                <c:pt idx="4">
                  <c:v>18.010084098809912</c:v>
                </c:pt>
                <c:pt idx="5">
                  <c:v>27.923285333531446</c:v>
                </c:pt>
              </c:numCache>
            </c:numRef>
          </c:val>
          <c:extLst>
            <c:ext xmlns:c16="http://schemas.microsoft.com/office/drawing/2014/chart" uri="{C3380CC4-5D6E-409C-BE32-E72D297353CC}">
              <c16:uniqueId val="{00000004-E6D7-4E92-BA82-DBF75324E966}"/>
            </c:ext>
          </c:extLst>
        </c:ser>
        <c:dLbls>
          <c:showLegendKey val="0"/>
          <c:showVal val="0"/>
          <c:showCatName val="0"/>
          <c:showSerName val="0"/>
          <c:showPercent val="0"/>
          <c:showBubbleSize val="0"/>
        </c:dLbls>
        <c:gapWidth val="150"/>
        <c:overlap val="100"/>
        <c:axId val="469769696"/>
        <c:axId val="469770528"/>
      </c:barChart>
      <c:lineChart>
        <c:grouping val="standard"/>
        <c:varyColors val="0"/>
        <c:ser>
          <c:idx val="5"/>
          <c:order val="5"/>
          <c:tx>
            <c:strRef>
              <c:f>Presentation!$EZ$10</c:f>
              <c:strCache>
                <c:ptCount val="1"/>
                <c:pt idx="0">
                  <c:v>Total ARR</c:v>
                </c:pt>
              </c:strCache>
            </c:strRef>
          </c:tx>
          <c:spPr>
            <a:ln w="28575" cap="rnd">
              <a:solidFill>
                <a:schemeClr val="accent6"/>
              </a:solidFill>
              <a:round/>
            </a:ln>
            <a:effectLst/>
          </c:spPr>
          <c:marker>
            <c:symbol val="none"/>
          </c:marker>
          <c:cat>
            <c:strRef>
              <c:f>Presentation!$FA$4:$FH$5</c:f>
              <c:strCache>
                <c:ptCount val="6"/>
                <c:pt idx="0">
                  <c:v>FY21</c:v>
                </c:pt>
                <c:pt idx="1">
                  <c:v>FY22</c:v>
                </c:pt>
                <c:pt idx="2">
                  <c:v>FY23</c:v>
                </c:pt>
                <c:pt idx="3">
                  <c:v>FY24</c:v>
                </c:pt>
                <c:pt idx="4">
                  <c:v>FY25</c:v>
                </c:pt>
                <c:pt idx="5">
                  <c:v>FY26</c:v>
                </c:pt>
              </c:strCache>
            </c:strRef>
          </c:cat>
          <c:val>
            <c:numRef>
              <c:f>Presentation!$FA$10:$FH$10</c:f>
              <c:numCache>
                <c:formatCode>"$"#,##0.0_);\("$"#,##0.0\)</c:formatCode>
                <c:ptCount val="6"/>
                <c:pt idx="0">
                  <c:v>81.796833065349972</c:v>
                </c:pt>
                <c:pt idx="1">
                  <c:v>139.06424402326996</c:v>
                </c:pt>
                <c:pt idx="2">
                  <c:v>215.42187480607868</c:v>
                </c:pt>
                <c:pt idx="3">
                  <c:v>327.10970740993565</c:v>
                </c:pt>
                <c:pt idx="4">
                  <c:v>488.99879968783546</c:v>
                </c:pt>
                <c:pt idx="5">
                  <c:v>719.65941214411589</c:v>
                </c:pt>
              </c:numCache>
            </c:numRef>
          </c:val>
          <c:smooth val="0"/>
          <c:extLst>
            <c:ext xmlns:c16="http://schemas.microsoft.com/office/drawing/2014/chart" uri="{C3380CC4-5D6E-409C-BE32-E72D297353CC}">
              <c16:uniqueId val="{00000005-E6D7-4E92-BA82-DBF75324E966}"/>
            </c:ext>
          </c:extLst>
        </c:ser>
        <c:dLbls>
          <c:showLegendKey val="0"/>
          <c:showVal val="0"/>
          <c:showCatName val="0"/>
          <c:showSerName val="0"/>
          <c:showPercent val="0"/>
          <c:showBubbleSize val="0"/>
        </c:dLbls>
        <c:marker val="1"/>
        <c:smooth val="0"/>
        <c:axId val="469769696"/>
        <c:axId val="469770528"/>
      </c:lineChart>
      <c:catAx>
        <c:axId val="469769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9770528"/>
        <c:crosses val="autoZero"/>
        <c:auto val="1"/>
        <c:lblAlgn val="ctr"/>
        <c:lblOffset val="100"/>
        <c:noMultiLvlLbl val="0"/>
      </c:catAx>
      <c:valAx>
        <c:axId val="46977052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_);\(&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97696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Presentation!$GX$40</c:f>
              <c:strCache>
                <c:ptCount val="1"/>
                <c:pt idx="0">
                  <c:v>AMER</c:v>
                </c:pt>
              </c:strCache>
            </c:strRef>
          </c:tx>
          <c:spPr>
            <a:solidFill>
              <a:schemeClr val="accent1"/>
            </a:solidFill>
            <a:ln>
              <a:noFill/>
            </a:ln>
            <a:effectLst/>
          </c:spPr>
          <c:invertIfNegative val="0"/>
          <c:cat>
            <c:strRef>
              <c:f>Presentation!$GY$39:$HF$39</c:f>
              <c:strCache>
                <c:ptCount val="6"/>
                <c:pt idx="0">
                  <c:v>FY21</c:v>
                </c:pt>
                <c:pt idx="1">
                  <c:v>FY22</c:v>
                </c:pt>
                <c:pt idx="2">
                  <c:v>FY23</c:v>
                </c:pt>
                <c:pt idx="3">
                  <c:v>FY24</c:v>
                </c:pt>
                <c:pt idx="4">
                  <c:v>FY25</c:v>
                </c:pt>
                <c:pt idx="5">
                  <c:v>FY26</c:v>
                </c:pt>
              </c:strCache>
            </c:strRef>
          </c:cat>
          <c:val>
            <c:numRef>
              <c:f>Presentation!$GY$40:$HF$40</c:f>
              <c:numCache>
                <c:formatCode>"$"#,##0.0_);\("$"#,##0.0\)</c:formatCode>
                <c:ptCount val="6"/>
                <c:pt idx="0">
                  <c:v>29.265584490861926</c:v>
                </c:pt>
                <c:pt idx="1">
                  <c:v>57.694658366218405</c:v>
                </c:pt>
                <c:pt idx="2">
                  <c:v>74.805216992484276</c:v>
                </c:pt>
                <c:pt idx="3">
                  <c:v>103.88457006391431</c:v>
                </c:pt>
                <c:pt idx="4">
                  <c:v>141.27559534267573</c:v>
                </c:pt>
                <c:pt idx="5">
                  <c:v>187.98395383206295</c:v>
                </c:pt>
              </c:numCache>
            </c:numRef>
          </c:val>
          <c:extLst>
            <c:ext xmlns:c16="http://schemas.microsoft.com/office/drawing/2014/chart" uri="{C3380CC4-5D6E-409C-BE32-E72D297353CC}">
              <c16:uniqueId val="{00000000-0361-4F8B-BD47-20126800DD4C}"/>
            </c:ext>
          </c:extLst>
        </c:ser>
        <c:ser>
          <c:idx val="1"/>
          <c:order val="1"/>
          <c:tx>
            <c:strRef>
              <c:f>Presentation!$GX$41</c:f>
              <c:strCache>
                <c:ptCount val="1"/>
                <c:pt idx="0">
                  <c:v>EMEA</c:v>
                </c:pt>
              </c:strCache>
            </c:strRef>
          </c:tx>
          <c:spPr>
            <a:solidFill>
              <a:schemeClr val="accent2"/>
            </a:solidFill>
            <a:ln>
              <a:noFill/>
            </a:ln>
            <a:effectLst/>
          </c:spPr>
          <c:invertIfNegative val="0"/>
          <c:cat>
            <c:strRef>
              <c:f>Presentation!$GY$39:$HF$39</c:f>
              <c:strCache>
                <c:ptCount val="6"/>
                <c:pt idx="0">
                  <c:v>FY21</c:v>
                </c:pt>
                <c:pt idx="1">
                  <c:v>FY22</c:v>
                </c:pt>
                <c:pt idx="2">
                  <c:v>FY23</c:v>
                </c:pt>
                <c:pt idx="3">
                  <c:v>FY24</c:v>
                </c:pt>
                <c:pt idx="4">
                  <c:v>FY25</c:v>
                </c:pt>
                <c:pt idx="5">
                  <c:v>FY26</c:v>
                </c:pt>
              </c:strCache>
            </c:strRef>
          </c:cat>
          <c:val>
            <c:numRef>
              <c:f>Presentation!$GY$41:$HF$41</c:f>
              <c:numCache>
                <c:formatCode>"$"#,##0.0_);\("$"#,##0.0\)</c:formatCode>
                <c:ptCount val="6"/>
                <c:pt idx="0">
                  <c:v>2.600518980590496</c:v>
                </c:pt>
                <c:pt idx="1">
                  <c:v>5.119900745649681</c:v>
                </c:pt>
                <c:pt idx="2">
                  <c:v>9.1947830075157135</c:v>
                </c:pt>
                <c:pt idx="3">
                  <c:v>16.788867436085674</c:v>
                </c:pt>
                <c:pt idx="4">
                  <c:v>29.022373407324224</c:v>
                </c:pt>
                <c:pt idx="5">
                  <c:v>48.023766871062037</c:v>
                </c:pt>
              </c:numCache>
            </c:numRef>
          </c:val>
          <c:extLst>
            <c:ext xmlns:c16="http://schemas.microsoft.com/office/drawing/2014/chart" uri="{C3380CC4-5D6E-409C-BE32-E72D297353CC}">
              <c16:uniqueId val="{00000001-0361-4F8B-BD47-20126800DD4C}"/>
            </c:ext>
          </c:extLst>
        </c:ser>
        <c:ser>
          <c:idx val="2"/>
          <c:order val="2"/>
          <c:tx>
            <c:strRef>
              <c:f>Presentation!$GX$42</c:f>
              <c:strCache>
                <c:ptCount val="1"/>
                <c:pt idx="0">
                  <c:v>APAC</c:v>
                </c:pt>
              </c:strCache>
            </c:strRef>
          </c:tx>
          <c:spPr>
            <a:solidFill>
              <a:schemeClr val="accent3"/>
            </a:solidFill>
            <a:ln>
              <a:noFill/>
            </a:ln>
            <a:effectLst/>
          </c:spPr>
          <c:invertIfNegative val="0"/>
          <c:cat>
            <c:strRef>
              <c:f>Presentation!$GY$39:$HF$39</c:f>
              <c:strCache>
                <c:ptCount val="6"/>
                <c:pt idx="0">
                  <c:v>FY21</c:v>
                </c:pt>
                <c:pt idx="1">
                  <c:v>FY22</c:v>
                </c:pt>
                <c:pt idx="2">
                  <c:v>FY23</c:v>
                </c:pt>
                <c:pt idx="3">
                  <c:v>FY24</c:v>
                </c:pt>
                <c:pt idx="4">
                  <c:v>FY25</c:v>
                </c:pt>
                <c:pt idx="5">
                  <c:v>FY26</c:v>
                </c:pt>
              </c:strCache>
            </c:strRef>
          </c:cat>
          <c:val>
            <c:numRef>
              <c:f>Presentation!$GY$42:$HF$42</c:f>
              <c:numCache>
                <c:formatCode>"$"#,##0.0_);\("$"#,##0.0\)</c:formatCode>
                <c:ptCount val="6"/>
                <c:pt idx="0">
                  <c:v>0.47586609264957486</c:v>
                </c:pt>
                <c:pt idx="1">
                  <c:v>1.117683208564912</c:v>
                </c:pt>
                <c:pt idx="2">
                  <c:v>3.4999999999999996</c:v>
                </c:pt>
                <c:pt idx="3">
                  <c:v>8.3890624999999996</c:v>
                </c:pt>
                <c:pt idx="4">
                  <c:v>16.842656249999994</c:v>
                </c:pt>
                <c:pt idx="5">
                  <c:v>30.667669921874996</c:v>
                </c:pt>
              </c:numCache>
            </c:numRef>
          </c:val>
          <c:extLst>
            <c:ext xmlns:c16="http://schemas.microsoft.com/office/drawing/2014/chart" uri="{C3380CC4-5D6E-409C-BE32-E72D297353CC}">
              <c16:uniqueId val="{00000002-0361-4F8B-BD47-20126800DD4C}"/>
            </c:ext>
          </c:extLst>
        </c:ser>
        <c:dLbls>
          <c:showLegendKey val="0"/>
          <c:showVal val="0"/>
          <c:showCatName val="0"/>
          <c:showSerName val="0"/>
          <c:showPercent val="0"/>
          <c:showBubbleSize val="0"/>
        </c:dLbls>
        <c:gapWidth val="150"/>
        <c:overlap val="100"/>
        <c:axId val="1484745199"/>
        <c:axId val="1484727311"/>
      </c:barChart>
      <c:lineChart>
        <c:grouping val="standard"/>
        <c:varyColors val="0"/>
        <c:ser>
          <c:idx val="3"/>
          <c:order val="3"/>
          <c:tx>
            <c:strRef>
              <c:f>Presentation!$GX$43</c:f>
              <c:strCache>
                <c:ptCount val="1"/>
              </c:strCache>
            </c:strRef>
          </c:tx>
          <c:spPr>
            <a:ln w="28575" cap="rnd">
              <a:solidFill>
                <a:schemeClr val="accent4"/>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Presentation!$GY$39:$HF$39</c:f>
              <c:strCache>
                <c:ptCount val="6"/>
                <c:pt idx="0">
                  <c:v>FY21</c:v>
                </c:pt>
                <c:pt idx="1">
                  <c:v>FY22</c:v>
                </c:pt>
                <c:pt idx="2">
                  <c:v>FY23</c:v>
                </c:pt>
                <c:pt idx="3">
                  <c:v>FY24</c:v>
                </c:pt>
                <c:pt idx="4">
                  <c:v>FY25</c:v>
                </c:pt>
                <c:pt idx="5">
                  <c:v>FY26</c:v>
                </c:pt>
              </c:strCache>
            </c:strRef>
          </c:cat>
          <c:val>
            <c:numRef>
              <c:f>Presentation!$GY$43:$HF$43</c:f>
              <c:numCache>
                <c:formatCode>"$"#,##0.0_);\("$"#,##0.0\)</c:formatCode>
                <c:ptCount val="6"/>
                <c:pt idx="0">
                  <c:v>32.341969564101994</c:v>
                </c:pt>
                <c:pt idx="1">
                  <c:v>63.932242320432998</c:v>
                </c:pt>
                <c:pt idx="2">
                  <c:v>87.499999999999986</c:v>
                </c:pt>
                <c:pt idx="3">
                  <c:v>129.06249999999997</c:v>
                </c:pt>
                <c:pt idx="4">
                  <c:v>187.14062499999994</c:v>
                </c:pt>
                <c:pt idx="5">
                  <c:v>266.67539062499998</c:v>
                </c:pt>
              </c:numCache>
            </c:numRef>
          </c:val>
          <c:smooth val="0"/>
          <c:extLst>
            <c:ext xmlns:c16="http://schemas.microsoft.com/office/drawing/2014/chart" uri="{C3380CC4-5D6E-409C-BE32-E72D297353CC}">
              <c16:uniqueId val="{00000003-0361-4F8B-BD47-20126800DD4C}"/>
            </c:ext>
          </c:extLst>
        </c:ser>
        <c:dLbls>
          <c:showLegendKey val="0"/>
          <c:showVal val="0"/>
          <c:showCatName val="0"/>
          <c:showSerName val="0"/>
          <c:showPercent val="0"/>
          <c:showBubbleSize val="0"/>
        </c:dLbls>
        <c:marker val="1"/>
        <c:smooth val="0"/>
        <c:axId val="1484745199"/>
        <c:axId val="1484727311"/>
      </c:lineChart>
      <c:catAx>
        <c:axId val="1484745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727311"/>
        <c:crosses val="autoZero"/>
        <c:auto val="1"/>
        <c:lblAlgn val="ctr"/>
        <c:lblOffset val="100"/>
        <c:noMultiLvlLbl val="0"/>
      </c:catAx>
      <c:valAx>
        <c:axId val="148472731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_);\(&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7451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ARR</a:t>
            </a:r>
            <a:r>
              <a:rPr lang="en-US" b="1" baseline="0"/>
              <a:t> Growth</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 Preso'!$C$4:$J$4</c:f>
              <c:strCache>
                <c:ptCount val="8"/>
                <c:pt idx="0">
                  <c:v>1Q22</c:v>
                </c:pt>
                <c:pt idx="1">
                  <c:v>2Q22</c:v>
                </c:pt>
                <c:pt idx="2">
                  <c:v>3Q22</c:v>
                </c:pt>
                <c:pt idx="3">
                  <c:v>4Q22</c:v>
                </c:pt>
                <c:pt idx="4">
                  <c:v>1Q23</c:v>
                </c:pt>
                <c:pt idx="5">
                  <c:v>2Q23</c:v>
                </c:pt>
                <c:pt idx="6">
                  <c:v>3Q23</c:v>
                </c:pt>
                <c:pt idx="7">
                  <c:v>4Q23</c:v>
                </c:pt>
              </c:strCache>
            </c:strRef>
          </c:cat>
          <c:val>
            <c:numRef>
              <c:f>'Q Preso'!$C$5:$J$5</c:f>
              <c:numCache>
                <c:formatCode>_(* #,##0_);_(* \(#,##0\);_(* "-"??_);_(@_)</c:formatCode>
                <c:ptCount val="8"/>
                <c:pt idx="0">
                  <c:v>89817779.738021955</c:v>
                </c:pt>
                <c:pt idx="1">
                  <c:v>102577354.82989797</c:v>
                </c:pt>
                <c:pt idx="2">
                  <c:v>118376054.83999997</c:v>
                </c:pt>
                <c:pt idx="3">
                  <c:v>139391097.48368567</c:v>
                </c:pt>
                <c:pt idx="4">
                  <c:v>152234808.50887677</c:v>
                </c:pt>
                <c:pt idx="5">
                  <c:v>170255650.62664872</c:v>
                </c:pt>
                <c:pt idx="6">
                  <c:v>188201189.16659629</c:v>
                </c:pt>
                <c:pt idx="7">
                  <c:v>215399843.90173402</c:v>
                </c:pt>
              </c:numCache>
            </c:numRef>
          </c:val>
          <c:extLst>
            <c:ext xmlns:c16="http://schemas.microsoft.com/office/drawing/2014/chart" uri="{C3380CC4-5D6E-409C-BE32-E72D297353CC}">
              <c16:uniqueId val="{00000000-C5C1-4948-8B68-44B240E2821F}"/>
            </c:ext>
          </c:extLst>
        </c:ser>
        <c:dLbls>
          <c:showLegendKey val="0"/>
          <c:showVal val="0"/>
          <c:showCatName val="0"/>
          <c:showSerName val="0"/>
          <c:showPercent val="0"/>
          <c:showBubbleSize val="0"/>
        </c:dLbls>
        <c:gapWidth val="50"/>
        <c:overlap val="-27"/>
        <c:axId val="409768416"/>
        <c:axId val="409750112"/>
      </c:barChart>
      <c:catAx>
        <c:axId val="409768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9750112"/>
        <c:crosses val="autoZero"/>
        <c:auto val="1"/>
        <c:lblAlgn val="ctr"/>
        <c:lblOffset val="100"/>
        <c:noMultiLvlLbl val="0"/>
      </c:catAx>
      <c:valAx>
        <c:axId val="40975011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9768416"/>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'Q Preso'!$M$15</c:f>
              <c:strCache>
                <c:ptCount val="1"/>
                <c:pt idx="0">
                  <c:v>GM %</c:v>
                </c:pt>
              </c:strCache>
            </c:strRef>
          </c:tx>
          <c:spPr>
            <a:ln w="28575" cap="rnd">
              <a:solidFill>
                <a:schemeClr val="accent1"/>
              </a:solidFill>
              <a:round/>
            </a:ln>
            <a:effectLst/>
          </c:spPr>
          <c:marker>
            <c:symbol val="none"/>
          </c:marker>
          <c:cat>
            <c:strRef>
              <c:f>'Q Preso'!$N$4:$U$4</c:f>
              <c:strCache>
                <c:ptCount val="8"/>
                <c:pt idx="0">
                  <c:v>1Q22</c:v>
                </c:pt>
                <c:pt idx="1">
                  <c:v>2Q22</c:v>
                </c:pt>
                <c:pt idx="2">
                  <c:v>3Q22</c:v>
                </c:pt>
                <c:pt idx="3">
                  <c:v>4Q22</c:v>
                </c:pt>
                <c:pt idx="4">
                  <c:v>1Q23</c:v>
                </c:pt>
                <c:pt idx="5">
                  <c:v>2Q23</c:v>
                </c:pt>
                <c:pt idx="6">
                  <c:v>3Q23</c:v>
                </c:pt>
                <c:pt idx="7">
                  <c:v>4Q23</c:v>
                </c:pt>
              </c:strCache>
            </c:strRef>
          </c:cat>
          <c:val>
            <c:numRef>
              <c:f>'Q Preso'!$N$15:$U$15</c:f>
              <c:numCache>
                <c:formatCode>0%</c:formatCode>
                <c:ptCount val="8"/>
                <c:pt idx="0">
                  <c:v>0.64598260483755821</c:v>
                </c:pt>
                <c:pt idx="1">
                  <c:v>0.64235093141825472</c:v>
                </c:pt>
                <c:pt idx="2">
                  <c:v>0.63859753482363346</c:v>
                </c:pt>
                <c:pt idx="3">
                  <c:v>0.65121531449031156</c:v>
                </c:pt>
                <c:pt idx="4">
                  <c:v>0.70170444838536261</c:v>
                </c:pt>
                <c:pt idx="5">
                  <c:v>0.70944268787805986</c:v>
                </c:pt>
                <c:pt idx="6">
                  <c:v>0.71198709389783543</c:v>
                </c:pt>
                <c:pt idx="7">
                  <c:v>0.72334191308721474</c:v>
                </c:pt>
              </c:numCache>
            </c:numRef>
          </c:val>
          <c:smooth val="0"/>
          <c:extLst>
            <c:ext xmlns:c16="http://schemas.microsoft.com/office/drawing/2014/chart" uri="{C3380CC4-5D6E-409C-BE32-E72D297353CC}">
              <c16:uniqueId val="{00000000-6148-4522-826C-E8B77A86ABC6}"/>
            </c:ext>
          </c:extLst>
        </c:ser>
        <c:dLbls>
          <c:showLegendKey val="0"/>
          <c:showVal val="0"/>
          <c:showCatName val="0"/>
          <c:showSerName val="0"/>
          <c:showPercent val="0"/>
          <c:showBubbleSize val="0"/>
        </c:dLbls>
        <c:smooth val="0"/>
        <c:axId val="236217440"/>
        <c:axId val="236211616"/>
      </c:lineChart>
      <c:catAx>
        <c:axId val="236217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6211616"/>
        <c:crosses val="autoZero"/>
        <c:auto val="1"/>
        <c:lblAlgn val="ctr"/>
        <c:lblOffset val="100"/>
        <c:noMultiLvlLbl val="0"/>
      </c:catAx>
      <c:valAx>
        <c:axId val="2362116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6217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'Q Preso'!$AG$10</c:f>
              <c:strCache>
                <c:ptCount val="1"/>
                <c:pt idx="0">
                  <c:v>NRR (Annual)</c:v>
                </c:pt>
              </c:strCache>
            </c:strRef>
          </c:tx>
          <c:spPr>
            <a:ln w="28575" cap="rnd">
              <a:solidFill>
                <a:schemeClr val="accent1"/>
              </a:solidFill>
              <a:round/>
            </a:ln>
            <a:effectLst/>
          </c:spPr>
          <c:marker>
            <c:symbol val="none"/>
          </c:marker>
          <c:cat>
            <c:strRef>
              <c:f>'Q Preso'!$AH$4:$AO$4</c:f>
              <c:strCache>
                <c:ptCount val="8"/>
                <c:pt idx="0">
                  <c:v>1Q22</c:v>
                </c:pt>
                <c:pt idx="1">
                  <c:v>2Q22</c:v>
                </c:pt>
                <c:pt idx="2">
                  <c:v>3Q22</c:v>
                </c:pt>
                <c:pt idx="3">
                  <c:v>4Q22</c:v>
                </c:pt>
                <c:pt idx="4">
                  <c:v>1Q23</c:v>
                </c:pt>
                <c:pt idx="5">
                  <c:v>2Q23</c:v>
                </c:pt>
                <c:pt idx="6">
                  <c:v>3Q23</c:v>
                </c:pt>
                <c:pt idx="7">
                  <c:v>4Q23</c:v>
                </c:pt>
              </c:strCache>
            </c:strRef>
          </c:cat>
          <c:val>
            <c:numRef>
              <c:f>'Q Preso'!$AH$10:$AO$10</c:f>
              <c:numCache>
                <c:formatCode>0.0%</c:formatCode>
                <c:ptCount val="8"/>
                <c:pt idx="0">
                  <c:v>1.1742017975480512</c:v>
                </c:pt>
                <c:pt idx="1">
                  <c:v>1.2169414912584586</c:v>
                </c:pt>
                <c:pt idx="2">
                  <c:v>1.2529794534888594</c:v>
                </c:pt>
                <c:pt idx="3">
                  <c:v>1.2960651883044938</c:v>
                </c:pt>
                <c:pt idx="4">
                  <c:v>1.3186037637418742</c:v>
                </c:pt>
                <c:pt idx="5">
                  <c:v>1.3091306576196038</c:v>
                </c:pt>
                <c:pt idx="6">
                  <c:v>1.2872456857065522</c:v>
                </c:pt>
                <c:pt idx="7">
                  <c:v>1.2757940147775639</c:v>
                </c:pt>
              </c:numCache>
            </c:numRef>
          </c:val>
          <c:smooth val="0"/>
          <c:extLst>
            <c:ext xmlns:c16="http://schemas.microsoft.com/office/drawing/2014/chart" uri="{C3380CC4-5D6E-409C-BE32-E72D297353CC}">
              <c16:uniqueId val="{00000000-66A9-463A-809D-3C25A4AA11D1}"/>
            </c:ext>
          </c:extLst>
        </c:ser>
        <c:dLbls>
          <c:showLegendKey val="0"/>
          <c:showVal val="0"/>
          <c:showCatName val="0"/>
          <c:showSerName val="0"/>
          <c:showPercent val="0"/>
          <c:showBubbleSize val="0"/>
        </c:dLbls>
        <c:smooth val="0"/>
        <c:axId val="283540912"/>
        <c:axId val="283539248"/>
      </c:lineChart>
      <c:catAx>
        <c:axId val="283540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539248"/>
        <c:crosses val="autoZero"/>
        <c:auto val="1"/>
        <c:lblAlgn val="ctr"/>
        <c:lblOffset val="100"/>
        <c:noMultiLvlLbl val="0"/>
      </c:catAx>
      <c:valAx>
        <c:axId val="28353924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540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2"/>
          <c:order val="1"/>
          <c:tx>
            <c:strRef>
              <c:f>'Q Preso'!$B$46</c:f>
              <c:strCache>
                <c:ptCount val="1"/>
                <c:pt idx="0">
                  <c:v>Operating Burn</c:v>
                </c:pt>
              </c:strCache>
            </c:strRef>
          </c:tx>
          <c:spPr>
            <a:solidFill>
              <a:schemeClr val="accent3"/>
            </a:solidFill>
            <a:ln>
              <a:noFill/>
            </a:ln>
            <a:effectLst/>
          </c:spPr>
          <c:invertIfNegative val="0"/>
          <c:cat>
            <c:strRef>
              <c:f>'Q Preso'!$O$43:$AH$43</c:f>
              <c:strCache>
                <c:ptCount val="20"/>
                <c:pt idx="0">
                  <c:v>1Q22</c:v>
                </c:pt>
                <c:pt idx="1">
                  <c:v>2Q22</c:v>
                </c:pt>
                <c:pt idx="2">
                  <c:v>3Q22</c:v>
                </c:pt>
                <c:pt idx="3">
                  <c:v>4Q22</c:v>
                </c:pt>
                <c:pt idx="4">
                  <c:v>1Q23</c:v>
                </c:pt>
                <c:pt idx="5">
                  <c:v>2Q23</c:v>
                </c:pt>
                <c:pt idx="6">
                  <c:v>3Q23</c:v>
                </c:pt>
                <c:pt idx="7">
                  <c:v>4Q23</c:v>
                </c:pt>
                <c:pt idx="8">
                  <c:v>1Q24</c:v>
                </c:pt>
                <c:pt idx="9">
                  <c:v>2Q24</c:v>
                </c:pt>
                <c:pt idx="10">
                  <c:v>3Q24</c:v>
                </c:pt>
                <c:pt idx="11">
                  <c:v>4Q24</c:v>
                </c:pt>
                <c:pt idx="12">
                  <c:v>1Q25</c:v>
                </c:pt>
                <c:pt idx="13">
                  <c:v>2Q25</c:v>
                </c:pt>
                <c:pt idx="14">
                  <c:v>3Q25</c:v>
                </c:pt>
                <c:pt idx="15">
                  <c:v>4Q25</c:v>
                </c:pt>
                <c:pt idx="16">
                  <c:v>1Q26</c:v>
                </c:pt>
                <c:pt idx="17">
                  <c:v>2Q26</c:v>
                </c:pt>
                <c:pt idx="18">
                  <c:v>3Q26</c:v>
                </c:pt>
                <c:pt idx="19">
                  <c:v>4Q26</c:v>
                </c:pt>
              </c:strCache>
            </c:strRef>
          </c:cat>
          <c:val>
            <c:numRef>
              <c:f>'Q Preso'!$O$46:$AH$46</c:f>
              <c:numCache>
                <c:formatCode>"$"#,##0.0_);\("$"#,##0.0\)</c:formatCode>
                <c:ptCount val="20"/>
                <c:pt idx="0">
                  <c:v>-11.253809704400004</c:v>
                </c:pt>
                <c:pt idx="1">
                  <c:v>-12.13491459660001</c:v>
                </c:pt>
                <c:pt idx="2">
                  <c:v>-16.785130911543771</c:v>
                </c:pt>
                <c:pt idx="3">
                  <c:v>-14.115495082365944</c:v>
                </c:pt>
                <c:pt idx="4">
                  <c:v>-17.838342746171275</c:v>
                </c:pt>
                <c:pt idx="5">
                  <c:v>-14.645224092926934</c:v>
                </c:pt>
                <c:pt idx="6">
                  <c:v>-14.581388674406789</c:v>
                </c:pt>
                <c:pt idx="7">
                  <c:v>-11.372822801440165</c:v>
                </c:pt>
                <c:pt idx="8">
                  <c:v>-14.297067320440725</c:v>
                </c:pt>
                <c:pt idx="9">
                  <c:v>-11.558348970383719</c:v>
                </c:pt>
                <c:pt idx="10">
                  <c:v>-13.744310529935271</c:v>
                </c:pt>
                <c:pt idx="11">
                  <c:v>-11.914504828956991</c:v>
                </c:pt>
                <c:pt idx="12">
                  <c:v>-14.10649843516028</c:v>
                </c:pt>
                <c:pt idx="13">
                  <c:v>-5.34403193875134</c:v>
                </c:pt>
                <c:pt idx="14">
                  <c:v>-4.1199945982466044</c:v>
                </c:pt>
                <c:pt idx="15">
                  <c:v>-5.4</c:v>
                </c:pt>
                <c:pt idx="16">
                  <c:v>1.3341234015416206</c:v>
                </c:pt>
                <c:pt idx="17">
                  <c:v>11.846397421975135</c:v>
                </c:pt>
                <c:pt idx="18">
                  <c:v>12.949595728288264</c:v>
                </c:pt>
                <c:pt idx="19">
                  <c:v>22.663952459348618</c:v>
                </c:pt>
              </c:numCache>
            </c:numRef>
          </c:val>
          <c:extLst>
            <c:ext xmlns:c16="http://schemas.microsoft.com/office/drawing/2014/chart" uri="{C3380CC4-5D6E-409C-BE32-E72D297353CC}">
              <c16:uniqueId val="{00000002-7161-8343-BD84-098C45C0D0DB}"/>
            </c:ext>
          </c:extLst>
        </c:ser>
        <c:dLbls>
          <c:showLegendKey val="0"/>
          <c:showVal val="0"/>
          <c:showCatName val="0"/>
          <c:showSerName val="0"/>
          <c:showPercent val="0"/>
          <c:showBubbleSize val="0"/>
        </c:dLbls>
        <c:gapWidth val="150"/>
        <c:axId val="852170912"/>
        <c:axId val="852161344"/>
      </c:barChart>
      <c:lineChart>
        <c:grouping val="standard"/>
        <c:varyColors val="0"/>
        <c:ser>
          <c:idx val="0"/>
          <c:order val="0"/>
          <c:tx>
            <c:strRef>
              <c:f>'Q Preso'!$B$44</c:f>
              <c:strCache>
                <c:ptCount val="1"/>
                <c:pt idx="0">
                  <c:v>Cash</c:v>
                </c:pt>
              </c:strCache>
            </c:strRef>
          </c:tx>
          <c:spPr>
            <a:ln w="28575" cap="rnd">
              <a:solidFill>
                <a:schemeClr val="accent1"/>
              </a:solidFill>
              <a:round/>
            </a:ln>
            <a:effectLst/>
          </c:spPr>
          <c:marker>
            <c:symbol val="none"/>
          </c:marker>
          <c:cat>
            <c:strRef>
              <c:f>'Q Preso'!$O$43:$AH$43</c:f>
              <c:strCache>
                <c:ptCount val="20"/>
                <c:pt idx="0">
                  <c:v>1Q22</c:v>
                </c:pt>
                <c:pt idx="1">
                  <c:v>2Q22</c:v>
                </c:pt>
                <c:pt idx="2">
                  <c:v>3Q22</c:v>
                </c:pt>
                <c:pt idx="3">
                  <c:v>4Q22</c:v>
                </c:pt>
                <c:pt idx="4">
                  <c:v>1Q23</c:v>
                </c:pt>
                <c:pt idx="5">
                  <c:v>2Q23</c:v>
                </c:pt>
                <c:pt idx="6">
                  <c:v>3Q23</c:v>
                </c:pt>
                <c:pt idx="7">
                  <c:v>4Q23</c:v>
                </c:pt>
                <c:pt idx="8">
                  <c:v>1Q24</c:v>
                </c:pt>
                <c:pt idx="9">
                  <c:v>2Q24</c:v>
                </c:pt>
                <c:pt idx="10">
                  <c:v>3Q24</c:v>
                </c:pt>
                <c:pt idx="11">
                  <c:v>4Q24</c:v>
                </c:pt>
                <c:pt idx="12">
                  <c:v>1Q25</c:v>
                </c:pt>
                <c:pt idx="13">
                  <c:v>2Q25</c:v>
                </c:pt>
                <c:pt idx="14">
                  <c:v>3Q25</c:v>
                </c:pt>
                <c:pt idx="15">
                  <c:v>4Q25</c:v>
                </c:pt>
                <c:pt idx="16">
                  <c:v>1Q26</c:v>
                </c:pt>
                <c:pt idx="17">
                  <c:v>2Q26</c:v>
                </c:pt>
                <c:pt idx="18">
                  <c:v>3Q26</c:v>
                </c:pt>
                <c:pt idx="19">
                  <c:v>4Q26</c:v>
                </c:pt>
              </c:strCache>
            </c:strRef>
          </c:cat>
          <c:val>
            <c:numRef>
              <c:f>'Q Preso'!$O$44:$AH$44</c:f>
              <c:numCache>
                <c:formatCode>"$"#,##0.0_);\("$"#,##0.0\)</c:formatCode>
                <c:ptCount val="20"/>
                <c:pt idx="0">
                  <c:v>86.058441699295585</c:v>
                </c:pt>
                <c:pt idx="1">
                  <c:v>224.13640230269559</c:v>
                </c:pt>
                <c:pt idx="2">
                  <c:v>208.15127139115179</c:v>
                </c:pt>
                <c:pt idx="3">
                  <c:v>194.03577630878581</c:v>
                </c:pt>
                <c:pt idx="4">
                  <c:v>176.19743356261449</c:v>
                </c:pt>
                <c:pt idx="5">
                  <c:v>161.55220946968754</c:v>
                </c:pt>
                <c:pt idx="6">
                  <c:v>146.97082079528079</c:v>
                </c:pt>
                <c:pt idx="7">
                  <c:v>135.59799799384064</c:v>
                </c:pt>
                <c:pt idx="8">
                  <c:v>121.3009306733999</c:v>
                </c:pt>
                <c:pt idx="9">
                  <c:v>109.74258170301623</c:v>
                </c:pt>
                <c:pt idx="10">
                  <c:v>95.998271173080923</c:v>
                </c:pt>
                <c:pt idx="11">
                  <c:v>84.08376634412393</c:v>
                </c:pt>
                <c:pt idx="12">
                  <c:v>69.977267908963654</c:v>
                </c:pt>
                <c:pt idx="13">
                  <c:v>64.633235970212311</c:v>
                </c:pt>
                <c:pt idx="14">
                  <c:v>60.513241371965705</c:v>
                </c:pt>
                <c:pt idx="15">
                  <c:v>64.188915367398707</c:v>
                </c:pt>
                <c:pt idx="16">
                  <c:v>65.523038768940296</c:v>
                </c:pt>
                <c:pt idx="17">
                  <c:v>77.369436190915437</c:v>
                </c:pt>
                <c:pt idx="18">
                  <c:v>90.319031919203695</c:v>
                </c:pt>
                <c:pt idx="19">
                  <c:v>112.98298437855232</c:v>
                </c:pt>
              </c:numCache>
            </c:numRef>
          </c:val>
          <c:smooth val="0"/>
          <c:extLst>
            <c:ext xmlns:c16="http://schemas.microsoft.com/office/drawing/2014/chart" uri="{C3380CC4-5D6E-409C-BE32-E72D297353CC}">
              <c16:uniqueId val="{00000000-7161-8343-BD84-098C45C0D0DB}"/>
            </c:ext>
          </c:extLst>
        </c:ser>
        <c:dLbls>
          <c:showLegendKey val="0"/>
          <c:showVal val="0"/>
          <c:showCatName val="0"/>
          <c:showSerName val="0"/>
          <c:showPercent val="0"/>
          <c:showBubbleSize val="0"/>
        </c:dLbls>
        <c:marker val="1"/>
        <c:smooth val="0"/>
        <c:axId val="1863804976"/>
        <c:axId val="1863806624"/>
      </c:lineChart>
      <c:catAx>
        <c:axId val="186380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3806624"/>
        <c:crosses val="autoZero"/>
        <c:auto val="1"/>
        <c:lblAlgn val="ctr"/>
        <c:lblOffset val="100"/>
        <c:noMultiLvlLbl val="0"/>
      </c:catAx>
      <c:valAx>
        <c:axId val="1863806624"/>
        <c:scaling>
          <c:orientation val="minMax"/>
          <c:max val="250"/>
          <c:min val="-300"/>
        </c:scaling>
        <c:delete val="0"/>
        <c:axPos val="l"/>
        <c:majorGridlines>
          <c:spPr>
            <a:ln w="9525" cap="flat" cmpd="sng" algn="ctr">
              <a:solidFill>
                <a:schemeClr val="tx1">
                  <a:lumMod val="15000"/>
                  <a:lumOff val="85000"/>
                </a:schemeClr>
              </a:solidFill>
              <a:round/>
            </a:ln>
            <a:effectLst/>
          </c:spPr>
        </c:majorGridlines>
        <c:numFmt formatCode="&quot;$&quot;#,##0_);\(&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3804976"/>
        <c:crosses val="autoZero"/>
        <c:crossBetween val="between"/>
        <c:majorUnit val="50"/>
      </c:valAx>
      <c:valAx>
        <c:axId val="852161344"/>
        <c:scaling>
          <c:orientation val="minMax"/>
        </c:scaling>
        <c:delete val="0"/>
        <c:axPos val="r"/>
        <c:numFmt formatCode="&quot;$&quot;#,##0.0_);\(&quot;$&quot;#,##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2170912"/>
        <c:crosses val="max"/>
        <c:crossBetween val="between"/>
      </c:valAx>
      <c:catAx>
        <c:axId val="852170912"/>
        <c:scaling>
          <c:orientation val="minMax"/>
        </c:scaling>
        <c:delete val="1"/>
        <c:axPos val="b"/>
        <c:numFmt formatCode="General" sourceLinked="1"/>
        <c:majorTickMark val="out"/>
        <c:minorTickMark val="none"/>
        <c:tickLblPos val="nextTo"/>
        <c:crossAx val="85216134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'Q Preso'!$AQ$7</c:f>
              <c:strCache>
                <c:ptCount val="1"/>
                <c:pt idx="0">
                  <c:v>S&amp;M % Revenue</c:v>
                </c:pt>
              </c:strCache>
            </c:strRef>
          </c:tx>
          <c:spPr>
            <a:solidFill>
              <a:schemeClr val="accent1"/>
            </a:solidFill>
            <a:ln>
              <a:noFill/>
            </a:ln>
            <a:effectLst/>
          </c:spPr>
          <c:invertIfNegative val="0"/>
          <c:cat>
            <c:strRef>
              <c:f>'Q Preso'!$AR$4:$AY$4</c:f>
              <c:strCache>
                <c:ptCount val="8"/>
                <c:pt idx="0">
                  <c:v>1Q22</c:v>
                </c:pt>
                <c:pt idx="1">
                  <c:v>2Q22</c:v>
                </c:pt>
                <c:pt idx="2">
                  <c:v>3Q22</c:v>
                </c:pt>
                <c:pt idx="3">
                  <c:v>4Q22</c:v>
                </c:pt>
                <c:pt idx="4">
                  <c:v>1Q23</c:v>
                </c:pt>
                <c:pt idx="5">
                  <c:v>2Q23</c:v>
                </c:pt>
                <c:pt idx="6">
                  <c:v>3Q23</c:v>
                </c:pt>
                <c:pt idx="7">
                  <c:v>4Q23</c:v>
                </c:pt>
              </c:strCache>
            </c:strRef>
          </c:cat>
          <c:val>
            <c:numRef>
              <c:f>'Q Preso'!$AR$7:$AY$7</c:f>
              <c:numCache>
                <c:formatCode>0%\ ;\(0%\)</c:formatCode>
                <c:ptCount val="8"/>
                <c:pt idx="0">
                  <c:v>0.59672149694928489</c:v>
                </c:pt>
                <c:pt idx="1">
                  <c:v>0.67212281628206183</c:v>
                </c:pt>
                <c:pt idx="2">
                  <c:v>0.68198450521890464</c:v>
                </c:pt>
                <c:pt idx="3">
                  <c:v>0.63173253007821106</c:v>
                </c:pt>
                <c:pt idx="4">
                  <c:v>0.61358320656108867</c:v>
                </c:pt>
                <c:pt idx="5">
                  <c:v>0.51768682668621235</c:v>
                </c:pt>
                <c:pt idx="6">
                  <c:v>0.52111228693385692</c:v>
                </c:pt>
                <c:pt idx="7">
                  <c:v>0.39289739997486733</c:v>
                </c:pt>
              </c:numCache>
            </c:numRef>
          </c:val>
          <c:extLst>
            <c:ext xmlns:c16="http://schemas.microsoft.com/office/drawing/2014/chart" uri="{C3380CC4-5D6E-409C-BE32-E72D297353CC}">
              <c16:uniqueId val="{00000000-563E-493F-881C-9AA4B65F5BC7}"/>
            </c:ext>
          </c:extLst>
        </c:ser>
        <c:dLbls>
          <c:showLegendKey val="0"/>
          <c:showVal val="0"/>
          <c:showCatName val="0"/>
          <c:showSerName val="0"/>
          <c:showPercent val="0"/>
          <c:showBubbleSize val="0"/>
        </c:dLbls>
        <c:gapWidth val="75"/>
        <c:overlap val="-27"/>
        <c:axId val="696543968"/>
        <c:axId val="696542720"/>
      </c:barChart>
      <c:lineChart>
        <c:grouping val="standard"/>
        <c:varyColors val="0"/>
        <c:ser>
          <c:idx val="1"/>
          <c:order val="1"/>
          <c:tx>
            <c:strRef>
              <c:f>'Q Preso'!$AQ$8</c:f>
              <c:strCache>
                <c:ptCount val="1"/>
                <c:pt idx="0">
                  <c:v>Median</c:v>
                </c:pt>
              </c:strCache>
            </c:strRef>
          </c:tx>
          <c:spPr>
            <a:ln w="28575" cap="rnd">
              <a:solidFill>
                <a:schemeClr val="accent2"/>
              </a:solidFill>
              <a:round/>
            </a:ln>
            <a:effectLst/>
          </c:spPr>
          <c:marker>
            <c:symbol val="none"/>
          </c:marker>
          <c:cat>
            <c:strRef>
              <c:f>'Q Preso'!$AR$4:$AY$4</c:f>
              <c:strCache>
                <c:ptCount val="8"/>
                <c:pt idx="0">
                  <c:v>1Q22</c:v>
                </c:pt>
                <c:pt idx="1">
                  <c:v>2Q22</c:v>
                </c:pt>
                <c:pt idx="2">
                  <c:v>3Q22</c:v>
                </c:pt>
                <c:pt idx="3">
                  <c:v>4Q22</c:v>
                </c:pt>
                <c:pt idx="4">
                  <c:v>1Q23</c:v>
                </c:pt>
                <c:pt idx="5">
                  <c:v>2Q23</c:v>
                </c:pt>
                <c:pt idx="6">
                  <c:v>3Q23</c:v>
                </c:pt>
                <c:pt idx="7">
                  <c:v>4Q23</c:v>
                </c:pt>
              </c:strCache>
            </c:strRef>
          </c:cat>
          <c:val>
            <c:numRef>
              <c:f>'Q Preso'!$AR$8:$AY$8</c:f>
              <c:numCache>
                <c:formatCode>0%\ ;\(0%\)</c:formatCode>
                <c:ptCount val="8"/>
                <c:pt idx="0">
                  <c:v>0.33</c:v>
                </c:pt>
                <c:pt idx="1">
                  <c:v>0.33</c:v>
                </c:pt>
                <c:pt idx="2">
                  <c:v>0.33</c:v>
                </c:pt>
                <c:pt idx="3">
                  <c:v>0.33</c:v>
                </c:pt>
                <c:pt idx="4">
                  <c:v>0.33</c:v>
                </c:pt>
                <c:pt idx="5">
                  <c:v>0.33</c:v>
                </c:pt>
                <c:pt idx="6">
                  <c:v>0.33</c:v>
                </c:pt>
                <c:pt idx="7">
                  <c:v>0.33</c:v>
                </c:pt>
              </c:numCache>
            </c:numRef>
          </c:val>
          <c:smooth val="0"/>
          <c:extLst>
            <c:ext xmlns:c16="http://schemas.microsoft.com/office/drawing/2014/chart" uri="{C3380CC4-5D6E-409C-BE32-E72D297353CC}">
              <c16:uniqueId val="{00000001-563E-493F-881C-9AA4B65F5BC7}"/>
            </c:ext>
          </c:extLst>
        </c:ser>
        <c:dLbls>
          <c:showLegendKey val="0"/>
          <c:showVal val="0"/>
          <c:showCatName val="0"/>
          <c:showSerName val="0"/>
          <c:showPercent val="0"/>
          <c:showBubbleSize val="0"/>
        </c:dLbls>
        <c:marker val="1"/>
        <c:smooth val="0"/>
        <c:axId val="696543968"/>
        <c:axId val="696542720"/>
      </c:lineChart>
      <c:catAx>
        <c:axId val="696543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542720"/>
        <c:crosses val="autoZero"/>
        <c:auto val="1"/>
        <c:lblAlgn val="ctr"/>
        <c:lblOffset val="100"/>
        <c:noMultiLvlLbl val="0"/>
      </c:catAx>
      <c:valAx>
        <c:axId val="696542720"/>
        <c:scaling>
          <c:orientation val="minMax"/>
        </c:scaling>
        <c:delete val="0"/>
        <c:axPos val="l"/>
        <c:majorGridlines>
          <c:spPr>
            <a:ln w="9525" cap="flat" cmpd="sng" algn="ctr">
              <a:solidFill>
                <a:schemeClr val="tx1">
                  <a:lumMod val="15000"/>
                  <a:lumOff val="85000"/>
                </a:schemeClr>
              </a:solidFill>
              <a:round/>
            </a:ln>
            <a:effectLst/>
          </c:spPr>
        </c:majorGridlines>
        <c:numFmt formatCode="0%\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5439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'Q Preso'!$AQ$11</c:f>
              <c:strCache>
                <c:ptCount val="1"/>
                <c:pt idx="0">
                  <c:v>R&amp;D % Revenue</c:v>
                </c:pt>
              </c:strCache>
            </c:strRef>
          </c:tx>
          <c:spPr>
            <a:solidFill>
              <a:schemeClr val="accent1"/>
            </a:solidFill>
            <a:ln>
              <a:noFill/>
            </a:ln>
            <a:effectLst/>
          </c:spPr>
          <c:invertIfNegative val="0"/>
          <c:cat>
            <c:strRef>
              <c:f>'Q Preso'!$AR$4:$AY$4</c:f>
              <c:strCache>
                <c:ptCount val="8"/>
                <c:pt idx="0">
                  <c:v>1Q22</c:v>
                </c:pt>
                <c:pt idx="1">
                  <c:v>2Q22</c:v>
                </c:pt>
                <c:pt idx="2">
                  <c:v>3Q22</c:v>
                </c:pt>
                <c:pt idx="3">
                  <c:v>4Q22</c:v>
                </c:pt>
                <c:pt idx="4">
                  <c:v>1Q23</c:v>
                </c:pt>
                <c:pt idx="5">
                  <c:v>2Q23</c:v>
                </c:pt>
                <c:pt idx="6">
                  <c:v>3Q23</c:v>
                </c:pt>
                <c:pt idx="7">
                  <c:v>4Q23</c:v>
                </c:pt>
              </c:strCache>
            </c:strRef>
          </c:cat>
          <c:val>
            <c:numRef>
              <c:f>'Q Preso'!$AR$11:$AY$11</c:f>
              <c:numCache>
                <c:formatCode>0%\ ;\(0%\)</c:formatCode>
                <c:ptCount val="8"/>
                <c:pt idx="0">
                  <c:v>0.37100740753016304</c:v>
                </c:pt>
                <c:pt idx="1">
                  <c:v>0.3809649839273675</c:v>
                </c:pt>
                <c:pt idx="2">
                  <c:v>0.39372336599928981</c:v>
                </c:pt>
                <c:pt idx="3">
                  <c:v>0.40540295007164789</c:v>
                </c:pt>
                <c:pt idx="4">
                  <c:v>0.39441791687452793</c:v>
                </c:pt>
                <c:pt idx="5">
                  <c:v>0.36384301049259588</c:v>
                </c:pt>
                <c:pt idx="6">
                  <c:v>0.36728207352222364</c:v>
                </c:pt>
                <c:pt idx="7">
                  <c:v>0.35752646932390841</c:v>
                </c:pt>
              </c:numCache>
            </c:numRef>
          </c:val>
          <c:extLst>
            <c:ext xmlns:c16="http://schemas.microsoft.com/office/drawing/2014/chart" uri="{C3380CC4-5D6E-409C-BE32-E72D297353CC}">
              <c16:uniqueId val="{00000000-5770-48F0-A12C-3329131EDE97}"/>
            </c:ext>
          </c:extLst>
        </c:ser>
        <c:dLbls>
          <c:showLegendKey val="0"/>
          <c:showVal val="0"/>
          <c:showCatName val="0"/>
          <c:showSerName val="0"/>
          <c:showPercent val="0"/>
          <c:showBubbleSize val="0"/>
        </c:dLbls>
        <c:gapWidth val="75"/>
        <c:overlap val="-27"/>
        <c:axId val="585924816"/>
        <c:axId val="585922320"/>
      </c:barChart>
      <c:lineChart>
        <c:grouping val="standard"/>
        <c:varyColors val="0"/>
        <c:ser>
          <c:idx val="1"/>
          <c:order val="1"/>
          <c:tx>
            <c:strRef>
              <c:f>'Q Preso'!$AQ$12</c:f>
              <c:strCache>
                <c:ptCount val="1"/>
                <c:pt idx="0">
                  <c:v>Median</c:v>
                </c:pt>
              </c:strCache>
            </c:strRef>
          </c:tx>
          <c:spPr>
            <a:ln w="28575" cap="rnd">
              <a:solidFill>
                <a:schemeClr val="accent2"/>
              </a:solidFill>
              <a:round/>
            </a:ln>
            <a:effectLst/>
          </c:spPr>
          <c:marker>
            <c:symbol val="none"/>
          </c:marker>
          <c:cat>
            <c:strRef>
              <c:f>'Q Preso'!$AR$4:$AY$4</c:f>
              <c:strCache>
                <c:ptCount val="8"/>
                <c:pt idx="0">
                  <c:v>1Q22</c:v>
                </c:pt>
                <c:pt idx="1">
                  <c:v>2Q22</c:v>
                </c:pt>
                <c:pt idx="2">
                  <c:v>3Q22</c:v>
                </c:pt>
                <c:pt idx="3">
                  <c:v>4Q22</c:v>
                </c:pt>
                <c:pt idx="4">
                  <c:v>1Q23</c:v>
                </c:pt>
                <c:pt idx="5">
                  <c:v>2Q23</c:v>
                </c:pt>
                <c:pt idx="6">
                  <c:v>3Q23</c:v>
                </c:pt>
                <c:pt idx="7">
                  <c:v>4Q23</c:v>
                </c:pt>
              </c:strCache>
            </c:strRef>
          </c:cat>
          <c:val>
            <c:numRef>
              <c:f>'Q Preso'!$AR$12:$AY$12</c:f>
              <c:numCache>
                <c:formatCode>0%\ ;\(0%\)</c:formatCode>
                <c:ptCount val="8"/>
                <c:pt idx="0">
                  <c:v>0.16</c:v>
                </c:pt>
                <c:pt idx="1">
                  <c:v>0.16</c:v>
                </c:pt>
                <c:pt idx="2">
                  <c:v>0.16</c:v>
                </c:pt>
                <c:pt idx="3">
                  <c:v>0.16</c:v>
                </c:pt>
                <c:pt idx="4">
                  <c:v>0.16</c:v>
                </c:pt>
                <c:pt idx="5">
                  <c:v>0.16</c:v>
                </c:pt>
                <c:pt idx="6">
                  <c:v>0.16</c:v>
                </c:pt>
                <c:pt idx="7">
                  <c:v>0.16</c:v>
                </c:pt>
              </c:numCache>
            </c:numRef>
          </c:val>
          <c:smooth val="0"/>
          <c:extLst>
            <c:ext xmlns:c16="http://schemas.microsoft.com/office/drawing/2014/chart" uri="{C3380CC4-5D6E-409C-BE32-E72D297353CC}">
              <c16:uniqueId val="{00000001-5770-48F0-A12C-3329131EDE97}"/>
            </c:ext>
          </c:extLst>
        </c:ser>
        <c:dLbls>
          <c:showLegendKey val="0"/>
          <c:showVal val="0"/>
          <c:showCatName val="0"/>
          <c:showSerName val="0"/>
          <c:showPercent val="0"/>
          <c:showBubbleSize val="0"/>
        </c:dLbls>
        <c:marker val="1"/>
        <c:smooth val="0"/>
        <c:axId val="585924816"/>
        <c:axId val="585922320"/>
      </c:lineChart>
      <c:catAx>
        <c:axId val="585924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22320"/>
        <c:crosses val="autoZero"/>
        <c:auto val="1"/>
        <c:lblAlgn val="ctr"/>
        <c:lblOffset val="100"/>
        <c:noMultiLvlLbl val="0"/>
      </c:catAx>
      <c:valAx>
        <c:axId val="585922320"/>
        <c:scaling>
          <c:orientation val="minMax"/>
        </c:scaling>
        <c:delete val="0"/>
        <c:axPos val="l"/>
        <c:majorGridlines>
          <c:spPr>
            <a:ln w="9525" cap="flat" cmpd="sng" algn="ctr">
              <a:solidFill>
                <a:schemeClr val="tx1">
                  <a:lumMod val="15000"/>
                  <a:lumOff val="85000"/>
                </a:schemeClr>
              </a:solidFill>
              <a:round/>
            </a:ln>
            <a:effectLst/>
          </c:spPr>
        </c:majorGridlines>
        <c:numFmt formatCode="0%\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248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'Q Preso'!$AQ$15</c:f>
              <c:strCache>
                <c:ptCount val="1"/>
                <c:pt idx="0">
                  <c:v>G&amp;A % Revenue</c:v>
                </c:pt>
              </c:strCache>
            </c:strRef>
          </c:tx>
          <c:spPr>
            <a:solidFill>
              <a:schemeClr val="accent1"/>
            </a:solidFill>
            <a:ln>
              <a:noFill/>
            </a:ln>
            <a:effectLst/>
          </c:spPr>
          <c:invertIfNegative val="0"/>
          <c:cat>
            <c:strRef>
              <c:f>'Q Preso'!$AR$4:$AY$4</c:f>
              <c:strCache>
                <c:ptCount val="8"/>
                <c:pt idx="0">
                  <c:v>1Q22</c:v>
                </c:pt>
                <c:pt idx="1">
                  <c:v>2Q22</c:v>
                </c:pt>
                <c:pt idx="2">
                  <c:v>3Q22</c:v>
                </c:pt>
                <c:pt idx="3">
                  <c:v>4Q22</c:v>
                </c:pt>
                <c:pt idx="4">
                  <c:v>1Q23</c:v>
                </c:pt>
                <c:pt idx="5">
                  <c:v>2Q23</c:v>
                </c:pt>
                <c:pt idx="6">
                  <c:v>3Q23</c:v>
                </c:pt>
                <c:pt idx="7">
                  <c:v>4Q23</c:v>
                </c:pt>
              </c:strCache>
            </c:strRef>
          </c:cat>
          <c:val>
            <c:numRef>
              <c:f>'Q Preso'!$AR$15:$AY$15</c:f>
              <c:numCache>
                <c:formatCode>0%\ ;\(0%\)</c:formatCode>
                <c:ptCount val="8"/>
                <c:pt idx="0">
                  <c:v>0.27597561519982483</c:v>
                </c:pt>
                <c:pt idx="1">
                  <c:v>0.32194207552469817</c:v>
                </c:pt>
                <c:pt idx="2">
                  <c:v>0.30726690901356296</c:v>
                </c:pt>
                <c:pt idx="3">
                  <c:v>0.31575433167826139</c:v>
                </c:pt>
                <c:pt idx="4">
                  <c:v>0.32314175420789082</c:v>
                </c:pt>
                <c:pt idx="5">
                  <c:v>0.28932499829185038</c:v>
                </c:pt>
                <c:pt idx="6">
                  <c:v>0.26759878092972</c:v>
                </c:pt>
                <c:pt idx="7">
                  <c:v>0.25173783290352669</c:v>
                </c:pt>
              </c:numCache>
            </c:numRef>
          </c:val>
          <c:extLst>
            <c:ext xmlns:c16="http://schemas.microsoft.com/office/drawing/2014/chart" uri="{C3380CC4-5D6E-409C-BE32-E72D297353CC}">
              <c16:uniqueId val="{00000000-ACBA-42C5-A1EE-E9334B375B81}"/>
            </c:ext>
          </c:extLst>
        </c:ser>
        <c:dLbls>
          <c:showLegendKey val="0"/>
          <c:showVal val="0"/>
          <c:showCatName val="0"/>
          <c:showSerName val="0"/>
          <c:showPercent val="0"/>
          <c:showBubbleSize val="0"/>
        </c:dLbls>
        <c:gapWidth val="75"/>
        <c:overlap val="-27"/>
        <c:axId val="983519152"/>
        <c:axId val="983525392"/>
      </c:barChart>
      <c:lineChart>
        <c:grouping val="standard"/>
        <c:varyColors val="0"/>
        <c:ser>
          <c:idx val="1"/>
          <c:order val="1"/>
          <c:tx>
            <c:strRef>
              <c:f>'Q Preso'!$AQ$16</c:f>
              <c:strCache>
                <c:ptCount val="1"/>
                <c:pt idx="0">
                  <c:v>Median</c:v>
                </c:pt>
              </c:strCache>
            </c:strRef>
          </c:tx>
          <c:spPr>
            <a:ln w="28575" cap="rnd">
              <a:solidFill>
                <a:schemeClr val="accent2"/>
              </a:solidFill>
              <a:round/>
            </a:ln>
            <a:effectLst/>
          </c:spPr>
          <c:marker>
            <c:symbol val="none"/>
          </c:marker>
          <c:cat>
            <c:strRef>
              <c:f>'Q Preso'!$AR$4:$AY$4</c:f>
              <c:strCache>
                <c:ptCount val="8"/>
                <c:pt idx="0">
                  <c:v>1Q22</c:v>
                </c:pt>
                <c:pt idx="1">
                  <c:v>2Q22</c:v>
                </c:pt>
                <c:pt idx="2">
                  <c:v>3Q22</c:v>
                </c:pt>
                <c:pt idx="3">
                  <c:v>4Q22</c:v>
                </c:pt>
                <c:pt idx="4">
                  <c:v>1Q23</c:v>
                </c:pt>
                <c:pt idx="5">
                  <c:v>2Q23</c:v>
                </c:pt>
                <c:pt idx="6">
                  <c:v>3Q23</c:v>
                </c:pt>
                <c:pt idx="7">
                  <c:v>4Q23</c:v>
                </c:pt>
              </c:strCache>
            </c:strRef>
          </c:cat>
          <c:val>
            <c:numRef>
              <c:f>'Q Preso'!$AR$16:$AY$16</c:f>
              <c:numCache>
                <c:formatCode>0%\ ;\(0%\)</c:formatCode>
                <c:ptCount val="8"/>
                <c:pt idx="0">
                  <c:v>0.09</c:v>
                </c:pt>
                <c:pt idx="1">
                  <c:v>0.09</c:v>
                </c:pt>
                <c:pt idx="2">
                  <c:v>0.09</c:v>
                </c:pt>
                <c:pt idx="3">
                  <c:v>0.09</c:v>
                </c:pt>
                <c:pt idx="4">
                  <c:v>0.09</c:v>
                </c:pt>
                <c:pt idx="5">
                  <c:v>0.09</c:v>
                </c:pt>
                <c:pt idx="6">
                  <c:v>0.09</c:v>
                </c:pt>
                <c:pt idx="7">
                  <c:v>0.09</c:v>
                </c:pt>
              </c:numCache>
            </c:numRef>
          </c:val>
          <c:smooth val="0"/>
          <c:extLst>
            <c:ext xmlns:c16="http://schemas.microsoft.com/office/drawing/2014/chart" uri="{C3380CC4-5D6E-409C-BE32-E72D297353CC}">
              <c16:uniqueId val="{00000001-ACBA-42C5-A1EE-E9334B375B81}"/>
            </c:ext>
          </c:extLst>
        </c:ser>
        <c:dLbls>
          <c:showLegendKey val="0"/>
          <c:showVal val="0"/>
          <c:showCatName val="0"/>
          <c:showSerName val="0"/>
          <c:showPercent val="0"/>
          <c:showBubbleSize val="0"/>
        </c:dLbls>
        <c:marker val="1"/>
        <c:smooth val="0"/>
        <c:axId val="983519152"/>
        <c:axId val="983525392"/>
      </c:lineChart>
      <c:catAx>
        <c:axId val="983519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525392"/>
        <c:crosses val="autoZero"/>
        <c:auto val="1"/>
        <c:lblAlgn val="ctr"/>
        <c:lblOffset val="100"/>
        <c:noMultiLvlLbl val="0"/>
      </c:catAx>
      <c:valAx>
        <c:axId val="983525392"/>
        <c:scaling>
          <c:orientation val="minMax"/>
        </c:scaling>
        <c:delete val="0"/>
        <c:axPos val="l"/>
        <c:majorGridlines>
          <c:spPr>
            <a:ln w="9525" cap="flat" cmpd="sng" algn="ctr">
              <a:solidFill>
                <a:schemeClr val="tx1">
                  <a:lumMod val="15000"/>
                  <a:lumOff val="85000"/>
                </a:schemeClr>
              </a:solidFill>
              <a:round/>
            </a:ln>
            <a:effectLst/>
          </c:spPr>
        </c:majorGridlines>
        <c:numFmt formatCode="0%\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5191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'Q Preso'!$M$15</c:f>
              <c:strCache>
                <c:ptCount val="1"/>
                <c:pt idx="0">
                  <c:v>GM %</c:v>
                </c:pt>
              </c:strCache>
            </c:strRef>
          </c:tx>
          <c:spPr>
            <a:ln w="28575" cap="rnd">
              <a:solidFill>
                <a:schemeClr val="accent1"/>
              </a:solidFill>
              <a:round/>
            </a:ln>
            <a:effectLst/>
          </c:spPr>
          <c:marker>
            <c:symbol val="none"/>
          </c:marker>
          <c:cat>
            <c:strRef>
              <c:f>'Q Preso'!$N$4:$U$4</c:f>
              <c:strCache>
                <c:ptCount val="8"/>
                <c:pt idx="0">
                  <c:v>1Q22</c:v>
                </c:pt>
                <c:pt idx="1">
                  <c:v>2Q22</c:v>
                </c:pt>
                <c:pt idx="2">
                  <c:v>3Q22</c:v>
                </c:pt>
                <c:pt idx="3">
                  <c:v>4Q22</c:v>
                </c:pt>
                <c:pt idx="4">
                  <c:v>1Q23</c:v>
                </c:pt>
                <c:pt idx="5">
                  <c:v>2Q23</c:v>
                </c:pt>
                <c:pt idx="6">
                  <c:v>3Q23</c:v>
                </c:pt>
                <c:pt idx="7">
                  <c:v>4Q23</c:v>
                </c:pt>
              </c:strCache>
            </c:strRef>
          </c:cat>
          <c:val>
            <c:numRef>
              <c:f>'Q Preso'!$N$15:$U$15</c:f>
              <c:numCache>
                <c:formatCode>0%</c:formatCode>
                <c:ptCount val="8"/>
                <c:pt idx="0">
                  <c:v>0.64598260483755821</c:v>
                </c:pt>
                <c:pt idx="1">
                  <c:v>0.64235093141825472</c:v>
                </c:pt>
                <c:pt idx="2">
                  <c:v>0.63859753482363346</c:v>
                </c:pt>
                <c:pt idx="3">
                  <c:v>0.65121531449031156</c:v>
                </c:pt>
                <c:pt idx="4">
                  <c:v>0.70170444838536261</c:v>
                </c:pt>
                <c:pt idx="5">
                  <c:v>0.70944268787805986</c:v>
                </c:pt>
                <c:pt idx="6">
                  <c:v>0.71198709389783543</c:v>
                </c:pt>
                <c:pt idx="7">
                  <c:v>0.72334191308721474</c:v>
                </c:pt>
              </c:numCache>
            </c:numRef>
          </c:val>
          <c:smooth val="0"/>
          <c:extLst>
            <c:ext xmlns:c16="http://schemas.microsoft.com/office/drawing/2014/chart" uri="{C3380CC4-5D6E-409C-BE32-E72D297353CC}">
              <c16:uniqueId val="{00000000-5043-4CC1-A8C7-BC84A9A21CF9}"/>
            </c:ext>
          </c:extLst>
        </c:ser>
        <c:ser>
          <c:idx val="1"/>
          <c:order val="1"/>
          <c:tx>
            <c:strRef>
              <c:f>'Q Preso'!$M$18</c:f>
              <c:strCache>
                <c:ptCount val="1"/>
                <c:pt idx="0">
                  <c:v>Median (IPO)</c:v>
                </c:pt>
              </c:strCache>
            </c:strRef>
          </c:tx>
          <c:spPr>
            <a:ln w="28575" cap="rnd">
              <a:solidFill>
                <a:schemeClr val="accent2"/>
              </a:solidFill>
              <a:round/>
            </a:ln>
            <a:effectLst/>
          </c:spPr>
          <c:marker>
            <c:symbol val="none"/>
          </c:marker>
          <c:cat>
            <c:strRef>
              <c:f>'Q Preso'!$N$4:$U$4</c:f>
              <c:strCache>
                <c:ptCount val="8"/>
                <c:pt idx="0">
                  <c:v>1Q22</c:v>
                </c:pt>
                <c:pt idx="1">
                  <c:v>2Q22</c:v>
                </c:pt>
                <c:pt idx="2">
                  <c:v>3Q22</c:v>
                </c:pt>
                <c:pt idx="3">
                  <c:v>4Q22</c:v>
                </c:pt>
                <c:pt idx="4">
                  <c:v>1Q23</c:v>
                </c:pt>
                <c:pt idx="5">
                  <c:v>2Q23</c:v>
                </c:pt>
                <c:pt idx="6">
                  <c:v>3Q23</c:v>
                </c:pt>
                <c:pt idx="7">
                  <c:v>4Q23</c:v>
                </c:pt>
              </c:strCache>
            </c:strRef>
          </c:cat>
          <c:val>
            <c:numRef>
              <c:f>'Q Preso'!$N$18:$U$18</c:f>
              <c:numCache>
                <c:formatCode>0%</c:formatCode>
                <c:ptCount val="8"/>
                <c:pt idx="0">
                  <c:v>0.76</c:v>
                </c:pt>
                <c:pt idx="1">
                  <c:v>0.76</c:v>
                </c:pt>
                <c:pt idx="2">
                  <c:v>0.76</c:v>
                </c:pt>
                <c:pt idx="3">
                  <c:v>0.76</c:v>
                </c:pt>
                <c:pt idx="4">
                  <c:v>0.76</c:v>
                </c:pt>
                <c:pt idx="5">
                  <c:v>0.76</c:v>
                </c:pt>
                <c:pt idx="6">
                  <c:v>0.76</c:v>
                </c:pt>
                <c:pt idx="7">
                  <c:v>0.76</c:v>
                </c:pt>
              </c:numCache>
            </c:numRef>
          </c:val>
          <c:smooth val="0"/>
          <c:extLst>
            <c:ext xmlns:c16="http://schemas.microsoft.com/office/drawing/2014/chart" uri="{C3380CC4-5D6E-409C-BE32-E72D297353CC}">
              <c16:uniqueId val="{00000001-5043-4CC1-A8C7-BC84A9A21CF9}"/>
            </c:ext>
          </c:extLst>
        </c:ser>
        <c:ser>
          <c:idx val="2"/>
          <c:order val="2"/>
          <c:tx>
            <c:strRef>
              <c:f>'Q Preso'!$M$19</c:f>
              <c:strCache>
                <c:ptCount val="1"/>
                <c:pt idx="0">
                  <c:v>Median (LT)</c:v>
                </c:pt>
              </c:strCache>
            </c:strRef>
          </c:tx>
          <c:spPr>
            <a:ln w="28575" cap="rnd">
              <a:solidFill>
                <a:schemeClr val="accent3"/>
              </a:solidFill>
              <a:round/>
            </a:ln>
            <a:effectLst/>
          </c:spPr>
          <c:marker>
            <c:symbol val="none"/>
          </c:marker>
          <c:cat>
            <c:strRef>
              <c:f>'Q Preso'!$N$4:$U$4</c:f>
              <c:strCache>
                <c:ptCount val="8"/>
                <c:pt idx="0">
                  <c:v>1Q22</c:v>
                </c:pt>
                <c:pt idx="1">
                  <c:v>2Q22</c:v>
                </c:pt>
                <c:pt idx="2">
                  <c:v>3Q22</c:v>
                </c:pt>
                <c:pt idx="3">
                  <c:v>4Q22</c:v>
                </c:pt>
                <c:pt idx="4">
                  <c:v>1Q23</c:v>
                </c:pt>
                <c:pt idx="5">
                  <c:v>2Q23</c:v>
                </c:pt>
                <c:pt idx="6">
                  <c:v>3Q23</c:v>
                </c:pt>
                <c:pt idx="7">
                  <c:v>4Q23</c:v>
                </c:pt>
              </c:strCache>
            </c:strRef>
          </c:cat>
          <c:val>
            <c:numRef>
              <c:f>'Q Preso'!$N$19:$U$19</c:f>
              <c:numCache>
                <c:formatCode>0%</c:formatCode>
                <c:ptCount val="8"/>
                <c:pt idx="0">
                  <c:v>0.79</c:v>
                </c:pt>
                <c:pt idx="1">
                  <c:v>0.79</c:v>
                </c:pt>
                <c:pt idx="2">
                  <c:v>0.79</c:v>
                </c:pt>
                <c:pt idx="3">
                  <c:v>0.79</c:v>
                </c:pt>
                <c:pt idx="4">
                  <c:v>0.79</c:v>
                </c:pt>
                <c:pt idx="5">
                  <c:v>0.79</c:v>
                </c:pt>
                <c:pt idx="6">
                  <c:v>0.79</c:v>
                </c:pt>
                <c:pt idx="7">
                  <c:v>0.79</c:v>
                </c:pt>
              </c:numCache>
            </c:numRef>
          </c:val>
          <c:smooth val="0"/>
          <c:extLst>
            <c:ext xmlns:c16="http://schemas.microsoft.com/office/drawing/2014/chart" uri="{C3380CC4-5D6E-409C-BE32-E72D297353CC}">
              <c16:uniqueId val="{00000002-5043-4CC1-A8C7-BC84A9A21CF9}"/>
            </c:ext>
          </c:extLst>
        </c:ser>
        <c:dLbls>
          <c:showLegendKey val="0"/>
          <c:showVal val="0"/>
          <c:showCatName val="0"/>
          <c:showSerName val="0"/>
          <c:showPercent val="0"/>
          <c:showBubbleSize val="0"/>
        </c:dLbls>
        <c:smooth val="0"/>
        <c:axId val="284103472"/>
        <c:axId val="284104304"/>
      </c:lineChart>
      <c:catAx>
        <c:axId val="284103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104304"/>
        <c:crosses val="autoZero"/>
        <c:auto val="1"/>
        <c:lblAlgn val="ctr"/>
        <c:lblOffset val="100"/>
        <c:noMultiLvlLbl val="0"/>
      </c:catAx>
      <c:valAx>
        <c:axId val="284104304"/>
        <c:scaling>
          <c:orientation val="minMax"/>
          <c:min val="0.55000000000000004"/>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1034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'Q Preso'!$CG$7</c:f>
              <c:strCache>
                <c:ptCount val="1"/>
                <c:pt idx="0">
                  <c:v>Marketing</c:v>
                </c:pt>
              </c:strCache>
            </c:strRef>
          </c:tx>
          <c:spPr>
            <a:solidFill>
              <a:schemeClr val="accent1"/>
            </a:solidFill>
            <a:ln>
              <a:noFill/>
            </a:ln>
            <a:effectLst/>
          </c:spPr>
          <c:invertIfNegative val="0"/>
          <c:cat>
            <c:strRef>
              <c:f>'Q Preso'!$BW$4:$CD$4</c:f>
              <c:strCache>
                <c:ptCount val="8"/>
                <c:pt idx="0">
                  <c:v>1Q22</c:v>
                </c:pt>
                <c:pt idx="1">
                  <c:v>2Q22</c:v>
                </c:pt>
                <c:pt idx="2">
                  <c:v>3Q22</c:v>
                </c:pt>
                <c:pt idx="3">
                  <c:v>4Q22</c:v>
                </c:pt>
                <c:pt idx="4">
                  <c:v>1Q23</c:v>
                </c:pt>
                <c:pt idx="5">
                  <c:v>2Q23</c:v>
                </c:pt>
                <c:pt idx="6">
                  <c:v>3Q23</c:v>
                </c:pt>
                <c:pt idx="7">
                  <c:v>4Q23</c:v>
                </c:pt>
              </c:strCache>
            </c:strRef>
          </c:cat>
          <c:val>
            <c:numRef>
              <c:f>'Q Preso'!$CH$7:$CO$7</c:f>
              <c:numCache>
                <c:formatCode>_(* #,##0_);_(* \(#,##0\);_(* "-"??_);_(@_)</c:formatCode>
                <c:ptCount val="8"/>
                <c:pt idx="0">
                  <c:v>31</c:v>
                </c:pt>
                <c:pt idx="1">
                  <c:v>39</c:v>
                </c:pt>
                <c:pt idx="2">
                  <c:v>45</c:v>
                </c:pt>
                <c:pt idx="3">
                  <c:v>52</c:v>
                </c:pt>
                <c:pt idx="4">
                  <c:v>52.286510445425797</c:v>
                </c:pt>
                <c:pt idx="5">
                  <c:v>52.573020890851595</c:v>
                </c:pt>
                <c:pt idx="6">
                  <c:v>52.764027854468793</c:v>
                </c:pt>
                <c:pt idx="7">
                  <c:v>53.05053829989459</c:v>
                </c:pt>
              </c:numCache>
            </c:numRef>
          </c:val>
          <c:extLst>
            <c:ext xmlns:c16="http://schemas.microsoft.com/office/drawing/2014/chart" uri="{C3380CC4-5D6E-409C-BE32-E72D297353CC}">
              <c16:uniqueId val="{00000000-6732-4EF9-A654-404B032B523E}"/>
            </c:ext>
          </c:extLst>
        </c:ser>
        <c:ser>
          <c:idx val="1"/>
          <c:order val="1"/>
          <c:tx>
            <c:strRef>
              <c:f>'Q Preso'!$CG$8</c:f>
              <c:strCache>
                <c:ptCount val="1"/>
                <c:pt idx="0">
                  <c:v>Sales</c:v>
                </c:pt>
              </c:strCache>
            </c:strRef>
          </c:tx>
          <c:spPr>
            <a:solidFill>
              <a:schemeClr val="accent2"/>
            </a:solidFill>
            <a:ln>
              <a:noFill/>
            </a:ln>
            <a:effectLst/>
          </c:spPr>
          <c:invertIfNegative val="0"/>
          <c:cat>
            <c:strRef>
              <c:f>'Q Preso'!$BW$4:$CD$4</c:f>
              <c:strCache>
                <c:ptCount val="8"/>
                <c:pt idx="0">
                  <c:v>1Q22</c:v>
                </c:pt>
                <c:pt idx="1">
                  <c:v>2Q22</c:v>
                </c:pt>
                <c:pt idx="2">
                  <c:v>3Q22</c:v>
                </c:pt>
                <c:pt idx="3">
                  <c:v>4Q22</c:v>
                </c:pt>
                <c:pt idx="4">
                  <c:v>1Q23</c:v>
                </c:pt>
                <c:pt idx="5">
                  <c:v>2Q23</c:v>
                </c:pt>
                <c:pt idx="6">
                  <c:v>3Q23</c:v>
                </c:pt>
                <c:pt idx="7">
                  <c:v>4Q23</c:v>
                </c:pt>
              </c:strCache>
            </c:strRef>
          </c:cat>
          <c:val>
            <c:numRef>
              <c:f>'Q Preso'!$CH$8:$CO$8</c:f>
              <c:numCache>
                <c:formatCode>_(* #,##0_);_(* \(#,##0\);_(* "-"??_);_(@_)</c:formatCode>
                <c:ptCount val="8"/>
                <c:pt idx="0">
                  <c:v>183</c:v>
                </c:pt>
                <c:pt idx="1">
                  <c:v>218</c:v>
                </c:pt>
                <c:pt idx="2">
                  <c:v>259</c:v>
                </c:pt>
                <c:pt idx="3">
                  <c:v>285</c:v>
                </c:pt>
                <c:pt idx="4">
                  <c:v>296.07241996076084</c:v>
                </c:pt>
                <c:pt idx="5">
                  <c:v>307.14483992152162</c:v>
                </c:pt>
                <c:pt idx="6">
                  <c:v>314.52645322869546</c:v>
                </c:pt>
                <c:pt idx="7">
                  <c:v>325.5988731894563</c:v>
                </c:pt>
              </c:numCache>
            </c:numRef>
          </c:val>
          <c:extLst>
            <c:ext xmlns:c16="http://schemas.microsoft.com/office/drawing/2014/chart" uri="{C3380CC4-5D6E-409C-BE32-E72D297353CC}">
              <c16:uniqueId val="{00000001-6732-4EF9-A654-404B032B523E}"/>
            </c:ext>
          </c:extLst>
        </c:ser>
        <c:ser>
          <c:idx val="2"/>
          <c:order val="2"/>
          <c:tx>
            <c:strRef>
              <c:f>'Q Preso'!$CG$9</c:f>
              <c:strCache>
                <c:ptCount val="1"/>
                <c:pt idx="0">
                  <c:v>CS/TS</c:v>
                </c:pt>
              </c:strCache>
            </c:strRef>
          </c:tx>
          <c:spPr>
            <a:solidFill>
              <a:schemeClr val="accent3"/>
            </a:solidFill>
            <a:ln>
              <a:noFill/>
            </a:ln>
            <a:effectLst/>
          </c:spPr>
          <c:invertIfNegative val="0"/>
          <c:cat>
            <c:strRef>
              <c:f>'Q Preso'!$BW$4:$CD$4</c:f>
              <c:strCache>
                <c:ptCount val="8"/>
                <c:pt idx="0">
                  <c:v>1Q22</c:v>
                </c:pt>
                <c:pt idx="1">
                  <c:v>2Q22</c:v>
                </c:pt>
                <c:pt idx="2">
                  <c:v>3Q22</c:v>
                </c:pt>
                <c:pt idx="3">
                  <c:v>4Q22</c:v>
                </c:pt>
                <c:pt idx="4">
                  <c:v>1Q23</c:v>
                </c:pt>
                <c:pt idx="5">
                  <c:v>2Q23</c:v>
                </c:pt>
                <c:pt idx="6">
                  <c:v>3Q23</c:v>
                </c:pt>
                <c:pt idx="7">
                  <c:v>4Q23</c:v>
                </c:pt>
              </c:strCache>
            </c:strRef>
          </c:cat>
          <c:val>
            <c:numRef>
              <c:f>'Q Preso'!$CH$9:$CO$9</c:f>
              <c:numCache>
                <c:formatCode>_(* #,##0_);_(* \(#,##0\);_(* "-"??_);_(@_)</c:formatCode>
                <c:ptCount val="8"/>
                <c:pt idx="0">
                  <c:v>74</c:v>
                </c:pt>
                <c:pt idx="1">
                  <c:v>87</c:v>
                </c:pt>
                <c:pt idx="2">
                  <c:v>94</c:v>
                </c:pt>
                <c:pt idx="3">
                  <c:v>102</c:v>
                </c:pt>
                <c:pt idx="4">
                  <c:v>107.34175590199514</c:v>
                </c:pt>
                <c:pt idx="5">
                  <c:v>118.37577795781111</c:v>
                </c:pt>
                <c:pt idx="6">
                  <c:v>129.11025903588859</c:v>
                </c:pt>
                <c:pt idx="7">
                  <c:v>145.3324472629449</c:v>
                </c:pt>
              </c:numCache>
            </c:numRef>
          </c:val>
          <c:extLst>
            <c:ext xmlns:c16="http://schemas.microsoft.com/office/drawing/2014/chart" uri="{C3380CC4-5D6E-409C-BE32-E72D297353CC}">
              <c16:uniqueId val="{00000002-6732-4EF9-A654-404B032B523E}"/>
            </c:ext>
          </c:extLst>
        </c:ser>
        <c:ser>
          <c:idx val="3"/>
          <c:order val="3"/>
          <c:tx>
            <c:strRef>
              <c:f>'Q Preso'!$CG$10</c:f>
              <c:strCache>
                <c:ptCount val="1"/>
                <c:pt idx="0">
                  <c:v>PS</c:v>
                </c:pt>
              </c:strCache>
            </c:strRef>
          </c:tx>
          <c:spPr>
            <a:solidFill>
              <a:schemeClr val="accent4"/>
            </a:solidFill>
            <a:ln>
              <a:noFill/>
            </a:ln>
            <a:effectLst/>
          </c:spPr>
          <c:invertIfNegative val="0"/>
          <c:cat>
            <c:strRef>
              <c:f>'Q Preso'!$BW$4:$CD$4</c:f>
              <c:strCache>
                <c:ptCount val="8"/>
                <c:pt idx="0">
                  <c:v>1Q22</c:v>
                </c:pt>
                <c:pt idx="1">
                  <c:v>2Q22</c:v>
                </c:pt>
                <c:pt idx="2">
                  <c:v>3Q22</c:v>
                </c:pt>
                <c:pt idx="3">
                  <c:v>4Q22</c:v>
                </c:pt>
                <c:pt idx="4">
                  <c:v>1Q23</c:v>
                </c:pt>
                <c:pt idx="5">
                  <c:v>2Q23</c:v>
                </c:pt>
                <c:pt idx="6">
                  <c:v>3Q23</c:v>
                </c:pt>
                <c:pt idx="7">
                  <c:v>4Q23</c:v>
                </c:pt>
              </c:strCache>
            </c:strRef>
          </c:cat>
          <c:val>
            <c:numRef>
              <c:f>'Q Preso'!$CH$10:$CO$10</c:f>
              <c:numCache>
                <c:formatCode>_(* #,##0_);_(* \(#,##0\);_(* "-"??_);_(@_)</c:formatCode>
                <c:ptCount val="8"/>
                <c:pt idx="0">
                  <c:v>20</c:v>
                </c:pt>
                <c:pt idx="1">
                  <c:v>26</c:v>
                </c:pt>
                <c:pt idx="2">
                  <c:v>33</c:v>
                </c:pt>
                <c:pt idx="3">
                  <c:v>46</c:v>
                </c:pt>
                <c:pt idx="4">
                  <c:v>49.024486744839642</c:v>
                </c:pt>
                <c:pt idx="5">
                  <c:v>52.048973489679298</c:v>
                </c:pt>
                <c:pt idx="6">
                  <c:v>54.065297986239074</c:v>
                </c:pt>
                <c:pt idx="7">
                  <c:v>57.089784731078716</c:v>
                </c:pt>
              </c:numCache>
            </c:numRef>
          </c:val>
          <c:extLst>
            <c:ext xmlns:c16="http://schemas.microsoft.com/office/drawing/2014/chart" uri="{C3380CC4-5D6E-409C-BE32-E72D297353CC}">
              <c16:uniqueId val="{00000003-6732-4EF9-A654-404B032B523E}"/>
            </c:ext>
          </c:extLst>
        </c:ser>
        <c:dLbls>
          <c:showLegendKey val="0"/>
          <c:showVal val="0"/>
          <c:showCatName val="0"/>
          <c:showSerName val="0"/>
          <c:showPercent val="0"/>
          <c:showBubbleSize val="0"/>
        </c:dLbls>
        <c:gapWidth val="150"/>
        <c:overlap val="100"/>
        <c:axId val="603079344"/>
        <c:axId val="603090160"/>
      </c:barChart>
      <c:lineChart>
        <c:grouping val="standard"/>
        <c:varyColors val="0"/>
        <c:ser>
          <c:idx val="4"/>
          <c:order val="4"/>
          <c:tx>
            <c:strRef>
              <c:f>'Q Preso'!$CG$11</c:f>
              <c:strCache>
                <c:ptCount val="1"/>
                <c:pt idx="0">
                  <c:v>R&amp;D</c:v>
                </c:pt>
              </c:strCache>
            </c:strRef>
          </c:tx>
          <c:spPr>
            <a:ln w="28575" cap="rnd">
              <a:no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 Preso'!$BW$4:$CD$4</c:f>
              <c:strCache>
                <c:ptCount val="8"/>
                <c:pt idx="0">
                  <c:v>1Q22</c:v>
                </c:pt>
                <c:pt idx="1">
                  <c:v>2Q22</c:v>
                </c:pt>
                <c:pt idx="2">
                  <c:v>3Q22</c:v>
                </c:pt>
                <c:pt idx="3">
                  <c:v>4Q22</c:v>
                </c:pt>
                <c:pt idx="4">
                  <c:v>1Q23</c:v>
                </c:pt>
                <c:pt idx="5">
                  <c:v>2Q23</c:v>
                </c:pt>
                <c:pt idx="6">
                  <c:v>3Q23</c:v>
                </c:pt>
                <c:pt idx="7">
                  <c:v>4Q23</c:v>
                </c:pt>
              </c:strCache>
            </c:strRef>
          </c:cat>
          <c:val>
            <c:numRef>
              <c:f>'Q Preso'!$CH$11:$CO$11</c:f>
              <c:numCache>
                <c:formatCode>_(* #,##0_);_(* \(#,##0\);_(* "-"??_);_(@_)</c:formatCode>
                <c:ptCount val="8"/>
                <c:pt idx="0">
                  <c:v>152</c:v>
                </c:pt>
                <c:pt idx="1">
                  <c:v>170</c:v>
                </c:pt>
                <c:pt idx="2">
                  <c:v>207</c:v>
                </c:pt>
                <c:pt idx="3">
                  <c:v>248</c:v>
                </c:pt>
                <c:pt idx="4">
                  <c:v>250.02173913043478</c:v>
                </c:pt>
                <c:pt idx="5">
                  <c:v>270.32554110288612</c:v>
                </c:pt>
                <c:pt idx="6">
                  <c:v>298.81067940223949</c:v>
                </c:pt>
                <c:pt idx="7">
                  <c:v>340.82570840537682</c:v>
                </c:pt>
              </c:numCache>
            </c:numRef>
          </c:val>
          <c:smooth val="0"/>
          <c:extLst>
            <c:ext xmlns:c16="http://schemas.microsoft.com/office/drawing/2014/chart" uri="{C3380CC4-5D6E-409C-BE32-E72D297353CC}">
              <c16:uniqueId val="{00000004-6732-4EF9-A654-404B032B523E}"/>
            </c:ext>
          </c:extLst>
        </c:ser>
        <c:dLbls>
          <c:showLegendKey val="0"/>
          <c:showVal val="0"/>
          <c:showCatName val="0"/>
          <c:showSerName val="0"/>
          <c:showPercent val="0"/>
          <c:showBubbleSize val="0"/>
        </c:dLbls>
        <c:marker val="1"/>
        <c:smooth val="0"/>
        <c:axId val="603079344"/>
        <c:axId val="603090160"/>
      </c:lineChart>
      <c:catAx>
        <c:axId val="603079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3090160"/>
        <c:crosses val="autoZero"/>
        <c:auto val="1"/>
        <c:lblAlgn val="ctr"/>
        <c:lblOffset val="100"/>
        <c:noMultiLvlLbl val="0"/>
      </c:catAx>
      <c:valAx>
        <c:axId val="603090160"/>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30793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'Q Preso'!$CG$17</c:f>
              <c:strCache>
                <c:ptCount val="1"/>
                <c:pt idx="0">
                  <c:v>ARR per Employee</c:v>
                </c:pt>
              </c:strCache>
            </c:strRef>
          </c:tx>
          <c:spPr>
            <a:ln w="28575" cap="rnd">
              <a:solidFill>
                <a:schemeClr val="accent2"/>
              </a:solidFill>
              <a:round/>
            </a:ln>
            <a:effectLst/>
          </c:spPr>
          <c:marker>
            <c:symbol val="none"/>
          </c:marker>
          <c:cat>
            <c:strRef>
              <c:f>'Q Preso'!$CH$4:$CO$4</c:f>
              <c:strCache>
                <c:ptCount val="8"/>
                <c:pt idx="0">
                  <c:v>1Q22</c:v>
                </c:pt>
                <c:pt idx="1">
                  <c:v>2Q22</c:v>
                </c:pt>
                <c:pt idx="2">
                  <c:v>3Q22</c:v>
                </c:pt>
                <c:pt idx="3">
                  <c:v>4Q22</c:v>
                </c:pt>
                <c:pt idx="4">
                  <c:v>1Q23</c:v>
                </c:pt>
                <c:pt idx="5">
                  <c:v>2Q23</c:v>
                </c:pt>
                <c:pt idx="6">
                  <c:v>3Q23</c:v>
                </c:pt>
                <c:pt idx="7">
                  <c:v>4Q23</c:v>
                </c:pt>
              </c:strCache>
            </c:strRef>
          </c:cat>
          <c:val>
            <c:numRef>
              <c:f>'Q Preso'!$CH$17:$CO$17</c:f>
              <c:numCache>
                <c:formatCode>"$"#,##0_);\("$"#,##0\)</c:formatCode>
                <c:ptCount val="8"/>
                <c:pt idx="0">
                  <c:v>158969.52166021586</c:v>
                </c:pt>
                <c:pt idx="1">
                  <c:v>151741.64915665379</c:v>
                </c:pt>
                <c:pt idx="2">
                  <c:v>148527.04496863234</c:v>
                </c:pt>
                <c:pt idx="3">
                  <c:v>152007.73989496802</c:v>
                </c:pt>
                <c:pt idx="4">
                  <c:v>162168.105730212</c:v>
                </c:pt>
                <c:pt idx="5">
                  <c:v>172061.77300359512</c:v>
                </c:pt>
                <c:pt idx="6">
                  <c:v>179609.59796552753</c:v>
                </c:pt>
                <c:pt idx="7">
                  <c:v>187945.32409592008</c:v>
                </c:pt>
              </c:numCache>
            </c:numRef>
          </c:val>
          <c:smooth val="0"/>
          <c:extLst>
            <c:ext xmlns:c16="http://schemas.microsoft.com/office/drawing/2014/chart" uri="{C3380CC4-5D6E-409C-BE32-E72D297353CC}">
              <c16:uniqueId val="{00000001-CB59-AD4B-9BE9-31CEBD7B17C5}"/>
            </c:ext>
          </c:extLst>
        </c:ser>
        <c:ser>
          <c:idx val="2"/>
          <c:order val="1"/>
          <c:tx>
            <c:strRef>
              <c:f>'Q Preso'!$CG$18</c:f>
              <c:strCache>
                <c:ptCount val="1"/>
                <c:pt idx="0">
                  <c:v>LTM Rev per Employee</c:v>
                </c:pt>
              </c:strCache>
            </c:strRef>
          </c:tx>
          <c:spPr>
            <a:ln w="28575" cap="rnd">
              <a:solidFill>
                <a:schemeClr val="accent3"/>
              </a:solidFill>
              <a:round/>
            </a:ln>
            <a:effectLst/>
          </c:spPr>
          <c:marker>
            <c:symbol val="none"/>
          </c:marker>
          <c:cat>
            <c:strRef>
              <c:f>'Q Preso'!$CH$4:$CO$4</c:f>
              <c:strCache>
                <c:ptCount val="8"/>
                <c:pt idx="0">
                  <c:v>1Q22</c:v>
                </c:pt>
                <c:pt idx="1">
                  <c:v>2Q22</c:v>
                </c:pt>
                <c:pt idx="2">
                  <c:v>3Q22</c:v>
                </c:pt>
                <c:pt idx="3">
                  <c:v>4Q22</c:v>
                </c:pt>
                <c:pt idx="4">
                  <c:v>1Q23</c:v>
                </c:pt>
                <c:pt idx="5">
                  <c:v>2Q23</c:v>
                </c:pt>
                <c:pt idx="6">
                  <c:v>3Q23</c:v>
                </c:pt>
                <c:pt idx="7">
                  <c:v>4Q23</c:v>
                </c:pt>
              </c:strCache>
            </c:strRef>
          </c:cat>
          <c:val>
            <c:numRef>
              <c:f>'Q Preso'!$CH$18:$CO$18</c:f>
              <c:numCache>
                <c:formatCode>"$"#,##0_);\("$"#,##0\)</c:formatCode>
                <c:ptCount val="8"/>
                <c:pt idx="0">
                  <c:v>132248.09862143715</c:v>
                </c:pt>
                <c:pt idx="1">
                  <c:v>122911.64455785799</c:v>
                </c:pt>
                <c:pt idx="2">
                  <c:v>116632.16186845685</c:v>
                </c:pt>
                <c:pt idx="3">
                  <c:v>114339.56387687982</c:v>
                </c:pt>
                <c:pt idx="4">
                  <c:v>127423.78410927266</c:v>
                </c:pt>
                <c:pt idx="5">
                  <c:v>138119.86705135935</c:v>
                </c:pt>
                <c:pt idx="6">
                  <c:v>147487.51870777417</c:v>
                </c:pt>
                <c:pt idx="7">
                  <c:v>153250.60288154508</c:v>
                </c:pt>
              </c:numCache>
            </c:numRef>
          </c:val>
          <c:smooth val="0"/>
          <c:extLst>
            <c:ext xmlns:c16="http://schemas.microsoft.com/office/drawing/2014/chart" uri="{C3380CC4-5D6E-409C-BE32-E72D297353CC}">
              <c16:uniqueId val="{00000002-CB59-AD4B-9BE9-31CEBD7B17C5}"/>
            </c:ext>
          </c:extLst>
        </c:ser>
        <c:ser>
          <c:idx val="0"/>
          <c:order val="2"/>
          <c:tx>
            <c:strRef>
              <c:f>'Q Preso'!$CG$19</c:f>
              <c:strCache>
                <c:ptCount val="1"/>
                <c:pt idx="0">
                  <c:v>Median LTM Rev/Empl: 2020 IPOs</c:v>
                </c:pt>
              </c:strCache>
            </c:strRef>
          </c:tx>
          <c:spPr>
            <a:ln w="28575" cap="rnd">
              <a:solidFill>
                <a:schemeClr val="accent1"/>
              </a:solidFill>
              <a:round/>
            </a:ln>
            <a:effectLst/>
          </c:spPr>
          <c:marker>
            <c:symbol val="none"/>
          </c:marker>
          <c:cat>
            <c:strRef>
              <c:f>'Q Preso'!$CH$4:$CO$4</c:f>
              <c:strCache>
                <c:ptCount val="8"/>
                <c:pt idx="0">
                  <c:v>1Q22</c:v>
                </c:pt>
                <c:pt idx="1">
                  <c:v>2Q22</c:v>
                </c:pt>
                <c:pt idx="2">
                  <c:v>3Q22</c:v>
                </c:pt>
                <c:pt idx="3">
                  <c:v>4Q22</c:v>
                </c:pt>
                <c:pt idx="4">
                  <c:v>1Q23</c:v>
                </c:pt>
                <c:pt idx="5">
                  <c:v>2Q23</c:v>
                </c:pt>
                <c:pt idx="6">
                  <c:v>3Q23</c:v>
                </c:pt>
                <c:pt idx="7">
                  <c:v>4Q23</c:v>
                </c:pt>
              </c:strCache>
            </c:strRef>
          </c:cat>
          <c:val>
            <c:numRef>
              <c:f>'Q Preso'!$CH$19:$CO$19</c:f>
              <c:numCache>
                <c:formatCode>"$"#,##0_);\("$"#,##0\)</c:formatCode>
                <c:ptCount val="8"/>
                <c:pt idx="0">
                  <c:v>199000</c:v>
                </c:pt>
                <c:pt idx="1">
                  <c:v>199000</c:v>
                </c:pt>
                <c:pt idx="2">
                  <c:v>199000</c:v>
                </c:pt>
                <c:pt idx="3">
                  <c:v>199000</c:v>
                </c:pt>
                <c:pt idx="4">
                  <c:v>199000</c:v>
                </c:pt>
                <c:pt idx="5">
                  <c:v>199000</c:v>
                </c:pt>
                <c:pt idx="6">
                  <c:v>199000</c:v>
                </c:pt>
                <c:pt idx="7">
                  <c:v>199000</c:v>
                </c:pt>
              </c:numCache>
            </c:numRef>
          </c:val>
          <c:smooth val="0"/>
          <c:extLst>
            <c:ext xmlns:c16="http://schemas.microsoft.com/office/drawing/2014/chart" uri="{C3380CC4-5D6E-409C-BE32-E72D297353CC}">
              <c16:uniqueId val="{00000001-221E-4203-BD75-9B2CB2FC268C}"/>
            </c:ext>
          </c:extLst>
        </c:ser>
        <c:dLbls>
          <c:showLegendKey val="0"/>
          <c:showVal val="0"/>
          <c:showCatName val="0"/>
          <c:showSerName val="0"/>
          <c:showPercent val="0"/>
          <c:showBubbleSize val="0"/>
        </c:dLbls>
        <c:smooth val="0"/>
        <c:axId val="1031612672"/>
        <c:axId val="1031614352"/>
      </c:lineChart>
      <c:catAx>
        <c:axId val="1031612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614352"/>
        <c:crosses val="autoZero"/>
        <c:auto val="1"/>
        <c:lblAlgn val="ctr"/>
        <c:lblOffset val="100"/>
        <c:noMultiLvlLbl val="0"/>
      </c:catAx>
      <c:valAx>
        <c:axId val="103161435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612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'Q Preso'!$CG$37</c:f>
              <c:strCache>
                <c:ptCount val="1"/>
                <c:pt idx="0">
                  <c:v>S&amp;M</c:v>
                </c:pt>
              </c:strCache>
            </c:strRef>
          </c:tx>
          <c:spPr>
            <a:solidFill>
              <a:schemeClr val="accent1"/>
            </a:solidFill>
            <a:ln>
              <a:noFill/>
            </a:ln>
            <a:effectLst/>
          </c:spPr>
          <c:invertIfNegative val="0"/>
          <c:cat>
            <c:strRef>
              <c:f>'Q Preso'!$CH$36:$CO$36</c:f>
              <c:strCache>
                <c:ptCount val="8"/>
                <c:pt idx="0">
                  <c:v>1Q22</c:v>
                </c:pt>
                <c:pt idx="1">
                  <c:v>2Q22</c:v>
                </c:pt>
                <c:pt idx="2">
                  <c:v>3Q22</c:v>
                </c:pt>
                <c:pt idx="3">
                  <c:v>4Q22</c:v>
                </c:pt>
                <c:pt idx="4">
                  <c:v>1Q23</c:v>
                </c:pt>
                <c:pt idx="5">
                  <c:v>2Q23</c:v>
                </c:pt>
                <c:pt idx="6">
                  <c:v>3Q23</c:v>
                </c:pt>
                <c:pt idx="7">
                  <c:v>4Q23</c:v>
                </c:pt>
              </c:strCache>
            </c:strRef>
          </c:cat>
          <c:val>
            <c:numRef>
              <c:f>'Q Preso'!$CH$37:$CO$37</c:f>
              <c:numCache>
                <c:formatCode>_(* #,##0_);_(* \(#,##0\);_(* "-"??_);_(@_)</c:formatCode>
                <c:ptCount val="8"/>
                <c:pt idx="0">
                  <c:v>308</c:v>
                </c:pt>
                <c:pt idx="1">
                  <c:v>370</c:v>
                </c:pt>
                <c:pt idx="2">
                  <c:v>431</c:v>
                </c:pt>
                <c:pt idx="3">
                  <c:v>485</c:v>
                </c:pt>
                <c:pt idx="4">
                  <c:v>504.72517305302142</c:v>
                </c:pt>
                <c:pt idx="5">
                  <c:v>530.14261225986365</c:v>
                </c:pt>
                <c:pt idx="6">
                  <c:v>550.46603810529189</c:v>
                </c:pt>
                <c:pt idx="7">
                  <c:v>581.07164348337449</c:v>
                </c:pt>
              </c:numCache>
            </c:numRef>
          </c:val>
          <c:extLst>
            <c:ext xmlns:c16="http://schemas.microsoft.com/office/drawing/2014/chart" uri="{C3380CC4-5D6E-409C-BE32-E72D297353CC}">
              <c16:uniqueId val="{00000000-6C98-9242-9583-5D8C0D106AE2}"/>
            </c:ext>
          </c:extLst>
        </c:ser>
        <c:ser>
          <c:idx val="1"/>
          <c:order val="1"/>
          <c:tx>
            <c:strRef>
              <c:f>'Q Preso'!$CG$38</c:f>
              <c:strCache>
                <c:ptCount val="1"/>
                <c:pt idx="0">
                  <c:v>R&amp;D</c:v>
                </c:pt>
              </c:strCache>
            </c:strRef>
          </c:tx>
          <c:spPr>
            <a:solidFill>
              <a:schemeClr val="accent2"/>
            </a:solidFill>
            <a:ln>
              <a:noFill/>
            </a:ln>
            <a:effectLst/>
          </c:spPr>
          <c:invertIfNegative val="0"/>
          <c:cat>
            <c:strRef>
              <c:f>'Q Preso'!$CH$36:$CO$36</c:f>
              <c:strCache>
                <c:ptCount val="8"/>
                <c:pt idx="0">
                  <c:v>1Q22</c:v>
                </c:pt>
                <c:pt idx="1">
                  <c:v>2Q22</c:v>
                </c:pt>
                <c:pt idx="2">
                  <c:v>3Q22</c:v>
                </c:pt>
                <c:pt idx="3">
                  <c:v>4Q22</c:v>
                </c:pt>
                <c:pt idx="4">
                  <c:v>1Q23</c:v>
                </c:pt>
                <c:pt idx="5">
                  <c:v>2Q23</c:v>
                </c:pt>
                <c:pt idx="6">
                  <c:v>3Q23</c:v>
                </c:pt>
                <c:pt idx="7">
                  <c:v>4Q23</c:v>
                </c:pt>
              </c:strCache>
            </c:strRef>
          </c:cat>
          <c:val>
            <c:numRef>
              <c:f>'Q Preso'!$CH$38:$CO$38</c:f>
              <c:numCache>
                <c:formatCode>_(* #,##0_);_(* \(#,##0\);_(* "-"??_);_(@_)</c:formatCode>
                <c:ptCount val="8"/>
                <c:pt idx="0">
                  <c:v>190</c:v>
                </c:pt>
                <c:pt idx="1">
                  <c:v>215</c:v>
                </c:pt>
                <c:pt idx="2">
                  <c:v>259</c:v>
                </c:pt>
                <c:pt idx="3">
                  <c:v>310</c:v>
                </c:pt>
                <c:pt idx="4">
                  <c:v>312.02173913043475</c:v>
                </c:pt>
                <c:pt idx="5">
                  <c:v>337.36044617422175</c:v>
                </c:pt>
                <c:pt idx="6">
                  <c:v>372.90928453702662</c:v>
                </c:pt>
                <c:pt idx="7">
                  <c:v>425.34313474848909</c:v>
                </c:pt>
              </c:numCache>
            </c:numRef>
          </c:val>
          <c:extLst>
            <c:ext xmlns:c16="http://schemas.microsoft.com/office/drawing/2014/chart" uri="{C3380CC4-5D6E-409C-BE32-E72D297353CC}">
              <c16:uniqueId val="{00000001-6C98-9242-9583-5D8C0D106AE2}"/>
            </c:ext>
          </c:extLst>
        </c:ser>
        <c:ser>
          <c:idx val="2"/>
          <c:order val="2"/>
          <c:tx>
            <c:strRef>
              <c:f>'Q Preso'!$CG$39</c:f>
              <c:strCache>
                <c:ptCount val="1"/>
                <c:pt idx="0">
                  <c:v>G&amp;A</c:v>
                </c:pt>
              </c:strCache>
            </c:strRef>
          </c:tx>
          <c:spPr>
            <a:solidFill>
              <a:schemeClr val="accent3"/>
            </a:solidFill>
            <a:ln>
              <a:noFill/>
            </a:ln>
            <a:effectLst/>
          </c:spPr>
          <c:invertIfNegative val="0"/>
          <c:cat>
            <c:strRef>
              <c:f>'Q Preso'!$CH$36:$CO$36</c:f>
              <c:strCache>
                <c:ptCount val="8"/>
                <c:pt idx="0">
                  <c:v>1Q22</c:v>
                </c:pt>
                <c:pt idx="1">
                  <c:v>2Q22</c:v>
                </c:pt>
                <c:pt idx="2">
                  <c:v>3Q22</c:v>
                </c:pt>
                <c:pt idx="3">
                  <c:v>4Q22</c:v>
                </c:pt>
                <c:pt idx="4">
                  <c:v>1Q23</c:v>
                </c:pt>
                <c:pt idx="5">
                  <c:v>2Q23</c:v>
                </c:pt>
                <c:pt idx="6">
                  <c:v>3Q23</c:v>
                </c:pt>
                <c:pt idx="7">
                  <c:v>4Q23</c:v>
                </c:pt>
              </c:strCache>
            </c:strRef>
          </c:cat>
          <c:val>
            <c:numRef>
              <c:f>'Q Preso'!$CH$39:$CO$39</c:f>
              <c:numCache>
                <c:formatCode>_(* #,##0_);_(* \(#,##0\);_(* "-"??_);_(@_)</c:formatCode>
                <c:ptCount val="8"/>
                <c:pt idx="0">
                  <c:v>67</c:v>
                </c:pt>
                <c:pt idx="1">
                  <c:v>91</c:v>
                </c:pt>
                <c:pt idx="2">
                  <c:v>107</c:v>
                </c:pt>
                <c:pt idx="3">
                  <c:v>122</c:v>
                </c:pt>
                <c:pt idx="4">
                  <c:v>122</c:v>
                </c:pt>
                <c:pt idx="5">
                  <c:v>122</c:v>
                </c:pt>
                <c:pt idx="6">
                  <c:v>124.45948851692552</c:v>
                </c:pt>
                <c:pt idx="7">
                  <c:v>139.66238510209735</c:v>
                </c:pt>
              </c:numCache>
            </c:numRef>
          </c:val>
          <c:extLst>
            <c:ext xmlns:c16="http://schemas.microsoft.com/office/drawing/2014/chart" uri="{C3380CC4-5D6E-409C-BE32-E72D297353CC}">
              <c16:uniqueId val="{00000002-6C98-9242-9583-5D8C0D106AE2}"/>
            </c:ext>
          </c:extLst>
        </c:ser>
        <c:dLbls>
          <c:showLegendKey val="0"/>
          <c:showVal val="0"/>
          <c:showCatName val="0"/>
          <c:showSerName val="0"/>
          <c:showPercent val="0"/>
          <c:showBubbleSize val="0"/>
        </c:dLbls>
        <c:gapWidth val="150"/>
        <c:overlap val="100"/>
        <c:axId val="1043371184"/>
        <c:axId val="1043372832"/>
      </c:barChart>
      <c:lineChart>
        <c:grouping val="standard"/>
        <c:varyColors val="0"/>
        <c:ser>
          <c:idx val="3"/>
          <c:order val="3"/>
          <c:tx>
            <c:strRef>
              <c:f>'Q Preso'!$CG$40</c:f>
              <c:strCache>
                <c:ptCount val="1"/>
              </c:strCache>
            </c:strRef>
          </c:tx>
          <c:spPr>
            <a:ln w="28575" cap="rnd">
              <a:no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 Preso'!$CH$36:$CO$36</c:f>
              <c:strCache>
                <c:ptCount val="8"/>
                <c:pt idx="0">
                  <c:v>1Q22</c:v>
                </c:pt>
                <c:pt idx="1">
                  <c:v>2Q22</c:v>
                </c:pt>
                <c:pt idx="2">
                  <c:v>3Q22</c:v>
                </c:pt>
                <c:pt idx="3">
                  <c:v>4Q22</c:v>
                </c:pt>
                <c:pt idx="4">
                  <c:v>1Q23</c:v>
                </c:pt>
                <c:pt idx="5">
                  <c:v>2Q23</c:v>
                </c:pt>
                <c:pt idx="6">
                  <c:v>3Q23</c:v>
                </c:pt>
                <c:pt idx="7">
                  <c:v>4Q23</c:v>
                </c:pt>
              </c:strCache>
            </c:strRef>
          </c:cat>
          <c:val>
            <c:numRef>
              <c:f>'Q Preso'!$CH$40:$CO$40</c:f>
              <c:numCache>
                <c:formatCode>_(* #,##0_);_(* \(#,##0\);_(* "-"??_);_(@_)</c:formatCode>
                <c:ptCount val="8"/>
                <c:pt idx="0">
                  <c:v>565</c:v>
                </c:pt>
                <c:pt idx="1">
                  <c:v>676</c:v>
                </c:pt>
                <c:pt idx="2">
                  <c:v>797</c:v>
                </c:pt>
                <c:pt idx="3">
                  <c:v>917</c:v>
                </c:pt>
                <c:pt idx="4">
                  <c:v>938.74691218345617</c:v>
                </c:pt>
                <c:pt idx="5">
                  <c:v>989.50305843408546</c:v>
                </c:pt>
                <c:pt idx="6">
                  <c:v>1047.8348111592441</c:v>
                </c:pt>
                <c:pt idx="7">
                  <c:v>1146.0771633339609</c:v>
                </c:pt>
              </c:numCache>
            </c:numRef>
          </c:val>
          <c:smooth val="0"/>
          <c:extLst>
            <c:ext xmlns:c16="http://schemas.microsoft.com/office/drawing/2014/chart" uri="{C3380CC4-5D6E-409C-BE32-E72D297353CC}">
              <c16:uniqueId val="{00000003-6C98-9242-9583-5D8C0D106AE2}"/>
            </c:ext>
          </c:extLst>
        </c:ser>
        <c:dLbls>
          <c:showLegendKey val="0"/>
          <c:showVal val="0"/>
          <c:showCatName val="0"/>
          <c:showSerName val="0"/>
          <c:showPercent val="0"/>
          <c:showBubbleSize val="0"/>
        </c:dLbls>
        <c:marker val="1"/>
        <c:smooth val="0"/>
        <c:axId val="1043371184"/>
        <c:axId val="1043372832"/>
      </c:lineChart>
      <c:catAx>
        <c:axId val="1043371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372832"/>
        <c:crosses val="autoZero"/>
        <c:auto val="1"/>
        <c:lblAlgn val="ctr"/>
        <c:lblOffset val="100"/>
        <c:noMultiLvlLbl val="0"/>
      </c:catAx>
      <c:valAx>
        <c:axId val="104337283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371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'Q Preso'!$EZ$6</c:f>
              <c:strCache>
                <c:ptCount val="1"/>
                <c:pt idx="0">
                  <c:v>Core</c:v>
                </c:pt>
              </c:strCache>
            </c:strRef>
          </c:tx>
          <c:spPr>
            <a:solidFill>
              <a:schemeClr val="accent1"/>
            </a:solidFill>
            <a:ln>
              <a:noFill/>
            </a:ln>
            <a:effectLst/>
          </c:spPr>
          <c:invertIfNegative val="0"/>
          <c:cat>
            <c:strRef>
              <c:f>'Q Preso'!$FA$4:$FJ$5</c:f>
              <c:strCache>
                <c:ptCount val="8"/>
                <c:pt idx="0">
                  <c:v>1Q22</c:v>
                </c:pt>
                <c:pt idx="1">
                  <c:v>2Q22</c:v>
                </c:pt>
                <c:pt idx="2">
                  <c:v>3Q22</c:v>
                </c:pt>
                <c:pt idx="3">
                  <c:v>4Q22</c:v>
                </c:pt>
                <c:pt idx="4">
                  <c:v>1Q23</c:v>
                </c:pt>
                <c:pt idx="5">
                  <c:v>2Q23</c:v>
                </c:pt>
                <c:pt idx="6">
                  <c:v>3Q23</c:v>
                </c:pt>
                <c:pt idx="7">
                  <c:v>4Q23</c:v>
                </c:pt>
              </c:strCache>
            </c:strRef>
          </c:cat>
          <c:val>
            <c:numRef>
              <c:f>'Q Preso'!$FA$6:$FJ$6</c:f>
              <c:numCache>
                <c:formatCode>"$"#,##0.0_);\("$"#,##0.0\)</c:formatCode>
                <c:ptCount val="8"/>
                <c:pt idx="0">
                  <c:v>84.841717252102853</c:v>
                </c:pt>
                <c:pt idx="1">
                  <c:v>96.202803977710701</c:v>
                </c:pt>
                <c:pt idx="2">
                  <c:v>110.21263612309939</c:v>
                </c:pt>
                <c:pt idx="3">
                  <c:v>129.16160192583527</c:v>
                </c:pt>
                <c:pt idx="4">
                  <c:v>140.03969065537319</c:v>
                </c:pt>
                <c:pt idx="5">
                  <c:v>154.95196727347303</c:v>
                </c:pt>
                <c:pt idx="6">
                  <c:v>169.82168874264383</c:v>
                </c:pt>
                <c:pt idx="7">
                  <c:v>192.328325604599</c:v>
                </c:pt>
              </c:numCache>
            </c:numRef>
          </c:val>
          <c:extLst>
            <c:ext xmlns:c16="http://schemas.microsoft.com/office/drawing/2014/chart" uri="{C3380CC4-5D6E-409C-BE32-E72D297353CC}">
              <c16:uniqueId val="{00000000-133C-422F-8CA0-EEB2FE7D97C7}"/>
            </c:ext>
          </c:extLst>
        </c:ser>
        <c:ser>
          <c:idx val="2"/>
          <c:order val="1"/>
          <c:tx>
            <c:strRef>
              <c:f>'Q Preso'!$EZ$7</c:f>
              <c:strCache>
                <c:ptCount val="1"/>
                <c:pt idx="0">
                  <c:v>VoC</c:v>
                </c:pt>
              </c:strCache>
            </c:strRef>
          </c:tx>
          <c:spPr>
            <a:solidFill>
              <a:schemeClr val="accent3"/>
            </a:solidFill>
            <a:ln>
              <a:noFill/>
            </a:ln>
            <a:effectLst/>
          </c:spPr>
          <c:invertIfNegative val="0"/>
          <c:cat>
            <c:strRef>
              <c:f>'Q Preso'!$FA$4:$FJ$5</c:f>
              <c:strCache>
                <c:ptCount val="8"/>
                <c:pt idx="0">
                  <c:v>1Q22</c:v>
                </c:pt>
                <c:pt idx="1">
                  <c:v>2Q22</c:v>
                </c:pt>
                <c:pt idx="2">
                  <c:v>3Q22</c:v>
                </c:pt>
                <c:pt idx="3">
                  <c:v>4Q22</c:v>
                </c:pt>
                <c:pt idx="4">
                  <c:v>1Q23</c:v>
                </c:pt>
                <c:pt idx="5">
                  <c:v>2Q23</c:v>
                </c:pt>
                <c:pt idx="6">
                  <c:v>3Q23</c:v>
                </c:pt>
                <c:pt idx="7">
                  <c:v>4Q23</c:v>
                </c:pt>
              </c:strCache>
            </c:strRef>
          </c:cat>
          <c:val>
            <c:numRef>
              <c:f>'Q Preso'!$FA$7:$FJ$7</c:f>
              <c:numCache>
                <c:formatCode>_(* #,##0.0_);_(* \(#,##0.0\);_(* "-"??_);_(@_)</c:formatCode>
                <c:ptCount val="8"/>
                <c:pt idx="0">
                  <c:v>1.8867516890314566</c:v>
                </c:pt>
                <c:pt idx="1">
                  <c:v>2.2835737587952103</c:v>
                </c:pt>
                <c:pt idx="2">
                  <c:v>2.7722831864038286</c:v>
                </c:pt>
                <c:pt idx="3">
                  <c:v>3.4332811930988569</c:v>
                </c:pt>
                <c:pt idx="4">
                  <c:v>4.0734785014653063</c:v>
                </c:pt>
                <c:pt idx="5">
                  <c:v>4.9368268452290778</c:v>
                </c:pt>
                <c:pt idx="6">
                  <c:v>5.7924115944660004</c:v>
                </c:pt>
                <c:pt idx="7">
                  <c:v>7.0955155774900991</c:v>
                </c:pt>
              </c:numCache>
            </c:numRef>
          </c:val>
          <c:extLst>
            <c:ext xmlns:c16="http://schemas.microsoft.com/office/drawing/2014/chart" uri="{C3380CC4-5D6E-409C-BE32-E72D297353CC}">
              <c16:uniqueId val="{00000002-133C-422F-8CA0-EEB2FE7D97C7}"/>
            </c:ext>
          </c:extLst>
        </c:ser>
        <c:ser>
          <c:idx val="3"/>
          <c:order val="2"/>
          <c:tx>
            <c:strRef>
              <c:f>'Q Preso'!$EZ$8</c:f>
              <c:strCache>
                <c:ptCount val="1"/>
                <c:pt idx="0">
                  <c:v>DAP</c:v>
                </c:pt>
              </c:strCache>
            </c:strRef>
          </c:tx>
          <c:spPr>
            <a:solidFill>
              <a:schemeClr val="accent4"/>
            </a:solidFill>
            <a:ln>
              <a:noFill/>
            </a:ln>
            <a:effectLst/>
          </c:spPr>
          <c:invertIfNegative val="0"/>
          <c:cat>
            <c:strRef>
              <c:f>'Q Preso'!$FA$4:$FJ$5</c:f>
              <c:strCache>
                <c:ptCount val="8"/>
                <c:pt idx="0">
                  <c:v>1Q22</c:v>
                </c:pt>
                <c:pt idx="1">
                  <c:v>2Q22</c:v>
                </c:pt>
                <c:pt idx="2">
                  <c:v>3Q22</c:v>
                </c:pt>
                <c:pt idx="3">
                  <c:v>4Q22</c:v>
                </c:pt>
                <c:pt idx="4">
                  <c:v>1Q23</c:v>
                </c:pt>
                <c:pt idx="5">
                  <c:v>2Q23</c:v>
                </c:pt>
                <c:pt idx="6">
                  <c:v>3Q23</c:v>
                </c:pt>
                <c:pt idx="7">
                  <c:v>4Q23</c:v>
                </c:pt>
              </c:strCache>
            </c:strRef>
          </c:cat>
          <c:val>
            <c:numRef>
              <c:f>'Q Preso'!$FA$8:$FJ$8</c:f>
              <c:numCache>
                <c:formatCode>_(* #,##0.0_);_(* \(#,##0.0\);_(* "-"??_);_(@_)</c:formatCode>
                <c:ptCount val="8"/>
                <c:pt idx="0">
                  <c:v>0.97583307459146784</c:v>
                </c:pt>
                <c:pt idx="1">
                  <c:v>1.4736591732679325</c:v>
                </c:pt>
                <c:pt idx="2">
                  <c:v>2.1034013133027565</c:v>
                </c:pt>
                <c:pt idx="3">
                  <c:v>2.956096503163598</c:v>
                </c:pt>
                <c:pt idx="4">
                  <c:v>4.0914677514169933</c:v>
                </c:pt>
                <c:pt idx="5">
                  <c:v>5.6108270617154838</c:v>
                </c:pt>
                <c:pt idx="6">
                  <c:v>7.1120820734077261</c:v>
                </c:pt>
                <c:pt idx="7">
                  <c:v>9.4054094502819972</c:v>
                </c:pt>
              </c:numCache>
            </c:numRef>
          </c:val>
          <c:extLst>
            <c:ext xmlns:c16="http://schemas.microsoft.com/office/drawing/2014/chart" uri="{C3380CC4-5D6E-409C-BE32-E72D297353CC}">
              <c16:uniqueId val="{00000003-133C-422F-8CA0-EEB2FE7D97C7}"/>
            </c:ext>
          </c:extLst>
        </c:ser>
        <c:ser>
          <c:idx val="4"/>
          <c:order val="3"/>
          <c:tx>
            <c:strRef>
              <c:f>'Q Preso'!$EZ$9</c:f>
              <c:strCache>
                <c:ptCount val="1"/>
                <c:pt idx="0">
                  <c:v>Adopt</c:v>
                </c:pt>
              </c:strCache>
            </c:strRef>
          </c:tx>
          <c:spPr>
            <a:solidFill>
              <a:schemeClr val="accent5"/>
            </a:solidFill>
            <a:ln>
              <a:noFill/>
            </a:ln>
            <a:effectLst/>
          </c:spPr>
          <c:invertIfNegative val="0"/>
          <c:cat>
            <c:strRef>
              <c:f>'Q Preso'!$FA$4:$FJ$5</c:f>
              <c:strCache>
                <c:ptCount val="8"/>
                <c:pt idx="0">
                  <c:v>1Q22</c:v>
                </c:pt>
                <c:pt idx="1">
                  <c:v>2Q22</c:v>
                </c:pt>
                <c:pt idx="2">
                  <c:v>3Q22</c:v>
                </c:pt>
                <c:pt idx="3">
                  <c:v>4Q22</c:v>
                </c:pt>
                <c:pt idx="4">
                  <c:v>1Q23</c:v>
                </c:pt>
                <c:pt idx="5">
                  <c:v>2Q23</c:v>
                </c:pt>
                <c:pt idx="6">
                  <c:v>3Q23</c:v>
                </c:pt>
                <c:pt idx="7">
                  <c:v>4Q23</c:v>
                </c:pt>
              </c:strCache>
            </c:strRef>
          </c:cat>
          <c:val>
            <c:numRef>
              <c:f>'Q Preso'!$FA$9:$FJ$9</c:f>
              <c:numCache>
                <c:formatCode>_(* #,##0.0_);_(* \(#,##0.0\);_(* "-"??_);_(@_)</c:formatCode>
                <c:ptCount val="8"/>
                <c:pt idx="0">
                  <c:v>1.4238795876461956</c:v>
                </c:pt>
                <c:pt idx="1">
                  <c:v>1.927719613496149</c:v>
                </c:pt>
                <c:pt idx="2">
                  <c:v>2.5981359004640066</c:v>
                </c:pt>
                <c:pt idx="3">
                  <c:v>3.5132644011722607</c:v>
                </c:pt>
                <c:pt idx="4">
                  <c:v>4.0522025049659431</c:v>
                </c:pt>
                <c:pt idx="5">
                  <c:v>4.7780603505757471</c:v>
                </c:pt>
                <c:pt idx="6">
                  <c:v>5.4970376604233424</c:v>
                </c:pt>
                <c:pt idx="7">
                  <c:v>6.5926241737075753</c:v>
                </c:pt>
              </c:numCache>
            </c:numRef>
          </c:val>
          <c:extLst>
            <c:ext xmlns:c16="http://schemas.microsoft.com/office/drawing/2014/chart" uri="{C3380CC4-5D6E-409C-BE32-E72D297353CC}">
              <c16:uniqueId val="{00000004-133C-422F-8CA0-EEB2FE7D97C7}"/>
            </c:ext>
          </c:extLst>
        </c:ser>
        <c:dLbls>
          <c:showLegendKey val="0"/>
          <c:showVal val="0"/>
          <c:showCatName val="0"/>
          <c:showSerName val="0"/>
          <c:showPercent val="0"/>
          <c:showBubbleSize val="0"/>
        </c:dLbls>
        <c:gapWidth val="150"/>
        <c:overlap val="100"/>
        <c:axId val="469769696"/>
        <c:axId val="469770528"/>
      </c:barChart>
      <c:lineChart>
        <c:grouping val="standard"/>
        <c:varyColors val="0"/>
        <c:ser>
          <c:idx val="5"/>
          <c:order val="4"/>
          <c:tx>
            <c:strRef>
              <c:f>'Q Preso'!$EZ$10</c:f>
              <c:strCache>
                <c:ptCount val="1"/>
                <c:pt idx="0">
                  <c:v>Total ARR</c:v>
                </c:pt>
              </c:strCache>
            </c:strRef>
          </c:tx>
          <c:spPr>
            <a:ln w="28575" cap="rnd">
              <a:solidFill>
                <a:schemeClr val="accent6"/>
              </a:solidFill>
              <a:round/>
            </a:ln>
            <a:effectLst/>
          </c:spPr>
          <c:marker>
            <c:symbol val="none"/>
          </c:marker>
          <c:cat>
            <c:strRef>
              <c:f>'Q Preso'!$FA$4:$FH$5</c:f>
              <c:strCache>
                <c:ptCount val="6"/>
                <c:pt idx="0">
                  <c:v>1Q22</c:v>
                </c:pt>
                <c:pt idx="1">
                  <c:v>2Q22</c:v>
                </c:pt>
                <c:pt idx="2">
                  <c:v>3Q22</c:v>
                </c:pt>
                <c:pt idx="3">
                  <c:v>4Q22</c:v>
                </c:pt>
                <c:pt idx="4">
                  <c:v>1Q23</c:v>
                </c:pt>
                <c:pt idx="5">
                  <c:v>2Q23</c:v>
                </c:pt>
              </c:strCache>
            </c:strRef>
          </c:cat>
          <c:val>
            <c:numRef>
              <c:f>'Q Preso'!$FA$10:$FJ$10</c:f>
              <c:numCache>
                <c:formatCode>"$"#,##0.0_);\("$"#,##0.0\)</c:formatCode>
                <c:ptCount val="8"/>
                <c:pt idx="0">
                  <c:v>89.128181603371971</c:v>
                </c:pt>
                <c:pt idx="1">
                  <c:v>101.88775652327</c:v>
                </c:pt>
                <c:pt idx="2">
                  <c:v>117.68645652326997</c:v>
                </c:pt>
                <c:pt idx="3">
                  <c:v>139.06424402326996</c:v>
                </c:pt>
                <c:pt idx="4">
                  <c:v>152.25683941322143</c:v>
                </c:pt>
                <c:pt idx="5">
                  <c:v>170.27768153099333</c:v>
                </c:pt>
                <c:pt idx="6">
                  <c:v>188.22322007094087</c:v>
                </c:pt>
                <c:pt idx="7">
                  <c:v>215.42187480607868</c:v>
                </c:pt>
              </c:numCache>
            </c:numRef>
          </c:val>
          <c:smooth val="0"/>
          <c:extLst>
            <c:ext xmlns:c16="http://schemas.microsoft.com/office/drawing/2014/chart" uri="{C3380CC4-5D6E-409C-BE32-E72D297353CC}">
              <c16:uniqueId val="{00000005-133C-422F-8CA0-EEB2FE7D97C7}"/>
            </c:ext>
          </c:extLst>
        </c:ser>
        <c:dLbls>
          <c:showLegendKey val="0"/>
          <c:showVal val="0"/>
          <c:showCatName val="0"/>
          <c:showSerName val="0"/>
          <c:showPercent val="0"/>
          <c:showBubbleSize val="0"/>
        </c:dLbls>
        <c:marker val="1"/>
        <c:smooth val="0"/>
        <c:axId val="469769696"/>
        <c:axId val="469770528"/>
      </c:lineChart>
      <c:catAx>
        <c:axId val="469769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9770528"/>
        <c:crosses val="autoZero"/>
        <c:auto val="1"/>
        <c:lblAlgn val="ctr"/>
        <c:lblOffset val="100"/>
        <c:noMultiLvlLbl val="0"/>
      </c:catAx>
      <c:valAx>
        <c:axId val="46977052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_);\(&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97696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'Q Preso'!$HH$40</c:f>
              <c:strCache>
                <c:ptCount val="1"/>
                <c:pt idx="0">
                  <c:v>AMER</c:v>
                </c:pt>
              </c:strCache>
            </c:strRef>
          </c:tx>
          <c:spPr>
            <a:solidFill>
              <a:schemeClr val="accent1"/>
            </a:solidFill>
            <a:ln>
              <a:noFill/>
            </a:ln>
            <a:effectLst/>
          </c:spPr>
          <c:invertIfNegative val="0"/>
          <c:cat>
            <c:strRef>
              <c:f>'Q Preso'!$HI$39:$HR$39</c:f>
              <c:strCache>
                <c:ptCount val="8"/>
                <c:pt idx="0">
                  <c:v>1Q22</c:v>
                </c:pt>
                <c:pt idx="1">
                  <c:v>2Q22</c:v>
                </c:pt>
                <c:pt idx="2">
                  <c:v>3Q22</c:v>
                </c:pt>
                <c:pt idx="3">
                  <c:v>4Q22</c:v>
                </c:pt>
                <c:pt idx="4">
                  <c:v>1Q23</c:v>
                </c:pt>
                <c:pt idx="5">
                  <c:v>2Q23</c:v>
                </c:pt>
                <c:pt idx="6">
                  <c:v>3Q23</c:v>
                </c:pt>
                <c:pt idx="7">
                  <c:v>4Q23</c:v>
                </c:pt>
              </c:strCache>
            </c:strRef>
          </c:cat>
          <c:val>
            <c:numRef>
              <c:f>'Q Preso'!$HI$40:$HR$40</c:f>
              <c:numCache>
                <c:formatCode>"$"#,##0.0_);\("$"#,##0.0\)</c:formatCode>
                <c:ptCount val="8"/>
                <c:pt idx="0">
                  <c:v>8.1220080131897419</c:v>
                </c:pt>
                <c:pt idx="1">
                  <c:v>12.458169103028665</c:v>
                </c:pt>
                <c:pt idx="2">
                  <c:v>15.882554166666665</c:v>
                </c:pt>
                <c:pt idx="3">
                  <c:v>21.231927083333336</c:v>
                </c:pt>
                <c:pt idx="4">
                  <c:v>13.238588438778052</c:v>
                </c:pt>
                <c:pt idx="5">
                  <c:v>17.61401950244052</c:v>
                </c:pt>
                <c:pt idx="6">
                  <c:v>17.365354707343201</c:v>
                </c:pt>
                <c:pt idx="7">
                  <c:v>26.587254343922496</c:v>
                </c:pt>
              </c:numCache>
            </c:numRef>
          </c:val>
          <c:extLst>
            <c:ext xmlns:c16="http://schemas.microsoft.com/office/drawing/2014/chart" uri="{C3380CC4-5D6E-409C-BE32-E72D297353CC}">
              <c16:uniqueId val="{00000000-8AC2-444E-B335-C83D6893BE20}"/>
            </c:ext>
          </c:extLst>
        </c:ser>
        <c:ser>
          <c:idx val="1"/>
          <c:order val="1"/>
          <c:tx>
            <c:strRef>
              <c:f>'Q Preso'!$HH$41</c:f>
              <c:strCache>
                <c:ptCount val="1"/>
                <c:pt idx="0">
                  <c:v>EMEA</c:v>
                </c:pt>
              </c:strCache>
            </c:strRef>
          </c:tx>
          <c:spPr>
            <a:solidFill>
              <a:schemeClr val="accent2"/>
            </a:solidFill>
            <a:ln>
              <a:noFill/>
            </a:ln>
            <a:effectLst/>
          </c:spPr>
          <c:invertIfNegative val="0"/>
          <c:cat>
            <c:strRef>
              <c:f>'Q Preso'!$HI$39:$HR$39</c:f>
              <c:strCache>
                <c:ptCount val="8"/>
                <c:pt idx="0">
                  <c:v>1Q22</c:v>
                </c:pt>
                <c:pt idx="1">
                  <c:v>2Q22</c:v>
                </c:pt>
                <c:pt idx="2">
                  <c:v>3Q22</c:v>
                </c:pt>
                <c:pt idx="3">
                  <c:v>4Q22</c:v>
                </c:pt>
                <c:pt idx="4">
                  <c:v>1Q23</c:v>
                </c:pt>
                <c:pt idx="5">
                  <c:v>2Q23</c:v>
                </c:pt>
                <c:pt idx="6">
                  <c:v>3Q23</c:v>
                </c:pt>
                <c:pt idx="7">
                  <c:v>4Q23</c:v>
                </c:pt>
              </c:strCache>
            </c:strRef>
          </c:cat>
          <c:val>
            <c:numRef>
              <c:f>'Q Preso'!$HI$41:$HR$41</c:f>
              <c:numCache>
                <c:formatCode>"$"#,##0.0_);\("$"#,##0.0\)</c:formatCode>
                <c:ptCount val="8"/>
                <c:pt idx="0">
                  <c:v>0.78778721392748075</c:v>
                </c:pt>
                <c:pt idx="1">
                  <c:v>1.527263531722201</c:v>
                </c:pt>
                <c:pt idx="2">
                  <c:v>1.2270833333333333</c:v>
                </c:pt>
                <c:pt idx="3">
                  <c:v>1.5777666666666668</c:v>
                </c:pt>
                <c:pt idx="4">
                  <c:v>1.6272387530484713</c:v>
                </c:pt>
                <c:pt idx="5">
                  <c:v>2.1650506973512607</c:v>
                </c:pt>
                <c:pt idx="6">
                  <c:v>2.1344857324403521</c:v>
                </c:pt>
                <c:pt idx="7">
                  <c:v>3.2680078246756281</c:v>
                </c:pt>
              </c:numCache>
            </c:numRef>
          </c:val>
          <c:extLst>
            <c:ext xmlns:c16="http://schemas.microsoft.com/office/drawing/2014/chart" uri="{C3380CC4-5D6E-409C-BE32-E72D297353CC}">
              <c16:uniqueId val="{00000001-8AC2-444E-B335-C83D6893BE20}"/>
            </c:ext>
          </c:extLst>
        </c:ser>
        <c:ser>
          <c:idx val="2"/>
          <c:order val="2"/>
          <c:tx>
            <c:strRef>
              <c:f>'Q Preso'!$HH$42</c:f>
              <c:strCache>
                <c:ptCount val="1"/>
                <c:pt idx="0">
                  <c:v>APAC</c:v>
                </c:pt>
              </c:strCache>
            </c:strRef>
          </c:tx>
          <c:spPr>
            <a:solidFill>
              <a:schemeClr val="accent3"/>
            </a:solidFill>
            <a:ln>
              <a:noFill/>
            </a:ln>
            <a:effectLst/>
          </c:spPr>
          <c:invertIfNegative val="0"/>
          <c:cat>
            <c:strRef>
              <c:f>'Q Preso'!$HI$39:$HR$39</c:f>
              <c:strCache>
                <c:ptCount val="8"/>
                <c:pt idx="0">
                  <c:v>1Q22</c:v>
                </c:pt>
                <c:pt idx="1">
                  <c:v>2Q22</c:v>
                </c:pt>
                <c:pt idx="2">
                  <c:v>3Q22</c:v>
                </c:pt>
                <c:pt idx="3">
                  <c:v>4Q22</c:v>
                </c:pt>
                <c:pt idx="4">
                  <c:v>1Q23</c:v>
                </c:pt>
                <c:pt idx="5">
                  <c:v>2Q23</c:v>
                </c:pt>
                <c:pt idx="6">
                  <c:v>3Q23</c:v>
                </c:pt>
                <c:pt idx="7">
                  <c:v>4Q23</c:v>
                </c:pt>
              </c:strCache>
            </c:strRef>
          </c:cat>
          <c:val>
            <c:numRef>
              <c:f>'Q Preso'!$HI$42:$HR$42</c:f>
              <c:numCache>
                <c:formatCode>"$"#,##0.0_);\("$"#,##0.0\)</c:formatCode>
                <c:ptCount val="8"/>
                <c:pt idx="0">
                  <c:v>0.1588490190557777</c:v>
                </c:pt>
                <c:pt idx="1">
                  <c:v>0.20167793950913426</c:v>
                </c:pt>
                <c:pt idx="2">
                  <c:v>0.18906250000000002</c:v>
                </c:pt>
                <c:pt idx="3">
                  <c:v>0.56809375000000006</c:v>
                </c:pt>
                <c:pt idx="4">
                  <c:v>0.61940946632610527</c:v>
                </c:pt>
                <c:pt idx="5">
                  <c:v>0.82412792499132415</c:v>
                </c:pt>
                <c:pt idx="6">
                  <c:v>0.81249335165764824</c:v>
                </c:pt>
                <c:pt idx="7">
                  <c:v>1.2439692570249221</c:v>
                </c:pt>
              </c:numCache>
            </c:numRef>
          </c:val>
          <c:extLst>
            <c:ext xmlns:c16="http://schemas.microsoft.com/office/drawing/2014/chart" uri="{C3380CC4-5D6E-409C-BE32-E72D297353CC}">
              <c16:uniqueId val="{00000002-8AC2-444E-B335-C83D6893BE20}"/>
            </c:ext>
          </c:extLst>
        </c:ser>
        <c:dLbls>
          <c:showLegendKey val="0"/>
          <c:showVal val="0"/>
          <c:showCatName val="0"/>
          <c:showSerName val="0"/>
          <c:showPercent val="0"/>
          <c:showBubbleSize val="0"/>
        </c:dLbls>
        <c:gapWidth val="150"/>
        <c:overlap val="100"/>
        <c:axId val="1484745199"/>
        <c:axId val="1484727311"/>
      </c:barChart>
      <c:lineChart>
        <c:grouping val="standard"/>
        <c:varyColors val="0"/>
        <c:ser>
          <c:idx val="3"/>
          <c:order val="3"/>
          <c:tx>
            <c:strRef>
              <c:f>'Q Preso'!$HH$43</c:f>
              <c:strCache>
                <c:ptCount val="1"/>
              </c:strCache>
            </c:strRef>
          </c:tx>
          <c:spPr>
            <a:ln w="28575" cap="rnd">
              <a:solidFill>
                <a:schemeClr val="accent4"/>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 Preso'!$HI$39:$HR$39</c:f>
              <c:strCache>
                <c:ptCount val="8"/>
                <c:pt idx="0">
                  <c:v>1Q22</c:v>
                </c:pt>
                <c:pt idx="1">
                  <c:v>2Q22</c:v>
                </c:pt>
                <c:pt idx="2">
                  <c:v>3Q22</c:v>
                </c:pt>
                <c:pt idx="3">
                  <c:v>4Q22</c:v>
                </c:pt>
                <c:pt idx="4">
                  <c:v>1Q23</c:v>
                </c:pt>
                <c:pt idx="5">
                  <c:v>2Q23</c:v>
                </c:pt>
                <c:pt idx="6">
                  <c:v>3Q23</c:v>
                </c:pt>
                <c:pt idx="7">
                  <c:v>4Q23</c:v>
                </c:pt>
              </c:strCache>
            </c:strRef>
          </c:cat>
          <c:val>
            <c:numRef>
              <c:f>'Q Preso'!$HI$43:$HR$43</c:f>
              <c:numCache>
                <c:formatCode>"$"#,##0.0_);\("$"#,##0.0\)</c:formatCode>
                <c:ptCount val="8"/>
                <c:pt idx="0">
                  <c:v>9.0686442461729992</c:v>
                </c:pt>
                <c:pt idx="1">
                  <c:v>14.187110574259998</c:v>
                </c:pt>
                <c:pt idx="2">
                  <c:v>17.298699999999997</c:v>
                </c:pt>
                <c:pt idx="3">
                  <c:v>23.3777875</c:v>
                </c:pt>
                <c:pt idx="4">
                  <c:v>15.48523665815263</c:v>
                </c:pt>
                <c:pt idx="5">
                  <c:v>20.603198124783106</c:v>
                </c:pt>
                <c:pt idx="6">
                  <c:v>20.312333791441201</c:v>
                </c:pt>
                <c:pt idx="7">
                  <c:v>31.099231425623046</c:v>
                </c:pt>
              </c:numCache>
            </c:numRef>
          </c:val>
          <c:smooth val="0"/>
          <c:extLst>
            <c:ext xmlns:c16="http://schemas.microsoft.com/office/drawing/2014/chart" uri="{C3380CC4-5D6E-409C-BE32-E72D297353CC}">
              <c16:uniqueId val="{00000003-8AC2-444E-B335-C83D6893BE20}"/>
            </c:ext>
          </c:extLst>
        </c:ser>
        <c:dLbls>
          <c:showLegendKey val="0"/>
          <c:showVal val="0"/>
          <c:showCatName val="0"/>
          <c:showSerName val="0"/>
          <c:showPercent val="0"/>
          <c:showBubbleSize val="0"/>
        </c:dLbls>
        <c:marker val="1"/>
        <c:smooth val="0"/>
        <c:axId val="1484745199"/>
        <c:axId val="1484727311"/>
      </c:lineChart>
      <c:catAx>
        <c:axId val="1484745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727311"/>
        <c:crosses val="autoZero"/>
        <c:auto val="1"/>
        <c:lblAlgn val="ctr"/>
        <c:lblOffset val="100"/>
        <c:noMultiLvlLbl val="0"/>
      </c:catAx>
      <c:valAx>
        <c:axId val="148472731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_);\(&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7451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5.xml.rels><?xml version="1.0" encoding="UTF-8" standalone="yes"?>
<Relationships xmlns="http://schemas.openxmlformats.org/package/2006/relationships"><Relationship Id="rId8" Type="http://schemas.openxmlformats.org/officeDocument/2006/relationships/chart" Target="../charts/chart21.xml"/><Relationship Id="rId13" Type="http://schemas.openxmlformats.org/officeDocument/2006/relationships/chart" Target="../charts/chart26.xml"/><Relationship Id="rId3" Type="http://schemas.openxmlformats.org/officeDocument/2006/relationships/chart" Target="../charts/chart16.xml"/><Relationship Id="rId7" Type="http://schemas.openxmlformats.org/officeDocument/2006/relationships/chart" Target="../charts/chart20.xml"/><Relationship Id="rId12" Type="http://schemas.openxmlformats.org/officeDocument/2006/relationships/chart" Target="../charts/chart25.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4.xml"/><Relationship Id="rId5" Type="http://schemas.openxmlformats.org/officeDocument/2006/relationships/chart" Target="../charts/chart18.xml"/><Relationship Id="rId10" Type="http://schemas.openxmlformats.org/officeDocument/2006/relationships/chart" Target="../charts/chart23.xml"/><Relationship Id="rId4" Type="http://schemas.openxmlformats.org/officeDocument/2006/relationships/chart" Target="../charts/chart17.xml"/><Relationship Id="rId9" Type="http://schemas.openxmlformats.org/officeDocument/2006/relationships/chart" Target="../charts/chart22.xml"/></Relationships>
</file>

<file path=xl/drawings/drawing1.xml><?xml version="1.0" encoding="utf-8"?>
<xdr:wsDr xmlns:xdr="http://schemas.openxmlformats.org/drawingml/2006/spreadsheetDrawing" xmlns:a="http://schemas.openxmlformats.org/drawingml/2006/main">
  <xdr:oneCellAnchor>
    <xdr:from>
      <xdr:col>12</xdr:col>
      <xdr:colOff>0</xdr:colOff>
      <xdr:row>0</xdr:row>
      <xdr:rowOff>0</xdr:rowOff>
    </xdr:from>
    <xdr:ext cx="952500" cy="476250"/>
    <xdr:pic>
      <xdr:nvPicPr>
        <xdr:cNvPr id="2" name="image1.png" descr="Picture">
          <a:extLst>
            <a:ext uri="{FF2B5EF4-FFF2-40B4-BE49-F238E27FC236}">
              <a16:creationId xmlns:a16="http://schemas.microsoft.com/office/drawing/2014/main" id="{3803BFB9-6243-4CBC-B814-2028FFBC3840}"/>
            </a:ext>
          </a:extLst>
        </xdr:cNvPr>
        <xdr:cNvPicPr preferRelativeResize="0"/>
      </xdr:nvPicPr>
      <xdr:blipFill>
        <a:blip xmlns:r="http://schemas.openxmlformats.org/officeDocument/2006/relationships" r:embed="rId1" cstate="print"/>
        <a:stretch>
          <a:fillRect/>
        </a:stretch>
      </xdr:blipFill>
      <xdr:spPr>
        <a:xfrm>
          <a:off x="11125200" y="0"/>
          <a:ext cx="952500" cy="4762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0</xdr:colOff>
      <xdr:row>5</xdr:row>
      <xdr:rowOff>91113</xdr:rowOff>
    </xdr:from>
    <xdr:ext cx="3638751" cy="837505"/>
    <xdr:pic>
      <xdr:nvPicPr>
        <xdr:cNvPr id="2" name="Picture 1" descr="GitHub - LogRocket/logrocket: Record and replay user sessions to fix bugs  faster.">
          <a:extLst>
            <a:ext uri="{FF2B5EF4-FFF2-40B4-BE49-F238E27FC236}">
              <a16:creationId xmlns:a16="http://schemas.microsoft.com/office/drawing/2014/main" id="{4EBDE1F7-3505-4404-A63F-77487596302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58800" y="916613"/>
          <a:ext cx="3638751" cy="8375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twoCellAnchor>
    <xdr:from>
      <xdr:col>1</xdr:col>
      <xdr:colOff>63644</xdr:colOff>
      <xdr:row>3</xdr:row>
      <xdr:rowOff>114557</xdr:rowOff>
    </xdr:from>
    <xdr:to>
      <xdr:col>5</xdr:col>
      <xdr:colOff>571500</xdr:colOff>
      <xdr:row>77</xdr:row>
      <xdr:rowOff>56029</xdr:rowOff>
    </xdr:to>
    <xdr:sp macro="" textlink="">
      <xdr:nvSpPr>
        <xdr:cNvPr id="2" name="TextBox 1">
          <a:extLst>
            <a:ext uri="{FF2B5EF4-FFF2-40B4-BE49-F238E27FC236}">
              <a16:creationId xmlns:a16="http://schemas.microsoft.com/office/drawing/2014/main" id="{F5BEAE86-2F5F-4757-99AA-95DA8BB13CBF}"/>
            </a:ext>
          </a:extLst>
        </xdr:cNvPr>
        <xdr:cNvSpPr txBox="1"/>
      </xdr:nvSpPr>
      <xdr:spPr>
        <a:xfrm>
          <a:off x="622444" y="609857"/>
          <a:ext cx="2730356" cy="1215887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u="sng">
              <a:solidFill>
                <a:schemeClr val="dk1"/>
              </a:solidFill>
              <a:effectLst/>
              <a:latin typeface="+mn-lt"/>
              <a:ea typeface="+mn-ea"/>
              <a:cs typeface="+mn-cs"/>
            </a:rPr>
            <a:t>General:</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The Company's fiscal year end is December 31.</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Financials prior to Q4 CY2019 generally follow GAAP principles but are not strictly GAAP as an external bookkeeper with less robust accounting software was utilized.</a:t>
          </a:r>
        </a:p>
        <a:p>
          <a:r>
            <a:rPr lang="en-US" sz="1100">
              <a:solidFill>
                <a:schemeClr val="dk1"/>
              </a:solidFill>
              <a:effectLst/>
              <a:latin typeface="+mn-lt"/>
              <a:ea typeface="+mn-ea"/>
              <a:cs typeface="+mn-cs"/>
            </a:rPr>
            <a:t> </a:t>
          </a:r>
        </a:p>
        <a:p>
          <a:r>
            <a:rPr lang="en-US" sz="1100" b="1" u="sng">
              <a:solidFill>
                <a:schemeClr val="dk1"/>
              </a:solidFill>
              <a:effectLst/>
              <a:latin typeface="+mn-lt"/>
              <a:ea typeface="+mn-ea"/>
              <a:cs typeface="+mn-cs"/>
            </a:rPr>
            <a:t>Business Overview:</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LogRocket has historically reached customers through an efficient, high velocity inbound sales motion that leverages engineers for a bottom-up sale. In 2019, the company began expanding the product capabilities/breadth to address the needs of the product and marketing personas, in addition to engineering.  In 2020, the company began deploying an outbound sales motion to target larger customers. </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LogRocket's go-to-market now sells via (1) an inbound, high velocity sales motion that gets leads through its digital footprint (e.g. Website, Blog, etc.) and strong reputation, (2) outbound sales team that is split in two segments - enterprise and commercial and (3) tradeshows.</a:t>
          </a:r>
        </a:p>
        <a:p>
          <a:r>
            <a:rPr lang="en-US" sz="1100">
              <a:solidFill>
                <a:schemeClr val="dk1"/>
              </a:solidFill>
              <a:effectLst/>
              <a:latin typeface="+mn-lt"/>
              <a:ea typeface="+mn-ea"/>
              <a:cs typeface="+mn-cs"/>
            </a:rPr>
            <a:t> </a:t>
          </a:r>
        </a:p>
        <a:p>
          <a:r>
            <a:rPr lang="en-US" sz="1100" b="1" u="sng">
              <a:solidFill>
                <a:schemeClr val="dk1"/>
              </a:solidFill>
              <a:effectLst/>
              <a:latin typeface="+mn-lt"/>
              <a:ea typeface="+mn-ea"/>
              <a:cs typeface="+mn-cs"/>
            </a:rPr>
            <a:t>Bookings:</a:t>
          </a:r>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Inbound: </a:t>
          </a:r>
          <a:r>
            <a:rPr lang="en-US" sz="1100">
              <a:solidFill>
                <a:schemeClr val="dk1"/>
              </a:solidFill>
              <a:effectLst/>
              <a:latin typeface="+mn-lt"/>
              <a:ea typeface="+mn-ea"/>
              <a:cs typeface="+mn-cs"/>
            </a:rPr>
            <a:t>Leads are generated through digital demand gen efforts (e.g. organic leads coming through the company's website or blog posts). From there, an interested customer either evaluates a 14-day trial and purchases via a self-serve mechanism or engages with the company’s sales team. Drivers utilized to project new inbound bookings include (1) Total MQLs from website and blog posts, (2) MQL to Paying Conversion % and (3) Avg. Initial ARR. Upsell is forecasted by looking at historical upsell as a % of beginning ARR and extrapolated to future periods. </a:t>
          </a:r>
        </a:p>
        <a:p>
          <a:r>
            <a:rPr lang="en-US" sz="1100">
              <a:solidFill>
                <a:schemeClr val="dk1"/>
              </a:solidFill>
              <a:effectLst/>
              <a:latin typeface="+mn-lt"/>
              <a:ea typeface="+mn-ea"/>
              <a:cs typeface="+mn-cs"/>
            </a:rPr>
            <a:t> </a:t>
          </a:r>
        </a:p>
        <a:p>
          <a:r>
            <a:rPr lang="en-US" sz="1100" b="1">
              <a:solidFill>
                <a:schemeClr val="dk1"/>
              </a:solidFill>
              <a:effectLst/>
              <a:latin typeface="+mn-lt"/>
              <a:ea typeface="+mn-ea"/>
              <a:cs typeface="+mn-cs"/>
            </a:rPr>
            <a:t>Outbound: </a:t>
          </a:r>
          <a:r>
            <a:rPr lang="en-US" sz="1100">
              <a:solidFill>
                <a:schemeClr val="dk1"/>
              </a:solidFill>
              <a:effectLst/>
              <a:latin typeface="+mn-lt"/>
              <a:ea typeface="+mn-ea"/>
              <a:cs typeface="+mn-cs"/>
            </a:rPr>
            <a:t>Historically, the company had one class of account executives that would prospect into companies of all sizes and also work inbound deals that needed sales-assistance. For periods in the model prior to Q3’21, this single sales team was responsible for outbound bookings listed under both Enterprise and Commercial, as well as a portion of the inbound bookings that needed sales-assistance. </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The sales organization has since evolved into two separate teams (1) Enterprise and (2) Commercial. Enterprise customers are defined as customers with greater than 5,000 employees and commercial is defined as customers below that threshold. Upsell as a % of total ARR increases as "farming the customer base" becomes a focus in future periods and the CS functions scales. CS reps are assigned to customers and work alongside the sales reps to expand the customer spend over the lifetime of the contract.</a:t>
          </a:r>
        </a:p>
        <a:p>
          <a:r>
            <a:rPr lang="en-US" sz="1100">
              <a:solidFill>
                <a:schemeClr val="dk1"/>
              </a:solidFill>
              <a:effectLst/>
              <a:latin typeface="+mn-lt"/>
              <a:ea typeface="+mn-ea"/>
              <a:cs typeface="+mn-cs"/>
            </a:rPr>
            <a:t> </a:t>
          </a:r>
        </a:p>
        <a:p>
          <a:r>
            <a:rPr lang="en-US" sz="1100" b="1">
              <a:solidFill>
                <a:schemeClr val="dk1"/>
              </a:solidFill>
              <a:effectLst/>
              <a:latin typeface="+mn-lt"/>
              <a:ea typeface="+mn-ea"/>
              <a:cs typeface="+mn-cs"/>
            </a:rPr>
            <a:t>Enterprise: </a:t>
          </a:r>
          <a:r>
            <a:rPr lang="en-US" sz="1100">
              <a:solidFill>
                <a:schemeClr val="dk1"/>
              </a:solidFill>
              <a:effectLst/>
              <a:latin typeface="+mn-lt"/>
              <a:ea typeface="+mn-ea"/>
              <a:cs typeface="+mn-cs"/>
            </a:rPr>
            <a:t>Enterprise reps are a new function of the sales organization starting in the latter half of 2021 and onwards. Enterprise rep productivity is fulfilled by Outbound leads and also sales-assisted Inbound deals they touch. Enterprise reps own accounts in perpetuity and receive quota relief and commissions for any upsell. </a:t>
          </a:r>
        </a:p>
        <a:p>
          <a:r>
            <a:rPr lang="en-US" sz="1100">
              <a:solidFill>
                <a:schemeClr val="dk1"/>
              </a:solidFill>
              <a:effectLst/>
              <a:latin typeface="+mn-lt"/>
              <a:ea typeface="+mn-ea"/>
              <a:cs typeface="+mn-cs"/>
            </a:rPr>
            <a:t> </a:t>
          </a:r>
        </a:p>
        <a:p>
          <a:r>
            <a:rPr lang="en-US" sz="1100" b="1">
              <a:solidFill>
                <a:schemeClr val="dk1"/>
              </a:solidFill>
              <a:effectLst/>
              <a:latin typeface="+mn-lt"/>
              <a:ea typeface="+mn-ea"/>
              <a:cs typeface="+mn-cs"/>
            </a:rPr>
            <a:t>Commercial: </a:t>
          </a:r>
          <a:r>
            <a:rPr lang="en-US" sz="1100">
              <a:solidFill>
                <a:schemeClr val="dk1"/>
              </a:solidFill>
              <a:effectLst/>
              <a:latin typeface="+mn-lt"/>
              <a:ea typeface="+mn-ea"/>
              <a:cs typeface="+mn-cs"/>
            </a:rPr>
            <a:t>Account executives that focus on both small to mid-sized outbound opportunities and inbound sales-led transaction. Commercial reps own accounts they close for 1 year and receive quota relief and commissions for any upsell during that period. </a:t>
          </a:r>
        </a:p>
        <a:p>
          <a:r>
            <a:rPr lang="en-US" sz="1100">
              <a:solidFill>
                <a:schemeClr val="dk1"/>
              </a:solidFill>
              <a:effectLst/>
              <a:latin typeface="+mn-lt"/>
              <a:ea typeface="+mn-ea"/>
              <a:cs typeface="+mn-cs"/>
            </a:rPr>
            <a:t> </a:t>
          </a:r>
        </a:p>
        <a:p>
          <a:r>
            <a:rPr lang="en-US" sz="1100" b="1">
              <a:solidFill>
                <a:schemeClr val="dk1"/>
              </a:solidFill>
              <a:effectLst/>
              <a:latin typeface="+mn-lt"/>
              <a:ea typeface="+mn-ea"/>
              <a:cs typeface="+mn-cs"/>
            </a:rPr>
            <a:t>Tradeshow: </a:t>
          </a:r>
          <a:r>
            <a:rPr lang="en-US" sz="1100">
              <a:solidFill>
                <a:schemeClr val="dk1"/>
              </a:solidFill>
              <a:effectLst/>
              <a:latin typeface="+mn-lt"/>
              <a:ea typeface="+mn-ea"/>
              <a:cs typeface="+mn-cs"/>
            </a:rPr>
            <a:t>Tradeshow-generated leads have played an important part in winning some of LogRocket's largest customers (ARR spend with the company). LogRocket typically has success at tradeshows that attract engineering or product leaders like AWS Reinvent, Gartner ITExpo, and SaaStr Annual. Drivers used to project new tradeshow bookings include (1) # of events attended, (2) converted logos from events and (3) avg. initial ARR. Upsell is forecasted similarly to inbound and outbound.</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Most tradeshows in 2020 and 2021 were cancelled due to COVID. The model shows a conservative # of events in 2022, which may be higher if the COVID situation improves leading to more bookings in this category. </a:t>
          </a:r>
        </a:p>
        <a:p>
          <a:r>
            <a:rPr lang="en-US" sz="1100">
              <a:solidFill>
                <a:schemeClr val="dk1"/>
              </a:solidFill>
              <a:effectLst/>
              <a:latin typeface="+mn-lt"/>
              <a:ea typeface="+mn-ea"/>
              <a:cs typeface="+mn-cs"/>
            </a:rPr>
            <a:t> </a:t>
          </a:r>
        </a:p>
        <a:p>
          <a:r>
            <a:rPr lang="en-US" sz="1100" b="1" u="sng">
              <a:solidFill>
                <a:schemeClr val="dk1"/>
              </a:solidFill>
              <a:effectLst/>
              <a:latin typeface="+mn-lt"/>
              <a:ea typeface="+mn-ea"/>
              <a:cs typeface="+mn-cs"/>
            </a:rPr>
            <a:t>Revenue:</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Historical recognized revenue figures are derived from the customer revenue recognition schedule, by customer, which has slight variances to the P&amp;L. This is reconciled at the bottom of the Revenue Build tab.</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Projected revenue figures are based off the average of the last two quarters ending ARR divided by 4, implying that bookings are on average booked at the midpoint of the quarter.</a:t>
          </a:r>
        </a:p>
        <a:p>
          <a:r>
            <a:rPr lang="en-US" sz="1100">
              <a:solidFill>
                <a:schemeClr val="dk1"/>
              </a:solidFill>
              <a:effectLst/>
              <a:latin typeface="+mn-lt"/>
              <a:ea typeface="+mn-ea"/>
              <a:cs typeface="+mn-cs"/>
            </a:rPr>
            <a:t> </a:t>
          </a:r>
        </a:p>
        <a:p>
          <a:r>
            <a:rPr lang="en-US" sz="1100" b="1" u="sng">
              <a:solidFill>
                <a:schemeClr val="dk1"/>
              </a:solidFill>
              <a:effectLst/>
              <a:latin typeface="+mn-lt"/>
              <a:ea typeface="+mn-ea"/>
              <a:cs typeface="+mn-cs"/>
            </a:rPr>
            <a:t>Operating Expenses:</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The company's expense profile is largely headcount-driven. Expenses are broken out by headcount and non-headcount, with details around larger non-headcount costs broken out in more detail. Headcount expenses in the model are driven off number of employees per department and avg. headcount expense per head.</a:t>
          </a:r>
        </a:p>
        <a:p>
          <a:r>
            <a:rPr lang="en-US" sz="1100">
              <a:solidFill>
                <a:schemeClr val="dk1"/>
              </a:solidFill>
              <a:effectLst/>
              <a:latin typeface="+mn-lt"/>
              <a:ea typeface="+mn-ea"/>
              <a:cs typeface="+mn-cs"/>
            </a:rPr>
            <a:t>Non-headcount expenses were allocated based on annualized payrates for 2018 and 2019 where prior reporting methodologies did not allocate OpEx to specific departments. This allocation methodology has been checked by management and agree this is largely accurate.</a:t>
          </a:r>
        </a:p>
        <a:p>
          <a:r>
            <a:rPr lang="en-US" sz="1100">
              <a:solidFill>
                <a:schemeClr val="dk1"/>
              </a:solidFill>
              <a:effectLst/>
              <a:latin typeface="+mn-lt"/>
              <a:ea typeface="+mn-ea"/>
              <a:cs typeface="+mn-cs"/>
            </a:rPr>
            <a:t>Note historical R&amp;D and G&amp;A expense will differ from the financial data pack previously provided as some hosting costs were reclassified (corrected) from G&amp;A into R&amp;D.</a:t>
          </a:r>
        </a:p>
        <a:p>
          <a:r>
            <a:rPr lang="en-US" sz="1100">
              <a:solidFill>
                <a:schemeClr val="dk1"/>
              </a:solidFill>
              <a:effectLst/>
              <a:latin typeface="+mn-lt"/>
              <a:ea typeface="+mn-ea"/>
              <a:cs typeface="+mn-cs"/>
            </a:rPr>
            <a:t> </a:t>
          </a:r>
        </a:p>
        <a:p>
          <a:r>
            <a:rPr lang="en-US" sz="1100" b="1" u="sng">
              <a:solidFill>
                <a:schemeClr val="dk1"/>
              </a:solidFill>
              <a:effectLst/>
              <a:latin typeface="+mn-lt"/>
              <a:ea typeface="+mn-ea"/>
              <a:cs typeface="+mn-cs"/>
            </a:rPr>
            <a:t>Cash EBITDA and Cash Balances:</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Cash EBITDA has been calculated to better reflect the true cash burn of the company. It is calculated by adding change in deferred revenue to "EBITDA." Change in deferred revenue in the projected years is calculated by assuming a % of total new bookings are collected upfront but recognized in a later period. Historically the trends have been lumpy throughout the year due to the cadence of enterprise deals being booked. As the enterprise outbound team is further established, the model assumes this trend to be more consistent in the outward years.</a:t>
          </a:r>
        </a:p>
        <a:p>
          <a:r>
            <a:rPr lang="en-US" sz="1100">
              <a:solidFill>
                <a:schemeClr val="dk1"/>
              </a:solidFill>
              <a:effectLst/>
              <a:latin typeface="+mn-lt"/>
              <a:ea typeface="+mn-ea"/>
              <a:cs typeface="+mn-cs"/>
            </a:rPr>
            <a:t>The model projections are management's base growth case and results in a negative cash balance in CY2023E. This base case reflects the anticipated capital management would have raised in a Series C, absent an M&amp;A event.</a:t>
          </a:r>
        </a:p>
        <a:p>
          <a:r>
            <a:rPr lang="en-US" sz="1100">
              <a:solidFill>
                <a:schemeClr val="dk1"/>
              </a:solidFill>
              <a:effectLst/>
              <a:latin typeface="+mn-lt"/>
              <a:ea typeface="+mn-ea"/>
              <a:cs typeface="+mn-cs"/>
            </a:rPr>
            <a:t> </a:t>
          </a:r>
        </a:p>
        <a:p>
          <a:r>
            <a:rPr lang="en-US" sz="1100" b="1" u="sng">
              <a:solidFill>
                <a:schemeClr val="dk1"/>
              </a:solidFill>
              <a:effectLst/>
              <a:latin typeface="+mn-lt"/>
              <a:ea typeface="+mn-ea"/>
              <a:cs typeface="+mn-cs"/>
            </a:rPr>
            <a:t>Retention:</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Gross Retention for future periods is expected to increase as the customer mix shifts towards Commercial and Enterprise clients which exhibit higher historical retention rates. Note this model calculates retention rates using a quarterly methodology and results in slight differences compared to the LTM methodology used throughout the financial data pack.</a:t>
          </a:r>
        </a:p>
        <a:p>
          <a:r>
            <a:rPr lang="en-US" sz="1100">
              <a:solidFill>
                <a:schemeClr val="dk1"/>
              </a:solidFill>
              <a:effectLst/>
              <a:latin typeface="+mn-lt"/>
              <a:ea typeface="+mn-ea"/>
              <a:cs typeface="+mn-cs"/>
            </a:rPr>
            <a:t> </a:t>
          </a:r>
        </a:p>
        <a:p>
          <a:r>
            <a:rPr lang="en-US" sz="1100" b="1" u="sng">
              <a:solidFill>
                <a:schemeClr val="dk1"/>
              </a:solidFill>
              <a:effectLst/>
              <a:latin typeface="+mn-lt"/>
              <a:ea typeface="+mn-ea"/>
              <a:cs typeface="+mn-cs"/>
            </a:rPr>
            <a:t>Additional Notes:</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In Q2’20 the company redesigned their marketing website to better speak to commercial and enterprise customers. This caused a small reduction in total inbound MQLs, however it also led to significantly higher Avg. Initial ARR per new booking.</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The company expects low to moderate bookings growth in Q3’21 as some larger deals have already been pushed to Q4 due to summer slowness.</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9524</xdr:colOff>
      <xdr:row>7</xdr:row>
      <xdr:rowOff>95249</xdr:rowOff>
    </xdr:from>
    <xdr:to>
      <xdr:col>9</xdr:col>
      <xdr:colOff>457200</xdr:colOff>
      <xdr:row>25</xdr:row>
      <xdr:rowOff>133350</xdr:rowOff>
    </xdr:to>
    <xdr:graphicFrame macro="">
      <xdr:nvGraphicFramePr>
        <xdr:cNvPr id="2" name="Chart 1">
          <a:extLst>
            <a:ext uri="{FF2B5EF4-FFF2-40B4-BE49-F238E27FC236}">
              <a16:creationId xmlns:a16="http://schemas.microsoft.com/office/drawing/2014/main" id="{A34D505E-9E51-4A7C-A168-921ED81E6C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85725</xdr:colOff>
      <xdr:row>23</xdr:row>
      <xdr:rowOff>38100</xdr:rowOff>
    </xdr:from>
    <xdr:to>
      <xdr:col>20</xdr:col>
      <xdr:colOff>390525</xdr:colOff>
      <xdr:row>37</xdr:row>
      <xdr:rowOff>114300</xdr:rowOff>
    </xdr:to>
    <xdr:graphicFrame macro="">
      <xdr:nvGraphicFramePr>
        <xdr:cNvPr id="3" name="Chart 2">
          <a:extLst>
            <a:ext uri="{FF2B5EF4-FFF2-40B4-BE49-F238E27FC236}">
              <a16:creationId xmlns:a16="http://schemas.microsoft.com/office/drawing/2014/main" id="{7367506E-8205-4D0C-8B85-0F6E4CEA59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32</xdr:col>
      <xdr:colOff>742950</xdr:colOff>
      <xdr:row>14</xdr:row>
      <xdr:rowOff>42862</xdr:rowOff>
    </xdr:from>
    <xdr:to>
      <xdr:col>39</xdr:col>
      <xdr:colOff>285750</xdr:colOff>
      <xdr:row>28</xdr:row>
      <xdr:rowOff>119062</xdr:rowOff>
    </xdr:to>
    <xdr:graphicFrame macro="">
      <xdr:nvGraphicFramePr>
        <xdr:cNvPr id="4" name="Chart 3">
          <a:extLst>
            <a:ext uri="{FF2B5EF4-FFF2-40B4-BE49-F238E27FC236}">
              <a16:creationId xmlns:a16="http://schemas.microsoft.com/office/drawing/2014/main" id="{6797316D-41BD-404B-B441-8F79454D82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28575</xdr:colOff>
      <xdr:row>51</xdr:row>
      <xdr:rowOff>12700</xdr:rowOff>
    </xdr:from>
    <xdr:to>
      <xdr:col>17</xdr:col>
      <xdr:colOff>177800</xdr:colOff>
      <xdr:row>76</xdr:row>
      <xdr:rowOff>107950</xdr:rowOff>
    </xdr:to>
    <xdr:graphicFrame macro="">
      <xdr:nvGraphicFramePr>
        <xdr:cNvPr id="5" name="Chart 4">
          <a:extLst>
            <a:ext uri="{FF2B5EF4-FFF2-40B4-BE49-F238E27FC236}">
              <a16:creationId xmlns:a16="http://schemas.microsoft.com/office/drawing/2014/main" id="{45AF0C9C-E1D6-4FC5-9A05-D3D49E5682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41</xdr:col>
      <xdr:colOff>871537</xdr:colOff>
      <xdr:row>17</xdr:row>
      <xdr:rowOff>66675</xdr:rowOff>
    </xdr:from>
    <xdr:to>
      <xdr:col>45</xdr:col>
      <xdr:colOff>409575</xdr:colOff>
      <xdr:row>34</xdr:row>
      <xdr:rowOff>161925</xdr:rowOff>
    </xdr:to>
    <xdr:graphicFrame macro="">
      <xdr:nvGraphicFramePr>
        <xdr:cNvPr id="6" name="Chart 5">
          <a:extLst>
            <a:ext uri="{FF2B5EF4-FFF2-40B4-BE49-F238E27FC236}">
              <a16:creationId xmlns:a16="http://schemas.microsoft.com/office/drawing/2014/main" id="{96C1FB07-E679-4437-9F81-D092345F47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45</xdr:col>
      <xdr:colOff>457200</xdr:colOff>
      <xdr:row>17</xdr:row>
      <xdr:rowOff>76200</xdr:rowOff>
    </xdr:from>
    <xdr:to>
      <xdr:col>49</xdr:col>
      <xdr:colOff>428626</xdr:colOff>
      <xdr:row>34</xdr:row>
      <xdr:rowOff>171450</xdr:rowOff>
    </xdr:to>
    <xdr:graphicFrame macro="">
      <xdr:nvGraphicFramePr>
        <xdr:cNvPr id="7" name="Chart 6">
          <a:extLst>
            <a:ext uri="{FF2B5EF4-FFF2-40B4-BE49-F238E27FC236}">
              <a16:creationId xmlns:a16="http://schemas.microsoft.com/office/drawing/2014/main" id="{F12CF5DA-DDE9-417F-83C2-93443B62B2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41</xdr:col>
      <xdr:colOff>866775</xdr:colOff>
      <xdr:row>35</xdr:row>
      <xdr:rowOff>85725</xdr:rowOff>
    </xdr:from>
    <xdr:to>
      <xdr:col>45</xdr:col>
      <xdr:colOff>352425</xdr:colOff>
      <xdr:row>53</xdr:row>
      <xdr:rowOff>114300</xdr:rowOff>
    </xdr:to>
    <xdr:graphicFrame macro="">
      <xdr:nvGraphicFramePr>
        <xdr:cNvPr id="8" name="Chart 7">
          <a:extLst>
            <a:ext uri="{FF2B5EF4-FFF2-40B4-BE49-F238E27FC236}">
              <a16:creationId xmlns:a16="http://schemas.microsoft.com/office/drawing/2014/main" id="{1F348EF7-D8CC-44BA-ACA4-C7F6BA1A90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333375</xdr:colOff>
      <xdr:row>20</xdr:row>
      <xdr:rowOff>180975</xdr:rowOff>
    </xdr:from>
    <xdr:to>
      <xdr:col>20</xdr:col>
      <xdr:colOff>28575</xdr:colOff>
      <xdr:row>35</xdr:row>
      <xdr:rowOff>66675</xdr:rowOff>
    </xdr:to>
    <xdr:graphicFrame macro="">
      <xdr:nvGraphicFramePr>
        <xdr:cNvPr id="9" name="Chart 8">
          <a:extLst>
            <a:ext uri="{FF2B5EF4-FFF2-40B4-BE49-F238E27FC236}">
              <a16:creationId xmlns:a16="http://schemas.microsoft.com/office/drawing/2014/main" id="{CF4153A3-3D0D-4F38-8DB9-45165727F2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73</xdr:col>
      <xdr:colOff>1419224</xdr:colOff>
      <xdr:row>28</xdr:row>
      <xdr:rowOff>104774</xdr:rowOff>
    </xdr:from>
    <xdr:to>
      <xdr:col>81</xdr:col>
      <xdr:colOff>628649</xdr:colOff>
      <xdr:row>43</xdr:row>
      <xdr:rowOff>57149</xdr:rowOff>
    </xdr:to>
    <xdr:graphicFrame macro="">
      <xdr:nvGraphicFramePr>
        <xdr:cNvPr id="10" name="Chart 9">
          <a:extLst>
            <a:ext uri="{FF2B5EF4-FFF2-40B4-BE49-F238E27FC236}">
              <a16:creationId xmlns:a16="http://schemas.microsoft.com/office/drawing/2014/main" id="{E7869777-74C6-4FED-91B8-17ED8D54AF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84</xdr:col>
      <xdr:colOff>3175</xdr:colOff>
      <xdr:row>19</xdr:row>
      <xdr:rowOff>111125</xdr:rowOff>
    </xdr:from>
    <xdr:to>
      <xdr:col>87</xdr:col>
      <xdr:colOff>609600</xdr:colOff>
      <xdr:row>33</xdr:row>
      <xdr:rowOff>85725</xdr:rowOff>
    </xdr:to>
    <xdr:graphicFrame macro="">
      <xdr:nvGraphicFramePr>
        <xdr:cNvPr id="11" name="Chart 10">
          <a:extLst>
            <a:ext uri="{FF2B5EF4-FFF2-40B4-BE49-F238E27FC236}">
              <a16:creationId xmlns:a16="http://schemas.microsoft.com/office/drawing/2014/main" id="{F2094C7B-B80C-48F9-B897-2EBB8E55DB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87</xdr:col>
      <xdr:colOff>711200</xdr:colOff>
      <xdr:row>19</xdr:row>
      <xdr:rowOff>123824</xdr:rowOff>
    </xdr:from>
    <xdr:to>
      <xdr:col>93</xdr:col>
      <xdr:colOff>9525</xdr:colOff>
      <xdr:row>33</xdr:row>
      <xdr:rowOff>69849</xdr:rowOff>
    </xdr:to>
    <xdr:graphicFrame macro="">
      <xdr:nvGraphicFramePr>
        <xdr:cNvPr id="12" name="Chart 11">
          <a:extLst>
            <a:ext uri="{FF2B5EF4-FFF2-40B4-BE49-F238E27FC236}">
              <a16:creationId xmlns:a16="http://schemas.microsoft.com/office/drawing/2014/main" id="{B9C43CB3-D4D4-4260-8B1E-7603592C7C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155</xdr:col>
      <xdr:colOff>138112</xdr:colOff>
      <xdr:row>27</xdr:row>
      <xdr:rowOff>95250</xdr:rowOff>
    </xdr:from>
    <xdr:to>
      <xdr:col>161</xdr:col>
      <xdr:colOff>195262</xdr:colOff>
      <xdr:row>41</xdr:row>
      <xdr:rowOff>171450</xdr:rowOff>
    </xdr:to>
    <xdr:graphicFrame macro="">
      <xdr:nvGraphicFramePr>
        <xdr:cNvPr id="13" name="Chart 12">
          <a:extLst>
            <a:ext uri="{FF2B5EF4-FFF2-40B4-BE49-F238E27FC236}">
              <a16:creationId xmlns:a16="http://schemas.microsoft.com/office/drawing/2014/main" id="{9F3F8AEA-0D6F-4B83-A90A-762C870C67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205</xdr:col>
      <xdr:colOff>157162</xdr:colOff>
      <xdr:row>43</xdr:row>
      <xdr:rowOff>171450</xdr:rowOff>
    </xdr:from>
    <xdr:to>
      <xdr:col>215</xdr:col>
      <xdr:colOff>109537</xdr:colOff>
      <xdr:row>58</xdr:row>
      <xdr:rowOff>171450</xdr:rowOff>
    </xdr:to>
    <xdr:graphicFrame macro="">
      <xdr:nvGraphicFramePr>
        <xdr:cNvPr id="14" name="Chart 13">
          <a:extLst>
            <a:ext uri="{FF2B5EF4-FFF2-40B4-BE49-F238E27FC236}">
              <a16:creationId xmlns:a16="http://schemas.microsoft.com/office/drawing/2014/main" id="{D43A638C-4814-4E59-B1D0-E13192B56E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9524</xdr:colOff>
      <xdr:row>7</xdr:row>
      <xdr:rowOff>95249</xdr:rowOff>
    </xdr:from>
    <xdr:to>
      <xdr:col>9</xdr:col>
      <xdr:colOff>457200</xdr:colOff>
      <xdr:row>25</xdr:row>
      <xdr:rowOff>133350</xdr:rowOff>
    </xdr:to>
    <xdr:graphicFrame macro="">
      <xdr:nvGraphicFramePr>
        <xdr:cNvPr id="2" name="Chart 1">
          <a:extLst>
            <a:ext uri="{FF2B5EF4-FFF2-40B4-BE49-F238E27FC236}">
              <a16:creationId xmlns:a16="http://schemas.microsoft.com/office/drawing/2014/main" id="{902C39C9-3781-42C0-9EAD-87AEE99A0A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85725</xdr:colOff>
      <xdr:row>23</xdr:row>
      <xdr:rowOff>38100</xdr:rowOff>
    </xdr:from>
    <xdr:to>
      <xdr:col>20</xdr:col>
      <xdr:colOff>390525</xdr:colOff>
      <xdr:row>37</xdr:row>
      <xdr:rowOff>114300</xdr:rowOff>
    </xdr:to>
    <xdr:graphicFrame macro="">
      <xdr:nvGraphicFramePr>
        <xdr:cNvPr id="4" name="Chart 3">
          <a:extLst>
            <a:ext uri="{FF2B5EF4-FFF2-40B4-BE49-F238E27FC236}">
              <a16:creationId xmlns:a16="http://schemas.microsoft.com/office/drawing/2014/main" id="{13CFAEE9-CE33-4958-86FB-77880F1140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32</xdr:col>
      <xdr:colOff>742950</xdr:colOff>
      <xdr:row>14</xdr:row>
      <xdr:rowOff>42862</xdr:rowOff>
    </xdr:from>
    <xdr:to>
      <xdr:col>39</xdr:col>
      <xdr:colOff>285750</xdr:colOff>
      <xdr:row>28</xdr:row>
      <xdr:rowOff>119062</xdr:rowOff>
    </xdr:to>
    <xdr:graphicFrame macro="">
      <xdr:nvGraphicFramePr>
        <xdr:cNvPr id="5" name="Chart 4">
          <a:extLst>
            <a:ext uri="{FF2B5EF4-FFF2-40B4-BE49-F238E27FC236}">
              <a16:creationId xmlns:a16="http://schemas.microsoft.com/office/drawing/2014/main" id="{A087D2CF-E13E-49EC-BFD7-775D60656A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28575</xdr:colOff>
      <xdr:row>51</xdr:row>
      <xdr:rowOff>12700</xdr:rowOff>
    </xdr:from>
    <xdr:to>
      <xdr:col>17</xdr:col>
      <xdr:colOff>177800</xdr:colOff>
      <xdr:row>76</xdr:row>
      <xdr:rowOff>107950</xdr:rowOff>
    </xdr:to>
    <xdr:graphicFrame macro="">
      <xdr:nvGraphicFramePr>
        <xdr:cNvPr id="8" name="Chart 7">
          <a:extLst>
            <a:ext uri="{FF2B5EF4-FFF2-40B4-BE49-F238E27FC236}">
              <a16:creationId xmlns:a16="http://schemas.microsoft.com/office/drawing/2014/main" id="{368B4BCF-106A-9A42-911B-4EC1544394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41</xdr:col>
      <xdr:colOff>871537</xdr:colOff>
      <xdr:row>17</xdr:row>
      <xdr:rowOff>66675</xdr:rowOff>
    </xdr:from>
    <xdr:to>
      <xdr:col>45</xdr:col>
      <xdr:colOff>409575</xdr:colOff>
      <xdr:row>34</xdr:row>
      <xdr:rowOff>161925</xdr:rowOff>
    </xdr:to>
    <xdr:graphicFrame macro="">
      <xdr:nvGraphicFramePr>
        <xdr:cNvPr id="3" name="Chart 2">
          <a:extLst>
            <a:ext uri="{FF2B5EF4-FFF2-40B4-BE49-F238E27FC236}">
              <a16:creationId xmlns:a16="http://schemas.microsoft.com/office/drawing/2014/main" id="{8E15EBD0-C07C-44AC-9E36-144D1DF3B2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45</xdr:col>
      <xdr:colOff>457200</xdr:colOff>
      <xdr:row>17</xdr:row>
      <xdr:rowOff>76200</xdr:rowOff>
    </xdr:from>
    <xdr:to>
      <xdr:col>49</xdr:col>
      <xdr:colOff>428626</xdr:colOff>
      <xdr:row>34</xdr:row>
      <xdr:rowOff>171450</xdr:rowOff>
    </xdr:to>
    <xdr:graphicFrame macro="">
      <xdr:nvGraphicFramePr>
        <xdr:cNvPr id="6" name="Chart 5">
          <a:extLst>
            <a:ext uri="{FF2B5EF4-FFF2-40B4-BE49-F238E27FC236}">
              <a16:creationId xmlns:a16="http://schemas.microsoft.com/office/drawing/2014/main" id="{3EB2D032-C045-4411-B8C6-C3B3AAD9A2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41</xdr:col>
      <xdr:colOff>763293</xdr:colOff>
      <xdr:row>38</xdr:row>
      <xdr:rowOff>151577</xdr:rowOff>
    </xdr:from>
    <xdr:to>
      <xdr:col>45</xdr:col>
      <xdr:colOff>248943</xdr:colOff>
      <xdr:row>57</xdr:row>
      <xdr:rowOff>62558</xdr:rowOff>
    </xdr:to>
    <xdr:graphicFrame macro="">
      <xdr:nvGraphicFramePr>
        <xdr:cNvPr id="9" name="Chart 8">
          <a:extLst>
            <a:ext uri="{FF2B5EF4-FFF2-40B4-BE49-F238E27FC236}">
              <a16:creationId xmlns:a16="http://schemas.microsoft.com/office/drawing/2014/main" id="{986DD032-D3F5-41F8-ACD7-22EB763B96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333375</xdr:colOff>
      <xdr:row>20</xdr:row>
      <xdr:rowOff>180975</xdr:rowOff>
    </xdr:from>
    <xdr:to>
      <xdr:col>20</xdr:col>
      <xdr:colOff>28575</xdr:colOff>
      <xdr:row>35</xdr:row>
      <xdr:rowOff>66675</xdr:rowOff>
    </xdr:to>
    <xdr:graphicFrame macro="">
      <xdr:nvGraphicFramePr>
        <xdr:cNvPr id="10" name="Chart 9">
          <a:extLst>
            <a:ext uri="{FF2B5EF4-FFF2-40B4-BE49-F238E27FC236}">
              <a16:creationId xmlns:a16="http://schemas.microsoft.com/office/drawing/2014/main" id="{9116C4FF-185E-48AC-8EAC-CFE7E70D7C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73</xdr:col>
      <xdr:colOff>1419224</xdr:colOff>
      <xdr:row>28</xdr:row>
      <xdr:rowOff>104774</xdr:rowOff>
    </xdr:from>
    <xdr:to>
      <xdr:col>81</xdr:col>
      <xdr:colOff>628649</xdr:colOff>
      <xdr:row>43</xdr:row>
      <xdr:rowOff>57149</xdr:rowOff>
    </xdr:to>
    <xdr:graphicFrame macro="">
      <xdr:nvGraphicFramePr>
        <xdr:cNvPr id="7" name="Chart 6">
          <a:extLst>
            <a:ext uri="{FF2B5EF4-FFF2-40B4-BE49-F238E27FC236}">
              <a16:creationId xmlns:a16="http://schemas.microsoft.com/office/drawing/2014/main" id="{FB2F4648-0B44-4F97-B7D9-08D3928930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84</xdr:col>
      <xdr:colOff>3175</xdr:colOff>
      <xdr:row>19</xdr:row>
      <xdr:rowOff>111125</xdr:rowOff>
    </xdr:from>
    <xdr:to>
      <xdr:col>87</xdr:col>
      <xdr:colOff>609600</xdr:colOff>
      <xdr:row>33</xdr:row>
      <xdr:rowOff>85725</xdr:rowOff>
    </xdr:to>
    <xdr:graphicFrame macro="">
      <xdr:nvGraphicFramePr>
        <xdr:cNvPr id="11" name="Chart 10">
          <a:extLst>
            <a:ext uri="{FF2B5EF4-FFF2-40B4-BE49-F238E27FC236}">
              <a16:creationId xmlns:a16="http://schemas.microsoft.com/office/drawing/2014/main" id="{414ED097-F8D8-554B-802C-09E3519E36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87</xdr:col>
      <xdr:colOff>711200</xdr:colOff>
      <xdr:row>19</xdr:row>
      <xdr:rowOff>123824</xdr:rowOff>
    </xdr:from>
    <xdr:to>
      <xdr:col>93</xdr:col>
      <xdr:colOff>9525</xdr:colOff>
      <xdr:row>33</xdr:row>
      <xdr:rowOff>69849</xdr:rowOff>
    </xdr:to>
    <xdr:graphicFrame macro="">
      <xdr:nvGraphicFramePr>
        <xdr:cNvPr id="12" name="Chart 11">
          <a:extLst>
            <a:ext uri="{FF2B5EF4-FFF2-40B4-BE49-F238E27FC236}">
              <a16:creationId xmlns:a16="http://schemas.microsoft.com/office/drawing/2014/main" id="{FA2B754A-6BBE-AC43-9EB0-76806F3AA1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155</xdr:col>
      <xdr:colOff>138112</xdr:colOff>
      <xdr:row>27</xdr:row>
      <xdr:rowOff>95250</xdr:rowOff>
    </xdr:from>
    <xdr:to>
      <xdr:col>161</xdr:col>
      <xdr:colOff>195262</xdr:colOff>
      <xdr:row>41</xdr:row>
      <xdr:rowOff>171450</xdr:rowOff>
    </xdr:to>
    <xdr:graphicFrame macro="">
      <xdr:nvGraphicFramePr>
        <xdr:cNvPr id="13" name="Chart 12">
          <a:extLst>
            <a:ext uri="{FF2B5EF4-FFF2-40B4-BE49-F238E27FC236}">
              <a16:creationId xmlns:a16="http://schemas.microsoft.com/office/drawing/2014/main" id="{A544BA88-A4F3-4DDD-AA9D-83D421C5E1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215</xdr:col>
      <xdr:colOff>52249</xdr:colOff>
      <xdr:row>49</xdr:row>
      <xdr:rowOff>165928</xdr:rowOff>
    </xdr:from>
    <xdr:to>
      <xdr:col>227</xdr:col>
      <xdr:colOff>4624</xdr:colOff>
      <xdr:row>65</xdr:row>
      <xdr:rowOff>22362</xdr:rowOff>
    </xdr:to>
    <xdr:graphicFrame macro="">
      <xdr:nvGraphicFramePr>
        <xdr:cNvPr id="14" name="Chart 13">
          <a:extLst>
            <a:ext uri="{FF2B5EF4-FFF2-40B4-BE49-F238E27FC236}">
              <a16:creationId xmlns:a16="http://schemas.microsoft.com/office/drawing/2014/main" id="{6F7C9AEB-D6DB-4569-BCB8-4F2C8A152A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Randy Warren" id="{3501B62A-4C55-418F-99AC-F8A5FDD705F4}" userId="S::randy@pendo.io::05a8fbf5-a4d7-4065-b1dc-72a5384e892a" providerId="AD"/>
</personList>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Pieter/Downloads/visible_explores%20arr_transactions%202021-09-18T1508.csv"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ieter" refreshedDate="44457.631558680558" createdVersion="7" refreshedVersion="7" minRefreshableVersion="3" recordCount="1850" xr:uid="{ABF12266-E159-48B8-A4B3-A8516EF0A392}">
  <cacheSource type="worksheet">
    <worksheetSource ref="A1:I1851" sheet="visible_explores arr_transactio" r:id="rId2"/>
  </cacheSource>
  <cacheFields count="11">
    <cacheField name="Date Fiscal Quarter" numFmtId="0">
      <sharedItems count="28">
        <s v="FY2015-Q4"/>
        <s v="FY2016-Q1"/>
        <s v="FY2016-Q2"/>
        <s v="FY2016-Q3"/>
        <s v="FY2016-Q4"/>
        <s v="FY2017-Q1"/>
        <s v="FY2017-Q2"/>
        <s v="FY2017-Q3"/>
        <s v="FY2017-Q4"/>
        <s v="FY2018-Q1"/>
        <s v="FY2018-Q2"/>
        <s v="FY2018-Q3"/>
        <s v="FY2018-Q4"/>
        <s v="FY2019-Q1"/>
        <s v="FY2019-Q2"/>
        <s v="FY2019-Q3"/>
        <s v="FY2019-Q4"/>
        <s v="FY2020-Q1"/>
        <s v="FY2020-Q2"/>
        <s v="FY2020-Q3"/>
        <s v="FY2020-Q4"/>
        <s v="FY2021-Q1"/>
        <s v="FY2021-Q2"/>
        <s v="FY2021-Q3"/>
        <s v="FY2021-Q4"/>
        <s v="FY2022-Q1"/>
        <s v="FY2022-Q2"/>
        <s v="FY2022-Q3"/>
      </sharedItems>
    </cacheField>
    <cacheField name="Close Date" numFmtId="14">
      <sharedItems containsSemiMixedTypes="0" containsNonDate="0" containsDate="1" containsString="0" minDate="2014-11-05T00:00:00" maxDate="2021-09-18T00:00:00" count="1347">
        <d v="2014-11-05T00:00:00"/>
        <d v="2014-12-10T00:00:00"/>
        <d v="2014-12-18T00:00:00"/>
        <d v="2014-12-23T00:00:00"/>
        <d v="2015-01-02T00:00:00"/>
        <d v="2015-01-05T00:00:00"/>
        <d v="2015-01-12T00:00:00"/>
        <d v="2015-01-23T00:00:00"/>
        <d v="2015-02-11T00:00:00"/>
        <d v="2015-03-06T00:00:00"/>
        <d v="2015-03-10T00:00:00"/>
        <d v="2015-03-16T00:00:00"/>
        <d v="2015-03-18T00:00:00"/>
        <d v="2015-03-26T00:00:00"/>
        <d v="2015-03-27T00:00:00"/>
        <d v="2015-03-31T00:00:00"/>
        <d v="2015-04-14T00:00:00"/>
        <d v="2015-04-20T00:00:00"/>
        <d v="2015-04-30T00:00:00"/>
        <d v="2015-06-08T00:00:00"/>
        <d v="2015-07-30T00:00:00"/>
        <d v="2015-05-11T00:00:00"/>
        <d v="2015-05-27T00:00:00"/>
        <d v="2015-05-28T00:00:00"/>
        <d v="2015-06-01T00:00:00"/>
        <d v="2015-06-16T00:00:00"/>
        <d v="2015-06-22T00:00:00"/>
        <d v="2015-06-26T00:00:00"/>
        <d v="2015-06-29T00:00:00"/>
        <d v="2015-06-30T00:00:00"/>
        <d v="2015-07-01T00:00:00"/>
        <d v="2015-07-24T00:00:00"/>
        <d v="2015-07-27T00:00:00"/>
        <d v="2015-07-31T00:00:00"/>
        <d v="2015-08-22T00:00:00"/>
        <d v="2015-10-31T00:00:00"/>
        <d v="2015-08-31T00:00:00"/>
        <d v="2015-09-14T00:00:00"/>
        <d v="2015-10-13T00:00:00"/>
        <d v="2015-08-07T00:00:00"/>
        <d v="2015-08-10T00:00:00"/>
        <d v="2015-08-18T00:00:00"/>
        <d v="2015-08-20T00:00:00"/>
        <d v="2015-08-25T00:00:00"/>
        <d v="2015-09-01T00:00:00"/>
        <d v="2015-09-17T00:00:00"/>
        <d v="2015-09-22T00:00:00"/>
        <d v="2015-09-24T00:00:00"/>
        <d v="2015-09-27T00:00:00"/>
        <d v="2015-09-28T00:00:00"/>
        <d v="2015-09-29T00:00:00"/>
        <d v="2015-09-30T00:00:00"/>
        <d v="2015-10-15T00:00:00"/>
        <d v="2015-10-28T00:00:00"/>
        <d v="2016-01-15T00:00:00"/>
        <d v="2015-11-03T00:00:00"/>
        <d v="2015-11-18T00:00:00"/>
        <d v="2015-12-10T00:00:00"/>
        <d v="2015-12-16T00:00:00"/>
        <d v="2015-12-18T00:00:00"/>
        <d v="2016-01-01T00:00:00"/>
        <d v="2016-01-30T00:00:00"/>
        <d v="2015-11-06T00:00:00"/>
        <d v="2015-11-19T00:00:00"/>
        <d v="2015-11-24T00:00:00"/>
        <d v="2015-11-30T00:00:00"/>
        <d v="2015-12-01T00:00:00"/>
        <d v="2015-12-11T00:00:00"/>
        <d v="2015-12-14T00:00:00"/>
        <d v="2015-12-17T00:00:00"/>
        <d v="2015-12-22T00:00:00"/>
        <d v="2015-12-23T00:00:00"/>
        <d v="2015-12-26T00:00:00"/>
        <d v="2015-12-31T00:00:00"/>
        <d v="2016-01-06T00:00:00"/>
        <d v="2016-01-22T00:00:00"/>
        <d v="2016-01-27T00:00:00"/>
        <d v="2016-01-29T00:00:00"/>
        <d v="2016-01-31T00:00:00"/>
        <d v="2016-03-10T00:00:00"/>
        <d v="2016-02-08T00:00:00"/>
        <d v="2016-02-01T00:00:00"/>
        <d v="2016-02-06T00:00:00"/>
        <d v="2016-03-01T00:00:00"/>
        <d v="2016-03-03T00:00:00"/>
        <d v="2016-03-04T00:00:00"/>
        <d v="2016-03-14T00:00:00"/>
        <d v="2016-03-30T00:00:00"/>
        <d v="2016-03-31T00:00:00"/>
        <d v="2016-04-01T00:00:00"/>
        <d v="2016-04-14T00:00:00"/>
        <d v="2016-04-25T00:00:00"/>
        <d v="2016-04-28T00:00:00"/>
        <d v="2016-04-29T00:00:00"/>
        <d v="2016-02-02T00:00:00"/>
        <d v="2016-02-10T00:00:00"/>
        <d v="2016-02-15T00:00:00"/>
        <d v="2016-02-18T00:00:00"/>
        <d v="2016-02-22T00:00:00"/>
        <d v="2016-02-23T00:00:00"/>
        <d v="2016-02-27T00:00:00"/>
        <d v="2016-02-29T00:00:00"/>
        <d v="2016-03-02T00:00:00"/>
        <d v="2016-03-15T00:00:00"/>
        <d v="2016-03-17T00:00:00"/>
        <d v="2016-03-23T00:00:00"/>
        <d v="2016-03-24T00:00:00"/>
        <d v="2016-03-29T00:00:00"/>
        <d v="2016-04-13T00:00:00"/>
        <d v="2016-04-15T00:00:00"/>
        <d v="2016-04-18T00:00:00"/>
        <d v="2016-04-20T00:00:00"/>
        <d v="2016-04-21T00:00:00"/>
        <d v="2016-04-23T00:00:00"/>
        <d v="2016-04-26T00:00:00"/>
        <d v="2016-04-27T00:00:00"/>
        <d v="2016-04-30T00:00:00"/>
        <d v="2016-05-10T00:00:00"/>
        <d v="2016-07-06T00:00:00"/>
        <d v="2016-05-04T00:00:00"/>
        <d v="2016-05-25T00:00:00"/>
        <d v="2016-06-01T00:00:00"/>
        <d v="2016-06-02T00:00:00"/>
        <d v="2016-06-21T00:00:00"/>
        <d v="2016-06-22T00:00:00"/>
        <d v="2016-06-24T00:00:00"/>
        <d v="2016-07-01T00:00:00"/>
        <d v="2016-07-05T00:00:00"/>
        <d v="2016-07-08T00:00:00"/>
        <d v="2016-07-21T00:00:00"/>
        <d v="2016-07-29T00:00:00"/>
        <d v="2016-05-02T00:00:00"/>
        <d v="2016-05-19T00:00:00"/>
        <d v="2016-05-23T00:00:00"/>
        <d v="2016-05-26T00:00:00"/>
        <d v="2016-05-31T00:00:00"/>
        <d v="2016-06-07T00:00:00"/>
        <d v="2016-06-08T00:00:00"/>
        <d v="2016-06-10T00:00:00"/>
        <d v="2016-06-13T00:00:00"/>
        <d v="2016-06-16T00:00:00"/>
        <d v="2016-06-17T00:00:00"/>
        <d v="2016-06-20T00:00:00"/>
        <d v="2016-06-29T00:00:00"/>
        <d v="2016-06-30T00:00:00"/>
        <d v="2016-07-13T00:00:00"/>
        <d v="2016-07-18T00:00:00"/>
        <d v="2016-07-24T00:00:00"/>
        <d v="2016-07-25T00:00:00"/>
        <d v="2016-07-28T00:00:00"/>
        <d v="2016-08-05T00:00:00"/>
        <d v="2016-08-07T00:00:00"/>
        <d v="2016-09-01T00:00:00"/>
        <d v="2016-09-30T00:00:00"/>
        <d v="2016-10-01T00:00:00"/>
        <d v="2016-10-31T00:00:00"/>
        <d v="2016-08-01T00:00:00"/>
        <d v="2016-08-17T00:00:00"/>
        <d v="2016-08-22T00:00:00"/>
        <d v="2016-08-23T00:00:00"/>
        <d v="2016-08-26T00:00:00"/>
        <d v="2016-08-31T00:00:00"/>
        <d v="2016-09-03T00:00:00"/>
        <d v="2016-09-13T00:00:00"/>
        <d v="2016-09-22T00:00:00"/>
        <d v="2016-09-28T00:00:00"/>
        <d v="2016-10-05T00:00:00"/>
        <d v="2016-10-10T00:00:00"/>
        <d v="2016-10-28T00:00:00"/>
        <d v="2016-08-18T00:00:00"/>
        <d v="2016-08-25T00:00:00"/>
        <d v="2016-08-29T00:00:00"/>
        <d v="2016-08-30T00:00:00"/>
        <d v="2016-09-06T00:00:00"/>
        <d v="2016-09-09T00:00:00"/>
        <d v="2016-09-15T00:00:00"/>
        <d v="2016-09-19T00:00:00"/>
        <d v="2016-09-20T00:00:00"/>
        <d v="2016-09-23T00:00:00"/>
        <d v="2016-10-11T00:00:00"/>
        <d v="2016-10-13T00:00:00"/>
        <d v="2016-10-19T00:00:00"/>
        <d v="2016-10-20T00:00:00"/>
        <d v="2016-10-21T00:00:00"/>
        <d v="2016-10-24T00:00:00"/>
        <d v="2016-10-25T00:00:00"/>
        <d v="2016-10-26T00:00:00"/>
        <d v="2016-10-27T00:00:00"/>
        <d v="2016-12-01T00:00:00"/>
        <d v="2016-11-30T00:00:00"/>
        <d v="2016-12-18T00:00:00"/>
        <d v="2016-12-21T00:00:00"/>
        <d v="2016-12-26T00:00:00"/>
        <d v="2016-12-31T00:00:00"/>
        <d v="2017-01-01T00:00:00"/>
        <d v="2017-01-15T00:00:00"/>
        <d v="2017-01-31T00:00:00"/>
        <d v="2017-01-10T00:00:00"/>
        <d v="2016-11-10T00:00:00"/>
        <d v="2016-11-29T00:00:00"/>
        <d v="2016-12-27T00:00:00"/>
        <d v="2017-01-04T00:00:00"/>
        <d v="2017-01-05T00:00:00"/>
        <d v="2017-01-06T00:00:00"/>
        <d v="2017-01-18T00:00:00"/>
        <d v="2017-01-30T00:00:00"/>
        <d v="2016-11-08T00:00:00"/>
        <d v="2016-11-14T00:00:00"/>
        <d v="2016-11-16T00:00:00"/>
        <d v="2016-11-21T00:00:00"/>
        <d v="2016-12-06T00:00:00"/>
        <d v="2016-12-16T00:00:00"/>
        <d v="2016-12-19T00:00:00"/>
        <d v="2016-12-20T00:00:00"/>
        <d v="2016-12-22T00:00:00"/>
        <d v="2016-12-23T00:00:00"/>
        <d v="2016-12-28T00:00:00"/>
        <d v="2016-12-30T00:00:00"/>
        <d v="2017-01-03T00:00:00"/>
        <d v="2017-01-17T00:00:00"/>
        <d v="2017-01-20T00:00:00"/>
        <d v="2017-01-23T00:00:00"/>
        <d v="2017-01-24T00:00:00"/>
        <d v="2017-01-25T00:00:00"/>
        <d v="2017-01-26T00:00:00"/>
        <d v="2017-01-27T00:00:00"/>
        <d v="2017-01-28T00:00:00"/>
        <d v="2017-02-01T00:00:00"/>
        <d v="2017-03-01T00:00:00"/>
        <d v="2017-03-10T00:00:00"/>
        <d v="2017-03-18T00:00:00"/>
        <d v="2017-03-27T00:00:00"/>
        <d v="2017-03-31T00:00:00"/>
        <d v="2017-04-25T00:00:00"/>
        <d v="2017-04-26T00:00:00"/>
        <d v="2017-04-30T00:00:00"/>
        <d v="2017-03-15T00:00:00"/>
        <d v="2017-04-07T00:00:00"/>
        <d v="2017-02-02T00:00:00"/>
        <d v="2017-02-08T00:00:00"/>
        <d v="2017-02-16T00:00:00"/>
        <d v="2017-02-22T00:00:00"/>
        <d v="2017-03-08T00:00:00"/>
        <d v="2017-03-09T00:00:00"/>
        <d v="2017-03-11T00:00:00"/>
        <d v="2017-03-16T00:00:00"/>
        <d v="2017-03-20T00:00:00"/>
        <d v="2017-03-21T00:00:00"/>
        <d v="2017-03-22T00:00:00"/>
        <d v="2017-03-23T00:00:00"/>
        <d v="2017-03-30T00:00:00"/>
        <d v="2017-04-01T00:00:00"/>
        <d v="2017-04-04T00:00:00"/>
        <d v="2017-04-06T00:00:00"/>
        <d v="2017-04-10T00:00:00"/>
        <d v="2017-04-19T00:00:00"/>
        <d v="2017-04-20T00:00:00"/>
        <d v="2017-04-21T00:00:00"/>
        <d v="2017-04-27T00:00:00"/>
        <d v="2017-04-28T00:00:00"/>
        <d v="2017-02-20T00:00:00"/>
        <d v="2017-02-21T00:00:00"/>
        <d v="2017-02-23T00:00:00"/>
        <d v="2017-02-26T00:00:00"/>
        <d v="2017-02-27T00:00:00"/>
        <d v="2017-02-28T00:00:00"/>
        <d v="2017-03-02T00:00:00"/>
        <d v="2017-03-06T00:00:00"/>
        <d v="2017-03-07T00:00:00"/>
        <d v="2017-03-24T00:00:00"/>
        <d v="2017-03-29T00:00:00"/>
        <d v="2017-04-14T00:00:00"/>
        <d v="2017-04-17T00:00:00"/>
        <d v="2017-04-24T00:00:00"/>
        <d v="2017-04-29T00:00:00"/>
        <d v="2017-05-02T00:00:00"/>
        <d v="2017-05-01T00:00:00"/>
        <d v="2017-05-22T00:00:00"/>
        <d v="2017-06-01T00:00:00"/>
        <d v="2017-06-22T00:00:00"/>
        <d v="2017-07-17T00:00:00"/>
        <d v="2017-07-31T00:00:00"/>
        <d v="2017-06-05T00:00:00"/>
        <d v="2017-05-03T00:00:00"/>
        <d v="2017-05-26T00:00:00"/>
        <d v="2017-05-31T00:00:00"/>
        <d v="2017-06-02T00:00:00"/>
        <d v="2017-06-07T00:00:00"/>
        <d v="2017-06-08T00:00:00"/>
        <d v="2017-06-12T00:00:00"/>
        <d v="2017-06-15T00:00:00"/>
        <d v="2017-06-20T00:00:00"/>
        <d v="2017-06-26T00:00:00"/>
        <d v="2017-06-28T00:00:00"/>
        <d v="2017-06-29T00:00:00"/>
        <d v="2017-06-30T00:00:00"/>
        <d v="2017-07-06T00:00:00"/>
        <d v="2017-07-12T00:00:00"/>
        <d v="2017-07-13T00:00:00"/>
        <d v="2017-07-18T00:00:00"/>
        <d v="2017-07-20T00:00:00"/>
        <d v="2017-07-27T00:00:00"/>
        <d v="2017-05-12T00:00:00"/>
        <d v="2017-05-24T00:00:00"/>
        <d v="2017-05-25T00:00:00"/>
        <d v="2017-06-09T00:00:00"/>
        <d v="2017-06-13T00:00:00"/>
        <d v="2017-06-16T00:00:00"/>
        <d v="2017-06-19T00:00:00"/>
        <d v="2017-06-23T00:00:00"/>
        <d v="2017-06-27T00:00:00"/>
        <d v="2017-07-11T00:00:00"/>
        <d v="2017-07-14T00:00:00"/>
        <d v="2017-07-21T00:00:00"/>
        <d v="2017-07-25T00:00:00"/>
        <d v="2017-07-26T00:00:00"/>
        <d v="2017-07-28T00:00:00"/>
        <d v="2017-09-01T00:00:00"/>
        <d v="2017-09-29T00:00:00"/>
        <d v="2017-09-30T00:00:00"/>
        <d v="2017-10-01T00:00:00"/>
        <d v="2017-10-16T00:00:00"/>
        <d v="2017-10-31T00:00:00"/>
        <d v="2017-10-10T00:00:00"/>
        <d v="2017-08-01T00:00:00"/>
        <d v="2017-08-03T00:00:00"/>
        <d v="2017-08-07T00:00:00"/>
        <d v="2017-08-08T00:00:00"/>
        <d v="2017-08-14T00:00:00"/>
        <d v="2017-08-16T00:00:00"/>
        <d v="2017-08-17T00:00:00"/>
        <d v="2017-08-22T00:00:00"/>
        <d v="2017-08-23T00:00:00"/>
        <d v="2017-08-30T00:00:00"/>
        <d v="2017-08-31T00:00:00"/>
        <d v="2017-09-05T00:00:00"/>
        <d v="2017-09-06T00:00:00"/>
        <d v="2017-09-11T00:00:00"/>
        <d v="2017-09-15T00:00:00"/>
        <d v="2017-09-18T00:00:00"/>
        <d v="2017-09-26T00:00:00"/>
        <d v="2017-09-27T00:00:00"/>
        <d v="2017-09-28T00:00:00"/>
        <d v="2017-10-03T00:00:00"/>
        <d v="2017-10-04T00:00:00"/>
        <d v="2017-10-05T00:00:00"/>
        <d v="2017-10-06T00:00:00"/>
        <d v="2017-10-09T00:00:00"/>
        <d v="2017-10-18T00:00:00"/>
        <d v="2017-10-23T00:00:00"/>
        <d v="2017-10-25T00:00:00"/>
        <d v="2017-10-26T00:00:00"/>
        <d v="2017-10-27T00:00:00"/>
        <d v="2017-08-09T00:00:00"/>
        <d v="2017-08-15T00:00:00"/>
        <d v="2017-08-18T00:00:00"/>
        <d v="2017-08-21T00:00:00"/>
        <d v="2017-08-28T00:00:00"/>
        <d v="2017-08-29T00:00:00"/>
        <d v="2017-09-12T00:00:00"/>
        <d v="2017-09-21T00:00:00"/>
        <d v="2017-09-22T00:00:00"/>
        <d v="2017-10-08T00:00:00"/>
        <d v="2017-10-12T00:00:00"/>
        <d v="2017-10-17T00:00:00"/>
        <d v="2017-10-19T00:00:00"/>
        <d v="2017-10-20T00:00:00"/>
        <d v="2017-10-21T00:00:00"/>
        <d v="2017-10-22T00:00:00"/>
        <d v="2017-10-30T00:00:00"/>
        <d v="2017-11-01T00:00:00"/>
        <d v="2017-11-13T00:00:00"/>
        <d v="2017-11-30T00:00:00"/>
        <d v="2017-12-05T00:00:00"/>
        <d v="2017-12-15T00:00:00"/>
        <d v="2017-12-19T00:00:00"/>
        <d v="2017-12-20T00:00:00"/>
        <d v="2018-01-04T00:00:00"/>
        <d v="2018-01-08T00:00:00"/>
        <d v="2018-01-17T00:00:00"/>
        <d v="2018-01-24T00:00:00"/>
        <d v="2018-01-30T00:00:00"/>
        <d v="2018-01-31T00:00:00"/>
        <d v="2018-01-11T00:00:00"/>
        <d v="2018-01-19T00:00:00"/>
        <d v="2017-11-03T00:00:00"/>
        <d v="2017-11-04T00:00:00"/>
        <d v="2017-11-09T00:00:00"/>
        <d v="2017-11-14T00:00:00"/>
        <d v="2017-11-15T00:00:00"/>
        <d v="2017-11-16T00:00:00"/>
        <d v="2017-11-17T00:00:00"/>
        <d v="2017-11-22T00:00:00"/>
        <d v="2017-11-24T00:00:00"/>
        <d v="2017-11-27T00:00:00"/>
        <d v="2017-11-28T00:00:00"/>
        <d v="2017-12-06T00:00:00"/>
        <d v="2017-12-11T00:00:00"/>
        <d v="2017-12-13T00:00:00"/>
        <d v="2017-12-14T00:00:00"/>
        <d v="2017-12-18T00:00:00"/>
        <d v="2017-12-21T00:00:00"/>
        <d v="2017-12-22T00:00:00"/>
        <d v="2017-12-26T00:00:00"/>
        <d v="2017-12-27T00:00:00"/>
        <d v="2017-12-28T00:00:00"/>
        <d v="2017-12-29T00:00:00"/>
        <d v="2018-01-02T00:00:00"/>
        <d v="2018-01-03T00:00:00"/>
        <d v="2018-01-05T00:00:00"/>
        <d v="2018-01-12T00:00:00"/>
        <d v="2018-01-18T00:00:00"/>
        <d v="2018-01-25T00:00:00"/>
        <d v="2018-01-26T00:00:00"/>
        <d v="2018-01-29T00:00:00"/>
        <d v="2017-11-08T00:00:00"/>
        <d v="2017-11-10T00:00:00"/>
        <d v="2017-11-19T00:00:00"/>
        <d v="2017-11-21T00:00:00"/>
        <d v="2017-12-03T00:00:00"/>
        <d v="2017-12-04T00:00:00"/>
        <d v="2017-12-07T00:00:00"/>
        <d v="2017-12-12T00:00:00"/>
        <d v="2017-12-23T00:00:00"/>
        <d v="2018-01-09T00:00:00"/>
        <d v="2018-01-10T00:00:00"/>
        <d v="2018-01-16T00:00:00"/>
        <d v="2018-01-22T00:00:00"/>
        <d v="2018-01-23T00:00:00"/>
        <d v="2018-01-27T00:00:00"/>
        <d v="2018-02-07T00:00:00"/>
        <d v="2018-02-27T00:00:00"/>
        <d v="2018-02-28T00:00:00"/>
        <d v="2018-03-01T00:00:00"/>
        <d v="2018-03-05T00:00:00"/>
        <d v="2018-03-13T00:00:00"/>
        <d v="2018-03-26T00:00:00"/>
        <d v="2018-03-28T00:00:00"/>
        <d v="2018-03-31T00:00:00"/>
        <d v="2018-04-03T00:00:00"/>
        <d v="2018-04-04T00:00:00"/>
        <d v="2018-04-12T00:00:00"/>
        <d v="2018-04-19T00:00:00"/>
        <d v="2018-04-25T00:00:00"/>
        <d v="2018-04-30T00:00:00"/>
        <d v="2018-02-01T00:00:00"/>
        <d v="2018-02-19T00:00:00"/>
        <d v="2018-02-23T00:00:00"/>
        <d v="2018-03-16T00:00:00"/>
        <d v="2018-04-05T00:00:00"/>
        <d v="2018-04-09T00:00:00"/>
        <d v="2018-04-26T00:00:00"/>
        <d v="2018-02-02T00:00:00"/>
        <d v="2018-02-05T00:00:00"/>
        <d v="2018-02-06T00:00:00"/>
        <d v="2018-02-15T00:00:00"/>
        <d v="2018-02-20T00:00:00"/>
        <d v="2018-02-21T00:00:00"/>
        <d v="2018-02-22T00:00:00"/>
        <d v="2018-03-08T00:00:00"/>
        <d v="2018-03-09T00:00:00"/>
        <d v="2018-03-10T00:00:00"/>
        <d v="2018-03-12T00:00:00"/>
        <d v="2018-03-14T00:00:00"/>
        <d v="2018-03-15T00:00:00"/>
        <d v="2018-03-20T00:00:00"/>
        <d v="2018-03-21T00:00:00"/>
        <d v="2018-03-22T00:00:00"/>
        <d v="2018-03-23T00:00:00"/>
        <d v="2018-03-27T00:00:00"/>
        <d v="2018-03-29T00:00:00"/>
        <d v="2018-03-30T00:00:00"/>
        <d v="2018-04-17T00:00:00"/>
        <d v="2018-04-18T00:00:00"/>
        <d v="2018-04-20T00:00:00"/>
        <d v="2018-04-23T00:00:00"/>
        <d v="2018-04-24T00:00:00"/>
        <d v="2018-04-27T00:00:00"/>
        <d v="2018-02-12T00:00:00"/>
        <d v="2018-02-13T00:00:00"/>
        <d v="2018-02-17T00:00:00"/>
        <d v="2018-03-06T00:00:00"/>
        <d v="2018-03-07T00:00:00"/>
        <d v="2018-03-19T00:00:00"/>
        <d v="2018-03-24T00:00:00"/>
        <d v="2018-04-06T00:00:00"/>
        <d v="2018-04-11T00:00:00"/>
        <d v="2018-04-16T00:00:00"/>
        <d v="2018-04-22T00:00:00"/>
        <d v="2018-04-29T00:00:00"/>
        <d v="2018-05-24T00:00:00"/>
        <d v="2018-05-31T00:00:00"/>
        <d v="2018-06-01T00:00:00"/>
        <d v="2018-06-20T00:00:00"/>
        <d v="2018-07-09T00:00:00"/>
        <d v="2018-07-24T00:00:00"/>
        <d v="2018-07-26T00:00:00"/>
        <d v="2018-05-07T00:00:00"/>
        <d v="2018-05-22T00:00:00"/>
        <d v="2018-06-07T00:00:00"/>
        <d v="2018-07-02T00:00:00"/>
        <d v="2018-05-02T00:00:00"/>
        <d v="2018-05-04T00:00:00"/>
        <d v="2018-05-05T00:00:00"/>
        <d v="2018-05-14T00:00:00"/>
        <d v="2018-05-15T00:00:00"/>
        <d v="2018-05-18T00:00:00"/>
        <d v="2018-05-23T00:00:00"/>
        <d v="2018-06-05T00:00:00"/>
        <d v="2018-06-08T00:00:00"/>
        <d v="2018-06-12T00:00:00"/>
        <d v="2018-06-13T00:00:00"/>
        <d v="2018-06-15T00:00:00"/>
        <d v="2018-06-18T00:00:00"/>
        <d v="2018-06-19T00:00:00"/>
        <d v="2018-06-21T00:00:00"/>
        <d v="2018-06-25T00:00:00"/>
        <d v="2018-06-26T00:00:00"/>
        <d v="2018-06-28T00:00:00"/>
        <d v="2018-06-29T00:00:00"/>
        <d v="2018-07-10T00:00:00"/>
        <d v="2018-07-12T00:00:00"/>
        <d v="2018-07-16T00:00:00"/>
        <d v="2018-07-17T00:00:00"/>
        <d v="2018-07-18T00:00:00"/>
        <d v="2018-07-20T00:00:00"/>
        <d v="2018-07-23T00:00:00"/>
        <d v="2018-07-25T00:00:00"/>
        <d v="2018-07-27T00:00:00"/>
        <d v="2018-07-30T00:00:00"/>
        <d v="2018-07-31T00:00:00"/>
        <d v="2018-05-03T00:00:00"/>
        <d v="2018-05-16T00:00:00"/>
        <d v="2018-05-25T00:00:00"/>
        <d v="2018-05-30T00:00:00"/>
        <d v="2018-06-09T00:00:00"/>
        <d v="2018-06-11T00:00:00"/>
        <d v="2018-06-14T00:00:00"/>
        <d v="2018-07-11T00:00:00"/>
        <d v="2018-07-13T00:00:00"/>
        <d v="2018-09-17T00:00:00"/>
        <d v="2018-09-20T00:00:00"/>
        <d v="2018-09-24T00:00:00"/>
        <d v="2018-09-29T00:00:00"/>
        <d v="2018-10-02T00:00:00"/>
        <d v="2018-10-05T00:00:00"/>
        <d v="2018-10-26T00:00:00"/>
        <d v="2018-10-29T00:00:00"/>
        <d v="2018-08-15T00:00:00"/>
        <d v="2018-08-18T00:00:00"/>
        <d v="2018-08-27T00:00:00"/>
        <d v="2018-09-06T00:00:00"/>
        <d v="2018-09-28T00:00:00"/>
        <d v="2018-10-08T00:00:00"/>
        <d v="2018-10-25T00:00:00"/>
        <d v="2018-10-28T00:00:00"/>
        <d v="2018-10-31T00:00:00"/>
        <d v="2018-08-13T00:00:00"/>
        <d v="2018-08-16T00:00:00"/>
        <d v="2018-08-17T00:00:00"/>
        <d v="2018-08-20T00:00:00"/>
        <d v="2018-08-22T00:00:00"/>
        <d v="2018-08-24T00:00:00"/>
        <d v="2018-08-29T00:00:00"/>
        <d v="2018-08-30T00:00:00"/>
        <d v="2018-08-31T00:00:00"/>
        <d v="2018-09-04T00:00:00"/>
        <d v="2018-09-05T00:00:00"/>
        <d v="2018-09-10T00:00:00"/>
        <d v="2018-09-13T00:00:00"/>
        <d v="2018-09-18T00:00:00"/>
        <d v="2018-09-19T00:00:00"/>
        <d v="2018-09-21T00:00:00"/>
        <d v="2018-09-27T00:00:00"/>
        <d v="2018-10-01T00:00:00"/>
        <d v="2018-10-09T00:00:00"/>
        <d v="2018-10-10T00:00:00"/>
        <d v="2018-10-12T00:00:00"/>
        <d v="2018-10-16T00:00:00"/>
        <d v="2018-10-17T00:00:00"/>
        <d v="2018-10-18T00:00:00"/>
        <d v="2018-10-22T00:00:00"/>
        <d v="2018-10-24T00:00:00"/>
        <d v="2018-10-30T00:00:00"/>
        <d v="2018-08-02T00:00:00"/>
        <d v="2018-08-03T00:00:00"/>
        <d v="2018-08-08T00:00:00"/>
        <d v="2018-08-21T00:00:00"/>
        <d v="2018-08-23T00:00:00"/>
        <d v="2018-08-26T00:00:00"/>
        <d v="2018-09-12T00:00:00"/>
        <d v="2018-09-14T00:00:00"/>
        <d v="2018-09-26T00:00:00"/>
        <d v="2018-10-04T00:00:00"/>
        <d v="2018-10-19T00:00:00"/>
        <d v="2018-10-23T00:00:00"/>
        <d v="2018-11-20T00:00:00"/>
        <d v="2018-11-30T00:00:00"/>
        <d v="2018-12-03T00:00:00"/>
        <d v="2018-12-04T00:00:00"/>
        <d v="2018-12-05T00:00:00"/>
        <d v="2018-12-18T00:00:00"/>
        <d v="2018-12-19T00:00:00"/>
        <d v="2018-12-22T00:00:00"/>
        <d v="2019-01-02T00:00:00"/>
        <d v="2019-01-14T00:00:00"/>
        <d v="2019-01-17T00:00:00"/>
        <d v="2019-01-25T00:00:00"/>
        <d v="2019-01-31T00:00:00"/>
        <d v="2018-11-01T00:00:00"/>
        <d v="2018-12-17T00:00:00"/>
        <d v="2018-12-20T00:00:00"/>
        <d v="2019-01-07T00:00:00"/>
        <d v="2019-01-22T00:00:00"/>
        <d v="2019-01-30T00:00:00"/>
        <d v="2018-11-05T00:00:00"/>
        <d v="2018-11-06T00:00:00"/>
        <d v="2018-11-13T00:00:00"/>
        <d v="2018-11-16T00:00:00"/>
        <d v="2018-11-21T00:00:00"/>
        <d v="2018-11-23T00:00:00"/>
        <d v="2018-11-26T00:00:00"/>
        <d v="2018-11-28T00:00:00"/>
        <d v="2018-12-07T00:00:00"/>
        <d v="2018-12-10T00:00:00"/>
        <d v="2018-12-12T00:00:00"/>
        <d v="2018-12-13T00:00:00"/>
        <d v="2018-12-14T00:00:00"/>
        <d v="2018-12-21T00:00:00"/>
        <d v="2018-12-27T00:00:00"/>
        <d v="2018-12-28T00:00:00"/>
        <d v="2018-12-30T00:00:00"/>
        <d v="2018-12-31T00:00:00"/>
        <d v="2019-01-03T00:00:00"/>
        <d v="2019-01-11T00:00:00"/>
        <d v="2019-01-15T00:00:00"/>
        <d v="2019-01-18T00:00:00"/>
        <d v="2019-01-23T00:00:00"/>
        <d v="2019-01-24T00:00:00"/>
        <d v="2019-01-28T00:00:00"/>
        <d v="2019-01-29T00:00:00"/>
        <d v="2018-11-07T00:00:00"/>
        <d v="2018-11-09T00:00:00"/>
        <d v="2018-11-15T00:00:00"/>
        <d v="2018-11-19T00:00:00"/>
        <d v="2018-11-27T00:00:00"/>
        <d v="2018-11-29T00:00:00"/>
        <d v="2018-12-06T00:00:00"/>
        <d v="2019-01-09T00:00:00"/>
        <d v="2019-01-16T00:00:00"/>
        <d v="2019-01-26T00:00:00"/>
        <d v="2019-01-27T00:00:00"/>
        <d v="2019-02-01T00:00:00"/>
        <d v="2019-02-18T00:00:00"/>
        <d v="2019-02-26T00:00:00"/>
        <d v="2019-03-12T00:00:00"/>
        <d v="2019-03-25T00:00:00"/>
        <d v="2019-03-26T00:00:00"/>
        <d v="2019-04-01T00:00:00"/>
        <d v="2019-04-04T00:00:00"/>
        <d v="2019-04-08T00:00:00"/>
        <d v="2019-04-12T00:00:00"/>
        <d v="2019-04-16T00:00:00"/>
        <d v="2019-04-25T00:00:00"/>
        <d v="2019-04-26T00:00:00"/>
        <d v="2019-04-29T00:00:00"/>
        <d v="2019-04-30T00:00:00"/>
        <d v="2019-02-04T00:00:00"/>
        <d v="2019-02-27T00:00:00"/>
        <d v="2019-03-06T00:00:00"/>
        <d v="2019-03-11T00:00:00"/>
        <d v="2019-03-14T00:00:00"/>
        <d v="2019-03-18T00:00:00"/>
        <d v="2019-04-03T00:00:00"/>
        <d v="2019-04-17T00:00:00"/>
        <d v="2019-04-21T00:00:00"/>
        <d v="2019-04-24T00:00:00"/>
        <d v="2019-02-05T00:00:00"/>
        <d v="2019-02-08T00:00:00"/>
        <d v="2019-02-10T00:00:00"/>
        <d v="2019-02-15T00:00:00"/>
        <d v="2019-02-21T00:00:00"/>
        <d v="2019-02-25T00:00:00"/>
        <d v="2019-02-28T00:00:00"/>
        <d v="2019-03-04T00:00:00"/>
        <d v="2019-03-05T00:00:00"/>
        <d v="2019-03-07T00:00:00"/>
        <d v="2019-03-08T00:00:00"/>
        <d v="2019-03-19T00:00:00"/>
        <d v="2019-03-20T00:00:00"/>
        <d v="2019-03-21T00:00:00"/>
        <d v="2019-03-22T00:00:00"/>
        <d v="2019-03-27T00:00:00"/>
        <d v="2019-03-28T00:00:00"/>
        <d v="2019-03-29T00:00:00"/>
        <d v="2019-04-05T00:00:00"/>
        <d v="2019-04-06T00:00:00"/>
        <d v="2019-04-11T00:00:00"/>
        <d v="2019-04-15T00:00:00"/>
        <d v="2019-04-18T00:00:00"/>
        <d v="2019-04-19T00:00:00"/>
        <d v="2019-04-22T00:00:00"/>
        <d v="2019-04-23T00:00:00"/>
        <d v="2019-02-06T00:00:00"/>
        <d v="2019-02-14T00:00:00"/>
        <d v="2019-02-19T00:00:00"/>
        <d v="2019-02-22T00:00:00"/>
        <d v="2019-02-23T00:00:00"/>
        <d v="2019-03-15T00:00:00"/>
        <d v="2019-03-16T00:00:00"/>
        <d v="2019-03-30T00:00:00"/>
        <d v="2019-03-31T00:00:00"/>
        <d v="2019-04-09T00:00:00"/>
        <d v="2019-04-14T00:00:00"/>
        <d v="2019-05-07T00:00:00"/>
        <d v="2019-05-10T00:00:00"/>
        <d v="2019-05-21T00:00:00"/>
        <d v="2019-05-29T00:00:00"/>
        <d v="2019-05-31T00:00:00"/>
        <d v="2019-06-04T00:00:00"/>
        <d v="2019-06-05T00:00:00"/>
        <d v="2019-06-14T00:00:00"/>
        <d v="2019-06-18T00:00:00"/>
        <d v="2019-06-19T00:00:00"/>
        <d v="2019-06-23T00:00:00"/>
        <d v="2019-06-28T00:00:00"/>
        <d v="2019-06-30T00:00:00"/>
        <d v="2019-07-01T00:00:00"/>
        <d v="2019-07-02T00:00:00"/>
        <d v="2019-07-03T00:00:00"/>
        <d v="2019-07-10T00:00:00"/>
        <d v="2019-07-11T00:00:00"/>
        <d v="2019-07-16T00:00:00"/>
        <d v="2019-07-17T00:00:00"/>
        <d v="2019-07-18T00:00:00"/>
        <d v="2019-07-19T00:00:00"/>
        <d v="2019-07-30T00:00:00"/>
        <d v="2019-07-31T00:00:00"/>
        <d v="2019-05-02T00:00:00"/>
        <d v="2019-06-25T00:00:00"/>
        <d v="2019-06-27T00:00:00"/>
        <d v="2019-07-24T00:00:00"/>
        <d v="2019-07-26T00:00:00"/>
        <d v="2019-05-06T00:00:00"/>
        <d v="2019-05-09T00:00:00"/>
        <d v="2019-05-13T00:00:00"/>
        <d v="2019-05-15T00:00:00"/>
        <d v="2019-05-17T00:00:00"/>
        <d v="2019-05-22T00:00:00"/>
        <d v="2019-05-23T00:00:00"/>
        <d v="2019-05-24T00:00:00"/>
        <d v="2019-05-28T00:00:00"/>
        <d v="2019-06-06T00:00:00"/>
        <d v="2019-06-07T00:00:00"/>
        <d v="2019-06-10T00:00:00"/>
        <d v="2019-06-11T00:00:00"/>
        <d v="2019-06-16T00:00:00"/>
        <d v="2019-06-17T00:00:00"/>
        <d v="2019-06-20T00:00:00"/>
        <d v="2019-06-21T00:00:00"/>
        <d v="2019-06-26T00:00:00"/>
        <d v="2019-07-05T00:00:00"/>
        <d v="2019-07-08T00:00:00"/>
        <d v="2019-07-09T00:00:00"/>
        <d v="2019-07-12T00:00:00"/>
        <d v="2019-07-15T00:00:00"/>
        <d v="2019-07-22T00:00:00"/>
        <d v="2019-07-23T00:00:00"/>
        <d v="2019-07-25T00:00:00"/>
        <d v="2019-07-28T00:00:00"/>
        <d v="2019-07-29T00:00:00"/>
        <d v="2019-05-08T00:00:00"/>
        <d v="2019-05-16T00:00:00"/>
        <d v="2019-05-25T00:00:00"/>
        <d v="2019-05-30T00:00:00"/>
        <d v="2019-06-13T00:00:00"/>
        <d v="2019-06-24T00:00:00"/>
        <d v="2019-07-04T00:00:00"/>
        <d v="2019-08-01T00:00:00"/>
        <d v="2019-08-02T00:00:00"/>
        <d v="2019-08-06T00:00:00"/>
        <d v="2019-08-08T00:00:00"/>
        <d v="2019-08-20T00:00:00"/>
        <d v="2019-08-23T00:00:00"/>
        <d v="2019-08-30T00:00:00"/>
        <d v="2019-09-02T00:00:00"/>
        <d v="2019-09-03T00:00:00"/>
        <d v="2019-09-04T00:00:00"/>
        <d v="2019-09-09T00:00:00"/>
        <d v="2019-09-25T00:00:00"/>
        <d v="2019-09-26T00:00:00"/>
        <d v="2019-09-30T00:00:00"/>
        <d v="2019-10-01T00:00:00"/>
        <d v="2019-10-04T00:00:00"/>
        <d v="2019-10-11T00:00:00"/>
        <d v="2019-10-14T00:00:00"/>
        <d v="2019-10-17T00:00:00"/>
        <d v="2019-10-22T00:00:00"/>
        <d v="2019-10-23T00:00:00"/>
        <d v="2019-10-24T00:00:00"/>
        <d v="2019-10-28T00:00:00"/>
        <d v="2019-10-29T00:00:00"/>
        <d v="2019-10-30T00:00:00"/>
        <d v="2019-10-31T00:00:00"/>
        <d v="2019-08-21T00:00:00"/>
        <d v="2019-09-05T00:00:00"/>
        <d v="2019-09-24T00:00:00"/>
        <d v="2019-09-29T00:00:00"/>
        <d v="2019-10-03T00:00:00"/>
        <d v="2019-10-18T00:00:00"/>
        <d v="2019-10-25T00:00:00"/>
        <d v="2019-08-05T00:00:00"/>
        <d v="2019-08-09T00:00:00"/>
        <d v="2019-08-12T00:00:00"/>
        <d v="2019-08-16T00:00:00"/>
        <d v="2019-08-19T00:00:00"/>
        <d v="2019-08-26T00:00:00"/>
        <d v="2019-08-27T00:00:00"/>
        <d v="2019-08-28T00:00:00"/>
        <d v="2019-08-29T00:00:00"/>
        <d v="2019-08-31T00:00:00"/>
        <d v="2019-09-06T00:00:00"/>
        <d v="2019-09-11T00:00:00"/>
        <d v="2019-09-16T00:00:00"/>
        <d v="2019-09-17T00:00:00"/>
        <d v="2019-09-18T00:00:00"/>
        <d v="2019-09-20T00:00:00"/>
        <d v="2019-09-22T00:00:00"/>
        <d v="2019-09-27T00:00:00"/>
        <d v="2019-10-08T00:00:00"/>
        <d v="2019-10-10T00:00:00"/>
        <d v="2019-10-15T00:00:00"/>
        <d v="2019-10-16T00:00:00"/>
        <d v="2019-10-21T00:00:00"/>
        <d v="2019-09-13T00:00:00"/>
        <d v="2019-09-19T00:00:00"/>
        <d v="2019-09-23T00:00:00"/>
        <d v="2019-10-26T00:00:00"/>
        <d v="2019-11-04T00:00:00"/>
        <d v="2019-11-08T00:00:00"/>
        <d v="2019-11-12T00:00:00"/>
        <d v="2019-11-13T00:00:00"/>
        <d v="2019-11-14T00:00:00"/>
        <d v="2019-11-19T00:00:00"/>
        <d v="2019-11-25T00:00:00"/>
        <d v="2019-11-26T00:00:00"/>
        <d v="2019-12-04T00:00:00"/>
        <d v="2019-12-05T00:00:00"/>
        <d v="2019-12-09T00:00:00"/>
        <d v="2019-12-16T00:00:00"/>
        <d v="2019-12-17T00:00:00"/>
        <d v="2019-12-20T00:00:00"/>
        <d v="2019-12-24T00:00:00"/>
        <d v="2019-12-30T00:00:00"/>
        <d v="2019-12-31T00:00:00"/>
        <d v="2020-01-01T00:00:00"/>
        <d v="2020-01-08T00:00:00"/>
        <d v="2020-01-10T00:00:00"/>
        <d v="2020-01-13T00:00:00"/>
        <d v="2020-01-14T00:00:00"/>
        <d v="2020-01-17T00:00:00"/>
        <d v="2020-01-21T00:00:00"/>
        <d v="2020-01-24T00:00:00"/>
        <d v="2020-01-30T00:00:00"/>
        <d v="2020-01-31T00:00:00"/>
        <d v="2019-11-11T00:00:00"/>
        <d v="2019-12-10T00:00:00"/>
        <d v="2019-12-19T00:00:00"/>
        <d v="2020-01-02T00:00:00"/>
        <d v="2020-01-03T00:00:00"/>
        <d v="2020-01-06T00:00:00"/>
        <d v="2020-01-16T00:00:00"/>
        <d v="2020-01-29T00:00:00"/>
        <d v="2019-11-05T00:00:00"/>
        <d v="2019-11-06T00:00:00"/>
        <d v="2019-11-18T00:00:00"/>
        <d v="2019-11-20T00:00:00"/>
        <d v="2019-11-21T00:00:00"/>
        <d v="2019-11-27T00:00:00"/>
        <d v="2019-12-03T00:00:00"/>
        <d v="2019-12-11T00:00:00"/>
        <d v="2019-12-12T00:00:00"/>
        <d v="2019-12-13T00:00:00"/>
        <d v="2019-12-15T00:00:00"/>
        <d v="2019-12-18T00:00:00"/>
        <d v="2019-12-23T00:00:00"/>
        <d v="2019-12-26T00:00:00"/>
        <d v="2019-12-27T00:00:00"/>
        <d v="2020-01-07T00:00:00"/>
        <d v="2020-01-09T00:00:00"/>
        <d v="2020-01-15T00:00:00"/>
        <d v="2020-01-18T00:00:00"/>
        <d v="2020-01-20T00:00:00"/>
        <d v="2020-01-22T00:00:00"/>
        <d v="2020-01-23T00:00:00"/>
        <d v="2020-01-26T00:00:00"/>
        <d v="2020-01-27T00:00:00"/>
        <d v="2020-01-28T00:00:00"/>
        <d v="2019-11-07T00:00:00"/>
        <d v="2019-11-22T00:00:00"/>
        <d v="2019-11-28T00:00:00"/>
        <d v="2019-11-29T00:00:00"/>
        <d v="2019-11-30T00:00:00"/>
        <d v="2019-12-02T00:00:00"/>
        <d v="2019-12-06T00:00:00"/>
        <d v="2019-12-22T00:00:00"/>
        <d v="2019-12-28T00:00:00"/>
        <d v="2020-02-01T00:00:00"/>
        <d v="2020-02-04T00:00:00"/>
        <d v="2020-02-10T00:00:00"/>
        <d v="2020-02-12T00:00:00"/>
        <d v="2020-02-13T00:00:00"/>
        <d v="2020-02-19T00:00:00"/>
        <d v="2020-02-21T00:00:00"/>
        <d v="2020-02-25T00:00:00"/>
        <d v="2020-02-28T00:00:00"/>
        <d v="2020-02-29T00:00:00"/>
        <d v="2020-03-02T00:00:00"/>
        <d v="2020-03-03T00:00:00"/>
        <d v="2020-03-05T00:00:00"/>
        <d v="2020-03-10T00:00:00"/>
        <d v="2020-03-12T00:00:00"/>
        <d v="2020-03-17T00:00:00"/>
        <d v="2020-03-20T00:00:00"/>
        <d v="2020-03-25T00:00:00"/>
        <d v="2020-03-28T00:00:00"/>
        <d v="2020-03-30T00:00:00"/>
        <d v="2020-04-01T00:00:00"/>
        <d v="2020-04-02T00:00:00"/>
        <d v="2020-04-05T00:00:00"/>
        <d v="2020-04-06T00:00:00"/>
        <d v="2020-04-07T00:00:00"/>
        <d v="2020-04-09T00:00:00"/>
        <d v="2020-04-13T00:00:00"/>
        <d v="2020-04-16T00:00:00"/>
        <d v="2020-04-20T00:00:00"/>
        <d v="2020-04-26T00:00:00"/>
        <d v="2020-04-28T00:00:00"/>
        <d v="2020-04-30T00:00:00"/>
        <d v="2020-02-11T00:00:00"/>
        <d v="2020-03-18T00:00:00"/>
        <d v="2020-03-24T00:00:00"/>
        <d v="2020-03-26T00:00:00"/>
        <d v="2020-03-31T00:00:00"/>
        <d v="2020-04-03T00:00:00"/>
        <d v="2020-04-08T00:00:00"/>
        <d v="2020-04-10T00:00:00"/>
        <d v="2020-04-15T00:00:00"/>
        <d v="2020-04-17T00:00:00"/>
        <d v="2020-04-22T00:00:00"/>
        <d v="2020-04-23T00:00:00"/>
        <d v="2020-04-24T00:00:00"/>
        <d v="2020-02-02T00:00:00"/>
        <d v="2020-02-03T00:00:00"/>
        <d v="2020-02-05T00:00:00"/>
        <d v="2020-02-07T00:00:00"/>
        <d v="2020-02-20T00:00:00"/>
        <d v="2020-02-24T00:00:00"/>
        <d v="2020-02-26T00:00:00"/>
        <d v="2020-02-27T00:00:00"/>
        <d v="2020-03-04T00:00:00"/>
        <d v="2020-03-09T00:00:00"/>
        <d v="2020-03-11T00:00:00"/>
        <d v="2020-03-13T00:00:00"/>
        <d v="2020-03-16T00:00:00"/>
        <d v="2020-03-19T00:00:00"/>
        <d v="2020-03-23T00:00:00"/>
        <d v="2020-03-27T00:00:00"/>
        <d v="2020-04-14T00:00:00"/>
        <d v="2020-04-21T00:00:00"/>
        <d v="2020-04-27T00:00:00"/>
        <d v="2020-04-29T00:00:00"/>
        <d v="2020-02-14T00:00:00"/>
        <d v="2020-02-15T00:00:00"/>
        <d v="2020-02-18T00:00:00"/>
        <d v="2020-06-23T00:00:00"/>
        <d v="2020-06-25T00:00:00"/>
        <d v="2020-05-01T00:00:00"/>
        <d v="2020-05-04T00:00:00"/>
        <d v="2020-05-06T00:00:00"/>
        <d v="2020-05-11T00:00:00"/>
        <d v="2020-05-14T00:00:00"/>
        <d v="2020-05-19T00:00:00"/>
        <d v="2020-05-28T00:00:00"/>
        <d v="2020-05-29T00:00:00"/>
        <d v="2020-05-31T00:00:00"/>
        <d v="2020-06-01T00:00:00"/>
        <d v="2020-06-03T00:00:00"/>
        <d v="2020-06-04T00:00:00"/>
        <d v="2020-06-09T00:00:00"/>
        <d v="2020-06-10T00:00:00"/>
        <d v="2020-06-11T00:00:00"/>
        <d v="2020-06-12T00:00:00"/>
        <d v="2020-06-22T00:00:00"/>
        <d v="2020-06-24T00:00:00"/>
        <d v="2020-06-29T00:00:00"/>
        <d v="2020-06-30T00:00:00"/>
        <d v="2020-07-01T00:00:00"/>
        <d v="2020-07-02T00:00:00"/>
        <d v="2020-07-13T00:00:00"/>
        <d v="2020-07-14T00:00:00"/>
        <d v="2020-07-22T00:00:00"/>
        <d v="2020-07-28T00:00:00"/>
        <d v="2020-07-30T00:00:00"/>
        <d v="2020-05-05T00:00:00"/>
        <d v="2020-05-07T00:00:00"/>
        <d v="2020-05-12T00:00:00"/>
        <d v="2020-05-18T00:00:00"/>
        <d v="2020-05-26T00:00:00"/>
        <d v="2020-05-27T00:00:00"/>
        <d v="2020-06-05T00:00:00"/>
        <d v="2020-07-21T00:00:00"/>
        <d v="2020-07-27T00:00:00"/>
        <d v="2020-07-31T00:00:00"/>
        <d v="2020-05-08T00:00:00"/>
        <d v="2020-05-13T00:00:00"/>
        <d v="2020-05-15T00:00:00"/>
        <d v="2020-05-20T00:00:00"/>
        <d v="2020-05-21T00:00:00"/>
        <d v="2020-06-02T00:00:00"/>
        <d v="2020-06-08T00:00:00"/>
        <d v="2020-06-16T00:00:00"/>
        <d v="2020-06-18T00:00:00"/>
        <d v="2020-06-19T00:00:00"/>
        <d v="2020-06-20T00:00:00"/>
        <d v="2020-06-26T00:00:00"/>
        <d v="2020-07-03T00:00:00"/>
        <d v="2020-07-06T00:00:00"/>
        <d v="2020-07-07T00:00:00"/>
        <d v="2020-07-09T00:00:00"/>
        <d v="2020-07-10T00:00:00"/>
        <d v="2020-07-15T00:00:00"/>
        <d v="2020-07-16T00:00:00"/>
        <d v="2020-07-17T00:00:00"/>
        <d v="2020-07-19T00:00:00"/>
        <d v="2020-07-20T00:00:00"/>
        <d v="2020-07-23T00:00:00"/>
        <d v="2020-07-24T00:00:00"/>
        <d v="2020-07-29T00:00:00"/>
        <d v="2020-05-10T00:00:00"/>
        <d v="2020-05-22T00:00:00"/>
        <d v="2020-05-24T00:00:00"/>
        <d v="2020-05-25T00:00:00"/>
        <d v="2020-05-30T00:00:00"/>
        <d v="2020-07-08T00:00:00"/>
        <d v="2020-08-03T00:00:00"/>
        <d v="2020-08-19T00:00:00"/>
        <d v="2020-08-24T00:00:00"/>
        <d v="2020-08-31T00:00:00"/>
        <d v="2020-09-01T00:00:00"/>
        <d v="2020-09-02T00:00:00"/>
        <d v="2020-09-18T00:00:00"/>
        <d v="2020-09-22T00:00:00"/>
        <d v="2020-09-23T00:00:00"/>
        <d v="2020-09-28T00:00:00"/>
        <d v="2020-09-29T00:00:00"/>
        <d v="2020-09-30T00:00:00"/>
        <d v="2020-10-01T00:00:00"/>
        <d v="2020-10-02T00:00:00"/>
        <d v="2020-10-05T00:00:00"/>
        <d v="2020-10-08T00:00:00"/>
        <d v="2020-10-13T00:00:00"/>
        <d v="2020-10-15T00:00:00"/>
        <d v="2020-10-20T00:00:00"/>
        <d v="2020-10-27T00:00:00"/>
        <d v="2020-10-29T00:00:00"/>
        <d v="2020-10-30T00:00:00"/>
        <d v="2020-08-01T00:00:00"/>
        <d v="2020-08-04T00:00:00"/>
        <d v="2020-08-11T00:00:00"/>
        <d v="2020-08-17T00:00:00"/>
        <d v="2020-08-18T00:00:00"/>
        <d v="2020-08-25T00:00:00"/>
        <d v="2020-08-27T00:00:00"/>
        <d v="2020-09-08T00:00:00"/>
        <d v="2020-09-09T00:00:00"/>
        <d v="2020-09-10T00:00:00"/>
        <d v="2020-09-17T00:00:00"/>
        <d v="2020-09-21T00:00:00"/>
        <d v="2020-09-24T00:00:00"/>
        <d v="2020-10-06T00:00:00"/>
        <d v="2020-10-07T00:00:00"/>
        <d v="2020-10-12T00:00:00"/>
        <d v="2020-10-26T00:00:00"/>
        <d v="2020-08-06T00:00:00"/>
        <d v="2020-08-10T00:00:00"/>
        <d v="2020-08-12T00:00:00"/>
        <d v="2020-08-14T00:00:00"/>
        <d v="2020-08-20T00:00:00"/>
        <d v="2020-08-21T00:00:00"/>
        <d v="2020-08-26T00:00:00"/>
        <d v="2020-08-28T00:00:00"/>
        <d v="2020-09-03T00:00:00"/>
        <d v="2020-09-11T00:00:00"/>
        <d v="2020-09-14T00:00:00"/>
        <d v="2020-09-15T00:00:00"/>
        <d v="2020-09-16T00:00:00"/>
        <d v="2020-09-19T00:00:00"/>
        <d v="2020-09-25T00:00:00"/>
        <d v="2020-10-09T00:00:00"/>
        <d v="2020-10-14T00:00:00"/>
        <d v="2020-10-16T00:00:00"/>
        <d v="2020-10-19T00:00:00"/>
        <d v="2020-10-21T00:00:00"/>
        <d v="2020-10-22T00:00:00"/>
        <d v="2020-10-23T00:00:00"/>
        <d v="2020-10-28T00:00:00"/>
        <d v="2020-10-31T00:00:00"/>
        <d v="2020-08-13T00:00:00"/>
        <d v="2020-08-22T00:00:00"/>
        <d v="2020-08-29T00:00:00"/>
        <d v="2020-09-04T00:00:00"/>
        <d v="2020-09-06T00:00:00"/>
        <d v="2020-09-07T00:00:00"/>
        <d v="2020-11-04T00:00:00"/>
        <d v="2020-12-02T00:00:00"/>
        <d v="2020-11-05T00:00:00"/>
        <d v="2020-11-06T00:00:00"/>
        <d v="2020-11-09T00:00:00"/>
        <d v="2020-11-11T00:00:00"/>
        <d v="2020-11-12T00:00:00"/>
        <d v="2020-11-13T00:00:00"/>
        <d v="2020-11-16T00:00:00"/>
        <d v="2020-11-17T00:00:00"/>
        <d v="2020-11-18T00:00:00"/>
        <d v="2020-11-23T00:00:00"/>
        <d v="2020-11-30T00:00:00"/>
        <d v="2020-12-01T00:00:00"/>
        <d v="2020-12-09T00:00:00"/>
        <d v="2020-12-10T00:00:00"/>
        <d v="2020-12-14T00:00:00"/>
        <d v="2020-12-17T00:00:00"/>
        <d v="2020-12-18T00:00:00"/>
        <d v="2020-12-21T00:00:00"/>
        <d v="2020-12-22T00:00:00"/>
        <d v="2020-12-28T00:00:00"/>
        <d v="2020-12-30T00:00:00"/>
        <d v="2020-12-31T00:00:00"/>
        <d v="2021-01-04T00:00:00"/>
        <d v="2021-01-05T00:00:00"/>
        <d v="2021-01-07T00:00:00"/>
        <d v="2021-01-08T00:00:00"/>
        <d v="2021-01-12T00:00:00"/>
        <d v="2021-01-25T00:00:00"/>
        <d v="2021-01-26T00:00:00"/>
        <d v="2021-01-27T00:00:00"/>
        <d v="2021-01-28T00:00:00"/>
        <d v="2021-01-29T00:00:00"/>
        <d v="2020-11-02T00:00:00"/>
        <d v="2020-11-26T00:00:00"/>
        <d v="2020-12-07T00:00:00"/>
        <d v="2020-12-08T00:00:00"/>
        <d v="2020-12-16T00:00:00"/>
        <d v="2020-12-23T00:00:00"/>
        <d v="2020-12-29T00:00:00"/>
        <d v="2021-01-13T00:00:00"/>
        <d v="2021-01-14T00:00:00"/>
        <d v="2021-01-15T00:00:00"/>
        <d v="2021-01-22T00:00:00"/>
        <d v="2020-11-10T00:00:00"/>
        <d v="2020-11-19T00:00:00"/>
        <d v="2020-11-20T00:00:00"/>
        <d v="2020-11-24T00:00:00"/>
        <d v="2020-11-25T00:00:00"/>
        <d v="2020-12-03T00:00:00"/>
        <d v="2020-12-04T00:00:00"/>
        <d v="2020-12-05T00:00:00"/>
        <d v="2020-12-11T00:00:00"/>
        <d v="2020-12-12T00:00:00"/>
        <d v="2020-12-15T00:00:00"/>
        <d v="2020-12-24T00:00:00"/>
        <d v="2021-01-06T00:00:00"/>
        <d v="2021-01-11T00:00:00"/>
        <d v="2021-01-18T00:00:00"/>
        <d v="2021-01-19T00:00:00"/>
        <d v="2021-01-20T00:00:00"/>
        <d v="2021-01-21T00:00:00"/>
        <d v="2021-01-30T00:00:00"/>
        <d v="2021-01-31T00:00:00"/>
        <d v="2021-02-01T00:00:00"/>
        <d v="2021-02-02T00:00:00"/>
        <d v="2021-02-05T00:00:00"/>
        <d v="2021-02-08T00:00:00"/>
        <d v="2021-02-15T00:00:00"/>
        <d v="2021-02-25T00:00:00"/>
        <d v="2021-02-26T00:00:00"/>
        <d v="2021-02-28T00:00:00"/>
        <d v="2021-03-01T00:00:00"/>
        <d v="2021-03-02T00:00:00"/>
        <d v="2021-03-12T00:00:00"/>
        <d v="2021-03-15T00:00:00"/>
        <d v="2021-03-18T00:00:00"/>
        <d v="2021-03-22T00:00:00"/>
        <d v="2021-03-26T00:00:00"/>
        <d v="2021-03-29T00:00:00"/>
        <d v="2021-03-31T00:00:00"/>
        <d v="2021-04-01T00:00:00"/>
        <d v="2021-04-05T00:00:00"/>
        <d v="2021-04-06T00:00:00"/>
        <d v="2021-04-12T00:00:00"/>
        <d v="2021-04-14T00:00:00"/>
        <d v="2021-04-16T00:00:00"/>
        <d v="2021-04-23T00:00:00"/>
        <d v="2021-04-26T00:00:00"/>
        <d v="2021-04-27T00:00:00"/>
        <d v="2021-04-28T00:00:00"/>
        <d v="2021-04-30T00:00:00"/>
        <d v="2021-02-04T00:00:00"/>
        <d v="2021-02-11T00:00:00"/>
        <d v="2021-02-12T00:00:00"/>
        <d v="2021-02-24T00:00:00"/>
        <d v="2021-03-03T00:00:00"/>
        <d v="2021-03-09T00:00:00"/>
        <d v="2021-03-11T00:00:00"/>
        <d v="2021-03-16T00:00:00"/>
        <d v="2021-03-19T00:00:00"/>
        <d v="2021-04-07T00:00:00"/>
        <d v="2021-04-08T00:00:00"/>
        <d v="2021-04-09T00:00:00"/>
        <d v="2021-04-15T00:00:00"/>
        <d v="2021-04-22T00:00:00"/>
        <d v="2021-02-03T00:00:00"/>
        <d v="2021-02-09T00:00:00"/>
        <d v="2021-02-10T00:00:00"/>
        <d v="2021-02-17T00:00:00"/>
        <d v="2021-02-18T00:00:00"/>
        <d v="2021-02-22T00:00:00"/>
        <d v="2021-02-23T00:00:00"/>
        <d v="2021-03-04T00:00:00"/>
        <d v="2021-03-05T00:00:00"/>
        <d v="2021-03-08T00:00:00"/>
        <d v="2021-03-10T00:00:00"/>
        <d v="2021-03-17T00:00:00"/>
        <d v="2021-03-23T00:00:00"/>
        <d v="2021-03-24T00:00:00"/>
        <d v="2021-03-30T00:00:00"/>
        <d v="2021-04-02T00:00:00"/>
        <d v="2021-04-13T00:00:00"/>
        <d v="2021-04-19T00:00:00"/>
        <d v="2021-04-20T00:00:00"/>
        <d v="2021-04-21T00:00:00"/>
        <d v="2021-04-29T00:00:00"/>
        <d v="2021-02-19T00:00:00"/>
        <d v="2021-03-25T00:00:00"/>
        <d v="2021-05-03T00:00:00"/>
        <d v="2021-05-06T00:00:00"/>
        <d v="2021-05-07T00:00:00"/>
        <d v="2021-05-11T00:00:00"/>
        <d v="2021-05-13T00:00:00"/>
        <d v="2021-05-16T00:00:00"/>
        <d v="2021-05-17T00:00:00"/>
        <d v="2021-05-20T00:00:00"/>
        <d v="2021-05-21T00:00:00"/>
        <d v="2021-05-25T00:00:00"/>
        <d v="2021-05-26T00:00:00"/>
        <d v="2021-05-28T00:00:00"/>
        <d v="2021-05-30T00:00:00"/>
        <d v="2021-05-31T00:00:00"/>
        <d v="2021-06-01T00:00:00"/>
        <d v="2021-06-03T00:00:00"/>
        <d v="2021-06-07T00:00:00"/>
        <d v="2021-06-09T00:00:00"/>
        <d v="2021-06-15T00:00:00"/>
        <d v="2021-06-22T00:00:00"/>
        <d v="2021-06-28T00:00:00"/>
        <d v="2021-06-29T00:00:00"/>
        <d v="2021-06-30T00:00:00"/>
        <d v="2021-07-01T00:00:00"/>
        <d v="2021-07-13T00:00:00"/>
        <d v="2021-07-15T00:00:00"/>
        <d v="2021-07-20T00:00:00"/>
        <d v="2021-07-26T00:00:00"/>
        <d v="2021-07-28T00:00:00"/>
        <d v="2021-07-30T00:00:00"/>
        <d v="2021-05-05T00:00:00"/>
        <d v="2021-05-18T00:00:00"/>
        <d v="2021-05-19T00:00:00"/>
        <d v="2021-06-02T00:00:00"/>
        <d v="2021-06-04T00:00:00"/>
        <d v="2021-06-14T00:00:00"/>
        <d v="2021-06-24T00:00:00"/>
        <d v="2021-06-25T00:00:00"/>
        <d v="2021-07-02T00:00:00"/>
        <d v="2021-07-06T00:00:00"/>
        <d v="2021-07-07T00:00:00"/>
        <d v="2021-07-08T00:00:00"/>
        <d v="2021-07-09T00:00:00"/>
        <d v="2021-07-14T00:00:00"/>
        <d v="2021-07-19T00:00:00"/>
        <d v="2021-07-21T00:00:00"/>
        <d v="2021-07-22T00:00:00"/>
        <d v="2021-07-27T00:00:00"/>
        <d v="2021-07-29T00:00:00"/>
        <d v="2021-05-04T00:00:00"/>
        <d v="2021-05-10T00:00:00"/>
        <d v="2021-05-12T00:00:00"/>
        <d v="2021-05-14T00:00:00"/>
        <d v="2021-05-24T00:00:00"/>
        <d v="2021-05-27T00:00:00"/>
        <d v="2021-05-29T00:00:00"/>
        <d v="2021-06-08T00:00:00"/>
        <d v="2021-06-10T00:00:00"/>
        <d v="2021-06-11T00:00:00"/>
        <d v="2021-06-16T00:00:00"/>
        <d v="2021-06-18T00:00:00"/>
        <d v="2021-06-21T00:00:00"/>
        <d v="2021-06-23T00:00:00"/>
        <d v="2021-07-12T00:00:00"/>
        <d v="2021-07-16T00:00:00"/>
        <d v="2021-07-23T00:00:00"/>
        <d v="2021-07-31T00:00:00"/>
        <d v="2021-08-02T00:00:00"/>
        <d v="2021-08-03T00:00:00"/>
        <d v="2021-08-04T00:00:00"/>
        <d v="2021-08-07T00:00:00"/>
        <d v="2021-08-23T00:00:00"/>
        <d v="2021-08-24T00:00:00"/>
        <d v="2021-08-30T00:00:00"/>
        <d v="2021-08-31T00:00:00"/>
        <d v="2021-09-02T00:00:00"/>
        <d v="2021-09-07T00:00:00"/>
        <d v="2021-09-08T00:00:00"/>
        <d v="2021-09-13T00:00:00"/>
        <d v="2021-08-01T00:00:00"/>
        <d v="2021-08-05T00:00:00"/>
        <d v="2021-08-09T00:00:00"/>
        <d v="2021-08-11T00:00:00"/>
        <d v="2021-08-16T00:00:00"/>
        <d v="2021-08-20T00:00:00"/>
        <d v="2021-08-26T00:00:00"/>
        <d v="2021-08-27T00:00:00"/>
        <d v="2021-09-09T00:00:00"/>
        <d v="2021-09-10T00:00:00"/>
        <d v="2021-08-06T00:00:00"/>
        <d v="2021-08-10T00:00:00"/>
        <d v="2021-08-12T00:00:00"/>
        <d v="2021-08-13T00:00:00"/>
        <d v="2021-08-15T00:00:00"/>
        <d v="2021-08-17T00:00:00"/>
        <d v="2021-08-18T00:00:00"/>
        <d v="2021-08-19T00:00:00"/>
        <d v="2021-08-25T00:00:00"/>
        <d v="2021-09-01T00:00:00"/>
        <d v="2021-09-14T00:00:00"/>
        <d v="2021-09-15T00:00:00"/>
        <d v="2021-09-16T00:00:00"/>
        <d v="2021-09-17T00:00:00"/>
      </sharedItems>
      <fieldGroup par="10" base="1">
        <rangePr groupBy="months" startDate="2014-11-05T00:00:00" endDate="2021-09-18T00:00:00"/>
        <groupItems count="14">
          <s v="&lt;11/5/2014"/>
          <s v="Jan"/>
          <s v="Feb"/>
          <s v="Mar"/>
          <s v="Apr"/>
          <s v="May"/>
          <s v="Jun"/>
          <s v="Jul"/>
          <s v="Aug"/>
          <s v="Sep"/>
          <s v="Oct"/>
          <s v="Nov"/>
          <s v="Dec"/>
          <s v="&gt;9/18/2021"/>
        </groupItems>
      </fieldGroup>
    </cacheField>
    <cacheField name="Region" numFmtId="0">
      <sharedItems containsBlank="1" count="5">
        <s v="North America"/>
        <s v="EMEA"/>
        <s v="APAC"/>
        <s v="LATAM"/>
        <m/>
      </sharedItems>
    </cacheField>
    <cacheField name="Total ARR" numFmtId="0">
      <sharedItems containsString="0" containsBlank="1" containsNumber="1" containsInteger="1" minValue="0" maxValue="0"/>
    </cacheField>
    <cacheField name="Churn" numFmtId="0">
      <sharedItems containsString="0" containsBlank="1" containsNumber="1" containsInteger="1" minValue="-469300" maxValue="1280"/>
    </cacheField>
    <cacheField name="Downgrade" numFmtId="0">
      <sharedItems containsString="0" containsBlank="1" containsNumber="1" containsInteger="1" minValue="-156880" maxValue="0"/>
    </cacheField>
    <cacheField name="Expansion" numFmtId="0">
      <sharedItems containsString="0" containsBlank="1" containsNumber="1" containsInteger="1" minValue="-164934" maxValue="1519800"/>
    </cacheField>
    <cacheField name="Initial Sale" numFmtId="0">
      <sharedItems containsString="0" containsBlank="1" containsNumber="1" containsInteger="1" minValue="-32300" maxValue="1182168"/>
    </cacheField>
    <cacheField name="Partner" numFmtId="0">
      <sharedItems containsString="0" containsBlank="1" containsNumber="1" containsInteger="1" minValue="0" maxValue="40000"/>
    </cacheField>
    <cacheField name="Quarters" numFmtId="0" databaseField="0">
      <fieldGroup base="1">
        <rangePr groupBy="quarters" startDate="2014-11-05T00:00:00" endDate="2021-09-18T00:00:00"/>
        <groupItems count="6">
          <s v="&lt;11/5/2014"/>
          <s v="Qtr1"/>
          <s v="Qtr2"/>
          <s v="Qtr3"/>
          <s v="Qtr4"/>
          <s v="&gt;9/18/2021"/>
        </groupItems>
      </fieldGroup>
    </cacheField>
    <cacheField name="Years" numFmtId="0" databaseField="0">
      <fieldGroup base="1">
        <rangePr groupBy="years" startDate="2014-11-05T00:00:00" endDate="2021-09-18T00:00:00"/>
        <groupItems count="10">
          <s v="&lt;11/5/2014"/>
          <s v="2014"/>
          <s v="2015"/>
          <s v="2016"/>
          <s v="2017"/>
          <s v="2018"/>
          <s v="2019"/>
          <s v="2020"/>
          <s v="2021"/>
          <s v="&gt;9/18/2021"/>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50">
  <r>
    <x v="0"/>
    <x v="0"/>
    <x v="0"/>
    <m/>
    <m/>
    <m/>
    <m/>
    <n v="13140"/>
    <m/>
  </r>
  <r>
    <x v="0"/>
    <x v="1"/>
    <x v="0"/>
    <m/>
    <m/>
    <m/>
    <m/>
    <n v="30000"/>
    <m/>
  </r>
  <r>
    <x v="0"/>
    <x v="2"/>
    <x v="0"/>
    <m/>
    <m/>
    <m/>
    <m/>
    <n v="12000"/>
    <m/>
  </r>
  <r>
    <x v="0"/>
    <x v="3"/>
    <x v="0"/>
    <m/>
    <m/>
    <m/>
    <m/>
    <n v="24000"/>
    <m/>
  </r>
  <r>
    <x v="0"/>
    <x v="4"/>
    <x v="0"/>
    <m/>
    <m/>
    <m/>
    <m/>
    <n v="2388"/>
    <m/>
  </r>
  <r>
    <x v="0"/>
    <x v="5"/>
    <x v="1"/>
    <m/>
    <m/>
    <m/>
    <m/>
    <n v="0"/>
    <m/>
  </r>
  <r>
    <x v="0"/>
    <x v="5"/>
    <x v="0"/>
    <m/>
    <m/>
    <m/>
    <m/>
    <n v="0"/>
    <m/>
  </r>
  <r>
    <x v="0"/>
    <x v="6"/>
    <x v="0"/>
    <m/>
    <m/>
    <m/>
    <m/>
    <n v="9000"/>
    <m/>
  </r>
  <r>
    <x v="0"/>
    <x v="7"/>
    <x v="0"/>
    <m/>
    <m/>
    <m/>
    <m/>
    <n v="1188"/>
    <m/>
  </r>
  <r>
    <x v="1"/>
    <x v="8"/>
    <x v="0"/>
    <m/>
    <m/>
    <m/>
    <m/>
    <n v="5643"/>
    <m/>
  </r>
  <r>
    <x v="1"/>
    <x v="9"/>
    <x v="1"/>
    <m/>
    <m/>
    <m/>
    <m/>
    <n v="2100"/>
    <m/>
  </r>
  <r>
    <x v="1"/>
    <x v="10"/>
    <x v="0"/>
    <m/>
    <m/>
    <m/>
    <m/>
    <n v="3060"/>
    <m/>
  </r>
  <r>
    <x v="1"/>
    <x v="11"/>
    <x v="0"/>
    <m/>
    <m/>
    <m/>
    <m/>
    <n v="1188"/>
    <m/>
  </r>
  <r>
    <x v="1"/>
    <x v="12"/>
    <x v="0"/>
    <m/>
    <m/>
    <m/>
    <m/>
    <n v="12258"/>
    <m/>
  </r>
  <r>
    <x v="1"/>
    <x v="13"/>
    <x v="0"/>
    <m/>
    <m/>
    <m/>
    <m/>
    <n v="6000"/>
    <m/>
  </r>
  <r>
    <x v="1"/>
    <x v="14"/>
    <x v="0"/>
    <m/>
    <m/>
    <m/>
    <m/>
    <n v="36000"/>
    <m/>
  </r>
  <r>
    <x v="1"/>
    <x v="15"/>
    <x v="1"/>
    <m/>
    <m/>
    <m/>
    <m/>
    <n v="1188"/>
    <m/>
  </r>
  <r>
    <x v="1"/>
    <x v="15"/>
    <x v="0"/>
    <m/>
    <m/>
    <m/>
    <m/>
    <n v="40080"/>
    <m/>
  </r>
  <r>
    <x v="1"/>
    <x v="16"/>
    <x v="0"/>
    <m/>
    <m/>
    <m/>
    <m/>
    <n v="6000"/>
    <m/>
  </r>
  <r>
    <x v="1"/>
    <x v="17"/>
    <x v="0"/>
    <m/>
    <m/>
    <m/>
    <m/>
    <n v="1188"/>
    <m/>
  </r>
  <r>
    <x v="1"/>
    <x v="18"/>
    <x v="0"/>
    <m/>
    <m/>
    <m/>
    <m/>
    <n v="29280"/>
    <m/>
  </r>
  <r>
    <x v="2"/>
    <x v="19"/>
    <x v="0"/>
    <m/>
    <m/>
    <m/>
    <n v="67500"/>
    <m/>
    <m/>
  </r>
  <r>
    <x v="2"/>
    <x v="20"/>
    <x v="0"/>
    <m/>
    <m/>
    <m/>
    <n v="22500"/>
    <m/>
    <m/>
  </r>
  <r>
    <x v="2"/>
    <x v="21"/>
    <x v="0"/>
    <m/>
    <m/>
    <m/>
    <m/>
    <n v="900"/>
    <m/>
  </r>
  <r>
    <x v="2"/>
    <x v="22"/>
    <x v="0"/>
    <m/>
    <m/>
    <m/>
    <m/>
    <n v="13500"/>
    <m/>
  </r>
  <r>
    <x v="2"/>
    <x v="23"/>
    <x v="1"/>
    <m/>
    <m/>
    <m/>
    <m/>
    <n v="1188"/>
    <m/>
  </r>
  <r>
    <x v="2"/>
    <x v="24"/>
    <x v="0"/>
    <m/>
    <m/>
    <m/>
    <m/>
    <n v="600"/>
    <m/>
  </r>
  <r>
    <x v="2"/>
    <x v="25"/>
    <x v="0"/>
    <m/>
    <m/>
    <m/>
    <m/>
    <n v="3700"/>
    <m/>
  </r>
  <r>
    <x v="2"/>
    <x v="26"/>
    <x v="0"/>
    <m/>
    <m/>
    <m/>
    <m/>
    <n v="1188"/>
    <m/>
  </r>
  <r>
    <x v="2"/>
    <x v="27"/>
    <x v="0"/>
    <m/>
    <m/>
    <m/>
    <m/>
    <n v="72000"/>
    <m/>
  </r>
  <r>
    <x v="2"/>
    <x v="28"/>
    <x v="0"/>
    <m/>
    <m/>
    <m/>
    <m/>
    <n v="1188"/>
    <m/>
  </r>
  <r>
    <x v="2"/>
    <x v="29"/>
    <x v="0"/>
    <m/>
    <m/>
    <m/>
    <m/>
    <n v="9180"/>
    <m/>
  </r>
  <r>
    <x v="2"/>
    <x v="30"/>
    <x v="0"/>
    <m/>
    <m/>
    <m/>
    <m/>
    <n v="7560"/>
    <m/>
  </r>
  <r>
    <x v="2"/>
    <x v="31"/>
    <x v="0"/>
    <m/>
    <m/>
    <m/>
    <m/>
    <n v="9600"/>
    <m/>
  </r>
  <r>
    <x v="2"/>
    <x v="32"/>
    <x v="0"/>
    <m/>
    <m/>
    <m/>
    <m/>
    <n v="1188"/>
    <m/>
  </r>
  <r>
    <x v="2"/>
    <x v="33"/>
    <x v="0"/>
    <m/>
    <m/>
    <m/>
    <m/>
    <n v="7560"/>
    <m/>
  </r>
  <r>
    <x v="3"/>
    <x v="34"/>
    <x v="0"/>
    <m/>
    <n v="-1188"/>
    <m/>
    <m/>
    <m/>
    <m/>
  </r>
  <r>
    <x v="3"/>
    <x v="35"/>
    <x v="0"/>
    <m/>
    <n v="-14472"/>
    <m/>
    <m/>
    <n v="1188"/>
    <m/>
  </r>
  <r>
    <x v="3"/>
    <x v="36"/>
    <x v="0"/>
    <m/>
    <m/>
    <m/>
    <n v="60000"/>
    <m/>
    <m/>
  </r>
  <r>
    <x v="3"/>
    <x v="37"/>
    <x v="0"/>
    <m/>
    <m/>
    <m/>
    <n v="6454"/>
    <m/>
    <m/>
  </r>
  <r>
    <x v="3"/>
    <x v="38"/>
    <x v="0"/>
    <m/>
    <m/>
    <m/>
    <n v="5999"/>
    <m/>
    <m/>
  </r>
  <r>
    <x v="3"/>
    <x v="39"/>
    <x v="0"/>
    <m/>
    <m/>
    <m/>
    <m/>
    <n v="9000"/>
    <m/>
  </r>
  <r>
    <x v="3"/>
    <x v="40"/>
    <x v="2"/>
    <m/>
    <m/>
    <m/>
    <m/>
    <n v="4320"/>
    <m/>
  </r>
  <r>
    <x v="3"/>
    <x v="41"/>
    <x v="0"/>
    <m/>
    <m/>
    <m/>
    <m/>
    <n v="7200"/>
    <m/>
  </r>
  <r>
    <x v="3"/>
    <x v="42"/>
    <x v="0"/>
    <m/>
    <m/>
    <m/>
    <m/>
    <n v="14472"/>
    <m/>
  </r>
  <r>
    <x v="3"/>
    <x v="43"/>
    <x v="0"/>
    <m/>
    <m/>
    <m/>
    <m/>
    <n v="11000"/>
    <m/>
  </r>
  <r>
    <x v="3"/>
    <x v="44"/>
    <x v="0"/>
    <m/>
    <m/>
    <m/>
    <m/>
    <n v="1800"/>
    <m/>
  </r>
  <r>
    <x v="3"/>
    <x v="45"/>
    <x v="1"/>
    <m/>
    <m/>
    <m/>
    <m/>
    <n v="1188"/>
    <m/>
  </r>
  <r>
    <x v="3"/>
    <x v="45"/>
    <x v="0"/>
    <m/>
    <m/>
    <m/>
    <m/>
    <n v="9720"/>
    <m/>
  </r>
  <r>
    <x v="3"/>
    <x v="46"/>
    <x v="0"/>
    <m/>
    <m/>
    <m/>
    <m/>
    <n v="4800"/>
    <m/>
  </r>
  <r>
    <x v="3"/>
    <x v="47"/>
    <x v="0"/>
    <m/>
    <m/>
    <m/>
    <m/>
    <n v="1188"/>
    <m/>
  </r>
  <r>
    <x v="3"/>
    <x v="48"/>
    <x v="0"/>
    <m/>
    <m/>
    <m/>
    <m/>
    <n v="3000"/>
    <m/>
  </r>
  <r>
    <x v="3"/>
    <x v="49"/>
    <x v="0"/>
    <m/>
    <m/>
    <m/>
    <m/>
    <n v="6000"/>
    <m/>
  </r>
  <r>
    <x v="3"/>
    <x v="50"/>
    <x v="3"/>
    <m/>
    <m/>
    <m/>
    <m/>
    <n v="4200"/>
    <m/>
  </r>
  <r>
    <x v="3"/>
    <x v="51"/>
    <x v="0"/>
    <m/>
    <m/>
    <m/>
    <m/>
    <n v="76188"/>
    <m/>
  </r>
  <r>
    <x v="3"/>
    <x v="52"/>
    <x v="0"/>
    <m/>
    <m/>
    <m/>
    <m/>
    <n v="3000"/>
    <m/>
  </r>
  <r>
    <x v="3"/>
    <x v="53"/>
    <x v="0"/>
    <m/>
    <m/>
    <m/>
    <m/>
    <n v="3000"/>
    <m/>
  </r>
  <r>
    <x v="4"/>
    <x v="54"/>
    <x v="0"/>
    <n v="0"/>
    <m/>
    <m/>
    <m/>
    <n v="7200"/>
    <m/>
  </r>
  <r>
    <x v="4"/>
    <x v="55"/>
    <x v="0"/>
    <m/>
    <m/>
    <m/>
    <n v="6000"/>
    <m/>
    <m/>
  </r>
  <r>
    <x v="4"/>
    <x v="56"/>
    <x v="0"/>
    <m/>
    <m/>
    <m/>
    <n v="6720"/>
    <n v="1188"/>
    <m/>
  </r>
  <r>
    <x v="4"/>
    <x v="57"/>
    <x v="0"/>
    <m/>
    <m/>
    <m/>
    <n v="150"/>
    <n v="9600"/>
    <m/>
  </r>
  <r>
    <x v="4"/>
    <x v="58"/>
    <x v="0"/>
    <m/>
    <m/>
    <m/>
    <n v="912"/>
    <m/>
    <m/>
  </r>
  <r>
    <x v="4"/>
    <x v="59"/>
    <x v="0"/>
    <m/>
    <m/>
    <m/>
    <n v="6000"/>
    <n v="58800"/>
    <m/>
  </r>
  <r>
    <x v="4"/>
    <x v="60"/>
    <x v="0"/>
    <m/>
    <m/>
    <m/>
    <n v="6000"/>
    <m/>
    <m/>
  </r>
  <r>
    <x v="4"/>
    <x v="61"/>
    <x v="0"/>
    <m/>
    <m/>
    <m/>
    <n v="5304"/>
    <m/>
    <m/>
  </r>
  <r>
    <x v="4"/>
    <x v="62"/>
    <x v="0"/>
    <m/>
    <m/>
    <m/>
    <m/>
    <n v="9600"/>
    <m/>
  </r>
  <r>
    <x v="4"/>
    <x v="63"/>
    <x v="0"/>
    <m/>
    <m/>
    <m/>
    <m/>
    <n v="1188"/>
    <m/>
  </r>
  <r>
    <x v="4"/>
    <x v="64"/>
    <x v="1"/>
    <m/>
    <m/>
    <m/>
    <m/>
    <n v="12000"/>
    <m/>
  </r>
  <r>
    <x v="4"/>
    <x v="64"/>
    <x v="0"/>
    <m/>
    <m/>
    <m/>
    <m/>
    <n v="1188"/>
    <m/>
  </r>
  <r>
    <x v="4"/>
    <x v="65"/>
    <x v="0"/>
    <m/>
    <m/>
    <m/>
    <m/>
    <n v="1188"/>
    <m/>
  </r>
  <r>
    <x v="4"/>
    <x v="66"/>
    <x v="0"/>
    <m/>
    <m/>
    <m/>
    <m/>
    <n v="1188"/>
    <m/>
  </r>
  <r>
    <x v="4"/>
    <x v="67"/>
    <x v="0"/>
    <m/>
    <m/>
    <m/>
    <m/>
    <n v="3000"/>
    <m/>
  </r>
  <r>
    <x v="4"/>
    <x v="68"/>
    <x v="0"/>
    <m/>
    <m/>
    <m/>
    <m/>
    <n v="1188"/>
    <m/>
  </r>
  <r>
    <x v="4"/>
    <x v="69"/>
    <x v="0"/>
    <m/>
    <m/>
    <m/>
    <m/>
    <n v="3588"/>
    <m/>
  </r>
  <r>
    <x v="4"/>
    <x v="70"/>
    <x v="0"/>
    <m/>
    <m/>
    <m/>
    <m/>
    <n v="4800"/>
    <m/>
  </r>
  <r>
    <x v="4"/>
    <x v="71"/>
    <x v="0"/>
    <m/>
    <m/>
    <m/>
    <m/>
    <n v="1188"/>
    <m/>
  </r>
  <r>
    <x v="4"/>
    <x v="72"/>
    <x v="0"/>
    <m/>
    <m/>
    <m/>
    <m/>
    <n v="4800"/>
    <m/>
  </r>
  <r>
    <x v="4"/>
    <x v="73"/>
    <x v="0"/>
    <m/>
    <m/>
    <m/>
    <m/>
    <n v="6000"/>
    <m/>
  </r>
  <r>
    <x v="4"/>
    <x v="74"/>
    <x v="0"/>
    <m/>
    <m/>
    <m/>
    <m/>
    <n v="3600"/>
    <m/>
  </r>
  <r>
    <x v="4"/>
    <x v="75"/>
    <x v="0"/>
    <m/>
    <m/>
    <m/>
    <m/>
    <n v="3000"/>
    <m/>
  </r>
  <r>
    <x v="4"/>
    <x v="76"/>
    <x v="0"/>
    <m/>
    <m/>
    <m/>
    <m/>
    <n v="7188"/>
    <m/>
  </r>
  <r>
    <x v="4"/>
    <x v="77"/>
    <x v="0"/>
    <m/>
    <m/>
    <m/>
    <m/>
    <n v="39960"/>
    <m/>
  </r>
  <r>
    <x v="4"/>
    <x v="78"/>
    <x v="0"/>
    <m/>
    <m/>
    <m/>
    <m/>
    <n v="4200"/>
    <m/>
  </r>
  <r>
    <x v="5"/>
    <x v="79"/>
    <x v="0"/>
    <m/>
    <n v="-1188"/>
    <m/>
    <m/>
    <n v="55200"/>
    <m/>
  </r>
  <r>
    <x v="5"/>
    <x v="80"/>
    <x v="0"/>
    <m/>
    <m/>
    <n v="0"/>
    <m/>
    <m/>
    <m/>
  </r>
  <r>
    <x v="5"/>
    <x v="81"/>
    <x v="0"/>
    <m/>
    <m/>
    <m/>
    <n v="9517"/>
    <n v="10800"/>
    <m/>
  </r>
  <r>
    <x v="5"/>
    <x v="82"/>
    <x v="0"/>
    <m/>
    <m/>
    <m/>
    <n v="78000"/>
    <m/>
    <m/>
  </r>
  <r>
    <x v="5"/>
    <x v="83"/>
    <x v="0"/>
    <m/>
    <m/>
    <m/>
    <n v="35814"/>
    <m/>
    <m/>
  </r>
  <r>
    <x v="5"/>
    <x v="84"/>
    <x v="1"/>
    <m/>
    <m/>
    <m/>
    <n v="252"/>
    <m/>
    <m/>
  </r>
  <r>
    <x v="5"/>
    <x v="85"/>
    <x v="0"/>
    <m/>
    <m/>
    <m/>
    <n v="1800"/>
    <m/>
    <m/>
  </r>
  <r>
    <x v="5"/>
    <x v="86"/>
    <x v="0"/>
    <m/>
    <m/>
    <m/>
    <n v="4800"/>
    <m/>
    <m/>
  </r>
  <r>
    <x v="5"/>
    <x v="87"/>
    <x v="1"/>
    <m/>
    <m/>
    <m/>
    <n v="299"/>
    <m/>
    <m/>
  </r>
  <r>
    <x v="5"/>
    <x v="88"/>
    <x v="0"/>
    <m/>
    <m/>
    <m/>
    <n v="1500"/>
    <n v="16800"/>
    <m/>
  </r>
  <r>
    <x v="5"/>
    <x v="89"/>
    <x v="0"/>
    <m/>
    <m/>
    <m/>
    <n v="2520"/>
    <m/>
    <m/>
  </r>
  <r>
    <x v="5"/>
    <x v="90"/>
    <x v="0"/>
    <m/>
    <m/>
    <m/>
    <n v="6000"/>
    <m/>
    <m/>
  </r>
  <r>
    <x v="5"/>
    <x v="91"/>
    <x v="0"/>
    <m/>
    <m/>
    <m/>
    <n v="6000"/>
    <n v="10800"/>
    <m/>
  </r>
  <r>
    <x v="5"/>
    <x v="92"/>
    <x v="0"/>
    <m/>
    <m/>
    <m/>
    <n v="29112"/>
    <n v="9000"/>
    <m/>
  </r>
  <r>
    <x v="5"/>
    <x v="93"/>
    <x v="0"/>
    <m/>
    <m/>
    <m/>
    <n v="5400"/>
    <n v="75600"/>
    <m/>
  </r>
  <r>
    <x v="5"/>
    <x v="94"/>
    <x v="0"/>
    <m/>
    <m/>
    <m/>
    <m/>
    <n v="3000"/>
    <m/>
  </r>
  <r>
    <x v="5"/>
    <x v="95"/>
    <x v="0"/>
    <m/>
    <m/>
    <m/>
    <m/>
    <n v="14800"/>
    <m/>
  </r>
  <r>
    <x v="5"/>
    <x v="96"/>
    <x v="0"/>
    <m/>
    <m/>
    <m/>
    <m/>
    <n v="6000"/>
    <m/>
  </r>
  <r>
    <x v="5"/>
    <x v="97"/>
    <x v="0"/>
    <m/>
    <m/>
    <m/>
    <m/>
    <n v="10800"/>
    <m/>
  </r>
  <r>
    <x v="5"/>
    <x v="98"/>
    <x v="1"/>
    <m/>
    <m/>
    <m/>
    <m/>
    <n v="3000"/>
    <m/>
  </r>
  <r>
    <x v="5"/>
    <x v="98"/>
    <x v="0"/>
    <m/>
    <m/>
    <m/>
    <m/>
    <n v="6000"/>
    <m/>
  </r>
  <r>
    <x v="5"/>
    <x v="99"/>
    <x v="0"/>
    <m/>
    <m/>
    <m/>
    <m/>
    <n v="6000"/>
    <m/>
  </r>
  <r>
    <x v="5"/>
    <x v="100"/>
    <x v="0"/>
    <m/>
    <m/>
    <m/>
    <m/>
    <n v="3000"/>
    <m/>
  </r>
  <r>
    <x v="5"/>
    <x v="101"/>
    <x v="0"/>
    <m/>
    <m/>
    <m/>
    <m/>
    <n v="13200"/>
    <m/>
  </r>
  <r>
    <x v="5"/>
    <x v="102"/>
    <x v="0"/>
    <m/>
    <m/>
    <m/>
    <m/>
    <n v="3000"/>
    <m/>
  </r>
  <r>
    <x v="5"/>
    <x v="84"/>
    <x v="0"/>
    <m/>
    <m/>
    <m/>
    <m/>
    <n v="4800"/>
    <m/>
  </r>
  <r>
    <x v="5"/>
    <x v="103"/>
    <x v="0"/>
    <m/>
    <m/>
    <m/>
    <m/>
    <n v="4800"/>
    <m/>
  </r>
  <r>
    <x v="5"/>
    <x v="104"/>
    <x v="0"/>
    <m/>
    <m/>
    <m/>
    <m/>
    <n v="15900"/>
    <m/>
  </r>
  <r>
    <x v="5"/>
    <x v="105"/>
    <x v="0"/>
    <m/>
    <m/>
    <m/>
    <m/>
    <n v="4800"/>
    <m/>
  </r>
  <r>
    <x v="5"/>
    <x v="106"/>
    <x v="0"/>
    <m/>
    <m/>
    <m/>
    <m/>
    <n v="3000"/>
    <m/>
  </r>
  <r>
    <x v="5"/>
    <x v="107"/>
    <x v="0"/>
    <m/>
    <m/>
    <m/>
    <m/>
    <n v="10920"/>
    <m/>
  </r>
  <r>
    <x v="5"/>
    <x v="87"/>
    <x v="0"/>
    <m/>
    <m/>
    <m/>
    <m/>
    <n v="10800"/>
    <m/>
  </r>
  <r>
    <x v="5"/>
    <x v="88"/>
    <x v="1"/>
    <m/>
    <m/>
    <m/>
    <m/>
    <n v="4800"/>
    <m/>
  </r>
  <r>
    <x v="5"/>
    <x v="108"/>
    <x v="0"/>
    <m/>
    <m/>
    <m/>
    <m/>
    <n v="6000"/>
    <m/>
  </r>
  <r>
    <x v="5"/>
    <x v="109"/>
    <x v="0"/>
    <m/>
    <m/>
    <m/>
    <m/>
    <n v="9900"/>
    <m/>
  </r>
  <r>
    <x v="5"/>
    <x v="110"/>
    <x v="0"/>
    <m/>
    <m/>
    <m/>
    <m/>
    <n v="12000"/>
    <m/>
  </r>
  <r>
    <x v="5"/>
    <x v="111"/>
    <x v="0"/>
    <m/>
    <m/>
    <m/>
    <m/>
    <n v="9000"/>
    <m/>
  </r>
  <r>
    <x v="5"/>
    <x v="112"/>
    <x v="0"/>
    <m/>
    <m/>
    <m/>
    <m/>
    <n v="9600"/>
    <m/>
  </r>
  <r>
    <x v="5"/>
    <x v="113"/>
    <x v="0"/>
    <m/>
    <m/>
    <m/>
    <m/>
    <n v="3000"/>
    <m/>
  </r>
  <r>
    <x v="5"/>
    <x v="114"/>
    <x v="0"/>
    <m/>
    <m/>
    <m/>
    <m/>
    <n v="13200"/>
    <m/>
  </r>
  <r>
    <x v="5"/>
    <x v="115"/>
    <x v="0"/>
    <m/>
    <m/>
    <m/>
    <m/>
    <n v="4200"/>
    <m/>
  </r>
  <r>
    <x v="5"/>
    <x v="93"/>
    <x v="2"/>
    <m/>
    <m/>
    <m/>
    <m/>
    <n v="4400"/>
    <m/>
  </r>
  <r>
    <x v="5"/>
    <x v="116"/>
    <x v="0"/>
    <m/>
    <m/>
    <m/>
    <m/>
    <n v="9000"/>
    <m/>
  </r>
  <r>
    <x v="6"/>
    <x v="117"/>
    <x v="0"/>
    <m/>
    <n v="-900"/>
    <m/>
    <n v="5101"/>
    <m/>
    <m/>
  </r>
  <r>
    <x v="6"/>
    <x v="118"/>
    <x v="0"/>
    <m/>
    <n v="-3600"/>
    <m/>
    <m/>
    <m/>
    <m/>
  </r>
  <r>
    <x v="6"/>
    <x v="119"/>
    <x v="1"/>
    <m/>
    <m/>
    <m/>
    <n v="612"/>
    <m/>
    <m/>
  </r>
  <r>
    <x v="6"/>
    <x v="119"/>
    <x v="0"/>
    <m/>
    <m/>
    <m/>
    <n v="15000"/>
    <n v="4800"/>
    <m/>
  </r>
  <r>
    <x v="6"/>
    <x v="120"/>
    <x v="0"/>
    <m/>
    <m/>
    <m/>
    <n v="2940"/>
    <m/>
    <m/>
  </r>
  <r>
    <x v="6"/>
    <x v="121"/>
    <x v="0"/>
    <m/>
    <m/>
    <m/>
    <n v="18000"/>
    <m/>
    <m/>
  </r>
  <r>
    <x v="6"/>
    <x v="122"/>
    <x v="0"/>
    <m/>
    <m/>
    <m/>
    <n v="120"/>
    <m/>
    <m/>
  </r>
  <r>
    <x v="6"/>
    <x v="123"/>
    <x v="0"/>
    <m/>
    <m/>
    <m/>
    <n v="2640"/>
    <m/>
    <m/>
  </r>
  <r>
    <x v="6"/>
    <x v="124"/>
    <x v="0"/>
    <m/>
    <m/>
    <m/>
    <n v="2652"/>
    <n v="27900"/>
    <m/>
  </r>
  <r>
    <x v="6"/>
    <x v="125"/>
    <x v="0"/>
    <m/>
    <m/>
    <m/>
    <n v="129600"/>
    <m/>
    <m/>
  </r>
  <r>
    <x v="6"/>
    <x v="126"/>
    <x v="0"/>
    <m/>
    <m/>
    <m/>
    <n v="6000"/>
    <m/>
    <m/>
  </r>
  <r>
    <x v="6"/>
    <x v="127"/>
    <x v="0"/>
    <m/>
    <m/>
    <m/>
    <n v="12000"/>
    <m/>
    <m/>
  </r>
  <r>
    <x v="6"/>
    <x v="128"/>
    <x v="0"/>
    <m/>
    <m/>
    <m/>
    <n v="105966"/>
    <m/>
    <m/>
  </r>
  <r>
    <x v="6"/>
    <x v="129"/>
    <x v="0"/>
    <m/>
    <m/>
    <m/>
    <n v="3320"/>
    <m/>
    <m/>
  </r>
  <r>
    <x v="6"/>
    <x v="130"/>
    <x v="0"/>
    <m/>
    <m/>
    <m/>
    <n v="77000"/>
    <n v="112112"/>
    <m/>
  </r>
  <r>
    <x v="6"/>
    <x v="131"/>
    <x v="0"/>
    <m/>
    <m/>
    <m/>
    <m/>
    <n v="4200"/>
    <m/>
  </r>
  <r>
    <x v="6"/>
    <x v="132"/>
    <x v="0"/>
    <m/>
    <m/>
    <m/>
    <m/>
    <n v="6000"/>
    <m/>
  </r>
  <r>
    <x v="6"/>
    <x v="133"/>
    <x v="1"/>
    <m/>
    <m/>
    <m/>
    <m/>
    <n v="18000"/>
    <m/>
  </r>
  <r>
    <x v="6"/>
    <x v="134"/>
    <x v="0"/>
    <m/>
    <m/>
    <m/>
    <m/>
    <n v="12000"/>
    <m/>
  </r>
  <r>
    <x v="6"/>
    <x v="135"/>
    <x v="0"/>
    <m/>
    <m/>
    <m/>
    <m/>
    <n v="6756"/>
    <m/>
  </r>
  <r>
    <x v="6"/>
    <x v="136"/>
    <x v="0"/>
    <m/>
    <m/>
    <m/>
    <m/>
    <n v="6000"/>
    <m/>
  </r>
  <r>
    <x v="6"/>
    <x v="137"/>
    <x v="0"/>
    <m/>
    <m/>
    <m/>
    <m/>
    <n v="24000"/>
    <m/>
  </r>
  <r>
    <x v="6"/>
    <x v="138"/>
    <x v="0"/>
    <m/>
    <m/>
    <m/>
    <m/>
    <n v="6000"/>
    <m/>
  </r>
  <r>
    <x v="6"/>
    <x v="139"/>
    <x v="0"/>
    <m/>
    <m/>
    <m/>
    <m/>
    <n v="9000"/>
    <m/>
  </r>
  <r>
    <x v="6"/>
    <x v="140"/>
    <x v="0"/>
    <m/>
    <m/>
    <m/>
    <m/>
    <n v="10800"/>
    <m/>
  </r>
  <r>
    <x v="6"/>
    <x v="141"/>
    <x v="0"/>
    <m/>
    <m/>
    <m/>
    <m/>
    <n v="4500"/>
    <m/>
  </r>
  <r>
    <x v="6"/>
    <x v="142"/>
    <x v="0"/>
    <m/>
    <m/>
    <m/>
    <m/>
    <n v="1654"/>
    <m/>
  </r>
  <r>
    <x v="6"/>
    <x v="143"/>
    <x v="0"/>
    <m/>
    <m/>
    <m/>
    <m/>
    <n v="6000"/>
    <m/>
  </r>
  <r>
    <x v="6"/>
    <x v="144"/>
    <x v="0"/>
    <m/>
    <m/>
    <m/>
    <m/>
    <n v="18000"/>
    <m/>
  </r>
  <r>
    <x v="6"/>
    <x v="145"/>
    <x v="0"/>
    <m/>
    <m/>
    <m/>
    <m/>
    <n v="77538"/>
    <m/>
  </r>
  <r>
    <x v="6"/>
    <x v="146"/>
    <x v="2"/>
    <m/>
    <m/>
    <m/>
    <m/>
    <n v="6000"/>
    <m/>
  </r>
  <r>
    <x v="6"/>
    <x v="147"/>
    <x v="0"/>
    <m/>
    <m/>
    <m/>
    <m/>
    <n v="12517"/>
    <m/>
  </r>
  <r>
    <x v="6"/>
    <x v="148"/>
    <x v="0"/>
    <m/>
    <m/>
    <m/>
    <m/>
    <n v="30000"/>
    <m/>
  </r>
  <r>
    <x v="6"/>
    <x v="149"/>
    <x v="0"/>
    <m/>
    <m/>
    <m/>
    <m/>
    <n v="28200"/>
    <m/>
  </r>
  <r>
    <x v="7"/>
    <x v="150"/>
    <x v="0"/>
    <m/>
    <n v="-6000"/>
    <m/>
    <n v="360"/>
    <m/>
    <m/>
  </r>
  <r>
    <x v="7"/>
    <x v="151"/>
    <x v="2"/>
    <m/>
    <n v="-4320"/>
    <m/>
    <m/>
    <m/>
    <m/>
  </r>
  <r>
    <x v="7"/>
    <x v="152"/>
    <x v="0"/>
    <m/>
    <n v="-1800"/>
    <m/>
    <m/>
    <m/>
    <m/>
  </r>
  <r>
    <x v="7"/>
    <x v="153"/>
    <x v="0"/>
    <m/>
    <n v="-2388"/>
    <m/>
    <m/>
    <n v="193630"/>
    <m/>
  </r>
  <r>
    <x v="7"/>
    <x v="154"/>
    <x v="1"/>
    <m/>
    <n v="-1188"/>
    <m/>
    <m/>
    <m/>
    <m/>
  </r>
  <r>
    <x v="7"/>
    <x v="155"/>
    <x v="0"/>
    <m/>
    <n v="-3000"/>
    <m/>
    <n v="23400"/>
    <n v="164800"/>
    <m/>
  </r>
  <r>
    <x v="7"/>
    <x v="156"/>
    <x v="0"/>
    <m/>
    <m/>
    <m/>
    <n v="1812"/>
    <n v="8400"/>
    <m/>
  </r>
  <r>
    <x v="7"/>
    <x v="157"/>
    <x v="0"/>
    <m/>
    <m/>
    <m/>
    <n v="4440"/>
    <m/>
    <m/>
  </r>
  <r>
    <x v="7"/>
    <x v="158"/>
    <x v="0"/>
    <m/>
    <m/>
    <m/>
    <n v="12000"/>
    <m/>
    <m/>
  </r>
  <r>
    <x v="7"/>
    <x v="159"/>
    <x v="0"/>
    <m/>
    <m/>
    <m/>
    <n v="4200"/>
    <m/>
    <m/>
  </r>
  <r>
    <x v="7"/>
    <x v="160"/>
    <x v="0"/>
    <m/>
    <m/>
    <m/>
    <n v="12000"/>
    <m/>
    <m/>
  </r>
  <r>
    <x v="7"/>
    <x v="161"/>
    <x v="0"/>
    <m/>
    <m/>
    <m/>
    <n v="78000"/>
    <m/>
    <m/>
  </r>
  <r>
    <x v="7"/>
    <x v="162"/>
    <x v="0"/>
    <m/>
    <m/>
    <m/>
    <n v="15000"/>
    <m/>
    <m/>
  </r>
  <r>
    <x v="7"/>
    <x v="163"/>
    <x v="0"/>
    <m/>
    <m/>
    <m/>
    <n v="10500"/>
    <m/>
    <m/>
  </r>
  <r>
    <x v="7"/>
    <x v="164"/>
    <x v="0"/>
    <m/>
    <m/>
    <m/>
    <n v="5400"/>
    <m/>
    <m/>
  </r>
  <r>
    <x v="7"/>
    <x v="165"/>
    <x v="0"/>
    <m/>
    <m/>
    <m/>
    <n v="12000"/>
    <m/>
    <m/>
  </r>
  <r>
    <x v="7"/>
    <x v="154"/>
    <x v="0"/>
    <m/>
    <m/>
    <m/>
    <n v="5700"/>
    <m/>
    <m/>
  </r>
  <r>
    <x v="7"/>
    <x v="166"/>
    <x v="0"/>
    <m/>
    <m/>
    <m/>
    <n v="4359"/>
    <m/>
    <m/>
  </r>
  <r>
    <x v="7"/>
    <x v="167"/>
    <x v="0"/>
    <m/>
    <m/>
    <m/>
    <n v="4800"/>
    <m/>
    <m/>
  </r>
  <r>
    <x v="7"/>
    <x v="168"/>
    <x v="0"/>
    <m/>
    <m/>
    <m/>
    <n v="32000"/>
    <m/>
    <m/>
  </r>
  <r>
    <x v="7"/>
    <x v="169"/>
    <x v="0"/>
    <m/>
    <m/>
    <m/>
    <m/>
    <n v="32700"/>
    <m/>
  </r>
  <r>
    <x v="7"/>
    <x v="170"/>
    <x v="0"/>
    <m/>
    <m/>
    <m/>
    <m/>
    <n v="10800"/>
    <m/>
  </r>
  <r>
    <x v="7"/>
    <x v="171"/>
    <x v="0"/>
    <m/>
    <m/>
    <m/>
    <m/>
    <n v="9000"/>
    <m/>
  </r>
  <r>
    <x v="7"/>
    <x v="172"/>
    <x v="0"/>
    <m/>
    <m/>
    <m/>
    <m/>
    <n v="12420"/>
    <m/>
  </r>
  <r>
    <x v="7"/>
    <x v="173"/>
    <x v="0"/>
    <m/>
    <m/>
    <m/>
    <m/>
    <n v="12000"/>
    <m/>
  </r>
  <r>
    <x v="7"/>
    <x v="174"/>
    <x v="0"/>
    <m/>
    <m/>
    <m/>
    <m/>
    <n v="18000"/>
    <m/>
  </r>
  <r>
    <x v="7"/>
    <x v="175"/>
    <x v="0"/>
    <m/>
    <m/>
    <m/>
    <m/>
    <n v="15000"/>
    <m/>
  </r>
  <r>
    <x v="7"/>
    <x v="176"/>
    <x v="0"/>
    <m/>
    <m/>
    <m/>
    <m/>
    <n v="7140"/>
    <m/>
  </r>
  <r>
    <x v="7"/>
    <x v="177"/>
    <x v="0"/>
    <m/>
    <m/>
    <m/>
    <m/>
    <n v="12000"/>
    <m/>
  </r>
  <r>
    <x v="7"/>
    <x v="178"/>
    <x v="0"/>
    <m/>
    <m/>
    <m/>
    <m/>
    <n v="30000"/>
    <m/>
  </r>
  <r>
    <x v="7"/>
    <x v="179"/>
    <x v="0"/>
    <m/>
    <m/>
    <m/>
    <m/>
    <n v="10350"/>
    <m/>
  </r>
  <r>
    <x v="7"/>
    <x v="180"/>
    <x v="0"/>
    <m/>
    <m/>
    <m/>
    <m/>
    <n v="32400"/>
    <m/>
  </r>
  <r>
    <x v="7"/>
    <x v="181"/>
    <x v="0"/>
    <m/>
    <m/>
    <m/>
    <m/>
    <n v="69930"/>
    <m/>
  </r>
  <r>
    <x v="7"/>
    <x v="182"/>
    <x v="0"/>
    <m/>
    <m/>
    <m/>
    <m/>
    <n v="107000"/>
    <m/>
  </r>
  <r>
    <x v="7"/>
    <x v="183"/>
    <x v="1"/>
    <m/>
    <m/>
    <m/>
    <m/>
    <n v="8400"/>
    <m/>
  </r>
  <r>
    <x v="7"/>
    <x v="184"/>
    <x v="0"/>
    <m/>
    <m/>
    <m/>
    <m/>
    <n v="62850"/>
    <m/>
  </r>
  <r>
    <x v="7"/>
    <x v="185"/>
    <x v="2"/>
    <m/>
    <m/>
    <m/>
    <m/>
    <n v="13500"/>
    <m/>
  </r>
  <r>
    <x v="7"/>
    <x v="185"/>
    <x v="0"/>
    <m/>
    <m/>
    <m/>
    <m/>
    <n v="48000"/>
    <m/>
  </r>
  <r>
    <x v="7"/>
    <x v="186"/>
    <x v="0"/>
    <m/>
    <m/>
    <m/>
    <m/>
    <n v="8400"/>
    <m/>
  </r>
  <r>
    <x v="7"/>
    <x v="187"/>
    <x v="0"/>
    <m/>
    <m/>
    <m/>
    <m/>
    <n v="21077"/>
    <m/>
  </r>
  <r>
    <x v="7"/>
    <x v="155"/>
    <x v="2"/>
    <m/>
    <m/>
    <m/>
    <m/>
    <n v="26372"/>
    <m/>
  </r>
  <r>
    <x v="7"/>
    <x v="155"/>
    <x v="1"/>
    <m/>
    <m/>
    <m/>
    <m/>
    <n v="8000"/>
    <m/>
  </r>
  <r>
    <x v="8"/>
    <x v="188"/>
    <x v="0"/>
    <n v="0"/>
    <n v="-1188"/>
    <m/>
    <n v="1512"/>
    <n v="9000"/>
    <m/>
  </r>
  <r>
    <x v="8"/>
    <x v="189"/>
    <x v="0"/>
    <m/>
    <n v="-1188"/>
    <m/>
    <m/>
    <n v="27000"/>
    <m/>
  </r>
  <r>
    <x v="8"/>
    <x v="190"/>
    <x v="0"/>
    <m/>
    <n v="-108000"/>
    <m/>
    <m/>
    <m/>
    <m/>
  </r>
  <r>
    <x v="8"/>
    <x v="191"/>
    <x v="0"/>
    <m/>
    <n v="-1188"/>
    <m/>
    <n v="158000"/>
    <n v="12000"/>
    <m/>
  </r>
  <r>
    <x v="8"/>
    <x v="192"/>
    <x v="0"/>
    <m/>
    <n v="-4800"/>
    <m/>
    <m/>
    <m/>
    <m/>
  </r>
  <r>
    <x v="8"/>
    <x v="193"/>
    <x v="0"/>
    <m/>
    <n v="-2400"/>
    <m/>
    <n v="9612"/>
    <m/>
    <m/>
  </r>
  <r>
    <x v="8"/>
    <x v="194"/>
    <x v="0"/>
    <m/>
    <n v="-15450"/>
    <m/>
    <m/>
    <m/>
    <m/>
  </r>
  <r>
    <x v="8"/>
    <x v="195"/>
    <x v="0"/>
    <m/>
    <n v="-7200"/>
    <m/>
    <m/>
    <m/>
    <m/>
  </r>
  <r>
    <x v="8"/>
    <x v="196"/>
    <x v="0"/>
    <m/>
    <n v="-3000"/>
    <m/>
    <n v="37800"/>
    <n v="144376"/>
    <m/>
  </r>
  <r>
    <x v="8"/>
    <x v="197"/>
    <x v="0"/>
    <m/>
    <m/>
    <n v="-51375"/>
    <n v="29625"/>
    <m/>
    <m/>
  </r>
  <r>
    <x v="8"/>
    <x v="198"/>
    <x v="0"/>
    <m/>
    <m/>
    <m/>
    <n v="19800"/>
    <m/>
    <m/>
  </r>
  <r>
    <x v="8"/>
    <x v="199"/>
    <x v="0"/>
    <m/>
    <m/>
    <m/>
    <n v="312"/>
    <m/>
    <m/>
  </r>
  <r>
    <x v="8"/>
    <x v="189"/>
    <x v="1"/>
    <m/>
    <m/>
    <m/>
    <n v="1260"/>
    <m/>
    <m/>
  </r>
  <r>
    <x v="8"/>
    <x v="200"/>
    <x v="0"/>
    <m/>
    <m/>
    <m/>
    <n v="6000"/>
    <m/>
    <m/>
  </r>
  <r>
    <x v="8"/>
    <x v="201"/>
    <x v="0"/>
    <m/>
    <m/>
    <m/>
    <n v="6000"/>
    <n v="19108"/>
    <m/>
  </r>
  <r>
    <x v="8"/>
    <x v="202"/>
    <x v="0"/>
    <m/>
    <m/>
    <m/>
    <n v="45700"/>
    <n v="15000"/>
    <m/>
  </r>
  <r>
    <x v="8"/>
    <x v="203"/>
    <x v="0"/>
    <m/>
    <m/>
    <m/>
    <n v="1312"/>
    <m/>
    <m/>
  </r>
  <r>
    <x v="8"/>
    <x v="204"/>
    <x v="0"/>
    <m/>
    <m/>
    <m/>
    <n v="3600"/>
    <n v="79200"/>
    <m/>
  </r>
  <r>
    <x v="8"/>
    <x v="205"/>
    <x v="0"/>
    <m/>
    <m/>
    <m/>
    <n v="46350"/>
    <n v="63900"/>
    <m/>
  </r>
  <r>
    <x v="8"/>
    <x v="206"/>
    <x v="0"/>
    <m/>
    <m/>
    <m/>
    <m/>
    <n v="8400"/>
    <m/>
  </r>
  <r>
    <x v="8"/>
    <x v="207"/>
    <x v="0"/>
    <m/>
    <m/>
    <m/>
    <m/>
    <n v="15000"/>
    <m/>
  </r>
  <r>
    <x v="8"/>
    <x v="208"/>
    <x v="0"/>
    <m/>
    <m/>
    <m/>
    <m/>
    <n v="12000"/>
    <m/>
  </r>
  <r>
    <x v="8"/>
    <x v="209"/>
    <x v="0"/>
    <m/>
    <m/>
    <m/>
    <m/>
    <n v="18000"/>
    <m/>
  </r>
  <r>
    <x v="8"/>
    <x v="210"/>
    <x v="0"/>
    <m/>
    <m/>
    <m/>
    <m/>
    <n v="10500"/>
    <m/>
  </r>
  <r>
    <x v="8"/>
    <x v="211"/>
    <x v="0"/>
    <m/>
    <m/>
    <m/>
    <m/>
    <n v="50000"/>
    <m/>
  </r>
  <r>
    <x v="8"/>
    <x v="212"/>
    <x v="0"/>
    <m/>
    <m/>
    <m/>
    <m/>
    <n v="31050"/>
    <m/>
  </r>
  <r>
    <x v="8"/>
    <x v="213"/>
    <x v="1"/>
    <m/>
    <m/>
    <m/>
    <m/>
    <n v="12000"/>
    <m/>
  </r>
  <r>
    <x v="8"/>
    <x v="213"/>
    <x v="0"/>
    <m/>
    <m/>
    <m/>
    <m/>
    <n v="30077"/>
    <m/>
  </r>
  <r>
    <x v="8"/>
    <x v="214"/>
    <x v="0"/>
    <m/>
    <m/>
    <m/>
    <m/>
    <n v="72000"/>
    <m/>
  </r>
  <r>
    <x v="8"/>
    <x v="215"/>
    <x v="1"/>
    <m/>
    <m/>
    <m/>
    <m/>
    <n v="16913"/>
    <m/>
  </r>
  <r>
    <x v="8"/>
    <x v="216"/>
    <x v="0"/>
    <m/>
    <m/>
    <m/>
    <m/>
    <n v="10286"/>
    <m/>
  </r>
  <r>
    <x v="8"/>
    <x v="217"/>
    <x v="0"/>
    <m/>
    <m/>
    <m/>
    <m/>
    <n v="109500"/>
    <m/>
  </r>
  <r>
    <x v="8"/>
    <x v="218"/>
    <x v="0"/>
    <m/>
    <m/>
    <m/>
    <m/>
    <n v="12000"/>
    <m/>
  </r>
  <r>
    <x v="8"/>
    <x v="201"/>
    <x v="1"/>
    <m/>
    <m/>
    <m/>
    <m/>
    <n v="18166"/>
    <m/>
  </r>
  <r>
    <x v="8"/>
    <x v="203"/>
    <x v="1"/>
    <m/>
    <m/>
    <m/>
    <m/>
    <n v="9000"/>
    <m/>
  </r>
  <r>
    <x v="8"/>
    <x v="219"/>
    <x v="0"/>
    <m/>
    <m/>
    <m/>
    <m/>
    <n v="9000"/>
    <m/>
  </r>
  <r>
    <x v="8"/>
    <x v="220"/>
    <x v="0"/>
    <m/>
    <m/>
    <m/>
    <m/>
    <n v="30000"/>
    <m/>
  </r>
  <r>
    <x v="8"/>
    <x v="221"/>
    <x v="0"/>
    <m/>
    <m/>
    <m/>
    <m/>
    <n v="19125"/>
    <m/>
  </r>
  <r>
    <x v="8"/>
    <x v="222"/>
    <x v="0"/>
    <m/>
    <m/>
    <m/>
    <m/>
    <n v="17465"/>
    <m/>
  </r>
  <r>
    <x v="8"/>
    <x v="223"/>
    <x v="0"/>
    <m/>
    <m/>
    <m/>
    <m/>
    <n v="9000"/>
    <m/>
  </r>
  <r>
    <x v="8"/>
    <x v="224"/>
    <x v="0"/>
    <m/>
    <m/>
    <m/>
    <m/>
    <n v="12000"/>
    <m/>
  </r>
  <r>
    <x v="8"/>
    <x v="225"/>
    <x v="0"/>
    <m/>
    <m/>
    <m/>
    <m/>
    <n v="20250"/>
    <m/>
  </r>
  <r>
    <x v="8"/>
    <x v="226"/>
    <x v="0"/>
    <m/>
    <m/>
    <m/>
    <m/>
    <n v="8400"/>
    <m/>
  </r>
  <r>
    <x v="8"/>
    <x v="205"/>
    <x v="2"/>
    <m/>
    <m/>
    <m/>
    <m/>
    <n v="12000"/>
    <m/>
  </r>
  <r>
    <x v="9"/>
    <x v="227"/>
    <x v="0"/>
    <m/>
    <n v="-1188"/>
    <m/>
    <m/>
    <m/>
    <m/>
  </r>
  <r>
    <x v="9"/>
    <x v="228"/>
    <x v="0"/>
    <m/>
    <n v="-11988"/>
    <m/>
    <n v="4200"/>
    <m/>
    <m/>
  </r>
  <r>
    <x v="9"/>
    <x v="229"/>
    <x v="1"/>
    <m/>
    <n v="-1440"/>
    <m/>
    <m/>
    <m/>
    <m/>
  </r>
  <r>
    <x v="9"/>
    <x v="230"/>
    <x v="0"/>
    <m/>
    <n v="-4800"/>
    <m/>
    <m/>
    <m/>
    <m/>
  </r>
  <r>
    <x v="9"/>
    <x v="231"/>
    <x v="0"/>
    <m/>
    <n v="-3000"/>
    <m/>
    <m/>
    <n v="15000"/>
    <m/>
  </r>
  <r>
    <x v="9"/>
    <x v="232"/>
    <x v="0"/>
    <m/>
    <n v="-24000"/>
    <m/>
    <n v="274150"/>
    <n v="257300"/>
    <m/>
  </r>
  <r>
    <x v="9"/>
    <x v="233"/>
    <x v="0"/>
    <m/>
    <n v="-4200"/>
    <m/>
    <n v="35200"/>
    <n v="24600"/>
    <m/>
  </r>
  <r>
    <x v="9"/>
    <x v="234"/>
    <x v="0"/>
    <m/>
    <n v="-6000"/>
    <m/>
    <m/>
    <m/>
    <m/>
  </r>
  <r>
    <x v="9"/>
    <x v="235"/>
    <x v="0"/>
    <m/>
    <n v="-3000"/>
    <m/>
    <m/>
    <m/>
    <m/>
  </r>
  <r>
    <x v="9"/>
    <x v="236"/>
    <x v="0"/>
    <m/>
    <m/>
    <n v="-4800"/>
    <n v="4380"/>
    <m/>
    <m/>
  </r>
  <r>
    <x v="9"/>
    <x v="237"/>
    <x v="0"/>
    <m/>
    <m/>
    <n v="-2250"/>
    <m/>
    <m/>
    <m/>
  </r>
  <r>
    <x v="9"/>
    <x v="238"/>
    <x v="0"/>
    <m/>
    <m/>
    <m/>
    <n v="5400"/>
    <m/>
    <m/>
  </r>
  <r>
    <x v="9"/>
    <x v="239"/>
    <x v="0"/>
    <m/>
    <m/>
    <m/>
    <n v="1080"/>
    <m/>
    <m/>
  </r>
  <r>
    <x v="9"/>
    <x v="240"/>
    <x v="0"/>
    <m/>
    <m/>
    <m/>
    <n v="7560"/>
    <m/>
    <m/>
  </r>
  <r>
    <x v="9"/>
    <x v="241"/>
    <x v="0"/>
    <m/>
    <m/>
    <m/>
    <n v="1500"/>
    <m/>
    <m/>
  </r>
  <r>
    <x v="9"/>
    <x v="242"/>
    <x v="0"/>
    <m/>
    <m/>
    <m/>
    <n v="1200"/>
    <n v="12000"/>
    <m/>
  </r>
  <r>
    <x v="9"/>
    <x v="243"/>
    <x v="0"/>
    <m/>
    <m/>
    <m/>
    <n v="2400"/>
    <n v="9450"/>
    <m/>
  </r>
  <r>
    <x v="9"/>
    <x v="244"/>
    <x v="0"/>
    <m/>
    <m/>
    <m/>
    <n v="10200"/>
    <m/>
    <m/>
  </r>
  <r>
    <x v="9"/>
    <x v="245"/>
    <x v="0"/>
    <m/>
    <m/>
    <m/>
    <n v="7200"/>
    <n v="13500"/>
    <m/>
  </r>
  <r>
    <x v="9"/>
    <x v="246"/>
    <x v="0"/>
    <m/>
    <m/>
    <m/>
    <n v="6000"/>
    <n v="8400"/>
    <m/>
  </r>
  <r>
    <x v="9"/>
    <x v="247"/>
    <x v="0"/>
    <m/>
    <m/>
    <m/>
    <n v="24000"/>
    <n v="12000"/>
    <m/>
  </r>
  <r>
    <x v="9"/>
    <x v="248"/>
    <x v="0"/>
    <m/>
    <m/>
    <m/>
    <n v="900"/>
    <n v="12000"/>
    <m/>
  </r>
  <r>
    <x v="9"/>
    <x v="249"/>
    <x v="0"/>
    <m/>
    <m/>
    <m/>
    <n v="59996"/>
    <m/>
    <m/>
  </r>
  <r>
    <x v="9"/>
    <x v="250"/>
    <x v="0"/>
    <m/>
    <m/>
    <m/>
    <n v="22200"/>
    <n v="37500"/>
    <m/>
  </r>
  <r>
    <x v="9"/>
    <x v="232"/>
    <x v="1"/>
    <m/>
    <m/>
    <m/>
    <n v="900"/>
    <m/>
    <m/>
  </r>
  <r>
    <x v="9"/>
    <x v="251"/>
    <x v="0"/>
    <m/>
    <m/>
    <m/>
    <n v="3000"/>
    <m/>
    <m/>
  </r>
  <r>
    <x v="9"/>
    <x v="252"/>
    <x v="0"/>
    <m/>
    <m/>
    <m/>
    <n v="87000"/>
    <m/>
    <m/>
  </r>
  <r>
    <x v="9"/>
    <x v="253"/>
    <x v="0"/>
    <m/>
    <m/>
    <m/>
    <n v="1260"/>
    <m/>
    <m/>
  </r>
  <r>
    <x v="9"/>
    <x v="254"/>
    <x v="0"/>
    <m/>
    <m/>
    <m/>
    <n v="2700"/>
    <n v="72000"/>
    <m/>
  </r>
  <r>
    <x v="9"/>
    <x v="255"/>
    <x v="0"/>
    <m/>
    <m/>
    <m/>
    <n v="2000"/>
    <m/>
    <m/>
  </r>
  <r>
    <x v="9"/>
    <x v="256"/>
    <x v="0"/>
    <m/>
    <m/>
    <m/>
    <n v="2100"/>
    <m/>
    <m/>
  </r>
  <r>
    <x v="9"/>
    <x v="257"/>
    <x v="0"/>
    <m/>
    <m/>
    <m/>
    <n v="13500"/>
    <n v="12000"/>
    <m/>
  </r>
  <r>
    <x v="9"/>
    <x v="258"/>
    <x v="0"/>
    <m/>
    <m/>
    <m/>
    <n v="30000"/>
    <m/>
    <m/>
  </r>
  <r>
    <x v="9"/>
    <x v="259"/>
    <x v="0"/>
    <m/>
    <m/>
    <m/>
    <n v="51450"/>
    <n v="165500"/>
    <m/>
  </r>
  <r>
    <x v="9"/>
    <x v="260"/>
    <x v="0"/>
    <m/>
    <m/>
    <m/>
    <m/>
    <n v="12000"/>
    <m/>
  </r>
  <r>
    <x v="9"/>
    <x v="261"/>
    <x v="0"/>
    <m/>
    <m/>
    <m/>
    <m/>
    <n v="25500"/>
    <m/>
  </r>
  <r>
    <x v="9"/>
    <x v="262"/>
    <x v="0"/>
    <m/>
    <m/>
    <m/>
    <m/>
    <n v="12000"/>
    <m/>
  </r>
  <r>
    <x v="9"/>
    <x v="263"/>
    <x v="1"/>
    <m/>
    <m/>
    <m/>
    <m/>
    <n v="12000"/>
    <m/>
  </r>
  <r>
    <x v="9"/>
    <x v="263"/>
    <x v="0"/>
    <m/>
    <m/>
    <m/>
    <m/>
    <n v="12000"/>
    <m/>
  </r>
  <r>
    <x v="9"/>
    <x v="264"/>
    <x v="0"/>
    <m/>
    <m/>
    <m/>
    <m/>
    <n v="28200"/>
    <m/>
  </r>
  <r>
    <x v="9"/>
    <x v="265"/>
    <x v="0"/>
    <m/>
    <m/>
    <m/>
    <m/>
    <n v="19286"/>
    <m/>
  </r>
  <r>
    <x v="9"/>
    <x v="266"/>
    <x v="0"/>
    <m/>
    <m/>
    <m/>
    <m/>
    <n v="27000"/>
    <m/>
  </r>
  <r>
    <x v="9"/>
    <x v="267"/>
    <x v="0"/>
    <m/>
    <m/>
    <m/>
    <m/>
    <n v="15000"/>
    <m/>
  </r>
  <r>
    <x v="9"/>
    <x v="268"/>
    <x v="0"/>
    <m/>
    <m/>
    <m/>
    <m/>
    <n v="101900"/>
    <m/>
  </r>
  <r>
    <x v="9"/>
    <x v="236"/>
    <x v="1"/>
    <m/>
    <m/>
    <m/>
    <m/>
    <n v="12000"/>
    <m/>
  </r>
  <r>
    <x v="9"/>
    <x v="245"/>
    <x v="1"/>
    <m/>
    <m/>
    <m/>
    <m/>
    <n v="9000"/>
    <m/>
  </r>
  <r>
    <x v="9"/>
    <x v="269"/>
    <x v="0"/>
    <m/>
    <m/>
    <m/>
    <m/>
    <n v="22000"/>
    <m/>
  </r>
  <r>
    <x v="9"/>
    <x v="270"/>
    <x v="0"/>
    <m/>
    <m/>
    <m/>
    <m/>
    <n v="12600"/>
    <m/>
  </r>
  <r>
    <x v="9"/>
    <x v="232"/>
    <x v="2"/>
    <m/>
    <m/>
    <m/>
    <m/>
    <n v="13561"/>
    <m/>
  </r>
  <r>
    <x v="9"/>
    <x v="271"/>
    <x v="0"/>
    <m/>
    <m/>
    <m/>
    <m/>
    <n v="15000"/>
    <m/>
  </r>
  <r>
    <x v="9"/>
    <x v="272"/>
    <x v="0"/>
    <m/>
    <m/>
    <m/>
    <m/>
    <n v="13800"/>
    <m/>
  </r>
  <r>
    <x v="9"/>
    <x v="255"/>
    <x v="1"/>
    <m/>
    <m/>
    <m/>
    <m/>
    <n v="25739"/>
    <m/>
  </r>
  <r>
    <x v="9"/>
    <x v="273"/>
    <x v="1"/>
    <m/>
    <m/>
    <m/>
    <m/>
    <n v="2606"/>
    <m/>
  </r>
  <r>
    <x v="9"/>
    <x v="273"/>
    <x v="0"/>
    <m/>
    <m/>
    <m/>
    <m/>
    <n v="15000"/>
    <m/>
  </r>
  <r>
    <x v="9"/>
    <x v="259"/>
    <x v="2"/>
    <m/>
    <m/>
    <m/>
    <m/>
    <n v="46080"/>
    <m/>
  </r>
  <r>
    <x v="9"/>
    <x v="259"/>
    <x v="1"/>
    <m/>
    <m/>
    <m/>
    <m/>
    <n v="10800"/>
    <m/>
  </r>
  <r>
    <x v="9"/>
    <x v="274"/>
    <x v="0"/>
    <m/>
    <m/>
    <m/>
    <m/>
    <n v="12000"/>
    <m/>
  </r>
  <r>
    <x v="10"/>
    <x v="275"/>
    <x v="0"/>
    <n v="0"/>
    <m/>
    <m/>
    <m/>
    <m/>
    <m/>
  </r>
  <r>
    <x v="10"/>
    <x v="276"/>
    <x v="0"/>
    <m/>
    <n v="-10800"/>
    <m/>
    <n v="24600"/>
    <m/>
    <m/>
  </r>
  <r>
    <x v="10"/>
    <x v="277"/>
    <x v="0"/>
    <m/>
    <n v="-4200"/>
    <m/>
    <n v="5484"/>
    <m/>
    <m/>
  </r>
  <r>
    <x v="10"/>
    <x v="278"/>
    <x v="1"/>
    <m/>
    <n v="-12001"/>
    <m/>
    <m/>
    <m/>
    <m/>
  </r>
  <r>
    <x v="10"/>
    <x v="279"/>
    <x v="0"/>
    <m/>
    <n v="-6000"/>
    <n v="-1500"/>
    <m/>
    <n v="17000"/>
    <m/>
  </r>
  <r>
    <x v="10"/>
    <x v="280"/>
    <x v="0"/>
    <m/>
    <n v="-6000"/>
    <m/>
    <m/>
    <n v="22501"/>
    <m/>
  </r>
  <r>
    <x v="10"/>
    <x v="281"/>
    <x v="0"/>
    <m/>
    <n v="-12750"/>
    <m/>
    <n v="160000"/>
    <n v="232650"/>
    <m/>
  </r>
  <r>
    <x v="10"/>
    <x v="282"/>
    <x v="0"/>
    <m/>
    <m/>
    <n v="-5000"/>
    <m/>
    <n v="20000"/>
    <m/>
  </r>
  <r>
    <x v="10"/>
    <x v="283"/>
    <x v="0"/>
    <m/>
    <m/>
    <m/>
    <n v="654"/>
    <m/>
    <m/>
  </r>
  <r>
    <x v="10"/>
    <x v="284"/>
    <x v="0"/>
    <m/>
    <m/>
    <m/>
    <n v="15500"/>
    <n v="40000"/>
    <m/>
  </r>
  <r>
    <x v="10"/>
    <x v="285"/>
    <x v="0"/>
    <m/>
    <m/>
    <m/>
    <n v="51160"/>
    <n v="33000"/>
    <m/>
  </r>
  <r>
    <x v="10"/>
    <x v="286"/>
    <x v="0"/>
    <m/>
    <m/>
    <m/>
    <n v="2200"/>
    <m/>
    <m/>
  </r>
  <r>
    <x v="10"/>
    <x v="282"/>
    <x v="2"/>
    <m/>
    <m/>
    <m/>
    <n v="300"/>
    <m/>
    <m/>
  </r>
  <r>
    <x v="10"/>
    <x v="287"/>
    <x v="0"/>
    <m/>
    <m/>
    <m/>
    <n v="4800"/>
    <m/>
    <m/>
  </r>
  <r>
    <x v="10"/>
    <x v="288"/>
    <x v="0"/>
    <m/>
    <m/>
    <m/>
    <n v="73748"/>
    <n v="12000"/>
    <m/>
  </r>
  <r>
    <x v="10"/>
    <x v="289"/>
    <x v="0"/>
    <m/>
    <m/>
    <m/>
    <n v="10500"/>
    <n v="27000"/>
    <m/>
  </r>
  <r>
    <x v="10"/>
    <x v="290"/>
    <x v="1"/>
    <m/>
    <m/>
    <m/>
    <n v="1800"/>
    <m/>
    <m/>
  </r>
  <r>
    <x v="10"/>
    <x v="290"/>
    <x v="0"/>
    <m/>
    <m/>
    <m/>
    <n v="7800"/>
    <m/>
    <m/>
  </r>
  <r>
    <x v="10"/>
    <x v="291"/>
    <x v="0"/>
    <m/>
    <m/>
    <m/>
    <n v="2500"/>
    <m/>
    <m/>
  </r>
  <r>
    <x v="10"/>
    <x v="292"/>
    <x v="1"/>
    <m/>
    <m/>
    <m/>
    <n v="6500"/>
    <m/>
    <m/>
  </r>
  <r>
    <x v="10"/>
    <x v="292"/>
    <x v="0"/>
    <m/>
    <m/>
    <m/>
    <n v="6750"/>
    <n v="30000"/>
    <m/>
  </r>
  <r>
    <x v="10"/>
    <x v="293"/>
    <x v="0"/>
    <m/>
    <m/>
    <m/>
    <n v="11500"/>
    <n v="12000"/>
    <m/>
  </r>
  <r>
    <x v="10"/>
    <x v="294"/>
    <x v="0"/>
    <m/>
    <m/>
    <m/>
    <n v="1800"/>
    <m/>
    <m/>
  </r>
  <r>
    <x v="10"/>
    <x v="295"/>
    <x v="0"/>
    <m/>
    <m/>
    <m/>
    <n v="22250"/>
    <n v="30000"/>
    <m/>
  </r>
  <r>
    <x v="10"/>
    <x v="296"/>
    <x v="0"/>
    <m/>
    <m/>
    <m/>
    <n v="1500"/>
    <m/>
    <m/>
  </r>
  <r>
    <x v="10"/>
    <x v="297"/>
    <x v="0"/>
    <m/>
    <m/>
    <m/>
    <n v="4800"/>
    <m/>
    <m/>
  </r>
  <r>
    <x v="10"/>
    <x v="298"/>
    <x v="0"/>
    <m/>
    <m/>
    <m/>
    <n v="18000"/>
    <m/>
    <m/>
  </r>
  <r>
    <x v="10"/>
    <x v="299"/>
    <x v="0"/>
    <m/>
    <m/>
    <m/>
    <n v="167500"/>
    <m/>
    <m/>
  </r>
  <r>
    <x v="10"/>
    <x v="300"/>
    <x v="0"/>
    <m/>
    <m/>
    <m/>
    <n v="1946"/>
    <m/>
    <m/>
  </r>
  <r>
    <x v="10"/>
    <x v="301"/>
    <x v="0"/>
    <m/>
    <m/>
    <m/>
    <n v="25200"/>
    <n v="38000"/>
    <m/>
  </r>
  <r>
    <x v="10"/>
    <x v="302"/>
    <x v="0"/>
    <m/>
    <m/>
    <m/>
    <m/>
    <n v="6000"/>
    <m/>
  </r>
  <r>
    <x v="10"/>
    <x v="303"/>
    <x v="0"/>
    <m/>
    <m/>
    <m/>
    <m/>
    <n v="12000"/>
    <m/>
  </r>
  <r>
    <x v="10"/>
    <x v="304"/>
    <x v="0"/>
    <m/>
    <m/>
    <m/>
    <m/>
    <n v="62206"/>
    <m/>
  </r>
  <r>
    <x v="10"/>
    <x v="278"/>
    <x v="0"/>
    <m/>
    <m/>
    <m/>
    <m/>
    <n v="10000"/>
    <m/>
  </r>
  <r>
    <x v="10"/>
    <x v="288"/>
    <x v="2"/>
    <m/>
    <m/>
    <m/>
    <m/>
    <n v="10000"/>
    <m/>
  </r>
  <r>
    <x v="10"/>
    <x v="288"/>
    <x v="1"/>
    <m/>
    <m/>
    <m/>
    <m/>
    <n v="13509"/>
    <m/>
  </r>
  <r>
    <x v="10"/>
    <x v="305"/>
    <x v="0"/>
    <m/>
    <m/>
    <m/>
    <m/>
    <n v="18000"/>
    <m/>
  </r>
  <r>
    <x v="10"/>
    <x v="306"/>
    <x v="2"/>
    <m/>
    <m/>
    <m/>
    <m/>
    <n v="24642"/>
    <m/>
  </r>
  <r>
    <x v="10"/>
    <x v="306"/>
    <x v="0"/>
    <m/>
    <m/>
    <m/>
    <m/>
    <n v="12000"/>
    <m/>
  </r>
  <r>
    <x v="10"/>
    <x v="307"/>
    <x v="0"/>
    <m/>
    <m/>
    <m/>
    <m/>
    <n v="13500"/>
    <m/>
  </r>
  <r>
    <x v="10"/>
    <x v="308"/>
    <x v="0"/>
    <m/>
    <m/>
    <m/>
    <m/>
    <n v="58000"/>
    <m/>
  </r>
  <r>
    <x v="10"/>
    <x v="279"/>
    <x v="1"/>
    <m/>
    <m/>
    <m/>
    <m/>
    <n v="6000"/>
    <m/>
  </r>
  <r>
    <x v="10"/>
    <x v="309"/>
    <x v="0"/>
    <m/>
    <m/>
    <m/>
    <m/>
    <n v="64000"/>
    <m/>
  </r>
  <r>
    <x v="10"/>
    <x v="310"/>
    <x v="0"/>
    <m/>
    <m/>
    <m/>
    <m/>
    <n v="18000"/>
    <m/>
  </r>
  <r>
    <x v="10"/>
    <x v="311"/>
    <x v="1"/>
    <m/>
    <m/>
    <m/>
    <m/>
    <n v="45000"/>
    <m/>
  </r>
  <r>
    <x v="10"/>
    <x v="312"/>
    <x v="0"/>
    <m/>
    <m/>
    <m/>
    <m/>
    <n v="46000"/>
    <m/>
  </r>
  <r>
    <x v="10"/>
    <x v="313"/>
    <x v="0"/>
    <m/>
    <m/>
    <m/>
    <m/>
    <n v="16200"/>
    <m/>
  </r>
  <r>
    <x v="10"/>
    <x v="314"/>
    <x v="0"/>
    <m/>
    <m/>
    <m/>
    <m/>
    <n v="30000"/>
    <m/>
  </r>
  <r>
    <x v="10"/>
    <x v="315"/>
    <x v="1"/>
    <m/>
    <m/>
    <m/>
    <m/>
    <n v="18000"/>
    <m/>
  </r>
  <r>
    <x v="10"/>
    <x v="315"/>
    <x v="0"/>
    <m/>
    <m/>
    <m/>
    <m/>
    <n v="35500"/>
    <m/>
  </r>
  <r>
    <x v="10"/>
    <x v="316"/>
    <x v="0"/>
    <m/>
    <m/>
    <m/>
    <m/>
    <n v="89800"/>
    <m/>
  </r>
  <r>
    <x v="11"/>
    <x v="317"/>
    <x v="0"/>
    <m/>
    <n v="-11076"/>
    <m/>
    <n v="66572"/>
    <n v="9000"/>
    <m/>
  </r>
  <r>
    <x v="11"/>
    <x v="318"/>
    <x v="0"/>
    <m/>
    <n v="-4800"/>
    <m/>
    <n v="12200"/>
    <n v="81063"/>
    <m/>
  </r>
  <r>
    <x v="11"/>
    <x v="319"/>
    <x v="0"/>
    <m/>
    <n v="-1800"/>
    <m/>
    <m/>
    <m/>
    <m/>
  </r>
  <r>
    <x v="11"/>
    <x v="320"/>
    <x v="0"/>
    <m/>
    <n v="-10286"/>
    <m/>
    <m/>
    <m/>
    <m/>
  </r>
  <r>
    <x v="11"/>
    <x v="321"/>
    <x v="0"/>
    <m/>
    <n v="-32400"/>
    <m/>
    <m/>
    <m/>
    <m/>
  </r>
  <r>
    <x v="11"/>
    <x v="322"/>
    <x v="2"/>
    <m/>
    <n v="-26372"/>
    <m/>
    <n v="120000"/>
    <m/>
    <m/>
  </r>
  <r>
    <x v="11"/>
    <x v="322"/>
    <x v="0"/>
    <m/>
    <n v="-21000"/>
    <n v="-4000"/>
    <n v="51050"/>
    <n v="200449"/>
    <m/>
  </r>
  <r>
    <x v="11"/>
    <x v="323"/>
    <x v="0"/>
    <m/>
    <m/>
    <n v="-3000"/>
    <m/>
    <m/>
    <m/>
  </r>
  <r>
    <x v="11"/>
    <x v="324"/>
    <x v="0"/>
    <m/>
    <m/>
    <m/>
    <n v="24000"/>
    <m/>
    <m/>
  </r>
  <r>
    <x v="11"/>
    <x v="325"/>
    <x v="0"/>
    <m/>
    <m/>
    <m/>
    <n v="5250"/>
    <m/>
    <m/>
  </r>
  <r>
    <x v="11"/>
    <x v="326"/>
    <x v="0"/>
    <m/>
    <m/>
    <m/>
    <n v="9095"/>
    <m/>
    <m/>
  </r>
  <r>
    <x v="11"/>
    <x v="327"/>
    <x v="3"/>
    <m/>
    <m/>
    <m/>
    <n v="8300"/>
    <m/>
    <m/>
  </r>
  <r>
    <x v="11"/>
    <x v="328"/>
    <x v="0"/>
    <m/>
    <m/>
    <m/>
    <n v="8940"/>
    <n v="12000"/>
    <m/>
  </r>
  <r>
    <x v="11"/>
    <x v="329"/>
    <x v="0"/>
    <m/>
    <m/>
    <m/>
    <n v="7000"/>
    <m/>
    <m/>
  </r>
  <r>
    <x v="11"/>
    <x v="330"/>
    <x v="0"/>
    <m/>
    <m/>
    <m/>
    <n v="26500"/>
    <n v="36000"/>
    <m/>
  </r>
  <r>
    <x v="11"/>
    <x v="331"/>
    <x v="0"/>
    <m/>
    <m/>
    <m/>
    <n v="1200"/>
    <m/>
    <m/>
  </r>
  <r>
    <x v="11"/>
    <x v="332"/>
    <x v="0"/>
    <m/>
    <m/>
    <m/>
    <n v="780"/>
    <m/>
    <m/>
  </r>
  <r>
    <x v="11"/>
    <x v="333"/>
    <x v="0"/>
    <m/>
    <m/>
    <m/>
    <n v="7500"/>
    <n v="38000"/>
    <m/>
  </r>
  <r>
    <x v="11"/>
    <x v="334"/>
    <x v="0"/>
    <m/>
    <m/>
    <m/>
    <n v="63100"/>
    <m/>
    <m/>
  </r>
  <r>
    <x v="11"/>
    <x v="335"/>
    <x v="0"/>
    <m/>
    <m/>
    <m/>
    <n v="51000"/>
    <n v="30000"/>
    <m/>
  </r>
  <r>
    <x v="11"/>
    <x v="336"/>
    <x v="0"/>
    <m/>
    <m/>
    <m/>
    <n v="2400"/>
    <m/>
    <m/>
  </r>
  <r>
    <x v="11"/>
    <x v="337"/>
    <x v="0"/>
    <m/>
    <m/>
    <m/>
    <n v="21100"/>
    <m/>
    <m/>
  </r>
  <r>
    <x v="11"/>
    <x v="338"/>
    <x v="0"/>
    <m/>
    <m/>
    <m/>
    <n v="3600"/>
    <m/>
    <m/>
  </r>
  <r>
    <x v="11"/>
    <x v="339"/>
    <x v="0"/>
    <m/>
    <m/>
    <m/>
    <n v="18000"/>
    <n v="18000"/>
    <m/>
  </r>
  <r>
    <x v="11"/>
    <x v="340"/>
    <x v="0"/>
    <m/>
    <m/>
    <m/>
    <n v="34350"/>
    <m/>
    <m/>
  </r>
  <r>
    <x v="11"/>
    <x v="341"/>
    <x v="0"/>
    <m/>
    <m/>
    <m/>
    <n v="22577"/>
    <m/>
    <m/>
  </r>
  <r>
    <x v="11"/>
    <x v="342"/>
    <x v="0"/>
    <m/>
    <m/>
    <m/>
    <n v="3000"/>
    <n v="55450"/>
    <m/>
  </r>
  <r>
    <x v="11"/>
    <x v="318"/>
    <x v="2"/>
    <m/>
    <m/>
    <m/>
    <n v="10560"/>
    <m/>
    <m/>
  </r>
  <r>
    <x v="11"/>
    <x v="343"/>
    <x v="0"/>
    <m/>
    <m/>
    <m/>
    <n v="10200"/>
    <n v="24000"/>
    <m/>
  </r>
  <r>
    <x v="11"/>
    <x v="344"/>
    <x v="0"/>
    <m/>
    <m/>
    <m/>
    <n v="5400"/>
    <n v="18000"/>
    <m/>
  </r>
  <r>
    <x v="11"/>
    <x v="345"/>
    <x v="0"/>
    <m/>
    <m/>
    <m/>
    <n v="1688"/>
    <n v="18000"/>
    <m/>
  </r>
  <r>
    <x v="11"/>
    <x v="346"/>
    <x v="0"/>
    <m/>
    <m/>
    <m/>
    <n v="2000"/>
    <m/>
    <m/>
  </r>
  <r>
    <x v="11"/>
    <x v="347"/>
    <x v="0"/>
    <m/>
    <m/>
    <m/>
    <n v="9600"/>
    <m/>
    <m/>
  </r>
  <r>
    <x v="11"/>
    <x v="348"/>
    <x v="0"/>
    <m/>
    <m/>
    <m/>
    <n v="1800"/>
    <m/>
    <m/>
  </r>
  <r>
    <x v="11"/>
    <x v="349"/>
    <x v="0"/>
    <m/>
    <m/>
    <m/>
    <n v="5000"/>
    <m/>
    <m/>
  </r>
  <r>
    <x v="11"/>
    <x v="350"/>
    <x v="1"/>
    <m/>
    <m/>
    <m/>
    <n v="9000"/>
    <m/>
    <m/>
  </r>
  <r>
    <x v="11"/>
    <x v="350"/>
    <x v="0"/>
    <m/>
    <m/>
    <m/>
    <n v="56000"/>
    <m/>
    <m/>
  </r>
  <r>
    <x v="11"/>
    <x v="351"/>
    <x v="0"/>
    <m/>
    <m/>
    <m/>
    <n v="122073"/>
    <n v="25000"/>
    <m/>
  </r>
  <r>
    <x v="11"/>
    <x v="352"/>
    <x v="0"/>
    <m/>
    <m/>
    <m/>
    <n v="146959"/>
    <n v="93411"/>
    <m/>
  </r>
  <r>
    <x v="11"/>
    <x v="353"/>
    <x v="0"/>
    <m/>
    <m/>
    <m/>
    <m/>
    <n v="98630"/>
    <m/>
  </r>
  <r>
    <x v="11"/>
    <x v="354"/>
    <x v="0"/>
    <m/>
    <m/>
    <m/>
    <m/>
    <n v="10000"/>
    <m/>
  </r>
  <r>
    <x v="11"/>
    <x v="355"/>
    <x v="0"/>
    <m/>
    <m/>
    <m/>
    <m/>
    <n v="13500"/>
    <m/>
  </r>
  <r>
    <x v="11"/>
    <x v="356"/>
    <x v="1"/>
    <m/>
    <m/>
    <m/>
    <m/>
    <n v="5653"/>
    <m/>
  </r>
  <r>
    <x v="11"/>
    <x v="357"/>
    <x v="0"/>
    <m/>
    <m/>
    <m/>
    <m/>
    <n v="16500"/>
    <m/>
  </r>
  <r>
    <x v="11"/>
    <x v="358"/>
    <x v="0"/>
    <m/>
    <m/>
    <m/>
    <m/>
    <n v="16200"/>
    <m/>
  </r>
  <r>
    <x v="11"/>
    <x v="359"/>
    <x v="0"/>
    <m/>
    <m/>
    <m/>
    <m/>
    <n v="16200"/>
    <m/>
  </r>
  <r>
    <x v="11"/>
    <x v="360"/>
    <x v="0"/>
    <m/>
    <m/>
    <m/>
    <m/>
    <n v="10800"/>
    <m/>
  </r>
  <r>
    <x v="11"/>
    <x v="361"/>
    <x v="0"/>
    <m/>
    <m/>
    <m/>
    <m/>
    <n v="40000"/>
    <m/>
  </r>
  <r>
    <x v="11"/>
    <x v="319"/>
    <x v="1"/>
    <m/>
    <m/>
    <m/>
    <m/>
    <n v="8400"/>
    <m/>
  </r>
  <r>
    <x v="11"/>
    <x v="362"/>
    <x v="0"/>
    <m/>
    <m/>
    <m/>
    <m/>
    <n v="20592"/>
    <m/>
  </r>
  <r>
    <x v="11"/>
    <x v="363"/>
    <x v="0"/>
    <m/>
    <m/>
    <m/>
    <m/>
    <n v="18000"/>
    <m/>
  </r>
  <r>
    <x v="11"/>
    <x v="364"/>
    <x v="0"/>
    <m/>
    <m/>
    <m/>
    <m/>
    <n v="18000"/>
    <m/>
  </r>
  <r>
    <x v="11"/>
    <x v="365"/>
    <x v="0"/>
    <m/>
    <m/>
    <m/>
    <m/>
    <n v="28000"/>
    <m/>
  </r>
  <r>
    <x v="11"/>
    <x v="366"/>
    <x v="0"/>
    <m/>
    <m/>
    <m/>
    <m/>
    <n v="16500"/>
    <m/>
  </r>
  <r>
    <x v="11"/>
    <x v="367"/>
    <x v="0"/>
    <m/>
    <m/>
    <m/>
    <m/>
    <n v="62000"/>
    <m/>
  </r>
  <r>
    <x v="11"/>
    <x v="368"/>
    <x v="0"/>
    <m/>
    <m/>
    <m/>
    <m/>
    <n v="31500"/>
    <m/>
  </r>
  <r>
    <x v="11"/>
    <x v="369"/>
    <x v="1"/>
    <m/>
    <m/>
    <m/>
    <m/>
    <n v="2060"/>
    <m/>
  </r>
  <r>
    <x v="11"/>
    <x v="369"/>
    <x v="0"/>
    <m/>
    <m/>
    <m/>
    <m/>
    <n v="318000"/>
    <m/>
  </r>
  <r>
    <x v="12"/>
    <x v="370"/>
    <x v="0"/>
    <m/>
    <n v="-1188"/>
    <m/>
    <n v="5000"/>
    <m/>
    <m/>
  </r>
  <r>
    <x v="12"/>
    <x v="371"/>
    <x v="1"/>
    <m/>
    <n v="-9660"/>
    <m/>
    <m/>
    <m/>
    <m/>
  </r>
  <r>
    <x v="12"/>
    <x v="372"/>
    <x v="0"/>
    <m/>
    <n v="-1188"/>
    <m/>
    <n v="42071"/>
    <n v="84000"/>
    <m/>
  </r>
  <r>
    <x v="12"/>
    <x v="373"/>
    <x v="0"/>
    <m/>
    <n v="-11077"/>
    <m/>
    <n v="2800"/>
    <m/>
    <m/>
  </r>
  <r>
    <x v="12"/>
    <x v="374"/>
    <x v="0"/>
    <m/>
    <n v="-12000"/>
    <m/>
    <n v="20500"/>
    <n v="10000"/>
    <m/>
  </r>
  <r>
    <x v="12"/>
    <x v="375"/>
    <x v="0"/>
    <m/>
    <n v="-8400"/>
    <m/>
    <n v="54000"/>
    <n v="60000"/>
    <m/>
  </r>
  <r>
    <x v="12"/>
    <x v="376"/>
    <x v="1"/>
    <m/>
    <n v="-5653"/>
    <m/>
    <m/>
    <m/>
    <m/>
  </r>
  <r>
    <x v="12"/>
    <x v="377"/>
    <x v="1"/>
    <m/>
    <n v="-18166"/>
    <m/>
    <m/>
    <m/>
    <m/>
  </r>
  <r>
    <x v="12"/>
    <x v="377"/>
    <x v="0"/>
    <m/>
    <n v="-1500"/>
    <m/>
    <n v="29850"/>
    <m/>
    <m/>
  </r>
  <r>
    <x v="12"/>
    <x v="378"/>
    <x v="1"/>
    <m/>
    <n v="-9000"/>
    <m/>
    <m/>
    <m/>
    <m/>
  </r>
  <r>
    <x v="12"/>
    <x v="379"/>
    <x v="0"/>
    <m/>
    <n v="-8400"/>
    <m/>
    <m/>
    <n v="18000"/>
    <m/>
  </r>
  <r>
    <x v="12"/>
    <x v="380"/>
    <x v="2"/>
    <m/>
    <n v="-12000"/>
    <m/>
    <m/>
    <m/>
    <m/>
  </r>
  <r>
    <x v="12"/>
    <x v="381"/>
    <x v="0"/>
    <m/>
    <n v="-6000"/>
    <m/>
    <n v="33000"/>
    <n v="12000"/>
    <m/>
  </r>
  <r>
    <x v="12"/>
    <x v="382"/>
    <x v="1"/>
    <m/>
    <n v="-2606"/>
    <m/>
    <m/>
    <n v="12500"/>
    <m/>
  </r>
  <r>
    <x v="12"/>
    <x v="382"/>
    <x v="0"/>
    <m/>
    <n v="-57000"/>
    <m/>
    <n v="221600"/>
    <n v="405042"/>
    <m/>
  </r>
  <r>
    <x v="12"/>
    <x v="383"/>
    <x v="1"/>
    <m/>
    <m/>
    <n v="-12000"/>
    <m/>
    <m/>
    <m/>
  </r>
  <r>
    <x v="12"/>
    <x v="384"/>
    <x v="0"/>
    <m/>
    <m/>
    <n v="-2085"/>
    <n v="44000"/>
    <n v="21000"/>
    <m/>
  </r>
  <r>
    <x v="12"/>
    <x v="385"/>
    <x v="0"/>
    <m/>
    <m/>
    <m/>
    <n v="2000"/>
    <m/>
    <m/>
  </r>
  <r>
    <x v="12"/>
    <x v="386"/>
    <x v="0"/>
    <m/>
    <m/>
    <m/>
    <n v="3000"/>
    <m/>
    <m/>
  </r>
  <r>
    <x v="12"/>
    <x v="387"/>
    <x v="0"/>
    <m/>
    <m/>
    <m/>
    <n v="9994"/>
    <m/>
    <m/>
  </r>
  <r>
    <x v="12"/>
    <x v="371"/>
    <x v="0"/>
    <m/>
    <m/>
    <m/>
    <n v="17900"/>
    <m/>
    <m/>
  </r>
  <r>
    <x v="12"/>
    <x v="388"/>
    <x v="0"/>
    <m/>
    <m/>
    <m/>
    <n v="52625"/>
    <m/>
    <m/>
  </r>
  <r>
    <x v="12"/>
    <x v="389"/>
    <x v="0"/>
    <m/>
    <m/>
    <m/>
    <n v="405"/>
    <m/>
    <m/>
  </r>
  <r>
    <x v="12"/>
    <x v="390"/>
    <x v="0"/>
    <m/>
    <m/>
    <m/>
    <n v="40500"/>
    <n v="19900"/>
    <m/>
  </r>
  <r>
    <x v="12"/>
    <x v="391"/>
    <x v="0"/>
    <m/>
    <m/>
    <m/>
    <n v="16200"/>
    <n v="50025"/>
    <m/>
  </r>
  <r>
    <x v="12"/>
    <x v="392"/>
    <x v="0"/>
    <m/>
    <m/>
    <m/>
    <n v="600"/>
    <n v="41000"/>
    <m/>
  </r>
  <r>
    <x v="12"/>
    <x v="393"/>
    <x v="1"/>
    <m/>
    <m/>
    <m/>
    <n v="15000"/>
    <m/>
    <m/>
  </r>
  <r>
    <x v="12"/>
    <x v="394"/>
    <x v="0"/>
    <m/>
    <m/>
    <m/>
    <n v="61500"/>
    <n v="20000"/>
    <m/>
  </r>
  <r>
    <x v="12"/>
    <x v="395"/>
    <x v="0"/>
    <m/>
    <m/>
    <m/>
    <n v="18700"/>
    <n v="32700"/>
    <m/>
  </r>
  <r>
    <x v="12"/>
    <x v="396"/>
    <x v="0"/>
    <m/>
    <m/>
    <m/>
    <n v="5250"/>
    <m/>
    <m/>
  </r>
  <r>
    <x v="12"/>
    <x v="397"/>
    <x v="0"/>
    <m/>
    <m/>
    <m/>
    <n v="16200"/>
    <n v="15000"/>
    <m/>
  </r>
  <r>
    <x v="12"/>
    <x v="398"/>
    <x v="0"/>
    <m/>
    <m/>
    <m/>
    <n v="3668"/>
    <n v="15000"/>
    <m/>
  </r>
  <r>
    <x v="12"/>
    <x v="399"/>
    <x v="0"/>
    <m/>
    <m/>
    <m/>
    <n v="27000"/>
    <n v="23000"/>
    <m/>
  </r>
  <r>
    <x v="12"/>
    <x v="400"/>
    <x v="0"/>
    <m/>
    <m/>
    <m/>
    <n v="41375"/>
    <n v="18000"/>
    <m/>
  </r>
  <r>
    <x v="12"/>
    <x v="401"/>
    <x v="0"/>
    <m/>
    <m/>
    <m/>
    <n v="29105"/>
    <n v="59000"/>
    <m/>
  </r>
  <r>
    <x v="12"/>
    <x v="402"/>
    <x v="0"/>
    <m/>
    <m/>
    <m/>
    <n v="62400"/>
    <n v="133000"/>
    <m/>
  </r>
  <r>
    <x v="12"/>
    <x v="403"/>
    <x v="0"/>
    <m/>
    <m/>
    <m/>
    <n v="1860"/>
    <m/>
    <m/>
  </r>
  <r>
    <x v="12"/>
    <x v="404"/>
    <x v="0"/>
    <m/>
    <m/>
    <m/>
    <n v="26642"/>
    <n v="18000"/>
    <m/>
  </r>
  <r>
    <x v="12"/>
    <x v="405"/>
    <x v="0"/>
    <m/>
    <m/>
    <m/>
    <n v="34000"/>
    <n v="107000"/>
    <m/>
  </r>
  <r>
    <x v="12"/>
    <x v="406"/>
    <x v="0"/>
    <m/>
    <m/>
    <m/>
    <n v="66735"/>
    <n v="15300"/>
    <m/>
  </r>
  <r>
    <x v="12"/>
    <x v="407"/>
    <x v="0"/>
    <m/>
    <m/>
    <m/>
    <n v="17800"/>
    <n v="107500"/>
    <m/>
  </r>
  <r>
    <x v="12"/>
    <x v="408"/>
    <x v="0"/>
    <m/>
    <m/>
    <m/>
    <n v="18600"/>
    <n v="20700"/>
    <m/>
  </r>
  <r>
    <x v="12"/>
    <x v="409"/>
    <x v="0"/>
    <m/>
    <m/>
    <m/>
    <n v="6720"/>
    <n v="20700"/>
    <m/>
  </r>
  <r>
    <x v="12"/>
    <x v="410"/>
    <x v="0"/>
    <m/>
    <m/>
    <m/>
    <n v="20700"/>
    <n v="32000"/>
    <m/>
  </r>
  <r>
    <x v="12"/>
    <x v="379"/>
    <x v="1"/>
    <m/>
    <m/>
    <m/>
    <n v="2290"/>
    <m/>
    <m/>
  </r>
  <r>
    <x v="12"/>
    <x v="411"/>
    <x v="0"/>
    <m/>
    <m/>
    <m/>
    <n v="14224"/>
    <n v="18000"/>
    <m/>
  </r>
  <r>
    <x v="12"/>
    <x v="412"/>
    <x v="0"/>
    <m/>
    <m/>
    <m/>
    <n v="19530"/>
    <n v="12000"/>
    <m/>
  </r>
  <r>
    <x v="12"/>
    <x v="413"/>
    <x v="0"/>
    <m/>
    <m/>
    <m/>
    <n v="57000"/>
    <n v="48500"/>
    <m/>
  </r>
  <r>
    <x v="12"/>
    <x v="414"/>
    <x v="0"/>
    <m/>
    <m/>
    <m/>
    <n v="12000"/>
    <n v="28000"/>
    <m/>
  </r>
  <r>
    <x v="12"/>
    <x v="382"/>
    <x v="2"/>
    <m/>
    <m/>
    <m/>
    <n v="26880"/>
    <m/>
    <m/>
  </r>
  <r>
    <x v="12"/>
    <x v="415"/>
    <x v="0"/>
    <m/>
    <m/>
    <m/>
    <m/>
    <n v="12000"/>
    <m/>
  </r>
  <r>
    <x v="12"/>
    <x v="416"/>
    <x v="0"/>
    <m/>
    <m/>
    <m/>
    <m/>
    <n v="73125"/>
    <m/>
  </r>
  <r>
    <x v="12"/>
    <x v="417"/>
    <x v="0"/>
    <m/>
    <m/>
    <m/>
    <m/>
    <n v="15000"/>
    <m/>
  </r>
  <r>
    <x v="12"/>
    <x v="418"/>
    <x v="0"/>
    <m/>
    <m/>
    <m/>
    <m/>
    <n v="20000"/>
    <m/>
  </r>
  <r>
    <x v="12"/>
    <x v="372"/>
    <x v="1"/>
    <m/>
    <m/>
    <m/>
    <m/>
    <n v="36135"/>
    <m/>
  </r>
  <r>
    <x v="12"/>
    <x v="419"/>
    <x v="0"/>
    <m/>
    <m/>
    <m/>
    <m/>
    <n v="30000"/>
    <m/>
  </r>
  <r>
    <x v="12"/>
    <x v="420"/>
    <x v="0"/>
    <m/>
    <m/>
    <m/>
    <m/>
    <n v="14250"/>
    <m/>
  </r>
  <r>
    <x v="12"/>
    <x v="421"/>
    <x v="1"/>
    <m/>
    <m/>
    <m/>
    <m/>
    <n v="15000"/>
    <m/>
  </r>
  <r>
    <x v="12"/>
    <x v="422"/>
    <x v="0"/>
    <m/>
    <m/>
    <m/>
    <m/>
    <n v="136000"/>
    <m/>
  </r>
  <r>
    <x v="12"/>
    <x v="376"/>
    <x v="0"/>
    <m/>
    <m/>
    <m/>
    <m/>
    <n v="74500"/>
    <m/>
  </r>
  <r>
    <x v="12"/>
    <x v="402"/>
    <x v="1"/>
    <m/>
    <m/>
    <m/>
    <m/>
    <n v="20000"/>
    <m/>
  </r>
  <r>
    <x v="12"/>
    <x v="423"/>
    <x v="0"/>
    <m/>
    <m/>
    <m/>
    <m/>
    <n v="13500"/>
    <m/>
  </r>
  <r>
    <x v="12"/>
    <x v="424"/>
    <x v="0"/>
    <m/>
    <m/>
    <m/>
    <m/>
    <n v="30000"/>
    <m/>
  </r>
  <r>
    <x v="12"/>
    <x v="425"/>
    <x v="0"/>
    <m/>
    <m/>
    <m/>
    <m/>
    <n v="12000"/>
    <m/>
  </r>
  <r>
    <x v="12"/>
    <x v="426"/>
    <x v="0"/>
    <m/>
    <m/>
    <m/>
    <m/>
    <n v="142395"/>
    <m/>
  </r>
  <r>
    <x v="12"/>
    <x v="384"/>
    <x v="1"/>
    <m/>
    <m/>
    <m/>
    <m/>
    <n v="15300"/>
    <m/>
  </r>
  <r>
    <x v="12"/>
    <x v="427"/>
    <x v="0"/>
    <m/>
    <m/>
    <m/>
    <m/>
    <n v="25000"/>
    <m/>
  </r>
  <r>
    <x v="12"/>
    <x v="428"/>
    <x v="0"/>
    <m/>
    <m/>
    <m/>
    <m/>
    <n v="32700"/>
    <m/>
  </r>
  <r>
    <x v="12"/>
    <x v="380"/>
    <x v="0"/>
    <m/>
    <m/>
    <m/>
    <m/>
    <n v="35000"/>
    <m/>
  </r>
  <r>
    <x v="12"/>
    <x v="429"/>
    <x v="0"/>
    <m/>
    <m/>
    <m/>
    <m/>
    <n v="20090"/>
    <m/>
  </r>
  <r>
    <x v="13"/>
    <x v="430"/>
    <x v="0"/>
    <m/>
    <n v="-6000"/>
    <m/>
    <m/>
    <m/>
    <m/>
  </r>
  <r>
    <x v="13"/>
    <x v="431"/>
    <x v="0"/>
    <m/>
    <n v="-10286"/>
    <m/>
    <m/>
    <n v="15000"/>
    <m/>
  </r>
  <r>
    <x v="13"/>
    <x v="432"/>
    <x v="0"/>
    <m/>
    <n v="-10800"/>
    <m/>
    <m/>
    <m/>
    <m/>
  </r>
  <r>
    <x v="13"/>
    <x v="433"/>
    <x v="1"/>
    <m/>
    <n v="-2060"/>
    <m/>
    <m/>
    <m/>
    <m/>
  </r>
  <r>
    <x v="13"/>
    <x v="434"/>
    <x v="2"/>
    <m/>
    <n v="-24642"/>
    <m/>
    <m/>
    <m/>
    <m/>
  </r>
  <r>
    <x v="13"/>
    <x v="435"/>
    <x v="0"/>
    <m/>
    <n v="-12000"/>
    <m/>
    <n v="2700"/>
    <m/>
    <m/>
  </r>
  <r>
    <x v="13"/>
    <x v="436"/>
    <x v="0"/>
    <m/>
    <n v="-18000"/>
    <m/>
    <m/>
    <m/>
    <m/>
  </r>
  <r>
    <x v="13"/>
    <x v="437"/>
    <x v="0"/>
    <m/>
    <n v="-8400"/>
    <m/>
    <m/>
    <n v="18000"/>
    <m/>
  </r>
  <r>
    <x v="13"/>
    <x v="438"/>
    <x v="0"/>
    <m/>
    <n v="-12000"/>
    <m/>
    <m/>
    <n v="68800"/>
    <m/>
  </r>
  <r>
    <x v="13"/>
    <x v="439"/>
    <x v="0"/>
    <m/>
    <n v="-3000"/>
    <m/>
    <n v="5000"/>
    <n v="18000"/>
    <m/>
  </r>
  <r>
    <x v="13"/>
    <x v="440"/>
    <x v="0"/>
    <m/>
    <n v="-12000"/>
    <n v="-6000"/>
    <n v="1200"/>
    <m/>
    <m/>
  </r>
  <r>
    <x v="13"/>
    <x v="441"/>
    <x v="0"/>
    <m/>
    <n v="-12000"/>
    <m/>
    <m/>
    <n v="17000"/>
    <m/>
  </r>
  <r>
    <x v="13"/>
    <x v="442"/>
    <x v="0"/>
    <m/>
    <n v="-18000"/>
    <m/>
    <m/>
    <n v="37000"/>
    <m/>
  </r>
  <r>
    <x v="13"/>
    <x v="443"/>
    <x v="0"/>
    <m/>
    <n v="-11457"/>
    <m/>
    <m/>
    <n v="32250"/>
    <m/>
  </r>
  <r>
    <x v="13"/>
    <x v="444"/>
    <x v="0"/>
    <m/>
    <n v="-12900"/>
    <n v="-20000"/>
    <n v="180033"/>
    <n v="623370"/>
    <m/>
  </r>
  <r>
    <x v="13"/>
    <x v="445"/>
    <x v="0"/>
    <m/>
    <m/>
    <n v="-2265"/>
    <m/>
    <m/>
    <m/>
  </r>
  <r>
    <x v="13"/>
    <x v="446"/>
    <x v="0"/>
    <m/>
    <m/>
    <n v="-25400"/>
    <m/>
    <m/>
    <m/>
  </r>
  <r>
    <x v="13"/>
    <x v="447"/>
    <x v="0"/>
    <m/>
    <m/>
    <n v="-7200"/>
    <n v="9000"/>
    <m/>
    <m/>
  </r>
  <r>
    <x v="13"/>
    <x v="433"/>
    <x v="0"/>
    <m/>
    <m/>
    <n v="0"/>
    <m/>
    <n v="18000"/>
    <m/>
  </r>
  <r>
    <x v="13"/>
    <x v="448"/>
    <x v="0"/>
    <m/>
    <m/>
    <n v="-1050"/>
    <m/>
    <n v="10000"/>
    <m/>
  </r>
  <r>
    <x v="13"/>
    <x v="449"/>
    <x v="0"/>
    <m/>
    <m/>
    <n v="-12600"/>
    <n v="25715"/>
    <m/>
    <m/>
  </r>
  <r>
    <x v="13"/>
    <x v="450"/>
    <x v="1"/>
    <m/>
    <m/>
    <n v="-2399"/>
    <m/>
    <m/>
    <m/>
  </r>
  <r>
    <x v="13"/>
    <x v="451"/>
    <x v="0"/>
    <m/>
    <m/>
    <n v="-600"/>
    <n v="19000"/>
    <n v="180388"/>
    <m/>
  </r>
  <r>
    <x v="13"/>
    <x v="452"/>
    <x v="0"/>
    <m/>
    <m/>
    <m/>
    <n v="7200"/>
    <m/>
    <m/>
  </r>
  <r>
    <x v="13"/>
    <x v="453"/>
    <x v="0"/>
    <m/>
    <m/>
    <m/>
    <n v="22575"/>
    <m/>
    <m/>
  </r>
  <r>
    <x v="13"/>
    <x v="454"/>
    <x v="0"/>
    <m/>
    <m/>
    <m/>
    <n v="6000"/>
    <m/>
    <m/>
  </r>
  <r>
    <x v="13"/>
    <x v="455"/>
    <x v="0"/>
    <m/>
    <m/>
    <m/>
    <n v="1800"/>
    <n v="60250"/>
    <m/>
  </r>
  <r>
    <x v="13"/>
    <x v="456"/>
    <x v="0"/>
    <m/>
    <m/>
    <m/>
    <n v="5500"/>
    <n v="20000"/>
    <m/>
  </r>
  <r>
    <x v="13"/>
    <x v="457"/>
    <x v="0"/>
    <m/>
    <m/>
    <m/>
    <n v="4114"/>
    <m/>
    <m/>
  </r>
  <r>
    <x v="13"/>
    <x v="458"/>
    <x v="0"/>
    <m/>
    <m/>
    <m/>
    <n v="32500"/>
    <m/>
    <m/>
  </r>
  <r>
    <x v="13"/>
    <x v="434"/>
    <x v="0"/>
    <m/>
    <m/>
    <m/>
    <n v="7300"/>
    <m/>
    <m/>
  </r>
  <r>
    <x v="13"/>
    <x v="459"/>
    <x v="0"/>
    <m/>
    <m/>
    <m/>
    <n v="40000"/>
    <m/>
    <m/>
  </r>
  <r>
    <x v="13"/>
    <x v="460"/>
    <x v="0"/>
    <m/>
    <m/>
    <m/>
    <n v="9000"/>
    <n v="56700"/>
    <m/>
  </r>
  <r>
    <x v="13"/>
    <x v="461"/>
    <x v="0"/>
    <m/>
    <m/>
    <m/>
    <n v="25001"/>
    <m/>
    <m/>
  </r>
  <r>
    <x v="13"/>
    <x v="462"/>
    <x v="0"/>
    <m/>
    <m/>
    <m/>
    <n v="4000"/>
    <n v="40000"/>
    <m/>
  </r>
  <r>
    <x v="13"/>
    <x v="463"/>
    <x v="0"/>
    <m/>
    <m/>
    <m/>
    <n v="99999"/>
    <n v="12000"/>
    <m/>
  </r>
  <r>
    <x v="13"/>
    <x v="464"/>
    <x v="0"/>
    <m/>
    <m/>
    <m/>
    <n v="9700"/>
    <n v="24150"/>
    <m/>
  </r>
  <r>
    <x v="13"/>
    <x v="465"/>
    <x v="1"/>
    <m/>
    <m/>
    <m/>
    <n v="15000"/>
    <m/>
    <m/>
  </r>
  <r>
    <x v="13"/>
    <x v="466"/>
    <x v="0"/>
    <m/>
    <m/>
    <m/>
    <n v="5000"/>
    <m/>
    <m/>
  </r>
  <r>
    <x v="13"/>
    <x v="467"/>
    <x v="0"/>
    <m/>
    <m/>
    <m/>
    <n v="12000"/>
    <n v="52400"/>
    <m/>
  </r>
  <r>
    <x v="13"/>
    <x v="468"/>
    <x v="0"/>
    <m/>
    <m/>
    <m/>
    <n v="1125"/>
    <n v="12000"/>
    <m/>
  </r>
  <r>
    <x v="13"/>
    <x v="469"/>
    <x v="0"/>
    <m/>
    <m/>
    <m/>
    <n v="3900"/>
    <m/>
    <m/>
  </r>
  <r>
    <x v="13"/>
    <x v="470"/>
    <x v="0"/>
    <m/>
    <m/>
    <m/>
    <n v="12300"/>
    <n v="113000"/>
    <m/>
  </r>
  <r>
    <x v="13"/>
    <x v="471"/>
    <x v="0"/>
    <m/>
    <m/>
    <m/>
    <n v="30000"/>
    <n v="60625"/>
    <m/>
  </r>
  <r>
    <x v="13"/>
    <x v="472"/>
    <x v="0"/>
    <m/>
    <m/>
    <m/>
    <n v="26000"/>
    <m/>
    <m/>
  </r>
  <r>
    <x v="13"/>
    <x v="473"/>
    <x v="0"/>
    <m/>
    <m/>
    <m/>
    <n v="22500"/>
    <n v="16000"/>
    <m/>
  </r>
  <r>
    <x v="13"/>
    <x v="474"/>
    <x v="0"/>
    <m/>
    <m/>
    <m/>
    <n v="27500"/>
    <n v="37150"/>
    <m/>
  </r>
  <r>
    <x v="13"/>
    <x v="475"/>
    <x v="0"/>
    <m/>
    <m/>
    <m/>
    <n v="150000"/>
    <n v="70810"/>
    <m/>
  </r>
  <r>
    <x v="13"/>
    <x v="476"/>
    <x v="0"/>
    <m/>
    <m/>
    <m/>
    <n v="215000"/>
    <n v="20500"/>
    <m/>
  </r>
  <r>
    <x v="13"/>
    <x v="451"/>
    <x v="1"/>
    <m/>
    <m/>
    <m/>
    <n v="3000"/>
    <m/>
    <m/>
  </r>
  <r>
    <x v="13"/>
    <x v="477"/>
    <x v="0"/>
    <m/>
    <m/>
    <m/>
    <n v="16000"/>
    <n v="95250"/>
    <m/>
  </r>
  <r>
    <x v="13"/>
    <x v="444"/>
    <x v="1"/>
    <m/>
    <m/>
    <m/>
    <n v="14000"/>
    <n v="36570"/>
    <m/>
  </r>
  <r>
    <x v="13"/>
    <x v="478"/>
    <x v="0"/>
    <m/>
    <m/>
    <m/>
    <m/>
    <n v="20700"/>
    <m/>
  </r>
  <r>
    <x v="13"/>
    <x v="479"/>
    <x v="0"/>
    <m/>
    <m/>
    <m/>
    <m/>
    <n v="25000"/>
    <m/>
  </r>
  <r>
    <x v="13"/>
    <x v="480"/>
    <x v="0"/>
    <m/>
    <m/>
    <m/>
    <m/>
    <n v="18000"/>
    <m/>
  </r>
  <r>
    <x v="13"/>
    <x v="481"/>
    <x v="0"/>
    <m/>
    <m/>
    <m/>
    <m/>
    <n v="30000"/>
    <m/>
  </r>
  <r>
    <x v="13"/>
    <x v="482"/>
    <x v="0"/>
    <m/>
    <m/>
    <m/>
    <m/>
    <n v="59333"/>
    <m/>
  </r>
  <r>
    <x v="13"/>
    <x v="464"/>
    <x v="1"/>
    <m/>
    <m/>
    <m/>
    <m/>
    <n v="13500"/>
    <m/>
  </r>
  <r>
    <x v="13"/>
    <x v="448"/>
    <x v="1"/>
    <m/>
    <m/>
    <m/>
    <m/>
    <n v="8000"/>
    <m/>
  </r>
  <r>
    <x v="13"/>
    <x v="483"/>
    <x v="0"/>
    <m/>
    <m/>
    <m/>
    <m/>
    <n v="65500"/>
    <m/>
  </r>
  <r>
    <x v="13"/>
    <x v="484"/>
    <x v="0"/>
    <m/>
    <m/>
    <m/>
    <m/>
    <n v="100000"/>
    <m/>
  </r>
  <r>
    <x v="13"/>
    <x v="469"/>
    <x v="2"/>
    <m/>
    <m/>
    <m/>
    <m/>
    <n v="18000"/>
    <m/>
  </r>
  <r>
    <x v="13"/>
    <x v="470"/>
    <x v="1"/>
    <m/>
    <m/>
    <m/>
    <m/>
    <n v="25000"/>
    <m/>
  </r>
  <r>
    <x v="13"/>
    <x v="485"/>
    <x v="0"/>
    <m/>
    <m/>
    <m/>
    <m/>
    <n v="58701"/>
    <m/>
  </r>
  <r>
    <x v="13"/>
    <x v="486"/>
    <x v="0"/>
    <m/>
    <m/>
    <m/>
    <m/>
    <n v="12000"/>
    <m/>
  </r>
  <r>
    <x v="13"/>
    <x v="487"/>
    <x v="0"/>
    <m/>
    <m/>
    <m/>
    <m/>
    <n v="20000"/>
    <m/>
  </r>
  <r>
    <x v="13"/>
    <x v="488"/>
    <x v="0"/>
    <m/>
    <m/>
    <m/>
    <m/>
    <n v="10000"/>
    <m/>
  </r>
  <r>
    <x v="13"/>
    <x v="477"/>
    <x v="1"/>
    <m/>
    <m/>
    <m/>
    <m/>
    <n v="75000"/>
    <m/>
  </r>
  <r>
    <x v="13"/>
    <x v="489"/>
    <x v="0"/>
    <m/>
    <m/>
    <m/>
    <m/>
    <n v="18000"/>
    <m/>
  </r>
  <r>
    <x v="14"/>
    <x v="490"/>
    <x v="0"/>
    <m/>
    <n v="-18000"/>
    <m/>
    <n v="0"/>
    <m/>
    <m/>
  </r>
  <r>
    <x v="14"/>
    <x v="491"/>
    <x v="2"/>
    <m/>
    <n v="-10000"/>
    <m/>
    <m/>
    <m/>
    <m/>
  </r>
  <r>
    <x v="14"/>
    <x v="492"/>
    <x v="0"/>
    <m/>
    <n v="-12000"/>
    <m/>
    <m/>
    <m/>
    <m/>
  </r>
  <r>
    <x v="14"/>
    <x v="493"/>
    <x v="0"/>
    <m/>
    <n v="-3600"/>
    <m/>
    <n v="45300"/>
    <m/>
    <m/>
  </r>
  <r>
    <x v="14"/>
    <x v="494"/>
    <x v="0"/>
    <m/>
    <n v="-159691"/>
    <m/>
    <n v="10000"/>
    <n v="40000"/>
    <m/>
  </r>
  <r>
    <x v="14"/>
    <x v="495"/>
    <x v="0"/>
    <m/>
    <n v="-22500"/>
    <m/>
    <m/>
    <m/>
    <m/>
  </r>
  <r>
    <x v="14"/>
    <x v="496"/>
    <x v="2"/>
    <m/>
    <n v="-10560"/>
    <m/>
    <m/>
    <m/>
    <m/>
  </r>
  <r>
    <x v="14"/>
    <x v="496"/>
    <x v="0"/>
    <m/>
    <n v="-7500"/>
    <m/>
    <n v="112075"/>
    <n v="137500"/>
    <m/>
  </r>
  <r>
    <x v="14"/>
    <x v="497"/>
    <x v="0"/>
    <m/>
    <m/>
    <n v="-21000"/>
    <m/>
    <n v="12000"/>
    <m/>
  </r>
  <r>
    <x v="14"/>
    <x v="498"/>
    <x v="0"/>
    <m/>
    <m/>
    <n v="-6000"/>
    <n v="8116"/>
    <n v="117500"/>
    <m/>
  </r>
  <r>
    <x v="14"/>
    <x v="499"/>
    <x v="0"/>
    <m/>
    <m/>
    <n v="-3500"/>
    <m/>
    <n v="10000"/>
    <m/>
  </r>
  <r>
    <x v="14"/>
    <x v="500"/>
    <x v="0"/>
    <m/>
    <m/>
    <n v="-1500"/>
    <m/>
    <m/>
    <m/>
  </r>
  <r>
    <x v="14"/>
    <x v="501"/>
    <x v="1"/>
    <m/>
    <m/>
    <m/>
    <n v="1200"/>
    <m/>
    <m/>
  </r>
  <r>
    <x v="14"/>
    <x v="501"/>
    <x v="0"/>
    <m/>
    <m/>
    <m/>
    <n v="33449"/>
    <m/>
    <m/>
  </r>
  <r>
    <x v="14"/>
    <x v="502"/>
    <x v="0"/>
    <m/>
    <m/>
    <m/>
    <n v="31700"/>
    <n v="45000"/>
    <m/>
  </r>
  <r>
    <x v="14"/>
    <x v="503"/>
    <x v="0"/>
    <m/>
    <m/>
    <m/>
    <n v="4800"/>
    <m/>
    <m/>
  </r>
  <r>
    <x v="14"/>
    <x v="504"/>
    <x v="0"/>
    <m/>
    <m/>
    <m/>
    <n v="28000"/>
    <m/>
    <m/>
  </r>
  <r>
    <x v="14"/>
    <x v="505"/>
    <x v="0"/>
    <m/>
    <m/>
    <m/>
    <n v="10347"/>
    <n v="32613"/>
    <m/>
  </r>
  <r>
    <x v="14"/>
    <x v="506"/>
    <x v="0"/>
    <m/>
    <m/>
    <m/>
    <n v="9895"/>
    <n v="62500"/>
    <m/>
  </r>
  <r>
    <x v="14"/>
    <x v="507"/>
    <x v="0"/>
    <m/>
    <m/>
    <m/>
    <n v="4941"/>
    <m/>
    <m/>
  </r>
  <r>
    <x v="14"/>
    <x v="508"/>
    <x v="0"/>
    <m/>
    <m/>
    <m/>
    <n v="30600"/>
    <m/>
    <m/>
  </r>
  <r>
    <x v="14"/>
    <x v="509"/>
    <x v="0"/>
    <m/>
    <m/>
    <m/>
    <n v="16000"/>
    <n v="199250"/>
    <m/>
  </r>
  <r>
    <x v="14"/>
    <x v="510"/>
    <x v="0"/>
    <m/>
    <m/>
    <m/>
    <n v="850"/>
    <m/>
    <m/>
  </r>
  <r>
    <x v="14"/>
    <x v="511"/>
    <x v="0"/>
    <m/>
    <m/>
    <m/>
    <n v="1500"/>
    <n v="50700"/>
    <m/>
  </r>
  <r>
    <x v="14"/>
    <x v="512"/>
    <x v="2"/>
    <m/>
    <m/>
    <m/>
    <n v="3000"/>
    <m/>
    <m/>
  </r>
  <r>
    <x v="14"/>
    <x v="512"/>
    <x v="0"/>
    <m/>
    <m/>
    <m/>
    <n v="3200"/>
    <n v="18000"/>
    <m/>
  </r>
  <r>
    <x v="14"/>
    <x v="513"/>
    <x v="0"/>
    <m/>
    <m/>
    <m/>
    <n v="37000"/>
    <m/>
    <m/>
  </r>
  <r>
    <x v="14"/>
    <x v="514"/>
    <x v="0"/>
    <m/>
    <m/>
    <m/>
    <n v="-13000"/>
    <m/>
    <m/>
  </r>
  <r>
    <x v="14"/>
    <x v="493"/>
    <x v="1"/>
    <m/>
    <m/>
    <m/>
    <n v="2000"/>
    <m/>
    <m/>
  </r>
  <r>
    <x v="14"/>
    <x v="515"/>
    <x v="2"/>
    <m/>
    <m/>
    <m/>
    <n v="1500"/>
    <m/>
    <m/>
  </r>
  <r>
    <x v="14"/>
    <x v="515"/>
    <x v="0"/>
    <m/>
    <m/>
    <m/>
    <n v="11810"/>
    <n v="36067"/>
    <m/>
  </r>
  <r>
    <x v="14"/>
    <x v="516"/>
    <x v="0"/>
    <m/>
    <m/>
    <m/>
    <n v="38000"/>
    <n v="29500"/>
    <m/>
  </r>
  <r>
    <x v="14"/>
    <x v="517"/>
    <x v="0"/>
    <m/>
    <m/>
    <m/>
    <n v="13500"/>
    <n v="68500"/>
    <m/>
  </r>
  <r>
    <x v="14"/>
    <x v="518"/>
    <x v="0"/>
    <m/>
    <m/>
    <m/>
    <n v="54000"/>
    <n v="89000"/>
    <m/>
  </r>
  <r>
    <x v="14"/>
    <x v="519"/>
    <x v="0"/>
    <m/>
    <m/>
    <m/>
    <n v="124400"/>
    <n v="485887"/>
    <m/>
  </r>
  <r>
    <x v="14"/>
    <x v="520"/>
    <x v="1"/>
    <m/>
    <m/>
    <m/>
    <n v="588"/>
    <m/>
    <m/>
  </r>
  <r>
    <x v="14"/>
    <x v="520"/>
    <x v="0"/>
    <m/>
    <m/>
    <m/>
    <n v="9000"/>
    <m/>
    <m/>
  </r>
  <r>
    <x v="14"/>
    <x v="521"/>
    <x v="0"/>
    <m/>
    <m/>
    <m/>
    <n v="39200"/>
    <n v="20000"/>
    <m/>
  </r>
  <r>
    <x v="14"/>
    <x v="522"/>
    <x v="0"/>
    <m/>
    <m/>
    <m/>
    <n v="57700"/>
    <n v="50000"/>
    <m/>
  </r>
  <r>
    <x v="14"/>
    <x v="523"/>
    <x v="0"/>
    <m/>
    <m/>
    <m/>
    <n v="48000"/>
    <m/>
    <m/>
  </r>
  <r>
    <x v="14"/>
    <x v="524"/>
    <x v="0"/>
    <m/>
    <m/>
    <m/>
    <n v="2400"/>
    <n v="25000"/>
    <m/>
  </r>
  <r>
    <x v="14"/>
    <x v="525"/>
    <x v="0"/>
    <m/>
    <m/>
    <m/>
    <n v="7000"/>
    <n v="21000"/>
    <m/>
  </r>
  <r>
    <x v="14"/>
    <x v="526"/>
    <x v="0"/>
    <m/>
    <m/>
    <m/>
    <n v="19300"/>
    <n v="42000"/>
    <m/>
  </r>
  <r>
    <x v="14"/>
    <x v="495"/>
    <x v="1"/>
    <m/>
    <m/>
    <m/>
    <n v="80000"/>
    <n v="0"/>
    <m/>
  </r>
  <r>
    <x v="14"/>
    <x v="527"/>
    <x v="0"/>
    <m/>
    <m/>
    <m/>
    <n v="20000"/>
    <m/>
    <m/>
  </r>
  <r>
    <x v="14"/>
    <x v="528"/>
    <x v="0"/>
    <m/>
    <m/>
    <m/>
    <n v="21250"/>
    <n v="79000"/>
    <m/>
  </r>
  <r>
    <x v="14"/>
    <x v="529"/>
    <x v="1"/>
    <m/>
    <m/>
    <m/>
    <n v="28000"/>
    <n v="16500"/>
    <m/>
  </r>
  <r>
    <x v="14"/>
    <x v="529"/>
    <x v="0"/>
    <m/>
    <m/>
    <m/>
    <n v="52900"/>
    <n v="62500"/>
    <m/>
  </r>
  <r>
    <x v="14"/>
    <x v="530"/>
    <x v="2"/>
    <m/>
    <m/>
    <m/>
    <n v="32040"/>
    <m/>
    <m/>
  </r>
  <r>
    <x v="14"/>
    <x v="530"/>
    <x v="0"/>
    <m/>
    <m/>
    <m/>
    <n v="223402"/>
    <n v="249519"/>
    <m/>
  </r>
  <r>
    <x v="14"/>
    <x v="531"/>
    <x v="0"/>
    <m/>
    <m/>
    <m/>
    <m/>
    <n v="18000"/>
    <m/>
  </r>
  <r>
    <x v="14"/>
    <x v="502"/>
    <x v="3"/>
    <m/>
    <m/>
    <m/>
    <m/>
    <n v="12000"/>
    <m/>
  </r>
  <r>
    <x v="14"/>
    <x v="532"/>
    <x v="0"/>
    <m/>
    <m/>
    <m/>
    <m/>
    <n v="32700"/>
    <m/>
  </r>
  <r>
    <x v="14"/>
    <x v="533"/>
    <x v="0"/>
    <m/>
    <m/>
    <m/>
    <m/>
    <n v="30090"/>
    <m/>
  </r>
  <r>
    <x v="14"/>
    <x v="534"/>
    <x v="0"/>
    <m/>
    <m/>
    <m/>
    <m/>
    <n v="12000"/>
    <m/>
  </r>
  <r>
    <x v="14"/>
    <x v="491"/>
    <x v="1"/>
    <m/>
    <m/>
    <m/>
    <m/>
    <n v="75000"/>
    <m/>
  </r>
  <r>
    <x v="14"/>
    <x v="491"/>
    <x v="0"/>
    <m/>
    <m/>
    <m/>
    <m/>
    <n v="74750"/>
    <m/>
  </r>
  <r>
    <x v="14"/>
    <x v="535"/>
    <x v="0"/>
    <m/>
    <m/>
    <m/>
    <m/>
    <n v="34600"/>
    <m/>
  </r>
  <r>
    <x v="14"/>
    <x v="536"/>
    <x v="0"/>
    <m/>
    <m/>
    <m/>
    <m/>
    <n v="40500"/>
    <m/>
  </r>
  <r>
    <x v="14"/>
    <x v="537"/>
    <x v="0"/>
    <m/>
    <m/>
    <m/>
    <m/>
    <n v="90000"/>
    <m/>
  </r>
  <r>
    <x v="14"/>
    <x v="538"/>
    <x v="0"/>
    <m/>
    <m/>
    <m/>
    <m/>
    <n v="125000"/>
    <m/>
  </r>
  <r>
    <x v="14"/>
    <x v="521"/>
    <x v="1"/>
    <m/>
    <m/>
    <m/>
    <m/>
    <n v="219000"/>
    <m/>
  </r>
  <r>
    <x v="14"/>
    <x v="539"/>
    <x v="1"/>
    <m/>
    <m/>
    <m/>
    <m/>
    <n v="23000"/>
    <m/>
  </r>
  <r>
    <x v="14"/>
    <x v="539"/>
    <x v="0"/>
    <m/>
    <m/>
    <m/>
    <m/>
    <n v="78000"/>
    <m/>
  </r>
  <r>
    <x v="14"/>
    <x v="528"/>
    <x v="1"/>
    <m/>
    <m/>
    <m/>
    <m/>
    <n v="3000"/>
    <m/>
  </r>
  <r>
    <x v="14"/>
    <x v="529"/>
    <x v="2"/>
    <m/>
    <m/>
    <m/>
    <m/>
    <n v="47840"/>
    <m/>
  </r>
  <r>
    <x v="15"/>
    <x v="540"/>
    <x v="0"/>
    <m/>
    <n v="-9000"/>
    <m/>
    <n v="6683"/>
    <n v="32000"/>
    <m/>
  </r>
  <r>
    <x v="15"/>
    <x v="541"/>
    <x v="0"/>
    <m/>
    <n v="-12000"/>
    <n v="-1"/>
    <n v="6000"/>
    <n v="46500"/>
    <m/>
  </r>
  <r>
    <x v="15"/>
    <x v="542"/>
    <x v="0"/>
    <m/>
    <n v="-27250"/>
    <m/>
    <m/>
    <n v="36000"/>
    <m/>
  </r>
  <r>
    <x v="15"/>
    <x v="543"/>
    <x v="0"/>
    <m/>
    <n v="-5625"/>
    <m/>
    <n v="57500"/>
    <n v="134990"/>
    <m/>
  </r>
  <r>
    <x v="15"/>
    <x v="544"/>
    <x v="0"/>
    <m/>
    <n v="-49800"/>
    <m/>
    <n v="55000"/>
    <n v="0"/>
    <m/>
  </r>
  <r>
    <x v="15"/>
    <x v="545"/>
    <x v="0"/>
    <m/>
    <n v="-24000"/>
    <m/>
    <n v="10800"/>
    <n v="75000"/>
    <m/>
  </r>
  <r>
    <x v="15"/>
    <x v="546"/>
    <x v="0"/>
    <m/>
    <n v="-7560"/>
    <n v="-6000"/>
    <n v="55300"/>
    <n v="142000"/>
    <m/>
  </r>
  <r>
    <x v="15"/>
    <x v="547"/>
    <x v="1"/>
    <m/>
    <n v="-8000"/>
    <m/>
    <m/>
    <m/>
    <m/>
  </r>
  <r>
    <x v="15"/>
    <x v="548"/>
    <x v="0"/>
    <m/>
    <m/>
    <n v="-18500"/>
    <m/>
    <n v="22000"/>
    <m/>
  </r>
  <r>
    <x v="15"/>
    <x v="549"/>
    <x v="0"/>
    <m/>
    <m/>
    <n v="-41500"/>
    <m/>
    <m/>
    <m/>
  </r>
  <r>
    <x v="15"/>
    <x v="550"/>
    <x v="0"/>
    <m/>
    <m/>
    <n v="-2250"/>
    <n v="22000"/>
    <m/>
    <m/>
  </r>
  <r>
    <x v="15"/>
    <x v="551"/>
    <x v="0"/>
    <m/>
    <m/>
    <n v="-3577"/>
    <n v="5250"/>
    <n v="70000"/>
    <m/>
  </r>
  <r>
    <x v="15"/>
    <x v="552"/>
    <x v="0"/>
    <m/>
    <m/>
    <n v="-3000"/>
    <n v="76000"/>
    <n v="197800"/>
    <m/>
  </r>
  <r>
    <x v="15"/>
    <x v="553"/>
    <x v="0"/>
    <m/>
    <m/>
    <n v="-11000"/>
    <n v="2000"/>
    <n v="18000"/>
    <m/>
  </r>
  <r>
    <x v="15"/>
    <x v="554"/>
    <x v="0"/>
    <m/>
    <m/>
    <n v="-4500"/>
    <n v="47500"/>
    <n v="48333"/>
    <m/>
  </r>
  <r>
    <x v="15"/>
    <x v="555"/>
    <x v="0"/>
    <m/>
    <m/>
    <n v="-4125"/>
    <m/>
    <m/>
    <m/>
  </r>
  <r>
    <x v="15"/>
    <x v="556"/>
    <x v="0"/>
    <m/>
    <m/>
    <n v="-24350"/>
    <n v="437367"/>
    <n v="632900"/>
    <m/>
  </r>
  <r>
    <x v="15"/>
    <x v="557"/>
    <x v="0"/>
    <m/>
    <m/>
    <m/>
    <n v="16800"/>
    <m/>
    <m/>
  </r>
  <r>
    <x v="15"/>
    <x v="558"/>
    <x v="0"/>
    <m/>
    <m/>
    <m/>
    <n v="16500"/>
    <m/>
    <m/>
  </r>
  <r>
    <x v="15"/>
    <x v="559"/>
    <x v="0"/>
    <m/>
    <m/>
    <m/>
    <n v="15000"/>
    <n v="15000"/>
    <m/>
  </r>
  <r>
    <x v="15"/>
    <x v="560"/>
    <x v="0"/>
    <m/>
    <m/>
    <m/>
    <n v="10500"/>
    <n v="42000"/>
    <m/>
  </r>
  <r>
    <x v="15"/>
    <x v="561"/>
    <x v="0"/>
    <m/>
    <m/>
    <m/>
    <n v="5000"/>
    <m/>
    <m/>
  </r>
  <r>
    <x v="15"/>
    <x v="562"/>
    <x v="0"/>
    <m/>
    <m/>
    <m/>
    <n v="1260"/>
    <m/>
    <m/>
  </r>
  <r>
    <x v="15"/>
    <x v="563"/>
    <x v="0"/>
    <m/>
    <m/>
    <m/>
    <n v="-6000"/>
    <m/>
    <m/>
  </r>
  <r>
    <x v="15"/>
    <x v="564"/>
    <x v="0"/>
    <m/>
    <m/>
    <m/>
    <n v="33500"/>
    <m/>
    <m/>
  </r>
  <r>
    <x v="15"/>
    <x v="565"/>
    <x v="0"/>
    <m/>
    <m/>
    <m/>
    <n v="219650"/>
    <n v="131250"/>
    <m/>
  </r>
  <r>
    <x v="15"/>
    <x v="566"/>
    <x v="2"/>
    <m/>
    <m/>
    <m/>
    <n v="4064"/>
    <m/>
    <m/>
  </r>
  <r>
    <x v="15"/>
    <x v="567"/>
    <x v="0"/>
    <m/>
    <m/>
    <m/>
    <n v="10860"/>
    <m/>
    <m/>
  </r>
  <r>
    <x v="15"/>
    <x v="568"/>
    <x v="0"/>
    <m/>
    <m/>
    <m/>
    <n v="12900"/>
    <n v="65499"/>
    <m/>
  </r>
  <r>
    <x v="15"/>
    <x v="569"/>
    <x v="0"/>
    <m/>
    <m/>
    <m/>
    <n v="2250"/>
    <n v="60000"/>
    <m/>
  </r>
  <r>
    <x v="15"/>
    <x v="570"/>
    <x v="0"/>
    <m/>
    <m/>
    <m/>
    <n v="7350"/>
    <m/>
    <m/>
  </r>
  <r>
    <x v="15"/>
    <x v="571"/>
    <x v="1"/>
    <m/>
    <m/>
    <m/>
    <n v="5000"/>
    <m/>
    <m/>
  </r>
  <r>
    <x v="15"/>
    <x v="571"/>
    <x v="0"/>
    <m/>
    <m/>
    <m/>
    <n v="6000"/>
    <m/>
    <m/>
  </r>
  <r>
    <x v="15"/>
    <x v="572"/>
    <x v="0"/>
    <m/>
    <m/>
    <m/>
    <n v="15000"/>
    <n v="34000"/>
    <m/>
  </r>
  <r>
    <x v="15"/>
    <x v="573"/>
    <x v="0"/>
    <m/>
    <m/>
    <m/>
    <n v="41757"/>
    <n v="22500"/>
    <m/>
  </r>
  <r>
    <x v="15"/>
    <x v="574"/>
    <x v="0"/>
    <m/>
    <m/>
    <m/>
    <n v="2000"/>
    <n v="13500"/>
    <m/>
  </r>
  <r>
    <x v="15"/>
    <x v="575"/>
    <x v="0"/>
    <m/>
    <m/>
    <m/>
    <n v="6000"/>
    <n v="33000"/>
    <m/>
  </r>
  <r>
    <x v="15"/>
    <x v="576"/>
    <x v="0"/>
    <m/>
    <m/>
    <m/>
    <n v="9000"/>
    <m/>
    <m/>
  </r>
  <r>
    <x v="15"/>
    <x v="577"/>
    <x v="0"/>
    <m/>
    <m/>
    <m/>
    <n v="27350"/>
    <m/>
    <m/>
  </r>
  <r>
    <x v="15"/>
    <x v="578"/>
    <x v="0"/>
    <m/>
    <m/>
    <m/>
    <n v="20000"/>
    <n v="62000"/>
    <m/>
  </r>
  <r>
    <x v="15"/>
    <x v="579"/>
    <x v="0"/>
    <m/>
    <m/>
    <m/>
    <n v="18000"/>
    <n v="59000"/>
    <m/>
  </r>
  <r>
    <x v="15"/>
    <x v="580"/>
    <x v="0"/>
    <m/>
    <m/>
    <m/>
    <n v="4136"/>
    <n v="38000"/>
    <m/>
  </r>
  <r>
    <x v="15"/>
    <x v="581"/>
    <x v="0"/>
    <m/>
    <m/>
    <m/>
    <n v="5000"/>
    <m/>
    <m/>
  </r>
  <r>
    <x v="15"/>
    <x v="582"/>
    <x v="0"/>
    <m/>
    <m/>
    <m/>
    <n v="56000"/>
    <n v="23000"/>
    <m/>
  </r>
  <r>
    <x v="15"/>
    <x v="547"/>
    <x v="0"/>
    <m/>
    <m/>
    <m/>
    <n v="32500"/>
    <m/>
    <m/>
  </r>
  <r>
    <x v="15"/>
    <x v="583"/>
    <x v="0"/>
    <m/>
    <m/>
    <m/>
    <n v="86001"/>
    <n v="136500"/>
    <m/>
  </r>
  <r>
    <x v="15"/>
    <x v="584"/>
    <x v="0"/>
    <m/>
    <m/>
    <m/>
    <m/>
    <n v="17000"/>
    <m/>
  </r>
  <r>
    <x v="15"/>
    <x v="585"/>
    <x v="0"/>
    <m/>
    <m/>
    <m/>
    <m/>
    <n v="42000"/>
    <m/>
  </r>
  <r>
    <x v="15"/>
    <x v="586"/>
    <x v="0"/>
    <m/>
    <m/>
    <m/>
    <m/>
    <n v="70000"/>
    <m/>
  </r>
  <r>
    <x v="15"/>
    <x v="587"/>
    <x v="0"/>
    <m/>
    <m/>
    <m/>
    <m/>
    <n v="17000"/>
    <m/>
  </r>
  <r>
    <x v="15"/>
    <x v="588"/>
    <x v="1"/>
    <m/>
    <m/>
    <m/>
    <m/>
    <n v="11000"/>
    <m/>
  </r>
  <r>
    <x v="15"/>
    <x v="588"/>
    <x v="0"/>
    <m/>
    <m/>
    <m/>
    <m/>
    <n v="36667"/>
    <m/>
  </r>
  <r>
    <x v="15"/>
    <x v="589"/>
    <x v="0"/>
    <m/>
    <m/>
    <m/>
    <m/>
    <n v="16000"/>
    <m/>
  </r>
  <r>
    <x v="15"/>
    <x v="565"/>
    <x v="2"/>
    <m/>
    <m/>
    <m/>
    <m/>
    <n v="24000"/>
    <m/>
  </r>
  <r>
    <x v="15"/>
    <x v="590"/>
    <x v="0"/>
    <m/>
    <m/>
    <m/>
    <m/>
    <n v="14000"/>
    <m/>
  </r>
  <r>
    <x v="15"/>
    <x v="591"/>
    <x v="0"/>
    <m/>
    <m/>
    <m/>
    <m/>
    <n v="29600"/>
    <m/>
  </r>
  <r>
    <x v="15"/>
    <x v="592"/>
    <x v="0"/>
    <m/>
    <m/>
    <m/>
    <m/>
    <n v="115000"/>
    <m/>
  </r>
  <r>
    <x v="15"/>
    <x v="593"/>
    <x v="0"/>
    <m/>
    <m/>
    <m/>
    <m/>
    <n v="63500"/>
    <m/>
  </r>
  <r>
    <x v="15"/>
    <x v="578"/>
    <x v="1"/>
    <m/>
    <m/>
    <m/>
    <m/>
    <n v="13500"/>
    <m/>
  </r>
  <r>
    <x v="15"/>
    <x v="594"/>
    <x v="2"/>
    <m/>
    <m/>
    <m/>
    <m/>
    <n v="13500"/>
    <m/>
  </r>
  <r>
    <x v="15"/>
    <x v="594"/>
    <x v="0"/>
    <m/>
    <m/>
    <m/>
    <m/>
    <n v="60250"/>
    <m/>
  </r>
  <r>
    <x v="15"/>
    <x v="595"/>
    <x v="0"/>
    <m/>
    <m/>
    <m/>
    <m/>
    <n v="20000"/>
    <m/>
  </r>
  <r>
    <x v="15"/>
    <x v="583"/>
    <x v="2"/>
    <m/>
    <m/>
    <m/>
    <m/>
    <n v="15000"/>
    <m/>
  </r>
  <r>
    <x v="15"/>
    <x v="556"/>
    <x v="2"/>
    <m/>
    <m/>
    <m/>
    <m/>
    <n v="44500"/>
    <m/>
  </r>
  <r>
    <x v="15"/>
    <x v="556"/>
    <x v="3"/>
    <m/>
    <m/>
    <m/>
    <m/>
    <n v="25000"/>
    <m/>
  </r>
  <r>
    <x v="16"/>
    <x v="596"/>
    <x v="0"/>
    <m/>
    <n v="-13500"/>
    <m/>
    <n v="-5000"/>
    <n v="71901"/>
    <m/>
  </r>
  <r>
    <x v="16"/>
    <x v="597"/>
    <x v="0"/>
    <m/>
    <n v="-20000"/>
    <m/>
    <n v="54100"/>
    <n v="212900"/>
    <m/>
  </r>
  <r>
    <x v="16"/>
    <x v="598"/>
    <x v="0"/>
    <m/>
    <n v="-13200"/>
    <n v="-10800"/>
    <n v="6000"/>
    <n v="35500"/>
    <n v="0"/>
  </r>
  <r>
    <x v="16"/>
    <x v="599"/>
    <x v="0"/>
    <m/>
    <n v="-18000"/>
    <m/>
    <n v="24050"/>
    <m/>
    <m/>
  </r>
  <r>
    <x v="16"/>
    <x v="600"/>
    <x v="0"/>
    <m/>
    <n v="-165500"/>
    <n v="-2000"/>
    <m/>
    <m/>
    <m/>
  </r>
  <r>
    <x v="16"/>
    <x v="601"/>
    <x v="0"/>
    <m/>
    <n v="-18000"/>
    <m/>
    <n v="90000"/>
    <n v="164167"/>
    <m/>
  </r>
  <r>
    <x v="16"/>
    <x v="602"/>
    <x v="1"/>
    <m/>
    <n v="-19203"/>
    <m/>
    <m/>
    <m/>
    <m/>
  </r>
  <r>
    <x v="16"/>
    <x v="603"/>
    <x v="0"/>
    <m/>
    <n v="-28000"/>
    <m/>
    <m/>
    <n v="23500"/>
    <m/>
  </r>
  <r>
    <x v="16"/>
    <x v="604"/>
    <x v="0"/>
    <m/>
    <n v="-33000"/>
    <m/>
    <n v="10000"/>
    <n v="12000"/>
    <m/>
  </r>
  <r>
    <x v="16"/>
    <x v="605"/>
    <x v="0"/>
    <m/>
    <n v="-14000"/>
    <m/>
    <m/>
    <n v="72700"/>
    <m/>
  </r>
  <r>
    <x v="16"/>
    <x v="606"/>
    <x v="0"/>
    <m/>
    <n v="-62100"/>
    <m/>
    <n v="3000"/>
    <n v="25000"/>
    <m/>
  </r>
  <r>
    <x v="16"/>
    <x v="607"/>
    <x v="0"/>
    <m/>
    <n v="-9000"/>
    <n v="-4500"/>
    <n v="7500"/>
    <n v="89000"/>
    <m/>
  </r>
  <r>
    <x v="16"/>
    <x v="608"/>
    <x v="0"/>
    <m/>
    <n v="-43350"/>
    <n v="-28500"/>
    <n v="276873"/>
    <n v="994299"/>
    <m/>
  </r>
  <r>
    <x v="16"/>
    <x v="609"/>
    <x v="2"/>
    <m/>
    <m/>
    <n v="-75000"/>
    <m/>
    <m/>
    <m/>
  </r>
  <r>
    <x v="16"/>
    <x v="610"/>
    <x v="0"/>
    <m/>
    <m/>
    <n v="-28144"/>
    <m/>
    <n v="212200"/>
    <m/>
  </r>
  <r>
    <x v="16"/>
    <x v="611"/>
    <x v="0"/>
    <m/>
    <m/>
    <n v="-4000"/>
    <n v="322450"/>
    <n v="115000"/>
    <m/>
  </r>
  <r>
    <x v="16"/>
    <x v="612"/>
    <x v="0"/>
    <m/>
    <m/>
    <n v="-10800"/>
    <n v="55500"/>
    <n v="13750"/>
    <m/>
  </r>
  <r>
    <x v="16"/>
    <x v="613"/>
    <x v="0"/>
    <m/>
    <m/>
    <n v="-17200"/>
    <m/>
    <n v="36500"/>
    <m/>
  </r>
  <r>
    <x v="16"/>
    <x v="614"/>
    <x v="0"/>
    <m/>
    <m/>
    <n v="-27000"/>
    <m/>
    <n v="228250"/>
    <m/>
  </r>
  <r>
    <x v="16"/>
    <x v="615"/>
    <x v="0"/>
    <m/>
    <m/>
    <m/>
    <n v="1500"/>
    <m/>
    <m/>
  </r>
  <r>
    <x v="16"/>
    <x v="616"/>
    <x v="0"/>
    <m/>
    <m/>
    <m/>
    <n v="2300"/>
    <n v="12750"/>
    <m/>
  </r>
  <r>
    <x v="16"/>
    <x v="617"/>
    <x v="0"/>
    <m/>
    <m/>
    <m/>
    <n v="2700"/>
    <m/>
    <m/>
  </r>
  <r>
    <x v="16"/>
    <x v="618"/>
    <x v="0"/>
    <m/>
    <m/>
    <m/>
    <n v="-2250"/>
    <n v="268385"/>
    <m/>
  </r>
  <r>
    <x v="16"/>
    <x v="619"/>
    <x v="0"/>
    <m/>
    <m/>
    <m/>
    <n v="5532"/>
    <n v="78000"/>
    <m/>
  </r>
  <r>
    <x v="16"/>
    <x v="620"/>
    <x v="0"/>
    <m/>
    <m/>
    <m/>
    <n v="9000"/>
    <m/>
    <m/>
  </r>
  <r>
    <x v="16"/>
    <x v="621"/>
    <x v="0"/>
    <m/>
    <m/>
    <m/>
    <n v="30000"/>
    <n v="13500"/>
    <m/>
  </r>
  <r>
    <x v="16"/>
    <x v="622"/>
    <x v="0"/>
    <m/>
    <m/>
    <m/>
    <n v="1200"/>
    <n v="78500"/>
    <m/>
  </r>
  <r>
    <x v="16"/>
    <x v="623"/>
    <x v="0"/>
    <m/>
    <m/>
    <m/>
    <n v="6000"/>
    <m/>
    <m/>
  </r>
  <r>
    <x v="16"/>
    <x v="624"/>
    <x v="1"/>
    <m/>
    <m/>
    <m/>
    <n v="3865"/>
    <m/>
    <m/>
  </r>
  <r>
    <x v="16"/>
    <x v="624"/>
    <x v="0"/>
    <m/>
    <m/>
    <m/>
    <n v="24250"/>
    <n v="42750"/>
    <m/>
  </r>
  <r>
    <x v="16"/>
    <x v="625"/>
    <x v="0"/>
    <m/>
    <m/>
    <m/>
    <n v="-47677"/>
    <m/>
    <m/>
  </r>
  <r>
    <x v="16"/>
    <x v="626"/>
    <x v="0"/>
    <m/>
    <m/>
    <m/>
    <n v="3700"/>
    <n v="41000"/>
    <m/>
  </r>
  <r>
    <x v="16"/>
    <x v="627"/>
    <x v="0"/>
    <m/>
    <m/>
    <m/>
    <n v="2700"/>
    <n v="12667"/>
    <m/>
  </r>
  <r>
    <x v="16"/>
    <x v="602"/>
    <x v="0"/>
    <m/>
    <m/>
    <m/>
    <n v="26000"/>
    <m/>
    <m/>
  </r>
  <r>
    <x v="16"/>
    <x v="628"/>
    <x v="0"/>
    <m/>
    <m/>
    <m/>
    <n v="505500"/>
    <n v="341500"/>
    <m/>
  </r>
  <r>
    <x v="16"/>
    <x v="629"/>
    <x v="0"/>
    <m/>
    <m/>
    <m/>
    <n v="222000"/>
    <n v="201700"/>
    <m/>
  </r>
  <r>
    <x v="16"/>
    <x v="630"/>
    <x v="0"/>
    <m/>
    <m/>
    <m/>
    <n v="106000"/>
    <n v="297800"/>
    <m/>
  </r>
  <r>
    <x v="16"/>
    <x v="631"/>
    <x v="0"/>
    <m/>
    <m/>
    <m/>
    <n v="12950"/>
    <m/>
    <m/>
  </r>
  <r>
    <x v="16"/>
    <x v="632"/>
    <x v="0"/>
    <m/>
    <m/>
    <m/>
    <n v="58000"/>
    <n v="121100"/>
    <m/>
  </r>
  <r>
    <x v="16"/>
    <x v="604"/>
    <x v="1"/>
    <m/>
    <m/>
    <m/>
    <n v="30000"/>
    <m/>
    <m/>
  </r>
  <r>
    <x v="16"/>
    <x v="633"/>
    <x v="0"/>
    <m/>
    <m/>
    <m/>
    <n v="9600"/>
    <n v="-14000"/>
    <m/>
  </r>
  <r>
    <x v="16"/>
    <x v="634"/>
    <x v="0"/>
    <m/>
    <m/>
    <m/>
    <n v="3500"/>
    <m/>
    <m/>
  </r>
  <r>
    <x v="16"/>
    <x v="635"/>
    <x v="0"/>
    <m/>
    <m/>
    <m/>
    <n v="37789"/>
    <n v="-16000"/>
    <m/>
  </r>
  <r>
    <x v="16"/>
    <x v="636"/>
    <x v="0"/>
    <m/>
    <m/>
    <m/>
    <n v="35000"/>
    <n v="53500"/>
    <m/>
  </r>
  <r>
    <x v="16"/>
    <x v="637"/>
    <x v="0"/>
    <m/>
    <m/>
    <m/>
    <n v="44500"/>
    <n v="17000"/>
    <m/>
  </r>
  <r>
    <x v="16"/>
    <x v="638"/>
    <x v="0"/>
    <m/>
    <m/>
    <m/>
    <n v="107512"/>
    <n v="42000"/>
    <m/>
  </r>
  <r>
    <x v="16"/>
    <x v="639"/>
    <x v="0"/>
    <m/>
    <m/>
    <m/>
    <n v="64369"/>
    <n v="82300"/>
    <m/>
  </r>
  <r>
    <x v="16"/>
    <x v="640"/>
    <x v="0"/>
    <m/>
    <m/>
    <m/>
    <n v="41238"/>
    <n v="148500"/>
    <m/>
  </r>
  <r>
    <x v="16"/>
    <x v="608"/>
    <x v="1"/>
    <m/>
    <m/>
    <m/>
    <n v="7000"/>
    <n v="114500"/>
    <m/>
  </r>
  <r>
    <x v="16"/>
    <x v="641"/>
    <x v="1"/>
    <m/>
    <m/>
    <m/>
    <m/>
    <n v="11000"/>
    <m/>
  </r>
  <r>
    <x v="16"/>
    <x v="642"/>
    <x v="0"/>
    <m/>
    <m/>
    <m/>
    <m/>
    <n v="20000"/>
    <m/>
  </r>
  <r>
    <x v="16"/>
    <x v="643"/>
    <x v="0"/>
    <m/>
    <m/>
    <m/>
    <m/>
    <n v="50000"/>
    <m/>
  </r>
  <r>
    <x v="16"/>
    <x v="644"/>
    <x v="2"/>
    <m/>
    <m/>
    <m/>
    <m/>
    <n v="7500"/>
    <m/>
  </r>
  <r>
    <x v="16"/>
    <x v="644"/>
    <x v="0"/>
    <m/>
    <m/>
    <m/>
    <m/>
    <n v="70000"/>
    <m/>
  </r>
  <r>
    <x v="16"/>
    <x v="645"/>
    <x v="0"/>
    <m/>
    <m/>
    <m/>
    <m/>
    <n v="95000"/>
    <m/>
  </r>
  <r>
    <x v="16"/>
    <x v="646"/>
    <x v="0"/>
    <m/>
    <m/>
    <m/>
    <m/>
    <n v="40000"/>
    <m/>
  </r>
  <r>
    <x v="16"/>
    <x v="597"/>
    <x v="1"/>
    <m/>
    <m/>
    <m/>
    <m/>
    <n v="68495"/>
    <m/>
  </r>
  <r>
    <x v="16"/>
    <x v="598"/>
    <x v="1"/>
    <m/>
    <m/>
    <m/>
    <m/>
    <n v="14675"/>
    <m/>
  </r>
  <r>
    <x v="16"/>
    <x v="647"/>
    <x v="0"/>
    <m/>
    <m/>
    <m/>
    <m/>
    <n v="10000"/>
    <m/>
  </r>
  <r>
    <x v="16"/>
    <x v="626"/>
    <x v="2"/>
    <m/>
    <m/>
    <m/>
    <m/>
    <n v="16250"/>
    <m/>
  </r>
  <r>
    <x v="16"/>
    <x v="601"/>
    <x v="1"/>
    <m/>
    <m/>
    <m/>
    <m/>
    <n v="20700"/>
    <m/>
  </r>
  <r>
    <x v="16"/>
    <x v="611"/>
    <x v="1"/>
    <m/>
    <m/>
    <m/>
    <m/>
    <n v="22500"/>
    <m/>
  </r>
  <r>
    <x v="16"/>
    <x v="629"/>
    <x v="1"/>
    <m/>
    <m/>
    <m/>
    <m/>
    <n v="31333"/>
    <m/>
  </r>
  <r>
    <x v="16"/>
    <x v="648"/>
    <x v="0"/>
    <m/>
    <m/>
    <m/>
    <m/>
    <n v="46500"/>
    <m/>
  </r>
  <r>
    <x v="16"/>
    <x v="649"/>
    <x v="0"/>
    <m/>
    <m/>
    <m/>
    <m/>
    <n v="24950"/>
    <m/>
  </r>
  <r>
    <x v="16"/>
    <x v="650"/>
    <x v="0"/>
    <m/>
    <m/>
    <m/>
    <m/>
    <n v="8000"/>
    <m/>
  </r>
  <r>
    <x v="16"/>
    <x v="651"/>
    <x v="0"/>
    <m/>
    <m/>
    <m/>
    <m/>
    <n v="15000"/>
    <m/>
  </r>
  <r>
    <x v="17"/>
    <x v="652"/>
    <x v="0"/>
    <m/>
    <n v="-12000"/>
    <n v="-16400"/>
    <n v="39280"/>
    <m/>
    <m/>
  </r>
  <r>
    <x v="17"/>
    <x v="653"/>
    <x v="0"/>
    <m/>
    <n v="-20000"/>
    <m/>
    <m/>
    <n v="12000"/>
    <m/>
  </r>
  <r>
    <x v="17"/>
    <x v="654"/>
    <x v="0"/>
    <m/>
    <n v="-12000"/>
    <m/>
    <n v="3600"/>
    <n v="29600"/>
    <m/>
  </r>
  <r>
    <x v="17"/>
    <x v="655"/>
    <x v="0"/>
    <m/>
    <n v="-58000"/>
    <m/>
    <n v="3500"/>
    <m/>
    <m/>
  </r>
  <r>
    <x v="17"/>
    <x v="656"/>
    <x v="1"/>
    <m/>
    <n v="-13500"/>
    <m/>
    <m/>
    <m/>
    <m/>
  </r>
  <r>
    <x v="17"/>
    <x v="656"/>
    <x v="0"/>
    <m/>
    <n v="-14800"/>
    <m/>
    <n v="2200"/>
    <m/>
    <m/>
  </r>
  <r>
    <x v="17"/>
    <x v="657"/>
    <x v="2"/>
    <m/>
    <n v="-17625"/>
    <m/>
    <m/>
    <m/>
    <m/>
  </r>
  <r>
    <x v="17"/>
    <x v="657"/>
    <x v="0"/>
    <m/>
    <n v="-15000"/>
    <m/>
    <n v="9633"/>
    <n v="92500"/>
    <m/>
  </r>
  <r>
    <x v="17"/>
    <x v="658"/>
    <x v="1"/>
    <m/>
    <n v="-25000"/>
    <m/>
    <m/>
    <m/>
    <m/>
  </r>
  <r>
    <x v="17"/>
    <x v="659"/>
    <x v="0"/>
    <m/>
    <n v="-12000"/>
    <m/>
    <m/>
    <m/>
    <m/>
  </r>
  <r>
    <x v="17"/>
    <x v="660"/>
    <x v="0"/>
    <m/>
    <n v="-18000"/>
    <m/>
    <n v="2000"/>
    <m/>
    <m/>
  </r>
  <r>
    <x v="17"/>
    <x v="661"/>
    <x v="0"/>
    <m/>
    <n v="-12000"/>
    <m/>
    <n v="99600"/>
    <n v="65700"/>
    <m/>
  </r>
  <r>
    <x v="17"/>
    <x v="662"/>
    <x v="0"/>
    <m/>
    <n v="-12000"/>
    <m/>
    <n v="-8000"/>
    <n v="-17500"/>
    <m/>
  </r>
  <r>
    <x v="17"/>
    <x v="663"/>
    <x v="0"/>
    <m/>
    <n v="-13000"/>
    <m/>
    <n v="27770"/>
    <n v="4000"/>
    <m/>
  </r>
  <r>
    <x v="17"/>
    <x v="664"/>
    <x v="0"/>
    <m/>
    <n v="-34900"/>
    <m/>
    <n v="21800"/>
    <n v="151925"/>
    <m/>
  </r>
  <r>
    <x v="17"/>
    <x v="665"/>
    <x v="0"/>
    <m/>
    <n v="-5700"/>
    <m/>
    <n v="124000"/>
    <n v="344500"/>
    <m/>
  </r>
  <r>
    <x v="17"/>
    <x v="666"/>
    <x v="0"/>
    <m/>
    <n v="-235000"/>
    <n v="-26500"/>
    <n v="460884"/>
    <n v="666275"/>
    <m/>
  </r>
  <r>
    <x v="17"/>
    <x v="667"/>
    <x v="0"/>
    <m/>
    <m/>
    <n v="-40000"/>
    <m/>
    <m/>
    <m/>
  </r>
  <r>
    <x v="17"/>
    <x v="668"/>
    <x v="0"/>
    <m/>
    <m/>
    <n v="-9000"/>
    <n v="15850"/>
    <m/>
    <m/>
  </r>
  <r>
    <x v="17"/>
    <x v="669"/>
    <x v="0"/>
    <m/>
    <m/>
    <n v="-15461"/>
    <m/>
    <m/>
    <m/>
  </r>
  <r>
    <x v="17"/>
    <x v="670"/>
    <x v="0"/>
    <m/>
    <m/>
    <n v="-1423"/>
    <n v="2400"/>
    <m/>
    <m/>
  </r>
  <r>
    <x v="17"/>
    <x v="671"/>
    <x v="0"/>
    <m/>
    <m/>
    <n v="-1"/>
    <n v="3000"/>
    <n v="23500"/>
    <m/>
  </r>
  <r>
    <x v="17"/>
    <x v="672"/>
    <x v="0"/>
    <m/>
    <m/>
    <n v="-40000"/>
    <n v="3045"/>
    <m/>
    <m/>
  </r>
  <r>
    <x v="17"/>
    <x v="658"/>
    <x v="0"/>
    <m/>
    <m/>
    <n v="-3456"/>
    <n v="16000"/>
    <m/>
    <m/>
  </r>
  <r>
    <x v="17"/>
    <x v="673"/>
    <x v="0"/>
    <m/>
    <m/>
    <n v="-5100"/>
    <n v="8000"/>
    <n v="12000"/>
    <m/>
  </r>
  <r>
    <x v="17"/>
    <x v="674"/>
    <x v="0"/>
    <m/>
    <m/>
    <n v="-5200"/>
    <n v="8000"/>
    <m/>
    <m/>
  </r>
  <r>
    <x v="17"/>
    <x v="675"/>
    <x v="0"/>
    <m/>
    <m/>
    <n v="-17500"/>
    <m/>
    <n v="4500"/>
    <m/>
  </r>
  <r>
    <x v="17"/>
    <x v="676"/>
    <x v="0"/>
    <m/>
    <m/>
    <n v="-6350"/>
    <n v="84344"/>
    <n v="22300"/>
    <m/>
  </r>
  <r>
    <x v="17"/>
    <x v="677"/>
    <x v="0"/>
    <m/>
    <m/>
    <m/>
    <n v="1300"/>
    <m/>
    <m/>
  </r>
  <r>
    <x v="17"/>
    <x v="678"/>
    <x v="0"/>
    <m/>
    <m/>
    <m/>
    <n v="3000"/>
    <m/>
    <m/>
  </r>
  <r>
    <x v="17"/>
    <x v="679"/>
    <x v="0"/>
    <m/>
    <m/>
    <m/>
    <n v="47000"/>
    <m/>
    <m/>
  </r>
  <r>
    <x v="17"/>
    <x v="680"/>
    <x v="0"/>
    <m/>
    <m/>
    <m/>
    <n v="45800"/>
    <n v="47000"/>
    <m/>
  </r>
  <r>
    <x v="17"/>
    <x v="681"/>
    <x v="0"/>
    <m/>
    <m/>
    <m/>
    <n v="2100"/>
    <n v="91100"/>
    <m/>
  </r>
  <r>
    <x v="17"/>
    <x v="682"/>
    <x v="0"/>
    <m/>
    <m/>
    <m/>
    <n v="43000"/>
    <m/>
    <m/>
  </r>
  <r>
    <x v="17"/>
    <x v="668"/>
    <x v="1"/>
    <m/>
    <m/>
    <m/>
    <n v="5000"/>
    <m/>
    <m/>
  </r>
  <r>
    <x v="17"/>
    <x v="683"/>
    <x v="0"/>
    <m/>
    <m/>
    <m/>
    <n v="98000"/>
    <n v="79850"/>
    <m/>
  </r>
  <r>
    <x v="17"/>
    <x v="684"/>
    <x v="0"/>
    <m/>
    <m/>
    <m/>
    <n v="15300"/>
    <m/>
    <m/>
  </r>
  <r>
    <x v="17"/>
    <x v="685"/>
    <x v="0"/>
    <m/>
    <m/>
    <m/>
    <n v="1800"/>
    <m/>
    <m/>
  </r>
  <r>
    <x v="17"/>
    <x v="686"/>
    <x v="0"/>
    <m/>
    <m/>
    <m/>
    <n v="12100"/>
    <m/>
    <m/>
  </r>
  <r>
    <x v="17"/>
    <x v="687"/>
    <x v="0"/>
    <m/>
    <m/>
    <m/>
    <n v="20800"/>
    <m/>
    <m/>
  </r>
  <r>
    <x v="17"/>
    <x v="688"/>
    <x v="0"/>
    <m/>
    <m/>
    <m/>
    <n v="0"/>
    <n v="21500"/>
    <m/>
  </r>
  <r>
    <x v="17"/>
    <x v="689"/>
    <x v="0"/>
    <m/>
    <m/>
    <m/>
    <n v="22000"/>
    <n v="113600"/>
    <m/>
  </r>
  <r>
    <x v="17"/>
    <x v="690"/>
    <x v="0"/>
    <m/>
    <m/>
    <m/>
    <n v="20000"/>
    <n v="45500"/>
    <m/>
  </r>
  <r>
    <x v="17"/>
    <x v="691"/>
    <x v="2"/>
    <m/>
    <m/>
    <m/>
    <n v="5500"/>
    <m/>
    <m/>
  </r>
  <r>
    <x v="17"/>
    <x v="691"/>
    <x v="1"/>
    <m/>
    <m/>
    <m/>
    <n v="25000"/>
    <m/>
    <m/>
  </r>
  <r>
    <x v="17"/>
    <x v="691"/>
    <x v="0"/>
    <m/>
    <m/>
    <m/>
    <n v="105450"/>
    <n v="38040"/>
    <m/>
  </r>
  <r>
    <x v="17"/>
    <x v="692"/>
    <x v="0"/>
    <m/>
    <m/>
    <m/>
    <n v="20300"/>
    <n v="13500"/>
    <m/>
  </r>
  <r>
    <x v="17"/>
    <x v="693"/>
    <x v="0"/>
    <m/>
    <m/>
    <m/>
    <n v="21265"/>
    <n v="70430"/>
    <m/>
  </r>
  <r>
    <x v="17"/>
    <x v="694"/>
    <x v="0"/>
    <m/>
    <m/>
    <m/>
    <n v="9981"/>
    <n v="156200"/>
    <m/>
  </r>
  <r>
    <x v="17"/>
    <x v="695"/>
    <x v="0"/>
    <m/>
    <m/>
    <m/>
    <n v="150000"/>
    <n v="20000"/>
    <m/>
  </r>
  <r>
    <x v="17"/>
    <x v="696"/>
    <x v="0"/>
    <m/>
    <m/>
    <m/>
    <n v="8000"/>
    <m/>
    <m/>
  </r>
  <r>
    <x v="17"/>
    <x v="697"/>
    <x v="0"/>
    <m/>
    <m/>
    <m/>
    <n v="39033"/>
    <n v="15000"/>
    <m/>
  </r>
  <r>
    <x v="17"/>
    <x v="698"/>
    <x v="0"/>
    <m/>
    <m/>
    <m/>
    <n v="16500"/>
    <n v="43100"/>
    <m/>
  </r>
  <r>
    <x v="17"/>
    <x v="699"/>
    <x v="0"/>
    <m/>
    <m/>
    <m/>
    <n v="12800"/>
    <n v="42000"/>
    <m/>
  </r>
  <r>
    <x v="17"/>
    <x v="700"/>
    <x v="0"/>
    <m/>
    <m/>
    <m/>
    <n v="18000"/>
    <n v="23050"/>
    <m/>
  </r>
  <r>
    <x v="17"/>
    <x v="701"/>
    <x v="0"/>
    <m/>
    <m/>
    <m/>
    <n v="1846"/>
    <n v="160667"/>
    <m/>
  </r>
  <r>
    <x v="17"/>
    <x v="702"/>
    <x v="0"/>
    <m/>
    <m/>
    <m/>
    <n v="62000"/>
    <n v="90400"/>
    <m/>
  </r>
  <r>
    <x v="17"/>
    <x v="666"/>
    <x v="4"/>
    <m/>
    <m/>
    <m/>
    <n v="30999"/>
    <n v="194718"/>
    <m/>
  </r>
  <r>
    <x v="17"/>
    <x v="666"/>
    <x v="1"/>
    <m/>
    <m/>
    <m/>
    <n v="5988"/>
    <n v="109453"/>
    <m/>
  </r>
  <r>
    <x v="17"/>
    <x v="703"/>
    <x v="0"/>
    <m/>
    <m/>
    <m/>
    <m/>
    <n v="15000"/>
    <m/>
  </r>
  <r>
    <x v="17"/>
    <x v="704"/>
    <x v="0"/>
    <m/>
    <m/>
    <m/>
    <m/>
    <n v="15000"/>
    <m/>
  </r>
  <r>
    <x v="17"/>
    <x v="705"/>
    <x v="0"/>
    <m/>
    <m/>
    <m/>
    <m/>
    <n v="12500"/>
    <m/>
  </r>
  <r>
    <x v="17"/>
    <x v="681"/>
    <x v="1"/>
    <m/>
    <m/>
    <m/>
    <m/>
    <n v="25500"/>
    <m/>
  </r>
  <r>
    <x v="17"/>
    <x v="706"/>
    <x v="1"/>
    <m/>
    <m/>
    <m/>
    <m/>
    <n v="37533"/>
    <m/>
  </r>
  <r>
    <x v="17"/>
    <x v="706"/>
    <x v="0"/>
    <m/>
    <m/>
    <m/>
    <m/>
    <n v="58000"/>
    <m/>
  </r>
  <r>
    <x v="17"/>
    <x v="707"/>
    <x v="0"/>
    <m/>
    <m/>
    <m/>
    <m/>
    <n v="30000"/>
    <m/>
  </r>
  <r>
    <x v="17"/>
    <x v="683"/>
    <x v="1"/>
    <m/>
    <m/>
    <m/>
    <m/>
    <n v="30000"/>
    <m/>
  </r>
  <r>
    <x v="17"/>
    <x v="670"/>
    <x v="1"/>
    <m/>
    <m/>
    <m/>
    <m/>
    <n v="19000"/>
    <m/>
  </r>
  <r>
    <x v="17"/>
    <x v="708"/>
    <x v="0"/>
    <m/>
    <m/>
    <m/>
    <m/>
    <n v="72900"/>
    <m/>
  </r>
  <r>
    <x v="17"/>
    <x v="709"/>
    <x v="0"/>
    <m/>
    <m/>
    <m/>
    <m/>
    <n v="238000"/>
    <m/>
  </r>
  <r>
    <x v="17"/>
    <x v="657"/>
    <x v="1"/>
    <m/>
    <m/>
    <m/>
    <m/>
    <n v="25122"/>
    <m/>
  </r>
  <r>
    <x v="17"/>
    <x v="692"/>
    <x v="1"/>
    <m/>
    <m/>
    <m/>
    <m/>
    <n v="21172"/>
    <m/>
  </r>
  <r>
    <x v="17"/>
    <x v="694"/>
    <x v="1"/>
    <m/>
    <m/>
    <m/>
    <m/>
    <n v="24120"/>
    <m/>
  </r>
  <r>
    <x v="17"/>
    <x v="710"/>
    <x v="0"/>
    <m/>
    <m/>
    <m/>
    <m/>
    <n v="58500"/>
    <m/>
  </r>
  <r>
    <x v="17"/>
    <x v="711"/>
    <x v="0"/>
    <m/>
    <m/>
    <m/>
    <m/>
    <n v="70833"/>
    <m/>
  </r>
  <r>
    <x v="17"/>
    <x v="712"/>
    <x v="0"/>
    <m/>
    <m/>
    <m/>
    <m/>
    <n v="61579"/>
    <m/>
  </r>
  <r>
    <x v="17"/>
    <x v="713"/>
    <x v="0"/>
    <m/>
    <m/>
    <m/>
    <m/>
    <n v="30000"/>
    <m/>
  </r>
  <r>
    <x v="17"/>
    <x v="702"/>
    <x v="1"/>
    <m/>
    <m/>
    <m/>
    <m/>
    <n v="155502"/>
    <m/>
  </r>
  <r>
    <x v="17"/>
    <x v="663"/>
    <x v="1"/>
    <m/>
    <m/>
    <m/>
    <m/>
    <n v="41351"/>
    <m/>
  </r>
  <r>
    <x v="17"/>
    <x v="665"/>
    <x v="1"/>
    <m/>
    <m/>
    <m/>
    <m/>
    <n v="47168"/>
    <m/>
  </r>
  <r>
    <x v="17"/>
    <x v="666"/>
    <x v="2"/>
    <m/>
    <m/>
    <m/>
    <m/>
    <n v="16369"/>
    <m/>
  </r>
  <r>
    <x v="18"/>
    <x v="714"/>
    <x v="0"/>
    <m/>
    <n v="-20700"/>
    <n v="-21000"/>
    <m/>
    <n v="21500"/>
    <m/>
  </r>
  <r>
    <x v="18"/>
    <x v="715"/>
    <x v="2"/>
    <m/>
    <n v="-24000"/>
    <m/>
    <m/>
    <m/>
    <m/>
  </r>
  <r>
    <x v="18"/>
    <x v="715"/>
    <x v="0"/>
    <m/>
    <n v="-60000"/>
    <m/>
    <m/>
    <m/>
    <m/>
  </r>
  <r>
    <x v="18"/>
    <x v="716"/>
    <x v="0"/>
    <m/>
    <n v="-30500"/>
    <m/>
    <n v="1800"/>
    <n v="50000"/>
    <m/>
  </r>
  <r>
    <x v="18"/>
    <x v="717"/>
    <x v="0"/>
    <m/>
    <n v="-12000"/>
    <m/>
    <n v="104650"/>
    <n v="35000"/>
    <m/>
  </r>
  <r>
    <x v="18"/>
    <x v="718"/>
    <x v="4"/>
    <m/>
    <n v="-5964"/>
    <m/>
    <n v="708"/>
    <m/>
    <m/>
  </r>
  <r>
    <x v="18"/>
    <x v="718"/>
    <x v="0"/>
    <m/>
    <n v="-3576"/>
    <n v="-22500"/>
    <n v="27730"/>
    <n v="272136"/>
    <m/>
  </r>
  <r>
    <x v="18"/>
    <x v="719"/>
    <x v="0"/>
    <m/>
    <n v="-55000"/>
    <m/>
    <m/>
    <m/>
    <m/>
  </r>
  <r>
    <x v="18"/>
    <x v="720"/>
    <x v="0"/>
    <m/>
    <n v="-4000"/>
    <n v="-2000"/>
    <n v="33750"/>
    <m/>
    <m/>
  </r>
  <r>
    <x v="18"/>
    <x v="721"/>
    <x v="0"/>
    <m/>
    <n v="-18000"/>
    <m/>
    <m/>
    <m/>
    <m/>
  </r>
  <r>
    <x v="18"/>
    <x v="722"/>
    <x v="1"/>
    <m/>
    <n v="-24500"/>
    <m/>
    <m/>
    <n v="21000"/>
    <m/>
  </r>
  <r>
    <x v="18"/>
    <x v="723"/>
    <x v="0"/>
    <m/>
    <n v="-16500"/>
    <m/>
    <n v="43020"/>
    <n v="32000"/>
    <m/>
  </r>
  <r>
    <x v="18"/>
    <x v="724"/>
    <x v="0"/>
    <m/>
    <n v="-5500"/>
    <m/>
    <m/>
    <m/>
    <m/>
  </r>
  <r>
    <x v="18"/>
    <x v="725"/>
    <x v="4"/>
    <m/>
    <n v="-2388"/>
    <m/>
    <m/>
    <m/>
    <m/>
  </r>
  <r>
    <x v="18"/>
    <x v="726"/>
    <x v="1"/>
    <m/>
    <n v="-5688"/>
    <m/>
    <m/>
    <n v="13512"/>
    <m/>
  </r>
  <r>
    <x v="18"/>
    <x v="726"/>
    <x v="0"/>
    <m/>
    <n v="-8013"/>
    <m/>
    <n v="25000"/>
    <n v="-13750"/>
    <m/>
  </r>
  <r>
    <x v="18"/>
    <x v="727"/>
    <x v="0"/>
    <m/>
    <n v="-15000"/>
    <m/>
    <n v="5000"/>
    <m/>
    <m/>
  </r>
  <r>
    <x v="18"/>
    <x v="728"/>
    <x v="1"/>
    <m/>
    <n v="-80000"/>
    <m/>
    <m/>
    <m/>
    <m/>
  </r>
  <r>
    <x v="18"/>
    <x v="729"/>
    <x v="0"/>
    <m/>
    <n v="-43500"/>
    <m/>
    <m/>
    <m/>
    <m/>
  </r>
  <r>
    <x v="18"/>
    <x v="730"/>
    <x v="4"/>
    <m/>
    <n v="-5988"/>
    <m/>
    <m/>
    <m/>
    <m/>
  </r>
  <r>
    <x v="18"/>
    <x v="731"/>
    <x v="0"/>
    <m/>
    <n v="-18000"/>
    <m/>
    <m/>
    <n v="29000"/>
    <m/>
  </r>
  <r>
    <x v="18"/>
    <x v="732"/>
    <x v="0"/>
    <m/>
    <n v="-468"/>
    <m/>
    <n v="43750"/>
    <n v="20640"/>
    <m/>
  </r>
  <r>
    <x v="18"/>
    <x v="733"/>
    <x v="0"/>
    <m/>
    <n v="-24000"/>
    <m/>
    <m/>
    <m/>
    <m/>
  </r>
  <r>
    <x v="18"/>
    <x v="734"/>
    <x v="4"/>
    <m/>
    <n v="-9336"/>
    <m/>
    <m/>
    <m/>
    <m/>
  </r>
  <r>
    <x v="18"/>
    <x v="735"/>
    <x v="1"/>
    <m/>
    <n v="-14097"/>
    <m/>
    <m/>
    <m/>
    <m/>
  </r>
  <r>
    <x v="18"/>
    <x v="736"/>
    <x v="4"/>
    <m/>
    <n v="-2388"/>
    <m/>
    <m/>
    <m/>
    <m/>
  </r>
  <r>
    <x v="18"/>
    <x v="737"/>
    <x v="4"/>
    <m/>
    <n v="-708"/>
    <m/>
    <m/>
    <m/>
    <m/>
  </r>
  <r>
    <x v="18"/>
    <x v="738"/>
    <x v="0"/>
    <m/>
    <m/>
    <n v="-10650"/>
    <m/>
    <n v="0"/>
    <m/>
  </r>
  <r>
    <x v="18"/>
    <x v="717"/>
    <x v="1"/>
    <m/>
    <m/>
    <n v="-12869"/>
    <m/>
    <m/>
    <m/>
  </r>
  <r>
    <x v="18"/>
    <x v="720"/>
    <x v="1"/>
    <m/>
    <m/>
    <n v="-2000"/>
    <m/>
    <n v="13500"/>
    <m/>
  </r>
  <r>
    <x v="18"/>
    <x v="722"/>
    <x v="0"/>
    <m/>
    <m/>
    <n v="-25000"/>
    <n v="5500"/>
    <n v="35000"/>
    <m/>
  </r>
  <r>
    <x v="18"/>
    <x v="739"/>
    <x v="0"/>
    <m/>
    <m/>
    <n v="-15000"/>
    <n v="10000"/>
    <n v="92833"/>
    <m/>
  </r>
  <r>
    <x v="18"/>
    <x v="740"/>
    <x v="0"/>
    <m/>
    <m/>
    <n v="-4500"/>
    <n v="7667"/>
    <n v="46750"/>
    <m/>
  </r>
  <r>
    <x v="18"/>
    <x v="728"/>
    <x v="0"/>
    <m/>
    <m/>
    <n v="-7500"/>
    <n v="10216"/>
    <n v="-32300"/>
    <m/>
  </r>
  <r>
    <x v="18"/>
    <x v="730"/>
    <x v="0"/>
    <m/>
    <m/>
    <n v="-6800"/>
    <n v="1500"/>
    <n v="45790"/>
    <m/>
  </r>
  <r>
    <x v="18"/>
    <x v="741"/>
    <x v="0"/>
    <m/>
    <m/>
    <n v="-3500"/>
    <n v="1500"/>
    <m/>
    <m/>
  </r>
  <r>
    <x v="18"/>
    <x v="742"/>
    <x v="0"/>
    <m/>
    <m/>
    <n v="-11700"/>
    <n v="188146"/>
    <n v="129000"/>
    <m/>
  </r>
  <r>
    <x v="18"/>
    <x v="736"/>
    <x v="0"/>
    <m/>
    <m/>
    <n v="-1200"/>
    <n v="135100"/>
    <n v="615700"/>
    <m/>
  </r>
  <r>
    <x v="18"/>
    <x v="737"/>
    <x v="0"/>
    <m/>
    <m/>
    <n v="-83720"/>
    <n v="304423"/>
    <n v="437517"/>
    <m/>
  </r>
  <r>
    <x v="18"/>
    <x v="743"/>
    <x v="0"/>
    <m/>
    <m/>
    <m/>
    <n v="4467"/>
    <m/>
    <m/>
  </r>
  <r>
    <x v="18"/>
    <x v="744"/>
    <x v="0"/>
    <m/>
    <m/>
    <m/>
    <n v="0"/>
    <m/>
    <m/>
  </r>
  <r>
    <x v="18"/>
    <x v="745"/>
    <x v="0"/>
    <m/>
    <m/>
    <m/>
    <n v="2300"/>
    <m/>
    <m/>
  </r>
  <r>
    <x v="18"/>
    <x v="746"/>
    <x v="0"/>
    <m/>
    <m/>
    <m/>
    <n v="600"/>
    <n v="126500"/>
    <m/>
  </r>
  <r>
    <x v="18"/>
    <x v="747"/>
    <x v="0"/>
    <m/>
    <m/>
    <m/>
    <n v="11500"/>
    <m/>
    <m/>
  </r>
  <r>
    <x v="18"/>
    <x v="748"/>
    <x v="0"/>
    <m/>
    <m/>
    <m/>
    <n v="6900"/>
    <n v="19000"/>
    <m/>
  </r>
  <r>
    <x v="18"/>
    <x v="749"/>
    <x v="0"/>
    <m/>
    <m/>
    <m/>
    <n v="3500"/>
    <n v="57875"/>
    <m/>
  </r>
  <r>
    <x v="18"/>
    <x v="750"/>
    <x v="0"/>
    <m/>
    <m/>
    <m/>
    <n v="5500"/>
    <n v="144887"/>
    <m/>
  </r>
  <r>
    <x v="18"/>
    <x v="751"/>
    <x v="0"/>
    <m/>
    <m/>
    <m/>
    <n v="1325"/>
    <m/>
    <m/>
  </r>
  <r>
    <x v="18"/>
    <x v="718"/>
    <x v="2"/>
    <m/>
    <m/>
    <m/>
    <n v="1884"/>
    <n v="52800"/>
    <m/>
  </r>
  <r>
    <x v="18"/>
    <x v="752"/>
    <x v="0"/>
    <m/>
    <m/>
    <m/>
    <n v="175660"/>
    <n v="30000"/>
    <m/>
  </r>
  <r>
    <x v="18"/>
    <x v="753"/>
    <x v="0"/>
    <m/>
    <m/>
    <m/>
    <n v="54000"/>
    <n v="19333"/>
    <m/>
  </r>
  <r>
    <x v="18"/>
    <x v="754"/>
    <x v="0"/>
    <m/>
    <m/>
    <m/>
    <n v="47149"/>
    <n v="29000"/>
    <m/>
  </r>
  <r>
    <x v="18"/>
    <x v="755"/>
    <x v="0"/>
    <m/>
    <m/>
    <m/>
    <n v="45400"/>
    <m/>
    <m/>
  </r>
  <r>
    <x v="18"/>
    <x v="756"/>
    <x v="1"/>
    <m/>
    <m/>
    <m/>
    <n v="15300"/>
    <m/>
    <m/>
  </r>
  <r>
    <x v="18"/>
    <x v="757"/>
    <x v="0"/>
    <m/>
    <m/>
    <m/>
    <n v="20080"/>
    <n v="27000"/>
    <m/>
  </r>
  <r>
    <x v="18"/>
    <x v="758"/>
    <x v="0"/>
    <m/>
    <m/>
    <m/>
    <n v="3000"/>
    <n v="8000"/>
    <m/>
  </r>
  <r>
    <x v="18"/>
    <x v="759"/>
    <x v="0"/>
    <m/>
    <m/>
    <m/>
    <n v="21316"/>
    <n v="38500"/>
    <m/>
  </r>
  <r>
    <x v="18"/>
    <x v="760"/>
    <x v="0"/>
    <m/>
    <m/>
    <m/>
    <n v="1519800"/>
    <n v="25000"/>
    <m/>
  </r>
  <r>
    <x v="18"/>
    <x v="725"/>
    <x v="0"/>
    <m/>
    <m/>
    <m/>
    <n v="-36332"/>
    <n v="415057"/>
    <m/>
  </r>
  <r>
    <x v="18"/>
    <x v="761"/>
    <x v="0"/>
    <m/>
    <m/>
    <m/>
    <n v="61333"/>
    <m/>
    <m/>
  </r>
  <r>
    <x v="18"/>
    <x v="762"/>
    <x v="0"/>
    <m/>
    <m/>
    <m/>
    <n v="10000"/>
    <n v="36100"/>
    <m/>
  </r>
  <r>
    <x v="18"/>
    <x v="763"/>
    <x v="0"/>
    <m/>
    <m/>
    <m/>
    <n v="23058"/>
    <n v="-13500"/>
    <m/>
  </r>
  <r>
    <x v="18"/>
    <x v="731"/>
    <x v="1"/>
    <m/>
    <m/>
    <m/>
    <n v="9000"/>
    <m/>
    <m/>
  </r>
  <r>
    <x v="18"/>
    <x v="764"/>
    <x v="0"/>
    <m/>
    <m/>
    <m/>
    <n v="2000"/>
    <n v="27500"/>
    <m/>
  </r>
  <r>
    <x v="18"/>
    <x v="765"/>
    <x v="0"/>
    <m/>
    <m/>
    <m/>
    <n v="4000"/>
    <n v="13500"/>
    <m/>
  </r>
  <r>
    <x v="18"/>
    <x v="732"/>
    <x v="1"/>
    <m/>
    <m/>
    <m/>
    <n v="20000"/>
    <m/>
    <m/>
  </r>
  <r>
    <x v="18"/>
    <x v="734"/>
    <x v="0"/>
    <m/>
    <m/>
    <m/>
    <n v="6000"/>
    <n v="37500"/>
    <m/>
  </r>
  <r>
    <x v="18"/>
    <x v="735"/>
    <x v="0"/>
    <m/>
    <m/>
    <m/>
    <n v="3750"/>
    <n v="259828"/>
    <m/>
  </r>
  <r>
    <x v="18"/>
    <x v="766"/>
    <x v="0"/>
    <m/>
    <m/>
    <m/>
    <n v="3000"/>
    <n v="71015"/>
    <m/>
  </r>
  <r>
    <x v="18"/>
    <x v="767"/>
    <x v="1"/>
    <m/>
    <m/>
    <m/>
    <n v="3000"/>
    <m/>
    <m/>
  </r>
  <r>
    <x v="18"/>
    <x v="767"/>
    <x v="0"/>
    <m/>
    <m/>
    <m/>
    <n v="7500"/>
    <n v="12000"/>
    <m/>
  </r>
  <r>
    <x v="18"/>
    <x v="768"/>
    <x v="0"/>
    <m/>
    <m/>
    <m/>
    <n v="2000"/>
    <n v="79500"/>
    <m/>
  </r>
  <r>
    <x v="18"/>
    <x v="742"/>
    <x v="1"/>
    <m/>
    <m/>
    <m/>
    <n v="230506"/>
    <n v="15290"/>
    <m/>
  </r>
  <r>
    <x v="18"/>
    <x v="769"/>
    <x v="0"/>
    <m/>
    <m/>
    <m/>
    <n v="0"/>
    <m/>
    <m/>
  </r>
  <r>
    <x v="18"/>
    <x v="770"/>
    <x v="0"/>
    <m/>
    <m/>
    <m/>
    <n v="32000"/>
    <n v="87450"/>
    <m/>
  </r>
  <r>
    <x v="18"/>
    <x v="771"/>
    <x v="0"/>
    <m/>
    <m/>
    <m/>
    <m/>
    <n v="21000"/>
    <m/>
  </r>
  <r>
    <x v="18"/>
    <x v="745"/>
    <x v="1"/>
    <m/>
    <m/>
    <m/>
    <m/>
    <n v="30833"/>
    <m/>
  </r>
  <r>
    <x v="18"/>
    <x v="746"/>
    <x v="1"/>
    <m/>
    <m/>
    <m/>
    <m/>
    <n v="36180"/>
    <m/>
  </r>
  <r>
    <x v="18"/>
    <x v="772"/>
    <x v="0"/>
    <m/>
    <m/>
    <m/>
    <m/>
    <n v="19000"/>
    <m/>
  </r>
  <r>
    <x v="18"/>
    <x v="716"/>
    <x v="2"/>
    <m/>
    <m/>
    <m/>
    <m/>
    <n v="25700"/>
    <m/>
  </r>
  <r>
    <x v="18"/>
    <x v="748"/>
    <x v="3"/>
    <m/>
    <m/>
    <m/>
    <m/>
    <n v="4000"/>
    <m/>
  </r>
  <r>
    <x v="18"/>
    <x v="749"/>
    <x v="1"/>
    <m/>
    <m/>
    <m/>
    <m/>
    <n v="38994"/>
    <m/>
  </r>
  <r>
    <x v="18"/>
    <x v="750"/>
    <x v="1"/>
    <m/>
    <m/>
    <m/>
    <m/>
    <n v="25417"/>
    <m/>
  </r>
  <r>
    <x v="18"/>
    <x v="773"/>
    <x v="0"/>
    <m/>
    <m/>
    <m/>
    <m/>
    <n v="20000"/>
    <m/>
  </r>
  <r>
    <x v="18"/>
    <x v="774"/>
    <x v="2"/>
    <m/>
    <m/>
    <m/>
    <m/>
    <n v="57040"/>
    <m/>
  </r>
  <r>
    <x v="18"/>
    <x v="774"/>
    <x v="0"/>
    <m/>
    <m/>
    <m/>
    <m/>
    <n v="86400"/>
    <m/>
  </r>
  <r>
    <x v="18"/>
    <x v="718"/>
    <x v="1"/>
    <m/>
    <m/>
    <m/>
    <m/>
    <n v="9000"/>
    <m/>
  </r>
  <r>
    <x v="18"/>
    <x v="755"/>
    <x v="1"/>
    <m/>
    <m/>
    <m/>
    <m/>
    <n v="26800"/>
    <m/>
  </r>
  <r>
    <x v="18"/>
    <x v="775"/>
    <x v="0"/>
    <m/>
    <m/>
    <m/>
    <m/>
    <n v="10000"/>
    <m/>
  </r>
  <r>
    <x v="18"/>
    <x v="758"/>
    <x v="1"/>
    <m/>
    <m/>
    <m/>
    <m/>
    <n v="27336"/>
    <m/>
  </r>
  <r>
    <x v="18"/>
    <x v="759"/>
    <x v="1"/>
    <m/>
    <m/>
    <m/>
    <m/>
    <n v="18452"/>
    <m/>
  </r>
  <r>
    <x v="18"/>
    <x v="776"/>
    <x v="0"/>
    <m/>
    <m/>
    <m/>
    <m/>
    <n v="97500"/>
    <m/>
  </r>
  <r>
    <x v="18"/>
    <x v="760"/>
    <x v="3"/>
    <m/>
    <m/>
    <m/>
    <m/>
    <n v="20500"/>
    <m/>
  </r>
  <r>
    <x v="18"/>
    <x v="740"/>
    <x v="3"/>
    <m/>
    <m/>
    <m/>
    <m/>
    <n v="12500"/>
    <m/>
  </r>
  <r>
    <x v="18"/>
    <x v="725"/>
    <x v="1"/>
    <m/>
    <m/>
    <m/>
    <m/>
    <n v="79436"/>
    <m/>
  </r>
  <r>
    <x v="18"/>
    <x v="777"/>
    <x v="0"/>
    <m/>
    <m/>
    <m/>
    <m/>
    <n v="468"/>
    <m/>
  </r>
  <r>
    <x v="18"/>
    <x v="730"/>
    <x v="2"/>
    <m/>
    <m/>
    <m/>
    <m/>
    <n v="4000"/>
    <m/>
  </r>
  <r>
    <x v="18"/>
    <x v="741"/>
    <x v="1"/>
    <m/>
    <m/>
    <m/>
    <m/>
    <n v="32495"/>
    <m/>
  </r>
  <r>
    <x v="18"/>
    <x v="736"/>
    <x v="1"/>
    <m/>
    <m/>
    <m/>
    <m/>
    <n v="38942"/>
    <m/>
  </r>
  <r>
    <x v="18"/>
    <x v="737"/>
    <x v="1"/>
    <m/>
    <m/>
    <m/>
    <m/>
    <n v="8636"/>
    <m/>
  </r>
  <r>
    <x v="19"/>
    <x v="778"/>
    <x v="0"/>
    <m/>
    <n v="-7500"/>
    <m/>
    <m/>
    <n v="10000"/>
    <m/>
  </r>
  <r>
    <x v="19"/>
    <x v="779"/>
    <x v="0"/>
    <m/>
    <n v="-10000"/>
    <m/>
    <m/>
    <m/>
    <m/>
  </r>
  <r>
    <x v="19"/>
    <x v="780"/>
    <x v="0"/>
    <m/>
    <n v="-15300"/>
    <n v="-2500"/>
    <n v="20000"/>
    <n v="4500"/>
    <m/>
  </r>
  <r>
    <x v="19"/>
    <x v="781"/>
    <x v="4"/>
    <m/>
    <n v="-11988"/>
    <m/>
    <m/>
    <m/>
    <m/>
  </r>
  <r>
    <x v="19"/>
    <x v="782"/>
    <x v="0"/>
    <m/>
    <n v="-6000"/>
    <m/>
    <m/>
    <m/>
    <m/>
  </r>
  <r>
    <x v="19"/>
    <x v="783"/>
    <x v="4"/>
    <m/>
    <n v="-4776"/>
    <m/>
    <m/>
    <m/>
    <m/>
  </r>
  <r>
    <x v="19"/>
    <x v="784"/>
    <x v="4"/>
    <m/>
    <n v="-10536"/>
    <m/>
    <m/>
    <m/>
    <m/>
  </r>
  <r>
    <x v="19"/>
    <x v="784"/>
    <x v="0"/>
    <m/>
    <n v="-44810"/>
    <n v="-920"/>
    <n v="142500"/>
    <n v="132000"/>
    <m/>
  </r>
  <r>
    <x v="19"/>
    <x v="785"/>
    <x v="4"/>
    <m/>
    <n v="-1404"/>
    <m/>
    <m/>
    <m/>
    <m/>
  </r>
  <r>
    <x v="19"/>
    <x v="786"/>
    <x v="0"/>
    <m/>
    <n v="-133000"/>
    <m/>
    <n v="1146"/>
    <m/>
    <m/>
  </r>
  <r>
    <x v="19"/>
    <x v="787"/>
    <x v="4"/>
    <m/>
    <n v="-936"/>
    <m/>
    <m/>
    <m/>
    <m/>
  </r>
  <r>
    <x v="19"/>
    <x v="788"/>
    <x v="0"/>
    <m/>
    <n v="-7000"/>
    <m/>
    <n v="8550"/>
    <m/>
    <m/>
  </r>
  <r>
    <x v="19"/>
    <x v="789"/>
    <x v="0"/>
    <m/>
    <n v="-13800"/>
    <m/>
    <n v="-2799"/>
    <n v="9000"/>
    <m/>
  </r>
  <r>
    <x v="19"/>
    <x v="790"/>
    <x v="4"/>
    <m/>
    <n v="-4764"/>
    <m/>
    <m/>
    <m/>
    <m/>
  </r>
  <r>
    <x v="19"/>
    <x v="791"/>
    <x v="0"/>
    <m/>
    <n v="-12450"/>
    <n v="-2375"/>
    <n v="78760"/>
    <n v="248300"/>
    <m/>
  </r>
  <r>
    <x v="19"/>
    <x v="792"/>
    <x v="1"/>
    <m/>
    <n v="-3564"/>
    <m/>
    <m/>
    <m/>
    <m/>
  </r>
  <r>
    <x v="19"/>
    <x v="792"/>
    <x v="0"/>
    <m/>
    <n v="-20000"/>
    <m/>
    <n v="21277"/>
    <n v="-29500"/>
    <m/>
  </r>
  <r>
    <x v="19"/>
    <x v="793"/>
    <x v="0"/>
    <m/>
    <n v="-18000"/>
    <m/>
    <n v="11900"/>
    <n v="22393"/>
    <m/>
  </r>
  <r>
    <x v="19"/>
    <x v="794"/>
    <x v="0"/>
    <m/>
    <n v="-3600"/>
    <m/>
    <n v="15400"/>
    <n v="89500"/>
    <m/>
  </r>
  <r>
    <x v="19"/>
    <x v="795"/>
    <x v="0"/>
    <m/>
    <n v="-13800"/>
    <m/>
    <n v="19667"/>
    <n v="90000"/>
    <m/>
  </r>
  <r>
    <x v="19"/>
    <x v="796"/>
    <x v="0"/>
    <m/>
    <n v="-50000"/>
    <m/>
    <n v="0"/>
    <m/>
    <m/>
  </r>
  <r>
    <x v="19"/>
    <x v="797"/>
    <x v="0"/>
    <m/>
    <n v="-18000"/>
    <m/>
    <n v="0"/>
    <n v="59308"/>
    <m/>
  </r>
  <r>
    <x v="19"/>
    <x v="798"/>
    <x v="0"/>
    <m/>
    <n v="-4000"/>
    <m/>
    <n v="12099"/>
    <n v="25000"/>
    <m/>
  </r>
  <r>
    <x v="19"/>
    <x v="799"/>
    <x v="4"/>
    <m/>
    <n v="-2388"/>
    <m/>
    <m/>
    <m/>
    <m/>
  </r>
  <r>
    <x v="19"/>
    <x v="800"/>
    <x v="0"/>
    <m/>
    <n v="-11500"/>
    <m/>
    <n v="17188"/>
    <n v="112900"/>
    <m/>
  </r>
  <r>
    <x v="19"/>
    <x v="801"/>
    <x v="0"/>
    <m/>
    <n v="-17000"/>
    <m/>
    <n v="249053"/>
    <n v="47000"/>
    <n v="25000"/>
  </r>
  <r>
    <x v="19"/>
    <x v="802"/>
    <x v="0"/>
    <m/>
    <n v="-13500"/>
    <m/>
    <n v="321259"/>
    <n v="333236"/>
    <m/>
  </r>
  <r>
    <x v="19"/>
    <x v="803"/>
    <x v="0"/>
    <m/>
    <n v="-50000"/>
    <n v="-4863"/>
    <n v="225194"/>
    <n v="719800"/>
    <n v="15000"/>
  </r>
  <r>
    <x v="19"/>
    <x v="804"/>
    <x v="0"/>
    <m/>
    <m/>
    <n v="-3500"/>
    <n v="13500"/>
    <n v="21000"/>
    <m/>
  </r>
  <r>
    <x v="19"/>
    <x v="805"/>
    <x v="0"/>
    <m/>
    <m/>
    <n v="-6750"/>
    <m/>
    <m/>
    <m/>
  </r>
  <r>
    <x v="19"/>
    <x v="806"/>
    <x v="0"/>
    <m/>
    <m/>
    <n v="-2000"/>
    <n v="31535"/>
    <n v="97240"/>
    <m/>
  </r>
  <r>
    <x v="19"/>
    <x v="807"/>
    <x v="0"/>
    <m/>
    <m/>
    <n v="-2500"/>
    <m/>
    <n v="-13500"/>
    <m/>
  </r>
  <r>
    <x v="19"/>
    <x v="808"/>
    <x v="0"/>
    <m/>
    <m/>
    <n v="-7500"/>
    <n v="10500"/>
    <m/>
    <m/>
  </r>
  <r>
    <x v="19"/>
    <x v="809"/>
    <x v="0"/>
    <m/>
    <m/>
    <n v="-15000"/>
    <n v="-500"/>
    <n v="45000"/>
    <m/>
  </r>
  <r>
    <x v="19"/>
    <x v="810"/>
    <x v="0"/>
    <m/>
    <m/>
    <n v="-6000"/>
    <n v="11745"/>
    <n v="231600"/>
    <m/>
  </r>
  <r>
    <x v="19"/>
    <x v="800"/>
    <x v="4"/>
    <m/>
    <m/>
    <n v="-8352"/>
    <m/>
    <m/>
    <m/>
  </r>
  <r>
    <x v="19"/>
    <x v="811"/>
    <x v="0"/>
    <m/>
    <m/>
    <m/>
    <n v="2320"/>
    <m/>
    <m/>
  </r>
  <r>
    <x v="19"/>
    <x v="812"/>
    <x v="0"/>
    <m/>
    <m/>
    <m/>
    <n v="22500"/>
    <m/>
    <m/>
  </r>
  <r>
    <x v="19"/>
    <x v="813"/>
    <x v="0"/>
    <m/>
    <m/>
    <m/>
    <n v="3000"/>
    <n v="58500"/>
    <m/>
  </r>
  <r>
    <x v="19"/>
    <x v="814"/>
    <x v="0"/>
    <m/>
    <m/>
    <m/>
    <n v="3300"/>
    <m/>
    <m/>
  </r>
  <r>
    <x v="19"/>
    <x v="815"/>
    <x v="0"/>
    <m/>
    <m/>
    <m/>
    <n v="55000"/>
    <n v="31000"/>
    <m/>
  </r>
  <r>
    <x v="19"/>
    <x v="816"/>
    <x v="1"/>
    <m/>
    <m/>
    <m/>
    <n v="6500"/>
    <m/>
    <m/>
  </r>
  <r>
    <x v="19"/>
    <x v="816"/>
    <x v="0"/>
    <m/>
    <m/>
    <m/>
    <n v="70000"/>
    <n v="16000"/>
    <m/>
  </r>
  <r>
    <x v="19"/>
    <x v="817"/>
    <x v="0"/>
    <m/>
    <m/>
    <m/>
    <n v="2200"/>
    <n v="94969"/>
    <m/>
  </r>
  <r>
    <x v="19"/>
    <x v="818"/>
    <x v="0"/>
    <m/>
    <m/>
    <m/>
    <n v="17000"/>
    <n v="91250"/>
    <m/>
  </r>
  <r>
    <x v="19"/>
    <x v="819"/>
    <x v="0"/>
    <m/>
    <m/>
    <m/>
    <n v="5000"/>
    <n v="70900"/>
    <m/>
  </r>
  <r>
    <x v="19"/>
    <x v="820"/>
    <x v="0"/>
    <m/>
    <m/>
    <m/>
    <n v="35600"/>
    <n v="116000"/>
    <m/>
  </r>
  <r>
    <x v="19"/>
    <x v="786"/>
    <x v="3"/>
    <m/>
    <m/>
    <m/>
    <n v="625"/>
    <m/>
    <m/>
  </r>
  <r>
    <x v="19"/>
    <x v="787"/>
    <x v="0"/>
    <m/>
    <m/>
    <m/>
    <n v="9999"/>
    <m/>
    <m/>
  </r>
  <r>
    <x v="19"/>
    <x v="821"/>
    <x v="0"/>
    <m/>
    <m/>
    <m/>
    <n v="10000"/>
    <n v="8500"/>
    <m/>
  </r>
  <r>
    <x v="19"/>
    <x v="822"/>
    <x v="0"/>
    <m/>
    <m/>
    <m/>
    <n v="2901"/>
    <m/>
    <m/>
  </r>
  <r>
    <x v="19"/>
    <x v="823"/>
    <x v="0"/>
    <m/>
    <m/>
    <m/>
    <n v="8438"/>
    <n v="27000"/>
    <m/>
  </r>
  <r>
    <x v="19"/>
    <x v="824"/>
    <x v="0"/>
    <m/>
    <m/>
    <m/>
    <n v="98750"/>
    <n v="12000"/>
    <m/>
  </r>
  <r>
    <x v="19"/>
    <x v="825"/>
    <x v="0"/>
    <m/>
    <m/>
    <m/>
    <n v="3000"/>
    <n v="38811"/>
    <m/>
  </r>
  <r>
    <x v="19"/>
    <x v="826"/>
    <x v="0"/>
    <m/>
    <m/>
    <m/>
    <n v="1800"/>
    <m/>
    <m/>
  </r>
  <r>
    <x v="19"/>
    <x v="827"/>
    <x v="0"/>
    <m/>
    <m/>
    <m/>
    <n v="50250"/>
    <m/>
    <m/>
  </r>
  <r>
    <x v="19"/>
    <x v="806"/>
    <x v="2"/>
    <m/>
    <m/>
    <m/>
    <n v="11160"/>
    <m/>
    <m/>
  </r>
  <r>
    <x v="19"/>
    <x v="790"/>
    <x v="0"/>
    <m/>
    <m/>
    <m/>
    <n v="35700"/>
    <n v="264223"/>
    <m/>
  </r>
  <r>
    <x v="19"/>
    <x v="828"/>
    <x v="0"/>
    <m/>
    <m/>
    <m/>
    <n v="13000"/>
    <n v="98700"/>
    <m/>
  </r>
  <r>
    <x v="19"/>
    <x v="791"/>
    <x v="2"/>
    <m/>
    <m/>
    <m/>
    <n v="22500"/>
    <m/>
    <m/>
  </r>
  <r>
    <x v="19"/>
    <x v="829"/>
    <x v="0"/>
    <m/>
    <m/>
    <m/>
    <n v="106700"/>
    <m/>
    <m/>
  </r>
  <r>
    <x v="19"/>
    <x v="830"/>
    <x v="0"/>
    <m/>
    <m/>
    <m/>
    <n v="8500"/>
    <m/>
    <m/>
  </r>
  <r>
    <x v="19"/>
    <x v="831"/>
    <x v="0"/>
    <m/>
    <m/>
    <m/>
    <n v="57900"/>
    <m/>
    <m/>
  </r>
  <r>
    <x v="19"/>
    <x v="832"/>
    <x v="0"/>
    <m/>
    <m/>
    <m/>
    <n v="18000"/>
    <n v="6000"/>
    <m/>
  </r>
  <r>
    <x v="19"/>
    <x v="833"/>
    <x v="0"/>
    <m/>
    <m/>
    <m/>
    <n v="8000"/>
    <n v="43000"/>
    <m/>
  </r>
  <r>
    <x v="19"/>
    <x v="799"/>
    <x v="0"/>
    <m/>
    <m/>
    <m/>
    <n v="47800"/>
    <n v="124154"/>
    <m/>
  </r>
  <r>
    <x v="19"/>
    <x v="801"/>
    <x v="3"/>
    <m/>
    <m/>
    <m/>
    <n v="3000"/>
    <m/>
    <m/>
  </r>
  <r>
    <x v="19"/>
    <x v="802"/>
    <x v="2"/>
    <m/>
    <m/>
    <m/>
    <n v="28000"/>
    <m/>
    <m/>
  </r>
  <r>
    <x v="19"/>
    <x v="814"/>
    <x v="1"/>
    <m/>
    <m/>
    <m/>
    <m/>
    <n v="4000"/>
    <m/>
  </r>
  <r>
    <x v="19"/>
    <x v="804"/>
    <x v="2"/>
    <m/>
    <m/>
    <m/>
    <m/>
    <n v="16000"/>
    <m/>
  </r>
  <r>
    <x v="19"/>
    <x v="804"/>
    <x v="1"/>
    <m/>
    <m/>
    <m/>
    <m/>
    <n v="16667"/>
    <m/>
  </r>
  <r>
    <x v="19"/>
    <x v="783"/>
    <x v="0"/>
    <m/>
    <m/>
    <m/>
    <m/>
    <n v="59000"/>
    <m/>
  </r>
  <r>
    <x v="19"/>
    <x v="784"/>
    <x v="2"/>
    <m/>
    <m/>
    <m/>
    <m/>
    <n v="29800"/>
    <m/>
  </r>
  <r>
    <x v="19"/>
    <x v="784"/>
    <x v="1"/>
    <m/>
    <m/>
    <m/>
    <m/>
    <n v="40000"/>
    <m/>
  </r>
  <r>
    <x v="19"/>
    <x v="784"/>
    <x v="3"/>
    <m/>
    <m/>
    <m/>
    <m/>
    <n v="12000"/>
    <m/>
  </r>
  <r>
    <x v="19"/>
    <x v="834"/>
    <x v="0"/>
    <m/>
    <m/>
    <m/>
    <m/>
    <n v="62900"/>
    <m/>
  </r>
  <r>
    <x v="19"/>
    <x v="835"/>
    <x v="0"/>
    <m/>
    <m/>
    <m/>
    <m/>
    <n v="58500"/>
    <m/>
  </r>
  <r>
    <x v="19"/>
    <x v="836"/>
    <x v="0"/>
    <m/>
    <m/>
    <m/>
    <m/>
    <n v="15000"/>
    <m/>
  </r>
  <r>
    <x v="19"/>
    <x v="807"/>
    <x v="2"/>
    <m/>
    <m/>
    <m/>
    <m/>
    <n v="-4000"/>
    <m/>
  </r>
  <r>
    <x v="19"/>
    <x v="794"/>
    <x v="1"/>
    <m/>
    <m/>
    <m/>
    <m/>
    <n v="176633"/>
    <m/>
  </r>
  <r>
    <x v="19"/>
    <x v="795"/>
    <x v="4"/>
    <m/>
    <m/>
    <m/>
    <m/>
    <n v="10000"/>
    <m/>
  </r>
  <r>
    <x v="19"/>
    <x v="831"/>
    <x v="1"/>
    <m/>
    <m/>
    <m/>
    <m/>
    <n v="13000"/>
    <m/>
  </r>
  <r>
    <x v="19"/>
    <x v="833"/>
    <x v="1"/>
    <m/>
    <m/>
    <m/>
    <m/>
    <n v="12000"/>
    <m/>
  </r>
  <r>
    <x v="19"/>
    <x v="798"/>
    <x v="1"/>
    <m/>
    <m/>
    <m/>
    <m/>
    <n v="97238"/>
    <m/>
  </r>
  <r>
    <x v="19"/>
    <x v="799"/>
    <x v="3"/>
    <m/>
    <m/>
    <m/>
    <m/>
    <n v="7500"/>
    <m/>
  </r>
  <r>
    <x v="19"/>
    <x v="837"/>
    <x v="0"/>
    <m/>
    <m/>
    <m/>
    <m/>
    <n v="34700"/>
    <m/>
  </r>
  <r>
    <x v="19"/>
    <x v="803"/>
    <x v="1"/>
    <m/>
    <m/>
    <m/>
    <m/>
    <n v="20000"/>
    <m/>
  </r>
  <r>
    <x v="20"/>
    <x v="838"/>
    <x v="4"/>
    <m/>
    <n v="-2388"/>
    <m/>
    <m/>
    <m/>
    <m/>
  </r>
  <r>
    <x v="20"/>
    <x v="839"/>
    <x v="4"/>
    <m/>
    <n v="-2388"/>
    <m/>
    <m/>
    <m/>
    <m/>
  </r>
  <r>
    <x v="20"/>
    <x v="839"/>
    <x v="0"/>
    <m/>
    <n v="-49999"/>
    <m/>
    <m/>
    <m/>
    <m/>
  </r>
  <r>
    <x v="20"/>
    <x v="840"/>
    <x v="0"/>
    <m/>
    <n v="-60000"/>
    <m/>
    <n v="35000"/>
    <m/>
    <m/>
  </r>
  <r>
    <x v="20"/>
    <x v="841"/>
    <x v="0"/>
    <m/>
    <n v="-10800"/>
    <n v="-28500"/>
    <m/>
    <m/>
    <m/>
  </r>
  <r>
    <x v="20"/>
    <x v="842"/>
    <x v="0"/>
    <m/>
    <n v="-708"/>
    <m/>
    <n v="156500"/>
    <n v="6500"/>
    <m/>
  </r>
  <r>
    <x v="20"/>
    <x v="843"/>
    <x v="0"/>
    <m/>
    <n v="-9660"/>
    <m/>
    <m/>
    <n v="8000"/>
    <m/>
  </r>
  <r>
    <x v="20"/>
    <x v="844"/>
    <x v="0"/>
    <m/>
    <n v="-10500"/>
    <m/>
    <m/>
    <m/>
    <m/>
  </r>
  <r>
    <x v="20"/>
    <x v="845"/>
    <x v="0"/>
    <m/>
    <n v="-12000"/>
    <m/>
    <n v="85000"/>
    <n v="50000"/>
    <m/>
  </r>
  <r>
    <x v="20"/>
    <x v="846"/>
    <x v="0"/>
    <m/>
    <n v="-12000"/>
    <m/>
    <n v="23593"/>
    <n v="6500"/>
    <m/>
  </r>
  <r>
    <x v="20"/>
    <x v="847"/>
    <x v="2"/>
    <m/>
    <n v="-7500"/>
    <m/>
    <m/>
    <m/>
    <m/>
  </r>
  <r>
    <x v="20"/>
    <x v="847"/>
    <x v="0"/>
    <m/>
    <n v="-14000"/>
    <m/>
    <m/>
    <m/>
    <m/>
  </r>
  <r>
    <x v="20"/>
    <x v="848"/>
    <x v="1"/>
    <m/>
    <n v="-11000"/>
    <m/>
    <m/>
    <m/>
    <m/>
  </r>
  <r>
    <x v="20"/>
    <x v="848"/>
    <x v="0"/>
    <m/>
    <n v="-14250"/>
    <m/>
    <n v="45846"/>
    <n v="6500"/>
    <m/>
  </r>
  <r>
    <x v="20"/>
    <x v="849"/>
    <x v="4"/>
    <m/>
    <n v="-1188"/>
    <m/>
    <m/>
    <m/>
    <m/>
  </r>
  <r>
    <x v="20"/>
    <x v="850"/>
    <x v="0"/>
    <m/>
    <n v="-18500"/>
    <m/>
    <n v="9898"/>
    <n v="6500"/>
    <m/>
  </r>
  <r>
    <x v="20"/>
    <x v="851"/>
    <x v="0"/>
    <m/>
    <n v="-25000"/>
    <m/>
    <n v="10000"/>
    <n v="414050"/>
    <m/>
  </r>
  <r>
    <x v="20"/>
    <x v="852"/>
    <x v="0"/>
    <m/>
    <n v="-16500"/>
    <m/>
    <m/>
    <m/>
    <m/>
  </r>
  <r>
    <x v="20"/>
    <x v="853"/>
    <x v="0"/>
    <m/>
    <n v="-12000"/>
    <m/>
    <n v="80000"/>
    <n v="68757"/>
    <m/>
  </r>
  <r>
    <x v="20"/>
    <x v="854"/>
    <x v="0"/>
    <m/>
    <n v="-67086"/>
    <n v="-13500"/>
    <n v="276742"/>
    <n v="168750"/>
    <n v="40000"/>
  </r>
  <r>
    <x v="20"/>
    <x v="855"/>
    <x v="0"/>
    <m/>
    <n v="-19000"/>
    <m/>
    <n v="35900"/>
    <m/>
    <m/>
  </r>
  <r>
    <x v="20"/>
    <x v="856"/>
    <x v="0"/>
    <m/>
    <n v="-15300"/>
    <m/>
    <n v="14400"/>
    <n v="41900"/>
    <m/>
  </r>
  <r>
    <x v="20"/>
    <x v="857"/>
    <x v="0"/>
    <m/>
    <n v="-14339"/>
    <m/>
    <n v="2000"/>
    <m/>
    <m/>
  </r>
  <r>
    <x v="20"/>
    <x v="858"/>
    <x v="4"/>
    <m/>
    <n v="-3576"/>
    <m/>
    <m/>
    <m/>
    <m/>
  </r>
  <r>
    <x v="20"/>
    <x v="858"/>
    <x v="0"/>
    <m/>
    <n v="-32000"/>
    <m/>
    <n v="649"/>
    <m/>
    <m/>
  </r>
  <r>
    <x v="20"/>
    <x v="859"/>
    <x v="0"/>
    <m/>
    <n v="-12000"/>
    <n v="-6200"/>
    <n v="0"/>
    <m/>
    <m/>
  </r>
  <r>
    <x v="20"/>
    <x v="860"/>
    <x v="0"/>
    <m/>
    <n v="-18000"/>
    <m/>
    <n v="279600"/>
    <n v="23000"/>
    <m/>
  </r>
  <r>
    <x v="20"/>
    <x v="861"/>
    <x v="1"/>
    <m/>
    <n v="-11500"/>
    <m/>
    <m/>
    <m/>
    <m/>
  </r>
  <r>
    <x v="20"/>
    <x v="862"/>
    <x v="4"/>
    <m/>
    <n v="-6000"/>
    <m/>
    <m/>
    <m/>
    <m/>
  </r>
  <r>
    <x v="20"/>
    <x v="863"/>
    <x v="0"/>
    <m/>
    <n v="-82080"/>
    <m/>
    <n v="456958"/>
    <n v="690738"/>
    <m/>
  </r>
  <r>
    <x v="20"/>
    <x v="864"/>
    <x v="4"/>
    <m/>
    <n v="-5508"/>
    <m/>
    <m/>
    <m/>
    <m/>
  </r>
  <r>
    <x v="20"/>
    <x v="864"/>
    <x v="1"/>
    <m/>
    <n v="-13500"/>
    <n v="-5988"/>
    <n v="12630"/>
    <n v="44831"/>
    <m/>
  </r>
  <r>
    <x v="20"/>
    <x v="864"/>
    <x v="0"/>
    <m/>
    <n v="-128000"/>
    <n v="-26294"/>
    <n v="354708"/>
    <n v="1182168"/>
    <n v="20000"/>
  </r>
  <r>
    <x v="20"/>
    <x v="865"/>
    <x v="2"/>
    <m/>
    <m/>
    <n v="-45000"/>
    <m/>
    <m/>
    <m/>
  </r>
  <r>
    <x v="20"/>
    <x v="866"/>
    <x v="0"/>
    <m/>
    <m/>
    <n v="-19500"/>
    <n v="358"/>
    <n v="140900"/>
    <m/>
  </r>
  <r>
    <x v="20"/>
    <x v="867"/>
    <x v="0"/>
    <m/>
    <m/>
    <n v="-6500"/>
    <n v="395695"/>
    <n v="226507"/>
    <m/>
  </r>
  <r>
    <x v="20"/>
    <x v="868"/>
    <x v="0"/>
    <m/>
    <m/>
    <n v="-6000"/>
    <n v="12000"/>
    <m/>
    <m/>
  </r>
  <r>
    <x v="20"/>
    <x v="869"/>
    <x v="0"/>
    <m/>
    <m/>
    <n v="-599"/>
    <m/>
    <n v="14000"/>
    <m/>
  </r>
  <r>
    <x v="20"/>
    <x v="870"/>
    <x v="0"/>
    <m/>
    <m/>
    <n v="-15000"/>
    <n v="753"/>
    <m/>
    <m/>
  </r>
  <r>
    <x v="20"/>
    <x v="857"/>
    <x v="2"/>
    <m/>
    <m/>
    <n v="-3850"/>
    <m/>
    <m/>
    <m/>
  </r>
  <r>
    <x v="20"/>
    <x v="871"/>
    <x v="0"/>
    <m/>
    <m/>
    <n v="-588"/>
    <n v="23499"/>
    <n v="6500"/>
    <m/>
  </r>
  <r>
    <x v="20"/>
    <x v="862"/>
    <x v="0"/>
    <m/>
    <m/>
    <n v="-1788"/>
    <n v="6788"/>
    <n v="262400"/>
    <m/>
  </r>
  <r>
    <x v="20"/>
    <x v="872"/>
    <x v="0"/>
    <m/>
    <m/>
    <n v="-2867"/>
    <n v="81580"/>
    <n v="69000"/>
    <m/>
  </r>
  <r>
    <x v="20"/>
    <x v="838"/>
    <x v="0"/>
    <m/>
    <m/>
    <m/>
    <n v="5341"/>
    <n v="13500"/>
    <m/>
  </r>
  <r>
    <x v="20"/>
    <x v="873"/>
    <x v="0"/>
    <m/>
    <m/>
    <m/>
    <n v="3500"/>
    <m/>
    <m/>
  </r>
  <r>
    <x v="20"/>
    <x v="874"/>
    <x v="0"/>
    <m/>
    <m/>
    <m/>
    <n v="10001"/>
    <m/>
    <m/>
  </r>
  <r>
    <x v="20"/>
    <x v="865"/>
    <x v="1"/>
    <m/>
    <m/>
    <m/>
    <n v="1188"/>
    <m/>
    <m/>
  </r>
  <r>
    <x v="20"/>
    <x v="865"/>
    <x v="0"/>
    <m/>
    <m/>
    <m/>
    <n v="10500"/>
    <m/>
    <m/>
  </r>
  <r>
    <x v="20"/>
    <x v="875"/>
    <x v="0"/>
    <m/>
    <m/>
    <m/>
    <n v="17410"/>
    <m/>
    <m/>
  </r>
  <r>
    <x v="20"/>
    <x v="843"/>
    <x v="1"/>
    <m/>
    <m/>
    <m/>
    <n v="23000"/>
    <m/>
    <m/>
  </r>
  <r>
    <x v="20"/>
    <x v="876"/>
    <x v="2"/>
    <m/>
    <m/>
    <m/>
    <n v="600"/>
    <m/>
    <m/>
  </r>
  <r>
    <x v="20"/>
    <x v="877"/>
    <x v="0"/>
    <m/>
    <m/>
    <m/>
    <n v="44611"/>
    <n v="61034"/>
    <m/>
  </r>
  <r>
    <x v="20"/>
    <x v="878"/>
    <x v="0"/>
    <m/>
    <m/>
    <m/>
    <n v="3000"/>
    <n v="73000"/>
    <m/>
  </r>
  <r>
    <x v="20"/>
    <x v="879"/>
    <x v="2"/>
    <m/>
    <m/>
    <m/>
    <n v="2000"/>
    <m/>
    <m/>
  </r>
  <r>
    <x v="20"/>
    <x v="879"/>
    <x v="0"/>
    <m/>
    <m/>
    <m/>
    <n v="78750"/>
    <m/>
    <m/>
  </r>
  <r>
    <x v="20"/>
    <x v="880"/>
    <x v="1"/>
    <m/>
    <m/>
    <m/>
    <n v="11243"/>
    <m/>
    <m/>
  </r>
  <r>
    <x v="20"/>
    <x v="880"/>
    <x v="0"/>
    <m/>
    <m/>
    <m/>
    <n v="8473"/>
    <n v="16500"/>
    <m/>
  </r>
  <r>
    <x v="20"/>
    <x v="881"/>
    <x v="0"/>
    <m/>
    <m/>
    <m/>
    <n v="38000"/>
    <n v="6500"/>
    <m/>
  </r>
  <r>
    <x v="20"/>
    <x v="882"/>
    <x v="0"/>
    <m/>
    <m/>
    <m/>
    <n v="10000"/>
    <n v="59230"/>
    <m/>
  </r>
  <r>
    <x v="20"/>
    <x v="883"/>
    <x v="2"/>
    <m/>
    <m/>
    <m/>
    <n v="44880"/>
    <m/>
    <m/>
  </r>
  <r>
    <x v="20"/>
    <x v="849"/>
    <x v="0"/>
    <m/>
    <m/>
    <m/>
    <n v="50405"/>
    <n v="95500"/>
    <m/>
  </r>
  <r>
    <x v="20"/>
    <x v="884"/>
    <x v="0"/>
    <m/>
    <m/>
    <m/>
    <n v="112634"/>
    <n v="32500"/>
    <m/>
  </r>
  <r>
    <x v="20"/>
    <x v="885"/>
    <x v="0"/>
    <m/>
    <m/>
    <m/>
    <n v="163340"/>
    <n v="32099"/>
    <m/>
  </r>
  <r>
    <x v="20"/>
    <x v="886"/>
    <x v="0"/>
    <m/>
    <m/>
    <m/>
    <n v="10000"/>
    <n v="49500"/>
    <m/>
  </r>
  <r>
    <x v="20"/>
    <x v="887"/>
    <x v="0"/>
    <m/>
    <m/>
    <m/>
    <n v="142000"/>
    <n v="59750"/>
    <m/>
  </r>
  <r>
    <x v="20"/>
    <x v="888"/>
    <x v="1"/>
    <m/>
    <m/>
    <m/>
    <n v="2300"/>
    <m/>
    <m/>
  </r>
  <r>
    <x v="20"/>
    <x v="889"/>
    <x v="0"/>
    <m/>
    <m/>
    <m/>
    <n v="3225"/>
    <n v="44000"/>
    <m/>
  </r>
  <r>
    <x v="20"/>
    <x v="890"/>
    <x v="0"/>
    <m/>
    <m/>
    <m/>
    <n v="35250"/>
    <n v="37200"/>
    <m/>
  </r>
  <r>
    <x v="20"/>
    <x v="891"/>
    <x v="0"/>
    <m/>
    <m/>
    <m/>
    <n v="1500"/>
    <m/>
    <m/>
  </r>
  <r>
    <x v="20"/>
    <x v="892"/>
    <x v="0"/>
    <m/>
    <m/>
    <m/>
    <n v="6733"/>
    <n v="17338"/>
    <m/>
  </r>
  <r>
    <x v="20"/>
    <x v="861"/>
    <x v="0"/>
    <m/>
    <m/>
    <m/>
    <n v="64700"/>
    <n v="54524"/>
    <m/>
  </r>
  <r>
    <x v="20"/>
    <x v="893"/>
    <x v="1"/>
    <m/>
    <m/>
    <m/>
    <n v="32"/>
    <n v="15000"/>
    <m/>
  </r>
  <r>
    <x v="20"/>
    <x v="893"/>
    <x v="0"/>
    <m/>
    <m/>
    <m/>
    <n v="14418"/>
    <n v="25000"/>
    <m/>
  </r>
  <r>
    <x v="20"/>
    <x v="894"/>
    <x v="0"/>
    <m/>
    <m/>
    <m/>
    <n v="98600"/>
    <m/>
    <m/>
  </r>
  <r>
    <x v="20"/>
    <x v="862"/>
    <x v="1"/>
    <m/>
    <m/>
    <m/>
    <n v="5410"/>
    <n v="7692"/>
    <m/>
  </r>
  <r>
    <x v="20"/>
    <x v="895"/>
    <x v="0"/>
    <m/>
    <m/>
    <m/>
    <n v="1000"/>
    <m/>
    <m/>
  </r>
  <r>
    <x v="20"/>
    <x v="896"/>
    <x v="0"/>
    <m/>
    <m/>
    <m/>
    <n v="79488"/>
    <n v="13000"/>
    <m/>
  </r>
  <r>
    <x v="20"/>
    <x v="897"/>
    <x v="1"/>
    <m/>
    <m/>
    <m/>
    <n v="42012"/>
    <n v="5651"/>
    <m/>
  </r>
  <r>
    <x v="20"/>
    <x v="897"/>
    <x v="0"/>
    <m/>
    <m/>
    <m/>
    <n v="111750"/>
    <n v="24000"/>
    <m/>
  </r>
  <r>
    <x v="20"/>
    <x v="872"/>
    <x v="2"/>
    <m/>
    <m/>
    <m/>
    <n v="3000"/>
    <m/>
    <m/>
  </r>
  <r>
    <x v="20"/>
    <x v="863"/>
    <x v="1"/>
    <m/>
    <m/>
    <m/>
    <n v="6500"/>
    <n v="18132"/>
    <m/>
  </r>
  <r>
    <x v="20"/>
    <x v="898"/>
    <x v="0"/>
    <m/>
    <m/>
    <m/>
    <m/>
    <n v="18000"/>
    <m/>
  </r>
  <r>
    <x v="20"/>
    <x v="876"/>
    <x v="0"/>
    <m/>
    <m/>
    <m/>
    <m/>
    <n v="25000"/>
    <m/>
  </r>
  <r>
    <x v="20"/>
    <x v="899"/>
    <x v="0"/>
    <m/>
    <m/>
    <m/>
    <m/>
    <n v="35300"/>
    <m/>
  </r>
  <r>
    <x v="20"/>
    <x v="844"/>
    <x v="1"/>
    <m/>
    <m/>
    <m/>
    <m/>
    <n v="15920"/>
    <m/>
  </r>
  <r>
    <x v="20"/>
    <x v="900"/>
    <x v="0"/>
    <m/>
    <m/>
    <m/>
    <m/>
    <n v="11500"/>
    <m/>
  </r>
  <r>
    <x v="20"/>
    <x v="901"/>
    <x v="1"/>
    <m/>
    <m/>
    <m/>
    <m/>
    <n v="13000"/>
    <m/>
  </r>
  <r>
    <x v="20"/>
    <x v="901"/>
    <x v="0"/>
    <m/>
    <m/>
    <m/>
    <m/>
    <n v="75000"/>
    <m/>
  </r>
  <r>
    <x v="20"/>
    <x v="902"/>
    <x v="0"/>
    <m/>
    <m/>
    <m/>
    <m/>
    <n v="-4000"/>
    <m/>
  </r>
  <r>
    <x v="20"/>
    <x v="903"/>
    <x v="1"/>
    <m/>
    <m/>
    <m/>
    <m/>
    <n v="21500"/>
    <m/>
  </r>
  <r>
    <x v="20"/>
    <x v="846"/>
    <x v="1"/>
    <m/>
    <m/>
    <m/>
    <m/>
    <n v="20483"/>
    <m/>
  </r>
  <r>
    <x v="20"/>
    <x v="904"/>
    <x v="1"/>
    <m/>
    <m/>
    <m/>
    <m/>
    <n v="10220"/>
    <m/>
  </r>
  <r>
    <x v="20"/>
    <x v="904"/>
    <x v="0"/>
    <m/>
    <m/>
    <m/>
    <m/>
    <n v="7500"/>
    <m/>
  </r>
  <r>
    <x v="20"/>
    <x v="881"/>
    <x v="1"/>
    <m/>
    <m/>
    <m/>
    <m/>
    <n v="52500"/>
    <m/>
  </r>
  <r>
    <x v="20"/>
    <x v="850"/>
    <x v="1"/>
    <m/>
    <m/>
    <m/>
    <m/>
    <n v="29714"/>
    <m/>
  </r>
  <r>
    <x v="20"/>
    <x v="884"/>
    <x v="1"/>
    <m/>
    <m/>
    <m/>
    <m/>
    <n v="35119"/>
    <m/>
  </r>
  <r>
    <x v="20"/>
    <x v="851"/>
    <x v="1"/>
    <m/>
    <m/>
    <m/>
    <m/>
    <n v="6500"/>
    <m/>
  </r>
  <r>
    <x v="20"/>
    <x v="905"/>
    <x v="0"/>
    <m/>
    <m/>
    <m/>
    <m/>
    <n v="195000"/>
    <m/>
  </r>
  <r>
    <x v="20"/>
    <x v="885"/>
    <x v="1"/>
    <m/>
    <m/>
    <m/>
    <m/>
    <n v="48500"/>
    <m/>
  </r>
  <r>
    <x v="20"/>
    <x v="906"/>
    <x v="2"/>
    <m/>
    <m/>
    <m/>
    <m/>
    <n v="15000"/>
    <m/>
  </r>
  <r>
    <x v="20"/>
    <x v="888"/>
    <x v="0"/>
    <m/>
    <m/>
    <m/>
    <m/>
    <n v="8000"/>
    <m/>
  </r>
  <r>
    <x v="20"/>
    <x v="894"/>
    <x v="1"/>
    <m/>
    <m/>
    <m/>
    <m/>
    <n v="8000"/>
    <m/>
  </r>
  <r>
    <x v="20"/>
    <x v="863"/>
    <x v="2"/>
    <m/>
    <m/>
    <m/>
    <m/>
    <n v="18000"/>
    <m/>
  </r>
  <r>
    <x v="21"/>
    <x v="907"/>
    <x v="0"/>
    <m/>
    <n v="-19125"/>
    <m/>
    <n v="25000"/>
    <m/>
    <m/>
  </r>
  <r>
    <x v="21"/>
    <x v="908"/>
    <x v="0"/>
    <m/>
    <n v="-76700"/>
    <m/>
    <m/>
    <n v="30300"/>
    <m/>
  </r>
  <r>
    <x v="21"/>
    <x v="909"/>
    <x v="0"/>
    <m/>
    <n v="-36900"/>
    <m/>
    <n v="44565"/>
    <m/>
    <m/>
  </r>
  <r>
    <x v="21"/>
    <x v="910"/>
    <x v="0"/>
    <m/>
    <n v="-10000"/>
    <n v="-9900"/>
    <m/>
    <m/>
    <m/>
  </r>
  <r>
    <x v="21"/>
    <x v="911"/>
    <x v="4"/>
    <m/>
    <n v="-4728"/>
    <n v="-468"/>
    <m/>
    <m/>
    <m/>
  </r>
  <r>
    <x v="21"/>
    <x v="912"/>
    <x v="0"/>
    <m/>
    <n v="-8000"/>
    <m/>
    <n v="4000"/>
    <m/>
    <n v="0"/>
  </r>
  <r>
    <x v="21"/>
    <x v="913"/>
    <x v="4"/>
    <m/>
    <n v="-11340"/>
    <m/>
    <m/>
    <m/>
    <m/>
  </r>
  <r>
    <x v="21"/>
    <x v="914"/>
    <x v="0"/>
    <m/>
    <n v="-40000"/>
    <m/>
    <n v="27200"/>
    <m/>
    <m/>
  </r>
  <r>
    <x v="21"/>
    <x v="915"/>
    <x v="0"/>
    <m/>
    <n v="-38700"/>
    <n v="-17677"/>
    <n v="250"/>
    <n v="130858"/>
    <m/>
  </r>
  <r>
    <x v="21"/>
    <x v="916"/>
    <x v="0"/>
    <m/>
    <n v="-29600"/>
    <m/>
    <n v="8000"/>
    <n v="15000"/>
    <m/>
  </r>
  <r>
    <x v="21"/>
    <x v="917"/>
    <x v="1"/>
    <m/>
    <n v="-9000"/>
    <m/>
    <m/>
    <m/>
    <m/>
  </r>
  <r>
    <x v="21"/>
    <x v="917"/>
    <x v="0"/>
    <m/>
    <n v="-71540"/>
    <m/>
    <n v="25380"/>
    <m/>
    <m/>
  </r>
  <r>
    <x v="21"/>
    <x v="918"/>
    <x v="0"/>
    <m/>
    <n v="-20000"/>
    <m/>
    <n v="6500"/>
    <n v="8000"/>
    <m/>
  </r>
  <r>
    <x v="21"/>
    <x v="919"/>
    <x v="0"/>
    <m/>
    <n v="-18000"/>
    <m/>
    <n v="70950"/>
    <n v="12000"/>
    <m/>
  </r>
  <r>
    <x v="21"/>
    <x v="920"/>
    <x v="0"/>
    <m/>
    <n v="-12750"/>
    <m/>
    <n v="39119"/>
    <m/>
    <m/>
  </r>
  <r>
    <x v="21"/>
    <x v="921"/>
    <x v="4"/>
    <m/>
    <n v="-468"/>
    <m/>
    <m/>
    <m/>
    <m/>
  </r>
  <r>
    <x v="21"/>
    <x v="922"/>
    <x v="0"/>
    <m/>
    <n v="-77300"/>
    <m/>
    <m/>
    <n v="27000"/>
    <m/>
  </r>
  <r>
    <x v="21"/>
    <x v="923"/>
    <x v="4"/>
    <m/>
    <n v="-5988"/>
    <m/>
    <m/>
    <m/>
    <m/>
  </r>
  <r>
    <x v="21"/>
    <x v="923"/>
    <x v="1"/>
    <m/>
    <n v="-26000"/>
    <m/>
    <m/>
    <n v="8791"/>
    <m/>
  </r>
  <r>
    <x v="21"/>
    <x v="924"/>
    <x v="4"/>
    <m/>
    <n v="-708"/>
    <m/>
    <m/>
    <m/>
    <m/>
  </r>
  <r>
    <x v="21"/>
    <x v="925"/>
    <x v="4"/>
    <m/>
    <n v="-2388"/>
    <m/>
    <m/>
    <m/>
    <m/>
  </r>
  <r>
    <x v="21"/>
    <x v="926"/>
    <x v="0"/>
    <m/>
    <n v="-7920"/>
    <m/>
    <n v="10100"/>
    <n v="443964"/>
    <m/>
  </r>
  <r>
    <x v="21"/>
    <x v="927"/>
    <x v="0"/>
    <m/>
    <n v="-12000"/>
    <n v="-10000"/>
    <n v="20000"/>
    <m/>
    <m/>
  </r>
  <r>
    <x v="21"/>
    <x v="928"/>
    <x v="0"/>
    <m/>
    <n v="-13000"/>
    <n v="-2500"/>
    <m/>
    <m/>
    <m/>
  </r>
  <r>
    <x v="21"/>
    <x v="929"/>
    <x v="4"/>
    <m/>
    <n v="-858"/>
    <m/>
    <m/>
    <m/>
    <m/>
  </r>
  <r>
    <x v="21"/>
    <x v="930"/>
    <x v="2"/>
    <m/>
    <n v="-708"/>
    <m/>
    <m/>
    <m/>
    <m/>
  </r>
  <r>
    <x v="21"/>
    <x v="931"/>
    <x v="0"/>
    <m/>
    <n v="-44200"/>
    <m/>
    <n v="1289"/>
    <n v="42000"/>
    <m/>
  </r>
  <r>
    <x v="21"/>
    <x v="932"/>
    <x v="0"/>
    <m/>
    <n v="-12000"/>
    <n v="-12500"/>
    <n v="3105"/>
    <n v="26000"/>
    <m/>
  </r>
  <r>
    <x v="21"/>
    <x v="933"/>
    <x v="0"/>
    <m/>
    <n v="-68800"/>
    <n v="-2500"/>
    <n v="12100"/>
    <n v="31600"/>
    <m/>
  </r>
  <r>
    <x v="21"/>
    <x v="934"/>
    <x v="0"/>
    <m/>
    <n v="-36000"/>
    <n v="-8000"/>
    <n v="0"/>
    <n v="7385"/>
    <m/>
  </r>
  <r>
    <x v="21"/>
    <x v="935"/>
    <x v="0"/>
    <m/>
    <n v="-24150"/>
    <m/>
    <n v="10000"/>
    <m/>
    <m/>
  </r>
  <r>
    <x v="21"/>
    <x v="936"/>
    <x v="4"/>
    <m/>
    <n v="-2388"/>
    <m/>
    <m/>
    <m/>
    <m/>
  </r>
  <r>
    <x v="21"/>
    <x v="937"/>
    <x v="0"/>
    <m/>
    <n v="-4500"/>
    <n v="-3000"/>
    <n v="53871"/>
    <n v="270171"/>
    <m/>
  </r>
  <r>
    <x v="21"/>
    <x v="938"/>
    <x v="0"/>
    <m/>
    <n v="-179967"/>
    <m/>
    <n v="222966"/>
    <n v="581830"/>
    <m/>
  </r>
  <r>
    <x v="21"/>
    <x v="939"/>
    <x v="0"/>
    <m/>
    <m/>
    <n v="-4000"/>
    <n v="273677"/>
    <m/>
    <m/>
  </r>
  <r>
    <x v="21"/>
    <x v="940"/>
    <x v="0"/>
    <m/>
    <m/>
    <n v="-23000"/>
    <n v="62541"/>
    <m/>
    <m/>
  </r>
  <r>
    <x v="21"/>
    <x v="941"/>
    <x v="0"/>
    <m/>
    <m/>
    <n v="-3000"/>
    <m/>
    <m/>
    <m/>
  </r>
  <r>
    <x v="21"/>
    <x v="942"/>
    <x v="0"/>
    <m/>
    <m/>
    <n v="-8500"/>
    <m/>
    <m/>
    <m/>
  </r>
  <r>
    <x v="21"/>
    <x v="943"/>
    <x v="0"/>
    <m/>
    <m/>
    <n v="-29500"/>
    <n v="26000"/>
    <n v="273075"/>
    <m/>
  </r>
  <r>
    <x v="21"/>
    <x v="944"/>
    <x v="0"/>
    <m/>
    <m/>
    <n v="-3478"/>
    <n v="5400"/>
    <m/>
    <m/>
  </r>
  <r>
    <x v="21"/>
    <x v="945"/>
    <x v="4"/>
    <m/>
    <m/>
    <n v="-5988"/>
    <m/>
    <m/>
    <m/>
  </r>
  <r>
    <x v="21"/>
    <x v="945"/>
    <x v="0"/>
    <m/>
    <m/>
    <n v="-1000"/>
    <n v="5000"/>
    <m/>
    <m/>
  </r>
  <r>
    <x v="21"/>
    <x v="946"/>
    <x v="0"/>
    <m/>
    <m/>
    <n v="-2640"/>
    <n v="221000"/>
    <m/>
    <m/>
  </r>
  <r>
    <x v="21"/>
    <x v="947"/>
    <x v="0"/>
    <m/>
    <m/>
    <n v="-12000"/>
    <n v="1100"/>
    <n v="33000"/>
    <m/>
  </r>
  <r>
    <x v="21"/>
    <x v="948"/>
    <x v="0"/>
    <m/>
    <m/>
    <n v="-2308"/>
    <n v="85900"/>
    <n v="31000"/>
    <m/>
  </r>
  <r>
    <x v="21"/>
    <x v="935"/>
    <x v="4"/>
    <m/>
    <m/>
    <n v="-8988"/>
    <m/>
    <m/>
    <m/>
  </r>
  <r>
    <x v="21"/>
    <x v="949"/>
    <x v="0"/>
    <m/>
    <m/>
    <n v="-6500"/>
    <n v="16533"/>
    <n v="51000"/>
    <m/>
  </r>
  <r>
    <x v="21"/>
    <x v="950"/>
    <x v="0"/>
    <m/>
    <m/>
    <n v="-2500"/>
    <n v="46950"/>
    <m/>
    <m/>
  </r>
  <r>
    <x v="21"/>
    <x v="951"/>
    <x v="0"/>
    <m/>
    <m/>
    <n v="-35000"/>
    <n v="3000"/>
    <n v="70500"/>
    <m/>
  </r>
  <r>
    <x v="21"/>
    <x v="938"/>
    <x v="2"/>
    <m/>
    <m/>
    <n v="-3410"/>
    <m/>
    <n v="8000"/>
    <m/>
  </r>
  <r>
    <x v="21"/>
    <x v="952"/>
    <x v="0"/>
    <m/>
    <m/>
    <m/>
    <n v="1800"/>
    <m/>
    <m/>
  </r>
  <r>
    <x v="21"/>
    <x v="953"/>
    <x v="0"/>
    <m/>
    <m/>
    <m/>
    <n v="1950"/>
    <m/>
    <m/>
  </r>
  <r>
    <x v="21"/>
    <x v="954"/>
    <x v="0"/>
    <m/>
    <m/>
    <m/>
    <n v="5500"/>
    <m/>
    <m/>
  </r>
  <r>
    <x v="21"/>
    <x v="955"/>
    <x v="0"/>
    <m/>
    <m/>
    <m/>
    <n v="20000"/>
    <n v="6500"/>
    <m/>
  </r>
  <r>
    <x v="21"/>
    <x v="911"/>
    <x v="0"/>
    <m/>
    <m/>
    <m/>
    <n v="35760"/>
    <n v="13000"/>
    <m/>
  </r>
  <r>
    <x v="21"/>
    <x v="956"/>
    <x v="0"/>
    <m/>
    <m/>
    <m/>
    <n v="103300"/>
    <m/>
    <m/>
  </r>
  <r>
    <x v="21"/>
    <x v="913"/>
    <x v="0"/>
    <m/>
    <m/>
    <m/>
    <n v="9500"/>
    <n v="25500"/>
    <m/>
  </r>
  <r>
    <x v="21"/>
    <x v="957"/>
    <x v="0"/>
    <m/>
    <m/>
    <m/>
    <n v="28500"/>
    <m/>
    <m/>
  </r>
  <r>
    <x v="21"/>
    <x v="958"/>
    <x v="0"/>
    <m/>
    <m/>
    <m/>
    <n v="7500"/>
    <n v="7385"/>
    <m/>
  </r>
  <r>
    <x v="21"/>
    <x v="959"/>
    <x v="0"/>
    <m/>
    <m/>
    <m/>
    <n v="46640"/>
    <n v="179585"/>
    <m/>
  </r>
  <r>
    <x v="21"/>
    <x v="960"/>
    <x v="1"/>
    <m/>
    <m/>
    <m/>
    <n v="3800"/>
    <m/>
    <m/>
  </r>
  <r>
    <x v="21"/>
    <x v="960"/>
    <x v="0"/>
    <m/>
    <m/>
    <m/>
    <n v="27951"/>
    <m/>
    <m/>
  </r>
  <r>
    <x v="21"/>
    <x v="961"/>
    <x v="0"/>
    <m/>
    <m/>
    <m/>
    <n v="-12500"/>
    <m/>
    <m/>
  </r>
  <r>
    <x v="21"/>
    <x v="920"/>
    <x v="1"/>
    <m/>
    <m/>
    <m/>
    <n v="20000"/>
    <m/>
    <m/>
  </r>
  <r>
    <x v="21"/>
    <x v="962"/>
    <x v="0"/>
    <m/>
    <m/>
    <m/>
    <n v="14850"/>
    <m/>
    <m/>
  </r>
  <r>
    <x v="21"/>
    <x v="921"/>
    <x v="0"/>
    <m/>
    <m/>
    <m/>
    <n v="60805"/>
    <n v="40550"/>
    <m/>
  </r>
  <r>
    <x v="21"/>
    <x v="963"/>
    <x v="1"/>
    <m/>
    <m/>
    <m/>
    <n v="600"/>
    <n v="46123"/>
    <m/>
  </r>
  <r>
    <x v="21"/>
    <x v="963"/>
    <x v="0"/>
    <m/>
    <m/>
    <m/>
    <n v="13100"/>
    <n v="20000"/>
    <m/>
  </r>
  <r>
    <x v="21"/>
    <x v="964"/>
    <x v="0"/>
    <m/>
    <m/>
    <m/>
    <n v="-38000"/>
    <n v="25700"/>
    <m/>
  </r>
  <r>
    <x v="21"/>
    <x v="965"/>
    <x v="0"/>
    <m/>
    <m/>
    <m/>
    <n v="2500"/>
    <n v="73000"/>
    <m/>
  </r>
  <r>
    <x v="21"/>
    <x v="923"/>
    <x v="0"/>
    <m/>
    <m/>
    <m/>
    <n v="79500"/>
    <m/>
    <m/>
  </r>
  <r>
    <x v="21"/>
    <x v="966"/>
    <x v="0"/>
    <m/>
    <m/>
    <m/>
    <n v="3875"/>
    <m/>
    <m/>
  </r>
  <r>
    <x v="21"/>
    <x v="924"/>
    <x v="0"/>
    <m/>
    <m/>
    <m/>
    <n v="200"/>
    <n v="7385"/>
    <m/>
  </r>
  <r>
    <x v="21"/>
    <x v="967"/>
    <x v="2"/>
    <m/>
    <m/>
    <m/>
    <n v="2412"/>
    <n v="8000"/>
    <m/>
  </r>
  <r>
    <x v="21"/>
    <x v="967"/>
    <x v="0"/>
    <m/>
    <m/>
    <m/>
    <n v="134600"/>
    <n v="26750"/>
    <m/>
  </r>
  <r>
    <x v="21"/>
    <x v="925"/>
    <x v="0"/>
    <m/>
    <m/>
    <m/>
    <n v="63000"/>
    <m/>
    <m/>
  </r>
  <r>
    <x v="21"/>
    <x v="943"/>
    <x v="1"/>
    <m/>
    <m/>
    <m/>
    <n v="-2700"/>
    <m/>
    <m/>
  </r>
  <r>
    <x v="21"/>
    <x v="927"/>
    <x v="1"/>
    <m/>
    <m/>
    <m/>
    <n v="20500"/>
    <m/>
    <m/>
  </r>
  <r>
    <x v="21"/>
    <x v="930"/>
    <x v="0"/>
    <m/>
    <m/>
    <m/>
    <n v="-28200"/>
    <n v="32000"/>
    <m/>
  </r>
  <r>
    <x v="21"/>
    <x v="968"/>
    <x v="0"/>
    <m/>
    <m/>
    <m/>
    <n v="7500"/>
    <m/>
    <m/>
  </r>
  <r>
    <x v="21"/>
    <x v="969"/>
    <x v="0"/>
    <m/>
    <m/>
    <m/>
    <n v="38800"/>
    <n v="61467"/>
    <m/>
  </r>
  <r>
    <x v="21"/>
    <x v="949"/>
    <x v="1"/>
    <m/>
    <m/>
    <m/>
    <n v="800"/>
    <m/>
    <m/>
  </r>
  <r>
    <x v="21"/>
    <x v="951"/>
    <x v="2"/>
    <m/>
    <m/>
    <m/>
    <n v="-2500"/>
    <m/>
    <m/>
  </r>
  <r>
    <x v="21"/>
    <x v="951"/>
    <x v="1"/>
    <m/>
    <m/>
    <m/>
    <n v="2745"/>
    <m/>
    <m/>
  </r>
  <r>
    <x v="21"/>
    <x v="970"/>
    <x v="1"/>
    <m/>
    <m/>
    <m/>
    <n v="40002"/>
    <m/>
    <m/>
  </r>
  <r>
    <x v="21"/>
    <x v="970"/>
    <x v="0"/>
    <m/>
    <m/>
    <m/>
    <n v="23900"/>
    <n v="24385"/>
    <m/>
  </r>
  <r>
    <x v="21"/>
    <x v="937"/>
    <x v="1"/>
    <m/>
    <m/>
    <m/>
    <n v="4823"/>
    <n v="13187"/>
    <m/>
  </r>
  <r>
    <x v="21"/>
    <x v="971"/>
    <x v="0"/>
    <m/>
    <m/>
    <m/>
    <n v="118145"/>
    <n v="141000"/>
    <m/>
  </r>
  <r>
    <x v="21"/>
    <x v="938"/>
    <x v="1"/>
    <m/>
    <m/>
    <m/>
    <n v="19895"/>
    <n v="16205"/>
    <m/>
  </r>
  <r>
    <x v="21"/>
    <x v="972"/>
    <x v="0"/>
    <m/>
    <m/>
    <m/>
    <m/>
    <n v="13000"/>
    <m/>
  </r>
  <r>
    <x v="21"/>
    <x v="973"/>
    <x v="0"/>
    <m/>
    <m/>
    <m/>
    <m/>
    <n v="14000"/>
    <m/>
  </r>
  <r>
    <x v="21"/>
    <x v="974"/>
    <x v="0"/>
    <m/>
    <m/>
    <m/>
    <m/>
    <n v="25000"/>
    <m/>
  </r>
  <r>
    <x v="21"/>
    <x v="967"/>
    <x v="1"/>
    <m/>
    <m/>
    <m/>
    <m/>
    <n v="8333"/>
    <m/>
  </r>
  <r>
    <x v="21"/>
    <x v="926"/>
    <x v="1"/>
    <m/>
    <m/>
    <m/>
    <m/>
    <n v="8000"/>
    <m/>
  </r>
  <r>
    <x v="21"/>
    <x v="943"/>
    <x v="2"/>
    <m/>
    <m/>
    <m/>
    <m/>
    <n v="20000"/>
    <m/>
  </r>
  <r>
    <x v="21"/>
    <x v="932"/>
    <x v="3"/>
    <m/>
    <m/>
    <m/>
    <m/>
    <n v="7385"/>
    <m/>
  </r>
  <r>
    <x v="21"/>
    <x v="971"/>
    <x v="1"/>
    <m/>
    <m/>
    <m/>
    <m/>
    <n v="48352"/>
    <m/>
  </r>
  <r>
    <x v="22"/>
    <x v="975"/>
    <x v="4"/>
    <n v="0"/>
    <m/>
    <m/>
    <m/>
    <m/>
    <m/>
  </r>
  <r>
    <x v="22"/>
    <x v="975"/>
    <x v="0"/>
    <n v="0"/>
    <m/>
    <n v="-3917"/>
    <n v="1500"/>
    <m/>
    <m/>
  </r>
  <r>
    <x v="22"/>
    <x v="976"/>
    <x v="0"/>
    <n v="0"/>
    <n v="-14500"/>
    <m/>
    <n v="17189"/>
    <n v="144744"/>
    <m/>
  </r>
  <r>
    <x v="22"/>
    <x v="977"/>
    <x v="0"/>
    <m/>
    <n v="-23000"/>
    <m/>
    <n v="1000"/>
    <m/>
    <m/>
  </r>
  <r>
    <x v="22"/>
    <x v="978"/>
    <x v="0"/>
    <m/>
    <n v="-75501"/>
    <n v="-35689"/>
    <n v="28747"/>
    <m/>
    <m/>
  </r>
  <r>
    <x v="22"/>
    <x v="979"/>
    <x v="0"/>
    <m/>
    <n v="-6000"/>
    <n v="-18577"/>
    <n v="800"/>
    <n v="22769"/>
    <m/>
  </r>
  <r>
    <x v="22"/>
    <x v="980"/>
    <x v="4"/>
    <m/>
    <n v="-12048"/>
    <m/>
    <m/>
    <m/>
    <m/>
  </r>
  <r>
    <x v="22"/>
    <x v="980"/>
    <x v="0"/>
    <m/>
    <n v="-35000"/>
    <m/>
    <n v="26357"/>
    <m/>
    <m/>
  </r>
  <r>
    <x v="22"/>
    <x v="981"/>
    <x v="0"/>
    <m/>
    <n v="-4500"/>
    <m/>
    <n v="-3850"/>
    <n v="8000"/>
    <m/>
  </r>
  <r>
    <x v="22"/>
    <x v="982"/>
    <x v="0"/>
    <m/>
    <n v="-39000"/>
    <m/>
    <n v="25896"/>
    <m/>
    <m/>
  </r>
  <r>
    <x v="22"/>
    <x v="983"/>
    <x v="2"/>
    <m/>
    <n v="-42000"/>
    <m/>
    <m/>
    <m/>
    <m/>
  </r>
  <r>
    <x v="22"/>
    <x v="983"/>
    <x v="0"/>
    <m/>
    <n v="-33000"/>
    <n v="-16600"/>
    <n v="60900"/>
    <n v="110985"/>
    <m/>
  </r>
  <r>
    <x v="22"/>
    <x v="984"/>
    <x v="0"/>
    <m/>
    <n v="-26500"/>
    <n v="-6433"/>
    <n v="145783"/>
    <n v="50500"/>
    <m/>
  </r>
  <r>
    <x v="22"/>
    <x v="985"/>
    <x v="1"/>
    <m/>
    <n v="-25417"/>
    <m/>
    <m/>
    <m/>
    <m/>
  </r>
  <r>
    <x v="22"/>
    <x v="985"/>
    <x v="0"/>
    <m/>
    <n v="-10008"/>
    <n v="-28000"/>
    <n v="201400"/>
    <m/>
    <m/>
  </r>
  <r>
    <x v="22"/>
    <x v="986"/>
    <x v="0"/>
    <m/>
    <n v="-12250"/>
    <n v="-5000"/>
    <n v="7750"/>
    <n v="26500"/>
    <m/>
  </r>
  <r>
    <x v="22"/>
    <x v="987"/>
    <x v="0"/>
    <m/>
    <n v="-4000"/>
    <n v="-11561"/>
    <n v="46012"/>
    <m/>
    <m/>
  </r>
  <r>
    <x v="22"/>
    <x v="988"/>
    <x v="1"/>
    <m/>
    <n v="-12870"/>
    <m/>
    <m/>
    <m/>
    <m/>
  </r>
  <r>
    <x v="22"/>
    <x v="988"/>
    <x v="0"/>
    <m/>
    <n v="-14000"/>
    <n v="-2500"/>
    <n v="9600"/>
    <n v="39700"/>
    <m/>
  </r>
  <r>
    <x v="22"/>
    <x v="989"/>
    <x v="0"/>
    <m/>
    <n v="-34000"/>
    <m/>
    <n v="25100"/>
    <n v="8000"/>
    <m/>
  </r>
  <r>
    <x v="22"/>
    <x v="990"/>
    <x v="1"/>
    <m/>
    <n v="-20988"/>
    <n v="-7692"/>
    <m/>
    <m/>
    <m/>
  </r>
  <r>
    <x v="22"/>
    <x v="990"/>
    <x v="0"/>
    <m/>
    <n v="-19000"/>
    <n v="-8000"/>
    <n v="2000"/>
    <n v="33000"/>
    <m/>
  </r>
  <r>
    <x v="22"/>
    <x v="991"/>
    <x v="0"/>
    <m/>
    <n v="-8000"/>
    <m/>
    <n v="10375"/>
    <n v="8000"/>
    <m/>
  </r>
  <r>
    <x v="22"/>
    <x v="992"/>
    <x v="0"/>
    <m/>
    <n v="-12000"/>
    <n v="-4000"/>
    <n v="63900"/>
    <n v="71000"/>
    <m/>
  </r>
  <r>
    <x v="22"/>
    <x v="993"/>
    <x v="0"/>
    <m/>
    <n v="-15000"/>
    <m/>
    <n v="16246"/>
    <m/>
    <m/>
  </r>
  <r>
    <x v="22"/>
    <x v="994"/>
    <x v="4"/>
    <m/>
    <n v="-4500"/>
    <m/>
    <m/>
    <m/>
    <m/>
  </r>
  <r>
    <x v="22"/>
    <x v="994"/>
    <x v="0"/>
    <m/>
    <n v="-12600"/>
    <m/>
    <n v="79500"/>
    <n v="52140"/>
    <m/>
  </r>
  <r>
    <x v="22"/>
    <x v="995"/>
    <x v="0"/>
    <m/>
    <n v="-13400"/>
    <n v="-2700"/>
    <n v="97283"/>
    <n v="-19115"/>
    <m/>
  </r>
  <r>
    <x v="22"/>
    <x v="996"/>
    <x v="0"/>
    <m/>
    <n v="-254000"/>
    <m/>
    <n v="152049"/>
    <n v="458738"/>
    <m/>
  </r>
  <r>
    <x v="22"/>
    <x v="997"/>
    <x v="0"/>
    <m/>
    <n v="-14613"/>
    <m/>
    <n v="13095"/>
    <n v="58750"/>
    <m/>
  </r>
  <r>
    <x v="22"/>
    <x v="998"/>
    <x v="3"/>
    <m/>
    <n v="-4000"/>
    <m/>
    <m/>
    <m/>
    <m/>
  </r>
  <r>
    <x v="22"/>
    <x v="998"/>
    <x v="0"/>
    <m/>
    <n v="-79500"/>
    <n v="-26781"/>
    <n v="25417"/>
    <m/>
    <m/>
  </r>
  <r>
    <x v="22"/>
    <x v="999"/>
    <x v="0"/>
    <m/>
    <n v="-4000"/>
    <m/>
    <n v="122"/>
    <m/>
    <m/>
  </r>
  <r>
    <x v="22"/>
    <x v="1000"/>
    <x v="0"/>
    <m/>
    <n v="-12000"/>
    <m/>
    <n v="17118"/>
    <m/>
    <n v="10000"/>
  </r>
  <r>
    <x v="22"/>
    <x v="1001"/>
    <x v="0"/>
    <m/>
    <n v="-68100"/>
    <m/>
    <n v="29100"/>
    <m/>
    <m/>
  </r>
  <r>
    <x v="22"/>
    <x v="1002"/>
    <x v="0"/>
    <m/>
    <n v="-20000"/>
    <m/>
    <n v="52055"/>
    <n v="112906"/>
    <m/>
  </r>
  <r>
    <x v="22"/>
    <x v="1003"/>
    <x v="3"/>
    <m/>
    <n v="-25100"/>
    <m/>
    <m/>
    <m/>
    <m/>
  </r>
  <r>
    <x v="22"/>
    <x v="1003"/>
    <x v="0"/>
    <m/>
    <n v="-46000"/>
    <n v="-2700"/>
    <n v="301762"/>
    <n v="426885"/>
    <m/>
  </r>
  <r>
    <x v="22"/>
    <x v="1004"/>
    <x v="0"/>
    <m/>
    <m/>
    <n v="-1500"/>
    <m/>
    <n v="14769"/>
    <m/>
  </r>
  <r>
    <x v="22"/>
    <x v="1005"/>
    <x v="0"/>
    <m/>
    <m/>
    <n v="-11500"/>
    <n v="4400"/>
    <m/>
    <m/>
  </r>
  <r>
    <x v="22"/>
    <x v="1006"/>
    <x v="0"/>
    <m/>
    <m/>
    <n v="-20700"/>
    <m/>
    <n v="16000"/>
    <m/>
  </r>
  <r>
    <x v="22"/>
    <x v="1007"/>
    <x v="0"/>
    <m/>
    <m/>
    <n v="0"/>
    <m/>
    <m/>
    <m/>
  </r>
  <r>
    <x v="22"/>
    <x v="1008"/>
    <x v="4"/>
    <m/>
    <m/>
    <n v="-1312"/>
    <m/>
    <m/>
    <m/>
  </r>
  <r>
    <x v="22"/>
    <x v="1009"/>
    <x v="0"/>
    <m/>
    <m/>
    <n v="-68400"/>
    <n v="28107"/>
    <n v="136404"/>
    <m/>
  </r>
  <r>
    <x v="22"/>
    <x v="986"/>
    <x v="3"/>
    <m/>
    <m/>
    <n v="-2400"/>
    <m/>
    <m/>
    <m/>
  </r>
  <r>
    <x v="22"/>
    <x v="1010"/>
    <x v="0"/>
    <m/>
    <m/>
    <n v="-15000"/>
    <m/>
    <m/>
    <m/>
  </r>
  <r>
    <x v="22"/>
    <x v="975"/>
    <x v="1"/>
    <m/>
    <m/>
    <n v="-4000"/>
    <m/>
    <m/>
    <m/>
  </r>
  <r>
    <x v="22"/>
    <x v="994"/>
    <x v="1"/>
    <m/>
    <m/>
    <n v="-2494"/>
    <m/>
    <m/>
    <m/>
  </r>
  <r>
    <x v="22"/>
    <x v="996"/>
    <x v="1"/>
    <m/>
    <m/>
    <n v="-15519"/>
    <m/>
    <m/>
    <m/>
  </r>
  <r>
    <x v="22"/>
    <x v="1011"/>
    <x v="0"/>
    <m/>
    <m/>
    <n v="-1531"/>
    <n v="6725"/>
    <n v="8000"/>
    <m/>
  </r>
  <r>
    <x v="22"/>
    <x v="1012"/>
    <x v="0"/>
    <m/>
    <m/>
    <n v="-20810"/>
    <n v="108465"/>
    <n v="71313"/>
    <m/>
  </r>
  <r>
    <x v="22"/>
    <x v="1003"/>
    <x v="1"/>
    <m/>
    <m/>
    <n v="-26000"/>
    <m/>
    <n v="90210"/>
    <m/>
  </r>
  <r>
    <x v="22"/>
    <x v="1013"/>
    <x v="0"/>
    <m/>
    <m/>
    <n v="-20715"/>
    <n v="471355"/>
    <n v="640670"/>
    <n v="25000"/>
  </r>
  <r>
    <x v="22"/>
    <x v="978"/>
    <x v="2"/>
    <m/>
    <m/>
    <m/>
    <n v="4100"/>
    <m/>
    <m/>
  </r>
  <r>
    <x v="22"/>
    <x v="979"/>
    <x v="1"/>
    <m/>
    <m/>
    <m/>
    <n v="1805"/>
    <m/>
    <m/>
  </r>
  <r>
    <x v="22"/>
    <x v="1014"/>
    <x v="0"/>
    <m/>
    <m/>
    <m/>
    <n v="28000"/>
    <n v="22769"/>
    <m/>
  </r>
  <r>
    <x v="22"/>
    <x v="1015"/>
    <x v="0"/>
    <m/>
    <m/>
    <m/>
    <n v="240000"/>
    <n v="38000"/>
    <m/>
  </r>
  <r>
    <x v="22"/>
    <x v="1016"/>
    <x v="0"/>
    <m/>
    <m/>
    <m/>
    <n v="42862"/>
    <n v="27000"/>
    <m/>
  </r>
  <r>
    <x v="22"/>
    <x v="1017"/>
    <x v="0"/>
    <m/>
    <m/>
    <m/>
    <n v="14108"/>
    <n v="20000"/>
    <m/>
  </r>
  <r>
    <x v="22"/>
    <x v="1018"/>
    <x v="1"/>
    <m/>
    <m/>
    <m/>
    <n v="2932"/>
    <m/>
    <m/>
  </r>
  <r>
    <x v="22"/>
    <x v="1008"/>
    <x v="3"/>
    <m/>
    <m/>
    <m/>
    <n v="5000"/>
    <m/>
    <m/>
  </r>
  <r>
    <x v="22"/>
    <x v="1008"/>
    <x v="0"/>
    <m/>
    <m/>
    <m/>
    <n v="10614"/>
    <n v="76769"/>
    <m/>
  </r>
  <r>
    <x v="22"/>
    <x v="984"/>
    <x v="1"/>
    <m/>
    <m/>
    <m/>
    <n v="0"/>
    <m/>
    <m/>
  </r>
  <r>
    <x v="22"/>
    <x v="1019"/>
    <x v="1"/>
    <m/>
    <m/>
    <m/>
    <n v="3000"/>
    <n v="32000"/>
    <m/>
  </r>
  <r>
    <x v="22"/>
    <x v="1019"/>
    <x v="0"/>
    <m/>
    <m/>
    <m/>
    <n v="72360"/>
    <m/>
    <m/>
  </r>
  <r>
    <x v="22"/>
    <x v="1020"/>
    <x v="0"/>
    <m/>
    <m/>
    <m/>
    <n v="7750"/>
    <m/>
    <m/>
  </r>
  <r>
    <x v="22"/>
    <x v="992"/>
    <x v="3"/>
    <m/>
    <m/>
    <m/>
    <n v="4600"/>
    <m/>
    <m/>
  </r>
  <r>
    <x v="22"/>
    <x v="1021"/>
    <x v="0"/>
    <m/>
    <m/>
    <m/>
    <n v="9724"/>
    <n v="72346"/>
    <m/>
  </r>
  <r>
    <x v="22"/>
    <x v="1022"/>
    <x v="2"/>
    <m/>
    <m/>
    <m/>
    <n v="10000"/>
    <m/>
    <m/>
  </r>
  <r>
    <x v="22"/>
    <x v="1022"/>
    <x v="0"/>
    <m/>
    <m/>
    <m/>
    <n v="40575"/>
    <n v="8000"/>
    <m/>
  </r>
  <r>
    <x v="22"/>
    <x v="1023"/>
    <x v="0"/>
    <m/>
    <m/>
    <m/>
    <n v="31167"/>
    <n v="-2375"/>
    <m/>
  </r>
  <r>
    <x v="22"/>
    <x v="1024"/>
    <x v="2"/>
    <m/>
    <m/>
    <m/>
    <n v="1500"/>
    <m/>
    <m/>
  </r>
  <r>
    <x v="22"/>
    <x v="1025"/>
    <x v="0"/>
    <m/>
    <m/>
    <m/>
    <n v="1400"/>
    <n v="105276"/>
    <m/>
  </r>
  <r>
    <x v="22"/>
    <x v="998"/>
    <x v="2"/>
    <m/>
    <m/>
    <m/>
    <n v="2200"/>
    <m/>
    <m/>
  </r>
  <r>
    <x v="22"/>
    <x v="1026"/>
    <x v="0"/>
    <m/>
    <m/>
    <m/>
    <n v="2006"/>
    <m/>
    <m/>
  </r>
  <r>
    <x v="22"/>
    <x v="1027"/>
    <x v="0"/>
    <m/>
    <m/>
    <m/>
    <n v="3500"/>
    <m/>
    <m/>
  </r>
  <r>
    <x v="22"/>
    <x v="1028"/>
    <x v="0"/>
    <m/>
    <m/>
    <m/>
    <n v="9263"/>
    <m/>
    <m/>
  </r>
  <r>
    <x v="22"/>
    <x v="1029"/>
    <x v="1"/>
    <m/>
    <m/>
    <m/>
    <n v="0"/>
    <n v="7736"/>
    <m/>
  </r>
  <r>
    <x v="22"/>
    <x v="1029"/>
    <x v="0"/>
    <m/>
    <m/>
    <m/>
    <n v="0"/>
    <n v="210094"/>
    <m/>
  </r>
  <r>
    <x v="22"/>
    <x v="1030"/>
    <x v="0"/>
    <m/>
    <m/>
    <m/>
    <n v="43494"/>
    <n v="7385"/>
    <m/>
  </r>
  <r>
    <x v="22"/>
    <x v="1031"/>
    <x v="0"/>
    <m/>
    <m/>
    <m/>
    <n v="43500"/>
    <m/>
    <m/>
  </r>
  <r>
    <x v="22"/>
    <x v="1032"/>
    <x v="0"/>
    <m/>
    <m/>
    <m/>
    <n v="23324"/>
    <n v="8000"/>
    <m/>
  </r>
  <r>
    <x v="22"/>
    <x v="1033"/>
    <x v="0"/>
    <m/>
    <m/>
    <m/>
    <n v="5933"/>
    <m/>
    <m/>
  </r>
  <r>
    <x v="22"/>
    <x v="1034"/>
    <x v="0"/>
    <m/>
    <m/>
    <m/>
    <n v="11737"/>
    <m/>
    <m/>
  </r>
  <r>
    <x v="22"/>
    <x v="1035"/>
    <x v="0"/>
    <m/>
    <m/>
    <m/>
    <n v="41200"/>
    <n v="90000"/>
    <m/>
  </r>
  <r>
    <x v="22"/>
    <x v="1011"/>
    <x v="2"/>
    <m/>
    <m/>
    <m/>
    <n v="18500"/>
    <m/>
    <m/>
  </r>
  <r>
    <x v="22"/>
    <x v="1036"/>
    <x v="0"/>
    <m/>
    <m/>
    <m/>
    <n v="86500"/>
    <n v="197750"/>
    <m/>
  </r>
  <r>
    <x v="22"/>
    <x v="1037"/>
    <x v="1"/>
    <m/>
    <m/>
    <m/>
    <n v="112603"/>
    <n v="10901"/>
    <m/>
  </r>
  <r>
    <x v="22"/>
    <x v="1037"/>
    <x v="0"/>
    <m/>
    <m/>
    <m/>
    <n v="33250"/>
    <n v="148054"/>
    <m/>
  </r>
  <r>
    <x v="22"/>
    <x v="1038"/>
    <x v="0"/>
    <m/>
    <m/>
    <m/>
    <n v="320529"/>
    <n v="233849"/>
    <m/>
  </r>
  <r>
    <x v="22"/>
    <x v="1013"/>
    <x v="1"/>
    <m/>
    <m/>
    <m/>
    <n v="46875"/>
    <n v="52253"/>
    <m/>
  </r>
  <r>
    <x v="22"/>
    <x v="1039"/>
    <x v="1"/>
    <m/>
    <m/>
    <m/>
    <m/>
    <n v="8974"/>
    <m/>
  </r>
  <r>
    <x v="22"/>
    <x v="1018"/>
    <x v="0"/>
    <m/>
    <m/>
    <m/>
    <m/>
    <n v="25750"/>
    <m/>
  </r>
  <r>
    <x v="22"/>
    <x v="1040"/>
    <x v="0"/>
    <m/>
    <m/>
    <m/>
    <m/>
    <n v="76400"/>
    <m/>
  </r>
  <r>
    <x v="22"/>
    <x v="1041"/>
    <x v="1"/>
    <m/>
    <m/>
    <m/>
    <m/>
    <n v="40000"/>
    <m/>
  </r>
  <r>
    <x v="22"/>
    <x v="1042"/>
    <x v="0"/>
    <m/>
    <m/>
    <m/>
    <m/>
    <n v="27000"/>
    <m/>
  </r>
  <r>
    <x v="22"/>
    <x v="1008"/>
    <x v="1"/>
    <m/>
    <m/>
    <m/>
    <m/>
    <n v="26099"/>
    <m/>
  </r>
  <r>
    <x v="22"/>
    <x v="1009"/>
    <x v="1"/>
    <m/>
    <m/>
    <m/>
    <m/>
    <n v="24000"/>
    <n v="15000"/>
  </r>
  <r>
    <x v="22"/>
    <x v="1043"/>
    <x v="0"/>
    <m/>
    <m/>
    <m/>
    <m/>
    <n v="41100"/>
    <m/>
  </r>
  <r>
    <x v="22"/>
    <x v="1020"/>
    <x v="2"/>
    <m/>
    <m/>
    <m/>
    <m/>
    <n v="18000"/>
    <m/>
  </r>
  <r>
    <x v="22"/>
    <x v="989"/>
    <x v="1"/>
    <m/>
    <m/>
    <m/>
    <m/>
    <n v="10256"/>
    <m/>
  </r>
  <r>
    <x v="22"/>
    <x v="1023"/>
    <x v="2"/>
    <m/>
    <m/>
    <m/>
    <m/>
    <n v="45000"/>
    <m/>
  </r>
  <r>
    <x v="22"/>
    <x v="976"/>
    <x v="1"/>
    <m/>
    <m/>
    <m/>
    <m/>
    <n v="69338"/>
    <m/>
  </r>
  <r>
    <x v="22"/>
    <x v="1025"/>
    <x v="1"/>
    <m/>
    <m/>
    <m/>
    <m/>
    <n v="10000"/>
    <m/>
  </r>
  <r>
    <x v="22"/>
    <x v="995"/>
    <x v="1"/>
    <m/>
    <m/>
    <m/>
    <m/>
    <n v="25366"/>
    <m/>
  </r>
  <r>
    <x v="22"/>
    <x v="1044"/>
    <x v="0"/>
    <m/>
    <m/>
    <m/>
    <m/>
    <n v="8000"/>
    <m/>
  </r>
  <r>
    <x v="22"/>
    <x v="1030"/>
    <x v="1"/>
    <m/>
    <m/>
    <m/>
    <m/>
    <n v="20855"/>
    <m/>
  </r>
  <r>
    <x v="22"/>
    <x v="1032"/>
    <x v="1"/>
    <m/>
    <m/>
    <m/>
    <m/>
    <n v="8282"/>
    <m/>
  </r>
  <r>
    <x v="22"/>
    <x v="1033"/>
    <x v="1"/>
    <m/>
    <m/>
    <m/>
    <m/>
    <n v="8115"/>
    <m/>
  </r>
  <r>
    <x v="22"/>
    <x v="1035"/>
    <x v="1"/>
    <m/>
    <m/>
    <m/>
    <m/>
    <n v="31544"/>
    <m/>
  </r>
  <r>
    <x v="22"/>
    <x v="1011"/>
    <x v="1"/>
    <m/>
    <m/>
    <m/>
    <m/>
    <n v="8000"/>
    <m/>
  </r>
  <r>
    <x v="22"/>
    <x v="1012"/>
    <x v="1"/>
    <m/>
    <m/>
    <m/>
    <m/>
    <n v="8791"/>
    <m/>
  </r>
  <r>
    <x v="22"/>
    <x v="1002"/>
    <x v="2"/>
    <m/>
    <m/>
    <m/>
    <m/>
    <n v="23500"/>
    <m/>
  </r>
  <r>
    <x v="22"/>
    <x v="1002"/>
    <x v="1"/>
    <m/>
    <m/>
    <m/>
    <m/>
    <n v="50000"/>
    <m/>
  </r>
  <r>
    <x v="22"/>
    <x v="1038"/>
    <x v="1"/>
    <m/>
    <m/>
    <m/>
    <m/>
    <n v="103691"/>
    <m/>
  </r>
  <r>
    <x v="22"/>
    <x v="1013"/>
    <x v="2"/>
    <m/>
    <m/>
    <m/>
    <m/>
    <n v="27000"/>
    <m/>
  </r>
  <r>
    <x v="23"/>
    <x v="1045"/>
    <x v="0"/>
    <m/>
    <n v="-469300"/>
    <n v="-21850"/>
    <m/>
    <n v="36025"/>
    <m/>
  </r>
  <r>
    <x v="23"/>
    <x v="1046"/>
    <x v="0"/>
    <m/>
    <n v="-45000"/>
    <m/>
    <n v="8625"/>
    <m/>
    <m/>
  </r>
  <r>
    <x v="23"/>
    <x v="1047"/>
    <x v="2"/>
    <m/>
    <n v="-11989"/>
    <m/>
    <n v="13890"/>
    <m/>
    <m/>
  </r>
  <r>
    <x v="23"/>
    <x v="1048"/>
    <x v="0"/>
    <m/>
    <n v="-112100"/>
    <n v="0"/>
    <n v="83644"/>
    <n v="98592"/>
    <m/>
  </r>
  <r>
    <x v="23"/>
    <x v="1049"/>
    <x v="0"/>
    <m/>
    <n v="-35000"/>
    <m/>
    <n v="5000"/>
    <m/>
    <m/>
  </r>
  <r>
    <x v="23"/>
    <x v="1050"/>
    <x v="0"/>
    <m/>
    <n v="-13500"/>
    <m/>
    <n v="12302"/>
    <m/>
    <m/>
  </r>
  <r>
    <x v="23"/>
    <x v="1051"/>
    <x v="0"/>
    <m/>
    <n v="-4500"/>
    <n v="-5250"/>
    <n v="276960"/>
    <n v="21220"/>
    <m/>
  </r>
  <r>
    <x v="23"/>
    <x v="1052"/>
    <x v="0"/>
    <m/>
    <n v="-98800"/>
    <n v="-3450"/>
    <n v="18500"/>
    <n v="46000"/>
    <m/>
  </r>
  <r>
    <x v="23"/>
    <x v="1053"/>
    <x v="1"/>
    <m/>
    <n v="-4000"/>
    <m/>
    <m/>
    <m/>
    <m/>
  </r>
  <r>
    <x v="23"/>
    <x v="1054"/>
    <x v="0"/>
    <m/>
    <n v="-50000"/>
    <m/>
    <n v="75915"/>
    <n v="30000"/>
    <m/>
  </r>
  <r>
    <x v="23"/>
    <x v="1055"/>
    <x v="0"/>
    <m/>
    <n v="-51000"/>
    <m/>
    <n v="152239"/>
    <n v="133633"/>
    <m/>
  </r>
  <r>
    <x v="23"/>
    <x v="1056"/>
    <x v="0"/>
    <m/>
    <n v="-41000"/>
    <n v="-5618"/>
    <n v="142025"/>
    <n v="404685"/>
    <m/>
  </r>
  <r>
    <x v="23"/>
    <x v="1057"/>
    <x v="0"/>
    <m/>
    <n v="-44500"/>
    <m/>
    <n v="84607"/>
    <n v="56250"/>
    <m/>
  </r>
  <r>
    <x v="23"/>
    <x v="1058"/>
    <x v="1"/>
    <m/>
    <n v="-40000"/>
    <m/>
    <m/>
    <m/>
    <m/>
  </r>
  <r>
    <x v="23"/>
    <x v="1058"/>
    <x v="0"/>
    <m/>
    <n v="-47563"/>
    <m/>
    <n v="-8800"/>
    <m/>
    <m/>
  </r>
  <r>
    <x v="23"/>
    <x v="1059"/>
    <x v="0"/>
    <m/>
    <n v="-18000"/>
    <m/>
    <n v="42500"/>
    <m/>
    <m/>
  </r>
  <r>
    <x v="23"/>
    <x v="1060"/>
    <x v="0"/>
    <m/>
    <n v="-20592"/>
    <n v="-4000"/>
    <n v="4000"/>
    <m/>
    <m/>
  </r>
  <r>
    <x v="23"/>
    <x v="1061"/>
    <x v="0"/>
    <m/>
    <n v="-6000"/>
    <m/>
    <n v="6000"/>
    <m/>
    <m/>
  </r>
  <r>
    <x v="23"/>
    <x v="1062"/>
    <x v="0"/>
    <m/>
    <n v="-15000"/>
    <n v="-1214"/>
    <n v="17384"/>
    <n v="84590"/>
    <m/>
  </r>
  <r>
    <x v="23"/>
    <x v="1063"/>
    <x v="3"/>
    <m/>
    <n v="-7500"/>
    <m/>
    <m/>
    <m/>
    <m/>
  </r>
  <r>
    <x v="23"/>
    <x v="1064"/>
    <x v="0"/>
    <m/>
    <n v="-50500"/>
    <n v="-18049"/>
    <n v="140886"/>
    <n v="83457"/>
    <m/>
  </r>
  <r>
    <x v="23"/>
    <x v="1065"/>
    <x v="1"/>
    <m/>
    <n v="-18452"/>
    <m/>
    <n v="75075"/>
    <n v="36179"/>
    <m/>
  </r>
  <r>
    <x v="23"/>
    <x v="1065"/>
    <x v="0"/>
    <m/>
    <n v="-14000"/>
    <m/>
    <n v="305659"/>
    <n v="69481"/>
    <m/>
  </r>
  <r>
    <x v="23"/>
    <x v="1066"/>
    <x v="1"/>
    <m/>
    <n v="-13149"/>
    <n v="-4667"/>
    <n v="4541"/>
    <n v="65051"/>
    <m/>
  </r>
  <r>
    <x v="23"/>
    <x v="1066"/>
    <x v="0"/>
    <m/>
    <n v="-11250"/>
    <m/>
    <n v="714668"/>
    <n v="212870"/>
    <m/>
  </r>
  <r>
    <x v="23"/>
    <x v="1067"/>
    <x v="0"/>
    <m/>
    <m/>
    <n v="-38733"/>
    <m/>
    <m/>
    <m/>
  </r>
  <r>
    <x v="23"/>
    <x v="1068"/>
    <x v="0"/>
    <m/>
    <m/>
    <n v="-11490"/>
    <n v="1905"/>
    <m/>
    <m/>
  </r>
  <r>
    <x v="23"/>
    <x v="1069"/>
    <x v="1"/>
    <m/>
    <m/>
    <n v="-4333"/>
    <m/>
    <m/>
    <m/>
  </r>
  <r>
    <x v="23"/>
    <x v="1069"/>
    <x v="0"/>
    <m/>
    <m/>
    <n v="-3500"/>
    <n v="62000"/>
    <m/>
    <m/>
  </r>
  <r>
    <x v="23"/>
    <x v="1070"/>
    <x v="0"/>
    <m/>
    <m/>
    <n v="-3400"/>
    <n v="9500"/>
    <n v="7385"/>
    <m/>
  </r>
  <r>
    <x v="23"/>
    <x v="1071"/>
    <x v="0"/>
    <m/>
    <m/>
    <n v="-4500"/>
    <n v="1750"/>
    <m/>
    <m/>
  </r>
  <r>
    <x v="23"/>
    <x v="1072"/>
    <x v="0"/>
    <m/>
    <m/>
    <n v="-1750"/>
    <n v="4000"/>
    <n v="30000"/>
    <m/>
  </r>
  <r>
    <x v="23"/>
    <x v="1073"/>
    <x v="0"/>
    <m/>
    <m/>
    <n v="-1500"/>
    <n v="57044"/>
    <n v="144000"/>
    <m/>
  </r>
  <r>
    <x v="23"/>
    <x v="1074"/>
    <x v="0"/>
    <m/>
    <m/>
    <n v="-3000"/>
    <n v="61215"/>
    <n v="37385"/>
    <m/>
  </r>
  <r>
    <x v="23"/>
    <x v="1075"/>
    <x v="0"/>
    <m/>
    <m/>
    <n v="-3250"/>
    <n v="46253"/>
    <m/>
    <m/>
  </r>
  <r>
    <x v="23"/>
    <x v="1076"/>
    <x v="0"/>
    <m/>
    <m/>
    <n v="-3000"/>
    <n v="2933"/>
    <m/>
    <m/>
  </r>
  <r>
    <x v="23"/>
    <x v="1077"/>
    <x v="0"/>
    <m/>
    <m/>
    <n v="-13500"/>
    <n v="1800"/>
    <m/>
    <m/>
  </r>
  <r>
    <x v="23"/>
    <x v="1078"/>
    <x v="0"/>
    <m/>
    <m/>
    <n v="-4500"/>
    <n v="47000"/>
    <m/>
    <m/>
  </r>
  <r>
    <x v="23"/>
    <x v="1079"/>
    <x v="0"/>
    <m/>
    <m/>
    <n v="-2240"/>
    <n v="234674"/>
    <n v="46670"/>
    <m/>
  </r>
  <r>
    <x v="23"/>
    <x v="1080"/>
    <x v="4"/>
    <m/>
    <m/>
    <n v="-8892"/>
    <m/>
    <m/>
    <m/>
  </r>
  <r>
    <x v="23"/>
    <x v="1081"/>
    <x v="0"/>
    <m/>
    <m/>
    <n v="-150"/>
    <n v="4320"/>
    <n v="18040"/>
    <m/>
  </r>
  <r>
    <x v="23"/>
    <x v="1082"/>
    <x v="0"/>
    <m/>
    <m/>
    <n v="-3462"/>
    <n v="-164934"/>
    <n v="35200"/>
    <m/>
  </r>
  <r>
    <x v="23"/>
    <x v="1083"/>
    <x v="0"/>
    <m/>
    <m/>
    <n v="-80700"/>
    <n v="800"/>
    <n v="41000"/>
    <m/>
  </r>
  <r>
    <x v="23"/>
    <x v="1084"/>
    <x v="2"/>
    <m/>
    <m/>
    <m/>
    <n v="2000"/>
    <m/>
    <m/>
  </r>
  <r>
    <x v="23"/>
    <x v="1085"/>
    <x v="2"/>
    <m/>
    <m/>
    <m/>
    <n v="8000"/>
    <m/>
    <m/>
  </r>
  <r>
    <x v="23"/>
    <x v="1085"/>
    <x v="1"/>
    <m/>
    <m/>
    <m/>
    <n v="29998"/>
    <m/>
    <m/>
  </r>
  <r>
    <x v="23"/>
    <x v="1085"/>
    <x v="0"/>
    <m/>
    <m/>
    <m/>
    <n v="17400"/>
    <m/>
    <m/>
  </r>
  <r>
    <x v="23"/>
    <x v="1086"/>
    <x v="0"/>
    <m/>
    <m/>
    <m/>
    <n v="5300"/>
    <n v="8000"/>
    <m/>
  </r>
  <r>
    <x v="23"/>
    <x v="1087"/>
    <x v="0"/>
    <m/>
    <m/>
    <m/>
    <n v="12025"/>
    <m/>
    <m/>
  </r>
  <r>
    <x v="23"/>
    <x v="1070"/>
    <x v="2"/>
    <m/>
    <m/>
    <m/>
    <n v="0"/>
    <m/>
    <m/>
  </r>
  <r>
    <x v="23"/>
    <x v="1088"/>
    <x v="1"/>
    <m/>
    <m/>
    <m/>
    <n v="-1321"/>
    <m/>
    <m/>
  </r>
  <r>
    <x v="23"/>
    <x v="1088"/>
    <x v="0"/>
    <m/>
    <m/>
    <m/>
    <n v="6020"/>
    <n v="40385"/>
    <m/>
  </r>
  <r>
    <x v="23"/>
    <x v="1089"/>
    <x v="0"/>
    <m/>
    <m/>
    <m/>
    <n v="52571"/>
    <n v="30000"/>
    <m/>
  </r>
  <r>
    <x v="23"/>
    <x v="1047"/>
    <x v="0"/>
    <m/>
    <m/>
    <m/>
    <n v="9800"/>
    <n v="16000"/>
    <m/>
  </r>
  <r>
    <x v="23"/>
    <x v="1090"/>
    <x v="0"/>
    <m/>
    <m/>
    <m/>
    <n v="17155"/>
    <m/>
    <m/>
  </r>
  <r>
    <x v="23"/>
    <x v="1091"/>
    <x v="0"/>
    <m/>
    <m/>
    <m/>
    <n v="121802"/>
    <n v="10000"/>
    <m/>
  </r>
  <r>
    <x v="23"/>
    <x v="1092"/>
    <x v="0"/>
    <m/>
    <m/>
    <m/>
    <n v="71859"/>
    <m/>
    <m/>
  </r>
  <r>
    <x v="23"/>
    <x v="1093"/>
    <x v="0"/>
    <m/>
    <m/>
    <m/>
    <n v="10000"/>
    <n v="39615"/>
    <m/>
  </r>
  <r>
    <x v="23"/>
    <x v="1094"/>
    <x v="0"/>
    <m/>
    <m/>
    <m/>
    <n v="4823"/>
    <n v="20000"/>
    <m/>
  </r>
  <r>
    <x v="23"/>
    <x v="1095"/>
    <x v="0"/>
    <m/>
    <m/>
    <m/>
    <n v="667575"/>
    <n v="85620"/>
    <m/>
  </r>
  <r>
    <x v="23"/>
    <x v="1096"/>
    <x v="0"/>
    <m/>
    <m/>
    <m/>
    <n v="86139"/>
    <m/>
    <m/>
  </r>
  <r>
    <x v="23"/>
    <x v="1051"/>
    <x v="1"/>
    <m/>
    <m/>
    <m/>
    <n v="803"/>
    <m/>
    <m/>
  </r>
  <r>
    <x v="23"/>
    <x v="1097"/>
    <x v="0"/>
    <m/>
    <m/>
    <m/>
    <n v="11398"/>
    <m/>
    <m/>
  </r>
  <r>
    <x v="23"/>
    <x v="1053"/>
    <x v="0"/>
    <m/>
    <m/>
    <m/>
    <n v="17200"/>
    <n v="45000"/>
    <m/>
  </r>
  <r>
    <x v="23"/>
    <x v="1098"/>
    <x v="0"/>
    <m/>
    <m/>
    <m/>
    <n v="-1429"/>
    <n v="279913"/>
    <m/>
  </r>
  <r>
    <x v="23"/>
    <x v="1054"/>
    <x v="2"/>
    <m/>
    <m/>
    <m/>
    <n v="-2500"/>
    <m/>
    <m/>
  </r>
  <r>
    <x v="23"/>
    <x v="1055"/>
    <x v="2"/>
    <m/>
    <m/>
    <m/>
    <n v="1500"/>
    <m/>
    <m/>
  </r>
  <r>
    <x v="23"/>
    <x v="1055"/>
    <x v="1"/>
    <m/>
    <m/>
    <m/>
    <n v="4000"/>
    <n v="10256"/>
    <m/>
  </r>
  <r>
    <x v="23"/>
    <x v="1056"/>
    <x v="1"/>
    <m/>
    <m/>
    <m/>
    <n v="11582"/>
    <n v="43681"/>
    <m/>
  </r>
  <r>
    <x v="23"/>
    <x v="1058"/>
    <x v="2"/>
    <m/>
    <m/>
    <m/>
    <n v="13000"/>
    <m/>
    <m/>
  </r>
  <r>
    <x v="23"/>
    <x v="1059"/>
    <x v="1"/>
    <m/>
    <m/>
    <m/>
    <n v="25275"/>
    <m/>
    <m/>
  </r>
  <r>
    <x v="23"/>
    <x v="1080"/>
    <x v="0"/>
    <m/>
    <m/>
    <m/>
    <n v="63375"/>
    <m/>
    <m/>
  </r>
  <r>
    <x v="23"/>
    <x v="1099"/>
    <x v="0"/>
    <m/>
    <m/>
    <m/>
    <n v="4511"/>
    <n v="24000"/>
    <m/>
  </r>
  <r>
    <x v="23"/>
    <x v="1082"/>
    <x v="2"/>
    <m/>
    <m/>
    <m/>
    <n v="54934"/>
    <m/>
    <m/>
  </r>
  <r>
    <x v="23"/>
    <x v="1100"/>
    <x v="0"/>
    <m/>
    <m/>
    <m/>
    <n v="4615"/>
    <m/>
    <m/>
  </r>
  <r>
    <x v="23"/>
    <x v="1101"/>
    <x v="0"/>
    <m/>
    <m/>
    <m/>
    <n v="179763"/>
    <n v="550183"/>
    <m/>
  </r>
  <r>
    <x v="23"/>
    <x v="1102"/>
    <x v="1"/>
    <m/>
    <m/>
    <m/>
    <n v="-1372"/>
    <n v="25089"/>
    <m/>
  </r>
  <r>
    <x v="23"/>
    <x v="1102"/>
    <x v="0"/>
    <m/>
    <m/>
    <m/>
    <n v="19820"/>
    <n v="94000"/>
    <m/>
  </r>
  <r>
    <x v="23"/>
    <x v="1063"/>
    <x v="1"/>
    <m/>
    <m/>
    <m/>
    <n v="24000"/>
    <m/>
    <m/>
  </r>
  <r>
    <x v="23"/>
    <x v="1063"/>
    <x v="0"/>
    <m/>
    <m/>
    <m/>
    <n v="54950"/>
    <m/>
    <m/>
  </r>
  <r>
    <x v="23"/>
    <x v="1103"/>
    <x v="1"/>
    <m/>
    <m/>
    <m/>
    <n v="-4500"/>
    <m/>
    <m/>
  </r>
  <r>
    <x v="23"/>
    <x v="1103"/>
    <x v="0"/>
    <m/>
    <m/>
    <m/>
    <n v="55008"/>
    <n v="52358"/>
    <m/>
  </r>
  <r>
    <x v="23"/>
    <x v="1104"/>
    <x v="0"/>
    <m/>
    <m/>
    <m/>
    <n v="64819"/>
    <n v="10000"/>
    <m/>
  </r>
  <r>
    <x v="23"/>
    <x v="1105"/>
    <x v="0"/>
    <m/>
    <m/>
    <m/>
    <n v="68101"/>
    <n v="9231"/>
    <m/>
  </r>
  <r>
    <x v="23"/>
    <x v="1083"/>
    <x v="2"/>
    <m/>
    <m/>
    <m/>
    <n v="6000"/>
    <m/>
    <m/>
  </r>
  <r>
    <x v="23"/>
    <x v="1106"/>
    <x v="1"/>
    <m/>
    <m/>
    <m/>
    <n v="24231"/>
    <m/>
    <m/>
  </r>
  <r>
    <x v="23"/>
    <x v="1106"/>
    <x v="0"/>
    <m/>
    <m/>
    <m/>
    <n v="218483"/>
    <n v="38278"/>
    <m/>
  </r>
  <r>
    <x v="23"/>
    <x v="1107"/>
    <x v="0"/>
    <m/>
    <m/>
    <m/>
    <n v="24010"/>
    <n v="54733"/>
    <m/>
  </r>
  <r>
    <x v="23"/>
    <x v="1108"/>
    <x v="0"/>
    <m/>
    <m/>
    <m/>
    <m/>
    <n v="31900"/>
    <m/>
  </r>
  <r>
    <x v="23"/>
    <x v="1109"/>
    <x v="0"/>
    <m/>
    <m/>
    <m/>
    <m/>
    <n v="8000"/>
    <m/>
  </r>
  <r>
    <x v="23"/>
    <x v="1110"/>
    <x v="0"/>
    <m/>
    <m/>
    <m/>
    <m/>
    <n v="27692"/>
    <m/>
  </r>
  <r>
    <x v="23"/>
    <x v="1048"/>
    <x v="1"/>
    <m/>
    <m/>
    <m/>
    <m/>
    <n v="43000"/>
    <m/>
  </r>
  <r>
    <x v="23"/>
    <x v="1111"/>
    <x v="1"/>
    <m/>
    <m/>
    <m/>
    <m/>
    <n v="8000"/>
    <m/>
  </r>
  <r>
    <x v="23"/>
    <x v="1112"/>
    <x v="0"/>
    <m/>
    <m/>
    <m/>
    <m/>
    <n v="38000"/>
    <m/>
  </r>
  <r>
    <x v="23"/>
    <x v="1113"/>
    <x v="1"/>
    <m/>
    <m/>
    <m/>
    <m/>
    <n v="10256"/>
    <m/>
  </r>
  <r>
    <x v="23"/>
    <x v="1113"/>
    <x v="0"/>
    <m/>
    <m/>
    <m/>
    <m/>
    <n v="36000"/>
    <m/>
  </r>
  <r>
    <x v="23"/>
    <x v="1056"/>
    <x v="2"/>
    <m/>
    <m/>
    <m/>
    <m/>
    <n v="98000"/>
    <m/>
  </r>
  <r>
    <x v="23"/>
    <x v="1081"/>
    <x v="1"/>
    <m/>
    <m/>
    <m/>
    <m/>
    <n v="15385"/>
    <m/>
  </r>
  <r>
    <x v="23"/>
    <x v="1099"/>
    <x v="1"/>
    <m/>
    <m/>
    <m/>
    <m/>
    <n v="10256"/>
    <m/>
  </r>
  <r>
    <x v="23"/>
    <x v="1082"/>
    <x v="1"/>
    <m/>
    <m/>
    <m/>
    <m/>
    <n v="38209"/>
    <m/>
  </r>
  <r>
    <x v="23"/>
    <x v="1100"/>
    <x v="1"/>
    <m/>
    <m/>
    <m/>
    <m/>
    <n v="25000"/>
    <m/>
  </r>
  <r>
    <x v="23"/>
    <x v="1104"/>
    <x v="1"/>
    <m/>
    <m/>
    <m/>
    <m/>
    <n v="47755"/>
    <m/>
  </r>
  <r>
    <x v="24"/>
    <x v="1114"/>
    <x v="0"/>
    <n v="0"/>
    <n v="-15000"/>
    <m/>
    <n v="61300"/>
    <m/>
    <m/>
  </r>
  <r>
    <x v="24"/>
    <x v="1115"/>
    <x v="1"/>
    <n v="0"/>
    <m/>
    <m/>
    <m/>
    <m/>
    <m/>
  </r>
  <r>
    <x v="24"/>
    <x v="1116"/>
    <x v="0"/>
    <m/>
    <n v="-20600"/>
    <n v="-1500"/>
    <m/>
    <n v="43500"/>
    <m/>
  </r>
  <r>
    <x v="24"/>
    <x v="1117"/>
    <x v="0"/>
    <m/>
    <n v="-6500"/>
    <m/>
    <n v="27900"/>
    <n v="53899"/>
    <m/>
  </r>
  <r>
    <x v="24"/>
    <x v="1118"/>
    <x v="4"/>
    <m/>
    <n v="-2388"/>
    <m/>
    <m/>
    <m/>
    <m/>
  </r>
  <r>
    <x v="24"/>
    <x v="1118"/>
    <x v="0"/>
    <m/>
    <n v="-44300"/>
    <m/>
    <n v="67695"/>
    <n v="77259"/>
    <m/>
  </r>
  <r>
    <x v="24"/>
    <x v="1119"/>
    <x v="0"/>
    <m/>
    <n v="-62098"/>
    <m/>
    <n v="16900"/>
    <n v="19231"/>
    <m/>
  </r>
  <r>
    <x v="24"/>
    <x v="1120"/>
    <x v="4"/>
    <m/>
    <n v="-2388"/>
    <m/>
    <m/>
    <m/>
    <m/>
  </r>
  <r>
    <x v="24"/>
    <x v="1121"/>
    <x v="4"/>
    <m/>
    <n v="-5364"/>
    <m/>
    <m/>
    <m/>
    <m/>
  </r>
  <r>
    <x v="24"/>
    <x v="1121"/>
    <x v="1"/>
    <m/>
    <n v="-5472"/>
    <m/>
    <n v="33000"/>
    <m/>
    <m/>
  </r>
  <r>
    <x v="24"/>
    <x v="1121"/>
    <x v="0"/>
    <m/>
    <n v="-2388"/>
    <m/>
    <n v="18907"/>
    <n v="12500"/>
    <m/>
  </r>
  <r>
    <x v="24"/>
    <x v="1122"/>
    <x v="1"/>
    <m/>
    <n v="-3576"/>
    <m/>
    <m/>
    <m/>
    <m/>
  </r>
  <r>
    <x v="24"/>
    <x v="1123"/>
    <x v="0"/>
    <m/>
    <n v="-35000"/>
    <m/>
    <m/>
    <m/>
    <m/>
  </r>
  <r>
    <x v="24"/>
    <x v="1124"/>
    <x v="1"/>
    <m/>
    <n v="-468"/>
    <m/>
    <m/>
    <m/>
    <m/>
  </r>
  <r>
    <x v="24"/>
    <x v="1124"/>
    <x v="0"/>
    <m/>
    <n v="-468"/>
    <m/>
    <n v="58390"/>
    <n v="66582"/>
    <m/>
  </r>
  <r>
    <x v="24"/>
    <x v="1125"/>
    <x v="1"/>
    <m/>
    <n v="-1872"/>
    <m/>
    <m/>
    <m/>
    <m/>
  </r>
  <r>
    <x v="24"/>
    <x v="1125"/>
    <x v="0"/>
    <m/>
    <n v="-30400"/>
    <m/>
    <n v="78900"/>
    <m/>
    <m/>
  </r>
  <r>
    <x v="24"/>
    <x v="1126"/>
    <x v="0"/>
    <m/>
    <n v="-29500"/>
    <m/>
    <n v="59146"/>
    <n v="136030"/>
    <m/>
  </r>
  <r>
    <x v="24"/>
    <x v="1127"/>
    <x v="0"/>
    <m/>
    <n v="-12000"/>
    <n v="-6739"/>
    <n v="70563"/>
    <n v="48462"/>
    <m/>
  </r>
  <r>
    <x v="24"/>
    <x v="1128"/>
    <x v="0"/>
    <m/>
    <n v="-5000"/>
    <n v="-12733"/>
    <n v="19900"/>
    <m/>
    <m/>
  </r>
  <r>
    <x v="24"/>
    <x v="1129"/>
    <x v="3"/>
    <m/>
    <n v="0"/>
    <m/>
    <m/>
    <m/>
    <m/>
  </r>
  <r>
    <x v="24"/>
    <x v="1130"/>
    <x v="0"/>
    <m/>
    <n v="-6500"/>
    <n v="-500"/>
    <n v="23032"/>
    <n v="144083"/>
    <m/>
  </r>
  <r>
    <x v="24"/>
    <x v="1131"/>
    <x v="0"/>
    <m/>
    <n v="-25730"/>
    <m/>
    <n v="326803"/>
    <m/>
    <m/>
  </r>
  <r>
    <x v="24"/>
    <x v="1132"/>
    <x v="0"/>
    <m/>
    <n v="-5988"/>
    <n v="-33855"/>
    <n v="187372"/>
    <n v="149133"/>
    <m/>
  </r>
  <r>
    <x v="24"/>
    <x v="1133"/>
    <x v="0"/>
    <m/>
    <n v="-34000"/>
    <n v="-26250"/>
    <n v="87698"/>
    <n v="139102"/>
    <m/>
  </r>
  <r>
    <x v="24"/>
    <x v="1134"/>
    <x v="0"/>
    <m/>
    <n v="-32500"/>
    <n v="-85000"/>
    <n v="59501"/>
    <m/>
    <m/>
  </r>
  <r>
    <x v="24"/>
    <x v="1135"/>
    <x v="1"/>
    <m/>
    <n v="-4000"/>
    <m/>
    <m/>
    <m/>
    <m/>
  </r>
  <r>
    <x v="24"/>
    <x v="1135"/>
    <x v="0"/>
    <m/>
    <n v="-332200"/>
    <n v="-1200"/>
    <n v="53740"/>
    <n v="460775"/>
    <m/>
  </r>
  <r>
    <x v="24"/>
    <x v="1136"/>
    <x v="0"/>
    <m/>
    <n v="-32000"/>
    <m/>
    <n v="45560"/>
    <n v="132482"/>
    <m/>
  </r>
  <r>
    <x v="24"/>
    <x v="1137"/>
    <x v="0"/>
    <m/>
    <n v="-28000"/>
    <m/>
    <n v="170225"/>
    <n v="112779"/>
    <m/>
  </r>
  <r>
    <x v="24"/>
    <x v="1138"/>
    <x v="0"/>
    <m/>
    <n v="-106800"/>
    <m/>
    <n v="47326"/>
    <n v="10000"/>
    <m/>
  </r>
  <r>
    <x v="24"/>
    <x v="1139"/>
    <x v="0"/>
    <m/>
    <n v="-18000"/>
    <m/>
    <n v="75109"/>
    <m/>
    <m/>
  </r>
  <r>
    <x v="24"/>
    <x v="1140"/>
    <x v="0"/>
    <m/>
    <n v="-8000"/>
    <m/>
    <n v="60745"/>
    <m/>
    <m/>
  </r>
  <r>
    <x v="24"/>
    <x v="1141"/>
    <x v="0"/>
    <m/>
    <n v="-17667"/>
    <n v="-20200"/>
    <n v="80751"/>
    <n v="75891"/>
    <m/>
  </r>
  <r>
    <x v="24"/>
    <x v="1142"/>
    <x v="0"/>
    <m/>
    <n v="-6500"/>
    <m/>
    <n v="35615"/>
    <n v="23000"/>
    <m/>
  </r>
  <r>
    <x v="24"/>
    <x v="1143"/>
    <x v="0"/>
    <m/>
    <n v="-71000"/>
    <n v="-6085"/>
    <n v="159654"/>
    <n v="78788"/>
    <m/>
  </r>
  <r>
    <x v="24"/>
    <x v="1144"/>
    <x v="0"/>
    <m/>
    <n v="-37342"/>
    <m/>
    <n v="162169"/>
    <n v="115445"/>
    <m/>
  </r>
  <r>
    <x v="24"/>
    <x v="1145"/>
    <x v="0"/>
    <m/>
    <n v="-12000"/>
    <m/>
    <n v="69599"/>
    <n v="186790"/>
    <m/>
  </r>
  <r>
    <x v="24"/>
    <x v="1146"/>
    <x v="0"/>
    <m/>
    <n v="-5988"/>
    <n v="-5700"/>
    <n v="247924"/>
    <n v="350420"/>
    <m/>
  </r>
  <r>
    <x v="24"/>
    <x v="1147"/>
    <x v="4"/>
    <m/>
    <n v="-6576"/>
    <m/>
    <m/>
    <m/>
    <m/>
  </r>
  <r>
    <x v="24"/>
    <x v="1147"/>
    <x v="0"/>
    <m/>
    <n v="-73750"/>
    <m/>
    <n v="701635"/>
    <n v="797841"/>
    <m/>
  </r>
  <r>
    <x v="24"/>
    <x v="1148"/>
    <x v="0"/>
    <m/>
    <m/>
    <n v="-15325"/>
    <n v="12325"/>
    <m/>
    <m/>
  </r>
  <r>
    <x v="24"/>
    <x v="1120"/>
    <x v="0"/>
    <m/>
    <m/>
    <n v="-5800"/>
    <n v="101048"/>
    <n v="22500"/>
    <m/>
  </r>
  <r>
    <x v="24"/>
    <x v="1149"/>
    <x v="0"/>
    <m/>
    <m/>
    <n v="-12200"/>
    <n v="105881"/>
    <n v="59000"/>
    <m/>
  </r>
  <r>
    <x v="24"/>
    <x v="1115"/>
    <x v="0"/>
    <m/>
    <m/>
    <n v="-1300"/>
    <n v="3500"/>
    <n v="18462"/>
    <m/>
  </r>
  <r>
    <x v="24"/>
    <x v="1150"/>
    <x v="0"/>
    <m/>
    <m/>
    <n v="-42500"/>
    <n v="11442"/>
    <n v="181145"/>
    <m/>
  </r>
  <r>
    <x v="24"/>
    <x v="1151"/>
    <x v="2"/>
    <m/>
    <m/>
    <n v="-1400"/>
    <m/>
    <m/>
    <m/>
  </r>
  <r>
    <x v="24"/>
    <x v="1151"/>
    <x v="0"/>
    <m/>
    <m/>
    <n v="-14500"/>
    <n v="25200"/>
    <m/>
    <m/>
  </r>
  <r>
    <x v="24"/>
    <x v="1152"/>
    <x v="0"/>
    <m/>
    <m/>
    <n v="-22000"/>
    <n v="96452"/>
    <n v="45000"/>
    <m/>
  </r>
  <r>
    <x v="24"/>
    <x v="1132"/>
    <x v="1"/>
    <m/>
    <m/>
    <n v="-4000"/>
    <n v="5675"/>
    <n v="10989"/>
    <m/>
  </r>
  <r>
    <x v="24"/>
    <x v="1153"/>
    <x v="0"/>
    <m/>
    <m/>
    <n v="-43333"/>
    <n v="93376"/>
    <n v="34103"/>
    <m/>
  </r>
  <r>
    <x v="24"/>
    <x v="1154"/>
    <x v="0"/>
    <m/>
    <m/>
    <n v="-1664"/>
    <n v="145200"/>
    <m/>
    <m/>
  </r>
  <r>
    <x v="24"/>
    <x v="1155"/>
    <x v="0"/>
    <m/>
    <m/>
    <n v="-97316"/>
    <n v="59293"/>
    <n v="10000"/>
    <m/>
  </r>
  <r>
    <x v="24"/>
    <x v="1156"/>
    <x v="0"/>
    <m/>
    <m/>
    <n v="-3000"/>
    <n v="20001"/>
    <m/>
    <m/>
  </r>
  <r>
    <x v="24"/>
    <x v="1157"/>
    <x v="0"/>
    <m/>
    <m/>
    <n v="-8300"/>
    <n v="99867"/>
    <n v="29231"/>
    <m/>
  </r>
  <r>
    <x v="24"/>
    <x v="1158"/>
    <x v="0"/>
    <m/>
    <m/>
    <n v="-7180"/>
    <n v="75312"/>
    <n v="48672"/>
    <m/>
  </r>
  <r>
    <x v="24"/>
    <x v="1143"/>
    <x v="4"/>
    <m/>
    <m/>
    <n v="-6500"/>
    <m/>
    <m/>
    <m/>
  </r>
  <r>
    <x v="24"/>
    <x v="1143"/>
    <x v="1"/>
    <m/>
    <m/>
    <n v="-150"/>
    <m/>
    <m/>
    <m/>
  </r>
  <r>
    <x v="24"/>
    <x v="1114"/>
    <x v="3"/>
    <m/>
    <m/>
    <m/>
    <n v="3394"/>
    <m/>
    <m/>
  </r>
  <r>
    <x v="24"/>
    <x v="1116"/>
    <x v="2"/>
    <m/>
    <m/>
    <m/>
    <n v="708"/>
    <m/>
    <m/>
  </r>
  <r>
    <x v="24"/>
    <x v="1159"/>
    <x v="0"/>
    <m/>
    <m/>
    <m/>
    <n v="36184"/>
    <n v="10000"/>
    <m/>
  </r>
  <r>
    <x v="24"/>
    <x v="1122"/>
    <x v="0"/>
    <m/>
    <m/>
    <m/>
    <n v="13500"/>
    <m/>
    <m/>
  </r>
  <r>
    <x v="24"/>
    <x v="1124"/>
    <x v="3"/>
    <m/>
    <m/>
    <m/>
    <n v="-7385"/>
    <m/>
    <m/>
  </r>
  <r>
    <x v="24"/>
    <x v="1160"/>
    <x v="0"/>
    <m/>
    <m/>
    <m/>
    <n v="30627"/>
    <m/>
    <m/>
  </r>
  <r>
    <x v="24"/>
    <x v="1161"/>
    <x v="1"/>
    <m/>
    <m/>
    <m/>
    <n v="1600"/>
    <m/>
    <m/>
  </r>
  <r>
    <x v="24"/>
    <x v="1161"/>
    <x v="0"/>
    <m/>
    <m/>
    <m/>
    <n v="36088"/>
    <m/>
    <m/>
  </r>
  <r>
    <x v="24"/>
    <x v="1162"/>
    <x v="0"/>
    <m/>
    <m/>
    <m/>
    <n v="61586"/>
    <n v="13201"/>
    <m/>
  </r>
  <r>
    <x v="24"/>
    <x v="1163"/>
    <x v="0"/>
    <m/>
    <m/>
    <m/>
    <n v="56000"/>
    <n v="10000"/>
    <m/>
  </r>
  <r>
    <x v="24"/>
    <x v="1126"/>
    <x v="1"/>
    <m/>
    <m/>
    <m/>
    <n v="59251"/>
    <n v="59020"/>
    <m/>
  </r>
  <r>
    <x v="24"/>
    <x v="1127"/>
    <x v="1"/>
    <m/>
    <m/>
    <m/>
    <n v="9158"/>
    <n v="12821"/>
    <m/>
  </r>
  <r>
    <x v="24"/>
    <x v="1115"/>
    <x v="2"/>
    <m/>
    <m/>
    <m/>
    <n v="10000"/>
    <m/>
    <m/>
  </r>
  <r>
    <x v="24"/>
    <x v="1164"/>
    <x v="0"/>
    <m/>
    <m/>
    <m/>
    <n v="13400"/>
    <n v="23332"/>
    <m/>
  </r>
  <r>
    <x v="24"/>
    <x v="1165"/>
    <x v="0"/>
    <m/>
    <m/>
    <m/>
    <n v="3000"/>
    <n v="86717"/>
    <m/>
  </r>
  <r>
    <x v="24"/>
    <x v="1166"/>
    <x v="0"/>
    <m/>
    <m/>
    <m/>
    <n v="5200"/>
    <m/>
    <m/>
  </r>
  <r>
    <x v="24"/>
    <x v="1150"/>
    <x v="1"/>
    <m/>
    <m/>
    <m/>
    <n v="37000"/>
    <m/>
    <m/>
  </r>
  <r>
    <x v="24"/>
    <x v="1128"/>
    <x v="1"/>
    <m/>
    <m/>
    <m/>
    <n v="1125"/>
    <m/>
    <m/>
  </r>
  <r>
    <x v="24"/>
    <x v="1129"/>
    <x v="0"/>
    <m/>
    <m/>
    <m/>
    <n v="113088"/>
    <n v="41981"/>
    <m/>
  </r>
  <r>
    <x v="24"/>
    <x v="1167"/>
    <x v="1"/>
    <m/>
    <m/>
    <m/>
    <n v="24452"/>
    <m/>
    <m/>
  </r>
  <r>
    <x v="24"/>
    <x v="1167"/>
    <x v="0"/>
    <m/>
    <m/>
    <m/>
    <n v="73287"/>
    <n v="30000"/>
    <m/>
  </r>
  <r>
    <x v="24"/>
    <x v="1168"/>
    <x v="0"/>
    <m/>
    <m/>
    <m/>
    <n v="2605"/>
    <m/>
    <m/>
  </r>
  <r>
    <x v="24"/>
    <x v="1169"/>
    <x v="0"/>
    <m/>
    <m/>
    <m/>
    <n v="83472"/>
    <n v="10000"/>
    <m/>
  </r>
  <r>
    <x v="24"/>
    <x v="1152"/>
    <x v="1"/>
    <m/>
    <m/>
    <m/>
    <n v="19200"/>
    <m/>
    <m/>
  </r>
  <r>
    <x v="24"/>
    <x v="1131"/>
    <x v="1"/>
    <m/>
    <m/>
    <m/>
    <n v="5500"/>
    <n v="21919"/>
    <m/>
  </r>
  <r>
    <x v="24"/>
    <x v="1133"/>
    <x v="1"/>
    <m/>
    <m/>
    <m/>
    <n v="32344"/>
    <n v="8000"/>
    <m/>
  </r>
  <r>
    <x v="24"/>
    <x v="1153"/>
    <x v="1"/>
    <m/>
    <m/>
    <m/>
    <n v="18797"/>
    <n v="23077"/>
    <m/>
  </r>
  <r>
    <x v="24"/>
    <x v="1170"/>
    <x v="0"/>
    <m/>
    <m/>
    <m/>
    <n v="92926"/>
    <n v="136552"/>
    <m/>
  </r>
  <r>
    <x v="24"/>
    <x v="1171"/>
    <x v="0"/>
    <m/>
    <m/>
    <m/>
    <n v="9900"/>
    <n v="7385"/>
    <m/>
  </r>
  <r>
    <x v="24"/>
    <x v="1141"/>
    <x v="1"/>
    <m/>
    <m/>
    <m/>
    <n v="0"/>
    <m/>
    <m/>
  </r>
  <r>
    <x v="24"/>
    <x v="1172"/>
    <x v="2"/>
    <m/>
    <m/>
    <m/>
    <n v="-5000"/>
    <m/>
    <m/>
  </r>
  <r>
    <x v="24"/>
    <x v="1172"/>
    <x v="0"/>
    <m/>
    <m/>
    <m/>
    <n v="31817"/>
    <m/>
    <m/>
  </r>
  <r>
    <x v="24"/>
    <x v="1173"/>
    <x v="0"/>
    <m/>
    <m/>
    <m/>
    <n v="4400"/>
    <m/>
    <m/>
  </r>
  <r>
    <x v="24"/>
    <x v="1174"/>
    <x v="2"/>
    <m/>
    <m/>
    <m/>
    <n v="7867"/>
    <m/>
    <m/>
  </r>
  <r>
    <x v="24"/>
    <x v="1174"/>
    <x v="0"/>
    <m/>
    <m/>
    <m/>
    <n v="11745"/>
    <n v="32000"/>
    <m/>
  </r>
  <r>
    <x v="24"/>
    <x v="1175"/>
    <x v="1"/>
    <m/>
    <m/>
    <m/>
    <n v="8791"/>
    <n v="55030"/>
    <m/>
  </r>
  <r>
    <x v="24"/>
    <x v="1175"/>
    <x v="0"/>
    <m/>
    <m/>
    <m/>
    <n v="25485"/>
    <n v="26000"/>
    <m/>
  </r>
  <r>
    <x v="24"/>
    <x v="1176"/>
    <x v="0"/>
    <m/>
    <m/>
    <m/>
    <n v="78665"/>
    <n v="80559"/>
    <m/>
  </r>
  <r>
    <x v="24"/>
    <x v="1158"/>
    <x v="1"/>
    <m/>
    <m/>
    <m/>
    <n v="6360"/>
    <m/>
    <m/>
  </r>
  <r>
    <x v="24"/>
    <x v="1145"/>
    <x v="1"/>
    <m/>
    <m/>
    <m/>
    <n v="6593"/>
    <m/>
    <m/>
  </r>
  <r>
    <x v="24"/>
    <x v="1147"/>
    <x v="2"/>
    <m/>
    <m/>
    <m/>
    <n v="18000"/>
    <n v="66374"/>
    <m/>
  </r>
  <r>
    <x v="24"/>
    <x v="1147"/>
    <x v="1"/>
    <m/>
    <m/>
    <m/>
    <n v="71665"/>
    <n v="51538"/>
    <m/>
  </r>
  <r>
    <x v="24"/>
    <x v="1177"/>
    <x v="0"/>
    <m/>
    <m/>
    <m/>
    <n v="43800"/>
    <n v="652302"/>
    <m/>
  </r>
  <r>
    <x v="24"/>
    <x v="1178"/>
    <x v="0"/>
    <m/>
    <m/>
    <m/>
    <n v="10002"/>
    <n v="163943"/>
    <m/>
  </r>
  <r>
    <x v="24"/>
    <x v="1118"/>
    <x v="1"/>
    <m/>
    <m/>
    <m/>
    <m/>
    <n v="20308"/>
    <m/>
  </r>
  <r>
    <x v="24"/>
    <x v="1162"/>
    <x v="1"/>
    <m/>
    <m/>
    <m/>
    <m/>
    <n v="40302"/>
    <m/>
  </r>
  <r>
    <x v="24"/>
    <x v="1163"/>
    <x v="1"/>
    <m/>
    <m/>
    <m/>
    <m/>
    <n v="12821"/>
    <m/>
  </r>
  <r>
    <x v="24"/>
    <x v="1165"/>
    <x v="3"/>
    <m/>
    <m/>
    <m/>
    <m/>
    <n v="20000"/>
    <m/>
  </r>
  <r>
    <x v="24"/>
    <x v="1130"/>
    <x v="1"/>
    <m/>
    <m/>
    <m/>
    <m/>
    <n v="12821"/>
    <m/>
  </r>
  <r>
    <x v="24"/>
    <x v="1154"/>
    <x v="1"/>
    <m/>
    <m/>
    <m/>
    <m/>
    <n v="9231"/>
    <m/>
  </r>
  <r>
    <x v="24"/>
    <x v="1137"/>
    <x v="1"/>
    <m/>
    <m/>
    <m/>
    <m/>
    <n v="21978"/>
    <m/>
  </r>
  <r>
    <x v="24"/>
    <x v="1142"/>
    <x v="1"/>
    <m/>
    <m/>
    <m/>
    <m/>
    <n v="12821"/>
    <m/>
  </r>
  <r>
    <x v="24"/>
    <x v="1146"/>
    <x v="1"/>
    <m/>
    <m/>
    <m/>
    <m/>
    <n v="131333"/>
    <m/>
  </r>
  <r>
    <x v="24"/>
    <x v="1177"/>
    <x v="1"/>
    <m/>
    <m/>
    <m/>
    <m/>
    <n v="31701"/>
    <m/>
  </r>
  <r>
    <x v="24"/>
    <x v="1178"/>
    <x v="1"/>
    <m/>
    <m/>
    <m/>
    <m/>
    <n v="90000"/>
    <m/>
  </r>
  <r>
    <x v="25"/>
    <x v="1179"/>
    <x v="0"/>
    <m/>
    <n v="-67200"/>
    <n v="-8000"/>
    <n v="1200"/>
    <m/>
    <m/>
  </r>
  <r>
    <x v="25"/>
    <x v="1180"/>
    <x v="0"/>
    <m/>
    <n v="-64500"/>
    <n v="-25906"/>
    <n v="13704"/>
    <m/>
    <m/>
  </r>
  <r>
    <x v="25"/>
    <x v="1181"/>
    <x v="0"/>
    <m/>
    <n v="-62571"/>
    <m/>
    <n v="10058"/>
    <m/>
    <m/>
  </r>
  <r>
    <x v="25"/>
    <x v="1182"/>
    <x v="0"/>
    <m/>
    <n v="0"/>
    <n v="-13799"/>
    <n v="19676"/>
    <n v="31385"/>
    <m/>
  </r>
  <r>
    <x v="25"/>
    <x v="1183"/>
    <x v="0"/>
    <m/>
    <n v="-10750"/>
    <m/>
    <n v="24134"/>
    <m/>
    <m/>
  </r>
  <r>
    <x v="25"/>
    <x v="1184"/>
    <x v="4"/>
    <m/>
    <n v="0"/>
    <m/>
    <m/>
    <n v="49434"/>
    <m/>
  </r>
  <r>
    <x v="25"/>
    <x v="1185"/>
    <x v="2"/>
    <m/>
    <n v="-20000"/>
    <m/>
    <m/>
    <m/>
    <m/>
  </r>
  <r>
    <x v="25"/>
    <x v="1185"/>
    <x v="1"/>
    <m/>
    <n v="-6500"/>
    <m/>
    <m/>
    <n v="10588"/>
    <m/>
  </r>
  <r>
    <x v="25"/>
    <x v="1185"/>
    <x v="0"/>
    <m/>
    <n v="-31000"/>
    <m/>
    <n v="136411"/>
    <n v="33000"/>
    <m/>
  </r>
  <r>
    <x v="25"/>
    <x v="1186"/>
    <x v="4"/>
    <m/>
    <n v="-3500"/>
    <m/>
    <m/>
    <m/>
    <m/>
  </r>
  <r>
    <x v="25"/>
    <x v="1186"/>
    <x v="0"/>
    <m/>
    <n v="-30000"/>
    <m/>
    <n v="30414"/>
    <n v="42880"/>
    <m/>
  </r>
  <r>
    <x v="25"/>
    <x v="1187"/>
    <x v="0"/>
    <m/>
    <n v="-42702"/>
    <m/>
    <m/>
    <m/>
    <m/>
  </r>
  <r>
    <x v="25"/>
    <x v="1188"/>
    <x v="0"/>
    <m/>
    <n v="-25500"/>
    <m/>
    <n v="14280"/>
    <n v="10000"/>
    <m/>
  </r>
  <r>
    <x v="25"/>
    <x v="1189"/>
    <x v="0"/>
    <m/>
    <n v="-14000"/>
    <n v="-17921"/>
    <n v="8180"/>
    <n v="29714"/>
    <m/>
  </r>
  <r>
    <x v="25"/>
    <x v="1190"/>
    <x v="0"/>
    <m/>
    <n v="-38885"/>
    <m/>
    <n v="71326"/>
    <m/>
    <m/>
  </r>
  <r>
    <x v="25"/>
    <x v="1191"/>
    <x v="0"/>
    <m/>
    <n v="-15000"/>
    <n v="-34050"/>
    <n v="41893"/>
    <n v="39750"/>
    <m/>
  </r>
  <r>
    <x v="25"/>
    <x v="1192"/>
    <x v="0"/>
    <m/>
    <n v="-8000"/>
    <m/>
    <n v="32650"/>
    <n v="42231"/>
    <m/>
  </r>
  <r>
    <x v="25"/>
    <x v="1193"/>
    <x v="0"/>
    <m/>
    <n v="-8000"/>
    <n v="-13000"/>
    <n v="96416"/>
    <n v="107709"/>
    <m/>
  </r>
  <r>
    <x v="25"/>
    <x v="1194"/>
    <x v="1"/>
    <m/>
    <n v="-6648"/>
    <m/>
    <m/>
    <m/>
    <m/>
  </r>
  <r>
    <x v="25"/>
    <x v="1195"/>
    <x v="0"/>
    <m/>
    <n v="-55000"/>
    <n v="-15000"/>
    <n v="153534"/>
    <n v="283565"/>
    <m/>
  </r>
  <r>
    <x v="25"/>
    <x v="1196"/>
    <x v="1"/>
    <m/>
    <n v="-8000"/>
    <m/>
    <n v="31000"/>
    <m/>
    <m/>
  </r>
  <r>
    <x v="25"/>
    <x v="1196"/>
    <x v="0"/>
    <m/>
    <n v="-12000"/>
    <n v="-39250"/>
    <n v="52300"/>
    <n v="10000"/>
    <m/>
  </r>
  <r>
    <x v="25"/>
    <x v="1197"/>
    <x v="0"/>
    <m/>
    <n v="-32000"/>
    <n v="-5891"/>
    <n v="28462"/>
    <m/>
    <m/>
  </r>
  <r>
    <x v="25"/>
    <x v="1198"/>
    <x v="0"/>
    <m/>
    <n v="-30498"/>
    <m/>
    <n v="15658"/>
    <n v="91479"/>
    <m/>
  </r>
  <r>
    <x v="25"/>
    <x v="1199"/>
    <x v="0"/>
    <m/>
    <n v="-67000"/>
    <n v="-49400"/>
    <n v="67400"/>
    <m/>
    <m/>
  </r>
  <r>
    <x v="25"/>
    <x v="1200"/>
    <x v="2"/>
    <m/>
    <n v="-20000"/>
    <m/>
    <m/>
    <m/>
    <m/>
  </r>
  <r>
    <x v="25"/>
    <x v="1200"/>
    <x v="0"/>
    <m/>
    <n v="-31500"/>
    <m/>
    <n v="30191"/>
    <n v="13000"/>
    <m/>
  </r>
  <r>
    <x v="25"/>
    <x v="1201"/>
    <x v="0"/>
    <m/>
    <n v="-23000"/>
    <m/>
    <n v="242260"/>
    <n v="110000"/>
    <m/>
  </r>
  <r>
    <x v="25"/>
    <x v="1202"/>
    <x v="0"/>
    <m/>
    <n v="-8000"/>
    <m/>
    <n v="49725"/>
    <n v="156889"/>
    <m/>
  </r>
  <r>
    <x v="25"/>
    <x v="1203"/>
    <x v="0"/>
    <m/>
    <n v="-18500"/>
    <n v="-9999"/>
    <n v="14160"/>
    <n v="10000"/>
    <m/>
  </r>
  <r>
    <x v="25"/>
    <x v="1204"/>
    <x v="1"/>
    <m/>
    <n v="-10220"/>
    <n v="-2734"/>
    <m/>
    <n v="41176"/>
    <m/>
  </r>
  <r>
    <x v="25"/>
    <x v="1204"/>
    <x v="0"/>
    <m/>
    <n v="-54000"/>
    <m/>
    <n v="344789"/>
    <n v="135192"/>
    <m/>
  </r>
  <r>
    <x v="25"/>
    <x v="1205"/>
    <x v="1"/>
    <m/>
    <n v="-4800"/>
    <n v="-931"/>
    <n v="10250"/>
    <n v="30750"/>
    <m/>
  </r>
  <r>
    <x v="25"/>
    <x v="1206"/>
    <x v="1"/>
    <m/>
    <n v="-42857"/>
    <m/>
    <n v="21200"/>
    <n v="115399"/>
    <m/>
  </r>
  <r>
    <x v="25"/>
    <x v="1206"/>
    <x v="0"/>
    <m/>
    <n v="-148352"/>
    <n v="-15410"/>
    <n v="625208"/>
    <n v="1123999"/>
    <m/>
  </r>
  <r>
    <x v="25"/>
    <x v="1179"/>
    <x v="1"/>
    <m/>
    <m/>
    <n v="-10482"/>
    <m/>
    <m/>
    <m/>
  </r>
  <r>
    <x v="25"/>
    <x v="1207"/>
    <x v="0"/>
    <m/>
    <m/>
    <n v="-7000"/>
    <n v="16196"/>
    <n v="42000"/>
    <m/>
  </r>
  <r>
    <x v="25"/>
    <x v="1208"/>
    <x v="0"/>
    <m/>
    <m/>
    <n v="-38950"/>
    <n v="4000"/>
    <n v="51500"/>
    <m/>
  </r>
  <r>
    <x v="25"/>
    <x v="1209"/>
    <x v="0"/>
    <m/>
    <m/>
    <n v="-6634"/>
    <n v="25050"/>
    <n v="160000"/>
    <m/>
  </r>
  <r>
    <x v="25"/>
    <x v="1210"/>
    <x v="0"/>
    <m/>
    <m/>
    <n v="-10500"/>
    <n v="3920"/>
    <n v="27615"/>
    <m/>
  </r>
  <r>
    <x v="25"/>
    <x v="1211"/>
    <x v="1"/>
    <m/>
    <m/>
    <n v="-19000"/>
    <m/>
    <m/>
    <m/>
  </r>
  <r>
    <x v="25"/>
    <x v="1212"/>
    <x v="0"/>
    <m/>
    <m/>
    <n v="-76816"/>
    <n v="23450"/>
    <m/>
    <m/>
  </r>
  <r>
    <x v="25"/>
    <x v="1213"/>
    <x v="0"/>
    <m/>
    <m/>
    <n v="-10000"/>
    <n v="19900"/>
    <n v="23000"/>
    <m/>
  </r>
  <r>
    <x v="25"/>
    <x v="1214"/>
    <x v="0"/>
    <m/>
    <m/>
    <n v="-500"/>
    <n v="8000"/>
    <n v="10000"/>
    <m/>
  </r>
  <r>
    <x v="25"/>
    <x v="1215"/>
    <x v="2"/>
    <m/>
    <m/>
    <n v="-2200"/>
    <m/>
    <m/>
    <m/>
  </r>
  <r>
    <x v="25"/>
    <x v="1215"/>
    <x v="0"/>
    <m/>
    <m/>
    <n v="-156880"/>
    <n v="42853"/>
    <n v="88303"/>
    <m/>
  </r>
  <r>
    <x v="25"/>
    <x v="1216"/>
    <x v="0"/>
    <m/>
    <m/>
    <n v="-9000"/>
    <n v="11595"/>
    <m/>
    <m/>
  </r>
  <r>
    <x v="25"/>
    <x v="1217"/>
    <x v="1"/>
    <m/>
    <m/>
    <n v="-15247"/>
    <m/>
    <m/>
    <m/>
  </r>
  <r>
    <x v="25"/>
    <x v="1217"/>
    <x v="0"/>
    <m/>
    <m/>
    <n v="-30000"/>
    <n v="19404"/>
    <m/>
    <m/>
  </r>
  <r>
    <x v="25"/>
    <x v="1218"/>
    <x v="0"/>
    <m/>
    <m/>
    <n v="-26813"/>
    <n v="104152"/>
    <n v="16615"/>
    <m/>
  </r>
  <r>
    <x v="25"/>
    <x v="1219"/>
    <x v="0"/>
    <m/>
    <m/>
    <n v="-6050"/>
    <n v="120823"/>
    <n v="96615"/>
    <m/>
  </r>
  <r>
    <x v="25"/>
    <x v="1220"/>
    <x v="0"/>
    <m/>
    <m/>
    <n v="-2000"/>
    <n v="6241"/>
    <n v="42750"/>
    <m/>
  </r>
  <r>
    <x v="25"/>
    <x v="1205"/>
    <x v="0"/>
    <m/>
    <m/>
    <n v="-35000"/>
    <n v="82319"/>
    <n v="216703"/>
    <m/>
  </r>
  <r>
    <x v="25"/>
    <x v="1221"/>
    <x v="0"/>
    <m/>
    <m/>
    <m/>
    <n v="83300"/>
    <m/>
    <m/>
  </r>
  <r>
    <x v="25"/>
    <x v="1222"/>
    <x v="0"/>
    <m/>
    <m/>
    <m/>
    <n v="23200"/>
    <n v="59000"/>
    <m/>
  </r>
  <r>
    <x v="25"/>
    <x v="1223"/>
    <x v="0"/>
    <m/>
    <m/>
    <m/>
    <n v="2800"/>
    <m/>
    <m/>
  </r>
  <r>
    <x v="25"/>
    <x v="1224"/>
    <x v="0"/>
    <m/>
    <m/>
    <m/>
    <n v="11401"/>
    <n v="10000"/>
    <m/>
  </r>
  <r>
    <x v="25"/>
    <x v="1225"/>
    <x v="0"/>
    <m/>
    <m/>
    <m/>
    <n v="29072"/>
    <n v="20000"/>
    <m/>
  </r>
  <r>
    <x v="25"/>
    <x v="1226"/>
    <x v="0"/>
    <m/>
    <m/>
    <m/>
    <n v="205550"/>
    <n v="46000"/>
    <m/>
  </r>
  <r>
    <x v="25"/>
    <x v="1227"/>
    <x v="0"/>
    <m/>
    <m/>
    <m/>
    <n v="2400"/>
    <n v="36911"/>
    <m/>
  </r>
  <r>
    <x v="25"/>
    <x v="1184"/>
    <x v="1"/>
    <m/>
    <m/>
    <m/>
    <n v="33909"/>
    <m/>
    <m/>
  </r>
  <r>
    <x v="25"/>
    <x v="1184"/>
    <x v="0"/>
    <m/>
    <m/>
    <m/>
    <n v="10000"/>
    <n v="44427"/>
    <m/>
  </r>
  <r>
    <x v="25"/>
    <x v="1186"/>
    <x v="2"/>
    <m/>
    <m/>
    <m/>
    <n v="3500"/>
    <m/>
    <m/>
  </r>
  <r>
    <x v="25"/>
    <x v="1186"/>
    <x v="1"/>
    <m/>
    <m/>
    <m/>
    <n v="3356"/>
    <m/>
    <m/>
  </r>
  <r>
    <x v="25"/>
    <x v="1188"/>
    <x v="1"/>
    <m/>
    <m/>
    <m/>
    <n v="-3077"/>
    <m/>
    <m/>
  </r>
  <r>
    <x v="25"/>
    <x v="1211"/>
    <x v="0"/>
    <m/>
    <m/>
    <m/>
    <n v="933"/>
    <n v="26000"/>
    <m/>
  </r>
  <r>
    <x v="25"/>
    <x v="1228"/>
    <x v="0"/>
    <m/>
    <m/>
    <m/>
    <n v="110025"/>
    <n v="10000"/>
    <m/>
  </r>
  <r>
    <x v="25"/>
    <x v="1229"/>
    <x v="0"/>
    <m/>
    <m/>
    <m/>
    <n v="30151"/>
    <n v="45502"/>
    <m/>
  </r>
  <r>
    <x v="25"/>
    <x v="1230"/>
    <x v="1"/>
    <m/>
    <m/>
    <m/>
    <n v="58500"/>
    <m/>
    <m/>
  </r>
  <r>
    <x v="25"/>
    <x v="1230"/>
    <x v="0"/>
    <m/>
    <m/>
    <m/>
    <n v="22941"/>
    <m/>
    <m/>
  </r>
  <r>
    <x v="25"/>
    <x v="1212"/>
    <x v="1"/>
    <m/>
    <m/>
    <m/>
    <n v="30812"/>
    <m/>
    <m/>
  </r>
  <r>
    <x v="25"/>
    <x v="1231"/>
    <x v="2"/>
    <m/>
    <m/>
    <m/>
    <n v="20000"/>
    <m/>
    <m/>
  </r>
  <r>
    <x v="25"/>
    <x v="1231"/>
    <x v="0"/>
    <m/>
    <m/>
    <m/>
    <n v="24463"/>
    <n v="21000"/>
    <m/>
  </r>
  <r>
    <x v="25"/>
    <x v="1213"/>
    <x v="4"/>
    <m/>
    <m/>
    <m/>
    <n v="858"/>
    <m/>
    <m/>
  </r>
  <r>
    <x v="25"/>
    <x v="1232"/>
    <x v="0"/>
    <m/>
    <m/>
    <m/>
    <n v="39357"/>
    <m/>
    <m/>
  </r>
  <r>
    <x v="25"/>
    <x v="1233"/>
    <x v="0"/>
    <m/>
    <m/>
    <m/>
    <n v="0"/>
    <m/>
    <m/>
  </r>
  <r>
    <x v="25"/>
    <x v="1234"/>
    <x v="0"/>
    <m/>
    <m/>
    <m/>
    <n v="24603"/>
    <n v="10000"/>
    <m/>
  </r>
  <r>
    <x v="25"/>
    <x v="1194"/>
    <x v="0"/>
    <m/>
    <m/>
    <m/>
    <n v="187610"/>
    <m/>
    <m/>
  </r>
  <r>
    <x v="25"/>
    <x v="1235"/>
    <x v="0"/>
    <m/>
    <m/>
    <m/>
    <n v="48574"/>
    <n v="66685"/>
    <m/>
  </r>
  <r>
    <x v="25"/>
    <x v="1195"/>
    <x v="1"/>
    <m/>
    <m/>
    <m/>
    <n v="20624"/>
    <n v="71958"/>
    <m/>
  </r>
  <r>
    <x v="25"/>
    <x v="1236"/>
    <x v="3"/>
    <m/>
    <m/>
    <m/>
    <n v="4065"/>
    <m/>
    <m/>
  </r>
  <r>
    <x v="25"/>
    <x v="1236"/>
    <x v="0"/>
    <m/>
    <m/>
    <m/>
    <n v="44828"/>
    <n v="121878"/>
    <m/>
  </r>
  <r>
    <x v="25"/>
    <x v="1198"/>
    <x v="1"/>
    <m/>
    <m/>
    <m/>
    <n v="1800"/>
    <m/>
    <m/>
  </r>
  <r>
    <x v="25"/>
    <x v="1216"/>
    <x v="1"/>
    <m/>
    <m/>
    <m/>
    <n v="14494"/>
    <m/>
    <m/>
  </r>
  <r>
    <x v="25"/>
    <x v="1218"/>
    <x v="1"/>
    <m/>
    <m/>
    <m/>
    <n v="10472"/>
    <m/>
    <m/>
  </r>
  <r>
    <x v="25"/>
    <x v="1199"/>
    <x v="1"/>
    <m/>
    <m/>
    <m/>
    <n v="2860"/>
    <m/>
    <m/>
  </r>
  <r>
    <x v="25"/>
    <x v="1237"/>
    <x v="0"/>
    <m/>
    <m/>
    <m/>
    <n v="60006"/>
    <n v="37727"/>
    <m/>
  </r>
  <r>
    <x v="25"/>
    <x v="1200"/>
    <x v="3"/>
    <m/>
    <m/>
    <m/>
    <n v="8000"/>
    <m/>
    <m/>
  </r>
  <r>
    <x v="25"/>
    <x v="1238"/>
    <x v="0"/>
    <m/>
    <m/>
    <m/>
    <n v="52521"/>
    <n v="26000"/>
    <m/>
  </r>
  <r>
    <x v="25"/>
    <x v="1239"/>
    <x v="1"/>
    <m/>
    <m/>
    <m/>
    <n v="9122"/>
    <n v="27647"/>
    <m/>
  </r>
  <r>
    <x v="25"/>
    <x v="1239"/>
    <x v="0"/>
    <m/>
    <m/>
    <m/>
    <n v="28188"/>
    <n v="225122"/>
    <m/>
  </r>
  <r>
    <x v="25"/>
    <x v="1240"/>
    <x v="0"/>
    <m/>
    <m/>
    <m/>
    <n v="20501"/>
    <n v="24000"/>
    <m/>
  </r>
  <r>
    <x v="25"/>
    <x v="1220"/>
    <x v="1"/>
    <m/>
    <m/>
    <m/>
    <n v="3000"/>
    <n v="17000"/>
    <m/>
  </r>
  <r>
    <x v="25"/>
    <x v="1202"/>
    <x v="1"/>
    <m/>
    <m/>
    <m/>
    <n v="1520"/>
    <m/>
    <m/>
  </r>
  <r>
    <x v="25"/>
    <x v="1203"/>
    <x v="1"/>
    <m/>
    <m/>
    <m/>
    <n v="1025"/>
    <n v="41220"/>
    <m/>
  </r>
  <r>
    <x v="25"/>
    <x v="1241"/>
    <x v="1"/>
    <m/>
    <m/>
    <m/>
    <n v="10427"/>
    <m/>
    <m/>
  </r>
  <r>
    <x v="25"/>
    <x v="1241"/>
    <x v="0"/>
    <m/>
    <m/>
    <m/>
    <n v="34498"/>
    <n v="247181"/>
    <m/>
  </r>
  <r>
    <x v="25"/>
    <x v="1206"/>
    <x v="2"/>
    <m/>
    <m/>
    <m/>
    <n v="1500"/>
    <n v="82003"/>
    <m/>
  </r>
  <r>
    <x v="25"/>
    <x v="1209"/>
    <x v="3"/>
    <m/>
    <m/>
    <m/>
    <m/>
    <n v="10000"/>
    <m/>
  </r>
  <r>
    <x v="25"/>
    <x v="1224"/>
    <x v="1"/>
    <m/>
    <m/>
    <m/>
    <m/>
    <n v="12987"/>
    <m/>
  </r>
  <r>
    <x v="25"/>
    <x v="1242"/>
    <x v="0"/>
    <m/>
    <m/>
    <m/>
    <m/>
    <n v="63325"/>
    <m/>
  </r>
  <r>
    <x v="25"/>
    <x v="1227"/>
    <x v="1"/>
    <m/>
    <m/>
    <m/>
    <m/>
    <n v="22941"/>
    <m/>
  </r>
  <r>
    <x v="25"/>
    <x v="1189"/>
    <x v="1"/>
    <m/>
    <m/>
    <m/>
    <m/>
    <n v="8571"/>
    <m/>
  </r>
  <r>
    <x v="25"/>
    <x v="1190"/>
    <x v="1"/>
    <m/>
    <m/>
    <m/>
    <m/>
    <n v="53412"/>
    <m/>
  </r>
  <r>
    <x v="25"/>
    <x v="1215"/>
    <x v="4"/>
    <m/>
    <m/>
    <m/>
    <m/>
    <n v="13000"/>
    <m/>
  </r>
  <r>
    <x v="25"/>
    <x v="1215"/>
    <x v="3"/>
    <m/>
    <m/>
    <m/>
    <m/>
    <n v="34000"/>
    <m/>
  </r>
  <r>
    <x v="25"/>
    <x v="1233"/>
    <x v="1"/>
    <m/>
    <m/>
    <m/>
    <m/>
    <n v="11688"/>
    <m/>
  </r>
  <r>
    <x v="25"/>
    <x v="1243"/>
    <x v="0"/>
    <m/>
    <m/>
    <m/>
    <m/>
    <n v="58550"/>
    <m/>
  </r>
  <r>
    <x v="25"/>
    <x v="1193"/>
    <x v="2"/>
    <m/>
    <m/>
    <m/>
    <m/>
    <n v="10000"/>
    <m/>
  </r>
  <r>
    <x v="25"/>
    <x v="1193"/>
    <x v="1"/>
    <m/>
    <m/>
    <m/>
    <m/>
    <n v="19156"/>
    <m/>
  </r>
  <r>
    <x v="25"/>
    <x v="1195"/>
    <x v="4"/>
    <m/>
    <m/>
    <m/>
    <m/>
    <n v="25882"/>
    <m/>
  </r>
  <r>
    <x v="25"/>
    <x v="1197"/>
    <x v="2"/>
    <m/>
    <m/>
    <m/>
    <m/>
    <n v="23000"/>
    <m/>
  </r>
  <r>
    <x v="25"/>
    <x v="1199"/>
    <x v="2"/>
    <m/>
    <m/>
    <m/>
    <m/>
    <n v="18846"/>
    <m/>
  </r>
  <r>
    <x v="25"/>
    <x v="1237"/>
    <x v="1"/>
    <m/>
    <m/>
    <m/>
    <m/>
    <n v="16000"/>
    <m/>
  </r>
  <r>
    <x v="25"/>
    <x v="1238"/>
    <x v="1"/>
    <m/>
    <m/>
    <m/>
    <m/>
    <n v="26000"/>
    <m/>
  </r>
  <r>
    <x v="25"/>
    <x v="1203"/>
    <x v="3"/>
    <m/>
    <m/>
    <m/>
    <m/>
    <n v="22711"/>
    <m/>
  </r>
  <r>
    <x v="26"/>
    <x v="1244"/>
    <x v="0"/>
    <m/>
    <n v="-112000"/>
    <n v="-1000"/>
    <n v="1100"/>
    <m/>
    <m/>
  </r>
  <r>
    <x v="26"/>
    <x v="1245"/>
    <x v="0"/>
    <m/>
    <n v="-151500"/>
    <m/>
    <n v="37132"/>
    <n v="41615"/>
    <m/>
  </r>
  <r>
    <x v="26"/>
    <x v="1246"/>
    <x v="0"/>
    <m/>
    <n v="-7500"/>
    <m/>
    <n v="68469"/>
    <n v="0"/>
    <m/>
  </r>
  <r>
    <x v="26"/>
    <x v="1247"/>
    <x v="0"/>
    <m/>
    <n v="-20500"/>
    <m/>
    <n v="115217"/>
    <m/>
    <m/>
  </r>
  <r>
    <x v="26"/>
    <x v="1248"/>
    <x v="0"/>
    <m/>
    <n v="-7385"/>
    <m/>
    <n v="102181"/>
    <n v="41196"/>
    <m/>
  </r>
  <r>
    <x v="26"/>
    <x v="1249"/>
    <x v="1"/>
    <m/>
    <n v="0"/>
    <m/>
    <m/>
    <m/>
    <m/>
  </r>
  <r>
    <x v="26"/>
    <x v="1250"/>
    <x v="0"/>
    <m/>
    <n v="-22000"/>
    <m/>
    <m/>
    <m/>
    <m/>
  </r>
  <r>
    <x v="26"/>
    <x v="1251"/>
    <x v="0"/>
    <m/>
    <n v="-29250"/>
    <m/>
    <n v="25735"/>
    <n v="30000"/>
    <m/>
  </r>
  <r>
    <x v="26"/>
    <x v="1252"/>
    <x v="0"/>
    <m/>
    <n v="-12000"/>
    <m/>
    <n v="179424"/>
    <n v="56462"/>
    <m/>
  </r>
  <r>
    <x v="26"/>
    <x v="1253"/>
    <x v="0"/>
    <m/>
    <n v="0"/>
    <n v="-10000"/>
    <n v="81451"/>
    <m/>
    <m/>
  </r>
  <r>
    <x v="26"/>
    <x v="1254"/>
    <x v="1"/>
    <m/>
    <n v="-13000"/>
    <m/>
    <m/>
    <m/>
    <m/>
  </r>
  <r>
    <x v="26"/>
    <x v="1254"/>
    <x v="0"/>
    <m/>
    <n v="-14250"/>
    <m/>
    <n v="101268"/>
    <n v="70546"/>
    <m/>
  </r>
  <r>
    <x v="26"/>
    <x v="1255"/>
    <x v="0"/>
    <m/>
    <n v="-26500"/>
    <m/>
    <n v="220120"/>
    <n v="21717"/>
    <m/>
  </r>
  <r>
    <x v="26"/>
    <x v="1256"/>
    <x v="0"/>
    <m/>
    <n v="-8500"/>
    <m/>
    <m/>
    <m/>
    <m/>
  </r>
  <r>
    <x v="26"/>
    <x v="1257"/>
    <x v="1"/>
    <m/>
    <n v="-17532"/>
    <m/>
    <m/>
    <n v="14286"/>
    <m/>
  </r>
  <r>
    <x v="26"/>
    <x v="1258"/>
    <x v="0"/>
    <m/>
    <n v="-26500"/>
    <n v="-38000"/>
    <n v="187443"/>
    <n v="10000"/>
    <m/>
  </r>
  <r>
    <x v="26"/>
    <x v="1259"/>
    <x v="0"/>
    <m/>
    <n v="-8000"/>
    <n v="-23716"/>
    <n v="31643"/>
    <n v="58948"/>
    <m/>
  </r>
  <r>
    <x v="26"/>
    <x v="1260"/>
    <x v="0"/>
    <m/>
    <n v="-7385"/>
    <m/>
    <n v="31155"/>
    <n v="197046"/>
    <m/>
  </r>
  <r>
    <x v="26"/>
    <x v="1261"/>
    <x v="2"/>
    <m/>
    <n v="-10800"/>
    <m/>
    <n v="9721"/>
    <m/>
    <m/>
  </r>
  <r>
    <x v="26"/>
    <x v="1261"/>
    <x v="1"/>
    <m/>
    <n v="-20170"/>
    <m/>
    <m/>
    <m/>
    <m/>
  </r>
  <r>
    <x v="26"/>
    <x v="1261"/>
    <x v="0"/>
    <m/>
    <n v="-19000"/>
    <m/>
    <n v="13715"/>
    <n v="36380"/>
    <m/>
  </r>
  <r>
    <x v="26"/>
    <x v="1262"/>
    <x v="1"/>
    <m/>
    <n v="-8312"/>
    <m/>
    <m/>
    <n v="11765"/>
    <m/>
  </r>
  <r>
    <x v="26"/>
    <x v="1263"/>
    <x v="0"/>
    <m/>
    <n v="-8000"/>
    <m/>
    <n v="53918"/>
    <n v="21288"/>
    <m/>
  </r>
  <r>
    <x v="26"/>
    <x v="1264"/>
    <x v="0"/>
    <m/>
    <n v="-11300"/>
    <m/>
    <n v="198631"/>
    <n v="95857"/>
    <m/>
  </r>
  <r>
    <x v="26"/>
    <x v="1265"/>
    <x v="1"/>
    <m/>
    <n v="-5400"/>
    <m/>
    <n v="5040"/>
    <n v="44002"/>
    <m/>
  </r>
  <r>
    <x v="26"/>
    <x v="1266"/>
    <x v="0"/>
    <m/>
    <n v="-144100"/>
    <n v="-4999"/>
    <n v="347755"/>
    <n v="454460"/>
    <m/>
  </r>
  <r>
    <x v="26"/>
    <x v="1267"/>
    <x v="0"/>
    <m/>
    <n v="-65060"/>
    <m/>
    <n v="11810"/>
    <n v="32335"/>
    <m/>
  </r>
  <r>
    <x v="26"/>
    <x v="1268"/>
    <x v="0"/>
    <m/>
    <n v="-8000"/>
    <m/>
    <n v="17969"/>
    <n v="18462"/>
    <m/>
  </r>
  <r>
    <x v="26"/>
    <x v="1269"/>
    <x v="0"/>
    <m/>
    <n v="-8000"/>
    <n v="-43000"/>
    <n v="13410"/>
    <n v="10000"/>
    <m/>
  </r>
  <r>
    <x v="26"/>
    <x v="1270"/>
    <x v="0"/>
    <m/>
    <n v="-34250"/>
    <m/>
    <n v="28621"/>
    <n v="36266"/>
    <m/>
  </r>
  <r>
    <x v="26"/>
    <x v="1271"/>
    <x v="1"/>
    <m/>
    <n v="-26283"/>
    <m/>
    <n v="414"/>
    <m/>
    <m/>
  </r>
  <r>
    <x v="26"/>
    <x v="1271"/>
    <x v="0"/>
    <m/>
    <n v="-47500"/>
    <m/>
    <n v="41673"/>
    <n v="98722"/>
    <m/>
  </r>
  <r>
    <x v="26"/>
    <x v="1272"/>
    <x v="1"/>
    <m/>
    <n v="1280"/>
    <m/>
    <m/>
    <n v="11000"/>
    <m/>
  </r>
  <r>
    <x v="26"/>
    <x v="1273"/>
    <x v="0"/>
    <m/>
    <n v="-58675"/>
    <n v="-7248"/>
    <n v="1123674"/>
    <n v="998425"/>
    <m/>
  </r>
  <r>
    <x v="26"/>
    <x v="1274"/>
    <x v="0"/>
    <m/>
    <m/>
    <n v="-20500"/>
    <n v="8600"/>
    <n v="37583"/>
    <m/>
  </r>
  <r>
    <x v="26"/>
    <x v="1275"/>
    <x v="0"/>
    <m/>
    <m/>
    <n v="-9600"/>
    <n v="27680"/>
    <n v="45901"/>
    <m/>
  </r>
  <r>
    <x v="26"/>
    <x v="1276"/>
    <x v="0"/>
    <m/>
    <m/>
    <n v="-6890"/>
    <n v="76788"/>
    <n v="27405"/>
    <m/>
  </r>
  <r>
    <x v="26"/>
    <x v="1277"/>
    <x v="0"/>
    <m/>
    <m/>
    <n v="-100000"/>
    <n v="1950"/>
    <m/>
    <m/>
  </r>
  <r>
    <x v="26"/>
    <x v="1278"/>
    <x v="0"/>
    <m/>
    <m/>
    <n v="-3000"/>
    <n v="37401"/>
    <m/>
    <m/>
  </r>
  <r>
    <x v="26"/>
    <x v="1279"/>
    <x v="1"/>
    <m/>
    <m/>
    <n v="-7791"/>
    <m/>
    <m/>
    <m/>
  </r>
  <r>
    <x v="26"/>
    <x v="1280"/>
    <x v="2"/>
    <m/>
    <m/>
    <n v="-6500"/>
    <m/>
    <n v="19000"/>
    <m/>
  </r>
  <r>
    <x v="26"/>
    <x v="1281"/>
    <x v="0"/>
    <m/>
    <m/>
    <n v="-9794"/>
    <n v="473371"/>
    <n v="77062"/>
    <m/>
  </r>
  <r>
    <x v="26"/>
    <x v="1265"/>
    <x v="0"/>
    <m/>
    <m/>
    <n v="-13500"/>
    <n v="156693"/>
    <n v="86167"/>
    <m/>
  </r>
  <r>
    <x v="26"/>
    <x v="1282"/>
    <x v="0"/>
    <m/>
    <m/>
    <n v="-11477"/>
    <n v="25474"/>
    <n v="10000"/>
    <m/>
  </r>
  <r>
    <x v="26"/>
    <x v="1283"/>
    <x v="0"/>
    <m/>
    <m/>
    <n v="-6800"/>
    <n v="38510"/>
    <n v="113751"/>
    <m/>
  </r>
  <r>
    <x v="26"/>
    <x v="1284"/>
    <x v="0"/>
    <m/>
    <m/>
    <n v="-9501"/>
    <n v="50131"/>
    <n v="49904"/>
    <m/>
  </r>
  <r>
    <x v="26"/>
    <x v="1285"/>
    <x v="0"/>
    <m/>
    <m/>
    <n v="0"/>
    <n v="144656"/>
    <n v="61663"/>
    <m/>
  </r>
  <r>
    <x v="26"/>
    <x v="1286"/>
    <x v="0"/>
    <m/>
    <m/>
    <n v="-44260"/>
    <n v="23567"/>
    <n v="185575"/>
    <m/>
  </r>
  <r>
    <x v="26"/>
    <x v="1287"/>
    <x v="2"/>
    <m/>
    <m/>
    <n v="-4900"/>
    <m/>
    <m/>
    <m/>
  </r>
  <r>
    <x v="26"/>
    <x v="1287"/>
    <x v="0"/>
    <m/>
    <m/>
    <n v="-8000"/>
    <n v="94700"/>
    <n v="23000"/>
    <m/>
  </r>
  <r>
    <x v="26"/>
    <x v="1288"/>
    <x v="0"/>
    <m/>
    <m/>
    <n v="-20400"/>
    <n v="74964"/>
    <n v="12000"/>
    <m/>
  </r>
  <r>
    <x v="26"/>
    <x v="1289"/>
    <x v="0"/>
    <m/>
    <m/>
    <n v="-2214"/>
    <n v="314705"/>
    <n v="133084"/>
    <m/>
  </r>
  <r>
    <x v="26"/>
    <x v="1290"/>
    <x v="0"/>
    <m/>
    <m/>
    <n v="-6210"/>
    <n v="210852"/>
    <n v="41319"/>
    <m/>
  </r>
  <r>
    <x v="26"/>
    <x v="1291"/>
    <x v="0"/>
    <m/>
    <m/>
    <n v="-21200"/>
    <n v="117200"/>
    <n v="118056"/>
    <m/>
  </r>
  <r>
    <x v="26"/>
    <x v="1292"/>
    <x v="0"/>
    <m/>
    <m/>
    <n v="-21666"/>
    <n v="561875"/>
    <n v="377003"/>
    <m/>
  </r>
  <r>
    <x v="26"/>
    <x v="1273"/>
    <x v="1"/>
    <m/>
    <m/>
    <n v="-7999"/>
    <n v="67047"/>
    <n v="45437"/>
    <m/>
  </r>
  <r>
    <x v="26"/>
    <x v="1293"/>
    <x v="0"/>
    <m/>
    <m/>
    <m/>
    <n v="38400"/>
    <m/>
    <m/>
  </r>
  <r>
    <x v="26"/>
    <x v="1245"/>
    <x v="2"/>
    <m/>
    <m/>
    <m/>
    <n v="1000"/>
    <m/>
    <m/>
  </r>
  <r>
    <x v="26"/>
    <x v="1246"/>
    <x v="1"/>
    <m/>
    <m/>
    <m/>
    <n v="8577"/>
    <m/>
    <m/>
  </r>
  <r>
    <x v="26"/>
    <x v="1294"/>
    <x v="0"/>
    <m/>
    <m/>
    <m/>
    <n v="176578"/>
    <m/>
    <m/>
  </r>
  <r>
    <x v="26"/>
    <x v="1247"/>
    <x v="4"/>
    <m/>
    <m/>
    <m/>
    <n v="375"/>
    <m/>
    <m/>
  </r>
  <r>
    <x v="26"/>
    <x v="1247"/>
    <x v="1"/>
    <m/>
    <m/>
    <m/>
    <n v="10452"/>
    <m/>
    <m/>
  </r>
  <r>
    <x v="26"/>
    <x v="1295"/>
    <x v="1"/>
    <m/>
    <m/>
    <m/>
    <n v="30160"/>
    <m/>
    <m/>
  </r>
  <r>
    <x v="26"/>
    <x v="1295"/>
    <x v="0"/>
    <m/>
    <m/>
    <m/>
    <n v="3544"/>
    <m/>
    <m/>
  </r>
  <r>
    <x v="26"/>
    <x v="1296"/>
    <x v="1"/>
    <m/>
    <m/>
    <m/>
    <n v="9941"/>
    <m/>
    <m/>
  </r>
  <r>
    <x v="26"/>
    <x v="1296"/>
    <x v="0"/>
    <m/>
    <m/>
    <m/>
    <n v="2500"/>
    <m/>
    <m/>
  </r>
  <r>
    <x v="26"/>
    <x v="1276"/>
    <x v="2"/>
    <m/>
    <m/>
    <m/>
    <n v="1284"/>
    <m/>
    <m/>
  </r>
  <r>
    <x v="26"/>
    <x v="1276"/>
    <x v="1"/>
    <m/>
    <m/>
    <m/>
    <n v="14545"/>
    <n v="32987"/>
    <m/>
  </r>
  <r>
    <x v="26"/>
    <x v="1252"/>
    <x v="2"/>
    <m/>
    <m/>
    <m/>
    <n v="3110"/>
    <n v="10000"/>
    <m/>
  </r>
  <r>
    <x v="26"/>
    <x v="1297"/>
    <x v="0"/>
    <m/>
    <m/>
    <m/>
    <n v="7798"/>
    <m/>
    <m/>
  </r>
  <r>
    <x v="26"/>
    <x v="1253"/>
    <x v="1"/>
    <m/>
    <m/>
    <m/>
    <n v="450"/>
    <m/>
    <m/>
  </r>
  <r>
    <x v="26"/>
    <x v="1298"/>
    <x v="0"/>
    <m/>
    <m/>
    <m/>
    <n v="89381"/>
    <n v="432260"/>
    <m/>
  </r>
  <r>
    <x v="26"/>
    <x v="1299"/>
    <x v="0"/>
    <m/>
    <m/>
    <m/>
    <n v="36000"/>
    <m/>
    <m/>
  </r>
  <r>
    <x v="26"/>
    <x v="1257"/>
    <x v="0"/>
    <m/>
    <m/>
    <m/>
    <n v="8106"/>
    <n v="136382"/>
    <m/>
  </r>
  <r>
    <x v="26"/>
    <x v="1277"/>
    <x v="1"/>
    <m/>
    <m/>
    <m/>
    <n v="27273"/>
    <m/>
    <m/>
  </r>
  <r>
    <x v="26"/>
    <x v="1259"/>
    <x v="1"/>
    <m/>
    <m/>
    <m/>
    <n v="48840"/>
    <n v="120000"/>
    <m/>
  </r>
  <r>
    <x v="26"/>
    <x v="1278"/>
    <x v="1"/>
    <m/>
    <m/>
    <m/>
    <n v="20694"/>
    <m/>
    <m/>
  </r>
  <r>
    <x v="26"/>
    <x v="1260"/>
    <x v="1"/>
    <m/>
    <m/>
    <m/>
    <n v="22060"/>
    <m/>
    <m/>
  </r>
  <r>
    <x v="26"/>
    <x v="1300"/>
    <x v="1"/>
    <m/>
    <m/>
    <m/>
    <n v="12000"/>
    <m/>
    <m/>
  </r>
  <r>
    <x v="26"/>
    <x v="1300"/>
    <x v="0"/>
    <m/>
    <m/>
    <m/>
    <n v="27015"/>
    <n v="30000"/>
    <m/>
  </r>
  <r>
    <x v="26"/>
    <x v="1301"/>
    <x v="2"/>
    <m/>
    <m/>
    <m/>
    <n v="1000"/>
    <m/>
    <m/>
  </r>
  <r>
    <x v="26"/>
    <x v="1301"/>
    <x v="0"/>
    <m/>
    <m/>
    <m/>
    <n v="42092"/>
    <n v="35000"/>
    <m/>
  </r>
  <r>
    <x v="26"/>
    <x v="1302"/>
    <x v="0"/>
    <m/>
    <m/>
    <m/>
    <n v="7904"/>
    <m/>
    <m/>
  </r>
  <r>
    <x v="26"/>
    <x v="1279"/>
    <x v="0"/>
    <m/>
    <m/>
    <m/>
    <n v="71348"/>
    <n v="10000"/>
    <m/>
  </r>
  <r>
    <x v="26"/>
    <x v="1262"/>
    <x v="0"/>
    <m/>
    <m/>
    <m/>
    <n v="106233"/>
    <n v="53000"/>
    <m/>
  </r>
  <r>
    <x v="26"/>
    <x v="1303"/>
    <x v="1"/>
    <m/>
    <m/>
    <m/>
    <n v="-1239"/>
    <m/>
    <m/>
  </r>
  <r>
    <x v="26"/>
    <x v="1303"/>
    <x v="0"/>
    <m/>
    <m/>
    <m/>
    <n v="9425"/>
    <n v="10000"/>
    <m/>
  </r>
  <r>
    <x v="26"/>
    <x v="1304"/>
    <x v="1"/>
    <m/>
    <m/>
    <m/>
    <n v="4528"/>
    <m/>
    <m/>
  </r>
  <r>
    <x v="26"/>
    <x v="1304"/>
    <x v="0"/>
    <m/>
    <m/>
    <m/>
    <n v="95976"/>
    <n v="42726"/>
    <m/>
  </r>
  <r>
    <x v="26"/>
    <x v="1305"/>
    <x v="1"/>
    <m/>
    <m/>
    <m/>
    <n v="16377"/>
    <m/>
    <m/>
  </r>
  <r>
    <x v="26"/>
    <x v="1305"/>
    <x v="0"/>
    <m/>
    <m/>
    <m/>
    <n v="38773"/>
    <n v="79693"/>
    <m/>
  </r>
  <r>
    <x v="26"/>
    <x v="1263"/>
    <x v="1"/>
    <m/>
    <m/>
    <m/>
    <n v="1176"/>
    <n v="20000"/>
    <m/>
  </r>
  <r>
    <x v="26"/>
    <x v="1306"/>
    <x v="2"/>
    <m/>
    <m/>
    <m/>
    <n v="3377"/>
    <m/>
    <m/>
  </r>
  <r>
    <x v="26"/>
    <x v="1306"/>
    <x v="0"/>
    <m/>
    <m/>
    <m/>
    <n v="111194"/>
    <m/>
    <m/>
  </r>
  <r>
    <x v="26"/>
    <x v="1280"/>
    <x v="0"/>
    <m/>
    <m/>
    <m/>
    <n v="10120"/>
    <n v="76462"/>
    <m/>
  </r>
  <r>
    <x v="26"/>
    <x v="1281"/>
    <x v="1"/>
    <m/>
    <m/>
    <m/>
    <n v="36162"/>
    <m/>
    <m/>
  </r>
  <r>
    <x v="26"/>
    <x v="1264"/>
    <x v="1"/>
    <m/>
    <m/>
    <m/>
    <n v="57143"/>
    <m/>
    <m/>
  </r>
  <r>
    <x v="26"/>
    <x v="1266"/>
    <x v="1"/>
    <m/>
    <m/>
    <m/>
    <n v="2348"/>
    <n v="254173"/>
    <m/>
  </r>
  <r>
    <x v="26"/>
    <x v="1282"/>
    <x v="1"/>
    <m/>
    <m/>
    <m/>
    <n v="19396"/>
    <n v="10841"/>
    <m/>
  </r>
  <r>
    <x v="26"/>
    <x v="1286"/>
    <x v="1"/>
    <m/>
    <m/>
    <m/>
    <n v="1922"/>
    <n v="45176"/>
    <m/>
  </r>
  <r>
    <x v="26"/>
    <x v="1307"/>
    <x v="1"/>
    <m/>
    <m/>
    <m/>
    <n v="-558"/>
    <m/>
    <m/>
  </r>
  <r>
    <x v="26"/>
    <x v="1307"/>
    <x v="0"/>
    <m/>
    <m/>
    <m/>
    <n v="45254"/>
    <m/>
    <m/>
  </r>
  <r>
    <x v="26"/>
    <x v="1287"/>
    <x v="1"/>
    <m/>
    <m/>
    <m/>
    <n v="1000"/>
    <m/>
    <m/>
  </r>
  <r>
    <x v="26"/>
    <x v="1269"/>
    <x v="3"/>
    <m/>
    <m/>
    <m/>
    <n v="1500"/>
    <m/>
    <m/>
  </r>
  <r>
    <x v="26"/>
    <x v="1308"/>
    <x v="2"/>
    <m/>
    <m/>
    <m/>
    <n v="12501"/>
    <m/>
    <m/>
  </r>
  <r>
    <x v="26"/>
    <x v="1308"/>
    <x v="1"/>
    <m/>
    <m/>
    <m/>
    <n v="5535"/>
    <m/>
    <m/>
  </r>
  <r>
    <x v="26"/>
    <x v="1308"/>
    <x v="0"/>
    <m/>
    <m/>
    <m/>
    <n v="66140"/>
    <n v="76692"/>
    <m/>
  </r>
  <r>
    <x v="26"/>
    <x v="1289"/>
    <x v="2"/>
    <m/>
    <m/>
    <m/>
    <n v="760"/>
    <m/>
    <m/>
  </r>
  <r>
    <x v="26"/>
    <x v="1290"/>
    <x v="1"/>
    <m/>
    <m/>
    <m/>
    <n v="5273"/>
    <n v="10588"/>
    <m/>
  </r>
  <r>
    <x v="26"/>
    <x v="1309"/>
    <x v="0"/>
    <m/>
    <m/>
    <m/>
    <n v="53275"/>
    <n v="451446"/>
    <m/>
  </r>
  <r>
    <x v="26"/>
    <x v="1272"/>
    <x v="0"/>
    <m/>
    <m/>
    <m/>
    <n v="225099"/>
    <n v="104800"/>
    <m/>
  </r>
  <r>
    <x v="26"/>
    <x v="1292"/>
    <x v="1"/>
    <m/>
    <m/>
    <m/>
    <n v="31000"/>
    <n v="17500"/>
    <m/>
  </r>
  <r>
    <x v="26"/>
    <x v="1273"/>
    <x v="2"/>
    <m/>
    <m/>
    <m/>
    <n v="1000"/>
    <m/>
    <m/>
  </r>
  <r>
    <x v="26"/>
    <x v="1310"/>
    <x v="1"/>
    <m/>
    <m/>
    <m/>
    <n v="5099"/>
    <m/>
    <m/>
  </r>
  <r>
    <x v="26"/>
    <x v="1310"/>
    <x v="0"/>
    <m/>
    <m/>
    <m/>
    <n v="161610"/>
    <n v="272243"/>
    <m/>
  </r>
  <r>
    <x v="26"/>
    <x v="1251"/>
    <x v="1"/>
    <m/>
    <m/>
    <m/>
    <m/>
    <n v="80000"/>
    <m/>
  </r>
  <r>
    <x v="26"/>
    <x v="1298"/>
    <x v="1"/>
    <m/>
    <m/>
    <m/>
    <m/>
    <n v="40523"/>
    <m/>
  </r>
  <r>
    <x v="26"/>
    <x v="1266"/>
    <x v="2"/>
    <m/>
    <m/>
    <m/>
    <m/>
    <n v="62500"/>
    <m/>
  </r>
  <r>
    <x v="26"/>
    <x v="1284"/>
    <x v="1"/>
    <m/>
    <m/>
    <m/>
    <m/>
    <n v="184083"/>
    <m/>
  </r>
  <r>
    <x v="26"/>
    <x v="1288"/>
    <x v="1"/>
    <m/>
    <m/>
    <m/>
    <m/>
    <n v="9000"/>
    <m/>
  </r>
  <r>
    <x v="26"/>
    <x v="1270"/>
    <x v="2"/>
    <m/>
    <m/>
    <m/>
    <m/>
    <n v="27675"/>
    <m/>
  </r>
  <r>
    <x v="26"/>
    <x v="1309"/>
    <x v="2"/>
    <m/>
    <m/>
    <m/>
    <m/>
    <n v="12000"/>
    <m/>
  </r>
  <r>
    <x v="26"/>
    <x v="1309"/>
    <x v="1"/>
    <m/>
    <m/>
    <m/>
    <m/>
    <n v="113248"/>
    <m/>
  </r>
  <r>
    <x v="26"/>
    <x v="1271"/>
    <x v="3"/>
    <m/>
    <m/>
    <m/>
    <m/>
    <n v="10000"/>
    <m/>
  </r>
  <r>
    <x v="26"/>
    <x v="1272"/>
    <x v="2"/>
    <m/>
    <m/>
    <m/>
    <m/>
    <n v="23750"/>
    <m/>
  </r>
  <r>
    <x v="26"/>
    <x v="1292"/>
    <x v="2"/>
    <m/>
    <m/>
    <m/>
    <m/>
    <n v="13000"/>
    <m/>
  </r>
  <r>
    <x v="27"/>
    <x v="1311"/>
    <x v="1"/>
    <m/>
    <n v="-21794"/>
    <m/>
    <n v="6451"/>
    <m/>
    <m/>
  </r>
  <r>
    <x v="27"/>
    <x v="1311"/>
    <x v="0"/>
    <m/>
    <n v="-18000"/>
    <m/>
    <n v="2200"/>
    <m/>
    <m/>
  </r>
  <r>
    <x v="27"/>
    <x v="1312"/>
    <x v="0"/>
    <m/>
    <n v="-40224"/>
    <m/>
    <n v="21207"/>
    <m/>
    <m/>
  </r>
  <r>
    <x v="27"/>
    <x v="1313"/>
    <x v="0"/>
    <m/>
    <n v="-120525"/>
    <m/>
    <n v="12877"/>
    <n v="55500"/>
    <m/>
  </r>
  <r>
    <x v="27"/>
    <x v="1314"/>
    <x v="0"/>
    <m/>
    <n v="-52006"/>
    <m/>
    <m/>
    <m/>
    <m/>
  </r>
  <r>
    <x v="27"/>
    <x v="1315"/>
    <x v="0"/>
    <m/>
    <n v="-17600"/>
    <m/>
    <n v="80403"/>
    <n v="51174"/>
    <m/>
  </r>
  <r>
    <x v="27"/>
    <x v="1316"/>
    <x v="0"/>
    <m/>
    <n v="-50490"/>
    <n v="-2332"/>
    <n v="84220"/>
    <n v="119000"/>
    <m/>
  </r>
  <r>
    <x v="27"/>
    <x v="1317"/>
    <x v="1"/>
    <m/>
    <n v="-17500"/>
    <m/>
    <m/>
    <m/>
    <m/>
  </r>
  <r>
    <x v="27"/>
    <x v="1317"/>
    <x v="0"/>
    <m/>
    <n v="-79501"/>
    <m/>
    <n v="25046"/>
    <n v="39231"/>
    <m/>
  </r>
  <r>
    <x v="27"/>
    <x v="1318"/>
    <x v="0"/>
    <m/>
    <n v="-12000"/>
    <n v="-1500"/>
    <n v="44841"/>
    <n v="124911"/>
    <m/>
  </r>
  <r>
    <x v="27"/>
    <x v="1319"/>
    <x v="1"/>
    <m/>
    <n v="0"/>
    <m/>
    <n v="-11688"/>
    <m/>
    <m/>
  </r>
  <r>
    <x v="27"/>
    <x v="1320"/>
    <x v="0"/>
    <m/>
    <n v="-9200"/>
    <n v="-28500"/>
    <n v="23958"/>
    <n v="20000"/>
    <m/>
  </r>
  <r>
    <x v="27"/>
    <x v="1321"/>
    <x v="0"/>
    <m/>
    <n v="-39200"/>
    <m/>
    <n v="25453"/>
    <n v="200000"/>
    <m/>
  </r>
  <r>
    <x v="27"/>
    <x v="1322"/>
    <x v="0"/>
    <m/>
    <n v="0"/>
    <n v="-8615"/>
    <n v="45704"/>
    <n v="83405"/>
    <m/>
  </r>
  <r>
    <x v="27"/>
    <x v="1323"/>
    <x v="0"/>
    <m/>
    <m/>
    <n v="-62000"/>
    <m/>
    <m/>
    <m/>
  </r>
  <r>
    <x v="27"/>
    <x v="1324"/>
    <x v="0"/>
    <m/>
    <m/>
    <n v="-444"/>
    <n v="22476"/>
    <n v="27900"/>
    <m/>
  </r>
  <r>
    <x v="27"/>
    <x v="1325"/>
    <x v="0"/>
    <m/>
    <m/>
    <n v="-1500"/>
    <n v="59058"/>
    <n v="8000"/>
    <m/>
  </r>
  <r>
    <x v="27"/>
    <x v="1326"/>
    <x v="1"/>
    <m/>
    <m/>
    <n v="-92381"/>
    <m/>
    <m/>
    <m/>
  </r>
  <r>
    <x v="27"/>
    <x v="1327"/>
    <x v="0"/>
    <m/>
    <m/>
    <n v="-1790"/>
    <n v="37302"/>
    <m/>
    <m/>
  </r>
  <r>
    <x v="27"/>
    <x v="1328"/>
    <x v="0"/>
    <m/>
    <m/>
    <n v="-10375"/>
    <n v="54856"/>
    <n v="46000"/>
    <m/>
  </r>
  <r>
    <x v="27"/>
    <x v="1329"/>
    <x v="0"/>
    <m/>
    <m/>
    <n v="-9450"/>
    <n v="66765"/>
    <n v="69981"/>
    <m/>
  </r>
  <r>
    <x v="27"/>
    <x v="1330"/>
    <x v="0"/>
    <m/>
    <m/>
    <n v="-2000"/>
    <n v="15602"/>
    <m/>
    <m/>
  </r>
  <r>
    <x v="27"/>
    <x v="1331"/>
    <x v="0"/>
    <m/>
    <m/>
    <n v="-30241"/>
    <n v="65551"/>
    <n v="9231"/>
    <m/>
  </r>
  <r>
    <x v="27"/>
    <x v="1332"/>
    <x v="0"/>
    <m/>
    <m/>
    <n v="-1000"/>
    <n v="1000"/>
    <n v="10000"/>
    <m/>
  </r>
  <r>
    <x v="27"/>
    <x v="1313"/>
    <x v="1"/>
    <m/>
    <m/>
    <m/>
    <n v="13500"/>
    <m/>
    <m/>
  </r>
  <r>
    <x v="27"/>
    <x v="1324"/>
    <x v="1"/>
    <m/>
    <m/>
    <m/>
    <n v="2214"/>
    <m/>
    <m/>
  </r>
  <r>
    <x v="27"/>
    <x v="1333"/>
    <x v="0"/>
    <m/>
    <m/>
    <m/>
    <n v="9778"/>
    <m/>
    <m/>
  </r>
  <r>
    <x v="27"/>
    <x v="1334"/>
    <x v="1"/>
    <m/>
    <m/>
    <m/>
    <n v="0"/>
    <m/>
    <m/>
  </r>
  <r>
    <x v="27"/>
    <x v="1334"/>
    <x v="0"/>
    <m/>
    <m/>
    <m/>
    <n v="25002"/>
    <m/>
    <m/>
  </r>
  <r>
    <x v="27"/>
    <x v="1326"/>
    <x v="0"/>
    <m/>
    <m/>
    <m/>
    <n v="10811"/>
    <n v="49816"/>
    <m/>
  </r>
  <r>
    <x v="27"/>
    <x v="1335"/>
    <x v="0"/>
    <m/>
    <m/>
    <m/>
    <n v="45901"/>
    <m/>
    <m/>
  </r>
  <r>
    <x v="27"/>
    <x v="1336"/>
    <x v="0"/>
    <m/>
    <m/>
    <m/>
    <n v="119201"/>
    <m/>
    <m/>
  </r>
  <r>
    <x v="27"/>
    <x v="1337"/>
    <x v="0"/>
    <m/>
    <m/>
    <m/>
    <n v="4500"/>
    <m/>
    <m/>
  </r>
  <r>
    <x v="27"/>
    <x v="1338"/>
    <x v="1"/>
    <m/>
    <m/>
    <m/>
    <n v="5778"/>
    <n v="11355"/>
    <m/>
  </r>
  <r>
    <x v="27"/>
    <x v="1338"/>
    <x v="0"/>
    <m/>
    <m/>
    <m/>
    <n v="89540"/>
    <m/>
    <m/>
  </r>
  <r>
    <x v="27"/>
    <x v="1339"/>
    <x v="2"/>
    <m/>
    <m/>
    <m/>
    <n v="1064"/>
    <m/>
    <m/>
  </r>
  <r>
    <x v="27"/>
    <x v="1339"/>
    <x v="1"/>
    <m/>
    <m/>
    <m/>
    <n v="67926"/>
    <m/>
    <m/>
  </r>
  <r>
    <x v="27"/>
    <x v="1339"/>
    <x v="0"/>
    <m/>
    <m/>
    <m/>
    <n v="57000"/>
    <n v="124828"/>
    <m/>
  </r>
  <r>
    <x v="27"/>
    <x v="1340"/>
    <x v="3"/>
    <m/>
    <m/>
    <m/>
    <n v="25"/>
    <m/>
    <m/>
  </r>
  <r>
    <x v="27"/>
    <x v="1340"/>
    <x v="0"/>
    <m/>
    <m/>
    <m/>
    <n v="35020"/>
    <m/>
    <m/>
  </r>
  <r>
    <x v="27"/>
    <x v="1316"/>
    <x v="2"/>
    <m/>
    <m/>
    <m/>
    <n v="1500"/>
    <m/>
    <m/>
  </r>
  <r>
    <x v="27"/>
    <x v="1341"/>
    <x v="0"/>
    <m/>
    <m/>
    <m/>
    <n v="15481"/>
    <m/>
    <m/>
  </r>
  <r>
    <x v="27"/>
    <x v="1330"/>
    <x v="3"/>
    <m/>
    <m/>
    <m/>
    <n v="1318"/>
    <m/>
    <m/>
  </r>
  <r>
    <x v="27"/>
    <x v="1318"/>
    <x v="1"/>
    <m/>
    <m/>
    <m/>
    <n v="5147"/>
    <n v="17448"/>
    <m/>
  </r>
  <r>
    <x v="27"/>
    <x v="1342"/>
    <x v="1"/>
    <m/>
    <m/>
    <m/>
    <n v="108"/>
    <m/>
    <m/>
  </r>
  <r>
    <x v="27"/>
    <x v="1342"/>
    <x v="0"/>
    <m/>
    <m/>
    <m/>
    <n v="34000"/>
    <m/>
    <m/>
  </r>
  <r>
    <x v="27"/>
    <x v="1319"/>
    <x v="0"/>
    <m/>
    <m/>
    <m/>
    <n v="23585"/>
    <n v="14000"/>
    <m/>
  </r>
  <r>
    <x v="27"/>
    <x v="1332"/>
    <x v="1"/>
    <m/>
    <m/>
    <m/>
    <n v="840"/>
    <n v="20000"/>
    <m/>
  </r>
  <r>
    <x v="27"/>
    <x v="1343"/>
    <x v="0"/>
    <m/>
    <m/>
    <m/>
    <n v="46956"/>
    <n v="130000"/>
    <m/>
  </r>
  <r>
    <x v="27"/>
    <x v="1344"/>
    <x v="0"/>
    <m/>
    <m/>
    <m/>
    <n v="62250"/>
    <n v="10000"/>
    <m/>
  </r>
  <r>
    <x v="27"/>
    <x v="1345"/>
    <x v="0"/>
    <m/>
    <m/>
    <m/>
    <n v="33715"/>
    <m/>
    <m/>
  </r>
  <r>
    <x v="27"/>
    <x v="1346"/>
    <x v="1"/>
    <m/>
    <m/>
    <m/>
    <n v="4710"/>
    <m/>
    <m/>
  </r>
  <r>
    <x v="27"/>
    <x v="1346"/>
    <x v="0"/>
    <m/>
    <m/>
    <m/>
    <n v="43053"/>
    <n v="10000"/>
    <m/>
  </r>
  <r>
    <x v="27"/>
    <x v="1333"/>
    <x v="1"/>
    <m/>
    <m/>
    <m/>
    <m/>
    <n v="12987"/>
    <m/>
  </r>
  <r>
    <x v="27"/>
    <x v="1316"/>
    <x v="1"/>
    <m/>
    <m/>
    <m/>
    <m/>
    <n v="9941"/>
    <m/>
  </r>
  <r>
    <x v="27"/>
    <x v="1330"/>
    <x v="1"/>
    <m/>
    <m/>
    <m/>
    <m/>
    <n v="17400"/>
    <m/>
  </r>
  <r>
    <x v="27"/>
    <x v="1320"/>
    <x v="2"/>
    <m/>
    <m/>
    <m/>
    <m/>
    <n v="10000"/>
    <m/>
  </r>
  <r>
    <x v="27"/>
    <x v="1320"/>
    <x v="3"/>
    <m/>
    <m/>
    <m/>
    <m/>
    <n v="10000"/>
    <m/>
  </r>
  <r>
    <x v="27"/>
    <x v="1331"/>
    <x v="1"/>
    <m/>
    <m/>
    <m/>
    <m/>
    <n v="12987"/>
    <m/>
  </r>
  <r>
    <x v="27"/>
    <x v="1343"/>
    <x v="2"/>
    <m/>
    <m/>
    <m/>
    <m/>
    <n v="1000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50137A4-744C-4241-ADF6-570BC036D1F4}" name="PivotTable6"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47:F53" firstHeaderRow="0" firstDataRow="1" firstDataCol="1" rowPageCount="1" colPageCount="1"/>
  <pivotFields count="11">
    <pivotField axis="axisPage" showAll="0" defaultSubtotal="0">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 numFmtId="14" showAll="0" defaultSubtotal="0">
      <items count="14">
        <item x="0"/>
        <item x="1"/>
        <item x="2"/>
        <item x="3"/>
        <item x="4"/>
        <item x="5"/>
        <item x="6"/>
        <item x="7"/>
        <item x="8"/>
        <item x="9"/>
        <item x="10"/>
        <item x="11"/>
        <item x="12"/>
        <item x="13"/>
      </items>
    </pivotField>
    <pivotField axis="axisRow" showAll="0" defaultSubtotal="0">
      <items count="5">
        <item x="2"/>
        <item x="1"/>
        <item x="3"/>
        <item x="0"/>
        <item x="4"/>
      </items>
    </pivotField>
    <pivotField showAll="0" defaultSubtotal="0"/>
    <pivotField dataField="1" showAll="0" defaultSubtotal="0"/>
    <pivotField dataField="1" showAll="0" defaultSubtotal="0"/>
    <pivotField dataField="1" showAll="0" defaultSubtotal="0"/>
    <pivotField dataField="1" showAll="0" defaultSubtotal="0"/>
    <pivotField dataField="1" showAll="0" defaultSubtotal="0"/>
    <pivotField showAll="0" defaultSubtotal="0">
      <items count="6">
        <item sd="0" x="0"/>
        <item x="1"/>
        <item x="2"/>
        <item x="3"/>
        <item sd="0" x="4"/>
        <item sd="0" x="5"/>
      </items>
    </pivotField>
    <pivotField showAll="0" defaultSubtotal="0">
      <items count="10">
        <item sd="0" x="0"/>
        <item x="1"/>
        <item x="2"/>
        <item x="3"/>
        <item x="4"/>
        <item x="5"/>
        <item x="6"/>
        <item x="7"/>
        <item x="8"/>
        <item sd="0" x="9"/>
      </items>
    </pivotField>
  </pivotFields>
  <rowFields count="1">
    <field x="2"/>
  </rowFields>
  <rowItems count="6">
    <i>
      <x/>
    </i>
    <i>
      <x v="1"/>
    </i>
    <i>
      <x v="2"/>
    </i>
    <i>
      <x v="3"/>
    </i>
    <i>
      <x v="4"/>
    </i>
    <i t="grand">
      <x/>
    </i>
  </rowItems>
  <colFields count="1">
    <field x="-2"/>
  </colFields>
  <colItems count="5">
    <i>
      <x/>
    </i>
    <i i="1">
      <x v="1"/>
    </i>
    <i i="2">
      <x v="2"/>
    </i>
    <i i="3">
      <x v="3"/>
    </i>
    <i i="4">
      <x v="4"/>
    </i>
  </colItems>
  <pageFields count="1">
    <pageField fld="0" hier="-1"/>
  </pageFields>
  <dataFields count="5">
    <dataField name="Sum of Initial Sale" fld="7" baseField="0" baseItem="0" numFmtId="165"/>
    <dataField name="Sum of Expansion" fld="6" baseField="0" baseItem="0"/>
    <dataField name="Sum of Downgrade" fld="5" baseField="0" baseItem="0"/>
    <dataField name="Sum of Churn" fld="4" baseField="0" baseItem="0"/>
    <dataField name="Sum of Partner" fld="8" baseField="0" baseItem="0"/>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4A12ECB-48D0-4089-964F-AC91F08460F5}" name="PivotTable4"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4:CG12" firstHeaderRow="1" firstDataRow="3" firstDataCol="1"/>
  <pivotFields count="11">
    <pivotField showAll="0" defaultSubtotal="0"/>
    <pivotField axis="axisCol" numFmtId="14" showAll="0" defaultSubtotal="0">
      <items count="14">
        <item x="0"/>
        <item x="1"/>
        <item x="2"/>
        <item x="3"/>
        <item x="4"/>
        <item x="5"/>
        <item x="6"/>
        <item x="7"/>
        <item x="8"/>
        <item x="9"/>
        <item x="10"/>
        <item x="11"/>
        <item x="12"/>
        <item x="13"/>
      </items>
    </pivotField>
    <pivotField axis="axisRow" showAll="0" defaultSubtotal="0">
      <items count="5">
        <item x="2"/>
        <item x="1"/>
        <item x="3"/>
        <item x="0"/>
        <item x="4"/>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items count="6">
        <item sd="0" x="0"/>
        <item x="1"/>
        <item x="2"/>
        <item x="3"/>
        <item sd="0" x="4"/>
        <item sd="0" x="5"/>
      </items>
    </pivotField>
    <pivotField axis="axisCol" showAll="0" defaultSubtotal="0">
      <items count="10">
        <item sd="0" x="0"/>
        <item x="1"/>
        <item x="2"/>
        <item x="3"/>
        <item x="4"/>
        <item x="5"/>
        <item x="6"/>
        <item x="7"/>
        <item x="8"/>
        <item sd="0" x="9"/>
      </items>
    </pivotField>
  </pivotFields>
  <rowFields count="1">
    <field x="2"/>
  </rowFields>
  <rowItems count="6">
    <i>
      <x/>
    </i>
    <i>
      <x v="1"/>
    </i>
    <i>
      <x v="2"/>
    </i>
    <i>
      <x v="3"/>
    </i>
    <i>
      <x v="4"/>
    </i>
    <i t="grand">
      <x/>
    </i>
  </rowItems>
  <colFields count="2">
    <field x="10"/>
    <field x="1"/>
  </colFields>
  <colItems count="84">
    <i>
      <x v="1"/>
      <x v="11"/>
    </i>
    <i r="1">
      <x v="12"/>
    </i>
    <i>
      <x v="2"/>
      <x v="1"/>
    </i>
    <i r="1">
      <x v="2"/>
    </i>
    <i r="1">
      <x v="3"/>
    </i>
    <i r="1">
      <x v="4"/>
    </i>
    <i r="1">
      <x v="5"/>
    </i>
    <i r="1">
      <x v="6"/>
    </i>
    <i r="1">
      <x v="7"/>
    </i>
    <i r="1">
      <x v="8"/>
    </i>
    <i r="1">
      <x v="9"/>
    </i>
    <i r="1">
      <x v="10"/>
    </i>
    <i r="1">
      <x v="11"/>
    </i>
    <i r="1">
      <x v="12"/>
    </i>
    <i>
      <x v="3"/>
      <x v="1"/>
    </i>
    <i r="1">
      <x v="2"/>
    </i>
    <i r="1">
      <x v="3"/>
    </i>
    <i r="1">
      <x v="4"/>
    </i>
    <i r="1">
      <x v="5"/>
    </i>
    <i r="1">
      <x v="6"/>
    </i>
    <i r="1">
      <x v="7"/>
    </i>
    <i r="1">
      <x v="8"/>
    </i>
    <i r="1">
      <x v="9"/>
    </i>
    <i r="1">
      <x v="10"/>
    </i>
    <i r="1">
      <x v="11"/>
    </i>
    <i r="1">
      <x v="12"/>
    </i>
    <i>
      <x v="4"/>
      <x v="1"/>
    </i>
    <i r="1">
      <x v="2"/>
    </i>
    <i r="1">
      <x v="3"/>
    </i>
    <i r="1">
      <x v="4"/>
    </i>
    <i r="1">
      <x v="5"/>
    </i>
    <i r="1">
      <x v="6"/>
    </i>
    <i r="1">
      <x v="7"/>
    </i>
    <i r="1">
      <x v="8"/>
    </i>
    <i r="1">
      <x v="9"/>
    </i>
    <i r="1">
      <x v="10"/>
    </i>
    <i r="1">
      <x v="11"/>
    </i>
    <i r="1">
      <x v="12"/>
    </i>
    <i>
      <x v="5"/>
      <x v="1"/>
    </i>
    <i r="1">
      <x v="2"/>
    </i>
    <i r="1">
      <x v="3"/>
    </i>
    <i r="1">
      <x v="4"/>
    </i>
    <i r="1">
      <x v="5"/>
    </i>
    <i r="1">
      <x v="6"/>
    </i>
    <i r="1">
      <x v="7"/>
    </i>
    <i r="1">
      <x v="8"/>
    </i>
    <i r="1">
      <x v="9"/>
    </i>
    <i r="1">
      <x v="10"/>
    </i>
    <i r="1">
      <x v="11"/>
    </i>
    <i r="1">
      <x v="12"/>
    </i>
    <i>
      <x v="6"/>
      <x v="1"/>
    </i>
    <i r="1">
      <x v="2"/>
    </i>
    <i r="1">
      <x v="3"/>
    </i>
    <i r="1">
      <x v="4"/>
    </i>
    <i r="1">
      <x v="5"/>
    </i>
    <i r="1">
      <x v="6"/>
    </i>
    <i r="1">
      <x v="7"/>
    </i>
    <i r="1">
      <x v="8"/>
    </i>
    <i r="1">
      <x v="9"/>
    </i>
    <i r="1">
      <x v="10"/>
    </i>
    <i r="1">
      <x v="11"/>
    </i>
    <i r="1">
      <x v="12"/>
    </i>
    <i>
      <x v="7"/>
      <x v="1"/>
    </i>
    <i r="1">
      <x v="2"/>
    </i>
    <i r="1">
      <x v="3"/>
    </i>
    <i r="1">
      <x v="4"/>
    </i>
    <i r="1">
      <x v="5"/>
    </i>
    <i r="1">
      <x v="6"/>
    </i>
    <i r="1">
      <x v="7"/>
    </i>
    <i r="1">
      <x v="8"/>
    </i>
    <i r="1">
      <x v="9"/>
    </i>
    <i r="1">
      <x v="10"/>
    </i>
    <i r="1">
      <x v="11"/>
    </i>
    <i r="1">
      <x v="12"/>
    </i>
    <i>
      <x v="8"/>
      <x v="1"/>
    </i>
    <i r="1">
      <x v="2"/>
    </i>
    <i r="1">
      <x v="3"/>
    </i>
    <i r="1">
      <x v="4"/>
    </i>
    <i r="1">
      <x v="5"/>
    </i>
    <i r="1">
      <x v="6"/>
    </i>
    <i r="1">
      <x v="7"/>
    </i>
    <i r="1">
      <x v="8"/>
    </i>
    <i r="1">
      <x v="9"/>
    </i>
    <i t="grand">
      <x/>
    </i>
  </colItems>
  <dataFields count="1">
    <dataField name="Sum of Initial Sale" fld="7" baseField="0" baseItem="0" numFmtId="165"/>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53B94E8-9219-46E2-BD08-8F28A0E63482}" name="PivotTable5"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7:CG25" firstHeaderRow="1" firstDataRow="3" firstDataCol="1"/>
  <pivotFields count="11">
    <pivotField showAll="0" defaultSubtotal="0"/>
    <pivotField axis="axisCol" numFmtId="14" showAll="0" defaultSubtotal="0">
      <items count="14">
        <item x="0"/>
        <item x="1"/>
        <item x="2"/>
        <item x="3"/>
        <item x="4"/>
        <item x="5"/>
        <item x="6"/>
        <item x="7"/>
        <item x="8"/>
        <item x="9"/>
        <item x="10"/>
        <item x="11"/>
        <item x="12"/>
        <item x="13"/>
      </items>
    </pivotField>
    <pivotField axis="axisRow" showAll="0" defaultSubtotal="0">
      <items count="5">
        <item x="2"/>
        <item x="1"/>
        <item x="3"/>
        <item x="0"/>
        <item x="4"/>
      </items>
    </pivotField>
    <pivotField showAll="0" defaultSubtotal="0"/>
    <pivotField showAll="0" defaultSubtotal="0"/>
    <pivotField showAll="0" defaultSubtotal="0"/>
    <pivotField dataField="1" showAll="0" defaultSubtotal="0"/>
    <pivotField showAll="0" defaultSubtotal="0"/>
    <pivotField showAll="0" defaultSubtotal="0"/>
    <pivotField showAll="0" defaultSubtotal="0">
      <items count="6">
        <item sd="0" x="0"/>
        <item x="1"/>
        <item x="2"/>
        <item x="3"/>
        <item sd="0" x="4"/>
        <item sd="0" x="5"/>
      </items>
    </pivotField>
    <pivotField axis="axisCol" showAll="0" defaultSubtotal="0">
      <items count="10">
        <item sd="0" x="0"/>
        <item x="1"/>
        <item x="2"/>
        <item x="3"/>
        <item x="4"/>
        <item x="5"/>
        <item x="6"/>
        <item x="7"/>
        <item x="8"/>
        <item sd="0" x="9"/>
      </items>
    </pivotField>
  </pivotFields>
  <rowFields count="1">
    <field x="2"/>
  </rowFields>
  <rowItems count="6">
    <i>
      <x/>
    </i>
    <i>
      <x v="1"/>
    </i>
    <i>
      <x v="2"/>
    </i>
    <i>
      <x v="3"/>
    </i>
    <i>
      <x v="4"/>
    </i>
    <i t="grand">
      <x/>
    </i>
  </rowItems>
  <colFields count="2">
    <field x="10"/>
    <field x="1"/>
  </colFields>
  <colItems count="84">
    <i>
      <x v="1"/>
      <x v="11"/>
    </i>
    <i r="1">
      <x v="12"/>
    </i>
    <i>
      <x v="2"/>
      <x v="1"/>
    </i>
    <i r="1">
      <x v="2"/>
    </i>
    <i r="1">
      <x v="3"/>
    </i>
    <i r="1">
      <x v="4"/>
    </i>
    <i r="1">
      <x v="5"/>
    </i>
    <i r="1">
      <x v="6"/>
    </i>
    <i r="1">
      <x v="7"/>
    </i>
    <i r="1">
      <x v="8"/>
    </i>
    <i r="1">
      <x v="9"/>
    </i>
    <i r="1">
      <x v="10"/>
    </i>
    <i r="1">
      <x v="11"/>
    </i>
    <i r="1">
      <x v="12"/>
    </i>
    <i>
      <x v="3"/>
      <x v="1"/>
    </i>
    <i r="1">
      <x v="2"/>
    </i>
    <i r="1">
      <x v="3"/>
    </i>
    <i r="1">
      <x v="4"/>
    </i>
    <i r="1">
      <x v="5"/>
    </i>
    <i r="1">
      <x v="6"/>
    </i>
    <i r="1">
      <x v="7"/>
    </i>
    <i r="1">
      <x v="8"/>
    </i>
    <i r="1">
      <x v="9"/>
    </i>
    <i r="1">
      <x v="10"/>
    </i>
    <i r="1">
      <x v="11"/>
    </i>
    <i r="1">
      <x v="12"/>
    </i>
    <i>
      <x v="4"/>
      <x v="1"/>
    </i>
    <i r="1">
      <x v="2"/>
    </i>
    <i r="1">
      <x v="3"/>
    </i>
    <i r="1">
      <x v="4"/>
    </i>
    <i r="1">
      <x v="5"/>
    </i>
    <i r="1">
      <x v="6"/>
    </i>
    <i r="1">
      <x v="7"/>
    </i>
    <i r="1">
      <x v="8"/>
    </i>
    <i r="1">
      <x v="9"/>
    </i>
    <i r="1">
      <x v="10"/>
    </i>
    <i r="1">
      <x v="11"/>
    </i>
    <i r="1">
      <x v="12"/>
    </i>
    <i>
      <x v="5"/>
      <x v="1"/>
    </i>
    <i r="1">
      <x v="2"/>
    </i>
    <i r="1">
      <x v="3"/>
    </i>
    <i r="1">
      <x v="4"/>
    </i>
    <i r="1">
      <x v="5"/>
    </i>
    <i r="1">
      <x v="6"/>
    </i>
    <i r="1">
      <x v="7"/>
    </i>
    <i r="1">
      <x v="8"/>
    </i>
    <i r="1">
      <x v="9"/>
    </i>
    <i r="1">
      <x v="10"/>
    </i>
    <i r="1">
      <x v="11"/>
    </i>
    <i r="1">
      <x v="12"/>
    </i>
    <i>
      <x v="6"/>
      <x v="1"/>
    </i>
    <i r="1">
      <x v="2"/>
    </i>
    <i r="1">
      <x v="3"/>
    </i>
    <i r="1">
      <x v="4"/>
    </i>
    <i r="1">
      <x v="5"/>
    </i>
    <i r="1">
      <x v="6"/>
    </i>
    <i r="1">
      <x v="7"/>
    </i>
    <i r="1">
      <x v="8"/>
    </i>
    <i r="1">
      <x v="9"/>
    </i>
    <i r="1">
      <x v="10"/>
    </i>
    <i r="1">
      <x v="11"/>
    </i>
    <i r="1">
      <x v="12"/>
    </i>
    <i>
      <x v="7"/>
      <x v="1"/>
    </i>
    <i r="1">
      <x v="2"/>
    </i>
    <i r="1">
      <x v="3"/>
    </i>
    <i r="1">
      <x v="4"/>
    </i>
    <i r="1">
      <x v="5"/>
    </i>
    <i r="1">
      <x v="6"/>
    </i>
    <i r="1">
      <x v="7"/>
    </i>
    <i r="1">
      <x v="8"/>
    </i>
    <i r="1">
      <x v="9"/>
    </i>
    <i r="1">
      <x v="10"/>
    </i>
    <i r="1">
      <x v="11"/>
    </i>
    <i r="1">
      <x v="12"/>
    </i>
    <i>
      <x v="8"/>
      <x v="1"/>
    </i>
    <i r="1">
      <x v="2"/>
    </i>
    <i r="1">
      <x v="3"/>
    </i>
    <i r="1">
      <x v="4"/>
    </i>
    <i r="1">
      <x v="5"/>
    </i>
    <i r="1">
      <x v="6"/>
    </i>
    <i r="1">
      <x v="7"/>
    </i>
    <i r="1">
      <x v="8"/>
    </i>
    <i r="1">
      <x v="9"/>
    </i>
    <i t="grand">
      <x/>
    </i>
  </colItems>
  <dataFields count="1">
    <dataField name="Sum of Expansion" fld="6" baseField="0" baseItem="0"/>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125" dT="2021-08-18T18:06:02.12" personId="{3501B62A-4C55-418F-99AC-F8A5FDD705F4}" id="{8F932F22-0E1D-4B69-9A94-904741882B52}">
    <text>Tieing to collections right now. Should be tied to AR Balance.</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5.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6.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8.bin"/><Relationship Id="rId4" Type="http://schemas.microsoft.com/office/2017/10/relationships/threadedComment" Target="../threadedComments/threadedComment1.xml"/></Relationships>
</file>

<file path=xl/worksheets/_rels/sheet3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37FD99-A13C-4CB9-B322-792298B34D5D}">
  <sheetPr>
    <tabColor rgb="FFFFDAE4"/>
  </sheetPr>
  <dimension ref="A1:AZ313"/>
  <sheetViews>
    <sheetView showGridLines="0" tabSelected="1" topLeftCell="A206" zoomScale="80" zoomScaleNormal="80" workbookViewId="0">
      <pane xSplit="6" topLeftCell="G1" activePane="topRight" state="frozen"/>
      <selection pane="topRight" activeCell="W245" sqref="W245"/>
    </sheetView>
  </sheetViews>
  <sheetFormatPr defaultColWidth="8.7109375" defaultRowHeight="15" outlineLevelRow="1" x14ac:dyDescent="0.25"/>
  <cols>
    <col min="1" max="3" width="3.5703125" style="292" customWidth="1"/>
    <col min="4" max="15" width="11.5703125" style="292" customWidth="1"/>
    <col min="16" max="16" width="11.5703125" style="1688" customWidth="1"/>
    <col min="17" max="52" width="11.5703125" style="292" customWidth="1"/>
    <col min="53" max="16384" width="8.7109375" style="292"/>
  </cols>
  <sheetData>
    <row r="1" spans="1:13" x14ac:dyDescent="0.25">
      <c r="A1" s="211">
        <f>10^6</f>
        <v>1000000</v>
      </c>
      <c r="B1" s="1724"/>
    </row>
    <row r="2" spans="1:13" x14ac:dyDescent="0.25">
      <c r="A2" s="211">
        <f>10^3</f>
        <v>1000</v>
      </c>
      <c r="M2" s="292" t="s">
        <v>856</v>
      </c>
    </row>
    <row r="3" spans="1:13" x14ac:dyDescent="0.25">
      <c r="D3" s="7" t="s">
        <v>855</v>
      </c>
      <c r="E3" s="7"/>
      <c r="M3" s="292" t="s">
        <v>854</v>
      </c>
    </row>
    <row r="4" spans="1:13" x14ac:dyDescent="0.25">
      <c r="D4" s="1502">
        <f ca="1">TODAY()</f>
        <v>44516</v>
      </c>
      <c r="E4" s="1502"/>
      <c r="M4" s="292" t="s">
        <v>1263</v>
      </c>
    </row>
    <row r="5" spans="1:13" x14ac:dyDescent="0.25">
      <c r="D5" s="1725" t="s">
        <v>808</v>
      </c>
      <c r="E5" s="1725"/>
    </row>
    <row r="7" spans="1:13" x14ac:dyDescent="0.25">
      <c r="D7" s="7" t="s">
        <v>853</v>
      </c>
      <c r="E7" s="7"/>
    </row>
    <row r="12" spans="1:13" x14ac:dyDescent="0.25">
      <c r="D12" s="1726" t="s">
        <v>852</v>
      </c>
      <c r="E12" s="1726"/>
      <c r="F12" s="502"/>
      <c r="G12" s="502"/>
      <c r="H12" s="502"/>
      <c r="I12" s="502"/>
    </row>
    <row r="13" spans="1:13" x14ac:dyDescent="0.25">
      <c r="D13" s="1" t="s">
        <v>851</v>
      </c>
      <c r="E13" s="1"/>
      <c r="H13" s="1727">
        <f>'Functional P&amp;L'!$AF$15/10^3</f>
        <v>11.433846784644251</v>
      </c>
      <c r="I13" s="1727">
        <f>'Functional P&amp;L'!$AF$10/10^3</f>
        <v>15.735266517154002</v>
      </c>
    </row>
    <row r="14" spans="1:13" x14ac:dyDescent="0.25">
      <c r="D14" s="292" t="s">
        <v>850</v>
      </c>
      <c r="H14" s="1728">
        <f>I15/H13</f>
        <v>21.864907297494316</v>
      </c>
      <c r="I14" s="1728">
        <f>I15/I13</f>
        <v>15.887878335423126</v>
      </c>
    </row>
    <row r="15" spans="1:13" x14ac:dyDescent="0.25">
      <c r="D15" s="1660" t="s">
        <v>849</v>
      </c>
      <c r="E15" s="1660"/>
      <c r="F15" s="1660"/>
      <c r="G15" s="1660"/>
      <c r="H15" s="1676"/>
      <c r="I15" s="1729">
        <f>'Founder Waterfall'!$C$5/mm</f>
        <v>250</v>
      </c>
    </row>
    <row r="16" spans="1:13" x14ac:dyDescent="0.25">
      <c r="D16" s="292" t="s">
        <v>848</v>
      </c>
      <c r="I16" s="1730">
        <v>0</v>
      </c>
    </row>
    <row r="17" spans="4:17" x14ac:dyDescent="0.25">
      <c r="D17" s="292" t="s">
        <v>847</v>
      </c>
      <c r="I17" s="1731">
        <f>'Cash Summary'!$S$15/1000</f>
        <v>9.564163220620248</v>
      </c>
      <c r="J17" s="1732" t="s">
        <v>604</v>
      </c>
    </row>
    <row r="18" spans="4:17" x14ac:dyDescent="0.25">
      <c r="D18" s="1660" t="s">
        <v>846</v>
      </c>
      <c r="E18" s="1660"/>
      <c r="F18" s="1676"/>
      <c r="G18" s="1676"/>
      <c r="H18" s="1676"/>
      <c r="I18" s="1636">
        <f>SUM(I15:I17)</f>
        <v>259.56416322062023</v>
      </c>
    </row>
    <row r="20" spans="4:17" x14ac:dyDescent="0.25">
      <c r="D20" s="1726" t="s">
        <v>845</v>
      </c>
      <c r="E20" s="1726"/>
      <c r="F20" s="502"/>
      <c r="G20" s="502"/>
      <c r="H20" s="502"/>
      <c r="I20" s="502"/>
      <c r="J20" s="502"/>
      <c r="K20" s="502"/>
      <c r="M20" s="292" t="s">
        <v>844</v>
      </c>
    </row>
    <row r="21" spans="4:17" ht="17.25" x14ac:dyDescent="0.4">
      <c r="F21" s="1733" t="s">
        <v>843</v>
      </c>
      <c r="G21" s="1734" t="s">
        <v>842</v>
      </c>
      <c r="H21" s="1734" t="s">
        <v>841</v>
      </c>
      <c r="I21" s="1734" t="s">
        <v>840</v>
      </c>
      <c r="J21" s="1734" t="s">
        <v>839</v>
      </c>
      <c r="K21" s="1735" t="s">
        <v>308</v>
      </c>
      <c r="M21" s="292" t="s">
        <v>838</v>
      </c>
    </row>
    <row r="22" spans="4:17" x14ac:dyDescent="0.25">
      <c r="D22" s="292" t="s">
        <v>1264</v>
      </c>
      <c r="F22" s="469">
        <f>SUM('Founder Waterfall'!G8:G9)/mm</f>
        <v>13.204588865468065</v>
      </c>
      <c r="G22" s="1374">
        <f>$M22*N22</f>
        <v>7.7026768381897037</v>
      </c>
      <c r="H22" s="1374">
        <f>$M22*O22</f>
        <v>23.108030514569112</v>
      </c>
      <c r="I22" s="1374">
        <f t="shared" ref="I22:J22" si="0">$M22*P22</f>
        <v>0</v>
      </c>
      <c r="J22" s="1374">
        <f t="shared" si="0"/>
        <v>0</v>
      </c>
      <c r="K22" s="1627">
        <f>SUM(F22:J22)</f>
        <v>44.015296218226879</v>
      </c>
      <c r="M22" s="1350">
        <f>SUM('Founder Waterfall'!H8:H9)/mm</f>
        <v>30.810707352758815</v>
      </c>
      <c r="N22" s="1736">
        <v>0.25</v>
      </c>
      <c r="O22" s="1737">
        <v>0.75</v>
      </c>
      <c r="P22" s="1738">
        <v>0</v>
      </c>
      <c r="Q22" s="1737">
        <v>0</v>
      </c>
    </row>
    <row r="23" spans="4:17" x14ac:dyDescent="0.25">
      <c r="D23" s="292" t="s">
        <v>1265</v>
      </c>
      <c r="F23" s="1698"/>
      <c r="G23" s="1374">
        <f>$M23*N23</f>
        <v>22.00764810911344</v>
      </c>
      <c r="H23" s="1374">
        <f>$M23*O23</f>
        <v>0</v>
      </c>
      <c r="I23" s="1374">
        <f t="shared" ref="I23" si="1">$M23*P23</f>
        <v>11.00382405455672</v>
      </c>
      <c r="J23" s="1374">
        <f t="shared" ref="J23" si="2">$M23*Q23</f>
        <v>11.00382405455672</v>
      </c>
      <c r="K23" s="1727">
        <f>'Founder Waterfall'!$E$23/mm</f>
        <v>44.015296218226879</v>
      </c>
      <c r="M23" s="1629">
        <f>K23</f>
        <v>44.015296218226879</v>
      </c>
      <c r="N23" s="1736">
        <v>0.5</v>
      </c>
      <c r="O23" s="1739"/>
      <c r="P23" s="1738">
        <v>0.25</v>
      </c>
      <c r="Q23" s="1737">
        <v>0.25</v>
      </c>
    </row>
    <row r="24" spans="4:17" x14ac:dyDescent="0.25">
      <c r="D24" s="292" t="s">
        <v>1266</v>
      </c>
      <c r="F24" s="1698"/>
      <c r="G24" s="1374"/>
      <c r="H24" s="1698"/>
      <c r="I24" s="1374"/>
      <c r="J24" s="1374"/>
      <c r="K24" s="1740">
        <v>0</v>
      </c>
      <c r="M24" s="373"/>
      <c r="N24" s="1690"/>
    </row>
    <row r="25" spans="4:17" x14ac:dyDescent="0.25">
      <c r="D25" s="292" t="s">
        <v>1267</v>
      </c>
      <c r="F25" s="1374">
        <f>K25</f>
        <v>161.96940756354624</v>
      </c>
      <c r="G25" s="1374"/>
      <c r="H25" s="1698"/>
      <c r="I25" s="1374"/>
      <c r="J25" s="1374"/>
      <c r="K25" s="1727">
        <f>('Founder Waterfall'!C5-'Founder Waterfall'!C6)/mm</f>
        <v>161.96940756354624</v>
      </c>
      <c r="M25" s="373"/>
      <c r="N25" s="1690"/>
    </row>
    <row r="26" spans="4:17" x14ac:dyDescent="0.25">
      <c r="D26" s="1660" t="s">
        <v>308</v>
      </c>
      <c r="E26" s="1660"/>
      <c r="F26" s="1636">
        <f>SUM(F22:F25)</f>
        <v>175.1739964290143</v>
      </c>
      <c r="G26" s="1636">
        <f t="shared" ref="G26:K26" si="3">SUM(G22:G25)</f>
        <v>29.710324947303143</v>
      </c>
      <c r="H26" s="1636">
        <f t="shared" si="3"/>
        <v>23.108030514569112</v>
      </c>
      <c r="I26" s="1636">
        <f t="shared" si="3"/>
        <v>11.00382405455672</v>
      </c>
      <c r="J26" s="1636">
        <f t="shared" si="3"/>
        <v>11.00382405455672</v>
      </c>
      <c r="K26" s="1636">
        <f t="shared" si="3"/>
        <v>250</v>
      </c>
      <c r="M26" s="292" t="s">
        <v>837</v>
      </c>
    </row>
    <row r="27" spans="4:17" x14ac:dyDescent="0.25">
      <c r="D27" s="242" t="s">
        <v>1308</v>
      </c>
      <c r="E27" s="14"/>
      <c r="F27" s="1610">
        <f>F22+F24</f>
        <v>13.204588865468065</v>
      </c>
      <c r="G27" s="1610">
        <f t="shared" ref="G27:K27" si="4">G22+G24</f>
        <v>7.7026768381897037</v>
      </c>
      <c r="H27" s="1610">
        <f t="shared" si="4"/>
        <v>23.108030514569112</v>
      </c>
      <c r="I27" s="1610">
        <f t="shared" si="4"/>
        <v>0</v>
      </c>
      <c r="J27" s="1610">
        <f t="shared" si="4"/>
        <v>0</v>
      </c>
      <c r="K27" s="1610">
        <f t="shared" si="4"/>
        <v>44.015296218226879</v>
      </c>
    </row>
    <row r="28" spans="4:17" x14ac:dyDescent="0.25">
      <c r="D28" s="242" t="s">
        <v>1309</v>
      </c>
      <c r="E28" s="14"/>
      <c r="F28" s="1610">
        <f>F23+F25</f>
        <v>161.96940756354624</v>
      </c>
      <c r="G28" s="1610">
        <f t="shared" ref="G28:K28" si="5">G23+G25</f>
        <v>22.00764810911344</v>
      </c>
      <c r="H28" s="1610">
        <f t="shared" si="5"/>
        <v>0</v>
      </c>
      <c r="I28" s="1610">
        <f t="shared" si="5"/>
        <v>11.00382405455672</v>
      </c>
      <c r="J28" s="1610">
        <f t="shared" si="5"/>
        <v>11.00382405455672</v>
      </c>
      <c r="K28" s="1610">
        <f t="shared" si="5"/>
        <v>205.98470378177313</v>
      </c>
    </row>
    <row r="29" spans="4:17" x14ac:dyDescent="0.25">
      <c r="M29" s="292" t="s">
        <v>836</v>
      </c>
    </row>
    <row r="30" spans="4:17" x14ac:dyDescent="0.25">
      <c r="M30" s="292" t="s">
        <v>835</v>
      </c>
    </row>
    <row r="31" spans="4:17" ht="17.25" x14ac:dyDescent="0.4">
      <c r="D31" s="1741" t="s">
        <v>834</v>
      </c>
      <c r="E31" s="1741"/>
      <c r="F31" s="502"/>
      <c r="G31" s="502"/>
      <c r="H31" s="504" t="s">
        <v>818</v>
      </c>
      <c r="I31" s="504" t="s">
        <v>817</v>
      </c>
    </row>
    <row r="32" spans="4:17" x14ac:dyDescent="0.25">
      <c r="D32" s="292" t="s">
        <v>832</v>
      </c>
      <c r="H32" s="1374">
        <f>I17</f>
        <v>9.564163220620248</v>
      </c>
      <c r="I32" s="1742">
        <f t="shared" ref="I32:I39" si="6">H32/H$39</f>
        <v>3.6495502105599237E-2</v>
      </c>
      <c r="M32" s="292" t="s">
        <v>833</v>
      </c>
    </row>
    <row r="33" spans="4:52" x14ac:dyDescent="0.25">
      <c r="D33" s="292" t="s">
        <v>830</v>
      </c>
      <c r="H33" s="1743">
        <f>H45-SUM(H32,H34:H38)</f>
        <v>15.704588865468025</v>
      </c>
      <c r="I33" s="1742">
        <f t="shared" si="6"/>
        <v>5.9926503007765419E-2</v>
      </c>
      <c r="J33" s="1744">
        <f>F22+H44</f>
        <v>15.704588865468065</v>
      </c>
      <c r="M33" s="292" t="s">
        <v>831</v>
      </c>
    </row>
    <row r="34" spans="4:52" x14ac:dyDescent="0.25">
      <c r="D34" s="292" t="s">
        <v>828</v>
      </c>
      <c r="H34" s="1743">
        <f>SUM(G22:J22,G24:J24)</f>
        <v>30.810707352758815</v>
      </c>
      <c r="I34" s="1742">
        <f t="shared" si="6"/>
        <v>0.11756932719877705</v>
      </c>
      <c r="M34" s="292" t="s">
        <v>829</v>
      </c>
    </row>
    <row r="35" spans="4:52" x14ac:dyDescent="0.25">
      <c r="D35" s="292" t="s">
        <v>827</v>
      </c>
      <c r="F35" s="292" t="s">
        <v>843</v>
      </c>
      <c r="H35" s="1744">
        <f>F25+F23</f>
        <v>161.96940756354624</v>
      </c>
      <c r="I35" s="1742">
        <f t="shared" si="6"/>
        <v>0.61805248597531959</v>
      </c>
    </row>
    <row r="36" spans="4:52" x14ac:dyDescent="0.25">
      <c r="D36" s="1745" t="s">
        <v>823</v>
      </c>
      <c r="F36" s="292" t="s">
        <v>826</v>
      </c>
      <c r="H36" s="1743">
        <f>G23+G25</f>
        <v>22.00764810911344</v>
      </c>
      <c r="I36" s="1742">
        <f t="shared" si="6"/>
        <v>8.3978090856269325E-2</v>
      </c>
    </row>
    <row r="37" spans="4:52" x14ac:dyDescent="0.25">
      <c r="D37" s="1745" t="s">
        <v>823</v>
      </c>
      <c r="E37" s="1745"/>
      <c r="F37" s="292" t="s">
        <v>824</v>
      </c>
      <c r="H37" s="1743">
        <f>SUM(H23:I23,H25:I25)</f>
        <v>11.00382405455672</v>
      </c>
      <c r="I37" s="1742">
        <f t="shared" si="6"/>
        <v>4.1989045428134662E-2</v>
      </c>
      <c r="M37" s="292" t="s">
        <v>825</v>
      </c>
    </row>
    <row r="38" spans="4:52" x14ac:dyDescent="0.25">
      <c r="D38" s="1745" t="s">
        <v>823</v>
      </c>
      <c r="E38" s="1745"/>
      <c r="F38" s="292" t="s">
        <v>822</v>
      </c>
      <c r="H38" s="1743">
        <f>J23+J25</f>
        <v>11.00382405455672</v>
      </c>
      <c r="I38" s="1742">
        <f t="shared" si="6"/>
        <v>4.1989045428134662E-2</v>
      </c>
      <c r="M38" s="1746">
        <v>44805</v>
      </c>
      <c r="N38" s="292" t="s">
        <v>821</v>
      </c>
    </row>
    <row r="39" spans="4:52" x14ac:dyDescent="0.25">
      <c r="D39" s="1747" t="s">
        <v>820</v>
      </c>
      <c r="E39" s="1747"/>
      <c r="F39" s="1747"/>
      <c r="G39" s="1747"/>
      <c r="H39" s="1748">
        <f>SUM(H32:H38)</f>
        <v>262.06416322062023</v>
      </c>
      <c r="I39" s="1749">
        <f t="shared" si="6"/>
        <v>1</v>
      </c>
      <c r="M39" s="1722">
        <v>0.1</v>
      </c>
    </row>
    <row r="41" spans="4:52" ht="17.25" x14ac:dyDescent="0.4">
      <c r="D41" s="1741" t="s">
        <v>819</v>
      </c>
      <c r="E41" s="1741"/>
      <c r="F41" s="502"/>
      <c r="G41" s="502"/>
      <c r="H41" s="504" t="s">
        <v>818</v>
      </c>
      <c r="I41" s="504" t="s">
        <v>817</v>
      </c>
    </row>
    <row r="42" spans="4:52" x14ac:dyDescent="0.25">
      <c r="D42" s="292" t="s">
        <v>816</v>
      </c>
      <c r="H42" s="1750">
        <v>0</v>
      </c>
      <c r="I42" s="1742">
        <f>H42/H$45</f>
        <v>0</v>
      </c>
    </row>
    <row r="43" spans="4:52" x14ac:dyDescent="0.25">
      <c r="D43" s="292" t="s">
        <v>815</v>
      </c>
      <c r="H43" s="1743">
        <f>I18</f>
        <v>259.56416322062023</v>
      </c>
      <c r="I43" s="1742">
        <f>H43/H$45</f>
        <v>0.99046035150599598</v>
      </c>
    </row>
    <row r="44" spans="4:52" x14ac:dyDescent="0.25">
      <c r="D44" s="292" t="s">
        <v>814</v>
      </c>
      <c r="H44" s="1751">
        <v>2.5</v>
      </c>
      <c r="I44" s="1742">
        <f>H44/H$45</f>
        <v>9.5396484940039692E-3</v>
      </c>
    </row>
    <row r="45" spans="4:52" x14ac:dyDescent="0.25">
      <c r="D45" s="1747" t="s">
        <v>813</v>
      </c>
      <c r="E45" s="1747"/>
      <c r="F45" s="1747"/>
      <c r="G45" s="1747"/>
      <c r="H45" s="1748">
        <f>SUM(H42:H44)</f>
        <v>262.06416322062023</v>
      </c>
      <c r="I45" s="1749">
        <f>H45/H$45</f>
        <v>1</v>
      </c>
    </row>
    <row r="47" spans="4:52" x14ac:dyDescent="0.25">
      <c r="D47" s="292" t="s">
        <v>812</v>
      </c>
    </row>
    <row r="48" spans="4:52" x14ac:dyDescent="0.25">
      <c r="D48" s="7" t="s">
        <v>811</v>
      </c>
      <c r="E48" s="7"/>
      <c r="Q48" s="292" t="s">
        <v>194</v>
      </c>
      <c r="R48" s="292" t="s">
        <v>195</v>
      </c>
      <c r="S48" s="292" t="s">
        <v>196</v>
      </c>
      <c r="T48" s="292" t="s">
        <v>197</v>
      </c>
      <c r="U48" s="292" t="s">
        <v>198</v>
      </c>
      <c r="V48" s="292" t="s">
        <v>199</v>
      </c>
      <c r="W48" s="292" t="s">
        <v>200</v>
      </c>
      <c r="X48" s="292" t="s">
        <v>201</v>
      </c>
      <c r="Y48" s="292" t="s">
        <v>202</v>
      </c>
      <c r="Z48" s="292" t="s">
        <v>203</v>
      </c>
      <c r="AA48" s="292" t="s">
        <v>204</v>
      </c>
      <c r="AB48" s="292" t="s">
        <v>205</v>
      </c>
      <c r="AC48" s="292" t="s">
        <v>206</v>
      </c>
      <c r="AD48" s="292" t="s">
        <v>207</v>
      </c>
      <c r="AE48" s="292" t="s">
        <v>208</v>
      </c>
      <c r="AF48" s="292" t="s">
        <v>209</v>
      </c>
      <c r="AG48" s="292" t="s">
        <v>210</v>
      </c>
      <c r="AH48" s="292" t="s">
        <v>211</v>
      </c>
      <c r="AI48" s="292" t="s">
        <v>212</v>
      </c>
      <c r="AJ48" s="292" t="s">
        <v>213</v>
      </c>
      <c r="AK48" s="292" t="s">
        <v>214</v>
      </c>
      <c r="AL48" s="292" t="s">
        <v>215</v>
      </c>
      <c r="AM48" s="292" t="s">
        <v>216</v>
      </c>
      <c r="AN48" s="292" t="s">
        <v>217</v>
      </c>
      <c r="AO48" s="292" t="s">
        <v>236</v>
      </c>
      <c r="AP48" s="292" t="s">
        <v>237</v>
      </c>
      <c r="AQ48" s="292" t="s">
        <v>238</v>
      </c>
      <c r="AR48" s="292" t="s">
        <v>239</v>
      </c>
      <c r="AS48" s="292" t="s">
        <v>240</v>
      </c>
      <c r="AT48" s="292" t="s">
        <v>241</v>
      </c>
      <c r="AU48" s="292" t="s">
        <v>242</v>
      </c>
      <c r="AV48" s="292" t="s">
        <v>243</v>
      </c>
      <c r="AW48" s="292" t="s">
        <v>244</v>
      </c>
      <c r="AX48" s="292" t="s">
        <v>245</v>
      </c>
      <c r="AY48" s="292" t="s">
        <v>246</v>
      </c>
      <c r="AZ48" s="292" t="s">
        <v>247</v>
      </c>
    </row>
    <row r="49" spans="4:52" ht="17.25" x14ac:dyDescent="0.4">
      <c r="D49" s="506"/>
      <c r="E49" s="506"/>
      <c r="F49" s="506"/>
      <c r="G49" s="504" t="s">
        <v>810</v>
      </c>
      <c r="H49" s="504"/>
      <c r="I49" s="505"/>
      <c r="J49" s="504" t="s">
        <v>809</v>
      </c>
      <c r="K49" s="504"/>
      <c r="L49" s="504"/>
      <c r="M49" s="504"/>
      <c r="N49" s="504"/>
      <c r="O49" s="504"/>
      <c r="P49" s="1519"/>
      <c r="Q49" s="504" t="str">
        <f>Forecast!N4</f>
        <v>FY2019</v>
      </c>
      <c r="R49" s="504"/>
      <c r="S49" s="504"/>
      <c r="T49" s="1282"/>
      <c r="U49" s="1293" t="str">
        <f>Forecast!R4</f>
        <v>FY2020</v>
      </c>
      <c r="V49" s="1282"/>
      <c r="W49" s="1282"/>
      <c r="X49" s="505"/>
      <c r="Y49" s="1282" t="str">
        <f>Forecast!V4</f>
        <v>FY2021</v>
      </c>
      <c r="Z49" s="504"/>
      <c r="AA49" s="504"/>
      <c r="AB49" s="1282"/>
      <c r="AC49" s="1293" t="str">
        <f>Forecast!Z4</f>
        <v>FY2022</v>
      </c>
      <c r="AD49" s="1282"/>
      <c r="AE49" s="1282"/>
      <c r="AF49" s="505"/>
      <c r="AG49" s="1282" t="str">
        <f>Forecast!AD4</f>
        <v>FY2023</v>
      </c>
      <c r="AH49" s="504"/>
      <c r="AI49" s="504"/>
      <c r="AJ49" s="1282"/>
      <c r="AK49" s="1293" t="str">
        <f>Forecast!AH4</f>
        <v>FY2024</v>
      </c>
      <c r="AL49" s="1282"/>
      <c r="AM49" s="1282"/>
      <c r="AN49" s="505"/>
      <c r="AO49" s="1282" t="str">
        <f>Forecast!AL4</f>
        <v>FY2025</v>
      </c>
      <c r="AP49" s="504"/>
      <c r="AQ49" s="504"/>
      <c r="AR49" s="1282"/>
      <c r="AS49" s="1293" t="str">
        <f>Forecast!AP4</f>
        <v>FY2026</v>
      </c>
      <c r="AT49" s="1282"/>
      <c r="AU49" s="1282"/>
      <c r="AV49" s="505"/>
      <c r="AW49" s="1282" t="str">
        <f>Forecast!AT4</f>
        <v>FY2027</v>
      </c>
      <c r="AX49" s="504"/>
      <c r="AY49" s="504"/>
      <c r="AZ49" s="504"/>
    </row>
    <row r="50" spans="4:52" ht="17.25" x14ac:dyDescent="0.4">
      <c r="D50" s="503" t="s">
        <v>808</v>
      </c>
      <c r="E50" s="503"/>
      <c r="F50" s="502"/>
      <c r="G50" s="501">
        <v>43496</v>
      </c>
      <c r="H50" s="501">
        <f t="shared" ref="H50:O50" si="7">EOMONTH(G50,12)</f>
        <v>43861</v>
      </c>
      <c r="I50" s="500">
        <f t="shared" si="7"/>
        <v>44227</v>
      </c>
      <c r="J50" s="499">
        <f t="shared" si="7"/>
        <v>44592</v>
      </c>
      <c r="K50" s="499">
        <f t="shared" si="7"/>
        <v>44957</v>
      </c>
      <c r="L50" s="499">
        <f t="shared" si="7"/>
        <v>45322</v>
      </c>
      <c r="M50" s="499">
        <f t="shared" si="7"/>
        <v>45688</v>
      </c>
      <c r="N50" s="499">
        <f t="shared" si="7"/>
        <v>46053</v>
      </c>
      <c r="O50" s="499">
        <f t="shared" si="7"/>
        <v>46418</v>
      </c>
      <c r="Q50" s="498">
        <f>EOMONTH(R50,-3)</f>
        <v>43220</v>
      </c>
      <c r="R50" s="498">
        <f>EOMONTH(S50,-3)</f>
        <v>43312</v>
      </c>
      <c r="S50" s="498">
        <f>EOMONTH(T50,-3)</f>
        <v>43404</v>
      </c>
      <c r="T50" s="1283">
        <f>G50</f>
        <v>43496</v>
      </c>
      <c r="U50" s="1294">
        <f t="shared" ref="U50:AZ50" si="8">EOMONTH(T50,3)</f>
        <v>43585</v>
      </c>
      <c r="V50" s="1283">
        <f t="shared" si="8"/>
        <v>43677</v>
      </c>
      <c r="W50" s="1283">
        <f t="shared" si="8"/>
        <v>43769</v>
      </c>
      <c r="X50" s="1314">
        <f t="shared" si="8"/>
        <v>43861</v>
      </c>
      <c r="Y50" s="1283">
        <f t="shared" si="8"/>
        <v>43951</v>
      </c>
      <c r="Z50" s="498">
        <f t="shared" si="8"/>
        <v>44043</v>
      </c>
      <c r="AA50" s="498">
        <f t="shared" si="8"/>
        <v>44135</v>
      </c>
      <c r="AB50" s="1283">
        <f t="shared" si="8"/>
        <v>44227</v>
      </c>
      <c r="AC50" s="1294">
        <f t="shared" si="8"/>
        <v>44316</v>
      </c>
      <c r="AD50" s="1283">
        <f t="shared" si="8"/>
        <v>44408</v>
      </c>
      <c r="AE50" s="1283">
        <f t="shared" si="8"/>
        <v>44500</v>
      </c>
      <c r="AF50" s="1314">
        <f t="shared" si="8"/>
        <v>44592</v>
      </c>
      <c r="AG50" s="1283">
        <f t="shared" si="8"/>
        <v>44681</v>
      </c>
      <c r="AH50" s="498">
        <f t="shared" si="8"/>
        <v>44773</v>
      </c>
      <c r="AI50" s="498">
        <f t="shared" si="8"/>
        <v>44865</v>
      </c>
      <c r="AJ50" s="1283">
        <f t="shared" si="8"/>
        <v>44957</v>
      </c>
      <c r="AK50" s="1294">
        <f t="shared" si="8"/>
        <v>45046</v>
      </c>
      <c r="AL50" s="1283">
        <f t="shared" si="8"/>
        <v>45138</v>
      </c>
      <c r="AM50" s="1283">
        <f t="shared" si="8"/>
        <v>45230</v>
      </c>
      <c r="AN50" s="1314">
        <f t="shared" si="8"/>
        <v>45322</v>
      </c>
      <c r="AO50" s="1283">
        <f t="shared" si="8"/>
        <v>45412</v>
      </c>
      <c r="AP50" s="498">
        <f t="shared" si="8"/>
        <v>45504</v>
      </c>
      <c r="AQ50" s="498">
        <f t="shared" si="8"/>
        <v>45596</v>
      </c>
      <c r="AR50" s="1283">
        <f t="shared" si="8"/>
        <v>45688</v>
      </c>
      <c r="AS50" s="1294">
        <f t="shared" si="8"/>
        <v>45777</v>
      </c>
      <c r="AT50" s="1283">
        <f t="shared" si="8"/>
        <v>45869</v>
      </c>
      <c r="AU50" s="1283">
        <f t="shared" si="8"/>
        <v>45961</v>
      </c>
      <c r="AV50" s="1314">
        <f t="shared" si="8"/>
        <v>46053</v>
      </c>
      <c r="AW50" s="1283">
        <f t="shared" si="8"/>
        <v>46142</v>
      </c>
      <c r="AX50" s="498">
        <f t="shared" si="8"/>
        <v>46234</v>
      </c>
      <c r="AY50" s="498">
        <f t="shared" si="8"/>
        <v>46326</v>
      </c>
      <c r="AZ50" s="498">
        <f t="shared" si="8"/>
        <v>46418</v>
      </c>
    </row>
    <row r="51" spans="4:52" x14ac:dyDescent="0.25">
      <c r="I51" s="1689"/>
      <c r="T51" s="373"/>
      <c r="U51" s="1690"/>
      <c r="V51" s="373"/>
      <c r="W51" s="373"/>
      <c r="X51" s="1689"/>
      <c r="Y51" s="373"/>
      <c r="AB51" s="373"/>
      <c r="AC51" s="1690"/>
      <c r="AD51" s="373"/>
      <c r="AE51" s="373"/>
      <c r="AF51" s="1689"/>
      <c r="AG51" s="373"/>
      <c r="AJ51" s="373"/>
      <c r="AK51" s="1690"/>
      <c r="AL51" s="373"/>
      <c r="AM51" s="373"/>
      <c r="AN51" s="1689"/>
      <c r="AO51" s="373"/>
      <c r="AR51" s="373"/>
      <c r="AS51" s="1690"/>
      <c r="AT51" s="373"/>
      <c r="AU51" s="373"/>
      <c r="AV51" s="1689"/>
      <c r="AW51" s="373"/>
    </row>
    <row r="52" spans="4:52" x14ac:dyDescent="0.25">
      <c r="D52" s="3" t="str">
        <f>Forecast!C7</f>
        <v>ARR</v>
      </c>
      <c r="E52" s="3"/>
      <c r="F52" s="3"/>
      <c r="G52" s="376"/>
      <c r="H52" s="376"/>
      <c r="I52" s="1691"/>
      <c r="J52" s="376"/>
      <c r="K52" s="376"/>
      <c r="L52" s="376"/>
      <c r="M52" s="376"/>
      <c r="N52" s="376"/>
      <c r="O52" s="376"/>
      <c r="P52" s="1519"/>
      <c r="Q52" s="376"/>
      <c r="R52" s="376"/>
      <c r="S52" s="376"/>
      <c r="T52" s="1692"/>
      <c r="U52" s="1693"/>
      <c r="V52" s="1692"/>
      <c r="W52" s="1692"/>
      <c r="X52" s="1691"/>
      <c r="Y52" s="1692"/>
      <c r="Z52" s="376"/>
      <c r="AA52" s="376"/>
      <c r="AB52" s="1692"/>
      <c r="AC52" s="1693"/>
      <c r="AD52" s="1692"/>
      <c r="AE52" s="1692"/>
      <c r="AF52" s="1691"/>
      <c r="AG52" s="1692"/>
      <c r="AH52" s="376"/>
      <c r="AI52" s="376"/>
      <c r="AJ52" s="1692"/>
      <c r="AK52" s="1693"/>
      <c r="AL52" s="1692"/>
      <c r="AM52" s="1692"/>
      <c r="AN52" s="1691"/>
      <c r="AO52" s="1692"/>
      <c r="AP52" s="376"/>
      <c r="AQ52" s="376"/>
      <c r="AR52" s="1692"/>
      <c r="AS52" s="1693"/>
      <c r="AT52" s="1692"/>
      <c r="AU52" s="1692"/>
      <c r="AV52" s="1691"/>
      <c r="AW52" s="1692"/>
      <c r="AX52" s="376"/>
      <c r="AY52" s="376"/>
      <c r="AZ52" s="376"/>
    </row>
    <row r="53" spans="4:52" hidden="1" outlineLevel="1" x14ac:dyDescent="0.25">
      <c r="D53" s="7" t="s">
        <v>807</v>
      </c>
      <c r="E53" s="7"/>
      <c r="F53" s="1"/>
      <c r="I53" s="1689"/>
      <c r="P53" s="1519"/>
      <c r="T53" s="373"/>
      <c r="U53" s="1690"/>
      <c r="V53" s="373"/>
      <c r="W53" s="373"/>
      <c r="X53" s="1689"/>
      <c r="Y53" s="373"/>
      <c r="AB53" s="373"/>
      <c r="AC53" s="1690"/>
      <c r="AD53" s="373"/>
      <c r="AE53" s="373"/>
      <c r="AF53" s="1689"/>
      <c r="AG53" s="373"/>
      <c r="AJ53" s="373"/>
      <c r="AK53" s="1690"/>
      <c r="AL53" s="373"/>
      <c r="AM53" s="373"/>
      <c r="AN53" s="1689"/>
      <c r="AO53" s="373"/>
      <c r="AR53" s="373"/>
      <c r="AS53" s="1690"/>
      <c r="AT53" s="373"/>
      <c r="AU53" s="373"/>
      <c r="AV53" s="1689"/>
      <c r="AW53" s="373"/>
    </row>
    <row r="54" spans="4:52" hidden="1" outlineLevel="1" x14ac:dyDescent="0.25">
      <c r="D54" s="1" t="str">
        <f>Forecast!C9</f>
        <v>BOP ARR</v>
      </c>
      <c r="E54" s="1"/>
      <c r="F54" s="1"/>
      <c r="G54" s="1320">
        <f>(Forecast!D9)/1000000</f>
        <v>13.606240259999995</v>
      </c>
      <c r="H54" s="1320">
        <f>(Forecast!E9)/1000000</f>
        <v>30.891265889999996</v>
      </c>
      <c r="I54" s="1321">
        <f>(Forecast!F9)/1000000</f>
        <v>55.80429742999997</v>
      </c>
      <c r="J54" s="1322">
        <f>(Forecast!G9)/1000000</f>
        <v>82.486431199999956</v>
      </c>
      <c r="K54" s="1323">
        <f>(Forecast!H9)/1000000</f>
        <v>139.75384215791993</v>
      </c>
      <c r="L54" s="1323">
        <f>(Forecast!I9)/1000000</f>
        <v>216.11147294072867</v>
      </c>
      <c r="M54" s="1323">
        <f>(Forecast!J9)/1000000</f>
        <v>327.79930554458565</v>
      </c>
      <c r="N54" s="1323">
        <f>(Forecast!K9)/1000000</f>
        <v>489.68839782248546</v>
      </c>
      <c r="O54" s="1323">
        <f>(Forecast!L9)/1000000</f>
        <v>720.34901027876583</v>
      </c>
      <c r="P54" s="1520"/>
      <c r="Q54" s="1320">
        <f>(Forecast!N9)/1000000</f>
        <v>13.606240259999995</v>
      </c>
      <c r="R54" s="1320">
        <f>(Forecast!O9)/1000000</f>
        <v>16.617334700000001</v>
      </c>
      <c r="S54" s="1320">
        <f>(Forecast!P9)/1000000</f>
        <v>20.500762499999997</v>
      </c>
      <c r="T54" s="1322">
        <f>(Forecast!Q9)/1000000</f>
        <v>24.541790959999993</v>
      </c>
      <c r="U54" s="1352">
        <f>(Forecast!R9)/1000000</f>
        <v>30.891265889999996</v>
      </c>
      <c r="V54" s="1322">
        <f>(Forecast!S9)/1000000</f>
        <v>35.874662659999998</v>
      </c>
      <c r="W54" s="1322">
        <f>(Forecast!T9)/1000000</f>
        <v>42.63345751</v>
      </c>
      <c r="X54" s="1321">
        <f>(Forecast!U9)/1000000</f>
        <v>48.122219819999984</v>
      </c>
      <c r="Y54" s="1322">
        <f>(Forecast!V9)/1000000</f>
        <v>55.80429742999997</v>
      </c>
      <c r="Z54" s="1320">
        <f>(Forecast!W9)/1000000</f>
        <v>59.901771709999963</v>
      </c>
      <c r="AA54" s="1320">
        <f>(Forecast!X9)/1000000</f>
        <v>66.61425202999996</v>
      </c>
      <c r="AB54" s="1322">
        <f>(Forecast!Y9)/1000000</f>
        <v>73.268133959999957</v>
      </c>
      <c r="AC54" s="1352">
        <f>(Forecast!Z9)/1000000</f>
        <v>82.486431199999956</v>
      </c>
      <c r="AD54" s="1322">
        <f>(Forecast!AA9)/1000000</f>
        <v>89.81777990999997</v>
      </c>
      <c r="AE54" s="1322">
        <f>(Forecast!AB9)/1000000</f>
        <v>102.57735483999997</v>
      </c>
      <c r="AF54" s="1321">
        <f>(Forecast!AC9)/1000000</f>
        <v>118.01330998368569</v>
      </c>
      <c r="AG54" s="1322">
        <f>(Forecast!AD9)/1000000</f>
        <v>139.0422131189253</v>
      </c>
      <c r="AH54" s="1320">
        <f>(Forecast!AE9)/1000000</f>
        <v>152.23480850887677</v>
      </c>
      <c r="AI54" s="1320">
        <f>(Forecast!AF9)/1000000</f>
        <v>170.2556506266487</v>
      </c>
      <c r="AJ54" s="1322">
        <f>(Forecast!AG9)/1000000</f>
        <v>188.20118916659624</v>
      </c>
      <c r="AK54" s="1352">
        <f>(Forecast!AH9)/1000000</f>
        <v>215.39984390173399</v>
      </c>
      <c r="AL54" s="1322">
        <f>(Forecast!AI9)/1000000</f>
        <v>235.36251359087152</v>
      </c>
      <c r="AM54" s="1322">
        <f>(Forecast!AJ9)/1000000</f>
        <v>263.27422710265483</v>
      </c>
      <c r="AN54" s="1321">
        <f>(Forecast!AK9)/1000000</f>
        <v>289.54429678768537</v>
      </c>
      <c r="AO54" s="1322">
        <f>(Forecast!AL9)/1000000</f>
        <v>327.08767650559105</v>
      </c>
      <c r="AP54" s="1320">
        <f>(Forecast!AM9)/1000000</f>
        <v>356.02155901491716</v>
      </c>
      <c r="AQ54" s="1320">
        <f>(Forecast!AN9)/1000000</f>
        <v>396.480040108433</v>
      </c>
      <c r="AR54" s="1322">
        <f>(Forecast!AO9)/1000000</f>
        <v>434.55926485031603</v>
      </c>
      <c r="AS54" s="1352">
        <f>(Forecast!AP9)/1000000</f>
        <v>488.97676878349102</v>
      </c>
      <c r="AT54" s="1322">
        <f>(Forecast!AQ9)/1000000</f>
        <v>530.20110204517255</v>
      </c>
      <c r="AU54" s="1322">
        <f>(Forecast!AR9)/1000000</f>
        <v>587.84717330733054</v>
      </c>
      <c r="AV54" s="1321">
        <f>(Forecast!AS9)/1000000</f>
        <v>642.10341065155626</v>
      </c>
      <c r="AW54" s="1322">
        <f>(Forecast!AT9)/1000000</f>
        <v>719.63738123977146</v>
      </c>
      <c r="AX54" s="1320">
        <f>(Forecast!AU9)/1000000</f>
        <v>777.35071954217074</v>
      </c>
      <c r="AY54" s="1320">
        <f>(Forecast!AV9)/1000000</f>
        <v>858.05439901653426</v>
      </c>
      <c r="AZ54" s="1320">
        <f>(Forecast!AW9)/1000000</f>
        <v>934.0123794792737</v>
      </c>
    </row>
    <row r="55" spans="4:52" hidden="1" outlineLevel="1" x14ac:dyDescent="0.25">
      <c r="D55" s="377" t="str">
        <f>Forecast!C11</f>
        <v>New Customer ARR</v>
      </c>
      <c r="E55" s="377"/>
      <c r="F55" s="377"/>
      <c r="G55" s="1324">
        <f>(Forecast!D11)/1000000</f>
        <v>12.911272049999999</v>
      </c>
      <c r="H55" s="1324">
        <f>(Forecast!E11)/1000000</f>
        <v>17.026778394505001</v>
      </c>
      <c r="I55" s="1325">
        <f>(Forecast!F11)/1000000</f>
        <v>17.383704050990001</v>
      </c>
      <c r="J55" s="1324">
        <f>(Forecast!G11)/1000000</f>
        <v>32.846050172126333</v>
      </c>
      <c r="K55" s="1324">
        <f>(Forecast!H11)/1000000</f>
        <v>38.010620603182659</v>
      </c>
      <c r="L55" s="1324">
        <f>(Forecast!I11)/1000000</f>
        <v>51.979870170452813</v>
      </c>
      <c r="M55" s="1324">
        <f>(Forecast!J11)/1000000</f>
        <v>68.044908272858322</v>
      </c>
      <c r="N55" s="1324">
        <f>(Forecast!K11)/1000000</f>
        <v>87.983414927973101</v>
      </c>
      <c r="O55" s="1324">
        <f>(Forecast!L11)/1000000</f>
        <v>113.09435077625734</v>
      </c>
      <c r="P55" s="1694"/>
      <c r="Q55" s="1324">
        <f>(Forecast!N11)/1000000</f>
        <v>2.3419469300000002</v>
      </c>
      <c r="R55" s="1324">
        <f>(Forecast!O11)/1000000</f>
        <v>2.9150157799999996</v>
      </c>
      <c r="S55" s="1324">
        <f>(Forecast!P11)/1000000</f>
        <v>2.8382885</v>
      </c>
      <c r="T55" s="1353">
        <f>(Forecast!Q11)/1000000</f>
        <v>4.8160208400000002</v>
      </c>
      <c r="U55" s="1354">
        <f>(Forecast!R11)/1000000</f>
        <v>3.8915569800000003</v>
      </c>
      <c r="V55" s="1353">
        <f>(Forecast!S11)/1000000</f>
        <v>4.2345928499999994</v>
      </c>
      <c r="W55" s="1353">
        <f>(Forecast!T11)/1000000</f>
        <v>4.0367214499999999</v>
      </c>
      <c r="X55" s="1325">
        <f>(Forecast!U11)/1000000</f>
        <v>4.8639071145050004</v>
      </c>
      <c r="Y55" s="1353">
        <f>(Forecast!V11)/1000000</f>
        <v>3.013263404945</v>
      </c>
      <c r="Z55" s="1324">
        <f>(Forecast!W11)/1000000</f>
        <v>4.7017348787900008</v>
      </c>
      <c r="AA55" s="1324">
        <f>(Forecast!X11)/1000000</f>
        <v>3.8051115429290001</v>
      </c>
      <c r="AB55" s="1353">
        <f>(Forecast!Y11)/1000000</f>
        <v>5.8635942243259995</v>
      </c>
      <c r="AC55" s="1354">
        <f>(Forecast!Z11)/1000000</f>
        <v>5.0605717275539996</v>
      </c>
      <c r="AD55" s="1353">
        <f>(Forecast!AA11)/1000000</f>
        <v>6.7824306262389999</v>
      </c>
      <c r="AE55" s="1353">
        <f>(Forecast!AB11)/1000000</f>
        <v>8.8659923166666665</v>
      </c>
      <c r="AF55" s="1325">
        <f>(Forecast!AC11)/1000000</f>
        <v>12.137055501666666</v>
      </c>
      <c r="AG55" s="1353">
        <f>(Forecast!AD11)/1000000</f>
        <v>6.7268966350118387</v>
      </c>
      <c r="AH55" s="1324">
        <f>(Forecast!AE11)/1000000</f>
        <v>8.9501753958095467</v>
      </c>
      <c r="AI55" s="1324">
        <f>(Forecast!AF11)/1000000</f>
        <v>8.8238218664191823</v>
      </c>
      <c r="AJ55" s="1353">
        <f>(Forecast!AG11)/1000000</f>
        <v>13.509726705942095</v>
      </c>
      <c r="AK55" s="1354">
        <f>(Forecast!AH11)/1000000</f>
        <v>9.4797837680577093</v>
      </c>
      <c r="AL55" s="1353">
        <f>(Forecast!AI11)/1000000</f>
        <v>12.863204883443638</v>
      </c>
      <c r="AM55" s="1353">
        <f>(Forecast!AJ11)/1000000</f>
        <v>12.06665683814875</v>
      </c>
      <c r="AN55" s="1325">
        <f>(Forecast!AK11)/1000000</f>
        <v>17.570224680802717</v>
      </c>
      <c r="AO55" s="1353">
        <f>(Forecast!AL11)/1000000</f>
        <v>12.409631167387712</v>
      </c>
      <c r="AP55" s="1324">
        <f>(Forecast!AM11)/1000000</f>
        <v>16.838741488170221</v>
      </c>
      <c r="AQ55" s="1324">
        <f>(Forecast!AN11)/1000000</f>
        <v>15.796010167386257</v>
      </c>
      <c r="AR55" s="1353">
        <f>(Forecast!AO11)/1000000</f>
        <v>23.000525449914132</v>
      </c>
      <c r="AS55" s="1354">
        <f>(Forecast!AP11)/1000000</f>
        <v>16.045899036635085</v>
      </c>
      <c r="AT55" s="1353">
        <f>(Forecast!AQ11)/1000000</f>
        <v>21.772826458633158</v>
      </c>
      <c r="AU55" s="1353">
        <f>(Forecast!AR11)/1000000</f>
        <v>20.424554195746985</v>
      </c>
      <c r="AV55" s="1325">
        <f>(Forecast!AS11)/1000000</f>
        <v>29.740135236957872</v>
      </c>
      <c r="AW55" s="1353">
        <f>(Forecast!AT11)/1000000</f>
        <v>20.625484196711479</v>
      </c>
      <c r="AX55" s="1324">
        <f>(Forecast!AU11)/1000000</f>
        <v>27.98690724745164</v>
      </c>
      <c r="AY55" s="1324">
        <f>(Forecast!AV11)/1000000</f>
        <v>26.253830890213454</v>
      </c>
      <c r="AZ55" s="1324">
        <f>(Forecast!AW11)/1000000</f>
        <v>38.228128441880763</v>
      </c>
    </row>
    <row r="56" spans="4:52" hidden="1" outlineLevel="1" x14ac:dyDescent="0.25">
      <c r="D56" s="377" t="str">
        <f>Forecast!C12</f>
        <v>Expansion ARR</v>
      </c>
      <c r="E56" s="377"/>
      <c r="F56" s="377"/>
      <c r="G56" s="1324">
        <f>(Forecast!D12)/1000000</f>
        <v>5.9986532500000003</v>
      </c>
      <c r="H56" s="1324">
        <f>(Forecast!E12)/1000000</f>
        <v>10.710029496410002</v>
      </c>
      <c r="I56" s="1325">
        <f>(Forecast!F12)/1000000</f>
        <v>14.958265513111998</v>
      </c>
      <c r="J56" s="1324">
        <f>(Forecast!G12)/1000000</f>
        <v>31.086192148306669</v>
      </c>
      <c r="K56" s="1324">
        <f>(Forecast!H12)/1000000</f>
        <v>49.48937939681732</v>
      </c>
      <c r="L56" s="1324">
        <f>(Forecast!I12)/1000000</f>
        <v>77.082629829547173</v>
      </c>
      <c r="M56" s="1324">
        <f>(Forecast!J12)/1000000</f>
        <v>119.09571672714165</v>
      </c>
      <c r="N56" s="1324">
        <f>(Forecast!K12)/1000000</f>
        <v>178.69197569702692</v>
      </c>
      <c r="O56" s="1324">
        <f>(Forecast!L12)/1000000</f>
        <v>260.25119609874258</v>
      </c>
      <c r="P56" s="1694"/>
      <c r="Q56" s="1324">
        <f>(Forecast!N12)/1000000</f>
        <v>1.0706611699999999</v>
      </c>
      <c r="R56" s="1324">
        <f>(Forecast!O12)/1000000</f>
        <v>1.2649630199999999</v>
      </c>
      <c r="S56" s="1324">
        <f>(Forecast!P12)/1000000</f>
        <v>1.4647779599999999</v>
      </c>
      <c r="T56" s="1353">
        <f>(Forecast!Q12)/1000000</f>
        <v>2.1982511000000002</v>
      </c>
      <c r="U56" s="1354">
        <f>(Forecast!R12)/1000000</f>
        <v>1.7967673100000001</v>
      </c>
      <c r="V56" s="1353">
        <f>(Forecast!S12)/1000000</f>
        <v>3.2699549999999999</v>
      </c>
      <c r="W56" s="1353">
        <f>(Forecast!T12)/1000000</f>
        <v>1.9764168599999998</v>
      </c>
      <c r="X56" s="1325">
        <f>(Forecast!U12)/1000000</f>
        <v>3.6668903264100003</v>
      </c>
      <c r="Y56" s="1353">
        <f>(Forecast!V12)/1000000</f>
        <v>2.2123496687179998</v>
      </c>
      <c r="Z56" s="1324">
        <f>(Forecast!W12)/1000000</f>
        <v>3.4091707704760004</v>
      </c>
      <c r="AA56" s="1324">
        <f>(Forecast!X12)/1000000</f>
        <v>4.3474635640289998</v>
      </c>
      <c r="AB56" s="1353">
        <f>(Forecast!Y12)/1000000</f>
        <v>4.9892815098890004</v>
      </c>
      <c r="AC56" s="1354">
        <f>(Forecast!Z12)/1000000</f>
        <v>4.0080725186189996</v>
      </c>
      <c r="AD56" s="1353">
        <f>(Forecast!AA12)/1000000</f>
        <v>7.4046799480209993</v>
      </c>
      <c r="AE56" s="1353">
        <f>(Forecast!AB12)/1000000</f>
        <v>8.4327076833333336</v>
      </c>
      <c r="AF56" s="1325">
        <f>(Forecast!AC12)/1000000</f>
        <v>11.240731998333334</v>
      </c>
      <c r="AG56" s="1353">
        <f>(Forecast!AD12)/1000000</f>
        <v>8.7583400231407911</v>
      </c>
      <c r="AH56" s="1324">
        <f>(Forecast!AE12)/1000000</f>
        <v>11.653022728973561</v>
      </c>
      <c r="AI56" s="1324">
        <f>(Forecast!AF12)/1000000</f>
        <v>11.488511925022021</v>
      </c>
      <c r="AJ56" s="1353">
        <f>(Forecast!AG12)/1000000</f>
        <v>17.589504719680949</v>
      </c>
      <c r="AK56" s="1354">
        <f>(Forecast!AH12)/1000000</f>
        <v>14.057877802717423</v>
      </c>
      <c r="AL56" s="1353">
        <f>(Forecast!AI12)/1000000</f>
        <v>19.075262350611442</v>
      </c>
      <c r="AM56" s="1353">
        <f>(Forecast!AJ12)/1000000</f>
        <v>17.894035504227027</v>
      </c>
      <c r="AN56" s="1325">
        <f>(Forecast!AK12)/1000000</f>
        <v>26.055454171991272</v>
      </c>
      <c r="AO56" s="1353">
        <f>(Forecast!AL12)/1000000</f>
        <v>21.719978110236227</v>
      </c>
      <c r="AP56" s="1324">
        <f>(Forecast!AM12)/1000000</f>
        <v>29.472036001209645</v>
      </c>
      <c r="AQ56" s="1324">
        <f>(Forecast!AN12)/1000000</f>
        <v>27.646993729058622</v>
      </c>
      <c r="AR56" s="1353">
        <f>(Forecast!AO12)/1000000</f>
        <v>40.256708886637156</v>
      </c>
      <c r="AS56" s="1354">
        <f>(Forecast!AP12)/1000000</f>
        <v>32.588794183979033</v>
      </c>
      <c r="AT56" s="1353">
        <f>(Forecast!AQ12)/1000000</f>
        <v>44.220031463733157</v>
      </c>
      <c r="AU56" s="1353">
        <f>(Forecast!AR12)/1000000</f>
        <v>41.481726356686977</v>
      </c>
      <c r="AV56" s="1325">
        <f>(Forecast!AS12)/1000000</f>
        <v>60.401423692627716</v>
      </c>
      <c r="AW56" s="1353">
        <f>(Forecast!AT12)/1000000</f>
        <v>47.463086312148285</v>
      </c>
      <c r="AX56" s="1324">
        <f>(Forecast!AU12)/1000000</f>
        <v>64.4030938438612</v>
      </c>
      <c r="AY56" s="1324">
        <f>(Forecast!AV12)/1000000</f>
        <v>60.414961883194088</v>
      </c>
      <c r="AZ56" s="1324">
        <f>(Forecast!AW12)/1000000</f>
        <v>87.970054059539066</v>
      </c>
    </row>
    <row r="57" spans="4:52" hidden="1" outlineLevel="1" x14ac:dyDescent="0.25">
      <c r="D57" s="377" t="str">
        <f>Forecast!C13</f>
        <v>Churn</v>
      </c>
      <c r="E57" s="377"/>
      <c r="F57" s="377"/>
      <c r="G57" s="1326">
        <f>(Forecast!D13)/1000000</f>
        <v>-1.45374541</v>
      </c>
      <c r="H57" s="1326">
        <f>(Forecast!E13)/1000000</f>
        <v>-2.9289889899999997</v>
      </c>
      <c r="I57" s="1327">
        <f>(Forecast!F13)/1000000</f>
        <v>-5.7257791366670006</v>
      </c>
      <c r="J57" s="1326">
        <f>(Forecast!G13)/1000000</f>
        <v>-6.6648313625129996</v>
      </c>
      <c r="K57" s="1326">
        <f>(Forecast!H13)/1000000</f>
        <v>-11.142369217191266</v>
      </c>
      <c r="L57" s="1326">
        <f>(Forecast!I13)/1000000</f>
        <v>-17.374667396143003</v>
      </c>
      <c r="M57" s="1326">
        <f>(Forecast!J13)/1000000</f>
        <v>-25.251532722100112</v>
      </c>
      <c r="N57" s="1326">
        <f>(Forecast!K13)/1000000</f>
        <v>-36.014778168719644</v>
      </c>
      <c r="O57" s="1326">
        <f>(Forecast!L13)/1000000</f>
        <v>-50.424228841166673</v>
      </c>
      <c r="P57" s="1694"/>
      <c r="Q57" s="1326">
        <f>(Forecast!N13)/1000000</f>
        <v>-0.25105939999999999</v>
      </c>
      <c r="R57" s="1326">
        <f>(Forecast!O13)/1000000</f>
        <v>-0.27585100000000001</v>
      </c>
      <c r="S57" s="1326">
        <f>(Forecast!P13)/1000000</f>
        <v>-0.26203799999999999</v>
      </c>
      <c r="T57" s="1326">
        <f>(Forecast!Q13)/1000000</f>
        <v>-0.66479701000000002</v>
      </c>
      <c r="U57" s="1355">
        <f>(Forecast!R13)/1000000</f>
        <v>-0.71691598000000001</v>
      </c>
      <c r="V57" s="1326">
        <f>(Forecast!S13)/1000000</f>
        <v>-0.73975299999999999</v>
      </c>
      <c r="W57" s="1326">
        <f>(Forecast!T13)/1000000</f>
        <v>-0.57187600000000005</v>
      </c>
      <c r="X57" s="1327">
        <f>(Forecast!U13)/1000000</f>
        <v>-0.90044400999999996</v>
      </c>
      <c r="Y57" s="1326">
        <f>(Forecast!V13)/1000000</f>
        <v>-1.1440827900000001</v>
      </c>
      <c r="Z57" s="1326">
        <f>(Forecast!W13)/1000000</f>
        <v>-1.4484253430770002</v>
      </c>
      <c r="AA57" s="1326">
        <f>(Forecast!X13)/1000000</f>
        <v>-1.4986931935900001</v>
      </c>
      <c r="AB57" s="1326">
        <f>(Forecast!Y13)/1000000</f>
        <v>-1.6345778100000001</v>
      </c>
      <c r="AC57" s="1355">
        <f>(Forecast!Z13)/1000000</f>
        <v>-1.7372957081510001</v>
      </c>
      <c r="AD57" s="1326">
        <f>(Forecast!AA13)/1000000</f>
        <v>-1.4275356543620001</v>
      </c>
      <c r="AE57" s="1326">
        <f>(Forecast!AB13)/1000000</f>
        <v>-1.5</v>
      </c>
      <c r="AF57" s="1327">
        <f>(Forecast!AC13)/1000000</f>
        <v>-2</v>
      </c>
      <c r="AG57" s="1326">
        <f>(Forecast!AD13)/1000000</f>
        <v>-2.2926412682011819</v>
      </c>
      <c r="AH57" s="1326">
        <f>(Forecast!AE13)/1000000</f>
        <v>-2.5823560070111897</v>
      </c>
      <c r="AI57" s="1326">
        <f>(Forecast!AF13)/1000000</f>
        <v>-2.3667952514936226</v>
      </c>
      <c r="AJ57" s="1326">
        <f>(Forecast!AG13)/1000000</f>
        <v>-3.9005766904852721</v>
      </c>
      <c r="AK57" s="1355">
        <f>(Forecast!AH13)/1000000</f>
        <v>-3.5749918816375588</v>
      </c>
      <c r="AL57" s="1326">
        <f>(Forecast!AI13)/1000000</f>
        <v>-4.0267537222717715</v>
      </c>
      <c r="AM57" s="1326">
        <f>(Forecast!AJ13)/1000000</f>
        <v>-3.6906226573452479</v>
      </c>
      <c r="AN57" s="1327">
        <f>(Forecast!AK13)/1000000</f>
        <v>-6.0822991348884239</v>
      </c>
      <c r="AO57" s="1326">
        <f>(Forecast!AL13)/1000000</f>
        <v>-5.1957267682979058</v>
      </c>
      <c r="AP57" s="1326">
        <f>(Forecast!AM13)/1000000</f>
        <v>-5.8522963958640366</v>
      </c>
      <c r="AQ57" s="1326">
        <f>(Forecast!AN13)/1000000</f>
        <v>-5.36377915456187</v>
      </c>
      <c r="AR57" s="1326">
        <f>(Forecast!AO13)/1000000</f>
        <v>-8.8397304033763007</v>
      </c>
      <c r="AS57" s="1355">
        <f>(Forecast!AP13)/1000000</f>
        <v>-7.4103599589326281</v>
      </c>
      <c r="AT57" s="1326">
        <f>(Forecast!AQ13)/1000000</f>
        <v>-8.3467866602083856</v>
      </c>
      <c r="AU57" s="1326">
        <f>(Forecast!AR13)/1000000</f>
        <v>-7.6500432082081709</v>
      </c>
      <c r="AV57" s="1327">
        <f>(Forecast!AS13)/1000000</f>
        <v>-12.607588341370459</v>
      </c>
      <c r="AW57" s="1326">
        <f>(Forecast!AT13)/1000000</f>
        <v>-10.375232206460689</v>
      </c>
      <c r="AX57" s="1326">
        <f>(Forecast!AU13)/1000000</f>
        <v>-11.68632161694938</v>
      </c>
      <c r="AY57" s="1326">
        <f>(Forecast!AV13)/1000000</f>
        <v>-10.710812310668061</v>
      </c>
      <c r="AZ57" s="1326">
        <f>(Forecast!AW13)/1000000</f>
        <v>-17.651862707088544</v>
      </c>
    </row>
    <row r="58" spans="4:52" collapsed="1" x14ac:dyDescent="0.25">
      <c r="D58" s="1" t="s">
        <v>1268</v>
      </c>
      <c r="E58" s="1"/>
      <c r="F58" s="1"/>
      <c r="G58" s="1320">
        <f>(Forecast!D14)/1000000</f>
        <v>31.062420149999994</v>
      </c>
      <c r="H58" s="1320">
        <f>(Forecast!E14)/1000000</f>
        <v>55.699084790914988</v>
      </c>
      <c r="I58" s="1321">
        <f>(Forecast!F14)/1000000</f>
        <v>82.420487857434964</v>
      </c>
      <c r="J58" s="1322">
        <f>(Forecast!G14)/1000000</f>
        <v>139.75384215791993</v>
      </c>
      <c r="K58" s="1320">
        <f>(Forecast!H14)/1000000</f>
        <v>216.11147294072867</v>
      </c>
      <c r="L58" s="1323">
        <f>(Forecast!I14)/1000000</f>
        <v>327.79930554458565</v>
      </c>
      <c r="M58" s="1323">
        <f>(Forecast!J14)/1000000</f>
        <v>489.68839782248546</v>
      </c>
      <c r="N58" s="1323">
        <f>(Forecast!K14)/1000000</f>
        <v>720.34901027876583</v>
      </c>
      <c r="O58" s="1323">
        <f>(Forecast!L14)/1000000</f>
        <v>1043.2703283125988</v>
      </c>
      <c r="P58" s="1520"/>
      <c r="Q58" s="1320">
        <f>(Forecast!N14)/1000000</f>
        <v>16.76778895999999</v>
      </c>
      <c r="R58" s="1320">
        <f>(Forecast!O14)/1000000</f>
        <v>20.521462499999998</v>
      </c>
      <c r="S58" s="1320">
        <f>(Forecast!P14)/1000000</f>
        <v>24.541790959999997</v>
      </c>
      <c r="T58" s="1322">
        <f>(Forecast!Q14)/1000000</f>
        <v>30.891265889999993</v>
      </c>
      <c r="U58" s="1352">
        <f>(Forecast!R14)/1000000</f>
        <v>35.862674200000001</v>
      </c>
      <c r="V58" s="1322">
        <f>(Forecast!S14)/1000000</f>
        <v>42.63945751</v>
      </c>
      <c r="W58" s="1322">
        <f>(Forecast!T14)/1000000</f>
        <v>48.074719819999999</v>
      </c>
      <c r="X58" s="1321">
        <f>(Forecast!U14)/1000000</f>
        <v>55.752573250914992</v>
      </c>
      <c r="Y58" s="1322">
        <f>(Forecast!V14)/1000000</f>
        <v>59.885827713662977</v>
      </c>
      <c r="Z58" s="1320">
        <f>(Forecast!W14)/1000000</f>
        <v>66.564252016188959</v>
      </c>
      <c r="AA58" s="1320">
        <f>(Forecast!X14)/1000000</f>
        <v>73.268133943367943</v>
      </c>
      <c r="AB58" s="1322">
        <f>(Forecast!Y14)/1000000</f>
        <v>82.486431884214966</v>
      </c>
      <c r="AC58" s="1352">
        <f>(Forecast!Z14)/1000000</f>
        <v>89.817779738021954</v>
      </c>
      <c r="AD58" s="1322">
        <f>(Forecast!AA14)/1000000</f>
        <v>102.57735482989797</v>
      </c>
      <c r="AE58" s="1322">
        <f>(Forecast!AB14)/1000000</f>
        <v>118.37605483999998</v>
      </c>
      <c r="AF58" s="1321">
        <f>(Forecast!AC14)/1000000</f>
        <v>139.39109748368568</v>
      </c>
      <c r="AG58" s="1322">
        <f>(Forecast!AD14)/1000000</f>
        <v>152.23480850887677</v>
      </c>
      <c r="AH58" s="1320">
        <f>(Forecast!AE14)/1000000</f>
        <v>170.25565062664873</v>
      </c>
      <c r="AI58" s="1320">
        <f>(Forecast!AF14)/1000000</f>
        <v>188.20118916659629</v>
      </c>
      <c r="AJ58" s="1322">
        <f>(Forecast!AG14)/1000000</f>
        <v>215.39984390173402</v>
      </c>
      <c r="AK58" s="1352">
        <f>(Forecast!AH14)/1000000</f>
        <v>235.36251359087154</v>
      </c>
      <c r="AL58" s="1322">
        <f>(Forecast!AI14)/1000000</f>
        <v>263.27422710265483</v>
      </c>
      <c r="AM58" s="1322">
        <f>(Forecast!AJ14)/1000000</f>
        <v>289.54429678768537</v>
      </c>
      <c r="AN58" s="1321">
        <f>(Forecast!AK14)/1000000</f>
        <v>327.08767650559099</v>
      </c>
      <c r="AO58" s="1322">
        <f>(Forecast!AL14)/1000000</f>
        <v>356.0215590149171</v>
      </c>
      <c r="AP58" s="1320">
        <f>(Forecast!AM14)/1000000</f>
        <v>396.480040108433</v>
      </c>
      <c r="AQ58" s="1320">
        <f>(Forecast!AN14)/1000000</f>
        <v>434.55926485031597</v>
      </c>
      <c r="AR58" s="1322">
        <f>(Forecast!AO14)/1000000</f>
        <v>488.97676878349108</v>
      </c>
      <c r="AS58" s="1352">
        <f>(Forecast!AP14)/1000000</f>
        <v>530.20110204517243</v>
      </c>
      <c r="AT58" s="1322">
        <f>(Forecast!AQ14)/1000000</f>
        <v>587.84717330733065</v>
      </c>
      <c r="AU58" s="1322">
        <f>(Forecast!AR14)/1000000</f>
        <v>642.10341065155626</v>
      </c>
      <c r="AV58" s="1321">
        <f>(Forecast!AS14)/1000000</f>
        <v>719.63738123977134</v>
      </c>
      <c r="AW58" s="1322">
        <f>(Forecast!AT14)/1000000</f>
        <v>777.35071954217051</v>
      </c>
      <c r="AX58" s="1320">
        <f>(Forecast!AU14)/1000000</f>
        <v>858.05439901653438</v>
      </c>
      <c r="AY58" s="1320">
        <f>(Forecast!AV14)/1000000</f>
        <v>934.0123794792737</v>
      </c>
      <c r="AZ58" s="1320">
        <f>(Forecast!AW14)/1000000</f>
        <v>1042.558699273605</v>
      </c>
    </row>
    <row r="59" spans="4:52" x14ac:dyDescent="0.25">
      <c r="D59" s="28" t="str">
        <f>Forecast!C15</f>
        <v>YoY Growth</v>
      </c>
      <c r="E59" s="28"/>
      <c r="F59" s="28"/>
      <c r="G59" s="1339">
        <f>Forecast!D15</f>
        <v>1.2829539649772439</v>
      </c>
      <c r="H59" s="1339">
        <f>Forecast!E15</f>
        <v>0.80306902893693599</v>
      </c>
      <c r="I59" s="1340">
        <f>Forecast!F15</f>
        <v>0.47695592728896763</v>
      </c>
      <c r="J59" s="1341">
        <f>Forecast!G15</f>
        <v>0.6942646217663011</v>
      </c>
      <c r="K59" s="1339">
        <f>Forecast!H15</f>
        <v>0.54637231866960501</v>
      </c>
      <c r="L59" s="1339">
        <f>Forecast!I15</f>
        <v>0.51680658636058996</v>
      </c>
      <c r="M59" s="1339">
        <f>Forecast!J15</f>
        <v>0.49386648946356737</v>
      </c>
      <c r="N59" s="1339">
        <f>Forecast!K15</f>
        <v>0.47103548599878398</v>
      </c>
      <c r="O59" s="1339">
        <f>Forecast!L15</f>
        <v>0.44828453072888474</v>
      </c>
      <c r="P59" s="1521"/>
      <c r="Q59" s="1339">
        <f>Forecast!N15</f>
        <v>1.771457489624257</v>
      </c>
      <c r="R59" s="1339">
        <f>Forecast!O15</f>
        <v>1.7009522547263956</v>
      </c>
      <c r="S59" s="1339">
        <f>Forecast!P15</f>
        <v>1.4099272881566804</v>
      </c>
      <c r="T59" s="1341">
        <f>Forecast!Q15</f>
        <v>1.270374864746068</v>
      </c>
      <c r="U59" s="1342">
        <f>Forecast!R15</f>
        <v>1.1387837290623928</v>
      </c>
      <c r="V59" s="1341">
        <f>Forecast!S15</f>
        <v>1.0777981837308133</v>
      </c>
      <c r="W59" s="1341">
        <f>Forecast!T15</f>
        <v>0.95889207508757979</v>
      </c>
      <c r="X59" s="1340">
        <f>Forecast!U15</f>
        <v>0.80480053648312966</v>
      </c>
      <c r="Y59" s="1341">
        <f>Forecast!V15</f>
        <v>0.66986509092127244</v>
      </c>
      <c r="Z59" s="1339">
        <f>Forecast!W15</f>
        <v>0.56109518983861406</v>
      </c>
      <c r="AA59" s="1339">
        <f>Forecast!X15</f>
        <v>0.52404702965917238</v>
      </c>
      <c r="AB59" s="1341">
        <f>Forecast!Y15</f>
        <v>0.47950896388197162</v>
      </c>
      <c r="AC59" s="1342">
        <f>Forecast!Z15</f>
        <v>0.49981695448003283</v>
      </c>
      <c r="AD59" s="1341">
        <f>Forecast!AA15</f>
        <v>0.54102767961623499</v>
      </c>
      <c r="AE59" s="1341">
        <f>Forecast!AB15</f>
        <v>0.61565538070749648</v>
      </c>
      <c r="AF59" s="1340">
        <f>Forecast!AC15</f>
        <v>0.68986697932754537</v>
      </c>
      <c r="AG59" s="1341">
        <f>Forecast!AD15</f>
        <v>0.69492954460587986</v>
      </c>
      <c r="AH59" s="1339">
        <f>Forecast!AE15</f>
        <v>0.65977813435509569</v>
      </c>
      <c r="AI59" s="1339">
        <f>Forecast!AF15</f>
        <v>0.58985860291571401</v>
      </c>
      <c r="AJ59" s="1341">
        <f>Forecast!AG15</f>
        <v>0.54529125453614014</v>
      </c>
      <c r="AK59" s="1342">
        <f>Forecast!AH15</f>
        <v>0.54604926360943007</v>
      </c>
      <c r="AL59" s="1341">
        <f>Forecast!AI15</f>
        <v>0.54634648620259463</v>
      </c>
      <c r="AM59" s="1341">
        <f>Forecast!AJ15</f>
        <v>0.53848282292934857</v>
      </c>
      <c r="AN59" s="1340">
        <f>Forecast!AK15</f>
        <v>0.51851399045028668</v>
      </c>
      <c r="AO59" s="1341">
        <f>Forecast!AL15</f>
        <v>0.2295927185054436</v>
      </c>
      <c r="AP59" s="1339">
        <f>Forecast!AM15</f>
        <v>0.21215217994205271</v>
      </c>
      <c r="AQ59" s="1339">
        <f>Forecast!AN15</f>
        <v>0.22059817403391646</v>
      </c>
      <c r="AR59" s="1341">
        <f>Forecast!AO15</f>
        <v>0.23329479246864793</v>
      </c>
      <c r="AS59" s="1342">
        <f>Forecast!AP15</f>
        <v>0.22008928339797396</v>
      </c>
      <c r="AT59" s="1341">
        <f>Forecast!AQ15</f>
        <v>0.20219857227535765</v>
      </c>
      <c r="AU59" s="1341">
        <f>Forecast!AR15</f>
        <v>0.21105634857177247</v>
      </c>
      <c r="AV59" s="1340">
        <f>Forecast!AS15</f>
        <v>0.22419127609471379</v>
      </c>
      <c r="AW59" s="1341">
        <f>Forecast!AT15</f>
        <v>0.21063166251270315</v>
      </c>
      <c r="AX59" s="1339">
        <f>Forecast!AU15</f>
        <v>0.19234272897039051</v>
      </c>
      <c r="AY59" s="1339">
        <f>Forecast!AV15</f>
        <v>0.20153279079663133</v>
      </c>
      <c r="AZ59" s="1339">
        <f>Forecast!AW15</f>
        <v>0.21502634386414399</v>
      </c>
    </row>
    <row r="60" spans="4:52" x14ac:dyDescent="0.25">
      <c r="D60" s="377"/>
      <c r="E60" s="377"/>
      <c r="F60" s="377"/>
      <c r="I60" s="1689"/>
      <c r="P60" s="1696"/>
      <c r="T60" s="373"/>
      <c r="U60" s="1690"/>
      <c r="V60" s="373"/>
      <c r="W60" s="373"/>
      <c r="X60" s="1689"/>
      <c r="Y60" s="373"/>
      <c r="AB60" s="373"/>
      <c r="AC60" s="1690"/>
      <c r="AD60" s="373"/>
      <c r="AE60" s="373"/>
      <c r="AF60" s="1689"/>
      <c r="AG60" s="373"/>
      <c r="AJ60" s="373"/>
      <c r="AK60" s="1690"/>
      <c r="AL60" s="373"/>
      <c r="AM60" s="373"/>
      <c r="AN60" s="1689"/>
      <c r="AO60" s="373"/>
      <c r="AR60" s="373"/>
      <c r="AS60" s="1690"/>
      <c r="AT60" s="373"/>
      <c r="AU60" s="373"/>
      <c r="AV60" s="1689"/>
      <c r="AW60" s="373"/>
    </row>
    <row r="61" spans="4:52" hidden="1" outlineLevel="1" x14ac:dyDescent="0.25">
      <c r="D61" s="7" t="s">
        <v>806</v>
      </c>
      <c r="E61" s="7"/>
      <c r="F61" s="377"/>
      <c r="I61" s="1689"/>
      <c r="P61" s="1696"/>
      <c r="T61" s="373"/>
      <c r="U61" s="1690"/>
      <c r="V61" s="373"/>
      <c r="W61" s="373"/>
      <c r="X61" s="1689"/>
      <c r="Y61" s="373"/>
      <c r="AB61" s="373"/>
      <c r="AC61" s="1690"/>
      <c r="AD61" s="373"/>
      <c r="AE61" s="373"/>
      <c r="AF61" s="1689"/>
      <c r="AG61" s="373"/>
      <c r="AJ61" s="373"/>
      <c r="AK61" s="1690"/>
      <c r="AL61" s="373"/>
      <c r="AM61" s="373"/>
      <c r="AN61" s="1689"/>
      <c r="AO61" s="373"/>
      <c r="AR61" s="373"/>
      <c r="AS61" s="1690"/>
      <c r="AT61" s="373"/>
      <c r="AU61" s="373"/>
      <c r="AV61" s="1689"/>
      <c r="AW61" s="373"/>
    </row>
    <row r="62" spans="4:52" hidden="1" outlineLevel="1" x14ac:dyDescent="0.25">
      <c r="D62" s="1" t="str">
        <f>D54</f>
        <v>BOP ARR</v>
      </c>
      <c r="E62" s="1"/>
      <c r="F62" s="1"/>
      <c r="G62" s="1330">
        <f>Q62</f>
        <v>0.39462203999999956</v>
      </c>
      <c r="H62" s="1330">
        <f>U62</f>
        <v>1.6869246000000202</v>
      </c>
      <c r="I62" s="1331">
        <f>Y62</f>
        <v>4.623209760000015</v>
      </c>
      <c r="J62" s="1332">
        <f>AC62</f>
        <v>8.3459905600000042</v>
      </c>
      <c r="K62" s="1333">
        <f>AG62</f>
        <v>15.735266517154002</v>
      </c>
      <c r="L62" s="1333">
        <f>AK62</f>
        <v>20.621470786312639</v>
      </c>
      <c r="M62" s="1333">
        <f>AO62</f>
        <v>24.666424473812434</v>
      </c>
      <c r="N62" s="1333">
        <f>AS62</f>
        <v>20.873065676527027</v>
      </c>
      <c r="O62" s="1333">
        <f>AW62</f>
        <v>17.663073592168317</v>
      </c>
      <c r="P62" s="1520"/>
      <c r="Q62" s="481">
        <f>'Revenue Build'!D24/1000</f>
        <v>0.39462203999999956</v>
      </c>
      <c r="R62" s="481">
        <f>'Revenue Build'!E24/1000</f>
        <v>0.61780463999999879</v>
      </c>
      <c r="S62" s="481">
        <f>'Revenue Build'!F24/1000</f>
        <v>0.98722955999999817</v>
      </c>
      <c r="T62" s="482">
        <f>'Revenue Build'!G24/1000</f>
        <v>1.3693386000000072</v>
      </c>
      <c r="U62" s="1295">
        <f>'Revenue Build'!H24/1000</f>
        <v>1.6869246000000202</v>
      </c>
      <c r="V62" s="482">
        <f>'Revenue Build'!I24/1000</f>
        <v>2.2125564000000191</v>
      </c>
      <c r="W62" s="482">
        <f>'Revenue Build'!J24/1000</f>
        <v>3.2770201200000182</v>
      </c>
      <c r="X62" s="483">
        <f>'Revenue Build'!K24/1000</f>
        <v>4.0440045600000163</v>
      </c>
      <c r="Y62" s="482">
        <f>'Revenue Build'!L24/1000</f>
        <v>4.623209760000015</v>
      </c>
      <c r="Z62" s="481">
        <f>'Revenue Build'!M24/1000</f>
        <v>5.3900430000000137</v>
      </c>
      <c r="AA62" s="481">
        <f>'Revenue Build'!N24/1000</f>
        <v>6.1543922800000095</v>
      </c>
      <c r="AB62" s="482">
        <f>'Revenue Build'!O24/1000</f>
        <v>7.1863457200000074</v>
      </c>
      <c r="AC62" s="1295">
        <f>'Revenue Build'!P24/1000</f>
        <v>8.3459905600000042</v>
      </c>
      <c r="AD62" s="482">
        <f>'Revenue Build'!Q24/1000</f>
        <v>9.8894050000000036</v>
      </c>
      <c r="AE62" s="482">
        <f>'Revenue Build'!R24/1000</f>
        <v>11.502960880000002</v>
      </c>
      <c r="AF62" s="483">
        <f>'Revenue Build'!S24/1000</f>
        <v>13.246097680000002</v>
      </c>
      <c r="AG62" s="482">
        <f>'Revenue Build'!T24/1000</f>
        <v>15.735266517154002</v>
      </c>
      <c r="AH62" s="481">
        <f>'Revenue Build'!U24/1000</f>
        <v>16.821107524652646</v>
      </c>
      <c r="AI62" s="481">
        <f>'Revenue Build'!V24/1000</f>
        <v>17.990616585387261</v>
      </c>
      <c r="AJ62" s="482">
        <f>'Revenue Build'!W24/1000</f>
        <v>19.241568687774777</v>
      </c>
      <c r="AK62" s="1295">
        <f>'Revenue Build'!X24/1000</f>
        <v>20.621470786312639</v>
      </c>
      <c r="AL62" s="482">
        <f>'Revenue Build'!Y24/1000</f>
        <v>21.48061220434489</v>
      </c>
      <c r="AM62" s="482">
        <f>'Revenue Build'!Z24/1000</f>
        <v>22.420587535921694</v>
      </c>
      <c r="AN62" s="483">
        <f>'Revenue Build'!AA24/1000</f>
        <v>23.459869362320553</v>
      </c>
      <c r="AO62" s="482">
        <f>AN66</f>
        <v>24.666424473812434</v>
      </c>
      <c r="AP62" s="481">
        <f t="shared" ref="AP62:AZ62" si="9">AO66</f>
        <v>23.6579010229595</v>
      </c>
      <c r="AQ62" s="481">
        <f t="shared" si="9"/>
        <v>22.690612553366218</v>
      </c>
      <c r="AR62" s="482">
        <f t="shared" si="9"/>
        <v>21.762873111495221</v>
      </c>
      <c r="AS62" s="1295">
        <f t="shared" si="9"/>
        <v>20.873065676527027</v>
      </c>
      <c r="AT62" s="482">
        <f t="shared" si="9"/>
        <v>20.019639341943343</v>
      </c>
      <c r="AU62" s="482">
        <f t="shared" si="9"/>
        <v>19.201106612345534</v>
      </c>
      <c r="AV62" s="483">
        <f t="shared" si="9"/>
        <v>18.41604081079668</v>
      </c>
      <c r="AW62" s="482">
        <f t="shared" si="9"/>
        <v>17.663073592168317</v>
      </c>
      <c r="AX62" s="481">
        <f t="shared" si="9"/>
        <v>16.940892558157689</v>
      </c>
      <c r="AY62" s="481">
        <f t="shared" si="9"/>
        <v>16.248238969818573</v>
      </c>
      <c r="AZ62" s="481">
        <f t="shared" si="9"/>
        <v>15.583905553618676</v>
      </c>
    </row>
    <row r="63" spans="4:52" hidden="1" outlineLevel="1" x14ac:dyDescent="0.25">
      <c r="D63" s="377" t="str">
        <f>D55</f>
        <v>New Customer ARR</v>
      </c>
      <c r="E63" s="377"/>
      <c r="F63" s="377"/>
      <c r="G63" s="1360">
        <f>SUM(Q63:T63)</f>
        <v>1.2448004399999977</v>
      </c>
      <c r="H63" s="1360">
        <f>SUM(U63:X63)</f>
        <v>2.5534989599999953</v>
      </c>
      <c r="I63" s="1361">
        <f>SUM(Y63:AB63)</f>
        <v>3.1582645599999908</v>
      </c>
      <c r="J63" s="1360">
        <f>SUM(AC63:AF63)</f>
        <v>4.5250117199999949</v>
      </c>
      <c r="K63" s="1360">
        <f>SUM(AG63:AJ63)</f>
        <v>2.5484939999999998</v>
      </c>
      <c r="L63" s="1360">
        <f>SUM(AK63:AN63)</f>
        <v>2.37543975</v>
      </c>
      <c r="M63" s="1360">
        <f>SUM(AO63:AR63)</f>
        <v>0</v>
      </c>
      <c r="N63" s="1360">
        <f>SUM(AS63:AV63)</f>
        <v>0</v>
      </c>
      <c r="O63" s="1360">
        <f>SUM(AW63:AZ63)</f>
        <v>0</v>
      </c>
      <c r="P63" s="1697"/>
      <c r="Q63" s="1356">
        <f>SUM('Revenue Build'!D25:D26)/10^3</f>
        <v>0.20583059999999992</v>
      </c>
      <c r="R63" s="1356">
        <f>SUM('Revenue Build'!E25:E26)/10^3</f>
        <v>0.33472247999999927</v>
      </c>
      <c r="S63" s="1356">
        <f>SUM('Revenue Build'!F25:F26)/10^3</f>
        <v>0.42266135999999932</v>
      </c>
      <c r="T63" s="1358">
        <f>SUM('Revenue Build'!G25:G26)/10^3</f>
        <v>0.28158599999999923</v>
      </c>
      <c r="U63" s="1359">
        <f>SUM('Revenue Build'!H25:H26)/10^3</f>
        <v>0.47113379999999888</v>
      </c>
      <c r="V63" s="1358">
        <f>SUM('Revenue Build'!I25:I26)/10^3</f>
        <v>0.92029211999999949</v>
      </c>
      <c r="W63" s="1358">
        <f>SUM('Revenue Build'!J25:J26)/10^3</f>
        <v>0.60612911999999841</v>
      </c>
      <c r="X63" s="1357">
        <f>SUM('Revenue Build'!K25:K26)/10^3</f>
        <v>0.55594391999999848</v>
      </c>
      <c r="Y63" s="1358">
        <f>SUM('Revenue Build'!L25:L26)/10^3</f>
        <v>0.6715271999999981</v>
      </c>
      <c r="Z63" s="1356">
        <f>SUM('Revenue Build'!M25:M26)/10^3</f>
        <v>0.76152903999999799</v>
      </c>
      <c r="AA63" s="1356">
        <f>SUM('Revenue Build'!N25:N26)/10^3</f>
        <v>0.86648003999999712</v>
      </c>
      <c r="AB63" s="1358">
        <f>SUM('Revenue Build'!O25:O26)/10^3</f>
        <v>0.85872827999999757</v>
      </c>
      <c r="AC63" s="1359">
        <f>SUM('Revenue Build'!P25:P26)/10^3</f>
        <v>0.90458195999999691</v>
      </c>
      <c r="AD63" s="1358">
        <f>SUM('Revenue Build'!Q25:Q26)/10^3</f>
        <v>1.0883864399999992</v>
      </c>
      <c r="AE63" s="1358">
        <f>SUM('Revenue Build'!R25:R26)/10^3</f>
        <v>1.0574083199999986</v>
      </c>
      <c r="AF63" s="1357">
        <f>SUM('Revenue Build'!S25:S26)/10^3</f>
        <v>1.4746349999999997</v>
      </c>
      <c r="AG63" s="1358">
        <f>SUM('Revenue Build'!T25:T26)/10^3</f>
        <v>0.56457000000000002</v>
      </c>
      <c r="AH63" s="1356">
        <f>SUM('Revenue Build'!U25:U26)/10^3</f>
        <v>0.60850800000000005</v>
      </c>
      <c r="AI63" s="1356">
        <f>SUM('Revenue Build'!V25:V26)/10^3</f>
        <v>0.64665000000000006</v>
      </c>
      <c r="AJ63" s="1358">
        <f>SUM('Revenue Build'!W25:W26)/10^3</f>
        <v>0.72876600000000002</v>
      </c>
      <c r="AK63" s="1359">
        <f>SUM('Revenue Build'!X25:X26)/10^3</f>
        <v>0.47953687500000003</v>
      </c>
      <c r="AL63" s="1358">
        <f>SUM('Revenue Build'!Y25:Y26)/10^3</f>
        <v>0.53653725000000008</v>
      </c>
      <c r="AM63" s="1358">
        <f>SUM('Revenue Build'!Z25:Z26)/10^3</f>
        <v>0.61011562500000005</v>
      </c>
      <c r="AN63" s="1357">
        <f>SUM('Revenue Build'!AA25:AA26)/10^3</f>
        <v>0.74924999999999997</v>
      </c>
      <c r="AO63" s="1284"/>
      <c r="AP63" s="477"/>
      <c r="AQ63" s="477"/>
      <c r="AR63" s="1284"/>
      <c r="AS63" s="1296"/>
      <c r="AT63" s="1284"/>
      <c r="AU63" s="1284"/>
      <c r="AV63" s="478"/>
      <c r="AW63" s="1284"/>
      <c r="AX63" s="477"/>
      <c r="AY63" s="477"/>
      <c r="AZ63" s="477"/>
    </row>
    <row r="64" spans="4:52" hidden="1" outlineLevel="1" x14ac:dyDescent="0.25">
      <c r="D64" s="377" t="str">
        <f>D56</f>
        <v>Expansion ARR</v>
      </c>
      <c r="E64" s="377"/>
      <c r="F64" s="377"/>
      <c r="G64" s="1360">
        <f t="shared" ref="G64:G65" si="10">SUM(Q64:T64)</f>
        <v>0.28186752000000015</v>
      </c>
      <c r="H64" s="1360">
        <f t="shared" ref="H64:H65" si="11">SUM(U64:X64)</f>
        <v>0.85127555999999982</v>
      </c>
      <c r="I64" s="1361">
        <f t="shared" ref="I64:I65" si="12">SUM(Y64:AB64)</f>
        <v>1.8269954399999984</v>
      </c>
      <c r="J64" s="1360">
        <f t="shared" ref="J64:J65" si="13">SUM(AC64:AF64)</f>
        <v>4.289530838954005</v>
      </c>
      <c r="K64" s="1360">
        <f t="shared" ref="K64:K65" si="14">SUM(AG64:AJ64)</f>
        <v>5.1305111829228096</v>
      </c>
      <c r="L64" s="1360">
        <f t="shared" ref="L64:L65" si="15">SUM(AK64:AN64)</f>
        <v>5.2430830928761827</v>
      </c>
      <c r="M64" s="1360">
        <f t="shared" ref="M64:M65" si="16">SUM(AO64:AR64)</f>
        <v>0</v>
      </c>
      <c r="N64" s="1360">
        <f t="shared" ref="N64:N65" si="17">SUM(AS64:AV64)</f>
        <v>0</v>
      </c>
      <c r="O64" s="1360">
        <f t="shared" ref="O64:O65" si="18">SUM(AW64:AZ64)</f>
        <v>0</v>
      </c>
      <c r="P64" s="1697"/>
      <c r="Q64" s="1362">
        <f>('Revenue Build'!D27)/10^3</f>
        <v>2.9879999999999997E-2</v>
      </c>
      <c r="R64" s="1362">
        <f>('Revenue Build'!E27)/10^3</f>
        <v>6.5954040000000005E-2</v>
      </c>
      <c r="S64" s="1362">
        <f>('Revenue Build'!F27)/10^3</f>
        <v>6.1219680000000026E-2</v>
      </c>
      <c r="T64" s="1363">
        <f>('Revenue Build'!G27)/10^3</f>
        <v>0.1248138000000001</v>
      </c>
      <c r="U64" s="1364">
        <f>('Revenue Build'!H27)/10^3</f>
        <v>0.12546600000000008</v>
      </c>
      <c r="V64" s="1363">
        <f>('Revenue Build'!I27)/10^3</f>
        <v>0.24900119999999989</v>
      </c>
      <c r="W64" s="1363">
        <f>('Revenue Build'!J27)/10^3</f>
        <v>0.2706433199999998</v>
      </c>
      <c r="X64" s="1365">
        <f>('Revenue Build'!K27)/10^3</f>
        <v>0.20616504000000002</v>
      </c>
      <c r="Y64" s="1363">
        <f>('Revenue Build'!L27)/10^3</f>
        <v>0.36784691999999974</v>
      </c>
      <c r="Z64" s="1362">
        <f>('Revenue Build'!M27)/10^3</f>
        <v>0.42152087999999932</v>
      </c>
      <c r="AA64" s="1362">
        <f>('Revenue Build'!N27)/10^3</f>
        <v>0.44678507999999967</v>
      </c>
      <c r="AB64" s="1363">
        <f>('Revenue Build'!O27)/10^3</f>
        <v>0.59084255999999957</v>
      </c>
      <c r="AC64" s="1364">
        <f>('Revenue Build'!P27)/10^3</f>
        <v>0.88885128000000324</v>
      </c>
      <c r="AD64" s="1363">
        <f>('Revenue Build'!Q27)/10^3</f>
        <v>0.85880568000000079</v>
      </c>
      <c r="AE64" s="1363">
        <f>('Revenue Build'!R27)/10^3</f>
        <v>1.0774922400000004</v>
      </c>
      <c r="AF64" s="1365">
        <f>('Revenue Build'!S27)/10^3</f>
        <v>1.4643816389540003</v>
      </c>
      <c r="AG64" s="1363">
        <f>('Revenue Build'!T27)/10^3</f>
        <v>1.1453599222600703</v>
      </c>
      <c r="AH64" s="1362">
        <f>('Revenue Build'!U27)/10^3</f>
        <v>1.2322316097877335</v>
      </c>
      <c r="AI64" s="1362">
        <f>('Revenue Build'!V27)/10^3</f>
        <v>1.3261031017142209</v>
      </c>
      <c r="AJ64" s="1363">
        <f>('Revenue Build'!W27)/10^3</f>
        <v>1.4268165491607847</v>
      </c>
      <c r="AK64" s="1364">
        <f>('Revenue Build'!X27)/10^3</f>
        <v>1.2111201636891047</v>
      </c>
      <c r="AL64" s="1363">
        <f>('Revenue Build'!Y27)/10^3</f>
        <v>1.273754726959123</v>
      </c>
      <c r="AM64" s="1363">
        <f>('Revenue Build'!Z27)/10^3</f>
        <v>1.3417114401194479</v>
      </c>
      <c r="AN64" s="1365">
        <f>('Revenue Build'!AA27)/10^3</f>
        <v>1.4164967621085076</v>
      </c>
      <c r="AO64" s="1284"/>
      <c r="AP64" s="477"/>
      <c r="AQ64" s="477"/>
      <c r="AR64" s="1284"/>
      <c r="AS64" s="1296"/>
      <c r="AT64" s="1284"/>
      <c r="AU64" s="1284"/>
      <c r="AV64" s="478"/>
      <c r="AW64" s="1284"/>
      <c r="AX64" s="477"/>
      <c r="AY64" s="477"/>
      <c r="AZ64" s="477"/>
    </row>
    <row r="65" spans="4:52" hidden="1" outlineLevel="1" x14ac:dyDescent="0.25">
      <c r="D65" s="377" t="str">
        <f>D57</f>
        <v>Churn</v>
      </c>
      <c r="E65" s="377"/>
      <c r="F65" s="377"/>
      <c r="G65" s="1366">
        <f t="shared" si="10"/>
        <v>-0.2343654</v>
      </c>
      <c r="H65" s="1366">
        <f t="shared" si="11"/>
        <v>-0.46848936000000008</v>
      </c>
      <c r="I65" s="1367">
        <f t="shared" si="12"/>
        <v>-1.2624791999999998</v>
      </c>
      <c r="J65" s="1366">
        <f t="shared" si="13"/>
        <v>-1.4252666017999993</v>
      </c>
      <c r="K65" s="1366">
        <f t="shared" si="14"/>
        <v>-2.7928009137641698</v>
      </c>
      <c r="L65" s="1366">
        <f t="shared" si="15"/>
        <v>-3.5735691553763935</v>
      </c>
      <c r="M65" s="1366">
        <f t="shared" si="16"/>
        <v>-3.7933587972854061</v>
      </c>
      <c r="N65" s="1366">
        <f t="shared" si="17"/>
        <v>-3.2099920843587091</v>
      </c>
      <c r="O65" s="1366">
        <f t="shared" si="18"/>
        <v>-2.7163391949686724</v>
      </c>
      <c r="P65" s="1697"/>
      <c r="Q65" s="1368">
        <f>('Revenue Build'!D28+'Revenue Build'!D29+'Revenue Build'!D30)/10^3</f>
        <v>-1.2527999999999999E-2</v>
      </c>
      <c r="R65" s="1368">
        <f>('Revenue Build'!E28+'Revenue Build'!E29+'Revenue Build'!E30)/10^3</f>
        <v>-3.125159999999999E-2</v>
      </c>
      <c r="S65" s="1368">
        <f>('Revenue Build'!F28+'Revenue Build'!F29+'Revenue Build'!F30)/10^3</f>
        <v>-0.101772</v>
      </c>
      <c r="T65" s="1368">
        <f>('Revenue Build'!G28+'Revenue Build'!G29+'Revenue Build'!G30)/10^3</f>
        <v>-8.8813799999999984E-2</v>
      </c>
      <c r="U65" s="1369">
        <f>('Revenue Build'!H28+'Revenue Build'!H29+'Revenue Build'!H30)/10^3</f>
        <v>-7.0968000000000017E-2</v>
      </c>
      <c r="V65" s="1368">
        <f>('Revenue Build'!I28+'Revenue Build'!I29+'Revenue Build'!I30)/10^3</f>
        <v>-0.10482960000000001</v>
      </c>
      <c r="W65" s="1368">
        <f>('Revenue Build'!J28+'Revenue Build'!J29+'Revenue Build'!J30)/10^3</f>
        <v>-0.10978800000000002</v>
      </c>
      <c r="X65" s="1370">
        <f>('Revenue Build'!K28+'Revenue Build'!K29+'Revenue Build'!K30)/10^3</f>
        <v>-0.18290376000000005</v>
      </c>
      <c r="Y65" s="1368">
        <f>('Revenue Build'!L28+'Revenue Build'!L29+'Revenue Build'!L30)/10^3</f>
        <v>-0.27254088000000004</v>
      </c>
      <c r="Z65" s="1368">
        <f>('Revenue Build'!M28+'Revenue Build'!M29+'Revenue Build'!M30)/10^3</f>
        <v>-0.41870063999999985</v>
      </c>
      <c r="AA65" s="1368">
        <f>('Revenue Build'!N28+'Revenue Build'!N29+'Revenue Build'!N30)/10^3</f>
        <v>-0.28131168000000001</v>
      </c>
      <c r="AB65" s="1368">
        <f>('Revenue Build'!O28+'Revenue Build'!O29+'Revenue Build'!O30)/10^3</f>
        <v>-0.28992599999999996</v>
      </c>
      <c r="AC65" s="1369">
        <f>('Revenue Build'!P28+'Revenue Build'!P29+'Revenue Build'!P30)/10^3</f>
        <v>-0.25001879999999993</v>
      </c>
      <c r="AD65" s="1368">
        <f>('Revenue Build'!Q28+'Revenue Build'!Q29+'Revenue Build'!Q30)/10^3</f>
        <v>-0.33363623999999964</v>
      </c>
      <c r="AE65" s="1368">
        <f>('Revenue Build'!R28+'Revenue Build'!R29+'Revenue Build'!R30)/10^3</f>
        <v>-0.39176375999999935</v>
      </c>
      <c r="AF65" s="1370">
        <f>('Revenue Build'!S28+'Revenue Build'!S29+'Revenue Build'!S30)/10^3</f>
        <v>-0.44984780180000034</v>
      </c>
      <c r="AG65" s="1368">
        <f>('Revenue Build'!T28+'Revenue Build'!T29+'Revenue Build'!T30)/10^3</f>
        <v>-0.62408891476143058</v>
      </c>
      <c r="AH65" s="1368">
        <f>('Revenue Build'!U28+'Revenue Build'!U29+'Revenue Build'!U30)/10^3</f>
        <v>-0.67123054905311397</v>
      </c>
      <c r="AI65" s="1368">
        <f>('Revenue Build'!V28+'Revenue Build'!V29+'Revenue Build'!V30)/10^3</f>
        <v>-0.72180099932670616</v>
      </c>
      <c r="AJ65" s="1368">
        <f>('Revenue Build'!W28+'Revenue Build'!W29+'Revenue Build'!W30)/10^3</f>
        <v>-0.77568045062291902</v>
      </c>
      <c r="AK65" s="1369">
        <f>('Revenue Build'!X28+'Revenue Build'!X29+'Revenue Build'!X30)/10^3</f>
        <v>-0.83151562065685702</v>
      </c>
      <c r="AL65" s="1368">
        <f>('Revenue Build'!Y28+'Revenue Build'!Y29+'Revenue Build'!Y30)/10^3</f>
        <v>-0.87031664538232067</v>
      </c>
      <c r="AM65" s="1368">
        <f>('Revenue Build'!Z28+'Revenue Build'!Z29+'Revenue Build'!Z30)/10^3</f>
        <v>-0.91254523872058591</v>
      </c>
      <c r="AN65" s="1370">
        <f>('Revenue Build'!AA28+'Revenue Build'!AA29+'Revenue Build'!AA30)/10^3</f>
        <v>-0.95919165061662937</v>
      </c>
      <c r="AO65" s="496">
        <f>AO62*AO68</f>
        <v>-1.008523450852935</v>
      </c>
      <c r="AP65" s="496">
        <f t="shared" ref="AP65:AZ65" si="19">AP62*AP68</f>
        <v>-0.96728846959328174</v>
      </c>
      <c r="AQ65" s="496">
        <f t="shared" si="19"/>
        <v>-0.92773944187099622</v>
      </c>
      <c r="AR65" s="496">
        <f t="shared" si="19"/>
        <v>-0.88980743496819348</v>
      </c>
      <c r="AS65" s="1297">
        <f t="shared" si="19"/>
        <v>-0.85342633458368278</v>
      </c>
      <c r="AT65" s="496">
        <f t="shared" si="19"/>
        <v>-0.81853272959780865</v>
      </c>
      <c r="AU65" s="496">
        <f t="shared" si="19"/>
        <v>-0.78506580154885397</v>
      </c>
      <c r="AV65" s="497">
        <f t="shared" si="19"/>
        <v>-0.75296721862836391</v>
      </c>
      <c r="AW65" s="496">
        <f t="shared" si="19"/>
        <v>-0.72218103401062861</v>
      </c>
      <c r="AX65" s="496">
        <f t="shared" si="19"/>
        <v>-0.69265358833911705</v>
      </c>
      <c r="AY65" s="496">
        <f t="shared" si="19"/>
        <v>-0.66433341619989716</v>
      </c>
      <c r="AZ65" s="496">
        <f t="shared" si="19"/>
        <v>-0.63717115641902977</v>
      </c>
    </row>
    <row r="66" spans="4:52" collapsed="1" x14ac:dyDescent="0.25">
      <c r="D66" s="1" t="s">
        <v>1269</v>
      </c>
      <c r="E66" s="1"/>
      <c r="F66" s="1"/>
      <c r="G66" s="495">
        <f t="shared" ref="G66:O66" si="20">SUM(G62:G65)</f>
        <v>1.6869245999999973</v>
      </c>
      <c r="H66" s="495">
        <f t="shared" si="20"/>
        <v>4.623209760000015</v>
      </c>
      <c r="I66" s="1316">
        <f t="shared" si="20"/>
        <v>8.3459905600000059</v>
      </c>
      <c r="J66" s="1287">
        <f t="shared" si="20"/>
        <v>15.735266517154004</v>
      </c>
      <c r="K66" s="1330">
        <f t="shared" si="20"/>
        <v>20.621470786312642</v>
      </c>
      <c r="L66" s="1333">
        <f t="shared" si="20"/>
        <v>24.66642447381243</v>
      </c>
      <c r="M66" s="1333">
        <f t="shared" si="20"/>
        <v>20.873065676527027</v>
      </c>
      <c r="N66" s="1333">
        <f t="shared" si="20"/>
        <v>17.663073592168317</v>
      </c>
      <c r="O66" s="1333">
        <f t="shared" si="20"/>
        <v>14.946734397199645</v>
      </c>
      <c r="P66" s="1520"/>
      <c r="Q66" s="1330">
        <f t="shared" ref="Q66:AO66" si="21">SUM(Q62:Q65)</f>
        <v>0.61780463999999946</v>
      </c>
      <c r="R66" s="1330">
        <f t="shared" si="21"/>
        <v>0.98722955999999806</v>
      </c>
      <c r="S66" s="1330">
        <f t="shared" si="21"/>
        <v>1.3693385999999974</v>
      </c>
      <c r="T66" s="1332">
        <f t="shared" si="21"/>
        <v>1.6869246000000064</v>
      </c>
      <c r="U66" s="1351">
        <f t="shared" si="21"/>
        <v>2.2125564000000186</v>
      </c>
      <c r="V66" s="1332">
        <f t="shared" si="21"/>
        <v>3.2770201200000186</v>
      </c>
      <c r="W66" s="1332">
        <f t="shared" si="21"/>
        <v>4.0440045600000163</v>
      </c>
      <c r="X66" s="1331">
        <f t="shared" si="21"/>
        <v>4.6232097600000142</v>
      </c>
      <c r="Y66" s="1332">
        <f t="shared" si="21"/>
        <v>5.3900430000000128</v>
      </c>
      <c r="Z66" s="1330">
        <f t="shared" si="21"/>
        <v>6.1543922800000113</v>
      </c>
      <c r="AA66" s="1330">
        <f t="shared" si="21"/>
        <v>7.1863457200000065</v>
      </c>
      <c r="AB66" s="1332">
        <f t="shared" si="21"/>
        <v>8.3459905600000059</v>
      </c>
      <c r="AC66" s="1351">
        <f t="shared" si="21"/>
        <v>9.8894050000000036</v>
      </c>
      <c r="AD66" s="1332">
        <f t="shared" si="21"/>
        <v>11.502960880000005</v>
      </c>
      <c r="AE66" s="1332">
        <f t="shared" si="21"/>
        <v>13.24609768</v>
      </c>
      <c r="AF66" s="1331">
        <f t="shared" si="21"/>
        <v>15.735266517153999</v>
      </c>
      <c r="AG66" s="1332">
        <f t="shared" si="21"/>
        <v>16.821107524652643</v>
      </c>
      <c r="AH66" s="1330">
        <f t="shared" si="21"/>
        <v>17.990616585387265</v>
      </c>
      <c r="AI66" s="1330">
        <f t="shared" si="21"/>
        <v>19.241568687774777</v>
      </c>
      <c r="AJ66" s="1332">
        <f t="shared" si="21"/>
        <v>20.621470786312642</v>
      </c>
      <c r="AK66" s="1351">
        <f t="shared" si="21"/>
        <v>21.480612204344887</v>
      </c>
      <c r="AL66" s="1332">
        <f t="shared" si="21"/>
        <v>22.42058753592169</v>
      </c>
      <c r="AM66" s="1332">
        <f t="shared" si="21"/>
        <v>23.459869362320553</v>
      </c>
      <c r="AN66" s="1331">
        <f t="shared" si="21"/>
        <v>24.666424473812434</v>
      </c>
      <c r="AO66" s="482">
        <f t="shared" si="21"/>
        <v>23.6579010229595</v>
      </c>
      <c r="AP66" s="481">
        <f t="shared" ref="AP66:AZ66" si="22">SUM(AP62:AP65)</f>
        <v>22.690612553366218</v>
      </c>
      <c r="AQ66" s="481">
        <f t="shared" si="22"/>
        <v>21.762873111495221</v>
      </c>
      <c r="AR66" s="482">
        <f t="shared" si="22"/>
        <v>20.873065676527027</v>
      </c>
      <c r="AS66" s="1295">
        <f t="shared" si="22"/>
        <v>20.019639341943343</v>
      </c>
      <c r="AT66" s="482">
        <f t="shared" si="22"/>
        <v>19.201106612345534</v>
      </c>
      <c r="AU66" s="482">
        <f t="shared" si="22"/>
        <v>18.41604081079668</v>
      </c>
      <c r="AV66" s="483">
        <f t="shared" si="22"/>
        <v>17.663073592168317</v>
      </c>
      <c r="AW66" s="482">
        <f t="shared" si="22"/>
        <v>16.940892558157689</v>
      </c>
      <c r="AX66" s="481">
        <f t="shared" si="22"/>
        <v>16.248238969818573</v>
      </c>
      <c r="AY66" s="481">
        <f t="shared" si="22"/>
        <v>15.583905553618676</v>
      </c>
      <c r="AZ66" s="481">
        <f t="shared" si="22"/>
        <v>14.946734397199647</v>
      </c>
    </row>
    <row r="67" spans="4:52" x14ac:dyDescent="0.25">
      <c r="D67" s="28" t="str">
        <f>D59</f>
        <v>YoY Growth</v>
      </c>
      <c r="E67" s="28"/>
      <c r="F67" s="28"/>
      <c r="G67" s="494"/>
      <c r="H67" s="1346">
        <f t="shared" ref="H67:O67" si="23">IFERROR(H66/G66-1,"NA")</f>
        <v>1.7406143463673613</v>
      </c>
      <c r="I67" s="1347">
        <f t="shared" si="23"/>
        <v>0.80523726874983459</v>
      </c>
      <c r="J67" s="1348">
        <f t="shared" si="23"/>
        <v>0.88536835789974733</v>
      </c>
      <c r="K67" s="1346">
        <f t="shared" si="23"/>
        <v>0.31052567580167012</v>
      </c>
      <c r="L67" s="1346">
        <f t="shared" si="23"/>
        <v>0.19615253099136831</v>
      </c>
      <c r="M67" s="1346">
        <f t="shared" si="23"/>
        <v>-0.15378632607708076</v>
      </c>
      <c r="N67" s="1346">
        <f t="shared" si="23"/>
        <v>-0.15378632607708087</v>
      </c>
      <c r="O67" s="1346">
        <f t="shared" si="23"/>
        <v>-0.15378632607708087</v>
      </c>
      <c r="P67" s="1519"/>
      <c r="Q67" s="493"/>
      <c r="R67" s="493"/>
      <c r="S67" s="493"/>
      <c r="T67" s="1285"/>
      <c r="U67" s="1298"/>
      <c r="V67" s="1285"/>
      <c r="W67" s="1285"/>
      <c r="X67" s="1315"/>
      <c r="Y67" s="1285"/>
      <c r="Z67" s="493"/>
      <c r="AA67" s="493"/>
      <c r="AB67" s="1285"/>
      <c r="AC67" s="1298"/>
      <c r="AD67" s="1285"/>
      <c r="AE67" s="1285"/>
      <c r="AF67" s="1315"/>
      <c r="AG67" s="1285"/>
      <c r="AH67" s="493"/>
      <c r="AI67" s="493"/>
      <c r="AJ67" s="1285"/>
      <c r="AK67" s="1298"/>
      <c r="AL67" s="1285"/>
      <c r="AM67" s="1285"/>
      <c r="AN67" s="1315"/>
      <c r="AO67" s="1285"/>
      <c r="AP67" s="493"/>
      <c r="AQ67" s="493"/>
      <c r="AR67" s="1285"/>
      <c r="AS67" s="1298"/>
      <c r="AT67" s="1285"/>
      <c r="AU67" s="1285"/>
      <c r="AV67" s="1315"/>
      <c r="AW67" s="1285"/>
      <c r="AX67" s="493"/>
      <c r="AY67" s="493"/>
      <c r="AZ67" s="493"/>
    </row>
    <row r="68" spans="4:52" x14ac:dyDescent="0.25">
      <c r="D68" s="28" t="s">
        <v>22</v>
      </c>
      <c r="E68" s="28"/>
      <c r="F68" s="28"/>
      <c r="G68" s="1590">
        <f t="shared" ref="G68:L68" si="24">G65/G62</f>
        <v>-0.593898404660825</v>
      </c>
      <c r="H68" s="1336">
        <f t="shared" si="24"/>
        <v>-0.27771802011778979</v>
      </c>
      <c r="I68" s="1337">
        <f t="shared" si="24"/>
        <v>-0.27307417693286662</v>
      </c>
      <c r="J68" s="1338">
        <f t="shared" si="24"/>
        <v>-0.17077261129804089</v>
      </c>
      <c r="K68" s="1336">
        <f t="shared" si="24"/>
        <v>-0.17748672453177466</v>
      </c>
      <c r="L68" s="1336">
        <f t="shared" si="24"/>
        <v>-0.1732936119061074</v>
      </c>
      <c r="M68" s="1346"/>
      <c r="N68" s="1346"/>
      <c r="O68" s="1346"/>
      <c r="P68" s="1519"/>
      <c r="Q68" s="1586">
        <f>Q65/Q62</f>
        <v>-3.1746832994933617E-2</v>
      </c>
      <c r="R68" s="1586">
        <f t="shared" ref="R68:AN68" si="25">R65/R62</f>
        <v>-5.0584922767818723E-2</v>
      </c>
      <c r="S68" s="1586">
        <f t="shared" si="25"/>
        <v>-0.10308848531642446</v>
      </c>
      <c r="T68" s="1587">
        <f t="shared" si="25"/>
        <v>-6.4858903415122834E-2</v>
      </c>
      <c r="U68" s="1588">
        <f t="shared" si="25"/>
        <v>-4.2069455860682316E-2</v>
      </c>
      <c r="V68" s="1587">
        <f t="shared" si="25"/>
        <v>-4.7379402396250374E-2</v>
      </c>
      <c r="W68" s="1587">
        <f t="shared" si="25"/>
        <v>-3.3502388139136426E-2</v>
      </c>
      <c r="X68" s="1589">
        <f t="shared" si="25"/>
        <v>-4.5228376300347033E-2</v>
      </c>
      <c r="Y68" s="1587">
        <f t="shared" si="25"/>
        <v>-5.895057636320597E-2</v>
      </c>
      <c r="Z68" s="1586">
        <f t="shared" si="25"/>
        <v>-7.7680389562754651E-2</v>
      </c>
      <c r="AA68" s="1586">
        <f t="shared" si="25"/>
        <v>-4.5709091523818107E-2</v>
      </c>
      <c r="AB68" s="1587">
        <f t="shared" si="25"/>
        <v>-4.0344009500283218E-2</v>
      </c>
      <c r="AC68" s="1588">
        <f t="shared" si="25"/>
        <v>-2.9956755666399867E-2</v>
      </c>
      <c r="AD68" s="1587">
        <f t="shared" si="25"/>
        <v>-3.3736735425437578E-2</v>
      </c>
      <c r="AE68" s="1587">
        <f t="shared" si="25"/>
        <v>-3.4057645165181095E-2</v>
      </c>
      <c r="AF68" s="1589">
        <f t="shared" si="25"/>
        <v>-3.3960779443685959E-2</v>
      </c>
      <c r="AG68" s="1587">
        <f t="shared" si="25"/>
        <v>-3.9661794992863451E-2</v>
      </c>
      <c r="AH68" s="1586">
        <f t="shared" si="25"/>
        <v>-3.9904063871500327E-2</v>
      </c>
      <c r="AI68" s="1586">
        <f t="shared" si="25"/>
        <v>-4.0120970612701701E-2</v>
      </c>
      <c r="AJ68" s="1587">
        <f t="shared" si="25"/>
        <v>-4.0312744933096403E-2</v>
      </c>
      <c r="AK68" s="1588">
        <f t="shared" si="25"/>
        <v>-4.032280865285176E-2</v>
      </c>
      <c r="AL68" s="1587">
        <f t="shared" si="25"/>
        <v>-4.0516379938476871E-2</v>
      </c>
      <c r="AM68" s="1587">
        <f t="shared" si="25"/>
        <v>-4.0701218790922818E-2</v>
      </c>
      <c r="AN68" s="1589">
        <f t="shared" si="25"/>
        <v>-4.0886487294648347E-2</v>
      </c>
      <c r="AO68" s="1618">
        <f>AN68</f>
        <v>-4.0886487294648347E-2</v>
      </c>
      <c r="AP68" s="1619">
        <f t="shared" ref="AP68:AZ68" si="26">AO68</f>
        <v>-4.0886487294648347E-2</v>
      </c>
      <c r="AQ68" s="1619">
        <f t="shared" si="26"/>
        <v>-4.0886487294648347E-2</v>
      </c>
      <c r="AR68" s="1618">
        <f t="shared" si="26"/>
        <v>-4.0886487294648347E-2</v>
      </c>
      <c r="AS68" s="1620">
        <f t="shared" si="26"/>
        <v>-4.0886487294648347E-2</v>
      </c>
      <c r="AT68" s="1618">
        <f t="shared" si="26"/>
        <v>-4.0886487294648347E-2</v>
      </c>
      <c r="AU68" s="1618">
        <f t="shared" si="26"/>
        <v>-4.0886487294648347E-2</v>
      </c>
      <c r="AV68" s="1621">
        <f t="shared" si="26"/>
        <v>-4.0886487294648347E-2</v>
      </c>
      <c r="AW68" s="1618">
        <f t="shared" si="26"/>
        <v>-4.0886487294648347E-2</v>
      </c>
      <c r="AX68" s="1619">
        <f t="shared" si="26"/>
        <v>-4.0886487294648347E-2</v>
      </c>
      <c r="AY68" s="1619">
        <f t="shared" si="26"/>
        <v>-4.0886487294648347E-2</v>
      </c>
      <c r="AZ68" s="1619">
        <f t="shared" si="26"/>
        <v>-4.0886487294648347E-2</v>
      </c>
    </row>
    <row r="69" spans="4:52" x14ac:dyDescent="0.25">
      <c r="D69" s="377"/>
      <c r="E69" s="377"/>
      <c r="F69" s="377"/>
      <c r="I69" s="1689"/>
      <c r="P69" s="1696"/>
      <c r="T69" s="373"/>
      <c r="U69" s="1690"/>
      <c r="V69" s="373"/>
      <c r="W69" s="373"/>
      <c r="X69" s="1689"/>
      <c r="Y69" s="373"/>
      <c r="AB69" s="373"/>
      <c r="AC69" s="1690"/>
      <c r="AD69" s="373"/>
      <c r="AE69" s="373"/>
      <c r="AF69" s="1689"/>
      <c r="AG69" s="373"/>
      <c r="AJ69" s="373"/>
      <c r="AK69" s="1690"/>
      <c r="AL69" s="373"/>
      <c r="AM69" s="373"/>
      <c r="AN69" s="1689"/>
      <c r="AO69" s="373"/>
      <c r="AR69" s="373"/>
      <c r="AS69" s="1690"/>
      <c r="AT69" s="373"/>
      <c r="AU69" s="373"/>
      <c r="AV69" s="1689"/>
      <c r="AW69" s="373"/>
    </row>
    <row r="70" spans="4:52" hidden="1" outlineLevel="1" x14ac:dyDescent="0.25">
      <c r="D70" s="1372" t="s">
        <v>1271</v>
      </c>
      <c r="E70" s="377"/>
      <c r="F70" s="377"/>
      <c r="I70" s="1689"/>
      <c r="P70" s="1696"/>
      <c r="T70" s="373"/>
      <c r="U70" s="1690"/>
      <c r="V70" s="373"/>
      <c r="W70" s="373"/>
      <c r="X70" s="1689"/>
      <c r="Y70" s="373"/>
      <c r="AB70" s="373"/>
      <c r="AC70" s="1690"/>
      <c r="AD70" s="373"/>
      <c r="AE70" s="373"/>
      <c r="AF70" s="1689"/>
      <c r="AG70" s="373"/>
      <c r="AJ70" s="1689"/>
      <c r="AK70" s="373"/>
      <c r="AL70" s="373"/>
      <c r="AM70" s="373"/>
      <c r="AN70" s="1689"/>
      <c r="AO70" s="373"/>
      <c r="AR70" s="1689"/>
      <c r="AS70" s="373"/>
      <c r="AT70" s="373"/>
      <c r="AU70" s="373"/>
      <c r="AV70" s="1689"/>
      <c r="AW70" s="373"/>
    </row>
    <row r="71" spans="4:52" hidden="1" outlineLevel="1" x14ac:dyDescent="0.25">
      <c r="D71" s="310" t="str">
        <f>Overview!B8</f>
        <v>Total BOP ARR</v>
      </c>
      <c r="E71" s="377"/>
      <c r="F71" s="377"/>
      <c r="I71" s="1689"/>
      <c r="K71" s="469">
        <f>Overview!C8</f>
        <v>0</v>
      </c>
      <c r="L71" s="469">
        <f>Overview!D8</f>
        <v>0.13303423248396229</v>
      </c>
      <c r="M71" s="469">
        <f>Overview!E8</f>
        <v>4.116576358802746</v>
      </c>
      <c r="N71" s="469">
        <f>Overview!F8</f>
        <v>23.775352786932459</v>
      </c>
      <c r="O71" s="469">
        <f>Overview!G8</f>
        <v>56.905564678244708</v>
      </c>
      <c r="P71" s="1514"/>
      <c r="Q71" s="1698"/>
      <c r="R71" s="1698"/>
      <c r="S71" s="1698"/>
      <c r="T71" s="1629"/>
      <c r="U71" s="1630"/>
      <c r="V71" s="1629"/>
      <c r="W71" s="1629"/>
      <c r="X71" s="1631"/>
      <c r="Y71" s="1629"/>
      <c r="Z71" s="1698"/>
      <c r="AA71" s="1698"/>
      <c r="AB71" s="1629"/>
      <c r="AC71" s="1630"/>
      <c r="AD71" s="1629"/>
      <c r="AE71" s="1629"/>
      <c r="AF71" s="1631"/>
      <c r="AG71" s="1350">
        <f>Overview!I8</f>
        <v>0</v>
      </c>
      <c r="AH71" s="469">
        <f>Overview!J8</f>
        <v>8.8073765613888595E-3</v>
      </c>
      <c r="AI71" s="469">
        <f>Overview!K8</f>
        <v>2.0525642691879727E-2</v>
      </c>
      <c r="AJ71" s="470">
        <f>Overview!L8</f>
        <v>3.2078476948866057E-2</v>
      </c>
      <c r="AK71" s="1350">
        <f>Overview!M8</f>
        <v>0.13303423248396226</v>
      </c>
      <c r="AL71" s="1350">
        <f>Overview!N8</f>
        <v>0.66463650351020032</v>
      </c>
      <c r="AM71" s="1350">
        <f>Overview!O8</f>
        <v>1.3867531601555778</v>
      </c>
      <c r="AN71" s="470">
        <f>Overview!P8</f>
        <v>2.3864242233562272</v>
      </c>
      <c r="AO71" s="1350">
        <f>Overview!Q8</f>
        <v>4.1165763588027451</v>
      </c>
      <c r="AP71" s="469">
        <f>Overview!R8</f>
        <v>7.6938492479088545</v>
      </c>
      <c r="AQ71" s="469">
        <f>Overview!S8</f>
        <v>12.564069685574264</v>
      </c>
      <c r="AR71" s="470">
        <f>Overview!T8</f>
        <v>17.134408172987801</v>
      </c>
      <c r="AS71" s="1350">
        <f>Overview!U8</f>
        <v>23.775352786932459</v>
      </c>
      <c r="AT71" s="1350">
        <f>Overview!V8</f>
        <v>29.773721967021093</v>
      </c>
      <c r="AU71" s="1350">
        <f>Overview!W8</f>
        <v>38.001659038068262</v>
      </c>
      <c r="AV71" s="470">
        <f>Overview!X8</f>
        <v>45.729423377185299</v>
      </c>
      <c r="AW71" s="1350">
        <f>Overview!Y8</f>
        <v>56.905564678244708</v>
      </c>
      <c r="AX71" s="469">
        <f>Overview!Z8</f>
        <v>66.555883571028971</v>
      </c>
      <c r="AY71" s="469">
        <f>Overview!AA8</f>
        <v>79.85377800828212</v>
      </c>
      <c r="AZ71" s="469">
        <f>Overview!AB8</f>
        <v>92.349610175124866</v>
      </c>
    </row>
    <row r="72" spans="4:52" hidden="1" outlineLevel="1" x14ac:dyDescent="0.25">
      <c r="D72" s="377" t="str">
        <f>Overview!B9</f>
        <v>Initial Sale</v>
      </c>
      <c r="E72" s="377"/>
      <c r="F72" s="377"/>
      <c r="I72" s="1689"/>
      <c r="K72" s="1356">
        <f>Overview!C9</f>
        <v>8.326777000527634E-2</v>
      </c>
      <c r="L72" s="1356">
        <f>Overview!D9</f>
        <v>1.3819755183095295</v>
      </c>
      <c r="M72" s="1356">
        <f>Overview!E9</f>
        <v>3.8041317983896947</v>
      </c>
      <c r="N72" s="1356">
        <f>Overview!F9</f>
        <v>6.6176509830734158</v>
      </c>
      <c r="O72" s="1356">
        <f>Overview!G9</f>
        <v>12.957844374738718</v>
      </c>
      <c r="P72" s="1697"/>
      <c r="Q72" s="1699"/>
      <c r="R72" s="1699"/>
      <c r="S72" s="1699"/>
      <c r="T72" s="1700"/>
      <c r="U72" s="1701"/>
      <c r="V72" s="1700"/>
      <c r="W72" s="1700"/>
      <c r="X72" s="1702"/>
      <c r="Y72" s="1700"/>
      <c r="Z72" s="1699"/>
      <c r="AA72" s="1699"/>
      <c r="AB72" s="1700"/>
      <c r="AC72" s="1701"/>
      <c r="AD72" s="1700"/>
      <c r="AE72" s="1700"/>
      <c r="AF72" s="1702"/>
      <c r="AG72" s="1700">
        <f>Overview!I9</f>
        <v>0</v>
      </c>
      <c r="AH72" s="1699">
        <f>Overview!J9</f>
        <v>0</v>
      </c>
      <c r="AI72" s="1699">
        <f>Overview!K9</f>
        <v>0</v>
      </c>
      <c r="AJ72" s="1702">
        <f>Overview!L9</f>
        <v>8.326777000527634E-2</v>
      </c>
      <c r="AK72" s="1700">
        <f>Overview!M9</f>
        <v>5.752867883261769E-2</v>
      </c>
      <c r="AL72" s="1700">
        <f>Overview!N9</f>
        <v>7.8061187955704395E-2</v>
      </c>
      <c r="AM72" s="1700">
        <f>Overview!O9</f>
        <v>0.39541623579183072</v>
      </c>
      <c r="AN72" s="1702">
        <f>Overview!P9</f>
        <v>0.85096941572937645</v>
      </c>
      <c r="AO72" s="1700">
        <f>Overview!Q9</f>
        <v>0.69377523944694086</v>
      </c>
      <c r="AP72" s="1699">
        <f>Overview!R9</f>
        <v>0.94138993740936605</v>
      </c>
      <c r="AQ72" s="1699">
        <f>Overview!S9</f>
        <v>0.88309479857745143</v>
      </c>
      <c r="AR72" s="1702">
        <f>Overview!T9</f>
        <v>1.2858718229559361</v>
      </c>
      <c r="AS72" s="1700">
        <f>Overview!U9</f>
        <v>1.2068883620965767</v>
      </c>
      <c r="AT72" s="1700">
        <f>Overview!V9</f>
        <v>1.6376378040817645</v>
      </c>
      <c r="AU72" s="1700">
        <f>Overview!W9</f>
        <v>1.5362278363822433</v>
      </c>
      <c r="AV72" s="1702">
        <f>Overview!X9</f>
        <v>2.236896980512832</v>
      </c>
      <c r="AW72" s="1700">
        <f>Overview!Y9</f>
        <v>2.3631756364503422</v>
      </c>
      <c r="AX72" s="1699">
        <f>Overview!Z9</f>
        <v>3.2066145316151289</v>
      </c>
      <c r="AY72" s="1699">
        <f>Overview!AA9</f>
        <v>3.0080464017970479</v>
      </c>
      <c r="AZ72" s="1699">
        <f>Overview!AB9</f>
        <v>4.3800078048762003</v>
      </c>
    </row>
    <row r="73" spans="4:52" hidden="1" outlineLevel="1" x14ac:dyDescent="0.25">
      <c r="D73" s="377" t="str">
        <f>Overview!B10</f>
        <v>Expansion</v>
      </c>
      <c r="E73" s="377"/>
      <c r="F73" s="377"/>
      <c r="I73" s="1689"/>
      <c r="K73" s="1356">
        <f>Overview!C10</f>
        <v>4.9766462478685942E-2</v>
      </c>
      <c r="L73" s="1356">
        <f>Overview!D10</f>
        <v>2.6180244816904708</v>
      </c>
      <c r="M73" s="1356">
        <f>Overview!E10</f>
        <v>16.195868201610306</v>
      </c>
      <c r="N73" s="1356">
        <f>Overview!F10</f>
        <v>28.382349016926586</v>
      </c>
      <c r="O73" s="1356">
        <f>Overview!G10</f>
        <v>44.792155625261266</v>
      </c>
      <c r="P73" s="1697"/>
      <c r="Q73" s="1699"/>
      <c r="R73" s="1699"/>
      <c r="S73" s="1699"/>
      <c r="T73" s="1700"/>
      <c r="U73" s="1701"/>
      <c r="V73" s="1700"/>
      <c r="W73" s="1700"/>
      <c r="X73" s="1702"/>
      <c r="Y73" s="1700"/>
      <c r="Z73" s="1699"/>
      <c r="AA73" s="1699"/>
      <c r="AB73" s="1700"/>
      <c r="AC73" s="1701"/>
      <c r="AD73" s="1700"/>
      <c r="AE73" s="1700"/>
      <c r="AF73" s="1702"/>
      <c r="AG73" s="1700">
        <f>Overview!I10</f>
        <v>8.8073765613888595E-3</v>
      </c>
      <c r="AH73" s="1699">
        <f>Overview!J10</f>
        <v>1.1718266130490868E-2</v>
      </c>
      <c r="AI73" s="1699">
        <f>Overview!K10</f>
        <v>1.1552834256986328E-2</v>
      </c>
      <c r="AJ73" s="1702">
        <f>Overview!L10</f>
        <v>1.7687985529819886E-2</v>
      </c>
      <c r="AK73" s="1700">
        <f>Overview!M10</f>
        <v>0.47745994563900646</v>
      </c>
      <c r="AL73" s="1700">
        <f>Overview!N10</f>
        <v>0.64786974625801563</v>
      </c>
      <c r="AM73" s="1700">
        <f>Overview!O10</f>
        <v>0.60775071024299088</v>
      </c>
      <c r="AN73" s="1702">
        <f>Overview!P10</f>
        <v>0.88494407955045762</v>
      </c>
      <c r="AO73" s="1700">
        <f>Overview!Q10</f>
        <v>2.9537074252736604</v>
      </c>
      <c r="AP73" s="1699">
        <f>Overview!R10</f>
        <v>4.0079124911124877</v>
      </c>
      <c r="AQ73" s="1699">
        <f>Overview!S10</f>
        <v>3.7597243537519671</v>
      </c>
      <c r="AR73" s="1702">
        <f>Overview!T10</f>
        <v>5.4745239314721896</v>
      </c>
      <c r="AS73" s="1700">
        <f>Overview!U10</f>
        <v>5.176206301164477</v>
      </c>
      <c r="AT73" s="1700">
        <f>Overview!V10</f>
        <v>7.0236414458314806</v>
      </c>
      <c r="AU73" s="1700">
        <f>Overview!W10</f>
        <v>6.5887056801942423</v>
      </c>
      <c r="AV73" s="1702">
        <f>Overview!X10</f>
        <v>9.5937955897363896</v>
      </c>
      <c r="AW73" s="1700">
        <f>Overview!Y10</f>
        <v>8.168930557930393</v>
      </c>
      <c r="AX73" s="1699">
        <f>Overview!Z10</f>
        <v>11.084496230741721</v>
      </c>
      <c r="AY73" s="1699">
        <f>Overview!AA10</f>
        <v>10.398093900554148</v>
      </c>
      <c r="AZ73" s="1699">
        <f>Overview!AB10</f>
        <v>15.140634936035012</v>
      </c>
    </row>
    <row r="74" spans="4:52" hidden="1" outlineLevel="1" x14ac:dyDescent="0.25">
      <c r="D74" s="1703" t="str">
        <f>Overview!B11</f>
        <v>Churn</v>
      </c>
      <c r="E74" s="1703"/>
      <c r="F74" s="1703"/>
      <c r="G74" s="1704"/>
      <c r="H74" s="1704"/>
      <c r="I74" s="1705"/>
      <c r="J74" s="1704"/>
      <c r="K74" s="1411">
        <f>Overview!C11</f>
        <v>0</v>
      </c>
      <c r="L74" s="1411">
        <f>Overview!D11</f>
        <v>-1.6457873681216938E-2</v>
      </c>
      <c r="M74" s="1411">
        <f>Overview!E11</f>
        <v>-0.34122357187028624</v>
      </c>
      <c r="N74" s="1411">
        <f>Overview!F11</f>
        <v>-1.8697881086877539</v>
      </c>
      <c r="O74" s="1411">
        <f>Overview!G11</f>
        <v>-4.2855373065528388</v>
      </c>
      <c r="P74" s="1697"/>
      <c r="Q74" s="1706"/>
      <c r="R74" s="1706"/>
      <c r="S74" s="1706"/>
      <c r="T74" s="1706"/>
      <c r="U74" s="1707"/>
      <c r="V74" s="1706"/>
      <c r="W74" s="1706"/>
      <c r="X74" s="1708"/>
      <c r="Y74" s="1706"/>
      <c r="Z74" s="1706"/>
      <c r="AA74" s="1706"/>
      <c r="AB74" s="1706"/>
      <c r="AC74" s="1707"/>
      <c r="AD74" s="1706"/>
      <c r="AE74" s="1706"/>
      <c r="AF74" s="1708"/>
      <c r="AG74" s="1706">
        <f>Overview!I11</f>
        <v>0</v>
      </c>
      <c r="AH74" s="1706">
        <f>Overview!J11</f>
        <v>0</v>
      </c>
      <c r="AI74" s="1706">
        <f>Overview!K11</f>
        <v>0</v>
      </c>
      <c r="AJ74" s="1708">
        <f>Overview!L11</f>
        <v>0</v>
      </c>
      <c r="AK74" s="1706">
        <f>Overview!M11</f>
        <v>-3.3863534453861359E-3</v>
      </c>
      <c r="AL74" s="1706">
        <f>Overview!N11</f>
        <v>-3.8142775683424365E-3</v>
      </c>
      <c r="AM74" s="1706">
        <f>Overview!O11</f>
        <v>-3.4958828341720601E-3</v>
      </c>
      <c r="AN74" s="1708">
        <f>Overview!P11</f>
        <v>-5.7613598333163081E-3</v>
      </c>
      <c r="AO74" s="1706">
        <f>Overview!Q11</f>
        <v>-7.0209775614492764E-2</v>
      </c>
      <c r="AP74" s="1706">
        <f>Overview!R11</f>
        <v>-7.9081990856444462E-2</v>
      </c>
      <c r="AQ74" s="1706">
        <f>Overview!S11</f>
        <v>-7.2480664915882703E-2</v>
      </c>
      <c r="AR74" s="1708">
        <f>Overview!T11</f>
        <v>-0.11945114048346632</v>
      </c>
      <c r="AS74" s="1706">
        <f>Overview!U11</f>
        <v>-0.38472548317241756</v>
      </c>
      <c r="AT74" s="1706">
        <f>Overview!V11</f>
        <v>-0.43334217886607196</v>
      </c>
      <c r="AU74" s="1706">
        <f>Overview!W11</f>
        <v>-0.39716917745945601</v>
      </c>
      <c r="AV74" s="1708">
        <f>Overview!X11</f>
        <v>-0.65455126918980844</v>
      </c>
      <c r="AW74" s="1706">
        <f>Overview!Y11</f>
        <v>-0.88178730159648067</v>
      </c>
      <c r="AX74" s="1706">
        <f>Overview!Z11</f>
        <v>-0.99321632510369762</v>
      </c>
      <c r="AY74" s="1706">
        <f>Overview!AA11</f>
        <v>-0.91030813550844092</v>
      </c>
      <c r="AZ74" s="1706">
        <f>Overview!AB11</f>
        <v>-1.500225544344219</v>
      </c>
    </row>
    <row r="75" spans="4:52" collapsed="1" x14ac:dyDescent="0.25">
      <c r="D75" s="14" t="s">
        <v>1270</v>
      </c>
      <c r="E75" s="1424"/>
      <c r="F75" s="1424"/>
      <c r="G75" s="373"/>
      <c r="H75" s="373"/>
      <c r="I75" s="1689"/>
      <c r="J75" s="373"/>
      <c r="K75" s="1350">
        <f>Overview!C12</f>
        <v>0.13303423248396229</v>
      </c>
      <c r="L75" s="1350">
        <f>Overview!D12</f>
        <v>4.116576358802746</v>
      </c>
      <c r="M75" s="1350">
        <f>Overview!E12</f>
        <v>23.775352786932459</v>
      </c>
      <c r="N75" s="1350">
        <f>Overview!F12</f>
        <v>56.905564678244708</v>
      </c>
      <c r="O75" s="1350">
        <f>Overview!G12</f>
        <v>110.37002737169186</v>
      </c>
      <c r="P75" s="1696"/>
      <c r="Q75" s="373"/>
      <c r="R75" s="373"/>
      <c r="S75" s="373"/>
      <c r="T75" s="373"/>
      <c r="U75" s="1690"/>
      <c r="V75" s="373"/>
      <c r="W75" s="373"/>
      <c r="X75" s="1689"/>
      <c r="Y75" s="373"/>
      <c r="Z75" s="373"/>
      <c r="AA75" s="373"/>
      <c r="AB75" s="373"/>
      <c r="AC75" s="1690"/>
      <c r="AD75" s="373"/>
      <c r="AE75" s="373"/>
      <c r="AF75" s="1689"/>
      <c r="AG75" s="1349">
        <f>Overview!I12</f>
        <v>8.8073765613888595E-3</v>
      </c>
      <c r="AH75" s="1350">
        <f>Overview!J12</f>
        <v>2.0525642691879727E-2</v>
      </c>
      <c r="AI75" s="1350">
        <f>Overview!K12</f>
        <v>3.207847694886605E-2</v>
      </c>
      <c r="AJ75" s="470">
        <f>Overview!L12</f>
        <v>0.13303423248396229</v>
      </c>
      <c r="AK75" s="1350">
        <f>Overview!M12</f>
        <v>0.66463650351020032</v>
      </c>
      <c r="AL75" s="1350">
        <f>Overview!N12</f>
        <v>1.3867531601555778</v>
      </c>
      <c r="AM75" s="1350">
        <f>Overview!O12</f>
        <v>2.3864242233562272</v>
      </c>
      <c r="AN75" s="1350">
        <f>Overview!P12</f>
        <v>4.1165763588027451</v>
      </c>
      <c r="AO75" s="1349">
        <f>Overview!Q12</f>
        <v>7.6938492479088536</v>
      </c>
      <c r="AP75" s="1350">
        <f>Overview!R12</f>
        <v>12.564069685574264</v>
      </c>
      <c r="AQ75" s="1350">
        <f>Overview!S12</f>
        <v>17.134408172987801</v>
      </c>
      <c r="AR75" s="470">
        <f>Overview!T12</f>
        <v>23.775352786932462</v>
      </c>
      <c r="AS75" s="1350">
        <f>Overview!U12</f>
        <v>29.773721967021096</v>
      </c>
      <c r="AT75" s="1350">
        <f>Overview!V12</f>
        <v>38.001659038068262</v>
      </c>
      <c r="AU75" s="1350">
        <f>Overview!W12</f>
        <v>45.729423377185292</v>
      </c>
      <c r="AV75" s="470">
        <f>Overview!X12</f>
        <v>56.905564678244716</v>
      </c>
      <c r="AW75" s="1350">
        <f>Overview!Y12</f>
        <v>66.555883571028957</v>
      </c>
      <c r="AX75" s="1350">
        <f>Overview!Z12</f>
        <v>79.85377800828212</v>
      </c>
      <c r="AY75" s="1350">
        <f>Overview!AA12</f>
        <v>92.349610175124866</v>
      </c>
      <c r="AZ75" s="1350">
        <f>Overview!AB12</f>
        <v>110.37002737169185</v>
      </c>
    </row>
    <row r="76" spans="4:52" x14ac:dyDescent="0.25">
      <c r="D76" s="28"/>
      <c r="E76" s="377"/>
      <c r="F76" s="377"/>
      <c r="I76" s="1689"/>
      <c r="P76" s="1696"/>
      <c r="T76" s="373"/>
      <c r="U76" s="1690"/>
      <c r="V76" s="373"/>
      <c r="W76" s="373"/>
      <c r="X76" s="1689"/>
      <c r="Y76" s="373"/>
      <c r="AB76" s="373"/>
      <c r="AC76" s="1690"/>
      <c r="AD76" s="373"/>
      <c r="AE76" s="373"/>
      <c r="AF76" s="1689"/>
      <c r="AG76" s="373"/>
      <c r="AJ76" s="373"/>
      <c r="AK76" s="1690"/>
      <c r="AL76" s="373"/>
      <c r="AM76" s="373"/>
      <c r="AN76" s="1689"/>
      <c r="AO76" s="373"/>
      <c r="AR76" s="373"/>
      <c r="AS76" s="1690"/>
      <c r="AT76" s="373"/>
      <c r="AU76" s="373"/>
      <c r="AV76" s="1689"/>
      <c r="AW76" s="373"/>
    </row>
    <row r="77" spans="4:52" hidden="1" outlineLevel="1" x14ac:dyDescent="0.25">
      <c r="D77" s="1372" t="s">
        <v>1272</v>
      </c>
      <c r="E77" s="377"/>
      <c r="F77" s="377"/>
      <c r="I77" s="1689"/>
      <c r="P77" s="1696"/>
      <c r="T77" s="373"/>
      <c r="U77" s="1690"/>
      <c r="V77" s="373"/>
      <c r="W77" s="373"/>
      <c r="X77" s="1689"/>
      <c r="Y77" s="373"/>
      <c r="AB77" s="373"/>
      <c r="AC77" s="1690"/>
      <c r="AD77" s="373"/>
      <c r="AE77" s="373"/>
      <c r="AF77" s="1689"/>
      <c r="AG77" s="373"/>
      <c r="AJ77" s="373"/>
      <c r="AK77" s="1690"/>
      <c r="AL77" s="373"/>
      <c r="AM77" s="373"/>
      <c r="AN77" s="1689"/>
      <c r="AO77" s="373"/>
      <c r="AR77" s="373"/>
      <c r="AS77" s="1690"/>
      <c r="AT77" s="373"/>
      <c r="AU77" s="373"/>
      <c r="AV77" s="1689"/>
      <c r="AW77" s="373"/>
    </row>
    <row r="78" spans="4:52" hidden="1" outlineLevel="1" x14ac:dyDescent="0.25">
      <c r="D78" s="310" t="str">
        <f t="shared" ref="D78:D81" si="27">D71</f>
        <v>Total BOP ARR</v>
      </c>
      <c r="E78" s="377"/>
      <c r="F78" s="377"/>
      <c r="G78" s="1374">
        <f t="shared" ref="G78:O78" si="28">G54+G62+G71</f>
        <v>14.000862299999994</v>
      </c>
      <c r="H78" s="1374">
        <f t="shared" si="28"/>
        <v>32.578190490000019</v>
      </c>
      <c r="I78" s="1377">
        <f t="shared" si="28"/>
        <v>60.427507189999986</v>
      </c>
      <c r="J78" s="1374">
        <f t="shared" si="28"/>
        <v>90.83242175999996</v>
      </c>
      <c r="K78" s="1374">
        <f t="shared" si="28"/>
        <v>155.48910867507394</v>
      </c>
      <c r="L78" s="1374">
        <f t="shared" si="28"/>
        <v>236.86597795952528</v>
      </c>
      <c r="M78" s="1374">
        <f t="shared" si="28"/>
        <v>356.58230637720078</v>
      </c>
      <c r="N78" s="1374">
        <f t="shared" si="28"/>
        <v>534.33681628594491</v>
      </c>
      <c r="O78" s="1374">
        <f t="shared" si="28"/>
        <v>794.91764854917881</v>
      </c>
      <c r="P78" s="1514"/>
      <c r="Q78" s="1698">
        <f t="shared" ref="Q78:AZ78" si="29">Q54+Q62+Q71</f>
        <v>14.000862299999994</v>
      </c>
      <c r="R78" s="1698">
        <f t="shared" si="29"/>
        <v>17.23513934</v>
      </c>
      <c r="S78" s="1698">
        <f t="shared" si="29"/>
        <v>21.487992059999996</v>
      </c>
      <c r="T78" s="1629">
        <f t="shared" si="29"/>
        <v>25.911129559999999</v>
      </c>
      <c r="U78" s="1630">
        <f t="shared" si="29"/>
        <v>32.578190490000019</v>
      </c>
      <c r="V78" s="1629">
        <f t="shared" si="29"/>
        <v>38.087219060000017</v>
      </c>
      <c r="W78" s="1629">
        <f t="shared" si="29"/>
        <v>45.910477630000017</v>
      </c>
      <c r="X78" s="1631">
        <f t="shared" si="29"/>
        <v>52.166224380000003</v>
      </c>
      <c r="Y78" s="1629">
        <f t="shared" si="29"/>
        <v>60.427507189999986</v>
      </c>
      <c r="Z78" s="1698">
        <f t="shared" si="29"/>
        <v>65.291814709999983</v>
      </c>
      <c r="AA78" s="1698">
        <f t="shared" si="29"/>
        <v>72.768644309999971</v>
      </c>
      <c r="AB78" s="1629">
        <f t="shared" si="29"/>
        <v>80.454479679999963</v>
      </c>
      <c r="AC78" s="1630">
        <f t="shared" si="29"/>
        <v>90.83242175999996</v>
      </c>
      <c r="AD78" s="1629">
        <f t="shared" si="29"/>
        <v>99.707184909999967</v>
      </c>
      <c r="AE78" s="1629">
        <f t="shared" si="29"/>
        <v>114.08031571999997</v>
      </c>
      <c r="AF78" s="1631">
        <f t="shared" si="29"/>
        <v>131.25940766368569</v>
      </c>
      <c r="AG78" s="1350">
        <f t="shared" si="29"/>
        <v>154.77747963607931</v>
      </c>
      <c r="AH78" s="469">
        <f t="shared" si="29"/>
        <v>169.06472341009078</v>
      </c>
      <c r="AI78" s="469">
        <f t="shared" si="29"/>
        <v>188.26679285472787</v>
      </c>
      <c r="AJ78" s="470">
        <f t="shared" si="29"/>
        <v>207.47483633131989</v>
      </c>
      <c r="AK78" s="1350">
        <f t="shared" si="29"/>
        <v>236.15434892053059</v>
      </c>
      <c r="AL78" s="1350">
        <f t="shared" si="29"/>
        <v>257.50776229872662</v>
      </c>
      <c r="AM78" s="1350">
        <f t="shared" si="29"/>
        <v>287.08156779873212</v>
      </c>
      <c r="AN78" s="470">
        <f t="shared" si="29"/>
        <v>315.39059037336216</v>
      </c>
      <c r="AO78" s="1350">
        <f t="shared" si="29"/>
        <v>355.87067733820618</v>
      </c>
      <c r="AP78" s="469">
        <f t="shared" si="29"/>
        <v>387.37330928578552</v>
      </c>
      <c r="AQ78" s="469">
        <f t="shared" si="29"/>
        <v>431.73472234737352</v>
      </c>
      <c r="AR78" s="470">
        <f t="shared" si="29"/>
        <v>473.456546134799</v>
      </c>
      <c r="AS78" s="1350">
        <f t="shared" si="29"/>
        <v>533.62518724695053</v>
      </c>
      <c r="AT78" s="1350">
        <f t="shared" si="29"/>
        <v>579.994463354137</v>
      </c>
      <c r="AU78" s="1350">
        <f t="shared" si="29"/>
        <v>645.0499389577443</v>
      </c>
      <c r="AV78" s="470">
        <f t="shared" si="29"/>
        <v>706.24887483953819</v>
      </c>
      <c r="AW78" s="1350">
        <f t="shared" si="29"/>
        <v>794.20601951018443</v>
      </c>
      <c r="AX78" s="469">
        <f t="shared" si="29"/>
        <v>860.84749567135736</v>
      </c>
      <c r="AY78" s="469">
        <f t="shared" si="29"/>
        <v>954.15641599463493</v>
      </c>
      <c r="AZ78" s="469">
        <f t="shared" si="29"/>
        <v>1041.9458952080172</v>
      </c>
    </row>
    <row r="79" spans="4:52" hidden="1" outlineLevel="1" x14ac:dyDescent="0.25">
      <c r="D79" s="377" t="str">
        <f t="shared" si="27"/>
        <v>Initial Sale</v>
      </c>
      <c r="E79" s="377"/>
      <c r="F79" s="377"/>
      <c r="G79" s="1360">
        <f t="shared" ref="G79:O79" si="30">G55+G63+G72</f>
        <v>14.156072489999996</v>
      </c>
      <c r="H79" s="1360">
        <f t="shared" si="30"/>
        <v>19.580277354504997</v>
      </c>
      <c r="I79" s="1361">
        <f t="shared" si="30"/>
        <v>20.541968610989993</v>
      </c>
      <c r="J79" s="1360">
        <f t="shared" si="30"/>
        <v>37.371061892126328</v>
      </c>
      <c r="K79" s="1360">
        <f t="shared" si="30"/>
        <v>40.642382373187935</v>
      </c>
      <c r="L79" s="1360">
        <f t="shared" si="30"/>
        <v>55.737285438762342</v>
      </c>
      <c r="M79" s="1360">
        <f t="shared" si="30"/>
        <v>71.849040071248012</v>
      </c>
      <c r="N79" s="1360">
        <f t="shared" si="30"/>
        <v>94.601065911046518</v>
      </c>
      <c r="O79" s="1360">
        <f t="shared" si="30"/>
        <v>126.05219515099606</v>
      </c>
      <c r="P79" s="1697"/>
      <c r="Q79" s="1699">
        <f t="shared" ref="Q79:AZ79" si="31">Q55+Q63+Q72</f>
        <v>2.5477775300000003</v>
      </c>
      <c r="R79" s="1699">
        <f t="shared" si="31"/>
        <v>3.2497382599999991</v>
      </c>
      <c r="S79" s="1699">
        <f t="shared" si="31"/>
        <v>3.2609498599999993</v>
      </c>
      <c r="T79" s="1700">
        <f t="shared" si="31"/>
        <v>5.0976068399999992</v>
      </c>
      <c r="U79" s="1701">
        <f t="shared" si="31"/>
        <v>4.3626907799999994</v>
      </c>
      <c r="V79" s="1700">
        <f t="shared" si="31"/>
        <v>5.1548849699999986</v>
      </c>
      <c r="W79" s="1700">
        <f t="shared" si="31"/>
        <v>4.6428505699999985</v>
      </c>
      <c r="X79" s="1702">
        <f t="shared" si="31"/>
        <v>5.4198510345049993</v>
      </c>
      <c r="Y79" s="1700">
        <f t="shared" si="31"/>
        <v>3.6847906049449981</v>
      </c>
      <c r="Z79" s="1699">
        <f t="shared" si="31"/>
        <v>5.4632639187899992</v>
      </c>
      <c r="AA79" s="1699">
        <f t="shared" si="31"/>
        <v>4.6715915829289969</v>
      </c>
      <c r="AB79" s="1700">
        <f t="shared" si="31"/>
        <v>6.7223225043259971</v>
      </c>
      <c r="AC79" s="1701">
        <f t="shared" si="31"/>
        <v>5.9651536875539968</v>
      </c>
      <c r="AD79" s="1700">
        <f t="shared" si="31"/>
        <v>7.8708170662389989</v>
      </c>
      <c r="AE79" s="1700">
        <f t="shared" si="31"/>
        <v>9.9234006366666652</v>
      </c>
      <c r="AF79" s="1702">
        <f t="shared" si="31"/>
        <v>13.611690501666665</v>
      </c>
      <c r="AG79" s="1700">
        <f t="shared" si="31"/>
        <v>7.2914666350118384</v>
      </c>
      <c r="AH79" s="1699">
        <f t="shared" si="31"/>
        <v>9.5586833958095472</v>
      </c>
      <c r="AI79" s="1699">
        <f t="shared" si="31"/>
        <v>9.4704718664191816</v>
      </c>
      <c r="AJ79" s="1702">
        <f t="shared" si="31"/>
        <v>14.321760475947372</v>
      </c>
      <c r="AK79" s="1700">
        <f t="shared" si="31"/>
        <v>10.016849321890328</v>
      </c>
      <c r="AL79" s="1700">
        <f t="shared" si="31"/>
        <v>13.477803321399342</v>
      </c>
      <c r="AM79" s="1700">
        <f t="shared" si="31"/>
        <v>13.072188698940582</v>
      </c>
      <c r="AN79" s="1702">
        <f t="shared" si="31"/>
        <v>19.170444096532094</v>
      </c>
      <c r="AO79" s="1700">
        <f t="shared" si="31"/>
        <v>13.103406406834653</v>
      </c>
      <c r="AP79" s="1699">
        <f t="shared" si="31"/>
        <v>17.780131425579587</v>
      </c>
      <c r="AQ79" s="1699">
        <f t="shared" si="31"/>
        <v>16.67910496596371</v>
      </c>
      <c r="AR79" s="1702">
        <f t="shared" si="31"/>
        <v>24.286397272870069</v>
      </c>
      <c r="AS79" s="1700">
        <f t="shared" si="31"/>
        <v>17.252787398731662</v>
      </c>
      <c r="AT79" s="1700">
        <f t="shared" si="31"/>
        <v>23.410464262714925</v>
      </c>
      <c r="AU79" s="1700">
        <f t="shared" si="31"/>
        <v>21.960782032129227</v>
      </c>
      <c r="AV79" s="1702">
        <f t="shared" si="31"/>
        <v>31.977032217470704</v>
      </c>
      <c r="AW79" s="1700">
        <f t="shared" si="31"/>
        <v>22.988659833161822</v>
      </c>
      <c r="AX79" s="1699">
        <f t="shared" si="31"/>
        <v>31.193521779066771</v>
      </c>
      <c r="AY79" s="1699">
        <f t="shared" si="31"/>
        <v>29.261877292010503</v>
      </c>
      <c r="AZ79" s="1699">
        <f t="shared" si="31"/>
        <v>42.608136246756963</v>
      </c>
    </row>
    <row r="80" spans="4:52" hidden="1" outlineLevel="1" x14ac:dyDescent="0.25">
      <c r="D80" s="377" t="str">
        <f t="shared" si="27"/>
        <v>Expansion</v>
      </c>
      <c r="E80" s="377"/>
      <c r="F80" s="377"/>
      <c r="G80" s="1360">
        <f t="shared" ref="G80:O80" si="32">G56+G64+G73</f>
        <v>6.2805207700000008</v>
      </c>
      <c r="H80" s="1360">
        <f t="shared" si="32"/>
        <v>11.561305056410001</v>
      </c>
      <c r="I80" s="1361">
        <f t="shared" si="32"/>
        <v>16.785260953111997</v>
      </c>
      <c r="J80" s="1360">
        <f t="shared" si="32"/>
        <v>35.375722987260673</v>
      </c>
      <c r="K80" s="1360">
        <f t="shared" si="32"/>
        <v>54.669657042218816</v>
      </c>
      <c r="L80" s="1360">
        <f t="shared" si="32"/>
        <v>84.943737404113818</v>
      </c>
      <c r="M80" s="1360">
        <f t="shared" si="32"/>
        <v>135.29158492875194</v>
      </c>
      <c r="N80" s="1360">
        <f t="shared" si="32"/>
        <v>207.0743247139535</v>
      </c>
      <c r="O80" s="1360">
        <f t="shared" si="32"/>
        <v>305.04335172400386</v>
      </c>
      <c r="P80" s="1697"/>
      <c r="Q80" s="1699">
        <f t="shared" ref="Q80:AZ80" si="33">Q56+Q64+Q73</f>
        <v>1.1005411699999998</v>
      </c>
      <c r="R80" s="1699">
        <f t="shared" si="33"/>
        <v>1.33091706</v>
      </c>
      <c r="S80" s="1699">
        <f t="shared" si="33"/>
        <v>1.5259976399999999</v>
      </c>
      <c r="T80" s="1700">
        <f t="shared" si="33"/>
        <v>2.3230649000000003</v>
      </c>
      <c r="U80" s="1701">
        <f t="shared" si="33"/>
        <v>1.9222333100000002</v>
      </c>
      <c r="V80" s="1700">
        <f t="shared" si="33"/>
        <v>3.5189561999999999</v>
      </c>
      <c r="W80" s="1700">
        <f t="shared" si="33"/>
        <v>2.2470601799999996</v>
      </c>
      <c r="X80" s="1702">
        <f t="shared" si="33"/>
        <v>3.8730553664100005</v>
      </c>
      <c r="Y80" s="1700">
        <f t="shared" si="33"/>
        <v>2.5801965887179996</v>
      </c>
      <c r="Z80" s="1699">
        <f t="shared" si="33"/>
        <v>3.8306916504759996</v>
      </c>
      <c r="AA80" s="1699">
        <f t="shared" si="33"/>
        <v>4.7942486440289995</v>
      </c>
      <c r="AB80" s="1700">
        <f t="shared" si="33"/>
        <v>5.580124069889</v>
      </c>
      <c r="AC80" s="1701">
        <f t="shared" si="33"/>
        <v>4.8969237986190031</v>
      </c>
      <c r="AD80" s="1700">
        <f t="shared" si="33"/>
        <v>8.2634856280209998</v>
      </c>
      <c r="AE80" s="1700">
        <f t="shared" si="33"/>
        <v>9.5101999233333334</v>
      </c>
      <c r="AF80" s="1702">
        <f t="shared" si="33"/>
        <v>12.705113637287335</v>
      </c>
      <c r="AG80" s="1700">
        <f t="shared" si="33"/>
        <v>9.9125073219622504</v>
      </c>
      <c r="AH80" s="1699">
        <f t="shared" si="33"/>
        <v>12.896972604891785</v>
      </c>
      <c r="AI80" s="1699">
        <f t="shared" si="33"/>
        <v>12.826167860993229</v>
      </c>
      <c r="AJ80" s="1702">
        <f t="shared" si="33"/>
        <v>19.034009254371551</v>
      </c>
      <c r="AK80" s="1700">
        <f t="shared" si="33"/>
        <v>15.746457912045534</v>
      </c>
      <c r="AL80" s="1700">
        <f t="shared" si="33"/>
        <v>20.996886823828582</v>
      </c>
      <c r="AM80" s="1700">
        <f t="shared" si="33"/>
        <v>19.843497654589463</v>
      </c>
      <c r="AN80" s="1702">
        <f t="shared" si="33"/>
        <v>28.356895013650238</v>
      </c>
      <c r="AO80" s="1700">
        <f t="shared" si="33"/>
        <v>24.673685535509886</v>
      </c>
      <c r="AP80" s="1699">
        <f t="shared" si="33"/>
        <v>33.47994849232213</v>
      </c>
      <c r="AQ80" s="1699">
        <f t="shared" si="33"/>
        <v>31.406718082810588</v>
      </c>
      <c r="AR80" s="1702">
        <f t="shared" si="33"/>
        <v>45.731232818109348</v>
      </c>
      <c r="AS80" s="1700">
        <f t="shared" si="33"/>
        <v>37.76500048514351</v>
      </c>
      <c r="AT80" s="1700">
        <f t="shared" si="33"/>
        <v>51.243672909564637</v>
      </c>
      <c r="AU80" s="1700">
        <f t="shared" si="33"/>
        <v>48.070432036881222</v>
      </c>
      <c r="AV80" s="1702">
        <f t="shared" si="33"/>
        <v>69.995219282364104</v>
      </c>
      <c r="AW80" s="1700">
        <f t="shared" si="33"/>
        <v>55.632016870078679</v>
      </c>
      <c r="AX80" s="1699">
        <f t="shared" si="33"/>
        <v>75.48759007460292</v>
      </c>
      <c r="AY80" s="1699">
        <f t="shared" si="33"/>
        <v>70.81305578374824</v>
      </c>
      <c r="AZ80" s="1699">
        <f t="shared" si="33"/>
        <v>103.11068899557408</v>
      </c>
    </row>
    <row r="81" spans="4:52" hidden="1" outlineLevel="1" x14ac:dyDescent="0.25">
      <c r="D81" s="1703" t="str">
        <f t="shared" si="27"/>
        <v>Churn</v>
      </c>
      <c r="E81" s="1703"/>
      <c r="F81" s="1703"/>
      <c r="G81" s="1375">
        <f t="shared" ref="G81:O81" si="34">G57+G65+G74</f>
        <v>-1.68811081</v>
      </c>
      <c r="H81" s="1375">
        <f t="shared" si="34"/>
        <v>-3.3974783499999996</v>
      </c>
      <c r="I81" s="1378">
        <f t="shared" si="34"/>
        <v>-6.9882583366670001</v>
      </c>
      <c r="J81" s="1375">
        <f t="shared" si="34"/>
        <v>-8.0900979643129993</v>
      </c>
      <c r="K81" s="1375">
        <f t="shared" si="34"/>
        <v>-13.935170130955436</v>
      </c>
      <c r="L81" s="1375">
        <f t="shared" si="34"/>
        <v>-20.964694425200612</v>
      </c>
      <c r="M81" s="1375">
        <f t="shared" si="34"/>
        <v>-29.386115091255807</v>
      </c>
      <c r="N81" s="1375">
        <f t="shared" si="34"/>
        <v>-41.094558361766111</v>
      </c>
      <c r="O81" s="1375">
        <f t="shared" si="34"/>
        <v>-57.426105342688189</v>
      </c>
      <c r="P81" s="1697"/>
      <c r="Q81" s="1706">
        <f t="shared" ref="Q81:AZ81" si="35">Q57+Q65+Q74</f>
        <v>-0.26358739999999997</v>
      </c>
      <c r="R81" s="1706">
        <f t="shared" si="35"/>
        <v>-0.3071026</v>
      </c>
      <c r="S81" s="1706">
        <f t="shared" si="35"/>
        <v>-0.36380999999999997</v>
      </c>
      <c r="T81" s="1706">
        <f t="shared" si="35"/>
        <v>-0.75361080999999996</v>
      </c>
      <c r="U81" s="1707">
        <f t="shared" si="35"/>
        <v>-0.78788398000000004</v>
      </c>
      <c r="V81" s="1706">
        <f t="shared" si="35"/>
        <v>-0.84458259999999996</v>
      </c>
      <c r="W81" s="1706">
        <f t="shared" si="35"/>
        <v>-0.68166400000000005</v>
      </c>
      <c r="X81" s="1708">
        <f t="shared" si="35"/>
        <v>-1.08334777</v>
      </c>
      <c r="Y81" s="1706">
        <f t="shared" si="35"/>
        <v>-1.4166236700000001</v>
      </c>
      <c r="Z81" s="1706">
        <f t="shared" si="35"/>
        <v>-1.867125983077</v>
      </c>
      <c r="AA81" s="1706">
        <f t="shared" si="35"/>
        <v>-1.78000487359</v>
      </c>
      <c r="AB81" s="1706">
        <f t="shared" si="35"/>
        <v>-1.92450381</v>
      </c>
      <c r="AC81" s="1707">
        <f t="shared" si="35"/>
        <v>-1.987314508151</v>
      </c>
      <c r="AD81" s="1706">
        <f t="shared" si="35"/>
        <v>-1.7611718943619998</v>
      </c>
      <c r="AE81" s="1706">
        <f t="shared" si="35"/>
        <v>-1.8917637599999995</v>
      </c>
      <c r="AF81" s="1708">
        <f t="shared" si="35"/>
        <v>-2.4498478018000003</v>
      </c>
      <c r="AG81" s="1706">
        <f t="shared" si="35"/>
        <v>-2.9167301829626124</v>
      </c>
      <c r="AH81" s="1706">
        <f t="shared" si="35"/>
        <v>-3.2535865560643038</v>
      </c>
      <c r="AI81" s="1706">
        <f t="shared" si="35"/>
        <v>-3.0885962508203288</v>
      </c>
      <c r="AJ81" s="1708">
        <f t="shared" si="35"/>
        <v>-4.6762571411081915</v>
      </c>
      <c r="AK81" s="1706">
        <f t="shared" si="35"/>
        <v>-4.4098938557398011</v>
      </c>
      <c r="AL81" s="1706">
        <f t="shared" si="35"/>
        <v>-4.9008846452224351</v>
      </c>
      <c r="AM81" s="1706">
        <f t="shared" si="35"/>
        <v>-4.606663778900006</v>
      </c>
      <c r="AN81" s="1708">
        <f t="shared" si="35"/>
        <v>-7.0472521453383701</v>
      </c>
      <c r="AO81" s="1706">
        <f t="shared" si="35"/>
        <v>-6.2744599947653334</v>
      </c>
      <c r="AP81" s="1706">
        <f t="shared" si="35"/>
        <v>-6.8986668563137625</v>
      </c>
      <c r="AQ81" s="1706">
        <f t="shared" si="35"/>
        <v>-6.3639992613487495</v>
      </c>
      <c r="AR81" s="1708">
        <f t="shared" si="35"/>
        <v>-9.8489889788279612</v>
      </c>
      <c r="AS81" s="1706">
        <f t="shared" si="35"/>
        <v>-8.6485117766887285</v>
      </c>
      <c r="AT81" s="1706">
        <f t="shared" si="35"/>
        <v>-9.5986615686722665</v>
      </c>
      <c r="AU81" s="1706">
        <f t="shared" si="35"/>
        <v>-8.8322781872164811</v>
      </c>
      <c r="AV81" s="1708">
        <f t="shared" si="35"/>
        <v>-14.01510682918863</v>
      </c>
      <c r="AW81" s="1706">
        <f t="shared" si="35"/>
        <v>-11.979200542067797</v>
      </c>
      <c r="AX81" s="1706">
        <f t="shared" si="35"/>
        <v>-13.372191530392195</v>
      </c>
      <c r="AY81" s="1706">
        <f t="shared" si="35"/>
        <v>-12.285453862376398</v>
      </c>
      <c r="AZ81" s="1706">
        <f t="shared" si="35"/>
        <v>-19.789259407851791</v>
      </c>
    </row>
    <row r="82" spans="4:52" collapsed="1" x14ac:dyDescent="0.25">
      <c r="D82" s="14" t="s">
        <v>1273</v>
      </c>
      <c r="E82" s="1424"/>
      <c r="F82" s="1424"/>
      <c r="G82" s="1379">
        <f t="shared" ref="G82:O82" si="36">G58+G66+G75</f>
        <v>32.749344749999992</v>
      </c>
      <c r="H82" s="1379">
        <f t="shared" si="36"/>
        <v>60.322294550915004</v>
      </c>
      <c r="I82" s="1380">
        <f t="shared" si="36"/>
        <v>90.766478417434968</v>
      </c>
      <c r="J82" s="1379">
        <f t="shared" si="36"/>
        <v>155.48910867507394</v>
      </c>
      <c r="K82" s="1379">
        <f t="shared" si="36"/>
        <v>236.86597795952528</v>
      </c>
      <c r="L82" s="1379">
        <f t="shared" si="36"/>
        <v>356.58230637720078</v>
      </c>
      <c r="M82" s="1379">
        <f t="shared" si="36"/>
        <v>534.33681628594491</v>
      </c>
      <c r="N82" s="1379">
        <f t="shared" si="36"/>
        <v>794.91764854917881</v>
      </c>
      <c r="O82" s="1379">
        <f t="shared" si="36"/>
        <v>1168.5870900814903</v>
      </c>
      <c r="P82" s="1696"/>
      <c r="Q82" s="1381">
        <f t="shared" ref="Q82:AZ82" si="37">Q58+Q66+Q75</f>
        <v>17.385593599999989</v>
      </c>
      <c r="R82" s="1381">
        <f t="shared" si="37"/>
        <v>21.508692059999998</v>
      </c>
      <c r="S82" s="1381">
        <f t="shared" si="37"/>
        <v>25.911129559999996</v>
      </c>
      <c r="T82" s="1381">
        <f t="shared" si="37"/>
        <v>32.578190489999997</v>
      </c>
      <c r="U82" s="1382">
        <f t="shared" si="37"/>
        <v>38.075230600000019</v>
      </c>
      <c r="V82" s="1381">
        <f t="shared" si="37"/>
        <v>45.916477630000017</v>
      </c>
      <c r="W82" s="1381">
        <f t="shared" si="37"/>
        <v>52.118724380000018</v>
      </c>
      <c r="X82" s="1383">
        <f t="shared" si="37"/>
        <v>60.375783010915008</v>
      </c>
      <c r="Y82" s="1381">
        <f t="shared" si="37"/>
        <v>65.275870713662982</v>
      </c>
      <c r="Z82" s="1381">
        <f t="shared" si="37"/>
        <v>72.71864429618897</v>
      </c>
      <c r="AA82" s="1381">
        <f t="shared" si="37"/>
        <v>80.454479663367948</v>
      </c>
      <c r="AB82" s="1381">
        <f t="shared" si="37"/>
        <v>90.83242244421497</v>
      </c>
      <c r="AC82" s="1382">
        <f t="shared" si="37"/>
        <v>99.707184738021965</v>
      </c>
      <c r="AD82" s="1381">
        <f t="shared" si="37"/>
        <v>114.08031570989797</v>
      </c>
      <c r="AE82" s="1381">
        <f t="shared" si="37"/>
        <v>131.62215251999999</v>
      </c>
      <c r="AF82" s="1383">
        <f t="shared" si="37"/>
        <v>155.12636400083969</v>
      </c>
      <c r="AG82" s="1384">
        <f t="shared" si="37"/>
        <v>169.06472341009078</v>
      </c>
      <c r="AH82" s="1385">
        <f t="shared" si="37"/>
        <v>188.2667928547279</v>
      </c>
      <c r="AI82" s="1385">
        <f t="shared" si="37"/>
        <v>207.47483633131995</v>
      </c>
      <c r="AJ82" s="1386">
        <f t="shared" si="37"/>
        <v>236.15434892053062</v>
      </c>
      <c r="AK82" s="1385">
        <f t="shared" si="37"/>
        <v>257.50776229872667</v>
      </c>
      <c r="AL82" s="1385">
        <f t="shared" si="37"/>
        <v>287.08156779873212</v>
      </c>
      <c r="AM82" s="1385">
        <f t="shared" si="37"/>
        <v>315.39059037336216</v>
      </c>
      <c r="AN82" s="1385">
        <f t="shared" si="37"/>
        <v>355.87067733820612</v>
      </c>
      <c r="AO82" s="1384">
        <f t="shared" si="37"/>
        <v>387.37330928578547</v>
      </c>
      <c r="AP82" s="1385">
        <f t="shared" si="37"/>
        <v>431.73472234737352</v>
      </c>
      <c r="AQ82" s="1385">
        <f t="shared" si="37"/>
        <v>473.45654613479894</v>
      </c>
      <c r="AR82" s="1386">
        <f t="shared" si="37"/>
        <v>533.62518724695053</v>
      </c>
      <c r="AS82" s="1385">
        <f t="shared" si="37"/>
        <v>579.99446335413688</v>
      </c>
      <c r="AT82" s="1385">
        <f t="shared" si="37"/>
        <v>645.04993895774442</v>
      </c>
      <c r="AU82" s="1385">
        <f t="shared" si="37"/>
        <v>706.24887483953819</v>
      </c>
      <c r="AV82" s="1386">
        <f t="shared" si="37"/>
        <v>794.20601951018432</v>
      </c>
      <c r="AW82" s="1385">
        <f t="shared" si="37"/>
        <v>860.84749567135714</v>
      </c>
      <c r="AX82" s="1385">
        <f t="shared" si="37"/>
        <v>954.15641599463504</v>
      </c>
      <c r="AY82" s="1385">
        <f t="shared" si="37"/>
        <v>1041.9458952080172</v>
      </c>
      <c r="AZ82" s="1385">
        <f t="shared" si="37"/>
        <v>1167.8754610424965</v>
      </c>
    </row>
    <row r="83" spans="4:52" x14ac:dyDescent="0.25">
      <c r="D83" s="28" t="s">
        <v>218</v>
      </c>
      <c r="E83" s="28"/>
      <c r="F83" s="28"/>
      <c r="G83" s="494"/>
      <c r="H83" s="1346">
        <f t="shared" ref="H83:O83" si="38">IFERROR(H82/G82-1,"NA")</f>
        <v>0.84193897653219518</v>
      </c>
      <c r="I83" s="1347">
        <f t="shared" si="38"/>
        <v>0.50469207269334837</v>
      </c>
      <c r="J83" s="1348">
        <f t="shared" si="38"/>
        <v>0.71306754857205812</v>
      </c>
      <c r="K83" s="1346">
        <f t="shared" si="38"/>
        <v>0.52336057475578457</v>
      </c>
      <c r="L83" s="1346">
        <f t="shared" si="38"/>
        <v>0.50541799818179101</v>
      </c>
      <c r="M83" s="1346">
        <f t="shared" si="38"/>
        <v>0.49849503671309869</v>
      </c>
      <c r="N83" s="1346">
        <f t="shared" si="38"/>
        <v>0.48767149169033996</v>
      </c>
      <c r="O83" s="1346">
        <f t="shared" si="38"/>
        <v>0.47007314809817546</v>
      </c>
      <c r="P83" s="1519"/>
      <c r="Q83" s="493"/>
      <c r="R83" s="493"/>
      <c r="S83" s="493"/>
      <c r="T83" s="1285"/>
      <c r="U83" s="1298"/>
      <c r="V83" s="1285"/>
      <c r="W83" s="1285"/>
      <c r="X83" s="1315"/>
      <c r="Y83" s="1285"/>
      <c r="Z83" s="493"/>
      <c r="AA83" s="493"/>
      <c r="AB83" s="1285"/>
      <c r="AC83" s="1298"/>
      <c r="AD83" s="1285"/>
      <c r="AE83" s="1285"/>
      <c r="AF83" s="1315"/>
      <c r="AG83" s="1285"/>
      <c r="AH83" s="493"/>
      <c r="AI83" s="493"/>
      <c r="AJ83" s="1285"/>
      <c r="AK83" s="1298"/>
      <c r="AL83" s="1285"/>
      <c r="AM83" s="1285"/>
      <c r="AN83" s="1315"/>
      <c r="AO83" s="1285"/>
      <c r="AP83" s="493"/>
      <c r="AQ83" s="493"/>
      <c r="AR83" s="1285"/>
      <c r="AS83" s="1298"/>
      <c r="AT83" s="1285"/>
      <c r="AU83" s="1285"/>
      <c r="AV83" s="1315"/>
      <c r="AW83" s="1285"/>
      <c r="AX83" s="493"/>
      <c r="AY83" s="493"/>
      <c r="AZ83" s="493"/>
    </row>
    <row r="84" spans="4:52" x14ac:dyDescent="0.25">
      <c r="D84" s="28"/>
      <c r="E84" s="28"/>
      <c r="F84" s="28"/>
      <c r="G84" s="494"/>
      <c r="H84" s="1346"/>
      <c r="I84" s="1347"/>
      <c r="J84" s="1348"/>
      <c r="K84" s="1346"/>
      <c r="L84" s="1346"/>
      <c r="M84" s="1346"/>
      <c r="N84" s="1346"/>
      <c r="O84" s="1346"/>
      <c r="P84" s="1519"/>
      <c r="Q84" s="493"/>
      <c r="R84" s="493"/>
      <c r="S84" s="493"/>
      <c r="T84" s="1285"/>
      <c r="U84" s="1298"/>
      <c r="V84" s="1285"/>
      <c r="W84" s="1285"/>
      <c r="X84" s="1315"/>
      <c r="Y84" s="1285"/>
      <c r="Z84" s="493"/>
      <c r="AA84" s="493"/>
      <c r="AB84" s="1285"/>
      <c r="AC84" s="1298"/>
      <c r="AD84" s="1285"/>
      <c r="AE84" s="1285"/>
      <c r="AF84" s="1315"/>
      <c r="AG84" s="1285"/>
      <c r="AH84" s="493"/>
      <c r="AI84" s="493"/>
      <c r="AJ84" s="1285"/>
      <c r="AK84" s="1298"/>
      <c r="AL84" s="1285"/>
      <c r="AM84" s="1285"/>
      <c r="AN84" s="1315"/>
      <c r="AO84" s="1285"/>
      <c r="AP84" s="493"/>
      <c r="AQ84" s="493"/>
      <c r="AR84" s="1285"/>
      <c r="AS84" s="1298"/>
      <c r="AT84" s="1285"/>
      <c r="AU84" s="1285"/>
      <c r="AV84" s="1315"/>
      <c r="AW84" s="1285"/>
      <c r="AX84" s="493"/>
      <c r="AY84" s="493"/>
      <c r="AZ84" s="493"/>
    </row>
    <row r="85" spans="4:52" x14ac:dyDescent="0.25">
      <c r="D85" s="1372" t="s">
        <v>1322</v>
      </c>
      <c r="E85" s="377"/>
      <c r="F85" s="377"/>
      <c r="G85" s="472"/>
      <c r="H85" s="1343"/>
      <c r="I85" s="1344"/>
      <c r="J85" s="1345"/>
      <c r="K85" s="1343"/>
      <c r="L85" s="1343"/>
      <c r="M85" s="1343"/>
      <c r="N85" s="1343"/>
      <c r="O85" s="1343"/>
      <c r="P85" s="1519"/>
      <c r="Q85" s="456"/>
      <c r="R85" s="456"/>
      <c r="S85" s="456"/>
      <c r="T85" s="457"/>
      <c r="U85" s="1305"/>
      <c r="V85" s="457"/>
      <c r="W85" s="457"/>
      <c r="X85" s="458"/>
      <c r="Y85" s="457"/>
      <c r="Z85" s="456"/>
      <c r="AA85" s="456"/>
      <c r="AB85" s="457"/>
      <c r="AC85" s="1305"/>
      <c r="AD85" s="457"/>
      <c r="AE85" s="457"/>
      <c r="AF85" s="458"/>
      <c r="AG85" s="457"/>
      <c r="AH85" s="456"/>
      <c r="AI85" s="456"/>
      <c r="AJ85" s="457"/>
      <c r="AK85" s="1305"/>
      <c r="AL85" s="457"/>
      <c r="AM85" s="457"/>
      <c r="AN85" s="458"/>
      <c r="AO85" s="457"/>
      <c r="AP85" s="456"/>
      <c r="AQ85" s="456"/>
      <c r="AR85" s="457"/>
      <c r="AS85" s="1305"/>
      <c r="AT85" s="457"/>
      <c r="AU85" s="457"/>
      <c r="AV85" s="458"/>
      <c r="AW85" s="457"/>
      <c r="AX85" s="456"/>
      <c r="AY85" s="456"/>
      <c r="AZ85" s="456"/>
    </row>
    <row r="86" spans="4:52" x14ac:dyDescent="0.25">
      <c r="D86" s="310" t="s">
        <v>1300</v>
      </c>
      <c r="E86" s="377"/>
      <c r="F86" s="377"/>
      <c r="G86" s="472"/>
      <c r="H86" s="1343"/>
      <c r="I86" s="1629">
        <f t="shared" ref="I86:I87" si="39">AB86</f>
        <v>73.962028000000004</v>
      </c>
      <c r="J86" s="1779">
        <f>AF86</f>
        <v>117.7895597337107</v>
      </c>
      <c r="K86" s="1780">
        <f>AJ86</f>
        <v>192.82829495869629</v>
      </c>
      <c r="L86" s="1780">
        <f>AN86</f>
        <v>294.14078955716758</v>
      </c>
      <c r="M86" s="1780">
        <f>AR86</f>
        <v>440.44708413869301</v>
      </c>
      <c r="N86" s="1780">
        <f>AV86</f>
        <v>649.2987482679207</v>
      </c>
      <c r="O86" s="1698">
        <f>AZ86</f>
        <v>942.26162879737467</v>
      </c>
      <c r="P86" s="1519"/>
      <c r="Q86" s="1775">
        <f>Q94*4</f>
        <v>13.863408</v>
      </c>
      <c r="R86" s="1775">
        <f t="shared" ref="R86:AZ86" si="40">R94*4</f>
        <v>17.82198</v>
      </c>
      <c r="S86" s="1775">
        <f t="shared" si="40"/>
        <v>21.548196000000001</v>
      </c>
      <c r="T86" s="1776">
        <f t="shared" si="40"/>
        <v>25.621216</v>
      </c>
      <c r="U86" s="1777">
        <f t="shared" si="40"/>
        <v>31.574984000000001</v>
      </c>
      <c r="V86" s="1776">
        <f t="shared" si="40"/>
        <v>37.171492000000001</v>
      </c>
      <c r="W86" s="1776">
        <f t="shared" si="40"/>
        <v>43.759028000000001</v>
      </c>
      <c r="X86" s="1778">
        <f t="shared" si="40"/>
        <v>49.174176000000003</v>
      </c>
      <c r="Y86" s="1776">
        <f t="shared" si="40"/>
        <v>56.334081239999996</v>
      </c>
      <c r="Z86" s="1775">
        <f t="shared" si="40"/>
        <v>60.087944</v>
      </c>
      <c r="AA86" s="1775">
        <f t="shared" si="40"/>
        <v>66.574284000000006</v>
      </c>
      <c r="AB86" s="1776">
        <f t="shared" si="40"/>
        <v>73.962028000000004</v>
      </c>
      <c r="AC86" s="1777">
        <f t="shared" si="40"/>
        <v>83.267769520000002</v>
      </c>
      <c r="AD86" s="1776">
        <f t="shared" si="40"/>
        <v>92.091796000000002</v>
      </c>
      <c r="AE86" s="1776">
        <f t="shared" si="40"/>
        <v>103.59137479273032</v>
      </c>
      <c r="AF86" s="1778">
        <f t="shared" si="40"/>
        <v>117.7895597337107</v>
      </c>
      <c r="AG86" s="1776">
        <f t="shared" si="40"/>
        <v>138.18427027389458</v>
      </c>
      <c r="AH86" s="1775">
        <f t="shared" si="40"/>
        <v>153.79706503869028</v>
      </c>
      <c r="AI86" s="1775">
        <f t="shared" si="40"/>
        <v>170.48843464752099</v>
      </c>
      <c r="AJ86" s="1776">
        <f t="shared" si="40"/>
        <v>192.82829495869629</v>
      </c>
      <c r="AK86" s="1777">
        <f t="shared" si="40"/>
        <v>213.93431697790723</v>
      </c>
      <c r="AL86" s="1776">
        <f t="shared" si="40"/>
        <v>237.95616742872488</v>
      </c>
      <c r="AM86" s="1776">
        <f t="shared" si="40"/>
        <v>262.86485948139762</v>
      </c>
      <c r="AN86" s="1778">
        <f t="shared" si="40"/>
        <v>294.14078955716758</v>
      </c>
      <c r="AO86" s="1776">
        <f t="shared" si="40"/>
        <v>324.18878609296814</v>
      </c>
      <c r="AP86" s="1775">
        <f t="shared" si="40"/>
        <v>359.00769211510777</v>
      </c>
      <c r="AQ86" s="1775">
        <f t="shared" si="40"/>
        <v>395.11286451064848</v>
      </c>
      <c r="AR86" s="1776">
        <f t="shared" si="40"/>
        <v>440.44708413869301</v>
      </c>
      <c r="AS86" s="1777">
        <f t="shared" si="40"/>
        <v>483.65277667982622</v>
      </c>
      <c r="AT86" s="1776">
        <f t="shared" si="40"/>
        <v>533.26284421920332</v>
      </c>
      <c r="AU86" s="1776">
        <f t="shared" si="40"/>
        <v>584.7060275009394</v>
      </c>
      <c r="AV86" s="1778">
        <f t="shared" si="40"/>
        <v>649.2987482679207</v>
      </c>
      <c r="AW86" s="1776">
        <f t="shared" si="40"/>
        <v>710.35976448453232</v>
      </c>
      <c r="AX86" s="1775">
        <f t="shared" si="40"/>
        <v>779.81308287138518</v>
      </c>
      <c r="AY86" s="1775">
        <f t="shared" si="40"/>
        <v>851.83278431897088</v>
      </c>
      <c r="AZ86" s="1775">
        <f t="shared" si="40"/>
        <v>942.26162879737467</v>
      </c>
    </row>
    <row r="87" spans="4:52" x14ac:dyDescent="0.25">
      <c r="D87" s="310" t="s">
        <v>1323</v>
      </c>
      <c r="E87" s="28"/>
      <c r="F87" s="28"/>
      <c r="G87" s="494"/>
      <c r="H87" s="1346"/>
      <c r="I87" s="1781">
        <f t="shared" si="39"/>
        <v>82.202822640000008</v>
      </c>
      <c r="J87" s="1779">
        <f>AF87</f>
        <v>132.28024183228771</v>
      </c>
      <c r="K87" s="1780">
        <f>AJ87</f>
        <v>212.84424952146361</v>
      </c>
      <c r="L87" s="1780">
        <f>AN87</f>
        <v>321.38325775413267</v>
      </c>
      <c r="M87" s="1780">
        <f>AR87</f>
        <v>481.52420336651682</v>
      </c>
      <c r="N87" s="1780">
        <f>AV87</f>
        <v>716.58778904289829</v>
      </c>
      <c r="O87" s="1698">
        <f>AZ87</f>
        <v>1054.5659767538641</v>
      </c>
      <c r="P87" s="1519"/>
      <c r="Q87" s="1775">
        <f>Q97*4</f>
        <v>14.29509472</v>
      </c>
      <c r="R87" s="1775">
        <f t="shared" ref="R87:AZ87" si="41">R97*4</f>
        <v>18.72244852</v>
      </c>
      <c r="S87" s="1775">
        <f t="shared" si="41"/>
        <v>22.798297680000001</v>
      </c>
      <c r="T87" s="1776">
        <f t="shared" si="41"/>
        <v>27.017291240000002</v>
      </c>
      <c r="U87" s="1777">
        <f t="shared" si="41"/>
        <v>34.40289336</v>
      </c>
      <c r="V87" s="1776">
        <f t="shared" si="41"/>
        <v>40.525211800000001</v>
      </c>
      <c r="W87" s="1776">
        <f t="shared" si="41"/>
        <v>47.410150559999998</v>
      </c>
      <c r="X87" s="1778">
        <f t="shared" si="41"/>
        <v>53.216761080000005</v>
      </c>
      <c r="Y87" s="1776">
        <f t="shared" si="41"/>
        <v>61.854487759999998</v>
      </c>
      <c r="Z87" s="1775">
        <f t="shared" si="41"/>
        <v>66.31561615999999</v>
      </c>
      <c r="AA87" s="1775">
        <f t="shared" si="41"/>
        <v>73.268124720000003</v>
      </c>
      <c r="AB87" s="1776">
        <f t="shared" si="41"/>
        <v>82.202822640000008</v>
      </c>
      <c r="AC87" s="1777">
        <f t="shared" si="41"/>
        <v>92.667473560000005</v>
      </c>
      <c r="AD87" s="1776">
        <f t="shared" si="41"/>
        <v>102.57484756000001</v>
      </c>
      <c r="AE87" s="1776">
        <f t="shared" si="41"/>
        <v>114.95332423273032</v>
      </c>
      <c r="AF87" s="1778">
        <f t="shared" si="41"/>
        <v>132.28024183228771</v>
      </c>
      <c r="AG87" s="1776">
        <f t="shared" si="41"/>
        <v>154.46678480136012</v>
      </c>
      <c r="AH87" s="1775">
        <f t="shared" si="41"/>
        <v>171.21752426140998</v>
      </c>
      <c r="AI87" s="1775">
        <f t="shared" si="41"/>
        <v>189.12996992368778</v>
      </c>
      <c r="AJ87" s="1776">
        <f t="shared" si="41"/>
        <v>212.84424952146361</v>
      </c>
      <c r="AK87" s="1777">
        <f t="shared" si="41"/>
        <v>235.37474344548465</v>
      </c>
      <c r="AL87" s="1776">
        <f t="shared" si="41"/>
        <v>260.92513803534797</v>
      </c>
      <c r="AM87" s="1776">
        <f t="shared" si="41"/>
        <v>287.63724659583482</v>
      </c>
      <c r="AN87" s="1778">
        <f t="shared" si="41"/>
        <v>321.38325775413267</v>
      </c>
      <c r="AO87" s="1776">
        <f t="shared" si="41"/>
        <v>354.0229807126712</v>
      </c>
      <c r="AP87" s="1775">
        <f t="shared" si="41"/>
        <v>392.09210198705392</v>
      </c>
      <c r="AQ87" s="1775">
        <f t="shared" si="41"/>
        <v>431.61134538835245</v>
      </c>
      <c r="AR87" s="1776">
        <f t="shared" si="41"/>
        <v>481.52420336651682</v>
      </c>
      <c r="AS87" s="1777">
        <f t="shared" si="41"/>
        <v>529.59359888672395</v>
      </c>
      <c r="AT87" s="1776">
        <f t="shared" si="41"/>
        <v>585.50531591346385</v>
      </c>
      <c r="AU87" s="1776">
        <f t="shared" si="41"/>
        <v>643.50794908479384</v>
      </c>
      <c r="AV87" s="1778">
        <f t="shared" si="41"/>
        <v>716.58778904289829</v>
      </c>
      <c r="AW87" s="1776">
        <f t="shared" si="41"/>
        <v>786.35148909120016</v>
      </c>
      <c r="AX87" s="1775">
        <f t="shared" si="41"/>
        <v>866.61124107510591</v>
      </c>
      <c r="AY87" s="1775">
        <f t="shared" si="41"/>
        <v>949.84240255730504</v>
      </c>
      <c r="AZ87" s="1775">
        <f t="shared" si="41"/>
        <v>1054.5659767538641</v>
      </c>
    </row>
    <row r="88" spans="4:52" x14ac:dyDescent="0.25">
      <c r="D88" s="377"/>
      <c r="E88" s="377"/>
      <c r="F88" s="377"/>
      <c r="I88" s="1689"/>
      <c r="P88" s="1696"/>
      <c r="T88" s="373"/>
      <c r="U88" s="1690"/>
      <c r="V88" s="373"/>
      <c r="W88" s="373"/>
      <c r="X88" s="1689"/>
      <c r="Y88" s="373"/>
      <c r="AB88" s="373"/>
      <c r="AC88" s="1690"/>
      <c r="AD88" s="373"/>
      <c r="AE88" s="373"/>
      <c r="AF88" s="1689"/>
      <c r="AG88" s="373"/>
      <c r="AJ88" s="373"/>
      <c r="AK88" s="1690"/>
      <c r="AL88" s="373"/>
      <c r="AM88" s="373"/>
      <c r="AN88" s="1689"/>
      <c r="AO88" s="373"/>
      <c r="AR88" s="373"/>
      <c r="AS88" s="1690"/>
      <c r="AT88" s="373"/>
      <c r="AU88" s="373"/>
      <c r="AV88" s="1689"/>
      <c r="AW88" s="373"/>
    </row>
    <row r="89" spans="4:52" x14ac:dyDescent="0.25">
      <c r="D89" s="3" t="str">
        <f>Forecast!C26</f>
        <v>GAAP P&amp;L</v>
      </c>
      <c r="E89" s="3"/>
      <c r="F89" s="3"/>
      <c r="G89" s="376"/>
      <c r="H89" s="376"/>
      <c r="I89" s="1691"/>
      <c r="J89" s="376"/>
      <c r="K89" s="376"/>
      <c r="L89" s="376"/>
      <c r="M89" s="376"/>
      <c r="N89" s="376"/>
      <c r="O89" s="376"/>
      <c r="P89" s="1519"/>
      <c r="Q89" s="376"/>
      <c r="R89" s="376"/>
      <c r="S89" s="376"/>
      <c r="T89" s="1692"/>
      <c r="U89" s="1693"/>
      <c r="V89" s="1692"/>
      <c r="W89" s="1692"/>
      <c r="X89" s="1691"/>
      <c r="Y89" s="1692"/>
      <c r="Z89" s="376"/>
      <c r="AA89" s="376"/>
      <c r="AB89" s="1692"/>
      <c r="AC89" s="1693"/>
      <c r="AD89" s="1692"/>
      <c r="AE89" s="1692"/>
      <c r="AF89" s="1691"/>
      <c r="AG89" s="1692"/>
      <c r="AH89" s="376"/>
      <c r="AI89" s="376"/>
      <c r="AJ89" s="1692"/>
      <c r="AK89" s="1693"/>
      <c r="AL89" s="1692"/>
      <c r="AM89" s="1692"/>
      <c r="AN89" s="1691"/>
      <c r="AO89" s="1692"/>
      <c r="AP89" s="376"/>
      <c r="AQ89" s="376"/>
      <c r="AR89" s="1692"/>
      <c r="AS89" s="1693"/>
      <c r="AT89" s="1692"/>
      <c r="AU89" s="1692"/>
      <c r="AV89" s="1691"/>
      <c r="AW89" s="1692"/>
      <c r="AX89" s="376"/>
      <c r="AY89" s="376"/>
      <c r="AZ89" s="376"/>
    </row>
    <row r="90" spans="4:52" ht="17.25" x14ac:dyDescent="0.4">
      <c r="D90" s="506"/>
      <c r="E90" s="506"/>
      <c r="F90" s="506"/>
      <c r="G90" s="504" t="s">
        <v>810</v>
      </c>
      <c r="H90" s="504"/>
      <c r="I90" s="505"/>
      <c r="J90" s="504" t="s">
        <v>809</v>
      </c>
      <c r="K90" s="504"/>
      <c r="L90" s="504"/>
      <c r="M90" s="504"/>
      <c r="N90" s="504"/>
      <c r="O90" s="504"/>
      <c r="P90" s="1519"/>
      <c r="Q90" s="504" t="str">
        <f>Q$49</f>
        <v>FY2019</v>
      </c>
      <c r="R90" s="504"/>
      <c r="S90" s="504"/>
      <c r="T90" s="1282"/>
      <c r="U90" s="504" t="str">
        <f>U$49</f>
        <v>FY2020</v>
      </c>
      <c r="V90" s="1282"/>
      <c r="W90" s="1282"/>
      <c r="X90" s="505"/>
      <c r="Y90" s="504" t="str">
        <f>Y$49</f>
        <v>FY2021</v>
      </c>
      <c r="Z90" s="504"/>
      <c r="AA90" s="504"/>
      <c r="AB90" s="1282"/>
      <c r="AC90" s="504" t="str">
        <f>AC$49</f>
        <v>FY2022</v>
      </c>
      <c r="AD90" s="1282"/>
      <c r="AE90" s="1282"/>
      <c r="AF90" s="505"/>
      <c r="AG90" s="504" t="str">
        <f>AG$49</f>
        <v>FY2023</v>
      </c>
      <c r="AH90" s="504"/>
      <c r="AI90" s="504"/>
      <c r="AJ90" s="1282"/>
      <c r="AK90" s="504" t="str">
        <f>AK$49</f>
        <v>FY2024</v>
      </c>
      <c r="AL90" s="1282"/>
      <c r="AM90" s="1282"/>
      <c r="AN90" s="505"/>
      <c r="AO90" s="504" t="str">
        <f>AO$49</f>
        <v>FY2025</v>
      </c>
      <c r="AP90" s="504"/>
      <c r="AQ90" s="504"/>
      <c r="AR90" s="1282"/>
      <c r="AS90" s="504" t="str">
        <f>AS$49</f>
        <v>FY2026</v>
      </c>
      <c r="AT90" s="1282"/>
      <c r="AU90" s="1282"/>
      <c r="AV90" s="505"/>
      <c r="AW90" s="504" t="str">
        <f>AW$49</f>
        <v>FY2027</v>
      </c>
      <c r="AX90" s="504"/>
      <c r="AY90" s="504"/>
      <c r="AZ90" s="504"/>
    </row>
    <row r="91" spans="4:52" ht="17.25" x14ac:dyDescent="0.4">
      <c r="D91" s="503" t="s">
        <v>808</v>
      </c>
      <c r="E91" s="503"/>
      <c r="F91" s="502"/>
      <c r="G91" s="501">
        <v>43496</v>
      </c>
      <c r="H91" s="501">
        <f t="shared" ref="H91:O91" si="42">EOMONTH(G91,12)</f>
        <v>43861</v>
      </c>
      <c r="I91" s="500">
        <f t="shared" si="42"/>
        <v>44227</v>
      </c>
      <c r="J91" s="499">
        <f t="shared" si="42"/>
        <v>44592</v>
      </c>
      <c r="K91" s="499">
        <f t="shared" si="42"/>
        <v>44957</v>
      </c>
      <c r="L91" s="499">
        <f t="shared" si="42"/>
        <v>45322</v>
      </c>
      <c r="M91" s="499">
        <f t="shared" si="42"/>
        <v>45688</v>
      </c>
      <c r="N91" s="499">
        <f t="shared" si="42"/>
        <v>46053</v>
      </c>
      <c r="O91" s="499">
        <f t="shared" si="42"/>
        <v>46418</v>
      </c>
      <c r="Q91" s="498">
        <f>EOMONTH(R91,-3)</f>
        <v>43220</v>
      </c>
      <c r="R91" s="498">
        <f>EOMONTH(S91,-3)</f>
        <v>43312</v>
      </c>
      <c r="S91" s="498">
        <f>EOMONTH(T91,-3)</f>
        <v>43404</v>
      </c>
      <c r="T91" s="1283">
        <f>G91</f>
        <v>43496</v>
      </c>
      <c r="U91" s="1294">
        <f t="shared" ref="U91:AZ91" si="43">EOMONTH(T91,3)</f>
        <v>43585</v>
      </c>
      <c r="V91" s="1283">
        <f t="shared" si="43"/>
        <v>43677</v>
      </c>
      <c r="W91" s="1283">
        <f t="shared" si="43"/>
        <v>43769</v>
      </c>
      <c r="X91" s="1314">
        <f t="shared" si="43"/>
        <v>43861</v>
      </c>
      <c r="Y91" s="1283">
        <f t="shared" si="43"/>
        <v>43951</v>
      </c>
      <c r="Z91" s="498">
        <f t="shared" si="43"/>
        <v>44043</v>
      </c>
      <c r="AA91" s="498">
        <f t="shared" si="43"/>
        <v>44135</v>
      </c>
      <c r="AB91" s="1283">
        <f t="shared" si="43"/>
        <v>44227</v>
      </c>
      <c r="AC91" s="1294">
        <f t="shared" si="43"/>
        <v>44316</v>
      </c>
      <c r="AD91" s="1283">
        <f t="shared" si="43"/>
        <v>44408</v>
      </c>
      <c r="AE91" s="1283">
        <f t="shared" si="43"/>
        <v>44500</v>
      </c>
      <c r="AF91" s="1314">
        <f t="shared" si="43"/>
        <v>44592</v>
      </c>
      <c r="AG91" s="1283">
        <f t="shared" si="43"/>
        <v>44681</v>
      </c>
      <c r="AH91" s="498">
        <f t="shared" si="43"/>
        <v>44773</v>
      </c>
      <c r="AI91" s="498">
        <f t="shared" si="43"/>
        <v>44865</v>
      </c>
      <c r="AJ91" s="1283">
        <f t="shared" si="43"/>
        <v>44957</v>
      </c>
      <c r="AK91" s="1294">
        <f t="shared" si="43"/>
        <v>45046</v>
      </c>
      <c r="AL91" s="1283">
        <f t="shared" si="43"/>
        <v>45138</v>
      </c>
      <c r="AM91" s="1283">
        <f t="shared" si="43"/>
        <v>45230</v>
      </c>
      <c r="AN91" s="1314">
        <f t="shared" si="43"/>
        <v>45322</v>
      </c>
      <c r="AO91" s="1283">
        <f t="shared" si="43"/>
        <v>45412</v>
      </c>
      <c r="AP91" s="498">
        <f t="shared" si="43"/>
        <v>45504</v>
      </c>
      <c r="AQ91" s="498">
        <f t="shared" si="43"/>
        <v>45596</v>
      </c>
      <c r="AR91" s="1283">
        <f t="shared" si="43"/>
        <v>45688</v>
      </c>
      <c r="AS91" s="1294">
        <f t="shared" si="43"/>
        <v>45777</v>
      </c>
      <c r="AT91" s="1283">
        <f t="shared" si="43"/>
        <v>45869</v>
      </c>
      <c r="AU91" s="1283">
        <f t="shared" si="43"/>
        <v>45961</v>
      </c>
      <c r="AV91" s="1314">
        <f t="shared" si="43"/>
        <v>46053</v>
      </c>
      <c r="AW91" s="1283">
        <f t="shared" si="43"/>
        <v>46142</v>
      </c>
      <c r="AX91" s="498">
        <f t="shared" si="43"/>
        <v>46234</v>
      </c>
      <c r="AY91" s="498">
        <f t="shared" si="43"/>
        <v>46326</v>
      </c>
      <c r="AZ91" s="498">
        <f t="shared" si="43"/>
        <v>46418</v>
      </c>
    </row>
    <row r="92" spans="4:52" x14ac:dyDescent="0.25">
      <c r="D92" s="1"/>
      <c r="E92" s="1"/>
      <c r="F92" s="1"/>
      <c r="I92" s="1689"/>
      <c r="P92" s="1519"/>
      <c r="T92" s="373"/>
      <c r="U92" s="1690"/>
      <c r="V92" s="373"/>
      <c r="W92" s="373"/>
      <c r="X92" s="1689"/>
      <c r="Y92" s="373"/>
      <c r="AB92" s="373"/>
      <c r="AC92" s="1690"/>
      <c r="AD92" s="373"/>
      <c r="AE92" s="373"/>
      <c r="AF92" s="1689"/>
      <c r="AG92" s="373"/>
      <c r="AJ92" s="373"/>
      <c r="AK92" s="1690"/>
      <c r="AL92" s="373"/>
      <c r="AM92" s="373"/>
      <c r="AN92" s="1689"/>
      <c r="AO92" s="373"/>
      <c r="AR92" s="373"/>
      <c r="AS92" s="1690"/>
      <c r="AT92" s="373"/>
      <c r="AU92" s="373"/>
      <c r="AV92" s="1689"/>
      <c r="AW92" s="373"/>
    </row>
    <row r="93" spans="4:52" outlineLevel="1" x14ac:dyDescent="0.25">
      <c r="D93" s="7" t="str">
        <f>Forecast!C28</f>
        <v>Revenue</v>
      </c>
      <c r="E93" s="1"/>
      <c r="F93" s="1"/>
      <c r="G93" s="481"/>
      <c r="H93" s="481"/>
      <c r="I93" s="483"/>
      <c r="J93" s="482"/>
      <c r="K93" s="481"/>
      <c r="L93" s="480"/>
      <c r="M93" s="480"/>
      <c r="N93" s="480"/>
      <c r="O93" s="480"/>
      <c r="P93" s="1522"/>
      <c r="Q93" s="481"/>
      <c r="R93" s="481"/>
      <c r="S93" s="481"/>
      <c r="T93" s="482"/>
      <c r="U93" s="1295"/>
      <c r="V93" s="482"/>
      <c r="W93" s="482"/>
      <c r="X93" s="483"/>
      <c r="Y93" s="482"/>
      <c r="Z93" s="481"/>
      <c r="AA93" s="481"/>
      <c r="AB93" s="482"/>
      <c r="AC93" s="1295"/>
      <c r="AD93" s="482"/>
      <c r="AE93" s="482"/>
      <c r="AF93" s="483"/>
      <c r="AG93" s="482"/>
      <c r="AH93" s="481"/>
      <c r="AI93" s="481"/>
      <c r="AJ93" s="482"/>
      <c r="AK93" s="1295"/>
      <c r="AL93" s="482"/>
      <c r="AM93" s="482"/>
      <c r="AN93" s="483"/>
      <c r="AO93" s="482"/>
      <c r="AP93" s="481"/>
      <c r="AQ93" s="481"/>
      <c r="AR93" s="482"/>
      <c r="AS93" s="1295"/>
      <c r="AT93" s="482"/>
      <c r="AU93" s="482"/>
      <c r="AV93" s="483"/>
      <c r="AW93" s="482"/>
      <c r="AX93" s="481"/>
      <c r="AY93" s="481"/>
      <c r="AZ93" s="481"/>
    </row>
    <row r="94" spans="4:52" outlineLevel="1" x14ac:dyDescent="0.25">
      <c r="D94" s="1373" t="s">
        <v>1274</v>
      </c>
      <c r="E94" s="377"/>
      <c r="F94" s="377"/>
      <c r="G94" s="469">
        <f>Forecast!D29/mm</f>
        <v>19.713699999999999</v>
      </c>
      <c r="H94" s="469">
        <f>Forecast!E29/mm</f>
        <v>40.419919999999998</v>
      </c>
      <c r="I94" s="470">
        <f>Forecast!F29/mm</f>
        <v>64.239584309999998</v>
      </c>
      <c r="J94" s="469">
        <f>Forecast!G29/mm</f>
        <v>99.185125011610253</v>
      </c>
      <c r="K94" s="469">
        <f>Forecast!H29/mm</f>
        <v>163.82451622970058</v>
      </c>
      <c r="L94" s="469">
        <f>Forecast!I29/mm</f>
        <v>252.22403336129938</v>
      </c>
      <c r="M94" s="469">
        <f>Forecast!J29/mm</f>
        <v>379.68910671435435</v>
      </c>
      <c r="N94" s="469">
        <f>Forecast!K29/mm</f>
        <v>562.73009916697242</v>
      </c>
      <c r="O94" s="469">
        <f>Forecast!L29/mm</f>
        <v>821.06681511806585</v>
      </c>
      <c r="P94" s="1709"/>
      <c r="Q94" s="468">
        <f>Forecast!N29/mm</f>
        <v>3.4658519999999999</v>
      </c>
      <c r="R94" s="468">
        <f>Forecast!O29/mm</f>
        <v>4.455495</v>
      </c>
      <c r="S94" s="468">
        <f>Forecast!P29/mm</f>
        <v>5.3870490000000002</v>
      </c>
      <c r="T94" s="1289">
        <f>Forecast!Q29/mm</f>
        <v>6.4053040000000001</v>
      </c>
      <c r="U94" s="1306">
        <f>Forecast!R29/mm</f>
        <v>7.8937460000000002</v>
      </c>
      <c r="V94" s="1289">
        <f>Forecast!S29/mm</f>
        <v>9.2928730000000002</v>
      </c>
      <c r="W94" s="1289">
        <f>Forecast!T29/mm</f>
        <v>10.939757</v>
      </c>
      <c r="X94" s="1318">
        <f>Forecast!U29/mm</f>
        <v>12.293544000000001</v>
      </c>
      <c r="Y94" s="1289">
        <f>Forecast!V29/mm</f>
        <v>14.083520309999999</v>
      </c>
      <c r="Z94" s="468">
        <f>Forecast!W29/mm</f>
        <v>15.021986</v>
      </c>
      <c r="AA94" s="468">
        <f>Forecast!X29/mm</f>
        <v>16.643571000000001</v>
      </c>
      <c r="AB94" s="1289">
        <f>Forecast!Y29/mm</f>
        <v>18.490507000000001</v>
      </c>
      <c r="AC94" s="1306">
        <f>Forecast!Z29/mm</f>
        <v>20.81694238</v>
      </c>
      <c r="AD94" s="1289">
        <f>Forecast!AA29/mm</f>
        <v>23.022949000000001</v>
      </c>
      <c r="AE94" s="1289">
        <f>Forecast!AB29/mm</f>
        <v>25.89784369818258</v>
      </c>
      <c r="AF94" s="1318">
        <f>Forecast!AC29/mm</f>
        <v>29.447389933427676</v>
      </c>
      <c r="AG94" s="1289">
        <f>Forecast!AD29/mm</f>
        <v>34.546067568473646</v>
      </c>
      <c r="AH94" s="468">
        <f>Forecast!AE29/mm</f>
        <v>38.449266259672569</v>
      </c>
      <c r="AI94" s="468">
        <f>Forecast!AF29/mm</f>
        <v>42.622108661880247</v>
      </c>
      <c r="AJ94" s="1289">
        <f>Forecast!AG29/mm</f>
        <v>48.207073739674072</v>
      </c>
      <c r="AK94" s="1306">
        <f>Forecast!AH29/mm</f>
        <v>53.483579244476807</v>
      </c>
      <c r="AL94" s="1289">
        <f>Forecast!AI29/mm</f>
        <v>59.489041857181221</v>
      </c>
      <c r="AM94" s="1289">
        <f>Forecast!AJ29/mm</f>
        <v>65.716214870349404</v>
      </c>
      <c r="AN94" s="1318">
        <f>Forecast!AK29/mm</f>
        <v>73.535197389291895</v>
      </c>
      <c r="AO94" s="1289">
        <f>Forecast!AL29/mm</f>
        <v>81.047196523242036</v>
      </c>
      <c r="AP94" s="468">
        <f>Forecast!AM29/mm</f>
        <v>89.751923028776943</v>
      </c>
      <c r="AQ94" s="468">
        <f>Forecast!AN29/mm</f>
        <v>98.77821612766212</v>
      </c>
      <c r="AR94" s="1289">
        <f>Forecast!AO29/mm</f>
        <v>110.11177103467325</v>
      </c>
      <c r="AS94" s="1306">
        <f>Forecast!AP29/mm</f>
        <v>120.91319416995655</v>
      </c>
      <c r="AT94" s="1289">
        <f>Forecast!AQ29/mm</f>
        <v>133.31571105480083</v>
      </c>
      <c r="AU94" s="1289">
        <f>Forecast!AR29/mm</f>
        <v>146.17650687523485</v>
      </c>
      <c r="AV94" s="1318">
        <f>Forecast!AS29/mm</f>
        <v>162.32468706698018</v>
      </c>
      <c r="AW94" s="1289">
        <f>Forecast!AT29/mm</f>
        <v>177.58994112113308</v>
      </c>
      <c r="AX94" s="468">
        <f>Forecast!AU29/mm</f>
        <v>194.95327071784629</v>
      </c>
      <c r="AY94" s="468">
        <f>Forecast!AV29/mm</f>
        <v>212.95819607974272</v>
      </c>
      <c r="AZ94" s="468">
        <f>Forecast!AW29/mm</f>
        <v>235.56540719934367</v>
      </c>
    </row>
    <row r="95" spans="4:52" outlineLevel="1" x14ac:dyDescent="0.25">
      <c r="D95" s="1373" t="s">
        <v>1306</v>
      </c>
      <c r="E95" s="377"/>
      <c r="F95" s="377"/>
      <c r="G95" s="1356">
        <f>'Functional P&amp;L'!AC14/k</f>
        <v>0.99458304000000008</v>
      </c>
      <c r="H95" s="1356">
        <f>'Functional P&amp;L'!AD14/k</f>
        <v>3.4688341999999999</v>
      </c>
      <c r="I95" s="1357">
        <f>'Functional P&amp;L'!AE14/k</f>
        <v>6.6706785100000001</v>
      </c>
      <c r="J95" s="1356">
        <f>'Functional P&amp;L'!AF14/k</f>
        <v>11.433846784644251</v>
      </c>
      <c r="K95" s="1356">
        <f>'Functional P&amp;L'!AG14/k</f>
        <v>18.057915362387</v>
      </c>
      <c r="L95" s="1356">
        <f>'Functional P&amp;L'!AH14/k</f>
        <v>22.501254183162416</v>
      </c>
      <c r="M95" s="1360">
        <f t="shared" ref="M95" si="44">SUM(AO95:AR95)</f>
        <v>22.720282940747666</v>
      </c>
      <c r="N95" s="1360">
        <f t="shared" ref="N95" si="45">SUM(AS95:AV95)</f>
        <v>19.226214099858307</v>
      </c>
      <c r="O95" s="1360">
        <f t="shared" ref="O95" si="46">SUM(AW95:AZ95)</f>
        <v>16.26948526906973</v>
      </c>
      <c r="P95" s="1709"/>
      <c r="Q95" s="1393">
        <f>'Functional P&amp;L'!D14/k</f>
        <v>0.10792167999999995</v>
      </c>
      <c r="R95" s="1393">
        <f>'Functional P&amp;L'!E14/k</f>
        <v>0.22511712999999994</v>
      </c>
      <c r="S95" s="1393">
        <f>'Functional P&amp;L'!F14/k</f>
        <v>0.31252542</v>
      </c>
      <c r="T95" s="1394">
        <f>'Functional P&amp;L'!G14/k</f>
        <v>0.34901881000000012</v>
      </c>
      <c r="U95" s="1395">
        <f>'Functional P&amp;L'!H14/k</f>
        <v>0.70697733999999979</v>
      </c>
      <c r="V95" s="1394">
        <f>'Functional P&amp;L'!I14/k</f>
        <v>0.83842994999999965</v>
      </c>
      <c r="W95" s="1394">
        <f>'Functional P&amp;L'!J14/k</f>
        <v>0.91278063999999959</v>
      </c>
      <c r="X95" s="1396">
        <f>'Functional P&amp;L'!K14/k</f>
        <v>1.0106462700000005</v>
      </c>
      <c r="Y95" s="1394">
        <f>'Functional P&amp;L'!L14/k</f>
        <v>1.3801016299999995</v>
      </c>
      <c r="Z95" s="1393">
        <f>'Functional P&amp;L'!M14/k</f>
        <v>1.5569180399999993</v>
      </c>
      <c r="AA95" s="1393">
        <f>'Functional P&amp;L'!N14/k</f>
        <v>1.6734601800000009</v>
      </c>
      <c r="AB95" s="1394">
        <f>'Functional P&amp;L'!O14/k</f>
        <v>2.0601986600000002</v>
      </c>
      <c r="AC95" s="1395">
        <f>'Functional P&amp;L'!P14/k</f>
        <v>2.3499260099999999</v>
      </c>
      <c r="AD95" s="1394">
        <f>'Functional P&amp;L'!Q14/k</f>
        <v>2.6207628900000017</v>
      </c>
      <c r="AE95" s="1394">
        <f>'Functional P&amp;L'!R14/k</f>
        <v>2.8404873599999996</v>
      </c>
      <c r="AF95" s="1396">
        <f>'Functional P&amp;L'!S14/k</f>
        <v>3.6226705246442501</v>
      </c>
      <c r="AG95" s="1394">
        <f>'Functional P&amp;L'!T14/k</f>
        <v>4.0695467552258302</v>
      </c>
      <c r="AH95" s="1393">
        <f>'Functional P&amp;L'!U14/k</f>
        <v>4.351465513754988</v>
      </c>
      <c r="AI95" s="1393">
        <f>'Functional P&amp;L'!V14/k</f>
        <v>4.6540231591452548</v>
      </c>
      <c r="AJ95" s="1394">
        <f>'Functional P&amp;L'!W14/k</f>
        <v>4.9828799342609269</v>
      </c>
      <c r="AK95" s="1395">
        <f>'Functional P&amp;L'!X14/k</f>
        <v>5.2627603738321902</v>
      </c>
      <c r="AL95" s="1394">
        <f>'Functional P&amp;L'!Y14/k</f>
        <v>5.4876499675333221</v>
      </c>
      <c r="AM95" s="1394">
        <f>'Functional P&amp;L'!Z14/k</f>
        <v>5.7350571122802805</v>
      </c>
      <c r="AN95" s="1396">
        <f>'Functional P&amp;L'!AA14/k</f>
        <v>6.0157867295166225</v>
      </c>
      <c r="AO95" s="1430">
        <f>AVERAGE(AN66:AO66)/4</f>
        <v>6.0405406870964917</v>
      </c>
      <c r="AP95" s="1429">
        <f t="shared" ref="AP95:AZ95" si="47">AVERAGE(AO66:AP66)/4</f>
        <v>5.7935641970407143</v>
      </c>
      <c r="AQ95" s="1429">
        <f t="shared" si="47"/>
        <v>5.5566857081076799</v>
      </c>
      <c r="AR95" s="1430">
        <f t="shared" si="47"/>
        <v>5.3294923485027805</v>
      </c>
      <c r="AS95" s="1431">
        <f t="shared" si="47"/>
        <v>5.1115881273087957</v>
      </c>
      <c r="AT95" s="1430">
        <f t="shared" si="47"/>
        <v>4.9025932442861091</v>
      </c>
      <c r="AU95" s="1430">
        <f t="shared" si="47"/>
        <v>4.7021434278927767</v>
      </c>
      <c r="AV95" s="1432">
        <f t="shared" si="47"/>
        <v>4.5098893003706246</v>
      </c>
      <c r="AW95" s="1430">
        <f t="shared" si="47"/>
        <v>4.3254957687907503</v>
      </c>
      <c r="AX95" s="1429">
        <f t="shared" si="47"/>
        <v>4.1486414409970322</v>
      </c>
      <c r="AY95" s="1429">
        <f t="shared" si="47"/>
        <v>3.9790180654296563</v>
      </c>
      <c r="AZ95" s="1429">
        <f t="shared" si="47"/>
        <v>3.8163299938522903</v>
      </c>
    </row>
    <row r="96" spans="4:52" outlineLevel="1" x14ac:dyDescent="0.25">
      <c r="D96" s="1710" t="s">
        <v>1271</v>
      </c>
      <c r="E96" s="1704"/>
      <c r="F96" s="1704"/>
      <c r="G96" s="1387"/>
      <c r="H96" s="1387"/>
      <c r="I96" s="1388"/>
      <c r="J96" s="1390"/>
      <c r="K96" s="1390">
        <f>Overview!C15</f>
        <v>3.2200534892837723E-2</v>
      </c>
      <c r="L96" s="1397">
        <f>Overview!D15</f>
        <v>1.604808913238293</v>
      </c>
      <c r="M96" s="1397">
        <f>Overview!E15</f>
        <v>12.403268208546585</v>
      </c>
      <c r="N96" s="1397">
        <f>Overview!F15</f>
        <v>36.842349965139285</v>
      </c>
      <c r="O96" s="1397">
        <f>Overview!G15</f>
        <v>77.006476982233295</v>
      </c>
      <c r="Q96" s="1390"/>
      <c r="R96" s="1390"/>
      <c r="S96" s="1390"/>
      <c r="T96" s="1390"/>
      <c r="U96" s="1391"/>
      <c r="V96" s="1390"/>
      <c r="W96" s="1390"/>
      <c r="X96" s="1392"/>
      <c r="Y96" s="1390"/>
      <c r="Z96" s="1390"/>
      <c r="AA96" s="1390"/>
      <c r="AB96" s="1390"/>
      <c r="AC96" s="1391"/>
      <c r="AD96" s="1390"/>
      <c r="AE96" s="1390"/>
      <c r="AF96" s="1392"/>
      <c r="AG96" s="1390">
        <f>Overview!I15</f>
        <v>1.081876640557112E-3</v>
      </c>
      <c r="AH96" s="1390">
        <f>Overview!J15</f>
        <v>3.6492919249387005E-3</v>
      </c>
      <c r="AI96" s="1390">
        <f>Overview!K15</f>
        <v>6.3606598964423685E-3</v>
      </c>
      <c r="AJ96" s="1390">
        <f>Overview!L15</f>
        <v>2.1108706430899543E-2</v>
      </c>
      <c r="AK96" s="1391">
        <f>Overview!M15</f>
        <v>9.7346243062171919E-2</v>
      </c>
      <c r="AL96" s="1390">
        <f>Overview!N15</f>
        <v>0.25459268412244512</v>
      </c>
      <c r="AM96" s="1390">
        <f>Overview!O15</f>
        <v>0.45803966632901782</v>
      </c>
      <c r="AN96" s="1392">
        <f>Overview!P15</f>
        <v>0.79483031972465812</v>
      </c>
      <c r="AO96" s="1390">
        <f>Overview!Q15</f>
        <v>1.4180079678292645</v>
      </c>
      <c r="AP96" s="1390">
        <f>Overview!R15</f>
        <v>2.4775382709458333</v>
      </c>
      <c r="AQ96" s="1390">
        <f>Overview!S15</f>
        <v>3.567934511318315</v>
      </c>
      <c r="AR96" s="1390">
        <f>Overview!T15</f>
        <v>4.9397874584531714</v>
      </c>
      <c r="AS96" s="1391">
        <f>Overview!U15</f>
        <v>6.3736174244156443</v>
      </c>
      <c r="AT96" s="1390">
        <f>Overview!V15</f>
        <v>8.1580246792790287</v>
      </c>
      <c r="AU96" s="1390">
        <f>Overview!W15</f>
        <v>9.9983369680708396</v>
      </c>
      <c r="AV96" s="1392">
        <f>Overview!X15</f>
        <v>12.312370893373773</v>
      </c>
      <c r="AW96" s="1390">
        <f>Overview!Y15</f>
        <v>14.672435382876209</v>
      </c>
      <c r="AX96" s="1390">
        <f>Overview!Z15</f>
        <v>17.550898109933154</v>
      </c>
      <c r="AY96" s="1390">
        <f>Overview!AA15</f>
        <v>20.523386494153865</v>
      </c>
      <c r="AZ96" s="1390">
        <f>Overview!AB15</f>
        <v>24.25975699527007</v>
      </c>
    </row>
    <row r="97" spans="1:52" outlineLevel="1" x14ac:dyDescent="0.25">
      <c r="D97" s="1424" t="s">
        <v>1275</v>
      </c>
      <c r="E97" s="373"/>
      <c r="F97" s="373"/>
      <c r="G97" s="1398">
        <f>SUM(G94:G96)</f>
        <v>20.708283039999998</v>
      </c>
      <c r="H97" s="1398">
        <f t="shared" ref="H97:O97" si="48">SUM(H94:H96)</f>
        <v>43.888754199999994</v>
      </c>
      <c r="I97" s="1399">
        <f t="shared" si="48"/>
        <v>70.91026282</v>
      </c>
      <c r="J97" s="1398">
        <f t="shared" si="48"/>
        <v>110.6189717962545</v>
      </c>
      <c r="K97" s="1398">
        <f t="shared" si="48"/>
        <v>181.91463212698042</v>
      </c>
      <c r="L97" s="1400">
        <f t="shared" si="48"/>
        <v>276.33009645770011</v>
      </c>
      <c r="M97" s="1400">
        <f t="shared" si="48"/>
        <v>414.81265786364861</v>
      </c>
      <c r="N97" s="1400">
        <f t="shared" si="48"/>
        <v>618.79866323197007</v>
      </c>
      <c r="O97" s="1400">
        <f t="shared" si="48"/>
        <v>914.34277736936883</v>
      </c>
      <c r="P97" s="1538"/>
      <c r="Q97" s="1398">
        <f t="shared" ref="Q97" si="49">SUM(Q94:Q96)</f>
        <v>3.57377368</v>
      </c>
      <c r="R97" s="1398">
        <f t="shared" ref="R97" si="50">SUM(R94:R96)</f>
        <v>4.6806121300000001</v>
      </c>
      <c r="S97" s="1398">
        <f t="shared" ref="S97" si="51">SUM(S94:S96)</f>
        <v>5.6995744200000003</v>
      </c>
      <c r="T97" s="1398">
        <f t="shared" ref="T97" si="52">SUM(T94:T96)</f>
        <v>6.7543228100000006</v>
      </c>
      <c r="U97" s="1401">
        <f t="shared" ref="U97" si="53">SUM(U94:U96)</f>
        <v>8.6007233400000001</v>
      </c>
      <c r="V97" s="1398">
        <f t="shared" ref="V97" si="54">SUM(V94:V96)</f>
        <v>10.13130295</v>
      </c>
      <c r="W97" s="1398">
        <f t="shared" ref="W97" si="55">SUM(W94:W96)</f>
        <v>11.85253764</v>
      </c>
      <c r="X97" s="1399">
        <f t="shared" ref="X97" si="56">SUM(X94:X96)</f>
        <v>13.304190270000001</v>
      </c>
      <c r="Y97" s="1398">
        <f t="shared" ref="Y97" si="57">SUM(Y94:Y96)</f>
        <v>15.463621939999999</v>
      </c>
      <c r="Z97" s="1398">
        <f t="shared" ref="Z97" si="58">SUM(Z94:Z96)</f>
        <v>16.578904039999998</v>
      </c>
      <c r="AA97" s="1398">
        <f t="shared" ref="AA97" si="59">SUM(AA94:AA96)</f>
        <v>18.317031180000001</v>
      </c>
      <c r="AB97" s="1398">
        <f t="shared" ref="AB97" si="60">SUM(AB94:AB96)</f>
        <v>20.550705660000002</v>
      </c>
      <c r="AC97" s="1401">
        <f t="shared" ref="AC97" si="61">SUM(AC94:AC96)</f>
        <v>23.166868390000001</v>
      </c>
      <c r="AD97" s="1398">
        <f t="shared" ref="AD97" si="62">SUM(AD94:AD96)</f>
        <v>25.643711890000002</v>
      </c>
      <c r="AE97" s="1398">
        <f t="shared" ref="AE97" si="63">SUM(AE94:AE96)</f>
        <v>28.738331058182581</v>
      </c>
      <c r="AF97" s="1399">
        <f t="shared" ref="AF97" si="64">SUM(AF94:AF96)</f>
        <v>33.070060458071929</v>
      </c>
      <c r="AG97" s="1398">
        <f t="shared" ref="AG97" si="65">SUM(AG94:AG96)</f>
        <v>38.61669620034003</v>
      </c>
      <c r="AH97" s="1398">
        <f t="shared" ref="AH97" si="66">SUM(AH94:AH96)</f>
        <v>42.804381065352494</v>
      </c>
      <c r="AI97" s="1398">
        <f t="shared" ref="AI97" si="67">SUM(AI94:AI96)</f>
        <v>47.282492480921945</v>
      </c>
      <c r="AJ97" s="1398">
        <f t="shared" ref="AJ97" si="68">SUM(AJ94:AJ96)</f>
        <v>53.211062380365902</v>
      </c>
      <c r="AK97" s="1401">
        <f t="shared" ref="AK97" si="69">SUM(AK94:AK96)</f>
        <v>58.843685861371164</v>
      </c>
      <c r="AL97" s="1398">
        <f t="shared" ref="AL97" si="70">SUM(AL94:AL96)</f>
        <v>65.231284508836993</v>
      </c>
      <c r="AM97" s="1398">
        <f t="shared" ref="AM97" si="71">SUM(AM94:AM96)</f>
        <v>71.909311648958706</v>
      </c>
      <c r="AN97" s="1399">
        <f t="shared" ref="AN97" si="72">SUM(AN94:AN96)</f>
        <v>80.345814438533168</v>
      </c>
      <c r="AO97" s="1398">
        <f t="shared" ref="AO97" si="73">SUM(AO94:AO96)</f>
        <v>88.5057451781678</v>
      </c>
      <c r="AP97" s="1398">
        <f t="shared" ref="AP97" si="74">SUM(AP94:AP96)</f>
        <v>98.023025496763481</v>
      </c>
      <c r="AQ97" s="1398">
        <f t="shared" ref="AQ97" si="75">SUM(AQ94:AQ96)</f>
        <v>107.90283634708811</v>
      </c>
      <c r="AR97" s="1398">
        <f t="shared" ref="AR97" si="76">SUM(AR94:AR96)</f>
        <v>120.3810508416292</v>
      </c>
      <c r="AS97" s="1401">
        <f t="shared" ref="AS97" si="77">SUM(AS94:AS96)</f>
        <v>132.39839972168099</v>
      </c>
      <c r="AT97" s="1398">
        <f t="shared" ref="AT97" si="78">SUM(AT94:AT96)</f>
        <v>146.37632897836596</v>
      </c>
      <c r="AU97" s="1398">
        <f t="shared" ref="AU97" si="79">SUM(AU94:AU96)</f>
        <v>160.87698727119846</v>
      </c>
      <c r="AV97" s="1399">
        <f t="shared" ref="AV97" si="80">SUM(AV94:AV96)</f>
        <v>179.14694726072457</v>
      </c>
      <c r="AW97" s="1398">
        <f t="shared" ref="AW97" si="81">SUM(AW94:AW96)</f>
        <v>196.58787227280004</v>
      </c>
      <c r="AX97" s="1398">
        <f t="shared" ref="AX97" si="82">SUM(AX94:AX96)</f>
        <v>216.65281026877648</v>
      </c>
      <c r="AY97" s="1398">
        <f t="shared" ref="AY97" si="83">SUM(AY94:AY96)</f>
        <v>237.46060063932626</v>
      </c>
      <c r="AZ97" s="1398">
        <f t="shared" ref="AZ97" si="84">SUM(AZ94:AZ96)</f>
        <v>263.64149418846603</v>
      </c>
    </row>
    <row r="98" spans="1:52" outlineLevel="1" x14ac:dyDescent="0.25">
      <c r="D98" s="377" t="str">
        <f>Forecast!C30</f>
        <v>PS</v>
      </c>
      <c r="E98" s="377"/>
      <c r="F98" s="377"/>
      <c r="G98" s="1356">
        <f>Forecast!D30/mm</f>
        <v>1.217695</v>
      </c>
      <c r="H98" s="1356">
        <f>Forecast!E30/mm</f>
        <v>2.6800760000000001</v>
      </c>
      <c r="I98" s="1357">
        <f>Forecast!F30/mm</f>
        <v>3.5396070000000002</v>
      </c>
      <c r="J98" s="1356">
        <f>Forecast!G30/mm</f>
        <v>5.6348188723765453</v>
      </c>
      <c r="K98" s="1356">
        <f>Forecast!H30/mm</f>
        <v>11.8125</v>
      </c>
      <c r="L98" s="1356">
        <f>Forecast!I30/mm</f>
        <v>17.423437500000002</v>
      </c>
      <c r="M98" s="1356">
        <f>Forecast!J30/mm</f>
        <v>25.263984375000003</v>
      </c>
      <c r="N98" s="1356">
        <f>Forecast!K30/mm</f>
        <v>36.001177734374998</v>
      </c>
      <c r="O98" s="1356">
        <f>Forecast!L30/mm</f>
        <v>45.361483945312514</v>
      </c>
      <c r="P98" s="1697"/>
      <c r="Q98" s="1393">
        <f>Forecast!N30/mm</f>
        <v>6.6754999999999995E-2</v>
      </c>
      <c r="R98" s="1393">
        <f>Forecast!O30/mm</f>
        <v>0.224387</v>
      </c>
      <c r="S98" s="1393">
        <f>Forecast!P30/mm</f>
        <v>0.39274999999999999</v>
      </c>
      <c r="T98" s="1394">
        <f>Forecast!Q30/mm</f>
        <v>0.53380300000000003</v>
      </c>
      <c r="U98" s="1395">
        <f>Forecast!R30/mm</f>
        <v>0.54473199999999999</v>
      </c>
      <c r="V98" s="1394">
        <f>Forecast!S30/mm</f>
        <v>0.61380400000000002</v>
      </c>
      <c r="W98" s="1394">
        <f>Forecast!T30/mm</f>
        <v>0.65251099999999995</v>
      </c>
      <c r="X98" s="1396">
        <f>Forecast!U30/mm</f>
        <v>0.86902900000000005</v>
      </c>
      <c r="Y98" s="1394">
        <f>Forecast!V30/mm</f>
        <v>0.87554600000000005</v>
      </c>
      <c r="Z98" s="1393">
        <f>Forecast!W30/mm</f>
        <v>0.77924199999999999</v>
      </c>
      <c r="AA98" s="1393">
        <f>Forecast!X30/mm</f>
        <v>0.97021999999999997</v>
      </c>
      <c r="AB98" s="1394">
        <f>Forecast!Y30/mm</f>
        <v>0.91459900000000005</v>
      </c>
      <c r="AC98" s="1395">
        <f>Forecast!Z30/mm</f>
        <v>1.04009515</v>
      </c>
      <c r="AD98" s="1394">
        <f>Forecast!AA30/mm</f>
        <v>1.1371990000000001</v>
      </c>
      <c r="AE98" s="1394">
        <f>Forecast!AB30/mm</f>
        <v>1.5939045898655455</v>
      </c>
      <c r="AF98" s="1396">
        <f>Forecast!AC30/mm</f>
        <v>1.8636201325110002</v>
      </c>
      <c r="AG98" s="1394">
        <f>Forecast!AD30/mm</f>
        <v>2.0905069488506056</v>
      </c>
      <c r="AH98" s="1393">
        <f>Forecast!AE30/mm</f>
        <v>2.7814317468457195</v>
      </c>
      <c r="AI98" s="1393">
        <f>Forecast!AF30/mm</f>
        <v>2.7421650618445632</v>
      </c>
      <c r="AJ98" s="1394">
        <f>Forecast!AG30/mm</f>
        <v>4.1983962424591121</v>
      </c>
      <c r="AK98" s="1395">
        <f>Forecast!AH30/mm</f>
        <v>3.1775843120546434</v>
      </c>
      <c r="AL98" s="1394">
        <f>Forecast!AI30/mm</f>
        <v>4.3116930765974359</v>
      </c>
      <c r="AM98" s="1394">
        <f>Forecast!AJ30/mm</f>
        <v>4.044693466220731</v>
      </c>
      <c r="AN98" s="1396">
        <f>Forecast!AK30/mm</f>
        <v>5.8894666451271904</v>
      </c>
      <c r="AO98" s="1394">
        <f>Forecast!AL30/mm</f>
        <v>4.6074972524792335</v>
      </c>
      <c r="AP98" s="1393">
        <f>Forecast!AM30/mm</f>
        <v>6.2519549610662839</v>
      </c>
      <c r="AQ98" s="1393">
        <f>Forecast!AN30/mm</f>
        <v>5.8648055260200591</v>
      </c>
      <c r="AR98" s="1394">
        <f>Forecast!AO30/mm</f>
        <v>8.5397266354344268</v>
      </c>
      <c r="AS98" s="1395">
        <f>Forecast!AP30/mm</f>
        <v>6.5656835847829074</v>
      </c>
      <c r="AT98" s="1394">
        <f>Forecast!AQ30/mm</f>
        <v>8.9090358195194561</v>
      </c>
      <c r="AU98" s="1394">
        <f>Forecast!AR30/mm</f>
        <v>8.3573478745785863</v>
      </c>
      <c r="AV98" s="1396">
        <f>Forecast!AS30/mm</f>
        <v>12.169110455494057</v>
      </c>
      <c r="AW98" s="1394">
        <f>Forecast!AT30/mm</f>
        <v>8.2727613168264647</v>
      </c>
      <c r="AX98" s="1393">
        <f>Forecast!AU30/mm</f>
        <v>11.225385132594514</v>
      </c>
      <c r="AY98" s="1393">
        <f>Forecast!AV30/mm</f>
        <v>10.530258321969018</v>
      </c>
      <c r="AZ98" s="1393">
        <f>Forecast!AW30/mm</f>
        <v>15.333079173922513</v>
      </c>
    </row>
    <row r="99" spans="1:52" outlineLevel="1" x14ac:dyDescent="0.25">
      <c r="D99" s="1711" t="str">
        <f>Forecast!C31</f>
        <v>Other</v>
      </c>
      <c r="E99" s="1711"/>
      <c r="F99" s="1711"/>
      <c r="G99" s="1402">
        <f>Forecast!D31/mm</f>
        <v>3.3605000000000003E-2</v>
      </c>
      <c r="H99" s="1402">
        <f>Forecast!E31/mm</f>
        <v>1.9494999999999998E-2</v>
      </c>
      <c r="I99" s="1403">
        <f>Forecast!F31/mm</f>
        <v>4.2778999999999998E-2</v>
      </c>
      <c r="J99" s="1402">
        <f>Forecast!G31/mm</f>
        <v>2.9436191112E-2</v>
      </c>
      <c r="K99" s="1402">
        <f>Forecast!H31/mm</f>
        <v>0</v>
      </c>
      <c r="L99" s="1402">
        <f>Forecast!I31/mm</f>
        <v>0</v>
      </c>
      <c r="M99" s="1402">
        <f>Forecast!J31/mm</f>
        <v>0</v>
      </c>
      <c r="N99" s="1402">
        <f>Forecast!K31/mm</f>
        <v>0</v>
      </c>
      <c r="O99" s="1402">
        <f>Forecast!L31/mm</f>
        <v>0</v>
      </c>
      <c r="P99" s="1697"/>
      <c r="Q99" s="1404">
        <f>Forecast!N31/mm</f>
        <v>1.01E-4</v>
      </c>
      <c r="R99" s="1404">
        <f>Forecast!O31/mm</f>
        <v>2.2499999999999999E-4</v>
      </c>
      <c r="S99" s="1404">
        <f>Forecast!P31/mm</f>
        <v>2.2499999999999999E-4</v>
      </c>
      <c r="T99" s="1404">
        <f>Forecast!Q31/mm</f>
        <v>3.3054E-2</v>
      </c>
      <c r="U99" s="1405">
        <f>Forecast!R31/mm</f>
        <v>1.2300000000000001E-4</v>
      </c>
      <c r="V99" s="1404">
        <f>Forecast!S31/mm</f>
        <v>-1.6749E-2</v>
      </c>
      <c r="W99" s="1404">
        <f>Forecast!T31/mm</f>
        <v>-2.5890000000000002E-3</v>
      </c>
      <c r="X99" s="1406">
        <f>Forecast!U31/mm</f>
        <v>3.8710000000000001E-2</v>
      </c>
      <c r="Y99" s="1404">
        <f>Forecast!V31/mm</f>
        <v>9.9989999999999992E-3</v>
      </c>
      <c r="Z99" s="1404">
        <f>Forecast!W31/mm</f>
        <v>1.0026999999999999E-2</v>
      </c>
      <c r="AA99" s="1404">
        <f>Forecast!X31/mm</f>
        <v>1.0396000000000001E-2</v>
      </c>
      <c r="AB99" s="1404">
        <f>Forecast!Y31/mm</f>
        <v>1.2357E-2</v>
      </c>
      <c r="AC99" s="1405">
        <f>Forecast!Z31/mm</f>
        <v>1.0233191112E-2</v>
      </c>
      <c r="AD99" s="1404">
        <f>Forecast!AA31/mm</f>
        <v>1.9203000000000001E-2</v>
      </c>
      <c r="AE99" s="1404">
        <f>Forecast!AB31/mm</f>
        <v>0</v>
      </c>
      <c r="AF99" s="1406">
        <f>Forecast!AC31/mm</f>
        <v>0</v>
      </c>
      <c r="AG99" s="1404">
        <f>Forecast!AD31/mm</f>
        <v>0</v>
      </c>
      <c r="AH99" s="1404">
        <f>Forecast!AE31/mm</f>
        <v>0</v>
      </c>
      <c r="AI99" s="1404">
        <f>Forecast!AF31/mm</f>
        <v>0</v>
      </c>
      <c r="AJ99" s="1404">
        <f>Forecast!AG31/mm</f>
        <v>0</v>
      </c>
      <c r="AK99" s="1405">
        <f>Forecast!AH31/mm</f>
        <v>0</v>
      </c>
      <c r="AL99" s="1404">
        <f>Forecast!AI31/mm</f>
        <v>0</v>
      </c>
      <c r="AM99" s="1404">
        <f>Forecast!AJ31/mm</f>
        <v>0</v>
      </c>
      <c r="AN99" s="1406">
        <f>Forecast!AK31/mm</f>
        <v>0</v>
      </c>
      <c r="AO99" s="1404">
        <f>Forecast!AL31/mm</f>
        <v>0</v>
      </c>
      <c r="AP99" s="1404">
        <f>Forecast!AM31/mm</f>
        <v>0</v>
      </c>
      <c r="AQ99" s="1404">
        <f>Forecast!AN31/mm</f>
        <v>0</v>
      </c>
      <c r="AR99" s="1404">
        <f>Forecast!AO31/mm</f>
        <v>0</v>
      </c>
      <c r="AS99" s="1405">
        <f>Forecast!AP31/mm</f>
        <v>0</v>
      </c>
      <c r="AT99" s="1404">
        <f>Forecast!AQ31/mm</f>
        <v>0</v>
      </c>
      <c r="AU99" s="1404">
        <f>Forecast!AR31/mm</f>
        <v>0</v>
      </c>
      <c r="AV99" s="1406">
        <f>Forecast!AS31/mm</f>
        <v>0</v>
      </c>
      <c r="AW99" s="1404">
        <f>Forecast!AT31/mm</f>
        <v>0</v>
      </c>
      <c r="AX99" s="1404">
        <f>Forecast!AU31/mm</f>
        <v>0</v>
      </c>
      <c r="AY99" s="1404">
        <f>Forecast!AV31/mm</f>
        <v>0</v>
      </c>
      <c r="AZ99" s="1404">
        <f>Forecast!AW31/mm</f>
        <v>0</v>
      </c>
    </row>
    <row r="100" spans="1:52" s="1" customFormat="1" x14ac:dyDescent="0.25">
      <c r="D100" s="1389" t="s">
        <v>954</v>
      </c>
      <c r="E100" s="14"/>
      <c r="F100" s="14"/>
      <c r="G100" s="1407">
        <f>SUM(G97:G99)</f>
        <v>21.959583039999998</v>
      </c>
      <c r="H100" s="1407">
        <f t="shared" ref="H100:O100" si="85">SUM(H97:H99)</f>
        <v>46.588325199999993</v>
      </c>
      <c r="I100" s="1408">
        <f t="shared" si="85"/>
        <v>74.492648819999999</v>
      </c>
      <c r="J100" s="1407">
        <f t="shared" si="85"/>
        <v>116.28322685974304</v>
      </c>
      <c r="K100" s="1407">
        <f t="shared" si="85"/>
        <v>193.72713212698042</v>
      </c>
      <c r="L100" s="1409">
        <f t="shared" si="85"/>
        <v>293.75353395770009</v>
      </c>
      <c r="M100" s="1409">
        <f t="shared" si="85"/>
        <v>440.07664223864862</v>
      </c>
      <c r="N100" s="1409">
        <f t="shared" si="85"/>
        <v>654.79984096634507</v>
      </c>
      <c r="O100" s="1409">
        <f t="shared" si="85"/>
        <v>959.70426131468139</v>
      </c>
      <c r="P100" s="1513"/>
      <c r="Q100" s="1407">
        <f t="shared" ref="Q100:AZ100" si="86">SUM(Q97:Q99)</f>
        <v>3.64062968</v>
      </c>
      <c r="R100" s="1407">
        <f t="shared" si="86"/>
        <v>4.9052241300000006</v>
      </c>
      <c r="S100" s="1407">
        <f t="shared" si="86"/>
        <v>6.092549420000001</v>
      </c>
      <c r="T100" s="1407">
        <f t="shared" si="86"/>
        <v>7.3211798100000003</v>
      </c>
      <c r="U100" s="1410">
        <f t="shared" si="86"/>
        <v>9.1455783400000001</v>
      </c>
      <c r="V100" s="1407">
        <f t="shared" si="86"/>
        <v>10.728357949999999</v>
      </c>
      <c r="W100" s="1407">
        <f t="shared" si="86"/>
        <v>12.50245964</v>
      </c>
      <c r="X100" s="1408">
        <f t="shared" si="86"/>
        <v>14.211929270000001</v>
      </c>
      <c r="Y100" s="1407">
        <f t="shared" si="86"/>
        <v>16.34916694</v>
      </c>
      <c r="Z100" s="1407">
        <f t="shared" si="86"/>
        <v>17.368173039999999</v>
      </c>
      <c r="AA100" s="1407">
        <f t="shared" si="86"/>
        <v>19.297647180000002</v>
      </c>
      <c r="AB100" s="1407">
        <f t="shared" si="86"/>
        <v>21.477661660000003</v>
      </c>
      <c r="AC100" s="1410">
        <f t="shared" si="86"/>
        <v>24.217196731112001</v>
      </c>
      <c r="AD100" s="1407">
        <f t="shared" si="86"/>
        <v>26.800113890000002</v>
      </c>
      <c r="AE100" s="1407">
        <f t="shared" si="86"/>
        <v>30.332235648048126</v>
      </c>
      <c r="AF100" s="1408">
        <f t="shared" si="86"/>
        <v>34.933680590582931</v>
      </c>
      <c r="AG100" s="1407">
        <f t="shared" si="86"/>
        <v>40.707203149190633</v>
      </c>
      <c r="AH100" s="1407">
        <f t="shared" si="86"/>
        <v>45.585812812198213</v>
      </c>
      <c r="AI100" s="1407">
        <f t="shared" si="86"/>
        <v>50.024657542766505</v>
      </c>
      <c r="AJ100" s="1407">
        <f t="shared" si="86"/>
        <v>57.409458622825014</v>
      </c>
      <c r="AK100" s="1410">
        <f t="shared" si="86"/>
        <v>62.021270173425805</v>
      </c>
      <c r="AL100" s="1407">
        <f t="shared" si="86"/>
        <v>69.542977585434429</v>
      </c>
      <c r="AM100" s="1407">
        <f t="shared" si="86"/>
        <v>75.954005115179442</v>
      </c>
      <c r="AN100" s="1408">
        <f t="shared" si="86"/>
        <v>86.235281083660354</v>
      </c>
      <c r="AO100" s="1407">
        <f t="shared" si="86"/>
        <v>93.113242430647034</v>
      </c>
      <c r="AP100" s="1407">
        <f t="shared" si="86"/>
        <v>104.27498045782977</v>
      </c>
      <c r="AQ100" s="1407">
        <f t="shared" si="86"/>
        <v>113.76764187310818</v>
      </c>
      <c r="AR100" s="1407">
        <f t="shared" si="86"/>
        <v>128.92077747706364</v>
      </c>
      <c r="AS100" s="1410">
        <f t="shared" si="86"/>
        <v>138.96408330646389</v>
      </c>
      <c r="AT100" s="1407">
        <f t="shared" si="86"/>
        <v>155.28536479788542</v>
      </c>
      <c r="AU100" s="1407">
        <f t="shared" si="86"/>
        <v>169.23433514577704</v>
      </c>
      <c r="AV100" s="1408">
        <f t="shared" si="86"/>
        <v>191.31605771621864</v>
      </c>
      <c r="AW100" s="1407">
        <f t="shared" si="86"/>
        <v>204.8606335896265</v>
      </c>
      <c r="AX100" s="1407">
        <f t="shared" si="86"/>
        <v>227.87819540137099</v>
      </c>
      <c r="AY100" s="1407">
        <f t="shared" si="86"/>
        <v>247.99085896129529</v>
      </c>
      <c r="AZ100" s="1407">
        <f t="shared" si="86"/>
        <v>278.97457336238853</v>
      </c>
    </row>
    <row r="101" spans="1:52" s="1752" customFormat="1" ht="14.45" customHeight="1" x14ac:dyDescent="0.25">
      <c r="A101" s="1602"/>
      <c r="B101" s="1602"/>
      <c r="C101" s="1602"/>
      <c r="D101" s="1607" t="s">
        <v>218</v>
      </c>
      <c r="E101" s="1602"/>
      <c r="F101" s="1602"/>
      <c r="G101" s="1603"/>
      <c r="H101" s="1608">
        <f>H100/G100-1</f>
        <v>1.1215487158903721</v>
      </c>
      <c r="I101" s="1643">
        <f t="shared" ref="I101:O101" si="87">I100/H100-1</f>
        <v>0.59895528547568411</v>
      </c>
      <c r="J101" s="1608">
        <f t="shared" si="87"/>
        <v>0.56100271237130439</v>
      </c>
      <c r="K101" s="1608">
        <f t="shared" si="87"/>
        <v>0.66599377535891446</v>
      </c>
      <c r="L101" s="1608">
        <f t="shared" si="87"/>
        <v>0.51632624058645704</v>
      </c>
      <c r="M101" s="1608">
        <f t="shared" si="87"/>
        <v>0.49811522710742517</v>
      </c>
      <c r="N101" s="1608">
        <f t="shared" si="87"/>
        <v>0.48792228016331407</v>
      </c>
      <c r="O101" s="1608">
        <f t="shared" si="87"/>
        <v>0.46564522663652808</v>
      </c>
      <c r="P101" s="1606"/>
      <c r="Q101" s="1603"/>
      <c r="R101" s="1603"/>
      <c r="S101" s="1603"/>
      <c r="T101" s="1603"/>
      <c r="U101" s="1609">
        <f>U100/Q100-1</f>
        <v>1.512086958539546</v>
      </c>
      <c r="V101" s="1608">
        <f t="shared" ref="V101" si="88">V100/R100-1</f>
        <v>1.1871290007700419</v>
      </c>
      <c r="W101" s="1608">
        <f t="shared" ref="W101" si="89">W100/S100-1</f>
        <v>1.0520899837034063</v>
      </c>
      <c r="X101" s="1608">
        <f t="shared" ref="X101" si="90">X100/T100-1</f>
        <v>0.9412075155684505</v>
      </c>
      <c r="Y101" s="1609">
        <f t="shared" ref="Y101" si="91">Y100/U100-1</f>
        <v>0.78765807171468616</v>
      </c>
      <c r="Z101" s="1608">
        <f t="shared" ref="Z101" si="92">Z100/V100-1</f>
        <v>0.61890320223702067</v>
      </c>
      <c r="AA101" s="1608">
        <f t="shared" ref="AA101" si="93">AA100/W100-1</f>
        <v>0.54350805646751943</v>
      </c>
      <c r="AB101" s="1608">
        <f t="shared" ref="AB101" si="94">AB100/X100-1</f>
        <v>0.51124180622945081</v>
      </c>
      <c r="AC101" s="1609">
        <f t="shared" ref="AC101" si="95">AC100/Y100-1</f>
        <v>0.48124958415232877</v>
      </c>
      <c r="AD101" s="1608">
        <f t="shared" ref="AD101" si="96">AD100/Z100-1</f>
        <v>0.54305889446619671</v>
      </c>
      <c r="AE101" s="1608">
        <f t="shared" ref="AE101" si="97">AE100/AA100-1</f>
        <v>0.57181004322041518</v>
      </c>
      <c r="AF101" s="1608">
        <f t="shared" ref="AF101" si="98">AF100/AB100-1</f>
        <v>0.62651228721250507</v>
      </c>
      <c r="AG101" s="1609">
        <f t="shared" ref="AG101" si="99">AG100/AC100-1</f>
        <v>0.68092135523240827</v>
      </c>
      <c r="AH101" s="1608">
        <f t="shared" ref="AH101" si="100">AH100/AD100-1</f>
        <v>0.70095593620621766</v>
      </c>
      <c r="AI101" s="1608">
        <f t="shared" ref="AI101" si="101">AI100/AE100-1</f>
        <v>0.64922421555779986</v>
      </c>
      <c r="AJ101" s="1608">
        <f t="shared" ref="AJ101" si="102">AJ100/AF100-1</f>
        <v>0.64338419692028892</v>
      </c>
      <c r="AK101" s="1609">
        <f t="shared" ref="AK101" si="103">AK100/AG100-1</f>
        <v>0.5235944839079163</v>
      </c>
      <c r="AL101" s="1608">
        <f t="shared" ref="AL101" si="104">AL100/AH100-1</f>
        <v>0.52553992778265357</v>
      </c>
      <c r="AM101" s="1608">
        <f t="shared" ref="AM101" si="105">AM100/AI100-1</f>
        <v>0.51833133590661196</v>
      </c>
      <c r="AN101" s="1643">
        <f t="shared" ref="AN101" si="106">AN100/AJ100-1</f>
        <v>0.50210928917163988</v>
      </c>
      <c r="AO101" s="1608">
        <f t="shared" ref="AO101" si="107">AO100/AK100-1</f>
        <v>0.50131143993473359</v>
      </c>
      <c r="AP101" s="1608">
        <f t="shared" ref="AP101" si="108">AP100/AL100-1</f>
        <v>0.49943220837397462</v>
      </c>
      <c r="AQ101" s="1608">
        <f t="shared" ref="AQ101" si="109">AQ100/AM100-1</f>
        <v>0.49784914831794258</v>
      </c>
      <c r="AR101" s="1608">
        <f t="shared" ref="AR101" si="110">AR100/AN100-1</f>
        <v>0.49498877787610329</v>
      </c>
      <c r="AS101" s="1609">
        <f t="shared" ref="AS101" si="111">AS100/AO100-1</f>
        <v>0.49242019372236623</v>
      </c>
      <c r="AT101" s="1608">
        <f t="shared" ref="AT101" si="112">AT100/AP100-1</f>
        <v>0.48919102277544857</v>
      </c>
      <c r="AU101" s="1608">
        <f t="shared" ref="AU101" si="113">AU100/AQ100-1</f>
        <v>0.48754366671794225</v>
      </c>
      <c r="AV101" s="1608">
        <f t="shared" ref="AV101" si="114">AV100/AR100-1</f>
        <v>0.48398156961360073</v>
      </c>
      <c r="AW101" s="1609">
        <f t="shared" ref="AW101" si="115">AW100/AS100-1</f>
        <v>0.47419843109991167</v>
      </c>
      <c r="AX101" s="1608">
        <f t="shared" ref="AX101" si="116">AX100/AT100-1</f>
        <v>0.46748018203756758</v>
      </c>
      <c r="AY101" s="1608">
        <f t="shared" ref="AY101" si="117">AY100/AU100-1</f>
        <v>0.4653696529588871</v>
      </c>
      <c r="AZ101" s="1608">
        <f t="shared" ref="AZ101" si="118">AZ100/AV100-1</f>
        <v>0.45818692216726942</v>
      </c>
    </row>
    <row r="102" spans="1:52" s="1752" customFormat="1" ht="14.45" customHeight="1" x14ac:dyDescent="0.25">
      <c r="A102" s="1602"/>
      <c r="B102" s="1602"/>
      <c r="C102" s="1602"/>
      <c r="D102" s="1607"/>
      <c r="E102" s="1602"/>
      <c r="F102" s="1602"/>
      <c r="G102" s="1603"/>
      <c r="H102" s="1608"/>
      <c r="I102" s="1643"/>
      <c r="J102" s="1608"/>
      <c r="K102" s="1608"/>
      <c r="L102" s="1608"/>
      <c r="M102" s="1608"/>
      <c r="N102" s="1608"/>
      <c r="O102" s="1608"/>
      <c r="P102" s="1606"/>
      <c r="Q102" s="1603"/>
      <c r="R102" s="1603"/>
      <c r="S102" s="1603"/>
      <c r="T102" s="1603"/>
      <c r="U102" s="1605"/>
      <c r="V102" s="1603"/>
      <c r="W102" s="1603"/>
      <c r="X102" s="1604"/>
      <c r="Y102" s="1603"/>
      <c r="Z102" s="1603"/>
      <c r="AA102" s="1603"/>
      <c r="AB102" s="1603"/>
      <c r="AC102" s="1605"/>
      <c r="AD102" s="1603"/>
      <c r="AE102" s="1603"/>
      <c r="AF102" s="1604"/>
      <c r="AG102" s="1603"/>
      <c r="AH102" s="1603"/>
      <c r="AI102" s="1603"/>
      <c r="AJ102" s="1603"/>
      <c r="AK102" s="1605"/>
      <c r="AL102" s="1603"/>
      <c r="AM102" s="1603"/>
      <c r="AN102" s="1604"/>
      <c r="AO102" s="1603"/>
      <c r="AP102" s="1603"/>
      <c r="AQ102" s="1603"/>
      <c r="AR102" s="1603"/>
      <c r="AS102" s="1605"/>
      <c r="AT102" s="1603"/>
      <c r="AU102" s="1603"/>
      <c r="AV102" s="1604"/>
      <c r="AW102" s="1603"/>
      <c r="AX102" s="1603"/>
      <c r="AY102" s="1603"/>
      <c r="AZ102" s="1603"/>
    </row>
    <row r="103" spans="1:52" s="1752" customFormat="1" ht="14.45" customHeight="1" x14ac:dyDescent="0.25">
      <c r="A103" s="1602"/>
      <c r="B103" s="1602"/>
      <c r="C103" s="1602"/>
      <c r="D103" s="1601" t="s">
        <v>1299</v>
      </c>
      <c r="E103" s="1602"/>
      <c r="F103" s="1602"/>
      <c r="G103" s="1603">
        <f>SUM(G94,G98:G99)</f>
        <v>20.965</v>
      </c>
      <c r="H103" s="1603">
        <f t="shared" ref="H103:AZ103" si="119">SUM(H94,H98:H99)</f>
        <v>43.119490999999996</v>
      </c>
      <c r="I103" s="1604">
        <f t="shared" si="119"/>
        <v>67.821970309999998</v>
      </c>
      <c r="J103" s="1603">
        <f t="shared" si="119"/>
        <v>104.84938007509879</v>
      </c>
      <c r="K103" s="1603">
        <f t="shared" si="119"/>
        <v>175.63701622970058</v>
      </c>
      <c r="L103" s="1603">
        <f t="shared" si="119"/>
        <v>269.64747086129938</v>
      </c>
      <c r="M103" s="1603">
        <f t="shared" si="119"/>
        <v>404.95309108935436</v>
      </c>
      <c r="N103" s="1603">
        <f t="shared" si="119"/>
        <v>598.73127690134743</v>
      </c>
      <c r="O103" s="1603">
        <f t="shared" si="119"/>
        <v>866.4282990633784</v>
      </c>
      <c r="P103" s="1606"/>
      <c r="Q103" s="1603">
        <f t="shared" si="119"/>
        <v>3.532708</v>
      </c>
      <c r="R103" s="1603">
        <f t="shared" si="119"/>
        <v>4.6801070000000005</v>
      </c>
      <c r="S103" s="1603">
        <f t="shared" si="119"/>
        <v>5.7800240000000009</v>
      </c>
      <c r="T103" s="1603">
        <f t="shared" si="119"/>
        <v>6.9721609999999998</v>
      </c>
      <c r="U103" s="1605">
        <f t="shared" si="119"/>
        <v>8.4386010000000002</v>
      </c>
      <c r="V103" s="1603">
        <f t="shared" si="119"/>
        <v>9.8899279999999994</v>
      </c>
      <c r="W103" s="1603">
        <f t="shared" si="119"/>
        <v>11.589679</v>
      </c>
      <c r="X103" s="1604">
        <f t="shared" si="119"/>
        <v>13.201283</v>
      </c>
      <c r="Y103" s="1603">
        <f t="shared" si="119"/>
        <v>14.96906531</v>
      </c>
      <c r="Z103" s="1603">
        <f t="shared" si="119"/>
        <v>15.811254999999999</v>
      </c>
      <c r="AA103" s="1603">
        <f t="shared" si="119"/>
        <v>17.624187000000003</v>
      </c>
      <c r="AB103" s="1603">
        <f t="shared" si="119"/>
        <v>19.417463000000001</v>
      </c>
      <c r="AC103" s="1605">
        <f t="shared" si="119"/>
        <v>21.867270721112</v>
      </c>
      <c r="AD103" s="1603">
        <f t="shared" si="119"/>
        <v>24.179351</v>
      </c>
      <c r="AE103" s="1603">
        <f t="shared" si="119"/>
        <v>27.491748288048125</v>
      </c>
      <c r="AF103" s="1604">
        <f t="shared" si="119"/>
        <v>31.311010065938675</v>
      </c>
      <c r="AG103" s="1603">
        <f t="shared" si="119"/>
        <v>36.636574517324249</v>
      </c>
      <c r="AH103" s="1603">
        <f t="shared" si="119"/>
        <v>41.230698006518288</v>
      </c>
      <c r="AI103" s="1603">
        <f t="shared" si="119"/>
        <v>45.364273723724807</v>
      </c>
      <c r="AJ103" s="1603">
        <f t="shared" si="119"/>
        <v>52.405469982133184</v>
      </c>
      <c r="AK103" s="1605">
        <f t="shared" si="119"/>
        <v>56.661163556531449</v>
      </c>
      <c r="AL103" s="1603">
        <f t="shared" si="119"/>
        <v>63.800734933778656</v>
      </c>
      <c r="AM103" s="1603">
        <f t="shared" si="119"/>
        <v>69.760908336570139</v>
      </c>
      <c r="AN103" s="1604">
        <f t="shared" si="119"/>
        <v>79.424664034419081</v>
      </c>
      <c r="AO103" s="1603">
        <f t="shared" si="119"/>
        <v>85.65469377572127</v>
      </c>
      <c r="AP103" s="1603">
        <f t="shared" si="119"/>
        <v>96.003877989843232</v>
      </c>
      <c r="AQ103" s="1603">
        <f t="shared" si="119"/>
        <v>104.64302165368218</v>
      </c>
      <c r="AR103" s="1603">
        <f t="shared" si="119"/>
        <v>118.65149767010769</v>
      </c>
      <c r="AS103" s="1605">
        <f t="shared" si="119"/>
        <v>127.47887775473946</v>
      </c>
      <c r="AT103" s="1603">
        <f t="shared" si="119"/>
        <v>142.22474687432029</v>
      </c>
      <c r="AU103" s="1603">
        <f t="shared" si="119"/>
        <v>154.53385474981343</v>
      </c>
      <c r="AV103" s="1604">
        <f t="shared" si="119"/>
        <v>174.49379752247424</v>
      </c>
      <c r="AW103" s="1603">
        <f t="shared" si="119"/>
        <v>185.86270243795954</v>
      </c>
      <c r="AX103" s="1603">
        <f t="shared" si="119"/>
        <v>206.1786558504408</v>
      </c>
      <c r="AY103" s="1603">
        <f t="shared" si="119"/>
        <v>223.48845440171175</v>
      </c>
      <c r="AZ103" s="1603">
        <f t="shared" si="119"/>
        <v>250.89848637326617</v>
      </c>
    </row>
    <row r="104" spans="1:52" s="1752" customFormat="1" ht="14.45" customHeight="1" x14ac:dyDescent="0.25">
      <c r="A104" s="1602"/>
      <c r="B104" s="1602"/>
      <c r="C104" s="1602"/>
      <c r="D104" s="1607" t="s">
        <v>218</v>
      </c>
      <c r="E104" s="1602"/>
      <c r="F104" s="1602"/>
      <c r="G104" s="1603"/>
      <c r="H104" s="1608">
        <f>H103/G103-1</f>
        <v>1.0567369902217982</v>
      </c>
      <c r="I104" s="1643">
        <f t="shared" ref="I104" si="120">I103/H103-1</f>
        <v>0.57288429749785319</v>
      </c>
      <c r="J104" s="1608">
        <f t="shared" ref="J104" si="121">J103/I103-1</f>
        <v>0.54595007481873892</v>
      </c>
      <c r="K104" s="1608">
        <f t="shared" ref="K104" si="122">K103/J103-1</f>
        <v>0.67513643002848323</v>
      </c>
      <c r="L104" s="1608">
        <f t="shared" ref="L104" si="123">L103/K103-1</f>
        <v>0.53525422288346447</v>
      </c>
      <c r="M104" s="1608">
        <f t="shared" ref="M104" si="124">M103/L103-1</f>
        <v>0.50178709184946579</v>
      </c>
      <c r="N104" s="1608">
        <f t="shared" ref="N104" si="125">N103/M103-1</f>
        <v>0.47852008066098506</v>
      </c>
      <c r="O104" s="1608">
        <f t="shared" ref="O104" si="126">O103/N103-1</f>
        <v>0.44710712883993731</v>
      </c>
      <c r="P104" s="1606"/>
      <c r="Q104" s="1603"/>
      <c r="R104" s="1603"/>
      <c r="S104" s="1603"/>
      <c r="T104" s="1603"/>
      <c r="U104" s="1609">
        <f>U103/Q103-1</f>
        <v>1.3887060577890957</v>
      </c>
      <c r="V104" s="1608">
        <f t="shared" ref="V104:AZ104" si="127">V103/R103-1</f>
        <v>1.1131841643791476</v>
      </c>
      <c r="W104" s="1608">
        <f t="shared" si="127"/>
        <v>1.0051264493019403</v>
      </c>
      <c r="X104" s="1608">
        <f t="shared" si="127"/>
        <v>0.89342773352479954</v>
      </c>
      <c r="Y104" s="1609">
        <f t="shared" si="127"/>
        <v>0.77387997252151153</v>
      </c>
      <c r="Z104" s="1608">
        <f t="shared" si="127"/>
        <v>0.59872296340276687</v>
      </c>
      <c r="AA104" s="1608">
        <f t="shared" si="127"/>
        <v>0.520679476972572</v>
      </c>
      <c r="AB104" s="1608">
        <f t="shared" si="127"/>
        <v>0.47087695945916774</v>
      </c>
      <c r="AC104" s="1609">
        <f t="shared" si="127"/>
        <v>0.46083073780857209</v>
      </c>
      <c r="AD104" s="1608">
        <f t="shared" si="127"/>
        <v>0.52924932271347225</v>
      </c>
      <c r="AE104" s="1608">
        <f t="shared" si="127"/>
        <v>0.55988745966257181</v>
      </c>
      <c r="AF104" s="1608">
        <f t="shared" si="127"/>
        <v>0.6125180754014401</v>
      </c>
      <c r="AG104" s="1609">
        <f t="shared" si="127"/>
        <v>0.67540682074937952</v>
      </c>
      <c r="AH104" s="1608">
        <f t="shared" si="127"/>
        <v>0.70520284049469684</v>
      </c>
      <c r="AI104" s="1608">
        <f t="shared" si="127"/>
        <v>0.65010508783999943</v>
      </c>
      <c r="AJ104" s="1608">
        <f t="shared" si="127"/>
        <v>0.67370742341978529</v>
      </c>
      <c r="AK104" s="1609">
        <f t="shared" si="127"/>
        <v>0.54657372592894071</v>
      </c>
      <c r="AL104" s="1608">
        <f t="shared" si="127"/>
        <v>0.5474085576647818</v>
      </c>
      <c r="AM104" s="1608">
        <f t="shared" si="127"/>
        <v>0.53779400859417437</v>
      </c>
      <c r="AN104" s="1608">
        <f t="shared" si="127"/>
        <v>0.51557965345025369</v>
      </c>
      <c r="AO104" s="1609">
        <f t="shared" si="127"/>
        <v>0.51170022638632662</v>
      </c>
      <c r="AP104" s="1608">
        <f t="shared" si="127"/>
        <v>0.50474564422321322</v>
      </c>
      <c r="AQ104" s="1608">
        <f t="shared" si="127"/>
        <v>0.50002378336043107</v>
      </c>
      <c r="AR104" s="1608">
        <f t="shared" si="127"/>
        <v>0.49388730959805449</v>
      </c>
      <c r="AS104" s="1609">
        <f t="shared" si="127"/>
        <v>0.48828829028950671</v>
      </c>
      <c r="AT104" s="1608">
        <f t="shared" si="127"/>
        <v>0.4814479357736674</v>
      </c>
      <c r="AU104" s="1608">
        <f t="shared" si="127"/>
        <v>0.47677171690670206</v>
      </c>
      <c r="AV104" s="1608">
        <f t="shared" si="127"/>
        <v>0.47064133996544655</v>
      </c>
      <c r="AW104" s="1609">
        <f t="shared" si="127"/>
        <v>0.45798822292385188</v>
      </c>
      <c r="AX104" s="1608">
        <f t="shared" si="127"/>
        <v>0.44966794022586409</v>
      </c>
      <c r="AY104" s="1608">
        <f t="shared" si="127"/>
        <v>0.44621031270807388</v>
      </c>
      <c r="AZ104" s="1608">
        <f t="shared" si="127"/>
        <v>0.43786478336544454</v>
      </c>
    </row>
    <row r="105" spans="1:52" s="1752" customFormat="1" ht="14.45" customHeight="1" x14ac:dyDescent="0.25">
      <c r="A105" s="1602"/>
      <c r="B105" s="1602"/>
      <c r="C105" s="1602"/>
      <c r="D105" s="1607"/>
      <c r="E105" s="1602"/>
      <c r="F105" s="1602"/>
      <c r="G105" s="1603"/>
      <c r="H105" s="1608"/>
      <c r="I105" s="1643"/>
      <c r="J105" s="1608"/>
      <c r="K105" s="1608"/>
      <c r="L105" s="1608"/>
      <c r="M105" s="1608"/>
      <c r="N105" s="1608"/>
      <c r="O105" s="1608"/>
      <c r="P105" s="1606"/>
      <c r="Q105" s="1603"/>
      <c r="R105" s="1603"/>
      <c r="S105" s="1603"/>
      <c r="T105" s="1603"/>
      <c r="U105" s="1609"/>
      <c r="V105" s="1608"/>
      <c r="W105" s="1608"/>
      <c r="X105" s="1608"/>
      <c r="Y105" s="1608"/>
      <c r="Z105" s="1608"/>
      <c r="AA105" s="1608"/>
      <c r="AB105" s="1608"/>
      <c r="AC105" s="1609"/>
      <c r="AD105" s="1608"/>
      <c r="AE105" s="1608"/>
      <c r="AF105" s="1608"/>
      <c r="AG105" s="1608"/>
      <c r="AH105" s="1608"/>
      <c r="AI105" s="1608"/>
      <c r="AJ105" s="1608"/>
      <c r="AK105" s="1609"/>
      <c r="AL105" s="1608"/>
      <c r="AM105" s="1608"/>
      <c r="AN105" s="1608"/>
      <c r="AO105" s="1608"/>
      <c r="AP105" s="1608"/>
      <c r="AQ105" s="1608"/>
      <c r="AR105" s="1608"/>
      <c r="AS105" s="1609"/>
      <c r="AT105" s="1608"/>
      <c r="AU105" s="1608"/>
      <c r="AV105" s="1608"/>
      <c r="AW105" s="1608"/>
      <c r="AX105" s="1608"/>
      <c r="AY105" s="1608"/>
      <c r="AZ105" s="1608"/>
    </row>
    <row r="106" spans="1:52" outlineLevel="1" x14ac:dyDescent="0.25">
      <c r="D106" s="7" t="str">
        <f>Forecast!C33</f>
        <v>COGS</v>
      </c>
      <c r="E106" s="1"/>
      <c r="F106" s="1"/>
      <c r="G106" s="1320"/>
      <c r="H106" s="1320"/>
      <c r="I106" s="1321"/>
      <c r="J106" s="1322"/>
      <c r="K106" s="1320"/>
      <c r="L106" s="1320"/>
      <c r="M106" s="1320"/>
      <c r="N106" s="1320"/>
      <c r="O106" s="1320"/>
      <c r="P106" s="1513"/>
      <c r="Q106" s="1320"/>
      <c r="R106" s="1320"/>
      <c r="S106" s="1320"/>
      <c r="T106" s="1322"/>
      <c r="U106" s="1352"/>
      <c r="V106" s="1322"/>
      <c r="W106" s="1322"/>
      <c r="X106" s="1321"/>
      <c r="Y106" s="1322"/>
      <c r="Z106" s="1320"/>
      <c r="AA106" s="1320"/>
      <c r="AB106" s="1322"/>
      <c r="AC106" s="1352"/>
      <c r="AD106" s="1322"/>
      <c r="AE106" s="1322"/>
      <c r="AF106" s="1321"/>
      <c r="AG106" s="1322"/>
      <c r="AH106" s="1320"/>
      <c r="AI106" s="1320"/>
      <c r="AJ106" s="1322"/>
      <c r="AK106" s="1352"/>
      <c r="AL106" s="1322"/>
      <c r="AM106" s="1322"/>
      <c r="AN106" s="1321"/>
      <c r="AO106" s="1322"/>
      <c r="AP106" s="1320"/>
      <c r="AQ106" s="1320"/>
      <c r="AR106" s="1322"/>
      <c r="AS106" s="1352"/>
      <c r="AT106" s="1322"/>
      <c r="AU106" s="1322"/>
      <c r="AV106" s="1321"/>
      <c r="AW106" s="1322"/>
      <c r="AX106" s="1320"/>
      <c r="AY106" s="1320"/>
      <c r="AZ106" s="1320"/>
    </row>
    <row r="107" spans="1:52" outlineLevel="1" x14ac:dyDescent="0.25">
      <c r="D107" s="1373" t="s">
        <v>1276</v>
      </c>
      <c r="E107" s="377"/>
      <c r="F107" s="377"/>
      <c r="G107" s="469">
        <f>(Forecast!D34/mm)*-1</f>
        <v>-7.199227529999999</v>
      </c>
      <c r="H107" s="469">
        <f>(Forecast!E34/mm)*-1</f>
        <v>-15.574148279999999</v>
      </c>
      <c r="I107" s="470">
        <f>(Forecast!F34/mm)*-1</f>
        <v>-22.066794163999997</v>
      </c>
      <c r="J107" s="469">
        <f>(Forecast!G34/mm)*-1</f>
        <v>-32.317451906568323</v>
      </c>
      <c r="K107" s="469">
        <f>(Forecast!H34/mm)*-1</f>
        <v>-41.022301372007796</v>
      </c>
      <c r="L107" s="469">
        <f>(Forecast!I34/mm)*-1</f>
        <v>-60.225697597519478</v>
      </c>
      <c r="M107" s="469">
        <f>(Forecast!J34/mm)*-1</f>
        <v>-86.325724795119626</v>
      </c>
      <c r="N107" s="469">
        <f>(Forecast!K34/mm)*-1</f>
        <v>-121.51568142430786</v>
      </c>
      <c r="O107" s="469">
        <f>(Forecast!L34/mm)*-1</f>
        <v>-166.69351565262062</v>
      </c>
      <c r="P107" s="1514"/>
      <c r="Q107" s="468">
        <f>(Forecast!N34/mm)*-1</f>
        <v>-1.18057148</v>
      </c>
      <c r="R107" s="468">
        <f>(Forecast!O34/mm)*-1</f>
        <v>-1.5110988999999999</v>
      </c>
      <c r="S107" s="468">
        <f>(Forecast!P34/mm)*-1</f>
        <v>-2.1863403999999997</v>
      </c>
      <c r="T107" s="1289">
        <f>(Forecast!Q34/mm)*-1</f>
        <v>-2.3212167500000001</v>
      </c>
      <c r="U107" s="1306">
        <f>(Forecast!R34/mm)*-1</f>
        <v>-2.8022221000000003</v>
      </c>
      <c r="V107" s="1289">
        <f>(Forecast!S34/mm)*-1</f>
        <v>-3.4687956799999995</v>
      </c>
      <c r="W107" s="1289">
        <f>(Forecast!T34/mm)*-1</f>
        <v>-4.631892109999999</v>
      </c>
      <c r="X107" s="1318">
        <f>(Forecast!U34/mm)*-1</f>
        <v>-4.671238390000001</v>
      </c>
      <c r="Y107" s="1289">
        <f>(Forecast!V34/mm)*-1</f>
        <v>-5.3608414</v>
      </c>
      <c r="Z107" s="468">
        <f>(Forecast!W34/mm)*-1</f>
        <v>-5.1496153060000003</v>
      </c>
      <c r="AA107" s="468">
        <f>(Forecast!X34/mm)*-1</f>
        <v>-5.7946258040000007</v>
      </c>
      <c r="AB107" s="1289">
        <f>(Forecast!Y34/mm)*-1</f>
        <v>-5.761711654</v>
      </c>
      <c r="AC107" s="1306">
        <f>(Forecast!Z34/mm)*-1</f>
        <v>-7.1241706100000002</v>
      </c>
      <c r="AD107" s="1289">
        <f>(Forecast!AA34/mm)*-1</f>
        <v>-7.6523983069790278</v>
      </c>
      <c r="AE107" s="1289">
        <f>(Forecast!AB34/mm)*-1</f>
        <v>-8.546847411693502</v>
      </c>
      <c r="AF107" s="1318">
        <f>(Forecast!AC34/mm)*-1</f>
        <v>-8.9940355778957937</v>
      </c>
      <c r="AG107" s="1289">
        <f>(Forecast!AD34/mm)*-1</f>
        <v>-8.7490689175087457</v>
      </c>
      <c r="AH107" s="468">
        <f>(Forecast!AE34/mm)*-1</f>
        <v>-9.6631412178335765</v>
      </c>
      <c r="AI107" s="468">
        <f>(Forecast!AF34/mm)*-1</f>
        <v>-10.657235880235859</v>
      </c>
      <c r="AJ107" s="1289">
        <f>(Forecast!AG34/mm)*-1</f>
        <v>-11.952855356429614</v>
      </c>
      <c r="AK107" s="1306">
        <f>(Forecast!AH34/mm)*-1</f>
        <v>-12.906585757186662</v>
      </c>
      <c r="AL107" s="1289">
        <f>(Forecast!AI34/mm)*-1</f>
        <v>-14.247304448640261</v>
      </c>
      <c r="AM107" s="1289">
        <f>(Forecast!AJ34/mm)*-1</f>
        <v>-15.670293757887475</v>
      </c>
      <c r="AN107" s="1318">
        <f>(Forecast!AK34/mm)*-1</f>
        <v>-17.401513633805088</v>
      </c>
      <c r="AO107" s="1289">
        <f>(Forecast!AL34/mm)*-1</f>
        <v>-18.632183938127589</v>
      </c>
      <c r="AP107" s="468">
        <f>(Forecast!AM34/mm)*-1</f>
        <v>-20.470423304136077</v>
      </c>
      <c r="AQ107" s="468">
        <f>(Forecast!AN34/mm)*-1</f>
        <v>-22.424394040158887</v>
      </c>
      <c r="AR107" s="1289">
        <f>(Forecast!AO34/mm)*-1</f>
        <v>-24.79872351269707</v>
      </c>
      <c r="AS107" s="1306">
        <f>(Forecast!AP34/mm)*-1</f>
        <v>-26.415481329665173</v>
      </c>
      <c r="AT107" s="1289">
        <f>(Forecast!AQ34/mm)*-1</f>
        <v>-28.884302593047206</v>
      </c>
      <c r="AU107" s="1289">
        <f>(Forecast!AR34/mm)*-1</f>
        <v>-31.512964865249785</v>
      </c>
      <c r="AV107" s="1318">
        <f>(Forecast!AS34/mm)*-1</f>
        <v>-34.702932636345679</v>
      </c>
      <c r="AW107" s="1289">
        <f>(Forecast!AT34/mm)*-1</f>
        <v>-36.684605024232319</v>
      </c>
      <c r="AX107" s="468">
        <f>(Forecast!AU34/mm)*-1</f>
        <v>-39.791923493965783</v>
      </c>
      <c r="AY107" s="468">
        <f>(Forecast!AV34/mm)*-1</f>
        <v>-43.099397044165777</v>
      </c>
      <c r="AZ107" s="468">
        <f>(Forecast!AW34/mm)*-1</f>
        <v>-47.117590090256719</v>
      </c>
    </row>
    <row r="108" spans="1:52" outlineLevel="1" x14ac:dyDescent="0.25">
      <c r="D108" s="1373" t="s">
        <v>1277</v>
      </c>
      <c r="E108" s="377"/>
      <c r="F108" s="377"/>
      <c r="G108" s="1356">
        <f>('Functional P&amp;L'!AC21/k)*-1</f>
        <v>-0.30762962999999999</v>
      </c>
      <c r="H108" s="1356">
        <f>('Functional P&amp;L'!AD21/k)*-1</f>
        <v>-0.94699334000000002</v>
      </c>
      <c r="I108" s="1357">
        <f>('Functional P&amp;L'!AE21/k)*-1</f>
        <v>-1.5928568399999998</v>
      </c>
      <c r="J108" s="1356">
        <f>('Functional P&amp;L'!AF21/k)*-1</f>
        <v>-2.485846169616106</v>
      </c>
      <c r="K108" s="1356">
        <f>('Functional P&amp;L'!AG21/k)*-1</f>
        <v>-3.751447884059675</v>
      </c>
      <c r="L108" s="1356">
        <f>('Functional P&amp;L'!AH21/k)*-1</f>
        <v>-4.5625313545790602</v>
      </c>
      <c r="M108" s="1360">
        <f t="shared" ref="M108" si="128">SUM(AO108:AR108)</f>
        <v>-4.5868978598130328</v>
      </c>
      <c r="N108" s="1360">
        <f t="shared" ref="N108" si="129">SUM(AS108:AV108)</f>
        <v>-3.88149568986156</v>
      </c>
      <c r="O108" s="1360">
        <f t="shared" ref="O108" si="130">SUM(AW108:AZ108)</f>
        <v>-3.2845747280337272</v>
      </c>
      <c r="P108" s="1697"/>
      <c r="Q108" s="1393">
        <f>('Functional P&amp;L'!D21/k)*-1</f>
        <v>-7.4928169999999988E-2</v>
      </c>
      <c r="R108" s="1393">
        <f>('Functional P&amp;L'!E21/k)*-1</f>
        <v>-7.1873610000000004E-2</v>
      </c>
      <c r="S108" s="1393">
        <f>('Functional P&amp;L'!F21/k)*-1</f>
        <v>-6.7337949999999994E-2</v>
      </c>
      <c r="T108" s="1394">
        <f>('Functional P&amp;L'!G21/k)*-1</f>
        <v>-9.3489899999999987E-2</v>
      </c>
      <c r="U108" s="1395">
        <f>('Functional P&amp;L'!H21/k)*-1</f>
        <v>-0.12713394</v>
      </c>
      <c r="V108" s="1394">
        <f>('Functional P&amp;L'!I21/k)*-1</f>
        <v>-0.17586039000000003</v>
      </c>
      <c r="W108" s="1394">
        <f>('Functional P&amp;L'!J21/k)*-1</f>
        <v>-0.26273609999999997</v>
      </c>
      <c r="X108" s="1396">
        <f>('Functional P&amp;L'!K21/k)*-1</f>
        <v>-0.38126291000000001</v>
      </c>
      <c r="Y108" s="1394">
        <f>('Functional P&amp;L'!L21/k)*-1</f>
        <v>-0.38689889</v>
      </c>
      <c r="Z108" s="1393">
        <f>('Functional P&amp;L'!M21/k)*-1</f>
        <v>-0.36017987000000007</v>
      </c>
      <c r="AA108" s="1393">
        <f>('Functional P&amp;L'!N21/k)*-1</f>
        <v>-0.37102886000000002</v>
      </c>
      <c r="AB108" s="1394">
        <f>('Functional P&amp;L'!O21/k)*-1</f>
        <v>-0.47474921999999997</v>
      </c>
      <c r="AC108" s="1395">
        <f>('Functional P&amp;L'!P21/k)*-1</f>
        <v>-0.50856038999999997</v>
      </c>
      <c r="AD108" s="1394">
        <f>('Functional P&amp;L'!Q21/k)*-1</f>
        <v>-0.57160895</v>
      </c>
      <c r="AE108" s="1394">
        <f>('Functional P&amp;L'!R21/k)*-1</f>
        <v>-0.62520028999999999</v>
      </c>
      <c r="AF108" s="1396">
        <f>('Functional P&amp;L'!S21/k)*-1</f>
        <v>-0.7804765396161063</v>
      </c>
      <c r="AG108" s="1394">
        <f>('Functional P&amp;L'!T21/k)*-1</f>
        <v>-0.77286197101491871</v>
      </c>
      <c r="AH108" s="1393">
        <f>('Functional P&amp;L'!U21/k)*-1</f>
        <v>-0.85536197101491873</v>
      </c>
      <c r="AI108" s="1393">
        <f>('Functional P&amp;L'!V21/k)*-1</f>
        <v>-1.020361971014919</v>
      </c>
      <c r="AJ108" s="1394">
        <f>('Functional P&amp;L'!W21/k)*-1</f>
        <v>-1.1028619710149188</v>
      </c>
      <c r="AK108" s="1395">
        <f>('Functional P&amp;L'!X21/k)*-1</f>
        <v>-0.9406328386447651</v>
      </c>
      <c r="AL108" s="1394">
        <f>('Functional P&amp;L'!Y21/k)*-1</f>
        <v>-1.0406328386447652</v>
      </c>
      <c r="AM108" s="1394">
        <f>('Functional P&amp;L'!Z21/k)*-1</f>
        <v>-1.2406328386447651</v>
      </c>
      <c r="AN108" s="1396">
        <f>('Functional P&amp;L'!AA21/k)*-1</f>
        <v>-1.340632838644765</v>
      </c>
      <c r="AO108" s="1430">
        <f t="shared" ref="AO108:AZ108" si="131">AO95*AO114</f>
        <v>-1.219498155987518</v>
      </c>
      <c r="AP108" s="1429">
        <f t="shared" si="131"/>
        <v>-1.1696371601268871</v>
      </c>
      <c r="AQ108" s="1429">
        <f t="shared" si="131"/>
        <v>-1.1218148052400108</v>
      </c>
      <c r="AR108" s="1430">
        <f t="shared" si="131"/>
        <v>-1.0759477384586165</v>
      </c>
      <c r="AS108" s="1431">
        <f t="shared" si="131"/>
        <v>-1.0319560149204225</v>
      </c>
      <c r="AT108" s="1430">
        <f t="shared" si="131"/>
        <v>-0.98976295842774265</v>
      </c>
      <c r="AU108" s="1430">
        <f t="shared" si="131"/>
        <v>-0.94929502780327335</v>
      </c>
      <c r="AV108" s="1432">
        <f t="shared" si="131"/>
        <v>-0.91048168871012192</v>
      </c>
      <c r="AW108" s="1430">
        <f t="shared" si="131"/>
        <v>-0.8732552907126655</v>
      </c>
      <c r="AX108" s="1429">
        <f t="shared" si="131"/>
        <v>-0.83755094936395769</v>
      </c>
      <c r="AY108" s="1429">
        <f t="shared" si="131"/>
        <v>-0.80330643311416772</v>
      </c>
      <c r="AZ108" s="1429">
        <f t="shared" si="131"/>
        <v>-0.77046205484293606</v>
      </c>
    </row>
    <row r="109" spans="1:52" outlineLevel="1" x14ac:dyDescent="0.25">
      <c r="D109" s="1710" t="s">
        <v>1278</v>
      </c>
      <c r="E109" s="1703"/>
      <c r="F109" s="1703"/>
      <c r="G109" s="1411"/>
      <c r="H109" s="1411"/>
      <c r="I109" s="1412"/>
      <c r="J109" s="1411"/>
      <c r="K109" s="1411">
        <f>-Overview!C16</f>
        <v>-8.1494045298095372E-3</v>
      </c>
      <c r="L109" s="1411">
        <f>-Overview!D16</f>
        <v>-0.39442713706766752</v>
      </c>
      <c r="M109" s="1411">
        <f>-Overview!E16</f>
        <v>-2.9192167660404298</v>
      </c>
      <c r="N109" s="1411">
        <f>-Overview!F16</f>
        <v>-8.30770016027442</v>
      </c>
      <c r="O109" s="1411">
        <f>-Overview!G16</f>
        <v>-16.201016186809412</v>
      </c>
      <c r="P109" s="1697"/>
      <c r="Q109" s="1390"/>
      <c r="R109" s="1390"/>
      <c r="S109" s="1390"/>
      <c r="T109" s="1390"/>
      <c r="U109" s="1391"/>
      <c r="V109" s="1390"/>
      <c r="W109" s="1390"/>
      <c r="X109" s="1392"/>
      <c r="Y109" s="1390"/>
      <c r="Z109" s="1390"/>
      <c r="AA109" s="1390"/>
      <c r="AB109" s="1390"/>
      <c r="AC109" s="1391"/>
      <c r="AD109" s="1390"/>
      <c r="AE109" s="1390"/>
      <c r="AF109" s="1392"/>
      <c r="AG109" s="1390">
        <f>-Overview!I16</f>
        <v>-2.9044709034657711E-4</v>
      </c>
      <c r="AH109" s="1390">
        <f>-Overview!J16</f>
        <v>-9.5429560757264093E-4</v>
      </c>
      <c r="AI109" s="1390">
        <f>-Overview!K16</f>
        <v>-1.6487569273516737E-3</v>
      </c>
      <c r="AJ109" s="1390">
        <f>-Overview!L16</f>
        <v>-5.255904904538645E-3</v>
      </c>
      <c r="AK109" s="1391">
        <f>-Overview!M16</f>
        <v>-2.4557437176309968E-2</v>
      </c>
      <c r="AL109" s="1390">
        <f>-Overview!N16</f>
        <v>-6.322532850906093E-2</v>
      </c>
      <c r="AM109" s="1390">
        <f>-Overview!O16</f>
        <v>-0.11394413127736967</v>
      </c>
      <c r="AN109" s="1392">
        <f>-Overview!P16</f>
        <v>-0.19270024010492698</v>
      </c>
      <c r="AO109" s="1390">
        <f>-Overview!Q16</f>
        <v>-0.34568632170415248</v>
      </c>
      <c r="AP109" s="1390">
        <f>-Overview!R16</f>
        <v>-0.58999334610318965</v>
      </c>
      <c r="AQ109" s="1390">
        <f>-Overview!S16</f>
        <v>-0.84689291569107561</v>
      </c>
      <c r="AR109" s="1390">
        <f>-Overview!T16</f>
        <v>-1.1366441825420122</v>
      </c>
      <c r="AS109" s="1391">
        <f>-Overview!U16</f>
        <v>-1.4748329744516377</v>
      </c>
      <c r="AT109" s="1390">
        <f>-Overview!V16</f>
        <v>-1.8519905138502322</v>
      </c>
      <c r="AU109" s="1390">
        <f>-Overview!W16</f>
        <v>-2.2664967747013214</v>
      </c>
      <c r="AV109" s="1392">
        <f>-Overview!X16</f>
        <v>-2.714379897271229</v>
      </c>
      <c r="AW109" s="1390">
        <f>-Overview!Y16</f>
        <v>-3.231540718296801</v>
      </c>
      <c r="AX109" s="1390">
        <f>-Overview!Z16</f>
        <v>-3.7383673998305564</v>
      </c>
      <c r="AY109" s="1390">
        <f>-Overview!AA16</f>
        <v>-4.3175687519102279</v>
      </c>
      <c r="AZ109" s="1390">
        <f>-Overview!AB16</f>
        <v>-4.9135393167718258</v>
      </c>
    </row>
    <row r="110" spans="1:52" outlineLevel="1" x14ac:dyDescent="0.25">
      <c r="D110" s="1424" t="s">
        <v>1279</v>
      </c>
      <c r="E110" s="1424"/>
      <c r="F110" s="1424"/>
      <c r="G110" s="1376">
        <f>SUM(G107:G109)</f>
        <v>-7.5068571599999991</v>
      </c>
      <c r="H110" s="1376">
        <f t="shared" ref="H110:AZ110" si="132">SUM(H107:H109)</f>
        <v>-16.521141619999998</v>
      </c>
      <c r="I110" s="1377">
        <f t="shared" si="132"/>
        <v>-23.659651003999997</v>
      </c>
      <c r="J110" s="1376">
        <f t="shared" si="132"/>
        <v>-34.803298076184426</v>
      </c>
      <c r="K110" s="1376">
        <f t="shared" si="132"/>
        <v>-44.781898660597278</v>
      </c>
      <c r="L110" s="1376">
        <f t="shared" si="132"/>
        <v>-65.182656089166201</v>
      </c>
      <c r="M110" s="1376">
        <f t="shared" si="132"/>
        <v>-93.831839420973097</v>
      </c>
      <c r="N110" s="1376">
        <f t="shared" si="132"/>
        <v>-133.70487727444385</v>
      </c>
      <c r="O110" s="1376">
        <f t="shared" si="132"/>
        <v>-186.17910656746375</v>
      </c>
      <c r="P110" s="1514"/>
      <c r="Q110" s="1425">
        <f t="shared" si="132"/>
        <v>-1.25549965</v>
      </c>
      <c r="R110" s="1425">
        <f t="shared" si="132"/>
        <v>-1.5829725099999998</v>
      </c>
      <c r="S110" s="1425">
        <f t="shared" si="132"/>
        <v>-2.2536783499999999</v>
      </c>
      <c r="T110" s="1425">
        <f t="shared" si="132"/>
        <v>-2.4147066499999998</v>
      </c>
      <c r="U110" s="1426">
        <f t="shared" si="132"/>
        <v>-2.92935604</v>
      </c>
      <c r="V110" s="1425">
        <f t="shared" si="132"/>
        <v>-3.6446560699999995</v>
      </c>
      <c r="W110" s="1425">
        <f t="shared" si="132"/>
        <v>-4.8946282099999987</v>
      </c>
      <c r="X110" s="1427">
        <f t="shared" si="132"/>
        <v>-5.0525013000000012</v>
      </c>
      <c r="Y110" s="1425">
        <f t="shared" si="132"/>
        <v>-5.7477402900000003</v>
      </c>
      <c r="Z110" s="1425">
        <f t="shared" si="132"/>
        <v>-5.5097951760000008</v>
      </c>
      <c r="AA110" s="1425">
        <f t="shared" si="132"/>
        <v>-6.1656546640000007</v>
      </c>
      <c r="AB110" s="1425">
        <f t="shared" si="132"/>
        <v>-6.2364608739999996</v>
      </c>
      <c r="AC110" s="1426">
        <f t="shared" si="132"/>
        <v>-7.6327309999999997</v>
      </c>
      <c r="AD110" s="1425">
        <f t="shared" si="132"/>
        <v>-8.2240072569790286</v>
      </c>
      <c r="AE110" s="1425">
        <f t="shared" si="132"/>
        <v>-9.1720477016935025</v>
      </c>
      <c r="AF110" s="1427">
        <f t="shared" si="132"/>
        <v>-9.7745121175119003</v>
      </c>
      <c r="AG110" s="1425">
        <f t="shared" si="132"/>
        <v>-9.5222213356140113</v>
      </c>
      <c r="AH110" s="1425">
        <f t="shared" si="132"/>
        <v>-10.519457484456067</v>
      </c>
      <c r="AI110" s="1425">
        <f t="shared" si="132"/>
        <v>-11.679246608178131</v>
      </c>
      <c r="AJ110" s="1425">
        <f t="shared" si="132"/>
        <v>-13.060973232349072</v>
      </c>
      <c r="AK110" s="1426">
        <f t="shared" si="132"/>
        <v>-13.871776033007736</v>
      </c>
      <c r="AL110" s="1425">
        <f t="shared" si="132"/>
        <v>-15.351162615794086</v>
      </c>
      <c r="AM110" s="1425">
        <f t="shared" si="132"/>
        <v>-17.02487072780961</v>
      </c>
      <c r="AN110" s="1427">
        <f t="shared" si="132"/>
        <v>-18.93484671255478</v>
      </c>
      <c r="AO110" s="1425">
        <f t="shared" si="132"/>
        <v>-20.197368415819263</v>
      </c>
      <c r="AP110" s="1425">
        <f t="shared" si="132"/>
        <v>-22.230053810366151</v>
      </c>
      <c r="AQ110" s="1425">
        <f t="shared" si="132"/>
        <v>-24.393101761089973</v>
      </c>
      <c r="AR110" s="1425">
        <f t="shared" si="132"/>
        <v>-27.011315433697696</v>
      </c>
      <c r="AS110" s="1426">
        <f t="shared" si="132"/>
        <v>-28.922270319037231</v>
      </c>
      <c r="AT110" s="1425">
        <f t="shared" si="132"/>
        <v>-31.726056065325182</v>
      </c>
      <c r="AU110" s="1425">
        <f t="shared" si="132"/>
        <v>-34.728756667754382</v>
      </c>
      <c r="AV110" s="1427">
        <f t="shared" si="132"/>
        <v>-38.327794222327029</v>
      </c>
      <c r="AW110" s="1425">
        <f t="shared" si="132"/>
        <v>-40.789401033241781</v>
      </c>
      <c r="AX110" s="1425">
        <f t="shared" si="132"/>
        <v>-44.367841843160299</v>
      </c>
      <c r="AY110" s="1425">
        <f t="shared" si="132"/>
        <v>-48.220272229190172</v>
      </c>
      <c r="AZ110" s="1425">
        <f t="shared" si="132"/>
        <v>-52.801591461871482</v>
      </c>
    </row>
    <row r="111" spans="1:52" outlineLevel="1" x14ac:dyDescent="0.25">
      <c r="D111" s="1711" t="str">
        <f>Forecast!C35</f>
        <v>PS COGS</v>
      </c>
      <c r="E111" s="1711"/>
      <c r="F111" s="1711"/>
      <c r="G111" s="1402">
        <f>(Forecast!D35/mm)*-1</f>
        <v>-0.95219213000000014</v>
      </c>
      <c r="H111" s="1402">
        <f>(Forecast!E35/mm)*-1</f>
        <v>-2.3920313499999999</v>
      </c>
      <c r="I111" s="1403">
        <f>(Forecast!F35/mm)*-1</f>
        <v>-2.5542433099999999</v>
      </c>
      <c r="J111" s="1402">
        <f>(Forecast!G35/mm)*-1</f>
        <v>-4.9280510796406185</v>
      </c>
      <c r="K111" s="1402">
        <f>(Forecast!H35/mm)*-1</f>
        <v>-9.4500000000000011</v>
      </c>
      <c r="L111" s="1402">
        <f>(Forecast!I35/mm)*-1</f>
        <v>-13.938750000000004</v>
      </c>
      <c r="M111" s="1402">
        <f>(Forecast!J35/mm)*-1</f>
        <v>-20.211187500000005</v>
      </c>
      <c r="N111" s="1402">
        <f>(Forecast!K35/mm)*-1</f>
        <v>-28.800942187499999</v>
      </c>
      <c r="O111" s="1402">
        <f>(Forecast!L35/mm)*-1</f>
        <v>-36.289187156250016</v>
      </c>
      <c r="P111" s="1697"/>
      <c r="Q111" s="1404">
        <f>(Forecast!N35/mm)*-1</f>
        <v>-0.15882309999999999</v>
      </c>
      <c r="R111" s="1404">
        <f>(Forecast!O35/mm)*-1</f>
        <v>-0.16655929</v>
      </c>
      <c r="S111" s="1404">
        <f>(Forecast!P35/mm)*-1</f>
        <v>-0.24357693000000002</v>
      </c>
      <c r="T111" s="1404">
        <f>(Forecast!Q35/mm)*-1</f>
        <v>-0.38323280999999998</v>
      </c>
      <c r="U111" s="1405">
        <f>(Forecast!R35/mm)*-1</f>
        <v>-0.50279244999999995</v>
      </c>
      <c r="V111" s="1404">
        <f>(Forecast!S35/mm)*-1</f>
        <v>-0.59125405000000009</v>
      </c>
      <c r="W111" s="1404">
        <f>(Forecast!T35/mm)*-1</f>
        <v>-0.65948952999999999</v>
      </c>
      <c r="X111" s="1406">
        <f>(Forecast!U35/mm)*-1</f>
        <v>-0.63849532000000009</v>
      </c>
      <c r="Y111" s="1404">
        <f>(Forecast!V35/mm)*-1</f>
        <v>-0.71378215999999994</v>
      </c>
      <c r="Z111" s="1404">
        <f>(Forecast!W35/mm)*-1</f>
        <v>-0.69920899000000003</v>
      </c>
      <c r="AA111" s="1404">
        <f>(Forecast!X35/mm)*-1</f>
        <v>-0.57182548</v>
      </c>
      <c r="AB111" s="1404">
        <f>(Forecast!Y35/mm)*-1</f>
        <v>-0.56942667999999996</v>
      </c>
      <c r="AC111" s="1405">
        <f>(Forecast!Z35/mm)*-1</f>
        <v>-0.61722360999999992</v>
      </c>
      <c r="AD111" s="1404">
        <f>(Forecast!AA35/mm)*-1</f>
        <v>-0.99532405708206262</v>
      </c>
      <c r="AE111" s="1404">
        <f>(Forecast!AB35/mm)*-1</f>
        <v>-1.388738191615241</v>
      </c>
      <c r="AF111" s="1406">
        <f>(Forecast!AC35/mm)*-1</f>
        <v>-1.926765220943315</v>
      </c>
      <c r="AG111" s="1404">
        <f>(Forecast!AD35/mm)*-1</f>
        <v>-2.1794582874072623</v>
      </c>
      <c r="AH111" s="1404">
        <f>(Forecast!AE35/mm)*-1</f>
        <v>-2.3167395718518149</v>
      </c>
      <c r="AI111" s="1404">
        <f>(Forecast!AF35/mm)*-1</f>
        <v>-2.4082604281481843</v>
      </c>
      <c r="AJ111" s="1404">
        <f>(Forecast!AG35/mm)*-1</f>
        <v>-2.5455417125927378</v>
      </c>
      <c r="AK111" s="1405">
        <f>(Forecast!AH35/mm)*-1</f>
        <v>-2.9754739985186456</v>
      </c>
      <c r="AL111" s="1404">
        <f>(Forecast!AI35/mm)*-1</f>
        <v>-3.3573841246296623</v>
      </c>
      <c r="AM111" s="1404">
        <f>(Forecast!AJ35/mm)*-1</f>
        <v>-3.6119908753703394</v>
      </c>
      <c r="AN111" s="1406">
        <f>(Forecast!AK35/mm)*-1</f>
        <v>-3.9939010014813561</v>
      </c>
      <c r="AO111" s="1404">
        <f>(Forecast!AL35/mm)*-1</f>
        <v>-4.5691086887961863</v>
      </c>
      <c r="AP111" s="1404">
        <f>(Forecast!AM35/mm)*-1</f>
        <v>-4.9318748284490459</v>
      </c>
      <c r="AQ111" s="1404">
        <f>(Forecast!AN35/mm)*-1</f>
        <v>-5.1737189215509556</v>
      </c>
      <c r="AR111" s="1404">
        <f>(Forecast!AO35/mm)*-1</f>
        <v>-5.5364850612038152</v>
      </c>
      <c r="AS111" s="1405">
        <f>(Forecast!AP35/mm)*-1</f>
        <v>-6.3602634910533391</v>
      </c>
      <c r="AT111" s="1404">
        <f>(Forecast!AQ35/mm)*-1</f>
        <v>-6.9902425329195852</v>
      </c>
      <c r="AU111" s="1404">
        <f>(Forecast!AR35/mm)*-1</f>
        <v>-7.410228560830415</v>
      </c>
      <c r="AV111" s="1406">
        <f>(Forecast!AS35/mm)*-1</f>
        <v>-8.0402076026966629</v>
      </c>
      <c r="AW111" s="1404">
        <f>(Forecast!AT35/mm)*-1</f>
        <v>-8.7992393613439557</v>
      </c>
      <c r="AX111" s="1404">
        <f>(Forecast!AU35/mm)*-1</f>
        <v>-9.0040324321328651</v>
      </c>
      <c r="AY111" s="1404">
        <f>(Forecast!AV35/mm)*-1</f>
        <v>-9.1405611459921428</v>
      </c>
      <c r="AZ111" s="1404">
        <f>(Forecast!AW35/mm)*-1</f>
        <v>-9.3453542167810557</v>
      </c>
    </row>
    <row r="112" spans="1:52" s="1" customFormat="1" x14ac:dyDescent="0.25">
      <c r="D112" s="1389" t="s">
        <v>516</v>
      </c>
      <c r="E112" s="1413"/>
      <c r="F112" s="1413"/>
      <c r="G112" s="1379">
        <f>SUM(G110:G111)</f>
        <v>-8.4590492899999994</v>
      </c>
      <c r="H112" s="1379">
        <f t="shared" ref="H112:AZ112" si="133">SUM(H110:H111)</f>
        <v>-18.913172969999998</v>
      </c>
      <c r="I112" s="1380">
        <f t="shared" si="133"/>
        <v>-26.213894313999997</v>
      </c>
      <c r="J112" s="1379">
        <f t="shared" si="133"/>
        <v>-39.731349155825043</v>
      </c>
      <c r="K112" s="1379">
        <f t="shared" si="133"/>
        <v>-54.231898660597281</v>
      </c>
      <c r="L112" s="1379">
        <f t="shared" si="133"/>
        <v>-79.1214060891662</v>
      </c>
      <c r="M112" s="1379">
        <f t="shared" si="133"/>
        <v>-114.04302692097311</v>
      </c>
      <c r="N112" s="1379">
        <f t="shared" si="133"/>
        <v>-162.50581946194384</v>
      </c>
      <c r="O112" s="1379">
        <f t="shared" si="133"/>
        <v>-222.46829372371377</v>
      </c>
      <c r="P112" s="1515"/>
      <c r="Q112" s="1332">
        <f t="shared" si="133"/>
        <v>-1.41432275</v>
      </c>
      <c r="R112" s="1332">
        <f t="shared" si="133"/>
        <v>-1.7495317999999997</v>
      </c>
      <c r="S112" s="1332">
        <f t="shared" si="133"/>
        <v>-2.4972552800000001</v>
      </c>
      <c r="T112" s="1332">
        <f t="shared" si="133"/>
        <v>-2.7979394599999998</v>
      </c>
      <c r="U112" s="1351">
        <f t="shared" si="133"/>
        <v>-3.4321484899999999</v>
      </c>
      <c r="V112" s="1332">
        <f t="shared" si="133"/>
        <v>-4.2359101199999998</v>
      </c>
      <c r="W112" s="1332">
        <f t="shared" si="133"/>
        <v>-5.5541177399999988</v>
      </c>
      <c r="X112" s="1331">
        <f t="shared" si="133"/>
        <v>-5.6909966200000017</v>
      </c>
      <c r="Y112" s="1332">
        <f t="shared" si="133"/>
        <v>-6.4615224500000004</v>
      </c>
      <c r="Z112" s="1332">
        <f t="shared" si="133"/>
        <v>-6.2090041660000006</v>
      </c>
      <c r="AA112" s="1332">
        <f t="shared" si="133"/>
        <v>-6.7374801440000009</v>
      </c>
      <c r="AB112" s="1332">
        <f t="shared" si="133"/>
        <v>-6.8058875539999999</v>
      </c>
      <c r="AC112" s="1351">
        <f t="shared" si="133"/>
        <v>-8.2499546099999996</v>
      </c>
      <c r="AD112" s="1332">
        <f t="shared" si="133"/>
        <v>-9.2193313140610904</v>
      </c>
      <c r="AE112" s="1332">
        <f t="shared" si="133"/>
        <v>-10.560785893308744</v>
      </c>
      <c r="AF112" s="1331">
        <f t="shared" si="133"/>
        <v>-11.701277338455215</v>
      </c>
      <c r="AG112" s="1332">
        <f t="shared" si="133"/>
        <v>-11.701679623021274</v>
      </c>
      <c r="AH112" s="1332">
        <f t="shared" si="133"/>
        <v>-12.836197056307881</v>
      </c>
      <c r="AI112" s="1332">
        <f t="shared" si="133"/>
        <v>-14.087507036326315</v>
      </c>
      <c r="AJ112" s="1332">
        <f t="shared" si="133"/>
        <v>-15.606514944941811</v>
      </c>
      <c r="AK112" s="1351">
        <f t="shared" si="133"/>
        <v>-16.847250031526382</v>
      </c>
      <c r="AL112" s="1332">
        <f t="shared" si="133"/>
        <v>-18.708546740423749</v>
      </c>
      <c r="AM112" s="1332">
        <f t="shared" si="133"/>
        <v>-20.636861603179948</v>
      </c>
      <c r="AN112" s="1331">
        <f t="shared" si="133"/>
        <v>-22.928747714036135</v>
      </c>
      <c r="AO112" s="1332">
        <f t="shared" si="133"/>
        <v>-24.766477104615447</v>
      </c>
      <c r="AP112" s="1332">
        <f t="shared" si="133"/>
        <v>-27.161928638815198</v>
      </c>
      <c r="AQ112" s="1332">
        <f t="shared" si="133"/>
        <v>-29.56682068264093</v>
      </c>
      <c r="AR112" s="1332">
        <f t="shared" si="133"/>
        <v>-32.547800494901509</v>
      </c>
      <c r="AS112" s="1351">
        <f t="shared" si="133"/>
        <v>-35.28253381009057</v>
      </c>
      <c r="AT112" s="1332">
        <f t="shared" si="133"/>
        <v>-38.716298598244769</v>
      </c>
      <c r="AU112" s="1332">
        <f t="shared" si="133"/>
        <v>-42.138985228584801</v>
      </c>
      <c r="AV112" s="1331">
        <f t="shared" si="133"/>
        <v>-46.36800182502369</v>
      </c>
      <c r="AW112" s="1332">
        <f t="shared" si="133"/>
        <v>-49.588640394585738</v>
      </c>
      <c r="AX112" s="1332">
        <f t="shared" si="133"/>
        <v>-53.371874275293166</v>
      </c>
      <c r="AY112" s="1332">
        <f t="shared" si="133"/>
        <v>-57.360833375182317</v>
      </c>
      <c r="AZ112" s="1332">
        <f t="shared" si="133"/>
        <v>-62.146945678652536</v>
      </c>
    </row>
    <row r="113" spans="2:52" s="1" customFormat="1" x14ac:dyDescent="0.25">
      <c r="D113" s="1389"/>
      <c r="E113" s="1413"/>
      <c r="F113" s="1413"/>
      <c r="G113" s="1379"/>
      <c r="H113" s="1379"/>
      <c r="I113" s="1380"/>
      <c r="J113" s="1379"/>
      <c r="K113" s="1379"/>
      <c r="L113" s="1379"/>
      <c r="M113" s="1379"/>
      <c r="N113" s="1379"/>
      <c r="O113" s="1379"/>
      <c r="P113" s="1515"/>
      <c r="Q113" s="1332"/>
      <c r="R113" s="1332"/>
      <c r="S113" s="1332"/>
      <c r="T113" s="1332"/>
      <c r="U113" s="1351"/>
      <c r="V113" s="1332"/>
      <c r="W113" s="1332"/>
      <c r="X113" s="1331"/>
      <c r="Y113" s="1332"/>
      <c r="Z113" s="1332"/>
      <c r="AA113" s="1332"/>
      <c r="AB113" s="1332"/>
      <c r="AC113" s="1351"/>
      <c r="AD113" s="1332"/>
      <c r="AE113" s="1332"/>
      <c r="AF113" s="1331"/>
      <c r="AG113" s="1332"/>
      <c r="AH113" s="1332"/>
      <c r="AI113" s="1332"/>
      <c r="AJ113" s="1332"/>
      <c r="AK113" s="1351"/>
      <c r="AL113" s="1332"/>
      <c r="AM113" s="1332"/>
      <c r="AN113" s="1331"/>
      <c r="AO113" s="1332"/>
      <c r="AP113" s="1332"/>
      <c r="AQ113" s="1332"/>
      <c r="AR113" s="1332"/>
      <c r="AS113" s="1351"/>
      <c r="AT113" s="1332"/>
      <c r="AU113" s="1332"/>
      <c r="AV113" s="1331"/>
      <c r="AW113" s="1332"/>
      <c r="AX113" s="1332"/>
      <c r="AY113" s="1332"/>
      <c r="AZ113" s="1332"/>
    </row>
    <row r="114" spans="2:52" s="1752" customFormat="1" x14ac:dyDescent="0.25">
      <c r="D114" s="1600" t="s">
        <v>1297</v>
      </c>
      <c r="E114" s="242"/>
      <c r="F114" s="242"/>
      <c r="G114" s="1612">
        <f t="shared" ref="G114:O114" si="134">G108/G95</f>
        <v>-0.30930512348169537</v>
      </c>
      <c r="H114" s="1612">
        <f t="shared" si="134"/>
        <v>-0.27300046223022134</v>
      </c>
      <c r="I114" s="1613">
        <f t="shared" si="134"/>
        <v>-0.23878483090020775</v>
      </c>
      <c r="J114" s="1612">
        <f t="shared" si="134"/>
        <v>-0.21741118421794997</v>
      </c>
      <c r="K114" s="1612">
        <f t="shared" si="134"/>
        <v>-0.20774534650182272</v>
      </c>
      <c r="L114" s="1612">
        <f t="shared" si="134"/>
        <v>-0.20276786873476507</v>
      </c>
      <c r="M114" s="1612">
        <f t="shared" si="134"/>
        <v>-0.20188559586934834</v>
      </c>
      <c r="N114" s="1612">
        <f t="shared" si="134"/>
        <v>-0.20188559586934829</v>
      </c>
      <c r="O114" s="1612">
        <f t="shared" si="134"/>
        <v>-0.20188559586934832</v>
      </c>
      <c r="P114" s="1611"/>
      <c r="Q114" s="1595">
        <f t="shared" ref="Q114:AN114" si="135">Q108/Q95</f>
        <v>-0.69428283547846936</v>
      </c>
      <c r="R114" s="1595">
        <f t="shared" si="135"/>
        <v>-0.3192720607267871</v>
      </c>
      <c r="S114" s="1595">
        <f t="shared" si="135"/>
        <v>-0.21546391330343623</v>
      </c>
      <c r="T114" s="1595">
        <f t="shared" si="135"/>
        <v>-0.2678649325519159</v>
      </c>
      <c r="U114" s="1614">
        <f t="shared" si="135"/>
        <v>-0.1798274609480412</v>
      </c>
      <c r="V114" s="1595">
        <f t="shared" si="135"/>
        <v>-0.20974965171508975</v>
      </c>
      <c r="W114" s="1595">
        <f t="shared" si="135"/>
        <v>-0.28784144676863443</v>
      </c>
      <c r="X114" s="1596">
        <f t="shared" si="135"/>
        <v>-0.37724664040960626</v>
      </c>
      <c r="Y114" s="1595">
        <f t="shared" si="135"/>
        <v>-0.28034086880978476</v>
      </c>
      <c r="Z114" s="1595">
        <f t="shared" si="135"/>
        <v>-0.23134157402402519</v>
      </c>
      <c r="AA114" s="1595">
        <f t="shared" si="135"/>
        <v>-0.22171358747239497</v>
      </c>
      <c r="AB114" s="1595">
        <f t="shared" si="135"/>
        <v>-0.23043856362861626</v>
      </c>
      <c r="AC114" s="1614">
        <f t="shared" si="135"/>
        <v>-0.21641549046048475</v>
      </c>
      <c r="AD114" s="1595">
        <f t="shared" si="135"/>
        <v>-0.21810784645229758</v>
      </c>
      <c r="AE114" s="1595">
        <f t="shared" si="135"/>
        <v>-0.22010317623803827</v>
      </c>
      <c r="AF114" s="1596">
        <f t="shared" si="135"/>
        <v>-0.21544231922464158</v>
      </c>
      <c r="AG114" s="1595">
        <f t="shared" si="135"/>
        <v>-0.18991352538767686</v>
      </c>
      <c r="AH114" s="1595">
        <f t="shared" si="135"/>
        <v>-0.19656871192271166</v>
      </c>
      <c r="AI114" s="1595">
        <f t="shared" si="135"/>
        <v>-0.21924299388366514</v>
      </c>
      <c r="AJ114" s="1595">
        <f t="shared" si="135"/>
        <v>-0.22133023182676748</v>
      </c>
      <c r="AK114" s="1614">
        <f t="shared" si="135"/>
        <v>-0.17873373891804681</v>
      </c>
      <c r="AL114" s="1595">
        <f t="shared" si="135"/>
        <v>-0.18963178132743144</v>
      </c>
      <c r="AM114" s="1595">
        <f t="shared" si="135"/>
        <v>-0.21632440869476971</v>
      </c>
      <c r="AN114" s="1596">
        <f t="shared" si="135"/>
        <v>-0.22285245453714528</v>
      </c>
      <c r="AO114" s="1615">
        <f>AVERAGE(AK114:AN114)</f>
        <v>-0.20188559586934832</v>
      </c>
      <c r="AP114" s="1615">
        <f>AO114</f>
        <v>-0.20188559586934832</v>
      </c>
      <c r="AQ114" s="1615">
        <f>AP114</f>
        <v>-0.20188559586934832</v>
      </c>
      <c r="AR114" s="1615">
        <f t="shared" ref="AR114:AZ114" si="136">AQ114</f>
        <v>-0.20188559586934832</v>
      </c>
      <c r="AS114" s="1616">
        <f t="shared" si="136"/>
        <v>-0.20188559586934832</v>
      </c>
      <c r="AT114" s="1615">
        <f t="shared" si="136"/>
        <v>-0.20188559586934832</v>
      </c>
      <c r="AU114" s="1615">
        <f t="shared" si="136"/>
        <v>-0.20188559586934832</v>
      </c>
      <c r="AV114" s="1617">
        <f t="shared" si="136"/>
        <v>-0.20188559586934832</v>
      </c>
      <c r="AW114" s="1615">
        <f t="shared" si="136"/>
        <v>-0.20188559586934832</v>
      </c>
      <c r="AX114" s="1615">
        <f t="shared" si="136"/>
        <v>-0.20188559586934832</v>
      </c>
      <c r="AY114" s="1615">
        <f t="shared" si="136"/>
        <v>-0.20188559586934832</v>
      </c>
      <c r="AZ114" s="1615">
        <f t="shared" si="136"/>
        <v>-0.20188559586934832</v>
      </c>
    </row>
    <row r="115" spans="2:52" s="1" customFormat="1" x14ac:dyDescent="0.25">
      <c r="D115" s="1389"/>
      <c r="E115" s="1413"/>
      <c r="F115" s="1413"/>
      <c r="G115" s="1379"/>
      <c r="H115" s="1379"/>
      <c r="I115" s="1380"/>
      <c r="J115" s="1379"/>
      <c r="K115" s="1379"/>
      <c r="L115" s="1379"/>
      <c r="M115" s="1379"/>
      <c r="N115" s="1379"/>
      <c r="O115" s="1379"/>
      <c r="P115" s="1515"/>
      <c r="Q115" s="1332"/>
      <c r="R115" s="1332"/>
      <c r="S115" s="1332"/>
      <c r="T115" s="1332"/>
      <c r="U115" s="1351"/>
      <c r="V115" s="1332"/>
      <c r="W115" s="1332"/>
      <c r="X115" s="1331"/>
      <c r="Y115" s="1332"/>
      <c r="Z115" s="1332"/>
      <c r="AA115" s="1332"/>
      <c r="AB115" s="1332"/>
      <c r="AC115" s="1351"/>
      <c r="AD115" s="1332"/>
      <c r="AE115" s="1332"/>
      <c r="AF115" s="1331"/>
      <c r="AG115" s="1332"/>
      <c r="AH115" s="1332"/>
      <c r="AI115" s="1332"/>
      <c r="AJ115" s="1332"/>
      <c r="AK115" s="1351"/>
      <c r="AL115" s="1332"/>
      <c r="AM115" s="1332"/>
      <c r="AN115" s="1331"/>
      <c r="AO115" s="1332"/>
      <c r="AP115" s="1332"/>
      <c r="AQ115" s="1332"/>
      <c r="AR115" s="1332"/>
      <c r="AS115" s="1351"/>
      <c r="AT115" s="1332"/>
      <c r="AU115" s="1332"/>
      <c r="AV115" s="1331"/>
      <c r="AW115" s="1332"/>
      <c r="AX115" s="1332"/>
      <c r="AY115" s="1332"/>
      <c r="AZ115" s="1332"/>
    </row>
    <row r="116" spans="2:52" x14ac:dyDescent="0.25">
      <c r="G116" s="16"/>
      <c r="H116" s="16"/>
      <c r="I116" s="492"/>
      <c r="J116" s="491"/>
      <c r="K116" s="16"/>
      <c r="L116" s="55"/>
      <c r="M116" s="55"/>
      <c r="N116" s="55"/>
      <c r="O116" s="55"/>
      <c r="Q116" s="16"/>
      <c r="R116" s="16"/>
      <c r="S116" s="16"/>
      <c r="T116" s="491"/>
      <c r="U116" s="1301"/>
      <c r="V116" s="491"/>
      <c r="W116" s="491"/>
      <c r="X116" s="492"/>
      <c r="Y116" s="491"/>
      <c r="Z116" s="16"/>
      <c r="AA116" s="16"/>
      <c r="AB116" s="491"/>
      <c r="AC116" s="1301"/>
      <c r="AD116" s="491"/>
      <c r="AE116" s="491"/>
      <c r="AF116" s="492"/>
      <c r="AG116" s="491"/>
      <c r="AH116" s="16"/>
      <c r="AI116" s="16"/>
      <c r="AJ116" s="491"/>
      <c r="AK116" s="1301"/>
      <c r="AL116" s="491"/>
      <c r="AM116" s="491"/>
      <c r="AN116" s="492"/>
      <c r="AO116" s="491"/>
      <c r="AP116" s="16"/>
      <c r="AQ116" s="16"/>
      <c r="AR116" s="491"/>
      <c r="AS116" s="1301"/>
      <c r="AT116" s="491"/>
      <c r="AU116" s="491"/>
      <c r="AV116" s="492"/>
      <c r="AW116" s="491"/>
      <c r="AX116" s="16"/>
      <c r="AY116" s="16"/>
      <c r="AZ116" s="16"/>
    </row>
    <row r="117" spans="2:52" outlineLevel="1" x14ac:dyDescent="0.25">
      <c r="D117" s="1" t="s">
        <v>805</v>
      </c>
      <c r="E117" s="1"/>
      <c r="F117" s="1"/>
      <c r="G117" s="481"/>
      <c r="H117" s="481"/>
      <c r="I117" s="483"/>
      <c r="J117" s="482"/>
      <c r="K117" s="481"/>
      <c r="L117" s="480"/>
      <c r="M117" s="480"/>
      <c r="N117" s="480"/>
      <c r="O117" s="480"/>
      <c r="P117" s="1522"/>
      <c r="Q117" s="481"/>
      <c r="R117" s="481"/>
      <c r="S117" s="481"/>
      <c r="T117" s="482"/>
      <c r="U117" s="1295"/>
      <c r="V117" s="482"/>
      <c r="W117" s="482"/>
      <c r="X117" s="483"/>
      <c r="Y117" s="482"/>
      <c r="Z117" s="481"/>
      <c r="AA117" s="481"/>
      <c r="AB117" s="482"/>
      <c r="AC117" s="1295"/>
      <c r="AD117" s="482"/>
      <c r="AE117" s="482"/>
      <c r="AF117" s="483"/>
      <c r="AG117" s="482"/>
      <c r="AH117" s="481"/>
      <c r="AI117" s="481"/>
      <c r="AJ117" s="482"/>
      <c r="AK117" s="1295"/>
      <c r="AL117" s="482"/>
      <c r="AM117" s="482"/>
      <c r="AN117" s="483"/>
      <c r="AO117" s="482"/>
      <c r="AP117" s="481"/>
      <c r="AQ117" s="481"/>
      <c r="AR117" s="482"/>
      <c r="AS117" s="1295"/>
      <c r="AT117" s="482"/>
      <c r="AU117" s="482"/>
      <c r="AV117" s="483"/>
      <c r="AW117" s="482"/>
      <c r="AX117" s="481"/>
      <c r="AY117" s="481"/>
      <c r="AZ117" s="481"/>
    </row>
    <row r="118" spans="2:52" outlineLevel="1" x14ac:dyDescent="0.25">
      <c r="D118" s="1373" t="s">
        <v>1280</v>
      </c>
      <c r="E118" s="377"/>
      <c r="F118" s="377"/>
      <c r="G118" s="1374">
        <f t="shared" ref="G118:O118" si="137">G94+G107</f>
        <v>12.514472470000001</v>
      </c>
      <c r="H118" s="1374">
        <f t="shared" si="137"/>
        <v>24.845771719999998</v>
      </c>
      <c r="I118" s="1377">
        <f t="shared" si="137"/>
        <v>42.172790145999997</v>
      </c>
      <c r="J118" s="1374">
        <f t="shared" si="137"/>
        <v>66.867673105041931</v>
      </c>
      <c r="K118" s="1374">
        <f t="shared" si="137"/>
        <v>122.80221485769277</v>
      </c>
      <c r="L118" s="1374">
        <f t="shared" si="137"/>
        <v>191.99833576377989</v>
      </c>
      <c r="M118" s="1374">
        <f t="shared" si="137"/>
        <v>293.36338191923471</v>
      </c>
      <c r="N118" s="1374">
        <f t="shared" si="137"/>
        <v>441.21441774266458</v>
      </c>
      <c r="O118" s="1374">
        <f t="shared" si="137"/>
        <v>654.37329946544526</v>
      </c>
      <c r="P118" s="1514"/>
      <c r="Q118" s="1428">
        <f t="shared" ref="Q118:AZ118" si="138">Q94+Q107</f>
        <v>2.2852805199999997</v>
      </c>
      <c r="R118" s="1428">
        <f t="shared" si="138"/>
        <v>2.9443961000000001</v>
      </c>
      <c r="S118" s="1428">
        <f t="shared" si="138"/>
        <v>3.2007086000000005</v>
      </c>
      <c r="T118" s="1425">
        <f t="shared" si="138"/>
        <v>4.0840872499999996</v>
      </c>
      <c r="U118" s="1426">
        <f t="shared" si="138"/>
        <v>5.0915239000000003</v>
      </c>
      <c r="V118" s="1425">
        <f t="shared" si="138"/>
        <v>5.8240773200000007</v>
      </c>
      <c r="W118" s="1425">
        <f t="shared" si="138"/>
        <v>6.3078648900000012</v>
      </c>
      <c r="X118" s="1427">
        <f t="shared" si="138"/>
        <v>7.6223056099999997</v>
      </c>
      <c r="Y118" s="1425">
        <f t="shared" si="138"/>
        <v>8.7226789099999991</v>
      </c>
      <c r="Z118" s="1428">
        <f t="shared" si="138"/>
        <v>9.8723706940000007</v>
      </c>
      <c r="AA118" s="1428">
        <f t="shared" si="138"/>
        <v>10.848945196000001</v>
      </c>
      <c r="AB118" s="1425">
        <f t="shared" si="138"/>
        <v>12.728795346000002</v>
      </c>
      <c r="AC118" s="1426">
        <f t="shared" si="138"/>
        <v>13.69277177</v>
      </c>
      <c r="AD118" s="1425">
        <f t="shared" si="138"/>
        <v>15.370550693020974</v>
      </c>
      <c r="AE118" s="1425">
        <f t="shared" si="138"/>
        <v>17.350996286489078</v>
      </c>
      <c r="AF118" s="1427">
        <f t="shared" si="138"/>
        <v>20.453354355531882</v>
      </c>
      <c r="AG118" s="1425">
        <f t="shared" si="138"/>
        <v>25.796998650964902</v>
      </c>
      <c r="AH118" s="1428">
        <f t="shared" si="138"/>
        <v>28.786125041838993</v>
      </c>
      <c r="AI118" s="1428">
        <f t="shared" si="138"/>
        <v>31.964872781644388</v>
      </c>
      <c r="AJ118" s="1425">
        <f t="shared" si="138"/>
        <v>36.254218383244456</v>
      </c>
      <c r="AK118" s="1426">
        <f t="shared" si="138"/>
        <v>40.576993487290146</v>
      </c>
      <c r="AL118" s="1425">
        <f t="shared" si="138"/>
        <v>45.241737408540956</v>
      </c>
      <c r="AM118" s="1425">
        <f t="shared" si="138"/>
        <v>50.045921112461926</v>
      </c>
      <c r="AN118" s="1427">
        <f t="shared" si="138"/>
        <v>56.133683755486807</v>
      </c>
      <c r="AO118" s="1425">
        <f t="shared" si="138"/>
        <v>62.415012585114447</v>
      </c>
      <c r="AP118" s="1428">
        <f t="shared" si="138"/>
        <v>69.281499724640867</v>
      </c>
      <c r="AQ118" s="1428">
        <f t="shared" si="138"/>
        <v>76.353822087503232</v>
      </c>
      <c r="AR118" s="1425">
        <f t="shared" si="138"/>
        <v>85.313047521976188</v>
      </c>
      <c r="AS118" s="1426">
        <f t="shared" si="138"/>
        <v>94.497712840291385</v>
      </c>
      <c r="AT118" s="1425">
        <f t="shared" si="138"/>
        <v>104.43140846175362</v>
      </c>
      <c r="AU118" s="1425">
        <f t="shared" si="138"/>
        <v>114.66354200998506</v>
      </c>
      <c r="AV118" s="1427">
        <f t="shared" si="138"/>
        <v>127.6217544306345</v>
      </c>
      <c r="AW118" s="1425">
        <f t="shared" si="138"/>
        <v>140.90533609690075</v>
      </c>
      <c r="AX118" s="1428">
        <f t="shared" si="138"/>
        <v>155.16134722388051</v>
      </c>
      <c r="AY118" s="1428">
        <f t="shared" si="138"/>
        <v>169.85879903557694</v>
      </c>
      <c r="AZ118" s="1428">
        <f t="shared" si="138"/>
        <v>188.44781710908694</v>
      </c>
    </row>
    <row r="119" spans="2:52" outlineLevel="1" x14ac:dyDescent="0.25">
      <c r="D119" s="1373" t="s">
        <v>1281</v>
      </c>
      <c r="E119" s="377"/>
      <c r="F119" s="377"/>
      <c r="G119" s="1360">
        <f t="shared" ref="G119:O119" si="139">G95+G108</f>
        <v>0.6869534100000001</v>
      </c>
      <c r="H119" s="1360">
        <f t="shared" si="139"/>
        <v>2.5218408599999997</v>
      </c>
      <c r="I119" s="1361">
        <f t="shared" si="139"/>
        <v>5.0778216700000005</v>
      </c>
      <c r="J119" s="1360">
        <f t="shared" si="139"/>
        <v>8.9480006150281444</v>
      </c>
      <c r="K119" s="1360">
        <f t="shared" si="139"/>
        <v>14.306467478327324</v>
      </c>
      <c r="L119" s="1360">
        <f t="shared" si="139"/>
        <v>17.938722828583355</v>
      </c>
      <c r="M119" s="1360">
        <f t="shared" si="139"/>
        <v>18.133385080934634</v>
      </c>
      <c r="N119" s="1360">
        <f t="shared" si="139"/>
        <v>15.344718409996748</v>
      </c>
      <c r="O119" s="1360">
        <f t="shared" si="139"/>
        <v>12.984910541036003</v>
      </c>
      <c r="P119" s="1697"/>
      <c r="Q119" s="1429">
        <f t="shared" ref="Q119:AZ119" si="140">Q95+Q108</f>
        <v>3.2993509999999962E-2</v>
      </c>
      <c r="R119" s="1429">
        <f t="shared" si="140"/>
        <v>0.15324351999999994</v>
      </c>
      <c r="S119" s="1429">
        <f t="shared" si="140"/>
        <v>0.24518747000000002</v>
      </c>
      <c r="T119" s="1430">
        <f t="shared" si="140"/>
        <v>0.25552891000000011</v>
      </c>
      <c r="U119" s="1431">
        <f t="shared" si="140"/>
        <v>0.57984339999999979</v>
      </c>
      <c r="V119" s="1430">
        <f t="shared" si="140"/>
        <v>0.66256955999999967</v>
      </c>
      <c r="W119" s="1430">
        <f t="shared" si="140"/>
        <v>0.65004453999999967</v>
      </c>
      <c r="X119" s="1432">
        <f t="shared" si="140"/>
        <v>0.6293833600000005</v>
      </c>
      <c r="Y119" s="1430">
        <f t="shared" si="140"/>
        <v>0.99320273999999953</v>
      </c>
      <c r="Z119" s="1429">
        <f t="shared" si="140"/>
        <v>1.1967381699999993</v>
      </c>
      <c r="AA119" s="1429">
        <f t="shared" si="140"/>
        <v>1.3024313200000008</v>
      </c>
      <c r="AB119" s="1430">
        <f t="shared" si="140"/>
        <v>1.5854494400000001</v>
      </c>
      <c r="AC119" s="1431">
        <f t="shared" si="140"/>
        <v>1.8413656199999999</v>
      </c>
      <c r="AD119" s="1430">
        <f t="shared" si="140"/>
        <v>2.0491539400000018</v>
      </c>
      <c r="AE119" s="1430">
        <f t="shared" si="140"/>
        <v>2.2152870699999996</v>
      </c>
      <c r="AF119" s="1432">
        <f t="shared" si="140"/>
        <v>2.8421939850281439</v>
      </c>
      <c r="AG119" s="1430">
        <f t="shared" si="140"/>
        <v>3.2966847842109113</v>
      </c>
      <c r="AH119" s="1429">
        <f t="shared" si="140"/>
        <v>3.4961035427400695</v>
      </c>
      <c r="AI119" s="1429">
        <f t="shared" si="140"/>
        <v>3.6336611881303358</v>
      </c>
      <c r="AJ119" s="1430">
        <f t="shared" si="140"/>
        <v>3.8800179632460079</v>
      </c>
      <c r="AK119" s="1431">
        <f t="shared" si="140"/>
        <v>4.3221275351874251</v>
      </c>
      <c r="AL119" s="1430">
        <f t="shared" si="140"/>
        <v>4.4470171288885574</v>
      </c>
      <c r="AM119" s="1430">
        <f t="shared" si="140"/>
        <v>4.4944242736355156</v>
      </c>
      <c r="AN119" s="1432">
        <f t="shared" si="140"/>
        <v>4.675153890871858</v>
      </c>
      <c r="AO119" s="1430">
        <f t="shared" si="140"/>
        <v>4.821042531108974</v>
      </c>
      <c r="AP119" s="1429">
        <f t="shared" si="140"/>
        <v>4.6239270369138268</v>
      </c>
      <c r="AQ119" s="1429">
        <f t="shared" si="140"/>
        <v>4.4348709028676687</v>
      </c>
      <c r="AR119" s="1430">
        <f t="shared" si="140"/>
        <v>4.2535446100441643</v>
      </c>
      <c r="AS119" s="1431">
        <f t="shared" si="140"/>
        <v>4.0796321123883734</v>
      </c>
      <c r="AT119" s="1430">
        <f t="shared" si="140"/>
        <v>3.9128302858583663</v>
      </c>
      <c r="AU119" s="1430">
        <f t="shared" si="140"/>
        <v>3.7528484000895035</v>
      </c>
      <c r="AV119" s="1432">
        <f t="shared" si="140"/>
        <v>3.5994076116605029</v>
      </c>
      <c r="AW119" s="1430">
        <f t="shared" si="140"/>
        <v>3.4522404780780849</v>
      </c>
      <c r="AX119" s="1429">
        <f t="shared" si="140"/>
        <v>3.3110904916330748</v>
      </c>
      <c r="AY119" s="1429">
        <f t="shared" si="140"/>
        <v>3.1757116323154886</v>
      </c>
      <c r="AZ119" s="1429">
        <f t="shared" si="140"/>
        <v>3.0458679390093542</v>
      </c>
    </row>
    <row r="120" spans="2:52" outlineLevel="1" x14ac:dyDescent="0.25">
      <c r="D120" s="1710" t="s">
        <v>1282</v>
      </c>
      <c r="E120" s="1703"/>
      <c r="F120" s="1703"/>
      <c r="G120" s="1375">
        <f t="shared" ref="G120:O120" si="141">G96+G109</f>
        <v>0</v>
      </c>
      <c r="H120" s="1375">
        <f t="shared" si="141"/>
        <v>0</v>
      </c>
      <c r="I120" s="1378">
        <f t="shared" si="141"/>
        <v>0</v>
      </c>
      <c r="J120" s="1375">
        <f t="shared" si="141"/>
        <v>0</v>
      </c>
      <c r="K120" s="1375">
        <f t="shared" si="141"/>
        <v>2.4051130363028188E-2</v>
      </c>
      <c r="L120" s="1375">
        <f t="shared" si="141"/>
        <v>1.2103817761706255</v>
      </c>
      <c r="M120" s="1375">
        <f t="shared" si="141"/>
        <v>9.4840514425061553</v>
      </c>
      <c r="N120" s="1375">
        <f t="shared" si="141"/>
        <v>28.534649804864863</v>
      </c>
      <c r="O120" s="1375">
        <f t="shared" si="141"/>
        <v>60.805460795423883</v>
      </c>
      <c r="P120" s="1697"/>
      <c r="Q120" s="1433">
        <f t="shared" ref="Q120:AZ120" si="142">Q96+Q109</f>
        <v>0</v>
      </c>
      <c r="R120" s="1433">
        <f t="shared" si="142"/>
        <v>0</v>
      </c>
      <c r="S120" s="1433">
        <f t="shared" si="142"/>
        <v>0</v>
      </c>
      <c r="T120" s="1433">
        <f t="shared" si="142"/>
        <v>0</v>
      </c>
      <c r="U120" s="1434">
        <f t="shared" si="142"/>
        <v>0</v>
      </c>
      <c r="V120" s="1433">
        <f t="shared" si="142"/>
        <v>0</v>
      </c>
      <c r="W120" s="1433">
        <f t="shared" si="142"/>
        <v>0</v>
      </c>
      <c r="X120" s="1435">
        <f t="shared" si="142"/>
        <v>0</v>
      </c>
      <c r="Y120" s="1433">
        <f t="shared" si="142"/>
        <v>0</v>
      </c>
      <c r="Z120" s="1433">
        <f t="shared" si="142"/>
        <v>0</v>
      </c>
      <c r="AA120" s="1433">
        <f t="shared" si="142"/>
        <v>0</v>
      </c>
      <c r="AB120" s="1433">
        <f t="shared" si="142"/>
        <v>0</v>
      </c>
      <c r="AC120" s="1434">
        <f t="shared" si="142"/>
        <v>0</v>
      </c>
      <c r="AD120" s="1433">
        <f t="shared" si="142"/>
        <v>0</v>
      </c>
      <c r="AE120" s="1433">
        <f t="shared" si="142"/>
        <v>0</v>
      </c>
      <c r="AF120" s="1435">
        <f t="shared" si="142"/>
        <v>0</v>
      </c>
      <c r="AG120" s="1433">
        <f t="shared" si="142"/>
        <v>7.9142955021053486E-4</v>
      </c>
      <c r="AH120" s="1433">
        <f t="shared" si="142"/>
        <v>2.6949963173660595E-3</v>
      </c>
      <c r="AI120" s="1433">
        <f t="shared" si="142"/>
        <v>4.7119029690906953E-3</v>
      </c>
      <c r="AJ120" s="1433">
        <f t="shared" si="142"/>
        <v>1.5852801526360899E-2</v>
      </c>
      <c r="AK120" s="1434">
        <f t="shared" si="142"/>
        <v>7.2788805885861951E-2</v>
      </c>
      <c r="AL120" s="1433">
        <f t="shared" si="142"/>
        <v>0.19136735561338419</v>
      </c>
      <c r="AM120" s="1433">
        <f t="shared" si="142"/>
        <v>0.34409553505164814</v>
      </c>
      <c r="AN120" s="1435">
        <f t="shared" si="142"/>
        <v>0.60213007961973108</v>
      </c>
      <c r="AO120" s="1433">
        <f t="shared" si="142"/>
        <v>1.0723216461251122</v>
      </c>
      <c r="AP120" s="1433">
        <f t="shared" si="142"/>
        <v>1.8875449248426437</v>
      </c>
      <c r="AQ120" s="1433">
        <f t="shared" si="142"/>
        <v>2.7210415956272396</v>
      </c>
      <c r="AR120" s="1433">
        <f t="shared" si="142"/>
        <v>3.8031432759111592</v>
      </c>
      <c r="AS120" s="1434">
        <f t="shared" si="142"/>
        <v>4.8987844499640065</v>
      </c>
      <c r="AT120" s="1433">
        <f t="shared" si="142"/>
        <v>6.3060341654287964</v>
      </c>
      <c r="AU120" s="1433">
        <f t="shared" si="142"/>
        <v>7.7318401933695178</v>
      </c>
      <c r="AV120" s="1435">
        <f t="shared" si="142"/>
        <v>9.5979909961025438</v>
      </c>
      <c r="AW120" s="1433">
        <f t="shared" si="142"/>
        <v>11.440894664579409</v>
      </c>
      <c r="AX120" s="1433">
        <f t="shared" si="142"/>
        <v>13.812530710102598</v>
      </c>
      <c r="AY120" s="1433">
        <f t="shared" si="142"/>
        <v>16.205817742243639</v>
      </c>
      <c r="AZ120" s="1433">
        <f t="shared" si="142"/>
        <v>19.346217678498245</v>
      </c>
    </row>
    <row r="121" spans="2:52" outlineLevel="1" x14ac:dyDescent="0.25">
      <c r="D121" s="1424" t="s">
        <v>1283</v>
      </c>
      <c r="E121" s="1424"/>
      <c r="F121" s="1424"/>
      <c r="G121" s="1376">
        <f t="shared" ref="G121:O121" si="143">G97+G110</f>
        <v>13.201425879999999</v>
      </c>
      <c r="H121" s="1376">
        <f t="shared" si="143"/>
        <v>27.367612579999996</v>
      </c>
      <c r="I121" s="1377">
        <f t="shared" si="143"/>
        <v>47.250611816000003</v>
      </c>
      <c r="J121" s="1376">
        <f t="shared" si="143"/>
        <v>75.815673720070066</v>
      </c>
      <c r="K121" s="1376">
        <f t="shared" si="143"/>
        <v>137.13273346638314</v>
      </c>
      <c r="L121" s="1376">
        <f t="shared" si="143"/>
        <v>211.14744036853392</v>
      </c>
      <c r="M121" s="1376">
        <f t="shared" si="143"/>
        <v>320.98081844267551</v>
      </c>
      <c r="N121" s="1376">
        <f t="shared" si="143"/>
        <v>485.09378595752622</v>
      </c>
      <c r="O121" s="1376">
        <f t="shared" si="143"/>
        <v>728.16367080190503</v>
      </c>
      <c r="P121" s="1514"/>
      <c r="Q121" s="1425">
        <f t="shared" ref="Q121:AZ121" si="144">Q97+Q110</f>
        <v>2.31827403</v>
      </c>
      <c r="R121" s="1425">
        <f t="shared" si="144"/>
        <v>3.0976396200000003</v>
      </c>
      <c r="S121" s="1425">
        <f t="shared" si="144"/>
        <v>3.4458960700000003</v>
      </c>
      <c r="T121" s="1425">
        <f t="shared" si="144"/>
        <v>4.3396161600000003</v>
      </c>
      <c r="U121" s="1426">
        <f t="shared" si="144"/>
        <v>5.6713673</v>
      </c>
      <c r="V121" s="1425">
        <f t="shared" si="144"/>
        <v>6.4866468800000003</v>
      </c>
      <c r="W121" s="1425">
        <f t="shared" si="144"/>
        <v>6.9579094300000008</v>
      </c>
      <c r="X121" s="1427">
        <f t="shared" si="144"/>
        <v>8.25168897</v>
      </c>
      <c r="Y121" s="1425">
        <f t="shared" si="144"/>
        <v>9.71588165</v>
      </c>
      <c r="Z121" s="1425">
        <f t="shared" si="144"/>
        <v>11.069108863999997</v>
      </c>
      <c r="AA121" s="1425">
        <f t="shared" si="144"/>
        <v>12.151376515999999</v>
      </c>
      <c r="AB121" s="1425">
        <f t="shared" si="144"/>
        <v>14.314244786000003</v>
      </c>
      <c r="AC121" s="1426">
        <f t="shared" si="144"/>
        <v>15.534137390000001</v>
      </c>
      <c r="AD121" s="1425">
        <f t="shared" si="144"/>
        <v>17.419704633020974</v>
      </c>
      <c r="AE121" s="1425">
        <f t="shared" si="144"/>
        <v>19.56628335648908</v>
      </c>
      <c r="AF121" s="1427">
        <f t="shared" si="144"/>
        <v>23.295548340560028</v>
      </c>
      <c r="AG121" s="1425">
        <f t="shared" si="144"/>
        <v>29.094474864726017</v>
      </c>
      <c r="AH121" s="1425">
        <f t="shared" si="144"/>
        <v>32.284923580896425</v>
      </c>
      <c r="AI121" s="1425">
        <f t="shared" si="144"/>
        <v>35.603245872743813</v>
      </c>
      <c r="AJ121" s="1425">
        <f t="shared" si="144"/>
        <v>40.150089148016832</v>
      </c>
      <c r="AK121" s="1426">
        <f t="shared" si="144"/>
        <v>44.97190982836343</v>
      </c>
      <c r="AL121" s="1425">
        <f t="shared" si="144"/>
        <v>49.880121893042904</v>
      </c>
      <c r="AM121" s="1425">
        <f t="shared" si="144"/>
        <v>54.884440921149093</v>
      </c>
      <c r="AN121" s="1427">
        <f t="shared" si="144"/>
        <v>61.410967725978388</v>
      </c>
      <c r="AO121" s="1425">
        <f t="shared" si="144"/>
        <v>68.30837676234853</v>
      </c>
      <c r="AP121" s="1425">
        <f t="shared" si="144"/>
        <v>75.792971686397323</v>
      </c>
      <c r="AQ121" s="1425">
        <f t="shared" si="144"/>
        <v>83.509734585998132</v>
      </c>
      <c r="AR121" s="1425">
        <f t="shared" si="144"/>
        <v>93.369735407931501</v>
      </c>
      <c r="AS121" s="1426">
        <f t="shared" si="144"/>
        <v>103.47612940264375</v>
      </c>
      <c r="AT121" s="1425">
        <f t="shared" si="144"/>
        <v>114.65027291304078</v>
      </c>
      <c r="AU121" s="1425">
        <f t="shared" si="144"/>
        <v>126.14823060344408</v>
      </c>
      <c r="AV121" s="1427">
        <f t="shared" si="144"/>
        <v>140.81915303839753</v>
      </c>
      <c r="AW121" s="1425">
        <f t="shared" si="144"/>
        <v>155.79847123955827</v>
      </c>
      <c r="AX121" s="1425">
        <f t="shared" si="144"/>
        <v>172.28496842561617</v>
      </c>
      <c r="AY121" s="1425">
        <f t="shared" si="144"/>
        <v>189.2403284101361</v>
      </c>
      <c r="AZ121" s="1425">
        <f t="shared" si="144"/>
        <v>210.83990272659454</v>
      </c>
    </row>
    <row r="122" spans="2:52" outlineLevel="1" x14ac:dyDescent="0.25">
      <c r="D122" s="1711" t="s">
        <v>1284</v>
      </c>
      <c r="E122" s="1711"/>
      <c r="F122" s="1711"/>
      <c r="G122" s="1436">
        <f t="shared" ref="G122:O122" si="145">SUM(G98:G99,G111)</f>
        <v>0.29910786999999994</v>
      </c>
      <c r="H122" s="1436">
        <f t="shared" si="145"/>
        <v>0.30753965000000028</v>
      </c>
      <c r="I122" s="1437">
        <f t="shared" si="145"/>
        <v>1.0281426900000001</v>
      </c>
      <c r="J122" s="1436">
        <f t="shared" si="145"/>
        <v>0.7362039838479264</v>
      </c>
      <c r="K122" s="1436">
        <f t="shared" si="145"/>
        <v>2.3624999999999989</v>
      </c>
      <c r="L122" s="1436">
        <f t="shared" si="145"/>
        <v>3.4846874999999979</v>
      </c>
      <c r="M122" s="1436">
        <f t="shared" si="145"/>
        <v>5.0527968749999985</v>
      </c>
      <c r="N122" s="1436">
        <f t="shared" si="145"/>
        <v>7.2002355468749997</v>
      </c>
      <c r="O122" s="1436">
        <f t="shared" si="145"/>
        <v>9.0722967890624986</v>
      </c>
      <c r="P122" s="1697"/>
      <c r="Q122" s="1438">
        <f t="shared" ref="Q122:AZ122" si="146">SUM(Q98:Q99,Q111)</f>
        <v>-9.1967099999999996E-2</v>
      </c>
      <c r="R122" s="1438">
        <f t="shared" si="146"/>
        <v>5.8052710000000007E-2</v>
      </c>
      <c r="S122" s="1438">
        <f t="shared" si="146"/>
        <v>0.14939806999999994</v>
      </c>
      <c r="T122" s="1438">
        <f t="shared" si="146"/>
        <v>0.18362419000000008</v>
      </c>
      <c r="U122" s="1439">
        <f t="shared" si="146"/>
        <v>4.2062550000000032E-2</v>
      </c>
      <c r="V122" s="1438">
        <f t="shared" si="146"/>
        <v>5.8009499999999159E-3</v>
      </c>
      <c r="W122" s="1438">
        <f t="shared" si="146"/>
        <v>-9.5675299999999908E-3</v>
      </c>
      <c r="X122" s="1440">
        <f t="shared" si="146"/>
        <v>0.26924367999999999</v>
      </c>
      <c r="Y122" s="1438">
        <f t="shared" si="146"/>
        <v>0.17176284000000008</v>
      </c>
      <c r="Z122" s="1438">
        <f t="shared" si="146"/>
        <v>9.0060009999999968E-2</v>
      </c>
      <c r="AA122" s="1438">
        <f t="shared" si="146"/>
        <v>0.40879051999999994</v>
      </c>
      <c r="AB122" s="1438">
        <f t="shared" si="146"/>
        <v>0.35752932000000004</v>
      </c>
      <c r="AC122" s="1439">
        <f t="shared" si="146"/>
        <v>0.43310473111199999</v>
      </c>
      <c r="AD122" s="1438">
        <f t="shared" si="146"/>
        <v>0.16107794291793753</v>
      </c>
      <c r="AE122" s="1438">
        <f t="shared" si="146"/>
        <v>0.20516639825030447</v>
      </c>
      <c r="AF122" s="1440">
        <f t="shared" si="146"/>
        <v>-6.3145088432314811E-2</v>
      </c>
      <c r="AG122" s="1438">
        <f t="shared" si="146"/>
        <v>-8.8951338556656712E-2</v>
      </c>
      <c r="AH122" s="1438">
        <f t="shared" si="146"/>
        <v>0.46469217499390458</v>
      </c>
      <c r="AI122" s="1438">
        <f t="shared" si="146"/>
        <v>0.33390463369637891</v>
      </c>
      <c r="AJ122" s="1438">
        <f t="shared" si="146"/>
        <v>1.6528545298663744</v>
      </c>
      <c r="AK122" s="1439">
        <f t="shared" si="146"/>
        <v>0.20211031353599784</v>
      </c>
      <c r="AL122" s="1438">
        <f t="shared" si="146"/>
        <v>0.95430895196777366</v>
      </c>
      <c r="AM122" s="1438">
        <f t="shared" si="146"/>
        <v>0.43270259085039164</v>
      </c>
      <c r="AN122" s="1440">
        <f t="shared" si="146"/>
        <v>1.8955656436458344</v>
      </c>
      <c r="AO122" s="1438">
        <f t="shared" si="146"/>
        <v>3.8388563683047217E-2</v>
      </c>
      <c r="AP122" s="1438">
        <f t="shared" si="146"/>
        <v>1.320080132617238</v>
      </c>
      <c r="AQ122" s="1438">
        <f t="shared" si="146"/>
        <v>0.69108660446910353</v>
      </c>
      <c r="AR122" s="1438">
        <f t="shared" si="146"/>
        <v>3.0032415742306116</v>
      </c>
      <c r="AS122" s="1439">
        <f t="shared" si="146"/>
        <v>0.20542009372956826</v>
      </c>
      <c r="AT122" s="1438">
        <f t="shared" si="146"/>
        <v>1.9187932865998709</v>
      </c>
      <c r="AU122" s="1438">
        <f t="shared" si="146"/>
        <v>0.94711931374817127</v>
      </c>
      <c r="AV122" s="1440">
        <f t="shared" si="146"/>
        <v>4.1289028527973937</v>
      </c>
      <c r="AW122" s="1438">
        <f t="shared" si="146"/>
        <v>-0.52647804451749103</v>
      </c>
      <c r="AX122" s="1438">
        <f t="shared" si="146"/>
        <v>2.2213527004616491</v>
      </c>
      <c r="AY122" s="1438">
        <f t="shared" si="146"/>
        <v>1.3896971759768757</v>
      </c>
      <c r="AZ122" s="1438">
        <f t="shared" si="146"/>
        <v>5.9877249571414577</v>
      </c>
    </row>
    <row r="123" spans="2:52" s="1" customFormat="1" x14ac:dyDescent="0.25">
      <c r="D123" s="1389" t="s">
        <v>1285</v>
      </c>
      <c r="E123" s="1413"/>
      <c r="F123" s="1413"/>
      <c r="G123" s="1379">
        <f>SUM(G121:G122)</f>
        <v>13.500533749999999</v>
      </c>
      <c r="H123" s="1379">
        <f t="shared" ref="H123" si="147">SUM(H121:H122)</f>
        <v>27.675152229999995</v>
      </c>
      <c r="I123" s="1380">
        <f t="shared" ref="I123" si="148">SUM(I121:I122)</f>
        <v>48.278754506000006</v>
      </c>
      <c r="J123" s="1379">
        <f t="shared" ref="J123" si="149">SUM(J121:J122)</f>
        <v>76.551877703917995</v>
      </c>
      <c r="K123" s="1379">
        <f t="shared" ref="K123" si="150">SUM(K121:K122)</f>
        <v>139.49523346638316</v>
      </c>
      <c r="L123" s="1379">
        <f t="shared" ref="L123" si="151">SUM(L121:L122)</f>
        <v>214.63212786853393</v>
      </c>
      <c r="M123" s="1379">
        <f t="shared" ref="M123" si="152">SUM(M121:M122)</f>
        <v>326.03361531767553</v>
      </c>
      <c r="N123" s="1379">
        <f t="shared" ref="N123" si="153">SUM(N121:N122)</f>
        <v>492.2940215044012</v>
      </c>
      <c r="O123" s="1379">
        <f t="shared" ref="O123" si="154">SUM(O121:O122)</f>
        <v>737.23596759096756</v>
      </c>
      <c r="P123" s="1515"/>
      <c r="Q123" s="1332">
        <f t="shared" ref="Q123" si="155">SUM(Q121:Q122)</f>
        <v>2.2263069299999998</v>
      </c>
      <c r="R123" s="1332">
        <f t="shared" ref="R123" si="156">SUM(R121:R122)</f>
        <v>3.1556923300000004</v>
      </c>
      <c r="S123" s="1332">
        <f t="shared" ref="S123" si="157">SUM(S121:S122)</f>
        <v>3.59529414</v>
      </c>
      <c r="T123" s="1332">
        <f t="shared" ref="T123" si="158">SUM(T121:T122)</f>
        <v>4.52324035</v>
      </c>
      <c r="U123" s="1351">
        <f t="shared" ref="U123" si="159">SUM(U121:U122)</f>
        <v>5.7134298499999998</v>
      </c>
      <c r="V123" s="1332">
        <f t="shared" ref="V123" si="160">SUM(V121:V122)</f>
        <v>6.4924478300000006</v>
      </c>
      <c r="W123" s="1332">
        <f t="shared" ref="W123" si="161">SUM(W121:W122)</f>
        <v>6.9483419000000008</v>
      </c>
      <c r="X123" s="1331">
        <f t="shared" ref="X123" si="162">SUM(X121:X122)</f>
        <v>8.5209326500000007</v>
      </c>
      <c r="Y123" s="1332">
        <f t="shared" ref="Y123" si="163">SUM(Y121:Y122)</f>
        <v>9.8876444899999996</v>
      </c>
      <c r="Z123" s="1332">
        <f t="shared" ref="Z123" si="164">SUM(Z121:Z122)</f>
        <v>11.159168873999997</v>
      </c>
      <c r="AA123" s="1332">
        <f t="shared" ref="AA123" si="165">SUM(AA121:AA122)</f>
        <v>12.560167035999999</v>
      </c>
      <c r="AB123" s="1332">
        <f t="shared" ref="AB123" si="166">SUM(AB121:AB122)</f>
        <v>14.671774106000003</v>
      </c>
      <c r="AC123" s="1351">
        <f t="shared" ref="AC123" si="167">SUM(AC121:AC122)</f>
        <v>15.967242121112001</v>
      </c>
      <c r="AD123" s="1332">
        <f t="shared" ref="AD123" si="168">SUM(AD121:AD122)</f>
        <v>17.580782575938912</v>
      </c>
      <c r="AE123" s="1332">
        <f t="shared" ref="AE123" si="169">SUM(AE121:AE122)</f>
        <v>19.771449754739386</v>
      </c>
      <c r="AF123" s="1331">
        <f t="shared" ref="AF123" si="170">SUM(AF121:AF122)</f>
        <v>23.232403252127714</v>
      </c>
      <c r="AG123" s="1332">
        <f t="shared" ref="AG123" si="171">SUM(AG121:AG122)</f>
        <v>29.005523526169359</v>
      </c>
      <c r="AH123" s="1332">
        <f t="shared" ref="AH123" si="172">SUM(AH121:AH122)</f>
        <v>32.749615755890332</v>
      </c>
      <c r="AI123" s="1332">
        <f t="shared" ref="AI123" si="173">SUM(AI121:AI122)</f>
        <v>35.93715050644019</v>
      </c>
      <c r="AJ123" s="1332">
        <f t="shared" ref="AJ123" si="174">SUM(AJ121:AJ122)</f>
        <v>41.802943677883206</v>
      </c>
      <c r="AK123" s="1351">
        <f t="shared" ref="AK123" si="175">SUM(AK121:AK122)</f>
        <v>45.174020141899426</v>
      </c>
      <c r="AL123" s="1332">
        <f t="shared" ref="AL123" si="176">SUM(AL121:AL122)</f>
        <v>50.834430845010679</v>
      </c>
      <c r="AM123" s="1332">
        <f t="shared" ref="AM123" si="177">SUM(AM121:AM122)</f>
        <v>55.317143511999483</v>
      </c>
      <c r="AN123" s="1331">
        <f t="shared" ref="AN123" si="178">SUM(AN121:AN122)</f>
        <v>63.306533369624219</v>
      </c>
      <c r="AO123" s="1332">
        <f t="shared" ref="AO123" si="179">SUM(AO121:AO122)</f>
        <v>68.346765326031573</v>
      </c>
      <c r="AP123" s="1332">
        <f t="shared" ref="AP123" si="180">SUM(AP121:AP122)</f>
        <v>77.113051819014558</v>
      </c>
      <c r="AQ123" s="1332">
        <f t="shared" ref="AQ123" si="181">SUM(AQ121:AQ122)</f>
        <v>84.200821190467238</v>
      </c>
      <c r="AR123" s="1332">
        <f t="shared" ref="AR123" si="182">SUM(AR121:AR122)</f>
        <v>96.372976982162115</v>
      </c>
      <c r="AS123" s="1351">
        <f t="shared" ref="AS123" si="183">SUM(AS121:AS122)</f>
        <v>103.68154949637332</v>
      </c>
      <c r="AT123" s="1332">
        <f t="shared" ref="AT123" si="184">SUM(AT121:AT122)</f>
        <v>116.56906619964064</v>
      </c>
      <c r="AU123" s="1332">
        <f t="shared" ref="AU123" si="185">SUM(AU121:AU122)</f>
        <v>127.09534991719225</v>
      </c>
      <c r="AV123" s="1331">
        <f t="shared" ref="AV123" si="186">SUM(AV121:AV122)</f>
        <v>144.94805589119491</v>
      </c>
      <c r="AW123" s="1332">
        <f t="shared" ref="AW123" si="187">SUM(AW121:AW122)</f>
        <v>155.27199319504078</v>
      </c>
      <c r="AX123" s="1332">
        <f t="shared" ref="AX123" si="188">SUM(AX121:AX122)</f>
        <v>174.50632112607781</v>
      </c>
      <c r="AY123" s="1332">
        <f t="shared" ref="AY123" si="189">SUM(AY121:AY122)</f>
        <v>190.63002558611296</v>
      </c>
      <c r="AZ123" s="1332">
        <f t="shared" ref="AZ123" si="190">SUM(AZ121:AZ122)</f>
        <v>216.82762768373601</v>
      </c>
    </row>
    <row r="124" spans="2:52" x14ac:dyDescent="0.25">
      <c r="D124" s="377" t="s">
        <v>1283</v>
      </c>
      <c r="E124" s="377"/>
      <c r="F124" s="377"/>
      <c r="G124" s="1414">
        <f t="shared" ref="G124:O124" si="191">G121/G97</f>
        <v>0.63749495090926667</v>
      </c>
      <c r="H124" s="1414">
        <f t="shared" si="191"/>
        <v>0.62356776989582452</v>
      </c>
      <c r="I124" s="1415">
        <f t="shared" si="191"/>
        <v>0.66634376939120765</v>
      </c>
      <c r="J124" s="1416">
        <f t="shared" si="191"/>
        <v>0.68537677117187912</v>
      </c>
      <c r="K124" s="1414">
        <f t="shared" si="191"/>
        <v>0.75383014473877763</v>
      </c>
      <c r="L124" s="1417">
        <f t="shared" si="191"/>
        <v>0.76411307734934264</v>
      </c>
      <c r="M124" s="1417">
        <f t="shared" si="191"/>
        <v>0.77379706804459136</v>
      </c>
      <c r="N124" s="1417">
        <f t="shared" si="191"/>
        <v>0.78392830298613347</v>
      </c>
      <c r="O124" s="1417">
        <f t="shared" si="191"/>
        <v>0.79637931071855272</v>
      </c>
      <c r="P124" s="1516"/>
      <c r="Q124" s="1414">
        <f t="shared" ref="Q124:AZ124" si="192">Q121/Q97</f>
        <v>0.64869077831475885</v>
      </c>
      <c r="R124" s="1414">
        <f t="shared" si="192"/>
        <v>0.66180224593828929</v>
      </c>
      <c r="S124" s="1414">
        <f t="shared" si="192"/>
        <v>0.60458831064793783</v>
      </c>
      <c r="T124" s="1416">
        <f t="shared" si="192"/>
        <v>0.64249463374404514</v>
      </c>
      <c r="U124" s="1422">
        <f t="shared" si="192"/>
        <v>0.65940585178734512</v>
      </c>
      <c r="V124" s="1416">
        <f t="shared" si="192"/>
        <v>0.64025791272977384</v>
      </c>
      <c r="W124" s="1416">
        <f t="shared" si="192"/>
        <v>0.5870396400614174</v>
      </c>
      <c r="X124" s="1415">
        <f t="shared" si="192"/>
        <v>0.62023233301217662</v>
      </c>
      <c r="Y124" s="1416">
        <f t="shared" si="192"/>
        <v>0.62830568981176216</v>
      </c>
      <c r="Z124" s="1414">
        <f t="shared" si="192"/>
        <v>0.6676622795628413</v>
      </c>
      <c r="AA124" s="1414">
        <f t="shared" si="192"/>
        <v>0.66339224935467944</v>
      </c>
      <c r="AB124" s="1416">
        <f t="shared" si="192"/>
        <v>0.69653300586467559</v>
      </c>
      <c r="AC124" s="1422">
        <f t="shared" si="192"/>
        <v>0.67053246595492921</v>
      </c>
      <c r="AD124" s="1416">
        <f t="shared" si="192"/>
        <v>0.67929731498090751</v>
      </c>
      <c r="AE124" s="1416">
        <f t="shared" si="192"/>
        <v>0.68084271549645292</v>
      </c>
      <c r="AF124" s="1415">
        <f t="shared" si="192"/>
        <v>0.70443017091230986</v>
      </c>
      <c r="AG124" s="1416">
        <f t="shared" si="192"/>
        <v>0.75341698610845509</v>
      </c>
      <c r="AH124" s="1414">
        <f t="shared" si="192"/>
        <v>0.75424343904435243</v>
      </c>
      <c r="AI124" s="1414">
        <f t="shared" si="192"/>
        <v>0.75299003932818043</v>
      </c>
      <c r="AJ124" s="1416">
        <f t="shared" si="192"/>
        <v>0.75454402434241985</v>
      </c>
      <c r="AK124" s="1422">
        <f t="shared" si="192"/>
        <v>0.7642605858224446</v>
      </c>
      <c r="AL124" s="1416">
        <f t="shared" si="192"/>
        <v>0.76466563963316647</v>
      </c>
      <c r="AM124" s="1416">
        <f t="shared" si="192"/>
        <v>0.76324525520532993</v>
      </c>
      <c r="AN124" s="1415">
        <f t="shared" si="192"/>
        <v>0.76433312867790426</v>
      </c>
      <c r="AO124" s="1416">
        <f t="shared" si="192"/>
        <v>0.77179596222639946</v>
      </c>
      <c r="AP124" s="1414">
        <f t="shared" si="192"/>
        <v>0.77321600003970348</v>
      </c>
      <c r="AQ124" s="1414">
        <f t="shared" si="192"/>
        <v>0.77393456384570514</v>
      </c>
      <c r="AR124" s="1416">
        <f t="shared" si="192"/>
        <v>0.77561821196233594</v>
      </c>
      <c r="AS124" s="1422">
        <f t="shared" si="192"/>
        <v>0.78155120923035559</v>
      </c>
      <c r="AT124" s="1416">
        <f t="shared" si="192"/>
        <v>0.78325692216250209</v>
      </c>
      <c r="AU124" s="1416">
        <f t="shared" si="192"/>
        <v>0.78412849931599993</v>
      </c>
      <c r="AV124" s="1415">
        <f t="shared" si="192"/>
        <v>0.7860538803011472</v>
      </c>
      <c r="AW124" s="1416">
        <f t="shared" si="192"/>
        <v>0.79251313643275334</v>
      </c>
      <c r="AX124" s="1414">
        <f t="shared" si="192"/>
        <v>0.79521224862895534</v>
      </c>
      <c r="AY124" s="1414">
        <f t="shared" si="192"/>
        <v>0.79693358772207068</v>
      </c>
      <c r="AZ124" s="1414">
        <f t="shared" si="192"/>
        <v>0.79972199890459628</v>
      </c>
    </row>
    <row r="125" spans="2:52" x14ac:dyDescent="0.25">
      <c r="D125" s="1711" t="s">
        <v>1284</v>
      </c>
      <c r="E125" s="1711"/>
      <c r="F125" s="1711"/>
      <c r="G125" s="1418">
        <f t="shared" ref="G125:O125" si="193">G122/SUM(G98:G99)</f>
        <v>0.23903769679533279</v>
      </c>
      <c r="H125" s="1418">
        <f t="shared" si="193"/>
        <v>0.11392167496242932</v>
      </c>
      <c r="I125" s="1419">
        <f t="shared" si="193"/>
        <v>0.28699941603166162</v>
      </c>
      <c r="J125" s="1418">
        <f t="shared" si="193"/>
        <v>0.12997366389685627</v>
      </c>
      <c r="K125" s="1418">
        <f t="shared" si="193"/>
        <v>0.1999999999999999</v>
      </c>
      <c r="L125" s="1420">
        <f t="shared" si="193"/>
        <v>0.19999999999999984</v>
      </c>
      <c r="M125" s="1420">
        <f t="shared" si="193"/>
        <v>0.19999999999999993</v>
      </c>
      <c r="N125" s="1420">
        <f t="shared" si="193"/>
        <v>0.2</v>
      </c>
      <c r="O125" s="1420">
        <f t="shared" si="193"/>
        <v>0.1999999999999999</v>
      </c>
      <c r="P125" s="1516"/>
      <c r="Q125" s="1418">
        <f t="shared" ref="Q125:AZ125" si="194">Q122/SUM(Q98:Q99)</f>
        <v>-1.3755997965777191</v>
      </c>
      <c r="R125" s="1418">
        <f t="shared" si="194"/>
        <v>0.25845774045910286</v>
      </c>
      <c r="S125" s="1418">
        <f t="shared" si="194"/>
        <v>0.38017194478020216</v>
      </c>
      <c r="T125" s="1418">
        <f t="shared" si="194"/>
        <v>0.32393388455995087</v>
      </c>
      <c r="U125" s="1423">
        <f t="shared" si="194"/>
        <v>7.7199530150223517E-2</v>
      </c>
      <c r="V125" s="1418">
        <f t="shared" si="194"/>
        <v>9.7159390675899474E-3</v>
      </c>
      <c r="W125" s="1418">
        <f t="shared" si="194"/>
        <v>-1.4721043448290705E-2</v>
      </c>
      <c r="X125" s="1419">
        <f t="shared" si="194"/>
        <v>0.29660913544532069</v>
      </c>
      <c r="Y125" s="1418">
        <f t="shared" si="194"/>
        <v>0.19396285903031477</v>
      </c>
      <c r="Z125" s="1418">
        <f t="shared" si="194"/>
        <v>0.11410559644430475</v>
      </c>
      <c r="AA125" s="1418">
        <f t="shared" si="194"/>
        <v>0.41687115037894545</v>
      </c>
      <c r="AB125" s="1418">
        <f t="shared" si="194"/>
        <v>0.38570257919469753</v>
      </c>
      <c r="AC125" s="1423">
        <f t="shared" si="194"/>
        <v>0.41235175150416764</v>
      </c>
      <c r="AD125" s="1418">
        <f t="shared" si="194"/>
        <v>0.13929234203844124</v>
      </c>
      <c r="AE125" s="1418">
        <f t="shared" si="194"/>
        <v>0.12871937226030034</v>
      </c>
      <c r="AF125" s="1419">
        <f t="shared" si="194"/>
        <v>-3.3883025478606804E-2</v>
      </c>
      <c r="AG125" s="1418">
        <f t="shared" si="194"/>
        <v>-4.2550128142632385E-2</v>
      </c>
      <c r="AH125" s="1418">
        <f t="shared" si="194"/>
        <v>0.16706941506685843</v>
      </c>
      <c r="AI125" s="1418">
        <f t="shared" si="194"/>
        <v>0.12176678871102396</v>
      </c>
      <c r="AJ125" s="1418">
        <f t="shared" si="194"/>
        <v>0.3936871210846582</v>
      </c>
      <c r="AK125" s="1423">
        <f t="shared" si="194"/>
        <v>6.3605019942118299E-2</v>
      </c>
      <c r="AL125" s="1418">
        <f t="shared" si="194"/>
        <v>0.22133044607174698</v>
      </c>
      <c r="AM125" s="1418">
        <f t="shared" si="194"/>
        <v>0.10698031741196423</v>
      </c>
      <c r="AN125" s="1419">
        <f t="shared" si="194"/>
        <v>0.32185692828639789</v>
      </c>
      <c r="AO125" s="1418">
        <f t="shared" si="194"/>
        <v>8.3317605154058071E-3</v>
      </c>
      <c r="AP125" s="1418">
        <f t="shared" si="194"/>
        <v>0.21114677582259736</v>
      </c>
      <c r="AQ125" s="1418">
        <f t="shared" si="194"/>
        <v>0.1178362353880274</v>
      </c>
      <c r="AR125" s="1418">
        <f t="shared" si="194"/>
        <v>0.35167888884979898</v>
      </c>
      <c r="AS125" s="1423">
        <f t="shared" si="194"/>
        <v>3.128693167694898E-2</v>
      </c>
      <c r="AT125" s="1418">
        <f t="shared" si="194"/>
        <v>0.21537608844223602</v>
      </c>
      <c r="AU125" s="1418">
        <f t="shared" si="194"/>
        <v>0.11332773601887777</v>
      </c>
      <c r="AV125" s="1419">
        <f t="shared" si="194"/>
        <v>0.33929372799252511</v>
      </c>
      <c r="AW125" s="1418">
        <f t="shared" si="194"/>
        <v>-6.3639941291024058E-2</v>
      </c>
      <c r="AX125" s="1418">
        <f t="shared" si="194"/>
        <v>0.19788654680645507</v>
      </c>
      <c r="AY125" s="1418">
        <f t="shared" si="194"/>
        <v>0.13197180292126212</v>
      </c>
      <c r="AZ125" s="1418">
        <f t="shared" si="194"/>
        <v>0.39051027450017894</v>
      </c>
    </row>
    <row r="126" spans="2:52" x14ac:dyDescent="0.25">
      <c r="D126" s="1424" t="s">
        <v>1285</v>
      </c>
      <c r="E126" s="1424"/>
      <c r="F126" s="1424"/>
      <c r="G126" s="1416">
        <f t="shared" ref="G126:O126" si="195">G123/G100</f>
        <v>0.6147900770888225</v>
      </c>
      <c r="H126" s="1416">
        <f t="shared" si="195"/>
        <v>0.59403621210234014</v>
      </c>
      <c r="I126" s="1415">
        <f t="shared" si="195"/>
        <v>0.64810092365836225</v>
      </c>
      <c r="J126" s="1416">
        <f t="shared" si="195"/>
        <v>0.65832261256606106</v>
      </c>
      <c r="K126" s="1421">
        <f t="shared" si="195"/>
        <v>0.72006038563018415</v>
      </c>
      <c r="L126" s="1421">
        <f t="shared" si="195"/>
        <v>0.73065377283066324</v>
      </c>
      <c r="M126" s="1421">
        <f t="shared" si="195"/>
        <v>0.74085644186694</v>
      </c>
      <c r="N126" s="1421">
        <f t="shared" si="195"/>
        <v>0.75182367298360997</v>
      </c>
      <c r="O126" s="1421">
        <f t="shared" si="195"/>
        <v>0.76819078262822493</v>
      </c>
      <c r="P126" s="1516"/>
      <c r="Q126" s="1416">
        <f t="shared" ref="Q126:AZ126" si="196">Q123/Q100</f>
        <v>0.61151699724647623</v>
      </c>
      <c r="R126" s="1416">
        <f t="shared" si="196"/>
        <v>0.64333295408460778</v>
      </c>
      <c r="S126" s="1416">
        <f t="shared" si="196"/>
        <v>0.59011325016055416</v>
      </c>
      <c r="T126" s="1416">
        <f t="shared" si="196"/>
        <v>0.61782943014481162</v>
      </c>
      <c r="U126" s="1422">
        <f t="shared" si="196"/>
        <v>0.62472045370943696</v>
      </c>
      <c r="V126" s="1416">
        <f t="shared" si="196"/>
        <v>0.60516696592883545</v>
      </c>
      <c r="W126" s="1416">
        <f t="shared" si="196"/>
        <v>0.55575799483244726</v>
      </c>
      <c r="X126" s="1415">
        <f t="shared" si="196"/>
        <v>0.59956199387980769</v>
      </c>
      <c r="Y126" s="1416">
        <f t="shared" si="196"/>
        <v>0.6047797130145397</v>
      </c>
      <c r="Z126" s="1416">
        <f t="shared" si="196"/>
        <v>0.64250677652161381</v>
      </c>
      <c r="AA126" s="1416">
        <f t="shared" si="196"/>
        <v>0.65086520231426459</v>
      </c>
      <c r="AB126" s="1416">
        <f t="shared" si="196"/>
        <v>0.68311785231837951</v>
      </c>
      <c r="AC126" s="1422">
        <f t="shared" si="196"/>
        <v>0.65933486432799115</v>
      </c>
      <c r="AD126" s="1416">
        <f t="shared" si="196"/>
        <v>0.65599656210785273</v>
      </c>
      <c r="AE126" s="1416">
        <f t="shared" si="196"/>
        <v>0.65182962390745092</v>
      </c>
      <c r="AF126" s="1415">
        <f t="shared" si="196"/>
        <v>0.66504310050829485</v>
      </c>
      <c r="AG126" s="1416">
        <f t="shared" si="196"/>
        <v>0.71254031921242578</v>
      </c>
      <c r="AH126" s="1416">
        <f t="shared" si="196"/>
        <v>0.71841684365287728</v>
      </c>
      <c r="AI126" s="1416">
        <f t="shared" si="196"/>
        <v>0.71838873610913212</v>
      </c>
      <c r="AJ126" s="1416">
        <f t="shared" si="196"/>
        <v>0.72815429165644618</v>
      </c>
      <c r="AK126" s="1422">
        <f t="shared" si="196"/>
        <v>0.72836335043739708</v>
      </c>
      <c r="AL126" s="1416">
        <f t="shared" si="196"/>
        <v>0.73097863522682704</v>
      </c>
      <c r="AM126" s="1416">
        <f t="shared" si="196"/>
        <v>0.7282979143511199</v>
      </c>
      <c r="AN126" s="1415">
        <f t="shared" si="196"/>
        <v>0.73411407226942271</v>
      </c>
      <c r="AO126" s="1416">
        <f t="shared" si="196"/>
        <v>0.73401767076189917</v>
      </c>
      <c r="AP126" s="1416">
        <f t="shared" si="196"/>
        <v>0.73951633920660509</v>
      </c>
      <c r="AQ126" s="1416">
        <f t="shared" si="196"/>
        <v>0.74011221296457408</v>
      </c>
      <c r="AR126" s="1416">
        <f t="shared" si="196"/>
        <v>0.74753642405940257</v>
      </c>
      <c r="AS126" s="1422">
        <f t="shared" si="196"/>
        <v>0.7461032162369583</v>
      </c>
      <c r="AT126" s="1416">
        <f t="shared" si="196"/>
        <v>0.75067644881643092</v>
      </c>
      <c r="AU126" s="1416">
        <f t="shared" si="196"/>
        <v>0.75100215217977717</v>
      </c>
      <c r="AV126" s="1415">
        <f t="shared" si="196"/>
        <v>0.757636643894252</v>
      </c>
      <c r="AW126" s="1416">
        <f t="shared" si="196"/>
        <v>0.75793963180880874</v>
      </c>
      <c r="AX126" s="1416">
        <f t="shared" si="196"/>
        <v>0.7657877087305911</v>
      </c>
      <c r="AY126" s="1416">
        <f t="shared" si="196"/>
        <v>0.76869779146119732</v>
      </c>
      <c r="AZ126" s="1416">
        <f t="shared" si="196"/>
        <v>0.77723078870731521</v>
      </c>
    </row>
    <row r="127" spans="2:52" x14ac:dyDescent="0.25">
      <c r="G127" s="16"/>
      <c r="H127" s="16"/>
      <c r="I127" s="492"/>
      <c r="J127" s="491"/>
      <c r="K127" s="16"/>
      <c r="L127" s="55"/>
      <c r="M127" s="55"/>
      <c r="N127" s="55"/>
      <c r="O127" s="55"/>
      <c r="Q127" s="16"/>
      <c r="R127" s="16"/>
      <c r="S127" s="16"/>
      <c r="T127" s="491"/>
      <c r="U127" s="1301"/>
      <c r="V127" s="491"/>
      <c r="W127" s="491"/>
      <c r="X127" s="492"/>
      <c r="Y127" s="491"/>
      <c r="Z127" s="16"/>
      <c r="AA127" s="16"/>
      <c r="AB127" s="491"/>
      <c r="AC127" s="1301"/>
      <c r="AD127" s="491"/>
      <c r="AE127" s="491"/>
      <c r="AF127" s="492"/>
      <c r="AG127" s="491"/>
      <c r="AH127" s="16"/>
      <c r="AI127" s="16"/>
      <c r="AJ127" s="491"/>
      <c r="AK127" s="1301"/>
      <c r="AL127" s="491"/>
      <c r="AM127" s="491"/>
      <c r="AN127" s="492"/>
      <c r="AO127" s="491"/>
      <c r="AP127" s="16"/>
      <c r="AQ127" s="16"/>
      <c r="AR127" s="491"/>
      <c r="AS127" s="1301"/>
      <c r="AT127" s="491"/>
      <c r="AU127" s="491"/>
      <c r="AV127" s="492"/>
      <c r="AW127" s="491"/>
      <c r="AX127" s="16"/>
      <c r="AY127" s="16"/>
      <c r="AZ127" s="16"/>
    </row>
    <row r="128" spans="2:52" hidden="1" outlineLevel="1" x14ac:dyDescent="0.25">
      <c r="B128" s="292">
        <v>-1</v>
      </c>
      <c r="D128" s="1" t="str">
        <f>Forecast!C42</f>
        <v>Operating Expenses</v>
      </c>
      <c r="E128" s="1"/>
      <c r="F128" s="1"/>
      <c r="I128" s="1689"/>
      <c r="J128" s="373"/>
    </row>
    <row r="129" spans="4:52" hidden="1" outlineLevel="1" x14ac:dyDescent="0.25">
      <c r="D129" s="1371" t="s">
        <v>807</v>
      </c>
      <c r="E129" s="1"/>
      <c r="F129" s="1"/>
      <c r="I129" s="1689"/>
      <c r="J129" s="373"/>
    </row>
    <row r="130" spans="4:52" hidden="1" outlineLevel="1" x14ac:dyDescent="0.25">
      <c r="D130" s="1373" t="str">
        <f>Forecast!C43</f>
        <v>Sales &amp; Marketing</v>
      </c>
      <c r="E130" s="377"/>
      <c r="F130" s="377"/>
      <c r="G130" s="469">
        <f>(Forecast!D43/mm)*-1</f>
        <v>-21.897839319999999</v>
      </c>
      <c r="H130" s="469">
        <f>(Forecast!E43/mm)*-1</f>
        <v>-35.972484089999988</v>
      </c>
      <c r="I130" s="470">
        <f>(Forecast!F43/mm)*-1</f>
        <v>-41.965414965999997</v>
      </c>
      <c r="J130" s="1350">
        <f>(Forecast!G43/mm)*-1</f>
        <v>-78.131728179255489</v>
      </c>
      <c r="K130" s="469">
        <f>(Forecast!H43/mm)*-1</f>
        <v>-107.49991829485127</v>
      </c>
      <c r="L130" s="469">
        <f>(Forecast!I43/mm)*-1</f>
        <v>-152.74498691895647</v>
      </c>
      <c r="M130" s="469">
        <f>(Forecast!J43/mm)*-1</f>
        <v>-205.76416863084327</v>
      </c>
      <c r="N130" s="469">
        <f>(Forecast!K43/mm)*-1</f>
        <v>-272.85145368555015</v>
      </c>
      <c r="O130" s="469">
        <f>(Forecast!L43/mm)*-1</f>
        <v>-397.89291284112915</v>
      </c>
      <c r="P130" s="1709"/>
      <c r="Q130" s="468">
        <f>(Forecast!N43/mm)*-1</f>
        <v>-4.2551056799999998</v>
      </c>
      <c r="R130" s="468">
        <f>(Forecast!O43/mm)*-1</f>
        <v>-4.5419251200000001</v>
      </c>
      <c r="S130" s="468">
        <f>(Forecast!P43/mm)*-1</f>
        <v>-5.7900738700000005</v>
      </c>
      <c r="T130" s="1289">
        <f>(Forecast!Q43/mm)*-1</f>
        <v>-7.3107346500000006</v>
      </c>
      <c r="U130" s="1306">
        <f>(Forecast!R43/mm)*-1</f>
        <v>-7.6227186499999986</v>
      </c>
      <c r="V130" s="1289">
        <f>(Forecast!S43/mm)*-1</f>
        <v>-8.9858398499999996</v>
      </c>
      <c r="W130" s="1289">
        <f>(Forecast!T43/mm)*-1</f>
        <v>-9.2474636500000003</v>
      </c>
      <c r="X130" s="1318">
        <f>(Forecast!U43/mm)*-1</f>
        <v>-10.116461939999999</v>
      </c>
      <c r="Y130" s="1289">
        <f>(Forecast!V43/mm)*-1</f>
        <v>-9.6262741999999992</v>
      </c>
      <c r="Z130" s="468">
        <f>(Forecast!W43/mm)*-1</f>
        <v>-9.9898322239999988</v>
      </c>
      <c r="AA130" s="468">
        <f>(Forecast!X43/mm)*-1</f>
        <v>-10.258787906</v>
      </c>
      <c r="AB130" s="1289">
        <f>(Forecast!Y43/mm)*-1</f>
        <v>-12.090520636000003</v>
      </c>
      <c r="AC130" s="1306">
        <f>(Forecast!Z43/mm)*-1</f>
        <v>-13.9193967</v>
      </c>
      <c r="AD130" s="1289">
        <f>(Forecast!AA43/mm)*-1</f>
        <v>-18.593695905886413</v>
      </c>
      <c r="AE130" s="1289">
        <f>(Forecast!AB43/mm)*-1</f>
        <v>-21.940119888907983</v>
      </c>
      <c r="AF130" s="1318">
        <f>(Forecast!AC43/mm)*-1</f>
        <v>-23.678515684461086</v>
      </c>
      <c r="AG130" s="1289">
        <f>(Forecast!AD43/mm)*-1</f>
        <v>-25.209041573190092</v>
      </c>
      <c r="AH130" s="468">
        <f>(Forecast!AE43/mm)*-1</f>
        <v>-25.85930558628996</v>
      </c>
      <c r="AI130" s="468">
        <f>(Forecast!AF43/mm)*-1</f>
        <v>-27.84926870999918</v>
      </c>
      <c r="AJ130" s="1289">
        <f>(Forecast!AG43/mm)*-1</f>
        <v>-28.582302425372042</v>
      </c>
      <c r="AK130" s="1306">
        <f>(Forecast!AH43/mm)*-1</f>
        <v>-32.596499219090433</v>
      </c>
      <c r="AL130" s="1289">
        <f>(Forecast!AI43/mm)*-1</f>
        <v>-35.907348033131413</v>
      </c>
      <c r="AM130" s="1289">
        <f>(Forecast!AJ43/mm)*-1</f>
        <v>-40.41041192317153</v>
      </c>
      <c r="AN130" s="1318">
        <f>(Forecast!AK43/mm)*-1</f>
        <v>-43.830727743563088</v>
      </c>
      <c r="AO130" s="1289">
        <f>(Forecast!AL43/mm)*-1</f>
        <v>-48.106224106616786</v>
      </c>
      <c r="AP130" s="468">
        <f>(Forecast!AM43/mm)*-1</f>
        <v>-49.329342607542131</v>
      </c>
      <c r="AQ130" s="468">
        <f>(Forecast!AN43/mm)*-1</f>
        <v>-53.473357203628488</v>
      </c>
      <c r="AR130" s="1289">
        <f>(Forecast!AO43/mm)*-1</f>
        <v>-54.855244713055818</v>
      </c>
      <c r="AS130" s="1306">
        <f>(Forecast!AP43/mm)*-1</f>
        <v>-60.619355550919266</v>
      </c>
      <c r="AT130" s="1289">
        <f>(Forecast!AQ43/mm)*-1</f>
        <v>-64.493525858985279</v>
      </c>
      <c r="AU130" s="1289">
        <f>(Forecast!AR43/mm)*-1</f>
        <v>-71.819041208150139</v>
      </c>
      <c r="AV130" s="1318">
        <f>(Forecast!AS43/mm)*-1</f>
        <v>-75.91953106749547</v>
      </c>
      <c r="AW130" s="1289">
        <f>(Forecast!AT43/mm)*-1</f>
        <v>-85.945325756611311</v>
      </c>
      <c r="AX130" s="468">
        <f>(Forecast!AU43/mm)*-1</f>
        <v>-93.548801885912184</v>
      </c>
      <c r="AY130" s="468">
        <f>(Forecast!AV43/mm)*-1</f>
        <v>-105.24337447256416</v>
      </c>
      <c r="AZ130" s="468">
        <f>(Forecast!AW43/mm)*-1</f>
        <v>-113.15541072604148</v>
      </c>
    </row>
    <row r="131" spans="4:52" hidden="1" outlineLevel="1" x14ac:dyDescent="0.25">
      <c r="D131" s="1712" t="str">
        <f>Forecast!C46</f>
        <v>ASC 606 Adjustment</v>
      </c>
      <c r="E131" s="1424"/>
      <c r="F131" s="1424"/>
      <c r="G131" s="1358">
        <f>(Forecast!D46/mm)*-1</f>
        <v>0</v>
      </c>
      <c r="H131" s="1358">
        <f>(Forecast!E46/mm)*-1</f>
        <v>3.8919546654509989</v>
      </c>
      <c r="I131" s="1357">
        <f>(Forecast!F46/mm)*-1</f>
        <v>3.1113271107220117</v>
      </c>
      <c r="J131" s="1358">
        <f>(Forecast!G46/mm)*-1</f>
        <v>10.302434208278834</v>
      </c>
      <c r="K131" s="1358">
        <f>(Forecast!H46/mm)*-1</f>
        <v>19.445888886340402</v>
      </c>
      <c r="L131" s="1358">
        <f>(Forecast!I46/mm)*-1</f>
        <v>30.592555907168016</v>
      </c>
      <c r="M131" s="1358">
        <f>(Forecast!J46/mm)*-1</f>
        <v>43.075904345728731</v>
      </c>
      <c r="N131" s="1358">
        <f>(Forecast!K46/mm)*-1</f>
        <v>56.247628513418945</v>
      </c>
      <c r="O131" s="1358">
        <f>(Forecast!L46/mm)*-1</f>
        <v>74.758817524629833</v>
      </c>
      <c r="P131" s="1697"/>
      <c r="Q131" s="1394">
        <f>(Forecast!N46/mm)*-1</f>
        <v>0</v>
      </c>
      <c r="R131" s="1394">
        <f>(Forecast!O46/mm)*-1</f>
        <v>0</v>
      </c>
      <c r="S131" s="1394">
        <f>(Forecast!P46/mm)*-1</f>
        <v>0</v>
      </c>
      <c r="T131" s="1394">
        <f>(Forecast!Q46/mm)*-1</f>
        <v>0</v>
      </c>
      <c r="U131" s="1395">
        <f>(Forecast!R46/mm)*-1</f>
        <v>0.75475737538199927</v>
      </c>
      <c r="V131" s="1394">
        <f>(Forecast!S46/mm)*-1</f>
        <v>1.2641148702439997</v>
      </c>
      <c r="W131" s="1394">
        <f>(Forecast!T46/mm)*-1</f>
        <v>0.67597099999999999</v>
      </c>
      <c r="X131" s="1396">
        <f>(Forecast!U46/mm)*-1</f>
        <v>1.1971114198250001</v>
      </c>
      <c r="Y131" s="1394">
        <f>(Forecast!V46/mm)*-1</f>
        <v>0.36125162999999993</v>
      </c>
      <c r="Z131" s="1394">
        <f>(Forecast!W46/mm)*-1</f>
        <v>0.93856399999999995</v>
      </c>
      <c r="AA131" s="1394">
        <f>(Forecast!X46/mm)*-1</f>
        <v>0.65929500000000119</v>
      </c>
      <c r="AB131" s="1394">
        <f>(Forecast!Y46/mm)*-1</f>
        <v>1.1522164807220105</v>
      </c>
      <c r="AC131" s="1395">
        <f>(Forecast!Z46/mm)*-1</f>
        <v>0.87072618110277789</v>
      </c>
      <c r="AD131" s="1394">
        <f>(Forecast!AA46/mm)*-1</f>
        <v>2.3422024158939241</v>
      </c>
      <c r="AE131" s="1394">
        <f>(Forecast!AB46/mm)*-1</f>
        <v>3.1911735350808201</v>
      </c>
      <c r="AF131" s="1396">
        <f>(Forecast!AC46/mm)*-1</f>
        <v>3.8983320762013132</v>
      </c>
      <c r="AG131" s="1394">
        <f>(Forecast!AD46/mm)*-1</f>
        <v>2.7294547034360068</v>
      </c>
      <c r="AH131" s="1394">
        <f>(Forecast!AE46/mm)*-1</f>
        <v>4.5147163732379685</v>
      </c>
      <c r="AI131" s="1394">
        <f>(Forecast!AF46/mm)*-1</f>
        <v>4.2093882847354696</v>
      </c>
      <c r="AJ131" s="1394">
        <f>(Forecast!AG46/mm)*-1</f>
        <v>7.9923295249309581</v>
      </c>
      <c r="AK131" s="1395">
        <f>(Forecast!AH46/mm)*-1</f>
        <v>4.8608919904100576</v>
      </c>
      <c r="AL131" s="1394">
        <f>(Forecast!AI46/mm)*-1</f>
        <v>7.6954760573426766</v>
      </c>
      <c r="AM131" s="1394">
        <f>(Forecast!AJ46/mm)*-1</f>
        <v>6.6402090548555606</v>
      </c>
      <c r="AN131" s="1396">
        <f>(Forecast!AK46/mm)*-1</f>
        <v>11.395978804559723</v>
      </c>
      <c r="AO131" s="1394">
        <f>(Forecast!AL46/mm)*-1</f>
        <v>7.2624775085396793</v>
      </c>
      <c r="AP131" s="1394">
        <f>(Forecast!AM46/mm)*-1</f>
        <v>11.062385267232829</v>
      </c>
      <c r="AQ131" s="1394">
        <f>(Forecast!AN46/mm)*-1</f>
        <v>9.1511391195615435</v>
      </c>
      <c r="AR131" s="1394">
        <f>(Forecast!AO46/mm)*-1</f>
        <v>15.599902450394682</v>
      </c>
      <c r="AS131" s="1395">
        <f>(Forecast!AP46/mm)*-1</f>
        <v>9.0651466548579229</v>
      </c>
      <c r="AT131" s="1394">
        <f>(Forecast!AQ46/mm)*-1</f>
        <v>14.480015210995653</v>
      </c>
      <c r="AU131" s="1394">
        <f>(Forecast!AR46/mm)*-1</f>
        <v>11.756489450564075</v>
      </c>
      <c r="AV131" s="1396">
        <f>(Forecast!AS46/mm)*-1</f>
        <v>20.945977197001294</v>
      </c>
      <c r="AW131" s="1394">
        <f>(Forecast!AT46/mm)*-1</f>
        <v>11.276149316138564</v>
      </c>
      <c r="AX131" s="1394">
        <f>(Forecast!AU46/mm)*-1</f>
        <v>19.087416866927427</v>
      </c>
      <c r="AY131" s="1394">
        <f>(Forecast!AV46/mm)*-1</f>
        <v>15.573597477525864</v>
      </c>
      <c r="AZ131" s="1394">
        <f>(Forecast!AW46/mm)*-1</f>
        <v>28.821653864037977</v>
      </c>
    </row>
    <row r="132" spans="4:52" hidden="1" outlineLevel="1" x14ac:dyDescent="0.25">
      <c r="D132" s="1712" t="str">
        <f>Forecast!C44</f>
        <v>R&amp;D</v>
      </c>
      <c r="E132" s="1424"/>
      <c r="F132" s="1424"/>
      <c r="G132" s="1358">
        <f>(Forecast!D44/mm)*-1</f>
        <v>-11.212258129999999</v>
      </c>
      <c r="H132" s="1358">
        <f>(Forecast!E44/mm)*-1</f>
        <v>-18.344354129999999</v>
      </c>
      <c r="I132" s="1357">
        <f>(Forecast!F44/mm)*-1</f>
        <v>-23.430625959999997</v>
      </c>
      <c r="J132" s="1358">
        <f>(Forecast!G44/mm)*-1</f>
        <v>-40.8421250087193</v>
      </c>
      <c r="K132" s="1358">
        <f>(Forecast!H44/mm)*-1</f>
        <v>-64.849449862995655</v>
      </c>
      <c r="L132" s="1358">
        <f>(Forecast!I44/mm)*-1</f>
        <v>-91.582075091912614</v>
      </c>
      <c r="M132" s="1358">
        <f>(Forecast!J44/mm)*-1</f>
        <v>-122.78429496101049</v>
      </c>
      <c r="N132" s="1358">
        <f>(Forecast!K44/mm)*-1</f>
        <v>-159.59375296896459</v>
      </c>
      <c r="O132" s="1358">
        <f>(Forecast!L44/mm)*-1</f>
        <v>-204.27971431497389</v>
      </c>
      <c r="P132" s="1697"/>
      <c r="Q132" s="1394">
        <f>(Forecast!N44/mm)*-1</f>
        <v>-2.3305112700000001</v>
      </c>
      <c r="R132" s="1394">
        <f>(Forecast!O44/mm)*-1</f>
        <v>-2.5348030600000002</v>
      </c>
      <c r="S132" s="1394">
        <f>(Forecast!P44/mm)*-1</f>
        <v>-3.00209131</v>
      </c>
      <c r="T132" s="1394">
        <f>(Forecast!Q44/mm)*-1</f>
        <v>-3.3448524899999996</v>
      </c>
      <c r="U132" s="1395">
        <f>(Forecast!R44/mm)*-1</f>
        <v>-3.8925190399999998</v>
      </c>
      <c r="V132" s="1394">
        <f>(Forecast!S44/mm)*-1</f>
        <v>-4.6165613999999993</v>
      </c>
      <c r="W132" s="1394">
        <f>(Forecast!T44/mm)*-1</f>
        <v>-4.9712725399999993</v>
      </c>
      <c r="X132" s="1396">
        <f>(Forecast!U44/mm)*-1</f>
        <v>-4.86400115</v>
      </c>
      <c r="Y132" s="1394">
        <f>(Forecast!V44/mm)*-1</f>
        <v>-5.0866170799999999</v>
      </c>
      <c r="Z132" s="1394">
        <f>(Forecast!W44/mm)*-1</f>
        <v>-5.8725936299999999</v>
      </c>
      <c r="AA132" s="1394">
        <f>(Forecast!X44/mm)*-1</f>
        <v>-6.1075997199999996</v>
      </c>
      <c r="AB132" s="1394">
        <f>(Forecast!Y44/mm)*-1</f>
        <v>-6.3638155299999992</v>
      </c>
      <c r="AC132" s="1395">
        <f>(Forecast!Z44/mm)*-1</f>
        <v>-8.1129194200000008</v>
      </c>
      <c r="AD132" s="1394">
        <f>(Forecast!AA44/mm)*-1</f>
        <v>-9.2114860650891774</v>
      </c>
      <c r="AE132" s="1394">
        <f>(Forecast!AB44/mm)*-1</f>
        <v>-10.824143673175518</v>
      </c>
      <c r="AF132" s="1396">
        <f>(Forecast!AC44/mm)*-1</f>
        <v>-12.693575850454602</v>
      </c>
      <c r="AG132" s="1394">
        <f>(Forecast!AD44/mm)*-1</f>
        <v>-14.450121402541447</v>
      </c>
      <c r="AH132" s="1394">
        <f>(Forecast!AE44/mm)*-1</f>
        <v>-15.001501287402686</v>
      </c>
      <c r="AI132" s="1394">
        <f>(Forecast!AF44/mm)*-1</f>
        <v>-16.661484517079376</v>
      </c>
      <c r="AJ132" s="1394">
        <f>(Forecast!AG44/mm)*-1</f>
        <v>-18.736342655972141</v>
      </c>
      <c r="AK132" s="1395">
        <f>(Forecast!AH44/mm)*-1</f>
        <v>-20.683087497624896</v>
      </c>
      <c r="AL132" s="1394">
        <f>(Forecast!AI44/mm)*-1</f>
        <v>-21.27176084243116</v>
      </c>
      <c r="AM132" s="1394">
        <f>(Forecast!AJ44/mm)*-1</f>
        <v>-23.475452272902206</v>
      </c>
      <c r="AN132" s="1396">
        <f>(Forecast!AK44/mm)*-1</f>
        <v>-26.151774478954344</v>
      </c>
      <c r="AO132" s="1394">
        <f>(Forecast!AL44/mm)*-1</f>
        <v>-28.740882554903077</v>
      </c>
      <c r="AP132" s="1394">
        <f>(Forecast!AM44/mm)*-1</f>
        <v>-28.863153324514695</v>
      </c>
      <c r="AQ132" s="1394">
        <f>(Forecast!AN44/mm)*-1</f>
        <v>-30.892917703407939</v>
      </c>
      <c r="AR132" s="1394">
        <f>(Forecast!AO44/mm)*-1</f>
        <v>-34.287341378184777</v>
      </c>
      <c r="AS132" s="1395">
        <f>(Forecast!AP44/mm)*-1</f>
        <v>-37.627040487792343</v>
      </c>
      <c r="AT132" s="1394">
        <f>(Forecast!AQ44/mm)*-1</f>
        <v>-37.684533032222767</v>
      </c>
      <c r="AU132" s="1394">
        <f>(Forecast!AR44/mm)*-1</f>
        <v>-40.02515175692254</v>
      </c>
      <c r="AV132" s="1396">
        <f>(Forecast!AS44/mm)*-1</f>
        <v>-44.257027692026945</v>
      </c>
      <c r="AW132" s="1394">
        <f>(Forecast!AT44/mm)*-1</f>
        <v>-48.496184591306523</v>
      </c>
      <c r="AX132" s="1394">
        <f>(Forecast!AU44/mm)*-1</f>
        <v>-48.496184591306523</v>
      </c>
      <c r="AY132" s="1394">
        <f>(Forecast!AV44/mm)*-1</f>
        <v>-51.05167553413704</v>
      </c>
      <c r="AZ132" s="1394">
        <f>(Forecast!AW44/mm)*-1</f>
        <v>-56.235669598223758</v>
      </c>
    </row>
    <row r="133" spans="4:52" hidden="1" outlineLevel="1" x14ac:dyDescent="0.25">
      <c r="D133" s="1710" t="str">
        <f>Forecast!C45</f>
        <v>G&amp;A</v>
      </c>
      <c r="E133" s="1703"/>
      <c r="F133" s="1703"/>
      <c r="G133" s="1411">
        <f>(Forecast!D45/mm)*-1</f>
        <v>-9.5554317000000015</v>
      </c>
      <c r="H133" s="1411">
        <f>(Forecast!E45/mm)*-1</f>
        <v>-14.377398870000002</v>
      </c>
      <c r="I133" s="1412">
        <f>(Forecast!F45/mm)*-1</f>
        <v>-16.50153525</v>
      </c>
      <c r="J133" s="1411">
        <f>(Forecast!G45/mm)*-1</f>
        <v>-32.153075513169419</v>
      </c>
      <c r="K133" s="1411">
        <f>(Forecast!H45/mm)*-1</f>
        <v>-49.099742379827887</v>
      </c>
      <c r="L133" s="1411">
        <f>(Forecast!I45/mm)*-1</f>
        <v>-60.388487041385069</v>
      </c>
      <c r="M133" s="1411">
        <f>(Forecast!J45/mm)*-1</f>
        <v>-75.862664803885707</v>
      </c>
      <c r="N133" s="1411">
        <f>(Forecast!K45/mm)*-1</f>
        <v>-93.686112431114978</v>
      </c>
      <c r="O133" s="1411">
        <f>(Forecast!L45/mm)*-1</f>
        <v>-116.65909010749699</v>
      </c>
      <c r="P133" s="1697"/>
      <c r="Q133" s="1390">
        <f>(Forecast!N45/mm)*-1</f>
        <v>-1.88004792</v>
      </c>
      <c r="R133" s="1390">
        <f>(Forecast!O45/mm)*-1</f>
        <v>-1.9851147400000002</v>
      </c>
      <c r="S133" s="1390">
        <f>(Forecast!P45/mm)*-1</f>
        <v>-2.6440935400000001</v>
      </c>
      <c r="T133" s="1390">
        <f>(Forecast!Q45/mm)*-1</f>
        <v>-3.0461754999999999</v>
      </c>
      <c r="U133" s="1391">
        <f>(Forecast!R45/mm)*-1</f>
        <v>-4.0009979099999997</v>
      </c>
      <c r="V133" s="1390">
        <f>(Forecast!S45/mm)*-1</f>
        <v>-3.2593505199999999</v>
      </c>
      <c r="W133" s="1390">
        <f>(Forecast!T45/mm)*-1</f>
        <v>-3.4166740499999997</v>
      </c>
      <c r="X133" s="1392">
        <f>(Forecast!U45/mm)*-1</f>
        <v>-3.7003763900000006</v>
      </c>
      <c r="Y133" s="1390">
        <f>(Forecast!V45/mm)*-1</f>
        <v>-4.8940129399999996</v>
      </c>
      <c r="Z133" s="1390">
        <f>(Forecast!W45/mm)*-1</f>
        <v>-3.5364063799999998</v>
      </c>
      <c r="AA133" s="1390">
        <f>(Forecast!X45/mm)*-1</f>
        <v>-3.6834838999999997</v>
      </c>
      <c r="AB133" s="1390">
        <f>(Forecast!Y45/mm)*-1</f>
        <v>-4.3876320300000007</v>
      </c>
      <c r="AC133" s="1391">
        <f>(Forecast!Z45/mm)*-1</f>
        <v>-6.0348334900000005</v>
      </c>
      <c r="AD133" s="1390">
        <f>(Forecast!AA45/mm)*-1</f>
        <v>-7.784350445780186</v>
      </c>
      <c r="AE133" s="1390">
        <f>(Forecast!AB45/mm)*-1</f>
        <v>-8.4473045198474566</v>
      </c>
      <c r="AF133" s="1392">
        <f>(Forecast!AC45/mm)*-1</f>
        <v>-9.8865870575417816</v>
      </c>
      <c r="AG133" s="1390">
        <f>(Forecast!AD45/mm)*-1</f>
        <v>-11.838806957696271</v>
      </c>
      <c r="AH133" s="1390">
        <f>(Forecast!AE45/mm)*-1</f>
        <v>-11.929071630307703</v>
      </c>
      <c r="AI133" s="1390">
        <f>(Forecast!AF45/mm)*-1</f>
        <v>-12.139424346230891</v>
      </c>
      <c r="AJ133" s="1390">
        <f>(Forecast!AG45/mm)*-1</f>
        <v>-13.192439445593026</v>
      </c>
      <c r="AK133" s="1391">
        <f>(Forecast!AH45/mm)*-1</f>
        <v>-13.960033919779834</v>
      </c>
      <c r="AL133" s="1390">
        <f>(Forecast!AI45/mm)*-1</f>
        <v>-14.225526683408019</v>
      </c>
      <c r="AM133" s="1390">
        <f>(Forecast!AJ45/mm)*-1</f>
        <v>-15.273669891698185</v>
      </c>
      <c r="AN133" s="1392">
        <f>(Forecast!AK45/mm)*-1</f>
        <v>-16.92925654649904</v>
      </c>
      <c r="AO133" s="1390">
        <f>(Forecast!AL45/mm)*-1</f>
        <v>-18.024460273198581</v>
      </c>
      <c r="AP133" s="1390">
        <f>(Forecast!AM45/mm)*-1</f>
        <v>-18.171554952088584</v>
      </c>
      <c r="AQ133" s="1390">
        <f>(Forecast!AN45/mm)*-1</f>
        <v>-19.037249083440834</v>
      </c>
      <c r="AR133" s="1390">
        <f>(Forecast!AO45/mm)*-1</f>
        <v>-20.629400495157714</v>
      </c>
      <c r="AS133" s="1391">
        <f>(Forecast!AP45/mm)*-1</f>
        <v>-22.150111568999872</v>
      </c>
      <c r="AT133" s="1390">
        <f>(Forecast!AQ45/mm)*-1</f>
        <v>-22.374970555763745</v>
      </c>
      <c r="AU133" s="1390">
        <f>(Forecast!AR45/mm)*-1</f>
        <v>-23.465977216410614</v>
      </c>
      <c r="AV133" s="1392">
        <f>(Forecast!AS45/mm)*-1</f>
        <v>-25.695053089940746</v>
      </c>
      <c r="AW133" s="1390">
        <f>(Forecast!AT45/mm)*-1</f>
        <v>-27.625265330105393</v>
      </c>
      <c r="AX133" s="1390">
        <f>(Forecast!AU45/mm)*-1</f>
        <v>-27.924419376707384</v>
      </c>
      <c r="AY133" s="1390">
        <f>(Forecast!AV45/mm)*-1</f>
        <v>-29.181388341002265</v>
      </c>
      <c r="AZ133" s="1390">
        <f>(Forecast!AW45/mm)*-1</f>
        <v>-31.928017059681952</v>
      </c>
    </row>
    <row r="134" spans="4:52" hidden="1" outlineLevel="1" x14ac:dyDescent="0.25">
      <c r="D134" s="1413" t="s">
        <v>1286</v>
      </c>
      <c r="E134" s="1424"/>
      <c r="F134" s="1424"/>
      <c r="G134" s="1322">
        <f>(Forecast!D42/mm)*-1</f>
        <v>-42.665529149999998</v>
      </c>
      <c r="H134" s="1322">
        <f>(Forecast!E42/mm)*-1</f>
        <v>-64.802282424548991</v>
      </c>
      <c r="I134" s="1321">
        <f>(Forecast!F42/mm)*-1</f>
        <v>-78.786249065278</v>
      </c>
      <c r="J134" s="1322">
        <f>(Forecast!G42/mm)*-1</f>
        <v>-140.82449449286537</v>
      </c>
      <c r="K134" s="1322">
        <f>(Forecast!H42/mm)*-1</f>
        <v>-202.0032216513344</v>
      </c>
      <c r="L134" s="1450">
        <f>(Forecast!I42/mm)*-1</f>
        <v>-274.12299314508613</v>
      </c>
      <c r="M134" s="1450">
        <f>(Forecast!J42/mm)*-1</f>
        <v>-361.33522405001071</v>
      </c>
      <c r="N134" s="1450">
        <f>(Forecast!K42/mm)*-1</f>
        <v>-469.88369057221081</v>
      </c>
      <c r="O134" s="1450">
        <f>(Forecast!L42/mm)*-1</f>
        <v>-644.07289973897014</v>
      </c>
      <c r="P134" s="1513"/>
      <c r="Q134" s="1322">
        <f>(Forecast!N42/mm)*-1</f>
        <v>-8.4656648699999995</v>
      </c>
      <c r="R134" s="1322">
        <f>(Forecast!O42/mm)*-1</f>
        <v>-9.0618429200000001</v>
      </c>
      <c r="S134" s="1322">
        <f>(Forecast!P42/mm)*-1</f>
        <v>-11.43625872</v>
      </c>
      <c r="T134" s="1322">
        <f>(Forecast!Q42/mm)*-1</f>
        <v>-13.701762639999998</v>
      </c>
      <c r="U134" s="1352">
        <f>(Forecast!R42/mm)*-1</f>
        <v>-14.761478224617997</v>
      </c>
      <c r="V134" s="1322">
        <f>(Forecast!S42/mm)*-1</f>
        <v>-15.597636899755999</v>
      </c>
      <c r="W134" s="1322">
        <f>(Forecast!T42/mm)*-1</f>
        <v>-16.959439239999998</v>
      </c>
      <c r="X134" s="1321">
        <f>(Forecast!U42/mm)*-1</f>
        <v>-17.483728060175</v>
      </c>
      <c r="Y134" s="1322">
        <f>(Forecast!V42/mm)*-1</f>
        <v>-19.245652589999995</v>
      </c>
      <c r="Z134" s="1322">
        <f>(Forecast!W42/mm)*-1</f>
        <v>-18.460268233999997</v>
      </c>
      <c r="AA134" s="1322">
        <f>(Forecast!X42/mm)*-1</f>
        <v>-19.390576526</v>
      </c>
      <c r="AB134" s="1322">
        <f>(Forecast!Y42/mm)*-1</f>
        <v>-21.689751715277989</v>
      </c>
      <c r="AC134" s="1352">
        <f>(Forecast!Z42/mm)*-1</f>
        <v>-27.196423428897219</v>
      </c>
      <c r="AD134" s="1322">
        <f>(Forecast!AA42/mm)*-1</f>
        <v>-33.247330000861851</v>
      </c>
      <c r="AE134" s="1322">
        <f>(Forecast!AB42/mm)*-1</f>
        <v>-38.020394546850135</v>
      </c>
      <c r="AF134" s="1321">
        <f>(Forecast!AC42/mm)*-1</f>
        <v>-42.360346516256158</v>
      </c>
      <c r="AG134" s="1322">
        <f>(Forecast!AD42/mm)*-1</f>
        <v>-48.768515229991799</v>
      </c>
      <c r="AH134" s="1322">
        <f>(Forecast!AE42/mm)*-1</f>
        <v>-48.275162130762382</v>
      </c>
      <c r="AI134" s="1322">
        <f>(Forecast!AF42/mm)*-1</f>
        <v>-52.440789288573974</v>
      </c>
      <c r="AJ134" s="1322">
        <f>(Forecast!AG42/mm)*-1</f>
        <v>-52.518755002006252</v>
      </c>
      <c r="AK134" s="1352">
        <f>(Forecast!AH42/mm)*-1</f>
        <v>-62.378728646085101</v>
      </c>
      <c r="AL134" s="1322">
        <f>(Forecast!AI42/mm)*-1</f>
        <v>-63.709159501627923</v>
      </c>
      <c r="AM134" s="1322">
        <f>(Forecast!AJ42/mm)*-1</f>
        <v>-72.51932503291637</v>
      </c>
      <c r="AN134" s="1321">
        <f>(Forecast!AK42/mm)*-1</f>
        <v>-75.51577996445674</v>
      </c>
      <c r="AO134" s="1322">
        <f>(Forecast!AL42/mm)*-1</f>
        <v>-87.60908942617877</v>
      </c>
      <c r="AP134" s="1322">
        <f>(Forecast!AM42/mm)*-1</f>
        <v>-85.301665616912587</v>
      </c>
      <c r="AQ134" s="1322">
        <f>(Forecast!AN42/mm)*-1</f>
        <v>-94.252384870915705</v>
      </c>
      <c r="AR134" s="1322">
        <f>(Forecast!AO42/mm)*-1</f>
        <v>-94.172084136003647</v>
      </c>
      <c r="AS134" s="1352">
        <f>(Forecast!AP42/mm)*-1</f>
        <v>-111.33136095285356</v>
      </c>
      <c r="AT134" s="1322">
        <f>(Forecast!AQ42/mm)*-1</f>
        <v>-110.07301423597615</v>
      </c>
      <c r="AU134" s="1322">
        <f>(Forecast!AR42/mm)*-1</f>
        <v>-123.55368073091921</v>
      </c>
      <c r="AV134" s="1321">
        <f>(Forecast!AS42/mm)*-1</f>
        <v>-124.92563465246187</v>
      </c>
      <c r="AW134" s="1322">
        <f>(Forecast!AT42/mm)*-1</f>
        <v>-150.79062636188468</v>
      </c>
      <c r="AX134" s="1322">
        <f>(Forecast!AU42/mm)*-1</f>
        <v>-150.88198898699866</v>
      </c>
      <c r="AY134" s="1322">
        <f>(Forecast!AV42/mm)*-1</f>
        <v>-169.90284087017756</v>
      </c>
      <c r="AZ134" s="1322">
        <f>(Forecast!AW42/mm)*-1</f>
        <v>-172.49744351990921</v>
      </c>
    </row>
    <row r="135" spans="4:52" hidden="1" outlineLevel="1" x14ac:dyDescent="0.25">
      <c r="G135" s="16"/>
      <c r="H135" s="16"/>
      <c r="I135" s="492"/>
      <c r="J135" s="491"/>
      <c r="K135" s="16"/>
      <c r="L135" s="55"/>
      <c r="M135" s="55"/>
      <c r="N135" s="55"/>
      <c r="O135" s="55"/>
      <c r="Q135" s="16"/>
      <c r="R135" s="16"/>
      <c r="S135" s="16"/>
      <c r="T135" s="491"/>
      <c r="U135" s="1301"/>
      <c r="V135" s="491"/>
      <c r="W135" s="491"/>
      <c r="X135" s="492"/>
      <c r="Y135" s="491"/>
      <c r="Z135" s="16"/>
      <c r="AA135" s="16"/>
      <c r="AB135" s="491"/>
      <c r="AC135" s="1301"/>
      <c r="AD135" s="491"/>
      <c r="AE135" s="491"/>
      <c r="AF135" s="492"/>
      <c r="AG135" s="491"/>
      <c r="AH135" s="16"/>
      <c r="AI135" s="16"/>
      <c r="AJ135" s="491"/>
      <c r="AK135" s="1301"/>
      <c r="AL135" s="491"/>
      <c r="AM135" s="491"/>
      <c r="AN135" s="492"/>
      <c r="AO135" s="491"/>
      <c r="AP135" s="16"/>
      <c r="AQ135" s="16"/>
      <c r="AR135" s="491"/>
      <c r="AS135" s="1301"/>
      <c r="AT135" s="491"/>
      <c r="AU135" s="491"/>
      <c r="AV135" s="492"/>
      <c r="AW135" s="491"/>
      <c r="AX135" s="16"/>
      <c r="AY135" s="16"/>
      <c r="AZ135" s="16"/>
    </row>
    <row r="136" spans="4:52" hidden="1" outlineLevel="1" x14ac:dyDescent="0.25">
      <c r="D136" s="1371" t="s">
        <v>1289</v>
      </c>
      <c r="E136" s="1"/>
      <c r="F136" s="1"/>
      <c r="I136" s="1689"/>
      <c r="J136" s="373"/>
    </row>
    <row r="137" spans="4:52" hidden="1" outlineLevel="1" x14ac:dyDescent="0.25">
      <c r="D137" s="1373" t="str">
        <f>D130</f>
        <v>Sales &amp; Marketing</v>
      </c>
      <c r="E137" s="377"/>
      <c r="F137" s="377"/>
      <c r="G137" s="469">
        <f>'Functional P&amp;L'!AC27/-k</f>
        <v>-0.91925272972222216</v>
      </c>
      <c r="H137" s="469">
        <f>'Functional P&amp;L'!AD27/-k</f>
        <v>-4.015626288493416</v>
      </c>
      <c r="I137" s="470">
        <f>'Functional P&amp;L'!AE27/-k</f>
        <v>-5.4921178316844346</v>
      </c>
      <c r="J137" s="1350">
        <f>'Functional P&amp;L'!AF27/-k</f>
        <v>-9.5595696300000004</v>
      </c>
      <c r="K137" s="469">
        <f>'Functional P&amp;L'!AG27/-k</f>
        <v>-13.963228578045369</v>
      </c>
      <c r="L137" s="469">
        <f>'Functional P&amp;L'!AH27/-k</f>
        <v>-16.446580261974553</v>
      </c>
      <c r="M137" s="1374">
        <f t="shared" ref="M137" si="197">SUM(AO137:AR137)</f>
        <v>-17.268909275073277</v>
      </c>
      <c r="N137" s="1374">
        <f t="shared" ref="N137" si="198">SUM(AS137:AV137)</f>
        <v>-18.132354738826944</v>
      </c>
      <c r="O137" s="1374">
        <f t="shared" ref="O137" si="199">SUM(AW137:AZ137)</f>
        <v>-19.03897247576829</v>
      </c>
      <c r="P137" s="1709"/>
      <c r="Q137" s="468">
        <f>'Functional P&amp;L'!D27/-k</f>
        <v>-4.9060529999999998E-2</v>
      </c>
      <c r="R137" s="468">
        <f>'Functional P&amp;L'!E27/-k</f>
        <v>-0.14686684222222224</v>
      </c>
      <c r="S137" s="468">
        <f>'Functional P&amp;L'!F27/-k</f>
        <v>-0.19033871749999998</v>
      </c>
      <c r="T137" s="1289">
        <f>'Functional P&amp;L'!G27/-k</f>
        <v>-0.53298663999999996</v>
      </c>
      <c r="U137" s="1306">
        <f>'Functional P&amp;L'!H27/-k</f>
        <v>-0.59779194956521731</v>
      </c>
      <c r="V137" s="1289">
        <f>'Functional P&amp;L'!I27/-k</f>
        <v>-0.8405953788235293</v>
      </c>
      <c r="W137" s="1289">
        <f>'Functional P&amp;L'!J27/-k</f>
        <v>-1.1014862569565216</v>
      </c>
      <c r="X137" s="1318">
        <f>'Functional P&amp;L'!K27/-k</f>
        <v>-1.4757527031481479</v>
      </c>
      <c r="Y137" s="1289">
        <f>'Functional P&amp;L'!L27/-k</f>
        <v>-1.2730871499999998</v>
      </c>
      <c r="Z137" s="468">
        <f>'Functional P&amp;L'!M27/-k</f>
        <v>-1.2826137860239863</v>
      </c>
      <c r="AA137" s="468">
        <f>'Functional P&amp;L'!N27/-k</f>
        <v>-1.3402266302545509</v>
      </c>
      <c r="AB137" s="1289">
        <f>'Functional P&amp;L'!O27/-k</f>
        <v>-1.5961902654058968</v>
      </c>
      <c r="AC137" s="1306">
        <f>'Functional P&amp;L'!P27/-k</f>
        <v>-1.8444097499999998</v>
      </c>
      <c r="AD137" s="1289">
        <f>'Functional P&amp;L'!Q27/-k</f>
        <v>-2.2686541299999998</v>
      </c>
      <c r="AE137" s="1289">
        <f>'Functional P&amp;L'!R27/-k</f>
        <v>-2.5295950600000001</v>
      </c>
      <c r="AF137" s="1318">
        <f>'Functional P&amp;L'!S27/-k</f>
        <v>-2.9169106900000004</v>
      </c>
      <c r="AG137" s="1289">
        <f>'Functional P&amp;L'!T27/-k</f>
        <v>-3.5992910366110156</v>
      </c>
      <c r="AH137" s="468">
        <f>'Functional P&amp;L'!U27/-k</f>
        <v>-3.416877111135856</v>
      </c>
      <c r="AI137" s="468">
        <f>'Functional P&amp;L'!V27/-k</f>
        <v>-3.4546458471447847</v>
      </c>
      <c r="AJ137" s="1289">
        <f>'Functional P&amp;L'!W27/-k</f>
        <v>-3.492414583153713</v>
      </c>
      <c r="AK137" s="1306">
        <f>'Functional P&amp;L'!X27/-k</f>
        <v>-3.9618266510789057</v>
      </c>
      <c r="AL137" s="1289">
        <f>'Functional P&amp;L'!Y27/-k</f>
        <v>-4.0033722606887272</v>
      </c>
      <c r="AM137" s="1289">
        <f>'Functional P&amp;L'!Z27/-k</f>
        <v>-4.2199178702985485</v>
      </c>
      <c r="AN137" s="1318">
        <f>'Functional P&amp;L'!AA27/-k</f>
        <v>-4.2614634799083699</v>
      </c>
      <c r="AO137" s="1425">
        <f>AK137*(1+AO143)</f>
        <v>-4.1599179836328508</v>
      </c>
      <c r="AP137" s="1428">
        <f t="shared" ref="AP137:AZ137" si="200">AL137*(1+AP143)</f>
        <v>-4.2035408737231634</v>
      </c>
      <c r="AQ137" s="1428">
        <f t="shared" si="200"/>
        <v>-4.4309137638134759</v>
      </c>
      <c r="AR137" s="1425">
        <f t="shared" si="200"/>
        <v>-4.4745366539037885</v>
      </c>
      <c r="AS137" s="1426">
        <f t="shared" si="200"/>
        <v>-4.3679138828144932</v>
      </c>
      <c r="AT137" s="1425">
        <f t="shared" si="200"/>
        <v>-4.413717917409322</v>
      </c>
      <c r="AU137" s="1425">
        <f t="shared" si="200"/>
        <v>-4.65245945200415</v>
      </c>
      <c r="AV137" s="1427">
        <f t="shared" si="200"/>
        <v>-4.6982634865989779</v>
      </c>
      <c r="AW137" s="1425">
        <f t="shared" si="200"/>
        <v>-4.5863095769552178</v>
      </c>
      <c r="AX137" s="1428">
        <f t="shared" si="200"/>
        <v>-4.6344038132797882</v>
      </c>
      <c r="AY137" s="1428">
        <f t="shared" si="200"/>
        <v>-4.8850824246043576</v>
      </c>
      <c r="AZ137" s="1428">
        <f t="shared" si="200"/>
        <v>-4.9331766609289271</v>
      </c>
    </row>
    <row r="138" spans="4:52" hidden="1" outlineLevel="1" x14ac:dyDescent="0.25">
      <c r="D138" s="1712" t="str">
        <f>D131</f>
        <v>ASC 606 Adjustment</v>
      </c>
      <c r="E138" s="1424"/>
      <c r="F138" s="1424"/>
      <c r="G138" s="1505"/>
      <c r="H138" s="1505"/>
      <c r="I138" s="1506"/>
      <c r="J138" s="1505"/>
      <c r="K138" s="1505"/>
      <c r="L138" s="1505"/>
      <c r="M138" s="1505"/>
      <c r="N138" s="1505"/>
      <c r="O138" s="1505"/>
      <c r="P138" s="1697"/>
      <c r="Q138" s="1507"/>
      <c r="R138" s="1507"/>
      <c r="S138" s="1507"/>
      <c r="T138" s="1507"/>
      <c r="U138" s="1508"/>
      <c r="V138" s="1507"/>
      <c r="W138" s="1507"/>
      <c r="X138" s="1509"/>
      <c r="Y138" s="1507"/>
      <c r="Z138" s="1507"/>
      <c r="AA138" s="1507"/>
      <c r="AB138" s="1507"/>
      <c r="AC138" s="1508"/>
      <c r="AD138" s="1507"/>
      <c r="AE138" s="1507"/>
      <c r="AF138" s="1509"/>
      <c r="AG138" s="1507"/>
      <c r="AH138" s="1507"/>
      <c r="AI138" s="1507"/>
      <c r="AJ138" s="1507"/>
      <c r="AK138" s="1508"/>
      <c r="AL138" s="1507"/>
      <c r="AM138" s="1507"/>
      <c r="AN138" s="1509"/>
      <c r="AO138" s="1507"/>
      <c r="AP138" s="1507"/>
      <c r="AQ138" s="1507"/>
      <c r="AR138" s="1507"/>
      <c r="AS138" s="1508"/>
      <c r="AT138" s="1507"/>
      <c r="AU138" s="1507"/>
      <c r="AV138" s="1509"/>
      <c r="AW138" s="1507"/>
      <c r="AX138" s="1507"/>
      <c r="AY138" s="1507"/>
      <c r="AZ138" s="1507"/>
    </row>
    <row r="139" spans="4:52" hidden="1" outlineLevel="1" x14ac:dyDescent="0.25">
      <c r="D139" s="1712" t="str">
        <f t="shared" ref="D139:D140" si="201">D132</f>
        <v>R&amp;D</v>
      </c>
      <c r="E139" s="1424"/>
      <c r="F139" s="1424"/>
      <c r="G139" s="1358">
        <f>'Functional P&amp;L'!AC29/-k</f>
        <v>-0.51355562069444438</v>
      </c>
      <c r="H139" s="1358">
        <f>'Functional P&amp;L'!AD29/-k</f>
        <v>-1.3852792563801271</v>
      </c>
      <c r="I139" s="1357">
        <f>'Functional P&amp;L'!AE29/-k</f>
        <v>-2.7289721953988351</v>
      </c>
      <c r="J139" s="1358">
        <f>'Functional P&amp;L'!AF29/-k</f>
        <v>-4.4156631600000003</v>
      </c>
      <c r="K139" s="1358">
        <f>'Functional P&amp;L'!AG29/-k</f>
        <v>-8.2270343284459759</v>
      </c>
      <c r="L139" s="1358">
        <f>'Functional P&amp;L'!AH29/-k</f>
        <v>-10.034225202813094</v>
      </c>
      <c r="M139" s="1599">
        <f t="shared" ref="M139:M140" si="202">SUM(AO139:AR139)</f>
        <v>-13.452908396876968</v>
      </c>
      <c r="N139" s="1599">
        <f t="shared" ref="N139:N140" si="203">SUM(AS139:AV139)</f>
        <v>-17.485950789447958</v>
      </c>
      <c r="O139" s="1599">
        <f t="shared" ref="O139:O140" si="204">SUM(AW139:AZ139)</f>
        <v>-22.381985292925314</v>
      </c>
      <c r="P139" s="1697"/>
      <c r="Q139" s="1394">
        <f>'Functional P&amp;L'!D29/-k</f>
        <v>-8.3355120000000019E-2</v>
      </c>
      <c r="R139" s="1394">
        <f>'Functional P&amp;L'!E29/-k</f>
        <v>-0.13246609444444443</v>
      </c>
      <c r="S139" s="1394">
        <f>'Functional P&amp;L'!F29/-k</f>
        <v>-0.13076859999999998</v>
      </c>
      <c r="T139" s="1394">
        <f>'Functional P&amp;L'!G29/-k</f>
        <v>-0.16696580625000004</v>
      </c>
      <c r="U139" s="1395">
        <f>'Functional P&amp;L'!H29/-k</f>
        <v>-0.21933144695652174</v>
      </c>
      <c r="V139" s="1394">
        <f>'Functional P&amp;L'!I29/-k</f>
        <v>-0.31220110411764707</v>
      </c>
      <c r="W139" s="1394">
        <f>'Functional P&amp;L'!J29/-k</f>
        <v>-0.38679638956521739</v>
      </c>
      <c r="X139" s="1396">
        <f>'Functional P&amp;L'!K29/-k</f>
        <v>-0.46695031574074081</v>
      </c>
      <c r="Y139" s="1394">
        <f>'Functional P&amp;L'!L29/-k</f>
        <v>-0.59454301999999981</v>
      </c>
      <c r="Z139" s="1394">
        <f>'Functional P&amp;L'!M29/-k</f>
        <v>-0.62393677806041714</v>
      </c>
      <c r="AA139" s="1394">
        <f>'Functional P&amp;L'!N29/-k</f>
        <v>-0.64773311826228441</v>
      </c>
      <c r="AB139" s="1394">
        <f>'Functional P&amp;L'!O29/-k</f>
        <v>-0.86275927907613359</v>
      </c>
      <c r="AC139" s="1395">
        <f>'Functional P&amp;L'!P29/-k</f>
        <v>-0.90036407999999979</v>
      </c>
      <c r="AD139" s="1394">
        <f>'Functional P&amp;L'!Q29/-k</f>
        <v>-1.02225795</v>
      </c>
      <c r="AE139" s="1394">
        <f>'Functional P&amp;L'!R29/-k</f>
        <v>-1.12198427</v>
      </c>
      <c r="AF139" s="1396">
        <f>'Functional P&amp;L'!S29/-k</f>
        <v>-1.3710568600000002</v>
      </c>
      <c r="AG139" s="1394">
        <f>'Functional P&amp;L'!T29/-k</f>
        <v>-1.8397454914205622</v>
      </c>
      <c r="AH139" s="1394">
        <f>'Functional P&amp;L'!U29/-k</f>
        <v>-1.9712685766877938</v>
      </c>
      <c r="AI139" s="1394">
        <f>'Functional P&amp;L'!V29/-k</f>
        <v>-2.1554008960619178</v>
      </c>
      <c r="AJ139" s="1394">
        <f>'Functional P&amp;L'!W29/-k</f>
        <v>-2.2606193642757031</v>
      </c>
      <c r="AK139" s="1395">
        <f>'Functional P&amp;L'!X29/-k</f>
        <v>-2.5085563007032734</v>
      </c>
      <c r="AL139" s="1394">
        <f>'Functional P&amp;L'!Y29/-k</f>
        <v>-2.5085563007032734</v>
      </c>
      <c r="AM139" s="1394">
        <f>'Functional P&amp;L'!Z29/-k</f>
        <v>-2.5085563007032734</v>
      </c>
      <c r="AN139" s="1396">
        <f>'Functional P&amp;L'!AA29/-k</f>
        <v>-2.5085563007032734</v>
      </c>
      <c r="AO139" s="1430">
        <f>AK139*(1+AO144)</f>
        <v>-3.3632270992192419</v>
      </c>
      <c r="AP139" s="1430">
        <f t="shared" ref="AP139:AZ139" si="205">AL139*(1+AP144)</f>
        <v>-3.3632270992192419</v>
      </c>
      <c r="AQ139" s="1430">
        <f t="shared" si="205"/>
        <v>-3.3632270992192419</v>
      </c>
      <c r="AR139" s="1430">
        <f t="shared" si="205"/>
        <v>-3.3632270992192419</v>
      </c>
      <c r="AS139" s="1431">
        <f t="shared" si="205"/>
        <v>-4.3714876973619896</v>
      </c>
      <c r="AT139" s="1430">
        <f t="shared" si="205"/>
        <v>-4.3714876973619896</v>
      </c>
      <c r="AU139" s="1430">
        <f t="shared" si="205"/>
        <v>-4.3714876973619896</v>
      </c>
      <c r="AV139" s="1432">
        <f t="shared" si="205"/>
        <v>-4.3714876973619896</v>
      </c>
      <c r="AW139" s="1430">
        <f t="shared" si="205"/>
        <v>-5.5954963232313286</v>
      </c>
      <c r="AX139" s="1430">
        <f t="shared" si="205"/>
        <v>-5.5954963232313286</v>
      </c>
      <c r="AY139" s="1430">
        <f t="shared" si="205"/>
        <v>-5.5954963232313286</v>
      </c>
      <c r="AZ139" s="1430">
        <f t="shared" si="205"/>
        <v>-5.5954963232313286</v>
      </c>
    </row>
    <row r="140" spans="4:52" hidden="1" outlineLevel="1" x14ac:dyDescent="0.25">
      <c r="D140" s="1710" t="str">
        <f t="shared" si="201"/>
        <v>G&amp;A</v>
      </c>
      <c r="E140" s="1703"/>
      <c r="F140" s="1703"/>
      <c r="G140" s="1411">
        <f>'Functional P&amp;L'!AC31/-k</f>
        <v>-0.6341132995833334</v>
      </c>
      <c r="H140" s="1411">
        <f>'Functional P&amp;L'!AD31/-k</f>
        <v>-1.7133952951264566</v>
      </c>
      <c r="I140" s="1412">
        <f>'Functional P&amp;L'!AE31/-k</f>
        <v>-2.2887098029167308</v>
      </c>
      <c r="J140" s="1411">
        <f>'Functional P&amp;L'!AF31/-k</f>
        <v>-3.4728940799999997</v>
      </c>
      <c r="K140" s="1411">
        <f>'Functional P&amp;L'!AG31/-k</f>
        <v>-6.2424657348091213</v>
      </c>
      <c r="L140" s="1411">
        <f>'Functional P&amp;L'!AH31/-k</f>
        <v>-7.7558594547884265</v>
      </c>
      <c r="M140" s="1375">
        <f t="shared" si="202"/>
        <v>-8.143652427527849</v>
      </c>
      <c r="N140" s="1375">
        <f t="shared" si="203"/>
        <v>-8.5508350489042417</v>
      </c>
      <c r="O140" s="1375">
        <f t="shared" si="204"/>
        <v>-8.9783768013494534</v>
      </c>
      <c r="P140" s="1697"/>
      <c r="Q140" s="1390">
        <f>'Functional P&amp;L'!D31/-k</f>
        <v>-9.2878419999999975E-2</v>
      </c>
      <c r="R140" s="1390">
        <f>'Functional P&amp;L'!E31/-k</f>
        <v>-0.19255827333333331</v>
      </c>
      <c r="S140" s="1390">
        <f>'Functional P&amp;L'!F31/-k</f>
        <v>-0.18152698250000004</v>
      </c>
      <c r="T140" s="1390">
        <f>'Functional P&amp;L'!G31/-k</f>
        <v>-0.16714962375000006</v>
      </c>
      <c r="U140" s="1391">
        <f>'Functional P&amp;L'!H31/-k</f>
        <v>-0.24839205347826085</v>
      </c>
      <c r="V140" s="1390">
        <f>'Functional P&amp;L'!I31/-k</f>
        <v>-0.42862487705882357</v>
      </c>
      <c r="W140" s="1390">
        <f>'Functional P&amp;L'!J31/-k</f>
        <v>-0.44542763347826075</v>
      </c>
      <c r="X140" s="1392">
        <f>'Functional P&amp;L'!K31/-k</f>
        <v>-0.59095073111111129</v>
      </c>
      <c r="Y140" s="1390">
        <f>'Functional P&amp;L'!L31/-k</f>
        <v>-0.68039957000000006</v>
      </c>
      <c r="Z140" s="1390">
        <f>'Functional P&amp;L'!M31/-k</f>
        <v>-0.45066517591559646</v>
      </c>
      <c r="AA140" s="1390">
        <f>'Functional P&amp;L'!N31/-k</f>
        <v>-0.60203070148316495</v>
      </c>
      <c r="AB140" s="1390">
        <f>'Functional P&amp;L'!O31/-k</f>
        <v>-0.55561435551796912</v>
      </c>
      <c r="AC140" s="1391">
        <f>'Functional P&amp;L'!P31/-k</f>
        <v>-0.63304985999999996</v>
      </c>
      <c r="AD140" s="1390">
        <f>'Functional P&amp;L'!Q31/-k</f>
        <v>-0.87074127000000001</v>
      </c>
      <c r="AE140" s="1390">
        <f>'Functional P&amp;L'!R31/-k</f>
        <v>-0.93903379999999981</v>
      </c>
      <c r="AF140" s="1392">
        <f>'Functional P&amp;L'!S31/-k</f>
        <v>-1.0300691499999999</v>
      </c>
      <c r="AG140" s="1390">
        <f>'Functional P&amp;L'!T31/-k</f>
        <v>-1.461045897367327</v>
      </c>
      <c r="AH140" s="1390">
        <f>'Functional P&amp;L'!U31/-k</f>
        <v>-1.5274262549239628</v>
      </c>
      <c r="AI140" s="1390">
        <f>'Functional P&amp;L'!V31/-k</f>
        <v>-1.5938066124805983</v>
      </c>
      <c r="AJ140" s="1390">
        <f>'Functional P&amp;L'!W31/-k</f>
        <v>-1.6601869700372336</v>
      </c>
      <c r="AK140" s="1391">
        <f>'Functional P&amp;L'!X31/-k</f>
        <v>-1.9389648636971066</v>
      </c>
      <c r="AL140" s="1390">
        <f>'Functional P&amp;L'!Y31/-k</f>
        <v>-1.9389648636971066</v>
      </c>
      <c r="AM140" s="1390">
        <f>'Functional P&amp;L'!Z31/-k</f>
        <v>-1.9389648636971066</v>
      </c>
      <c r="AN140" s="1392">
        <f>'Functional P&amp;L'!AA31/-k</f>
        <v>-1.9389648636971066</v>
      </c>
      <c r="AO140" s="1433">
        <f>AK140*(1+AO145)</f>
        <v>-2.0359131068819623</v>
      </c>
      <c r="AP140" s="1433">
        <f t="shared" ref="AP140" si="206">AL140*(1+AP145)</f>
        <v>-2.0359131068819623</v>
      </c>
      <c r="AQ140" s="1433">
        <f t="shared" ref="AQ140" si="207">AM140*(1+AQ145)</f>
        <v>-2.0359131068819623</v>
      </c>
      <c r="AR140" s="1433">
        <f t="shared" ref="AR140" si="208">AN140*(1+AR145)</f>
        <v>-2.0359131068819623</v>
      </c>
      <c r="AS140" s="1434">
        <f t="shared" ref="AS140" si="209">AO140*(1+AS145)</f>
        <v>-2.1377087622260604</v>
      </c>
      <c r="AT140" s="1433">
        <f t="shared" ref="AT140" si="210">AP140*(1+AT145)</f>
        <v>-2.1377087622260604</v>
      </c>
      <c r="AU140" s="1433">
        <f t="shared" ref="AU140" si="211">AQ140*(1+AU145)</f>
        <v>-2.1377087622260604</v>
      </c>
      <c r="AV140" s="1435">
        <f t="shared" ref="AV140" si="212">AR140*(1+AV145)</f>
        <v>-2.1377087622260604</v>
      </c>
      <c r="AW140" s="1433">
        <f t="shared" ref="AW140" si="213">AS140*(1+AW145)</f>
        <v>-2.2445942003373633</v>
      </c>
      <c r="AX140" s="1433">
        <f t="shared" ref="AX140" si="214">AT140*(1+AX145)</f>
        <v>-2.2445942003373633</v>
      </c>
      <c r="AY140" s="1433">
        <f t="shared" ref="AY140" si="215">AU140*(1+AY145)</f>
        <v>-2.2445942003373633</v>
      </c>
      <c r="AZ140" s="1433">
        <f t="shared" ref="AZ140" si="216">AV140*(1+AZ145)</f>
        <v>-2.2445942003373633</v>
      </c>
    </row>
    <row r="141" spans="4:52" hidden="1" outlineLevel="1" x14ac:dyDescent="0.25">
      <c r="D141" s="1413" t="s">
        <v>1287</v>
      </c>
      <c r="E141" s="1424"/>
      <c r="F141" s="1424"/>
      <c r="G141" s="1332">
        <f t="shared" ref="G141:O141" si="217">SUM(G137:G140)</f>
        <v>-2.0669216499999998</v>
      </c>
      <c r="H141" s="1332">
        <f t="shared" si="217"/>
        <v>-7.1143008400000003</v>
      </c>
      <c r="I141" s="1331">
        <f t="shared" si="217"/>
        <v>-10.50979983</v>
      </c>
      <c r="J141" s="1332">
        <f t="shared" si="217"/>
        <v>-17.448126869999999</v>
      </c>
      <c r="K141" s="1332">
        <f t="shared" si="217"/>
        <v>-28.432728641300464</v>
      </c>
      <c r="L141" s="1504">
        <f t="shared" si="217"/>
        <v>-34.236664919576071</v>
      </c>
      <c r="M141" s="1504">
        <f t="shared" si="217"/>
        <v>-38.865470099478095</v>
      </c>
      <c r="N141" s="1504">
        <f t="shared" si="217"/>
        <v>-44.169140577179142</v>
      </c>
      <c r="O141" s="1504">
        <f t="shared" si="217"/>
        <v>-50.39933457004306</v>
      </c>
      <c r="P141" s="1513"/>
      <c r="Q141" s="1332">
        <f>SUM(Q137:Q140)</f>
        <v>-0.22529407000000001</v>
      </c>
      <c r="R141" s="1332">
        <f t="shared" ref="R141:AZ141" si="218">SUM(R137:R140)</f>
        <v>-0.47189121000000001</v>
      </c>
      <c r="S141" s="1332">
        <f t="shared" si="218"/>
        <v>-0.50263429999999998</v>
      </c>
      <c r="T141" s="1332">
        <f t="shared" si="218"/>
        <v>-0.86710207000000006</v>
      </c>
      <c r="U141" s="1351">
        <f t="shared" si="218"/>
        <v>-1.0655154499999999</v>
      </c>
      <c r="V141" s="1332">
        <f t="shared" si="218"/>
        <v>-1.5814213599999998</v>
      </c>
      <c r="W141" s="1332">
        <f t="shared" si="218"/>
        <v>-1.9337102799999997</v>
      </c>
      <c r="X141" s="1331">
        <f t="shared" si="218"/>
        <v>-2.53365375</v>
      </c>
      <c r="Y141" s="1332">
        <f t="shared" si="218"/>
        <v>-2.5480297399999996</v>
      </c>
      <c r="Z141" s="1332">
        <f t="shared" si="218"/>
        <v>-2.35721574</v>
      </c>
      <c r="AA141" s="1332">
        <f t="shared" si="218"/>
        <v>-2.5899904500000002</v>
      </c>
      <c r="AB141" s="1332">
        <f t="shared" si="218"/>
        <v>-3.0145638999999997</v>
      </c>
      <c r="AC141" s="1351">
        <f t="shared" si="218"/>
        <v>-3.3778236899999996</v>
      </c>
      <c r="AD141" s="1332">
        <f t="shared" si="218"/>
        <v>-4.1616533499999999</v>
      </c>
      <c r="AE141" s="1332">
        <f t="shared" si="218"/>
        <v>-4.5906131299999995</v>
      </c>
      <c r="AF141" s="1331">
        <f t="shared" si="218"/>
        <v>-5.3180367000000004</v>
      </c>
      <c r="AG141" s="1332">
        <f t="shared" si="218"/>
        <v>-6.9000824253989048</v>
      </c>
      <c r="AH141" s="1332">
        <f t="shared" si="218"/>
        <v>-6.9155719427476132</v>
      </c>
      <c r="AI141" s="1332">
        <f t="shared" si="218"/>
        <v>-7.2038533556873006</v>
      </c>
      <c r="AJ141" s="1332">
        <f t="shared" si="218"/>
        <v>-7.4132209174666492</v>
      </c>
      <c r="AK141" s="1351">
        <f t="shared" si="218"/>
        <v>-8.4093478154792862</v>
      </c>
      <c r="AL141" s="1332">
        <f t="shared" si="218"/>
        <v>-8.4508934250891077</v>
      </c>
      <c r="AM141" s="1332">
        <f t="shared" si="218"/>
        <v>-8.6674390346989281</v>
      </c>
      <c r="AN141" s="1331">
        <f t="shared" si="218"/>
        <v>-8.7089846443087495</v>
      </c>
      <c r="AO141" s="1332">
        <f t="shared" si="218"/>
        <v>-9.5590581897340545</v>
      </c>
      <c r="AP141" s="1332">
        <f t="shared" si="218"/>
        <v>-9.602681079824368</v>
      </c>
      <c r="AQ141" s="1332">
        <f t="shared" si="218"/>
        <v>-9.8300539699146796</v>
      </c>
      <c r="AR141" s="1332">
        <f t="shared" si="218"/>
        <v>-9.8736768600049931</v>
      </c>
      <c r="AS141" s="1351">
        <f t="shared" si="218"/>
        <v>-10.877110342402544</v>
      </c>
      <c r="AT141" s="1332">
        <f t="shared" si="218"/>
        <v>-10.922914376997371</v>
      </c>
      <c r="AU141" s="1332">
        <f t="shared" si="218"/>
        <v>-11.1616559115922</v>
      </c>
      <c r="AV141" s="1331">
        <f t="shared" si="218"/>
        <v>-11.207459946187027</v>
      </c>
      <c r="AW141" s="1332">
        <f t="shared" si="218"/>
        <v>-12.42640010052391</v>
      </c>
      <c r="AX141" s="1332">
        <f t="shared" si="218"/>
        <v>-12.47449433684848</v>
      </c>
      <c r="AY141" s="1332">
        <f t="shared" si="218"/>
        <v>-12.72517294817305</v>
      </c>
      <c r="AZ141" s="1332">
        <f t="shared" si="218"/>
        <v>-12.77326718449762</v>
      </c>
    </row>
    <row r="142" spans="4:52" hidden="1" outlineLevel="1" x14ac:dyDescent="0.25">
      <c r="D142" s="1413"/>
      <c r="E142" s="1424"/>
      <c r="F142" s="1424"/>
      <c r="G142" s="1332"/>
      <c r="H142" s="1332"/>
      <c r="I142" s="1331"/>
      <c r="J142" s="1332"/>
      <c r="K142" s="1332"/>
      <c r="L142" s="1504"/>
      <c r="M142" s="1504"/>
      <c r="N142" s="1504"/>
      <c r="O142" s="1504"/>
      <c r="P142" s="1513"/>
      <c r="Q142" s="1332"/>
      <c r="R142" s="1332"/>
      <c r="S142" s="1332"/>
      <c r="T142" s="1332"/>
      <c r="U142" s="1351"/>
      <c r="V142" s="1332"/>
      <c r="W142" s="1332"/>
      <c r="X142" s="1331"/>
      <c r="Y142" s="1332"/>
      <c r="Z142" s="1332"/>
      <c r="AA142" s="1332"/>
      <c r="AB142" s="1332"/>
      <c r="AC142" s="1351"/>
      <c r="AD142" s="1332"/>
      <c r="AE142" s="1332"/>
      <c r="AF142" s="1331"/>
      <c r="AG142" s="1332"/>
      <c r="AH142" s="1332"/>
      <c r="AI142" s="1332"/>
      <c r="AJ142" s="1332"/>
      <c r="AK142" s="1351"/>
      <c r="AL142" s="1332"/>
      <c r="AM142" s="1332"/>
      <c r="AN142" s="1331"/>
      <c r="AO142" s="1332"/>
      <c r="AP142" s="1332"/>
      <c r="AQ142" s="1332"/>
      <c r="AR142" s="1332"/>
      <c r="AS142" s="1351"/>
      <c r="AT142" s="1332"/>
      <c r="AU142" s="1332"/>
      <c r="AV142" s="1331"/>
      <c r="AW142" s="1332"/>
      <c r="AX142" s="1332"/>
      <c r="AY142" s="1332"/>
      <c r="AZ142" s="1332"/>
    </row>
    <row r="143" spans="4:52" hidden="1" outlineLevel="1" x14ac:dyDescent="0.25">
      <c r="D143" s="1424" t="s">
        <v>1296</v>
      </c>
      <c r="E143" s="1424"/>
      <c r="F143" s="1424"/>
      <c r="G143" s="1332"/>
      <c r="H143" s="1595">
        <f>H137/G137-1</f>
        <v>3.3683593843739246</v>
      </c>
      <c r="I143" s="1596">
        <f t="shared" ref="I143:L143" si="219">I137/H137-1</f>
        <v>0.36768649199798142</v>
      </c>
      <c r="J143" s="1595">
        <f t="shared" si="219"/>
        <v>0.74059805761087927</v>
      </c>
      <c r="K143" s="1595">
        <f t="shared" si="219"/>
        <v>0.4606545188211959</v>
      </c>
      <c r="L143" s="1597">
        <f t="shared" si="219"/>
        <v>0.17784938992073807</v>
      </c>
      <c r="M143" s="1598">
        <v>0.05</v>
      </c>
      <c r="N143" s="1598">
        <v>0.05</v>
      </c>
      <c r="O143" s="1598">
        <v>0.05</v>
      </c>
      <c r="P143" s="1513"/>
      <c r="Q143" s="1332"/>
      <c r="R143" s="1332"/>
      <c r="S143" s="1332"/>
      <c r="T143" s="1332"/>
      <c r="U143" s="1351"/>
      <c r="V143" s="1332"/>
      <c r="W143" s="1332"/>
      <c r="X143" s="1331"/>
      <c r="Y143" s="1332"/>
      <c r="Z143" s="1332"/>
      <c r="AA143" s="1332"/>
      <c r="AB143" s="1332"/>
      <c r="AC143" s="1351"/>
      <c r="AD143" s="1332"/>
      <c r="AE143" s="1332"/>
      <c r="AF143" s="1331"/>
      <c r="AG143" s="1332"/>
      <c r="AH143" s="1332"/>
      <c r="AI143" s="1332"/>
      <c r="AJ143" s="1332"/>
      <c r="AK143" s="1351"/>
      <c r="AL143" s="1332"/>
      <c r="AM143" s="1332"/>
      <c r="AN143" s="1331"/>
      <c r="AO143" s="1593">
        <f>M143</f>
        <v>0.05</v>
      </c>
      <c r="AP143" s="1593">
        <f>AO143</f>
        <v>0.05</v>
      </c>
      <c r="AQ143" s="1593">
        <f t="shared" ref="AQ143:AR145" si="220">AP143</f>
        <v>0.05</v>
      </c>
      <c r="AR143" s="1593">
        <f t="shared" si="220"/>
        <v>0.05</v>
      </c>
      <c r="AS143" s="1622">
        <f>N143</f>
        <v>0.05</v>
      </c>
      <c r="AT143" s="1593">
        <f>AS143</f>
        <v>0.05</v>
      </c>
      <c r="AU143" s="1593">
        <f t="shared" ref="AU143:AV145" si="221">AT143</f>
        <v>0.05</v>
      </c>
      <c r="AV143" s="1593">
        <f t="shared" si="221"/>
        <v>0.05</v>
      </c>
      <c r="AW143" s="1622">
        <f>O143</f>
        <v>0.05</v>
      </c>
      <c r="AX143" s="1593">
        <f>AW143</f>
        <v>0.05</v>
      </c>
      <c r="AY143" s="1593">
        <f t="shared" ref="AY143:AZ145" si="222">AX143</f>
        <v>0.05</v>
      </c>
      <c r="AZ143" s="1593">
        <f t="shared" si="222"/>
        <v>0.05</v>
      </c>
    </row>
    <row r="144" spans="4:52" hidden="1" outlineLevel="1" x14ac:dyDescent="0.25">
      <c r="D144" s="1424" t="s">
        <v>1295</v>
      </c>
      <c r="E144" s="1424"/>
      <c r="F144" s="1424"/>
      <c r="G144" s="1332"/>
      <c r="H144" s="1595"/>
      <c r="I144" s="1596"/>
      <c r="J144" s="1595"/>
      <c r="K144" s="1595"/>
      <c r="L144" s="1597"/>
      <c r="M144" s="1594">
        <f>M132/L132-1</f>
        <v>0.3407022590150206</v>
      </c>
      <c r="N144" s="1594">
        <f t="shared" ref="N144:O144" si="223">N132/M132-1</f>
        <v>0.29978962716398505</v>
      </c>
      <c r="O144" s="1594">
        <f t="shared" si="223"/>
        <v>0.27999818611132699</v>
      </c>
      <c r="P144" s="1513"/>
      <c r="Q144" s="1332"/>
      <c r="R144" s="1332"/>
      <c r="S144" s="1332"/>
      <c r="T144" s="1332"/>
      <c r="U144" s="1351"/>
      <c r="V144" s="1332"/>
      <c r="W144" s="1332"/>
      <c r="X144" s="1331"/>
      <c r="Y144" s="1332"/>
      <c r="Z144" s="1332"/>
      <c r="AA144" s="1332"/>
      <c r="AB144" s="1332"/>
      <c r="AC144" s="1351"/>
      <c r="AD144" s="1332"/>
      <c r="AE144" s="1332"/>
      <c r="AF144" s="1331"/>
      <c r="AG144" s="1332"/>
      <c r="AH144" s="1332"/>
      <c r="AI144" s="1332"/>
      <c r="AJ144" s="1332"/>
      <c r="AK144" s="1351"/>
      <c r="AL144" s="1332"/>
      <c r="AM144" s="1332"/>
      <c r="AN144" s="1331"/>
      <c r="AO144" s="1593">
        <f>M144</f>
        <v>0.3407022590150206</v>
      </c>
      <c r="AP144" s="1593">
        <f>AO144</f>
        <v>0.3407022590150206</v>
      </c>
      <c r="AQ144" s="1593">
        <f t="shared" si="220"/>
        <v>0.3407022590150206</v>
      </c>
      <c r="AR144" s="1593">
        <f t="shared" si="220"/>
        <v>0.3407022590150206</v>
      </c>
      <c r="AS144" s="1622">
        <f>N144</f>
        <v>0.29978962716398505</v>
      </c>
      <c r="AT144" s="1593">
        <f>AS144</f>
        <v>0.29978962716398505</v>
      </c>
      <c r="AU144" s="1593">
        <f t="shared" si="221"/>
        <v>0.29978962716398505</v>
      </c>
      <c r="AV144" s="1593">
        <f t="shared" si="221"/>
        <v>0.29978962716398505</v>
      </c>
      <c r="AW144" s="1622">
        <f>O144</f>
        <v>0.27999818611132699</v>
      </c>
      <c r="AX144" s="1593">
        <f>AW144</f>
        <v>0.27999818611132699</v>
      </c>
      <c r="AY144" s="1593">
        <f t="shared" si="222"/>
        <v>0.27999818611132699</v>
      </c>
      <c r="AZ144" s="1593">
        <f t="shared" si="222"/>
        <v>0.27999818611132699</v>
      </c>
    </row>
    <row r="145" spans="4:52" hidden="1" outlineLevel="1" x14ac:dyDescent="0.25">
      <c r="D145" s="1424" t="s">
        <v>1294</v>
      </c>
      <c r="E145" s="1424"/>
      <c r="F145" s="1424"/>
      <c r="G145" s="1425"/>
      <c r="H145" s="1425"/>
      <c r="I145" s="1427"/>
      <c r="J145" s="1425"/>
      <c r="K145" s="1425"/>
      <c r="L145" s="1592"/>
      <c r="M145" s="1598">
        <v>0.05</v>
      </c>
      <c r="N145" s="1598">
        <v>0.05</v>
      </c>
      <c r="O145" s="1598">
        <v>0.05</v>
      </c>
      <c r="P145" s="1538"/>
      <c r="Q145" s="1425"/>
      <c r="R145" s="1425"/>
      <c r="S145" s="1425"/>
      <c r="T145" s="1425"/>
      <c r="U145" s="1426"/>
      <c r="V145" s="1425"/>
      <c r="W145" s="1425"/>
      <c r="X145" s="1427"/>
      <c r="Y145" s="1425"/>
      <c r="Z145" s="1425"/>
      <c r="AA145" s="1425"/>
      <c r="AB145" s="1425"/>
      <c r="AC145" s="1426"/>
      <c r="AD145" s="1425"/>
      <c r="AE145" s="1425"/>
      <c r="AF145" s="1427"/>
      <c r="AG145" s="1425"/>
      <c r="AH145" s="1425"/>
      <c r="AI145" s="1425"/>
      <c r="AJ145" s="1425"/>
      <c r="AK145" s="1426"/>
      <c r="AL145" s="1425"/>
      <c r="AM145" s="1425"/>
      <c r="AN145" s="1427"/>
      <c r="AO145" s="1593">
        <f>M145</f>
        <v>0.05</v>
      </c>
      <c r="AP145" s="1593">
        <f>AO145</f>
        <v>0.05</v>
      </c>
      <c r="AQ145" s="1593">
        <f t="shared" si="220"/>
        <v>0.05</v>
      </c>
      <c r="AR145" s="1593">
        <f t="shared" si="220"/>
        <v>0.05</v>
      </c>
      <c r="AS145" s="1622">
        <f>N145</f>
        <v>0.05</v>
      </c>
      <c r="AT145" s="1593">
        <f>AS145</f>
        <v>0.05</v>
      </c>
      <c r="AU145" s="1593">
        <f t="shared" si="221"/>
        <v>0.05</v>
      </c>
      <c r="AV145" s="1593">
        <f t="shared" si="221"/>
        <v>0.05</v>
      </c>
      <c r="AW145" s="1622">
        <f>O145</f>
        <v>0.05</v>
      </c>
      <c r="AX145" s="1593">
        <f>AW145</f>
        <v>0.05</v>
      </c>
      <c r="AY145" s="1593">
        <f t="shared" si="222"/>
        <v>0.05</v>
      </c>
      <c r="AZ145" s="1593">
        <f t="shared" si="222"/>
        <v>0.05</v>
      </c>
    </row>
    <row r="146" spans="4:52" hidden="1" outlineLevel="1" x14ac:dyDescent="0.25">
      <c r="D146" s="1413"/>
      <c r="E146" s="1424"/>
      <c r="F146" s="1424"/>
      <c r="G146" s="1332"/>
      <c r="H146" s="1332"/>
      <c r="I146" s="1331"/>
      <c r="J146" s="1332"/>
      <c r="K146" s="1332"/>
      <c r="L146" s="1504"/>
      <c r="M146" s="1504"/>
      <c r="N146" s="1504"/>
      <c r="O146" s="1504"/>
      <c r="P146" s="1513"/>
      <c r="Q146" s="1332"/>
      <c r="R146" s="1332"/>
      <c r="S146" s="1332"/>
      <c r="T146" s="1332"/>
      <c r="U146" s="1351"/>
      <c r="V146" s="1332"/>
      <c r="W146" s="1332"/>
      <c r="X146" s="1331"/>
      <c r="Y146" s="1332"/>
      <c r="Z146" s="1332"/>
      <c r="AA146" s="1332"/>
      <c r="AB146" s="1332"/>
      <c r="AC146" s="1351"/>
      <c r="AD146" s="1332"/>
      <c r="AE146" s="1332"/>
      <c r="AF146" s="1331"/>
      <c r="AG146" s="1332"/>
      <c r="AH146" s="1332"/>
      <c r="AI146" s="1332"/>
      <c r="AJ146" s="1332"/>
      <c r="AK146" s="1351"/>
      <c r="AL146" s="1332"/>
      <c r="AM146" s="1332"/>
      <c r="AN146" s="1331"/>
      <c r="AO146" s="1332"/>
      <c r="AP146" s="1332"/>
      <c r="AQ146" s="1332"/>
      <c r="AR146" s="1332"/>
      <c r="AS146" s="1351"/>
      <c r="AT146" s="1332"/>
      <c r="AU146" s="1332"/>
      <c r="AV146" s="1331"/>
      <c r="AW146" s="1332"/>
      <c r="AX146" s="1332"/>
      <c r="AY146" s="1332"/>
      <c r="AZ146" s="1332"/>
    </row>
    <row r="147" spans="4:52" hidden="1" outlineLevel="1" x14ac:dyDescent="0.25">
      <c r="G147" s="16"/>
      <c r="H147" s="16"/>
      <c r="I147" s="492"/>
      <c r="J147" s="491"/>
      <c r="K147" s="16"/>
      <c r="L147" s="55"/>
      <c r="M147" s="55"/>
      <c r="N147" s="55"/>
      <c r="O147" s="55"/>
      <c r="Q147" s="16"/>
      <c r="R147" s="16"/>
      <c r="S147" s="16"/>
      <c r="T147" s="491"/>
      <c r="U147" s="1301"/>
      <c r="V147" s="491"/>
      <c r="W147" s="491"/>
      <c r="X147" s="492"/>
      <c r="Y147" s="491"/>
      <c r="Z147" s="16"/>
      <c r="AA147" s="16"/>
      <c r="AB147" s="491"/>
      <c r="AC147" s="1301"/>
      <c r="AD147" s="491"/>
      <c r="AE147" s="491"/>
      <c r="AF147" s="492"/>
      <c r="AG147" s="491"/>
      <c r="AH147" s="16"/>
      <c r="AI147" s="16"/>
      <c r="AJ147" s="491"/>
      <c r="AK147" s="1301"/>
      <c r="AL147" s="491"/>
      <c r="AM147" s="491"/>
      <c r="AN147" s="492"/>
      <c r="AO147" s="491"/>
      <c r="AP147" s="16"/>
      <c r="AQ147" s="16"/>
      <c r="AR147" s="491"/>
      <c r="AS147" s="1301"/>
      <c r="AT147" s="491"/>
      <c r="AU147" s="491"/>
      <c r="AV147" s="492"/>
      <c r="AW147" s="491"/>
      <c r="AX147" s="16"/>
      <c r="AY147" s="16"/>
      <c r="AZ147" s="16"/>
    </row>
    <row r="148" spans="4:52" hidden="1" outlineLevel="1" x14ac:dyDescent="0.25">
      <c r="D148" s="1371" t="s">
        <v>1288</v>
      </c>
      <c r="E148" s="1"/>
      <c r="F148" s="1"/>
      <c r="I148" s="1689"/>
      <c r="J148" s="373"/>
    </row>
    <row r="149" spans="4:52" hidden="1" outlineLevel="1" x14ac:dyDescent="0.25">
      <c r="D149" s="1373" t="str">
        <f>D137</f>
        <v>Sales &amp; Marketing</v>
      </c>
      <c r="E149" s="377"/>
      <c r="F149" s="377"/>
      <c r="G149" s="469"/>
      <c r="H149" s="469"/>
      <c r="I149" s="470"/>
      <c r="J149" s="469"/>
      <c r="K149" s="469">
        <f>-Overview!C24-K150</f>
        <v>-1.1780477799525298E-2</v>
      </c>
      <c r="L149" s="469">
        <f>-Overview!D24-L150</f>
        <v>-0.57809765410695824</v>
      </c>
      <c r="M149" s="469">
        <f>-Overview!E24-M150</f>
        <v>-4.4298934646151285</v>
      </c>
      <c r="N149" s="469">
        <f>-Overview!F24-N150</f>
        <v>-12.071822712655516</v>
      </c>
      <c r="O149" s="469">
        <f>-Overview!G24-O150</f>
        <v>-27.897401643064903</v>
      </c>
      <c r="P149" s="1709"/>
      <c r="Q149" s="468"/>
      <c r="R149" s="468"/>
      <c r="S149" s="468"/>
      <c r="T149" s="1289"/>
      <c r="U149" s="1306"/>
      <c r="V149" s="1289"/>
      <c r="W149" s="1289"/>
      <c r="X149" s="1318"/>
      <c r="Y149" s="1289"/>
      <c r="Z149" s="468"/>
      <c r="AA149" s="468"/>
      <c r="AB149" s="1289"/>
      <c r="AC149" s="1306"/>
      <c r="AD149" s="1289"/>
      <c r="AE149" s="1289"/>
      <c r="AF149" s="1318"/>
      <c r="AG149" s="1289">
        <f>-Overview!I24-AG150</f>
        <v>-4.6851624696621721E-4</v>
      </c>
      <c r="AH149" s="468">
        <f>-Overview!J24-AH150</f>
        <v>-1.430504418115303E-3</v>
      </c>
      <c r="AI149" s="468">
        <f>-Overview!K24-AI150</f>
        <v>-2.512099008075276E-3</v>
      </c>
      <c r="AJ149" s="1289">
        <f>-Overview!L24-AJ150</f>
        <v>-7.3693581263685002E-3</v>
      </c>
      <c r="AK149" s="1306">
        <f>-Overview!M24-AK150</f>
        <v>-3.5575185734615447E-2</v>
      </c>
      <c r="AL149" s="1289">
        <f>-Overview!N24-AL150</f>
        <v>-9.006653106905288E-2</v>
      </c>
      <c r="AM149" s="1289">
        <f>-Overview!O24-AM150</f>
        <v>-0.17142750102117313</v>
      </c>
      <c r="AN149" s="1318">
        <f>-Overview!P24-AN150</f>
        <v>-0.28102843628211682</v>
      </c>
      <c r="AO149" s="1289">
        <f>-Overview!Q24-AO150</f>
        <v>-0.56515555382398586</v>
      </c>
      <c r="AP149" s="468">
        <f>-Overview!R24-AP150</f>
        <v>-0.89962395241030191</v>
      </c>
      <c r="AQ149" s="468">
        <f>-Overview!S24-AQ150</f>
        <v>-1.3185046897671051</v>
      </c>
      <c r="AR149" s="1289">
        <f>-Overview!T24-AR150</f>
        <v>-1.6466092686137352</v>
      </c>
      <c r="AS149" s="1306">
        <f>-Overview!U24-AS150</f>
        <v>-2.171971615989873</v>
      </c>
      <c r="AT149" s="1289">
        <f>-Overview!V24-AT150</f>
        <v>-2.6337946158551389</v>
      </c>
      <c r="AU149" s="1289">
        <f>-Overview!W24-AU150</f>
        <v>-3.3844370035255533</v>
      </c>
      <c r="AV149" s="1318">
        <f>-Overview!X24-AV150</f>
        <v>-3.8816194772849499</v>
      </c>
      <c r="AW149" s="1289">
        <f>-Overview!Y24-AW150</f>
        <v>-5.3463959973134454</v>
      </c>
      <c r="AX149" s="468">
        <f>-Overview!Z24-AX150</f>
        <v>-6.2351822752438952</v>
      </c>
      <c r="AY149" s="468">
        <f>-Overview!AA24-AY150</f>
        <v>-7.6729960123109455</v>
      </c>
      <c r="AZ149" s="468">
        <f>-Overview!AB24-AZ150</f>
        <v>-8.6428273581966142</v>
      </c>
    </row>
    <row r="150" spans="4:52" s="378" customFormat="1" hidden="1" outlineLevel="1" x14ac:dyDescent="0.25">
      <c r="D150" s="1713" t="str">
        <f>D138</f>
        <v>ASC 606 Adjustment</v>
      </c>
      <c r="E150" s="1696"/>
      <c r="F150" s="1696"/>
      <c r="G150" s="1363"/>
      <c r="H150" s="1363"/>
      <c r="I150" s="1365"/>
      <c r="J150" s="1363"/>
      <c r="K150" s="1363">
        <f>-Overview!C23</f>
        <v>2.1448411462494628E-3</v>
      </c>
      <c r="L150" s="1363">
        <f>-Overview!D23</f>
        <v>9.835083229461819E-2</v>
      </c>
      <c r="M150" s="1363">
        <f>-Overview!E23</f>
        <v>0.82031951822602478</v>
      </c>
      <c r="N150" s="1363">
        <f>-Overview!F23</f>
        <v>2.1134475115900337</v>
      </c>
      <c r="O150" s="1363">
        <f>-Overview!G23</f>
        <v>4.7123581518463649</v>
      </c>
      <c r="P150" s="1697"/>
      <c r="Q150" s="1510"/>
      <c r="R150" s="1510"/>
      <c r="S150" s="1510"/>
      <c r="T150" s="1510"/>
      <c r="U150" s="1511"/>
      <c r="V150" s="1510"/>
      <c r="W150" s="1510"/>
      <c r="X150" s="1512"/>
      <c r="Y150" s="1510"/>
      <c r="Z150" s="1510"/>
      <c r="AA150" s="1510"/>
      <c r="AB150" s="1510"/>
      <c r="AC150" s="1511"/>
      <c r="AD150" s="1510"/>
      <c r="AE150" s="1510"/>
      <c r="AF150" s="1512"/>
      <c r="AG150" s="1510">
        <f>-Overview!I23</f>
        <v>4.0300346361663922E-5</v>
      </c>
      <c r="AH150" s="1510">
        <f>-Overview!J23</f>
        <v>1.9979673884785057E-4</v>
      </c>
      <c r="AI150" s="1510">
        <f>-Overview!K23</f>
        <v>2.9510543268400862E-4</v>
      </c>
      <c r="AJ150" s="1510">
        <f>-Overview!L23</f>
        <v>1.6096386283559396E-3</v>
      </c>
      <c r="AK150" s="1511">
        <f>-Overview!M23</f>
        <v>4.1756076251885993E-3</v>
      </c>
      <c r="AL150" s="1510">
        <f>-Overview!N23</f>
        <v>1.5354148404970789E-2</v>
      </c>
      <c r="AM150" s="1510">
        <f>-Overview!O23</f>
        <v>2.1799308612546808E-2</v>
      </c>
      <c r="AN150" s="1512">
        <f>-Overview!P23</f>
        <v>5.7021767651911991E-2</v>
      </c>
      <c r="AO150" s="1510">
        <f>-Overview!Q23</f>
        <v>7.2137909921819968E-2</v>
      </c>
      <c r="AP150" s="1510">
        <f>-Overview!R23</f>
        <v>0.17128984854392823</v>
      </c>
      <c r="AQ150" s="1510">
        <f>-Overview!S23</f>
        <v>0.1872117102502065</v>
      </c>
      <c r="AR150" s="1510">
        <f>-Overview!T23</f>
        <v>0.38968004951007007</v>
      </c>
      <c r="AS150" s="1511">
        <f>-Overview!U23</f>
        <v>0.27194047057166332</v>
      </c>
      <c r="AT150" s="1510">
        <f>-Overview!V23</f>
        <v>0.49834500975568491</v>
      </c>
      <c r="AU150" s="1510">
        <f>-Overview!W23</f>
        <v>0.45638676371056441</v>
      </c>
      <c r="AV150" s="1512">
        <f>-Overview!X23</f>
        <v>0.88677526755212088</v>
      </c>
      <c r="AW150" s="1510">
        <f>-Overview!Y23</f>
        <v>0.62311587546594072</v>
      </c>
      <c r="AX150" s="1510">
        <f>-Overview!Z23</f>
        <v>1.1373675663080649</v>
      </c>
      <c r="AY150" s="1510">
        <f>-Overview!AA23</f>
        <v>1.001107966377508</v>
      </c>
      <c r="AZ150" s="1510">
        <f>-Overview!AB23</f>
        <v>1.950766743694851</v>
      </c>
    </row>
    <row r="151" spans="4:52" hidden="1" outlineLevel="1" x14ac:dyDescent="0.25">
      <c r="D151" s="1712" t="str">
        <f t="shared" ref="D151:D152" si="224">D139</f>
        <v>R&amp;D</v>
      </c>
      <c r="E151" s="1424"/>
      <c r="F151" s="1424"/>
      <c r="G151" s="1358"/>
      <c r="H151" s="1358"/>
      <c r="I151" s="1357"/>
      <c r="J151" s="1358"/>
      <c r="K151" s="1358">
        <f>-Overview!C26</f>
        <v>0</v>
      </c>
      <c r="L151" s="1358">
        <f>-Overview!D26</f>
        <v>0</v>
      </c>
      <c r="M151" s="1358">
        <f>-Overview!E26</f>
        <v>0</v>
      </c>
      <c r="N151" s="1358">
        <f>-Overview!F26</f>
        <v>0</v>
      </c>
      <c r="O151" s="1358">
        <f>-Overview!G26</f>
        <v>0</v>
      </c>
      <c r="P151" s="1697"/>
      <c r="Q151" s="1394"/>
      <c r="R151" s="1394"/>
      <c r="S151" s="1394"/>
      <c r="T151" s="1394"/>
      <c r="U151" s="1395"/>
      <c r="V151" s="1394"/>
      <c r="W151" s="1394"/>
      <c r="X151" s="1396"/>
      <c r="Y151" s="1394"/>
      <c r="Z151" s="1394"/>
      <c r="AA151" s="1394"/>
      <c r="AB151" s="1394"/>
      <c r="AC151" s="1395"/>
      <c r="AD151" s="1394"/>
      <c r="AE151" s="1394"/>
      <c r="AF151" s="1396"/>
      <c r="AG151" s="1394">
        <f>-Overview!I26</f>
        <v>0</v>
      </c>
      <c r="AH151" s="1394">
        <f>-Overview!J26</f>
        <v>0</v>
      </c>
      <c r="AI151" s="1394">
        <f>-Overview!K26</f>
        <v>0</v>
      </c>
      <c r="AJ151" s="1394">
        <f>-Overview!L26</f>
        <v>0</v>
      </c>
      <c r="AK151" s="1395">
        <f>-Overview!M26</f>
        <v>0</v>
      </c>
      <c r="AL151" s="1394">
        <f>-Overview!N26</f>
        <v>0</v>
      </c>
      <c r="AM151" s="1394">
        <f>-Overview!O26</f>
        <v>0</v>
      </c>
      <c r="AN151" s="1396">
        <f>-Overview!P26</f>
        <v>0</v>
      </c>
      <c r="AO151" s="1394">
        <f>-Overview!Q26</f>
        <v>0</v>
      </c>
      <c r="AP151" s="1394">
        <f>-Overview!R26</f>
        <v>0</v>
      </c>
      <c r="AQ151" s="1394">
        <f>-Overview!S26</f>
        <v>0</v>
      </c>
      <c r="AR151" s="1394">
        <f>-Overview!T26</f>
        <v>0</v>
      </c>
      <c r="AS151" s="1395">
        <f>-Overview!U26</f>
        <v>0</v>
      </c>
      <c r="AT151" s="1394">
        <f>-Overview!V26</f>
        <v>0</v>
      </c>
      <c r="AU151" s="1394">
        <f>-Overview!W26</f>
        <v>0</v>
      </c>
      <c r="AV151" s="1396">
        <f>-Overview!X26</f>
        <v>0</v>
      </c>
      <c r="AW151" s="1394">
        <f>-Overview!Y26</f>
        <v>0</v>
      </c>
      <c r="AX151" s="1394">
        <f>-Overview!Z26</f>
        <v>0</v>
      </c>
      <c r="AY151" s="1394">
        <f>-Overview!AA26</f>
        <v>0</v>
      </c>
      <c r="AZ151" s="1394">
        <f>-Overview!AB26</f>
        <v>0</v>
      </c>
    </row>
    <row r="152" spans="4:52" hidden="1" outlineLevel="1" x14ac:dyDescent="0.25">
      <c r="D152" s="1710" t="str">
        <f t="shared" si="224"/>
        <v>G&amp;A</v>
      </c>
      <c r="E152" s="1703"/>
      <c r="F152" s="1703"/>
      <c r="G152" s="1411"/>
      <c r="H152" s="1411"/>
      <c r="I152" s="1412"/>
      <c r="J152" s="1411"/>
      <c r="K152" s="1411">
        <f>-Overview!C27</f>
        <v>-4.2106978709617205E-3</v>
      </c>
      <c r="L152" s="1411">
        <f>-Overview!D27</f>
        <v>-0.17522578135107553</v>
      </c>
      <c r="M152" s="1411">
        <f>-Overview!E27</f>
        <v>-1.3651788255100352</v>
      </c>
      <c r="N152" s="1411">
        <f>-Overview!F27</f>
        <v>-3.4333100578005769</v>
      </c>
      <c r="O152" s="1411">
        <f>-Overview!G27</f>
        <v>-7.2273699197121246</v>
      </c>
      <c r="P152" s="1697"/>
      <c r="Q152" s="1390"/>
      <c r="R152" s="1390"/>
      <c r="S152" s="1390"/>
      <c r="T152" s="1390"/>
      <c r="U152" s="1391"/>
      <c r="V152" s="1390"/>
      <c r="W152" s="1390"/>
      <c r="X152" s="1392"/>
      <c r="Y152" s="1390"/>
      <c r="Z152" s="1390"/>
      <c r="AA152" s="1390"/>
      <c r="AB152" s="1390"/>
      <c r="AC152" s="1391"/>
      <c r="AD152" s="1390"/>
      <c r="AE152" s="1390"/>
      <c r="AF152" s="1392"/>
      <c r="AG152" s="1390">
        <f>-Overview!I27</f>
        <v>-1.7479975773308245E-4</v>
      </c>
      <c r="AH152" s="1390">
        <f>-Overview!J27</f>
        <v>-5.2791568997467646E-4</v>
      </c>
      <c r="AI152" s="1390">
        <f>-Overview!K27</f>
        <v>-8.510524170982685E-4</v>
      </c>
      <c r="AJ152" s="1390">
        <f>-Overview!L27</f>
        <v>-2.6569300061556936E-3</v>
      </c>
      <c r="AK152" s="1391">
        <f>-Overview!M27</f>
        <v>-1.1991960364132009E-2</v>
      </c>
      <c r="AL152" s="1390">
        <f>-Overview!N27</f>
        <v>-2.8383019608970297E-2</v>
      </c>
      <c r="AM152" s="1390">
        <f>-Overview!O27</f>
        <v>-5.0142313421867958E-2</v>
      </c>
      <c r="AN152" s="1392">
        <f>-Overview!P27</f>
        <v>-8.4708487956105263E-2</v>
      </c>
      <c r="AO152" s="1390">
        <f>-Overview!Q27</f>
        <v>-0.1790362710312712</v>
      </c>
      <c r="AP152" s="1390">
        <f>-Overview!R27</f>
        <v>-0.28136815165627621</v>
      </c>
      <c r="AQ152" s="1390">
        <f>-Overview!S27</f>
        <v>-0.38945926980300299</v>
      </c>
      <c r="AR152" s="1390">
        <f>-Overview!T27</f>
        <v>-0.51531513301948473</v>
      </c>
      <c r="AS152" s="1391">
        <f>-Overview!U27</f>
        <v>-0.66446931225991013</v>
      </c>
      <c r="AT152" s="1390">
        <f>-Overview!V27</f>
        <v>-0.7700582324960511</v>
      </c>
      <c r="AU152" s="1390">
        <f>-Overview!W27</f>
        <v>-0.9109489226471118</v>
      </c>
      <c r="AV152" s="1392">
        <f>-Overview!X27</f>
        <v>-1.0878335903975036</v>
      </c>
      <c r="AW152" s="1390">
        <f>-Overview!Y27</f>
        <v>-1.5265620300461082</v>
      </c>
      <c r="AX152" s="1390">
        <f>-Overview!Z27</f>
        <v>-1.6639406541218384</v>
      </c>
      <c r="AY152" s="1390">
        <f>-Overview!AA27</f>
        <v>-1.8758491979962364</v>
      </c>
      <c r="AZ152" s="1390">
        <f>-Overview!AB27</f>
        <v>-2.1610180375479424</v>
      </c>
    </row>
    <row r="153" spans="4:52" hidden="1" outlineLevel="1" x14ac:dyDescent="0.25">
      <c r="D153" s="1413" t="s">
        <v>1290</v>
      </c>
      <c r="E153" s="1424"/>
      <c r="F153" s="1424"/>
      <c r="G153" s="1322"/>
      <c r="H153" s="1322"/>
      <c r="I153" s="1321"/>
      <c r="J153" s="1322"/>
      <c r="K153" s="1332">
        <f>SUM(K149:K152)</f>
        <v>-1.3846334524237556E-2</v>
      </c>
      <c r="L153" s="1504">
        <f>SUM(L149:L152)</f>
        <v>-0.65497260316341555</v>
      </c>
      <c r="M153" s="1504">
        <f>SUM(M149:M152)</f>
        <v>-4.9747527718991389</v>
      </c>
      <c r="N153" s="1504">
        <f>SUM(N149:N152)</f>
        <v>-13.39168525886606</v>
      </c>
      <c r="O153" s="1504">
        <f>SUM(O149:O152)</f>
        <v>-30.412413410930661</v>
      </c>
      <c r="P153" s="1513"/>
      <c r="Q153" s="1322"/>
      <c r="R153" s="1322"/>
      <c r="S153" s="1322"/>
      <c r="T153" s="1322"/>
      <c r="U153" s="1352"/>
      <c r="V153" s="1322"/>
      <c r="W153" s="1322"/>
      <c r="X153" s="1321"/>
      <c r="Y153" s="1322"/>
      <c r="Z153" s="1322"/>
      <c r="AA153" s="1322"/>
      <c r="AB153" s="1322"/>
      <c r="AC153" s="1352"/>
      <c r="AD153" s="1322"/>
      <c r="AE153" s="1322"/>
      <c r="AF153" s="1321"/>
      <c r="AG153" s="1332">
        <f t="shared" ref="AG153:AZ153" si="225">SUM(AG149:AG152)</f>
        <v>-6.0301565833763575E-4</v>
      </c>
      <c r="AH153" s="1332">
        <f t="shared" si="225"/>
        <v>-1.7586233692421288E-3</v>
      </c>
      <c r="AI153" s="1332">
        <f t="shared" si="225"/>
        <v>-3.0680459924895356E-3</v>
      </c>
      <c r="AJ153" s="1332">
        <f t="shared" si="225"/>
        <v>-8.416649504168254E-3</v>
      </c>
      <c r="AK153" s="1351">
        <f t="shared" si="225"/>
        <v>-4.3391538473558852E-2</v>
      </c>
      <c r="AL153" s="1332">
        <f t="shared" si="225"/>
        <v>-0.10309540227305239</v>
      </c>
      <c r="AM153" s="1332">
        <f t="shared" si="225"/>
        <v>-0.19977050583049427</v>
      </c>
      <c r="AN153" s="1331">
        <f t="shared" si="225"/>
        <v>-0.3087151565863101</v>
      </c>
      <c r="AO153" s="1332">
        <f t="shared" si="225"/>
        <v>-0.67205391493343714</v>
      </c>
      <c r="AP153" s="1332">
        <f t="shared" si="225"/>
        <v>-1.0097022555226498</v>
      </c>
      <c r="AQ153" s="1332">
        <f t="shared" si="225"/>
        <v>-1.5207522493199017</v>
      </c>
      <c r="AR153" s="1332">
        <f t="shared" si="225"/>
        <v>-1.7722443521231499</v>
      </c>
      <c r="AS153" s="1351">
        <f t="shared" si="225"/>
        <v>-2.5645004576781201</v>
      </c>
      <c r="AT153" s="1332">
        <f t="shared" si="225"/>
        <v>-2.9055078385955051</v>
      </c>
      <c r="AU153" s="1332">
        <f t="shared" si="225"/>
        <v>-3.8389991624621009</v>
      </c>
      <c r="AV153" s="1331">
        <f t="shared" si="225"/>
        <v>-4.0826778001303321</v>
      </c>
      <c r="AW153" s="1332">
        <f t="shared" si="225"/>
        <v>-6.2498421518936125</v>
      </c>
      <c r="AX153" s="1332">
        <f t="shared" si="225"/>
        <v>-6.7617553630576692</v>
      </c>
      <c r="AY153" s="1332">
        <f t="shared" si="225"/>
        <v>-8.5477372439296744</v>
      </c>
      <c r="AZ153" s="1332">
        <f t="shared" si="225"/>
        <v>-8.8530786520497049</v>
      </c>
    </row>
    <row r="154" spans="4:52" hidden="1" outlineLevel="1" x14ac:dyDescent="0.25">
      <c r="G154" s="16"/>
      <c r="H154" s="16"/>
      <c r="I154" s="492"/>
      <c r="J154" s="491"/>
      <c r="K154" s="16"/>
      <c r="L154" s="55"/>
      <c r="M154" s="55"/>
      <c r="N154" s="55"/>
      <c r="O154" s="55"/>
      <c r="Q154" s="16"/>
      <c r="R154" s="16"/>
      <c r="S154" s="16"/>
      <c r="T154" s="491"/>
      <c r="U154" s="1301"/>
      <c r="V154" s="491"/>
      <c r="W154" s="491"/>
      <c r="X154" s="492"/>
      <c r="Y154" s="491"/>
      <c r="Z154" s="16"/>
      <c r="AA154" s="16"/>
      <c r="AB154" s="491"/>
      <c r="AC154" s="1301"/>
      <c r="AD154" s="491"/>
      <c r="AE154" s="491"/>
      <c r="AF154" s="492"/>
      <c r="AG154" s="491"/>
      <c r="AH154" s="16"/>
      <c r="AI154" s="16"/>
      <c r="AJ154" s="491"/>
      <c r="AK154" s="1301"/>
      <c r="AL154" s="491"/>
      <c r="AM154" s="491"/>
      <c r="AN154" s="492"/>
      <c r="AO154" s="491"/>
      <c r="AP154" s="16"/>
      <c r="AQ154" s="16"/>
      <c r="AR154" s="491"/>
      <c r="AS154" s="1301"/>
      <c r="AT154" s="491"/>
      <c r="AU154" s="491"/>
      <c r="AV154" s="492"/>
      <c r="AW154" s="491"/>
      <c r="AX154" s="16"/>
      <c r="AY154" s="16"/>
      <c r="AZ154" s="16"/>
    </row>
    <row r="155" spans="4:52" s="7" customFormat="1" collapsed="1" x14ac:dyDescent="0.25">
      <c r="D155" s="7" t="s">
        <v>1291</v>
      </c>
      <c r="G155" s="1539"/>
      <c r="H155" s="1539"/>
      <c r="I155" s="1540"/>
      <c r="J155" s="1541"/>
      <c r="K155" s="1539"/>
      <c r="L155" s="1542"/>
      <c r="M155" s="1542"/>
      <c r="N155" s="1542"/>
      <c r="O155" s="1542"/>
      <c r="P155" s="1543"/>
      <c r="Q155" s="1539"/>
      <c r="R155" s="1539"/>
      <c r="S155" s="1539"/>
      <c r="T155" s="1541"/>
      <c r="U155" s="1544"/>
      <c r="V155" s="1541"/>
      <c r="W155" s="1541"/>
      <c r="X155" s="1540"/>
      <c r="Y155" s="1541"/>
      <c r="Z155" s="1539"/>
      <c r="AA155" s="1539"/>
      <c r="AB155" s="1541"/>
      <c r="AC155" s="1544"/>
      <c r="AD155" s="1541"/>
      <c r="AE155" s="1541"/>
      <c r="AF155" s="1540"/>
      <c r="AG155" s="1541"/>
      <c r="AH155" s="1539"/>
      <c r="AI155" s="1539"/>
      <c r="AJ155" s="1541"/>
      <c r="AK155" s="1544"/>
      <c r="AL155" s="1541"/>
      <c r="AM155" s="1541"/>
      <c r="AN155" s="1540"/>
      <c r="AO155" s="1541"/>
      <c r="AP155" s="1539"/>
      <c r="AQ155" s="1539"/>
      <c r="AR155" s="1541"/>
      <c r="AS155" s="1544"/>
      <c r="AT155" s="1541"/>
      <c r="AU155" s="1541"/>
      <c r="AV155" s="1540"/>
      <c r="AW155" s="1541"/>
      <c r="AX155" s="1539"/>
      <c r="AY155" s="1539"/>
      <c r="AZ155" s="1539"/>
    </row>
    <row r="156" spans="4:52" x14ac:dyDescent="0.25">
      <c r="D156" s="1373" t="str">
        <f>D149</f>
        <v>Sales &amp; Marketing</v>
      </c>
      <c r="G156" s="1527">
        <f>G130+G137+G149</f>
        <v>-22.81709204972222</v>
      </c>
      <c r="H156" s="1527">
        <f t="shared" ref="H156:AZ156" si="226">H130+H137+H149</f>
        <v>-39.988110378493403</v>
      </c>
      <c r="I156" s="1399">
        <f t="shared" si="226"/>
        <v>-47.457532797684429</v>
      </c>
      <c r="J156" s="1398">
        <f t="shared" si="226"/>
        <v>-87.691297809255488</v>
      </c>
      <c r="K156" s="1527">
        <f t="shared" si="226"/>
        <v>-121.47492735069616</v>
      </c>
      <c r="L156" s="1528">
        <f t="shared" si="226"/>
        <v>-169.76966483503799</v>
      </c>
      <c r="M156" s="1528">
        <f t="shared" si="226"/>
        <v>-227.46297137053168</v>
      </c>
      <c r="N156" s="1528">
        <f t="shared" si="226"/>
        <v>-303.05563113703261</v>
      </c>
      <c r="O156" s="1528">
        <f t="shared" si="226"/>
        <v>-444.8292869599623</v>
      </c>
      <c r="P156" s="1538"/>
      <c r="Q156" s="1527">
        <f t="shared" si="226"/>
        <v>-4.30416621</v>
      </c>
      <c r="R156" s="1527">
        <f t="shared" si="226"/>
        <v>-4.6887919622222221</v>
      </c>
      <c r="S156" s="1527">
        <f t="shared" si="226"/>
        <v>-5.9804125875</v>
      </c>
      <c r="T156" s="1398">
        <f t="shared" si="226"/>
        <v>-7.8437212900000004</v>
      </c>
      <c r="U156" s="1401">
        <f t="shared" si="226"/>
        <v>-8.2205105995652161</v>
      </c>
      <c r="V156" s="1398">
        <f t="shared" si="226"/>
        <v>-9.826435228823529</v>
      </c>
      <c r="W156" s="1398">
        <f t="shared" si="226"/>
        <v>-10.348949906956522</v>
      </c>
      <c r="X156" s="1399">
        <f t="shared" si="226"/>
        <v>-11.592214643148147</v>
      </c>
      <c r="Y156" s="1398">
        <f t="shared" si="226"/>
        <v>-10.89936135</v>
      </c>
      <c r="Z156" s="1527">
        <f t="shared" si="226"/>
        <v>-11.272446010023986</v>
      </c>
      <c r="AA156" s="1527">
        <f t="shared" si="226"/>
        <v>-11.59901453625455</v>
      </c>
      <c r="AB156" s="1398">
        <f t="shared" si="226"/>
        <v>-13.686710901405899</v>
      </c>
      <c r="AC156" s="1401">
        <f t="shared" si="226"/>
        <v>-15.763806450000001</v>
      </c>
      <c r="AD156" s="1398">
        <f t="shared" si="226"/>
        <v>-20.862350035886415</v>
      </c>
      <c r="AE156" s="1398">
        <f t="shared" si="226"/>
        <v>-24.469714948907985</v>
      </c>
      <c r="AF156" s="1399">
        <f t="shared" si="226"/>
        <v>-26.595426374461088</v>
      </c>
      <c r="AG156" s="1398">
        <f t="shared" si="226"/>
        <v>-28.808801126048071</v>
      </c>
      <c r="AH156" s="1527">
        <f t="shared" si="226"/>
        <v>-29.277613201843931</v>
      </c>
      <c r="AI156" s="1527">
        <f t="shared" si="226"/>
        <v>-31.306426656152041</v>
      </c>
      <c r="AJ156" s="1398">
        <f t="shared" si="226"/>
        <v>-32.082086366652121</v>
      </c>
      <c r="AK156" s="1401">
        <f t="shared" si="226"/>
        <v>-36.593901055903956</v>
      </c>
      <c r="AL156" s="1398">
        <f t="shared" si="226"/>
        <v>-40.000786824889197</v>
      </c>
      <c r="AM156" s="1398">
        <f t="shared" si="226"/>
        <v>-44.801757294491253</v>
      </c>
      <c r="AN156" s="1399">
        <f t="shared" si="226"/>
        <v>-48.373219659753573</v>
      </c>
      <c r="AO156" s="1398">
        <f t="shared" si="226"/>
        <v>-52.831297644073622</v>
      </c>
      <c r="AP156" s="1527">
        <f t="shared" si="226"/>
        <v>-54.432507433675596</v>
      </c>
      <c r="AQ156" s="1527">
        <f t="shared" si="226"/>
        <v>-59.22277565720907</v>
      </c>
      <c r="AR156" s="1398">
        <f t="shared" si="226"/>
        <v>-60.976390635573345</v>
      </c>
      <c r="AS156" s="1401">
        <f t="shared" si="226"/>
        <v>-67.159241049723633</v>
      </c>
      <c r="AT156" s="1398">
        <f t="shared" si="226"/>
        <v>-71.541038392249746</v>
      </c>
      <c r="AU156" s="1398">
        <f t="shared" si="226"/>
        <v>-79.855937663679839</v>
      </c>
      <c r="AV156" s="1399">
        <f t="shared" si="226"/>
        <v>-84.499414031379388</v>
      </c>
      <c r="AW156" s="1398">
        <f t="shared" si="226"/>
        <v>-95.878031330879978</v>
      </c>
      <c r="AX156" s="1527">
        <f t="shared" si="226"/>
        <v>-104.41838797443587</v>
      </c>
      <c r="AY156" s="1527">
        <f t="shared" si="226"/>
        <v>-117.80145290947947</v>
      </c>
      <c r="AZ156" s="1527">
        <f t="shared" si="226"/>
        <v>-126.73141474516702</v>
      </c>
    </row>
    <row r="157" spans="4:52" x14ac:dyDescent="0.25">
      <c r="D157" s="1713" t="str">
        <f>D150</f>
        <v>ASC 606 Adjustment</v>
      </c>
      <c r="G157" s="1529">
        <f t="shared" ref="G157:AZ157" si="227">G131+G138+G150</f>
        <v>0</v>
      </c>
      <c r="H157" s="1529">
        <f t="shared" si="227"/>
        <v>3.8919546654509989</v>
      </c>
      <c r="I157" s="1530">
        <f t="shared" si="227"/>
        <v>3.1113271107220117</v>
      </c>
      <c r="J157" s="1531">
        <f t="shared" si="227"/>
        <v>10.302434208278834</v>
      </c>
      <c r="K157" s="1529">
        <f t="shared" si="227"/>
        <v>19.448033727486653</v>
      </c>
      <c r="L157" s="1532">
        <f t="shared" si="227"/>
        <v>30.690906739462633</v>
      </c>
      <c r="M157" s="1532">
        <f t="shared" si="227"/>
        <v>43.896223863954752</v>
      </c>
      <c r="N157" s="1532">
        <f t="shared" si="227"/>
        <v>58.361076025008977</v>
      </c>
      <c r="O157" s="1532">
        <f t="shared" si="227"/>
        <v>79.471175676476193</v>
      </c>
      <c r="P157" s="1714"/>
      <c r="Q157" s="1529">
        <f t="shared" si="227"/>
        <v>0</v>
      </c>
      <c r="R157" s="1529">
        <f t="shared" si="227"/>
        <v>0</v>
      </c>
      <c r="S157" s="1529">
        <f t="shared" si="227"/>
        <v>0</v>
      </c>
      <c r="T157" s="1531">
        <f t="shared" si="227"/>
        <v>0</v>
      </c>
      <c r="U157" s="1533">
        <f t="shared" si="227"/>
        <v>0.75475737538199927</v>
      </c>
      <c r="V157" s="1531">
        <f t="shared" si="227"/>
        <v>1.2641148702439997</v>
      </c>
      <c r="W157" s="1531">
        <f t="shared" si="227"/>
        <v>0.67597099999999999</v>
      </c>
      <c r="X157" s="1530">
        <f t="shared" si="227"/>
        <v>1.1971114198250001</v>
      </c>
      <c r="Y157" s="1531">
        <f t="shared" si="227"/>
        <v>0.36125162999999993</v>
      </c>
      <c r="Z157" s="1529">
        <f t="shared" si="227"/>
        <v>0.93856399999999995</v>
      </c>
      <c r="AA157" s="1529">
        <f t="shared" si="227"/>
        <v>0.65929500000000119</v>
      </c>
      <c r="AB157" s="1531">
        <f t="shared" si="227"/>
        <v>1.1522164807220105</v>
      </c>
      <c r="AC157" s="1533">
        <f t="shared" si="227"/>
        <v>0.87072618110277789</v>
      </c>
      <c r="AD157" s="1531">
        <f t="shared" si="227"/>
        <v>2.3422024158939241</v>
      </c>
      <c r="AE157" s="1531">
        <f t="shared" si="227"/>
        <v>3.1911735350808201</v>
      </c>
      <c r="AF157" s="1530">
        <f t="shared" si="227"/>
        <v>3.8983320762013132</v>
      </c>
      <c r="AG157" s="1531">
        <f t="shared" si="227"/>
        <v>2.7294950037823686</v>
      </c>
      <c r="AH157" s="1529">
        <f t="shared" si="227"/>
        <v>4.5149161699768161</v>
      </c>
      <c r="AI157" s="1529">
        <f t="shared" si="227"/>
        <v>4.2096833901681538</v>
      </c>
      <c r="AJ157" s="1531">
        <f t="shared" si="227"/>
        <v>7.9939391635593138</v>
      </c>
      <c r="AK157" s="1533">
        <f t="shared" si="227"/>
        <v>4.865067598035246</v>
      </c>
      <c r="AL157" s="1531">
        <f t="shared" si="227"/>
        <v>7.710830205747647</v>
      </c>
      <c r="AM157" s="1531">
        <f t="shared" si="227"/>
        <v>6.6620083634681073</v>
      </c>
      <c r="AN157" s="1530">
        <f t="shared" si="227"/>
        <v>11.453000572211636</v>
      </c>
      <c r="AO157" s="1531">
        <f t="shared" si="227"/>
        <v>7.3346154184614996</v>
      </c>
      <c r="AP157" s="1529">
        <f t="shared" si="227"/>
        <v>11.233675115776757</v>
      </c>
      <c r="AQ157" s="1529">
        <f t="shared" si="227"/>
        <v>9.3383508298117501</v>
      </c>
      <c r="AR157" s="1531">
        <f t="shared" si="227"/>
        <v>15.989582499904753</v>
      </c>
      <c r="AS157" s="1533">
        <f t="shared" si="227"/>
        <v>9.3370871254295871</v>
      </c>
      <c r="AT157" s="1531">
        <f t="shared" si="227"/>
        <v>14.978360220751338</v>
      </c>
      <c r="AU157" s="1531">
        <f t="shared" si="227"/>
        <v>12.21287621427464</v>
      </c>
      <c r="AV157" s="1530">
        <f t="shared" si="227"/>
        <v>21.832752464553415</v>
      </c>
      <c r="AW157" s="1531">
        <f t="shared" si="227"/>
        <v>11.899265191604504</v>
      </c>
      <c r="AX157" s="1529">
        <f t="shared" si="227"/>
        <v>20.224784433235492</v>
      </c>
      <c r="AY157" s="1529">
        <f t="shared" si="227"/>
        <v>16.574705443903373</v>
      </c>
      <c r="AZ157" s="1529">
        <f t="shared" si="227"/>
        <v>30.772420607732826</v>
      </c>
    </row>
    <row r="158" spans="4:52" x14ac:dyDescent="0.25">
      <c r="D158" s="1712" t="str">
        <f t="shared" ref="D158:D159" si="228">D151</f>
        <v>R&amp;D</v>
      </c>
      <c r="G158" s="1529">
        <f t="shared" ref="G158:AZ158" si="229">G132+G139+G151</f>
        <v>-11.725813750694442</v>
      </c>
      <c r="H158" s="1529">
        <f t="shared" si="229"/>
        <v>-19.729633386380126</v>
      </c>
      <c r="I158" s="1530">
        <f t="shared" si="229"/>
        <v>-26.159598155398832</v>
      </c>
      <c r="J158" s="1531">
        <f t="shared" si="229"/>
        <v>-45.257788168719301</v>
      </c>
      <c r="K158" s="1529">
        <f t="shared" si="229"/>
        <v>-73.076484191441637</v>
      </c>
      <c r="L158" s="1532">
        <f t="shared" si="229"/>
        <v>-101.6163002947257</v>
      </c>
      <c r="M158" s="1532">
        <f t="shared" si="229"/>
        <v>-136.23720335788747</v>
      </c>
      <c r="N158" s="1532">
        <f t="shared" si="229"/>
        <v>-177.07970375841256</v>
      </c>
      <c r="O158" s="1532">
        <f t="shared" si="229"/>
        <v>-226.66169960789921</v>
      </c>
      <c r="P158" s="1714"/>
      <c r="Q158" s="1529">
        <f t="shared" si="229"/>
        <v>-2.4138663900000004</v>
      </c>
      <c r="R158" s="1529">
        <f t="shared" si="229"/>
        <v>-2.6672691544444445</v>
      </c>
      <c r="S158" s="1529">
        <f t="shared" si="229"/>
        <v>-3.1328599100000001</v>
      </c>
      <c r="T158" s="1531">
        <f t="shared" si="229"/>
        <v>-3.5118182962499995</v>
      </c>
      <c r="U158" s="1533">
        <f t="shared" si="229"/>
        <v>-4.1118504869565218</v>
      </c>
      <c r="V158" s="1531">
        <f t="shared" si="229"/>
        <v>-4.9287625041176462</v>
      </c>
      <c r="W158" s="1531">
        <f t="shared" si="229"/>
        <v>-5.3580689295652171</v>
      </c>
      <c r="X158" s="1530">
        <f t="shared" si="229"/>
        <v>-5.3309514657407409</v>
      </c>
      <c r="Y158" s="1531">
        <f t="shared" si="229"/>
        <v>-5.6811600999999996</v>
      </c>
      <c r="Z158" s="1529">
        <f t="shared" si="229"/>
        <v>-6.4965304080604174</v>
      </c>
      <c r="AA158" s="1529">
        <f t="shared" si="229"/>
        <v>-6.7553328382622837</v>
      </c>
      <c r="AB158" s="1531">
        <f t="shared" si="229"/>
        <v>-7.2265748090761326</v>
      </c>
      <c r="AC158" s="1533">
        <f t="shared" si="229"/>
        <v>-9.0132835</v>
      </c>
      <c r="AD158" s="1531">
        <f t="shared" si="229"/>
        <v>-10.233744015089178</v>
      </c>
      <c r="AE158" s="1531">
        <f t="shared" si="229"/>
        <v>-11.946127943175519</v>
      </c>
      <c r="AF158" s="1530">
        <f t="shared" si="229"/>
        <v>-14.064632710454601</v>
      </c>
      <c r="AG158" s="1531">
        <f t="shared" si="229"/>
        <v>-16.28986689396201</v>
      </c>
      <c r="AH158" s="1529">
        <f t="shared" si="229"/>
        <v>-16.97276986409048</v>
      </c>
      <c r="AI158" s="1529">
        <f t="shared" si="229"/>
        <v>-18.816885413141293</v>
      </c>
      <c r="AJ158" s="1531">
        <f t="shared" si="229"/>
        <v>-20.996962020247842</v>
      </c>
      <c r="AK158" s="1533">
        <f t="shared" si="229"/>
        <v>-23.191643798328169</v>
      </c>
      <c r="AL158" s="1531">
        <f t="shared" si="229"/>
        <v>-23.780317143134432</v>
      </c>
      <c r="AM158" s="1531">
        <f t="shared" si="229"/>
        <v>-25.984008573605479</v>
      </c>
      <c r="AN158" s="1530">
        <f t="shared" si="229"/>
        <v>-28.660330779657617</v>
      </c>
      <c r="AO158" s="1531">
        <f t="shared" si="229"/>
        <v>-32.104109654122318</v>
      </c>
      <c r="AP158" s="1529">
        <f t="shared" si="229"/>
        <v>-32.226380423733936</v>
      </c>
      <c r="AQ158" s="1529">
        <f t="shared" si="229"/>
        <v>-34.256144802627183</v>
      </c>
      <c r="AR158" s="1531">
        <f t="shared" si="229"/>
        <v>-37.650568477404022</v>
      </c>
      <c r="AS158" s="1533">
        <f t="shared" si="229"/>
        <v>-41.998528185154335</v>
      </c>
      <c r="AT158" s="1531">
        <f t="shared" si="229"/>
        <v>-42.056020729584759</v>
      </c>
      <c r="AU158" s="1531">
        <f t="shared" si="229"/>
        <v>-44.396639454284532</v>
      </c>
      <c r="AV158" s="1530">
        <f t="shared" si="229"/>
        <v>-48.628515389388937</v>
      </c>
      <c r="AW158" s="1531">
        <f t="shared" si="229"/>
        <v>-54.091680914537854</v>
      </c>
      <c r="AX158" s="1529">
        <f t="shared" si="229"/>
        <v>-54.091680914537854</v>
      </c>
      <c r="AY158" s="1529">
        <f t="shared" si="229"/>
        <v>-56.64717185736837</v>
      </c>
      <c r="AZ158" s="1529">
        <f t="shared" si="229"/>
        <v>-61.831165921455089</v>
      </c>
    </row>
    <row r="159" spans="4:52" x14ac:dyDescent="0.25">
      <c r="D159" s="1715" t="str">
        <f t="shared" si="228"/>
        <v>G&amp;A</v>
      </c>
      <c r="E159" s="1716"/>
      <c r="F159" s="1716"/>
      <c r="G159" s="1534">
        <f t="shared" ref="G159:AZ159" si="230">G133+G140+G152</f>
        <v>-10.189544999583335</v>
      </c>
      <c r="H159" s="1534">
        <f t="shared" si="230"/>
        <v>-16.090794165126457</v>
      </c>
      <c r="I159" s="1535">
        <f t="shared" si="230"/>
        <v>-18.790245052916731</v>
      </c>
      <c r="J159" s="1534">
        <f t="shared" si="230"/>
        <v>-35.625969593169415</v>
      </c>
      <c r="K159" s="1534">
        <f t="shared" si="230"/>
        <v>-55.34641881250797</v>
      </c>
      <c r="L159" s="1536">
        <f t="shared" si="230"/>
        <v>-68.319572277524571</v>
      </c>
      <c r="M159" s="1536">
        <f t="shared" si="230"/>
        <v>-85.37149605692359</v>
      </c>
      <c r="N159" s="1536">
        <f t="shared" si="230"/>
        <v>-105.67025753781981</v>
      </c>
      <c r="O159" s="1536">
        <f t="shared" si="230"/>
        <v>-132.86483682855857</v>
      </c>
      <c r="P159" s="1714"/>
      <c r="Q159" s="1534">
        <f t="shared" si="230"/>
        <v>-1.9729263399999999</v>
      </c>
      <c r="R159" s="1534">
        <f t="shared" si="230"/>
        <v>-2.1776730133333335</v>
      </c>
      <c r="S159" s="1534">
        <f t="shared" si="230"/>
        <v>-2.8256205225</v>
      </c>
      <c r="T159" s="1534">
        <f t="shared" si="230"/>
        <v>-3.2133251237499998</v>
      </c>
      <c r="U159" s="1537">
        <f t="shared" si="230"/>
        <v>-4.2493899634782606</v>
      </c>
      <c r="V159" s="1534">
        <f t="shared" si="230"/>
        <v>-3.6879753970588234</v>
      </c>
      <c r="W159" s="1534">
        <f t="shared" si="230"/>
        <v>-3.8621016834782607</v>
      </c>
      <c r="X159" s="1535">
        <f t="shared" si="230"/>
        <v>-4.2913271211111121</v>
      </c>
      <c r="Y159" s="1534">
        <f t="shared" si="230"/>
        <v>-5.5744125100000002</v>
      </c>
      <c r="Z159" s="1534">
        <f t="shared" si="230"/>
        <v>-3.9870715559155965</v>
      </c>
      <c r="AA159" s="1534">
        <f t="shared" si="230"/>
        <v>-4.2855146014831647</v>
      </c>
      <c r="AB159" s="1534">
        <f t="shared" si="230"/>
        <v>-4.9432463855179698</v>
      </c>
      <c r="AC159" s="1537">
        <f t="shared" si="230"/>
        <v>-6.6678833500000003</v>
      </c>
      <c r="AD159" s="1534">
        <f t="shared" si="230"/>
        <v>-8.6550917157801859</v>
      </c>
      <c r="AE159" s="1534">
        <f t="shared" si="230"/>
        <v>-9.3863383198474573</v>
      </c>
      <c r="AF159" s="1535">
        <f t="shared" si="230"/>
        <v>-10.916656207541781</v>
      </c>
      <c r="AG159" s="1534">
        <f t="shared" si="230"/>
        <v>-13.300027654821331</v>
      </c>
      <c r="AH159" s="1534">
        <f t="shared" si="230"/>
        <v>-13.457025800921642</v>
      </c>
      <c r="AI159" s="1534">
        <f t="shared" si="230"/>
        <v>-13.734082011128589</v>
      </c>
      <c r="AJ159" s="1534">
        <f t="shared" si="230"/>
        <v>-14.855283345636416</v>
      </c>
      <c r="AK159" s="1537">
        <f t="shared" si="230"/>
        <v>-15.910990743841072</v>
      </c>
      <c r="AL159" s="1534">
        <f t="shared" si="230"/>
        <v>-16.192874566714096</v>
      </c>
      <c r="AM159" s="1534">
        <f t="shared" si="230"/>
        <v>-17.262777068817162</v>
      </c>
      <c r="AN159" s="1535">
        <f t="shared" si="230"/>
        <v>-18.952929898152252</v>
      </c>
      <c r="AO159" s="1534">
        <f t="shared" si="230"/>
        <v>-20.239409651111817</v>
      </c>
      <c r="AP159" s="1534">
        <f t="shared" si="230"/>
        <v>-20.488836210626825</v>
      </c>
      <c r="AQ159" s="1534">
        <f t="shared" si="230"/>
        <v>-21.462621460125799</v>
      </c>
      <c r="AR159" s="1534">
        <f t="shared" si="230"/>
        <v>-23.180628735059162</v>
      </c>
      <c r="AS159" s="1537">
        <f t="shared" si="230"/>
        <v>-24.952289643485845</v>
      </c>
      <c r="AT159" s="1534">
        <f t="shared" si="230"/>
        <v>-25.282737550485859</v>
      </c>
      <c r="AU159" s="1534">
        <f t="shared" si="230"/>
        <v>-26.514634901283788</v>
      </c>
      <c r="AV159" s="1535">
        <f t="shared" si="230"/>
        <v>-28.920595442564313</v>
      </c>
      <c r="AW159" s="1534">
        <f t="shared" si="230"/>
        <v>-31.396421560488864</v>
      </c>
      <c r="AX159" s="1534">
        <f t="shared" si="230"/>
        <v>-31.832954231166585</v>
      </c>
      <c r="AY159" s="1534">
        <f t="shared" si="230"/>
        <v>-33.301831739335867</v>
      </c>
      <c r="AZ159" s="1534">
        <f t="shared" si="230"/>
        <v>-36.333629297567256</v>
      </c>
    </row>
    <row r="160" spans="4:52" s="1" customFormat="1" x14ac:dyDescent="0.25">
      <c r="D160" s="1413" t="s">
        <v>1290</v>
      </c>
      <c r="E160" s="14"/>
      <c r="F160" s="14"/>
      <c r="G160" s="1407">
        <f t="shared" ref="G160:AZ160" si="231">G134+G141+G153</f>
        <v>-44.732450799999995</v>
      </c>
      <c r="H160" s="1407">
        <f t="shared" si="231"/>
        <v>-71.91658326454899</v>
      </c>
      <c r="I160" s="1408">
        <f t="shared" si="231"/>
        <v>-89.296048895278005</v>
      </c>
      <c r="J160" s="1407">
        <f t="shared" si="231"/>
        <v>-158.27262136286538</v>
      </c>
      <c r="K160" s="1407">
        <f t="shared" si="231"/>
        <v>-230.44979662715909</v>
      </c>
      <c r="L160" s="1409">
        <f t="shared" si="231"/>
        <v>-309.0146306678256</v>
      </c>
      <c r="M160" s="1409">
        <f t="shared" si="231"/>
        <v>-405.17544692138796</v>
      </c>
      <c r="N160" s="1409">
        <f t="shared" si="231"/>
        <v>-527.44451640825594</v>
      </c>
      <c r="O160" s="1409">
        <f t="shared" si="231"/>
        <v>-724.88464771994381</v>
      </c>
      <c r="P160" s="1513"/>
      <c r="Q160" s="1407">
        <f t="shared" si="231"/>
        <v>-8.6909589399999998</v>
      </c>
      <c r="R160" s="1407">
        <f t="shared" si="231"/>
        <v>-9.5337341300000009</v>
      </c>
      <c r="S160" s="1407">
        <f t="shared" si="231"/>
        <v>-11.93889302</v>
      </c>
      <c r="T160" s="1407">
        <f t="shared" si="231"/>
        <v>-14.568864709999998</v>
      </c>
      <c r="U160" s="1410">
        <f t="shared" si="231"/>
        <v>-15.826993674617997</v>
      </c>
      <c r="V160" s="1407">
        <f t="shared" si="231"/>
        <v>-17.179058259755998</v>
      </c>
      <c r="W160" s="1407">
        <f t="shared" si="231"/>
        <v>-18.893149519999998</v>
      </c>
      <c r="X160" s="1408">
        <f t="shared" si="231"/>
        <v>-20.017381810174999</v>
      </c>
      <c r="Y160" s="1407">
        <f t="shared" si="231"/>
        <v>-21.793682329999996</v>
      </c>
      <c r="Z160" s="1407">
        <f t="shared" si="231"/>
        <v>-20.817483973999998</v>
      </c>
      <c r="AA160" s="1407">
        <f t="shared" si="231"/>
        <v>-21.980566975999999</v>
      </c>
      <c r="AB160" s="1407">
        <f t="shared" si="231"/>
        <v>-24.704315615277988</v>
      </c>
      <c r="AC160" s="1410">
        <f t="shared" si="231"/>
        <v>-30.574247118897219</v>
      </c>
      <c r="AD160" s="1407">
        <f t="shared" si="231"/>
        <v>-37.408983350861853</v>
      </c>
      <c r="AE160" s="1407">
        <f t="shared" si="231"/>
        <v>-42.611007676850136</v>
      </c>
      <c r="AF160" s="1408">
        <f t="shared" si="231"/>
        <v>-47.678383216256158</v>
      </c>
      <c r="AG160" s="1407">
        <f t="shared" si="231"/>
        <v>-55.66920067104904</v>
      </c>
      <c r="AH160" s="1407">
        <f t="shared" si="231"/>
        <v>-55.192492696879235</v>
      </c>
      <c r="AI160" s="1407">
        <f t="shared" si="231"/>
        <v>-59.647710690253767</v>
      </c>
      <c r="AJ160" s="1407">
        <f t="shared" si="231"/>
        <v>-59.940392568977074</v>
      </c>
      <c r="AK160" s="1410">
        <f t="shared" si="231"/>
        <v>-70.831468000037944</v>
      </c>
      <c r="AL160" s="1407">
        <f t="shared" si="231"/>
        <v>-72.263148328990084</v>
      </c>
      <c r="AM160" s="1407">
        <f t="shared" si="231"/>
        <v>-81.3865345734458</v>
      </c>
      <c r="AN160" s="1408">
        <f t="shared" si="231"/>
        <v>-84.533479765351814</v>
      </c>
      <c r="AO160" s="1407">
        <f t="shared" si="231"/>
        <v>-97.840201530846272</v>
      </c>
      <c r="AP160" s="1407">
        <f t="shared" si="231"/>
        <v>-95.914048952259606</v>
      </c>
      <c r="AQ160" s="1407">
        <f t="shared" si="231"/>
        <v>-105.60319109015028</v>
      </c>
      <c r="AR160" s="1407">
        <f t="shared" si="231"/>
        <v>-105.81800534813179</v>
      </c>
      <c r="AS160" s="1410">
        <f t="shared" si="231"/>
        <v>-124.77297175293423</v>
      </c>
      <c r="AT160" s="1407">
        <f t="shared" si="231"/>
        <v>-123.90143645156903</v>
      </c>
      <c r="AU160" s="1407">
        <f t="shared" si="231"/>
        <v>-138.5543358049735</v>
      </c>
      <c r="AV160" s="1408">
        <f t="shared" si="231"/>
        <v>-140.21577239877922</v>
      </c>
      <c r="AW160" s="1407">
        <f t="shared" si="231"/>
        <v>-169.4668686143022</v>
      </c>
      <c r="AX160" s="1407">
        <f t="shared" si="231"/>
        <v>-170.11823868690482</v>
      </c>
      <c r="AY160" s="1407">
        <f t="shared" si="231"/>
        <v>-191.17575106228028</v>
      </c>
      <c r="AZ160" s="1407">
        <f t="shared" si="231"/>
        <v>-194.12378935645654</v>
      </c>
    </row>
    <row r="161" spans="4:52" x14ac:dyDescent="0.25">
      <c r="D161" s="1413"/>
      <c r="G161" s="16"/>
      <c r="H161" s="16"/>
      <c r="I161" s="492"/>
      <c r="J161" s="491"/>
      <c r="K161" s="16"/>
      <c r="L161" s="55"/>
      <c r="M161" s="55"/>
      <c r="N161" s="55"/>
      <c r="O161" s="55"/>
      <c r="Q161" s="16"/>
      <c r="R161" s="16"/>
      <c r="S161" s="16"/>
      <c r="T161" s="491"/>
      <c r="U161" s="1301"/>
      <c r="V161" s="491"/>
      <c r="W161" s="491"/>
      <c r="X161" s="492"/>
      <c r="Y161" s="491"/>
      <c r="Z161" s="16"/>
      <c r="AA161" s="16"/>
      <c r="AB161" s="491"/>
      <c r="AC161" s="1301"/>
      <c r="AD161" s="491"/>
      <c r="AE161" s="491"/>
      <c r="AF161" s="492"/>
      <c r="AG161" s="491"/>
      <c r="AH161" s="16"/>
      <c r="AI161" s="16"/>
      <c r="AJ161" s="491"/>
      <c r="AK161" s="1301"/>
      <c r="AL161" s="491"/>
      <c r="AM161" s="491"/>
      <c r="AN161" s="492"/>
      <c r="AO161" s="491"/>
      <c r="AP161" s="16"/>
      <c r="AQ161" s="16"/>
      <c r="AR161" s="491"/>
      <c r="AS161" s="1301"/>
      <c r="AT161" s="491"/>
      <c r="AU161" s="491"/>
      <c r="AV161" s="492"/>
      <c r="AW161" s="491"/>
      <c r="AX161" s="16"/>
      <c r="AY161" s="16"/>
      <c r="AZ161" s="16"/>
    </row>
    <row r="162" spans="4:52" x14ac:dyDescent="0.25">
      <c r="D162" s="1" t="s">
        <v>1292</v>
      </c>
      <c r="E162" s="1"/>
      <c r="F162" s="1"/>
      <c r="G162" s="1623">
        <f>Forecast!D48/mm</f>
        <v>-29.85194881</v>
      </c>
      <c r="H162" s="1623">
        <f>Forecast!E48/mm</f>
        <v>-39.648971054548994</v>
      </c>
      <c r="I162" s="1624">
        <f>Forecast!F48/mm</f>
        <v>-35.585316229277986</v>
      </c>
      <c r="J162" s="1623">
        <f>Forecast!G48/mm</f>
        <v>-73.220617403975538</v>
      </c>
      <c r="K162" s="1623">
        <f>Forecast!H48/mm</f>
        <v>-76.838506793641628</v>
      </c>
      <c r="L162" s="1625">
        <f>Forecast!I48/mm</f>
        <v>-78.6399698813062</v>
      </c>
      <c r="M162" s="1625">
        <f>Forecast!J48/mm</f>
        <v>-62.919045255775991</v>
      </c>
      <c r="N162" s="1625">
        <f>Forecast!K48/mm</f>
        <v>-21.469037282671213</v>
      </c>
      <c r="O162" s="1625">
        <f>Forecast!L48/mm</f>
        <v>19.372696515537619</v>
      </c>
      <c r="P162" s="1513"/>
      <c r="Q162" s="1623">
        <f>Forecast!N48/mm</f>
        <v>-6.2723514499999995</v>
      </c>
      <c r="R162" s="1623">
        <f>Forecast!O48/mm</f>
        <v>-6.0593941100000004</v>
      </c>
      <c r="S162" s="1623">
        <f>Forecast!P48/mm</f>
        <v>-8.086152049999999</v>
      </c>
      <c r="T162" s="1623">
        <f>Forecast!Q48/mm</f>
        <v>-9.434051199999999</v>
      </c>
      <c r="U162" s="1626">
        <f>Forecast!R48/mm</f>
        <v>-9.6278917746179964</v>
      </c>
      <c r="V162" s="1623">
        <f>Forecast!S48/mm</f>
        <v>-9.7677586297559991</v>
      </c>
      <c r="W162" s="1623">
        <f>Forecast!T48/mm</f>
        <v>-10.661141879999999</v>
      </c>
      <c r="X162" s="1624">
        <f>Forecast!U48/mm</f>
        <v>-9.5921787701750016</v>
      </c>
      <c r="Y162" s="1623">
        <f>Forecast!V48/mm</f>
        <v>-10.351210839999998</v>
      </c>
      <c r="Z162" s="1623">
        <f>Forecast!W48/mm</f>
        <v>-8.49783753</v>
      </c>
      <c r="AA162" s="1623">
        <f>Forecast!X48/mm</f>
        <v>-8.1328408100000029</v>
      </c>
      <c r="AB162" s="1623">
        <f>Forecast!Y48/mm</f>
        <v>-8.6034270492779878</v>
      </c>
      <c r="AC162" s="1626">
        <f>Forecast!Z48/mm</f>
        <v>-13.070546927785221</v>
      </c>
      <c r="AD162" s="1623">
        <f>Forecast!AA48/mm</f>
        <v>-17.715701364922939</v>
      </c>
      <c r="AE162" s="1623">
        <f>Forecast!AB48/mm</f>
        <v>-20.464231862110765</v>
      </c>
      <c r="AF162" s="1624">
        <f>Forecast!AC48/mm</f>
        <v>-21.970137249156593</v>
      </c>
      <c r="AG162" s="1623">
        <f>Forecast!AD48/mm</f>
        <v>-23.060467917583562</v>
      </c>
      <c r="AH162" s="1623">
        <f>Forecast!AE48/mm</f>
        <v>-19.024344913929482</v>
      </c>
      <c r="AI162" s="1623">
        <f>Forecast!AF48/mm</f>
        <v>-20.142011873233216</v>
      </c>
      <c r="AJ162" s="1623">
        <f>Forecast!AG48/mm</f>
        <v>-14.61168208889543</v>
      </c>
      <c r="AK162" s="1626">
        <f>Forecast!AH48/mm</f>
        <v>-21.599624845258955</v>
      </c>
      <c r="AL162" s="1623">
        <f>Forecast!AI48/mm</f>
        <v>-17.513113141119181</v>
      </c>
      <c r="AM162" s="1623">
        <f>Forecast!AJ48/mm</f>
        <v>-22.040701329604037</v>
      </c>
      <c r="AN162" s="1624">
        <f>Forecast!AK48/mm</f>
        <v>-17.486530565324102</v>
      </c>
      <c r="AO162" s="1623">
        <f>Forecast!AL48/mm</f>
        <v>-25.155688277381266</v>
      </c>
      <c r="AP162" s="1623">
        <f>Forecast!AM48/mm</f>
        <v>-14.700085759654481</v>
      </c>
      <c r="AQ162" s="1623">
        <f>Forecast!AN48/mm</f>
        <v>-17.207476178943367</v>
      </c>
      <c r="AR162" s="1623">
        <f>Forecast!AO48/mm</f>
        <v>-5.8557950397968401</v>
      </c>
      <c r="AS162" s="1626">
        <f>Forecast!AP48/mm</f>
        <v>-16.628228018832612</v>
      </c>
      <c r="AT162" s="1623">
        <f>Forecast!AQ48/mm</f>
        <v>-3.7228124876226447</v>
      </c>
      <c r="AU162" s="1623">
        <f>Forecast!AR48/mm</f>
        <v>-7.9430194071860019</v>
      </c>
      <c r="AV162" s="1624">
        <f>Forecast!AS48/mm</f>
        <v>6.8250226309700164</v>
      </c>
      <c r="AW162" s="1623">
        <f>Forecast!AT48/mm</f>
        <v>-10.411768309501417</v>
      </c>
      <c r="AX162" s="1623">
        <f>Forecast!AU48/mm</f>
        <v>6.5007109373435084</v>
      </c>
      <c r="AY162" s="1623">
        <f>Forecast!AV48/mm</f>
        <v>1.3456553413762822</v>
      </c>
      <c r="AZ162" s="1623">
        <f>Forecast!AW48/mm</f>
        <v>21.938098546319225</v>
      </c>
    </row>
    <row r="163" spans="4:52" s="1" customFormat="1" x14ac:dyDescent="0.25">
      <c r="D163" s="1389" t="s">
        <v>1293</v>
      </c>
      <c r="E163" s="1633"/>
      <c r="F163" s="1633"/>
      <c r="G163" s="1379">
        <f>G164-G162</f>
        <v>-1.3799682399999966</v>
      </c>
      <c r="H163" s="1379">
        <f t="shared" ref="H163:O163" si="232">H164-H162</f>
        <v>-4.592459980000001</v>
      </c>
      <c r="I163" s="1380">
        <f t="shared" si="232"/>
        <v>-5.4319781600000141</v>
      </c>
      <c r="J163" s="1379">
        <f t="shared" si="232"/>
        <v>-8.5001262549718462</v>
      </c>
      <c r="K163" s="1379">
        <f t="shared" si="232"/>
        <v>-14.116056367134306</v>
      </c>
      <c r="L163" s="1379">
        <f t="shared" si="232"/>
        <v>-15.742532917985471</v>
      </c>
      <c r="M163" s="1379">
        <f t="shared" si="232"/>
        <v>-16.222786347936442</v>
      </c>
      <c r="N163" s="1379">
        <f t="shared" si="232"/>
        <v>-13.681457621183522</v>
      </c>
      <c r="O163" s="1379">
        <f t="shared" si="232"/>
        <v>-7.0213766445138717</v>
      </c>
      <c r="P163" s="1632"/>
      <c r="Q163" s="1381">
        <f t="shared" ref="Q163" si="233">Q164-Q162</f>
        <v>-0.19230056000000051</v>
      </c>
      <c r="R163" s="1381">
        <f t="shared" ref="R163" si="234">R164-R162</f>
        <v>-0.31864768999999971</v>
      </c>
      <c r="S163" s="1381">
        <f t="shared" ref="S163" si="235">S164-S162</f>
        <v>-0.25744683000000101</v>
      </c>
      <c r="T163" s="1381">
        <f t="shared" ref="T163" si="236">T164-T162</f>
        <v>-0.61157315999999895</v>
      </c>
      <c r="U163" s="1382">
        <f t="shared" ref="U163" si="237">U164-U162</f>
        <v>-0.48567205000000158</v>
      </c>
      <c r="V163" s="1381">
        <f t="shared" ref="V163" si="238">V164-V162</f>
        <v>-0.91885179999999878</v>
      </c>
      <c r="W163" s="1381">
        <f t="shared" ref="W163" si="239">W164-W162</f>
        <v>-1.2836657399999982</v>
      </c>
      <c r="X163" s="1383">
        <f t="shared" ref="X163" si="240">X164-X162</f>
        <v>-1.9042703899999971</v>
      </c>
      <c r="Y163" s="1381">
        <f t="shared" ref="Y163" si="241">Y164-Y162</f>
        <v>-1.5548269999999977</v>
      </c>
      <c r="Z163" s="1381">
        <f t="shared" ref="Z163" si="242">Z164-Z162</f>
        <v>-1.1604775700000012</v>
      </c>
      <c r="AA163" s="1381">
        <f t="shared" ref="AA163" si="243">AA164-AA162</f>
        <v>-1.2875591299999964</v>
      </c>
      <c r="AB163" s="1381">
        <f t="shared" ref="AB163" si="244">AB164-AB162</f>
        <v>-1.4291144599999974</v>
      </c>
      <c r="AC163" s="1382">
        <f t="shared" ref="AC163" si="245">AC164-AC162</f>
        <v>-1.5364580699999966</v>
      </c>
      <c r="AD163" s="1381">
        <f t="shared" ref="AD163" si="246">AD164-AD162</f>
        <v>-2.1124994100000016</v>
      </c>
      <c r="AE163" s="1381">
        <f t="shared" ref="AE163" si="247">AE164-AE162</f>
        <v>-2.3753260599999848</v>
      </c>
      <c r="AF163" s="1383">
        <f t="shared" ref="AF163" si="248">AF164-AF162</f>
        <v>-2.4758427149718507</v>
      </c>
      <c r="AG163" s="1381">
        <f t="shared" ref="AG163" si="249">AG164-AG162</f>
        <v>-3.6032092272961194</v>
      </c>
      <c r="AH163" s="1381">
        <f t="shared" ref="AH163" si="250">AH164-AH162</f>
        <v>-3.4185320270594204</v>
      </c>
      <c r="AI163" s="1381">
        <f t="shared" ref="AI163" si="251">AI164-AI162</f>
        <v>-3.5685483105803613</v>
      </c>
      <c r="AJ163" s="1381">
        <f t="shared" ref="AJ163" si="252">AJ164-AJ162</f>
        <v>-3.5257668021984383</v>
      </c>
      <c r="AK163" s="1382">
        <f t="shared" ref="AK163" si="253">AK164-AK162</f>
        <v>-4.0578230128795632</v>
      </c>
      <c r="AL163" s="1381">
        <f t="shared" ref="AL163" si="254">AL164-AL162</f>
        <v>-3.9156043428602239</v>
      </c>
      <c r="AM163" s="1381">
        <f t="shared" ref="AM163" si="255">AM164-AM162</f>
        <v>-4.028689731842281</v>
      </c>
      <c r="AN163" s="1383">
        <f t="shared" ref="AN163" si="256">AN164-AN162</f>
        <v>-3.7404158304034922</v>
      </c>
      <c r="AO163" s="1381">
        <f t="shared" ref="AO163" si="257">AO164-AO162</f>
        <v>-4.3377479274334334</v>
      </c>
      <c r="AP163" s="1381">
        <f t="shared" ref="AP163" si="258">AP164-AP162</f>
        <v>-4.1009113735905665</v>
      </c>
      <c r="AQ163" s="1381">
        <f t="shared" ref="AQ163" si="259">AQ164-AQ162</f>
        <v>-4.194893720739671</v>
      </c>
      <c r="AR163" s="1381">
        <f t="shared" ref="AR163" si="260">AR164-AR162</f>
        <v>-3.5892333261728364</v>
      </c>
      <c r="AS163" s="1382">
        <f t="shared" ref="AS163" si="261">AS164-AS162</f>
        <v>-4.4631942377282918</v>
      </c>
      <c r="AT163" s="1381">
        <f t="shared" ref="AT163" si="262">AT164-AT162</f>
        <v>-3.6095577643057366</v>
      </c>
      <c r="AU163" s="1381">
        <f t="shared" ref="AU163" si="263">AU164-AU162</f>
        <v>-3.5159664805952513</v>
      </c>
      <c r="AV163" s="1383">
        <f t="shared" ref="AV163" si="264">AV164-AV162</f>
        <v>-2.092739138554327</v>
      </c>
      <c r="AW163" s="1381">
        <f t="shared" ref="AW163" si="265">AW164-AW162</f>
        <v>-3.7831071097600049</v>
      </c>
      <c r="AX163" s="1381">
        <f t="shared" ref="AX163" si="266">AX164-AX162</f>
        <v>-2.1126284981705181</v>
      </c>
      <c r="AY163" s="1381">
        <f t="shared" ref="AY163" si="267">AY164-AY162</f>
        <v>-1.891380817543602</v>
      </c>
      <c r="AZ163" s="1381">
        <f t="shared" ref="AZ163" si="268">AZ164-AZ162</f>
        <v>0.76573978096024575</v>
      </c>
    </row>
    <row r="164" spans="4:52" x14ac:dyDescent="0.25">
      <c r="D164" s="1634" t="s">
        <v>1298</v>
      </c>
      <c r="E164" s="1635"/>
      <c r="F164" s="1635"/>
      <c r="G164" s="1636">
        <f>G123+G160</f>
        <v>-31.231917049999996</v>
      </c>
      <c r="H164" s="1636">
        <f t="shared" ref="H164:AZ164" si="269">H123+H160</f>
        <v>-44.241431034548995</v>
      </c>
      <c r="I164" s="1637">
        <f t="shared" si="269"/>
        <v>-41.017294389278</v>
      </c>
      <c r="J164" s="1636">
        <f t="shared" si="269"/>
        <v>-81.720743658947384</v>
      </c>
      <c r="K164" s="1636">
        <f t="shared" si="269"/>
        <v>-90.954563160775933</v>
      </c>
      <c r="L164" s="1636">
        <f t="shared" si="269"/>
        <v>-94.382502799291672</v>
      </c>
      <c r="M164" s="1636">
        <f t="shared" si="269"/>
        <v>-79.141831603712433</v>
      </c>
      <c r="N164" s="1636">
        <f t="shared" si="269"/>
        <v>-35.150494903854735</v>
      </c>
      <c r="O164" s="1636">
        <f t="shared" si="269"/>
        <v>12.351319871023748</v>
      </c>
      <c r="P164" s="1523"/>
      <c r="Q164" s="1638">
        <f t="shared" si="269"/>
        <v>-6.46465201</v>
      </c>
      <c r="R164" s="1638">
        <f t="shared" si="269"/>
        <v>-6.3780418000000001</v>
      </c>
      <c r="S164" s="1638">
        <f t="shared" si="269"/>
        <v>-8.3435988800000001</v>
      </c>
      <c r="T164" s="1638">
        <f t="shared" si="269"/>
        <v>-10.045624359999998</v>
      </c>
      <c r="U164" s="1639">
        <f t="shared" si="269"/>
        <v>-10.113563824617998</v>
      </c>
      <c r="V164" s="1638">
        <f t="shared" si="269"/>
        <v>-10.686610429755998</v>
      </c>
      <c r="W164" s="1638">
        <f t="shared" si="269"/>
        <v>-11.944807619999997</v>
      </c>
      <c r="X164" s="1640">
        <f t="shared" si="269"/>
        <v>-11.496449160174999</v>
      </c>
      <c r="Y164" s="1638">
        <f t="shared" si="269"/>
        <v>-11.906037839999996</v>
      </c>
      <c r="Z164" s="1638">
        <f t="shared" si="269"/>
        <v>-9.6583151000000012</v>
      </c>
      <c r="AA164" s="1638">
        <f t="shared" si="269"/>
        <v>-9.4203999399999994</v>
      </c>
      <c r="AB164" s="1638">
        <f t="shared" si="269"/>
        <v>-10.032541509277985</v>
      </c>
      <c r="AC164" s="1639">
        <f t="shared" si="269"/>
        <v>-14.607004997785218</v>
      </c>
      <c r="AD164" s="1638">
        <f t="shared" si="269"/>
        <v>-19.828200774922941</v>
      </c>
      <c r="AE164" s="1638">
        <f t="shared" si="269"/>
        <v>-22.83955792211075</v>
      </c>
      <c r="AF164" s="1640">
        <f t="shared" si="269"/>
        <v>-24.445979964128444</v>
      </c>
      <c r="AG164" s="1638">
        <f t="shared" si="269"/>
        <v>-26.663677144879681</v>
      </c>
      <c r="AH164" s="1638">
        <f t="shared" si="269"/>
        <v>-22.442876940988903</v>
      </c>
      <c r="AI164" s="1638">
        <f t="shared" si="269"/>
        <v>-23.710560183813577</v>
      </c>
      <c r="AJ164" s="1638">
        <f t="shared" si="269"/>
        <v>-18.137448891093868</v>
      </c>
      <c r="AK164" s="1639">
        <f t="shared" si="269"/>
        <v>-25.657447858138518</v>
      </c>
      <c r="AL164" s="1638">
        <f t="shared" si="269"/>
        <v>-21.428717483979405</v>
      </c>
      <c r="AM164" s="1638">
        <f t="shared" si="269"/>
        <v>-26.069391061446318</v>
      </c>
      <c r="AN164" s="1640">
        <f t="shared" si="269"/>
        <v>-21.226946395727595</v>
      </c>
      <c r="AO164" s="1638">
        <f t="shared" si="269"/>
        <v>-29.493436204814699</v>
      </c>
      <c r="AP164" s="1638">
        <f t="shared" si="269"/>
        <v>-18.800997133245048</v>
      </c>
      <c r="AQ164" s="1638">
        <f t="shared" si="269"/>
        <v>-21.402369899683038</v>
      </c>
      <c r="AR164" s="1638">
        <f t="shared" si="269"/>
        <v>-9.4450283659696765</v>
      </c>
      <c r="AS164" s="1639">
        <f t="shared" si="269"/>
        <v>-21.091422256560904</v>
      </c>
      <c r="AT164" s="1638">
        <f t="shared" si="269"/>
        <v>-7.3323702519283813</v>
      </c>
      <c r="AU164" s="1638">
        <f t="shared" si="269"/>
        <v>-11.458985887781253</v>
      </c>
      <c r="AV164" s="1640">
        <f t="shared" si="269"/>
        <v>4.7322834924156894</v>
      </c>
      <c r="AW164" s="1638">
        <f t="shared" si="269"/>
        <v>-14.194875419261422</v>
      </c>
      <c r="AX164" s="1638">
        <f t="shared" si="269"/>
        <v>4.3880824391729902</v>
      </c>
      <c r="AY164" s="1638">
        <f t="shared" si="269"/>
        <v>-0.54572547616731981</v>
      </c>
      <c r="AZ164" s="1638">
        <f t="shared" si="269"/>
        <v>22.70383832727947</v>
      </c>
    </row>
    <row r="165" spans="4:52" x14ac:dyDescent="0.25">
      <c r="I165" s="1689"/>
      <c r="T165" s="373"/>
      <c r="U165" s="1690"/>
      <c r="V165" s="373"/>
      <c r="W165" s="373"/>
      <c r="X165" s="1689"/>
      <c r="Y165" s="373"/>
      <c r="AB165" s="373"/>
      <c r="AC165" s="1690"/>
      <c r="AD165" s="373"/>
      <c r="AE165" s="373"/>
      <c r="AF165" s="1689"/>
      <c r="AG165" s="373"/>
      <c r="AJ165" s="373"/>
      <c r="AK165" s="1690"/>
      <c r="AL165" s="373"/>
      <c r="AM165" s="373"/>
      <c r="AN165" s="1689"/>
      <c r="AO165" s="373"/>
      <c r="AR165" s="373"/>
      <c r="AS165" s="1690"/>
      <c r="AT165" s="373"/>
      <c r="AU165" s="373"/>
      <c r="AV165" s="1689"/>
      <c r="AW165" s="373"/>
    </row>
    <row r="166" spans="4:52" hidden="1" outlineLevel="1" x14ac:dyDescent="0.25">
      <c r="D166" s="7" t="str">
        <f>Forecast!C51</f>
        <v>Metrics</v>
      </c>
      <c r="E166" s="7"/>
      <c r="F166" s="7"/>
      <c r="I166" s="1689"/>
      <c r="T166" s="373"/>
      <c r="U166" s="1690"/>
      <c r="V166" s="373"/>
      <c r="W166" s="373"/>
      <c r="X166" s="1689"/>
      <c r="Y166" s="373"/>
      <c r="AB166" s="373"/>
      <c r="AC166" s="1690"/>
      <c r="AD166" s="373"/>
      <c r="AE166" s="373"/>
      <c r="AF166" s="1689"/>
      <c r="AG166" s="373"/>
      <c r="AJ166" s="373"/>
      <c r="AK166" s="1690"/>
      <c r="AL166" s="373"/>
      <c r="AM166" s="373"/>
      <c r="AN166" s="1689"/>
      <c r="AO166" s="373"/>
      <c r="AR166" s="373"/>
      <c r="AS166" s="1690"/>
      <c r="AT166" s="373"/>
      <c r="AU166" s="373"/>
      <c r="AV166" s="1689"/>
      <c r="AW166" s="373"/>
    </row>
    <row r="167" spans="4:52" hidden="1" outlineLevel="1" x14ac:dyDescent="0.25">
      <c r="D167" s="1717" t="str">
        <f>Forecast!C52</f>
        <v>Sub Rev % ARR (per mo)</v>
      </c>
      <c r="E167" s="1717"/>
      <c r="F167" s="1717"/>
      <c r="G167" s="1441">
        <f>Forecast!D52</f>
        <v>7.7756890154017558E-2</v>
      </c>
      <c r="H167" s="1441">
        <f>Forecast!E52</f>
        <v>7.8868761244446597E-2</v>
      </c>
      <c r="I167" s="1442">
        <f>Forecast!F52</f>
        <v>7.9476745364247689E-2</v>
      </c>
      <c r="J167" s="1443">
        <f>Forecast!G52</f>
        <v>7.8425733410540835E-2</v>
      </c>
      <c r="K167" s="1444">
        <f>Forecast!H52</f>
        <v>7.9000000000000001E-2</v>
      </c>
      <c r="L167" s="1444">
        <f>Forecast!I52</f>
        <v>7.9000000000000001E-2</v>
      </c>
      <c r="M167" s="1444">
        <f>Forecast!J52</f>
        <v>7.9000000000000001E-2</v>
      </c>
      <c r="N167" s="1444">
        <f>Forecast!K52</f>
        <v>7.9000000000000001E-2</v>
      </c>
      <c r="O167" s="1518">
        <f>Forecast!L52</f>
        <v>7.9000000000000001E-2</v>
      </c>
      <c r="P167" s="1695"/>
      <c r="Q167" s="1441">
        <f>Forecast!N52</f>
        <v>0.20669701940237217</v>
      </c>
      <c r="R167" s="1441">
        <f>Forecast!O52</f>
        <v>0.21711391183742387</v>
      </c>
      <c r="S167" s="1441">
        <f>Forecast!P52</f>
        <v>0.21950512938441233</v>
      </c>
      <c r="T167" s="1443">
        <f>Forecast!Q52</f>
        <v>0.2073500005732527</v>
      </c>
      <c r="U167" s="1445">
        <f>Forecast!R52</f>
        <v>0.22011035641062146</v>
      </c>
      <c r="V167" s="1443">
        <f>Forecast!S52</f>
        <v>0.21794069490261675</v>
      </c>
      <c r="W167" s="1443">
        <f>Forecast!T52</f>
        <v>0.22755737404108287</v>
      </c>
      <c r="X167" s="1442">
        <f>Forecast!U52</f>
        <v>0.22050182230464568</v>
      </c>
      <c r="Y167" s="1443">
        <f>Forecast!V52</f>
        <v>0.23517284218460988</v>
      </c>
      <c r="Z167" s="1441">
        <f>Forecast!W52</f>
        <v>0.22567647866525312</v>
      </c>
      <c r="AA167" s="1441">
        <f>Forecast!X52</f>
        <v>0.22715975014273632</v>
      </c>
      <c r="AB167" s="1443">
        <f>Forecast!Y52</f>
        <v>0.22416422407451037</v>
      </c>
      <c r="AC167" s="1445">
        <f>Forecast!Z52</f>
        <v>0.23176861464086829</v>
      </c>
      <c r="AD167" s="1443">
        <f>Forecast!AA52</f>
        <v>0.22444475233523528</v>
      </c>
      <c r="AE167" s="1443">
        <f>Forecast!AB52</f>
        <v>0.21877603315287666</v>
      </c>
      <c r="AF167" s="1442">
        <f>Forecast!AC52</f>
        <v>0.21125732177317993</v>
      </c>
      <c r="AG167" s="1443">
        <f>Forecast!AD52</f>
        <v>0.22692620634432153</v>
      </c>
      <c r="AH167" s="1441">
        <f>Forecast!AE52</f>
        <v>0.22583254134682104</v>
      </c>
      <c r="AI167" s="1441">
        <f>Forecast!AF52</f>
        <v>0.22647098485733275</v>
      </c>
      <c r="AJ167" s="1443">
        <f>Forecast!AG52</f>
        <v>0.22380273293822006</v>
      </c>
      <c r="AK167" s="1445">
        <f>Forecast!AH52</f>
        <v>0.22723915728333363</v>
      </c>
      <c r="AL167" s="1443">
        <f>Forecast!AI52</f>
        <v>0.22595847117988305</v>
      </c>
      <c r="AM167" s="1443">
        <f>Forecast!AJ52</f>
        <v>0.22696428698278676</v>
      </c>
      <c r="AN167" s="1442">
        <f>Forecast!AK52</f>
        <v>0.22481800040557304</v>
      </c>
      <c r="AO167" s="1443">
        <f>Forecast!AL52</f>
        <v>0.22764687831684433</v>
      </c>
      <c r="AP167" s="1441">
        <f>Forecast!AM52</f>
        <v>0.2263718572168999</v>
      </c>
      <c r="AQ167" s="1441">
        <f>Forecast!AN52</f>
        <v>0.22730666244496317</v>
      </c>
      <c r="AR167" s="1443">
        <f>Forecast!AO52</f>
        <v>0.22518814402699877</v>
      </c>
      <c r="AS167" s="1445">
        <f>Forecast!AP52</f>
        <v>0.22805157081634075</v>
      </c>
      <c r="AT167" s="1443">
        <f>Forecast!AQ52</f>
        <v>0.22678634364224876</v>
      </c>
      <c r="AU167" s="1443">
        <f>Forecast!AR52</f>
        <v>0.22765259372615132</v>
      </c>
      <c r="AV167" s="1442">
        <f>Forecast!AS52</f>
        <v>0.22556455695413113</v>
      </c>
      <c r="AW167" s="1443">
        <f>Forecast!AT52</f>
        <v>0.22845536339855282</v>
      </c>
      <c r="AX167" s="1441">
        <f>Forecast!AU52</f>
        <v>0.22720385903422149</v>
      </c>
      <c r="AY167" s="1441">
        <f>Forecast!AV52</f>
        <v>0.22800361189909518</v>
      </c>
      <c r="AZ167" s="1441">
        <f>Forecast!AW52</f>
        <v>0.22594929893489174</v>
      </c>
    </row>
    <row r="168" spans="4:52" hidden="1" outlineLevel="1" x14ac:dyDescent="0.25">
      <c r="D168" s="1717" t="str">
        <f>Forecast!C53</f>
        <v>PS Rev % PS Bookings</v>
      </c>
      <c r="E168" s="1717"/>
      <c r="F168" s="1717"/>
      <c r="G168" s="1441">
        <f>Forecast!D53</f>
        <v>0</v>
      </c>
      <c r="H168" s="1441">
        <f>Forecast!E53</f>
        <v>0.85556392494679978</v>
      </c>
      <c r="I168" s="1442">
        <f>Forecast!F53</f>
        <v>1.0056436195790222</v>
      </c>
      <c r="J168" s="1443">
        <f>Forecast!G53</f>
        <v>0.85361543668155715</v>
      </c>
      <c r="K168" s="1444">
        <f>Forecast!H53</f>
        <v>0.9</v>
      </c>
      <c r="L168" s="1444">
        <f>Forecast!I53</f>
        <v>0.9</v>
      </c>
      <c r="M168" s="1444">
        <f>Forecast!J53</f>
        <v>0.9</v>
      </c>
      <c r="N168" s="1444">
        <f>Forecast!K53</f>
        <v>0.9</v>
      </c>
      <c r="O168" s="1518">
        <f>Forecast!L53</f>
        <v>0.9</v>
      </c>
      <c r="P168" s="1695"/>
      <c r="Q168" s="1441">
        <f>Forecast!N53</f>
        <v>0</v>
      </c>
      <c r="R168" s="1441">
        <f>Forecast!O53</f>
        <v>0</v>
      </c>
      <c r="S168" s="1441">
        <f>Forecast!P53</f>
        <v>0</v>
      </c>
      <c r="T168" s="1443">
        <f>Forecast!Q53</f>
        <v>0</v>
      </c>
      <c r="U168" s="1445">
        <f>Forecast!R53</f>
        <v>1.0946279731409709</v>
      </c>
      <c r="V168" s="1443">
        <f>Forecast!S53</f>
        <v>0.89703984625614719</v>
      </c>
      <c r="W168" s="1443">
        <f>Forecast!T53</f>
        <v>0.83534880505527931</v>
      </c>
      <c r="X168" s="1442">
        <f>Forecast!U53</f>
        <v>0.74307388892142878</v>
      </c>
      <c r="Y168" s="1443">
        <f>Forecast!V53</f>
        <v>1.4849402239080625</v>
      </c>
      <c r="Z168" s="1441">
        <f>Forecast!W53</f>
        <v>0.88123230166556599</v>
      </c>
      <c r="AA168" s="1441">
        <f>Forecast!X53</f>
        <v>1.1245143561720674</v>
      </c>
      <c r="AB168" s="1443">
        <f>Forecast!Y53</f>
        <v>0.77307150146642012</v>
      </c>
      <c r="AC168" s="1445">
        <f>Forecast!Z53</f>
        <v>1.0737287805361715</v>
      </c>
      <c r="AD168" s="1443">
        <f>Forecast!AA53</f>
        <v>0.73385432423442609</v>
      </c>
      <c r="AE168" s="1443">
        <f>Forecast!AB53</f>
        <v>0.89247354853159744</v>
      </c>
      <c r="AF168" s="1442">
        <f>Forecast!AC53</f>
        <v>0.81137032583907187</v>
      </c>
      <c r="AG168" s="1443">
        <f>Forecast!AD53</f>
        <v>0.89999999999999991</v>
      </c>
      <c r="AH168" s="1441">
        <f>Forecast!AE53</f>
        <v>0.9</v>
      </c>
      <c r="AI168" s="1441">
        <f>Forecast!AF53</f>
        <v>0.89999999999999991</v>
      </c>
      <c r="AJ168" s="1443">
        <f>Forecast!AG53</f>
        <v>0.9</v>
      </c>
      <c r="AK168" s="1445">
        <f>Forecast!AH53</f>
        <v>0.9</v>
      </c>
      <c r="AL168" s="1443">
        <f>Forecast!AI53</f>
        <v>0.8999999999999998</v>
      </c>
      <c r="AM168" s="1443">
        <f>Forecast!AJ53</f>
        <v>0.9</v>
      </c>
      <c r="AN168" s="1442">
        <f>Forecast!AK53</f>
        <v>0.9</v>
      </c>
      <c r="AO168" s="1443">
        <f>Forecast!AL53</f>
        <v>0.9</v>
      </c>
      <c r="AP168" s="1441">
        <f>Forecast!AM53</f>
        <v>0.9</v>
      </c>
      <c r="AQ168" s="1441">
        <f>Forecast!AN53</f>
        <v>0.89999999999999991</v>
      </c>
      <c r="AR168" s="1443">
        <f>Forecast!AO53</f>
        <v>0.9</v>
      </c>
      <c r="AS168" s="1445">
        <f>Forecast!AP53</f>
        <v>0.9</v>
      </c>
      <c r="AT168" s="1443">
        <f>Forecast!AQ53</f>
        <v>0.90000000000000013</v>
      </c>
      <c r="AU168" s="1443">
        <f>Forecast!AR53</f>
        <v>0.9</v>
      </c>
      <c r="AV168" s="1442">
        <f>Forecast!AS53</f>
        <v>0.89999999999999991</v>
      </c>
      <c r="AW168" s="1443">
        <f>Forecast!AT53</f>
        <v>0.90000000000000024</v>
      </c>
      <c r="AX168" s="1441">
        <f>Forecast!AU53</f>
        <v>0.90000000000000013</v>
      </c>
      <c r="AY168" s="1441">
        <f>Forecast!AV53</f>
        <v>0.9</v>
      </c>
      <c r="AZ168" s="1441">
        <f>Forecast!AW53</f>
        <v>0.9</v>
      </c>
    </row>
    <row r="169" spans="4:52" hidden="1" outlineLevel="1" x14ac:dyDescent="0.25">
      <c r="D169" s="1717" t="str">
        <f>Forecast!C54</f>
        <v>ASC 606 Adjustment % S&amp;M</v>
      </c>
      <c r="E169" s="1717"/>
      <c r="F169" s="1717"/>
      <c r="G169" s="1441">
        <f>Forecast!D54</f>
        <v>0</v>
      </c>
      <c r="H169" s="1441">
        <f>Forecast!E54</f>
        <v>0.10819254671747637</v>
      </c>
      <c r="I169" s="1442">
        <f>Forecast!F54</f>
        <v>7.4140267962148856E-2</v>
      </c>
      <c r="J169" s="1443">
        <f>Forecast!G54</f>
        <v>0.13185980200824743</v>
      </c>
      <c r="K169" s="1441">
        <f>Forecast!H54</f>
        <v>0.1808921271270563</v>
      </c>
      <c r="L169" s="1441">
        <f>Forecast!I54</f>
        <v>0.20028517154150424</v>
      </c>
      <c r="M169" s="1441">
        <f>Forecast!J54</f>
        <v>0.20934599367983359</v>
      </c>
      <c r="N169" s="1441">
        <f>Forecast!K54</f>
        <v>0.20614743939844268</v>
      </c>
      <c r="O169" s="1441">
        <f>Forecast!L54</f>
        <v>0.18788677835656642</v>
      </c>
      <c r="P169" s="1695"/>
      <c r="Q169" s="1441">
        <f>Forecast!N54</f>
        <v>0</v>
      </c>
      <c r="R169" s="1441">
        <f>Forecast!O54</f>
        <v>0</v>
      </c>
      <c r="S169" s="1441">
        <f>Forecast!P54</f>
        <v>0</v>
      </c>
      <c r="T169" s="1443">
        <f>Forecast!Q54</f>
        <v>0</v>
      </c>
      <c r="U169" s="1445">
        <f>Forecast!R54</f>
        <v>9.9014198219423907E-2</v>
      </c>
      <c r="V169" s="1443">
        <f>Forecast!S54</f>
        <v>0.14067854439270913</v>
      </c>
      <c r="W169" s="1443">
        <f>Forecast!T54</f>
        <v>7.3097989414643433E-2</v>
      </c>
      <c r="X169" s="1442">
        <f>Forecast!U54</f>
        <v>0.11833301275930073</v>
      </c>
      <c r="Y169" s="1443">
        <f>Forecast!V54</f>
        <v>3.7527668804613938E-2</v>
      </c>
      <c r="Z169" s="1441">
        <f>Forecast!W54</f>
        <v>9.395192821608693E-2</v>
      </c>
      <c r="AA169" s="1441">
        <f>Forecast!X54</f>
        <v>6.4266364217784741E-2</v>
      </c>
      <c r="AB169" s="1443">
        <f>Forecast!Y54</f>
        <v>9.5299161666474522E-2</v>
      </c>
      <c r="AC169" s="1445">
        <f>Forecast!Z54</f>
        <v>6.2554879343497544E-2</v>
      </c>
      <c r="AD169" s="1443">
        <f>Forecast!AA54</f>
        <v>0.12596755522673828</v>
      </c>
      <c r="AE169" s="1443">
        <f>Forecast!AB54</f>
        <v>0.14544922959578474</v>
      </c>
      <c r="AF169" s="1442">
        <f>Forecast!AC54</f>
        <v>0.16463582971797405</v>
      </c>
      <c r="AG169" s="1443">
        <f>Forecast!AD54</f>
        <v>0.10827284708589603</v>
      </c>
      <c r="AH169" s="1441">
        <f>Forecast!AE54</f>
        <v>0.17458768790881887</v>
      </c>
      <c r="AI169" s="1441">
        <f>Forecast!AF54</f>
        <v>0.15114897014240461</v>
      </c>
      <c r="AJ169" s="1443">
        <f>Forecast!AG54</f>
        <v>0.27962511228053827</v>
      </c>
      <c r="AK169" s="1445">
        <f>Forecast!AH54</f>
        <v>0.14912312999437782</v>
      </c>
      <c r="AL169" s="1443">
        <f>Forecast!AI54</f>
        <v>0.21431479847083457</v>
      </c>
      <c r="AM169" s="1443">
        <f>Forecast!AJ54</f>
        <v>0.16431926176550635</v>
      </c>
      <c r="AN169" s="1442">
        <f>Forecast!AK54</f>
        <v>0.25999976252352597</v>
      </c>
      <c r="AO169" s="1443">
        <f>Forecast!AL54</f>
        <v>0.15096752329686086</v>
      </c>
      <c r="AP169" s="1441">
        <f>Forecast!AM54</f>
        <v>0.22425567993564671</v>
      </c>
      <c r="AQ169" s="1441">
        <f>Forecast!AN54</f>
        <v>0.17113455369397648</v>
      </c>
      <c r="AR169" s="1443">
        <f>Forecast!AO54</f>
        <v>0.28438306185665102</v>
      </c>
      <c r="AS169" s="1445">
        <f>Forecast!AP54</f>
        <v>0.14954211526124436</v>
      </c>
      <c r="AT169" s="1443">
        <f>Forecast!AQ54</f>
        <v>0.22451889578275072</v>
      </c>
      <c r="AU169" s="1443">
        <f>Forecast!AR54</f>
        <v>0.16369599555765069</v>
      </c>
      <c r="AV169" s="1442">
        <f>Forecast!AS54</f>
        <v>0.27589708343139646</v>
      </c>
      <c r="AW169" s="1443">
        <f>Forecast!AT54</f>
        <v>0.13120142621916991</v>
      </c>
      <c r="AX169" s="1441">
        <f>Forecast!AU54</f>
        <v>0.20403699974913161</v>
      </c>
      <c r="AY169" s="1441">
        <f>Forecast!AV54</f>
        <v>0.14797698720298766</v>
      </c>
      <c r="AZ169" s="1441">
        <f>Forecast!AW54</f>
        <v>0.25470857892794502</v>
      </c>
    </row>
    <row r="170" spans="4:52" hidden="1" outlineLevel="1" x14ac:dyDescent="0.25">
      <c r="D170" s="1717" t="str">
        <f>Forecast!C55</f>
        <v>Subscription COGS % Rev</v>
      </c>
      <c r="E170" s="1717"/>
      <c r="F170" s="1717"/>
      <c r="G170" s="1441">
        <f>Forecast!D55</f>
        <v>0.36518905786331329</v>
      </c>
      <c r="H170" s="1441">
        <f>Forecast!E55</f>
        <v>0.38530873589062026</v>
      </c>
      <c r="I170" s="1442">
        <f>Forecast!F55</f>
        <v>0.34350773593914613</v>
      </c>
      <c r="J170" s="1443">
        <f>Forecast!G55</f>
        <v>0.32582962316965736</v>
      </c>
      <c r="K170" s="1441">
        <f>Forecast!H55</f>
        <v>0.25040392192881483</v>
      </c>
      <c r="L170" s="1441">
        <f>Forecast!I55</f>
        <v>0.2387785842408163</v>
      </c>
      <c r="M170" s="1441">
        <f>Forecast!J55</f>
        <v>0.22735897150734885</v>
      </c>
      <c r="N170" s="1441">
        <f>Forecast!K55</f>
        <v>0.21593954473768412</v>
      </c>
      <c r="O170" s="1441">
        <f>Forecast!L55</f>
        <v>0.20302064653368168</v>
      </c>
      <c r="P170" s="1695"/>
      <c r="Q170" s="1441">
        <f>Forecast!N55</f>
        <v>0.34062951332024566</v>
      </c>
      <c r="R170" s="1441">
        <f>Forecast!O55</f>
        <v>0.3391539885018387</v>
      </c>
      <c r="S170" s="1441">
        <f>Forecast!P55</f>
        <v>0.40585121835721188</v>
      </c>
      <c r="T170" s="1443">
        <f>Forecast!Q55</f>
        <v>0.36238978665181232</v>
      </c>
      <c r="U170" s="1445">
        <f>Forecast!R55</f>
        <v>0.35499268661545486</v>
      </c>
      <c r="V170" s="1443">
        <f>Forecast!S55</f>
        <v>0.37327483976161085</v>
      </c>
      <c r="W170" s="1443">
        <f>Forecast!T55</f>
        <v>0.42339990824293439</v>
      </c>
      <c r="X170" s="1442">
        <f>Forecast!U55</f>
        <v>0.37997491935604577</v>
      </c>
      <c r="Y170" s="1443">
        <f>Forecast!V55</f>
        <v>0.38064640672215572</v>
      </c>
      <c r="Z170" s="1441">
        <f>Forecast!W55</f>
        <v>0.3428052260200482</v>
      </c>
      <c r="AA170" s="1441">
        <f>Forecast!X55</f>
        <v>0.34816000748877751</v>
      </c>
      <c r="AB170" s="1443">
        <f>Forecast!Y55</f>
        <v>0.31160376803080631</v>
      </c>
      <c r="AC170" s="1445">
        <f>Forecast!Z55</f>
        <v>0.34222944368835789</v>
      </c>
      <c r="AD170" s="1443">
        <f>Forecast!AA55</f>
        <v>0.33238132556255184</v>
      </c>
      <c r="AE170" s="1443">
        <f>Forecast!AB55</f>
        <v>0.33002158447242813</v>
      </c>
      <c r="AF170" s="1442">
        <f>Forecast!AC55</f>
        <v>0.30542725851862579</v>
      </c>
      <c r="AG170" s="1443">
        <f>Forecast!AD55</f>
        <v>0.25325802713050466</v>
      </c>
      <c r="AH170" s="1441">
        <f>Forecast!AE55</f>
        <v>0.2513218627521312</v>
      </c>
      <c r="AI170" s="1441">
        <f>Forecast!AF55</f>
        <v>0.25004008986930593</v>
      </c>
      <c r="AJ170" s="1443">
        <f>Forecast!AG55</f>
        <v>0.24794816256587052</v>
      </c>
      <c r="AK170" s="1445">
        <f>Forecast!AH55</f>
        <v>0.24131866153141782</v>
      </c>
      <c r="AL170" s="1443">
        <f>Forecast!AI55</f>
        <v>0.23949460276809614</v>
      </c>
      <c r="AM170" s="1443">
        <f>Forecast!AJ55</f>
        <v>0.23845399174013868</v>
      </c>
      <c r="AN170" s="1442">
        <f>Forecast!AK55</f>
        <v>0.23664196536635768</v>
      </c>
      <c r="AO170" s="1443">
        <f>Forecast!AL55</f>
        <v>0.2298930097203844</v>
      </c>
      <c r="AP170" s="1441">
        <f>Forecast!AM55</f>
        <v>0.22807782399907681</v>
      </c>
      <c r="AQ170" s="1441">
        <f>Forecast!AN55</f>
        <v>0.22701760488544698</v>
      </c>
      <c r="AR170" s="1443">
        <f>Forecast!AO55</f>
        <v>0.2252141009055986</v>
      </c>
      <c r="AS170" s="1445">
        <f>Forecast!AP55</f>
        <v>0.21846649169267138</v>
      </c>
      <c r="AT170" s="1443">
        <f>Forecast!AQ55</f>
        <v>0.21666090488895196</v>
      </c>
      <c r="AU170" s="1443">
        <f>Forecast!AR55</f>
        <v>0.21558159747343572</v>
      </c>
      <c r="AV170" s="1442">
        <f>Forecast!AS55</f>
        <v>0.2137871525483131</v>
      </c>
      <c r="AW170" s="1443">
        <f>Forecast!AT55</f>
        <v>0.2065691603513172</v>
      </c>
      <c r="AX170" s="1441">
        <f>Forecast!AU55</f>
        <v>0.20411005851528488</v>
      </c>
      <c r="AY170" s="1441">
        <f>Forecast!AV55</f>
        <v>0.20238430751933631</v>
      </c>
      <c r="AZ170" s="1441">
        <f>Forecast!AW55</f>
        <v>0.2000191396964503</v>
      </c>
    </row>
    <row r="171" spans="4:52" hidden="1" outlineLevel="1" x14ac:dyDescent="0.25">
      <c r="D171" s="1717" t="str">
        <f>Forecast!C56</f>
        <v>PS COGS % Rev</v>
      </c>
      <c r="E171" s="1717"/>
      <c r="F171" s="1717"/>
      <c r="G171" s="1441">
        <f>Forecast!D56</f>
        <v>0.78196274929272114</v>
      </c>
      <c r="H171" s="1441">
        <f>Forecast!E56</f>
        <v>0.89252370082042454</v>
      </c>
      <c r="I171" s="1442">
        <f>Forecast!F56</f>
        <v>0.72161776999536953</v>
      </c>
      <c r="J171" s="1443">
        <f>Forecast!G56</f>
        <v>0.87457133782938445</v>
      </c>
      <c r="K171" s="1441">
        <f>Forecast!H56</f>
        <v>0.80000000000000016</v>
      </c>
      <c r="L171" s="1441">
        <f>Forecast!I56</f>
        <v>0.8</v>
      </c>
      <c r="M171" s="1441">
        <f>Forecast!J56</f>
        <v>0.8</v>
      </c>
      <c r="N171" s="1441">
        <f>Forecast!K56</f>
        <v>0.8</v>
      </c>
      <c r="O171" s="1441">
        <f>Forecast!L56</f>
        <v>0.8</v>
      </c>
      <c r="P171" s="1695"/>
      <c r="Q171" s="1441">
        <f>Forecast!N56</f>
        <v>2.3791940678600856</v>
      </c>
      <c r="R171" s="1441">
        <f>Forecast!O56</f>
        <v>0.74228582761033401</v>
      </c>
      <c r="S171" s="1441">
        <f>Forecast!P56</f>
        <v>0.62018314449395295</v>
      </c>
      <c r="T171" s="1443">
        <f>Forecast!Q56</f>
        <v>0.71792929226699742</v>
      </c>
      <c r="U171" s="1445">
        <f>Forecast!R56</f>
        <v>0.92300883737324035</v>
      </c>
      <c r="V171" s="1443">
        <f>Forecast!S56</f>
        <v>0.96326196961896637</v>
      </c>
      <c r="W171" s="1443">
        <f>Forecast!T56</f>
        <v>1.0106948848371906</v>
      </c>
      <c r="X171" s="1442">
        <f>Forecast!U56</f>
        <v>0.73472268474354718</v>
      </c>
      <c r="Y171" s="1443">
        <f>Forecast!V56</f>
        <v>0.81524232878683689</v>
      </c>
      <c r="Z171" s="1441">
        <f>Forecast!W56</f>
        <v>0.89729376753306422</v>
      </c>
      <c r="AA171" s="1441">
        <f>Forecast!X56</f>
        <v>0.58937713095998845</v>
      </c>
      <c r="AB171" s="1443">
        <f>Forecast!Y56</f>
        <v>0.62259709446434985</v>
      </c>
      <c r="AC171" s="1445">
        <f>Forecast!Z56</f>
        <v>0.59342994725049902</v>
      </c>
      <c r="AD171" s="1443">
        <f>Forecast!AA56</f>
        <v>0.87524176250776042</v>
      </c>
      <c r="AE171" s="1443">
        <f>Forecast!AB56</f>
        <v>0.87128062773969972</v>
      </c>
      <c r="AF171" s="1442">
        <f>Forecast!AC56</f>
        <v>1.0338830254786069</v>
      </c>
      <c r="AG171" s="1443">
        <f>Forecast!AD56</f>
        <v>1.0425501281426324</v>
      </c>
      <c r="AH171" s="1441">
        <f>Forecast!AE56</f>
        <v>0.83293058493314165</v>
      </c>
      <c r="AI171" s="1441">
        <f>Forecast!AF56</f>
        <v>0.87823321128897613</v>
      </c>
      <c r="AJ171" s="1443">
        <f>Forecast!AG56</f>
        <v>0.60631287891534191</v>
      </c>
      <c r="AK171" s="1445">
        <f>Forecast!AH56</f>
        <v>0.9363949800578818</v>
      </c>
      <c r="AL171" s="1443">
        <f>Forecast!AI56</f>
        <v>0.77866955392825299</v>
      </c>
      <c r="AM171" s="1443">
        <f>Forecast!AJ56</f>
        <v>0.89301968258803577</v>
      </c>
      <c r="AN171" s="1442">
        <f>Forecast!AK56</f>
        <v>0.67814307171360211</v>
      </c>
      <c r="AO171" s="1443">
        <f>Forecast!AL56</f>
        <v>0.99166823948459404</v>
      </c>
      <c r="AP171" s="1441">
        <f>Forecast!AM56</f>
        <v>0.78885322417740267</v>
      </c>
      <c r="AQ171" s="1441">
        <f>Forecast!AN56</f>
        <v>0.88216376461197255</v>
      </c>
      <c r="AR171" s="1443">
        <f>Forecast!AO56</f>
        <v>0.64832111115020108</v>
      </c>
      <c r="AS171" s="1445">
        <f>Forecast!AP56</f>
        <v>0.96871306832305093</v>
      </c>
      <c r="AT171" s="1443">
        <f>Forecast!AQ56</f>
        <v>0.7846239115577639</v>
      </c>
      <c r="AU171" s="1443">
        <f>Forecast!AR56</f>
        <v>0.8866722639811222</v>
      </c>
      <c r="AV171" s="1442">
        <f>Forecast!AS56</f>
        <v>0.66070627200747489</v>
      </c>
      <c r="AW171" s="1443">
        <f>Forecast!AT56</f>
        <v>1.063639941291024</v>
      </c>
      <c r="AX171" s="1441">
        <f>Forecast!AU56</f>
        <v>0.80211345319354488</v>
      </c>
      <c r="AY171" s="1441">
        <f>Forecast!AV56</f>
        <v>0.8680281970787378</v>
      </c>
      <c r="AZ171" s="1441">
        <f>Forecast!AW56</f>
        <v>0.60948972549982106</v>
      </c>
    </row>
    <row r="172" spans="4:52" hidden="1" outlineLevel="1" x14ac:dyDescent="0.25">
      <c r="D172" s="1717" t="str">
        <f>Forecast!C57</f>
        <v>Total Bookings / S&amp;M Excl 606</v>
      </c>
      <c r="E172" s="1717"/>
      <c r="F172" s="1717"/>
      <c r="G172" s="1446">
        <f>Forecast!D57</f>
        <v>0.86355210775197155</v>
      </c>
      <c r="H172" s="1446">
        <f>Forecast!E57</f>
        <v>0.77105622790797401</v>
      </c>
      <c r="I172" s="1447">
        <f>Forecast!F57</f>
        <v>0.77068151453536615</v>
      </c>
      <c r="J172" s="1448">
        <f>Forecast!G57</f>
        <v>0.8182622323898302</v>
      </c>
      <c r="K172" s="1446">
        <f>Forecast!H57</f>
        <v>0.81395410701619875</v>
      </c>
      <c r="L172" s="1446">
        <f>Forecast!I57</f>
        <v>0.84495408067616706</v>
      </c>
      <c r="M172" s="1446">
        <f>Forecast!J57</f>
        <v>0.90949083237006478</v>
      </c>
      <c r="N172" s="1446">
        <f>Forecast!K57</f>
        <v>0.97736474196077494</v>
      </c>
      <c r="O172" s="1446">
        <f>Forecast!L57</f>
        <v>0.93830660166613633</v>
      </c>
      <c r="P172" s="1695"/>
      <c r="Q172" s="1446">
        <f>Forecast!N57</f>
        <v>0.80200313614772556</v>
      </c>
      <c r="R172" s="1446">
        <f>Forecast!O57</f>
        <v>0.9203099323663001</v>
      </c>
      <c r="S172" s="1446">
        <f>Forecast!P57</f>
        <v>0.74317988968938664</v>
      </c>
      <c r="T172" s="1448">
        <f>Forecast!Q57</f>
        <v>0.95944830113619284</v>
      </c>
      <c r="U172" s="1449">
        <f>Forecast!R57</f>
        <v>0.74623301097437222</v>
      </c>
      <c r="V172" s="1448">
        <f>Forecast!S57</f>
        <v>0.83515263740205647</v>
      </c>
      <c r="W172" s="1448">
        <f>Forecast!T57</f>
        <v>0.65024730429732469</v>
      </c>
      <c r="X172" s="1447">
        <f>Forecast!U57</f>
        <v>0.84325898634429108</v>
      </c>
      <c r="Y172" s="1448">
        <f>Forecast!V57</f>
        <v>0.54284897407794597</v>
      </c>
      <c r="Z172" s="1446">
        <f>Forecast!W57</f>
        <v>0.81191610303324357</v>
      </c>
      <c r="AA172" s="1446">
        <f>Forecast!X57</f>
        <v>0.79469184680091198</v>
      </c>
      <c r="AB172" s="1448">
        <f>Forecast!Y57</f>
        <v>0.89763510281766801</v>
      </c>
      <c r="AC172" s="1449">
        <f>Forecast!Z57</f>
        <v>0.65151130049860573</v>
      </c>
      <c r="AD172" s="1448">
        <f>Forecast!AA57</f>
        <v>0.76300648596541965</v>
      </c>
      <c r="AE172" s="1448">
        <f>Forecast!AB57</f>
        <v>0.78845056852882134</v>
      </c>
      <c r="AF172" s="1447">
        <f>Forecast!AC57</f>
        <v>0.98729953395438386</v>
      </c>
      <c r="AG172" s="1448">
        <f>Forecast!AD57</f>
        <v>0.61427312153831493</v>
      </c>
      <c r="AH172" s="1446">
        <f>Forecast!AE57</f>
        <v>0.79674212658310795</v>
      </c>
      <c r="AI172" s="1446">
        <f>Forecast!AF57</f>
        <v>0.7293668642777732</v>
      </c>
      <c r="AJ172" s="1448">
        <f>Forecast!AG57</f>
        <v>1.0880590010837186</v>
      </c>
      <c r="AK172" s="1449">
        <f>Forecast!AH57</f>
        <v>0.72209170109255461</v>
      </c>
      <c r="AL172" s="1448">
        <f>Forecast!AI57</f>
        <v>0.88946884087863376</v>
      </c>
      <c r="AM172" s="1448">
        <f>Forecast!AJ57</f>
        <v>0.74141021871633483</v>
      </c>
      <c r="AN172" s="1447">
        <f>Forecast!AK57</f>
        <v>0.99532180045084484</v>
      </c>
      <c r="AO172" s="1448">
        <f>Forecast!AL57</f>
        <v>0.709463482354866</v>
      </c>
      <c r="AP172" s="1446">
        <f>Forecast!AM57</f>
        <v>0.93880791920992013</v>
      </c>
      <c r="AQ172" s="1446">
        <f>Forecast!AN57</f>
        <v>0.81242334815471462</v>
      </c>
      <c r="AR172" s="1448">
        <f>Forecast!AO57</f>
        <v>1.1531665689843469</v>
      </c>
      <c r="AS172" s="1449">
        <f>Forecast!AP57</f>
        <v>0.8022964411055441</v>
      </c>
      <c r="AT172" s="1448">
        <f>Forecast!AQ57</f>
        <v>1.023247791827343</v>
      </c>
      <c r="AU172" s="1448">
        <f>Forecast!AR57</f>
        <v>0.86197587034075795</v>
      </c>
      <c r="AV172" s="1447">
        <f>Forecast!AS57</f>
        <v>1.1873302911927393</v>
      </c>
      <c r="AW172" s="1448">
        <f>Forecast!AT57</f>
        <v>0.79223122269243473</v>
      </c>
      <c r="AX172" s="1446">
        <f>Forecast!AU57</f>
        <v>0.98761287401614672</v>
      </c>
      <c r="AY172" s="1446">
        <f>Forecast!AV57</f>
        <v>0.82350830356547711</v>
      </c>
      <c r="AZ172" s="1446">
        <f>Forecast!AW57</f>
        <v>1.1152642343100676</v>
      </c>
    </row>
    <row r="173" spans="4:52" collapsed="1" x14ac:dyDescent="0.25">
      <c r="D173" s="377"/>
      <c r="E173" s="377"/>
      <c r="F173" s="377"/>
      <c r="G173" s="16"/>
      <c r="H173" s="16"/>
      <c r="I173" s="492"/>
      <c r="J173" s="491"/>
      <c r="K173" s="16"/>
      <c r="L173" s="16"/>
      <c r="M173" s="16"/>
      <c r="N173" s="16"/>
      <c r="O173" s="16"/>
      <c r="P173" s="1695"/>
      <c r="Q173" s="16"/>
      <c r="R173" s="16"/>
      <c r="S173" s="16"/>
      <c r="T173" s="491"/>
      <c r="U173" s="1301"/>
      <c r="V173" s="491"/>
      <c r="W173" s="491"/>
      <c r="X173" s="492"/>
      <c r="Y173" s="491"/>
      <c r="Z173" s="16"/>
      <c r="AA173" s="16"/>
      <c r="AB173" s="491"/>
      <c r="AC173" s="1301"/>
      <c r="AD173" s="491"/>
      <c r="AE173" s="491"/>
      <c r="AF173" s="492"/>
      <c r="AG173" s="491"/>
      <c r="AH173" s="16"/>
      <c r="AI173" s="16"/>
      <c r="AJ173" s="491"/>
      <c r="AK173" s="1301"/>
      <c r="AL173" s="491"/>
      <c r="AM173" s="491"/>
      <c r="AN173" s="492"/>
      <c r="AO173" s="491"/>
      <c r="AP173" s="16"/>
      <c r="AQ173" s="16"/>
      <c r="AR173" s="491"/>
      <c r="AS173" s="1301"/>
      <c r="AT173" s="491"/>
      <c r="AU173" s="491"/>
      <c r="AV173" s="492"/>
      <c r="AW173" s="491"/>
      <c r="AX173" s="16"/>
      <c r="AY173" s="16"/>
      <c r="AZ173" s="16"/>
    </row>
    <row r="174" spans="4:52" x14ac:dyDescent="0.25">
      <c r="G174" s="296"/>
      <c r="H174" s="296"/>
      <c r="I174" s="1718"/>
      <c r="J174" s="296"/>
      <c r="K174" s="296"/>
      <c r="L174" s="296"/>
      <c r="M174" s="296"/>
      <c r="N174" s="296"/>
      <c r="O174" s="296"/>
      <c r="Q174" s="296"/>
      <c r="R174" s="296"/>
      <c r="S174" s="296"/>
      <c r="T174" s="1719"/>
      <c r="U174" s="1720"/>
      <c r="V174" s="1719"/>
      <c r="W174" s="1719"/>
      <c r="X174" s="1718"/>
      <c r="Y174" s="1719"/>
      <c r="Z174" s="296"/>
      <c r="AA174" s="296"/>
      <c r="AB174" s="1719"/>
      <c r="AC174" s="1720"/>
      <c r="AD174" s="1719"/>
      <c r="AE174" s="1719"/>
      <c r="AF174" s="1718"/>
      <c r="AG174" s="1719"/>
      <c r="AH174" s="296"/>
      <c r="AI174" s="296"/>
      <c r="AJ174" s="1719"/>
      <c r="AK174" s="1720"/>
      <c r="AL174" s="1719"/>
      <c r="AM174" s="1719"/>
      <c r="AN174" s="1718"/>
      <c r="AO174" s="1719"/>
      <c r="AP174" s="296"/>
      <c r="AQ174" s="296"/>
      <c r="AR174" s="1719"/>
      <c r="AS174" s="1720"/>
      <c r="AT174" s="1719"/>
      <c r="AU174" s="1719"/>
      <c r="AV174" s="1718"/>
      <c r="AW174" s="1719"/>
      <c r="AX174" s="296"/>
      <c r="AY174" s="296"/>
      <c r="AZ174" s="296"/>
    </row>
    <row r="175" spans="4:52" x14ac:dyDescent="0.25">
      <c r="G175" s="296"/>
      <c r="H175" s="296"/>
      <c r="I175" s="1718"/>
      <c r="J175" s="296"/>
      <c r="K175" s="296"/>
      <c r="L175" s="296"/>
      <c r="M175" s="296"/>
      <c r="N175" s="296"/>
      <c r="O175" s="296"/>
      <c r="Q175" s="296"/>
      <c r="R175" s="296"/>
      <c r="S175" s="296"/>
      <c r="T175" s="1719"/>
      <c r="U175" s="1720"/>
      <c r="V175" s="1719"/>
      <c r="W175" s="1719"/>
      <c r="X175" s="1718"/>
      <c r="Y175" s="1719"/>
      <c r="Z175" s="296"/>
      <c r="AA175" s="296"/>
      <c r="AB175" s="1719"/>
      <c r="AC175" s="1720"/>
      <c r="AD175" s="1719"/>
      <c r="AE175" s="1719"/>
      <c r="AF175" s="1718"/>
      <c r="AG175" s="1719"/>
      <c r="AH175" s="296"/>
      <c r="AI175" s="296"/>
      <c r="AJ175" s="1719"/>
      <c r="AK175" s="1720"/>
      <c r="AL175" s="1719"/>
      <c r="AM175" s="1719"/>
      <c r="AN175" s="1718"/>
      <c r="AO175" s="1719"/>
      <c r="AP175" s="296"/>
      <c r="AQ175" s="296"/>
      <c r="AR175" s="1719"/>
      <c r="AS175" s="1720"/>
      <c r="AT175" s="1719"/>
      <c r="AU175" s="1719"/>
      <c r="AV175" s="1718"/>
      <c r="AW175" s="1719"/>
      <c r="AX175" s="296"/>
      <c r="AY175" s="296"/>
      <c r="AZ175" s="296"/>
    </row>
    <row r="176" spans="4:52" x14ac:dyDescent="0.25">
      <c r="D176" s="3" t="str">
        <f>Forecast!C61</f>
        <v>Cash Burn</v>
      </c>
      <c r="E176" s="3"/>
      <c r="F176" s="3"/>
      <c r="G176" s="376"/>
      <c r="H176" s="376"/>
      <c r="I176" s="1691"/>
      <c r="J176" s="376"/>
      <c r="K176" s="376"/>
      <c r="L176" s="376"/>
      <c r="M176" s="376"/>
      <c r="N176" s="376"/>
      <c r="O176" s="376"/>
      <c r="P176" s="1519"/>
      <c r="Q176" s="376"/>
      <c r="R176" s="376"/>
      <c r="S176" s="376"/>
      <c r="T176" s="1692"/>
      <c r="U176" s="1693"/>
      <c r="V176" s="1692"/>
      <c r="W176" s="1692"/>
      <c r="X176" s="1691"/>
      <c r="Y176" s="1692"/>
      <c r="Z176" s="376"/>
      <c r="AA176" s="376"/>
      <c r="AB176" s="1692"/>
      <c r="AC176" s="1693"/>
      <c r="AD176" s="1692"/>
      <c r="AE176" s="1692"/>
      <c r="AF176" s="1691"/>
      <c r="AG176" s="1692"/>
      <c r="AH176" s="376"/>
      <c r="AI176" s="376"/>
      <c r="AJ176" s="1692"/>
      <c r="AK176" s="1693"/>
      <c r="AL176" s="1692"/>
      <c r="AM176" s="1692"/>
      <c r="AN176" s="1691"/>
      <c r="AO176" s="1692"/>
      <c r="AP176" s="376"/>
      <c r="AQ176" s="376"/>
      <c r="AR176" s="1692"/>
      <c r="AS176" s="1693"/>
      <c r="AT176" s="1692"/>
      <c r="AU176" s="1692"/>
      <c r="AV176" s="1691"/>
      <c r="AW176" s="1692"/>
      <c r="AX176" s="376"/>
      <c r="AY176" s="376"/>
      <c r="AZ176" s="376"/>
    </row>
    <row r="177" spans="4:52" x14ac:dyDescent="0.25">
      <c r="G177" s="296"/>
      <c r="H177" s="296"/>
      <c r="I177" s="1718"/>
      <c r="J177" s="296"/>
      <c r="K177" s="296"/>
      <c r="L177" s="296"/>
      <c r="M177" s="296"/>
      <c r="N177" s="296"/>
      <c r="O177" s="296"/>
      <c r="Q177" s="296"/>
      <c r="R177" s="296"/>
      <c r="S177" s="296"/>
      <c r="T177" s="1719"/>
      <c r="U177" s="1720"/>
      <c r="V177" s="1719"/>
      <c r="W177" s="1719"/>
      <c r="X177" s="1718"/>
      <c r="Y177" s="1719"/>
      <c r="Z177" s="296"/>
      <c r="AA177" s="296"/>
      <c r="AB177" s="1719"/>
      <c r="AC177" s="1720"/>
      <c r="AD177" s="1719"/>
      <c r="AE177" s="1719"/>
      <c r="AF177" s="1718"/>
      <c r="AG177" s="1719"/>
      <c r="AH177" s="296"/>
      <c r="AI177" s="296"/>
      <c r="AJ177" s="1719"/>
      <c r="AK177" s="1720"/>
      <c r="AL177" s="1719"/>
      <c r="AM177" s="1719"/>
      <c r="AN177" s="1718"/>
      <c r="AO177" s="1719"/>
      <c r="AP177" s="296"/>
      <c r="AQ177" s="296"/>
      <c r="AR177" s="1719"/>
      <c r="AS177" s="1720"/>
      <c r="AT177" s="1719"/>
      <c r="AU177" s="1719"/>
      <c r="AV177" s="1718"/>
      <c r="AW177" s="1719"/>
      <c r="AX177" s="296"/>
      <c r="AY177" s="296"/>
      <c r="AZ177" s="296"/>
    </row>
    <row r="178" spans="4:52" ht="17.25" x14ac:dyDescent="0.4">
      <c r="D178" s="506"/>
      <c r="E178" s="506"/>
      <c r="F178" s="506"/>
      <c r="G178" s="504" t="s">
        <v>810</v>
      </c>
      <c r="H178" s="504"/>
      <c r="I178" s="505"/>
      <c r="J178" s="504" t="s">
        <v>809</v>
      </c>
      <c r="K178" s="504"/>
      <c r="L178" s="504"/>
      <c r="M178" s="504"/>
      <c r="N178" s="504"/>
      <c r="O178" s="504"/>
      <c r="P178" s="1519"/>
      <c r="Q178" s="504" t="str">
        <f>Q$49</f>
        <v>FY2019</v>
      </c>
      <c r="R178" s="504"/>
      <c r="S178" s="504"/>
      <c r="T178" s="1282"/>
      <c r="U178" s="504" t="str">
        <f>U$49</f>
        <v>FY2020</v>
      </c>
      <c r="V178" s="1282"/>
      <c r="W178" s="1282"/>
      <c r="X178" s="505"/>
      <c r="Y178" s="504" t="str">
        <f>Y$49</f>
        <v>FY2021</v>
      </c>
      <c r="Z178" s="504"/>
      <c r="AA178" s="504"/>
      <c r="AB178" s="1282"/>
      <c r="AC178" s="504" t="str">
        <f>AC$49</f>
        <v>FY2022</v>
      </c>
      <c r="AD178" s="1282"/>
      <c r="AE178" s="1282"/>
      <c r="AF178" s="505"/>
      <c r="AG178" s="504" t="str">
        <f>AG$49</f>
        <v>FY2023</v>
      </c>
      <c r="AH178" s="504"/>
      <c r="AI178" s="504"/>
      <c r="AJ178" s="1282"/>
      <c r="AK178" s="504" t="str">
        <f>AK$49</f>
        <v>FY2024</v>
      </c>
      <c r="AL178" s="1282"/>
      <c r="AM178" s="1282"/>
      <c r="AN178" s="505"/>
      <c r="AO178" s="504" t="str">
        <f>AO$49</f>
        <v>FY2025</v>
      </c>
      <c r="AP178" s="504"/>
      <c r="AQ178" s="504"/>
      <c r="AR178" s="1282"/>
      <c r="AS178" s="504" t="str">
        <f>AS$49</f>
        <v>FY2026</v>
      </c>
      <c r="AT178" s="1282"/>
      <c r="AU178" s="1282"/>
      <c r="AV178" s="505"/>
      <c r="AW178" s="504" t="str">
        <f>AW$49</f>
        <v>FY2027</v>
      </c>
      <c r="AX178" s="504"/>
      <c r="AY178" s="504"/>
      <c r="AZ178" s="504"/>
    </row>
    <row r="179" spans="4:52" ht="17.25" x14ac:dyDescent="0.4">
      <c r="D179" s="503" t="s">
        <v>808</v>
      </c>
      <c r="E179" s="503"/>
      <c r="F179" s="502"/>
      <c r="G179" s="501">
        <v>43496</v>
      </c>
      <c r="H179" s="501">
        <f t="shared" ref="H179:O179" si="270">EOMONTH(G179,12)</f>
        <v>43861</v>
      </c>
      <c r="I179" s="500">
        <f t="shared" si="270"/>
        <v>44227</v>
      </c>
      <c r="J179" s="499">
        <f t="shared" si="270"/>
        <v>44592</v>
      </c>
      <c r="K179" s="499">
        <f t="shared" si="270"/>
        <v>44957</v>
      </c>
      <c r="L179" s="499">
        <f t="shared" si="270"/>
        <v>45322</v>
      </c>
      <c r="M179" s="499">
        <f t="shared" si="270"/>
        <v>45688</v>
      </c>
      <c r="N179" s="499">
        <f t="shared" si="270"/>
        <v>46053</v>
      </c>
      <c r="O179" s="499">
        <f t="shared" si="270"/>
        <v>46418</v>
      </c>
      <c r="Q179" s="498">
        <f>EOMONTH(R179,-3)</f>
        <v>43220</v>
      </c>
      <c r="R179" s="498">
        <f>EOMONTH(S179,-3)</f>
        <v>43312</v>
      </c>
      <c r="S179" s="498">
        <f>EOMONTH(T179,-3)</f>
        <v>43404</v>
      </c>
      <c r="T179" s="1283">
        <f>G179</f>
        <v>43496</v>
      </c>
      <c r="U179" s="1294">
        <f t="shared" ref="U179:AZ179" si="271">EOMONTH(T179,3)</f>
        <v>43585</v>
      </c>
      <c r="V179" s="1283">
        <f t="shared" si="271"/>
        <v>43677</v>
      </c>
      <c r="W179" s="1283">
        <f t="shared" si="271"/>
        <v>43769</v>
      </c>
      <c r="X179" s="1314">
        <f t="shared" si="271"/>
        <v>43861</v>
      </c>
      <c r="Y179" s="1283">
        <f t="shared" si="271"/>
        <v>43951</v>
      </c>
      <c r="Z179" s="498">
        <f t="shared" si="271"/>
        <v>44043</v>
      </c>
      <c r="AA179" s="498">
        <f t="shared" si="271"/>
        <v>44135</v>
      </c>
      <c r="AB179" s="1283">
        <f t="shared" si="271"/>
        <v>44227</v>
      </c>
      <c r="AC179" s="1294">
        <f t="shared" si="271"/>
        <v>44316</v>
      </c>
      <c r="AD179" s="1283">
        <f t="shared" si="271"/>
        <v>44408</v>
      </c>
      <c r="AE179" s="1283">
        <f t="shared" si="271"/>
        <v>44500</v>
      </c>
      <c r="AF179" s="1314">
        <f t="shared" si="271"/>
        <v>44592</v>
      </c>
      <c r="AG179" s="1283">
        <f t="shared" si="271"/>
        <v>44681</v>
      </c>
      <c r="AH179" s="498">
        <f t="shared" si="271"/>
        <v>44773</v>
      </c>
      <c r="AI179" s="498">
        <f t="shared" si="271"/>
        <v>44865</v>
      </c>
      <c r="AJ179" s="1283">
        <f t="shared" si="271"/>
        <v>44957</v>
      </c>
      <c r="AK179" s="1294">
        <f t="shared" si="271"/>
        <v>45046</v>
      </c>
      <c r="AL179" s="1283">
        <f t="shared" si="271"/>
        <v>45138</v>
      </c>
      <c r="AM179" s="1283">
        <f t="shared" si="271"/>
        <v>45230</v>
      </c>
      <c r="AN179" s="1314">
        <f t="shared" si="271"/>
        <v>45322</v>
      </c>
      <c r="AO179" s="1283">
        <f t="shared" si="271"/>
        <v>45412</v>
      </c>
      <c r="AP179" s="498">
        <f t="shared" si="271"/>
        <v>45504</v>
      </c>
      <c r="AQ179" s="498">
        <f t="shared" si="271"/>
        <v>45596</v>
      </c>
      <c r="AR179" s="1283">
        <f t="shared" si="271"/>
        <v>45688</v>
      </c>
      <c r="AS179" s="1294">
        <f t="shared" si="271"/>
        <v>45777</v>
      </c>
      <c r="AT179" s="1283">
        <f t="shared" si="271"/>
        <v>45869</v>
      </c>
      <c r="AU179" s="1283">
        <f t="shared" si="271"/>
        <v>45961</v>
      </c>
      <c r="AV179" s="1314">
        <f t="shared" si="271"/>
        <v>46053</v>
      </c>
      <c r="AW179" s="1283">
        <f t="shared" si="271"/>
        <v>46142</v>
      </c>
      <c r="AX179" s="498">
        <f t="shared" si="271"/>
        <v>46234</v>
      </c>
      <c r="AY179" s="498">
        <f t="shared" si="271"/>
        <v>46326</v>
      </c>
      <c r="AZ179" s="498">
        <f t="shared" si="271"/>
        <v>46418</v>
      </c>
    </row>
    <row r="180" spans="4:52" x14ac:dyDescent="0.25">
      <c r="D180" s="1372" t="s">
        <v>1300</v>
      </c>
      <c r="G180" s="296"/>
      <c r="H180" s="296"/>
      <c r="I180" s="1718"/>
      <c r="J180" s="296"/>
      <c r="K180" s="296"/>
      <c r="L180" s="296"/>
      <c r="M180" s="296"/>
      <c r="N180" s="296"/>
      <c r="O180" s="296"/>
      <c r="Q180" s="296"/>
      <c r="R180" s="296"/>
      <c r="S180" s="296"/>
      <c r="T180" s="1719"/>
      <c r="U180" s="1720"/>
      <c r="V180" s="1719"/>
      <c r="W180" s="1719"/>
      <c r="X180" s="1718"/>
      <c r="Y180" s="1719"/>
      <c r="Z180" s="296"/>
      <c r="AA180" s="296"/>
      <c r="AB180" s="1719"/>
      <c r="AC180" s="1720"/>
      <c r="AD180" s="1719"/>
      <c r="AE180" s="1719"/>
      <c r="AF180" s="1718"/>
      <c r="AG180" s="1719"/>
      <c r="AH180" s="296"/>
      <c r="AI180" s="296"/>
      <c r="AJ180" s="1719"/>
      <c r="AK180" s="1720"/>
      <c r="AL180" s="1719"/>
      <c r="AM180" s="1719"/>
      <c r="AN180" s="1718"/>
      <c r="AO180" s="1719"/>
      <c r="AP180" s="296"/>
      <c r="AQ180" s="296"/>
      <c r="AR180" s="1719"/>
      <c r="AS180" s="1720"/>
      <c r="AT180" s="1719"/>
      <c r="AU180" s="1719"/>
      <c r="AV180" s="1718"/>
      <c r="AW180" s="1719"/>
      <c r="AX180" s="296"/>
      <c r="AY180" s="296"/>
      <c r="AZ180" s="296"/>
    </row>
    <row r="181" spans="4:52" x14ac:dyDescent="0.25">
      <c r="D181" s="292" t="str">
        <f>Forecast!C63</f>
        <v>Cash BOP</v>
      </c>
      <c r="G181" s="481">
        <f>Forecast!D63/mm</f>
        <v>33.600999999999999</v>
      </c>
      <c r="H181" s="481">
        <f>Forecast!E63/mm</f>
        <v>63.401484154567441</v>
      </c>
      <c r="I181" s="483">
        <f>Forecast!F63/mm</f>
        <v>127.948489</v>
      </c>
      <c r="J181" s="482">
        <f>Forecast!G63/mm</f>
        <v>96.304544183695583</v>
      </c>
      <c r="K181" s="481">
        <f>Forecast!H63/mm</f>
        <v>194.03577630878578</v>
      </c>
      <c r="L181" s="1334">
        <f ca="1">K186</f>
        <v>135.59799799384064</v>
      </c>
      <c r="M181" s="1334">
        <f t="shared" ref="M181:O181" ca="1" si="272">L186</f>
        <v>84.083766344123944</v>
      </c>
      <c r="N181" s="1334">
        <f t="shared" ca="1" si="272"/>
        <v>64.188915367398749</v>
      </c>
      <c r="O181" s="1334">
        <f t="shared" ca="1" si="272"/>
        <v>112.98298437855249</v>
      </c>
      <c r="P181" s="1721"/>
      <c r="Q181" s="477">
        <f>Forecast!N63/mm</f>
        <v>33.600999999999999</v>
      </c>
      <c r="R181" s="477">
        <f>Forecast!O63/mm</f>
        <v>28.212770124567442</v>
      </c>
      <c r="S181" s="477">
        <f>Forecast!P63/mm</f>
        <v>23.776766444567443</v>
      </c>
      <c r="T181" s="1284">
        <f>Forecast!Q63/mm</f>
        <v>67.665568374567428</v>
      </c>
      <c r="U181" s="1296">
        <f>Forecast!R63/mm</f>
        <v>63.401484154567441</v>
      </c>
      <c r="V181" s="1284">
        <f>Forecast!S63/mm</f>
        <v>48.175318490000002</v>
      </c>
      <c r="W181" s="1284">
        <f>Forecast!T63/mm</f>
        <v>41.42953945</v>
      </c>
      <c r="X181" s="478">
        <f>Forecast!U63/mm</f>
        <v>132.45970020000001</v>
      </c>
      <c r="Y181" s="1284">
        <f>Forecast!V63/mm</f>
        <v>127.948489</v>
      </c>
      <c r="Z181" s="477">
        <f>Forecast!W63/mm</f>
        <v>113.9302319998</v>
      </c>
      <c r="AA181" s="477">
        <f>Forecast!X63/mm</f>
        <v>103.35298040773998</v>
      </c>
      <c r="AB181" s="1284">
        <f>Forecast!Y63/mm</f>
        <v>98.528151126639983</v>
      </c>
      <c r="AC181" s="1296">
        <f>Forecast!Z63/mm</f>
        <v>96.304544183695583</v>
      </c>
      <c r="AD181" s="1284">
        <f>Forecast!AA63/mm</f>
        <v>86.058441699295585</v>
      </c>
      <c r="AE181" s="1284">
        <f>Forecast!AB63/mm</f>
        <v>224.13640230269559</v>
      </c>
      <c r="AF181" s="478">
        <f>Forecast!AC63/mm</f>
        <v>208.15127139115179</v>
      </c>
      <c r="AG181" s="1284">
        <f>Forecast!AD63/mm</f>
        <v>194.03577630878578</v>
      </c>
      <c r="AH181" s="1328">
        <f>AG186</f>
        <v>176.19743356261449</v>
      </c>
      <c r="AI181" s="1328">
        <f t="shared" ref="AI181:AZ181" si="273">AH186</f>
        <v>161.55220946968757</v>
      </c>
      <c r="AJ181" s="1682">
        <f t="shared" si="273"/>
        <v>146.97082079528079</v>
      </c>
      <c r="AK181" s="1683">
        <f t="shared" ca="1" si="273"/>
        <v>135.59799799384061</v>
      </c>
      <c r="AL181" s="1682">
        <f t="shared" ca="1" si="273"/>
        <v>121.30093067339989</v>
      </c>
      <c r="AM181" s="1682">
        <f t="shared" ca="1" si="273"/>
        <v>109.74258170301617</v>
      </c>
      <c r="AN181" s="1329">
        <f t="shared" ca="1" si="273"/>
        <v>95.99827117308088</v>
      </c>
      <c r="AO181" s="1682">
        <f t="shared" ca="1" si="273"/>
        <v>84.083766344123887</v>
      </c>
      <c r="AP181" s="1328">
        <f t="shared" ca="1" si="273"/>
        <v>69.977267908963626</v>
      </c>
      <c r="AQ181" s="1328">
        <f t="shared" ca="1" si="273"/>
        <v>64.633235970212283</v>
      </c>
      <c r="AR181" s="1682">
        <f t="shared" ca="1" si="273"/>
        <v>60.513241371965705</v>
      </c>
      <c r="AS181" s="1683">
        <f t="shared" ca="1" si="273"/>
        <v>64.188915367398693</v>
      </c>
      <c r="AT181" s="1682">
        <f t="shared" ca="1" si="273"/>
        <v>65.523038768940296</v>
      </c>
      <c r="AU181" s="1682">
        <f t="shared" ca="1" si="273"/>
        <v>77.369436190915422</v>
      </c>
      <c r="AV181" s="1329">
        <f t="shared" ca="1" si="273"/>
        <v>90.319031919203695</v>
      </c>
      <c r="AW181" s="1682">
        <f t="shared" ca="1" si="273"/>
        <v>112.98298437855235</v>
      </c>
      <c r="AX181" s="1328">
        <f t="shared" ca="1" si="273"/>
        <v>130.54311344114029</v>
      </c>
      <c r="AY181" s="1328">
        <f t="shared" ca="1" si="273"/>
        <v>161.37979229944477</v>
      </c>
      <c r="AZ181" s="1328">
        <f t="shared" ca="1" si="273"/>
        <v>194.22670500901611</v>
      </c>
    </row>
    <row r="182" spans="4:52" x14ac:dyDescent="0.25">
      <c r="D182" s="377" t="str">
        <f>Forecast!C64</f>
        <v>Incoming Cash</v>
      </c>
      <c r="E182" s="377"/>
      <c r="F182" s="377"/>
      <c r="G182" s="487">
        <f>Forecast!D64/mm</f>
        <v>29.264838484567445</v>
      </c>
      <c r="H182" s="487">
        <f>Forecast!E64/mm</f>
        <v>53.158612749999996</v>
      </c>
      <c r="I182" s="490">
        <f>Forecast!F64/mm</f>
        <v>75.84847511000001</v>
      </c>
      <c r="J182" s="489">
        <f>Forecast!G64/mm</f>
        <v>129.55795938392473</v>
      </c>
      <c r="K182" s="487">
        <f>Forecast!H64/mm</f>
        <v>210.76441947564061</v>
      </c>
      <c r="L182" s="488">
        <f>Forecast!I64/mm</f>
        <v>323.57696503355919</v>
      </c>
      <c r="M182" s="488">
        <f>Forecast!J64/mm</f>
        <v>485.94370930722528</v>
      </c>
      <c r="N182" s="488">
        <f>Forecast!K64/mm</f>
        <v>718.47753228161696</v>
      </c>
      <c r="O182" s="488">
        <f>Forecast!L64/mm</f>
        <v>1039.713958876054</v>
      </c>
      <c r="P182" s="1721"/>
      <c r="Q182" s="487">
        <f>Forecast!N64/mm</f>
        <v>4.9521471645674415</v>
      </c>
      <c r="R182" s="487">
        <f>Forecast!O64/mm</f>
        <v>6.0362980000000004</v>
      </c>
      <c r="S182" s="487">
        <f>Forecast!P64/mm</f>
        <v>7.1003450999999993</v>
      </c>
      <c r="T182" s="489">
        <f>Forecast!Q64/mm</f>
        <v>11.176048219999998</v>
      </c>
      <c r="U182" s="1300">
        <f>Forecast!R64/mm</f>
        <v>8.70442143</v>
      </c>
      <c r="V182" s="489">
        <f>Forecast!S64/mm</f>
        <v>12.854333969999999</v>
      </c>
      <c r="W182" s="489">
        <f>Forecast!T64/mm</f>
        <v>12.676508699999999</v>
      </c>
      <c r="X182" s="490">
        <f>Forecast!U64/mm</f>
        <v>18.923348649999998</v>
      </c>
      <c r="Y182" s="489">
        <f>Forecast!V64/mm</f>
        <v>13.74735156</v>
      </c>
      <c r="Z182" s="487">
        <f>Forecast!W64/mm</f>
        <v>15.238808000000001</v>
      </c>
      <c r="AA182" s="487">
        <f>Forecast!X64/mm</f>
        <v>20.22478899</v>
      </c>
      <c r="AB182" s="489">
        <f>Forecast!Y64/mm</f>
        <v>26.637526559999998</v>
      </c>
      <c r="AC182" s="1300">
        <f>Forecast!Z64/mm</f>
        <v>28.145739890000002</v>
      </c>
      <c r="AD182" s="489">
        <f>Forecast!AA64/mm</f>
        <v>27.626570609999998</v>
      </c>
      <c r="AE182" s="489">
        <f>Forecast!AB64/mm</f>
        <v>32.076694168668226</v>
      </c>
      <c r="AF182" s="490">
        <f>Forecast!AC64/mm</f>
        <v>41.708954715256468</v>
      </c>
      <c r="AG182" s="489">
        <f>Forecast!AD64/mm</f>
        <v>43.963889420789101</v>
      </c>
      <c r="AH182" s="487">
        <f>Forecast!AE64/mm</f>
        <v>49.476837607821949</v>
      </c>
      <c r="AI182" s="487">
        <f>Forecast!AF64/mm</f>
        <v>54.437128468469773</v>
      </c>
      <c r="AJ182" s="489">
        <f>Forecast!AG64/mm</f>
        <v>62.886563978559806</v>
      </c>
      <c r="AK182" s="1300">
        <f>Forecast!AH64/mm</f>
        <v>67.993396267837738</v>
      </c>
      <c r="AL182" s="489">
        <f>Forecast!AI64/mm</f>
        <v>76.560881920534385</v>
      </c>
      <c r="AM182" s="489">
        <f>Forecast!AJ64/mm</f>
        <v>83.713090003884162</v>
      </c>
      <c r="AN182" s="490">
        <f>Forecast!AK64/mm</f>
        <v>95.309596841302906</v>
      </c>
      <c r="AO182" s="489">
        <f>Forecast!AL64/mm</f>
        <v>102.78563253086553</v>
      </c>
      <c r="AP182" s="487">
        <f>Forecast!AM64/mm</f>
        <v>115.20465358781189</v>
      </c>
      <c r="AQ182" s="487">
        <f>Forecast!AN64/mm</f>
        <v>125.57162598441863</v>
      </c>
      <c r="AR182" s="489">
        <f>Forecast!AO64/mm</f>
        <v>142.38179720412921</v>
      </c>
      <c r="AS182" s="1300">
        <f>Forecast!AP64/mm</f>
        <v>152.97465330568733</v>
      </c>
      <c r="AT182" s="489">
        <f>Forecast!AQ64/mm</f>
        <v>170.66969624918434</v>
      </c>
      <c r="AU182" s="489">
        <f>Forecast!AR64/mm</f>
        <v>185.44062569977612</v>
      </c>
      <c r="AV182" s="490">
        <f>Forecast!AS64/mm</f>
        <v>209.39255702696909</v>
      </c>
      <c r="AW182" s="489">
        <f>Forecast!AT64/mm</f>
        <v>223.03524292555144</v>
      </c>
      <c r="AX182" s="487">
        <f>Forecast!AU64/mm</f>
        <v>247.41438702052898</v>
      </c>
      <c r="AY182" s="487">
        <f>Forecast!AV64/mm</f>
        <v>268.1861452820541</v>
      </c>
      <c r="AZ182" s="487">
        <f>Forecast!AW64/mm</f>
        <v>301.07818364791939</v>
      </c>
    </row>
    <row r="183" spans="4:52" x14ac:dyDescent="0.25">
      <c r="D183" s="377" t="str">
        <f>Forecast!C65</f>
        <v>Total Expenses</v>
      </c>
      <c r="E183" s="377"/>
      <c r="F183" s="377"/>
      <c r="G183" s="487">
        <f>Forecast!D65/mm</f>
        <v>-48.502011889999991</v>
      </c>
      <c r="H183" s="487">
        <f>Forecast!E65/mm</f>
        <v>-86.21441102</v>
      </c>
      <c r="I183" s="490">
        <f>Forecast!F65/mm</f>
        <v>-108.98588103630442</v>
      </c>
      <c r="J183" s="489">
        <f>Forecast!G65/mm</f>
        <v>-183.84730967883445</v>
      </c>
      <c r="K183" s="487">
        <f>Forecast!H65/mm</f>
        <v>-269.20219779058573</v>
      </c>
      <c r="L183" s="488">
        <f>Forecast!I65/mm</f>
        <v>-375.09119668327588</v>
      </c>
      <c r="M183" s="488">
        <f>Forecast!J65/mm</f>
        <v>-505.83856028395053</v>
      </c>
      <c r="N183" s="488">
        <f>Forecast!K65/mm</f>
        <v>-669.68346327046322</v>
      </c>
      <c r="O183" s="488">
        <f>Forecast!L65/mm</f>
        <v>-912.59627587174577</v>
      </c>
      <c r="P183" s="1721"/>
      <c r="Q183" s="487">
        <f>Forecast!N65/mm</f>
        <v>-10.34037704</v>
      </c>
      <c r="R183" s="487">
        <f>Forecast!O65/mm</f>
        <v>-10.472301679999999</v>
      </c>
      <c r="S183" s="487">
        <f>Forecast!P65/mm</f>
        <v>-12.828438170000002</v>
      </c>
      <c r="T183" s="489">
        <f>Forecast!Q65/mm</f>
        <v>-14.860894999999992</v>
      </c>
      <c r="U183" s="1300">
        <f>Forecast!R65/mm</f>
        <v>-20.701840059999995</v>
      </c>
      <c r="V183" s="489">
        <f>Forecast!S65/mm</f>
        <v>-20.245223579999998</v>
      </c>
      <c r="W183" s="489">
        <f>Forecast!T65/mm</f>
        <v>-21.864670869999998</v>
      </c>
      <c r="X183" s="490">
        <f>Forecast!U65/mm</f>
        <v>-23.402676510000006</v>
      </c>
      <c r="Y183" s="489">
        <f>Forecast!V65/mm</f>
        <v>-27.768804390200003</v>
      </c>
      <c r="Z183" s="487">
        <f>Forecast!W65/mm</f>
        <v>-25.68540686206001</v>
      </c>
      <c r="AA183" s="487">
        <f>Forecast!X65/mm</f>
        <v>-25.5237372711</v>
      </c>
      <c r="AB183" s="489">
        <f>Forecast!Y65/mm</f>
        <v>-30.0079325129444</v>
      </c>
      <c r="AC183" s="1300">
        <f>Forecast!Z65/mm</f>
        <v>-39.399549594400007</v>
      </c>
      <c r="AD183" s="489">
        <f>Forecast!AA65/mm</f>
        <v>-39.761485206600007</v>
      </c>
      <c r="AE183" s="489">
        <f>Forecast!AB65/mm</f>
        <v>-48.861825080212</v>
      </c>
      <c r="AF183" s="490">
        <f>Forecast!AC65/mm</f>
        <v>-55.824449797622414</v>
      </c>
      <c r="AG183" s="489">
        <f>Forecast!AD65/mm</f>
        <v>-61.802232166960373</v>
      </c>
      <c r="AH183" s="487">
        <f>Forecast!AE65/mm</f>
        <v>-64.122061700748887</v>
      </c>
      <c r="AI183" s="487">
        <f>Forecast!AF65/mm</f>
        <v>-69.018517142876561</v>
      </c>
      <c r="AJ183" s="489">
        <f>Forecast!AG65/mm</f>
        <v>-74.259386779999971</v>
      </c>
      <c r="AK183" s="1300">
        <f>Forecast!AH65/mm</f>
        <v>-82.290463588278456</v>
      </c>
      <c r="AL183" s="489">
        <f>Forecast!AI65/mm</f>
        <v>-88.119230890918104</v>
      </c>
      <c r="AM183" s="489">
        <f>Forecast!AJ65/mm</f>
        <v>-97.457400533819438</v>
      </c>
      <c r="AN183" s="490">
        <f>Forecast!AK65/mm</f>
        <v>-107.2241016702599</v>
      </c>
      <c r="AO183" s="489">
        <f>Forecast!AL65/mm</f>
        <v>-116.8921309660258</v>
      </c>
      <c r="AP183" s="487">
        <f>Forecast!AM65/mm</f>
        <v>-120.54868552656323</v>
      </c>
      <c r="AQ183" s="487">
        <f>Forecast!AN65/mm</f>
        <v>-129.69162058266522</v>
      </c>
      <c r="AR183" s="489">
        <f>Forecast!AO65/mm</f>
        <v>-138.70612320869623</v>
      </c>
      <c r="AS183" s="1300">
        <f>Forecast!AP65/mm</f>
        <v>-151.64052990414572</v>
      </c>
      <c r="AT183" s="489">
        <f>Forecast!AQ65/mm</f>
        <v>-158.82329882720921</v>
      </c>
      <c r="AU183" s="489">
        <f>Forecast!AR65/mm</f>
        <v>-172.49102997148785</v>
      </c>
      <c r="AV183" s="490">
        <f>Forecast!AS65/mm</f>
        <v>-186.72860456762047</v>
      </c>
      <c r="AW183" s="489">
        <f>Forecast!AT65/mm</f>
        <v>-205.4751138629635</v>
      </c>
      <c r="AX183" s="487">
        <f>Forecast!AU65/mm</f>
        <v>-216.5777081622245</v>
      </c>
      <c r="AY183" s="487">
        <f>Forecast!AV65/mm</f>
        <v>-235.33923257248276</v>
      </c>
      <c r="AZ183" s="487">
        <f>Forecast!AW65/mm</f>
        <v>-255.20422127407508</v>
      </c>
    </row>
    <row r="184" spans="4:52" x14ac:dyDescent="0.25">
      <c r="D184" s="377" t="str">
        <f>Forecast!C66</f>
        <v>Other Non-Recurring</v>
      </c>
      <c r="E184" s="377"/>
      <c r="F184" s="377"/>
      <c r="G184" s="487">
        <f>Forecast!D66/mm</f>
        <v>-1.0265897500000001</v>
      </c>
      <c r="H184" s="487">
        <f>Forecast!E66/mm</f>
        <v>-3.5045460345674448</v>
      </c>
      <c r="I184" s="490">
        <f>Forecast!F66/mm</f>
        <v>-0.38015089999999996</v>
      </c>
      <c r="J184" s="489">
        <f>Forecast!G66/mm</f>
        <v>0</v>
      </c>
      <c r="K184" s="487">
        <f>Forecast!H66/mm</f>
        <v>0</v>
      </c>
      <c r="L184" s="488">
        <f>Forecast!I66/mm</f>
        <v>0</v>
      </c>
      <c r="M184" s="488">
        <f>Forecast!J66/mm</f>
        <v>0</v>
      </c>
      <c r="N184" s="488">
        <f>Forecast!K66/mm</f>
        <v>0</v>
      </c>
      <c r="O184" s="488">
        <f>Forecast!L66/mm</f>
        <v>0</v>
      </c>
      <c r="P184" s="1721"/>
      <c r="Q184" s="487">
        <f>Forecast!N66/mm</f>
        <v>0</v>
      </c>
      <c r="R184" s="487">
        <f>Forecast!O66/mm</f>
        <v>0</v>
      </c>
      <c r="S184" s="487">
        <f>Forecast!P66/mm</f>
        <v>-0.40265600000000001</v>
      </c>
      <c r="T184" s="489">
        <f>Forecast!Q66/mm</f>
        <v>-0.62393374999999995</v>
      </c>
      <c r="U184" s="1300">
        <f>Forecast!R66/mm</f>
        <v>-3.3576360345674452</v>
      </c>
      <c r="V184" s="489">
        <f>Forecast!S66/mm</f>
        <v>9.7873000000000002E-2</v>
      </c>
      <c r="W184" s="489">
        <f>Forecast!T66/mm</f>
        <v>0</v>
      </c>
      <c r="X184" s="490">
        <f>Forecast!U66/mm</f>
        <v>-0.244783</v>
      </c>
      <c r="Y184" s="489">
        <f>Forecast!V66/mm</f>
        <v>-6.0698169999999996E-2</v>
      </c>
      <c r="Z184" s="487">
        <f>Forecast!W66/mm</f>
        <v>-0.31952072999999998</v>
      </c>
      <c r="AA184" s="487">
        <f>Forecast!X66/mm</f>
        <v>6.7999999999999999E-5</v>
      </c>
      <c r="AB184" s="489">
        <f>Forecast!Y66/mm</f>
        <v>0</v>
      </c>
      <c r="AC184" s="1300">
        <f>Forecast!Z66/mm</f>
        <v>0</v>
      </c>
      <c r="AD184" s="489">
        <f>Forecast!AA66/mm</f>
        <v>0</v>
      </c>
      <c r="AE184" s="489">
        <f>Forecast!AB66/mm</f>
        <v>0</v>
      </c>
      <c r="AF184" s="490">
        <f>Forecast!AC66/mm</f>
        <v>0</v>
      </c>
      <c r="AG184" s="489">
        <f>Forecast!AD66/mm</f>
        <v>0</v>
      </c>
      <c r="AH184" s="487">
        <f>Forecast!AE66/mm</f>
        <v>0</v>
      </c>
      <c r="AI184" s="487">
        <f>Forecast!AF66/mm</f>
        <v>0</v>
      </c>
      <c r="AJ184" s="489">
        <f>Forecast!AG66/mm</f>
        <v>0</v>
      </c>
      <c r="AK184" s="1300">
        <f>Forecast!AH66/mm</f>
        <v>0</v>
      </c>
      <c r="AL184" s="489">
        <f>Forecast!AI66/mm</f>
        <v>0</v>
      </c>
      <c r="AM184" s="489">
        <f>Forecast!AJ66/mm</f>
        <v>0</v>
      </c>
      <c r="AN184" s="490">
        <f>Forecast!AK66/mm</f>
        <v>0</v>
      </c>
      <c r="AO184" s="489">
        <f>Forecast!AL66/mm</f>
        <v>0</v>
      </c>
      <c r="AP184" s="487">
        <f>Forecast!AM66/mm</f>
        <v>0</v>
      </c>
      <c r="AQ184" s="487">
        <f>Forecast!AN66/mm</f>
        <v>0</v>
      </c>
      <c r="AR184" s="489">
        <f>Forecast!AO66/mm</f>
        <v>0</v>
      </c>
      <c r="AS184" s="1300">
        <f>Forecast!AP66/mm</f>
        <v>0</v>
      </c>
      <c r="AT184" s="489">
        <f>Forecast!AQ66/mm</f>
        <v>0</v>
      </c>
      <c r="AU184" s="489">
        <f>Forecast!AR66/mm</f>
        <v>0</v>
      </c>
      <c r="AV184" s="490">
        <f>Forecast!AS66/mm</f>
        <v>0</v>
      </c>
      <c r="AW184" s="489">
        <f>Forecast!AT66/mm</f>
        <v>0</v>
      </c>
      <c r="AX184" s="487">
        <f>Forecast!AU66/mm</f>
        <v>0</v>
      </c>
      <c r="AY184" s="487">
        <f>Forecast!AV66/mm</f>
        <v>0</v>
      </c>
      <c r="AZ184" s="487">
        <f>Forecast!AW66/mm</f>
        <v>0</v>
      </c>
    </row>
    <row r="185" spans="4:52" x14ac:dyDescent="0.25">
      <c r="D185" s="377" t="str">
        <f>Forecast!C67</f>
        <v>Equity</v>
      </c>
      <c r="E185" s="377"/>
      <c r="F185" s="377"/>
      <c r="G185" s="484">
        <f>Forecast!D67/mm</f>
        <v>50.064247309999999</v>
      </c>
      <c r="H185" s="484">
        <f>Forecast!E67/mm</f>
        <v>101.10734915</v>
      </c>
      <c r="I185" s="486">
        <f>Forecast!F67/mm</f>
        <v>1.87361201</v>
      </c>
      <c r="J185" s="484">
        <f>Forecast!G67/mm</f>
        <v>152.02058241999998</v>
      </c>
      <c r="K185" s="484">
        <f ca="1">SUM(AG185:AJ185)</f>
        <v>0</v>
      </c>
      <c r="L185" s="485">
        <f>Forecast!I67/mm</f>
        <v>0</v>
      </c>
      <c r="M185" s="485">
        <f>Forecast!J67/mm</f>
        <v>0</v>
      </c>
      <c r="N185" s="485">
        <f>Forecast!K67/mm</f>
        <v>0</v>
      </c>
      <c r="O185" s="485">
        <f>Forecast!L67/mm</f>
        <v>0</v>
      </c>
      <c r="P185" s="1721"/>
      <c r="Q185" s="484">
        <f>Forecast!N67/mm</f>
        <v>0</v>
      </c>
      <c r="R185" s="484">
        <f>Forecast!O67/mm</f>
        <v>0</v>
      </c>
      <c r="S185" s="484">
        <f>Forecast!P67/mm</f>
        <v>50.019551</v>
      </c>
      <c r="T185" s="484">
        <f>Forecast!Q67/mm</f>
        <v>4.4696309999999996E-2</v>
      </c>
      <c r="U185" s="1302">
        <f>Forecast!R67/mm</f>
        <v>0.128889</v>
      </c>
      <c r="V185" s="484">
        <f>Forecast!S67/mm</f>
        <v>0.54723757000000006</v>
      </c>
      <c r="W185" s="484">
        <f>Forecast!T67/mm</f>
        <v>100.21832292000001</v>
      </c>
      <c r="X185" s="486">
        <f>Forecast!U67/mm</f>
        <v>0.21289965999999999</v>
      </c>
      <c r="Y185" s="484">
        <f>Forecast!V67/mm</f>
        <v>6.3894000000000006E-2</v>
      </c>
      <c r="Z185" s="484">
        <f>Forecast!W67/mm</f>
        <v>0.18886800000000001</v>
      </c>
      <c r="AA185" s="484">
        <f>Forecast!X67/mm</f>
        <v>0.474051</v>
      </c>
      <c r="AB185" s="484">
        <f>Forecast!Y67/mm</f>
        <v>1.1467990100000001</v>
      </c>
      <c r="AC185" s="1302">
        <f>Forecast!Z67/mm</f>
        <v>1.0077072200000001</v>
      </c>
      <c r="AD185" s="484">
        <f>Forecast!AA67/mm</f>
        <v>150.21287519999998</v>
      </c>
      <c r="AE185" s="484">
        <f>Forecast!AB67/mm</f>
        <v>0.8</v>
      </c>
      <c r="AF185" s="486">
        <f>Forecast!AC67/mm</f>
        <v>0</v>
      </c>
      <c r="AG185" s="484">
        <f>Forecast!AD67/mm</f>
        <v>0</v>
      </c>
      <c r="AH185" s="484">
        <f>Forecast!AE67/mm</f>
        <v>0</v>
      </c>
      <c r="AI185" s="484">
        <f>Forecast!AF67/mm</f>
        <v>0</v>
      </c>
      <c r="AJ185" s="1679">
        <f ca="1">K199*K202</f>
        <v>0</v>
      </c>
      <c r="AK185" s="1302">
        <f>Forecast!AH67/mm</f>
        <v>0</v>
      </c>
      <c r="AL185" s="484">
        <f>Forecast!AI67/mm</f>
        <v>0</v>
      </c>
      <c r="AM185" s="484">
        <f>Forecast!AJ67/mm</f>
        <v>0</v>
      </c>
      <c r="AN185" s="486">
        <f>Forecast!AK67/mm</f>
        <v>0</v>
      </c>
      <c r="AO185" s="484">
        <f>Forecast!AL67/mm</f>
        <v>0</v>
      </c>
      <c r="AP185" s="484">
        <f>Forecast!AM67/mm</f>
        <v>0</v>
      </c>
      <c r="AQ185" s="484">
        <f>Forecast!AN67/mm</f>
        <v>0</v>
      </c>
      <c r="AR185" s="484">
        <f>Forecast!AO67/mm</f>
        <v>0</v>
      </c>
      <c r="AS185" s="1302">
        <f>Forecast!AP67/mm</f>
        <v>0</v>
      </c>
      <c r="AT185" s="484">
        <f>Forecast!AQ67/mm</f>
        <v>0</v>
      </c>
      <c r="AU185" s="484">
        <f>Forecast!AR67/mm</f>
        <v>0</v>
      </c>
      <c r="AV185" s="486">
        <f>Forecast!AS67/mm</f>
        <v>0</v>
      </c>
      <c r="AW185" s="484">
        <f>Forecast!AT67/mm</f>
        <v>0</v>
      </c>
      <c r="AX185" s="484">
        <f>Forecast!AU67/mm</f>
        <v>0</v>
      </c>
      <c r="AY185" s="484">
        <f>Forecast!AV67/mm</f>
        <v>0</v>
      </c>
      <c r="AZ185" s="484">
        <f>Forecast!AW67/mm</f>
        <v>0</v>
      </c>
    </row>
    <row r="186" spans="4:52" x14ac:dyDescent="0.25">
      <c r="D186" s="1" t="str">
        <f>Forecast!C68</f>
        <v>Cash EOP</v>
      </c>
      <c r="E186" s="1"/>
      <c r="F186" s="1"/>
      <c r="G186" s="481">
        <f>Forecast!D68/mm</f>
        <v>63.401484154567456</v>
      </c>
      <c r="H186" s="481">
        <f>Forecast!E68/mm</f>
        <v>127.948489</v>
      </c>
      <c r="I186" s="483">
        <f>Forecast!F68/mm</f>
        <v>96.304544183695597</v>
      </c>
      <c r="J186" s="482">
        <f>Forecast!G68/mm</f>
        <v>194.03577630878584</v>
      </c>
      <c r="K186" s="1753">
        <f ca="1">SUM(K181:K185)</f>
        <v>135.59799799384064</v>
      </c>
      <c r="L186" s="1334">
        <f ca="1">SUM(L181:L185)</f>
        <v>84.083766344123944</v>
      </c>
      <c r="M186" s="1334">
        <f t="shared" ref="M186:O186" ca="1" si="274">SUM(M181:M185)</f>
        <v>64.188915367398749</v>
      </c>
      <c r="N186" s="1334">
        <f t="shared" ca="1" si="274"/>
        <v>112.98298437855249</v>
      </c>
      <c r="O186" s="1334">
        <f t="shared" ca="1" si="274"/>
        <v>240.10066738286082</v>
      </c>
      <c r="P186" s="1721"/>
      <c r="Q186" s="479">
        <f>Forecast!N68/mm</f>
        <v>28.212770124567442</v>
      </c>
      <c r="R186" s="479">
        <f>Forecast!O68/mm</f>
        <v>23.776766444567443</v>
      </c>
      <c r="S186" s="479">
        <f>Forecast!P68/mm</f>
        <v>67.665568374567442</v>
      </c>
      <c r="T186" s="1288">
        <f>Forecast!Q68/mm</f>
        <v>63.401484154567441</v>
      </c>
      <c r="U186" s="1303">
        <f>Forecast!R68/mm</f>
        <v>48.175318490000002</v>
      </c>
      <c r="V186" s="1288">
        <f>Forecast!S68/mm</f>
        <v>41.42953945</v>
      </c>
      <c r="W186" s="1288">
        <f>Forecast!T68/mm</f>
        <v>132.45970020000001</v>
      </c>
      <c r="X186" s="1317">
        <f>Forecast!U68/mm</f>
        <v>127.94848899999998</v>
      </c>
      <c r="Y186" s="1288">
        <f>Forecast!V68/mm</f>
        <v>113.9302319998</v>
      </c>
      <c r="Z186" s="479">
        <f>Forecast!W68/mm</f>
        <v>103.35298040773998</v>
      </c>
      <c r="AA186" s="479">
        <f>Forecast!X68/mm</f>
        <v>98.528151126639983</v>
      </c>
      <c r="AB186" s="1288">
        <f>Forecast!Y68/mm</f>
        <v>96.304544183695583</v>
      </c>
      <c r="AC186" s="1303">
        <f>Forecast!Z68/mm</f>
        <v>86.058441699295585</v>
      </c>
      <c r="AD186" s="1288">
        <f>Forecast!AA68/mm</f>
        <v>224.13640230269559</v>
      </c>
      <c r="AE186" s="1288">
        <f>Forecast!AB68/mm</f>
        <v>208.15127139115179</v>
      </c>
      <c r="AF186" s="1317">
        <f>Forecast!AC68/mm</f>
        <v>194.03577630878581</v>
      </c>
      <c r="AG186" s="1684">
        <f>SUM(AG181:AG185)</f>
        <v>176.19743356261449</v>
      </c>
      <c r="AH186" s="1685">
        <f t="shared" ref="AH186:AZ186" si="275">SUM(AH181:AH185)</f>
        <v>161.55220946968757</v>
      </c>
      <c r="AI186" s="1685">
        <f t="shared" si="275"/>
        <v>146.97082079528079</v>
      </c>
      <c r="AJ186" s="1684">
        <f t="shared" ca="1" si="275"/>
        <v>135.59799799384061</v>
      </c>
      <c r="AK186" s="1686">
        <f t="shared" ca="1" si="275"/>
        <v>121.30093067339989</v>
      </c>
      <c r="AL186" s="1684">
        <f t="shared" ca="1" si="275"/>
        <v>109.74258170301617</v>
      </c>
      <c r="AM186" s="1684">
        <f t="shared" ca="1" si="275"/>
        <v>95.99827117308088</v>
      </c>
      <c r="AN186" s="1687">
        <f t="shared" ca="1" si="275"/>
        <v>84.083766344123887</v>
      </c>
      <c r="AO186" s="1684">
        <f t="shared" ca="1" si="275"/>
        <v>69.977267908963626</v>
      </c>
      <c r="AP186" s="1685">
        <f t="shared" ca="1" si="275"/>
        <v>64.633235970212283</v>
      </c>
      <c r="AQ186" s="1685">
        <f t="shared" ca="1" si="275"/>
        <v>60.513241371965705</v>
      </c>
      <c r="AR186" s="1684">
        <f t="shared" ca="1" si="275"/>
        <v>64.188915367398693</v>
      </c>
      <c r="AS186" s="1686">
        <f t="shared" ca="1" si="275"/>
        <v>65.523038768940296</v>
      </c>
      <c r="AT186" s="1684">
        <f t="shared" ca="1" si="275"/>
        <v>77.369436190915422</v>
      </c>
      <c r="AU186" s="1684">
        <f t="shared" ca="1" si="275"/>
        <v>90.319031919203695</v>
      </c>
      <c r="AV186" s="1687">
        <f t="shared" ca="1" si="275"/>
        <v>112.98298437855235</v>
      </c>
      <c r="AW186" s="1684">
        <f t="shared" ca="1" si="275"/>
        <v>130.54311344114029</v>
      </c>
      <c r="AX186" s="1685">
        <f t="shared" ca="1" si="275"/>
        <v>161.37979229944477</v>
      </c>
      <c r="AY186" s="1685">
        <f t="shared" ca="1" si="275"/>
        <v>194.22670500901611</v>
      </c>
      <c r="AZ186" s="1685">
        <f t="shared" ca="1" si="275"/>
        <v>240.10066738286045</v>
      </c>
    </row>
    <row r="187" spans="4:52" x14ac:dyDescent="0.25">
      <c r="D187" s="21" t="str">
        <f>Forecast!C69</f>
        <v>Check to Model</v>
      </c>
      <c r="E187" s="21"/>
      <c r="F187" s="21"/>
      <c r="G187" s="477">
        <f>Forecast!D69/mm</f>
        <v>6.424731000001728E-2</v>
      </c>
      <c r="H187" s="477">
        <f>Forecast!E69/mm</f>
        <v>0.28184821000000837</v>
      </c>
      <c r="I187" s="478">
        <f>Forecast!F69/mm</f>
        <v>6.7999999999999999E-5</v>
      </c>
      <c r="J187" s="477">
        <f>Forecast!G69/mm</f>
        <v>6.7999999940395362E-5</v>
      </c>
      <c r="K187" s="477">
        <f>Forecast!H69/mm</f>
        <v>0</v>
      </c>
      <c r="L187" s="477">
        <f>Forecast!I69/mm</f>
        <v>0</v>
      </c>
      <c r="M187" s="477">
        <f>Forecast!J69/mm</f>
        <v>0</v>
      </c>
      <c r="N187" s="477">
        <f>Forecast!K69/mm</f>
        <v>0</v>
      </c>
      <c r="O187" s="477">
        <f>Forecast!L69/mm</f>
        <v>0</v>
      </c>
      <c r="P187" s="1524"/>
      <c r="Q187" s="477">
        <f>Forecast!N69/mm</f>
        <v>0</v>
      </c>
      <c r="R187" s="477">
        <f>Forecast!O69/mm</f>
        <v>0</v>
      </c>
      <c r="S187" s="477">
        <f>Forecast!P69/mm</f>
        <v>0</v>
      </c>
      <c r="T187" s="1284">
        <f>Forecast!Q69/mm</f>
        <v>0</v>
      </c>
      <c r="U187" s="1296">
        <f>Forecast!R69/mm</f>
        <v>0</v>
      </c>
      <c r="V187" s="1284">
        <f>Forecast!S69/mm</f>
        <v>0</v>
      </c>
      <c r="W187" s="1284">
        <f>Forecast!T69/mm</f>
        <v>0</v>
      </c>
      <c r="X187" s="478">
        <f>Forecast!U69/mm</f>
        <v>0</v>
      </c>
      <c r="Y187" s="1284">
        <f>Forecast!V69/mm</f>
        <v>0</v>
      </c>
      <c r="Z187" s="477">
        <f>Forecast!W69/mm</f>
        <v>0</v>
      </c>
      <c r="AA187" s="477">
        <f>Forecast!X69/mm</f>
        <v>0</v>
      </c>
      <c r="AB187" s="1284">
        <f>Forecast!Y69/mm</f>
        <v>0</v>
      </c>
      <c r="AC187" s="1296">
        <f>Forecast!Z69/mm</f>
        <v>0</v>
      </c>
      <c r="AD187" s="1284">
        <f>Forecast!AA69/mm</f>
        <v>0</v>
      </c>
      <c r="AE187" s="1284">
        <f>Forecast!AB69/mm</f>
        <v>0</v>
      </c>
      <c r="AF187" s="478">
        <f>Forecast!AC69/mm</f>
        <v>0</v>
      </c>
      <c r="AG187" s="1284">
        <f>Forecast!AD69/mm</f>
        <v>0</v>
      </c>
      <c r="AH187" s="477">
        <f>Forecast!AE69/mm</f>
        <v>0</v>
      </c>
      <c r="AI187" s="477">
        <f>Forecast!AF69/mm</f>
        <v>0</v>
      </c>
      <c r="AJ187" s="1284">
        <f>Forecast!AG69/mm</f>
        <v>0</v>
      </c>
      <c r="AK187" s="1296">
        <f>Forecast!AH69/mm</f>
        <v>0</v>
      </c>
      <c r="AL187" s="1284">
        <f>Forecast!AI69/mm</f>
        <v>0</v>
      </c>
      <c r="AM187" s="1284">
        <f>Forecast!AJ69/mm</f>
        <v>0</v>
      </c>
      <c r="AN187" s="478">
        <f>Forecast!AK69/mm</f>
        <v>0</v>
      </c>
      <c r="AO187" s="1284">
        <f>Forecast!AL69/mm</f>
        <v>0</v>
      </c>
      <c r="AP187" s="477">
        <f>Forecast!AM69/mm</f>
        <v>0</v>
      </c>
      <c r="AQ187" s="477">
        <f>Forecast!AN69/mm</f>
        <v>0</v>
      </c>
      <c r="AR187" s="1284">
        <f>Forecast!AO69/mm</f>
        <v>0</v>
      </c>
      <c r="AS187" s="1296">
        <f>Forecast!AP69/mm</f>
        <v>0</v>
      </c>
      <c r="AT187" s="1284">
        <f>Forecast!AQ69/mm</f>
        <v>0</v>
      </c>
      <c r="AU187" s="1284">
        <f>Forecast!AR69/mm</f>
        <v>0</v>
      </c>
      <c r="AV187" s="478">
        <f>Forecast!AS69/mm</f>
        <v>0</v>
      </c>
      <c r="AW187" s="1284">
        <f>Forecast!AT69/mm</f>
        <v>0</v>
      </c>
      <c r="AX187" s="477">
        <f>Forecast!AU69/mm</f>
        <v>0</v>
      </c>
      <c r="AY187" s="477">
        <f>Forecast!AV69/mm</f>
        <v>0</v>
      </c>
      <c r="AZ187" s="477">
        <f>Forecast!AW69/mm</f>
        <v>0</v>
      </c>
    </row>
    <row r="188" spans="4:52" x14ac:dyDescent="0.25">
      <c r="G188" s="296"/>
      <c r="H188" s="296"/>
      <c r="I188" s="1718"/>
      <c r="J188" s="296"/>
      <c r="K188" s="296"/>
      <c r="L188" s="296"/>
      <c r="M188" s="296"/>
      <c r="N188" s="296"/>
      <c r="O188" s="296"/>
      <c r="Q188" s="296"/>
      <c r="R188" s="296"/>
      <c r="S188" s="296"/>
      <c r="T188" s="1719"/>
      <c r="U188" s="1720"/>
      <c r="V188" s="1719"/>
      <c r="W188" s="1719"/>
      <c r="X188" s="1718"/>
      <c r="Y188" s="1719"/>
      <c r="Z188" s="296"/>
      <c r="AA188" s="296"/>
      <c r="AB188" s="1719"/>
      <c r="AC188" s="1720"/>
      <c r="AD188" s="1719"/>
      <c r="AE188" s="1719"/>
      <c r="AF188" s="1718"/>
      <c r="AG188" s="1719"/>
      <c r="AH188" s="296"/>
      <c r="AI188" s="296"/>
      <c r="AJ188" s="1719"/>
      <c r="AK188" s="1720"/>
      <c r="AL188" s="1719"/>
      <c r="AM188" s="1719"/>
      <c r="AN188" s="1718"/>
      <c r="AO188" s="1719"/>
      <c r="AP188" s="296"/>
      <c r="AQ188" s="296"/>
      <c r="AR188" s="1719"/>
      <c r="AS188" s="1720"/>
      <c r="AT188" s="1719"/>
      <c r="AU188" s="1719"/>
      <c r="AV188" s="1718"/>
      <c r="AW188" s="1719"/>
      <c r="AX188" s="296"/>
      <c r="AY188" s="296"/>
      <c r="AZ188" s="296"/>
    </row>
    <row r="189" spans="4:52" ht="14.45" customHeight="1" x14ac:dyDescent="0.25">
      <c r="D189" s="292" t="str">
        <f>Forecast!C71</f>
        <v>Operating Cash Burn</v>
      </c>
      <c r="G189" s="474">
        <f>Forecast!D71/mm</f>
        <v>-19.23717340543255</v>
      </c>
      <c r="H189" s="474">
        <f>Forecast!E71/mm</f>
        <v>-33.055798269999997</v>
      </c>
      <c r="I189" s="476">
        <f>Forecast!F71/mm</f>
        <v>-33.13740592630441</v>
      </c>
      <c r="J189" s="474">
        <f>Forecast!G71/mm</f>
        <v>-54.289350294909724</v>
      </c>
      <c r="K189" s="474">
        <f>Forecast!H71/mm</f>
        <v>-58.437778314945163</v>
      </c>
      <c r="L189" s="474">
        <f>Forecast!I71/mm</f>
        <v>-51.514231649716713</v>
      </c>
      <c r="M189" s="474">
        <f>Forecast!J71/mm</f>
        <v>-19.894850976725252</v>
      </c>
      <c r="N189" s="474">
        <f>Forecast!K71/mm</f>
        <v>48.794069011153617</v>
      </c>
      <c r="O189" s="474">
        <f>Forecast!L71/mm</f>
        <v>127.11768300430811</v>
      </c>
      <c r="P189" s="1525"/>
      <c r="Q189" s="474">
        <f>Forecast!N71/mm</f>
        <v>-5.3882298754325575</v>
      </c>
      <c r="R189" s="474">
        <f>Forecast!O71/mm</f>
        <v>-4.4360036799999998</v>
      </c>
      <c r="S189" s="474">
        <f>Forecast!P71/mm</f>
        <v>-5.7280930700000026</v>
      </c>
      <c r="T189" s="474">
        <f>Forecast!Q71/mm</f>
        <v>-3.684846779999992</v>
      </c>
      <c r="U189" s="1304">
        <f>Forecast!R71/mm</f>
        <v>-11.997418629999995</v>
      </c>
      <c r="V189" s="474">
        <f>Forecast!S71/mm</f>
        <v>-7.3908896099999986</v>
      </c>
      <c r="W189" s="474">
        <f>Forecast!T71/mm</f>
        <v>-9.1881621699999982</v>
      </c>
      <c r="X189" s="476">
        <f>Forecast!U71/mm</f>
        <v>-4.479327860000005</v>
      </c>
      <c r="Y189" s="474">
        <f>Forecast!V71/mm</f>
        <v>-14.021452830200003</v>
      </c>
      <c r="Z189" s="474">
        <f>Forecast!W71/mm</f>
        <v>-10.446598862060011</v>
      </c>
      <c r="AA189" s="474">
        <f>Forecast!X71/mm</f>
        <v>-5.2989482810999995</v>
      </c>
      <c r="AB189" s="474">
        <f>Forecast!Y71/mm</f>
        <v>-3.3704059529444006</v>
      </c>
      <c r="AC189" s="1304">
        <f>Forecast!Z71/mm</f>
        <v>-11.253809704400005</v>
      </c>
      <c r="AD189" s="474">
        <f>Forecast!AA71/mm</f>
        <v>-12.134914596600009</v>
      </c>
      <c r="AE189" s="474">
        <f>Forecast!AB71/mm</f>
        <v>-16.785130911543774</v>
      </c>
      <c r="AF189" s="476">
        <f>Forecast!AC71/mm</f>
        <v>-14.115495082365939</v>
      </c>
      <c r="AG189" s="474">
        <f>Forecast!AD71/mm</f>
        <v>-17.838342746171275</v>
      </c>
      <c r="AH189" s="474">
        <f>Forecast!AE71/mm</f>
        <v>-14.645224092926938</v>
      </c>
      <c r="AI189" s="474">
        <f>Forecast!AF71/mm</f>
        <v>-14.581388674406782</v>
      </c>
      <c r="AJ189" s="474">
        <f>Forecast!AG71/mm</f>
        <v>-11.372822801440165</v>
      </c>
      <c r="AK189" s="1304">
        <f>Forecast!AH71/mm</f>
        <v>-14.297067320440721</v>
      </c>
      <c r="AL189" s="474">
        <f>Forecast!AI71/mm</f>
        <v>-11.558348970383726</v>
      </c>
      <c r="AM189" s="474">
        <f>Forecast!AJ71/mm</f>
        <v>-13.744310529935278</v>
      </c>
      <c r="AN189" s="476">
        <f>Forecast!AK71/mm</f>
        <v>-11.914504828956984</v>
      </c>
      <c r="AO189" s="474">
        <f>Forecast!AL71/mm</f>
        <v>-14.106498435160272</v>
      </c>
      <c r="AP189" s="474">
        <f>Forecast!AM71/mm</f>
        <v>-5.3440319387513551</v>
      </c>
      <c r="AQ189" s="474">
        <f>Forecast!AN71/mm</f>
        <v>-4.1199945982466115</v>
      </c>
      <c r="AR189" s="474">
        <f>Forecast!AO71/mm</f>
        <v>3.6756739954329878</v>
      </c>
      <c r="AS189" s="1304">
        <f>Forecast!AP71/mm</f>
        <v>1.3341234015416354</v>
      </c>
      <c r="AT189" s="474">
        <f>Forecast!AQ71/mm</f>
        <v>11.846397421975128</v>
      </c>
      <c r="AU189" s="474">
        <f>Forecast!AR71/mm</f>
        <v>12.949595728288241</v>
      </c>
      <c r="AV189" s="476">
        <f>Forecast!AS71/mm</f>
        <v>22.663952459348611</v>
      </c>
      <c r="AW189" s="474">
        <f>Forecast!AT71/mm</f>
        <v>17.560129062587915</v>
      </c>
      <c r="AX189" s="474">
        <f>Forecast!AU71/mm</f>
        <v>30.836678858304484</v>
      </c>
      <c r="AY189" s="474">
        <f>Forecast!AV71/mm</f>
        <v>32.846912709571363</v>
      </c>
      <c r="AZ189" s="474">
        <f>Forecast!AW71/mm</f>
        <v>45.873962373844343</v>
      </c>
    </row>
    <row r="190" spans="4:52" ht="14.45" customHeight="1" x14ac:dyDescent="0.25">
      <c r="G190" s="474"/>
      <c r="H190" s="474"/>
      <c r="I190" s="476"/>
      <c r="J190" s="474"/>
      <c r="K190" s="474"/>
      <c r="L190" s="474"/>
      <c r="M190" s="474"/>
      <c r="N190" s="474"/>
      <c r="O190" s="474"/>
      <c r="P190" s="1525"/>
      <c r="Q190" s="474"/>
      <c r="R190" s="474"/>
      <c r="S190" s="474"/>
      <c r="T190" s="474"/>
      <c r="U190" s="1304"/>
      <c r="V190" s="474"/>
      <c r="W190" s="474"/>
      <c r="X190" s="476"/>
      <c r="Y190" s="474"/>
      <c r="Z190" s="474"/>
      <c r="AA190" s="474"/>
      <c r="AB190" s="474"/>
      <c r="AC190" s="1304"/>
      <c r="AD190" s="474"/>
      <c r="AE190" s="474"/>
      <c r="AF190" s="476"/>
      <c r="AG190" s="474"/>
      <c r="AH190" s="474"/>
      <c r="AI190" s="474"/>
      <c r="AJ190" s="474"/>
      <c r="AK190" s="1304"/>
      <c r="AL190" s="474"/>
      <c r="AM190" s="474"/>
      <c r="AN190" s="476"/>
      <c r="AO190" s="474"/>
      <c r="AP190" s="474"/>
      <c r="AQ190" s="474"/>
      <c r="AR190" s="474"/>
      <c r="AS190" s="1304"/>
      <c r="AT190" s="474"/>
      <c r="AU190" s="474"/>
      <c r="AV190" s="476"/>
      <c r="AW190" s="474"/>
      <c r="AX190" s="474"/>
      <c r="AY190" s="474"/>
      <c r="AZ190" s="474"/>
    </row>
    <row r="191" spans="4:52" ht="14.45" customHeight="1" x14ac:dyDescent="0.25">
      <c r="D191" s="7" t="s">
        <v>1312</v>
      </c>
      <c r="G191" s="474"/>
      <c r="H191" s="474"/>
      <c r="I191" s="476"/>
      <c r="J191" s="474"/>
      <c r="K191" s="474"/>
      <c r="L191" s="474"/>
      <c r="M191" s="474"/>
      <c r="N191" s="474"/>
      <c r="O191" s="474"/>
      <c r="P191" s="1525"/>
      <c r="Q191" s="474"/>
      <c r="R191" s="474"/>
      <c r="S191" s="474"/>
      <c r="T191" s="474"/>
      <c r="U191" s="1304"/>
      <c r="V191" s="474"/>
      <c r="W191" s="474"/>
      <c r="X191" s="476"/>
      <c r="Y191" s="474"/>
      <c r="Z191" s="474"/>
      <c r="AA191" s="474"/>
      <c r="AB191" s="474"/>
      <c r="AC191" s="1304"/>
      <c r="AD191" s="474"/>
      <c r="AE191" s="474"/>
      <c r="AF191" s="476"/>
      <c r="AG191" s="474"/>
      <c r="AH191" s="474"/>
      <c r="AI191" s="474"/>
      <c r="AJ191" s="474"/>
      <c r="AK191" s="1304"/>
      <c r="AL191" s="474"/>
      <c r="AM191" s="474"/>
      <c r="AN191" s="476"/>
      <c r="AO191" s="474"/>
      <c r="AP191" s="474"/>
      <c r="AQ191" s="474"/>
      <c r="AR191" s="474"/>
      <c r="AS191" s="1304"/>
      <c r="AT191" s="474"/>
      <c r="AU191" s="474"/>
      <c r="AV191" s="476"/>
      <c r="AW191" s="474"/>
      <c r="AX191" s="474"/>
      <c r="AY191" s="474"/>
      <c r="AZ191" s="474"/>
    </row>
    <row r="192" spans="4:52" s="1" customFormat="1" ht="14.45" customHeight="1" x14ac:dyDescent="0.25">
      <c r="D192" s="1" t="s">
        <v>1324</v>
      </c>
      <c r="G192" s="1648"/>
      <c r="H192" s="1648"/>
      <c r="I192" s="1661">
        <f t="shared" ref="I192:O192" si="276">I86</f>
        <v>73.962028000000004</v>
      </c>
      <c r="J192" s="1662">
        <f t="shared" si="276"/>
        <v>117.7895597337107</v>
      </c>
      <c r="K192" s="1662">
        <f t="shared" si="276"/>
        <v>192.82829495869629</v>
      </c>
      <c r="L192" s="1662">
        <f t="shared" si="276"/>
        <v>294.14078955716758</v>
      </c>
      <c r="M192" s="1662">
        <f t="shared" si="276"/>
        <v>440.44708413869301</v>
      </c>
      <c r="N192" s="1662">
        <f t="shared" si="276"/>
        <v>649.2987482679207</v>
      </c>
      <c r="O192" s="1662">
        <f t="shared" si="276"/>
        <v>942.26162879737467</v>
      </c>
      <c r="P192" s="1650"/>
      <c r="Q192" s="1648"/>
      <c r="R192" s="1648"/>
      <c r="S192" s="1648"/>
      <c r="T192" s="1648"/>
      <c r="U192" s="1651"/>
      <c r="V192" s="1648"/>
      <c r="W192" s="1648"/>
      <c r="X192" s="1652"/>
      <c r="Y192" s="1648"/>
      <c r="Z192" s="1648"/>
      <c r="AA192" s="1648"/>
      <c r="AB192" s="1648"/>
      <c r="AC192" s="1651"/>
      <c r="AD192" s="1648"/>
      <c r="AE192" s="1648"/>
      <c r="AF192" s="1652"/>
      <c r="AG192" s="1648"/>
      <c r="AH192" s="1648"/>
      <c r="AI192" s="1648"/>
      <c r="AJ192" s="1648"/>
      <c r="AK192" s="1651"/>
      <c r="AL192" s="1648"/>
      <c r="AM192" s="1648"/>
      <c r="AN192" s="1652"/>
      <c r="AO192" s="1648"/>
      <c r="AP192" s="1648"/>
      <c r="AQ192" s="1648"/>
      <c r="AR192" s="1648"/>
      <c r="AS192" s="1651"/>
      <c r="AT192" s="1648"/>
      <c r="AU192" s="1648"/>
      <c r="AV192" s="1652"/>
      <c r="AW192" s="1648"/>
      <c r="AX192" s="1648"/>
      <c r="AY192" s="1648"/>
      <c r="AZ192" s="1648"/>
    </row>
    <row r="193" spans="4:52" ht="14.45" customHeight="1" x14ac:dyDescent="0.25">
      <c r="D193" s="373" t="s">
        <v>850</v>
      </c>
      <c r="E193" s="373"/>
      <c r="F193" s="373"/>
      <c r="G193" s="474"/>
      <c r="H193" s="474"/>
      <c r="I193" s="1655">
        <v>30</v>
      </c>
      <c r="J193" s="1656">
        <f>I193</f>
        <v>30</v>
      </c>
      <c r="K193" s="1656">
        <f t="shared" ref="K193:O193" si="277">J193</f>
        <v>30</v>
      </c>
      <c r="L193" s="1656">
        <f t="shared" si="277"/>
        <v>30</v>
      </c>
      <c r="M193" s="1656">
        <f t="shared" si="277"/>
        <v>30</v>
      </c>
      <c r="N193" s="1656">
        <f t="shared" si="277"/>
        <v>30</v>
      </c>
      <c r="O193" s="1656">
        <f t="shared" si="277"/>
        <v>30</v>
      </c>
      <c r="P193" s="1525"/>
      <c r="Q193" s="474"/>
      <c r="R193" s="474"/>
      <c r="S193" s="474"/>
      <c r="T193" s="474"/>
      <c r="U193" s="1304"/>
      <c r="V193" s="474"/>
      <c r="W193" s="474"/>
      <c r="X193" s="476"/>
      <c r="Y193" s="474"/>
      <c r="Z193" s="474"/>
      <c r="AA193" s="474"/>
      <c r="AB193" s="474"/>
      <c r="AC193" s="1304"/>
      <c r="AD193" s="474"/>
      <c r="AE193" s="474"/>
      <c r="AF193" s="476"/>
      <c r="AG193" s="474"/>
      <c r="AH193" s="474"/>
      <c r="AI193" s="474"/>
      <c r="AJ193" s="474"/>
      <c r="AK193" s="1304"/>
      <c r="AL193" s="474"/>
      <c r="AM193" s="474"/>
      <c r="AN193" s="476"/>
      <c r="AO193" s="474"/>
      <c r="AP193" s="474"/>
      <c r="AQ193" s="474"/>
      <c r="AR193" s="474"/>
      <c r="AS193" s="1304"/>
      <c r="AT193" s="474"/>
      <c r="AU193" s="474"/>
      <c r="AV193" s="476"/>
      <c r="AW193" s="474"/>
      <c r="AX193" s="474"/>
      <c r="AY193" s="474"/>
      <c r="AZ193" s="474"/>
    </row>
    <row r="194" spans="4:52" ht="14.45" customHeight="1" x14ac:dyDescent="0.25">
      <c r="D194" s="1660" t="s">
        <v>849</v>
      </c>
      <c r="E194" s="1676"/>
      <c r="F194" s="1676"/>
      <c r="G194" s="1653"/>
      <c r="H194" s="1653"/>
      <c r="I194" s="1658">
        <f t="shared" ref="I194" si="278">I192*I193</f>
        <v>2218.8608400000003</v>
      </c>
      <c r="J194" s="1659">
        <f>J192*J193</f>
        <v>3533.6867920113209</v>
      </c>
      <c r="K194" s="1659">
        <f t="shared" ref="K194:O194" si="279">K192*K193</f>
        <v>5784.8488487608884</v>
      </c>
      <c r="L194" s="1659">
        <f t="shared" si="279"/>
        <v>8824.2236867150277</v>
      </c>
      <c r="M194" s="1659">
        <f t="shared" si="279"/>
        <v>13213.412524160791</v>
      </c>
      <c r="N194" s="1659">
        <f t="shared" si="279"/>
        <v>19478.962448037622</v>
      </c>
      <c r="O194" s="1659">
        <f t="shared" si="279"/>
        <v>28267.848863921241</v>
      </c>
      <c r="P194" s="1525"/>
      <c r="Q194" s="474"/>
      <c r="R194" s="474"/>
      <c r="S194" s="474"/>
      <c r="T194" s="474"/>
      <c r="U194" s="1304"/>
      <c r="V194" s="474"/>
      <c r="W194" s="474"/>
      <c r="X194" s="476"/>
      <c r="Y194" s="474"/>
      <c r="Z194" s="474"/>
      <c r="AA194" s="474"/>
      <c r="AB194" s="474"/>
      <c r="AC194" s="1304"/>
      <c r="AD194" s="474"/>
      <c r="AE194" s="474"/>
      <c r="AF194" s="476"/>
      <c r="AG194" s="474"/>
      <c r="AH194" s="474"/>
      <c r="AI194" s="474"/>
      <c r="AJ194" s="474"/>
      <c r="AK194" s="1304"/>
      <c r="AL194" s="474"/>
      <c r="AM194" s="474"/>
      <c r="AN194" s="476"/>
      <c r="AO194" s="474"/>
      <c r="AP194" s="474"/>
      <c r="AQ194" s="474"/>
      <c r="AR194" s="474"/>
      <c r="AS194" s="1304"/>
      <c r="AT194" s="474"/>
      <c r="AU194" s="474"/>
      <c r="AV194" s="476"/>
      <c r="AW194" s="474"/>
      <c r="AX194" s="474"/>
      <c r="AY194" s="474"/>
      <c r="AZ194" s="474"/>
    </row>
    <row r="195" spans="4:52" ht="14.45" customHeight="1" x14ac:dyDescent="0.25">
      <c r="D195" s="1688" t="s">
        <v>1313</v>
      </c>
      <c r="E195" s="373"/>
      <c r="F195" s="373"/>
      <c r="G195" s="474"/>
      <c r="H195" s="474"/>
      <c r="I195" s="476"/>
      <c r="J195" s="1644">
        <f t="shared" ref="J195:O195" si="280">J186</f>
        <v>194.03577630878584</v>
      </c>
      <c r="K195" s="1644">
        <f t="shared" ca="1" si="280"/>
        <v>135.59799799384064</v>
      </c>
      <c r="L195" s="1644">
        <f t="shared" ca="1" si="280"/>
        <v>84.083766344123944</v>
      </c>
      <c r="M195" s="1644">
        <f t="shared" ca="1" si="280"/>
        <v>64.188915367398749</v>
      </c>
      <c r="N195" s="1644">
        <f t="shared" ca="1" si="280"/>
        <v>112.98298437855249</v>
      </c>
      <c r="O195" s="1644">
        <f t="shared" ca="1" si="280"/>
        <v>240.10066738286082</v>
      </c>
      <c r="P195" s="1525"/>
      <c r="Q195" s="474"/>
      <c r="R195" s="474"/>
      <c r="S195" s="474"/>
      <c r="T195" s="474"/>
      <c r="U195" s="1304"/>
      <c r="V195" s="474"/>
      <c r="W195" s="474"/>
      <c r="X195" s="476"/>
      <c r="Y195" s="474"/>
      <c r="Z195" s="474"/>
      <c r="AA195" s="474"/>
      <c r="AB195" s="474"/>
      <c r="AC195" s="1304"/>
      <c r="AD195" s="474"/>
      <c r="AE195" s="474"/>
      <c r="AF195" s="476"/>
      <c r="AG195" s="474"/>
      <c r="AH195" s="474"/>
      <c r="AI195" s="474"/>
      <c r="AJ195" s="474"/>
      <c r="AK195" s="1304"/>
      <c r="AL195" s="474"/>
      <c r="AM195" s="474"/>
      <c r="AN195" s="476"/>
      <c r="AO195" s="474"/>
      <c r="AP195" s="474"/>
      <c r="AQ195" s="474"/>
      <c r="AR195" s="474"/>
      <c r="AS195" s="1304"/>
      <c r="AT195" s="474"/>
      <c r="AU195" s="474"/>
      <c r="AV195" s="476"/>
      <c r="AW195" s="474"/>
      <c r="AX195" s="474"/>
      <c r="AY195" s="474"/>
      <c r="AZ195" s="474"/>
    </row>
    <row r="196" spans="4:52" ht="14.45" customHeight="1" x14ac:dyDescent="0.25">
      <c r="D196" s="1678" t="s">
        <v>846</v>
      </c>
      <c r="E196" s="1676"/>
      <c r="F196" s="1676"/>
      <c r="G196" s="1653"/>
      <c r="H196" s="1653"/>
      <c r="I196" s="1654"/>
      <c r="J196" s="1663">
        <f>J194+J195</f>
        <v>3727.7225683201068</v>
      </c>
      <c r="K196" s="1663">
        <f t="shared" ref="K196:O196" ca="1" si="281">K194+K195</f>
        <v>5920.4468467547285</v>
      </c>
      <c r="L196" s="1663">
        <f t="shared" ca="1" si="281"/>
        <v>8908.3074530591512</v>
      </c>
      <c r="M196" s="1663">
        <f t="shared" ca="1" si="281"/>
        <v>13277.601439528189</v>
      </c>
      <c r="N196" s="1663">
        <f t="shared" ca="1" si="281"/>
        <v>19591.945432416174</v>
      </c>
      <c r="O196" s="1663">
        <f t="shared" ca="1" si="281"/>
        <v>28507.949531304101</v>
      </c>
      <c r="P196" s="1525"/>
      <c r="Q196" s="474"/>
      <c r="R196" s="474"/>
      <c r="S196" s="474"/>
      <c r="T196" s="474"/>
      <c r="U196" s="1304"/>
      <c r="V196" s="474"/>
      <c r="W196" s="474"/>
      <c r="X196" s="476"/>
      <c r="Y196" s="474"/>
      <c r="Z196" s="474"/>
      <c r="AA196" s="474"/>
      <c r="AB196" s="474"/>
      <c r="AC196" s="1304"/>
      <c r="AD196" s="474"/>
      <c r="AE196" s="474"/>
      <c r="AF196" s="476"/>
      <c r="AG196" s="474"/>
      <c r="AH196" s="474"/>
      <c r="AI196" s="474"/>
      <c r="AJ196" s="474"/>
      <c r="AK196" s="1304"/>
      <c r="AL196" s="474"/>
      <c r="AM196" s="474"/>
      <c r="AN196" s="476"/>
      <c r="AO196" s="474"/>
      <c r="AP196" s="474"/>
      <c r="AQ196" s="474"/>
      <c r="AR196" s="474"/>
      <c r="AS196" s="1304"/>
      <c r="AT196" s="474"/>
      <c r="AU196" s="474"/>
      <c r="AV196" s="476"/>
      <c r="AW196" s="474"/>
      <c r="AX196" s="474"/>
      <c r="AY196" s="474"/>
      <c r="AZ196" s="474"/>
    </row>
    <row r="197" spans="4:52" ht="14.45" customHeight="1" x14ac:dyDescent="0.25">
      <c r="D197" s="1688"/>
      <c r="G197" s="474"/>
      <c r="H197" s="474"/>
      <c r="I197" s="476"/>
      <c r="J197" s="474"/>
      <c r="K197" s="474"/>
      <c r="L197" s="474"/>
      <c r="M197" s="474"/>
      <c r="N197" s="474"/>
      <c r="O197" s="474"/>
      <c r="P197" s="1525"/>
      <c r="Q197" s="474"/>
      <c r="R197" s="474"/>
      <c r="S197" s="474"/>
      <c r="T197" s="474"/>
      <c r="U197" s="1304"/>
      <c r="V197" s="474"/>
      <c r="W197" s="474"/>
      <c r="X197" s="476"/>
      <c r="Y197" s="474"/>
      <c r="Z197" s="474"/>
      <c r="AA197" s="474"/>
      <c r="AB197" s="474"/>
      <c r="AC197" s="1304"/>
      <c r="AD197" s="474"/>
      <c r="AE197" s="474"/>
      <c r="AF197" s="476"/>
      <c r="AG197" s="474"/>
      <c r="AH197" s="474"/>
      <c r="AI197" s="474"/>
      <c r="AJ197" s="474"/>
      <c r="AK197" s="1304"/>
      <c r="AL197" s="474"/>
      <c r="AM197" s="474"/>
      <c r="AN197" s="476"/>
      <c r="AO197" s="474"/>
      <c r="AP197" s="474"/>
      <c r="AQ197" s="474"/>
      <c r="AR197" s="474"/>
      <c r="AS197" s="1304"/>
      <c r="AT197" s="474"/>
      <c r="AU197" s="474"/>
      <c r="AV197" s="476"/>
      <c r="AW197" s="474"/>
      <c r="AX197" s="474"/>
      <c r="AY197" s="474"/>
      <c r="AZ197" s="474"/>
    </row>
    <row r="198" spans="4:52" ht="14.45" customHeight="1" x14ac:dyDescent="0.25">
      <c r="D198" s="292" t="s">
        <v>1311</v>
      </c>
      <c r="G198" s="474"/>
      <c r="H198" s="474"/>
      <c r="I198" s="476"/>
      <c r="J198" s="1657">
        <v>214.412755</v>
      </c>
      <c r="K198" s="1674">
        <f>J200</f>
        <v>214.412755</v>
      </c>
      <c r="L198" s="1674">
        <f t="shared" ref="L198:O198" si="282">K200</f>
        <v>214.412755</v>
      </c>
      <c r="M198" s="1674">
        <f t="shared" si="282"/>
        <v>214.412755</v>
      </c>
      <c r="N198" s="1674">
        <f t="shared" si="282"/>
        <v>214.412755</v>
      </c>
      <c r="O198" s="1674">
        <f t="shared" si="282"/>
        <v>214.412755</v>
      </c>
      <c r="P198" s="1525"/>
      <c r="Q198" s="474"/>
      <c r="R198" s="474"/>
      <c r="S198" s="474"/>
      <c r="T198" s="474"/>
      <c r="U198" s="1304"/>
      <c r="V198" s="474"/>
      <c r="W198" s="474"/>
      <c r="X198" s="476"/>
      <c r="Y198" s="474"/>
      <c r="Z198" s="474"/>
      <c r="AA198" s="474"/>
      <c r="AB198" s="474"/>
      <c r="AC198" s="1304"/>
      <c r="AD198" s="474"/>
      <c r="AE198" s="474"/>
      <c r="AF198" s="476"/>
      <c r="AG198" s="474"/>
      <c r="AH198" s="474"/>
      <c r="AI198" s="474"/>
      <c r="AJ198" s="474"/>
      <c r="AK198" s="1304"/>
      <c r="AL198" s="474"/>
      <c r="AM198" s="474"/>
      <c r="AN198" s="476"/>
      <c r="AO198" s="474"/>
      <c r="AP198" s="474"/>
      <c r="AQ198" s="474"/>
      <c r="AR198" s="474"/>
      <c r="AS198" s="1304"/>
      <c r="AT198" s="474"/>
      <c r="AU198" s="474"/>
      <c r="AV198" s="476"/>
      <c r="AW198" s="474"/>
      <c r="AX198" s="474"/>
      <c r="AY198" s="474"/>
      <c r="AZ198" s="474"/>
    </row>
    <row r="199" spans="4:52" ht="14.45" customHeight="1" x14ac:dyDescent="0.25">
      <c r="D199" s="373" t="s">
        <v>1318</v>
      </c>
      <c r="E199" s="373"/>
      <c r="F199" s="1681">
        <v>0</v>
      </c>
      <c r="G199" s="474"/>
      <c r="H199" s="474"/>
      <c r="I199" s="476"/>
      <c r="J199" s="1674"/>
      <c r="K199" s="1674">
        <f>SUM(K198:K198)*F199</f>
        <v>0</v>
      </c>
      <c r="L199" s="1674"/>
      <c r="M199" s="1674"/>
      <c r="N199" s="1666"/>
      <c r="O199" s="1666"/>
      <c r="P199" s="1525"/>
      <c r="Q199" s="474"/>
      <c r="R199" s="474"/>
      <c r="S199" s="474"/>
      <c r="T199" s="474"/>
      <c r="U199" s="1304"/>
      <c r="V199" s="474"/>
      <c r="W199" s="474"/>
      <c r="X199" s="476"/>
      <c r="Y199" s="474"/>
      <c r="Z199" s="474"/>
      <c r="AA199" s="474"/>
      <c r="AB199" s="474"/>
      <c r="AC199" s="1304"/>
      <c r="AD199" s="474"/>
      <c r="AE199" s="474"/>
      <c r="AF199" s="476"/>
      <c r="AG199" s="474"/>
      <c r="AH199" s="474"/>
      <c r="AI199" s="474"/>
      <c r="AJ199" s="474"/>
      <c r="AK199" s="1304"/>
      <c r="AL199" s="474"/>
      <c r="AM199" s="474"/>
      <c r="AN199" s="476"/>
      <c r="AO199" s="474"/>
      <c r="AP199" s="474"/>
      <c r="AQ199" s="474"/>
      <c r="AR199" s="474"/>
      <c r="AS199" s="1304"/>
      <c r="AT199" s="474"/>
      <c r="AU199" s="474"/>
      <c r="AV199" s="476"/>
      <c r="AW199" s="474"/>
      <c r="AX199" s="474"/>
      <c r="AY199" s="474"/>
      <c r="AZ199" s="474"/>
    </row>
    <row r="200" spans="4:52" ht="14.45" customHeight="1" x14ac:dyDescent="0.25">
      <c r="D200" s="1676" t="s">
        <v>1317</v>
      </c>
      <c r="E200" s="1676"/>
      <c r="F200" s="1680"/>
      <c r="G200" s="1653"/>
      <c r="H200" s="1653"/>
      <c r="I200" s="1654"/>
      <c r="J200" s="1677">
        <f>SUM(J198:J199)</f>
        <v>214.412755</v>
      </c>
      <c r="K200" s="1677">
        <f t="shared" ref="K200:O200" si="283">SUM(K198:K199)</f>
        <v>214.412755</v>
      </c>
      <c r="L200" s="1677">
        <f t="shared" si="283"/>
        <v>214.412755</v>
      </c>
      <c r="M200" s="1677">
        <f t="shared" si="283"/>
        <v>214.412755</v>
      </c>
      <c r="N200" s="1677">
        <f t="shared" si="283"/>
        <v>214.412755</v>
      </c>
      <c r="O200" s="1677">
        <f t="shared" si="283"/>
        <v>214.412755</v>
      </c>
      <c r="P200" s="1525"/>
      <c r="Q200" s="474"/>
      <c r="R200" s="474"/>
      <c r="S200" s="474"/>
      <c r="T200" s="474"/>
      <c r="U200" s="1304"/>
      <c r="V200" s="474"/>
      <c r="W200" s="474"/>
      <c r="X200" s="476"/>
      <c r="Y200" s="474"/>
      <c r="Z200" s="474"/>
      <c r="AA200" s="474"/>
      <c r="AB200" s="474"/>
      <c r="AC200" s="1304"/>
      <c r="AD200" s="474"/>
      <c r="AE200" s="474"/>
      <c r="AF200" s="476"/>
      <c r="AG200" s="474"/>
      <c r="AH200" s="474"/>
      <c r="AI200" s="474"/>
      <c r="AJ200" s="474"/>
      <c r="AK200" s="1304"/>
      <c r="AL200" s="474"/>
      <c r="AM200" s="474"/>
      <c r="AN200" s="476"/>
      <c r="AO200" s="474"/>
      <c r="AP200" s="474"/>
      <c r="AQ200" s="474"/>
      <c r="AR200" s="474"/>
      <c r="AS200" s="1304"/>
      <c r="AT200" s="474"/>
      <c r="AU200" s="474"/>
      <c r="AV200" s="476"/>
      <c r="AW200" s="474"/>
      <c r="AX200" s="474"/>
      <c r="AY200" s="474"/>
      <c r="AZ200" s="474"/>
    </row>
    <row r="201" spans="4:52" ht="14.45" customHeight="1" x14ac:dyDescent="0.25">
      <c r="G201" s="474"/>
      <c r="H201" s="474"/>
      <c r="I201" s="476"/>
      <c r="J201" s="1657"/>
      <c r="K201" s="1666"/>
      <c r="L201" s="1666"/>
      <c r="M201" s="1666"/>
      <c r="N201" s="1666"/>
      <c r="O201" s="1666"/>
      <c r="P201" s="1525"/>
      <c r="Q201" s="474"/>
      <c r="R201" s="474"/>
      <c r="S201" s="474"/>
      <c r="T201" s="474"/>
      <c r="U201" s="1304"/>
      <c r="V201" s="474"/>
      <c r="W201" s="474"/>
      <c r="X201" s="476"/>
      <c r="Y201" s="474"/>
      <c r="Z201" s="474"/>
      <c r="AA201" s="474"/>
      <c r="AB201" s="474"/>
      <c r="AC201" s="1304"/>
      <c r="AD201" s="474"/>
      <c r="AE201" s="474"/>
      <c r="AF201" s="476"/>
      <c r="AG201" s="474"/>
      <c r="AH201" s="474"/>
      <c r="AI201" s="474"/>
      <c r="AJ201" s="474"/>
      <c r="AK201" s="1304"/>
      <c r="AL201" s="474"/>
      <c r="AM201" s="474"/>
      <c r="AN201" s="476"/>
      <c r="AO201" s="474"/>
      <c r="AP201" s="474"/>
      <c r="AQ201" s="474"/>
      <c r="AR201" s="474"/>
      <c r="AS201" s="1304"/>
      <c r="AT201" s="474"/>
      <c r="AU201" s="474"/>
      <c r="AV201" s="476"/>
      <c r="AW201" s="474"/>
      <c r="AX201" s="474"/>
      <c r="AY201" s="474"/>
      <c r="AZ201" s="474"/>
    </row>
    <row r="202" spans="4:52" ht="14.45" customHeight="1" x14ac:dyDescent="0.25">
      <c r="D202" s="1667" t="s">
        <v>1314</v>
      </c>
      <c r="E202" s="1668"/>
      <c r="F202" s="1668"/>
      <c r="G202" s="1669"/>
      <c r="H202" s="1669"/>
      <c r="I202" s="1670"/>
      <c r="J202" s="1671">
        <f t="shared" ref="J202:O202" si="284">J196/J200</f>
        <v>17.385731405391937</v>
      </c>
      <c r="K202" s="1671">
        <f t="shared" ca="1" si="284"/>
        <v>27.61238176690901</v>
      </c>
      <c r="L202" s="1671">
        <f t="shared" ca="1" si="284"/>
        <v>41.547469753183066</v>
      </c>
      <c r="M202" s="1671">
        <f t="shared" ca="1" si="284"/>
        <v>61.925427148810194</v>
      </c>
      <c r="N202" s="1671">
        <f t="shared" ca="1" si="284"/>
        <v>91.374906462146683</v>
      </c>
      <c r="O202" s="1672">
        <f t="shared" ca="1" si="284"/>
        <v>132.9582726144445</v>
      </c>
      <c r="P202" s="1525"/>
      <c r="Q202" s="474"/>
      <c r="R202" s="474"/>
      <c r="S202" s="474"/>
      <c r="T202" s="474"/>
      <c r="U202" s="1304"/>
      <c r="V202" s="474"/>
      <c r="W202" s="474"/>
      <c r="X202" s="476"/>
      <c r="Y202" s="474"/>
      <c r="Z202" s="474"/>
      <c r="AA202" s="474"/>
      <c r="AB202" s="474"/>
      <c r="AC202" s="1304"/>
      <c r="AD202" s="474"/>
      <c r="AE202" s="474"/>
      <c r="AF202" s="476"/>
      <c r="AG202" s="474"/>
      <c r="AH202" s="474"/>
      <c r="AI202" s="474"/>
      <c r="AJ202" s="474"/>
      <c r="AK202" s="1304"/>
      <c r="AL202" s="474"/>
      <c r="AM202" s="474"/>
      <c r="AN202" s="476"/>
      <c r="AO202" s="474"/>
      <c r="AP202" s="474"/>
      <c r="AQ202" s="474"/>
      <c r="AR202" s="474"/>
      <c r="AS202" s="1304"/>
      <c r="AT202" s="474"/>
      <c r="AU202" s="474"/>
      <c r="AV202" s="476"/>
      <c r="AW202" s="474"/>
      <c r="AX202" s="474"/>
      <c r="AY202" s="474"/>
      <c r="AZ202" s="474"/>
    </row>
    <row r="203" spans="4:52" ht="14.45" customHeight="1" x14ac:dyDescent="0.25">
      <c r="D203" s="373"/>
      <c r="E203" s="373"/>
      <c r="F203" s="373"/>
      <c r="G203" s="474"/>
      <c r="H203" s="474"/>
      <c r="I203" s="476"/>
      <c r="J203" s="1664"/>
      <c r="K203" s="1664"/>
      <c r="L203" s="1664"/>
      <c r="M203" s="1664"/>
      <c r="N203" s="1664"/>
      <c r="O203" s="1664"/>
      <c r="P203" s="1525"/>
      <c r="Q203" s="474"/>
      <c r="R203" s="474"/>
      <c r="S203" s="474"/>
      <c r="T203" s="474"/>
      <c r="U203" s="1304"/>
      <c r="V203" s="474"/>
      <c r="W203" s="474"/>
      <c r="X203" s="476"/>
      <c r="Y203" s="474"/>
      <c r="Z203" s="474"/>
      <c r="AA203" s="474"/>
      <c r="AB203" s="474"/>
      <c r="AC203" s="1304"/>
      <c r="AD203" s="474"/>
      <c r="AE203" s="474"/>
      <c r="AF203" s="476"/>
      <c r="AG203" s="474"/>
      <c r="AH203" s="474"/>
      <c r="AI203" s="474"/>
      <c r="AJ203" s="474"/>
      <c r="AK203" s="1304"/>
      <c r="AL203" s="474"/>
      <c r="AM203" s="474"/>
      <c r="AN203" s="476"/>
      <c r="AO203" s="474"/>
      <c r="AP203" s="474"/>
      <c r="AQ203" s="474"/>
      <c r="AR203" s="474"/>
      <c r="AS203" s="1304"/>
      <c r="AT203" s="474"/>
      <c r="AU203" s="474"/>
      <c r="AV203" s="476"/>
      <c r="AW203" s="474"/>
      <c r="AX203" s="474"/>
      <c r="AY203" s="474"/>
      <c r="AZ203" s="474"/>
    </row>
    <row r="204" spans="4:52" ht="14.45" customHeight="1" x14ac:dyDescent="0.25">
      <c r="D204" s="1676"/>
      <c r="E204" s="1676"/>
      <c r="F204" s="1676"/>
      <c r="G204" s="1653"/>
      <c r="H204" s="1653"/>
      <c r="I204" s="1654"/>
      <c r="J204" s="1653"/>
      <c r="K204" s="1653"/>
      <c r="L204" s="1653"/>
      <c r="M204" s="1653"/>
      <c r="N204" s="1653"/>
      <c r="O204" s="1653"/>
      <c r="P204" s="1525"/>
      <c r="Q204" s="474"/>
      <c r="R204" s="474"/>
      <c r="S204" s="474"/>
      <c r="T204" s="474"/>
      <c r="U204" s="1304"/>
      <c r="V204" s="474"/>
      <c r="W204" s="474"/>
      <c r="X204" s="476"/>
      <c r="Y204" s="474"/>
      <c r="Z204" s="474"/>
      <c r="AA204" s="474"/>
      <c r="AB204" s="474"/>
      <c r="AC204" s="1304"/>
      <c r="AD204" s="474"/>
      <c r="AE204" s="474"/>
      <c r="AF204" s="476"/>
      <c r="AG204" s="474"/>
      <c r="AH204" s="474"/>
      <c r="AI204" s="474"/>
      <c r="AJ204" s="474"/>
      <c r="AK204" s="1304"/>
      <c r="AL204" s="474"/>
      <c r="AM204" s="474"/>
      <c r="AN204" s="476"/>
      <c r="AO204" s="474"/>
      <c r="AP204" s="474"/>
      <c r="AQ204" s="474"/>
      <c r="AR204" s="474"/>
      <c r="AS204" s="1304"/>
      <c r="AT204" s="474"/>
      <c r="AU204" s="474"/>
      <c r="AV204" s="476"/>
      <c r="AW204" s="474"/>
      <c r="AX204" s="474"/>
      <c r="AY204" s="474"/>
      <c r="AZ204" s="474"/>
    </row>
    <row r="205" spans="4:52" ht="14.45" customHeight="1" x14ac:dyDescent="0.25">
      <c r="D205" s="1372" t="s">
        <v>1301</v>
      </c>
      <c r="G205" s="474"/>
      <c r="H205" s="474"/>
      <c r="I205" s="476"/>
      <c r="J205" s="474"/>
      <c r="K205" s="474"/>
      <c r="L205" s="474"/>
      <c r="M205" s="474"/>
      <c r="N205" s="474"/>
      <c r="O205" s="474"/>
      <c r="P205" s="1525"/>
      <c r="Q205" s="474"/>
      <c r="R205" s="474"/>
      <c r="S205" s="474"/>
      <c r="T205" s="474"/>
      <c r="U205" s="1304"/>
      <c r="V205" s="474"/>
      <c r="W205" s="474"/>
      <c r="X205" s="476"/>
      <c r="Y205" s="474"/>
      <c r="Z205" s="474"/>
      <c r="AA205" s="474"/>
      <c r="AB205" s="474"/>
      <c r="AC205" s="1304"/>
      <c r="AD205" s="474"/>
      <c r="AE205" s="474"/>
      <c r="AF205" s="476"/>
      <c r="AG205" s="474"/>
      <c r="AH205" s="474"/>
      <c r="AI205" s="474"/>
      <c r="AJ205" s="474"/>
      <c r="AK205" s="1304"/>
      <c r="AL205" s="474"/>
      <c r="AM205" s="474"/>
      <c r="AN205" s="476"/>
      <c r="AO205" s="474"/>
      <c r="AP205" s="474"/>
      <c r="AQ205" s="474"/>
      <c r="AR205" s="474"/>
      <c r="AS205" s="1304"/>
      <c r="AT205" s="474"/>
      <c r="AU205" s="474"/>
      <c r="AV205" s="476"/>
      <c r="AW205" s="474"/>
      <c r="AX205" s="474"/>
      <c r="AY205" s="474"/>
      <c r="AZ205" s="474"/>
    </row>
    <row r="206" spans="4:52" ht="14.45" customHeight="1" x14ac:dyDescent="0.25">
      <c r="D206" s="292" t="str">
        <f>D181</f>
        <v>Cash BOP</v>
      </c>
      <c r="G206" s="1757">
        <f>G181</f>
        <v>33.600999999999999</v>
      </c>
      <c r="H206" s="1757">
        <f>H181</f>
        <v>63.401484154567441</v>
      </c>
      <c r="I206" s="1758">
        <f>I181</f>
        <v>127.948489</v>
      </c>
      <c r="J206" s="1332">
        <f>AC206</f>
        <v>96.304544183695583</v>
      </c>
      <c r="K206" s="1333">
        <f>AG206</f>
        <v>178.33118744331782</v>
      </c>
      <c r="L206" s="1333">
        <f ca="1">AK206</f>
        <v>197.66862384833433</v>
      </c>
      <c r="M206" s="1333">
        <f ca="1">AO206</f>
        <v>109.559653568234</v>
      </c>
      <c r="N206" s="1333">
        <f ca="1">AS206</f>
        <v>75.314493257617244</v>
      </c>
      <c r="O206" s="1333">
        <f ca="1">AW206</f>
        <v>116.04525545833732</v>
      </c>
      <c r="P206" s="1525"/>
      <c r="Q206" s="474">
        <f t="shared" ref="Q206:AF206" si="285">Q181</f>
        <v>33.600999999999999</v>
      </c>
      <c r="R206" s="474">
        <f t="shared" si="285"/>
        <v>28.212770124567442</v>
      </c>
      <c r="S206" s="474">
        <f t="shared" si="285"/>
        <v>23.776766444567443</v>
      </c>
      <c r="T206" s="474">
        <f t="shared" si="285"/>
        <v>67.665568374567428</v>
      </c>
      <c r="U206" s="1304">
        <f t="shared" si="285"/>
        <v>63.401484154567441</v>
      </c>
      <c r="V206" s="474">
        <f t="shared" si="285"/>
        <v>48.175318490000002</v>
      </c>
      <c r="W206" s="474">
        <f t="shared" si="285"/>
        <v>41.42953945</v>
      </c>
      <c r="X206" s="476">
        <f t="shared" si="285"/>
        <v>132.45970020000001</v>
      </c>
      <c r="Y206" s="474">
        <f t="shared" si="285"/>
        <v>127.948489</v>
      </c>
      <c r="Z206" s="474">
        <f t="shared" si="285"/>
        <v>113.9302319998</v>
      </c>
      <c r="AA206" s="474">
        <f t="shared" si="285"/>
        <v>103.35298040773998</v>
      </c>
      <c r="AB206" s="474">
        <f t="shared" si="285"/>
        <v>98.528151126639983</v>
      </c>
      <c r="AC206" s="1304">
        <f t="shared" si="285"/>
        <v>96.304544183695583</v>
      </c>
      <c r="AD206" s="474">
        <f t="shared" si="285"/>
        <v>86.058441699295585</v>
      </c>
      <c r="AE206" s="474">
        <f t="shared" si="285"/>
        <v>224.13640230269559</v>
      </c>
      <c r="AF206" s="476">
        <f t="shared" si="285"/>
        <v>208.15127139115179</v>
      </c>
      <c r="AG206" s="1644">
        <f>AF215</f>
        <v>178.33118744331782</v>
      </c>
      <c r="AH206" s="1644">
        <f t="shared" ref="AH206:AZ206" si="286">AG215</f>
        <v>157.23180686691515</v>
      </c>
      <c r="AI206" s="1644">
        <f t="shared" si="286"/>
        <v>139.57357264988539</v>
      </c>
      <c r="AJ206" s="1644">
        <f t="shared" si="286"/>
        <v>121.95730614799122</v>
      </c>
      <c r="AK206" s="1646">
        <f t="shared" ca="1" si="286"/>
        <v>197.66862384833433</v>
      </c>
      <c r="AL206" s="1644">
        <f t="shared" ca="1" si="286"/>
        <v>179.63406666879808</v>
      </c>
      <c r="AM206" s="1644">
        <f t="shared" ca="1" si="286"/>
        <v>141.50583113289699</v>
      </c>
      <c r="AN206" s="1645">
        <f t="shared" ca="1" si="286"/>
        <v>124.29395140150977</v>
      </c>
      <c r="AO206" s="1644">
        <f t="shared" ca="1" si="286"/>
        <v>109.559653568234</v>
      </c>
      <c r="AP206" s="1644">
        <f t="shared" ca="1" si="286"/>
        <v>91.33776967074995</v>
      </c>
      <c r="AQ206" s="1644">
        <f t="shared" ca="1" si="286"/>
        <v>82.23475401855498</v>
      </c>
      <c r="AR206" s="1644">
        <f t="shared" ca="1" si="286"/>
        <v>74.471789460334762</v>
      </c>
      <c r="AS206" s="1646">
        <f t="shared" ca="1" si="286"/>
        <v>75.314493257617244</v>
      </c>
      <c r="AT206" s="1644">
        <f t="shared" ca="1" si="286"/>
        <v>73.231318174769072</v>
      </c>
      <c r="AU206" s="1644">
        <f t="shared" ca="1" si="286"/>
        <v>82.653976192160613</v>
      </c>
      <c r="AV206" s="1645">
        <f t="shared" ca="1" si="286"/>
        <v>93.696504896765916</v>
      </c>
      <c r="AW206" s="1644">
        <f t="shared" ca="1" si="286"/>
        <v>116.04525545833243</v>
      </c>
      <c r="AX206" s="1644">
        <f t="shared" ca="1" si="286"/>
        <v>132.23469359973109</v>
      </c>
      <c r="AY206" s="1644">
        <f t="shared" ca="1" si="286"/>
        <v>163.44793091916571</v>
      </c>
      <c r="AZ206" s="1644">
        <f t="shared" ca="1" si="286"/>
        <v>197.64569630557449</v>
      </c>
    </row>
    <row r="207" spans="4:52" ht="14.45" customHeight="1" x14ac:dyDescent="0.25">
      <c r="D207" s="292" t="s">
        <v>1302</v>
      </c>
      <c r="G207" s="1642">
        <f t="shared" ref="G207:O207" si="287">G189</f>
        <v>-19.23717340543255</v>
      </c>
      <c r="H207" s="1642">
        <f t="shared" si="287"/>
        <v>-33.055798269999997</v>
      </c>
      <c r="I207" s="1759">
        <f t="shared" si="287"/>
        <v>-33.13740592630441</v>
      </c>
      <c r="J207" s="1642">
        <f t="shared" si="287"/>
        <v>-54.289350294909724</v>
      </c>
      <c r="K207" s="1642">
        <f t="shared" si="287"/>
        <v>-58.437778314945163</v>
      </c>
      <c r="L207" s="1642">
        <f t="shared" si="287"/>
        <v>-51.514231649716713</v>
      </c>
      <c r="M207" s="1642">
        <f t="shared" si="287"/>
        <v>-19.894850976725252</v>
      </c>
      <c r="N207" s="1642">
        <f t="shared" si="287"/>
        <v>48.794069011153617</v>
      </c>
      <c r="O207" s="1642">
        <f t="shared" si="287"/>
        <v>127.11768300430811</v>
      </c>
      <c r="P207" s="1525"/>
      <c r="Q207" s="1644">
        <f t="shared" ref="Q207:AZ207" si="288">Q189</f>
        <v>-5.3882298754325575</v>
      </c>
      <c r="R207" s="1644">
        <f t="shared" si="288"/>
        <v>-4.4360036799999998</v>
      </c>
      <c r="S207" s="1644">
        <f t="shared" si="288"/>
        <v>-5.7280930700000026</v>
      </c>
      <c r="T207" s="1644">
        <f t="shared" si="288"/>
        <v>-3.684846779999992</v>
      </c>
      <c r="U207" s="1646">
        <f t="shared" si="288"/>
        <v>-11.997418629999995</v>
      </c>
      <c r="V207" s="1644">
        <f t="shared" si="288"/>
        <v>-7.3908896099999986</v>
      </c>
      <c r="W207" s="1644">
        <f t="shared" si="288"/>
        <v>-9.1881621699999982</v>
      </c>
      <c r="X207" s="1645">
        <f t="shared" si="288"/>
        <v>-4.479327860000005</v>
      </c>
      <c r="Y207" s="1644">
        <f t="shared" si="288"/>
        <v>-14.021452830200003</v>
      </c>
      <c r="Z207" s="1644">
        <f t="shared" si="288"/>
        <v>-10.446598862060011</v>
      </c>
      <c r="AA207" s="1644">
        <f t="shared" si="288"/>
        <v>-5.2989482810999995</v>
      </c>
      <c r="AB207" s="1644">
        <f t="shared" si="288"/>
        <v>-3.3704059529444006</v>
      </c>
      <c r="AC207" s="1646">
        <f t="shared" si="288"/>
        <v>-11.253809704400005</v>
      </c>
      <c r="AD207" s="1644">
        <f t="shared" si="288"/>
        <v>-12.134914596600009</v>
      </c>
      <c r="AE207" s="1644">
        <f t="shared" si="288"/>
        <v>-16.785130911543774</v>
      </c>
      <c r="AF207" s="1645">
        <f t="shared" si="288"/>
        <v>-14.115495082365939</v>
      </c>
      <c r="AG207" s="1644">
        <f t="shared" si="288"/>
        <v>-17.838342746171275</v>
      </c>
      <c r="AH207" s="1644">
        <f t="shared" si="288"/>
        <v>-14.645224092926938</v>
      </c>
      <c r="AI207" s="1644">
        <f t="shared" si="288"/>
        <v>-14.581388674406782</v>
      </c>
      <c r="AJ207" s="1644">
        <f t="shared" si="288"/>
        <v>-11.372822801440165</v>
      </c>
      <c r="AK207" s="1646">
        <f t="shared" si="288"/>
        <v>-14.297067320440721</v>
      </c>
      <c r="AL207" s="1644">
        <f t="shared" si="288"/>
        <v>-11.558348970383726</v>
      </c>
      <c r="AM207" s="1644">
        <f t="shared" si="288"/>
        <v>-13.744310529935278</v>
      </c>
      <c r="AN207" s="1645">
        <f t="shared" si="288"/>
        <v>-11.914504828956984</v>
      </c>
      <c r="AO207" s="1644">
        <f t="shared" si="288"/>
        <v>-14.106498435160272</v>
      </c>
      <c r="AP207" s="1644">
        <f t="shared" si="288"/>
        <v>-5.3440319387513551</v>
      </c>
      <c r="AQ207" s="1644">
        <f t="shared" si="288"/>
        <v>-4.1199945982466115</v>
      </c>
      <c r="AR207" s="1644">
        <f t="shared" si="288"/>
        <v>3.6756739954329878</v>
      </c>
      <c r="AS207" s="1646">
        <f t="shared" si="288"/>
        <v>1.3341234015416354</v>
      </c>
      <c r="AT207" s="1644">
        <f t="shared" si="288"/>
        <v>11.846397421975128</v>
      </c>
      <c r="AU207" s="1644">
        <f t="shared" si="288"/>
        <v>12.949595728288241</v>
      </c>
      <c r="AV207" s="1645">
        <f t="shared" si="288"/>
        <v>22.663952459348611</v>
      </c>
      <c r="AW207" s="1644">
        <f t="shared" si="288"/>
        <v>17.560129062587915</v>
      </c>
      <c r="AX207" s="1644">
        <f t="shared" si="288"/>
        <v>30.836678858304484</v>
      </c>
      <c r="AY207" s="1644">
        <f t="shared" si="288"/>
        <v>32.846912709571363</v>
      </c>
      <c r="AZ207" s="1644">
        <f t="shared" si="288"/>
        <v>45.873962373844343</v>
      </c>
    </row>
    <row r="208" spans="4:52" ht="14.45" customHeight="1" x14ac:dyDescent="0.25">
      <c r="D208" s="292" t="s">
        <v>1304</v>
      </c>
      <c r="G208" s="1665"/>
      <c r="H208" s="1665"/>
      <c r="I208" s="1760"/>
      <c r="J208" s="1761">
        <f t="shared" ref="J208:J211" si="289">SUM(AC208:AF208)</f>
        <v>0</v>
      </c>
      <c r="K208" s="1761">
        <f t="shared" ref="K208:K211" si="290">SUM(AG208:AJ208)</f>
        <v>-14.001261162973142</v>
      </c>
      <c r="L208" s="1761">
        <f t="shared" ref="L208:L211" si="291">SUM(AK208:AN208)</f>
        <v>-16.172942090992716</v>
      </c>
      <c r="M208" s="1761">
        <f t="shared" ref="M208:M211" si="292">SUM(AO208:AR208)</f>
        <v>-20.732085018543462</v>
      </c>
      <c r="N208" s="1761">
        <f t="shared" ref="N208:N211" si="293">SUM(AS208:AV208)</f>
        <v>-28.824422167182398</v>
      </c>
      <c r="O208" s="1761">
        <f t="shared" ref="O208:O211" si="294">SUM(AW208:AZ208)</f>
        <v>-37.414424029007058</v>
      </c>
      <c r="P208" s="1525"/>
      <c r="Q208" s="474"/>
      <c r="R208" s="474"/>
      <c r="S208" s="474"/>
      <c r="T208" s="474"/>
      <c r="U208" s="1304"/>
      <c r="V208" s="474"/>
      <c r="W208" s="474"/>
      <c r="X208" s="476"/>
      <c r="Y208" s="474"/>
      <c r="Z208" s="474"/>
      <c r="AA208" s="474"/>
      <c r="AB208" s="474"/>
      <c r="AC208" s="1690"/>
      <c r="AG208" s="1304">
        <f>'Functional P&amp;L'!T39/k</f>
        <v>-3.6033976411879931</v>
      </c>
      <c r="AH208" s="474">
        <f>'Functional P&amp;L'!U39/k</f>
        <v>-3.4194684000075433</v>
      </c>
      <c r="AI208" s="474">
        <f>'Functional P&amp;L'!V39/k</f>
        <v>-3.5701921675569639</v>
      </c>
      <c r="AJ208" s="476">
        <f>'Functional P&amp;L'!W39/k</f>
        <v>-3.4082029542206409</v>
      </c>
      <c r="AK208" s="474">
        <f>'Functional P&amp;L'!X39/k</f>
        <v>-4.0872202802918611</v>
      </c>
      <c r="AL208" s="474">
        <f>'Functional P&amp;L'!Y39/k</f>
        <v>-4.0038762962005494</v>
      </c>
      <c r="AM208" s="474">
        <f>'Functional P&amp;L'!Z39/k</f>
        <v>-4.1730147610634125</v>
      </c>
      <c r="AN208" s="474">
        <f>'Functional P&amp;L'!AA39/k</f>
        <v>-3.9088307534368925</v>
      </c>
      <c r="AO208" s="1646">
        <f t="shared" ref="AO208:AZ208" si="295">AO119+AO141</f>
        <v>-4.7380156586250806</v>
      </c>
      <c r="AP208" s="1644">
        <f t="shared" si="295"/>
        <v>-4.9787540429105412</v>
      </c>
      <c r="AQ208" s="1644">
        <f t="shared" si="295"/>
        <v>-5.3951830670470109</v>
      </c>
      <c r="AR208" s="1644">
        <f t="shared" si="295"/>
        <v>-5.6201322499608288</v>
      </c>
      <c r="AS208" s="1646">
        <f t="shared" si="295"/>
        <v>-6.7974782300141703</v>
      </c>
      <c r="AT208" s="1644">
        <f t="shared" si="295"/>
        <v>-7.0100840911390048</v>
      </c>
      <c r="AU208" s="1644">
        <f t="shared" si="295"/>
        <v>-7.4088075115026975</v>
      </c>
      <c r="AV208" s="1645">
        <f t="shared" si="295"/>
        <v>-7.6080523345265245</v>
      </c>
      <c r="AW208" s="1644">
        <f t="shared" si="295"/>
        <v>-8.9741596224458249</v>
      </c>
      <c r="AX208" s="1644">
        <f t="shared" si="295"/>
        <v>-9.1634038452154059</v>
      </c>
      <c r="AY208" s="1644">
        <f t="shared" si="295"/>
        <v>-9.5494613158575614</v>
      </c>
      <c r="AZ208" s="1644">
        <f t="shared" si="295"/>
        <v>-9.7273992454882645</v>
      </c>
    </row>
    <row r="209" spans="4:52" ht="14.45" customHeight="1" x14ac:dyDescent="0.25">
      <c r="D209" s="292" t="s">
        <v>1307</v>
      </c>
      <c r="G209" s="1665"/>
      <c r="H209" s="1665"/>
      <c r="I209" s="1760"/>
      <c r="J209" s="1761">
        <f t="shared" si="289"/>
        <v>0</v>
      </c>
      <c r="K209" s="1761">
        <f t="shared" si="290"/>
        <v>0.125</v>
      </c>
      <c r="L209" s="1761">
        <f t="shared" si="291"/>
        <v>0.125</v>
      </c>
      <c r="M209" s="1761">
        <f t="shared" si="292"/>
        <v>0.125</v>
      </c>
      <c r="N209" s="1761">
        <f t="shared" si="293"/>
        <v>0.125</v>
      </c>
      <c r="O209" s="1761">
        <f t="shared" si="294"/>
        <v>0.125</v>
      </c>
      <c r="P209" s="1525"/>
      <c r="Q209" s="474"/>
      <c r="R209" s="474"/>
      <c r="S209" s="474"/>
      <c r="T209" s="474"/>
      <c r="U209" s="1304"/>
      <c r="V209" s="474"/>
      <c r="W209" s="474"/>
      <c r="X209" s="476"/>
      <c r="Y209" s="474"/>
      <c r="Z209" s="474"/>
      <c r="AA209" s="474"/>
      <c r="AB209" s="474"/>
      <c r="AC209" s="1304"/>
      <c r="AD209" s="474"/>
      <c r="AE209" s="474"/>
      <c r="AF209" s="476"/>
      <c r="AG209" s="474">
        <f>'Functional P&amp;L'!T36/k</f>
        <v>0</v>
      </c>
      <c r="AH209" s="474">
        <f>'Functional P&amp;L'!U36/k</f>
        <v>0</v>
      </c>
      <c r="AI209" s="474">
        <f>'Functional P&amp;L'!V36/k</f>
        <v>0</v>
      </c>
      <c r="AJ209" s="474">
        <f>'Functional P&amp;L'!W36/k</f>
        <v>0.125</v>
      </c>
      <c r="AK209" s="1304">
        <f>'Functional P&amp;L'!X36/k</f>
        <v>0</v>
      </c>
      <c r="AL209" s="474">
        <f>'Functional P&amp;L'!Y36/k</f>
        <v>0</v>
      </c>
      <c r="AM209" s="474">
        <f>'Functional P&amp;L'!Z36/k</f>
        <v>0</v>
      </c>
      <c r="AN209" s="476">
        <f>'Functional P&amp;L'!AA36/k</f>
        <v>0.125</v>
      </c>
      <c r="AO209" s="474"/>
      <c r="AP209" s="474"/>
      <c r="AQ209" s="474"/>
      <c r="AR209" s="1644">
        <f>AN209</f>
        <v>0.125</v>
      </c>
      <c r="AS209" s="1304"/>
      <c r="AT209" s="474"/>
      <c r="AU209" s="474"/>
      <c r="AV209" s="1645">
        <f>AR209</f>
        <v>0.125</v>
      </c>
      <c r="AW209" s="474"/>
      <c r="AX209" s="474"/>
      <c r="AY209" s="474"/>
      <c r="AZ209" s="1644">
        <f>AV209</f>
        <v>0.125</v>
      </c>
    </row>
    <row r="210" spans="4:52" ht="14.45" customHeight="1" x14ac:dyDescent="0.25">
      <c r="D210" s="292" t="s">
        <v>1305</v>
      </c>
      <c r="G210" s="1665"/>
      <c r="H210" s="1665"/>
      <c r="I210" s="1760"/>
      <c r="J210" s="1761">
        <f t="shared" si="289"/>
        <v>0</v>
      </c>
      <c r="K210" s="1761">
        <f t="shared" si="290"/>
        <v>2.0556017537660378</v>
      </c>
      <c r="L210" s="1761">
        <f t="shared" si="291"/>
        <v>1.7717363460927114</v>
      </c>
      <c r="M210" s="1761">
        <f t="shared" si="292"/>
        <v>0</v>
      </c>
      <c r="N210" s="1761">
        <f t="shared" si="293"/>
        <v>0</v>
      </c>
      <c r="O210" s="1761">
        <f t="shared" si="294"/>
        <v>0</v>
      </c>
      <c r="P210" s="1525"/>
      <c r="Q210" s="474"/>
      <c r="R210" s="474"/>
      <c r="S210" s="474"/>
      <c r="T210" s="474"/>
      <c r="U210" s="1304"/>
      <c r="V210" s="474"/>
      <c r="W210" s="474"/>
      <c r="X210" s="476"/>
      <c r="Y210" s="474"/>
      <c r="Z210" s="474"/>
      <c r="AA210" s="474"/>
      <c r="AB210" s="474"/>
      <c r="AC210" s="1690"/>
      <c r="AG210" s="1304">
        <f>'Functional P&amp;L'!T42/k</f>
        <v>0.34198598445201406</v>
      </c>
      <c r="AH210" s="474">
        <f>'Functional P&amp;L'!U42/k</f>
        <v>0.40496271415330137</v>
      </c>
      <c r="AI210" s="474">
        <f>'Functional P&amp;L'!V42/k</f>
        <v>0.53264333746283965</v>
      </c>
      <c r="AJ210" s="476">
        <f>'Functional P&amp;L'!W42/k</f>
        <v>0.77600971769788252</v>
      </c>
      <c r="AK210" s="474">
        <f>'Functional P&amp;L'!X42/k</f>
        <v>0.3043182669640388</v>
      </c>
      <c r="AL210" s="474">
        <f>'Functional P&amp;L'!Y42/k</f>
        <v>0.41636715470059837</v>
      </c>
      <c r="AM210" s="474">
        <f>'Functional P&amp;L'!Z42/k</f>
        <v>0.48795676627986201</v>
      </c>
      <c r="AN210" s="474">
        <f>'Functional P&amp;L'!AA42/k</f>
        <v>0.56309415814821207</v>
      </c>
      <c r="AO210" s="1304"/>
      <c r="AP210" s="474"/>
      <c r="AQ210" s="474"/>
      <c r="AR210" s="474"/>
      <c r="AS210" s="1304"/>
      <c r="AT210" s="474"/>
      <c r="AU210" s="474"/>
      <c r="AV210" s="476"/>
      <c r="AW210" s="474"/>
      <c r="AX210" s="474"/>
      <c r="AY210" s="474"/>
      <c r="AZ210" s="474"/>
    </row>
    <row r="211" spans="4:52" ht="14.45" customHeight="1" x14ac:dyDescent="0.25">
      <c r="D211" s="292" t="s">
        <v>1303</v>
      </c>
      <c r="G211" s="1665"/>
      <c r="H211" s="1665"/>
      <c r="I211" s="1760"/>
      <c r="J211" s="1761">
        <f t="shared" si="289"/>
        <v>0</v>
      </c>
      <c r="K211" s="1761">
        <f t="shared" si="290"/>
        <v>1.4741467473111679E-2</v>
      </c>
      <c r="L211" s="1761">
        <f t="shared" si="291"/>
        <v>0.78949762908550714</v>
      </c>
      <c r="M211" s="1761">
        <f t="shared" si="292"/>
        <v>6.2567756846519629</v>
      </c>
      <c r="N211" s="1761">
        <f t="shared" si="293"/>
        <v>20.636115356743932</v>
      </c>
      <c r="O211" s="1761">
        <f t="shared" si="294"/>
        <v>41.595242506589379</v>
      </c>
      <c r="P211" s="1525"/>
      <c r="Q211" s="474"/>
      <c r="R211" s="474"/>
      <c r="S211" s="474"/>
      <c r="T211" s="474"/>
      <c r="U211" s="1304"/>
      <c r="V211" s="474"/>
      <c r="W211" s="474"/>
      <c r="X211" s="476"/>
      <c r="Y211" s="474"/>
      <c r="Z211" s="474"/>
      <c r="AA211" s="474"/>
      <c r="AB211" s="474"/>
      <c r="AC211" s="1304"/>
      <c r="AD211" s="474"/>
      <c r="AE211" s="474"/>
      <c r="AF211" s="476"/>
      <c r="AG211" s="474">
        <f>Overview!I35</f>
        <v>3.7382650457311632E-4</v>
      </c>
      <c r="AH211" s="474">
        <f>Overview!J35</f>
        <v>1.4955617514204466E-3</v>
      </c>
      <c r="AI211" s="474">
        <f>Overview!K35</f>
        <v>2.6710026067308761E-3</v>
      </c>
      <c r="AJ211" s="474">
        <f>Overview!L35</f>
        <v>1.0201076610387241E-2</v>
      </c>
      <c r="AK211" s="1304">
        <f>Overview!M35</f>
        <v>4.5412154232299454E-2</v>
      </c>
      <c r="AL211" s="474">
        <f>Overview!N35</f>
        <v>0.12565309055172086</v>
      </c>
      <c r="AM211" s="474">
        <f>Overview!O35</f>
        <v>0.21748879333161469</v>
      </c>
      <c r="AN211" s="476">
        <f>Overview!P35</f>
        <v>0.40094359096987209</v>
      </c>
      <c r="AO211" s="474">
        <f>Overview!Q35</f>
        <v>0.6226301963013019</v>
      </c>
      <c r="AP211" s="474">
        <f>Overview!R35</f>
        <v>1.21977032946693</v>
      </c>
      <c r="AQ211" s="474">
        <f>Overview!S35</f>
        <v>1.7522131070734059</v>
      </c>
      <c r="AR211" s="474">
        <f>Overview!T35</f>
        <v>2.6621620518103253</v>
      </c>
      <c r="AS211" s="1304">
        <f>Overview!U35</f>
        <v>3.3801797456243659</v>
      </c>
      <c r="AT211" s="474">
        <f>Overview!V35</f>
        <v>4.5863446865554254</v>
      </c>
      <c r="AU211" s="474">
        <f>Overview!W35</f>
        <v>5.5017404878197613</v>
      </c>
      <c r="AV211" s="476">
        <f>Overview!X35</f>
        <v>7.1678504367443807</v>
      </c>
      <c r="AW211" s="474">
        <f>Overview!Y35</f>
        <v>7.6034687012516606</v>
      </c>
      <c r="AX211" s="474">
        <f>Overview!Z35</f>
        <v>9.5399623060154575</v>
      </c>
      <c r="AY211" s="474">
        <f>Overview!AA35</f>
        <v>10.9003139703894</v>
      </c>
      <c r="AZ211" s="474">
        <f>Overview!AB35</f>
        <v>13.551497528932863</v>
      </c>
    </row>
    <row r="212" spans="4:52" ht="14.45" customHeight="1" x14ac:dyDescent="0.25">
      <c r="D212" s="292" t="str">
        <f>D184</f>
        <v>Other Non-Recurring</v>
      </c>
      <c r="G212" s="1665">
        <f>G184</f>
        <v>-1.0265897500000001</v>
      </c>
      <c r="H212" s="1665">
        <f>H184</f>
        <v>-3.5045460345674448</v>
      </c>
      <c r="I212" s="1760">
        <f>I184</f>
        <v>-0.38015089999999996</v>
      </c>
      <c r="J212" s="1665">
        <f>J184</f>
        <v>0</v>
      </c>
      <c r="K212" s="1665"/>
      <c r="L212" s="1665"/>
      <c r="M212" s="1665"/>
      <c r="N212" s="1665"/>
      <c r="O212" s="1665"/>
      <c r="P212" s="1525"/>
      <c r="Q212" s="487">
        <f>Forecast!N66/mm</f>
        <v>0</v>
      </c>
      <c r="R212" s="487">
        <f>Forecast!O66/mm</f>
        <v>0</v>
      </c>
      <c r="S212" s="487">
        <f>Forecast!P66/mm</f>
        <v>-0.40265600000000001</v>
      </c>
      <c r="T212" s="489">
        <f>Forecast!Q66/mm</f>
        <v>-0.62393374999999995</v>
      </c>
      <c r="U212" s="1300">
        <f>Forecast!R66/mm</f>
        <v>-3.3576360345674452</v>
      </c>
      <c r="V212" s="489">
        <f>Forecast!S66/mm</f>
        <v>9.7873000000000002E-2</v>
      </c>
      <c r="W212" s="489">
        <f>Forecast!T66/mm</f>
        <v>0</v>
      </c>
      <c r="X212" s="490">
        <f>Forecast!U66/mm</f>
        <v>-0.244783</v>
      </c>
      <c r="Y212" s="489">
        <f>Forecast!V66/mm</f>
        <v>-6.0698169999999996E-2</v>
      </c>
      <c r="Z212" s="487">
        <f>Forecast!W66/mm</f>
        <v>-0.31952072999999998</v>
      </c>
      <c r="AA212" s="487">
        <f>Forecast!X66/mm</f>
        <v>6.7999999999999999E-5</v>
      </c>
      <c r="AB212" s="489">
        <f>Forecast!Y66/mm</f>
        <v>0</v>
      </c>
      <c r="AC212" s="1300">
        <f>Forecast!Z66/mm</f>
        <v>0</v>
      </c>
      <c r="AD212" s="489">
        <f>Forecast!AA66/mm</f>
        <v>0</v>
      </c>
      <c r="AE212" s="489">
        <f>Forecast!AB66/mm</f>
        <v>0</v>
      </c>
      <c r="AF212" s="490">
        <f>Forecast!AC66/mm</f>
        <v>0</v>
      </c>
      <c r="AG212" s="489">
        <f>Forecast!AD66/mm</f>
        <v>0</v>
      </c>
      <c r="AH212" s="487">
        <f>Forecast!AE66/mm</f>
        <v>0</v>
      </c>
      <c r="AI212" s="487">
        <f>Forecast!AF66/mm</f>
        <v>0</v>
      </c>
      <c r="AJ212" s="489">
        <f>Forecast!AG66/mm</f>
        <v>0</v>
      </c>
      <c r="AK212" s="1300">
        <f>Forecast!AH66/mm</f>
        <v>0</v>
      </c>
      <c r="AL212" s="489">
        <f>Forecast!AI66/mm</f>
        <v>0</v>
      </c>
      <c r="AM212" s="489">
        <f>Forecast!AJ66/mm</f>
        <v>0</v>
      </c>
      <c r="AN212" s="490">
        <f>Forecast!AK66/mm</f>
        <v>0</v>
      </c>
      <c r="AO212" s="489">
        <f>Forecast!AL66/mm</f>
        <v>0</v>
      </c>
      <c r="AP212" s="487">
        <f>Forecast!AM66/mm</f>
        <v>0</v>
      </c>
      <c r="AQ212" s="487">
        <f>Forecast!AN66/mm</f>
        <v>0</v>
      </c>
      <c r="AR212" s="489">
        <f>Forecast!AO66/mm</f>
        <v>0</v>
      </c>
      <c r="AS212" s="1300">
        <f>Forecast!AP66/mm</f>
        <v>0</v>
      </c>
      <c r="AT212" s="489">
        <f>Forecast!AQ66/mm</f>
        <v>0</v>
      </c>
      <c r="AU212" s="489">
        <f>Forecast!AR66/mm</f>
        <v>0</v>
      </c>
      <c r="AV212" s="490">
        <f>Forecast!AS66/mm</f>
        <v>0</v>
      </c>
      <c r="AW212" s="489">
        <f>Forecast!AT66/mm</f>
        <v>0</v>
      </c>
      <c r="AX212" s="487">
        <f>Forecast!AU66/mm</f>
        <v>0</v>
      </c>
      <c r="AY212" s="487">
        <f>Forecast!AV66/mm</f>
        <v>0</v>
      </c>
      <c r="AZ212" s="487">
        <f>Forecast!AW66/mm</f>
        <v>0</v>
      </c>
    </row>
    <row r="213" spans="4:52" ht="14.45" customHeight="1" x14ac:dyDescent="0.25">
      <c r="D213" s="292" t="s">
        <v>1310</v>
      </c>
      <c r="G213" s="1665"/>
      <c r="H213" s="1665"/>
      <c r="I213" s="1760"/>
      <c r="J213" s="1761">
        <f t="shared" ref="J213" si="296">SUM(AC213:AF213)</f>
        <v>-15.704588865468025</v>
      </c>
      <c r="K213" s="1761">
        <f t="shared" ref="K213" si="297">SUM(AG213:AJ213)</f>
        <v>-7.7026768381897037</v>
      </c>
      <c r="L213" s="1761">
        <f t="shared" ref="L213" si="298">SUM(AK213:AN213)</f>
        <v>-23.108030514569112</v>
      </c>
      <c r="M213" s="1761">
        <f t="shared" ref="M213" si="299">SUM(AO213:AR213)</f>
        <v>0</v>
      </c>
      <c r="N213" s="1761">
        <f t="shared" ref="N213" si="300">SUM(AS213:AV213)</f>
        <v>0</v>
      </c>
      <c r="O213" s="1761">
        <f t="shared" ref="O213" si="301">SUM(AW213:AZ213)</f>
        <v>0</v>
      </c>
      <c r="P213" s="1525"/>
      <c r="Q213" s="487"/>
      <c r="R213" s="487"/>
      <c r="S213" s="487"/>
      <c r="T213" s="489"/>
      <c r="U213" s="1300"/>
      <c r="V213" s="489"/>
      <c r="W213" s="489"/>
      <c r="X213" s="490"/>
      <c r="Y213" s="489"/>
      <c r="Z213" s="487"/>
      <c r="AA213" s="487"/>
      <c r="AB213" s="489"/>
      <c r="AC213" s="1300"/>
      <c r="AD213" s="489"/>
      <c r="AE213" s="489"/>
      <c r="AF213" s="1645">
        <f>-$H$33</f>
        <v>-15.704588865468025</v>
      </c>
      <c r="AG213" s="489"/>
      <c r="AH213" s="487"/>
      <c r="AI213" s="487"/>
      <c r="AJ213" s="490">
        <f>-G27</f>
        <v>-7.7026768381897037</v>
      </c>
      <c r="AK213" s="1690"/>
      <c r="AL213" s="489">
        <f>-H27</f>
        <v>-23.108030514569112</v>
      </c>
      <c r="AN213" s="490">
        <f>-I27</f>
        <v>0</v>
      </c>
      <c r="AO213" s="373"/>
      <c r="AP213" s="487"/>
      <c r="AQ213" s="487"/>
      <c r="AR213" s="489">
        <f>-J27</f>
        <v>0</v>
      </c>
      <c r="AS213" s="1300"/>
      <c r="AT213" s="489"/>
      <c r="AU213" s="489"/>
      <c r="AV213" s="490"/>
      <c r="AW213" s="489"/>
      <c r="AX213" s="487"/>
      <c r="AY213" s="487"/>
      <c r="AZ213" s="487"/>
    </row>
    <row r="214" spans="4:52" ht="14.45" customHeight="1" x14ac:dyDescent="0.25">
      <c r="D214" s="1716" t="str">
        <f>D185</f>
        <v>Equity</v>
      </c>
      <c r="E214" s="1716"/>
      <c r="F214" s="1716"/>
      <c r="G214" s="1762">
        <f>G185</f>
        <v>50.064247309999999</v>
      </c>
      <c r="H214" s="1762">
        <f>H185</f>
        <v>101.10734915</v>
      </c>
      <c r="I214" s="1763">
        <f>I185</f>
        <v>1.87361201</v>
      </c>
      <c r="J214" s="1762">
        <f>J185</f>
        <v>152.02058241999998</v>
      </c>
      <c r="K214" s="1764">
        <f ca="1">K228*K231</f>
        <v>97.283809499885365</v>
      </c>
      <c r="L214" s="1762"/>
      <c r="M214" s="1762"/>
      <c r="N214" s="1762"/>
      <c r="O214" s="1762"/>
      <c r="P214" s="1647"/>
      <c r="Q214" s="484">
        <f>Forecast!N67/mm</f>
        <v>0</v>
      </c>
      <c r="R214" s="484">
        <f>Forecast!O67/mm</f>
        <v>0</v>
      </c>
      <c r="S214" s="484">
        <f>Forecast!P67/mm</f>
        <v>50.019551</v>
      </c>
      <c r="T214" s="484">
        <f>Forecast!Q67/mm</f>
        <v>4.4696309999999996E-2</v>
      </c>
      <c r="U214" s="1302">
        <f>Forecast!R67/mm</f>
        <v>0.128889</v>
      </c>
      <c r="V214" s="484">
        <f>Forecast!S67/mm</f>
        <v>0.54723757000000006</v>
      </c>
      <c r="W214" s="484">
        <f>Forecast!T67/mm</f>
        <v>100.21832292000001</v>
      </c>
      <c r="X214" s="486">
        <f>Forecast!U67/mm</f>
        <v>0.21289965999999999</v>
      </c>
      <c r="Y214" s="484">
        <f>Forecast!V67/mm</f>
        <v>6.3894000000000006E-2</v>
      </c>
      <c r="Z214" s="484">
        <f>Forecast!W67/mm</f>
        <v>0.18886800000000001</v>
      </c>
      <c r="AA214" s="484">
        <f>Forecast!X67/mm</f>
        <v>0.474051</v>
      </c>
      <c r="AB214" s="484">
        <f>Forecast!Y67/mm</f>
        <v>1.1467990100000001</v>
      </c>
      <c r="AC214" s="1302">
        <f>Forecast!Z67/mm</f>
        <v>1.0077072200000001</v>
      </c>
      <c r="AD214" s="484">
        <f>Forecast!AA67/mm</f>
        <v>150.21287519999998</v>
      </c>
      <c r="AE214" s="484">
        <f>Forecast!AB67/mm</f>
        <v>0.8</v>
      </c>
      <c r="AF214" s="486">
        <f>Forecast!AC67/mm</f>
        <v>0</v>
      </c>
      <c r="AG214" s="484">
        <f>Forecast!AD67/mm</f>
        <v>0</v>
      </c>
      <c r="AH214" s="484">
        <f>Forecast!AE67/mm</f>
        <v>0</v>
      </c>
      <c r="AI214" s="484">
        <f>Forecast!AF67/mm</f>
        <v>0</v>
      </c>
      <c r="AJ214" s="1456">
        <f ca="1">K214</f>
        <v>97.283809499885365</v>
      </c>
      <c r="AK214" s="1302"/>
      <c r="AL214" s="484"/>
      <c r="AM214" s="484"/>
      <c r="AN214" s="486"/>
      <c r="AO214" s="484"/>
      <c r="AP214" s="484"/>
      <c r="AQ214" s="484"/>
      <c r="AR214" s="484"/>
      <c r="AS214" s="1302"/>
      <c r="AT214" s="484"/>
      <c r="AU214" s="484"/>
      <c r="AV214" s="486"/>
      <c r="AW214" s="484"/>
      <c r="AX214" s="484"/>
      <c r="AY214" s="484"/>
      <c r="AZ214" s="484"/>
    </row>
    <row r="215" spans="4:52" s="1" customFormat="1" ht="14.45" customHeight="1" x14ac:dyDescent="0.25">
      <c r="D215" s="1519" t="s">
        <v>62</v>
      </c>
      <c r="E215" s="14"/>
      <c r="F215" s="14"/>
      <c r="G215" s="1648"/>
      <c r="H215" s="1648"/>
      <c r="I215" s="1652"/>
      <c r="J215" s="1332">
        <f>SUM(J206:J214)</f>
        <v>178.33118744331782</v>
      </c>
      <c r="K215" s="1333">
        <f t="shared" ref="K215:O215" ca="1" si="302">SUM(K206:K214)</f>
        <v>197.66862384833433</v>
      </c>
      <c r="L215" s="1333">
        <f t="shared" ca="1" si="302"/>
        <v>109.55965356823403</v>
      </c>
      <c r="M215" s="1333">
        <f t="shared" ca="1" si="302"/>
        <v>75.314493257617244</v>
      </c>
      <c r="N215" s="1333">
        <f t="shared" ca="1" si="302"/>
        <v>116.04525545833239</v>
      </c>
      <c r="O215" s="1333">
        <f t="shared" ca="1" si="302"/>
        <v>247.46875694022776</v>
      </c>
      <c r="P215" s="1650"/>
      <c r="Q215" s="1648"/>
      <c r="R215" s="1648"/>
      <c r="S215" s="1648"/>
      <c r="T215" s="1648"/>
      <c r="U215" s="1651"/>
      <c r="V215" s="1648"/>
      <c r="W215" s="1648"/>
      <c r="X215" s="1652"/>
      <c r="Y215" s="1648"/>
      <c r="Z215" s="1648"/>
      <c r="AA215" s="1648"/>
      <c r="AB215" s="1648"/>
      <c r="AC215" s="1651"/>
      <c r="AD215" s="1648"/>
      <c r="AE215" s="1648"/>
      <c r="AF215" s="1649">
        <f>SUM(AF206:AF214)</f>
        <v>178.33118744331782</v>
      </c>
      <c r="AG215" s="1648">
        <f t="shared" ref="AG215:AZ215" si="303">SUM(AG206:AG214)</f>
        <v>157.23180686691515</v>
      </c>
      <c r="AH215" s="1648">
        <f t="shared" si="303"/>
        <v>139.57357264988539</v>
      </c>
      <c r="AI215" s="1648">
        <f t="shared" si="303"/>
        <v>121.95730614799122</v>
      </c>
      <c r="AJ215" s="1648">
        <f t="shared" ca="1" si="303"/>
        <v>197.66862384833433</v>
      </c>
      <c r="AK215" s="1651">
        <f t="shared" ca="1" si="303"/>
        <v>179.63406666879808</v>
      </c>
      <c r="AL215" s="1648">
        <f t="shared" ca="1" si="303"/>
        <v>141.50583113289699</v>
      </c>
      <c r="AM215" s="1648">
        <f t="shared" ca="1" si="303"/>
        <v>124.29395140150977</v>
      </c>
      <c r="AN215" s="1652">
        <f t="shared" ca="1" si="303"/>
        <v>109.559653568234</v>
      </c>
      <c r="AO215" s="1648">
        <f t="shared" ca="1" si="303"/>
        <v>91.33776967074995</v>
      </c>
      <c r="AP215" s="1648">
        <f t="shared" ca="1" si="303"/>
        <v>82.23475401855498</v>
      </c>
      <c r="AQ215" s="1648">
        <f t="shared" ca="1" si="303"/>
        <v>74.471789460334762</v>
      </c>
      <c r="AR215" s="1648">
        <f t="shared" ca="1" si="303"/>
        <v>75.314493257617244</v>
      </c>
      <c r="AS215" s="1651">
        <f t="shared" ca="1" si="303"/>
        <v>73.231318174769072</v>
      </c>
      <c r="AT215" s="1648">
        <f t="shared" ca="1" si="303"/>
        <v>82.653976192160613</v>
      </c>
      <c r="AU215" s="1648">
        <f t="shared" ca="1" si="303"/>
        <v>93.696504896765916</v>
      </c>
      <c r="AV215" s="1652">
        <f t="shared" ca="1" si="303"/>
        <v>116.04525545833238</v>
      </c>
      <c r="AW215" s="1648">
        <f t="shared" ca="1" si="303"/>
        <v>132.2346935997262</v>
      </c>
      <c r="AX215" s="1648">
        <f t="shared" ca="1" si="303"/>
        <v>163.44793091883562</v>
      </c>
      <c r="AY215" s="1648">
        <f t="shared" ca="1" si="303"/>
        <v>197.6456962832689</v>
      </c>
      <c r="AZ215" s="1648">
        <f t="shared" ca="1" si="303"/>
        <v>247.46875696286341</v>
      </c>
    </row>
    <row r="216" spans="4:52" ht="14.45" customHeight="1" x14ac:dyDescent="0.25">
      <c r="G216" s="474"/>
      <c r="H216" s="474"/>
      <c r="I216" s="476"/>
      <c r="J216" s="474"/>
      <c r="K216" s="474"/>
      <c r="L216" s="474"/>
      <c r="M216" s="474"/>
      <c r="N216" s="474"/>
      <c r="O216" s="474"/>
      <c r="P216" s="1525"/>
      <c r="Q216" s="474"/>
      <c r="R216" s="474"/>
      <c r="S216" s="474"/>
      <c r="T216" s="474"/>
      <c r="U216" s="1304"/>
      <c r="V216" s="474"/>
      <c r="W216" s="474"/>
      <c r="X216" s="476"/>
      <c r="Y216" s="474"/>
      <c r="Z216" s="474"/>
      <c r="AA216" s="474"/>
      <c r="AB216" s="474"/>
      <c r="AC216" s="1304"/>
      <c r="AD216" s="474"/>
      <c r="AE216" s="474"/>
      <c r="AF216" s="476"/>
      <c r="AG216" s="474"/>
      <c r="AH216" s="474"/>
      <c r="AI216" s="474"/>
      <c r="AJ216" s="474"/>
      <c r="AK216" s="1304"/>
      <c r="AL216" s="474"/>
      <c r="AM216" s="474"/>
      <c r="AN216" s="476"/>
      <c r="AO216" s="474"/>
      <c r="AP216" s="474"/>
      <c r="AQ216" s="474"/>
      <c r="AR216" s="474"/>
      <c r="AS216" s="1304"/>
      <c r="AT216" s="474"/>
      <c r="AU216" s="474"/>
      <c r="AV216" s="476"/>
      <c r="AW216" s="474"/>
      <c r="AX216" s="474"/>
      <c r="AY216" s="474"/>
      <c r="AZ216" s="474"/>
    </row>
    <row r="217" spans="4:52" ht="14.45" customHeight="1" x14ac:dyDescent="0.25">
      <c r="D217" s="7" t="s">
        <v>1312</v>
      </c>
      <c r="G217" s="474"/>
      <c r="H217" s="474"/>
      <c r="I217" s="476"/>
      <c r="J217" s="474"/>
      <c r="K217" s="474"/>
      <c r="L217" s="474"/>
      <c r="M217" s="474"/>
      <c r="N217" s="474"/>
      <c r="O217" s="474"/>
      <c r="P217" s="1525"/>
      <c r="Q217" s="474"/>
      <c r="R217" s="474"/>
      <c r="S217" s="474"/>
      <c r="T217" s="474"/>
      <c r="U217" s="1304"/>
      <c r="V217" s="474"/>
      <c r="W217" s="474"/>
      <c r="X217" s="476"/>
      <c r="Y217" s="474"/>
      <c r="Z217" s="474"/>
      <c r="AA217" s="474"/>
      <c r="AB217" s="474"/>
      <c r="AC217" s="1304"/>
      <c r="AD217" s="474"/>
      <c r="AE217" s="474"/>
      <c r="AF217" s="476"/>
      <c r="AG217" s="474"/>
      <c r="AH217" s="474"/>
      <c r="AI217" s="474"/>
      <c r="AJ217" s="474"/>
      <c r="AK217" s="1304"/>
      <c r="AL217" s="474"/>
      <c r="AM217" s="474"/>
      <c r="AN217" s="476"/>
      <c r="AO217" s="474"/>
      <c r="AP217" s="474"/>
      <c r="AQ217" s="474"/>
      <c r="AR217" s="474"/>
      <c r="AS217" s="1304"/>
      <c r="AT217" s="474"/>
      <c r="AU217" s="474"/>
      <c r="AV217" s="476"/>
      <c r="AW217" s="474"/>
      <c r="AX217" s="474"/>
      <c r="AY217" s="474"/>
      <c r="AZ217" s="474"/>
    </row>
    <row r="218" spans="4:52" s="1" customFormat="1" ht="14.45" customHeight="1" x14ac:dyDescent="0.25">
      <c r="D218" s="1" t="s">
        <v>1324</v>
      </c>
      <c r="G218" s="1648"/>
      <c r="H218" s="1648"/>
      <c r="I218" s="1661">
        <f t="shared" ref="I218:O218" si="304">I87</f>
        <v>82.202822640000008</v>
      </c>
      <c r="J218" s="1662">
        <f t="shared" si="304"/>
        <v>132.28024183228771</v>
      </c>
      <c r="K218" s="1662">
        <f t="shared" si="304"/>
        <v>212.84424952146361</v>
      </c>
      <c r="L218" s="1662">
        <f t="shared" si="304"/>
        <v>321.38325775413267</v>
      </c>
      <c r="M218" s="1662">
        <f t="shared" si="304"/>
        <v>481.52420336651682</v>
      </c>
      <c r="N218" s="1662">
        <f t="shared" si="304"/>
        <v>716.58778904289829</v>
      </c>
      <c r="O218" s="1662">
        <f t="shared" si="304"/>
        <v>1054.5659767538641</v>
      </c>
      <c r="P218" s="1650"/>
      <c r="Q218" s="1648"/>
      <c r="R218" s="1648"/>
      <c r="S218" s="1648"/>
      <c r="T218" s="1648"/>
      <c r="U218" s="1651"/>
      <c r="V218" s="1648"/>
      <c r="W218" s="1648"/>
      <c r="X218" s="1652"/>
      <c r="Y218" s="1648"/>
      <c r="Z218" s="1648"/>
      <c r="AA218" s="1648"/>
      <c r="AB218" s="1648"/>
      <c r="AC218" s="1651"/>
      <c r="AD218" s="1648"/>
      <c r="AE218" s="1648"/>
      <c r="AF218" s="1652"/>
      <c r="AG218" s="1648"/>
      <c r="AH218" s="1648"/>
      <c r="AI218" s="1648"/>
      <c r="AJ218" s="1648"/>
      <c r="AK218" s="1651"/>
      <c r="AL218" s="1648"/>
      <c r="AM218" s="1648"/>
      <c r="AN218" s="1652"/>
      <c r="AO218" s="1648"/>
      <c r="AP218" s="1648"/>
      <c r="AQ218" s="1648"/>
      <c r="AR218" s="1648"/>
      <c r="AS218" s="1651"/>
      <c r="AT218" s="1648"/>
      <c r="AU218" s="1648"/>
      <c r="AV218" s="1652"/>
      <c r="AW218" s="1648"/>
      <c r="AX218" s="1648"/>
      <c r="AY218" s="1648"/>
      <c r="AZ218" s="1648"/>
    </row>
    <row r="219" spans="4:52" ht="14.45" customHeight="1" x14ac:dyDescent="0.25">
      <c r="D219" s="373" t="s">
        <v>850</v>
      </c>
      <c r="E219" s="373"/>
      <c r="F219" s="373"/>
      <c r="G219" s="474"/>
      <c r="H219" s="474"/>
      <c r="I219" s="1655">
        <v>30</v>
      </c>
      <c r="J219" s="1656">
        <f>I219</f>
        <v>30</v>
      </c>
      <c r="K219" s="1656">
        <f t="shared" ref="K219:O219" si="305">J219</f>
        <v>30</v>
      </c>
      <c r="L219" s="1656">
        <f t="shared" si="305"/>
        <v>30</v>
      </c>
      <c r="M219" s="1656">
        <f t="shared" si="305"/>
        <v>30</v>
      </c>
      <c r="N219" s="1656">
        <f t="shared" si="305"/>
        <v>30</v>
      </c>
      <c r="O219" s="1656">
        <f t="shared" si="305"/>
        <v>30</v>
      </c>
      <c r="P219" s="1525"/>
      <c r="Q219" s="474"/>
      <c r="R219" s="474"/>
      <c r="S219" s="474"/>
      <c r="T219" s="474"/>
      <c r="U219" s="1304"/>
      <c r="V219" s="474"/>
      <c r="W219" s="474"/>
      <c r="X219" s="476"/>
      <c r="Y219" s="474"/>
      <c r="Z219" s="474"/>
      <c r="AA219" s="474"/>
      <c r="AB219" s="474"/>
      <c r="AC219" s="1304"/>
      <c r="AD219" s="474"/>
      <c r="AE219" s="474"/>
      <c r="AF219" s="476"/>
      <c r="AG219" s="474"/>
      <c r="AH219" s="474"/>
      <c r="AI219" s="474"/>
      <c r="AJ219" s="474"/>
      <c r="AK219" s="1304"/>
      <c r="AL219" s="474"/>
      <c r="AM219" s="474"/>
      <c r="AN219" s="476"/>
      <c r="AO219" s="474"/>
      <c r="AP219" s="474"/>
      <c r="AQ219" s="474"/>
      <c r="AR219" s="474"/>
      <c r="AS219" s="1304"/>
      <c r="AT219" s="474"/>
      <c r="AU219" s="474"/>
      <c r="AV219" s="476"/>
      <c r="AW219" s="474"/>
      <c r="AX219" s="474"/>
      <c r="AY219" s="474"/>
      <c r="AZ219" s="474"/>
    </row>
    <row r="220" spans="4:52" ht="14.45" customHeight="1" x14ac:dyDescent="0.25">
      <c r="D220" s="1660" t="s">
        <v>849</v>
      </c>
      <c r="E220" s="1676"/>
      <c r="F220" s="1676"/>
      <c r="G220" s="1653"/>
      <c r="H220" s="1653"/>
      <c r="I220" s="1658"/>
      <c r="J220" s="1659">
        <f>J218*J219</f>
        <v>3968.4072549686316</v>
      </c>
      <c r="K220" s="1659">
        <f t="shared" ref="K220" si="306">K218*K219</f>
        <v>6385.3274856439084</v>
      </c>
      <c r="L220" s="1659">
        <f t="shared" ref="L220" si="307">L218*L219</f>
        <v>9641.4977326239805</v>
      </c>
      <c r="M220" s="1659">
        <f t="shared" ref="M220" si="308">M218*M219</f>
        <v>14445.726100995504</v>
      </c>
      <c r="N220" s="1659">
        <f t="shared" ref="N220" si="309">N218*N219</f>
        <v>21497.633671286949</v>
      </c>
      <c r="O220" s="1659">
        <f t="shared" ref="O220" si="310">O218*O219</f>
        <v>31636.979302615924</v>
      </c>
      <c r="P220" s="1525"/>
      <c r="Q220" s="474"/>
      <c r="R220" s="474"/>
      <c r="S220" s="474"/>
      <c r="T220" s="474"/>
      <c r="U220" s="1304"/>
      <c r="V220" s="474"/>
      <c r="W220" s="474"/>
      <c r="X220" s="476"/>
      <c r="Y220" s="474"/>
      <c r="Z220" s="474"/>
      <c r="AA220" s="474"/>
      <c r="AB220" s="474"/>
      <c r="AC220" s="1304"/>
      <c r="AD220" s="474"/>
      <c r="AE220" s="474"/>
      <c r="AF220" s="476"/>
      <c r="AG220" s="474"/>
      <c r="AH220" s="474"/>
      <c r="AI220" s="474"/>
      <c r="AJ220" s="474"/>
      <c r="AK220" s="1304"/>
      <c r="AL220" s="474"/>
      <c r="AM220" s="474"/>
      <c r="AN220" s="476"/>
      <c r="AO220" s="474"/>
      <c r="AP220" s="474"/>
      <c r="AQ220" s="474"/>
      <c r="AR220" s="474"/>
      <c r="AS220" s="1304"/>
      <c r="AT220" s="474"/>
      <c r="AU220" s="474"/>
      <c r="AV220" s="476"/>
      <c r="AW220" s="474"/>
      <c r="AX220" s="474"/>
      <c r="AY220" s="474"/>
      <c r="AZ220" s="474"/>
    </row>
    <row r="221" spans="4:52" ht="14.45" customHeight="1" x14ac:dyDescent="0.25">
      <c r="D221" s="1688" t="s">
        <v>1313</v>
      </c>
      <c r="E221" s="373"/>
      <c r="F221" s="373"/>
      <c r="G221" s="474"/>
      <c r="H221" s="474"/>
      <c r="I221" s="476"/>
      <c r="J221" s="1644">
        <f>J215</f>
        <v>178.33118744331782</v>
      </c>
      <c r="K221" s="1644">
        <f t="shared" ref="K221:O221" ca="1" si="311">K215</f>
        <v>197.66862384833433</v>
      </c>
      <c r="L221" s="1644">
        <f t="shared" ca="1" si="311"/>
        <v>109.55965356823403</v>
      </c>
      <c r="M221" s="1644">
        <f t="shared" ca="1" si="311"/>
        <v>75.314493257617244</v>
      </c>
      <c r="N221" s="1644">
        <f t="shared" ca="1" si="311"/>
        <v>116.04525545833239</v>
      </c>
      <c r="O221" s="1644">
        <f t="shared" ca="1" si="311"/>
        <v>247.46875694022776</v>
      </c>
      <c r="P221" s="1525"/>
      <c r="Q221" s="474"/>
      <c r="R221" s="474"/>
      <c r="S221" s="474"/>
      <c r="T221" s="474"/>
      <c r="U221" s="1304"/>
      <c r="V221" s="474"/>
      <c r="W221" s="474"/>
      <c r="X221" s="476"/>
      <c r="Y221" s="474"/>
      <c r="Z221" s="474"/>
      <c r="AA221" s="474"/>
      <c r="AB221" s="474"/>
      <c r="AC221" s="1304"/>
      <c r="AD221" s="474"/>
      <c r="AE221" s="474"/>
      <c r="AF221" s="476"/>
      <c r="AG221" s="474"/>
      <c r="AH221" s="474"/>
      <c r="AI221" s="474"/>
      <c r="AJ221" s="474"/>
      <c r="AK221" s="1304"/>
      <c r="AL221" s="474"/>
      <c r="AM221" s="474"/>
      <c r="AN221" s="476"/>
      <c r="AO221" s="474"/>
      <c r="AP221" s="474"/>
      <c r="AQ221" s="474"/>
      <c r="AR221" s="474"/>
      <c r="AS221" s="1304"/>
      <c r="AT221" s="474"/>
      <c r="AU221" s="474"/>
      <c r="AV221" s="476"/>
      <c r="AW221" s="474"/>
      <c r="AX221" s="474"/>
      <c r="AY221" s="474"/>
      <c r="AZ221" s="474"/>
    </row>
    <row r="222" spans="4:52" ht="14.45" customHeight="1" x14ac:dyDescent="0.25">
      <c r="D222" s="1678" t="s">
        <v>846</v>
      </c>
      <c r="E222" s="1676"/>
      <c r="F222" s="1676"/>
      <c r="G222" s="1653"/>
      <c r="H222" s="1653"/>
      <c r="I222" s="1654"/>
      <c r="J222" s="1663">
        <f>J220+J221</f>
        <v>4146.7384424119491</v>
      </c>
      <c r="K222" s="1663">
        <f t="shared" ref="K222" ca="1" si="312">K220+K221</f>
        <v>6582.9961094922428</v>
      </c>
      <c r="L222" s="1663">
        <f t="shared" ref="L222" ca="1" si="313">L220+L221</f>
        <v>9751.0573861922148</v>
      </c>
      <c r="M222" s="1663">
        <f t="shared" ref="M222" ca="1" si="314">M220+M221</f>
        <v>14521.040594253122</v>
      </c>
      <c r="N222" s="1663">
        <f t="shared" ref="N222" ca="1" si="315">N220+N221</f>
        <v>21613.67892674528</v>
      </c>
      <c r="O222" s="1663">
        <f t="shared" ref="O222" ca="1" si="316">O220+O221</f>
        <v>31884.448059556151</v>
      </c>
      <c r="P222" s="1525"/>
      <c r="Q222" s="474"/>
      <c r="R222" s="474"/>
      <c r="S222" s="474"/>
      <c r="T222" s="474"/>
      <c r="U222" s="1304"/>
      <c r="V222" s="474"/>
      <c r="W222" s="474"/>
      <c r="X222" s="476"/>
      <c r="Y222" s="474"/>
      <c r="Z222" s="474"/>
      <c r="AA222" s="474"/>
      <c r="AB222" s="474"/>
      <c r="AC222" s="1304"/>
      <c r="AD222" s="474"/>
      <c r="AE222" s="474"/>
      <c r="AF222" s="476"/>
      <c r="AG222" s="474"/>
      <c r="AH222" s="474"/>
      <c r="AI222" s="474"/>
      <c r="AJ222" s="474"/>
      <c r="AK222" s="1304"/>
      <c r="AL222" s="474"/>
      <c r="AM222" s="474"/>
      <c r="AN222" s="476"/>
      <c r="AO222" s="474"/>
      <c r="AP222" s="474"/>
      <c r="AQ222" s="474"/>
      <c r="AR222" s="474"/>
      <c r="AS222" s="1304"/>
      <c r="AT222" s="474"/>
      <c r="AU222" s="474"/>
      <c r="AV222" s="476"/>
      <c r="AW222" s="474"/>
      <c r="AX222" s="474"/>
      <c r="AY222" s="474"/>
      <c r="AZ222" s="474"/>
    </row>
    <row r="223" spans="4:52" ht="14.45" customHeight="1" x14ac:dyDescent="0.25">
      <c r="D223" s="1688"/>
      <c r="G223" s="474"/>
      <c r="H223" s="474"/>
      <c r="I223" s="476"/>
      <c r="J223" s="474"/>
      <c r="K223" s="474"/>
      <c r="L223" s="474"/>
      <c r="M223" s="474"/>
      <c r="N223" s="474"/>
      <c r="O223" s="474"/>
      <c r="P223" s="1525"/>
      <c r="Q223" s="474"/>
      <c r="R223" s="474"/>
      <c r="S223" s="474"/>
      <c r="T223" s="474"/>
      <c r="U223" s="1304"/>
      <c r="V223" s="474"/>
      <c r="W223" s="474"/>
      <c r="X223" s="476"/>
      <c r="Y223" s="474"/>
      <c r="Z223" s="474"/>
      <c r="AA223" s="474"/>
      <c r="AB223" s="474"/>
      <c r="AC223" s="1304"/>
      <c r="AD223" s="474"/>
      <c r="AE223" s="474"/>
      <c r="AF223" s="476"/>
      <c r="AG223" s="474"/>
      <c r="AH223" s="474"/>
      <c r="AI223" s="474"/>
      <c r="AJ223" s="474"/>
      <c r="AK223" s="1304"/>
      <c r="AL223" s="474"/>
      <c r="AM223" s="474"/>
      <c r="AN223" s="476"/>
      <c r="AO223" s="474"/>
      <c r="AP223" s="474"/>
      <c r="AQ223" s="474"/>
      <c r="AR223" s="474"/>
      <c r="AS223" s="1304"/>
      <c r="AT223" s="474"/>
      <c r="AU223" s="474"/>
      <c r="AV223" s="476"/>
      <c r="AW223" s="474"/>
      <c r="AX223" s="474"/>
      <c r="AY223" s="474"/>
      <c r="AZ223" s="474"/>
    </row>
    <row r="224" spans="4:52" s="1752" customFormat="1" ht="14.45" hidden="1" customHeight="1" outlineLevel="1" x14ac:dyDescent="0.25">
      <c r="D224" s="1765" t="s">
        <v>1320</v>
      </c>
      <c r="G224" s="1766"/>
      <c r="H224" s="1766"/>
      <c r="I224" s="1767"/>
      <c r="J224" s="1768">
        <f>F25</f>
        <v>161.96940756354624</v>
      </c>
      <c r="K224" s="1768">
        <f>G23+G25</f>
        <v>22.00764810911344</v>
      </c>
      <c r="L224" s="1768">
        <f>SUM(H23:I23,H25:I25)</f>
        <v>11.00382405455672</v>
      </c>
      <c r="M224" s="1768">
        <f>J23+J25</f>
        <v>11.00382405455672</v>
      </c>
      <c r="N224" s="1766"/>
      <c r="O224" s="1766"/>
      <c r="P224" s="1769"/>
      <c r="Q224" s="1766"/>
      <c r="R224" s="1766"/>
      <c r="S224" s="1766"/>
      <c r="T224" s="1766"/>
      <c r="U224" s="1770"/>
      <c r="V224" s="1766"/>
      <c r="W224" s="1766"/>
      <c r="X224" s="1767"/>
      <c r="Y224" s="1766"/>
      <c r="Z224" s="1766"/>
      <c r="AA224" s="1766"/>
      <c r="AB224" s="1766"/>
      <c r="AC224" s="1770"/>
      <c r="AD224" s="1766"/>
      <c r="AE224" s="1766"/>
      <c r="AF224" s="1767"/>
      <c r="AG224" s="1766"/>
      <c r="AH224" s="1766"/>
      <c r="AI224" s="1766"/>
      <c r="AJ224" s="1766"/>
      <c r="AK224" s="1770"/>
      <c r="AL224" s="1766"/>
      <c r="AM224" s="1766"/>
      <c r="AN224" s="1767"/>
      <c r="AO224" s="1766"/>
      <c r="AP224" s="1766"/>
      <c r="AQ224" s="1766"/>
      <c r="AR224" s="1766"/>
      <c r="AS224" s="1770"/>
      <c r="AT224" s="1766"/>
      <c r="AU224" s="1766"/>
      <c r="AV224" s="1767"/>
      <c r="AW224" s="1766"/>
      <c r="AX224" s="1766"/>
      <c r="AY224" s="1766"/>
      <c r="AZ224" s="1766"/>
    </row>
    <row r="225" spans="4:52" ht="14.45" customHeight="1" collapsed="1" x14ac:dyDescent="0.25">
      <c r="D225" s="292" t="s">
        <v>1316</v>
      </c>
      <c r="G225" s="474"/>
      <c r="H225" s="474"/>
      <c r="I225" s="476"/>
      <c r="J225" s="1657">
        <v>214.412755</v>
      </c>
      <c r="K225" s="1674">
        <f>J225</f>
        <v>214.412755</v>
      </c>
      <c r="L225" s="1674">
        <f t="shared" ref="L225:O225" si="317">K225</f>
        <v>214.412755</v>
      </c>
      <c r="M225" s="1674">
        <f t="shared" si="317"/>
        <v>214.412755</v>
      </c>
      <c r="N225" s="1674">
        <f t="shared" si="317"/>
        <v>214.412755</v>
      </c>
      <c r="O225" s="1674">
        <f t="shared" si="317"/>
        <v>214.412755</v>
      </c>
      <c r="P225" s="1525"/>
      <c r="Q225" s="474"/>
      <c r="R225" s="474"/>
      <c r="S225" s="474"/>
      <c r="T225" s="474"/>
      <c r="U225" s="1304"/>
      <c r="V225" s="474"/>
      <c r="W225" s="474"/>
      <c r="X225" s="476"/>
      <c r="Y225" s="474"/>
      <c r="Z225" s="474"/>
      <c r="AA225" s="474"/>
      <c r="AB225" s="474"/>
      <c r="AC225" s="1304"/>
      <c r="AD225" s="474"/>
      <c r="AE225" s="474"/>
      <c r="AF225" s="476"/>
      <c r="AG225" s="474"/>
      <c r="AH225" s="474"/>
      <c r="AI225" s="474"/>
      <c r="AJ225" s="474"/>
      <c r="AK225" s="1304"/>
      <c r="AL225" s="474"/>
      <c r="AM225" s="474"/>
      <c r="AN225" s="476"/>
      <c r="AO225" s="474"/>
      <c r="AP225" s="474"/>
      <c r="AQ225" s="474"/>
      <c r="AR225" s="474"/>
      <c r="AS225" s="1304"/>
      <c r="AT225" s="474"/>
      <c r="AU225" s="474"/>
      <c r="AV225" s="476"/>
      <c r="AW225" s="474"/>
      <c r="AX225" s="474"/>
      <c r="AY225" s="474"/>
      <c r="AZ225" s="474"/>
    </row>
    <row r="226" spans="4:52" ht="14.45" customHeight="1" x14ac:dyDescent="0.25">
      <c r="D226" s="292" t="s">
        <v>1315</v>
      </c>
      <c r="F226" s="1673">
        <f>'Founder Waterfall'!$C$13</f>
        <v>12.13</v>
      </c>
      <c r="G226" s="474"/>
      <c r="H226" s="474"/>
      <c r="I226" s="476"/>
      <c r="J226" s="1674">
        <f>J224/$F$226</f>
        <v>13.352795347365724</v>
      </c>
      <c r="K226" s="1674">
        <f>K224/$F$226</f>
        <v>1.8143155901989645</v>
      </c>
      <c r="L226" s="1674">
        <f>L224/$F$226</f>
        <v>0.90715779509948224</v>
      </c>
      <c r="M226" s="1674">
        <f>M224/$F$226</f>
        <v>0.90715779509948224</v>
      </c>
      <c r="N226" s="1666"/>
      <c r="O226" s="1666"/>
      <c r="P226" s="1525"/>
      <c r="Q226" s="474"/>
      <c r="R226" s="474"/>
      <c r="S226" s="474"/>
      <c r="T226" s="474"/>
      <c r="U226" s="1304"/>
      <c r="V226" s="474"/>
      <c r="W226" s="474"/>
      <c r="X226" s="476"/>
      <c r="Y226" s="474"/>
      <c r="Z226" s="474"/>
      <c r="AA226" s="474"/>
      <c r="AB226" s="474"/>
      <c r="AC226" s="1304"/>
      <c r="AD226" s="474"/>
      <c r="AE226" s="474"/>
      <c r="AF226" s="476"/>
      <c r="AG226" s="474"/>
      <c r="AH226" s="474"/>
      <c r="AI226" s="474"/>
      <c r="AJ226" s="474"/>
      <c r="AK226" s="1304"/>
      <c r="AL226" s="474"/>
      <c r="AM226" s="474"/>
      <c r="AN226" s="476"/>
      <c r="AO226" s="474"/>
      <c r="AP226" s="474"/>
      <c r="AQ226" s="474"/>
      <c r="AR226" s="474"/>
      <c r="AS226" s="1304"/>
      <c r="AT226" s="474"/>
      <c r="AU226" s="474"/>
      <c r="AV226" s="476"/>
      <c r="AW226" s="474"/>
      <c r="AX226" s="474"/>
      <c r="AY226" s="474"/>
      <c r="AZ226" s="474"/>
    </row>
    <row r="227" spans="4:52" ht="14.45" customHeight="1" x14ac:dyDescent="0.25">
      <c r="D227" s="292" t="s">
        <v>1319</v>
      </c>
      <c r="F227" s="1754"/>
      <c r="G227" s="474"/>
      <c r="H227" s="474"/>
      <c r="I227" s="476"/>
      <c r="J227" s="1674"/>
      <c r="K227" s="1674">
        <f ca="1">K209/K231</f>
        <v>4.1674535510156071E-3</v>
      </c>
      <c r="L227" s="1674">
        <f t="shared" ref="L227:O227" ca="1" si="318">L209/L231</f>
        <v>2.7602477417954766E-3</v>
      </c>
      <c r="M227" s="1674">
        <f t="shared" ca="1" si="318"/>
        <v>1.8535325079666093E-3</v>
      </c>
      <c r="N227" s="1674">
        <f t="shared" ca="1" si="318"/>
        <v>1.2400364357402084E-3</v>
      </c>
      <c r="O227" s="1674">
        <f t="shared" ca="1" si="318"/>
        <v>8.4058847117241626E-4</v>
      </c>
      <c r="P227" s="1525"/>
      <c r="Q227" s="474"/>
      <c r="R227" s="474"/>
      <c r="S227" s="474"/>
      <c r="T227" s="474"/>
      <c r="U227" s="1304"/>
      <c r="V227" s="474"/>
      <c r="W227" s="474"/>
      <c r="X227" s="476"/>
      <c r="Y227" s="474"/>
      <c r="Z227" s="474"/>
      <c r="AA227" s="474"/>
      <c r="AB227" s="474"/>
      <c r="AC227" s="1304"/>
      <c r="AD227" s="474"/>
      <c r="AE227" s="474"/>
      <c r="AF227" s="476"/>
      <c r="AG227" s="474"/>
      <c r="AH227" s="474"/>
      <c r="AI227" s="474"/>
      <c r="AJ227" s="474"/>
      <c r="AK227" s="1304"/>
      <c r="AL227" s="474"/>
      <c r="AM227" s="474"/>
      <c r="AN227" s="476"/>
      <c r="AO227" s="474"/>
      <c r="AP227" s="474"/>
      <c r="AQ227" s="474"/>
      <c r="AR227" s="474"/>
      <c r="AS227" s="1304"/>
      <c r="AT227" s="474"/>
      <c r="AU227" s="474"/>
      <c r="AV227" s="476"/>
      <c r="AW227" s="474"/>
      <c r="AX227" s="474"/>
      <c r="AY227" s="474"/>
      <c r="AZ227" s="474"/>
    </row>
    <row r="228" spans="4:52" ht="14.45" customHeight="1" x14ac:dyDescent="0.25">
      <c r="D228" s="373" t="s">
        <v>1318</v>
      </c>
      <c r="E228" s="373"/>
      <c r="F228" s="1756">
        <v>1.4999999999999999E-2</v>
      </c>
      <c r="G228" s="474"/>
      <c r="H228" s="474"/>
      <c r="I228" s="476"/>
      <c r="J228" s="1674"/>
      <c r="K228" s="1674">
        <f>SUM(K225:K226)*F228</f>
        <v>3.2434060588529845</v>
      </c>
      <c r="L228" s="1674"/>
      <c r="M228" s="1674"/>
      <c r="N228" s="1666"/>
      <c r="O228" s="1666"/>
      <c r="P228" s="1525"/>
      <c r="Q228" s="474"/>
      <c r="R228" s="474"/>
      <c r="S228" s="474"/>
      <c r="T228" s="474"/>
      <c r="U228" s="1304"/>
      <c r="V228" s="474"/>
      <c r="W228" s="474"/>
      <c r="X228" s="476"/>
      <c r="Y228" s="474"/>
      <c r="Z228" s="474"/>
      <c r="AA228" s="474"/>
      <c r="AB228" s="474"/>
      <c r="AC228" s="1304"/>
      <c r="AD228" s="474"/>
      <c r="AE228" s="474"/>
      <c r="AF228" s="476"/>
      <c r="AG228" s="474"/>
      <c r="AH228" s="474"/>
      <c r="AI228" s="474"/>
      <c r="AJ228" s="474"/>
      <c r="AK228" s="1304"/>
      <c r="AL228" s="474"/>
      <c r="AM228" s="474"/>
      <c r="AN228" s="476"/>
      <c r="AO228" s="474"/>
      <c r="AP228" s="474"/>
      <c r="AQ228" s="474"/>
      <c r="AR228" s="474"/>
      <c r="AS228" s="1304"/>
      <c r="AT228" s="474"/>
      <c r="AU228" s="474"/>
      <c r="AV228" s="476"/>
      <c r="AW228" s="474"/>
      <c r="AX228" s="474"/>
      <c r="AY228" s="474"/>
      <c r="AZ228" s="474"/>
    </row>
    <row r="229" spans="4:52" ht="14.45" customHeight="1" x14ac:dyDescent="0.25">
      <c r="D229" s="1676" t="s">
        <v>1317</v>
      </c>
      <c r="E229" s="1676"/>
      <c r="F229" s="1755"/>
      <c r="G229" s="1653"/>
      <c r="H229" s="1653"/>
      <c r="I229" s="1654"/>
      <c r="J229" s="1677">
        <f>SUM(J225:J228)</f>
        <v>227.76555034736572</v>
      </c>
      <c r="K229" s="1677">
        <f t="shared" ref="K229:O229" ca="1" si="319">SUM(K225:K228)</f>
        <v>219.47464410260298</v>
      </c>
      <c r="L229" s="1677">
        <f t="shared" ca="1" si="319"/>
        <v>215.3226730428413</v>
      </c>
      <c r="M229" s="1677">
        <f t="shared" ca="1" si="319"/>
        <v>215.32176632760746</v>
      </c>
      <c r="N229" s="1677">
        <f t="shared" ca="1" si="319"/>
        <v>214.41399503643575</v>
      </c>
      <c r="O229" s="1677">
        <f t="shared" ca="1" si="319"/>
        <v>214.41359558847117</v>
      </c>
      <c r="P229" s="1525"/>
      <c r="Q229" s="474"/>
      <c r="R229" s="474"/>
      <c r="S229" s="474"/>
      <c r="T229" s="474"/>
      <c r="U229" s="1304"/>
      <c r="V229" s="474"/>
      <c r="W229" s="474"/>
      <c r="X229" s="476"/>
      <c r="Y229" s="474"/>
      <c r="Z229" s="474"/>
      <c r="AA229" s="474"/>
      <c r="AB229" s="474"/>
      <c r="AC229" s="1304"/>
      <c r="AD229" s="474"/>
      <c r="AE229" s="474"/>
      <c r="AF229" s="476"/>
      <c r="AG229" s="474"/>
      <c r="AH229" s="474"/>
      <c r="AI229" s="474"/>
      <c r="AJ229" s="474"/>
      <c r="AK229" s="1304"/>
      <c r="AL229" s="474"/>
      <c r="AM229" s="474"/>
      <c r="AN229" s="476"/>
      <c r="AO229" s="474"/>
      <c r="AP229" s="474"/>
      <c r="AQ229" s="474"/>
      <c r="AR229" s="474"/>
      <c r="AS229" s="1304"/>
      <c r="AT229" s="474"/>
      <c r="AU229" s="474"/>
      <c r="AV229" s="476"/>
      <c r="AW229" s="474"/>
      <c r="AX229" s="474"/>
      <c r="AY229" s="474"/>
      <c r="AZ229" s="474"/>
    </row>
    <row r="230" spans="4:52" ht="14.45" customHeight="1" x14ac:dyDescent="0.25">
      <c r="F230" s="1675"/>
      <c r="G230" s="474"/>
      <c r="H230" s="474"/>
      <c r="I230" s="476"/>
      <c r="J230" s="1674"/>
      <c r="K230" s="1674"/>
      <c r="L230" s="1674"/>
      <c r="M230" s="1674"/>
      <c r="N230" s="1666"/>
      <c r="O230" s="1666"/>
      <c r="P230" s="1525"/>
      <c r="Q230" s="474"/>
      <c r="R230" s="474"/>
      <c r="S230" s="474"/>
      <c r="T230" s="474"/>
      <c r="U230" s="1304"/>
      <c r="V230" s="474"/>
      <c r="W230" s="474"/>
      <c r="X230" s="476"/>
      <c r="Y230" s="474"/>
      <c r="Z230" s="474"/>
      <c r="AA230" s="474"/>
      <c r="AB230" s="474"/>
      <c r="AC230" s="1304"/>
      <c r="AD230" s="474"/>
      <c r="AE230" s="474"/>
      <c r="AF230" s="476"/>
      <c r="AG230" s="474"/>
      <c r="AH230" s="474"/>
      <c r="AI230" s="474"/>
      <c r="AJ230" s="474"/>
      <c r="AK230" s="1304"/>
      <c r="AL230" s="474"/>
      <c r="AM230" s="474"/>
      <c r="AN230" s="476"/>
      <c r="AO230" s="474"/>
      <c r="AP230" s="474"/>
      <c r="AQ230" s="474"/>
      <c r="AR230" s="474"/>
      <c r="AS230" s="1304"/>
      <c r="AT230" s="474"/>
      <c r="AU230" s="474"/>
      <c r="AV230" s="476"/>
      <c r="AW230" s="474"/>
      <c r="AX230" s="474"/>
      <c r="AY230" s="474"/>
      <c r="AZ230" s="474"/>
    </row>
    <row r="231" spans="4:52" ht="14.45" customHeight="1" x14ac:dyDescent="0.25">
      <c r="D231" s="1667" t="s">
        <v>1314</v>
      </c>
      <c r="E231" s="1668"/>
      <c r="F231" s="1668"/>
      <c r="G231" s="1669"/>
      <c r="H231" s="1669"/>
      <c r="I231" s="1670"/>
      <c r="J231" s="1671">
        <f>J222/J229</f>
        <v>18.206170494562279</v>
      </c>
      <c r="K231" s="1671">
        <f t="shared" ref="K231:O231" ca="1" si="320">K222/K229</f>
        <v>29.994335502440705</v>
      </c>
      <c r="L231" s="1671">
        <f t="shared" ca="1" si="320"/>
        <v>45.285790151100869</v>
      </c>
      <c r="M231" s="1671">
        <f t="shared" ca="1" si="320"/>
        <v>67.43879563090556</v>
      </c>
      <c r="N231" s="1671">
        <f t="shared" ca="1" si="320"/>
        <v>100.8034896372899</v>
      </c>
      <c r="O231" s="1672">
        <f t="shared" ca="1" si="320"/>
        <v>148.70534665512858</v>
      </c>
      <c r="P231" s="1525"/>
      <c r="Q231" s="474"/>
      <c r="R231" s="474"/>
      <c r="S231" s="474"/>
      <c r="T231" s="474"/>
      <c r="U231" s="1304"/>
      <c r="V231" s="474"/>
      <c r="W231" s="474"/>
      <c r="X231" s="476"/>
      <c r="Y231" s="474"/>
      <c r="Z231" s="474"/>
      <c r="AA231" s="474"/>
      <c r="AB231" s="474"/>
      <c r="AC231" s="1304"/>
      <c r="AD231" s="474"/>
      <c r="AE231" s="474"/>
      <c r="AF231" s="476"/>
      <c r="AG231" s="474"/>
      <c r="AH231" s="474"/>
      <c r="AI231" s="474"/>
      <c r="AJ231" s="474"/>
      <c r="AK231" s="1304"/>
      <c r="AL231" s="474"/>
      <c r="AM231" s="474"/>
      <c r="AN231" s="476"/>
      <c r="AO231" s="474"/>
      <c r="AP231" s="474"/>
      <c r="AQ231" s="474"/>
      <c r="AR231" s="474"/>
      <c r="AS231" s="1304"/>
      <c r="AT231" s="474"/>
      <c r="AU231" s="474"/>
      <c r="AV231" s="476"/>
      <c r="AW231" s="474"/>
      <c r="AX231" s="474"/>
      <c r="AY231" s="474"/>
      <c r="AZ231" s="474"/>
    </row>
    <row r="232" spans="4:52" ht="14.45" customHeight="1" x14ac:dyDescent="0.25">
      <c r="D232" s="1688" t="s">
        <v>1321</v>
      </c>
      <c r="G232" s="474"/>
      <c r="H232" s="474"/>
      <c r="I232" s="476"/>
      <c r="J232" s="1608">
        <f>J231/J202-1</f>
        <v>4.7190369507025487E-2</v>
      </c>
      <c r="K232" s="1608">
        <f t="shared" ref="K232:O232" ca="1" si="321">K231/K202-1</f>
        <v>8.6263972287470514E-2</v>
      </c>
      <c r="L232" s="1608">
        <f t="shared" ca="1" si="321"/>
        <v>8.997708934203863E-2</v>
      </c>
      <c r="M232" s="1608">
        <f t="shared" ca="1" si="321"/>
        <v>8.9032385175905837E-2</v>
      </c>
      <c r="N232" s="1608">
        <f t="shared" ca="1" si="321"/>
        <v>0.10318569441216496</v>
      </c>
      <c r="O232" s="1608">
        <f t="shared" ca="1" si="321"/>
        <v>0.11843621108366698</v>
      </c>
      <c r="P232" s="1525"/>
      <c r="Q232" s="474"/>
      <c r="R232" s="474"/>
      <c r="S232" s="474"/>
      <c r="T232" s="474"/>
      <c r="U232" s="1304"/>
      <c r="V232" s="474"/>
      <c r="W232" s="474"/>
      <c r="X232" s="476"/>
      <c r="Y232" s="474"/>
      <c r="Z232" s="474"/>
      <c r="AA232" s="474"/>
      <c r="AB232" s="474"/>
      <c r="AC232" s="1304"/>
      <c r="AD232" s="474"/>
      <c r="AE232" s="474"/>
      <c r="AF232" s="476"/>
      <c r="AG232" s="474"/>
      <c r="AH232" s="474"/>
      <c r="AI232" s="474"/>
      <c r="AJ232" s="474"/>
      <c r="AK232" s="1304"/>
      <c r="AL232" s="474"/>
      <c r="AM232" s="474"/>
      <c r="AN232" s="476"/>
      <c r="AO232" s="474"/>
      <c r="AP232" s="474"/>
      <c r="AQ232" s="474"/>
      <c r="AR232" s="474"/>
      <c r="AS232" s="1304"/>
      <c r="AT232" s="474"/>
      <c r="AU232" s="474"/>
      <c r="AV232" s="476"/>
      <c r="AW232" s="474"/>
      <c r="AX232" s="474"/>
      <c r="AY232" s="474"/>
      <c r="AZ232" s="474"/>
    </row>
    <row r="233" spans="4:52" ht="14.45" customHeight="1" x14ac:dyDescent="0.25">
      <c r="G233" s="474"/>
      <c r="H233" s="474"/>
      <c r="I233" s="476"/>
      <c r="J233" s="474"/>
      <c r="K233" s="474"/>
      <c r="L233" s="474"/>
      <c r="M233" s="474"/>
      <c r="N233" s="474"/>
      <c r="O233" s="474"/>
      <c r="P233" s="1525"/>
      <c r="Q233" s="474"/>
      <c r="R233" s="474"/>
      <c r="S233" s="474"/>
      <c r="T233" s="474"/>
      <c r="U233" s="1304"/>
      <c r="V233" s="474"/>
      <c r="W233" s="474"/>
      <c r="X233" s="476"/>
      <c r="Y233" s="474"/>
      <c r="Z233" s="474"/>
      <c r="AA233" s="474"/>
      <c r="AB233" s="474"/>
      <c r="AC233" s="1304"/>
      <c r="AD233" s="474"/>
      <c r="AE233" s="474"/>
      <c r="AF233" s="476"/>
      <c r="AG233" s="474"/>
      <c r="AH233" s="474"/>
      <c r="AI233" s="474"/>
      <c r="AJ233" s="474"/>
      <c r="AK233" s="1304"/>
      <c r="AL233" s="474"/>
      <c r="AM233" s="474"/>
      <c r="AN233" s="476"/>
      <c r="AO233" s="474"/>
      <c r="AP233" s="474"/>
      <c r="AQ233" s="474"/>
      <c r="AR233" s="474"/>
      <c r="AS233" s="1304"/>
      <c r="AT233" s="474"/>
      <c r="AU233" s="474"/>
      <c r="AV233" s="476"/>
      <c r="AW233" s="474"/>
      <c r="AX233" s="474"/>
      <c r="AY233" s="474"/>
      <c r="AZ233" s="474"/>
    </row>
    <row r="234" spans="4:52" s="373" customFormat="1" x14ac:dyDescent="0.25">
      <c r="J234" s="1771"/>
      <c r="P234" s="1688"/>
    </row>
    <row r="235" spans="4:52" s="373" customFormat="1" ht="17.25" x14ac:dyDescent="0.4">
      <c r="G235" s="1787" t="s">
        <v>1327</v>
      </c>
      <c r="H235" s="1773"/>
      <c r="I235" s="1773"/>
      <c r="J235" s="1773"/>
      <c r="K235" s="1773"/>
      <c r="L235" s="1773"/>
      <c r="M235" s="1773"/>
      <c r="O235" s="1787" t="s">
        <v>1330</v>
      </c>
      <c r="P235" s="1787"/>
      <c r="Q235" s="1787"/>
      <c r="R235" s="1787"/>
      <c r="S235" s="1787"/>
      <c r="T235" s="1787"/>
      <c r="U235" s="1787"/>
    </row>
    <row r="236" spans="4:52" s="373" customFormat="1" ht="15.95" customHeight="1" x14ac:dyDescent="0.4">
      <c r="G236" s="473"/>
      <c r="H236" s="473"/>
      <c r="I236" s="1782" t="s">
        <v>1326</v>
      </c>
      <c r="J236" s="1772"/>
      <c r="K236" s="1772"/>
      <c r="L236" s="1772"/>
      <c r="M236" s="1772"/>
      <c r="O236" s="1641"/>
      <c r="Q236" s="1782" t="str">
        <f>I236</f>
        <v>PF Consolidated ARR Multiple</v>
      </c>
      <c r="R236" s="1772"/>
      <c r="S236" s="1772"/>
      <c r="T236" s="1772"/>
      <c r="U236" s="1772"/>
    </row>
    <row r="237" spans="4:52" s="373" customFormat="1" ht="14.45" customHeight="1" x14ac:dyDescent="0.25">
      <c r="G237" s="473"/>
      <c r="H237" s="1800">
        <f ca="1">K232</f>
        <v>8.6263972287470514E-2</v>
      </c>
      <c r="I237" s="1784">
        <f>H238</f>
        <v>20</v>
      </c>
      <c r="J237" s="1784">
        <f>H239</f>
        <v>25</v>
      </c>
      <c r="K237" s="1784">
        <f>H240</f>
        <v>30</v>
      </c>
      <c r="L237" s="1784">
        <f>H241</f>
        <v>35</v>
      </c>
      <c r="M237" s="1783">
        <f>H242</f>
        <v>40</v>
      </c>
      <c r="O237" s="1641"/>
      <c r="Q237" s="1784">
        <f>I237</f>
        <v>20</v>
      </c>
      <c r="R237" s="1813">
        <f>J237</f>
        <v>25</v>
      </c>
      <c r="S237" s="1815">
        <f>K237</f>
        <v>30</v>
      </c>
      <c r="T237" s="1813">
        <f>L237</f>
        <v>35</v>
      </c>
      <c r="U237" s="1783">
        <f>M237</f>
        <v>40</v>
      </c>
    </row>
    <row r="238" spans="4:52" s="373" customFormat="1" ht="14.45" customHeight="1" x14ac:dyDescent="0.25">
      <c r="D238" s="1803">
        <f t="array" aca="1" ref="D238:D242" ca="1">TRANSPOSE(K231:O231)</f>
        <v>29.994335502440705</v>
      </c>
      <c r="E238" s="1628">
        <f t="array" aca="1" ref="E238:E242" ca="1">TRANSPOSE(K232:O232)</f>
        <v>8.6263972287470514E-2</v>
      </c>
      <c r="G238" s="473"/>
      <c r="H238" s="1786">
        <v>20</v>
      </c>
      <c r="I238" s="1789">
        <f t="dataTable" ref="I238:M242" dt2D="1" dtr="1" r1="I219" r2="I193" ca="1"/>
        <v>8.2266418938419239E-2</v>
      </c>
      <c r="J238" s="1790">
        <v>0.34660716734393548</v>
      </c>
      <c r="K238" s="1790">
        <v>0.61094791574945173</v>
      </c>
      <c r="L238" s="1790">
        <v>0.87528866415496775</v>
      </c>
      <c r="M238" s="1791">
        <v>1.1396294125604838</v>
      </c>
      <c r="O238" s="1641"/>
      <c r="P238" s="1802">
        <f t="array" ref="P238:P242">TRANSPOSE(K179:O179)</f>
        <v>44957</v>
      </c>
      <c r="Q238" s="1804">
        <f ca="1">IF(Q$237=$I$219,$D238,Q238)</f>
        <v>20.15078312296767</v>
      </c>
      <c r="R238" s="1808">
        <f t="shared" ref="R238:U242" ca="1" si="322">IF(R$237=$I$219,$D238,R238)</f>
        <v>25.072559312704186</v>
      </c>
      <c r="S238" s="1814">
        <f t="shared" ca="1" si="322"/>
        <v>29.994335502440705</v>
      </c>
      <c r="T238" s="1810">
        <f t="shared" ca="1" si="322"/>
        <v>34.916111692177218</v>
      </c>
      <c r="U238" s="1805">
        <f t="shared" ca="1" si="322"/>
        <v>39.83788788191373</v>
      </c>
    </row>
    <row r="239" spans="4:52" s="373" customFormat="1" ht="14.45" customHeight="1" x14ac:dyDescent="0.25">
      <c r="D239" s="1803">
        <f ca="1"/>
        <v>45.285790151100869</v>
      </c>
      <c r="E239" s="1628">
        <f ca="1"/>
        <v>8.997708934203863E-2</v>
      </c>
      <c r="G239" s="14" t="s">
        <v>1325</v>
      </c>
      <c r="H239" s="1785">
        <v>25</v>
      </c>
      <c r="I239" s="1591">
        <v>-0.12826498761650873</v>
      </c>
      <c r="J239" s="1792">
        <v>8.4654014167520275E-2</v>
      </c>
      <c r="K239" s="1793">
        <v>0.29757301595154928</v>
      </c>
      <c r="L239" s="1794">
        <v>0.51049201773557829</v>
      </c>
      <c r="M239" s="1612">
        <v>0.72341101951960707</v>
      </c>
      <c r="O239" s="1801" t="s">
        <v>1331</v>
      </c>
      <c r="P239" s="1802">
        <v>45322</v>
      </c>
      <c r="Q239" s="1806">
        <f t="shared" ref="Q239:Q242" ca="1" si="323">IF(Q$237=$I$219,$D239,Q239)</f>
        <v>30.211665455266338</v>
      </c>
      <c r="R239" s="1809">
        <f t="shared" ca="1" si="322"/>
        <v>37.748727803183606</v>
      </c>
      <c r="S239" s="1812">
        <f t="shared" ca="1" si="322"/>
        <v>45.285790151100869</v>
      </c>
      <c r="T239" s="1811">
        <f t="shared" ca="1" si="322"/>
        <v>52.822852499018126</v>
      </c>
      <c r="U239" s="1807">
        <f t="shared" ca="1" si="322"/>
        <v>60.359914846935396</v>
      </c>
    </row>
    <row r="240" spans="4:52" s="373" customFormat="1" ht="14.45" customHeight="1" x14ac:dyDescent="0.25">
      <c r="D240" s="1803">
        <f ca="1"/>
        <v>67.43879563090556</v>
      </c>
      <c r="E240" s="1628">
        <f ca="1"/>
        <v>8.9032385175905837E-2</v>
      </c>
      <c r="G240" s="1774" t="s">
        <v>17</v>
      </c>
      <c r="H240" s="1785">
        <v>30</v>
      </c>
      <c r="I240" s="1591">
        <v>-0.27022654934039059</v>
      </c>
      <c r="J240" s="1795">
        <v>-9.1981288526460148E-2</v>
      </c>
      <c r="K240" s="1591">
        <v>8.6263972287470514E-2</v>
      </c>
      <c r="L240" s="1796">
        <v>0.26450923310140095</v>
      </c>
      <c r="M240" s="1612">
        <v>0.44275449391533117</v>
      </c>
      <c r="O240" s="1801" t="s">
        <v>1332</v>
      </c>
      <c r="P240" s="1802">
        <v>45688</v>
      </c>
      <c r="Q240" s="1806">
        <f t="shared" ca="1" si="323"/>
        <v>44.927321386969751</v>
      </c>
      <c r="R240" s="1809">
        <f t="shared" ca="1" si="322"/>
        <v>56.183058508937656</v>
      </c>
      <c r="S240" s="1812">
        <f t="shared" ca="1" si="322"/>
        <v>67.43879563090556</v>
      </c>
      <c r="T240" s="1811">
        <f t="shared" ca="1" si="322"/>
        <v>78.694532752873457</v>
      </c>
      <c r="U240" s="1807">
        <f t="shared" ca="1" si="322"/>
        <v>89.950269874841382</v>
      </c>
    </row>
    <row r="241" spans="4:21" s="373" customFormat="1" ht="14.45" customHeight="1" x14ac:dyDescent="0.25">
      <c r="D241" s="1803">
        <f ca="1"/>
        <v>100.8034896372899</v>
      </c>
      <c r="E241" s="1628">
        <f ca="1"/>
        <v>0.10318569441216496</v>
      </c>
      <c r="G241" s="1774" t="s">
        <v>850</v>
      </c>
      <c r="H241" s="1785">
        <v>35</v>
      </c>
      <c r="I241" s="1591">
        <v>-0.37242653837704176</v>
      </c>
      <c r="J241" s="1797">
        <v>-0.21914335817121433</v>
      </c>
      <c r="K241" s="1798">
        <v>-6.586017796538679E-2</v>
      </c>
      <c r="L241" s="1799">
        <v>8.7423002240440528E-2</v>
      </c>
      <c r="M241" s="1612">
        <v>0.24070618244626774</v>
      </c>
      <c r="O241" s="1641"/>
      <c r="P241" s="1802">
        <v>46053</v>
      </c>
      <c r="Q241" s="1806">
        <f t="shared" ca="1" si="323"/>
        <v>67.233637284722533</v>
      </c>
      <c r="R241" s="1809">
        <f t="shared" ca="1" si="322"/>
        <v>84.018563461006224</v>
      </c>
      <c r="S241" s="1812">
        <f t="shared" ca="1" si="322"/>
        <v>100.8034896372899</v>
      </c>
      <c r="T241" s="1811">
        <f t="shared" ca="1" si="322"/>
        <v>117.5884158135736</v>
      </c>
      <c r="U241" s="1807">
        <f t="shared" ca="1" si="322"/>
        <v>134.37334198985729</v>
      </c>
    </row>
    <row r="242" spans="4:21" s="373" customFormat="1" x14ac:dyDescent="0.25">
      <c r="D242" s="1803">
        <f ca="1"/>
        <v>148.70534665512858</v>
      </c>
      <c r="E242" s="1628">
        <f ca="1"/>
        <v>0.11843621108366698</v>
      </c>
      <c r="G242" s="473"/>
      <c r="H242" s="1785">
        <v>40</v>
      </c>
      <c r="I242" s="1591">
        <v>-0.44951794278650847</v>
      </c>
      <c r="J242" s="1591">
        <v>-0.31506413692015256</v>
      </c>
      <c r="K242" s="1591">
        <v>-0.18061033105379654</v>
      </c>
      <c r="L242" s="1591">
        <v>-4.6156525187440733E-2</v>
      </c>
      <c r="M242" s="1612">
        <v>8.8297280678915069E-2</v>
      </c>
      <c r="P242" s="1802">
        <v>46418</v>
      </c>
      <c r="Q242" s="1806">
        <f t="shared" ca="1" si="323"/>
        <v>99.372524058048498</v>
      </c>
      <c r="R242" s="1809">
        <f t="shared" ca="1" si="322"/>
        <v>124.03893535658617</v>
      </c>
      <c r="S242" s="1812">
        <f t="shared" ca="1" si="322"/>
        <v>148.70534665512858</v>
      </c>
      <c r="T242" s="1811">
        <f t="shared" ca="1" si="322"/>
        <v>173.37175795366934</v>
      </c>
      <c r="U242" s="1807">
        <f t="shared" ca="1" si="322"/>
        <v>198.03816925221091</v>
      </c>
    </row>
    <row r="243" spans="4:21" s="373" customFormat="1" x14ac:dyDescent="0.25">
      <c r="G243" s="473"/>
      <c r="H243" s="473"/>
      <c r="I243" s="473"/>
      <c r="J243" s="473"/>
      <c r="K243" s="473"/>
      <c r="L243" s="473"/>
      <c r="P243" s="1688"/>
    </row>
    <row r="244" spans="4:21" s="373" customFormat="1" ht="17.25" x14ac:dyDescent="0.4">
      <c r="G244" s="1787" t="s">
        <v>1328</v>
      </c>
      <c r="H244" s="1773"/>
      <c r="I244" s="1773"/>
      <c r="J244" s="1773"/>
      <c r="K244" s="1773"/>
      <c r="L244" s="1773"/>
      <c r="M244" s="1773"/>
      <c r="O244" s="1787" t="s">
        <v>1334</v>
      </c>
      <c r="P244" s="1787"/>
      <c r="Q244" s="1787"/>
      <c r="R244" s="1787"/>
      <c r="S244" s="1787"/>
      <c r="T244" s="1787"/>
      <c r="U244" s="1787"/>
    </row>
    <row r="245" spans="4:21" s="373" customFormat="1" ht="17.25" x14ac:dyDescent="0.4">
      <c r="G245" s="473"/>
      <c r="H245" s="473"/>
      <c r="I245" s="1782" t="s">
        <v>1326</v>
      </c>
      <c r="J245" s="1772"/>
      <c r="K245" s="1772"/>
      <c r="L245" s="1772"/>
      <c r="M245" s="1772"/>
      <c r="O245" s="1641"/>
      <c r="Q245" s="1782" t="str">
        <f>I245</f>
        <v>PF Consolidated ARR Multiple</v>
      </c>
      <c r="R245" s="1772"/>
      <c r="S245" s="1772"/>
      <c r="T245" s="1772"/>
      <c r="U245" s="1772"/>
    </row>
    <row r="246" spans="4:21" s="373" customFormat="1" x14ac:dyDescent="0.25">
      <c r="G246" s="473"/>
      <c r="H246" s="1800">
        <f ca="1">L232</f>
        <v>8.997708934203863E-2</v>
      </c>
      <c r="I246" s="1784">
        <f>H247</f>
        <v>20</v>
      </c>
      <c r="J246" s="1784">
        <f>H248</f>
        <v>25</v>
      </c>
      <c r="K246" s="1784">
        <f>H249</f>
        <v>30</v>
      </c>
      <c r="L246" s="1784">
        <f>H250</f>
        <v>35</v>
      </c>
      <c r="M246" s="1783">
        <f>H251</f>
        <v>40</v>
      </c>
      <c r="O246" s="1641"/>
      <c r="Q246" s="1784">
        <f>I246</f>
        <v>20</v>
      </c>
      <c r="R246" s="1813">
        <f>J246</f>
        <v>25</v>
      </c>
      <c r="S246" s="1815">
        <f>K246</f>
        <v>30</v>
      </c>
      <c r="T246" s="1813">
        <f>L246</f>
        <v>35</v>
      </c>
      <c r="U246" s="1783">
        <f>M246</f>
        <v>40</v>
      </c>
    </row>
    <row r="247" spans="4:21" s="373" customFormat="1" x14ac:dyDescent="0.25">
      <c r="G247" s="473"/>
      <c r="H247" s="1786">
        <v>20</v>
      </c>
      <c r="I247" s="1789">
        <f t="shared" ref="I247:M251" ca="1" si="324">IF(AND($H247=$I$193,I$246=$I$219),$H$246,I247)</f>
        <v>8.5616803331883595E-2</v>
      </c>
      <c r="J247" s="1790">
        <f t="shared" ca="1" si="324"/>
        <v>0.35645131077651504</v>
      </c>
      <c r="K247" s="1790">
        <f t="shared" ca="1" si="324"/>
        <v>0.62728581822114626</v>
      </c>
      <c r="L247" s="1790">
        <f t="shared" ca="1" si="324"/>
        <v>0.89812032566577726</v>
      </c>
      <c r="M247" s="1791">
        <f t="shared" ca="1" si="324"/>
        <v>1.1689548331104089</v>
      </c>
      <c r="O247" s="1641"/>
      <c r="P247" s="1802">
        <f t="shared" ref="P247:P251" si="325">P238</f>
        <v>44957</v>
      </c>
      <c r="Q247" s="1816">
        <f ca="1">IF(AND(Q$246=$I$219,$H$249=$I$193),$E238,Q247)</f>
        <v>-0.27022654934039059</v>
      </c>
      <c r="R247" s="1817">
        <f t="shared" ref="R247:U247" ca="1" si="326">IF(AND(R$246=$I$219,$H$249=$I$193),$E238,R247)</f>
        <v>-9.1981288526460148E-2</v>
      </c>
      <c r="S247" s="1818">
        <f t="shared" ca="1" si="326"/>
        <v>8.6263972287470514E-2</v>
      </c>
      <c r="T247" s="1819">
        <f t="shared" ca="1" si="326"/>
        <v>0.26450923310140095</v>
      </c>
      <c r="U247" s="1788">
        <f t="shared" ca="1" si="326"/>
        <v>0.44275449391533117</v>
      </c>
    </row>
    <row r="248" spans="4:21" s="373" customFormat="1" x14ac:dyDescent="0.25">
      <c r="G248" s="14" t="s">
        <v>1325</v>
      </c>
      <c r="H248" s="1785">
        <v>25</v>
      </c>
      <c r="I248" s="1591">
        <f t="shared" ca="1" si="324"/>
        <v>-0.12905192931981357</v>
      </c>
      <c r="J248" s="1792">
        <f t="shared" ca="1" si="324"/>
        <v>8.8228045537400046E-2</v>
      </c>
      <c r="K248" s="1793">
        <f t="shared" ca="1" si="324"/>
        <v>0.30550802039461367</v>
      </c>
      <c r="L248" s="1794">
        <f t="shared" ca="1" si="324"/>
        <v>0.52278799525182684</v>
      </c>
      <c r="M248" s="1612">
        <f t="shared" ca="1" si="324"/>
        <v>0.74006797010904068</v>
      </c>
      <c r="O248" s="1801" t="s">
        <v>1331</v>
      </c>
      <c r="P248" s="1802">
        <f t="shared" si="325"/>
        <v>45322</v>
      </c>
      <c r="Q248" s="1820">
        <f t="shared" ref="Q248:U248" ca="1" si="327">IF(AND(Q$246=$I$219,$H$249=$I$193),$E239,Q248)</f>
        <v>-0.27283982310495003</v>
      </c>
      <c r="R248" s="1821">
        <f t="shared" ca="1" si="327"/>
        <v>-9.1431366881455589E-2</v>
      </c>
      <c r="S248" s="1818">
        <f t="shared" ca="1" si="327"/>
        <v>8.997708934203863E-2</v>
      </c>
      <c r="T248" s="1822">
        <f t="shared" ca="1" si="327"/>
        <v>0.27138554556553274</v>
      </c>
      <c r="U248" s="1628">
        <f t="shared" ca="1" si="327"/>
        <v>0.45279400178902729</v>
      </c>
    </row>
    <row r="249" spans="4:21" s="373" customFormat="1" x14ac:dyDescent="0.25">
      <c r="G249" s="1774" t="s">
        <v>17</v>
      </c>
      <c r="H249" s="1785">
        <v>30</v>
      </c>
      <c r="I249" s="1591">
        <f t="shared" ca="1" si="324"/>
        <v>-0.27283982310495003</v>
      </c>
      <c r="J249" s="1795">
        <f t="shared" ca="1" si="324"/>
        <v>-9.1431366881455589E-2</v>
      </c>
      <c r="K249" s="1591">
        <f t="shared" ca="1" si="324"/>
        <v>8.997708934203863E-2</v>
      </c>
      <c r="L249" s="1796">
        <f t="shared" ca="1" si="324"/>
        <v>0.27138554556553274</v>
      </c>
      <c r="M249" s="1612">
        <f t="shared" ca="1" si="324"/>
        <v>0.45279400178902729</v>
      </c>
      <c r="O249" s="1801" t="s">
        <v>1332</v>
      </c>
      <c r="P249" s="1802">
        <f t="shared" si="325"/>
        <v>45688</v>
      </c>
      <c r="Q249" s="1820">
        <f t="shared" ref="Q249:U249" ca="1" si="328">IF(AND(Q$246=$I$219,$H$249=$I$193),$E240,Q249)</f>
        <v>-0.27449315320818157</v>
      </c>
      <c r="R249" s="1821">
        <f t="shared" ca="1" si="328"/>
        <v>-9.2730384016137868E-2</v>
      </c>
      <c r="S249" s="1818">
        <f t="shared" ca="1" si="328"/>
        <v>8.9032385175905837E-2</v>
      </c>
      <c r="T249" s="1822">
        <f t="shared" ca="1" si="328"/>
        <v>0.27079515436794943</v>
      </c>
      <c r="U249" s="1628">
        <f t="shared" ca="1" si="328"/>
        <v>0.45255792355999347</v>
      </c>
    </row>
    <row r="250" spans="4:21" s="373" customFormat="1" x14ac:dyDescent="0.25">
      <c r="G250" s="1774" t="s">
        <v>850</v>
      </c>
      <c r="H250" s="1785">
        <v>35</v>
      </c>
      <c r="I250" s="1591">
        <f t="shared" ca="1" si="324"/>
        <v>-0.37587828231168441</v>
      </c>
      <c r="J250" s="1797">
        <f t="shared" ca="1" si="324"/>
        <v>-0.22017536994257936</v>
      </c>
      <c r="K250" s="1798">
        <f t="shared" ca="1" si="324"/>
        <v>-6.4472457573474418E-2</v>
      </c>
      <c r="L250" s="1799">
        <f t="shared" ca="1" si="324"/>
        <v>9.1230454795630411E-2</v>
      </c>
      <c r="M250" s="1612">
        <f t="shared" ca="1" si="324"/>
        <v>0.24693336716473557</v>
      </c>
      <c r="O250" s="1641"/>
      <c r="P250" s="1802">
        <f t="shared" si="325"/>
        <v>46053</v>
      </c>
      <c r="Q250" s="1820">
        <f t="shared" ref="Q250:U250" ca="1" si="329">IF(AND(Q$246=$I$219,$H$249=$I$193),$E241,Q250)</f>
        <v>-0.26420020673208577</v>
      </c>
      <c r="R250" s="1821">
        <f t="shared" ca="1" si="329"/>
        <v>-8.050725615996035E-2</v>
      </c>
      <c r="S250" s="1818">
        <f t="shared" ca="1" si="329"/>
        <v>0.10318569441216496</v>
      </c>
      <c r="T250" s="1822">
        <f t="shared" ca="1" si="329"/>
        <v>0.28687864498429039</v>
      </c>
      <c r="U250" s="1628">
        <f t="shared" ca="1" si="329"/>
        <v>0.47057159555641581</v>
      </c>
    </row>
    <row r="251" spans="4:21" s="373" customFormat="1" x14ac:dyDescent="0.25">
      <c r="G251" s="473"/>
      <c r="H251" s="1785">
        <v>40</v>
      </c>
      <c r="I251" s="1591">
        <f t="shared" ca="1" si="324"/>
        <v>-0.4533399130004877</v>
      </c>
      <c r="J251" s="1591">
        <f t="shared" ca="1" si="324"/>
        <v>-0.31696175917332126</v>
      </c>
      <c r="K251" s="1591">
        <f t="shared" ca="1" si="324"/>
        <v>-0.18058360534615492</v>
      </c>
      <c r="L251" s="1591">
        <f t="shared" ca="1" si="324"/>
        <v>-4.4205451518988692E-2</v>
      </c>
      <c r="M251" s="1612">
        <f t="shared" ca="1" si="324"/>
        <v>9.2172702308177756E-2</v>
      </c>
      <c r="P251" s="1802">
        <f t="shared" si="325"/>
        <v>46418</v>
      </c>
      <c r="Q251" s="1820">
        <f t="shared" ref="Q251:U251" ca="1" si="330">IF(AND(Q$246=$I$219,$H$249=$I$193),$E242,Q251)</f>
        <v>-0.25260367704827769</v>
      </c>
      <c r="R251" s="1821">
        <f t="shared" ca="1" si="330"/>
        <v>-6.7083732982323174E-2</v>
      </c>
      <c r="S251" s="1818">
        <f t="shared" ca="1" si="330"/>
        <v>0.11843621108366698</v>
      </c>
      <c r="T251" s="1822">
        <f t="shared" ca="1" si="330"/>
        <v>0.3039561551496448</v>
      </c>
      <c r="U251" s="1628">
        <f t="shared" ca="1" si="330"/>
        <v>0.4894760992156284</v>
      </c>
    </row>
    <row r="252" spans="4:21" s="373" customFormat="1" x14ac:dyDescent="0.25">
      <c r="G252" s="473"/>
      <c r="H252" s="473"/>
      <c r="I252" s="473"/>
      <c r="J252" s="473"/>
      <c r="K252" s="473"/>
      <c r="L252" s="473"/>
      <c r="M252" s="473"/>
      <c r="N252" s="473"/>
      <c r="P252" s="1688"/>
    </row>
    <row r="253" spans="4:21" s="373" customFormat="1" ht="17.25" x14ac:dyDescent="0.4">
      <c r="G253" s="1787" t="s">
        <v>1329</v>
      </c>
      <c r="H253" s="1773"/>
      <c r="I253" s="1773"/>
      <c r="J253" s="1773"/>
      <c r="K253" s="1773"/>
      <c r="L253" s="1773"/>
      <c r="M253" s="1773"/>
      <c r="O253" s="1787" t="s">
        <v>1335</v>
      </c>
      <c r="P253" s="1787"/>
      <c r="Q253" s="1787"/>
      <c r="R253" s="1787"/>
      <c r="S253" s="1787"/>
      <c r="T253" s="1787"/>
      <c r="U253" s="1787"/>
    </row>
    <row r="254" spans="4:21" s="373" customFormat="1" ht="17.25" x14ac:dyDescent="0.4">
      <c r="G254" s="473"/>
      <c r="H254" s="473"/>
      <c r="I254" s="1782" t="s">
        <v>1326</v>
      </c>
      <c r="J254" s="1772"/>
      <c r="K254" s="1772"/>
      <c r="L254" s="1772"/>
      <c r="M254" s="1772"/>
      <c r="O254" s="1641"/>
      <c r="Q254" s="1782" t="s">
        <v>1333</v>
      </c>
      <c r="R254" s="1772"/>
      <c r="S254" s="1772"/>
      <c r="T254" s="1772"/>
      <c r="U254" s="1772"/>
    </row>
    <row r="255" spans="4:21" s="373" customFormat="1" x14ac:dyDescent="0.25">
      <c r="G255" s="473"/>
      <c r="H255" s="1800">
        <f ca="1">M232</f>
        <v>8.9032385175905837E-2</v>
      </c>
      <c r="I255" s="1784">
        <f>H256</f>
        <v>20</v>
      </c>
      <c r="J255" s="1784">
        <f>H257</f>
        <v>25</v>
      </c>
      <c r="K255" s="1784">
        <f>H258</f>
        <v>30</v>
      </c>
      <c r="L255" s="1784">
        <f>H259</f>
        <v>35</v>
      </c>
      <c r="M255" s="1783">
        <f>H260</f>
        <v>40</v>
      </c>
      <c r="O255" s="1641"/>
      <c r="Q255" s="1784">
        <f>I255</f>
        <v>20</v>
      </c>
      <c r="R255" s="1813">
        <f>J255</f>
        <v>25</v>
      </c>
      <c r="S255" s="1815">
        <f>K255</f>
        <v>30</v>
      </c>
      <c r="T255" s="1813">
        <f>L255</f>
        <v>35</v>
      </c>
      <c r="U255" s="1783">
        <f>M255</f>
        <v>40</v>
      </c>
    </row>
    <row r="256" spans="4:21" s="373" customFormat="1" x14ac:dyDescent="0.25">
      <c r="G256" s="473"/>
      <c r="H256" s="1786">
        <v>20</v>
      </c>
      <c r="I256" s="1789">
        <f ca="1">IF(AND($H256=$I$193,I$246=$I$219),$H$255,I256)</f>
        <v>8.5636083770537663E-2</v>
      </c>
      <c r="J256" s="1790">
        <f t="shared" ref="J256:M260" ca="1" si="331">IF(AND($H256=$I$193,J$246=$I$219),$H$255,J256)</f>
        <v>0.3576227945693693</v>
      </c>
      <c r="K256" s="1790">
        <f t="shared" ca="1" si="331"/>
        <v>0.62960950536820071</v>
      </c>
      <c r="L256" s="1790">
        <f t="shared" ca="1" si="331"/>
        <v>0.90159621616703212</v>
      </c>
      <c r="M256" s="1791">
        <f t="shared" ca="1" si="331"/>
        <v>1.1735829269658642</v>
      </c>
      <c r="O256" s="1641"/>
      <c r="P256" s="1802">
        <f t="shared" ref="P256:P260" si="332">P247</f>
        <v>44957</v>
      </c>
      <c r="Q256" s="1816">
        <f ca="1">IF(AND(Q$255=$I$219,Q$255=$I$193),$E238,Q256)</f>
        <v>8.2266418938419239E-2</v>
      </c>
      <c r="R256" s="1817">
        <f t="shared" ref="R256:U256" ca="1" si="333">IF(AND(R$255=$I$219,R$255=$I$193),$E238,R256)</f>
        <v>8.4654014167520275E-2</v>
      </c>
      <c r="S256" s="1818">
        <f t="shared" ca="1" si="333"/>
        <v>8.6263972287470514E-2</v>
      </c>
      <c r="T256" s="1819">
        <f t="shared" ca="1" si="333"/>
        <v>8.7423002240440528E-2</v>
      </c>
      <c r="U256" s="1788">
        <f t="shared" ca="1" si="333"/>
        <v>8.8297280678915069E-2</v>
      </c>
    </row>
    <row r="257" spans="4:52" s="373" customFormat="1" x14ac:dyDescent="0.25">
      <c r="G257" s="14" t="s">
        <v>1325</v>
      </c>
      <c r="H257" s="1785">
        <v>25</v>
      </c>
      <c r="I257" s="1591">
        <f t="shared" ref="I257:I260" ca="1" si="334">IF(AND($H257=$I$193,I$246=$I$219),$H$255,I257)</f>
        <v>-0.13023274021203635</v>
      </c>
      <c r="J257" s="1792">
        <f t="shared" ca="1" si="331"/>
        <v>8.7671896237245361E-2</v>
      </c>
      <c r="K257" s="1793">
        <f t="shared" ca="1" si="331"/>
        <v>0.30557653268652718</v>
      </c>
      <c r="L257" s="1794">
        <f t="shared" ca="1" si="331"/>
        <v>0.52348116913580878</v>
      </c>
      <c r="M257" s="1612">
        <f t="shared" ca="1" si="331"/>
        <v>0.74138580558509082</v>
      </c>
      <c r="O257" s="1801" t="s">
        <v>1331</v>
      </c>
      <c r="P257" s="1802">
        <f t="shared" si="332"/>
        <v>45322</v>
      </c>
      <c r="Q257" s="1820">
        <f t="shared" ref="Q257:U257" ca="1" si="335">IF(AND(Q$255=$I$219,Q$255=$I$193),$E239,Q257)</f>
        <v>8.5616803331883595E-2</v>
      </c>
      <c r="R257" s="1821">
        <f t="shared" ca="1" si="335"/>
        <v>8.8228045537400046E-2</v>
      </c>
      <c r="S257" s="1818">
        <f t="shared" ca="1" si="335"/>
        <v>8.997708934203863E-2</v>
      </c>
      <c r="T257" s="1822">
        <f t="shared" ca="1" si="335"/>
        <v>9.1230454795630411E-2</v>
      </c>
      <c r="U257" s="1628">
        <f t="shared" ca="1" si="335"/>
        <v>9.2172702308177756E-2</v>
      </c>
    </row>
    <row r="258" spans="4:52" s="373" customFormat="1" x14ac:dyDescent="0.25">
      <c r="G258" s="1774" t="s">
        <v>17</v>
      </c>
      <c r="H258" s="1785">
        <v>30</v>
      </c>
      <c r="I258" s="1591">
        <f t="shared" ca="1" si="334"/>
        <v>-0.27449315320818157</v>
      </c>
      <c r="J258" s="1795">
        <f t="shared" ca="1" si="331"/>
        <v>-9.2730384016137868E-2</v>
      </c>
      <c r="K258" s="1591">
        <f t="shared" ca="1" si="331"/>
        <v>8.9032385175905837E-2</v>
      </c>
      <c r="L258" s="1796">
        <f t="shared" ca="1" si="331"/>
        <v>0.27079515436794943</v>
      </c>
      <c r="M258" s="1612">
        <f t="shared" ca="1" si="331"/>
        <v>0.45255792355999347</v>
      </c>
      <c r="O258" s="1801" t="s">
        <v>1332</v>
      </c>
      <c r="P258" s="1802">
        <f t="shared" si="332"/>
        <v>45688</v>
      </c>
      <c r="Q258" s="1820">
        <f t="shared" ref="Q258:U258" ca="1" si="336">IF(AND(Q$255=$I$219,Q$255=$I$193),$E240,Q258)</f>
        <v>8.5636083770537663E-2</v>
      </c>
      <c r="R258" s="1821">
        <f t="shared" ca="1" si="336"/>
        <v>8.7671896237245361E-2</v>
      </c>
      <c r="S258" s="1818">
        <f t="shared" ca="1" si="336"/>
        <v>8.9032385175905837E-2</v>
      </c>
      <c r="T258" s="1822">
        <f t="shared" ca="1" si="336"/>
        <v>9.0005774824407636E-2</v>
      </c>
      <c r="U258" s="1628">
        <f t="shared" ca="1" si="336"/>
        <v>9.0736700453081243E-2</v>
      </c>
    </row>
    <row r="259" spans="4:52" s="373" customFormat="1" x14ac:dyDescent="0.25">
      <c r="G259" s="1774" t="s">
        <v>850</v>
      </c>
      <c r="H259" s="1785">
        <v>35</v>
      </c>
      <c r="I259" s="1591">
        <f t="shared" ca="1" si="334"/>
        <v>-0.37770721743816416</v>
      </c>
      <c r="J259" s="1797">
        <f t="shared" ca="1" si="331"/>
        <v>-0.22180288668397352</v>
      </c>
      <c r="K259" s="1798">
        <f t="shared" ca="1" si="331"/>
        <v>-6.5898555929782776E-2</v>
      </c>
      <c r="L259" s="1799">
        <f t="shared" ca="1" si="331"/>
        <v>9.0005774824407636E-2</v>
      </c>
      <c r="M259" s="1612">
        <f t="shared" ca="1" si="331"/>
        <v>0.24591010557859883</v>
      </c>
      <c r="O259" s="1641"/>
      <c r="P259" s="1802">
        <f t="shared" si="332"/>
        <v>46053</v>
      </c>
      <c r="Q259" s="1820">
        <f t="shared" ref="Q259:U259" ca="1" si="337">IF(AND(Q$255=$I$219,Q$255=$I$193),$E241,Q259)</f>
        <v>0.10052642769019293</v>
      </c>
      <c r="R259" s="1821">
        <f t="shared" ca="1" si="337"/>
        <v>0.10212014958579418</v>
      </c>
      <c r="S259" s="1818">
        <f t="shared" ca="1" si="337"/>
        <v>0.10318569441216496</v>
      </c>
      <c r="T259" s="1822">
        <f t="shared" ca="1" si="337"/>
        <v>0.1039483039474145</v>
      </c>
      <c r="U259" s="1628">
        <f t="shared" ca="1" si="337"/>
        <v>0.10452108688112882</v>
      </c>
    </row>
    <row r="260" spans="4:52" s="373" customFormat="1" x14ac:dyDescent="0.25">
      <c r="G260" s="473"/>
      <c r="H260" s="1785">
        <v>40</v>
      </c>
      <c r="I260" s="1591">
        <f t="shared" ca="1" si="334"/>
        <v>-0.45521143674161824</v>
      </c>
      <c r="J260" s="1591">
        <f t="shared" ca="1" si="331"/>
        <v>-0.31872440244294342</v>
      </c>
      <c r="K260" s="1591">
        <f t="shared" ca="1" si="331"/>
        <v>-0.18223736814426861</v>
      </c>
      <c r="L260" s="1591">
        <f t="shared" ca="1" si="331"/>
        <v>-4.5750333845593794E-2</v>
      </c>
      <c r="M260" s="1612">
        <f t="shared" ca="1" si="331"/>
        <v>9.0736700453081243E-2</v>
      </c>
      <c r="P260" s="1802">
        <f t="shared" si="332"/>
        <v>46418</v>
      </c>
      <c r="Q260" s="1820">
        <f t="shared" ref="Q260:U260" ca="1" si="338">IF(AND(Q$255=$I$219,Q$255=$I$193),$E242,Q260)</f>
        <v>0.11639322106338224</v>
      </c>
      <c r="R260" s="1821">
        <f t="shared" ca="1" si="338"/>
        <v>0.11761695376251824</v>
      </c>
      <c r="S260" s="1818">
        <f t="shared" ca="1" si="338"/>
        <v>0.11843621108366698</v>
      </c>
      <c r="T260" s="1822">
        <f t="shared" ca="1" si="338"/>
        <v>0.11902308671061546</v>
      </c>
      <c r="U260" s="1628">
        <f t="shared" ca="1" si="338"/>
        <v>0.1194641721622296</v>
      </c>
    </row>
    <row r="261" spans="4:52" s="373" customFormat="1" x14ac:dyDescent="0.25">
      <c r="G261" s="473"/>
      <c r="H261" s="473"/>
      <c r="I261" s="473"/>
      <c r="J261" s="473"/>
      <c r="K261" s="473"/>
      <c r="L261" s="473"/>
      <c r="M261" s="473"/>
      <c r="N261" s="473"/>
      <c r="P261" s="1688"/>
    </row>
    <row r="262" spans="4:52" s="373" customFormat="1" x14ac:dyDescent="0.25">
      <c r="G262" s="471"/>
      <c r="H262" s="471"/>
      <c r="I262" s="471"/>
      <c r="J262" s="471"/>
      <c r="K262" s="471"/>
      <c r="L262" s="471"/>
      <c r="M262" s="471"/>
      <c r="N262" s="471"/>
      <c r="O262" s="471"/>
      <c r="P262" s="1688"/>
    </row>
    <row r="263" spans="4:52" hidden="1" outlineLevel="1" x14ac:dyDescent="0.25">
      <c r="D263" s="3" t="str">
        <f>Forecast!C78</f>
        <v>Metrics</v>
      </c>
      <c r="E263" s="3"/>
      <c r="F263" s="3"/>
      <c r="G263" s="376"/>
      <c r="H263" s="376"/>
      <c r="I263" s="1691"/>
      <c r="J263" s="376"/>
      <c r="K263" s="376"/>
      <c r="L263" s="376"/>
      <c r="M263" s="376"/>
      <c r="N263" s="376"/>
      <c r="O263" s="376"/>
      <c r="P263" s="1519"/>
      <c r="Q263" s="376"/>
      <c r="R263" s="376"/>
      <c r="S263" s="376"/>
      <c r="T263" s="1692"/>
      <c r="U263" s="1693"/>
      <c r="V263" s="1692"/>
      <c r="W263" s="1692"/>
      <c r="X263" s="1691"/>
      <c r="Y263" s="1692"/>
      <c r="Z263" s="376"/>
      <c r="AA263" s="376"/>
      <c r="AB263" s="1692"/>
      <c r="AC263" s="1693"/>
      <c r="AD263" s="1692"/>
      <c r="AE263" s="1692"/>
      <c r="AF263" s="1691"/>
      <c r="AG263" s="1692"/>
      <c r="AH263" s="376"/>
      <c r="AI263" s="376"/>
      <c r="AJ263" s="1692"/>
      <c r="AK263" s="1693"/>
      <c r="AL263" s="1692"/>
      <c r="AM263" s="1692"/>
      <c r="AN263" s="1691"/>
      <c r="AO263" s="1692"/>
      <c r="AP263" s="376"/>
      <c r="AQ263" s="376"/>
      <c r="AR263" s="1692"/>
      <c r="AS263" s="1693"/>
      <c r="AT263" s="1692"/>
      <c r="AU263" s="1692"/>
      <c r="AV263" s="1691"/>
      <c r="AW263" s="1692"/>
      <c r="AX263" s="376"/>
      <c r="AY263" s="376"/>
      <c r="AZ263" s="376"/>
    </row>
    <row r="264" spans="4:52" hidden="1" outlineLevel="1" x14ac:dyDescent="0.25">
      <c r="I264" s="1689"/>
      <c r="T264" s="373"/>
      <c r="U264" s="1690"/>
      <c r="V264" s="373"/>
      <c r="W264" s="373"/>
      <c r="X264" s="1689"/>
      <c r="Y264" s="373"/>
      <c r="AB264" s="373"/>
      <c r="AC264" s="1690"/>
      <c r="AD264" s="373"/>
      <c r="AE264" s="373"/>
      <c r="AF264" s="1689"/>
      <c r="AG264" s="373"/>
      <c r="AJ264" s="373"/>
      <c r="AK264" s="1690"/>
      <c r="AL264" s="373"/>
      <c r="AM264" s="373"/>
      <c r="AN264" s="1689"/>
      <c r="AO264" s="373"/>
      <c r="AR264" s="373"/>
      <c r="AS264" s="1690"/>
      <c r="AT264" s="373"/>
      <c r="AU264" s="373"/>
      <c r="AV264" s="1689"/>
      <c r="AW264" s="373"/>
    </row>
    <row r="265" spans="4:52" hidden="1" outlineLevel="1" x14ac:dyDescent="0.25">
      <c r="D265" s="6" t="str">
        <f>Forecast!C80</f>
        <v>Revenue %</v>
      </c>
      <c r="E265" s="6"/>
      <c r="F265" s="6"/>
      <c r="I265" s="1689"/>
      <c r="P265" s="1526"/>
      <c r="T265" s="373"/>
      <c r="U265" s="1690"/>
      <c r="V265" s="373"/>
      <c r="W265" s="373"/>
      <c r="X265" s="1689"/>
      <c r="Y265" s="373"/>
      <c r="AB265" s="373"/>
      <c r="AC265" s="1690"/>
      <c r="AD265" s="373"/>
      <c r="AE265" s="373"/>
      <c r="AF265" s="1689"/>
      <c r="AG265" s="373"/>
      <c r="AJ265" s="373"/>
      <c r="AK265" s="1690"/>
      <c r="AL265" s="373"/>
      <c r="AM265" s="373"/>
      <c r="AN265" s="1689"/>
      <c r="AO265" s="373"/>
      <c r="AR265" s="373"/>
      <c r="AS265" s="1690"/>
      <c r="AT265" s="373"/>
      <c r="AU265" s="373"/>
      <c r="AV265" s="1689"/>
      <c r="AW265" s="373"/>
    </row>
    <row r="266" spans="4:52" hidden="1" outlineLevel="1" x14ac:dyDescent="0.25">
      <c r="D266" s="292" t="str">
        <f>Forecast!C81</f>
        <v xml:space="preserve">  COGS</v>
      </c>
      <c r="G266" s="456">
        <f>Forecast!D81</f>
        <v>0.38881085905079893</v>
      </c>
      <c r="H266" s="456">
        <f>Forecast!E81</f>
        <v>0.4166602901226269</v>
      </c>
      <c r="I266" s="458">
        <f>Forecast!F81</f>
        <v>0.36302450904127964</v>
      </c>
      <c r="J266" s="457">
        <f>Forecast!G81</f>
        <v>0.35522864283538635</v>
      </c>
      <c r="K266" s="456">
        <f>Forecast!H81</f>
        <v>0.2873671077741346</v>
      </c>
      <c r="L266" s="456">
        <f>Forecast!I81</f>
        <v>0.27504225187288339</v>
      </c>
      <c r="M266" s="456">
        <f>Forecast!J81</f>
        <v>0.26308457606417401</v>
      </c>
      <c r="N266" s="456">
        <f>Forecast!K81</f>
        <v>0.25105857905027307</v>
      </c>
      <c r="O266" s="456">
        <f>Forecast!L81</f>
        <v>0.23427524588970361</v>
      </c>
      <c r="P266" s="1723"/>
      <c r="Q266" s="456">
        <f>Forecast!N81</f>
        <v>0.37914103854606723</v>
      </c>
      <c r="R266" s="456">
        <f>Forecast!O81</f>
        <v>0.35846577653032291</v>
      </c>
      <c r="S266" s="456">
        <f>Forecast!P81</f>
        <v>0.42039917654321157</v>
      </c>
      <c r="T266" s="457">
        <f>Forecast!Q81</f>
        <v>0.38789258595720899</v>
      </c>
      <c r="U266" s="1305">
        <f>Forecast!R81</f>
        <v>0.39165432161089264</v>
      </c>
      <c r="V266" s="457">
        <f>Forecast!S81</f>
        <v>0.41052368935345129</v>
      </c>
      <c r="W266" s="457">
        <f>Forecast!T81</f>
        <v>0.45655980981009059</v>
      </c>
      <c r="X266" s="458">
        <f>Forecast!U81</f>
        <v>0.40221345985840923</v>
      </c>
      <c r="Y266" s="457">
        <f>Forecast!V81</f>
        <v>0.40581181484604006</v>
      </c>
      <c r="Z266" s="456">
        <f>Forecast!W81</f>
        <v>0.3699152468289203</v>
      </c>
      <c r="AA266" s="456">
        <f>Forecast!X81</f>
        <v>0.36123375699542909</v>
      </c>
      <c r="AB266" s="457">
        <f>Forecast!Y81</f>
        <v>0.32605383792929077</v>
      </c>
      <c r="AC266" s="1305">
        <f>Forecast!Z81</f>
        <v>0.35401739516244185</v>
      </c>
      <c r="AD266" s="457">
        <f>Forecast!AA81</f>
        <v>0.35764906858174528</v>
      </c>
      <c r="AE266" s="457">
        <f>Forecast!AB81</f>
        <v>0.36140246517636654</v>
      </c>
      <c r="AF266" s="458">
        <f>Forecast!AC81</f>
        <v>0.34878468550968839</v>
      </c>
      <c r="AG266" s="457">
        <f>Forecast!AD81</f>
        <v>0.29829555161463744</v>
      </c>
      <c r="AH266" s="456">
        <f>Forecast!AE81</f>
        <v>0.29055731212194019</v>
      </c>
      <c r="AI266" s="456">
        <f>Forecast!AF81</f>
        <v>0.28801290610216457</v>
      </c>
      <c r="AJ266" s="457">
        <f>Forecast!AG81</f>
        <v>0.27665808691278515</v>
      </c>
      <c r="AK266" s="1305">
        <f>Forecast!AH81</f>
        <v>0.28029886360980932</v>
      </c>
      <c r="AL266" s="457">
        <f>Forecast!AI81</f>
        <v>0.27593237901636297</v>
      </c>
      <c r="AM266" s="457">
        <f>Forecast!AJ81</f>
        <v>0.27640529765220434</v>
      </c>
      <c r="AN266" s="458">
        <f>Forecast!AK81</f>
        <v>0.2693799828478296</v>
      </c>
      <c r="AO266" s="457">
        <f>Forecast!AL81</f>
        <v>0.27087006682522463</v>
      </c>
      <c r="AP266" s="456">
        <f>Forecast!AM81</f>
        <v>0.26459658364292921</v>
      </c>
      <c r="AQ266" s="456">
        <f>Forecast!AN81</f>
        <v>0.26373581845759625</v>
      </c>
      <c r="AR266" s="457">
        <f>Forecast!AO81</f>
        <v>0.25566646160879725</v>
      </c>
      <c r="AS266" s="1305">
        <f>Forecast!AP81</f>
        <v>0.25710725884939761</v>
      </c>
      <c r="AT266" s="457">
        <f>Forecast!AQ81</f>
        <v>0.25223841781675332</v>
      </c>
      <c r="AU266" s="457">
        <f>Forecast!AR81</f>
        <v>0.2518748625606726</v>
      </c>
      <c r="AV266" s="458">
        <f>Forecast!AS81</f>
        <v>0.24495506915388873</v>
      </c>
      <c r="AW266" s="457">
        <f>Forecast!AT81</f>
        <v>0.24471743813559724</v>
      </c>
      <c r="AX266" s="456">
        <f>Forecast!AU81</f>
        <v>0.23666831915663744</v>
      </c>
      <c r="AY266" s="456">
        <f>Forecast!AV81</f>
        <v>0.23374790581467189</v>
      </c>
      <c r="AZ266" s="456">
        <f>Forecast!AW81</f>
        <v>0.22504298500644132</v>
      </c>
    </row>
    <row r="267" spans="4:52" hidden="1" outlineLevel="1" x14ac:dyDescent="0.25">
      <c r="D267" s="292" t="str">
        <f>Forecast!C82</f>
        <v xml:space="preserve">  S&amp;M</v>
      </c>
      <c r="G267" s="456">
        <f>Forecast!D82</f>
        <v>1.0444950784641069</v>
      </c>
      <c r="H267" s="456">
        <f>Forecast!E82</f>
        <v>0.83425112995883899</v>
      </c>
      <c r="I267" s="458">
        <f>Forecast!F82</f>
        <v>0.61875841669277498</v>
      </c>
      <c r="J267" s="457">
        <f>Forecast!G82</f>
        <v>0.74518064029842923</v>
      </c>
      <c r="K267" s="456">
        <f>Forecast!H82</f>
        <v>0.61205730205676778</v>
      </c>
      <c r="L267" s="456">
        <f>Forecast!I82</f>
        <v>0.56646178223390442</v>
      </c>
      <c r="M267" s="456">
        <f>Forecast!J82</f>
        <v>0.50811852819130765</v>
      </c>
      <c r="N267" s="456">
        <f>Forecast!K82</f>
        <v>0.45571605194513287</v>
      </c>
      <c r="O267" s="456">
        <f>Forecast!L82</f>
        <v>0.45923351449999633</v>
      </c>
      <c r="P267" s="1723"/>
      <c r="Q267" s="456">
        <f>Forecast!N82</f>
        <v>1.204488364167092</v>
      </c>
      <c r="R267" s="456">
        <f>Forecast!O82</f>
        <v>0.97047463231075703</v>
      </c>
      <c r="S267" s="456">
        <f>Forecast!P82</f>
        <v>1.0017387246142924</v>
      </c>
      <c r="T267" s="457">
        <f>Forecast!Q82</f>
        <v>1.0485607905497307</v>
      </c>
      <c r="U267" s="1305">
        <f>Forecast!R82</f>
        <v>0.90331544885224446</v>
      </c>
      <c r="V267" s="457">
        <f>Forecast!S82</f>
        <v>0.90858496138697875</v>
      </c>
      <c r="W267" s="457">
        <f>Forecast!T82</f>
        <v>0.79790507140016564</v>
      </c>
      <c r="X267" s="458">
        <f>Forecast!U82</f>
        <v>0.76632414743324562</v>
      </c>
      <c r="Y267" s="457">
        <f>Forecast!V82</f>
        <v>0.6430778409102953</v>
      </c>
      <c r="Z267" s="456">
        <f>Forecast!W82</f>
        <v>0.63181779207279876</v>
      </c>
      <c r="AA267" s="456">
        <f>Forecast!X82</f>
        <v>0.58208573853647827</v>
      </c>
      <c r="AB267" s="457">
        <f>Forecast!Y82</f>
        <v>0.62266222090908585</v>
      </c>
      <c r="AC267" s="1305">
        <f>Forecast!Z82</f>
        <v>0.63654019184759825</v>
      </c>
      <c r="AD267" s="457">
        <f>Forecast!AA82</f>
        <v>0.7689906939969734</v>
      </c>
      <c r="AE267" s="457">
        <f>Forecast!AB82</f>
        <v>0.79806200969933683</v>
      </c>
      <c r="AF267" s="458">
        <f>Forecast!AC82</f>
        <v>0.75623608547267818</v>
      </c>
      <c r="AG267" s="457">
        <f>Forecast!AD82</f>
        <v>0.68808402273715707</v>
      </c>
      <c r="AH267" s="456">
        <f>Forecast!AE82</f>
        <v>0.62718573384815801</v>
      </c>
      <c r="AI267" s="456">
        <f>Forecast!AF82</f>
        <v>0.61390310973797091</v>
      </c>
      <c r="AJ267" s="457">
        <f>Forecast!AG82</f>
        <v>0.5454068522831057</v>
      </c>
      <c r="AK267" s="1305">
        <f>Forecast!AH82</f>
        <v>0.57528820753157595</v>
      </c>
      <c r="AL267" s="457">
        <f>Forecast!AI82</f>
        <v>0.56280461456127562</v>
      </c>
      <c r="AM267" s="457">
        <f>Forecast!AJ82</f>
        <v>0.57927015124583081</v>
      </c>
      <c r="AN267" s="458">
        <f>Forecast!AK82</f>
        <v>0.55185285674697737</v>
      </c>
      <c r="AO267" s="457">
        <f>Forecast!AL82</f>
        <v>0.56162974830752876</v>
      </c>
      <c r="AP267" s="456">
        <f>Forecast!AM82</f>
        <v>0.51382656243074842</v>
      </c>
      <c r="AQ267" s="456">
        <f>Forecast!AN82</f>
        <v>0.51100738834357673</v>
      </c>
      <c r="AR267" s="457">
        <f>Forecast!AO82</f>
        <v>0.46232239617887017</v>
      </c>
      <c r="AS267" s="1305">
        <f>Forecast!AP82</f>
        <v>0.47552470353203696</v>
      </c>
      <c r="AT267" s="457">
        <f>Forecast!AQ82</f>
        <v>0.45346205408244639</v>
      </c>
      <c r="AU267" s="457">
        <f>Forecast!AR82</f>
        <v>0.46474632580947023</v>
      </c>
      <c r="AV267" s="458">
        <f>Forecast!AS82</f>
        <v>0.43508441070931064</v>
      </c>
      <c r="AW267" s="457">
        <f>Forecast!AT82</f>
        <v>0.46241297812453597</v>
      </c>
      <c r="AX267" s="456">
        <f>Forecast!AU82</f>
        <v>0.45372689767543734</v>
      </c>
      <c r="AY267" s="456">
        <f>Forecast!AV82</f>
        <v>0.47091190797441956</v>
      </c>
      <c r="AZ267" s="456">
        <f>Forecast!AW82</f>
        <v>0.45100077071687922</v>
      </c>
    </row>
    <row r="268" spans="4:52" hidden="1" outlineLevel="1" x14ac:dyDescent="0.25">
      <c r="D268" s="292" t="str">
        <f>Forecast!C83</f>
        <v xml:space="preserve">  R&amp;D</v>
      </c>
      <c r="G268" s="456">
        <f>Forecast!D83</f>
        <v>0.53480840114476502</v>
      </c>
      <c r="H268" s="456">
        <f>Forecast!E83</f>
        <v>0.42543067426282927</v>
      </c>
      <c r="I268" s="458">
        <f>Forecast!F83</f>
        <v>0.3454725047488818</v>
      </c>
      <c r="J268" s="457">
        <f>Forecast!G83</f>
        <v>0.38953139235984002</v>
      </c>
      <c r="K268" s="456">
        <f>Forecast!H83</f>
        <v>0.36922427433055816</v>
      </c>
      <c r="L268" s="456">
        <f>Forecast!I83</f>
        <v>0.33963632145105627</v>
      </c>
      <c r="M268" s="456">
        <f>Forecast!J83</f>
        <v>0.30320621736881048</v>
      </c>
      <c r="N268" s="456">
        <f>Forecast!K83</f>
        <v>0.26655322533828607</v>
      </c>
      <c r="O268" s="456">
        <f>Forecast!L83</f>
        <v>0.23577220935166043</v>
      </c>
      <c r="P268" s="1723"/>
      <c r="Q268" s="456">
        <f>Forecast!N83</f>
        <v>0.6596954149621197</v>
      </c>
      <c r="R268" s="456">
        <f>Forecast!O83</f>
        <v>0.54161220245605501</v>
      </c>
      <c r="S268" s="456">
        <f>Forecast!P83</f>
        <v>0.5193908035675977</v>
      </c>
      <c r="T268" s="457">
        <f>Forecast!Q83</f>
        <v>0.47974401193546734</v>
      </c>
      <c r="U268" s="1305">
        <f>Forecast!R83</f>
        <v>0.46127539861168931</v>
      </c>
      <c r="V268" s="457">
        <f>Forecast!S83</f>
        <v>0.46679423753135507</v>
      </c>
      <c r="W268" s="457">
        <f>Forecast!T83</f>
        <v>0.42893962291794269</v>
      </c>
      <c r="X268" s="458">
        <f>Forecast!U83</f>
        <v>0.36844912346777209</v>
      </c>
      <c r="Y268" s="457">
        <f>Forecast!V83</f>
        <v>0.33980859690697685</v>
      </c>
      <c r="Z268" s="456">
        <f>Forecast!W83</f>
        <v>0.3714185641810217</v>
      </c>
      <c r="AA268" s="456">
        <f>Forecast!X83</f>
        <v>0.34654646594478372</v>
      </c>
      <c r="AB268" s="457">
        <f>Forecast!Y83</f>
        <v>0.3277367146264164</v>
      </c>
      <c r="AC268" s="1305">
        <f>Forecast!Z83</f>
        <v>0.37100740753016298</v>
      </c>
      <c r="AD268" s="457">
        <f>Forecast!AA83</f>
        <v>0.3809649839273675</v>
      </c>
      <c r="AE268" s="457">
        <f>Forecast!AB83</f>
        <v>0.39372336599928975</v>
      </c>
      <c r="AF268" s="458">
        <f>Forecast!AC83</f>
        <v>0.40540295007164789</v>
      </c>
      <c r="AG268" s="457">
        <f>Forecast!AD83</f>
        <v>0.39441791687452799</v>
      </c>
      <c r="AH268" s="456">
        <f>Forecast!AE83</f>
        <v>0.36384301049259588</v>
      </c>
      <c r="AI268" s="456">
        <f>Forecast!AF83</f>
        <v>0.36728207352222364</v>
      </c>
      <c r="AJ268" s="457">
        <f>Forecast!AG83</f>
        <v>0.35752646932390841</v>
      </c>
      <c r="AK268" s="1305">
        <f>Forecast!AH83</f>
        <v>0.36503111124763898</v>
      </c>
      <c r="AL268" s="457">
        <f>Forecast!AI83</f>
        <v>0.33340933869351153</v>
      </c>
      <c r="AM268" s="457">
        <f>Forecast!AJ83</f>
        <v>0.33651299606997631</v>
      </c>
      <c r="AN268" s="458">
        <f>Forecast!AK83</f>
        <v>0.32926515707540593</v>
      </c>
      <c r="AO268" s="457">
        <f>Forecast!AL83</f>
        <v>0.33554357955161651</v>
      </c>
      <c r="AP268" s="456">
        <f>Forecast!AM83</f>
        <v>0.30064570232848603</v>
      </c>
      <c r="AQ268" s="456">
        <f>Forecast!AN83</f>
        <v>0.29522195761556425</v>
      </c>
      <c r="AR268" s="457">
        <f>Forecast!AO83</f>
        <v>0.28897520934388438</v>
      </c>
      <c r="AS268" s="1305">
        <f>Forecast!AP83</f>
        <v>0.29516294111236346</v>
      </c>
      <c r="AT268" s="457">
        <f>Forecast!AQ83</f>
        <v>0.26496466937306945</v>
      </c>
      <c r="AU268" s="457">
        <f>Forecast!AR83</f>
        <v>0.25900571639607578</v>
      </c>
      <c r="AV268" s="458">
        <f>Forecast!AS83</f>
        <v>0.25363095032834493</v>
      </c>
      <c r="AW268" s="457">
        <f>Forecast!AT83</f>
        <v>0.26092477917937529</v>
      </c>
      <c r="AX268" s="456">
        <f>Forecast!AU83</f>
        <v>0.2352143794481083</v>
      </c>
      <c r="AY268" s="456">
        <f>Forecast!AV83</f>
        <v>0.22843093022771388</v>
      </c>
      <c r="AZ268" s="456">
        <f>Forecast!AW83</f>
        <v>0.22413714172257276</v>
      </c>
    </row>
    <row r="269" spans="4:52" hidden="1" outlineLevel="1" x14ac:dyDescent="0.25">
      <c r="D269" s="292" t="str">
        <f>Forecast!C84</f>
        <v xml:space="preserve">  G&amp;A</v>
      </c>
      <c r="G269" s="456">
        <f>Forecast!D84</f>
        <v>0.45578019079418081</v>
      </c>
      <c r="H269" s="456">
        <f>Forecast!E84</f>
        <v>0.33343155349398729</v>
      </c>
      <c r="I269" s="458">
        <f>Forecast!F84</f>
        <v>0.24330663315404935</v>
      </c>
      <c r="J269" s="457">
        <f>Forecast!G84</f>
        <v>0.30665966255727645</v>
      </c>
      <c r="K269" s="456">
        <f>Forecast!H84</f>
        <v>0.27955235993997163</v>
      </c>
      <c r="L269" s="456">
        <f>Forecast!I84</f>
        <v>0.22395347098377774</v>
      </c>
      <c r="M269" s="456">
        <f>Forecast!J84</f>
        <v>0.18733691993758939</v>
      </c>
      <c r="N269" s="456">
        <f>Forecast!K84</f>
        <v>0.15647439184399178</v>
      </c>
      <c r="O269" s="456">
        <f>Forecast!L84</f>
        <v>0.13464367476640268</v>
      </c>
      <c r="P269" s="1723"/>
      <c r="Q269" s="456">
        <f>Forecast!N84</f>
        <v>0.53218322035107346</v>
      </c>
      <c r="R269" s="456">
        <f>Forecast!O84</f>
        <v>0.42416011856139191</v>
      </c>
      <c r="S269" s="456">
        <f>Forecast!P84</f>
        <v>0.45745373029592956</v>
      </c>
      <c r="T269" s="457">
        <f>Forecast!Q84</f>
        <v>0.43690550175189585</v>
      </c>
      <c r="U269" s="1305">
        <f>Forecast!R84</f>
        <v>0.47413047612987036</v>
      </c>
      <c r="V269" s="457">
        <f>Forecast!S84</f>
        <v>0.32956261360042255</v>
      </c>
      <c r="W269" s="457">
        <f>Forecast!T84</f>
        <v>0.2948031649539215</v>
      </c>
      <c r="X269" s="458">
        <f>Forecast!U84</f>
        <v>0.28030429996841977</v>
      </c>
      <c r="Y269" s="457">
        <f>Forecast!V84</f>
        <v>0.32694178551887149</v>
      </c>
      <c r="Z269" s="456">
        <f>Forecast!W84</f>
        <v>0.22366386349470677</v>
      </c>
      <c r="AA269" s="456">
        <f>Forecast!X84</f>
        <v>0.20900163508251474</v>
      </c>
      <c r="AB269" s="457">
        <f>Forecast!Y84</f>
        <v>0.22596319766387607</v>
      </c>
      <c r="AC269" s="1305">
        <f>Forecast!Z84</f>
        <v>0.27597561519982483</v>
      </c>
      <c r="AD269" s="457">
        <f>Forecast!AA84</f>
        <v>0.32194207552469817</v>
      </c>
      <c r="AE269" s="457">
        <f>Forecast!AB84</f>
        <v>0.30726690901356296</v>
      </c>
      <c r="AF269" s="458">
        <f>Forecast!AC84</f>
        <v>0.31575433167826139</v>
      </c>
      <c r="AG269" s="457">
        <f>Forecast!AD84</f>
        <v>0.32314175420789082</v>
      </c>
      <c r="AH269" s="456">
        <f>Forecast!AE84</f>
        <v>0.28932499829185043</v>
      </c>
      <c r="AI269" s="456">
        <f>Forecast!AF84</f>
        <v>0.26759878092972</v>
      </c>
      <c r="AJ269" s="457">
        <f>Forecast!AG84</f>
        <v>0.25173783290352669</v>
      </c>
      <c r="AK269" s="1305">
        <f>Forecast!AH84</f>
        <v>0.24637746639021557</v>
      </c>
      <c r="AL269" s="457">
        <f>Forecast!AI84</f>
        <v>0.22296806922636961</v>
      </c>
      <c r="AM269" s="457">
        <f>Forecast!AJ84</f>
        <v>0.21894310518447485</v>
      </c>
      <c r="AN269" s="458">
        <f>Forecast!AK84</f>
        <v>0.21314860758067114</v>
      </c>
      <c r="AO269" s="457">
        <f>Forecast!AL84</f>
        <v>0.21043167021755901</v>
      </c>
      <c r="AP269" s="456">
        <f>Forecast!AM84</f>
        <v>0.1892793846724718</v>
      </c>
      <c r="AQ269" s="456">
        <f>Forecast!AN84</f>
        <v>0.18192564379921025</v>
      </c>
      <c r="AR269" s="457">
        <f>Forecast!AO84</f>
        <v>0.1738654875854547</v>
      </c>
      <c r="AS269" s="1305">
        <f>Forecast!AP84</f>
        <v>0.17375515033647498</v>
      </c>
      <c r="AT269" s="457">
        <f>Forecast!AQ84</f>
        <v>0.15732121903887675</v>
      </c>
      <c r="AU269" s="457">
        <f>Forecast!AR84</f>
        <v>0.15185007359326838</v>
      </c>
      <c r="AV269" s="458">
        <f>Forecast!AS84</f>
        <v>0.14725482197515535</v>
      </c>
      <c r="AW269" s="457">
        <f>Forecast!AT84</f>
        <v>0.14863264639836299</v>
      </c>
      <c r="AX269" s="456">
        <f>Forecast!AU84</f>
        <v>0.13543797373945135</v>
      </c>
      <c r="AY269" s="456">
        <f>Forecast!AV84</f>
        <v>0.13057224105434034</v>
      </c>
      <c r="AZ269" s="456">
        <f>Forecast!AW84</f>
        <v>0.12725472170518423</v>
      </c>
    </row>
    <row r="270" spans="4:52" hidden="1" outlineLevel="1" x14ac:dyDescent="0.25">
      <c r="D270" s="292" t="str">
        <f>Forecast!C85</f>
        <v xml:space="preserve">  S&amp;M incl 606</v>
      </c>
      <c r="G270" s="456">
        <f>Forecast!D85</f>
        <v>1.0444950784641069</v>
      </c>
      <c r="H270" s="456">
        <f>Forecast!E85</f>
        <v>0.74399137560665984</v>
      </c>
      <c r="I270" s="458">
        <f>Forecast!F85</f>
        <v>0.57288350187533776</v>
      </c>
      <c r="J270" s="457">
        <f>Forecast!G85</f>
        <v>0.64692126860829924</v>
      </c>
      <c r="K270" s="456">
        <f>Forecast!H85</f>
        <v>0.50134095476407181</v>
      </c>
      <c r="L270" s="456">
        <f>Forecast!I85</f>
        <v>0.45300788700748063</v>
      </c>
      <c r="M270" s="456">
        <f>Forecast!J85</f>
        <v>0.40174594999996388</v>
      </c>
      <c r="N270" s="456">
        <f>Forecast!K85</f>
        <v>0.36177135474387601</v>
      </c>
      <c r="O270" s="456">
        <f>Forecast!L85</f>
        <v>-8.6283905552767853E-2</v>
      </c>
      <c r="P270" s="1723"/>
      <c r="Q270" s="456">
        <f>Forecast!N85</f>
        <v>1.204488364167092</v>
      </c>
      <c r="R270" s="456">
        <f>Forecast!O85</f>
        <v>0.97047463231075703</v>
      </c>
      <c r="S270" s="456">
        <f>Forecast!P85</f>
        <v>1.0017387246142924</v>
      </c>
      <c r="T270" s="457">
        <f>Forecast!Q85</f>
        <v>1.0485607905497307</v>
      </c>
      <c r="U270" s="1305">
        <f>Forecast!R85</f>
        <v>0.81387439394492034</v>
      </c>
      <c r="V270" s="457">
        <f>Forecast!S85</f>
        <v>0.78076655156195263</v>
      </c>
      <c r="W270" s="457">
        <f>Forecast!T85</f>
        <v>0.73957981493706604</v>
      </c>
      <c r="X270" s="458">
        <f>Forecast!U85</f>
        <v>0.67564270231726709</v>
      </c>
      <c r="Y270" s="457">
        <f>Forecast!V85</f>
        <v>0.61894462868102751</v>
      </c>
      <c r="Z270" s="456">
        <f>Forecast!W85</f>
        <v>0.57245729222632857</v>
      </c>
      <c r="AA270" s="456">
        <f>Forecast!X85</f>
        <v>0.54467720445771473</v>
      </c>
      <c r="AB270" s="457">
        <f>Forecast!Y85</f>
        <v>0.56332303325506483</v>
      </c>
      <c r="AC270" s="1305">
        <f>Forecast!Z85</f>
        <v>0.59672149694928489</v>
      </c>
      <c r="AD270" s="457">
        <f>Forecast!AA85</f>
        <v>0.67212281628206183</v>
      </c>
      <c r="AE270" s="457">
        <f>Forecast!AB85</f>
        <v>0.68198450521890464</v>
      </c>
      <c r="AF270" s="458">
        <f>Forecast!AC85</f>
        <v>0.63173253007821106</v>
      </c>
      <c r="AG270" s="457">
        <f>Forecast!AD85</f>
        <v>0.61358320656108878</v>
      </c>
      <c r="AH270" s="456">
        <f>Forecast!AE85</f>
        <v>0.51768682668621235</v>
      </c>
      <c r="AI270" s="456">
        <f>Forecast!AF85</f>
        <v>0.52111228693385692</v>
      </c>
      <c r="AJ270" s="457">
        <f>Forecast!AG85</f>
        <v>0.39289739997486733</v>
      </c>
      <c r="AK270" s="1305">
        <f>Forecast!AH85</f>
        <v>0.48949942937561214</v>
      </c>
      <c r="AL270" s="457">
        <f>Forecast!AI85</f>
        <v>0.44218725701312012</v>
      </c>
      <c r="AM270" s="457">
        <f>Forecast!AJ85</f>
        <v>0.48408490763032269</v>
      </c>
      <c r="AN270" s="458">
        <f>Forecast!AK85</f>
        <v>0.40837124504483391</v>
      </c>
      <c r="AO270" s="457">
        <f>Forecast!AL85</f>
        <v>0.47684189619570189</v>
      </c>
      <c r="AP270" s="456">
        <f>Forecast!AM85</f>
        <v>0.39859803730384485</v>
      </c>
      <c r="AQ270" s="456">
        <f>Forecast!AN85</f>
        <v>0.42355636700507415</v>
      </c>
      <c r="AR270" s="457">
        <f>Forecast!AO85</f>
        <v>0.3308457375886194</v>
      </c>
      <c r="AS270" s="1305">
        <f>Forecast!AP85</f>
        <v>0.40441373350688004</v>
      </c>
      <c r="AT270" s="457">
        <f>Forecast!AQ85</f>
        <v>0.35165125442047751</v>
      </c>
      <c r="AU270" s="457">
        <f>Forecast!AR85</f>
        <v>0.38866921332432874</v>
      </c>
      <c r="AV270" s="458">
        <f>Forecast!AS85</f>
        <v>0.31504589074814399</v>
      </c>
      <c r="AW270" s="457">
        <f>Forecast!AT85</f>
        <v>0.40174373589234302</v>
      </c>
      <c r="AX270" s="456">
        <f>Forecast!AU85</f>
        <v>0.36114982276825985</v>
      </c>
      <c r="AY270" s="456">
        <f>Forecast!AV85</f>
        <v>0.40122778259435438</v>
      </c>
      <c r="AZ270" s="456">
        <f>Forecast!AW85</f>
        <v>0.33612700531217493</v>
      </c>
    </row>
    <row r="271" spans="4:52" hidden="1" outlineLevel="1" x14ac:dyDescent="0.25">
      <c r="I271" s="1689"/>
      <c r="T271" s="373"/>
      <c r="U271" s="1690"/>
      <c r="V271" s="373"/>
      <c r="W271" s="373"/>
      <c r="X271" s="1689"/>
      <c r="Y271" s="373"/>
      <c r="AB271" s="373"/>
      <c r="AC271" s="1690"/>
      <c r="AD271" s="373"/>
      <c r="AE271" s="373"/>
      <c r="AF271" s="1689"/>
      <c r="AG271" s="373"/>
      <c r="AJ271" s="373"/>
      <c r="AK271" s="1690"/>
      <c r="AL271" s="373"/>
      <c r="AM271" s="373"/>
      <c r="AN271" s="1689"/>
      <c r="AO271" s="373"/>
      <c r="AR271" s="373"/>
      <c r="AS271" s="1690"/>
      <c r="AT271" s="373"/>
      <c r="AU271" s="373"/>
      <c r="AV271" s="1689"/>
      <c r="AW271" s="373"/>
    </row>
    <row r="272" spans="4:52" hidden="1" outlineLevel="1" x14ac:dyDescent="0.25">
      <c r="D272" s="6" t="str">
        <f>Forecast!C87</f>
        <v>Efficiency</v>
      </c>
      <c r="E272" s="6"/>
      <c r="F272" s="6"/>
      <c r="I272" s="1689"/>
      <c r="P272" s="1526"/>
      <c r="T272" s="373"/>
      <c r="U272" s="1690"/>
      <c r="V272" s="373"/>
      <c r="W272" s="373"/>
      <c r="X272" s="1689"/>
      <c r="Y272" s="373"/>
      <c r="AB272" s="373"/>
      <c r="AC272" s="1690"/>
      <c r="AD272" s="373"/>
      <c r="AE272" s="373"/>
      <c r="AF272" s="1689"/>
      <c r="AG272" s="373"/>
      <c r="AJ272" s="373"/>
      <c r="AK272" s="1690"/>
      <c r="AL272" s="373"/>
      <c r="AM272" s="373"/>
      <c r="AN272" s="1689"/>
      <c r="AO272" s="373"/>
      <c r="AR272" s="373"/>
      <c r="AS272" s="1690"/>
      <c r="AT272" s="373"/>
      <c r="AU272" s="373"/>
      <c r="AV272" s="1689"/>
      <c r="AW272" s="373"/>
    </row>
    <row r="273" spans="4:52" hidden="1" outlineLevel="1" x14ac:dyDescent="0.25">
      <c r="D273" s="377" t="str">
        <f>Forecast!C88</f>
        <v>Net New ARR</v>
      </c>
      <c r="E273" s="377"/>
      <c r="F273" s="377"/>
      <c r="G273" s="469">
        <f>Forecast!D88/mm</f>
        <v>17.456179890000001</v>
      </c>
      <c r="H273" s="469">
        <f>Forecast!E88/mm</f>
        <v>24.807818900914995</v>
      </c>
      <c r="I273" s="470">
        <f>Forecast!F88/mm</f>
        <v>26.616190427435004</v>
      </c>
      <c r="J273" s="469">
        <f>Forecast!G88/mm</f>
        <v>57.267410957919999</v>
      </c>
      <c r="K273" s="469">
        <f>Forecast!H88/mm</f>
        <v>76.357630782808727</v>
      </c>
      <c r="L273" s="469">
        <f>Forecast!I88/mm</f>
        <v>111.68783260385698</v>
      </c>
      <c r="M273" s="469">
        <f>Forecast!J88/mm</f>
        <v>161.88909227789989</v>
      </c>
      <c r="N273" s="469">
        <f>Forecast!K88/mm</f>
        <v>230.66061245628035</v>
      </c>
      <c r="O273" s="469">
        <f>Forecast!L88/mm</f>
        <v>322.9213180338333</v>
      </c>
      <c r="P273" s="1526"/>
      <c r="Q273" s="468">
        <f>Forecast!N88/mm</f>
        <v>3.1615487</v>
      </c>
      <c r="R273" s="468">
        <f>Forecast!O88/mm</f>
        <v>3.9041277999999999</v>
      </c>
      <c r="S273" s="468">
        <f>Forecast!P88/mm</f>
        <v>4.0410284599999997</v>
      </c>
      <c r="T273" s="1289">
        <f>Forecast!Q88/mm</f>
        <v>6.3494749299999995</v>
      </c>
      <c r="U273" s="1306">
        <f>Forecast!R88/mm</f>
        <v>4.9714083100000002</v>
      </c>
      <c r="V273" s="1289">
        <f>Forecast!S88/mm</f>
        <v>6.7647948499999995</v>
      </c>
      <c r="W273" s="1289">
        <f>Forecast!T88/mm</f>
        <v>5.4412623099999999</v>
      </c>
      <c r="X273" s="1318">
        <f>Forecast!U88/mm</f>
        <v>7.6303534309150001</v>
      </c>
      <c r="Y273" s="1289">
        <f>Forecast!V88/mm</f>
        <v>4.0815302836629996</v>
      </c>
      <c r="Z273" s="468">
        <f>Forecast!W88/mm</f>
        <v>6.6624803061890008</v>
      </c>
      <c r="AA273" s="468">
        <f>Forecast!X88/mm</f>
        <v>6.6538819133680001</v>
      </c>
      <c r="AB273" s="1289">
        <f>Forecast!Y88/mm</f>
        <v>9.2182979242149994</v>
      </c>
      <c r="AC273" s="1306">
        <f>Forecast!Z88/mm</f>
        <v>7.3313485380220005</v>
      </c>
      <c r="AD273" s="1289">
        <f>Forecast!AA88/mm</f>
        <v>12.759574919898</v>
      </c>
      <c r="AE273" s="1289">
        <f>Forecast!AB88/mm</f>
        <v>15.7987</v>
      </c>
      <c r="AF273" s="1318">
        <f>Forecast!AC88/mm</f>
        <v>21.3777875</v>
      </c>
      <c r="AG273" s="1289">
        <f>Forecast!AD88/mm</f>
        <v>13.19259538995145</v>
      </c>
      <c r="AH273" s="468">
        <f>Forecast!AE88/mm</f>
        <v>18.020842117771917</v>
      </c>
      <c r="AI273" s="468">
        <f>Forecast!AF88/mm</f>
        <v>17.945538539947584</v>
      </c>
      <c r="AJ273" s="1289">
        <f>Forecast!AG88/mm</f>
        <v>27.198654735137776</v>
      </c>
      <c r="AK273" s="1306">
        <f>Forecast!AH88/mm</f>
        <v>19.962669689137574</v>
      </c>
      <c r="AL273" s="1289">
        <f>Forecast!AI88/mm</f>
        <v>27.911713511783308</v>
      </c>
      <c r="AM273" s="1289">
        <f>Forecast!AJ88/mm</f>
        <v>26.270069685030531</v>
      </c>
      <c r="AN273" s="1318">
        <f>Forecast!AK88/mm</f>
        <v>37.543379717905566</v>
      </c>
      <c r="AO273" s="1289">
        <f>Forecast!AL88/mm</f>
        <v>28.933882509326033</v>
      </c>
      <c r="AP273" s="468">
        <f>Forecast!AM88/mm</f>
        <v>40.458481093515836</v>
      </c>
      <c r="AQ273" s="468">
        <f>Forecast!AN88/mm</f>
        <v>38.07922474188301</v>
      </c>
      <c r="AR273" s="1289">
        <f>Forecast!AO88/mm</f>
        <v>54.417503933174999</v>
      </c>
      <c r="AS273" s="1306">
        <f>Forecast!AP88/mm</f>
        <v>41.224333261681487</v>
      </c>
      <c r="AT273" s="1289">
        <f>Forecast!AQ88/mm</f>
        <v>57.646071262157932</v>
      </c>
      <c r="AU273" s="1289">
        <f>Forecast!AR88/mm</f>
        <v>54.256237344225788</v>
      </c>
      <c r="AV273" s="1318">
        <f>Forecast!AS88/mm</f>
        <v>77.533970588215141</v>
      </c>
      <c r="AW273" s="1289">
        <f>Forecast!AT88/mm</f>
        <v>57.713338302399066</v>
      </c>
      <c r="AX273" s="468">
        <f>Forecast!AU88/mm</f>
        <v>80.703679474363454</v>
      </c>
      <c r="AY273" s="468">
        <f>Forecast!AV88/mm</f>
        <v>75.957980462739485</v>
      </c>
      <c r="AZ273" s="468">
        <f>Forecast!AW88/mm</f>
        <v>108.54631979433128</v>
      </c>
    </row>
    <row r="274" spans="4:52" hidden="1" outlineLevel="1" x14ac:dyDescent="0.25">
      <c r="D274" s="377" t="str">
        <f>Forecast!C89</f>
        <v>Cash Burn per Net New ARR $</v>
      </c>
      <c r="E274" s="377"/>
      <c r="F274" s="377"/>
      <c r="G274" s="465">
        <f>Forecast!D89</f>
        <v>-1.1020265331049213</v>
      </c>
      <c r="H274" s="465">
        <f>Forecast!E89</f>
        <v>-1.3324749911319607</v>
      </c>
      <c r="I274" s="467">
        <f>Forecast!F89</f>
        <v>-1.2450093493525494</v>
      </c>
      <c r="J274" s="466">
        <f>Forecast!G89</f>
        <v>-0.94799728827974161</v>
      </c>
      <c r="K274" s="465">
        <f>Forecast!H89</f>
        <v>-0.76531680875700947</v>
      </c>
      <c r="L274" s="465">
        <f>Forecast!I89</f>
        <v>-0.46123405252594851</v>
      </c>
      <c r="M274" s="465">
        <f>Forecast!J89</f>
        <v>-0.12289185575624587</v>
      </c>
      <c r="N274" s="465">
        <f>Forecast!K89</f>
        <v>0.21154053347708895</v>
      </c>
      <c r="O274" s="465">
        <f>Forecast!L89</f>
        <v>0.39364909005787485</v>
      </c>
      <c r="P274" s="1526"/>
      <c r="Q274" s="465">
        <f>Forecast!N89</f>
        <v>-1.7043007673525816</v>
      </c>
      <c r="R274" s="465">
        <f>Forecast!O89</f>
        <v>-1.1362342390533424</v>
      </c>
      <c r="S274" s="465">
        <f>Forecast!P89</f>
        <v>-1.417483971394748</v>
      </c>
      <c r="T274" s="466">
        <f>Forecast!Q89</f>
        <v>-0.58033881866196957</v>
      </c>
      <c r="U274" s="1307">
        <f>Forecast!R89</f>
        <v>-2.4132836978743342</v>
      </c>
      <c r="V274" s="466">
        <f>Forecast!S89</f>
        <v>-1.0925519212160586</v>
      </c>
      <c r="W274" s="466">
        <f>Forecast!T89</f>
        <v>-1.6886085703153684</v>
      </c>
      <c r="X274" s="467">
        <f>Forecast!U89</f>
        <v>-0.58704067911869484</v>
      </c>
      <c r="Y274" s="466">
        <f>Forecast!V89</f>
        <v>-3.4353421035054397</v>
      </c>
      <c r="Z274" s="465">
        <f>Forecast!W89</f>
        <v>-1.5679744452461368</v>
      </c>
      <c r="AA274" s="465">
        <f>Forecast!X89</f>
        <v>-0.79636945020832617</v>
      </c>
      <c r="AB274" s="466">
        <f>Forecast!Y89</f>
        <v>-0.36562128721082893</v>
      </c>
      <c r="AC274" s="1307">
        <f>Forecast!Z89</f>
        <v>-1.5350258749853796</v>
      </c>
      <c r="AD274" s="466">
        <f>Forecast!AA89</f>
        <v>-0.95104379830680252</v>
      </c>
      <c r="AE274" s="466">
        <f>Forecast!AB89</f>
        <v>-1.0624374734341291</v>
      </c>
      <c r="AF274" s="467">
        <f>Forecast!AC89</f>
        <v>-0.66028793121673324</v>
      </c>
      <c r="AG274" s="466">
        <f>Forecast!AD89</f>
        <v>-1.3521480966329342</v>
      </c>
      <c r="AH274" s="465">
        <f>Forecast!AE89</f>
        <v>-0.81268255929527355</v>
      </c>
      <c r="AI274" s="465">
        <f>Forecast!AF89</f>
        <v>-0.81253558604262266</v>
      </c>
      <c r="AJ274" s="466">
        <f>Forecast!AG89</f>
        <v>-0.41813916578556676</v>
      </c>
      <c r="AK274" s="1307">
        <f>Forecast!AH89</f>
        <v>-0.71619014606149012</v>
      </c>
      <c r="AL274" s="466">
        <f>Forecast!AI89</f>
        <v>-0.41410388385880403</v>
      </c>
      <c r="AM274" s="466">
        <f>Forecast!AJ89</f>
        <v>-0.5231927701268031</v>
      </c>
      <c r="AN274" s="467">
        <f>Forecast!AK89</f>
        <v>-0.31735301718919562</v>
      </c>
      <c r="AO274" s="466">
        <f>Forecast!AL89</f>
        <v>-0.48754253531697428</v>
      </c>
      <c r="AP274" s="465">
        <f>Forecast!AM89</f>
        <v>-0.13208681577539072</v>
      </c>
      <c r="AQ274" s="465">
        <f>Forecast!AN89</f>
        <v>-0.10819533817123816</v>
      </c>
      <c r="AR274" s="466">
        <f>Forecast!AO89</f>
        <v>6.7545802908320393E-2</v>
      </c>
      <c r="AS274" s="1307">
        <f>Forecast!AP89</f>
        <v>3.2362522228630418E-2</v>
      </c>
      <c r="AT274" s="466">
        <f>Forecast!AQ89</f>
        <v>0.20550225128267777</v>
      </c>
      <c r="AU274" s="466">
        <f>Forecast!AR89</f>
        <v>0.23867478399082903</v>
      </c>
      <c r="AV274" s="467">
        <f>Forecast!AS89</f>
        <v>0.29230996797155445</v>
      </c>
      <c r="AW274" s="466">
        <f>Forecast!AT89</f>
        <v>0.3042646566479757</v>
      </c>
      <c r="AX274" s="465">
        <f>Forecast!AU89</f>
        <v>0.38209755811815427</v>
      </c>
      <c r="AY274" s="465">
        <f>Forecast!AV89</f>
        <v>0.43243530843588085</v>
      </c>
      <c r="AZ274" s="465">
        <f>Forecast!AW89</f>
        <v>0.42262107513883729</v>
      </c>
    </row>
    <row r="275" spans="4:52" hidden="1" outlineLevel="1" x14ac:dyDescent="0.25">
      <c r="D275" s="377" t="str">
        <f>Forecast!C90</f>
        <v>The Rule of 40%</v>
      </c>
      <c r="E275" s="377"/>
      <c r="F275" s="377"/>
      <c r="G275" s="456">
        <f>Forecast!D90</f>
        <v>0.3653687798862566</v>
      </c>
      <c r="H275" s="456">
        <f>Forecast!E90</f>
        <v>3.6459834269030544E-2</v>
      </c>
      <c r="I275" s="458">
        <f>Forecast!F90</f>
        <v>-1.1638045649893847E-2</v>
      </c>
      <c r="J275" s="457">
        <f>Forecast!G90</f>
        <v>0.17648044167840027</v>
      </c>
      <c r="K275" s="456">
        <f>Forecast!H90</f>
        <v>0.21365328500918679</v>
      </c>
      <c r="L275" s="456">
        <f>Forecast!I90</f>
        <v>0.32576369808438405</v>
      </c>
      <c r="M275" s="456">
        <f>Forecast!J90</f>
        <v>0.44473771031730475</v>
      </c>
      <c r="N275" s="456">
        <f>Forecast!K90</f>
        <v>0.55253126030287691</v>
      </c>
      <c r="O275" s="456">
        <f>Forecast!L90</f>
        <v>0.4706437917738896</v>
      </c>
      <c r="P275" s="1526"/>
      <c r="Q275" s="461">
        <f>Forecast!N90</f>
        <v>0</v>
      </c>
      <c r="R275" s="461">
        <f>Forecast!O90</f>
        <v>0</v>
      </c>
      <c r="S275" s="461">
        <f>Forecast!P90</f>
        <v>0</v>
      </c>
      <c r="T275" s="457">
        <f>Forecast!Q90</f>
        <v>0.35278967965508057</v>
      </c>
      <c r="U275" s="1305">
        <f>Forecast!R90</f>
        <v>0.13973193135289785</v>
      </c>
      <c r="V275" s="457">
        <f>Forecast!S90</f>
        <v>0.1511383878844248</v>
      </c>
      <c r="W275" s="457">
        <f>Forecast!T90</f>
        <v>8.4373384586002409E-2</v>
      </c>
      <c r="X275" s="458">
        <f>Forecast!U90</f>
        <v>3.8191341815224211E-2</v>
      </c>
      <c r="Y275" s="457">
        <f>Forecast!V90</f>
        <v>-3.6677991568362156E-2</v>
      </c>
      <c r="Z275" s="456">
        <f>Forecast!W90</f>
        <v>-0.12515029770518438</v>
      </c>
      <c r="AA275" s="456">
        <f>Forecast!X90</f>
        <v>-3.1847597469749744E-2</v>
      </c>
      <c r="AB275" s="457">
        <f>Forecast!Y90</f>
        <v>-9.0850090568899144E-3</v>
      </c>
      <c r="AC275" s="1305">
        <f>Forecast!Z90</f>
        <v>9.3370335378687275E-2</v>
      </c>
      <c r="AD275" s="457">
        <f>Forecast!AA90</f>
        <v>0.15519610710924853</v>
      </c>
      <c r="AE275" s="457">
        <f>Forecast!AB90</f>
        <v>0.1472150498979472</v>
      </c>
      <c r="AF275" s="458">
        <f>Forecast!AC90</f>
        <v>0.17208279923964453</v>
      </c>
      <c r="AG275" s="457">
        <f>Forecast!AD90</f>
        <v>0.18603008704145185</v>
      </c>
      <c r="AH275" s="456">
        <f>Forecast!AE90</f>
        <v>0.19600277390560789</v>
      </c>
      <c r="AI275" s="456">
        <f>Forecast!AF90</f>
        <v>0.19397767499991153</v>
      </c>
      <c r="AJ275" s="457">
        <f>Forecast!AG90</f>
        <v>0.21257222087572186</v>
      </c>
      <c r="AK275" s="1305">
        <f>Forecast!AH90</f>
        <v>0.26548066245864455</v>
      </c>
      <c r="AL275" s="457">
        <f>Forecast!AI90</f>
        <v>0.30893990645418301</v>
      </c>
      <c r="AM275" s="457">
        <f>Forecast!AJ90</f>
        <v>0.3283978720218198</v>
      </c>
      <c r="AN275" s="458">
        <f>Forecast!AK90</f>
        <v>0.32747110217408071</v>
      </c>
      <c r="AO275" s="457">
        <f>Forecast!AL90</f>
        <v>5.7735329269718388E-2</v>
      </c>
      <c r="AP275" s="456">
        <f>Forecast!AM90</f>
        <v>7.5805968191708706E-2</v>
      </c>
      <c r="AQ275" s="456">
        <f>Forecast!AN90</f>
        <v>0.12357197184603867</v>
      </c>
      <c r="AR275" s="457">
        <f>Forecast!AO90</f>
        <v>0.18416601332238533</v>
      </c>
      <c r="AS275" s="1305">
        <f>Forecast!AP90</f>
        <v>0.21011959740769684</v>
      </c>
      <c r="AT275" s="457">
        <f>Forecast!AQ90</f>
        <v>0.22803274706267943</v>
      </c>
      <c r="AU275" s="457">
        <f>Forecast!AR90</f>
        <v>0.26595853264125824</v>
      </c>
      <c r="AV275" s="458">
        <f>Forecast!AS90</f>
        <v>0.30568705039880678</v>
      </c>
      <c r="AW275" s="457">
        <f>Forecast!AT90</f>
        <v>0.30957943363439933</v>
      </c>
      <c r="AX275" s="456">
        <f>Forecast!AU90</f>
        <v>0.30885079529708592</v>
      </c>
      <c r="AY275" s="456">
        <f>Forecast!AV90</f>
        <v>0.33305756011567988</v>
      </c>
      <c r="AZ275" s="456">
        <f>Forecast!AW90</f>
        <v>0.36174094580145855</v>
      </c>
    </row>
    <row r="276" spans="4:52" hidden="1" outlineLevel="1" x14ac:dyDescent="0.25">
      <c r="D276" s="377" t="str">
        <f>Forecast!C91</f>
        <v>Cash Burn % Rev</v>
      </c>
      <c r="E276" s="377"/>
      <c r="F276" s="377"/>
      <c r="G276" s="456">
        <f>Forecast!D91</f>
        <v>-0.9175851850909873</v>
      </c>
      <c r="H276" s="456">
        <f>Forecast!E91</f>
        <v>-0.76660919466790545</v>
      </c>
      <c r="I276" s="458">
        <f>Forecast!F91</f>
        <v>-0.48859397293886148</v>
      </c>
      <c r="J276" s="457">
        <f>Forecast!G91</f>
        <v>-0.51778418008790084</v>
      </c>
      <c r="K276" s="456">
        <f>Forecast!H91</f>
        <v>-0.33271903366041822</v>
      </c>
      <c r="L276" s="456">
        <f>Forecast!I91</f>
        <v>-0.19104288827620591</v>
      </c>
      <c r="M276" s="456">
        <f>Forecast!J91</f>
        <v>-4.9128779146262604E-2</v>
      </c>
      <c r="N276" s="456">
        <f>Forecast!K91</f>
        <v>8.1495774304092994E-2</v>
      </c>
      <c r="O276" s="456">
        <f>Forecast!L91</f>
        <v>0</v>
      </c>
      <c r="P276" s="1526"/>
      <c r="Q276" s="456">
        <f>Forecast!N91</f>
        <v>-1.5252406582804345</v>
      </c>
      <c r="R276" s="456">
        <f>Forecast!O91</f>
        <v>-0.94784236343314365</v>
      </c>
      <c r="S276" s="456">
        <f>Forecast!P91</f>
        <v>-0.99101544734070346</v>
      </c>
      <c r="T276" s="457">
        <f>Forecast!Q91</f>
        <v>-0.52850856140585278</v>
      </c>
      <c r="U276" s="1305">
        <f>Forecast!R91</f>
        <v>-1.4217307620066402</v>
      </c>
      <c r="V276" s="457">
        <f>Forecast!S91</f>
        <v>-0.7473148045162713</v>
      </c>
      <c r="W276" s="457">
        <f>Forecast!T91</f>
        <v>-0.79278832226500817</v>
      </c>
      <c r="X276" s="458">
        <f>Forecast!U91</f>
        <v>-0.33931003978931479</v>
      </c>
      <c r="Y276" s="457">
        <f>Forecast!V91</f>
        <v>-0.93669528055522955</v>
      </c>
      <c r="Z276" s="456">
        <f>Forecast!W91</f>
        <v>-0.66070649433330941</v>
      </c>
      <c r="AA276" s="456">
        <f>Forecast!X91</f>
        <v>-0.30066341676356473</v>
      </c>
      <c r="AB276" s="457">
        <f>Forecast!Y91</f>
        <v>-0.17357602035571798</v>
      </c>
      <c r="AC276" s="1305">
        <f>Forecast!Z91</f>
        <v>-0.51464171491391886</v>
      </c>
      <c r="AD276" s="457">
        <f>Forecast!AA91</f>
        <v>-0.50187098059828028</v>
      </c>
      <c r="AE276" s="457">
        <f>Forecast!AB91</f>
        <v>-0.6105516002720357</v>
      </c>
      <c r="AF276" s="458">
        <f>Forecast!AC91</f>
        <v>-0.4508157051669604</v>
      </c>
      <c r="AG276" s="457">
        <f>Forecast!AD91</f>
        <v>-0.48689985297987115</v>
      </c>
      <c r="AH276" s="456">
        <f>Forecast!AE91</f>
        <v>-0.35520194420699908</v>
      </c>
      <c r="AI276" s="456">
        <f>Forecast!AF91</f>
        <v>-0.32142890158915827</v>
      </c>
      <c r="AJ276" s="457">
        <f>Forecast!AG91</f>
        <v>-0.21701594900909293</v>
      </c>
      <c r="AK276" s="1305">
        <f>Forecast!AH91</f>
        <v>-0.2523256922914473</v>
      </c>
      <c r="AL276" s="457">
        <f>Forecast!AI91</f>
        <v>-0.18116325748254467</v>
      </c>
      <c r="AM276" s="457">
        <f>Forecast!AJ91</f>
        <v>-0.19702023465096166</v>
      </c>
      <c r="AN276" s="458">
        <f>Forecast!AK91</f>
        <v>-0.1500101382083753</v>
      </c>
      <c r="AO276" s="457">
        <f>Forecast!AL91</f>
        <v>-0.16469031425290956</v>
      </c>
      <c r="AP276" s="456">
        <f>Forecast!AM91</f>
        <v>-5.5664750743889005E-2</v>
      </c>
      <c r="AQ276" s="456">
        <f>Forecast!AN91</f>
        <v>-3.9371900133788197E-2</v>
      </c>
      <c r="AR276" s="457">
        <f>Forecast!AO91</f>
        <v>3.0978740830163276E-2</v>
      </c>
      <c r="AS276" s="1305">
        <f>Forecast!AP91</f>
        <v>1.0465446708029517E-2</v>
      </c>
      <c r="AT276" s="457">
        <f>Forecast!AQ91</f>
        <v>8.329350329196529E-2</v>
      </c>
      <c r="AU276" s="457">
        <f>Forecast!AR91</f>
        <v>8.3797791424107843E-2</v>
      </c>
      <c r="AV276" s="458">
        <f>Forecast!AS91</f>
        <v>0.12988400035496717</v>
      </c>
      <c r="AW276" s="457">
        <f>Forecast!AT91</f>
        <v>9.4479036580507283E-2</v>
      </c>
      <c r="AX276" s="456">
        <f>Forecast!AU91</f>
        <v>0.14956290568056177</v>
      </c>
      <c r="AY276" s="456">
        <f>Forecast!AV91</f>
        <v>0.14697364477956573</v>
      </c>
      <c r="AZ276" s="456">
        <f>Forecast!AW91</f>
        <v>0.18283873704043321</v>
      </c>
    </row>
    <row r="277" spans="4:52" hidden="1" outlineLevel="1" x14ac:dyDescent="0.25">
      <c r="D277" s="377" t="str">
        <f>Forecast!C92</f>
        <v>CAC Ratio</v>
      </c>
      <c r="E277" s="377"/>
      <c r="F277" s="377"/>
      <c r="G277" s="462">
        <f>Forecast!D92</f>
        <v>0.58253152229766503</v>
      </c>
      <c r="H277" s="462">
        <f>Forecast!E92</f>
        <v>0.47242907811031226</v>
      </c>
      <c r="I277" s="464">
        <f>Forecast!F92</f>
        <v>0.4572323080856695</v>
      </c>
      <c r="J277" s="463">
        <f>Forecast!G92</f>
        <v>0.58697959180706916</v>
      </c>
      <c r="K277" s="462">
        <f>Forecast!H92</f>
        <v>0.6010229886746471</v>
      </c>
      <c r="L277" s="460">
        <f>Forecast!I92</f>
        <v>0.72077190278927816</v>
      </c>
      <c r="M277" s="460">
        <f>Forecast!J92</f>
        <v>0.73692587426660339</v>
      </c>
      <c r="N277" s="460">
        <f>Forecast!K92</f>
        <v>0.83522235094188746</v>
      </c>
      <c r="O277" s="460">
        <f>Forecast!L92</f>
        <v>0.82742743905155025</v>
      </c>
      <c r="P277" s="1696"/>
      <c r="Q277" s="461">
        <f>Forecast!N92</f>
        <v>0</v>
      </c>
      <c r="R277" s="460">
        <f>Forecast!O92</f>
        <v>0.58861795331470568</v>
      </c>
      <c r="S277" s="460">
        <f>Forecast!P92</f>
        <v>0.51568076556672027</v>
      </c>
      <c r="T277" s="463">
        <f>Forecast!Q92</f>
        <v>0.67124543955634042</v>
      </c>
      <c r="U277" s="1308">
        <f>Forecast!R92</f>
        <v>0.41368411051496656</v>
      </c>
      <c r="V277" s="463">
        <f>Forecast!S92</f>
        <v>0.58062154852213699</v>
      </c>
      <c r="W277" s="463">
        <f>Forecast!T92</f>
        <v>0.38294560248803688</v>
      </c>
      <c r="X277" s="1319">
        <f>Forecast!U92</f>
        <v>0.53215032244403715</v>
      </c>
      <c r="Y277" s="463">
        <f>Forecast!V92</f>
        <v>0.27190287750380537</v>
      </c>
      <c r="Z277" s="460">
        <f>Forecast!W92</f>
        <v>0.45309412119783715</v>
      </c>
      <c r="AA277" s="460">
        <f>Forecast!X92</f>
        <v>0.46957785870584134</v>
      </c>
      <c r="AB277" s="463">
        <f>Forecast!Y92</f>
        <v>0.64718382186271362</v>
      </c>
      <c r="AC277" s="1308">
        <f>Forecast!Z92</f>
        <v>0.4329668985551367</v>
      </c>
      <c r="AD277" s="463">
        <f>Forecast!AA92</f>
        <v>0.62811953313004332</v>
      </c>
      <c r="AE277" s="463">
        <f>Forecast!AB92</f>
        <v>0.62080515120846291</v>
      </c>
      <c r="AF277" s="1319">
        <f>Forecast!AC92</f>
        <v>0.74252399826605675</v>
      </c>
      <c r="AG277" s="463">
        <f>Forecast!AD92</f>
        <v>0.46800894542816635</v>
      </c>
      <c r="AH277" s="460">
        <f>Forecast!AE92</f>
        <v>0.56872729663283683</v>
      </c>
      <c r="AI277" s="460">
        <f>Forecast!AF92</f>
        <v>0.59860565626045814</v>
      </c>
      <c r="AJ277" s="463">
        <f>Forecast!AG92</f>
        <v>0.8322346219859833</v>
      </c>
      <c r="AK277" s="1308">
        <f>Forecast!AH92</f>
        <v>0.69777440359557497</v>
      </c>
      <c r="AL277" s="463">
        <f>Forecast!AI92</f>
        <v>0.7286650634118943</v>
      </c>
      <c r="AM277" s="463">
        <f>Forecast!AJ92</f>
        <v>0.67379021394641347</v>
      </c>
      <c r="AN277" s="1319">
        <f>Forecast!AK92</f>
        <v>0.812252885788319</v>
      </c>
      <c r="AO277" s="463">
        <f>Forecast!AL92</f>
        <v>0.65043080370949635</v>
      </c>
      <c r="AP277" s="460">
        <f>Forecast!AM92</f>
        <v>0.72846660003003394</v>
      </c>
      <c r="AQ277" s="460">
        <f>Forecast!AN92</f>
        <v>0.73265216748286</v>
      </c>
      <c r="AR277" s="463">
        <f>Forecast!AO92</f>
        <v>0.9138706275072026</v>
      </c>
      <c r="AS277" s="1308">
        <f>Forecast!AP92</f>
        <v>0.78015516293196674</v>
      </c>
      <c r="AT277" s="463">
        <f>Forecast!AQ92</f>
        <v>0.83612023880619746</v>
      </c>
      <c r="AU277" s="463">
        <f>Forecast!AR92</f>
        <v>0.81158979832025224</v>
      </c>
      <c r="AV277" s="1319">
        <f>Forecast!AS92</f>
        <v>0.97467772760103155</v>
      </c>
      <c r="AW277" s="463">
        <f>Forecast!AT92</f>
        <v>0.79292450528978498</v>
      </c>
      <c r="AX277" s="460">
        <f>Forecast!AU92</f>
        <v>0.82502149133144775</v>
      </c>
      <c r="AY277" s="460">
        <f>Forecast!AV92</f>
        <v>0.78165295454580763</v>
      </c>
      <c r="AZ277" s="460">
        <f>Forecast!AW92</f>
        <v>0.93809458209097307</v>
      </c>
    </row>
    <row r="278" spans="4:52" hidden="1" outlineLevel="1" x14ac:dyDescent="0.25">
      <c r="D278" s="377" t="str">
        <f>Forecast!C93</f>
        <v>Payback Period (Mo)</v>
      </c>
      <c r="E278" s="377"/>
      <c r="F278" s="377"/>
      <c r="G278" s="462">
        <f>Forecast!D93</f>
        <v>20.599743603004846</v>
      </c>
      <c r="H278" s="462">
        <f>Forecast!E93</f>
        <v>25.400638013221531</v>
      </c>
      <c r="I278" s="464">
        <f>Forecast!F93</f>
        <v>26.244864564014176</v>
      </c>
      <c r="J278" s="463">
        <f>Forecast!G93</f>
        <v>20.443640916129514</v>
      </c>
      <c r="K278" s="462">
        <f>Forecast!H93</f>
        <v>19.965958417766917</v>
      </c>
      <c r="L278" s="460">
        <f>Forecast!I93</f>
        <v>16.648817682212385</v>
      </c>
      <c r="M278" s="460">
        <f>Forecast!J93</f>
        <v>16.283863030243754</v>
      </c>
      <c r="N278" s="460">
        <f>Forecast!K93</f>
        <v>14.367431602455916</v>
      </c>
      <c r="O278" s="460">
        <f>Forecast!L93</f>
        <v>14.502782278715774</v>
      </c>
      <c r="P278" s="1696"/>
      <c r="Q278" s="461">
        <f>Forecast!N93</f>
        <v>0</v>
      </c>
      <c r="R278" s="460">
        <f>Forecast!O93</f>
        <v>20.386738006246606</v>
      </c>
      <c r="S278" s="460">
        <f>Forecast!P93</f>
        <v>23.270210566826748</v>
      </c>
      <c r="T278" s="463">
        <f>Forecast!Q93</f>
        <v>17.87721642910736</v>
      </c>
      <c r="U278" s="1308">
        <f>Forecast!R93</f>
        <v>29.007640600607154</v>
      </c>
      <c r="V278" s="463">
        <f>Forecast!S93</f>
        <v>20.667507140483753</v>
      </c>
      <c r="W278" s="463">
        <f>Forecast!T93</f>
        <v>31.336043349328907</v>
      </c>
      <c r="X278" s="1319">
        <f>Forecast!U93</f>
        <v>22.550019221799801</v>
      </c>
      <c r="Y278" s="463">
        <f>Forecast!V93</f>
        <v>44.133405685756507</v>
      </c>
      <c r="Z278" s="460">
        <f>Forecast!W93</f>
        <v>26.484563446278685</v>
      </c>
      <c r="AA278" s="460">
        <f>Forecast!X93</f>
        <v>25.55486758483897</v>
      </c>
      <c r="AB278" s="463">
        <f>Forecast!Y93</f>
        <v>18.54187264054562</v>
      </c>
      <c r="AC278" s="1308">
        <f>Forecast!Z93</f>
        <v>27.715744644788003</v>
      </c>
      <c r="AD278" s="463">
        <f>Forecast!AA93</f>
        <v>19.104643888722322</v>
      </c>
      <c r="AE278" s="463">
        <f>Forecast!AB93</f>
        <v>19.329736514976929</v>
      </c>
      <c r="AF278" s="1319">
        <f>Forecast!AC93</f>
        <v>16.161093820566634</v>
      </c>
      <c r="AG278" s="463">
        <f>Forecast!AD93</f>
        <v>25.640535543656299</v>
      </c>
      <c r="AH278" s="460">
        <f>Forecast!AE93</f>
        <v>21.099743358629485</v>
      </c>
      <c r="AI278" s="460">
        <f>Forecast!AF93</f>
        <v>20.046586387046606</v>
      </c>
      <c r="AJ278" s="463">
        <f>Forecast!AG93</f>
        <v>14.419010796936186</v>
      </c>
      <c r="AK278" s="1308">
        <f>Forecast!AH93</f>
        <v>17.197535389898185</v>
      </c>
      <c r="AL278" s="463">
        <f>Forecast!AI93</f>
        <v>16.46847173351679</v>
      </c>
      <c r="AM278" s="463">
        <f>Forecast!AJ93</f>
        <v>17.809697664968404</v>
      </c>
      <c r="AN278" s="1319">
        <f>Forecast!AK93</f>
        <v>14.773724058060553</v>
      </c>
      <c r="AO278" s="463">
        <f>Forecast!AL93</f>
        <v>18.449310720775138</v>
      </c>
      <c r="AP278" s="460">
        <f>Forecast!AM93</f>
        <v>16.472958402629924</v>
      </c>
      <c r="AQ278" s="460">
        <f>Forecast!AN93</f>
        <v>16.378850063636417</v>
      </c>
      <c r="AR278" s="463">
        <f>Forecast!AO93</f>
        <v>13.130961471792595</v>
      </c>
      <c r="AS278" s="1308">
        <f>Forecast!AP93</f>
        <v>15.381555580433245</v>
      </c>
      <c r="AT278" s="463">
        <f>Forecast!AQ93</f>
        <v>14.352002789854073</v>
      </c>
      <c r="AU278" s="463">
        <f>Forecast!AR93</f>
        <v>14.785794529251605</v>
      </c>
      <c r="AV278" s="1319">
        <f>Forecast!AS93</f>
        <v>12.311761785647374</v>
      </c>
      <c r="AW278" s="463">
        <f>Forecast!AT93</f>
        <v>15.133849338676242</v>
      </c>
      <c r="AX278" s="460">
        <f>Forecast!AU93</f>
        <v>14.545075644798043</v>
      </c>
      <c r="AY278" s="460">
        <f>Forecast!AV93</f>
        <v>15.352081675393652</v>
      </c>
      <c r="AZ278" s="460">
        <f>Forecast!AW93</f>
        <v>12.791887117877293</v>
      </c>
    </row>
    <row r="279" spans="4:52" hidden="1" outlineLevel="1" x14ac:dyDescent="0.25">
      <c r="D279" s="377" t="str">
        <f>Forecast!C94</f>
        <v>Magic Number</v>
      </c>
      <c r="E279" s="377"/>
      <c r="F279" s="377"/>
      <c r="G279" s="462">
        <f>Forecast!D94</f>
        <v>1.0844769529517551</v>
      </c>
      <c r="H279" s="462">
        <f>Forecast!E94</f>
        <v>0.8141208085487639</v>
      </c>
      <c r="I279" s="464">
        <f>Forecast!F94</f>
        <v>0.72257617600472956</v>
      </c>
      <c r="J279" s="463">
        <f>Forecast!G94</f>
        <v>0.93069902565787388</v>
      </c>
      <c r="K279" s="462">
        <f>Forecast!H94</f>
        <v>0.8752168702598031</v>
      </c>
      <c r="L279" s="460">
        <f>Forecast!I94</f>
        <v>1.012512074805378</v>
      </c>
      <c r="M279" s="460">
        <f>Forecast!J94</f>
        <v>1.0386316243727804</v>
      </c>
      <c r="N279" s="460">
        <f>Forecast!K94</f>
        <v>1.14821867212732</v>
      </c>
      <c r="O279" s="460">
        <f>Forecast!L94</f>
        <v>1.0992172091201309</v>
      </c>
      <c r="P279" s="1696"/>
      <c r="Q279" s="461">
        <f>Forecast!N94</f>
        <v>0</v>
      </c>
      <c r="R279" s="461">
        <f>Forecast!O94</f>
        <v>0</v>
      </c>
      <c r="S279" s="461">
        <f>Forecast!P94</f>
        <v>0</v>
      </c>
      <c r="T279" s="463">
        <f>Forecast!Q94</f>
        <v>1.0844769529517551</v>
      </c>
      <c r="U279" s="1308">
        <f>Forecast!R94</f>
        <v>0.87981463460660736</v>
      </c>
      <c r="V279" s="463">
        <f>Forecast!S94</f>
        <v>0.90273681048527898</v>
      </c>
      <c r="W279" s="463">
        <f>Forecast!T94</f>
        <v>0.84963958180237587</v>
      </c>
      <c r="X279" s="1319">
        <f>Forecast!U94</f>
        <v>0.8141208085487639</v>
      </c>
      <c r="Y279" s="463">
        <f>Forecast!V94</f>
        <v>0.74555941886280919</v>
      </c>
      <c r="Z279" s="460">
        <f>Forecast!W94</f>
        <v>0.6907566866903937</v>
      </c>
      <c r="AA279" s="460">
        <f>Forecast!X94</f>
        <v>0.69897372850828376</v>
      </c>
      <c r="AB279" s="463">
        <f>Forecast!Y94</f>
        <v>0.72257617600472956</v>
      </c>
      <c r="AC279" s="1308">
        <f>Forecast!Z94</f>
        <v>0.76867095151062637</v>
      </c>
      <c r="AD279" s="463">
        <f>Forecast!AA94</f>
        <v>0.84345715402602095</v>
      </c>
      <c r="AE279" s="463">
        <f>Forecast!AB94</f>
        <v>0.90509162922268849</v>
      </c>
      <c r="AF279" s="1319">
        <f>Forecast!AC94</f>
        <v>0.97084117732350927</v>
      </c>
      <c r="AG279" s="463">
        <f>Forecast!AD94</f>
        <v>0.93069902565787388</v>
      </c>
      <c r="AH279" s="460">
        <f>Forecast!AE94</f>
        <v>0.88518947492945887</v>
      </c>
      <c r="AI279" s="460">
        <f>Forecast!AF94</f>
        <v>0.85651404825471689</v>
      </c>
      <c r="AJ279" s="463">
        <f>Forecast!AG94</f>
        <v>0.8752168702598031</v>
      </c>
      <c r="AK279" s="1308">
        <f>Forecast!AH94</f>
        <v>0.94405339131431187</v>
      </c>
      <c r="AL279" s="463">
        <f>Forecast!AI94</f>
        <v>0.99687629261631117</v>
      </c>
      <c r="AM279" s="463">
        <f>Forecast!AJ94</f>
        <v>1.0116371145195364</v>
      </c>
      <c r="AN279" s="1319">
        <f>Forecast!AK94</f>
        <v>1.012512074805378</v>
      </c>
      <c r="AO279" s="463">
        <f>Forecast!AL94</f>
        <v>0.98777440960140306</v>
      </c>
      <c r="AP279" s="460">
        <f>Forecast!AM94</f>
        <v>0.98480889612089784</v>
      </c>
      <c r="AQ279" s="460">
        <f>Forecast!AN94</f>
        <v>0.99793079636511106</v>
      </c>
      <c r="AR279" s="463">
        <f>Forecast!AO94</f>
        <v>1.0386316243727804</v>
      </c>
      <c r="AS279" s="1308">
        <f>Forecast!AP94</f>
        <v>1.070633728841081</v>
      </c>
      <c r="AT279" s="463">
        <f>Forecast!AQ94</f>
        <v>1.1036247899270912</v>
      </c>
      <c r="AU279" s="463">
        <f>Forecast!AR94</f>
        <v>1.1209799457143859</v>
      </c>
      <c r="AV279" s="1319">
        <f>Forecast!AS94</f>
        <v>1.14821867212732</v>
      </c>
      <c r="AW279" s="463">
        <f>Forecast!AT94</f>
        <v>1.1410214815024275</v>
      </c>
      <c r="AX279" s="460">
        <f>Forecast!AU94</f>
        <v>1.1271841587685294</v>
      </c>
      <c r="AY279" s="460">
        <f>Forecast!AV94</f>
        <v>1.1050181767671174</v>
      </c>
      <c r="AZ279" s="460">
        <f>Forecast!AW94</f>
        <v>1.0992172091201309</v>
      </c>
    </row>
    <row r="280" spans="4:52" hidden="1" outlineLevel="1" x14ac:dyDescent="0.25">
      <c r="I280" s="1689"/>
      <c r="T280" s="373"/>
      <c r="U280" s="1690"/>
      <c r="V280" s="373"/>
      <c r="W280" s="373"/>
      <c r="X280" s="1689"/>
      <c r="Y280" s="373"/>
      <c r="AB280" s="373"/>
      <c r="AC280" s="1690"/>
      <c r="AD280" s="373"/>
      <c r="AE280" s="373"/>
      <c r="AF280" s="1689"/>
      <c r="AG280" s="373"/>
      <c r="AJ280" s="373"/>
      <c r="AK280" s="1690"/>
      <c r="AL280" s="373"/>
      <c r="AM280" s="373"/>
      <c r="AN280" s="1689"/>
      <c r="AO280" s="373"/>
      <c r="AR280" s="373"/>
      <c r="AS280" s="1690"/>
      <c r="AT280" s="373"/>
      <c r="AU280" s="373"/>
      <c r="AV280" s="1689"/>
      <c r="AW280" s="373"/>
    </row>
    <row r="281" spans="4:52" hidden="1" outlineLevel="1" x14ac:dyDescent="0.25">
      <c r="D281" s="6" t="str">
        <f>Forecast!C96</f>
        <v>Other</v>
      </c>
      <c r="E281" s="6"/>
      <c r="F281" s="6"/>
      <c r="I281" s="1689"/>
      <c r="P281" s="1526"/>
      <c r="T281" s="373"/>
      <c r="U281" s="1690"/>
      <c r="V281" s="373"/>
      <c r="W281" s="373"/>
      <c r="X281" s="1689"/>
      <c r="Y281" s="373"/>
      <c r="AB281" s="373"/>
      <c r="AC281" s="1690"/>
      <c r="AD281" s="373"/>
      <c r="AE281" s="373"/>
      <c r="AF281" s="1689"/>
      <c r="AG281" s="373"/>
      <c r="AJ281" s="373"/>
      <c r="AK281" s="1690"/>
      <c r="AL281" s="373"/>
      <c r="AM281" s="373"/>
      <c r="AN281" s="1689"/>
      <c r="AO281" s="373"/>
      <c r="AR281" s="373"/>
      <c r="AS281" s="1690"/>
      <c r="AT281" s="373"/>
      <c r="AU281" s="373"/>
      <c r="AV281" s="1689"/>
      <c r="AW281" s="373"/>
    </row>
    <row r="282" spans="4:52" hidden="1" outlineLevel="1" x14ac:dyDescent="0.25">
      <c r="D282" s="377" t="str">
        <f>Forecast!C97</f>
        <v>NRR (Annual)</v>
      </c>
      <c r="E282" s="377"/>
      <c r="F282" s="377"/>
      <c r="G282" s="456">
        <f>Forecast!D97</f>
        <v>1.3340311322710687</v>
      </c>
      <c r="H282" s="456">
        <f>Forecast!E97</f>
        <v>1.2518848056961256</v>
      </c>
      <c r="I282" s="458">
        <f>Forecast!F97</f>
        <v>1.1654440034484099</v>
      </c>
      <c r="J282" s="457">
        <f>Forecast!G97</f>
        <v>1.2960651883044938</v>
      </c>
      <c r="K282" s="456">
        <f>Forecast!H97</f>
        <v>1.274389666770624</v>
      </c>
      <c r="L282" s="456">
        <f>Forecast!I97</f>
        <v>1.2762831682230023</v>
      </c>
      <c r="M282" s="456">
        <f>Forecast!J97</f>
        <v>1.2862854875459073</v>
      </c>
      <c r="N282" s="456">
        <f>Forecast!K97</f>
        <v>1.2913632386692333</v>
      </c>
      <c r="O282" s="456">
        <f>Forecast!L97</f>
        <v>1.2912851468712028</v>
      </c>
      <c r="P282" s="1696"/>
      <c r="Q282" s="459">
        <f>Forecast!N97</f>
        <v>0</v>
      </c>
      <c r="R282" s="459">
        <f>Forecast!O97</f>
        <v>0</v>
      </c>
      <c r="S282" s="459">
        <f>Forecast!P97</f>
        <v>0</v>
      </c>
      <c r="T282" s="457">
        <f>Forecast!Q97</f>
        <v>1.3340311322710687</v>
      </c>
      <c r="U282" s="1305">
        <f>Forecast!R97</f>
        <v>1.2891653497236233</v>
      </c>
      <c r="V282" s="457">
        <f>Forecast!S97</f>
        <v>1.309561528748016</v>
      </c>
      <c r="W282" s="457">
        <f>Forecast!T97</f>
        <v>1.2668121609654523</v>
      </c>
      <c r="X282" s="458">
        <f>Forecast!U97</f>
        <v>1.2518848056961256</v>
      </c>
      <c r="Y282" s="457">
        <f>Forecast!V97</f>
        <v>1.2165722401005568</v>
      </c>
      <c r="Z282" s="456">
        <f>Forecast!W97</f>
        <v>1.168881434981861</v>
      </c>
      <c r="AA282" s="456">
        <f>Forecast!X97</f>
        <v>1.1796307199730092</v>
      </c>
      <c r="AB282" s="457">
        <f>Forecast!Y97</f>
        <v>1.1654440034484099</v>
      </c>
      <c r="AC282" s="1305">
        <f>Forecast!Z97</f>
        <v>1.1742017975480512</v>
      </c>
      <c r="AD282" s="457">
        <f>Forecast!AA97</f>
        <v>1.2169414912584586</v>
      </c>
      <c r="AE282" s="457">
        <f>Forecast!AB97</f>
        <v>1.2529794534888594</v>
      </c>
      <c r="AF282" s="458">
        <f>Forecast!AC97</f>
        <v>1.2960651883044938</v>
      </c>
      <c r="AG282" s="457">
        <f>Forecast!AD97</f>
        <v>1.3186037637418742</v>
      </c>
      <c r="AH282" s="456">
        <f>Forecast!AE97</f>
        <v>1.3091306576196038</v>
      </c>
      <c r="AI282" s="456">
        <f>Forecast!AF97</f>
        <v>1.2872456857065522</v>
      </c>
      <c r="AJ282" s="457">
        <f>Forecast!AG97</f>
        <v>1.2757940147775639</v>
      </c>
      <c r="AK282" s="1305">
        <f>Forecast!AH97</f>
        <v>1.2782819367050082</v>
      </c>
      <c r="AL282" s="457">
        <f>Forecast!AI97</f>
        <v>1.2839379431708391</v>
      </c>
      <c r="AM282" s="457">
        <f>Forecast!AJ97</f>
        <v>1.2838650258378874</v>
      </c>
      <c r="AN282" s="458">
        <f>Forecast!AK97</f>
        <v>1.2771959410548277</v>
      </c>
      <c r="AO282" s="457">
        <f>Forecast!AL97</f>
        <v>1.2793534401512812</v>
      </c>
      <c r="AP282" s="456">
        <f>Forecast!AM97</f>
        <v>1.2822933321243395</v>
      </c>
      <c r="AQ282" s="456">
        <f>Forecast!AN97</f>
        <v>1.2845863706281371</v>
      </c>
      <c r="AR282" s="457">
        <f>Forecast!AO97</f>
        <v>1.2869083452107295</v>
      </c>
      <c r="AS282" s="1305">
        <f>Forecast!AP97</f>
        <v>1.2878993260176554</v>
      </c>
      <c r="AT282" s="457">
        <f>Forecast!AQ97</f>
        <v>1.2894266053215324</v>
      </c>
      <c r="AU282" s="457">
        <f>Forecast!AR97</f>
        <v>1.2906400826681603</v>
      </c>
      <c r="AV282" s="458">
        <f>Forecast!AS97</f>
        <v>1.2917872721914154</v>
      </c>
      <c r="AW282" s="457">
        <f>Forecast!AT97</f>
        <v>1.2915622332972401</v>
      </c>
      <c r="AX282" s="456">
        <f>Forecast!AU97</f>
        <v>1.2916236610747649</v>
      </c>
      <c r="AY282" s="456">
        <f>Forecast!AV97</f>
        <v>1.2917016295962713</v>
      </c>
      <c r="AZ282" s="456">
        <f>Forecast!AW97</f>
        <v>1.2915731905089365</v>
      </c>
    </row>
    <row r="283" spans="4:52" hidden="1" outlineLevel="1" x14ac:dyDescent="0.25">
      <c r="D283" s="377" t="str">
        <f>Forecast!C98</f>
        <v>GRR (Annual)</v>
      </c>
      <c r="E283" s="377"/>
      <c r="F283" s="377"/>
      <c r="G283" s="456">
        <f>Forecast!D98</f>
        <v>0.89315597974013727</v>
      </c>
      <c r="H283" s="456">
        <f>Forecast!E98</f>
        <v>0.90518391184000779</v>
      </c>
      <c r="I283" s="458">
        <f>Forecast!F98</f>
        <v>0.89739537275154613</v>
      </c>
      <c r="J283" s="457">
        <f>Forecast!G98</f>
        <v>0.91920087624650437</v>
      </c>
      <c r="K283" s="456">
        <f>Forecast!H98</f>
        <v>0.92027146413190886</v>
      </c>
      <c r="L283" s="456">
        <f>Forecast!I98</f>
        <v>0.919603216063831</v>
      </c>
      <c r="M283" s="456">
        <f>Forecast!J98</f>
        <v>0.92296648499560185</v>
      </c>
      <c r="N283" s="456">
        <f>Forecast!K98</f>
        <v>0.92645368293619412</v>
      </c>
      <c r="O283" s="456">
        <f>Forecast!L98</f>
        <v>0.93000028025074521</v>
      </c>
      <c r="P283" s="1696"/>
      <c r="Q283" s="459">
        <f>Forecast!N98</f>
        <v>0</v>
      </c>
      <c r="R283" s="459">
        <f>Forecast!O98</f>
        <v>0</v>
      </c>
      <c r="S283" s="459">
        <f>Forecast!P98</f>
        <v>0</v>
      </c>
      <c r="T283" s="457">
        <f>Forecast!Q98</f>
        <v>0.89315597974013716</v>
      </c>
      <c r="U283" s="1305">
        <f>Forecast!R98</f>
        <v>0.88448195666420559</v>
      </c>
      <c r="V283" s="457">
        <f>Forecast!S98</f>
        <v>0.88373583714264281</v>
      </c>
      <c r="W283" s="457">
        <f>Forecast!T98</f>
        <v>0.89025487201036768</v>
      </c>
      <c r="X283" s="458">
        <f>Forecast!U98</f>
        <v>0.90518391184000779</v>
      </c>
      <c r="Y283" s="457">
        <f>Forecast!V98</f>
        <v>0.90644773912418997</v>
      </c>
      <c r="Z283" s="456">
        <f>Forecast!W98</f>
        <v>0.90465638068121579</v>
      </c>
      <c r="AA283" s="456">
        <f>Forecast!X98</f>
        <v>0.89627150710548831</v>
      </c>
      <c r="AB283" s="457">
        <f>Forecast!Y98</f>
        <v>0.89739537275154613</v>
      </c>
      <c r="AC283" s="1305">
        <f>Forecast!Z98</f>
        <v>0.89451076530073459</v>
      </c>
      <c r="AD283" s="457">
        <f>Forecast!AA98</f>
        <v>0.90545413069763769</v>
      </c>
      <c r="AE283" s="457">
        <f>Forecast!AB98</f>
        <v>0.91402252477247337</v>
      </c>
      <c r="AF283" s="458">
        <f>Forecast!AC98</f>
        <v>0.91920087624650437</v>
      </c>
      <c r="AG283" s="457">
        <f>Forecast!AD98</f>
        <v>0.91961305512340641</v>
      </c>
      <c r="AH283" s="456">
        <f>Forecast!AE98</f>
        <v>0.91835432597890942</v>
      </c>
      <c r="AI283" s="456">
        <f>Forecast!AF98</f>
        <v>0.92168855760436186</v>
      </c>
      <c r="AJ283" s="457">
        <f>Forecast!AG98</f>
        <v>0.9198634071822418</v>
      </c>
      <c r="AK283" s="1305">
        <f>Forecast!AH98</f>
        <v>0.91838450120359194</v>
      </c>
      <c r="AL283" s="457">
        <f>Forecast!AI98</f>
        <v>0.91853945819218874</v>
      </c>
      <c r="AM283" s="457">
        <f>Forecast!AJ98</f>
        <v>0.91927285359344346</v>
      </c>
      <c r="AN283" s="458">
        <f>Forecast!AK98</f>
        <v>0.91933760451530611</v>
      </c>
      <c r="AO283" s="457">
        <f>Forecast!AL98</f>
        <v>0.91929300043156881</v>
      </c>
      <c r="AP283" s="456">
        <f>Forecast!AM98</f>
        <v>0.92091536955390174</v>
      </c>
      <c r="AQ283" s="456">
        <f>Forecast!AN98</f>
        <v>0.92231205482832723</v>
      </c>
      <c r="AR283" s="457">
        <f>Forecast!AO98</f>
        <v>0.92279888685543776</v>
      </c>
      <c r="AS283" s="1305">
        <f>Forecast!AP98</f>
        <v>0.92285252053630829</v>
      </c>
      <c r="AT283" s="457">
        <f>Forecast!AQ98</f>
        <v>0.92443338088624771</v>
      </c>
      <c r="AU283" s="457">
        <f>Forecast!AR98</f>
        <v>0.92579396450830953</v>
      </c>
      <c r="AV283" s="458">
        <f>Forecast!AS98</f>
        <v>0.92634664780022247</v>
      </c>
      <c r="AW283" s="457">
        <f>Forecast!AT98</f>
        <v>0.92648138552355053</v>
      </c>
      <c r="AX283" s="456">
        <f>Forecast!AU98</f>
        <v>0.92800988540117735</v>
      </c>
      <c r="AY283" s="456">
        <f>Forecast!AV98</f>
        <v>0.92932609650928255</v>
      </c>
      <c r="AZ283" s="456">
        <f>Forecast!AW98</f>
        <v>0.92993105950903054</v>
      </c>
    </row>
    <row r="284" spans="4:52" hidden="1" outlineLevel="1" x14ac:dyDescent="0.25">
      <c r="D284" s="377" t="str">
        <f>Forecast!C99</f>
        <v>Logo Churn %</v>
      </c>
      <c r="E284" s="377"/>
      <c r="F284" s="377"/>
      <c r="G284" s="456">
        <f>Forecast!D99</f>
        <v>-0.12127659574468085</v>
      </c>
      <c r="H284" s="456">
        <f>Forecast!E99</f>
        <v>-0.15658362989323843</v>
      </c>
      <c r="I284" s="458">
        <f>Forecast!F99</f>
        <v>-0.15340086830680175</v>
      </c>
      <c r="J284" s="457">
        <f>Forecast!G99</f>
        <v>-0.1590755293130196</v>
      </c>
      <c r="K284" s="456">
        <f>Forecast!H99</f>
        <v>-0.10833407744543999</v>
      </c>
      <c r="L284" s="456">
        <f>Forecast!I99</f>
        <v>-9.8734223006669716E-2</v>
      </c>
      <c r="M284" s="456">
        <f>Forecast!J99</f>
        <v>-8.2329466465480575E-2</v>
      </c>
      <c r="N284" s="456">
        <f>Forecast!K99</f>
        <v>-6.6835561514149308E-2</v>
      </c>
      <c r="O284" s="456">
        <f>Forecast!L99</f>
        <v>-5.2861377303893953E-2</v>
      </c>
      <c r="P284" s="1696"/>
      <c r="Q284" s="459">
        <f>Forecast!N99</f>
        <v>0</v>
      </c>
      <c r="R284" s="459">
        <f>Forecast!O99</f>
        <v>0</v>
      </c>
      <c r="S284" s="459">
        <f>Forecast!P99</f>
        <v>0</v>
      </c>
      <c r="T284" s="457">
        <f>Forecast!Q99</f>
        <v>-0.12127659574468085</v>
      </c>
      <c r="U284" s="1305">
        <f>Forecast!R99</f>
        <v>-0.1171003717472119</v>
      </c>
      <c r="V284" s="457">
        <f>Forecast!S99</f>
        <v>-0.14563106796116504</v>
      </c>
      <c r="W284" s="457">
        <f>Forecast!T99</f>
        <v>-0.15362731152204837</v>
      </c>
      <c r="X284" s="458">
        <f>Forecast!U99</f>
        <v>-0.15658362989323843</v>
      </c>
      <c r="Y284" s="457">
        <f>Forecast!V99</f>
        <v>-0.15436241610738255</v>
      </c>
      <c r="Z284" s="456">
        <f>Forecast!W99</f>
        <v>-0.1569468267581475</v>
      </c>
      <c r="AA284" s="456">
        <f>Forecast!X99</f>
        <v>-0.16060126582278481</v>
      </c>
      <c r="AB284" s="457">
        <f>Forecast!Y99</f>
        <v>-0.15340086830680175</v>
      </c>
      <c r="AC284" s="1305">
        <f>Forecast!Z99</f>
        <v>-0.14933705512909978</v>
      </c>
      <c r="AD284" s="457">
        <f>Forecast!AA99</f>
        <v>-0.14118412491867274</v>
      </c>
      <c r="AE284" s="457">
        <f>Forecast!AB99</f>
        <v>-0.14565415038279067</v>
      </c>
      <c r="AF284" s="458">
        <f>Forecast!AC99</f>
        <v>-0.15907552931301963</v>
      </c>
      <c r="AG284" s="457">
        <f>Forecast!AD99</f>
        <v>-0.15039322188583557</v>
      </c>
      <c r="AH284" s="456">
        <f>Forecast!AE99</f>
        <v>-0.14125512328524309</v>
      </c>
      <c r="AI284" s="456">
        <f>Forecast!AF99</f>
        <v>-0.12330116440944115</v>
      </c>
      <c r="AJ284" s="457">
        <f>Forecast!AG99</f>
        <v>-0.10833407744544002</v>
      </c>
      <c r="AK284" s="1305">
        <f>Forecast!AH99</f>
        <v>-0.1071542886473386</v>
      </c>
      <c r="AL284" s="457">
        <f>Forecast!AI99</f>
        <v>-0.10445728511023136</v>
      </c>
      <c r="AM284" s="457">
        <f>Forecast!AJ99</f>
        <v>-0.10168507067123249</v>
      </c>
      <c r="AN284" s="458">
        <f>Forecast!AK99</f>
        <v>-9.8734223006669702E-2</v>
      </c>
      <c r="AO284" s="457">
        <f>Forecast!AL99</f>
        <v>-9.5433376723431204E-2</v>
      </c>
      <c r="AP284" s="456">
        <f>Forecast!AM99</f>
        <v>-9.0695633949097396E-2</v>
      </c>
      <c r="AQ284" s="456">
        <f>Forecast!AN99</f>
        <v>-8.6741432851992553E-2</v>
      </c>
      <c r="AR284" s="457">
        <f>Forecast!AO99</f>
        <v>-8.2329466465480575E-2</v>
      </c>
      <c r="AS284" s="1305">
        <f>Forecast!AP99</f>
        <v>-7.9109137713556391E-2</v>
      </c>
      <c r="AT284" s="457">
        <f>Forecast!AQ99</f>
        <v>-7.4802177118154498E-2</v>
      </c>
      <c r="AU284" s="457">
        <f>Forecast!AR99</f>
        <v>-7.1182269983128765E-2</v>
      </c>
      <c r="AV284" s="458">
        <f>Forecast!AS99</f>
        <v>-6.6835561514149308E-2</v>
      </c>
      <c r="AW284" s="457">
        <f>Forecast!AT99</f>
        <v>-6.3879406769981495E-2</v>
      </c>
      <c r="AX284" s="456">
        <f>Forecast!AU99</f>
        <v>-6.0118423914683264E-2</v>
      </c>
      <c r="AY284" s="456">
        <f>Forecast!AV99</f>
        <v>-5.6929390864451972E-2</v>
      </c>
      <c r="AZ284" s="456">
        <f>Forecast!AW99</f>
        <v>-5.2861377303893946E-2</v>
      </c>
    </row>
    <row r="285" spans="4:52" hidden="1" outlineLevel="1" x14ac:dyDescent="0.25">
      <c r="D285" s="377" t="str">
        <f>Forecast!C100</f>
        <v>ARR per Employee</v>
      </c>
      <c r="E285" s="377"/>
      <c r="F285" s="377"/>
      <c r="G285" s="439">
        <f>Forecast!D100</f>
        <v>110150.42606382977</v>
      </c>
      <c r="H285" s="439">
        <f>Forecast!E100</f>
        <v>136183.58139588017</v>
      </c>
      <c r="I285" s="441">
        <f>Forecast!F100</f>
        <v>174619.67766405712</v>
      </c>
      <c r="J285" s="440">
        <f>Forecast!G100</f>
        <v>152403.31751136307</v>
      </c>
      <c r="K285" s="439">
        <f>Forecast!H100</f>
        <v>188566.25003508155</v>
      </c>
      <c r="L285" s="439">
        <f>Forecast!I100</f>
        <v>204420.04505455215</v>
      </c>
      <c r="M285" s="439">
        <f>Forecast!J100</f>
        <v>249537.61472901472</v>
      </c>
      <c r="N285" s="439">
        <f>Forecast!K100</f>
        <v>284355.20006021648</v>
      </c>
      <c r="O285" s="439">
        <f>Forecast!L100</f>
        <v>316184.45843705675</v>
      </c>
      <c r="P285" s="1696"/>
      <c r="Q285" s="439">
        <f>Forecast!N100</f>
        <v>93937.193053221243</v>
      </c>
      <c r="R285" s="439">
        <f>Forecast!O100</f>
        <v>100349.44987775061</v>
      </c>
      <c r="S285" s="439">
        <f>Forecast!P100</f>
        <v>103116.76873949579</v>
      </c>
      <c r="T285" s="440">
        <f>Forecast!Q100</f>
        <v>109543.49606382976</v>
      </c>
      <c r="U285" s="1309">
        <f>Forecast!R100</f>
        <v>113489.4753164557</v>
      </c>
      <c r="V285" s="440">
        <f>Forecast!S100</f>
        <v>121479.93592592592</v>
      </c>
      <c r="W285" s="440">
        <f>Forecast!T100</f>
        <v>130637.82559782609</v>
      </c>
      <c r="X285" s="441">
        <f>Forecast!U100</f>
        <v>136314.36002668701</v>
      </c>
      <c r="Y285" s="440">
        <f>Forecast!V100</f>
        <v>137668.56945669648</v>
      </c>
      <c r="Z285" s="439">
        <f>Forecast!W100</f>
        <v>155161.4266111631</v>
      </c>
      <c r="AA285" s="439">
        <f>Forecast!X100</f>
        <v>172395.6092785128</v>
      </c>
      <c r="AB285" s="440">
        <f>Forecast!Y100</f>
        <v>174759.38958520119</v>
      </c>
      <c r="AC285" s="1309">
        <f>Forecast!Z100</f>
        <v>158969.52166021586</v>
      </c>
      <c r="AD285" s="440">
        <f>Forecast!AA100</f>
        <v>151741.64915665379</v>
      </c>
      <c r="AE285" s="440">
        <f>Forecast!AB100</f>
        <v>148527.04496863234</v>
      </c>
      <c r="AF285" s="441">
        <f>Forecast!AC100</f>
        <v>152007.73989496802</v>
      </c>
      <c r="AG285" s="440">
        <f>Forecast!AD100</f>
        <v>162168.105730212</v>
      </c>
      <c r="AH285" s="439">
        <f>Forecast!AE100</f>
        <v>172061.77300359512</v>
      </c>
      <c r="AI285" s="439">
        <f>Forecast!AF100</f>
        <v>179609.59796552753</v>
      </c>
      <c r="AJ285" s="440">
        <f>Forecast!AG100</f>
        <v>187945.32409592008</v>
      </c>
      <c r="AK285" s="1309">
        <f>Forecast!AH100</f>
        <v>193203.84281507236</v>
      </c>
      <c r="AL285" s="440">
        <f>Forecast!AI100</f>
        <v>198623.64363765772</v>
      </c>
      <c r="AM285" s="440">
        <f>Forecast!AJ100</f>
        <v>201096.50315111384</v>
      </c>
      <c r="AN285" s="441">
        <f>Forecast!AK100</f>
        <v>203976.26363783519</v>
      </c>
      <c r="AO285" s="440">
        <f>Forecast!AL100</f>
        <v>216144.87853132308</v>
      </c>
      <c r="AP285" s="439">
        <f>Forecast!AM100</f>
        <v>232517.90589986774</v>
      </c>
      <c r="AQ285" s="439">
        <f>Forecast!AN100</f>
        <v>240103.27576333919</v>
      </c>
      <c r="AR285" s="440">
        <f>Forecast!AO100</f>
        <v>249174.97960481697</v>
      </c>
      <c r="AS285" s="1309">
        <f>Forecast!AP100</f>
        <v>258232.572699296</v>
      </c>
      <c r="AT285" s="440">
        <f>Forecast!AQ100</f>
        <v>272700.44757389766</v>
      </c>
      <c r="AU285" s="440">
        <f>Forecast!AR100</f>
        <v>278022.99956331652</v>
      </c>
      <c r="AV285" s="441">
        <f>Forecast!AS100</f>
        <v>284074.28703768924</v>
      </c>
      <c r="AW285" s="440">
        <f>Forecast!AT100</f>
        <v>291361.7102155973</v>
      </c>
      <c r="AX285" s="439">
        <f>Forecast!AU100</f>
        <v>305080.04750038503</v>
      </c>
      <c r="AY285" s="439">
        <f>Forecast!AV100</f>
        <v>310444.47256921511</v>
      </c>
      <c r="AZ285" s="439">
        <f>Forecast!AW100</f>
        <v>315968.78466948558</v>
      </c>
    </row>
    <row r="286" spans="4:52" hidden="1" outlineLevel="1" x14ac:dyDescent="0.25">
      <c r="D286" s="377" t="str">
        <f>Forecast!C101</f>
        <v>LTM Rev per Employee</v>
      </c>
      <c r="E286" s="377"/>
      <c r="F286" s="377"/>
      <c r="G286" s="439">
        <f>Forecast!D101</f>
        <v>74343.97163120567</v>
      </c>
      <c r="H286" s="439">
        <f>Forecast!E101</f>
        <v>105426.62836185819</v>
      </c>
      <c r="I286" s="441">
        <f>Forecast!F101</f>
        <v>143690.61506355932</v>
      </c>
      <c r="J286" s="440">
        <f>Forecast!G101</f>
        <v>114339.56387687982</v>
      </c>
      <c r="K286" s="439">
        <f>Forecast!H101</f>
        <v>153250.60288154511</v>
      </c>
      <c r="L286" s="439">
        <f>Forecast!I101</f>
        <v>168155.78071691652</v>
      </c>
      <c r="M286" s="439">
        <f>Forecast!J101</f>
        <v>206357.81627035898</v>
      </c>
      <c r="N286" s="439">
        <f>Forecast!K101</f>
        <v>236347.03400190145</v>
      </c>
      <c r="O286" s="439">
        <f>Forecast!L101</f>
        <v>262588.85648265993</v>
      </c>
      <c r="P286" s="1696"/>
      <c r="Q286" s="446">
        <f>Forecast!N101</f>
        <v>0</v>
      </c>
      <c r="R286" s="446">
        <f>Forecast!O101</f>
        <v>0</v>
      </c>
      <c r="S286" s="446">
        <f>Forecast!P101</f>
        <v>0</v>
      </c>
      <c r="T286" s="440">
        <f>Forecast!Q101</f>
        <v>74343.97163120567</v>
      </c>
      <c r="U286" s="1309">
        <f>Forecast!R101</f>
        <v>81869.91455696203</v>
      </c>
      <c r="V286" s="440">
        <f>Forecast!S101</f>
        <v>88549.042735042734</v>
      </c>
      <c r="W286" s="440">
        <f>Forecast!T101</f>
        <v>100245.56793478261</v>
      </c>
      <c r="X286" s="441">
        <f>Forecast!U101</f>
        <v>105426.62836185819</v>
      </c>
      <c r="Y286" s="440">
        <f>Forecast!V101</f>
        <v>114137.82829885058</v>
      </c>
      <c r="Z286" s="439">
        <f>Forecast!W101</f>
        <v>129536.78860139861</v>
      </c>
      <c r="AA286" s="439">
        <f>Forecast!X101</f>
        <v>144954.80072941177</v>
      </c>
      <c r="AB286" s="440">
        <f>Forecast!Y101</f>
        <v>143690.61506355932</v>
      </c>
      <c r="AC286" s="1309">
        <f>Forecast!Z101</f>
        <v>132248.09862143715</v>
      </c>
      <c r="AD286" s="440">
        <f>Forecast!AA101</f>
        <v>122911.64455785799</v>
      </c>
      <c r="AE286" s="440">
        <f>Forecast!AB101</f>
        <v>116632.16186845685</v>
      </c>
      <c r="AF286" s="441">
        <f>Forecast!AC101</f>
        <v>114339.56387687982</v>
      </c>
      <c r="AG286" s="440">
        <f>Forecast!AD101</f>
        <v>127423.78410927266</v>
      </c>
      <c r="AH286" s="439">
        <f>Forecast!AE101</f>
        <v>138119.86705135935</v>
      </c>
      <c r="AI286" s="439">
        <f>Forecast!AF101</f>
        <v>147487.51870777417</v>
      </c>
      <c r="AJ286" s="440">
        <f>Forecast!AG101</f>
        <v>153250.60288154508</v>
      </c>
      <c r="AK286" s="1309">
        <f>Forecast!AH101</f>
        <v>160614.25183039406</v>
      </c>
      <c r="AL286" s="440">
        <f>Forecast!AI101</f>
        <v>164641.88085198033</v>
      </c>
      <c r="AM286" s="440">
        <f>Forecast!AJ101</f>
        <v>168512.03278112106</v>
      </c>
      <c r="AN286" s="441">
        <f>Forecast!AK101</f>
        <v>168155.78071691649</v>
      </c>
      <c r="AO286" s="440">
        <f>Forecast!AL101</f>
        <v>181308.46649180158</v>
      </c>
      <c r="AP286" s="439">
        <f>Forecast!AM101</f>
        <v>194025.37275981595</v>
      </c>
      <c r="AQ286" s="439">
        <f>Forecast!AN101</f>
        <v>202071.56894362473</v>
      </c>
      <c r="AR286" s="440">
        <f>Forecast!AO101</f>
        <v>206357.81627035901</v>
      </c>
      <c r="AS286" s="1309">
        <f>Forecast!AP101</f>
        <v>217601.29264057489</v>
      </c>
      <c r="AT286" s="440">
        <f>Forecast!AQ101</f>
        <v>228700.28234150633</v>
      </c>
      <c r="AU286" s="440">
        <f>Forecast!AR101</f>
        <v>235064.35151288248</v>
      </c>
      <c r="AV286" s="441">
        <f>Forecast!AS101</f>
        <v>236347.03400190145</v>
      </c>
      <c r="AW286" s="440">
        <f>Forecast!AT101</f>
        <v>246295.75170257379</v>
      </c>
      <c r="AX286" s="439">
        <f>Forecast!AU101</f>
        <v>256375.08326400566</v>
      </c>
      <c r="AY286" s="439">
        <f>Forecast!AV101</f>
        <v>262585.880420995</v>
      </c>
      <c r="AZ286" s="439">
        <f>Forecast!AW101</f>
        <v>262588.85648265993</v>
      </c>
    </row>
    <row r="287" spans="4:52" hidden="1" outlineLevel="1" x14ac:dyDescent="0.25">
      <c r="D287" s="377" t="str">
        <f>Forecast!C102</f>
        <v>Op Burn % Revenue</v>
      </c>
      <c r="E287" s="377"/>
      <c r="F287" s="377"/>
      <c r="G287" s="456">
        <f>Forecast!D102</f>
        <v>-0.9175851850909873</v>
      </c>
      <c r="H287" s="456">
        <f>Forecast!E102</f>
        <v>-0.76660919466790545</v>
      </c>
      <c r="I287" s="458">
        <f>Forecast!F102</f>
        <v>-0.48859397293886148</v>
      </c>
      <c r="J287" s="457">
        <f>Forecast!G102</f>
        <v>-0.51778418008790084</v>
      </c>
      <c r="K287" s="456">
        <f>Forecast!H102</f>
        <v>-0.33271903366041822</v>
      </c>
      <c r="L287" s="456">
        <f>Forecast!I102</f>
        <v>-0.19104288827620591</v>
      </c>
      <c r="M287" s="456">
        <f>Forecast!J102</f>
        <v>-4.9128779146262604E-2</v>
      </c>
      <c r="N287" s="456">
        <f>Forecast!K102</f>
        <v>8.1495774304092994E-2</v>
      </c>
      <c r="O287" s="456">
        <f>Forecast!L102</f>
        <v>0.14671460193731459</v>
      </c>
      <c r="P287" s="1696"/>
      <c r="Q287" s="456">
        <f>Forecast!N102</f>
        <v>-1.5252406582804345</v>
      </c>
      <c r="R287" s="456">
        <f>Forecast!O102</f>
        <v>-0.94784236343314365</v>
      </c>
      <c r="S287" s="456">
        <f>Forecast!P102</f>
        <v>-0.99101544734070346</v>
      </c>
      <c r="T287" s="457">
        <f>Forecast!Q102</f>
        <v>-0.52850856140585278</v>
      </c>
      <c r="U287" s="1305">
        <f>Forecast!R102</f>
        <v>-1.4217307620066402</v>
      </c>
      <c r="V287" s="457">
        <f>Forecast!S102</f>
        <v>-0.7473148045162713</v>
      </c>
      <c r="W287" s="457">
        <f>Forecast!T102</f>
        <v>-0.79278832226500817</v>
      </c>
      <c r="X287" s="458">
        <f>Forecast!U102</f>
        <v>-0.33931003978931479</v>
      </c>
      <c r="Y287" s="457">
        <f>Forecast!V102</f>
        <v>-0.93669528055522955</v>
      </c>
      <c r="Z287" s="456">
        <f>Forecast!W102</f>
        <v>-0.66070649433330941</v>
      </c>
      <c r="AA287" s="456">
        <f>Forecast!X102</f>
        <v>-0.30066341676356473</v>
      </c>
      <c r="AB287" s="457">
        <f>Forecast!Y102</f>
        <v>-0.17357602035571798</v>
      </c>
      <c r="AC287" s="1305">
        <f>Forecast!Z102</f>
        <v>-0.51464171491391886</v>
      </c>
      <c r="AD287" s="457">
        <f>Forecast!AA102</f>
        <v>-0.50187098059828028</v>
      </c>
      <c r="AE287" s="457">
        <f>Forecast!AB102</f>
        <v>-0.6105516002720357</v>
      </c>
      <c r="AF287" s="458">
        <f>Forecast!AC102</f>
        <v>-0.4508157051669604</v>
      </c>
      <c r="AG287" s="457">
        <f>Forecast!AD102</f>
        <v>-0.48689985297987115</v>
      </c>
      <c r="AH287" s="456">
        <f>Forecast!AE102</f>
        <v>-0.35520194420699908</v>
      </c>
      <c r="AI287" s="456">
        <f>Forecast!AF102</f>
        <v>-0.32142890158915827</v>
      </c>
      <c r="AJ287" s="457">
        <f>Forecast!AG102</f>
        <v>-0.21701594900909293</v>
      </c>
      <c r="AK287" s="1305">
        <f>Forecast!AH102</f>
        <v>-0.2523256922914473</v>
      </c>
      <c r="AL287" s="457">
        <f>Forecast!AI102</f>
        <v>-0.18116325748254467</v>
      </c>
      <c r="AM287" s="457">
        <f>Forecast!AJ102</f>
        <v>-0.19702023465096166</v>
      </c>
      <c r="AN287" s="458">
        <f>Forecast!AK102</f>
        <v>-0.1500101382083753</v>
      </c>
      <c r="AO287" s="457">
        <f>Forecast!AL102</f>
        <v>-0.16469031425290956</v>
      </c>
      <c r="AP287" s="456">
        <f>Forecast!AM102</f>
        <v>-5.5664750743889005E-2</v>
      </c>
      <c r="AQ287" s="456">
        <f>Forecast!AN102</f>
        <v>-3.9371900133788197E-2</v>
      </c>
      <c r="AR287" s="457">
        <f>Forecast!AO102</f>
        <v>3.0978740830163276E-2</v>
      </c>
      <c r="AS287" s="1305">
        <f>Forecast!AP102</f>
        <v>1.0465446708029517E-2</v>
      </c>
      <c r="AT287" s="457">
        <f>Forecast!AQ102</f>
        <v>8.329350329196529E-2</v>
      </c>
      <c r="AU287" s="457">
        <f>Forecast!AR102</f>
        <v>8.3797791424107843E-2</v>
      </c>
      <c r="AV287" s="458">
        <f>Forecast!AS102</f>
        <v>0.12988400035496717</v>
      </c>
      <c r="AW287" s="457">
        <f>Forecast!AT102</f>
        <v>9.4479036580507283E-2</v>
      </c>
      <c r="AX287" s="456">
        <f>Forecast!AU102</f>
        <v>0.14956290568056177</v>
      </c>
      <c r="AY287" s="456">
        <f>Forecast!AV102</f>
        <v>0.14697364477956573</v>
      </c>
      <c r="AZ287" s="456">
        <f>Forecast!AW102</f>
        <v>0.18283873704043321</v>
      </c>
    </row>
    <row r="288" spans="4:52" hidden="1" outlineLevel="1" x14ac:dyDescent="0.25">
      <c r="I288" s="1689"/>
      <c r="T288" s="373"/>
      <c r="U288" s="1690"/>
      <c r="V288" s="373"/>
      <c r="W288" s="373"/>
      <c r="X288" s="1689"/>
      <c r="Y288" s="373"/>
      <c r="AB288" s="373"/>
      <c r="AC288" s="1690"/>
      <c r="AD288" s="373"/>
      <c r="AE288" s="373"/>
      <c r="AF288" s="1689"/>
      <c r="AG288" s="373"/>
      <c r="AJ288" s="373"/>
      <c r="AK288" s="1690"/>
      <c r="AL288" s="373"/>
      <c r="AM288" s="373"/>
      <c r="AN288" s="1689"/>
      <c r="AO288" s="373"/>
      <c r="AR288" s="373"/>
      <c r="AS288" s="1690"/>
      <c r="AT288" s="373"/>
      <c r="AU288" s="373"/>
      <c r="AV288" s="1689"/>
      <c r="AW288" s="373"/>
    </row>
    <row r="289" spans="4:52" hidden="1" outlineLevel="1" x14ac:dyDescent="0.25">
      <c r="D289" s="3" t="str">
        <f>Forecast!C104</f>
        <v>Customer Counts</v>
      </c>
      <c r="E289" s="3"/>
      <c r="F289" s="3"/>
      <c r="G289" s="454"/>
      <c r="H289" s="454"/>
      <c r="I289" s="455"/>
      <c r="J289" s="454"/>
      <c r="K289" s="454"/>
      <c r="L289" s="454"/>
      <c r="M289" s="454"/>
      <c r="N289" s="454"/>
      <c r="O289" s="454"/>
      <c r="P289" s="1519"/>
      <c r="Q289" s="454"/>
      <c r="R289" s="454"/>
      <c r="S289" s="454"/>
      <c r="T289" s="1290"/>
      <c r="U289" s="1310"/>
      <c r="V289" s="1290"/>
      <c r="W289" s="1290"/>
      <c r="X289" s="455"/>
      <c r="Y289" s="1290"/>
      <c r="Z289" s="454"/>
      <c r="AA289" s="454"/>
      <c r="AB289" s="1290"/>
      <c r="AC289" s="1310"/>
      <c r="AD289" s="1290"/>
      <c r="AE289" s="1290"/>
      <c r="AF289" s="455"/>
      <c r="AG289" s="1290"/>
      <c r="AH289" s="454"/>
      <c r="AI289" s="454"/>
      <c r="AJ289" s="1290"/>
      <c r="AK289" s="1310"/>
      <c r="AL289" s="1290"/>
      <c r="AM289" s="1290"/>
      <c r="AN289" s="455"/>
      <c r="AO289" s="1290"/>
      <c r="AP289" s="454"/>
      <c r="AQ289" s="454"/>
      <c r="AR289" s="1290"/>
      <c r="AS289" s="1310"/>
      <c r="AT289" s="1290"/>
      <c r="AU289" s="1290"/>
      <c r="AV289" s="455"/>
      <c r="AW289" s="1290"/>
      <c r="AX289" s="454"/>
      <c r="AY289" s="454"/>
      <c r="AZ289" s="454"/>
    </row>
    <row r="290" spans="4:52" hidden="1" outlineLevel="1" x14ac:dyDescent="0.25">
      <c r="D290" s="446"/>
      <c r="E290" s="446"/>
      <c r="G290" s="446"/>
      <c r="H290" s="446"/>
      <c r="I290" s="447"/>
      <c r="J290" s="446"/>
      <c r="K290" s="446"/>
      <c r="L290" s="446"/>
      <c r="M290" s="446"/>
      <c r="N290" s="446"/>
      <c r="O290" s="446"/>
      <c r="Q290" s="446"/>
      <c r="R290" s="446"/>
      <c r="S290" s="446"/>
      <c r="T290" s="1291"/>
      <c r="U290" s="1311"/>
      <c r="V290" s="1291"/>
      <c r="W290" s="1291"/>
      <c r="X290" s="447"/>
      <c r="Y290" s="1291"/>
      <c r="Z290" s="446"/>
      <c r="AA290" s="446"/>
      <c r="AB290" s="1291"/>
      <c r="AC290" s="1311"/>
      <c r="AD290" s="1291"/>
      <c r="AE290" s="1291"/>
      <c r="AF290" s="447"/>
      <c r="AG290" s="1291"/>
      <c r="AH290" s="446"/>
      <c r="AI290" s="446"/>
      <c r="AJ290" s="1291"/>
      <c r="AK290" s="1311"/>
      <c r="AL290" s="1291"/>
      <c r="AM290" s="1291"/>
      <c r="AN290" s="447"/>
      <c r="AO290" s="1291"/>
      <c r="AP290" s="446"/>
      <c r="AQ290" s="446"/>
      <c r="AR290" s="1291"/>
      <c r="AS290" s="1311"/>
      <c r="AT290" s="1291"/>
      <c r="AU290" s="1291"/>
      <c r="AV290" s="447"/>
      <c r="AW290" s="1291"/>
      <c r="AX290" s="446"/>
      <c r="AY290" s="446"/>
      <c r="AZ290" s="446"/>
    </row>
    <row r="291" spans="4:52" hidden="1" outlineLevel="1" x14ac:dyDescent="0.25">
      <c r="D291" s="292" t="str">
        <f>Forecast!C106</f>
        <v>BOP Customer</v>
      </c>
      <c r="G291" s="452">
        <f>Forecast!D106</f>
        <v>470</v>
      </c>
      <c r="H291" s="452">
        <f>Forecast!E106</f>
        <v>843</v>
      </c>
      <c r="I291" s="453">
        <f>Forecast!F106</f>
        <v>1382</v>
      </c>
      <c r="J291" s="452">
        <f>Forecast!G106</f>
        <v>1732</v>
      </c>
      <c r="K291" s="452">
        <f>Forecast!H106</f>
        <v>2490.0745725759107</v>
      </c>
      <c r="L291" s="452">
        <f>Forecast!I106</f>
        <v>3339.7802789326756</v>
      </c>
      <c r="M291" s="452">
        <f>Forecast!J106</f>
        <v>4387.7050376904172</v>
      </c>
      <c r="N291" s="452">
        <f>Forecast!K106</f>
        <v>5587.0255494551911</v>
      </c>
      <c r="O291" s="452">
        <f>Forecast!L106</f>
        <v>6892.5114885894809</v>
      </c>
      <c r="Q291" s="452">
        <f>Forecast!N106</f>
        <v>470</v>
      </c>
      <c r="R291" s="452">
        <f>Forecast!O106</f>
        <v>538</v>
      </c>
      <c r="S291" s="452">
        <f>Forecast!P106</f>
        <v>618</v>
      </c>
      <c r="T291" s="1286">
        <f>Forecast!Q106</f>
        <v>703</v>
      </c>
      <c r="U291" s="1299">
        <f>Forecast!R106</f>
        <v>843</v>
      </c>
      <c r="V291" s="1286">
        <f>Forecast!S106</f>
        <v>1043</v>
      </c>
      <c r="W291" s="1286">
        <f>Forecast!T106</f>
        <v>1166</v>
      </c>
      <c r="X291" s="453">
        <f>Forecast!U106</f>
        <v>1264</v>
      </c>
      <c r="Y291" s="1286">
        <f>Forecast!V106</f>
        <v>1382</v>
      </c>
      <c r="Z291" s="452">
        <f>Forecast!W106</f>
        <v>1433</v>
      </c>
      <c r="AA291" s="452">
        <f>Forecast!X106</f>
        <v>1537</v>
      </c>
      <c r="AB291" s="1286">
        <f>Forecast!Y106</f>
        <v>1606</v>
      </c>
      <c r="AC291" s="1299">
        <f>Forecast!Z106</f>
        <v>1732</v>
      </c>
      <c r="AD291" s="1286">
        <f>Forecast!AA106</f>
        <v>1842</v>
      </c>
      <c r="AE291" s="1286">
        <f>Forecast!AB106</f>
        <v>1979</v>
      </c>
      <c r="AF291" s="453">
        <f>Forecast!AC106</f>
        <v>2197.2550848088749</v>
      </c>
      <c r="AG291" s="1286">
        <f>Forecast!AD106</f>
        <v>2490.0745725759107</v>
      </c>
      <c r="AH291" s="452">
        <f>Forecast!AE106</f>
        <v>2632.6855355955636</v>
      </c>
      <c r="AI291" s="452">
        <f>Forecast!AF106</f>
        <v>2833.7610736993347</v>
      </c>
      <c r="AJ291" s="1286">
        <f>Forecast!AG106</f>
        <v>3036.3341119163483</v>
      </c>
      <c r="AK291" s="1299">
        <f>Forecast!AH106</f>
        <v>3339.7802789326756</v>
      </c>
      <c r="AL291" s="1286">
        <f>Forecast!AI106</f>
        <v>3523.1835181940583</v>
      </c>
      <c r="AM291" s="1286">
        <f>Forecast!AJ106</f>
        <v>3787.6871039420271</v>
      </c>
      <c r="AN291" s="453">
        <f>Forecast!AK106</f>
        <v>4037.4583361914201</v>
      </c>
      <c r="AO291" s="1286">
        <f>Forecast!AL106</f>
        <v>4387.7050376904172</v>
      </c>
      <c r="AP291" s="452">
        <f>Forecast!AM106</f>
        <v>4597.9826356489029</v>
      </c>
      <c r="AQ291" s="452">
        <f>Forecast!AN106</f>
        <v>4900.4458924152041</v>
      </c>
      <c r="AR291" s="1286">
        <f>Forecast!AO106</f>
        <v>5185.9834184894717</v>
      </c>
      <c r="AS291" s="1299">
        <f>Forecast!AP106</f>
        <v>5587.0255494551911</v>
      </c>
      <c r="AT291" s="1286">
        <f>Forecast!AQ106</f>
        <v>5816.380276011444</v>
      </c>
      <c r="AU291" s="1286">
        <f>Forecast!AR106</f>
        <v>6145.3069757670146</v>
      </c>
      <c r="AV291" s="453">
        <f>Forecast!AS106</f>
        <v>6455.7300131022512</v>
      </c>
      <c r="AW291" s="1286">
        <f>Forecast!AT106</f>
        <v>6892.5114885894809</v>
      </c>
      <c r="AX291" s="452">
        <f>Forecast!AU106</f>
        <v>7132.415342854255</v>
      </c>
      <c r="AY291" s="452">
        <f>Forecast!AV106</f>
        <v>7475.2262737121237</v>
      </c>
      <c r="AZ291" s="452">
        <f>Forecast!AW106</f>
        <v>7798.6284965082068</v>
      </c>
    </row>
    <row r="292" spans="4:52" hidden="1" outlineLevel="1" x14ac:dyDescent="0.25">
      <c r="D292" s="377" t="str">
        <f>Forecast!C107</f>
        <v>Acquisition</v>
      </c>
      <c r="E292" s="377"/>
      <c r="F292" s="377"/>
      <c r="G292" s="452">
        <f>Forecast!D107</f>
        <v>0</v>
      </c>
      <c r="H292" s="452">
        <f>Forecast!E107</f>
        <v>101</v>
      </c>
      <c r="I292" s="453">
        <f>Forecast!F107</f>
        <v>0</v>
      </c>
      <c r="J292" s="452">
        <f>Forecast!G107</f>
        <v>0</v>
      </c>
      <c r="K292" s="452">
        <f>Forecast!H107</f>
        <v>0</v>
      </c>
      <c r="L292" s="452">
        <f>Forecast!I107</f>
        <v>0</v>
      </c>
      <c r="M292" s="452">
        <f>Forecast!J107</f>
        <v>0</v>
      </c>
      <c r="N292" s="452">
        <f>Forecast!K107</f>
        <v>0</v>
      </c>
      <c r="O292" s="452">
        <f>Forecast!L107</f>
        <v>0</v>
      </c>
      <c r="Q292" s="439">
        <f>Forecast!N107</f>
        <v>0</v>
      </c>
      <c r="R292" s="439">
        <f>Forecast!O107</f>
        <v>0</v>
      </c>
      <c r="S292" s="439">
        <f>Forecast!P107</f>
        <v>0</v>
      </c>
      <c r="T292" s="440">
        <f>Forecast!Q107</f>
        <v>0</v>
      </c>
      <c r="U292" s="1309">
        <f>Forecast!R107</f>
        <v>101</v>
      </c>
      <c r="V292" s="440">
        <f>Forecast!S107</f>
        <v>0</v>
      </c>
      <c r="W292" s="440">
        <f>Forecast!T107</f>
        <v>0</v>
      </c>
      <c r="X292" s="441">
        <f>Forecast!U107</f>
        <v>0</v>
      </c>
      <c r="Y292" s="440">
        <f>Forecast!V107</f>
        <v>0</v>
      </c>
      <c r="Z292" s="439">
        <f>Forecast!W107</f>
        <v>0</v>
      </c>
      <c r="AA292" s="439">
        <f>Forecast!X107</f>
        <v>0</v>
      </c>
      <c r="AB292" s="440">
        <f>Forecast!Y107</f>
        <v>0</v>
      </c>
      <c r="AC292" s="1309">
        <f>Forecast!Z107</f>
        <v>0</v>
      </c>
      <c r="AD292" s="440">
        <f>Forecast!AA107</f>
        <v>0</v>
      </c>
      <c r="AE292" s="440">
        <f>Forecast!AB107</f>
        <v>0</v>
      </c>
      <c r="AF292" s="441">
        <f>Forecast!AC107</f>
        <v>0</v>
      </c>
      <c r="AG292" s="440">
        <f>Forecast!AD107</f>
        <v>0</v>
      </c>
      <c r="AH292" s="439">
        <f>Forecast!AE107</f>
        <v>0</v>
      </c>
      <c r="AI292" s="439">
        <f>Forecast!AF107</f>
        <v>0</v>
      </c>
      <c r="AJ292" s="440">
        <f>Forecast!AG107</f>
        <v>0</v>
      </c>
      <c r="AK292" s="1309">
        <f>Forecast!AH107</f>
        <v>0</v>
      </c>
      <c r="AL292" s="440">
        <f>Forecast!AI107</f>
        <v>0</v>
      </c>
      <c r="AM292" s="440">
        <f>Forecast!AJ107</f>
        <v>0</v>
      </c>
      <c r="AN292" s="441">
        <f>Forecast!AK107</f>
        <v>0</v>
      </c>
      <c r="AO292" s="440">
        <f>Forecast!AL107</f>
        <v>0</v>
      </c>
      <c r="AP292" s="439">
        <f>Forecast!AM107</f>
        <v>0</v>
      </c>
      <c r="AQ292" s="439">
        <f>Forecast!AN107</f>
        <v>0</v>
      </c>
      <c r="AR292" s="440">
        <f>Forecast!AO107</f>
        <v>0</v>
      </c>
      <c r="AS292" s="1309">
        <f>Forecast!AP107</f>
        <v>0</v>
      </c>
      <c r="AT292" s="440">
        <f>Forecast!AQ107</f>
        <v>0</v>
      </c>
      <c r="AU292" s="440">
        <f>Forecast!AR107</f>
        <v>0</v>
      </c>
      <c r="AV292" s="441">
        <f>Forecast!AS107</f>
        <v>0</v>
      </c>
      <c r="AW292" s="440">
        <f>Forecast!AT107</f>
        <v>0</v>
      </c>
      <c r="AX292" s="439">
        <f>Forecast!AU107</f>
        <v>0</v>
      </c>
      <c r="AY292" s="439">
        <f>Forecast!AV107</f>
        <v>0</v>
      </c>
      <c r="AZ292" s="439">
        <f>Forecast!AW107</f>
        <v>0</v>
      </c>
    </row>
    <row r="293" spans="4:52" hidden="1" outlineLevel="1" x14ac:dyDescent="0.25">
      <c r="D293" s="377" t="str">
        <f>Forecast!C108</f>
        <v>New Customer</v>
      </c>
      <c r="E293" s="377"/>
      <c r="F293" s="377"/>
      <c r="G293" s="452">
        <f>Forecast!D108</f>
        <v>430</v>
      </c>
      <c r="H293" s="452">
        <f>Forecast!E108</f>
        <v>570</v>
      </c>
      <c r="I293" s="453">
        <f>Forecast!F108</f>
        <v>562</v>
      </c>
      <c r="J293" s="452">
        <f>Forecast!G108</f>
        <v>1033.5933893460608</v>
      </c>
      <c r="K293" s="452">
        <f>Forecast!H108</f>
        <v>1119.4656379471251</v>
      </c>
      <c r="L293" s="452">
        <f>Forecast!I108</f>
        <v>1377.6753696111577</v>
      </c>
      <c r="M293" s="452">
        <f>Forecast!J108</f>
        <v>1560.557926525727</v>
      </c>
      <c r="N293" s="452">
        <f>Forecast!K108</f>
        <v>1678.8979289260255</v>
      </c>
      <c r="O293" s="452">
        <f>Forecast!L108</f>
        <v>1726.5146569286685</v>
      </c>
      <c r="Q293" s="439">
        <f>Forecast!N108</f>
        <v>85</v>
      </c>
      <c r="R293" s="439">
        <f>Forecast!O108</f>
        <v>88</v>
      </c>
      <c r="S293" s="439">
        <f>Forecast!P108</f>
        <v>96</v>
      </c>
      <c r="T293" s="440">
        <f>Forecast!Q108</f>
        <v>161</v>
      </c>
      <c r="U293" s="1309">
        <f>Forecast!R108</f>
        <v>122</v>
      </c>
      <c r="V293" s="440">
        <f>Forecast!S108</f>
        <v>158</v>
      </c>
      <c r="W293" s="440">
        <f>Forecast!T108</f>
        <v>127</v>
      </c>
      <c r="X293" s="441">
        <f>Forecast!U108</f>
        <v>163</v>
      </c>
      <c r="Y293" s="440">
        <f>Forecast!V108</f>
        <v>103</v>
      </c>
      <c r="Z293" s="439">
        <f>Forecast!W108</f>
        <v>161</v>
      </c>
      <c r="AA293" s="439">
        <f>Forecast!X108</f>
        <v>118</v>
      </c>
      <c r="AB293" s="440">
        <f>Forecast!Y108</f>
        <v>180</v>
      </c>
      <c r="AC293" s="1309">
        <f>Forecast!Z108</f>
        <v>164</v>
      </c>
      <c r="AD293" s="440">
        <f>Forecast!AA108</f>
        <v>197</v>
      </c>
      <c r="AE293" s="440">
        <f>Forecast!AB108</f>
        <v>284.17565032363643</v>
      </c>
      <c r="AF293" s="441">
        <f>Forecast!AC108</f>
        <v>388.41773902242426</v>
      </c>
      <c r="AG293" s="440">
        <f>Forecast!AD108</f>
        <v>198.11646096321192</v>
      </c>
      <c r="AH293" s="439">
        <f>Forecast!AE108</f>
        <v>263.59511237155806</v>
      </c>
      <c r="AI293" s="439">
        <f>Forecast!AF108</f>
        <v>259.87382521177915</v>
      </c>
      <c r="AJ293" s="440">
        <f>Forecast!AG108</f>
        <v>397.88023940057587</v>
      </c>
      <c r="AK293" s="1309">
        <f>Forecast!AH108</f>
        <v>251.25235141346229</v>
      </c>
      <c r="AL293" s="440">
        <f>Forecast!AI108</f>
        <v>340.92660262656227</v>
      </c>
      <c r="AM293" s="440">
        <f>Forecast!AJ108</f>
        <v>319.81487958615975</v>
      </c>
      <c r="AN293" s="441">
        <f>Forecast!AK108</f>
        <v>465.68153598497349</v>
      </c>
      <c r="AO293" s="440">
        <f>Forecast!AL108</f>
        <v>284.60539921474583</v>
      </c>
      <c r="AP293" s="439">
        <f>Forecast!AM108</f>
        <v>386.1836567801405</v>
      </c>
      <c r="AQ293" s="439">
        <f>Forecast!AN108</f>
        <v>362.26941147965664</v>
      </c>
      <c r="AR293" s="440">
        <f>Forecast!AO108</f>
        <v>527.4994590511842</v>
      </c>
      <c r="AS293" s="1309">
        <f>Forecast!AP108</f>
        <v>306.18755457964994</v>
      </c>
      <c r="AT293" s="440">
        <f>Forecast!AQ108</f>
        <v>415.46867984369447</v>
      </c>
      <c r="AU293" s="440">
        <f>Forecast!AR108</f>
        <v>389.74097296119743</v>
      </c>
      <c r="AV293" s="441">
        <f>Forecast!AS108</f>
        <v>567.50072154148381</v>
      </c>
      <c r="AW293" s="440">
        <f>Forecast!AT108</f>
        <v>314.87161407666781</v>
      </c>
      <c r="AX293" s="439">
        <f>Forecast!AU108</f>
        <v>427.25215922078178</v>
      </c>
      <c r="AY293" s="439">
        <f>Forecast!AV108</f>
        <v>400.79476579829395</v>
      </c>
      <c r="AZ293" s="439">
        <f>Forecast!AW108</f>
        <v>583.59611783292519</v>
      </c>
    </row>
    <row r="294" spans="4:52" hidden="1" outlineLevel="1" x14ac:dyDescent="0.25">
      <c r="D294" s="377" t="str">
        <f>Forecast!C109</f>
        <v>Churn Customer</v>
      </c>
      <c r="E294" s="377"/>
      <c r="F294" s="377"/>
      <c r="G294" s="450">
        <f>Forecast!D109</f>
        <v>-57</v>
      </c>
      <c r="H294" s="450">
        <f>Forecast!E109</f>
        <v>-132</v>
      </c>
      <c r="I294" s="451">
        <f>Forecast!F109</f>
        <v>-212</v>
      </c>
      <c r="J294" s="450">
        <f>Forecast!G109</f>
        <v>-275.51881677014995</v>
      </c>
      <c r="K294" s="450">
        <f>Forecast!H109</f>
        <v>-269.7599315903596</v>
      </c>
      <c r="L294" s="450">
        <f>Forecast!I109</f>
        <v>-329.75061085341639</v>
      </c>
      <c r="M294" s="450">
        <f>Forecast!J109</f>
        <v>-361.23741476095336</v>
      </c>
      <c r="N294" s="450">
        <f>Forecast!K109</f>
        <v>-373.41198979173623</v>
      </c>
      <c r="O294" s="450">
        <f>Forecast!L109</f>
        <v>-364.34765036975233</v>
      </c>
      <c r="Q294" s="442">
        <f>Forecast!N109</f>
        <v>-17</v>
      </c>
      <c r="R294" s="442">
        <f>Forecast!O109</f>
        <v>-8</v>
      </c>
      <c r="S294" s="442">
        <f>Forecast!P109</f>
        <v>-11</v>
      </c>
      <c r="T294" s="442">
        <f>Forecast!Q109</f>
        <v>-21</v>
      </c>
      <c r="U294" s="1312">
        <f>Forecast!R109</f>
        <v>-23</v>
      </c>
      <c r="V294" s="442">
        <f>Forecast!S109</f>
        <v>-35</v>
      </c>
      <c r="W294" s="442">
        <f>Forecast!T109</f>
        <v>-29</v>
      </c>
      <c r="X294" s="443">
        <f>Forecast!U109</f>
        <v>-45</v>
      </c>
      <c r="Y294" s="442">
        <f>Forecast!V109</f>
        <v>-52</v>
      </c>
      <c r="Z294" s="442">
        <f>Forecast!W109</f>
        <v>-57</v>
      </c>
      <c r="AA294" s="442">
        <f>Forecast!X109</f>
        <v>-49</v>
      </c>
      <c r="AB294" s="442">
        <f>Forecast!Y109</f>
        <v>-54</v>
      </c>
      <c r="AC294" s="1312">
        <f>Forecast!Z109</f>
        <v>-54</v>
      </c>
      <c r="AD294" s="442">
        <f>Forecast!AA109</f>
        <v>-60</v>
      </c>
      <c r="AE294" s="442">
        <f>Forecast!AB109</f>
        <v>-65.920565514761819</v>
      </c>
      <c r="AF294" s="443">
        <f>Forecast!AC109</f>
        <v>-95.598251255388163</v>
      </c>
      <c r="AG294" s="442">
        <f>Forecast!AD109</f>
        <v>-55.505497943559114</v>
      </c>
      <c r="AH294" s="442">
        <f>Forecast!AE109</f>
        <v>-62.519574267786979</v>
      </c>
      <c r="AI294" s="442">
        <f>Forecast!AF109</f>
        <v>-57.300786994765403</v>
      </c>
      <c r="AJ294" s="442">
        <f>Forecast!AG109</f>
        <v>-94.43407238424814</v>
      </c>
      <c r="AK294" s="1312">
        <f>Forecast!AH109</f>
        <v>-67.849112152079726</v>
      </c>
      <c r="AL294" s="442">
        <f>Forecast!AI109</f>
        <v>-76.423016878593501</v>
      </c>
      <c r="AM294" s="442">
        <f>Forecast!AJ109</f>
        <v>-70.043647336766426</v>
      </c>
      <c r="AN294" s="443">
        <f>Forecast!AK109</f>
        <v>-115.43483448597672</v>
      </c>
      <c r="AO294" s="442">
        <f>Forecast!AL109</f>
        <v>-74.327801256260599</v>
      </c>
      <c r="AP294" s="442">
        <f>Forecast!AM109</f>
        <v>-83.720400013839125</v>
      </c>
      <c r="AQ294" s="442">
        <f>Forecast!AN109</f>
        <v>-76.731885405389221</v>
      </c>
      <c r="AR294" s="442">
        <f>Forecast!AO109</f>
        <v>-126.4573280854644</v>
      </c>
      <c r="AS294" s="1312">
        <f>Forecast!AP109</f>
        <v>-76.832828023397326</v>
      </c>
      <c r="AT294" s="442">
        <f>Forecast!AQ109</f>
        <v>-86.541980088123864</v>
      </c>
      <c r="AU294" s="442">
        <f>Forecast!AR109</f>
        <v>-79.317935625960999</v>
      </c>
      <c r="AV294" s="443">
        <f>Forecast!AS109</f>
        <v>-130.719246054254</v>
      </c>
      <c r="AW294" s="442">
        <f>Forecast!AT109</f>
        <v>-74.967759811893416</v>
      </c>
      <c r="AX294" s="442">
        <f>Forecast!AU109</f>
        <v>-84.441228362913222</v>
      </c>
      <c r="AY294" s="442">
        <f>Forecast!AV109</f>
        <v>-77.392543002211113</v>
      </c>
      <c r="AZ294" s="442">
        <f>Forecast!AW109</f>
        <v>-127.54611919273452</v>
      </c>
    </row>
    <row r="295" spans="4:52" hidden="1" outlineLevel="1" x14ac:dyDescent="0.25">
      <c r="D295" s="1" t="str">
        <f>Forecast!C110</f>
        <v>EOP Customer</v>
      </c>
      <c r="E295" s="1"/>
      <c r="F295" s="1"/>
      <c r="G295" s="448">
        <f>Forecast!D110</f>
        <v>843</v>
      </c>
      <c r="H295" s="448">
        <f>Forecast!E110</f>
        <v>1382</v>
      </c>
      <c r="I295" s="449">
        <f>Forecast!F110</f>
        <v>1732</v>
      </c>
      <c r="J295" s="448">
        <f>Forecast!G110</f>
        <v>2490.0745725759107</v>
      </c>
      <c r="K295" s="448">
        <f>Forecast!H110</f>
        <v>3339.7802789326765</v>
      </c>
      <c r="L295" s="448">
        <f>Forecast!I110</f>
        <v>4387.7050376904172</v>
      </c>
      <c r="M295" s="448">
        <f>Forecast!J110</f>
        <v>5587.0255494551911</v>
      </c>
      <c r="N295" s="448">
        <f>Forecast!K110</f>
        <v>6892.5114885894809</v>
      </c>
      <c r="O295" s="448">
        <f>Forecast!L110</f>
        <v>8254.6784951483969</v>
      </c>
      <c r="P295" s="1519"/>
      <c r="Q295" s="448">
        <f>Forecast!N110</f>
        <v>538</v>
      </c>
      <c r="R295" s="448">
        <f>Forecast!O110</f>
        <v>618</v>
      </c>
      <c r="S295" s="448">
        <f>Forecast!P110</f>
        <v>703</v>
      </c>
      <c r="T295" s="1292">
        <f>Forecast!Q110</f>
        <v>843</v>
      </c>
      <c r="U295" s="1313">
        <f>Forecast!R110</f>
        <v>1043</v>
      </c>
      <c r="V295" s="1292">
        <f>Forecast!S110</f>
        <v>1166</v>
      </c>
      <c r="W295" s="1292">
        <f>Forecast!T110</f>
        <v>1264</v>
      </c>
      <c r="X295" s="449">
        <f>Forecast!U110</f>
        <v>1382</v>
      </c>
      <c r="Y295" s="1292">
        <f>Forecast!V110</f>
        <v>1433</v>
      </c>
      <c r="Z295" s="448">
        <f>Forecast!W110</f>
        <v>1537</v>
      </c>
      <c r="AA295" s="448">
        <f>Forecast!X110</f>
        <v>1606</v>
      </c>
      <c r="AB295" s="1292">
        <f>Forecast!Y110</f>
        <v>1732</v>
      </c>
      <c r="AC295" s="1313">
        <f>Forecast!Z110</f>
        <v>1842</v>
      </c>
      <c r="AD295" s="1292">
        <f>Forecast!AA110</f>
        <v>1979</v>
      </c>
      <c r="AE295" s="1292">
        <f>Forecast!AB110</f>
        <v>2197.2550848088749</v>
      </c>
      <c r="AF295" s="449">
        <f>Forecast!AC110</f>
        <v>2490.0745725759107</v>
      </c>
      <c r="AG295" s="1292">
        <f>Forecast!AD110</f>
        <v>2632.6855355955636</v>
      </c>
      <c r="AH295" s="448">
        <f>Forecast!AE110</f>
        <v>2833.7610736993347</v>
      </c>
      <c r="AI295" s="448">
        <f>Forecast!AF110</f>
        <v>3036.3341119163483</v>
      </c>
      <c r="AJ295" s="1292">
        <f>Forecast!AG110</f>
        <v>3339.7802789326756</v>
      </c>
      <c r="AK295" s="1313">
        <f>Forecast!AH110</f>
        <v>3523.1835181940583</v>
      </c>
      <c r="AL295" s="1292">
        <f>Forecast!AI110</f>
        <v>3787.6871039420271</v>
      </c>
      <c r="AM295" s="1292">
        <f>Forecast!AJ110</f>
        <v>4037.4583361914201</v>
      </c>
      <c r="AN295" s="449">
        <f>Forecast!AK110</f>
        <v>4387.7050376904172</v>
      </c>
      <c r="AO295" s="1292">
        <f>Forecast!AL110</f>
        <v>4597.9826356489029</v>
      </c>
      <c r="AP295" s="448">
        <f>Forecast!AM110</f>
        <v>4900.4458924152041</v>
      </c>
      <c r="AQ295" s="448">
        <f>Forecast!AN110</f>
        <v>5185.9834184894717</v>
      </c>
      <c r="AR295" s="1292">
        <f>Forecast!AO110</f>
        <v>5587.0255494551911</v>
      </c>
      <c r="AS295" s="1313">
        <f>Forecast!AP110</f>
        <v>5816.380276011444</v>
      </c>
      <c r="AT295" s="1292">
        <f>Forecast!AQ110</f>
        <v>6145.3069757670146</v>
      </c>
      <c r="AU295" s="1292">
        <f>Forecast!AR110</f>
        <v>6455.7300131022512</v>
      </c>
      <c r="AV295" s="449">
        <f>Forecast!AS110</f>
        <v>6892.5114885894809</v>
      </c>
      <c r="AW295" s="1292">
        <f>Forecast!AT110</f>
        <v>7132.415342854255</v>
      </c>
      <c r="AX295" s="448">
        <f>Forecast!AU110</f>
        <v>7475.2262737121237</v>
      </c>
      <c r="AY295" s="448">
        <f>Forecast!AV110</f>
        <v>7798.6284965082068</v>
      </c>
      <c r="AZ295" s="448">
        <f>Forecast!AW110</f>
        <v>8254.6784951483969</v>
      </c>
    </row>
    <row r="296" spans="4:52" hidden="1" outlineLevel="1" x14ac:dyDescent="0.25">
      <c r="D296" s="446"/>
      <c r="E296" s="446"/>
      <c r="G296" s="446"/>
      <c r="H296" s="446"/>
      <c r="I296" s="447"/>
      <c r="J296" s="446"/>
      <c r="K296" s="446"/>
      <c r="L296" s="446"/>
      <c r="M296" s="446"/>
      <c r="N296" s="446"/>
      <c r="O296" s="446"/>
      <c r="Q296" s="446"/>
      <c r="R296" s="446"/>
      <c r="S296" s="446"/>
      <c r="T296" s="1291"/>
      <c r="U296" s="1311"/>
      <c r="V296" s="1291"/>
      <c r="W296" s="1291"/>
      <c r="X296" s="447"/>
      <c r="Y296" s="1291"/>
      <c r="Z296" s="446"/>
      <c r="AA296" s="446"/>
      <c r="AB296" s="1291"/>
      <c r="AC296" s="1311"/>
      <c r="AD296" s="1291"/>
      <c r="AE296" s="1291"/>
      <c r="AF296" s="447"/>
      <c r="AG296" s="1291"/>
      <c r="AH296" s="446"/>
      <c r="AI296" s="446"/>
      <c r="AJ296" s="1291"/>
      <c r="AK296" s="1311"/>
      <c r="AL296" s="1291"/>
      <c r="AM296" s="1291"/>
      <c r="AN296" s="447"/>
      <c r="AO296" s="1291"/>
      <c r="AP296" s="446"/>
      <c r="AQ296" s="446"/>
      <c r="AR296" s="1291"/>
      <c r="AS296" s="1311"/>
      <c r="AT296" s="1291"/>
      <c r="AU296" s="1291"/>
      <c r="AV296" s="447"/>
      <c r="AW296" s="1291"/>
      <c r="AX296" s="446"/>
      <c r="AY296" s="446"/>
      <c r="AZ296" s="446"/>
    </row>
    <row r="297" spans="4:52" hidden="1" outlineLevel="1" x14ac:dyDescent="0.25">
      <c r="D297" s="292" t="str">
        <f>Forecast!C112</f>
        <v>ARPA New</v>
      </c>
      <c r="G297" s="439">
        <f>Forecast!D112</f>
        <v>30026.21406976744</v>
      </c>
      <c r="H297" s="439">
        <f>Forecast!E112</f>
        <v>29871.54104299123</v>
      </c>
      <c r="I297" s="441">
        <f>Forecast!F112</f>
        <v>30931.857741975091</v>
      </c>
      <c r="J297" s="440">
        <f>Forecast!G112</f>
        <v>31778.50256270267</v>
      </c>
      <c r="K297" s="445">
        <f>Forecast!H112</f>
        <v>33954.253989328783</v>
      </c>
      <c r="L297" s="445">
        <f>Forecast!I112</f>
        <v>37730.129547952856</v>
      </c>
      <c r="M297" s="445">
        <f>Forecast!J112</f>
        <v>43602.93656278868</v>
      </c>
      <c r="N297" s="445">
        <f>Forecast!K112</f>
        <v>52405.458016292403</v>
      </c>
      <c r="O297" s="1517">
        <f>Forecast!L112</f>
        <v>65504.425532907509</v>
      </c>
      <c r="Q297" s="439">
        <f>Forecast!N112</f>
        <v>27552.316823529414</v>
      </c>
      <c r="R297" s="439">
        <f>Forecast!O112</f>
        <v>33125.179318181814</v>
      </c>
      <c r="S297" s="439">
        <f>Forecast!P112</f>
        <v>29565.505208333332</v>
      </c>
      <c r="T297" s="440">
        <f>Forecast!Q112</f>
        <v>29913.172919254659</v>
      </c>
      <c r="U297" s="1309">
        <f>Forecast!R112</f>
        <v>31898.008032786889</v>
      </c>
      <c r="V297" s="440">
        <f>Forecast!S112</f>
        <v>26801.220569620251</v>
      </c>
      <c r="W297" s="440">
        <f>Forecast!T112</f>
        <v>31785.208267716534</v>
      </c>
      <c r="X297" s="441">
        <f>Forecast!U112</f>
        <v>29839.920947883438</v>
      </c>
      <c r="Y297" s="440">
        <f>Forecast!V112</f>
        <v>29254.984514029125</v>
      </c>
      <c r="Z297" s="439">
        <f>Forecast!W112</f>
        <v>29203.322228509318</v>
      </c>
      <c r="AA297" s="439">
        <f>Forecast!X112</f>
        <v>32246.707990923729</v>
      </c>
      <c r="AB297" s="440">
        <f>Forecast!Y112</f>
        <v>32575.523468477775</v>
      </c>
      <c r="AC297" s="1309">
        <f>Forecast!Z112</f>
        <v>30857.144680207319</v>
      </c>
      <c r="AD297" s="440">
        <f>Forecast!AA112</f>
        <v>34428.58185908122</v>
      </c>
      <c r="AE297" s="440">
        <f>Forecast!AB112</f>
        <v>31198.986635799152</v>
      </c>
      <c r="AF297" s="441">
        <f>Forecast!AC112</f>
        <v>31247.42843159891</v>
      </c>
      <c r="AG297" s="440">
        <f>Forecast!AD112</f>
        <v>33954.253989328783</v>
      </c>
      <c r="AH297" s="439">
        <f>Forecast!AE112</f>
        <v>33954.25398932879</v>
      </c>
      <c r="AI297" s="439">
        <f>Forecast!AF112</f>
        <v>33954.253989328783</v>
      </c>
      <c r="AJ297" s="440">
        <f>Forecast!AG112</f>
        <v>33954.253989328783</v>
      </c>
      <c r="AK297" s="1309">
        <f>Forecast!AH112</f>
        <v>37730.129547952864</v>
      </c>
      <c r="AL297" s="440">
        <f>Forecast!AI112</f>
        <v>37730.129547952856</v>
      </c>
      <c r="AM297" s="440">
        <f>Forecast!AJ112</f>
        <v>37730.129547952856</v>
      </c>
      <c r="AN297" s="441">
        <f>Forecast!AK112</f>
        <v>37730.129547952849</v>
      </c>
      <c r="AO297" s="440">
        <f>Forecast!AL112</f>
        <v>43602.936562788687</v>
      </c>
      <c r="AP297" s="439">
        <f>Forecast!AM112</f>
        <v>43602.93656278868</v>
      </c>
      <c r="AQ297" s="439">
        <f>Forecast!AN112</f>
        <v>43602.936562788673</v>
      </c>
      <c r="AR297" s="440">
        <f>Forecast!AO112</f>
        <v>43602.93656278868</v>
      </c>
      <c r="AS297" s="1309">
        <f>Forecast!AP112</f>
        <v>52405.458016292403</v>
      </c>
      <c r="AT297" s="440">
        <f>Forecast!AQ112</f>
        <v>52405.458016292396</v>
      </c>
      <c r="AU297" s="440">
        <f>Forecast!AR112</f>
        <v>52405.458016292403</v>
      </c>
      <c r="AV297" s="441">
        <f>Forecast!AS112</f>
        <v>52405.458016292403</v>
      </c>
      <c r="AW297" s="440">
        <f>Forecast!AT112</f>
        <v>65504.425532907517</v>
      </c>
      <c r="AX297" s="439">
        <f>Forecast!AU112</f>
        <v>65504.425532907502</v>
      </c>
      <c r="AY297" s="439">
        <f>Forecast!AV112</f>
        <v>65504.425532907509</v>
      </c>
      <c r="AZ297" s="439">
        <f>Forecast!AW112</f>
        <v>65504.425532907509</v>
      </c>
    </row>
    <row r="298" spans="4:52" hidden="1" outlineLevel="1" x14ac:dyDescent="0.25">
      <c r="D298" s="292" t="str">
        <f>Forecast!C113</f>
        <v>ARPA Base</v>
      </c>
      <c r="G298" s="439">
        <f>Forecast!D113</f>
        <v>36847.473487544477</v>
      </c>
      <c r="H298" s="439">
        <f>Forecast!E113</f>
        <v>40303.245145379879</v>
      </c>
      <c r="I298" s="441">
        <f>Forecast!F113</f>
        <v>47586.886753715335</v>
      </c>
      <c r="J298" s="440">
        <f>Forecast!G113</f>
        <v>56124.360168598731</v>
      </c>
      <c r="K298" s="445">
        <f>Forecast!H113</f>
        <v>68841.266575443849</v>
      </c>
      <c r="L298" s="445">
        <f>Forecast!I113</f>
        <v>87817.211069380661</v>
      </c>
      <c r="M298" s="445">
        <f>Forecast!J113</f>
        <v>116504.7864657567</v>
      </c>
      <c r="N298" s="445">
        <f>Forecast!K113</f>
        <v>160746.39251588323</v>
      </c>
      <c r="O298" s="1517">
        <f>Forecast!L113</f>
        <v>230659.86926677707</v>
      </c>
      <c r="Q298" s="439">
        <f>Forecast!N113</f>
        <v>31166.893977695152</v>
      </c>
      <c r="R298" s="439">
        <f>Forecast!O113</f>
        <v>33206.25</v>
      </c>
      <c r="S298" s="439">
        <f>Forecast!P113</f>
        <v>34910.086714082499</v>
      </c>
      <c r="T298" s="440">
        <f>Forecast!Q113</f>
        <v>36644.443523131667</v>
      </c>
      <c r="U298" s="1309">
        <f>Forecast!R113</f>
        <v>34384.155512943435</v>
      </c>
      <c r="V298" s="440">
        <f>Forecast!S113</f>
        <v>36569.003010291592</v>
      </c>
      <c r="W298" s="440">
        <f>Forecast!T113</f>
        <v>38033.797325949366</v>
      </c>
      <c r="X298" s="441">
        <f>Forecast!U113</f>
        <v>40341.948806740227</v>
      </c>
      <c r="Y298" s="440">
        <f>Forecast!V113</f>
        <v>41790.528760406822</v>
      </c>
      <c r="Z298" s="439">
        <f>Forecast!W113</f>
        <v>43307.90632152828</v>
      </c>
      <c r="AA298" s="439">
        <f>Forecast!X113</f>
        <v>45621.503078062233</v>
      </c>
      <c r="AB298" s="440">
        <f>Forecast!Y113</f>
        <v>47624.960672179543</v>
      </c>
      <c r="AC298" s="1309">
        <f>Forecast!Z113</f>
        <v>48761.009629762193</v>
      </c>
      <c r="AD298" s="440">
        <f>Forecast!AA113</f>
        <v>51832.923107578557</v>
      </c>
      <c r="AE298" s="440">
        <f>Forecast!AB113</f>
        <v>53874.516280979158</v>
      </c>
      <c r="AF298" s="441">
        <f>Forecast!AC113</f>
        <v>55978.683939368762</v>
      </c>
      <c r="AG298" s="440">
        <f>Forecast!AD113</f>
        <v>57824.911654113814</v>
      </c>
      <c r="AH298" s="439">
        <f>Forecast!AE113</f>
        <v>60081.159349256079</v>
      </c>
      <c r="AI298" s="439">
        <f>Forecast!AF113</f>
        <v>61983.030269292474</v>
      </c>
      <c r="AJ298" s="440">
        <f>Forecast!AG113</f>
        <v>64495.214029640098</v>
      </c>
      <c r="AK298" s="1309">
        <f>Forecast!AH113</f>
        <v>66803.93240245276</v>
      </c>
      <c r="AL298" s="440">
        <f>Forecast!AI113</f>
        <v>69507.91337242529</v>
      </c>
      <c r="AM298" s="440">
        <f>Forecast!AJ113</f>
        <v>71714.497755242672</v>
      </c>
      <c r="AN298" s="441">
        <f>Forecast!AK113</f>
        <v>74546.414058352952</v>
      </c>
      <c r="AO298" s="440">
        <f>Forecast!AL113</f>
        <v>77429.948572363966</v>
      </c>
      <c r="AP298" s="439">
        <f>Forecast!AM113</f>
        <v>80906.931494151489</v>
      </c>
      <c r="AQ298" s="439">
        <f>Forecast!AN113</f>
        <v>83794.958406729857</v>
      </c>
      <c r="AR298" s="440">
        <f>Forecast!AO113</f>
        <v>87520.052388371987</v>
      </c>
      <c r="AS298" s="1309">
        <f>Forecast!AP113</f>
        <v>91156.540130618043</v>
      </c>
      <c r="AT298" s="440">
        <f>Forecast!AQ113</f>
        <v>95657.902139861719</v>
      </c>
      <c r="AU298" s="440">
        <f>Forecast!AR113</f>
        <v>99462.55641861925</v>
      </c>
      <c r="AV298" s="441">
        <f>Forecast!AS113</f>
        <v>104408.58639570315</v>
      </c>
      <c r="AW298" s="440">
        <f>Forecast!AT113</f>
        <v>108988.42568401096</v>
      </c>
      <c r="AX298" s="439">
        <f>Forecast!AU113</f>
        <v>114786.41148750579</v>
      </c>
      <c r="AY298" s="439">
        <f>Forecast!AV113</f>
        <v>119766.23580639501</v>
      </c>
      <c r="AZ298" s="439">
        <f>Forecast!AW113</f>
        <v>126299.12841382717</v>
      </c>
    </row>
    <row r="299" spans="4:52" hidden="1" outlineLevel="1" x14ac:dyDescent="0.25">
      <c r="D299" s="292" t="str">
        <f>Forecast!C114</f>
        <v>Churn ARPA</v>
      </c>
      <c r="G299" s="439">
        <f>Forecast!D114</f>
        <v>25504.30543859649</v>
      </c>
      <c r="H299" s="439">
        <f>Forecast!E114</f>
        <v>22189.310530303028</v>
      </c>
      <c r="I299" s="441">
        <f>Forecast!F114</f>
        <v>27008.392154089623</v>
      </c>
      <c r="J299" s="440">
        <f>Forecast!G114</f>
        <v>24190.113185892118</v>
      </c>
      <c r="K299" s="439">
        <f>Forecast!H114</f>
        <v>41304.759945266313</v>
      </c>
      <c r="L299" s="439">
        <f>Forecast!I114</f>
        <v>52690.326641628402</v>
      </c>
      <c r="M299" s="439">
        <f>Forecast!J114</f>
        <v>69902.871879454018</v>
      </c>
      <c r="N299" s="439">
        <f>Forecast!K114</f>
        <v>96447.835509529919</v>
      </c>
      <c r="O299" s="439">
        <f>Forecast!L114</f>
        <v>0</v>
      </c>
      <c r="Q299" s="439">
        <f>Forecast!N114</f>
        <v>14768.199999999999</v>
      </c>
      <c r="R299" s="439">
        <f>Forecast!O114</f>
        <v>34481.375</v>
      </c>
      <c r="S299" s="439">
        <f>Forecast!P114</f>
        <v>23821.636363636364</v>
      </c>
      <c r="T299" s="440">
        <f>Forecast!Q114</f>
        <v>31657.000476190478</v>
      </c>
      <c r="U299" s="1309">
        <f>Forecast!R114</f>
        <v>31170.26</v>
      </c>
      <c r="V299" s="440">
        <f>Forecast!S114</f>
        <v>21135.8</v>
      </c>
      <c r="W299" s="440">
        <f>Forecast!T114</f>
        <v>19719.862068965518</v>
      </c>
      <c r="X299" s="441">
        <f>Forecast!U114</f>
        <v>20009.86688888889</v>
      </c>
      <c r="Y299" s="440">
        <f>Forecast!V114</f>
        <v>22001.592115384618</v>
      </c>
      <c r="Z299" s="439">
        <f>Forecast!W114</f>
        <v>25410.970931175441</v>
      </c>
      <c r="AA299" s="439">
        <f>Forecast!X114</f>
        <v>30585.575379387756</v>
      </c>
      <c r="AB299" s="440">
        <f>Forecast!Y114</f>
        <v>30269.959444444445</v>
      </c>
      <c r="AC299" s="1309">
        <f>Forecast!Z114</f>
        <v>32172.142743537039</v>
      </c>
      <c r="AD299" s="440">
        <f>Forecast!AA114</f>
        <v>23792.260906033334</v>
      </c>
      <c r="AE299" s="440">
        <f>Forecast!AB114</f>
        <v>22754.659161170272</v>
      </c>
      <c r="AF299" s="441">
        <f>Forecast!AC114</f>
        <v>20920.884783311085</v>
      </c>
      <c r="AG299" s="440">
        <f>Forecast!AD114</f>
        <v>41304.759945266305</v>
      </c>
      <c r="AH299" s="439">
        <f>Forecast!AE114</f>
        <v>41304.759945266305</v>
      </c>
      <c r="AI299" s="439">
        <f>Forecast!AF114</f>
        <v>41304.759945266305</v>
      </c>
      <c r="AJ299" s="440">
        <f>Forecast!AG114</f>
        <v>41304.759945266313</v>
      </c>
      <c r="AK299" s="1309">
        <f>Forecast!AH114</f>
        <v>52690.326641628388</v>
      </c>
      <c r="AL299" s="440">
        <f>Forecast!AI114</f>
        <v>52690.326641628395</v>
      </c>
      <c r="AM299" s="440">
        <f>Forecast!AJ114</f>
        <v>52690.326641628395</v>
      </c>
      <c r="AN299" s="441">
        <f>Forecast!AK114</f>
        <v>52690.326641628395</v>
      </c>
      <c r="AO299" s="440">
        <f>Forecast!AL114</f>
        <v>69902.871879454018</v>
      </c>
      <c r="AP299" s="439">
        <f>Forecast!AM114</f>
        <v>69902.871879454018</v>
      </c>
      <c r="AQ299" s="439">
        <f>Forecast!AN114</f>
        <v>69902.871879454004</v>
      </c>
      <c r="AR299" s="440">
        <f>Forecast!AO114</f>
        <v>69902.871879454018</v>
      </c>
      <c r="AS299" s="1309">
        <f>Forecast!AP114</f>
        <v>96447.835509529948</v>
      </c>
      <c r="AT299" s="440">
        <f>Forecast!AQ114</f>
        <v>96447.835509529934</v>
      </c>
      <c r="AU299" s="440">
        <f>Forecast!AR114</f>
        <v>96447.835509529934</v>
      </c>
      <c r="AV299" s="441">
        <f>Forecast!AS114</f>
        <v>96447.835509529934</v>
      </c>
      <c r="AW299" s="440">
        <f>Forecast!AT114</f>
        <v>138395.92156006626</v>
      </c>
      <c r="AX299" s="439">
        <f>Forecast!AU114</f>
        <v>138395.92156006626</v>
      </c>
      <c r="AY299" s="439">
        <f>Forecast!AV114</f>
        <v>138395.92156006623</v>
      </c>
      <c r="AZ299" s="439">
        <f>Forecast!AW114</f>
        <v>138395.92156006623</v>
      </c>
    </row>
    <row r="300" spans="4:52" hidden="1" outlineLevel="1" x14ac:dyDescent="0.25">
      <c r="I300" s="1689"/>
      <c r="T300" s="373"/>
      <c r="U300" s="1690"/>
      <c r="V300" s="373"/>
      <c r="W300" s="373"/>
      <c r="X300" s="1689"/>
      <c r="Y300" s="373"/>
      <c r="AB300" s="373"/>
      <c r="AC300" s="1690"/>
      <c r="AD300" s="373"/>
      <c r="AE300" s="373"/>
      <c r="AF300" s="1689"/>
      <c r="AG300" s="373"/>
      <c r="AJ300" s="373"/>
      <c r="AK300" s="1690"/>
      <c r="AL300" s="373"/>
      <c r="AM300" s="373"/>
      <c r="AN300" s="1689"/>
      <c r="AO300" s="373"/>
      <c r="AR300" s="373"/>
      <c r="AS300" s="1690"/>
      <c r="AT300" s="373"/>
      <c r="AU300" s="373"/>
      <c r="AV300" s="1689"/>
      <c r="AW300" s="373"/>
    </row>
    <row r="301" spans="4:52" hidden="1" outlineLevel="1" x14ac:dyDescent="0.25">
      <c r="D301" s="3" t="str">
        <f>Forecast!C116</f>
        <v>Headcount</v>
      </c>
      <c r="E301" s="3"/>
      <c r="F301" s="3"/>
      <c r="G301" s="376"/>
      <c r="H301" s="376"/>
      <c r="I301" s="1691"/>
      <c r="J301" s="376"/>
      <c r="K301" s="376"/>
      <c r="L301" s="376"/>
      <c r="M301" s="376"/>
      <c r="N301" s="376"/>
      <c r="O301" s="376"/>
      <c r="P301" s="1519"/>
      <c r="Q301" s="376"/>
      <c r="R301" s="376"/>
      <c r="S301" s="376"/>
      <c r="T301" s="1692"/>
      <c r="U301" s="1693"/>
      <c r="V301" s="1692"/>
      <c r="W301" s="1692"/>
      <c r="X301" s="1691"/>
      <c r="Y301" s="1692"/>
      <c r="Z301" s="376"/>
      <c r="AA301" s="376"/>
      <c r="AB301" s="1692"/>
      <c r="AC301" s="1693"/>
      <c r="AD301" s="1692"/>
      <c r="AE301" s="1692"/>
      <c r="AF301" s="1691"/>
      <c r="AG301" s="1692"/>
      <c r="AH301" s="376"/>
      <c r="AI301" s="376"/>
      <c r="AJ301" s="1692"/>
      <c r="AK301" s="1693"/>
      <c r="AL301" s="1692"/>
      <c r="AM301" s="1692"/>
      <c r="AN301" s="1691"/>
      <c r="AO301" s="1692"/>
      <c r="AP301" s="376"/>
      <c r="AQ301" s="376"/>
      <c r="AR301" s="1692"/>
      <c r="AS301" s="1693"/>
      <c r="AT301" s="1692"/>
      <c r="AU301" s="1692"/>
      <c r="AV301" s="1691"/>
      <c r="AW301" s="1692"/>
      <c r="AX301" s="376"/>
      <c r="AY301" s="376"/>
      <c r="AZ301" s="376"/>
    </row>
    <row r="302" spans="4:52" hidden="1" outlineLevel="1" x14ac:dyDescent="0.25">
      <c r="I302" s="1689"/>
      <c r="T302" s="373"/>
      <c r="U302" s="1690"/>
      <c r="V302" s="373"/>
      <c r="W302" s="373"/>
      <c r="X302" s="1689"/>
      <c r="Y302" s="373"/>
      <c r="AB302" s="373"/>
      <c r="AC302" s="1690"/>
      <c r="AD302" s="373"/>
      <c r="AE302" s="373"/>
      <c r="AF302" s="1689"/>
      <c r="AG302" s="373"/>
      <c r="AJ302" s="373"/>
      <c r="AK302" s="1690"/>
      <c r="AL302" s="373"/>
      <c r="AM302" s="373"/>
      <c r="AN302" s="1689"/>
      <c r="AO302" s="373"/>
      <c r="AR302" s="373"/>
      <c r="AS302" s="1690"/>
      <c r="AT302" s="373"/>
      <c r="AU302" s="373"/>
      <c r="AV302" s="1689"/>
      <c r="AW302" s="373"/>
    </row>
    <row r="303" spans="4:52" hidden="1" outlineLevel="1" x14ac:dyDescent="0.25">
      <c r="D303" s="1" t="str">
        <f>Forecast!C118</f>
        <v>Headcount</v>
      </c>
      <c r="E303" s="1"/>
      <c r="F303" s="1"/>
      <c r="I303" s="1689"/>
      <c r="T303" s="373"/>
      <c r="U303" s="1690"/>
      <c r="V303" s="373"/>
      <c r="W303" s="373"/>
      <c r="X303" s="1689"/>
      <c r="Y303" s="373"/>
      <c r="AB303" s="373"/>
      <c r="AC303" s="1690"/>
      <c r="AD303" s="373"/>
      <c r="AE303" s="373"/>
      <c r="AF303" s="1689"/>
      <c r="AG303" s="373"/>
      <c r="AJ303" s="373"/>
      <c r="AK303" s="1690"/>
      <c r="AL303" s="373"/>
      <c r="AM303" s="373"/>
      <c r="AN303" s="1689"/>
      <c r="AO303" s="373"/>
      <c r="AR303" s="373"/>
      <c r="AS303" s="1690"/>
      <c r="AT303" s="373"/>
      <c r="AU303" s="373"/>
      <c r="AV303" s="1689"/>
      <c r="AW303" s="373"/>
    </row>
    <row r="304" spans="4:52" hidden="1" outlineLevel="1" x14ac:dyDescent="0.25">
      <c r="D304" s="377" t="str">
        <f>Forecast!C119</f>
        <v>Marketing</v>
      </c>
      <c r="E304" s="377"/>
      <c r="F304" s="377"/>
      <c r="G304" s="439">
        <f>Forecast!D119</f>
        <v>22</v>
      </c>
      <c r="H304" s="439">
        <f>Forecast!E119</f>
        <v>26</v>
      </c>
      <c r="I304" s="441">
        <f>Forecast!F119</f>
        <v>31</v>
      </c>
      <c r="J304" s="440">
        <f>Forecast!G119</f>
        <v>52</v>
      </c>
      <c r="K304" s="444">
        <f>Forecast!H119</f>
        <v>53.05053829989459</v>
      </c>
      <c r="L304" s="444">
        <f>Forecast!I119</f>
        <v>85.033227773431349</v>
      </c>
      <c r="M304" s="444">
        <f>Forecast!J119</f>
        <v>92.09629342113891</v>
      </c>
      <c r="N304" s="444">
        <f>Forecast!K119</f>
        <v>125.17845934273734</v>
      </c>
      <c r="O304" s="444">
        <f>Forecast!L119</f>
        <v>178.38013595221318</v>
      </c>
      <c r="Q304" s="439">
        <f>Forecast!N119</f>
        <v>15</v>
      </c>
      <c r="R304" s="439">
        <f>Forecast!O119</f>
        <v>17</v>
      </c>
      <c r="S304" s="439">
        <f>Forecast!P119</f>
        <v>20</v>
      </c>
      <c r="T304" s="440">
        <f>Forecast!Q119</f>
        <v>22</v>
      </c>
      <c r="U304" s="1309">
        <f>Forecast!R119</f>
        <v>22</v>
      </c>
      <c r="V304" s="440">
        <f>Forecast!S119</f>
        <v>23</v>
      </c>
      <c r="W304" s="440">
        <f>Forecast!T119</f>
        <v>22</v>
      </c>
      <c r="X304" s="441">
        <f>Forecast!U119</f>
        <v>26</v>
      </c>
      <c r="Y304" s="440">
        <f>Forecast!V119</f>
        <v>27</v>
      </c>
      <c r="Z304" s="439">
        <f>Forecast!W119</f>
        <v>28</v>
      </c>
      <c r="AA304" s="439">
        <f>Forecast!X119</f>
        <v>25</v>
      </c>
      <c r="AB304" s="440">
        <f>Forecast!Y119</f>
        <v>31</v>
      </c>
      <c r="AC304" s="1309">
        <f>Forecast!Z119</f>
        <v>31</v>
      </c>
      <c r="AD304" s="440">
        <f>Forecast!AA119</f>
        <v>39</v>
      </c>
      <c r="AE304" s="440">
        <f>Forecast!AB119</f>
        <v>45</v>
      </c>
      <c r="AF304" s="441">
        <f>Forecast!AC119</f>
        <v>52</v>
      </c>
      <c r="AG304" s="440">
        <f>Forecast!AD119</f>
        <v>52.286510445425797</v>
      </c>
      <c r="AH304" s="439">
        <f>Forecast!AE119</f>
        <v>52.573020890851595</v>
      </c>
      <c r="AI304" s="439">
        <f>Forecast!AF119</f>
        <v>52.764027854468793</v>
      </c>
      <c r="AJ304" s="440">
        <f>Forecast!AG119</f>
        <v>53.05053829989459</v>
      </c>
      <c r="AK304" s="1309">
        <f>Forecast!AH119</f>
        <v>61.773089974495527</v>
      </c>
      <c r="AL304" s="440">
        <f>Forecast!AI119</f>
        <v>70.495641649096456</v>
      </c>
      <c r="AM304" s="440">
        <f>Forecast!AJ119</f>
        <v>76.310676098830413</v>
      </c>
      <c r="AN304" s="441">
        <f>Forecast!AK119</f>
        <v>85.033227773431349</v>
      </c>
      <c r="AO304" s="440">
        <f>Forecast!AL119</f>
        <v>86.959518404624305</v>
      </c>
      <c r="AP304" s="439">
        <f>Forecast!AM119</f>
        <v>88.885809035817289</v>
      </c>
      <c r="AQ304" s="439">
        <f>Forecast!AN119</f>
        <v>90.170002789945954</v>
      </c>
      <c r="AR304" s="440">
        <f>Forecast!AO119</f>
        <v>92.09629342113891</v>
      </c>
      <c r="AS304" s="1309">
        <f>Forecast!AP119</f>
        <v>101.11870230884759</v>
      </c>
      <c r="AT304" s="440">
        <f>Forecast!AQ119</f>
        <v>110.14111119655624</v>
      </c>
      <c r="AU304" s="440">
        <f>Forecast!AR119</f>
        <v>116.15605045502866</v>
      </c>
      <c r="AV304" s="441">
        <f>Forecast!AS119</f>
        <v>125.17845934273734</v>
      </c>
      <c r="AW304" s="440">
        <f>Forecast!AT119</f>
        <v>139.68800750895801</v>
      </c>
      <c r="AX304" s="439">
        <f>Forecast!AU119</f>
        <v>154.19755567517871</v>
      </c>
      <c r="AY304" s="439">
        <f>Forecast!AV119</f>
        <v>163.87058778599251</v>
      </c>
      <c r="AZ304" s="439">
        <f>Forecast!AW119</f>
        <v>178.38013595221318</v>
      </c>
    </row>
    <row r="305" spans="4:52" hidden="1" outlineLevel="1" x14ac:dyDescent="0.25">
      <c r="D305" s="377" t="str">
        <f>Forecast!C120</f>
        <v>Sales</v>
      </c>
      <c r="E305" s="377"/>
      <c r="F305" s="377"/>
      <c r="G305" s="439">
        <f>Forecast!D120</f>
        <v>93</v>
      </c>
      <c r="H305" s="439">
        <f>Forecast!E120</f>
        <v>134</v>
      </c>
      <c r="I305" s="441">
        <f>Forecast!F120</f>
        <v>137</v>
      </c>
      <c r="J305" s="440">
        <f>Forecast!G120</f>
        <v>285</v>
      </c>
      <c r="K305" s="439">
        <f>Forecast!H120</f>
        <v>325.5988731894563</v>
      </c>
      <c r="L305" s="439">
        <f>Forecast!I120</f>
        <v>483.73200381586048</v>
      </c>
      <c r="M305" s="439">
        <f>Forecast!J120</f>
        <v>548.92771621454301</v>
      </c>
      <c r="N305" s="439">
        <f>Forecast!K120</f>
        <v>722.25914965054039</v>
      </c>
      <c r="O305" s="439">
        <f>Forecast!L120</f>
        <v>1049.6958537189396</v>
      </c>
      <c r="Q305" s="439">
        <f>Forecast!N120</f>
        <v>59</v>
      </c>
      <c r="R305" s="439">
        <f>Forecast!O120</f>
        <v>65</v>
      </c>
      <c r="S305" s="439">
        <f>Forecast!P120</f>
        <v>76</v>
      </c>
      <c r="T305" s="440">
        <f>Forecast!Q120</f>
        <v>93</v>
      </c>
      <c r="U305" s="1309">
        <f>Forecast!R120</f>
        <v>98</v>
      </c>
      <c r="V305" s="440">
        <f>Forecast!S120</f>
        <v>102</v>
      </c>
      <c r="W305" s="440">
        <f>Forecast!T120</f>
        <v>114</v>
      </c>
      <c r="X305" s="441">
        <f>Forecast!U120</f>
        <v>134</v>
      </c>
      <c r="Y305" s="440">
        <f>Forecast!V120</f>
        <v>148</v>
      </c>
      <c r="Z305" s="439">
        <f>Forecast!W120</f>
        <v>126</v>
      </c>
      <c r="AA305" s="439">
        <f>Forecast!X120</f>
        <v>121</v>
      </c>
      <c r="AB305" s="440">
        <f>Forecast!Y120</f>
        <v>137</v>
      </c>
      <c r="AC305" s="1309">
        <f>Forecast!Z120</f>
        <v>183</v>
      </c>
      <c r="AD305" s="440">
        <f>Forecast!AA120</f>
        <v>218</v>
      </c>
      <c r="AE305" s="440">
        <f>Forecast!AB120</f>
        <v>259</v>
      </c>
      <c r="AF305" s="441">
        <f>Forecast!AC120</f>
        <v>285</v>
      </c>
      <c r="AG305" s="440">
        <f>Forecast!AD120</f>
        <v>296.07241996076084</v>
      </c>
      <c r="AH305" s="439">
        <f>Forecast!AE120</f>
        <v>307.14483992152162</v>
      </c>
      <c r="AI305" s="439">
        <f>Forecast!AF120</f>
        <v>314.52645322869546</v>
      </c>
      <c r="AJ305" s="440">
        <f>Forecast!AG120</f>
        <v>325.5988731894563</v>
      </c>
      <c r="AK305" s="1309">
        <f>Forecast!AH120</f>
        <v>368.72609063302104</v>
      </c>
      <c r="AL305" s="440">
        <f>Forecast!AI120</f>
        <v>411.85330807658585</v>
      </c>
      <c r="AM305" s="440">
        <f>Forecast!AJ120</f>
        <v>440.60478637229573</v>
      </c>
      <c r="AN305" s="441">
        <f>Forecast!AK120</f>
        <v>483.73200381586048</v>
      </c>
      <c r="AO305" s="440">
        <f>Forecast!AL120</f>
        <v>501.51265265186487</v>
      </c>
      <c r="AP305" s="439">
        <f>Forecast!AM120</f>
        <v>519.29330148786914</v>
      </c>
      <c r="AQ305" s="439">
        <f>Forecast!AN120</f>
        <v>531.14706737853862</v>
      </c>
      <c r="AR305" s="440">
        <f>Forecast!AO120</f>
        <v>548.92771621454301</v>
      </c>
      <c r="AS305" s="1309">
        <f>Forecast!AP120</f>
        <v>596.19992533345135</v>
      </c>
      <c r="AT305" s="440">
        <f>Forecast!AQ120</f>
        <v>643.4721344523598</v>
      </c>
      <c r="AU305" s="440">
        <f>Forecast!AR120</f>
        <v>674.98694053163217</v>
      </c>
      <c r="AV305" s="441">
        <f>Forecast!AS120</f>
        <v>722.25914965054039</v>
      </c>
      <c r="AW305" s="440">
        <f>Forecast!AT120</f>
        <v>811.56006894192205</v>
      </c>
      <c r="AX305" s="439">
        <f>Forecast!AU120</f>
        <v>900.8609882333036</v>
      </c>
      <c r="AY305" s="439">
        <f>Forecast!AV120</f>
        <v>960.39493442755793</v>
      </c>
      <c r="AZ305" s="439">
        <f>Forecast!AW120</f>
        <v>1049.6958537189396</v>
      </c>
    </row>
    <row r="306" spans="4:52" hidden="1" outlineLevel="1" x14ac:dyDescent="0.25">
      <c r="D306" s="377" t="str">
        <f>Forecast!C121</f>
        <v>CS/TS</v>
      </c>
      <c r="E306" s="377"/>
      <c r="F306" s="377"/>
      <c r="G306" s="439">
        <f>Forecast!D121</f>
        <v>28</v>
      </c>
      <c r="H306" s="439">
        <f>Forecast!E121</f>
        <v>52</v>
      </c>
      <c r="I306" s="441">
        <f>Forecast!F121</f>
        <v>59</v>
      </c>
      <c r="J306" s="440">
        <f>Forecast!G121</f>
        <v>102</v>
      </c>
      <c r="K306" s="439">
        <f>Forecast!H121</f>
        <v>145.3324472629449</v>
      </c>
      <c r="L306" s="439">
        <f>Forecast!I121</f>
        <v>210.65247192073409</v>
      </c>
      <c r="M306" s="439">
        <f>Forecast!J121</f>
        <v>300.17130157671318</v>
      </c>
      <c r="N306" s="439">
        <f>Forecast!K121</f>
        <v>421.09426593461086</v>
      </c>
      <c r="O306" s="439">
        <f>Forecast!L121</f>
        <v>567.98868007411659</v>
      </c>
      <c r="Q306" s="439">
        <f>Forecast!N121</f>
        <v>19</v>
      </c>
      <c r="R306" s="439">
        <f>Forecast!O121</f>
        <v>23</v>
      </c>
      <c r="S306" s="439">
        <f>Forecast!P121</f>
        <v>26</v>
      </c>
      <c r="T306" s="440">
        <f>Forecast!Q121</f>
        <v>28</v>
      </c>
      <c r="U306" s="1309">
        <f>Forecast!R121</f>
        <v>39</v>
      </c>
      <c r="V306" s="440">
        <f>Forecast!S121</f>
        <v>42</v>
      </c>
      <c r="W306" s="440">
        <f>Forecast!T121</f>
        <v>46</v>
      </c>
      <c r="X306" s="441">
        <f>Forecast!U121</f>
        <v>52</v>
      </c>
      <c r="Y306" s="440">
        <f>Forecast!V121</f>
        <v>53</v>
      </c>
      <c r="Z306" s="439">
        <f>Forecast!W121</f>
        <v>52</v>
      </c>
      <c r="AA306" s="439">
        <f>Forecast!X121</f>
        <v>55</v>
      </c>
      <c r="AB306" s="440">
        <f>Forecast!Y121</f>
        <v>59</v>
      </c>
      <c r="AC306" s="1309">
        <f>Forecast!Z121</f>
        <v>74</v>
      </c>
      <c r="AD306" s="440">
        <f>Forecast!AA121</f>
        <v>87</v>
      </c>
      <c r="AE306" s="440">
        <f>Forecast!AB121</f>
        <v>94</v>
      </c>
      <c r="AF306" s="441">
        <f>Forecast!AC121</f>
        <v>102</v>
      </c>
      <c r="AG306" s="440">
        <f>Forecast!AD121</f>
        <v>107.34175590199514</v>
      </c>
      <c r="AH306" s="439">
        <f>Forecast!AE121</f>
        <v>118.37577795781111</v>
      </c>
      <c r="AI306" s="439">
        <f>Forecast!AF121</f>
        <v>129.11025903588859</v>
      </c>
      <c r="AJ306" s="440">
        <f>Forecast!AG121</f>
        <v>145.3324472629449</v>
      </c>
      <c r="AK306" s="1309">
        <f>Forecast!AH121</f>
        <v>157.60044102382477</v>
      </c>
      <c r="AL306" s="440">
        <f>Forecast!AI121</f>
        <v>173.97275129781607</v>
      </c>
      <c r="AM306" s="440">
        <f>Forecast!AJ121</f>
        <v>189.1786580000973</v>
      </c>
      <c r="AN306" s="441">
        <f>Forecast!AK121</f>
        <v>210.65247192073409</v>
      </c>
      <c r="AO306" s="440">
        <f>Forecast!AL121</f>
        <v>227.28197773702104</v>
      </c>
      <c r="AP306" s="439">
        <f>Forecast!AM121</f>
        <v>249.76504261269139</v>
      </c>
      <c r="AQ306" s="439">
        <f>Forecast!AN121</f>
        <v>270.64078220771648</v>
      </c>
      <c r="AR306" s="440">
        <f>Forecast!AO121</f>
        <v>300.17130157671318</v>
      </c>
      <c r="AS306" s="1309">
        <f>Forecast!AP121</f>
        <v>322.69634580350095</v>
      </c>
      <c r="AT306" s="440">
        <f>Forecast!AQ121</f>
        <v>353.03092585371002</v>
      </c>
      <c r="AU306" s="440">
        <f>Forecast!AR121</f>
        <v>381.18862272061108</v>
      </c>
      <c r="AV306" s="441">
        <f>Forecast!AS121</f>
        <v>421.09426593461086</v>
      </c>
      <c r="AW306" s="440">
        <f>Forecast!AT121</f>
        <v>448.29210340187984</v>
      </c>
      <c r="AX306" s="439">
        <f>Forecast!AU121</f>
        <v>485.33264575930292</v>
      </c>
      <c r="AY306" s="439">
        <f>Forecast!AV121</f>
        <v>519.16447702659366</v>
      </c>
      <c r="AZ306" s="439">
        <f>Forecast!AW121</f>
        <v>567.98868007411659</v>
      </c>
    </row>
    <row r="307" spans="4:52" hidden="1" outlineLevel="1" x14ac:dyDescent="0.25">
      <c r="D307" s="377" t="str">
        <f>Forecast!C122</f>
        <v>PS</v>
      </c>
      <c r="E307" s="377"/>
      <c r="F307" s="377"/>
      <c r="G307" s="439">
        <f>Forecast!D122</f>
        <v>15</v>
      </c>
      <c r="H307" s="439">
        <f>Forecast!E122</f>
        <v>20</v>
      </c>
      <c r="I307" s="441">
        <f>Forecast!F122</f>
        <v>16</v>
      </c>
      <c r="J307" s="440">
        <f>Forecast!G122</f>
        <v>46</v>
      </c>
      <c r="K307" s="439">
        <f>Forecast!H122</f>
        <v>57.089784731078716</v>
      </c>
      <c r="L307" s="439">
        <f>Forecast!I122</f>
        <v>86.471940481251352</v>
      </c>
      <c r="M307" s="439">
        <f>Forecast!J122</f>
        <v>113.05224348581552</v>
      </c>
      <c r="N307" s="439">
        <f>Forecast!K122</f>
        <v>157.01348879874712</v>
      </c>
      <c r="O307" s="439">
        <f>Forecast!L122</f>
        <v>170.62385604535626</v>
      </c>
      <c r="Q307" s="439">
        <f>Forecast!N122</f>
        <v>4</v>
      </c>
      <c r="R307" s="439">
        <f>Forecast!O122</f>
        <v>6</v>
      </c>
      <c r="S307" s="439">
        <f>Forecast!P122</f>
        <v>11</v>
      </c>
      <c r="T307" s="440">
        <f>Forecast!Q122</f>
        <v>15</v>
      </c>
      <c r="U307" s="1309">
        <f>Forecast!R122</f>
        <v>17</v>
      </c>
      <c r="V307" s="440">
        <f>Forecast!S122</f>
        <v>20</v>
      </c>
      <c r="W307" s="440">
        <f>Forecast!T122</f>
        <v>19</v>
      </c>
      <c r="X307" s="441">
        <f>Forecast!U122</f>
        <v>20</v>
      </c>
      <c r="Y307" s="440">
        <f>Forecast!V122</f>
        <v>18</v>
      </c>
      <c r="Z307" s="439">
        <f>Forecast!W122</f>
        <v>18</v>
      </c>
      <c r="AA307" s="439">
        <f>Forecast!X122</f>
        <v>17</v>
      </c>
      <c r="AB307" s="440">
        <f>Forecast!Y122</f>
        <v>16</v>
      </c>
      <c r="AC307" s="1309">
        <f>Forecast!Z122</f>
        <v>20</v>
      </c>
      <c r="AD307" s="440">
        <f>Forecast!AA122</f>
        <v>26</v>
      </c>
      <c r="AE307" s="440">
        <f>Forecast!AB122</f>
        <v>33</v>
      </c>
      <c r="AF307" s="441">
        <f>Forecast!AC122</f>
        <v>46</v>
      </c>
      <c r="AG307" s="440">
        <f>Forecast!AD122</f>
        <v>49.024486744839642</v>
      </c>
      <c r="AH307" s="439">
        <f>Forecast!AE122</f>
        <v>52.048973489679298</v>
      </c>
      <c r="AI307" s="439">
        <f>Forecast!AF122</f>
        <v>54.065297986239074</v>
      </c>
      <c r="AJ307" s="440">
        <f>Forecast!AG122</f>
        <v>57.089784731078716</v>
      </c>
      <c r="AK307" s="1309">
        <f>Forecast!AH122</f>
        <v>65.103099935671253</v>
      </c>
      <c r="AL307" s="440">
        <f>Forecast!AI122</f>
        <v>73.116415140263797</v>
      </c>
      <c r="AM307" s="440">
        <f>Forecast!AJ122</f>
        <v>78.458625276658822</v>
      </c>
      <c r="AN307" s="441">
        <f>Forecast!AK122</f>
        <v>86.471940481251352</v>
      </c>
      <c r="AO307" s="440">
        <f>Forecast!AL122</f>
        <v>93.721114027950648</v>
      </c>
      <c r="AP307" s="439">
        <f>Forecast!AM122</f>
        <v>100.97028757464999</v>
      </c>
      <c r="AQ307" s="439">
        <f>Forecast!AN122</f>
        <v>105.80306993911623</v>
      </c>
      <c r="AR307" s="440">
        <f>Forecast!AO122</f>
        <v>113.05224348581552</v>
      </c>
      <c r="AS307" s="1309">
        <f>Forecast!AP122</f>
        <v>125.04167402570596</v>
      </c>
      <c r="AT307" s="440">
        <f>Forecast!AQ122</f>
        <v>137.03110456559639</v>
      </c>
      <c r="AU307" s="440">
        <f>Forecast!AR122</f>
        <v>145.02405825885668</v>
      </c>
      <c r="AV307" s="441">
        <f>Forecast!AS122</f>
        <v>157.01348879874712</v>
      </c>
      <c r="AW307" s="440">
        <f>Forecast!AT122</f>
        <v>160.72540713873138</v>
      </c>
      <c r="AX307" s="439">
        <f>Forecast!AU122</f>
        <v>164.43732547871574</v>
      </c>
      <c r="AY307" s="439">
        <f>Forecast!AV122</f>
        <v>166.911937705372</v>
      </c>
      <c r="AZ307" s="439">
        <f>Forecast!AW122</f>
        <v>170.62385604535626</v>
      </c>
    </row>
    <row r="308" spans="4:52" hidden="1" outlineLevel="1" x14ac:dyDescent="0.25">
      <c r="D308" s="377" t="str">
        <f>Forecast!C123</f>
        <v>R&amp;D</v>
      </c>
      <c r="E308" s="377"/>
      <c r="F308" s="377"/>
      <c r="G308" s="439">
        <f>Forecast!D123</f>
        <v>83</v>
      </c>
      <c r="H308" s="439">
        <f>Forecast!E123</f>
        <v>107</v>
      </c>
      <c r="I308" s="441">
        <f>Forecast!F123</f>
        <v>140</v>
      </c>
      <c r="J308" s="440">
        <f>Forecast!G123</f>
        <v>248</v>
      </c>
      <c r="K308" s="439">
        <f>Forecast!H123</f>
        <v>340.82570840537682</v>
      </c>
      <c r="L308" s="439">
        <f>Forecast!I123</f>
        <v>451.05320990930113</v>
      </c>
      <c r="M308" s="439">
        <f>Forecast!J123</f>
        <v>562.39110028603943</v>
      </c>
      <c r="N308" s="439">
        <f>Forecast!K123</f>
        <v>690.3298483624759</v>
      </c>
      <c r="O308" s="439">
        <f>Forecast!L123</f>
        <v>834.15013165298103</v>
      </c>
      <c r="Q308" s="439">
        <f>Forecast!N123</f>
        <v>55</v>
      </c>
      <c r="R308" s="439">
        <f>Forecast!O123</f>
        <v>64</v>
      </c>
      <c r="S308" s="439">
        <f>Forecast!P123</f>
        <v>70</v>
      </c>
      <c r="T308" s="440">
        <f>Forecast!Q123</f>
        <v>83</v>
      </c>
      <c r="U308" s="1309">
        <f>Forecast!R123</f>
        <v>87</v>
      </c>
      <c r="V308" s="440">
        <f>Forecast!S123</f>
        <v>101</v>
      </c>
      <c r="W308" s="440">
        <f>Forecast!T123</f>
        <v>104</v>
      </c>
      <c r="X308" s="441">
        <f>Forecast!U123</f>
        <v>107</v>
      </c>
      <c r="Y308" s="440">
        <f>Forecast!V123</f>
        <v>115</v>
      </c>
      <c r="Z308" s="439">
        <f>Forecast!W123</f>
        <v>129</v>
      </c>
      <c r="AA308" s="439">
        <f>Forecast!X123</f>
        <v>131</v>
      </c>
      <c r="AB308" s="440">
        <f>Forecast!Y123</f>
        <v>140</v>
      </c>
      <c r="AC308" s="1309">
        <f>Forecast!Z123</f>
        <v>152</v>
      </c>
      <c r="AD308" s="440">
        <f>Forecast!AA123</f>
        <v>170</v>
      </c>
      <c r="AE308" s="440">
        <f>Forecast!AB123</f>
        <v>207</v>
      </c>
      <c r="AF308" s="441">
        <f>Forecast!AC123</f>
        <v>248</v>
      </c>
      <c r="AG308" s="440">
        <f>Forecast!AD123</f>
        <v>250.02173913043478</v>
      </c>
      <c r="AH308" s="439">
        <f>Forecast!AE123</f>
        <v>270.32554110288612</v>
      </c>
      <c r="AI308" s="439">
        <f>Forecast!AF123</f>
        <v>298.81067940223949</v>
      </c>
      <c r="AJ308" s="440">
        <f>Forecast!AG123</f>
        <v>340.82570840537682</v>
      </c>
      <c r="AK308" s="1309">
        <f>Forecast!AH123</f>
        <v>340.82570840537682</v>
      </c>
      <c r="AL308" s="440">
        <f>Forecast!AI123</f>
        <v>363.64449385458107</v>
      </c>
      <c r="AM308" s="440">
        <f>Forecast!AJ123</f>
        <v>400.25075950794877</v>
      </c>
      <c r="AN308" s="441">
        <f>Forecast!AK123</f>
        <v>451.05320990930113</v>
      </c>
      <c r="AO308" s="440">
        <f>Forecast!AL123</f>
        <v>451.05320990930113</v>
      </c>
      <c r="AP308" s="439">
        <f>Forecast!AM123</f>
        <v>456.80988314360917</v>
      </c>
      <c r="AQ308" s="439">
        <f>Forecast!AN123</f>
        <v>501.02721578327896</v>
      </c>
      <c r="AR308" s="440">
        <f>Forecast!AO123</f>
        <v>562.39110028603943</v>
      </c>
      <c r="AS308" s="1309">
        <f>Forecast!AP123</f>
        <v>562.39110028603943</v>
      </c>
      <c r="AT308" s="440">
        <f>Forecast!AQ123</f>
        <v>564.96903053789879</v>
      </c>
      <c r="AU308" s="440">
        <f>Forecast!AR123</f>
        <v>617.47028173479589</v>
      </c>
      <c r="AV308" s="441">
        <f>Forecast!AS123</f>
        <v>690.3298483624759</v>
      </c>
      <c r="AW308" s="440">
        <f>Forecast!AT123</f>
        <v>690.3298483624759</v>
      </c>
      <c r="AX308" s="439">
        <f>Forecast!AU123</f>
        <v>690.3298483624759</v>
      </c>
      <c r="AY308" s="439">
        <f>Forecast!AV123</f>
        <v>749.1482492795418</v>
      </c>
      <c r="AZ308" s="439">
        <f>Forecast!AW123</f>
        <v>834.15013165298103</v>
      </c>
    </row>
    <row r="309" spans="4:52" hidden="1" outlineLevel="1" x14ac:dyDescent="0.25">
      <c r="D309" s="377" t="str">
        <f>Forecast!C124</f>
        <v>Product</v>
      </c>
      <c r="E309" s="377"/>
      <c r="F309" s="377"/>
      <c r="G309" s="439">
        <f>Forecast!D124</f>
        <v>14</v>
      </c>
      <c r="H309" s="439">
        <f>Forecast!E124</f>
        <v>27</v>
      </c>
      <c r="I309" s="441">
        <f>Forecast!F124</f>
        <v>34</v>
      </c>
      <c r="J309" s="440">
        <f>Forecast!G124</f>
        <v>62</v>
      </c>
      <c r="K309" s="439">
        <f>Forecast!H124</f>
        <v>84.517426343112305</v>
      </c>
      <c r="L309" s="439">
        <f>Forecast!I124</f>
        <v>111.85146984273774</v>
      </c>
      <c r="M309" s="439">
        <f>Forecast!J124</f>
        <v>139.46086583912569</v>
      </c>
      <c r="N309" s="439">
        <f>Forecast!K124</f>
        <v>171.18691657506142</v>
      </c>
      <c r="O309" s="439">
        <f>Forecast!L124</f>
        <v>206.8512455851058</v>
      </c>
      <c r="Q309" s="439">
        <f>Forecast!N124</f>
        <v>9</v>
      </c>
      <c r="R309" s="439">
        <f>Forecast!O124</f>
        <v>10</v>
      </c>
      <c r="S309" s="439">
        <f>Forecast!P124</f>
        <v>12</v>
      </c>
      <c r="T309" s="440">
        <f>Forecast!Q124</f>
        <v>14</v>
      </c>
      <c r="U309" s="1309">
        <f>Forecast!R124</f>
        <v>19</v>
      </c>
      <c r="V309" s="440">
        <f>Forecast!S124</f>
        <v>24</v>
      </c>
      <c r="W309" s="440">
        <f>Forecast!T124</f>
        <v>27</v>
      </c>
      <c r="X309" s="441">
        <f>Forecast!U124</f>
        <v>27</v>
      </c>
      <c r="Y309" s="440">
        <f>Forecast!V124</f>
        <v>28</v>
      </c>
      <c r="Z309" s="439">
        <f>Forecast!W124</f>
        <v>32</v>
      </c>
      <c r="AA309" s="439">
        <f>Forecast!X124</f>
        <v>32</v>
      </c>
      <c r="AB309" s="440">
        <f>Forecast!Y124</f>
        <v>34</v>
      </c>
      <c r="AC309" s="1309">
        <f>Forecast!Z124</f>
        <v>38</v>
      </c>
      <c r="AD309" s="440">
        <f>Forecast!AA124</f>
        <v>45</v>
      </c>
      <c r="AE309" s="440">
        <f>Forecast!AB124</f>
        <v>52</v>
      </c>
      <c r="AF309" s="441">
        <f>Forecast!AC124</f>
        <v>62</v>
      </c>
      <c r="AG309" s="440">
        <f>Forecast!AD124</f>
        <v>62</v>
      </c>
      <c r="AH309" s="439">
        <f>Forecast!AE124</f>
        <v>67.034905071335643</v>
      </c>
      <c r="AI309" s="439">
        <f>Forecast!AF124</f>
        <v>74.098605134787149</v>
      </c>
      <c r="AJ309" s="440">
        <f>Forecast!AG124</f>
        <v>84.517426343112305</v>
      </c>
      <c r="AK309" s="1309">
        <f>Forecast!AH124</f>
        <v>84.517426343112305</v>
      </c>
      <c r="AL309" s="440">
        <f>Forecast!AI124</f>
        <v>90.175993085233046</v>
      </c>
      <c r="AM309" s="440">
        <f>Forecast!AJ124</f>
        <v>99.253557613830964</v>
      </c>
      <c r="AN309" s="441">
        <f>Forecast!AK124</f>
        <v>111.85146984273774</v>
      </c>
      <c r="AO309" s="440">
        <f>Forecast!AL124</f>
        <v>111.85146984273774</v>
      </c>
      <c r="AP309" s="439">
        <f>Forecast!AM124</f>
        <v>113.27900067173057</v>
      </c>
      <c r="AQ309" s="439">
        <f>Forecast!AN124</f>
        <v>124.24394569288859</v>
      </c>
      <c r="AR309" s="440">
        <f>Forecast!AO124</f>
        <v>139.46086583912569</v>
      </c>
      <c r="AS309" s="1309">
        <f>Forecast!AP124</f>
        <v>139.46086583912569</v>
      </c>
      <c r="AT309" s="440">
        <f>Forecast!AQ124</f>
        <v>140.10013695279432</v>
      </c>
      <c r="AU309" s="440">
        <f>Forecast!AR124</f>
        <v>153.1193151471731</v>
      </c>
      <c r="AV309" s="441">
        <f>Forecast!AS124</f>
        <v>171.18691657506142</v>
      </c>
      <c r="AW309" s="440">
        <f>Forecast!AT124</f>
        <v>171.18691657506142</v>
      </c>
      <c r="AX309" s="439">
        <f>Forecast!AU124</f>
        <v>171.18691657506142</v>
      </c>
      <c r="AY309" s="439">
        <f>Forecast!AV124</f>
        <v>185.77261168118019</v>
      </c>
      <c r="AZ309" s="439">
        <f>Forecast!AW124</f>
        <v>206.8512455851058</v>
      </c>
    </row>
    <row r="310" spans="4:52" hidden="1" outlineLevel="1" x14ac:dyDescent="0.25">
      <c r="D310" s="377" t="str">
        <f>Forecast!C125</f>
        <v>G&amp;A</v>
      </c>
      <c r="E310" s="377"/>
      <c r="F310" s="377"/>
      <c r="G310" s="439">
        <f>Forecast!D125</f>
        <v>18</v>
      </c>
      <c r="H310" s="439">
        <f>Forecast!E125</f>
        <v>25</v>
      </c>
      <c r="I310" s="441">
        <f>Forecast!F125</f>
        <v>33</v>
      </c>
      <c r="J310" s="440">
        <f>Forecast!G125</f>
        <v>73</v>
      </c>
      <c r="K310" s="439">
        <f>Forecast!H125</f>
        <v>86.035779865882589</v>
      </c>
      <c r="L310" s="439">
        <f>Forecast!I125</f>
        <v>109.11667551353887</v>
      </c>
      <c r="M310" s="439">
        <f>Forecast!J125</f>
        <v>136.05101538675126</v>
      </c>
      <c r="N310" s="439">
        <f>Forecast!K125</f>
        <v>167.00135683820011</v>
      </c>
      <c r="O310" s="439">
        <f>Forecast!L125</f>
        <v>201.79368474831722</v>
      </c>
      <c r="Q310" s="439">
        <f>Forecast!N125</f>
        <v>12.5</v>
      </c>
      <c r="R310" s="439">
        <f>Forecast!O125</f>
        <v>13.5</v>
      </c>
      <c r="S310" s="439">
        <f>Forecast!P125</f>
        <v>15</v>
      </c>
      <c r="T310" s="440">
        <f>Forecast!Q125</f>
        <v>18</v>
      </c>
      <c r="U310" s="1309">
        <f>Forecast!R125</f>
        <v>18</v>
      </c>
      <c r="V310" s="440">
        <f>Forecast!S125</f>
        <v>22</v>
      </c>
      <c r="W310" s="440">
        <f>Forecast!T125</f>
        <v>21</v>
      </c>
      <c r="X310" s="441">
        <f>Forecast!U125</f>
        <v>25</v>
      </c>
      <c r="Y310" s="440">
        <f>Forecast!V125</f>
        <v>27</v>
      </c>
      <c r="Z310" s="439">
        <f>Forecast!W125</f>
        <v>26</v>
      </c>
      <c r="AA310" s="439">
        <f>Forecast!X125</f>
        <v>26</v>
      </c>
      <c r="AB310" s="440">
        <f>Forecast!Y125</f>
        <v>33</v>
      </c>
      <c r="AC310" s="1309">
        <f>Forecast!Z125</f>
        <v>35</v>
      </c>
      <c r="AD310" s="440">
        <f>Forecast!AA125</f>
        <v>49</v>
      </c>
      <c r="AE310" s="440">
        <f>Forecast!AB125</f>
        <v>62</v>
      </c>
      <c r="AF310" s="441">
        <f>Forecast!AC125</f>
        <v>73</v>
      </c>
      <c r="AG310" s="440">
        <f>Forecast!AD125</f>
        <v>73</v>
      </c>
      <c r="AH310" s="439">
        <f>Forecast!AE125</f>
        <v>73</v>
      </c>
      <c r="AI310" s="439">
        <f>Forecast!AF125</f>
        <v>75.429784786212224</v>
      </c>
      <c r="AJ310" s="440">
        <f>Forecast!AG125</f>
        <v>86.035779865882589</v>
      </c>
      <c r="AK310" s="1309">
        <f>Forecast!AH125</f>
        <v>86.035779865882589</v>
      </c>
      <c r="AL310" s="440">
        <f>Forecast!AI125</f>
        <v>87.971169180226624</v>
      </c>
      <c r="AM310" s="440">
        <f>Forecast!AJ125</f>
        <v>96.826785154812242</v>
      </c>
      <c r="AN310" s="441">
        <f>Forecast!AK125</f>
        <v>109.11667551353887</v>
      </c>
      <c r="AO310" s="440">
        <f>Forecast!AL125</f>
        <v>109.11667551353887</v>
      </c>
      <c r="AP310" s="439">
        <f>Forecast!AM125</f>
        <v>110.50930288331587</v>
      </c>
      <c r="AQ310" s="439">
        <f>Forecast!AN125</f>
        <v>121.20615246052485</v>
      </c>
      <c r="AR310" s="440">
        <f>Forecast!AO125</f>
        <v>136.05101538675126</v>
      </c>
      <c r="AS310" s="1309">
        <f>Forecast!AP125</f>
        <v>136.05101538675126</v>
      </c>
      <c r="AT310" s="440">
        <f>Forecast!AQ125</f>
        <v>136.67465617371124</v>
      </c>
      <c r="AU310" s="440">
        <f>Forecast!AR125</f>
        <v>149.3755124475388</v>
      </c>
      <c r="AV310" s="441">
        <f>Forecast!AS125</f>
        <v>167.00135683820011</v>
      </c>
      <c r="AW310" s="440">
        <f>Forecast!AT125</f>
        <v>167.00135683820011</v>
      </c>
      <c r="AX310" s="439">
        <f>Forecast!AU125</f>
        <v>167.00135683820011</v>
      </c>
      <c r="AY310" s="439">
        <f>Forecast!AV125</f>
        <v>181.230428322656</v>
      </c>
      <c r="AZ310" s="439">
        <f>Forecast!AW125</f>
        <v>201.79368474831722</v>
      </c>
    </row>
    <row r="311" spans="4:52" hidden="1" outlineLevel="1" x14ac:dyDescent="0.25">
      <c r="D311" s="377" t="str">
        <f>Forecast!C126</f>
        <v>People</v>
      </c>
      <c r="E311" s="377"/>
      <c r="F311" s="377"/>
      <c r="G311" s="442">
        <f>Forecast!D126</f>
        <v>9</v>
      </c>
      <c r="H311" s="442">
        <f>Forecast!E126</f>
        <v>18</v>
      </c>
      <c r="I311" s="443">
        <f>Forecast!F126</f>
        <v>22</v>
      </c>
      <c r="J311" s="442">
        <f>Forecast!G126</f>
        <v>49</v>
      </c>
      <c r="K311" s="442">
        <f>Forecast!H126</f>
        <v>53.626605236214751</v>
      </c>
      <c r="L311" s="442">
        <f>Forecast!I126</f>
        <v>65.646545489346835</v>
      </c>
      <c r="M311" s="442">
        <f>Forecast!J126</f>
        <v>70.232563244688251</v>
      </c>
      <c r="N311" s="442">
        <f>Forecast!K126</f>
        <v>79.208317250736584</v>
      </c>
      <c r="O311" s="442">
        <f>Forecast!L126</f>
        <v>90.078741977024052</v>
      </c>
      <c r="Q311" s="442">
        <f>Forecast!N126</f>
        <v>5</v>
      </c>
      <c r="R311" s="442">
        <f>Forecast!O126</f>
        <v>6</v>
      </c>
      <c r="S311" s="442">
        <f>Forecast!P126</f>
        <v>8</v>
      </c>
      <c r="T311" s="442">
        <f>Forecast!Q126</f>
        <v>9</v>
      </c>
      <c r="U311" s="1312">
        <f>Forecast!R126</f>
        <v>16</v>
      </c>
      <c r="V311" s="442">
        <f>Forecast!S126</f>
        <v>17</v>
      </c>
      <c r="W311" s="442">
        <f>Forecast!T126</f>
        <v>15</v>
      </c>
      <c r="X311" s="443">
        <f>Forecast!U126</f>
        <v>18</v>
      </c>
      <c r="Y311" s="442">
        <f>Forecast!V126</f>
        <v>19</v>
      </c>
      <c r="Z311" s="442">
        <f>Forecast!W126</f>
        <v>18</v>
      </c>
      <c r="AA311" s="442">
        <f>Forecast!X126</f>
        <v>18</v>
      </c>
      <c r="AB311" s="442">
        <f>Forecast!Y126</f>
        <v>22</v>
      </c>
      <c r="AC311" s="1312">
        <f>Forecast!Z126</f>
        <v>32</v>
      </c>
      <c r="AD311" s="442">
        <f>Forecast!AA126</f>
        <v>42</v>
      </c>
      <c r="AE311" s="442">
        <f>Forecast!AB126</f>
        <v>45</v>
      </c>
      <c r="AF311" s="443">
        <f>Forecast!AC126</f>
        <v>49</v>
      </c>
      <c r="AG311" s="442">
        <f>Forecast!AD126</f>
        <v>49</v>
      </c>
      <c r="AH311" s="442">
        <f>Forecast!AE126</f>
        <v>49</v>
      </c>
      <c r="AI311" s="442">
        <f>Forecast!AF126</f>
        <v>49.029703730713301</v>
      </c>
      <c r="AJ311" s="442">
        <f>Forecast!AG126</f>
        <v>53.626605236214751</v>
      </c>
      <c r="AK311" s="1312">
        <f>Forecast!AH126</f>
        <v>53.626605236214751</v>
      </c>
      <c r="AL311" s="442">
        <f>Forecast!AI126</f>
        <v>54.263116080167215</v>
      </c>
      <c r="AM311" s="442">
        <f>Forecast!AJ126</f>
        <v>58.943758376555415</v>
      </c>
      <c r="AN311" s="443">
        <f>Forecast!AK126</f>
        <v>65.646545489346835</v>
      </c>
      <c r="AO311" s="442">
        <f>Forecast!AL126</f>
        <v>65.646545489346835</v>
      </c>
      <c r="AP311" s="442">
        <f>Forecast!AM126</f>
        <v>65.646545489346835</v>
      </c>
      <c r="AQ311" s="442">
        <f>Forecast!AN126</f>
        <v>65.646545489346835</v>
      </c>
      <c r="AR311" s="442">
        <f>Forecast!AO126</f>
        <v>70.232563244688251</v>
      </c>
      <c r="AS311" s="1312">
        <f>Forecast!AP126</f>
        <v>70.232563244688251</v>
      </c>
      <c r="AT311" s="442">
        <f>Forecast!AQ126</f>
        <v>70.232563244688251</v>
      </c>
      <c r="AU311" s="442">
        <f>Forecast!AR126</f>
        <v>72.21264457233589</v>
      </c>
      <c r="AV311" s="443">
        <f>Forecast!AS126</f>
        <v>79.208317250736584</v>
      </c>
      <c r="AW311" s="442">
        <f>Forecast!AT126</f>
        <v>79.208317250736584</v>
      </c>
      <c r="AX311" s="442">
        <f>Forecast!AU126</f>
        <v>79.208317250736584</v>
      </c>
      <c r="AY311" s="442">
        <f>Forecast!AV126</f>
        <v>82.136213198574893</v>
      </c>
      <c r="AZ311" s="442">
        <f>Forecast!AW126</f>
        <v>90.078741977024052</v>
      </c>
    </row>
    <row r="312" spans="4:52" hidden="1" outlineLevel="1" x14ac:dyDescent="0.25">
      <c r="D312" s="1" t="str">
        <f>Forecast!C127</f>
        <v>Grand Total</v>
      </c>
      <c r="E312" s="1"/>
      <c r="F312" s="1"/>
      <c r="G312" s="439">
        <f>Forecast!D127</f>
        <v>282</v>
      </c>
      <c r="H312" s="439">
        <f>Forecast!E127</f>
        <v>409</v>
      </c>
      <c r="I312" s="441">
        <f>Forecast!F127</f>
        <v>472</v>
      </c>
      <c r="J312" s="440">
        <f>Forecast!G127</f>
        <v>917</v>
      </c>
      <c r="K312" s="439">
        <f>Forecast!H127</f>
        <v>1146.0771633339609</v>
      </c>
      <c r="L312" s="439">
        <f>Forecast!I127</f>
        <v>1603.557544746202</v>
      </c>
      <c r="M312" s="439">
        <f>Forecast!J127</f>
        <v>1962.3830994548152</v>
      </c>
      <c r="N312" s="439">
        <f>Forecast!K127</f>
        <v>2533.2718027531096</v>
      </c>
      <c r="O312" s="439">
        <f>Forecast!L127</f>
        <v>3299.5623297540542</v>
      </c>
      <c r="Q312" s="439">
        <f>Forecast!N127</f>
        <v>178.5</v>
      </c>
      <c r="R312" s="439">
        <f>Forecast!O127</f>
        <v>204.5</v>
      </c>
      <c r="S312" s="439">
        <f>Forecast!P127</f>
        <v>238</v>
      </c>
      <c r="T312" s="440">
        <f>Forecast!Q127</f>
        <v>282</v>
      </c>
      <c r="U312" s="1309">
        <f>Forecast!R127</f>
        <v>316</v>
      </c>
      <c r="V312" s="440">
        <f>Forecast!S127</f>
        <v>351</v>
      </c>
      <c r="W312" s="440">
        <f>Forecast!T127</f>
        <v>368</v>
      </c>
      <c r="X312" s="441">
        <f>Forecast!U127</f>
        <v>409</v>
      </c>
      <c r="Y312" s="440">
        <f>Forecast!V127</f>
        <v>435</v>
      </c>
      <c r="Z312" s="439">
        <f>Forecast!W127</f>
        <v>429</v>
      </c>
      <c r="AA312" s="439">
        <f>Forecast!X127</f>
        <v>425</v>
      </c>
      <c r="AB312" s="440">
        <f>Forecast!Y127</f>
        <v>472</v>
      </c>
      <c r="AC312" s="1309">
        <f>Forecast!Z127</f>
        <v>565</v>
      </c>
      <c r="AD312" s="440">
        <f>Forecast!AA127</f>
        <v>676</v>
      </c>
      <c r="AE312" s="440">
        <f>Forecast!AB127</f>
        <v>797</v>
      </c>
      <c r="AF312" s="441">
        <f>Forecast!AC127</f>
        <v>917</v>
      </c>
      <c r="AG312" s="440">
        <f>Forecast!AD127</f>
        <v>938.74691218345617</v>
      </c>
      <c r="AH312" s="439">
        <f>Forecast!AE127</f>
        <v>989.50305843408535</v>
      </c>
      <c r="AI312" s="439">
        <f>Forecast!AF127</f>
        <v>1047.8348111592441</v>
      </c>
      <c r="AJ312" s="440">
        <f>Forecast!AG127</f>
        <v>1146.0771633339609</v>
      </c>
      <c r="AK312" s="1309">
        <f>Forecast!AH127</f>
        <v>1218.2082414175991</v>
      </c>
      <c r="AL312" s="440">
        <f>Forecast!AI127</f>
        <v>1325.4928883639702</v>
      </c>
      <c r="AM312" s="440">
        <f>Forecast!AJ127</f>
        <v>1439.8276064010299</v>
      </c>
      <c r="AN312" s="441">
        <f>Forecast!AK127</f>
        <v>1603.557544746202</v>
      </c>
      <c r="AO312" s="440">
        <f>Forecast!AL127</f>
        <v>1647.1431635763856</v>
      </c>
      <c r="AP312" s="439">
        <f>Forecast!AM127</f>
        <v>1705.1591728990302</v>
      </c>
      <c r="AQ312" s="439">
        <f>Forecast!AN127</f>
        <v>1809.8847817413568</v>
      </c>
      <c r="AR312" s="440">
        <f>Forecast!AO127</f>
        <v>1962.3830994548152</v>
      </c>
      <c r="AS312" s="1309">
        <f>Forecast!AP127</f>
        <v>2053.1921922281103</v>
      </c>
      <c r="AT312" s="440">
        <f>Forecast!AQ127</f>
        <v>2155.651662977315</v>
      </c>
      <c r="AU312" s="440">
        <f>Forecast!AR127</f>
        <v>2309.5334258679727</v>
      </c>
      <c r="AV312" s="441">
        <f>Forecast!AS127</f>
        <v>2533.2718027531096</v>
      </c>
      <c r="AW312" s="440">
        <f>Forecast!AT127</f>
        <v>2667.9920260179647</v>
      </c>
      <c r="AX312" s="439">
        <f>Forecast!AU127</f>
        <v>2812.5549541729747</v>
      </c>
      <c r="AY312" s="439">
        <f>Forecast!AV127</f>
        <v>3008.6294394274682</v>
      </c>
      <c r="AZ312" s="439">
        <f>Forecast!AW127</f>
        <v>3299.5623297540542</v>
      </c>
    </row>
    <row r="313" spans="4:52" collapsed="1" x14ac:dyDescent="0.25"/>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72D3F4-63A7-4DD4-8375-8B588DE9D89E}">
  <dimension ref="A1:Z1001"/>
  <sheetViews>
    <sheetView workbookViewId="0">
      <selection activeCell="E43" sqref="E43"/>
    </sheetView>
  </sheetViews>
  <sheetFormatPr defaultColWidth="13.28515625" defaultRowHeight="15" customHeight="1" x14ac:dyDescent="0.2"/>
  <cols>
    <col min="1" max="1" width="6.28515625" style="1244" customWidth="1"/>
    <col min="2" max="2" width="22.140625" style="1244" customWidth="1"/>
    <col min="3" max="3" width="14.7109375" style="1244" customWidth="1"/>
    <col min="4" max="4" width="13.28515625" style="1244" customWidth="1"/>
    <col min="5" max="5" width="15.7109375" style="1244" customWidth="1"/>
    <col min="6" max="6" width="13.42578125" style="1244" customWidth="1"/>
    <col min="7" max="7" width="15.5703125" style="1244" customWidth="1"/>
    <col min="8" max="8" width="14.140625" style="1244" customWidth="1"/>
    <col min="9" max="26" width="12.42578125" style="1244" customWidth="1"/>
    <col min="27" max="16384" width="13.28515625" style="1244"/>
  </cols>
  <sheetData>
    <row r="1" spans="1:26" ht="15.75" customHeight="1" x14ac:dyDescent="0.2">
      <c r="A1" s="1243"/>
      <c r="B1" s="1243"/>
      <c r="C1" s="1243"/>
      <c r="D1" s="1243"/>
      <c r="E1" s="1243"/>
      <c r="F1" s="1243"/>
      <c r="G1" s="1243"/>
      <c r="H1" s="1243"/>
      <c r="I1" s="1243"/>
      <c r="J1" s="1243"/>
      <c r="K1" s="1243"/>
      <c r="L1" s="1243"/>
      <c r="M1" s="1243"/>
      <c r="N1" s="1243"/>
      <c r="O1" s="1243"/>
      <c r="P1" s="1243"/>
      <c r="Q1" s="1243"/>
      <c r="R1" s="1243"/>
      <c r="S1" s="1243"/>
      <c r="T1" s="1243"/>
      <c r="U1" s="1243"/>
      <c r="V1" s="1243"/>
      <c r="W1" s="1243"/>
      <c r="X1" s="1243"/>
      <c r="Y1" s="1243"/>
      <c r="Z1" s="1243"/>
    </row>
    <row r="2" spans="1:26" ht="15.75" customHeight="1" x14ac:dyDescent="0.2">
      <c r="A2" s="1243"/>
      <c r="B2" s="1243"/>
      <c r="C2" s="1243"/>
      <c r="D2" s="1243"/>
      <c r="E2" s="1243"/>
      <c r="F2" s="1243"/>
      <c r="G2" s="1243"/>
      <c r="H2" s="1243"/>
      <c r="I2" s="1243"/>
      <c r="J2" s="1243"/>
      <c r="K2" s="1243"/>
      <c r="L2" s="1243"/>
      <c r="M2" s="1243"/>
      <c r="N2" s="1243"/>
      <c r="O2" s="1243"/>
      <c r="P2" s="1243"/>
      <c r="Q2" s="1243"/>
      <c r="R2" s="1243"/>
      <c r="S2" s="1243"/>
      <c r="T2" s="1243"/>
      <c r="U2" s="1243"/>
      <c r="V2" s="1243"/>
      <c r="W2" s="1243"/>
      <c r="X2" s="1243"/>
      <c r="Y2" s="1243"/>
      <c r="Z2" s="1243"/>
    </row>
    <row r="3" spans="1:26" ht="15.75" customHeight="1" x14ac:dyDescent="0.2">
      <c r="A3" s="1243"/>
      <c r="B3" s="1245" t="s">
        <v>1119</v>
      </c>
      <c r="C3" s="1243"/>
      <c r="D3" s="1243"/>
      <c r="E3" s="1243"/>
      <c r="F3" s="1243"/>
      <c r="G3" s="1243"/>
      <c r="H3" s="1243"/>
      <c r="I3" s="1243"/>
      <c r="J3" s="1243"/>
      <c r="K3" s="1243"/>
      <c r="L3" s="1243"/>
      <c r="M3" s="1243"/>
      <c r="N3" s="1243"/>
      <c r="O3" s="1243"/>
      <c r="P3" s="1243"/>
      <c r="Q3" s="1243"/>
      <c r="R3" s="1243"/>
      <c r="S3" s="1243"/>
      <c r="T3" s="1243"/>
      <c r="U3" s="1243"/>
      <c r="V3" s="1243"/>
      <c r="W3" s="1243"/>
      <c r="X3" s="1243"/>
      <c r="Y3" s="1243"/>
      <c r="Z3" s="1243"/>
    </row>
    <row r="4" spans="1:26" ht="15.75" customHeight="1" x14ac:dyDescent="0.2">
      <c r="A4" s="1243"/>
      <c r="B4" s="1243"/>
      <c r="C4" s="1243"/>
      <c r="D4" s="1243"/>
      <c r="E4" s="1243"/>
      <c r="F4" s="1243"/>
      <c r="G4" s="1243"/>
      <c r="H4" s="1243"/>
      <c r="I4" s="1243"/>
      <c r="J4" s="1243"/>
      <c r="K4" s="1243"/>
      <c r="L4" s="1243"/>
      <c r="M4" s="1243"/>
      <c r="N4" s="1243"/>
      <c r="O4" s="1243"/>
      <c r="P4" s="1243"/>
      <c r="Q4" s="1243"/>
      <c r="R4" s="1243"/>
      <c r="S4" s="1243"/>
      <c r="T4" s="1243"/>
      <c r="U4" s="1243"/>
      <c r="V4" s="1243"/>
      <c r="W4" s="1243"/>
      <c r="X4" s="1243"/>
      <c r="Y4" s="1243"/>
      <c r="Z4" s="1243"/>
    </row>
    <row r="5" spans="1:26" ht="15.75" customHeight="1" x14ac:dyDescent="0.25">
      <c r="A5" s="1243"/>
      <c r="B5" s="1246" t="s">
        <v>1118</v>
      </c>
      <c r="C5" s="1258">
        <v>250000000</v>
      </c>
      <c r="D5" s="1243"/>
      <c r="E5" s="1243"/>
      <c r="F5" s="1243"/>
      <c r="G5" s="1243"/>
      <c r="H5" s="1243"/>
      <c r="I5" s="1243"/>
      <c r="J5" s="1243"/>
      <c r="K5" s="1243"/>
      <c r="L5" s="1243"/>
      <c r="M5" s="1243"/>
      <c r="N5" s="1243"/>
      <c r="O5" s="1243"/>
      <c r="P5" s="1243"/>
      <c r="Q5" s="1243"/>
      <c r="R5" s="1243"/>
      <c r="S5" s="1243"/>
      <c r="T5" s="1243"/>
      <c r="U5" s="1243"/>
      <c r="V5" s="1243"/>
      <c r="W5" s="1243"/>
      <c r="X5" s="1243"/>
      <c r="Y5" s="1243"/>
      <c r="Z5" s="1243"/>
    </row>
    <row r="6" spans="1:26" ht="15.75" customHeight="1" x14ac:dyDescent="0.2">
      <c r="A6" s="1243"/>
      <c r="B6" s="1243" t="s">
        <v>1117</v>
      </c>
      <c r="C6" s="1259">
        <f>C5*(C21+C22)</f>
        <v>88030592.43645376</v>
      </c>
      <c r="D6" s="1243"/>
      <c r="E6" s="1243"/>
      <c r="F6" s="1247" t="s">
        <v>1116</v>
      </c>
      <c r="G6" s="1248"/>
      <c r="H6" s="1248"/>
      <c r="I6" s="1249"/>
      <c r="J6" s="1243"/>
      <c r="K6" s="1243"/>
      <c r="L6" s="1243"/>
      <c r="M6" s="1243"/>
      <c r="N6" s="1243"/>
      <c r="O6" s="1243"/>
      <c r="P6" s="1243"/>
      <c r="Q6" s="1243"/>
      <c r="R6" s="1243"/>
      <c r="S6" s="1243"/>
      <c r="T6" s="1243"/>
      <c r="U6" s="1243"/>
      <c r="V6" s="1243"/>
      <c r="W6" s="1243"/>
      <c r="X6" s="1243"/>
      <c r="Y6" s="1243"/>
      <c r="Z6" s="1243"/>
    </row>
    <row r="7" spans="1:26" ht="15.75" customHeight="1" x14ac:dyDescent="0.2">
      <c r="A7" s="1243"/>
      <c r="B7" s="1243"/>
      <c r="C7" s="1243"/>
      <c r="D7" s="1243"/>
      <c r="E7" s="1243"/>
      <c r="F7" s="1250" t="s">
        <v>1115</v>
      </c>
      <c r="G7" s="1251" t="s">
        <v>1114</v>
      </c>
      <c r="H7" s="1251" t="s">
        <v>1113</v>
      </c>
      <c r="I7" s="1252" t="s">
        <v>308</v>
      </c>
      <c r="J7" s="1243"/>
      <c r="K7" s="1243"/>
      <c r="L7" s="1243"/>
      <c r="M7" s="1243"/>
      <c r="N7" s="1243"/>
      <c r="O7" s="1243"/>
      <c r="P7" s="1243"/>
      <c r="Q7" s="1243"/>
      <c r="R7" s="1243"/>
      <c r="S7" s="1243"/>
      <c r="T7" s="1243"/>
      <c r="U7" s="1243"/>
      <c r="V7" s="1243"/>
      <c r="W7" s="1243"/>
      <c r="X7" s="1243"/>
      <c r="Y7" s="1243"/>
      <c r="Z7" s="1243"/>
    </row>
    <row r="8" spans="1:26" ht="15.75" customHeight="1" x14ac:dyDescent="0.2">
      <c r="A8" s="1243"/>
      <c r="B8" s="1243"/>
      <c r="C8" s="1243"/>
      <c r="D8" s="1243"/>
      <c r="E8" s="1243"/>
      <c r="F8" s="1250" t="s">
        <v>1101</v>
      </c>
      <c r="G8" s="1260">
        <f>D21*G10</f>
        <v>9462727.39316402</v>
      </c>
      <c r="H8" s="1260">
        <f>D21*H10</f>
        <v>22079697.250716045</v>
      </c>
      <c r="I8" s="1261">
        <f>H8+G8</f>
        <v>31542424.643880066</v>
      </c>
      <c r="J8" s="1243"/>
      <c r="K8" s="1243"/>
      <c r="L8" s="1243"/>
      <c r="M8" s="1243"/>
      <c r="N8" s="1243"/>
      <c r="O8" s="1243"/>
      <c r="P8" s="1243"/>
      <c r="Q8" s="1243"/>
      <c r="R8" s="1243"/>
      <c r="S8" s="1243"/>
      <c r="T8" s="1243"/>
      <c r="U8" s="1243"/>
      <c r="V8" s="1243"/>
      <c r="W8" s="1243"/>
      <c r="X8" s="1243"/>
      <c r="Y8" s="1243"/>
      <c r="Z8" s="1243"/>
    </row>
    <row r="9" spans="1:26" ht="15.75" customHeight="1" x14ac:dyDescent="0.2">
      <c r="A9" s="1243"/>
      <c r="B9" s="1243" t="s">
        <v>1112</v>
      </c>
      <c r="C9" s="1262">
        <v>0.5</v>
      </c>
      <c r="D9" s="1263">
        <f>C9*$C$6</f>
        <v>44015296.21822688</v>
      </c>
      <c r="E9" s="1264">
        <f>D9/C13</f>
        <v>3628631.1803979287</v>
      </c>
      <c r="F9" s="1253" t="s">
        <v>1100</v>
      </c>
      <c r="G9" s="1265">
        <f>G10*D22</f>
        <v>3741861.4723040438</v>
      </c>
      <c r="H9" s="1265">
        <f>D22*H10</f>
        <v>8731010.1020427682</v>
      </c>
      <c r="I9" s="1266">
        <f>H9+G9</f>
        <v>12472871.574346812</v>
      </c>
      <c r="J9" s="1243"/>
      <c r="K9" s="1243"/>
      <c r="L9" s="1243"/>
      <c r="M9" s="1243"/>
      <c r="N9" s="1243"/>
      <c r="O9" s="1243"/>
      <c r="P9" s="1243"/>
      <c r="Q9" s="1243"/>
      <c r="R9" s="1243"/>
      <c r="S9" s="1243"/>
      <c r="T9" s="1243"/>
      <c r="U9" s="1243"/>
      <c r="V9" s="1243"/>
      <c r="W9" s="1243"/>
      <c r="X9" s="1243"/>
      <c r="Y9" s="1243"/>
      <c r="Z9" s="1243"/>
    </row>
    <row r="10" spans="1:26" ht="15.75" customHeight="1" x14ac:dyDescent="0.2">
      <c r="A10" s="1243"/>
      <c r="B10" s="1254" t="s">
        <v>286</v>
      </c>
      <c r="C10" s="1267">
        <v>0.5</v>
      </c>
      <c r="D10" s="1268">
        <f>C10*$C$6</f>
        <v>44015296.21822688</v>
      </c>
      <c r="E10" s="1243"/>
      <c r="F10" s="1255" t="s">
        <v>1111</v>
      </c>
      <c r="G10" s="1269">
        <v>0.3</v>
      </c>
      <c r="H10" s="1269">
        <v>0.7</v>
      </c>
      <c r="I10" s="1270">
        <f>H10+G10</f>
        <v>1</v>
      </c>
      <c r="J10" s="1243"/>
      <c r="K10" s="1243"/>
      <c r="L10" s="1243"/>
      <c r="M10" s="1243"/>
      <c r="N10" s="1243"/>
      <c r="O10" s="1243"/>
      <c r="P10" s="1243"/>
      <c r="Q10" s="1243"/>
      <c r="R10" s="1243"/>
      <c r="S10" s="1243"/>
      <c r="T10" s="1243"/>
      <c r="U10" s="1243"/>
      <c r="V10" s="1243"/>
      <c r="W10" s="1243"/>
      <c r="X10" s="1243"/>
      <c r="Y10" s="1243"/>
      <c r="Z10" s="1243"/>
    </row>
    <row r="11" spans="1:26" ht="15.75" customHeight="1" x14ac:dyDescent="0.2">
      <c r="A11" s="1243"/>
      <c r="B11" s="1243" t="s">
        <v>308</v>
      </c>
      <c r="C11" s="1271">
        <f>SUM(C9:C10)</f>
        <v>1</v>
      </c>
      <c r="D11" s="1263">
        <f>SUM(D9:D10)</f>
        <v>88030592.43645376</v>
      </c>
      <c r="E11" s="1243"/>
      <c r="F11" s="1243"/>
      <c r="G11" s="1243"/>
      <c r="H11" s="1243"/>
      <c r="I11" s="1243"/>
      <c r="J11" s="1243"/>
      <c r="K11" s="1243"/>
      <c r="L11" s="1243"/>
      <c r="M11" s="1243"/>
      <c r="N11" s="1243"/>
      <c r="O11" s="1243"/>
      <c r="P11" s="1243"/>
      <c r="Q11" s="1243"/>
      <c r="R11" s="1243"/>
      <c r="S11" s="1243"/>
      <c r="T11" s="1243"/>
      <c r="U11" s="1243"/>
      <c r="V11" s="1243"/>
      <c r="W11" s="1243"/>
      <c r="X11" s="1243"/>
      <c r="Y11" s="1243"/>
      <c r="Z11" s="1243"/>
    </row>
    <row r="12" spans="1:26" ht="15.75" customHeight="1" x14ac:dyDescent="0.2">
      <c r="A12" s="1243"/>
      <c r="B12" s="1243"/>
      <c r="C12" s="1243"/>
      <c r="D12" s="1243"/>
      <c r="E12" s="1243"/>
      <c r="F12" s="1243"/>
      <c r="G12" s="1243"/>
      <c r="H12" s="1243"/>
      <c r="I12" s="1243"/>
      <c r="J12" s="1243"/>
      <c r="K12" s="1243"/>
      <c r="L12" s="1243"/>
      <c r="M12" s="1243"/>
      <c r="N12" s="1243"/>
      <c r="O12" s="1243"/>
      <c r="P12" s="1243"/>
      <c r="Q12" s="1243"/>
      <c r="R12" s="1243"/>
      <c r="S12" s="1243"/>
      <c r="T12" s="1243"/>
      <c r="U12" s="1243"/>
      <c r="V12" s="1243"/>
      <c r="W12" s="1243"/>
      <c r="X12" s="1243"/>
      <c r="Y12" s="1243"/>
      <c r="Z12" s="1243"/>
    </row>
    <row r="13" spans="1:26" ht="15.75" customHeight="1" x14ac:dyDescent="0.2">
      <c r="A13" s="1243"/>
      <c r="B13" s="1243" t="s">
        <v>1110</v>
      </c>
      <c r="C13" s="1272">
        <v>12.13</v>
      </c>
      <c r="D13" s="1243"/>
      <c r="E13" s="1243"/>
      <c r="F13" s="1243"/>
      <c r="G13" s="1243"/>
      <c r="H13" s="1243"/>
      <c r="I13" s="1243"/>
      <c r="J13" s="1243"/>
      <c r="K13" s="1243"/>
      <c r="L13" s="1243"/>
      <c r="M13" s="1243"/>
      <c r="N13" s="1243"/>
      <c r="O13" s="1243"/>
      <c r="P13" s="1243"/>
      <c r="Q13" s="1243"/>
      <c r="R13" s="1243"/>
      <c r="S13" s="1243"/>
      <c r="T13" s="1243"/>
      <c r="U13" s="1243"/>
      <c r="V13" s="1243"/>
      <c r="W13" s="1243"/>
      <c r="X13" s="1243"/>
      <c r="Y13" s="1243"/>
      <c r="Z13" s="1243"/>
    </row>
    <row r="14" spans="1:26" ht="15.75" customHeight="1" x14ac:dyDescent="0.2">
      <c r="A14" s="1243"/>
      <c r="B14" s="1243" t="s">
        <v>1109</v>
      </c>
      <c r="C14" s="1273">
        <f>C13*(1.5)</f>
        <v>18.195</v>
      </c>
      <c r="D14" s="1243"/>
      <c r="E14" s="1243"/>
      <c r="F14" s="1243"/>
      <c r="G14" s="1243"/>
      <c r="H14" s="1243"/>
      <c r="I14" s="1243"/>
      <c r="J14" s="1243"/>
      <c r="K14" s="1243"/>
      <c r="L14" s="1243"/>
      <c r="M14" s="1243"/>
      <c r="N14" s="1243"/>
      <c r="O14" s="1243"/>
      <c r="P14" s="1243"/>
      <c r="Q14" s="1243"/>
      <c r="R14" s="1243"/>
      <c r="S14" s="1243"/>
      <c r="T14" s="1243"/>
      <c r="U14" s="1243"/>
      <c r="V14" s="1243"/>
      <c r="W14" s="1243"/>
      <c r="X14" s="1243"/>
      <c r="Y14" s="1243"/>
      <c r="Z14" s="1243"/>
    </row>
    <row r="15" spans="1:26" ht="15.75" customHeight="1" x14ac:dyDescent="0.2">
      <c r="A15" s="1243"/>
      <c r="B15" s="1243" t="s">
        <v>1103</v>
      </c>
      <c r="C15" s="1273">
        <f>C13*(2)</f>
        <v>24.26</v>
      </c>
      <c r="D15" s="1243"/>
      <c r="E15" s="1243"/>
      <c r="F15" s="1243"/>
      <c r="G15" s="1243"/>
      <c r="H15" s="1243"/>
      <c r="I15" s="1243"/>
      <c r="J15" s="1243"/>
      <c r="K15" s="1243"/>
      <c r="L15" s="1243"/>
      <c r="M15" s="1243"/>
      <c r="N15" s="1243"/>
      <c r="O15" s="1243"/>
      <c r="P15" s="1243"/>
      <c r="Q15" s="1243"/>
      <c r="R15" s="1243"/>
      <c r="S15" s="1243"/>
      <c r="T15" s="1243"/>
      <c r="U15" s="1243"/>
      <c r="V15" s="1243"/>
      <c r="W15" s="1243"/>
      <c r="X15" s="1243"/>
      <c r="Y15" s="1243"/>
      <c r="Z15" s="1243"/>
    </row>
    <row r="16" spans="1:26" ht="15.75" customHeight="1" x14ac:dyDescent="0.2">
      <c r="A16" s="1243"/>
      <c r="B16" s="1243" t="s">
        <v>1102</v>
      </c>
      <c r="C16" s="1273">
        <f>C13*(2.5)</f>
        <v>30.325000000000003</v>
      </c>
      <c r="D16" s="1243"/>
      <c r="E16" s="1243"/>
      <c r="F16" s="1243"/>
      <c r="G16" s="1243"/>
      <c r="H16" s="1243"/>
      <c r="I16" s="1243"/>
      <c r="J16" s="1243"/>
      <c r="K16" s="1243"/>
      <c r="L16" s="1243"/>
      <c r="M16" s="1243"/>
      <c r="N16" s="1243"/>
      <c r="O16" s="1243"/>
      <c r="P16" s="1243"/>
      <c r="Q16" s="1243"/>
      <c r="R16" s="1243"/>
      <c r="S16" s="1243"/>
      <c r="T16" s="1243"/>
      <c r="U16" s="1243"/>
      <c r="V16" s="1243"/>
      <c r="W16" s="1243"/>
      <c r="X16" s="1243"/>
      <c r="Y16" s="1243"/>
      <c r="Z16" s="1243"/>
    </row>
    <row r="17" spans="1:26" ht="15.75" customHeight="1" x14ac:dyDescent="0.2">
      <c r="A17" s="1243"/>
      <c r="B17" s="1243"/>
      <c r="C17" s="1243"/>
      <c r="D17" s="1243"/>
      <c r="E17" s="1243"/>
      <c r="F17" s="1243"/>
      <c r="G17" s="1243"/>
      <c r="H17" s="1243"/>
      <c r="I17" s="1243"/>
      <c r="J17" s="1243"/>
      <c r="K17" s="1243"/>
      <c r="L17" s="1243"/>
      <c r="M17" s="1243"/>
      <c r="N17" s="1243"/>
      <c r="O17" s="1243"/>
      <c r="P17" s="1243"/>
      <c r="Q17" s="1243"/>
      <c r="R17" s="1243"/>
      <c r="S17" s="1243"/>
      <c r="T17" s="1243"/>
      <c r="U17" s="1243"/>
      <c r="V17" s="1243"/>
      <c r="W17" s="1243"/>
      <c r="X17" s="1243"/>
      <c r="Y17" s="1243"/>
      <c r="Z17" s="1243"/>
    </row>
    <row r="18" spans="1:26" ht="15.75" customHeight="1" x14ac:dyDescent="0.2">
      <c r="A18" s="1243"/>
      <c r="B18" s="1243"/>
      <c r="C18" s="1243"/>
      <c r="D18" s="1243"/>
      <c r="E18" s="1243"/>
      <c r="F18" s="1243"/>
      <c r="G18" s="1243"/>
      <c r="H18" s="1243"/>
      <c r="I18" s="1243"/>
      <c r="J18" s="1243"/>
      <c r="K18" s="1243"/>
      <c r="L18" s="1243"/>
      <c r="M18" s="1243"/>
      <c r="N18" s="1243"/>
      <c r="O18" s="1243"/>
      <c r="P18" s="1243"/>
      <c r="Q18" s="1243"/>
      <c r="R18" s="1243"/>
      <c r="S18" s="1243"/>
      <c r="T18" s="1243"/>
      <c r="U18" s="1243"/>
      <c r="V18" s="1243"/>
      <c r="W18" s="1243"/>
      <c r="X18" s="1243"/>
      <c r="Y18" s="1243"/>
      <c r="Z18" s="1243"/>
    </row>
    <row r="19" spans="1:26" ht="15.75" customHeight="1" x14ac:dyDescent="0.2">
      <c r="A19" s="1243"/>
      <c r="B19" s="1243"/>
      <c r="C19" s="1243"/>
      <c r="D19" s="1243"/>
      <c r="E19" s="1243"/>
      <c r="F19" s="1243"/>
      <c r="G19" s="1243"/>
      <c r="H19" s="1245" t="s">
        <v>1108</v>
      </c>
      <c r="I19" s="1243"/>
      <c r="J19" s="1243"/>
      <c r="K19" s="1243"/>
      <c r="L19" s="1243"/>
      <c r="M19" s="1243"/>
      <c r="N19" s="1243"/>
      <c r="O19" s="1243"/>
      <c r="P19" s="1243"/>
      <c r="Q19" s="1243"/>
      <c r="R19" s="1243"/>
      <c r="S19" s="1243"/>
      <c r="T19" s="1243"/>
      <c r="U19" s="1243"/>
      <c r="V19" s="1243"/>
      <c r="W19" s="1243"/>
      <c r="X19" s="1243"/>
      <c r="Y19" s="1243"/>
      <c r="Z19" s="1243"/>
    </row>
    <row r="20" spans="1:26" ht="15.75" customHeight="1" x14ac:dyDescent="0.2">
      <c r="A20" s="1243"/>
      <c r="B20" s="1256" t="s">
        <v>1107</v>
      </c>
      <c r="C20" s="1256" t="s">
        <v>1106</v>
      </c>
      <c r="D20" s="1256" t="s">
        <v>286</v>
      </c>
      <c r="E20" s="1256" t="s">
        <v>1105</v>
      </c>
      <c r="F20" s="1256" t="s">
        <v>308</v>
      </c>
      <c r="H20" s="1257" t="s">
        <v>1104</v>
      </c>
      <c r="I20" s="1257" t="s">
        <v>1103</v>
      </c>
      <c r="J20" s="1257" t="s">
        <v>1102</v>
      </c>
      <c r="K20" s="1243"/>
      <c r="L20" s="1243"/>
      <c r="M20" s="1243"/>
      <c r="N20" s="1243"/>
      <c r="O20" s="1243"/>
      <c r="P20" s="1243"/>
      <c r="Q20" s="1243"/>
      <c r="R20" s="1243"/>
      <c r="S20" s="1243"/>
      <c r="T20" s="1243"/>
      <c r="U20" s="1243"/>
      <c r="V20" s="1243"/>
      <c r="W20" s="1243"/>
      <c r="X20" s="1243"/>
      <c r="Y20" s="1243"/>
      <c r="Z20" s="1243"/>
    </row>
    <row r="21" spans="1:26" ht="15.75" customHeight="1" x14ac:dyDescent="0.2">
      <c r="A21" s="1243"/>
      <c r="B21" s="1243" t="s">
        <v>1101</v>
      </c>
      <c r="C21" s="1274">
        <f>'Detailed Cap Table 11.12.21 (wi'!L87</f>
        <v>0.25233939715104053</v>
      </c>
      <c r="D21" s="1275">
        <f>C25*$D$10</f>
        <v>31542424.643880069</v>
      </c>
      <c r="E21" s="1275">
        <f>D25*C13</f>
        <v>31542424.643880066</v>
      </c>
      <c r="F21" s="1275">
        <f>D21+E21</f>
        <v>63084849.287760139</v>
      </c>
      <c r="H21" s="1276">
        <f>D25*$C$14</f>
        <v>47313636.965820096</v>
      </c>
      <c r="I21" s="1276">
        <f>D25*$C$15</f>
        <v>63084849.287760131</v>
      </c>
      <c r="J21" s="1276">
        <f>$C$16*D25</f>
        <v>78856061.609700173</v>
      </c>
      <c r="K21" s="1243"/>
      <c r="L21" s="1243"/>
      <c r="M21" s="1243"/>
      <c r="N21" s="1243"/>
      <c r="O21" s="1243"/>
      <c r="P21" s="1243"/>
      <c r="Q21" s="1243"/>
      <c r="R21" s="1243"/>
      <c r="S21" s="1243"/>
      <c r="T21" s="1243"/>
      <c r="U21" s="1243"/>
      <c r="V21" s="1243"/>
      <c r="W21" s="1243"/>
      <c r="X21" s="1243"/>
      <c r="Y21" s="1243"/>
      <c r="Z21" s="1243"/>
    </row>
    <row r="22" spans="1:26" ht="15.75" customHeight="1" x14ac:dyDescent="0.2">
      <c r="A22" s="1243"/>
      <c r="B22" s="1254" t="s">
        <v>1100</v>
      </c>
      <c r="C22" s="1277">
        <f>'Detailed Cap Table 11.12.21 (wi'!L21</f>
        <v>9.9782972594774491E-2</v>
      </c>
      <c r="D22" s="1278">
        <f>C26*D10</f>
        <v>12472871.574346812</v>
      </c>
      <c r="E22" s="1278">
        <f>D26*C13</f>
        <v>12472871.574346811</v>
      </c>
      <c r="F22" s="1278">
        <f>E22+D22</f>
        <v>24945743.148693621</v>
      </c>
      <c r="H22" s="1279">
        <f>D26*$C$14</f>
        <v>18709307.361520216</v>
      </c>
      <c r="I22" s="1279">
        <f>D26*$C$15</f>
        <v>24945743.148693621</v>
      </c>
      <c r="J22" s="1279">
        <f>$C$16*D26</f>
        <v>31182178.93586703</v>
      </c>
      <c r="K22" s="1243"/>
      <c r="L22" s="1243"/>
      <c r="M22" s="1243"/>
      <c r="N22" s="1243"/>
      <c r="O22" s="1243"/>
      <c r="P22" s="1243"/>
      <c r="Q22" s="1243"/>
      <c r="R22" s="1243"/>
      <c r="S22" s="1243"/>
      <c r="T22" s="1243"/>
      <c r="U22" s="1243"/>
      <c r="V22" s="1243"/>
      <c r="W22" s="1243"/>
      <c r="X22" s="1243"/>
      <c r="Y22" s="1243"/>
      <c r="Z22" s="1243"/>
    </row>
    <row r="23" spans="1:26" ht="15.75" customHeight="1" x14ac:dyDescent="0.2">
      <c r="A23" s="1243"/>
      <c r="B23" s="1243" t="s">
        <v>308</v>
      </c>
      <c r="C23" s="1280">
        <f>SUM(C21:C22)</f>
        <v>0.35212236974581501</v>
      </c>
      <c r="D23" s="1275">
        <f>SUM(D21:D22)</f>
        <v>44015296.21822688</v>
      </c>
      <c r="E23" s="1275">
        <f>SUM(E21:E22)</f>
        <v>44015296.21822688</v>
      </c>
      <c r="F23" s="1275">
        <f>SUM(F21:F22)</f>
        <v>88030592.43645376</v>
      </c>
      <c r="H23" s="1276">
        <f>SUM(H21:H22)</f>
        <v>66022944.327340312</v>
      </c>
      <c r="I23" s="1276">
        <f>SUM(I21:I22)</f>
        <v>88030592.43645376</v>
      </c>
      <c r="J23" s="1276">
        <f>SUM(J21:J22)</f>
        <v>110038240.5455672</v>
      </c>
      <c r="K23" s="1243"/>
      <c r="L23" s="1243"/>
      <c r="M23" s="1243"/>
      <c r="N23" s="1243"/>
      <c r="O23" s="1243"/>
      <c r="P23" s="1243"/>
      <c r="Q23" s="1243"/>
      <c r="R23" s="1243"/>
      <c r="S23" s="1243"/>
      <c r="T23" s="1243"/>
      <c r="U23" s="1243"/>
      <c r="V23" s="1243"/>
      <c r="W23" s="1243"/>
      <c r="X23" s="1243"/>
      <c r="Y23" s="1243"/>
      <c r="Z23" s="1243"/>
    </row>
    <row r="24" spans="1:26" ht="15.75" customHeight="1" x14ac:dyDescent="0.2">
      <c r="A24" s="1243"/>
      <c r="B24" s="1243"/>
      <c r="C24" s="1243"/>
      <c r="D24" s="1243"/>
      <c r="E24" s="1243"/>
      <c r="F24" s="1243"/>
      <c r="G24" s="1243"/>
      <c r="H24" s="1243"/>
      <c r="I24" s="1243"/>
      <c r="J24" s="1243"/>
      <c r="K24" s="1243"/>
      <c r="L24" s="1243"/>
      <c r="M24" s="1243"/>
      <c r="N24" s="1243"/>
      <c r="O24" s="1243"/>
      <c r="P24" s="1243"/>
      <c r="Q24" s="1243"/>
      <c r="R24" s="1243"/>
      <c r="S24" s="1243"/>
      <c r="T24" s="1243"/>
      <c r="U24" s="1243"/>
      <c r="V24" s="1243"/>
      <c r="W24" s="1243"/>
      <c r="X24" s="1243"/>
      <c r="Y24" s="1243"/>
      <c r="Z24" s="1243"/>
    </row>
    <row r="25" spans="1:26" ht="15.75" customHeight="1" x14ac:dyDescent="0.2">
      <c r="A25" s="1243"/>
      <c r="B25" s="1243" t="s">
        <v>1101</v>
      </c>
      <c r="C25" s="1271">
        <f>C21/C23</f>
        <v>0.71662415918987377</v>
      </c>
      <c r="D25" s="1281">
        <f>C25*E9</f>
        <v>2600364.7686628248</v>
      </c>
      <c r="E25" s="1243"/>
      <c r="F25" s="1243"/>
      <c r="G25" s="1243"/>
      <c r="H25" s="1243"/>
      <c r="I25" s="1243"/>
      <c r="J25" s="1243"/>
      <c r="K25" s="1243"/>
      <c r="L25" s="1243"/>
      <c r="M25" s="1243"/>
      <c r="N25" s="1243"/>
      <c r="O25" s="1243"/>
      <c r="P25" s="1243"/>
      <c r="Q25" s="1243"/>
      <c r="R25" s="1243"/>
      <c r="S25" s="1243"/>
      <c r="T25" s="1243"/>
      <c r="U25" s="1243"/>
      <c r="V25" s="1243"/>
      <c r="W25" s="1243"/>
      <c r="X25" s="1243"/>
      <c r="Y25" s="1243"/>
      <c r="Z25" s="1243"/>
    </row>
    <row r="26" spans="1:26" ht="15.75" customHeight="1" x14ac:dyDescent="0.2">
      <c r="A26" s="1243"/>
      <c r="B26" s="1243" t="s">
        <v>1100</v>
      </c>
      <c r="C26" s="1271">
        <f>C22/C23</f>
        <v>0.28337584081012623</v>
      </c>
      <c r="D26" s="1281">
        <f>E9*C26</f>
        <v>1028266.4117351039</v>
      </c>
      <c r="E26" s="1243"/>
      <c r="F26" s="1243"/>
      <c r="G26" s="1243"/>
      <c r="H26" s="1243"/>
      <c r="I26" s="1243"/>
      <c r="J26" s="1243"/>
      <c r="K26" s="1243"/>
      <c r="L26" s="1243"/>
      <c r="M26" s="1243"/>
      <c r="N26" s="1243"/>
      <c r="O26" s="1243"/>
      <c r="P26" s="1243"/>
      <c r="Q26" s="1243"/>
      <c r="R26" s="1243"/>
      <c r="S26" s="1243"/>
      <c r="T26" s="1243"/>
      <c r="U26" s="1243"/>
      <c r="V26" s="1243"/>
      <c r="W26" s="1243"/>
      <c r="X26" s="1243"/>
      <c r="Y26" s="1243"/>
      <c r="Z26" s="1243"/>
    </row>
    <row r="27" spans="1:26" ht="15.75" customHeight="1" x14ac:dyDescent="0.2">
      <c r="A27" s="1243"/>
      <c r="B27" s="1243"/>
      <c r="C27" s="1243"/>
      <c r="D27" s="1243"/>
      <c r="E27" s="1243"/>
      <c r="F27" s="1243"/>
      <c r="G27" s="1243"/>
      <c r="H27" s="1243"/>
      <c r="I27" s="1243"/>
      <c r="J27" s="1243"/>
      <c r="K27" s="1243"/>
      <c r="L27" s="1243"/>
      <c r="M27" s="1243"/>
      <c r="N27" s="1243"/>
      <c r="O27" s="1243"/>
      <c r="P27" s="1243"/>
      <c r="Q27" s="1243"/>
      <c r="R27" s="1243"/>
      <c r="S27" s="1243"/>
      <c r="T27" s="1243"/>
      <c r="U27" s="1243"/>
      <c r="V27" s="1243"/>
      <c r="W27" s="1243"/>
      <c r="X27" s="1243"/>
      <c r="Y27" s="1243"/>
      <c r="Z27" s="1243"/>
    </row>
    <row r="28" spans="1:26" ht="15.75" customHeight="1" x14ac:dyDescent="0.2">
      <c r="A28" s="1243"/>
      <c r="B28" s="1243"/>
      <c r="C28" s="1243"/>
      <c r="D28" s="1243"/>
      <c r="E28" s="1243"/>
      <c r="F28" s="1243"/>
      <c r="G28" s="1243"/>
      <c r="H28" s="1243"/>
      <c r="I28" s="1243"/>
      <c r="J28" s="1243"/>
      <c r="K28" s="1243"/>
      <c r="L28" s="1243"/>
      <c r="M28" s="1243"/>
      <c r="N28" s="1243"/>
      <c r="O28" s="1243"/>
      <c r="P28" s="1243"/>
      <c r="Q28" s="1243"/>
      <c r="R28" s="1243"/>
      <c r="S28" s="1243"/>
      <c r="T28" s="1243"/>
      <c r="U28" s="1243"/>
      <c r="V28" s="1243"/>
      <c r="W28" s="1243"/>
      <c r="X28" s="1243"/>
      <c r="Y28" s="1243"/>
      <c r="Z28" s="1243"/>
    </row>
    <row r="29" spans="1:26" ht="15.75" customHeight="1" x14ac:dyDescent="0.2">
      <c r="A29" s="1243"/>
      <c r="B29" s="1243"/>
      <c r="C29" s="1243"/>
      <c r="D29" s="1243"/>
      <c r="E29" s="1243"/>
      <c r="F29" s="1243"/>
      <c r="G29" s="1243"/>
      <c r="H29" s="1243"/>
      <c r="I29" s="1243"/>
      <c r="J29" s="1243"/>
      <c r="K29" s="1243"/>
      <c r="L29" s="1243"/>
      <c r="M29" s="1243"/>
      <c r="N29" s="1243"/>
      <c r="O29" s="1243"/>
      <c r="P29" s="1243"/>
      <c r="Q29" s="1243"/>
      <c r="R29" s="1243"/>
      <c r="S29" s="1243"/>
      <c r="T29" s="1243"/>
      <c r="U29" s="1243"/>
      <c r="V29" s="1243"/>
      <c r="W29" s="1243"/>
      <c r="X29" s="1243"/>
      <c r="Y29" s="1243"/>
      <c r="Z29" s="1243"/>
    </row>
    <row r="30" spans="1:26" ht="15.75" customHeight="1" x14ac:dyDescent="0.2">
      <c r="A30" s="1243"/>
      <c r="B30" s="1243"/>
      <c r="C30" s="1243"/>
      <c r="D30" s="1243"/>
      <c r="E30" s="1243"/>
      <c r="F30" s="1243"/>
      <c r="G30" s="1243"/>
      <c r="H30" s="1243"/>
      <c r="I30" s="1243"/>
      <c r="J30" s="1243"/>
      <c r="K30" s="1243"/>
      <c r="L30" s="1243"/>
      <c r="M30" s="1243"/>
      <c r="N30" s="1243"/>
      <c r="O30" s="1243"/>
      <c r="P30" s="1243"/>
      <c r="Q30" s="1243"/>
      <c r="R30" s="1243"/>
      <c r="S30" s="1243"/>
      <c r="T30" s="1243"/>
      <c r="U30" s="1243"/>
      <c r="V30" s="1243"/>
      <c r="W30" s="1243"/>
      <c r="X30" s="1243"/>
      <c r="Y30" s="1243"/>
      <c r="Z30" s="1243"/>
    </row>
    <row r="31" spans="1:26" ht="15.75" customHeight="1" x14ac:dyDescent="0.2">
      <c r="A31" s="1243"/>
      <c r="B31" s="1243"/>
      <c r="C31" s="1243"/>
      <c r="D31" s="1243"/>
      <c r="E31" s="1243"/>
      <c r="F31" s="1243"/>
      <c r="G31" s="1243"/>
      <c r="H31" s="1243"/>
      <c r="I31" s="1243"/>
      <c r="J31" s="1243"/>
      <c r="K31" s="1243"/>
      <c r="L31" s="1243"/>
      <c r="M31" s="1243"/>
      <c r="N31" s="1243"/>
      <c r="O31" s="1243"/>
      <c r="P31" s="1243"/>
      <c r="Q31" s="1243"/>
      <c r="R31" s="1243"/>
      <c r="S31" s="1243"/>
      <c r="T31" s="1243"/>
      <c r="U31" s="1243"/>
      <c r="V31" s="1243"/>
      <c r="W31" s="1243"/>
      <c r="X31" s="1243"/>
      <c r="Y31" s="1243"/>
      <c r="Z31" s="1243"/>
    </row>
    <row r="32" spans="1:26" ht="15.75" customHeight="1" x14ac:dyDescent="0.2">
      <c r="A32" s="1243"/>
      <c r="B32" s="1243"/>
      <c r="C32" s="1243"/>
      <c r="D32" s="1243"/>
      <c r="E32" s="1243"/>
      <c r="F32" s="1243"/>
      <c r="G32" s="1243"/>
      <c r="H32" s="1243"/>
      <c r="I32" s="1243"/>
      <c r="J32" s="1243"/>
      <c r="K32" s="1243"/>
      <c r="L32" s="1243"/>
      <c r="M32" s="1243"/>
      <c r="N32" s="1243"/>
      <c r="O32" s="1243"/>
      <c r="P32" s="1243"/>
      <c r="Q32" s="1243"/>
      <c r="R32" s="1243"/>
      <c r="S32" s="1243"/>
      <c r="T32" s="1243"/>
      <c r="U32" s="1243"/>
      <c r="V32" s="1243"/>
      <c r="W32" s="1243"/>
      <c r="X32" s="1243"/>
      <c r="Y32" s="1243"/>
      <c r="Z32" s="1243"/>
    </row>
    <row r="33" spans="1:26" ht="15.75" customHeight="1" x14ac:dyDescent="0.2">
      <c r="A33" s="1243"/>
      <c r="B33" s="1243"/>
      <c r="C33" s="1243"/>
      <c r="D33" s="1243"/>
      <c r="E33" s="1243"/>
      <c r="F33" s="1243"/>
      <c r="G33" s="1243"/>
      <c r="H33" s="1243"/>
      <c r="I33" s="1243"/>
      <c r="J33" s="1243"/>
      <c r="K33" s="1243"/>
      <c r="L33" s="1243"/>
      <c r="M33" s="1243"/>
      <c r="N33" s="1243"/>
      <c r="O33" s="1243"/>
      <c r="P33" s="1243"/>
      <c r="Q33" s="1243"/>
      <c r="R33" s="1243"/>
      <c r="S33" s="1243"/>
      <c r="T33" s="1243"/>
      <c r="U33" s="1243"/>
      <c r="V33" s="1243"/>
      <c r="W33" s="1243"/>
      <c r="X33" s="1243"/>
      <c r="Y33" s="1243"/>
      <c r="Z33" s="1243"/>
    </row>
    <row r="34" spans="1:26" ht="15.75" customHeight="1" x14ac:dyDescent="0.2">
      <c r="A34" s="1243"/>
      <c r="B34" s="1243"/>
      <c r="C34" s="1243"/>
      <c r="D34" s="1243"/>
      <c r="E34" s="1243"/>
      <c r="F34" s="1243"/>
      <c r="G34" s="1243"/>
      <c r="H34" s="1243"/>
      <c r="I34" s="1243"/>
      <c r="J34" s="1243"/>
      <c r="K34" s="1243"/>
      <c r="L34" s="1243"/>
      <c r="M34" s="1243"/>
      <c r="N34" s="1243"/>
      <c r="O34" s="1243"/>
      <c r="P34" s="1243"/>
      <c r="Q34" s="1243"/>
      <c r="R34" s="1243"/>
      <c r="S34" s="1243"/>
      <c r="T34" s="1243"/>
      <c r="U34" s="1243"/>
      <c r="V34" s="1243"/>
      <c r="W34" s="1243"/>
      <c r="X34" s="1243"/>
      <c r="Y34" s="1243"/>
      <c r="Z34" s="1243"/>
    </row>
    <row r="35" spans="1:26" ht="15.75" customHeight="1" x14ac:dyDescent="0.2">
      <c r="A35" s="1243"/>
      <c r="B35" s="1243"/>
      <c r="C35" s="1243"/>
      <c r="D35" s="1243"/>
      <c r="E35" s="1243"/>
      <c r="F35" s="1243"/>
      <c r="G35" s="1243"/>
      <c r="H35" s="1243"/>
      <c r="I35" s="1243"/>
      <c r="J35" s="1243"/>
      <c r="K35" s="1243"/>
      <c r="L35" s="1243"/>
      <c r="M35" s="1243"/>
      <c r="N35" s="1243"/>
      <c r="O35" s="1243"/>
      <c r="P35" s="1243"/>
      <c r="Q35" s="1243"/>
      <c r="R35" s="1243"/>
      <c r="S35" s="1243"/>
      <c r="T35" s="1243"/>
      <c r="U35" s="1243"/>
      <c r="V35" s="1243"/>
      <c r="W35" s="1243"/>
      <c r="X35" s="1243"/>
      <c r="Y35" s="1243"/>
      <c r="Z35" s="1243"/>
    </row>
    <row r="36" spans="1:26" ht="15.75" customHeight="1" x14ac:dyDescent="0.2">
      <c r="A36" s="1243"/>
      <c r="B36" s="1243"/>
      <c r="C36" s="1243"/>
      <c r="D36" s="1243"/>
      <c r="E36" s="1243"/>
      <c r="F36" s="1243"/>
      <c r="G36" s="1243"/>
      <c r="H36" s="1243"/>
      <c r="I36" s="1243"/>
      <c r="J36" s="1243"/>
      <c r="K36" s="1243"/>
      <c r="L36" s="1243"/>
      <c r="M36" s="1243"/>
      <c r="N36" s="1243"/>
      <c r="O36" s="1243"/>
      <c r="P36" s="1243"/>
      <c r="Q36" s="1243"/>
      <c r="R36" s="1243"/>
      <c r="S36" s="1243"/>
      <c r="T36" s="1243"/>
      <c r="U36" s="1243"/>
      <c r="V36" s="1243"/>
      <c r="W36" s="1243"/>
      <c r="X36" s="1243"/>
      <c r="Y36" s="1243"/>
      <c r="Z36" s="1243"/>
    </row>
    <row r="37" spans="1:26" ht="15.75" customHeight="1" x14ac:dyDescent="0.2">
      <c r="A37" s="1243"/>
      <c r="B37" s="1243"/>
      <c r="C37" s="1243"/>
      <c r="D37" s="1243"/>
      <c r="E37" s="1243"/>
      <c r="F37" s="1243"/>
      <c r="G37" s="1243"/>
      <c r="H37" s="1243"/>
      <c r="I37" s="1243"/>
      <c r="J37" s="1243"/>
      <c r="K37" s="1243"/>
      <c r="L37" s="1243"/>
      <c r="M37" s="1243"/>
      <c r="N37" s="1243"/>
      <c r="O37" s="1243"/>
      <c r="P37" s="1243"/>
      <c r="Q37" s="1243"/>
      <c r="R37" s="1243"/>
      <c r="S37" s="1243"/>
      <c r="T37" s="1243"/>
      <c r="U37" s="1243"/>
      <c r="V37" s="1243"/>
      <c r="W37" s="1243"/>
      <c r="X37" s="1243"/>
      <c r="Y37" s="1243"/>
      <c r="Z37" s="1243"/>
    </row>
    <row r="38" spans="1:26" ht="15.75" customHeight="1" x14ac:dyDescent="0.2">
      <c r="A38" s="1243"/>
      <c r="B38" s="1243"/>
      <c r="C38" s="1243"/>
      <c r="D38" s="1243"/>
      <c r="E38" s="1243"/>
      <c r="F38" s="1243"/>
      <c r="G38" s="1243"/>
      <c r="H38" s="1243"/>
      <c r="I38" s="1243"/>
      <c r="J38" s="1243"/>
      <c r="K38" s="1243"/>
      <c r="L38" s="1243"/>
      <c r="M38" s="1243"/>
      <c r="N38" s="1243"/>
      <c r="O38" s="1243"/>
      <c r="P38" s="1243"/>
      <c r="Q38" s="1243"/>
      <c r="R38" s="1243"/>
      <c r="S38" s="1243"/>
      <c r="T38" s="1243"/>
      <c r="U38" s="1243"/>
      <c r="V38" s="1243"/>
      <c r="W38" s="1243"/>
      <c r="X38" s="1243"/>
      <c r="Y38" s="1243"/>
      <c r="Z38" s="1243"/>
    </row>
    <row r="39" spans="1:26" ht="15.75" customHeight="1" x14ac:dyDescent="0.2">
      <c r="A39" s="1243"/>
      <c r="B39" s="1243"/>
      <c r="C39" s="1243"/>
      <c r="D39" s="1243"/>
      <c r="E39" s="1243"/>
      <c r="F39" s="1243"/>
      <c r="G39" s="1243"/>
      <c r="H39" s="1243"/>
      <c r="I39" s="1243"/>
      <c r="J39" s="1243"/>
      <c r="K39" s="1243"/>
      <c r="L39" s="1243"/>
      <c r="M39" s="1243"/>
      <c r="N39" s="1243"/>
      <c r="O39" s="1243"/>
      <c r="P39" s="1243"/>
      <c r="Q39" s="1243"/>
      <c r="R39" s="1243"/>
      <c r="S39" s="1243"/>
      <c r="T39" s="1243"/>
      <c r="U39" s="1243"/>
      <c r="V39" s="1243"/>
      <c r="W39" s="1243"/>
      <c r="X39" s="1243"/>
      <c r="Y39" s="1243"/>
      <c r="Z39" s="1243"/>
    </row>
    <row r="40" spans="1:26" ht="15.75" customHeight="1" x14ac:dyDescent="0.2">
      <c r="A40" s="1243"/>
      <c r="B40" s="1243"/>
      <c r="C40" s="1243"/>
      <c r="D40" s="1243"/>
      <c r="E40" s="1243"/>
      <c r="F40" s="1243"/>
      <c r="G40" s="1243"/>
      <c r="H40" s="1243"/>
      <c r="I40" s="1243"/>
      <c r="J40" s="1243"/>
      <c r="K40" s="1243"/>
      <c r="L40" s="1243"/>
      <c r="M40" s="1243"/>
      <c r="N40" s="1243"/>
      <c r="O40" s="1243"/>
      <c r="P40" s="1243"/>
      <c r="Q40" s="1243"/>
      <c r="R40" s="1243"/>
      <c r="S40" s="1243"/>
      <c r="T40" s="1243"/>
      <c r="U40" s="1243"/>
      <c r="V40" s="1243"/>
      <c r="W40" s="1243"/>
      <c r="X40" s="1243"/>
      <c r="Y40" s="1243"/>
      <c r="Z40" s="1243"/>
    </row>
    <row r="41" spans="1:26" ht="15.75" customHeight="1" x14ac:dyDescent="0.2">
      <c r="A41" s="1243"/>
      <c r="B41" s="1243"/>
      <c r="C41" s="1243"/>
      <c r="D41" s="1243"/>
      <c r="E41" s="1243"/>
      <c r="F41" s="1243"/>
      <c r="G41" s="1243"/>
      <c r="H41" s="1243"/>
      <c r="I41" s="1243"/>
      <c r="J41" s="1243"/>
      <c r="K41" s="1243"/>
      <c r="L41" s="1243"/>
      <c r="M41" s="1243"/>
      <c r="N41" s="1243"/>
      <c r="O41" s="1243"/>
      <c r="P41" s="1243"/>
      <c r="Q41" s="1243"/>
      <c r="R41" s="1243"/>
      <c r="S41" s="1243"/>
      <c r="T41" s="1243"/>
      <c r="U41" s="1243"/>
      <c r="V41" s="1243"/>
      <c r="W41" s="1243"/>
      <c r="X41" s="1243"/>
      <c r="Y41" s="1243"/>
      <c r="Z41" s="1243"/>
    </row>
    <row r="42" spans="1:26" ht="15.75" customHeight="1" x14ac:dyDescent="0.2">
      <c r="A42" s="1243"/>
      <c r="B42" s="1243"/>
      <c r="C42" s="1243"/>
      <c r="D42" s="1243"/>
      <c r="E42" s="1243"/>
      <c r="F42" s="1243"/>
      <c r="G42" s="1243"/>
      <c r="H42" s="1243"/>
      <c r="I42" s="1243"/>
      <c r="J42" s="1243"/>
      <c r="K42" s="1243"/>
      <c r="L42" s="1243"/>
      <c r="M42" s="1243"/>
      <c r="N42" s="1243"/>
      <c r="O42" s="1243"/>
      <c r="P42" s="1243"/>
      <c r="Q42" s="1243"/>
      <c r="R42" s="1243"/>
      <c r="S42" s="1243"/>
      <c r="T42" s="1243"/>
      <c r="U42" s="1243"/>
      <c r="V42" s="1243"/>
      <c r="W42" s="1243"/>
      <c r="X42" s="1243"/>
      <c r="Y42" s="1243"/>
      <c r="Z42" s="1243"/>
    </row>
    <row r="43" spans="1:26" ht="15.75" customHeight="1" x14ac:dyDescent="0.2">
      <c r="A43" s="1243"/>
      <c r="B43" s="1243"/>
      <c r="C43" s="1243"/>
      <c r="D43" s="1243"/>
      <c r="E43" s="1243"/>
      <c r="F43" s="1243"/>
      <c r="G43" s="1243"/>
      <c r="H43" s="1243"/>
      <c r="I43" s="1243"/>
      <c r="J43" s="1243"/>
      <c r="K43" s="1243"/>
      <c r="L43" s="1243"/>
      <c r="M43" s="1243"/>
      <c r="N43" s="1243"/>
      <c r="O43" s="1243"/>
      <c r="P43" s="1243"/>
      <c r="Q43" s="1243"/>
      <c r="R43" s="1243"/>
      <c r="S43" s="1243"/>
      <c r="T43" s="1243"/>
      <c r="U43" s="1243"/>
      <c r="V43" s="1243"/>
      <c r="W43" s="1243"/>
      <c r="X43" s="1243"/>
      <c r="Y43" s="1243"/>
      <c r="Z43" s="1243"/>
    </row>
    <row r="44" spans="1:26" ht="15.75" customHeight="1" x14ac:dyDescent="0.2">
      <c r="A44" s="1243"/>
      <c r="B44" s="1243"/>
      <c r="C44" s="1243"/>
      <c r="D44" s="1243"/>
      <c r="E44" s="1243"/>
      <c r="F44" s="1243"/>
      <c r="G44" s="1243"/>
      <c r="H44" s="1243"/>
      <c r="I44" s="1243"/>
      <c r="J44" s="1243"/>
      <c r="K44" s="1243"/>
      <c r="L44" s="1243"/>
      <c r="M44" s="1243"/>
      <c r="N44" s="1243"/>
      <c r="O44" s="1243"/>
      <c r="P44" s="1243"/>
      <c r="Q44" s="1243"/>
      <c r="R44" s="1243"/>
      <c r="S44" s="1243"/>
      <c r="T44" s="1243"/>
      <c r="U44" s="1243"/>
      <c r="V44" s="1243"/>
      <c r="W44" s="1243"/>
      <c r="X44" s="1243"/>
      <c r="Y44" s="1243"/>
      <c r="Z44" s="1243"/>
    </row>
    <row r="45" spans="1:26" ht="15.75" customHeight="1" x14ac:dyDescent="0.2">
      <c r="A45" s="1243"/>
      <c r="B45" s="1243"/>
      <c r="C45" s="1243"/>
      <c r="D45" s="1243"/>
      <c r="E45" s="1243"/>
      <c r="F45" s="1243"/>
      <c r="G45" s="1243"/>
      <c r="H45" s="1243"/>
      <c r="I45" s="1243"/>
      <c r="J45" s="1243"/>
      <c r="K45" s="1243"/>
      <c r="L45" s="1243"/>
      <c r="M45" s="1243"/>
      <c r="N45" s="1243"/>
      <c r="O45" s="1243"/>
      <c r="P45" s="1243"/>
      <c r="Q45" s="1243"/>
      <c r="R45" s="1243"/>
      <c r="S45" s="1243"/>
      <c r="T45" s="1243"/>
      <c r="U45" s="1243"/>
      <c r="V45" s="1243"/>
      <c r="W45" s="1243"/>
      <c r="X45" s="1243"/>
      <c r="Y45" s="1243"/>
      <c r="Z45" s="1243"/>
    </row>
    <row r="46" spans="1:26" ht="15.75" customHeight="1" x14ac:dyDescent="0.2">
      <c r="A46" s="1243"/>
      <c r="B46" s="1243"/>
      <c r="C46" s="1243"/>
      <c r="D46" s="1243"/>
      <c r="E46" s="1243"/>
      <c r="F46" s="1243"/>
      <c r="G46" s="1243"/>
      <c r="H46" s="1243"/>
      <c r="I46" s="1243"/>
      <c r="J46" s="1243"/>
      <c r="K46" s="1243"/>
      <c r="L46" s="1243"/>
      <c r="M46" s="1243"/>
      <c r="N46" s="1243"/>
      <c r="O46" s="1243"/>
      <c r="P46" s="1243"/>
      <c r="Q46" s="1243"/>
      <c r="R46" s="1243"/>
      <c r="S46" s="1243"/>
      <c r="T46" s="1243"/>
      <c r="U46" s="1243"/>
      <c r="V46" s="1243"/>
      <c r="W46" s="1243"/>
      <c r="X46" s="1243"/>
      <c r="Y46" s="1243"/>
      <c r="Z46" s="1243"/>
    </row>
    <row r="47" spans="1:26" ht="15.75" customHeight="1" x14ac:dyDescent="0.2">
      <c r="A47" s="1243"/>
      <c r="B47" s="1243"/>
      <c r="C47" s="1243"/>
      <c r="D47" s="1243"/>
      <c r="E47" s="1243"/>
      <c r="F47" s="1243"/>
      <c r="G47" s="1243"/>
      <c r="H47" s="1243"/>
      <c r="I47" s="1243"/>
      <c r="J47" s="1243"/>
      <c r="K47" s="1243"/>
      <c r="L47" s="1243"/>
      <c r="M47" s="1243"/>
      <c r="N47" s="1243"/>
      <c r="O47" s="1243"/>
      <c r="P47" s="1243"/>
      <c r="Q47" s="1243"/>
      <c r="R47" s="1243"/>
      <c r="S47" s="1243"/>
      <c r="T47" s="1243"/>
      <c r="U47" s="1243"/>
      <c r="V47" s="1243"/>
      <c r="W47" s="1243"/>
      <c r="X47" s="1243"/>
      <c r="Y47" s="1243"/>
      <c r="Z47" s="1243"/>
    </row>
    <row r="48" spans="1:26" ht="15.75" customHeight="1" x14ac:dyDescent="0.2">
      <c r="A48" s="1243"/>
      <c r="B48" s="1243"/>
      <c r="C48" s="1243"/>
      <c r="D48" s="1243"/>
      <c r="E48" s="1243"/>
      <c r="F48" s="1243"/>
      <c r="G48" s="1243"/>
      <c r="H48" s="1243"/>
      <c r="I48" s="1243"/>
      <c r="J48" s="1243"/>
      <c r="K48" s="1243"/>
      <c r="L48" s="1243"/>
      <c r="M48" s="1243"/>
      <c r="N48" s="1243"/>
      <c r="O48" s="1243"/>
      <c r="P48" s="1243"/>
      <c r="Q48" s="1243"/>
      <c r="R48" s="1243"/>
      <c r="S48" s="1243"/>
      <c r="T48" s="1243"/>
      <c r="U48" s="1243"/>
      <c r="V48" s="1243"/>
      <c r="W48" s="1243"/>
      <c r="X48" s="1243"/>
      <c r="Y48" s="1243"/>
      <c r="Z48" s="1243"/>
    </row>
    <row r="49" spans="1:26" ht="15.75" customHeight="1" x14ac:dyDescent="0.2">
      <c r="A49" s="1243"/>
      <c r="B49" s="1243"/>
      <c r="C49" s="1243"/>
      <c r="D49" s="1243"/>
      <c r="E49" s="1243"/>
      <c r="F49" s="1243"/>
      <c r="G49" s="1243"/>
      <c r="H49" s="1243"/>
      <c r="I49" s="1243"/>
      <c r="J49" s="1243"/>
      <c r="K49" s="1243"/>
      <c r="L49" s="1243"/>
      <c r="M49" s="1243"/>
      <c r="N49" s="1243"/>
      <c r="O49" s="1243"/>
      <c r="P49" s="1243"/>
      <c r="Q49" s="1243"/>
      <c r="R49" s="1243"/>
      <c r="S49" s="1243"/>
      <c r="T49" s="1243"/>
      <c r="U49" s="1243"/>
      <c r="V49" s="1243"/>
      <c r="W49" s="1243"/>
      <c r="X49" s="1243"/>
      <c r="Y49" s="1243"/>
      <c r="Z49" s="1243"/>
    </row>
    <row r="50" spans="1:26" ht="15.75" customHeight="1" x14ac:dyDescent="0.2">
      <c r="A50" s="1243"/>
      <c r="B50" s="1243"/>
      <c r="C50" s="1243"/>
      <c r="D50" s="1243"/>
      <c r="E50" s="1243"/>
      <c r="F50" s="1243"/>
      <c r="G50" s="1243"/>
      <c r="H50" s="1243"/>
      <c r="I50" s="1243"/>
      <c r="J50" s="1243"/>
      <c r="K50" s="1243"/>
      <c r="L50" s="1243"/>
      <c r="M50" s="1243"/>
      <c r="N50" s="1243"/>
      <c r="O50" s="1243"/>
      <c r="P50" s="1243"/>
      <c r="Q50" s="1243"/>
      <c r="R50" s="1243"/>
      <c r="S50" s="1243"/>
      <c r="T50" s="1243"/>
      <c r="U50" s="1243"/>
      <c r="V50" s="1243"/>
      <c r="W50" s="1243"/>
      <c r="X50" s="1243"/>
      <c r="Y50" s="1243"/>
      <c r="Z50" s="1243"/>
    </row>
    <row r="51" spans="1:26" ht="15.75" customHeight="1" x14ac:dyDescent="0.2">
      <c r="A51" s="1243"/>
      <c r="B51" s="1243"/>
      <c r="C51" s="1243"/>
      <c r="D51" s="1243"/>
      <c r="E51" s="1243"/>
      <c r="F51" s="1243"/>
      <c r="G51" s="1243"/>
      <c r="H51" s="1243"/>
      <c r="I51" s="1243"/>
      <c r="J51" s="1243"/>
      <c r="K51" s="1243"/>
      <c r="L51" s="1243"/>
      <c r="M51" s="1243"/>
      <c r="N51" s="1243"/>
      <c r="O51" s="1243"/>
      <c r="P51" s="1243"/>
      <c r="Q51" s="1243"/>
      <c r="R51" s="1243"/>
      <c r="S51" s="1243"/>
      <c r="T51" s="1243"/>
      <c r="U51" s="1243"/>
      <c r="V51" s="1243"/>
      <c r="W51" s="1243"/>
      <c r="X51" s="1243"/>
      <c r="Y51" s="1243"/>
      <c r="Z51" s="1243"/>
    </row>
    <row r="52" spans="1:26" ht="15.75" customHeight="1" x14ac:dyDescent="0.2">
      <c r="A52" s="1243"/>
      <c r="B52" s="1243"/>
      <c r="C52" s="1243"/>
      <c r="D52" s="1243"/>
      <c r="E52" s="1243"/>
      <c r="F52" s="1243"/>
      <c r="G52" s="1243"/>
      <c r="H52" s="1243"/>
      <c r="I52" s="1243"/>
      <c r="J52" s="1243"/>
      <c r="K52" s="1243"/>
      <c r="L52" s="1243"/>
      <c r="M52" s="1243"/>
      <c r="N52" s="1243"/>
      <c r="O52" s="1243"/>
      <c r="P52" s="1243"/>
      <c r="Q52" s="1243"/>
      <c r="R52" s="1243"/>
      <c r="S52" s="1243"/>
      <c r="T52" s="1243"/>
      <c r="U52" s="1243"/>
      <c r="V52" s="1243"/>
      <c r="W52" s="1243"/>
      <c r="X52" s="1243"/>
      <c r="Y52" s="1243"/>
      <c r="Z52" s="1243"/>
    </row>
    <row r="53" spans="1:26" ht="15.75" customHeight="1" x14ac:dyDescent="0.2">
      <c r="A53" s="1243"/>
      <c r="B53" s="1243"/>
      <c r="C53" s="1243"/>
      <c r="D53" s="1243"/>
      <c r="E53" s="1243"/>
      <c r="F53" s="1243"/>
      <c r="G53" s="1243"/>
      <c r="H53" s="1243"/>
      <c r="I53" s="1243"/>
      <c r="J53" s="1243"/>
      <c r="K53" s="1243"/>
      <c r="L53" s="1243"/>
      <c r="M53" s="1243"/>
      <c r="N53" s="1243"/>
      <c r="O53" s="1243"/>
      <c r="P53" s="1243"/>
      <c r="Q53" s="1243"/>
      <c r="R53" s="1243"/>
      <c r="S53" s="1243"/>
      <c r="T53" s="1243"/>
      <c r="U53" s="1243"/>
      <c r="V53" s="1243"/>
      <c r="W53" s="1243"/>
      <c r="X53" s="1243"/>
      <c r="Y53" s="1243"/>
      <c r="Z53" s="1243"/>
    </row>
    <row r="54" spans="1:26" ht="15.75" customHeight="1" x14ac:dyDescent="0.2">
      <c r="A54" s="1243"/>
      <c r="B54" s="1243"/>
      <c r="C54" s="1243"/>
      <c r="D54" s="1243"/>
      <c r="E54" s="1243"/>
      <c r="F54" s="1243"/>
      <c r="G54" s="1243"/>
      <c r="H54" s="1243"/>
      <c r="I54" s="1243"/>
      <c r="J54" s="1243"/>
      <c r="K54" s="1243"/>
      <c r="L54" s="1243"/>
      <c r="M54" s="1243"/>
      <c r="N54" s="1243"/>
      <c r="O54" s="1243"/>
      <c r="P54" s="1243"/>
      <c r="Q54" s="1243"/>
      <c r="R54" s="1243"/>
      <c r="S54" s="1243"/>
      <c r="T54" s="1243"/>
      <c r="U54" s="1243"/>
      <c r="V54" s="1243"/>
      <c r="W54" s="1243"/>
      <c r="X54" s="1243"/>
      <c r="Y54" s="1243"/>
      <c r="Z54" s="1243"/>
    </row>
    <row r="55" spans="1:26" ht="15.75" customHeight="1" x14ac:dyDescent="0.2">
      <c r="A55" s="1243"/>
      <c r="B55" s="1243"/>
      <c r="C55" s="1243"/>
      <c r="D55" s="1243"/>
      <c r="E55" s="1243"/>
      <c r="F55" s="1243"/>
      <c r="G55" s="1243"/>
      <c r="H55" s="1243"/>
      <c r="I55" s="1243"/>
      <c r="J55" s="1243"/>
      <c r="K55" s="1243"/>
      <c r="L55" s="1243"/>
      <c r="M55" s="1243"/>
      <c r="N55" s="1243"/>
      <c r="O55" s="1243"/>
      <c r="P55" s="1243"/>
      <c r="Q55" s="1243"/>
      <c r="R55" s="1243"/>
      <c r="S55" s="1243"/>
      <c r="T55" s="1243"/>
      <c r="U55" s="1243"/>
      <c r="V55" s="1243"/>
      <c r="W55" s="1243"/>
      <c r="X55" s="1243"/>
      <c r="Y55" s="1243"/>
      <c r="Z55" s="1243"/>
    </row>
    <row r="56" spans="1:26" ht="15.75" customHeight="1" x14ac:dyDescent="0.2">
      <c r="A56" s="1243"/>
      <c r="B56" s="1243"/>
      <c r="C56" s="1243"/>
      <c r="D56" s="1243"/>
      <c r="E56" s="1243"/>
      <c r="F56" s="1243"/>
      <c r="G56" s="1243"/>
      <c r="H56" s="1243"/>
      <c r="I56" s="1243"/>
      <c r="J56" s="1243"/>
      <c r="K56" s="1243"/>
      <c r="L56" s="1243"/>
      <c r="M56" s="1243"/>
      <c r="N56" s="1243"/>
      <c r="O56" s="1243"/>
      <c r="P56" s="1243"/>
      <c r="Q56" s="1243"/>
      <c r="R56" s="1243"/>
      <c r="S56" s="1243"/>
      <c r="T56" s="1243"/>
      <c r="U56" s="1243"/>
      <c r="V56" s="1243"/>
      <c r="W56" s="1243"/>
      <c r="X56" s="1243"/>
      <c r="Y56" s="1243"/>
      <c r="Z56" s="1243"/>
    </row>
    <row r="57" spans="1:26" ht="15.75" customHeight="1" x14ac:dyDescent="0.2">
      <c r="A57" s="1243"/>
      <c r="B57" s="1243"/>
      <c r="C57" s="1243"/>
      <c r="D57" s="1243"/>
      <c r="E57" s="1243"/>
      <c r="F57" s="1243"/>
      <c r="G57" s="1243"/>
      <c r="H57" s="1243"/>
      <c r="I57" s="1243"/>
      <c r="J57" s="1243"/>
      <c r="K57" s="1243"/>
      <c r="L57" s="1243"/>
      <c r="M57" s="1243"/>
      <c r="N57" s="1243"/>
      <c r="O57" s="1243"/>
      <c r="P57" s="1243"/>
      <c r="Q57" s="1243"/>
      <c r="R57" s="1243"/>
      <c r="S57" s="1243"/>
      <c r="T57" s="1243"/>
      <c r="U57" s="1243"/>
      <c r="V57" s="1243"/>
      <c r="W57" s="1243"/>
      <c r="X57" s="1243"/>
      <c r="Y57" s="1243"/>
      <c r="Z57" s="1243"/>
    </row>
    <row r="58" spans="1:26" ht="15.75" customHeight="1" x14ac:dyDescent="0.2">
      <c r="A58" s="1243"/>
      <c r="B58" s="1243"/>
      <c r="C58" s="1243"/>
      <c r="D58" s="1243"/>
      <c r="E58" s="1243"/>
      <c r="F58" s="1243"/>
      <c r="G58" s="1243"/>
      <c r="H58" s="1243"/>
      <c r="I58" s="1243"/>
      <c r="J58" s="1243"/>
      <c r="K58" s="1243"/>
      <c r="L58" s="1243"/>
      <c r="M58" s="1243"/>
      <c r="N58" s="1243"/>
      <c r="O58" s="1243"/>
      <c r="P58" s="1243"/>
      <c r="Q58" s="1243"/>
      <c r="R58" s="1243"/>
      <c r="S58" s="1243"/>
      <c r="T58" s="1243"/>
      <c r="U58" s="1243"/>
      <c r="V58" s="1243"/>
      <c r="W58" s="1243"/>
      <c r="X58" s="1243"/>
      <c r="Y58" s="1243"/>
      <c r="Z58" s="1243"/>
    </row>
    <row r="59" spans="1:26" ht="15.75" customHeight="1" x14ac:dyDescent="0.2">
      <c r="A59" s="1243"/>
      <c r="B59" s="1243"/>
      <c r="C59" s="1243"/>
      <c r="D59" s="1243"/>
      <c r="E59" s="1243"/>
      <c r="F59" s="1243"/>
      <c r="G59" s="1243"/>
      <c r="H59" s="1243"/>
      <c r="I59" s="1243"/>
      <c r="J59" s="1243"/>
      <c r="K59" s="1243"/>
      <c r="L59" s="1243"/>
      <c r="M59" s="1243"/>
      <c r="N59" s="1243"/>
      <c r="O59" s="1243"/>
      <c r="P59" s="1243"/>
      <c r="Q59" s="1243"/>
      <c r="R59" s="1243"/>
      <c r="S59" s="1243"/>
      <c r="T59" s="1243"/>
      <c r="U59" s="1243"/>
      <c r="V59" s="1243"/>
      <c r="W59" s="1243"/>
      <c r="X59" s="1243"/>
      <c r="Y59" s="1243"/>
      <c r="Z59" s="1243"/>
    </row>
    <row r="60" spans="1:26" ht="15.75" customHeight="1" x14ac:dyDescent="0.2">
      <c r="A60" s="1243"/>
      <c r="B60" s="1243"/>
      <c r="C60" s="1243"/>
      <c r="D60" s="1243"/>
      <c r="E60" s="1243"/>
      <c r="F60" s="1243"/>
      <c r="G60" s="1243"/>
      <c r="H60" s="1243"/>
      <c r="I60" s="1243"/>
      <c r="J60" s="1243"/>
      <c r="K60" s="1243"/>
      <c r="L60" s="1243"/>
      <c r="M60" s="1243"/>
      <c r="N60" s="1243"/>
      <c r="O60" s="1243"/>
      <c r="P60" s="1243"/>
      <c r="Q60" s="1243"/>
      <c r="R60" s="1243"/>
      <c r="S60" s="1243"/>
      <c r="T60" s="1243"/>
      <c r="U60" s="1243"/>
      <c r="V60" s="1243"/>
      <c r="W60" s="1243"/>
      <c r="X60" s="1243"/>
      <c r="Y60" s="1243"/>
      <c r="Z60" s="1243"/>
    </row>
    <row r="61" spans="1:26" ht="15.75" customHeight="1" x14ac:dyDescent="0.2">
      <c r="A61" s="1243"/>
      <c r="B61" s="1243"/>
      <c r="C61" s="1243"/>
      <c r="D61" s="1243"/>
      <c r="E61" s="1243"/>
      <c r="F61" s="1243"/>
      <c r="G61" s="1243"/>
      <c r="H61" s="1243"/>
      <c r="I61" s="1243"/>
      <c r="J61" s="1243"/>
      <c r="K61" s="1243"/>
      <c r="L61" s="1243"/>
      <c r="M61" s="1243"/>
      <c r="N61" s="1243"/>
      <c r="O61" s="1243"/>
      <c r="P61" s="1243"/>
      <c r="Q61" s="1243"/>
      <c r="R61" s="1243"/>
      <c r="S61" s="1243"/>
      <c r="T61" s="1243"/>
      <c r="U61" s="1243"/>
      <c r="V61" s="1243"/>
      <c r="W61" s="1243"/>
      <c r="X61" s="1243"/>
      <c r="Y61" s="1243"/>
      <c r="Z61" s="1243"/>
    </row>
    <row r="62" spans="1:26" ht="15.75" customHeight="1" x14ac:dyDescent="0.2">
      <c r="A62" s="1243"/>
      <c r="B62" s="1243"/>
      <c r="C62" s="1243"/>
      <c r="D62" s="1243"/>
      <c r="E62" s="1243"/>
      <c r="F62" s="1243"/>
      <c r="G62" s="1243"/>
      <c r="H62" s="1243"/>
      <c r="I62" s="1243"/>
      <c r="J62" s="1243"/>
      <c r="K62" s="1243"/>
      <c r="L62" s="1243"/>
      <c r="M62" s="1243"/>
      <c r="N62" s="1243"/>
      <c r="O62" s="1243"/>
      <c r="P62" s="1243"/>
      <c r="Q62" s="1243"/>
      <c r="R62" s="1243"/>
      <c r="S62" s="1243"/>
      <c r="T62" s="1243"/>
      <c r="U62" s="1243"/>
      <c r="V62" s="1243"/>
      <c r="W62" s="1243"/>
      <c r="X62" s="1243"/>
      <c r="Y62" s="1243"/>
      <c r="Z62" s="1243"/>
    </row>
    <row r="63" spans="1:26" ht="15.75" customHeight="1" x14ac:dyDescent="0.2">
      <c r="A63" s="1243"/>
      <c r="B63" s="1243"/>
      <c r="C63" s="1243"/>
      <c r="D63" s="1243"/>
      <c r="E63" s="1243"/>
      <c r="F63" s="1243"/>
      <c r="G63" s="1243"/>
      <c r="H63" s="1243"/>
      <c r="I63" s="1243"/>
      <c r="J63" s="1243"/>
      <c r="K63" s="1243"/>
      <c r="L63" s="1243"/>
      <c r="M63" s="1243"/>
      <c r="N63" s="1243"/>
      <c r="O63" s="1243"/>
      <c r="P63" s="1243"/>
      <c r="Q63" s="1243"/>
      <c r="R63" s="1243"/>
      <c r="S63" s="1243"/>
      <c r="T63" s="1243"/>
      <c r="U63" s="1243"/>
      <c r="V63" s="1243"/>
      <c r="W63" s="1243"/>
      <c r="X63" s="1243"/>
      <c r="Y63" s="1243"/>
      <c r="Z63" s="1243"/>
    </row>
    <row r="64" spans="1:26" ht="15.75" customHeight="1" x14ac:dyDescent="0.2">
      <c r="A64" s="1243"/>
      <c r="B64" s="1243"/>
      <c r="C64" s="1243"/>
      <c r="D64" s="1243"/>
      <c r="E64" s="1243"/>
      <c r="F64" s="1243"/>
      <c r="G64" s="1243"/>
      <c r="H64" s="1243"/>
      <c r="I64" s="1243"/>
      <c r="J64" s="1243"/>
      <c r="K64" s="1243"/>
      <c r="L64" s="1243"/>
      <c r="M64" s="1243"/>
      <c r="N64" s="1243"/>
      <c r="O64" s="1243"/>
      <c r="P64" s="1243"/>
      <c r="Q64" s="1243"/>
      <c r="R64" s="1243"/>
      <c r="S64" s="1243"/>
      <c r="T64" s="1243"/>
      <c r="U64" s="1243"/>
      <c r="V64" s="1243"/>
      <c r="W64" s="1243"/>
      <c r="X64" s="1243"/>
      <c r="Y64" s="1243"/>
      <c r="Z64" s="1243"/>
    </row>
    <row r="65" spans="1:26" ht="15.75" customHeight="1" x14ac:dyDescent="0.2">
      <c r="A65" s="1243"/>
      <c r="B65" s="1243"/>
      <c r="C65" s="1243"/>
      <c r="D65" s="1243"/>
      <c r="E65" s="1243"/>
      <c r="F65" s="1243"/>
      <c r="G65" s="1243"/>
      <c r="H65" s="1243"/>
      <c r="I65" s="1243"/>
      <c r="J65" s="1243"/>
      <c r="K65" s="1243"/>
      <c r="L65" s="1243"/>
      <c r="M65" s="1243"/>
      <c r="N65" s="1243"/>
      <c r="O65" s="1243"/>
      <c r="P65" s="1243"/>
      <c r="Q65" s="1243"/>
      <c r="R65" s="1243"/>
      <c r="S65" s="1243"/>
      <c r="T65" s="1243"/>
      <c r="U65" s="1243"/>
      <c r="V65" s="1243"/>
      <c r="W65" s="1243"/>
      <c r="X65" s="1243"/>
      <c r="Y65" s="1243"/>
      <c r="Z65" s="1243"/>
    </row>
    <row r="66" spans="1:26" ht="15.75" customHeight="1" x14ac:dyDescent="0.2">
      <c r="A66" s="1243"/>
      <c r="B66" s="1243"/>
      <c r="C66" s="1243"/>
      <c r="D66" s="1243"/>
      <c r="E66" s="1243"/>
      <c r="F66" s="1243"/>
      <c r="G66" s="1243"/>
      <c r="H66" s="1243"/>
      <c r="I66" s="1243"/>
      <c r="J66" s="1243"/>
      <c r="K66" s="1243"/>
      <c r="L66" s="1243"/>
      <c r="M66" s="1243"/>
      <c r="N66" s="1243"/>
      <c r="O66" s="1243"/>
      <c r="P66" s="1243"/>
      <c r="Q66" s="1243"/>
      <c r="R66" s="1243"/>
      <c r="S66" s="1243"/>
      <c r="T66" s="1243"/>
      <c r="U66" s="1243"/>
      <c r="V66" s="1243"/>
      <c r="W66" s="1243"/>
      <c r="X66" s="1243"/>
      <c r="Y66" s="1243"/>
      <c r="Z66" s="1243"/>
    </row>
    <row r="67" spans="1:26" ht="15.75" customHeight="1" x14ac:dyDescent="0.2">
      <c r="A67" s="1243"/>
      <c r="B67" s="1243"/>
      <c r="C67" s="1243"/>
      <c r="D67" s="1243"/>
      <c r="E67" s="1243"/>
      <c r="F67" s="1243"/>
      <c r="G67" s="1243"/>
      <c r="H67" s="1243"/>
      <c r="I67" s="1243"/>
      <c r="J67" s="1243"/>
      <c r="K67" s="1243"/>
      <c r="L67" s="1243"/>
      <c r="M67" s="1243"/>
      <c r="N67" s="1243"/>
      <c r="O67" s="1243"/>
      <c r="P67" s="1243"/>
      <c r="Q67" s="1243"/>
      <c r="R67" s="1243"/>
      <c r="S67" s="1243"/>
      <c r="T67" s="1243"/>
      <c r="U67" s="1243"/>
      <c r="V67" s="1243"/>
      <c r="W67" s="1243"/>
      <c r="X67" s="1243"/>
      <c r="Y67" s="1243"/>
      <c r="Z67" s="1243"/>
    </row>
    <row r="68" spans="1:26" ht="15.75" customHeight="1" x14ac:dyDescent="0.2">
      <c r="A68" s="1243"/>
      <c r="B68" s="1243"/>
      <c r="C68" s="1243"/>
      <c r="D68" s="1243"/>
      <c r="E68" s="1243"/>
      <c r="F68" s="1243"/>
      <c r="G68" s="1243"/>
      <c r="H68" s="1243"/>
      <c r="I68" s="1243"/>
      <c r="J68" s="1243"/>
      <c r="K68" s="1243"/>
      <c r="L68" s="1243"/>
      <c r="M68" s="1243"/>
      <c r="N68" s="1243"/>
      <c r="O68" s="1243"/>
      <c r="P68" s="1243"/>
      <c r="Q68" s="1243"/>
      <c r="R68" s="1243"/>
      <c r="S68" s="1243"/>
      <c r="T68" s="1243"/>
      <c r="U68" s="1243"/>
      <c r="V68" s="1243"/>
      <c r="W68" s="1243"/>
      <c r="X68" s="1243"/>
      <c r="Y68" s="1243"/>
      <c r="Z68" s="1243"/>
    </row>
    <row r="69" spans="1:26" ht="15.75" customHeight="1" x14ac:dyDescent="0.2">
      <c r="A69" s="1243"/>
      <c r="B69" s="1243"/>
      <c r="C69" s="1243"/>
      <c r="D69" s="1243"/>
      <c r="E69" s="1243"/>
      <c r="F69" s="1243"/>
      <c r="G69" s="1243"/>
      <c r="H69" s="1243"/>
      <c r="I69" s="1243"/>
      <c r="J69" s="1243"/>
      <c r="K69" s="1243"/>
      <c r="L69" s="1243"/>
      <c r="M69" s="1243"/>
      <c r="N69" s="1243"/>
      <c r="O69" s="1243"/>
      <c r="P69" s="1243"/>
      <c r="Q69" s="1243"/>
      <c r="R69" s="1243"/>
      <c r="S69" s="1243"/>
      <c r="T69" s="1243"/>
      <c r="U69" s="1243"/>
      <c r="V69" s="1243"/>
      <c r="W69" s="1243"/>
      <c r="X69" s="1243"/>
      <c r="Y69" s="1243"/>
      <c r="Z69" s="1243"/>
    </row>
    <row r="70" spans="1:26" ht="15.75" customHeight="1" x14ac:dyDescent="0.2">
      <c r="A70" s="1243"/>
      <c r="B70" s="1243"/>
      <c r="C70" s="1243"/>
      <c r="D70" s="1243"/>
      <c r="E70" s="1243"/>
      <c r="F70" s="1243"/>
      <c r="G70" s="1243"/>
      <c r="H70" s="1243"/>
      <c r="I70" s="1243"/>
      <c r="J70" s="1243"/>
      <c r="K70" s="1243"/>
      <c r="L70" s="1243"/>
      <c r="M70" s="1243"/>
      <c r="N70" s="1243"/>
      <c r="O70" s="1243"/>
      <c r="P70" s="1243"/>
      <c r="Q70" s="1243"/>
      <c r="R70" s="1243"/>
      <c r="S70" s="1243"/>
      <c r="T70" s="1243"/>
      <c r="U70" s="1243"/>
      <c r="V70" s="1243"/>
      <c r="W70" s="1243"/>
      <c r="X70" s="1243"/>
      <c r="Y70" s="1243"/>
      <c r="Z70" s="1243"/>
    </row>
    <row r="71" spans="1:26" ht="15.75" customHeight="1" x14ac:dyDescent="0.2">
      <c r="A71" s="1243"/>
      <c r="B71" s="1243"/>
      <c r="C71" s="1243"/>
      <c r="D71" s="1243"/>
      <c r="E71" s="1243"/>
      <c r="F71" s="1243"/>
      <c r="G71" s="1243"/>
      <c r="H71" s="1243"/>
      <c r="I71" s="1243"/>
      <c r="J71" s="1243"/>
      <c r="K71" s="1243"/>
      <c r="L71" s="1243"/>
      <c r="M71" s="1243"/>
      <c r="N71" s="1243"/>
      <c r="O71" s="1243"/>
      <c r="P71" s="1243"/>
      <c r="Q71" s="1243"/>
      <c r="R71" s="1243"/>
      <c r="S71" s="1243"/>
      <c r="T71" s="1243"/>
      <c r="U71" s="1243"/>
      <c r="V71" s="1243"/>
      <c r="W71" s="1243"/>
      <c r="X71" s="1243"/>
      <c r="Y71" s="1243"/>
      <c r="Z71" s="1243"/>
    </row>
    <row r="72" spans="1:26" ht="15.75" customHeight="1" x14ac:dyDescent="0.2">
      <c r="A72" s="1243"/>
      <c r="B72" s="1243"/>
      <c r="C72" s="1243"/>
      <c r="D72" s="1243"/>
      <c r="E72" s="1243"/>
      <c r="F72" s="1243"/>
      <c r="G72" s="1243"/>
      <c r="H72" s="1243"/>
      <c r="I72" s="1243"/>
      <c r="J72" s="1243"/>
      <c r="K72" s="1243"/>
      <c r="L72" s="1243"/>
      <c r="M72" s="1243"/>
      <c r="N72" s="1243"/>
      <c r="O72" s="1243"/>
      <c r="P72" s="1243"/>
      <c r="Q72" s="1243"/>
      <c r="R72" s="1243"/>
      <c r="S72" s="1243"/>
      <c r="T72" s="1243"/>
      <c r="U72" s="1243"/>
      <c r="V72" s="1243"/>
      <c r="W72" s="1243"/>
      <c r="X72" s="1243"/>
      <c r="Y72" s="1243"/>
      <c r="Z72" s="1243"/>
    </row>
    <row r="73" spans="1:26" ht="15.75" customHeight="1" x14ac:dyDescent="0.2">
      <c r="A73" s="1243"/>
      <c r="B73" s="1243"/>
      <c r="C73" s="1243"/>
      <c r="D73" s="1243"/>
      <c r="E73" s="1243"/>
      <c r="F73" s="1243"/>
      <c r="G73" s="1243"/>
      <c r="H73" s="1243"/>
      <c r="I73" s="1243"/>
      <c r="J73" s="1243"/>
      <c r="K73" s="1243"/>
      <c r="L73" s="1243"/>
      <c r="M73" s="1243"/>
      <c r="N73" s="1243"/>
      <c r="O73" s="1243"/>
      <c r="P73" s="1243"/>
      <c r="Q73" s="1243"/>
      <c r="R73" s="1243"/>
      <c r="S73" s="1243"/>
      <c r="T73" s="1243"/>
      <c r="U73" s="1243"/>
      <c r="V73" s="1243"/>
      <c r="W73" s="1243"/>
      <c r="X73" s="1243"/>
      <c r="Y73" s="1243"/>
      <c r="Z73" s="1243"/>
    </row>
    <row r="74" spans="1:26" ht="15.75" customHeight="1" x14ac:dyDescent="0.2">
      <c r="A74" s="1243"/>
      <c r="B74" s="1243"/>
      <c r="C74" s="1243"/>
      <c r="D74" s="1243"/>
      <c r="E74" s="1243"/>
      <c r="F74" s="1243"/>
      <c r="G74" s="1243"/>
      <c r="H74" s="1243"/>
      <c r="I74" s="1243"/>
      <c r="J74" s="1243"/>
      <c r="K74" s="1243"/>
      <c r="L74" s="1243"/>
      <c r="M74" s="1243"/>
      <c r="N74" s="1243"/>
      <c r="O74" s="1243"/>
      <c r="P74" s="1243"/>
      <c r="Q74" s="1243"/>
      <c r="R74" s="1243"/>
      <c r="S74" s="1243"/>
      <c r="T74" s="1243"/>
      <c r="U74" s="1243"/>
      <c r="V74" s="1243"/>
      <c r="W74" s="1243"/>
      <c r="X74" s="1243"/>
      <c r="Y74" s="1243"/>
      <c r="Z74" s="1243"/>
    </row>
    <row r="75" spans="1:26" ht="15.75" customHeight="1" x14ac:dyDescent="0.2">
      <c r="A75" s="1243"/>
      <c r="B75" s="1243"/>
      <c r="C75" s="1243"/>
      <c r="D75" s="1243"/>
      <c r="E75" s="1243"/>
      <c r="F75" s="1243"/>
      <c r="G75" s="1243"/>
      <c r="H75" s="1243"/>
      <c r="I75" s="1243"/>
      <c r="J75" s="1243"/>
      <c r="K75" s="1243"/>
      <c r="L75" s="1243"/>
      <c r="M75" s="1243"/>
      <c r="N75" s="1243"/>
      <c r="O75" s="1243"/>
      <c r="P75" s="1243"/>
      <c r="Q75" s="1243"/>
      <c r="R75" s="1243"/>
      <c r="S75" s="1243"/>
      <c r="T75" s="1243"/>
      <c r="U75" s="1243"/>
      <c r="V75" s="1243"/>
      <c r="W75" s="1243"/>
      <c r="X75" s="1243"/>
      <c r="Y75" s="1243"/>
      <c r="Z75" s="1243"/>
    </row>
    <row r="76" spans="1:26" ht="15.75" customHeight="1" x14ac:dyDescent="0.2">
      <c r="A76" s="1243"/>
      <c r="B76" s="1243"/>
      <c r="C76" s="1243"/>
      <c r="D76" s="1243"/>
      <c r="E76" s="1243"/>
      <c r="F76" s="1243"/>
      <c r="G76" s="1243"/>
      <c r="H76" s="1243"/>
      <c r="I76" s="1243"/>
      <c r="J76" s="1243"/>
      <c r="K76" s="1243"/>
      <c r="L76" s="1243"/>
      <c r="M76" s="1243"/>
      <c r="N76" s="1243"/>
      <c r="O76" s="1243"/>
      <c r="P76" s="1243"/>
      <c r="Q76" s="1243"/>
      <c r="R76" s="1243"/>
      <c r="S76" s="1243"/>
      <c r="T76" s="1243"/>
      <c r="U76" s="1243"/>
      <c r="V76" s="1243"/>
      <c r="W76" s="1243"/>
      <c r="X76" s="1243"/>
      <c r="Y76" s="1243"/>
      <c r="Z76" s="1243"/>
    </row>
    <row r="77" spans="1:26" ht="15.75" customHeight="1" x14ac:dyDescent="0.2">
      <c r="A77" s="1243"/>
      <c r="B77" s="1243"/>
      <c r="C77" s="1243"/>
      <c r="D77" s="1243"/>
      <c r="E77" s="1243"/>
      <c r="F77" s="1243"/>
      <c r="G77" s="1243"/>
      <c r="H77" s="1243"/>
      <c r="I77" s="1243"/>
      <c r="J77" s="1243"/>
      <c r="K77" s="1243"/>
      <c r="L77" s="1243"/>
      <c r="M77" s="1243"/>
      <c r="N77" s="1243"/>
      <c r="O77" s="1243"/>
      <c r="P77" s="1243"/>
      <c r="Q77" s="1243"/>
      <c r="R77" s="1243"/>
      <c r="S77" s="1243"/>
      <c r="T77" s="1243"/>
      <c r="U77" s="1243"/>
      <c r="V77" s="1243"/>
      <c r="W77" s="1243"/>
      <c r="X77" s="1243"/>
      <c r="Y77" s="1243"/>
      <c r="Z77" s="1243"/>
    </row>
    <row r="78" spans="1:26" ht="15.75" customHeight="1" x14ac:dyDescent="0.2">
      <c r="A78" s="1243"/>
      <c r="B78" s="1243"/>
      <c r="C78" s="1243"/>
      <c r="D78" s="1243"/>
      <c r="E78" s="1243"/>
      <c r="F78" s="1243"/>
      <c r="G78" s="1243"/>
      <c r="H78" s="1243"/>
      <c r="I78" s="1243"/>
      <c r="J78" s="1243"/>
      <c r="K78" s="1243"/>
      <c r="L78" s="1243"/>
      <c r="M78" s="1243"/>
      <c r="N78" s="1243"/>
      <c r="O78" s="1243"/>
      <c r="P78" s="1243"/>
      <c r="Q78" s="1243"/>
      <c r="R78" s="1243"/>
      <c r="S78" s="1243"/>
      <c r="T78" s="1243"/>
      <c r="U78" s="1243"/>
      <c r="V78" s="1243"/>
      <c r="W78" s="1243"/>
      <c r="X78" s="1243"/>
      <c r="Y78" s="1243"/>
      <c r="Z78" s="1243"/>
    </row>
    <row r="79" spans="1:26" ht="15.75" customHeight="1" x14ac:dyDescent="0.2">
      <c r="A79" s="1243"/>
      <c r="B79" s="1243"/>
      <c r="C79" s="1243"/>
      <c r="D79" s="1243"/>
      <c r="E79" s="1243"/>
      <c r="F79" s="1243"/>
      <c r="G79" s="1243"/>
      <c r="H79" s="1243"/>
      <c r="I79" s="1243"/>
      <c r="J79" s="1243"/>
      <c r="K79" s="1243"/>
      <c r="L79" s="1243"/>
      <c r="M79" s="1243"/>
      <c r="N79" s="1243"/>
      <c r="O79" s="1243"/>
      <c r="P79" s="1243"/>
      <c r="Q79" s="1243"/>
      <c r="R79" s="1243"/>
      <c r="S79" s="1243"/>
      <c r="T79" s="1243"/>
      <c r="U79" s="1243"/>
      <c r="V79" s="1243"/>
      <c r="W79" s="1243"/>
      <c r="X79" s="1243"/>
      <c r="Y79" s="1243"/>
      <c r="Z79" s="1243"/>
    </row>
    <row r="80" spans="1:26" ht="15.75" customHeight="1" x14ac:dyDescent="0.2">
      <c r="A80" s="1243"/>
      <c r="B80" s="1243"/>
      <c r="C80" s="1243"/>
      <c r="D80" s="1243"/>
      <c r="E80" s="1243"/>
      <c r="F80" s="1243"/>
      <c r="G80" s="1243"/>
      <c r="H80" s="1243"/>
      <c r="I80" s="1243"/>
      <c r="J80" s="1243"/>
      <c r="K80" s="1243"/>
      <c r="L80" s="1243"/>
      <c r="M80" s="1243"/>
      <c r="N80" s="1243"/>
      <c r="O80" s="1243"/>
      <c r="P80" s="1243"/>
      <c r="Q80" s="1243"/>
      <c r="R80" s="1243"/>
      <c r="S80" s="1243"/>
      <c r="T80" s="1243"/>
      <c r="U80" s="1243"/>
      <c r="V80" s="1243"/>
      <c r="W80" s="1243"/>
      <c r="X80" s="1243"/>
      <c r="Y80" s="1243"/>
      <c r="Z80" s="1243"/>
    </row>
    <row r="81" spans="1:26" ht="15.75" customHeight="1" x14ac:dyDescent="0.2">
      <c r="A81" s="1243"/>
      <c r="B81" s="1243"/>
      <c r="C81" s="1243"/>
      <c r="D81" s="1243"/>
      <c r="E81" s="1243"/>
      <c r="F81" s="1243"/>
      <c r="G81" s="1243"/>
      <c r="H81" s="1243"/>
      <c r="I81" s="1243"/>
      <c r="J81" s="1243"/>
      <c r="K81" s="1243"/>
      <c r="L81" s="1243"/>
      <c r="M81" s="1243"/>
      <c r="N81" s="1243"/>
      <c r="O81" s="1243"/>
      <c r="P81" s="1243"/>
      <c r="Q81" s="1243"/>
      <c r="R81" s="1243"/>
      <c r="S81" s="1243"/>
      <c r="T81" s="1243"/>
      <c r="U81" s="1243"/>
      <c r="V81" s="1243"/>
      <c r="W81" s="1243"/>
      <c r="X81" s="1243"/>
      <c r="Y81" s="1243"/>
      <c r="Z81" s="1243"/>
    </row>
    <row r="82" spans="1:26" ht="15.75" customHeight="1" x14ac:dyDescent="0.2">
      <c r="A82" s="1243"/>
      <c r="B82" s="1243"/>
      <c r="C82" s="1243"/>
      <c r="D82" s="1243"/>
      <c r="E82" s="1243"/>
      <c r="F82" s="1243"/>
      <c r="G82" s="1243"/>
      <c r="H82" s="1243"/>
      <c r="I82" s="1243"/>
      <c r="J82" s="1243"/>
      <c r="K82" s="1243"/>
      <c r="L82" s="1243"/>
      <c r="M82" s="1243"/>
      <c r="N82" s="1243"/>
      <c r="O82" s="1243"/>
      <c r="P82" s="1243"/>
      <c r="Q82" s="1243"/>
      <c r="R82" s="1243"/>
      <c r="S82" s="1243"/>
      <c r="T82" s="1243"/>
      <c r="U82" s="1243"/>
      <c r="V82" s="1243"/>
      <c r="W82" s="1243"/>
      <c r="X82" s="1243"/>
      <c r="Y82" s="1243"/>
      <c r="Z82" s="1243"/>
    </row>
    <row r="83" spans="1:26" ht="15.75" customHeight="1" x14ac:dyDescent="0.2">
      <c r="A83" s="1243"/>
      <c r="B83" s="1243"/>
      <c r="C83" s="1243"/>
      <c r="D83" s="1243"/>
      <c r="E83" s="1243"/>
      <c r="F83" s="1243"/>
      <c r="G83" s="1243"/>
      <c r="H83" s="1243"/>
      <c r="I83" s="1243"/>
      <c r="J83" s="1243"/>
      <c r="K83" s="1243"/>
      <c r="L83" s="1243"/>
      <c r="M83" s="1243"/>
      <c r="N83" s="1243"/>
      <c r="O83" s="1243"/>
      <c r="P83" s="1243"/>
      <c r="Q83" s="1243"/>
      <c r="R83" s="1243"/>
      <c r="S83" s="1243"/>
      <c r="T83" s="1243"/>
      <c r="U83" s="1243"/>
      <c r="V83" s="1243"/>
      <c r="W83" s="1243"/>
      <c r="X83" s="1243"/>
      <c r="Y83" s="1243"/>
      <c r="Z83" s="1243"/>
    </row>
    <row r="84" spans="1:26" ht="15.75" customHeight="1" x14ac:dyDescent="0.2">
      <c r="A84" s="1243"/>
      <c r="B84" s="1243"/>
      <c r="C84" s="1243"/>
      <c r="D84" s="1243"/>
      <c r="E84" s="1243"/>
      <c r="F84" s="1243"/>
      <c r="G84" s="1243"/>
      <c r="H84" s="1243"/>
      <c r="I84" s="1243"/>
      <c r="J84" s="1243"/>
      <c r="K84" s="1243"/>
      <c r="L84" s="1243"/>
      <c r="M84" s="1243"/>
      <c r="N84" s="1243"/>
      <c r="O84" s="1243"/>
      <c r="P84" s="1243"/>
      <c r="Q84" s="1243"/>
      <c r="R84" s="1243"/>
      <c r="S84" s="1243"/>
      <c r="T84" s="1243"/>
      <c r="U84" s="1243"/>
      <c r="V84" s="1243"/>
      <c r="W84" s="1243"/>
      <c r="X84" s="1243"/>
      <c r="Y84" s="1243"/>
      <c r="Z84" s="1243"/>
    </row>
    <row r="85" spans="1:26" ht="15.75" customHeight="1" x14ac:dyDescent="0.2">
      <c r="A85" s="1243"/>
      <c r="B85" s="1243"/>
      <c r="C85" s="1243"/>
      <c r="D85" s="1243"/>
      <c r="E85" s="1243"/>
      <c r="F85" s="1243"/>
      <c r="G85" s="1243"/>
      <c r="H85" s="1243"/>
      <c r="I85" s="1243"/>
      <c r="J85" s="1243"/>
      <c r="K85" s="1243"/>
      <c r="L85" s="1243"/>
      <c r="M85" s="1243"/>
      <c r="N85" s="1243"/>
      <c r="O85" s="1243"/>
      <c r="P85" s="1243"/>
      <c r="Q85" s="1243"/>
      <c r="R85" s="1243"/>
      <c r="S85" s="1243"/>
      <c r="T85" s="1243"/>
      <c r="U85" s="1243"/>
      <c r="V85" s="1243"/>
      <c r="W85" s="1243"/>
      <c r="X85" s="1243"/>
      <c r="Y85" s="1243"/>
      <c r="Z85" s="1243"/>
    </row>
    <row r="86" spans="1:26" ht="15.75" customHeight="1" x14ac:dyDescent="0.2">
      <c r="A86" s="1243"/>
      <c r="B86" s="1243"/>
      <c r="C86" s="1243"/>
      <c r="D86" s="1243"/>
      <c r="E86" s="1243"/>
      <c r="F86" s="1243"/>
      <c r="G86" s="1243"/>
      <c r="H86" s="1243"/>
      <c r="I86" s="1243"/>
      <c r="J86" s="1243"/>
      <c r="K86" s="1243"/>
      <c r="L86" s="1243"/>
      <c r="M86" s="1243"/>
      <c r="N86" s="1243"/>
      <c r="O86" s="1243"/>
      <c r="P86" s="1243"/>
      <c r="Q86" s="1243"/>
      <c r="R86" s="1243"/>
      <c r="S86" s="1243"/>
      <c r="T86" s="1243"/>
      <c r="U86" s="1243"/>
      <c r="V86" s="1243"/>
      <c r="W86" s="1243"/>
      <c r="X86" s="1243"/>
      <c r="Y86" s="1243"/>
      <c r="Z86" s="1243"/>
    </row>
    <row r="87" spans="1:26" ht="15.75" customHeight="1" x14ac:dyDescent="0.2">
      <c r="A87" s="1243"/>
      <c r="B87" s="1243"/>
      <c r="C87" s="1243"/>
      <c r="D87" s="1243"/>
      <c r="E87" s="1243"/>
      <c r="F87" s="1243"/>
      <c r="G87" s="1243"/>
      <c r="H87" s="1243"/>
      <c r="I87" s="1243"/>
      <c r="J87" s="1243"/>
      <c r="K87" s="1243"/>
      <c r="L87" s="1243"/>
      <c r="M87" s="1243"/>
      <c r="N87" s="1243"/>
      <c r="O87" s="1243"/>
      <c r="P87" s="1243"/>
      <c r="Q87" s="1243"/>
      <c r="R87" s="1243"/>
      <c r="S87" s="1243"/>
      <c r="T87" s="1243"/>
      <c r="U87" s="1243"/>
      <c r="V87" s="1243"/>
      <c r="W87" s="1243"/>
      <c r="X87" s="1243"/>
      <c r="Y87" s="1243"/>
      <c r="Z87" s="1243"/>
    </row>
    <row r="88" spans="1:26" ht="15.75" customHeight="1" x14ac:dyDescent="0.2">
      <c r="A88" s="1243"/>
      <c r="B88" s="1243"/>
      <c r="C88" s="1243"/>
      <c r="D88" s="1243"/>
      <c r="E88" s="1243"/>
      <c r="F88" s="1243"/>
      <c r="G88" s="1243"/>
      <c r="H88" s="1243"/>
      <c r="I88" s="1243"/>
      <c r="J88" s="1243"/>
      <c r="K88" s="1243"/>
      <c r="L88" s="1243"/>
      <c r="M88" s="1243"/>
      <c r="N88" s="1243"/>
      <c r="O88" s="1243"/>
      <c r="P88" s="1243"/>
      <c r="Q88" s="1243"/>
      <c r="R88" s="1243"/>
      <c r="S88" s="1243"/>
      <c r="T88" s="1243"/>
      <c r="U88" s="1243"/>
      <c r="V88" s="1243"/>
      <c r="W88" s="1243"/>
      <c r="X88" s="1243"/>
      <c r="Y88" s="1243"/>
      <c r="Z88" s="1243"/>
    </row>
    <row r="89" spans="1:26" ht="15.75" customHeight="1" x14ac:dyDescent="0.2">
      <c r="A89" s="1243"/>
      <c r="B89" s="1243"/>
      <c r="C89" s="1243"/>
      <c r="D89" s="1243"/>
      <c r="E89" s="1243"/>
      <c r="F89" s="1243"/>
      <c r="G89" s="1243"/>
      <c r="H89" s="1243"/>
      <c r="I89" s="1243"/>
      <c r="J89" s="1243"/>
      <c r="K89" s="1243"/>
      <c r="L89" s="1243"/>
      <c r="M89" s="1243"/>
      <c r="N89" s="1243"/>
      <c r="O89" s="1243"/>
      <c r="P89" s="1243"/>
      <c r="Q89" s="1243"/>
      <c r="R89" s="1243"/>
      <c r="S89" s="1243"/>
      <c r="T89" s="1243"/>
      <c r="U89" s="1243"/>
      <c r="V89" s="1243"/>
      <c r="W89" s="1243"/>
      <c r="X89" s="1243"/>
      <c r="Y89" s="1243"/>
      <c r="Z89" s="1243"/>
    </row>
    <row r="90" spans="1:26" ht="15.75" customHeight="1" x14ac:dyDescent="0.2">
      <c r="A90" s="1243"/>
      <c r="B90" s="1243"/>
      <c r="C90" s="1243"/>
      <c r="D90" s="1243"/>
      <c r="E90" s="1243"/>
      <c r="F90" s="1243"/>
      <c r="G90" s="1243"/>
      <c r="H90" s="1243"/>
      <c r="I90" s="1243"/>
      <c r="J90" s="1243"/>
      <c r="K90" s="1243"/>
      <c r="L90" s="1243"/>
      <c r="M90" s="1243"/>
      <c r="N90" s="1243"/>
      <c r="O90" s="1243"/>
      <c r="P90" s="1243"/>
      <c r="Q90" s="1243"/>
      <c r="R90" s="1243"/>
      <c r="S90" s="1243"/>
      <c r="T90" s="1243"/>
      <c r="U90" s="1243"/>
      <c r="V90" s="1243"/>
      <c r="W90" s="1243"/>
      <c r="X90" s="1243"/>
      <c r="Y90" s="1243"/>
      <c r="Z90" s="1243"/>
    </row>
    <row r="91" spans="1:26" ht="15.75" customHeight="1" x14ac:dyDescent="0.2">
      <c r="A91" s="1243"/>
      <c r="B91" s="1243"/>
      <c r="C91" s="1243"/>
      <c r="D91" s="1243"/>
      <c r="E91" s="1243"/>
      <c r="F91" s="1243"/>
      <c r="G91" s="1243"/>
      <c r="H91" s="1243"/>
      <c r="I91" s="1243"/>
      <c r="J91" s="1243"/>
      <c r="K91" s="1243"/>
      <c r="L91" s="1243"/>
      <c r="M91" s="1243"/>
      <c r="N91" s="1243"/>
      <c r="O91" s="1243"/>
      <c r="P91" s="1243"/>
      <c r="Q91" s="1243"/>
      <c r="R91" s="1243"/>
      <c r="S91" s="1243"/>
      <c r="T91" s="1243"/>
      <c r="U91" s="1243"/>
      <c r="V91" s="1243"/>
      <c r="W91" s="1243"/>
      <c r="X91" s="1243"/>
      <c r="Y91" s="1243"/>
      <c r="Z91" s="1243"/>
    </row>
    <row r="92" spans="1:26" ht="15.75" customHeight="1" x14ac:dyDescent="0.2">
      <c r="A92" s="1243"/>
      <c r="B92" s="1243"/>
      <c r="C92" s="1243"/>
      <c r="D92" s="1243"/>
      <c r="E92" s="1243"/>
      <c r="F92" s="1243"/>
      <c r="G92" s="1243"/>
      <c r="H92" s="1243"/>
      <c r="I92" s="1243"/>
      <c r="J92" s="1243"/>
      <c r="K92" s="1243"/>
      <c r="L92" s="1243"/>
      <c r="M92" s="1243"/>
      <c r="N92" s="1243"/>
      <c r="O92" s="1243"/>
      <c r="P92" s="1243"/>
      <c r="Q92" s="1243"/>
      <c r="R92" s="1243"/>
      <c r="S92" s="1243"/>
      <c r="T92" s="1243"/>
      <c r="U92" s="1243"/>
      <c r="V92" s="1243"/>
      <c r="W92" s="1243"/>
      <c r="X92" s="1243"/>
      <c r="Y92" s="1243"/>
      <c r="Z92" s="1243"/>
    </row>
    <row r="93" spans="1:26" ht="15.75" customHeight="1" x14ac:dyDescent="0.2">
      <c r="A93" s="1243"/>
      <c r="B93" s="1243"/>
      <c r="C93" s="1243"/>
      <c r="D93" s="1243"/>
      <c r="E93" s="1243"/>
      <c r="F93" s="1243"/>
      <c r="G93" s="1243"/>
      <c r="H93" s="1243"/>
      <c r="I93" s="1243"/>
      <c r="J93" s="1243"/>
      <c r="K93" s="1243"/>
      <c r="L93" s="1243"/>
      <c r="M93" s="1243"/>
      <c r="N93" s="1243"/>
      <c r="O93" s="1243"/>
      <c r="P93" s="1243"/>
      <c r="Q93" s="1243"/>
      <c r="R93" s="1243"/>
      <c r="S93" s="1243"/>
      <c r="T93" s="1243"/>
      <c r="U93" s="1243"/>
      <c r="V93" s="1243"/>
      <c r="W93" s="1243"/>
      <c r="X93" s="1243"/>
      <c r="Y93" s="1243"/>
      <c r="Z93" s="1243"/>
    </row>
    <row r="94" spans="1:26" ht="15.75" customHeight="1" x14ac:dyDescent="0.2">
      <c r="A94" s="1243"/>
      <c r="B94" s="1243"/>
      <c r="C94" s="1243"/>
      <c r="D94" s="1243"/>
      <c r="E94" s="1243"/>
      <c r="F94" s="1243"/>
      <c r="G94" s="1243"/>
      <c r="H94" s="1243"/>
      <c r="I94" s="1243"/>
      <c r="J94" s="1243"/>
      <c r="K94" s="1243"/>
      <c r="L94" s="1243"/>
      <c r="M94" s="1243"/>
      <c r="N94" s="1243"/>
      <c r="O94" s="1243"/>
      <c r="P94" s="1243"/>
      <c r="Q94" s="1243"/>
      <c r="R94" s="1243"/>
      <c r="S94" s="1243"/>
      <c r="T94" s="1243"/>
      <c r="U94" s="1243"/>
      <c r="V94" s="1243"/>
      <c r="W94" s="1243"/>
      <c r="X94" s="1243"/>
      <c r="Y94" s="1243"/>
      <c r="Z94" s="1243"/>
    </row>
    <row r="95" spans="1:26" ht="15.75" customHeight="1" x14ac:dyDescent="0.2">
      <c r="A95" s="1243"/>
      <c r="B95" s="1243"/>
      <c r="C95" s="1243"/>
      <c r="D95" s="1243"/>
      <c r="E95" s="1243"/>
      <c r="F95" s="1243"/>
      <c r="G95" s="1243"/>
      <c r="H95" s="1243"/>
      <c r="I95" s="1243"/>
      <c r="J95" s="1243"/>
      <c r="K95" s="1243"/>
      <c r="L95" s="1243"/>
      <c r="M95" s="1243"/>
      <c r="N95" s="1243"/>
      <c r="O95" s="1243"/>
      <c r="P95" s="1243"/>
      <c r="Q95" s="1243"/>
      <c r="R95" s="1243"/>
      <c r="S95" s="1243"/>
      <c r="T95" s="1243"/>
      <c r="U95" s="1243"/>
      <c r="V95" s="1243"/>
      <c r="W95" s="1243"/>
      <c r="X95" s="1243"/>
      <c r="Y95" s="1243"/>
      <c r="Z95" s="1243"/>
    </row>
    <row r="96" spans="1:26" ht="15.75" customHeight="1" x14ac:dyDescent="0.2">
      <c r="A96" s="1243"/>
      <c r="B96" s="1243"/>
      <c r="C96" s="1243"/>
      <c r="D96" s="1243"/>
      <c r="E96" s="1243"/>
      <c r="F96" s="1243"/>
      <c r="G96" s="1243"/>
      <c r="H96" s="1243"/>
      <c r="I96" s="1243"/>
      <c r="J96" s="1243"/>
      <c r="K96" s="1243"/>
      <c r="L96" s="1243"/>
      <c r="M96" s="1243"/>
      <c r="N96" s="1243"/>
      <c r="O96" s="1243"/>
      <c r="P96" s="1243"/>
      <c r="Q96" s="1243"/>
      <c r="R96" s="1243"/>
      <c r="S96" s="1243"/>
      <c r="T96" s="1243"/>
      <c r="U96" s="1243"/>
      <c r="V96" s="1243"/>
      <c r="W96" s="1243"/>
      <c r="X96" s="1243"/>
      <c r="Y96" s="1243"/>
      <c r="Z96" s="1243"/>
    </row>
    <row r="97" spans="1:26" ht="15.75" customHeight="1" x14ac:dyDescent="0.2">
      <c r="A97" s="1243"/>
      <c r="B97" s="1243"/>
      <c r="C97" s="1243"/>
      <c r="D97" s="1243"/>
      <c r="E97" s="1243"/>
      <c r="F97" s="1243"/>
      <c r="G97" s="1243"/>
      <c r="H97" s="1243"/>
      <c r="I97" s="1243"/>
      <c r="J97" s="1243"/>
      <c r="K97" s="1243"/>
      <c r="L97" s="1243"/>
      <c r="M97" s="1243"/>
      <c r="N97" s="1243"/>
      <c r="O97" s="1243"/>
      <c r="P97" s="1243"/>
      <c r="Q97" s="1243"/>
      <c r="R97" s="1243"/>
      <c r="S97" s="1243"/>
      <c r="T97" s="1243"/>
      <c r="U97" s="1243"/>
      <c r="V97" s="1243"/>
      <c r="W97" s="1243"/>
      <c r="X97" s="1243"/>
      <c r="Y97" s="1243"/>
      <c r="Z97" s="1243"/>
    </row>
    <row r="98" spans="1:26" ht="15.75" customHeight="1" x14ac:dyDescent="0.2">
      <c r="A98" s="1243"/>
      <c r="B98" s="1243"/>
      <c r="C98" s="1243"/>
      <c r="D98" s="1243"/>
      <c r="E98" s="1243"/>
      <c r="F98" s="1243"/>
      <c r="G98" s="1243"/>
      <c r="H98" s="1243"/>
      <c r="I98" s="1243"/>
      <c r="J98" s="1243"/>
      <c r="K98" s="1243"/>
      <c r="L98" s="1243"/>
      <c r="M98" s="1243"/>
      <c r="N98" s="1243"/>
      <c r="O98" s="1243"/>
      <c r="P98" s="1243"/>
      <c r="Q98" s="1243"/>
      <c r="R98" s="1243"/>
      <c r="S98" s="1243"/>
      <c r="T98" s="1243"/>
      <c r="U98" s="1243"/>
      <c r="V98" s="1243"/>
      <c r="W98" s="1243"/>
      <c r="X98" s="1243"/>
      <c r="Y98" s="1243"/>
      <c r="Z98" s="1243"/>
    </row>
    <row r="99" spans="1:26" ht="15.75" customHeight="1" x14ac:dyDescent="0.2">
      <c r="A99" s="1243"/>
      <c r="B99" s="1243"/>
      <c r="C99" s="1243"/>
      <c r="D99" s="1243"/>
      <c r="E99" s="1243"/>
      <c r="F99" s="1243"/>
      <c r="G99" s="1243"/>
      <c r="H99" s="1243"/>
      <c r="I99" s="1243"/>
      <c r="J99" s="1243"/>
      <c r="K99" s="1243"/>
      <c r="L99" s="1243"/>
      <c r="M99" s="1243"/>
      <c r="N99" s="1243"/>
      <c r="O99" s="1243"/>
      <c r="P99" s="1243"/>
      <c r="Q99" s="1243"/>
      <c r="R99" s="1243"/>
      <c r="S99" s="1243"/>
      <c r="T99" s="1243"/>
      <c r="U99" s="1243"/>
      <c r="V99" s="1243"/>
      <c r="W99" s="1243"/>
      <c r="X99" s="1243"/>
      <c r="Y99" s="1243"/>
      <c r="Z99" s="1243"/>
    </row>
    <row r="100" spans="1:26" ht="15.75" customHeight="1" x14ac:dyDescent="0.2">
      <c r="A100" s="1243"/>
      <c r="B100" s="1243"/>
      <c r="C100" s="1243"/>
      <c r="D100" s="1243"/>
      <c r="E100" s="1243"/>
      <c r="F100" s="1243"/>
      <c r="G100" s="1243"/>
      <c r="H100" s="1243"/>
      <c r="I100" s="1243"/>
      <c r="J100" s="1243"/>
      <c r="K100" s="1243"/>
      <c r="L100" s="1243"/>
      <c r="M100" s="1243"/>
      <c r="N100" s="1243"/>
      <c r="O100" s="1243"/>
      <c r="P100" s="1243"/>
      <c r="Q100" s="1243"/>
      <c r="R100" s="1243"/>
      <c r="S100" s="1243"/>
      <c r="T100" s="1243"/>
      <c r="U100" s="1243"/>
      <c r="V100" s="1243"/>
      <c r="W100" s="1243"/>
      <c r="X100" s="1243"/>
      <c r="Y100" s="1243"/>
      <c r="Z100" s="1243"/>
    </row>
    <row r="101" spans="1:26" ht="15.75" customHeight="1" x14ac:dyDescent="0.2">
      <c r="A101" s="1243"/>
      <c r="B101" s="1243"/>
      <c r="C101" s="1243"/>
      <c r="D101" s="1243"/>
      <c r="E101" s="1243"/>
      <c r="F101" s="1243"/>
      <c r="G101" s="1243"/>
      <c r="H101" s="1243"/>
      <c r="I101" s="1243"/>
      <c r="J101" s="1243"/>
      <c r="K101" s="1243"/>
      <c r="L101" s="1243"/>
      <c r="M101" s="1243"/>
      <c r="N101" s="1243"/>
      <c r="O101" s="1243"/>
      <c r="P101" s="1243"/>
      <c r="Q101" s="1243"/>
      <c r="R101" s="1243"/>
      <c r="S101" s="1243"/>
      <c r="T101" s="1243"/>
      <c r="U101" s="1243"/>
      <c r="V101" s="1243"/>
      <c r="W101" s="1243"/>
      <c r="X101" s="1243"/>
      <c r="Y101" s="1243"/>
      <c r="Z101" s="1243"/>
    </row>
    <row r="102" spans="1:26" ht="15.75" customHeight="1" x14ac:dyDescent="0.2">
      <c r="A102" s="1243"/>
      <c r="B102" s="1243"/>
      <c r="C102" s="1243"/>
      <c r="D102" s="1243"/>
      <c r="E102" s="1243"/>
      <c r="F102" s="1243"/>
      <c r="G102" s="1243"/>
      <c r="H102" s="1243"/>
      <c r="I102" s="1243"/>
      <c r="J102" s="1243"/>
      <c r="K102" s="1243"/>
      <c r="L102" s="1243"/>
      <c r="M102" s="1243"/>
      <c r="N102" s="1243"/>
      <c r="O102" s="1243"/>
      <c r="P102" s="1243"/>
      <c r="Q102" s="1243"/>
      <c r="R102" s="1243"/>
      <c r="S102" s="1243"/>
      <c r="T102" s="1243"/>
      <c r="U102" s="1243"/>
      <c r="V102" s="1243"/>
      <c r="W102" s="1243"/>
      <c r="X102" s="1243"/>
      <c r="Y102" s="1243"/>
      <c r="Z102" s="1243"/>
    </row>
    <row r="103" spans="1:26" ht="15.75" customHeight="1" x14ac:dyDescent="0.2">
      <c r="A103" s="1243"/>
      <c r="B103" s="1243"/>
      <c r="C103" s="1243"/>
      <c r="D103" s="1243"/>
      <c r="E103" s="1243"/>
      <c r="F103" s="1243"/>
      <c r="G103" s="1243"/>
      <c r="H103" s="1243"/>
      <c r="I103" s="1243"/>
      <c r="J103" s="1243"/>
      <c r="K103" s="1243"/>
      <c r="L103" s="1243"/>
      <c r="M103" s="1243"/>
      <c r="N103" s="1243"/>
      <c r="O103" s="1243"/>
      <c r="P103" s="1243"/>
      <c r="Q103" s="1243"/>
      <c r="R103" s="1243"/>
      <c r="S103" s="1243"/>
      <c r="T103" s="1243"/>
      <c r="U103" s="1243"/>
      <c r="V103" s="1243"/>
      <c r="W103" s="1243"/>
      <c r="X103" s="1243"/>
      <c r="Y103" s="1243"/>
      <c r="Z103" s="1243"/>
    </row>
    <row r="104" spans="1:26" ht="15.75" customHeight="1" x14ac:dyDescent="0.2">
      <c r="A104" s="1243"/>
      <c r="B104" s="1243"/>
      <c r="C104" s="1243"/>
      <c r="D104" s="1243"/>
      <c r="E104" s="1243"/>
      <c r="F104" s="1243"/>
      <c r="G104" s="1243"/>
      <c r="H104" s="1243"/>
      <c r="I104" s="1243"/>
      <c r="J104" s="1243"/>
      <c r="K104" s="1243"/>
      <c r="L104" s="1243"/>
      <c r="M104" s="1243"/>
      <c r="N104" s="1243"/>
      <c r="O104" s="1243"/>
      <c r="P104" s="1243"/>
      <c r="Q104" s="1243"/>
      <c r="R104" s="1243"/>
      <c r="S104" s="1243"/>
      <c r="T104" s="1243"/>
      <c r="U104" s="1243"/>
      <c r="V104" s="1243"/>
      <c r="W104" s="1243"/>
      <c r="X104" s="1243"/>
      <c r="Y104" s="1243"/>
      <c r="Z104" s="1243"/>
    </row>
    <row r="105" spans="1:26" ht="15.75" customHeight="1" x14ac:dyDescent="0.2">
      <c r="A105" s="1243"/>
      <c r="B105" s="1243"/>
      <c r="C105" s="1243"/>
      <c r="D105" s="1243"/>
      <c r="E105" s="1243"/>
      <c r="F105" s="1243"/>
      <c r="G105" s="1243"/>
      <c r="H105" s="1243"/>
      <c r="I105" s="1243"/>
      <c r="J105" s="1243"/>
      <c r="K105" s="1243"/>
      <c r="L105" s="1243"/>
      <c r="M105" s="1243"/>
      <c r="N105" s="1243"/>
      <c r="O105" s="1243"/>
      <c r="P105" s="1243"/>
      <c r="Q105" s="1243"/>
      <c r="R105" s="1243"/>
      <c r="S105" s="1243"/>
      <c r="T105" s="1243"/>
      <c r="U105" s="1243"/>
      <c r="V105" s="1243"/>
      <c r="W105" s="1243"/>
      <c r="X105" s="1243"/>
      <c r="Y105" s="1243"/>
      <c r="Z105" s="1243"/>
    </row>
    <row r="106" spans="1:26" ht="15.75" customHeight="1" x14ac:dyDescent="0.2">
      <c r="A106" s="1243"/>
      <c r="B106" s="1243"/>
      <c r="C106" s="1243"/>
      <c r="D106" s="1243"/>
      <c r="E106" s="1243"/>
      <c r="F106" s="1243"/>
      <c r="G106" s="1243"/>
      <c r="H106" s="1243"/>
      <c r="I106" s="1243"/>
      <c r="J106" s="1243"/>
      <c r="K106" s="1243"/>
      <c r="L106" s="1243"/>
      <c r="M106" s="1243"/>
      <c r="N106" s="1243"/>
      <c r="O106" s="1243"/>
      <c r="P106" s="1243"/>
      <c r="Q106" s="1243"/>
      <c r="R106" s="1243"/>
      <c r="S106" s="1243"/>
      <c r="T106" s="1243"/>
      <c r="U106" s="1243"/>
      <c r="V106" s="1243"/>
      <c r="W106" s="1243"/>
      <c r="X106" s="1243"/>
      <c r="Y106" s="1243"/>
      <c r="Z106" s="1243"/>
    </row>
    <row r="107" spans="1:26" ht="15.75" customHeight="1" x14ac:dyDescent="0.2">
      <c r="A107" s="1243"/>
      <c r="B107" s="1243"/>
      <c r="C107" s="1243"/>
      <c r="D107" s="1243"/>
      <c r="E107" s="1243"/>
      <c r="F107" s="1243"/>
      <c r="G107" s="1243"/>
      <c r="H107" s="1243"/>
      <c r="I107" s="1243"/>
      <c r="J107" s="1243"/>
      <c r="K107" s="1243"/>
      <c r="L107" s="1243"/>
      <c r="M107" s="1243"/>
      <c r="N107" s="1243"/>
      <c r="O107" s="1243"/>
      <c r="P107" s="1243"/>
      <c r="Q107" s="1243"/>
      <c r="R107" s="1243"/>
      <c r="S107" s="1243"/>
      <c r="T107" s="1243"/>
      <c r="U107" s="1243"/>
      <c r="V107" s="1243"/>
      <c r="W107" s="1243"/>
      <c r="X107" s="1243"/>
      <c r="Y107" s="1243"/>
      <c r="Z107" s="1243"/>
    </row>
    <row r="108" spans="1:26" ht="15.75" customHeight="1" x14ac:dyDescent="0.2">
      <c r="A108" s="1243"/>
      <c r="B108" s="1243"/>
      <c r="C108" s="1243"/>
      <c r="D108" s="1243"/>
      <c r="E108" s="1243"/>
      <c r="F108" s="1243"/>
      <c r="G108" s="1243"/>
      <c r="H108" s="1243"/>
      <c r="I108" s="1243"/>
      <c r="J108" s="1243"/>
      <c r="K108" s="1243"/>
      <c r="L108" s="1243"/>
      <c r="M108" s="1243"/>
      <c r="N108" s="1243"/>
      <c r="O108" s="1243"/>
      <c r="P108" s="1243"/>
      <c r="Q108" s="1243"/>
      <c r="R108" s="1243"/>
      <c r="S108" s="1243"/>
      <c r="T108" s="1243"/>
      <c r="U108" s="1243"/>
      <c r="V108" s="1243"/>
      <c r="W108" s="1243"/>
      <c r="X108" s="1243"/>
      <c r="Y108" s="1243"/>
      <c r="Z108" s="1243"/>
    </row>
    <row r="109" spans="1:26" ht="15.75" customHeight="1" x14ac:dyDescent="0.2">
      <c r="A109" s="1243"/>
      <c r="B109" s="1243"/>
      <c r="C109" s="1243"/>
      <c r="D109" s="1243"/>
      <c r="E109" s="1243"/>
      <c r="F109" s="1243"/>
      <c r="G109" s="1243"/>
      <c r="H109" s="1243"/>
      <c r="I109" s="1243"/>
      <c r="J109" s="1243"/>
      <c r="K109" s="1243"/>
      <c r="L109" s="1243"/>
      <c r="M109" s="1243"/>
      <c r="N109" s="1243"/>
      <c r="O109" s="1243"/>
      <c r="P109" s="1243"/>
      <c r="Q109" s="1243"/>
      <c r="R109" s="1243"/>
      <c r="S109" s="1243"/>
      <c r="T109" s="1243"/>
      <c r="U109" s="1243"/>
      <c r="V109" s="1243"/>
      <c r="W109" s="1243"/>
      <c r="X109" s="1243"/>
      <c r="Y109" s="1243"/>
      <c r="Z109" s="1243"/>
    </row>
    <row r="110" spans="1:26" ht="15.75" customHeight="1" x14ac:dyDescent="0.2">
      <c r="A110" s="1243"/>
      <c r="B110" s="1243"/>
      <c r="C110" s="1243"/>
      <c r="D110" s="1243"/>
      <c r="E110" s="1243"/>
      <c r="F110" s="1243"/>
      <c r="G110" s="1243"/>
      <c r="H110" s="1243"/>
      <c r="I110" s="1243"/>
      <c r="J110" s="1243"/>
      <c r="K110" s="1243"/>
      <c r="L110" s="1243"/>
      <c r="M110" s="1243"/>
      <c r="N110" s="1243"/>
      <c r="O110" s="1243"/>
      <c r="P110" s="1243"/>
      <c r="Q110" s="1243"/>
      <c r="R110" s="1243"/>
      <c r="S110" s="1243"/>
      <c r="T110" s="1243"/>
      <c r="U110" s="1243"/>
      <c r="V110" s="1243"/>
      <c r="W110" s="1243"/>
      <c r="X110" s="1243"/>
      <c r="Y110" s="1243"/>
      <c r="Z110" s="1243"/>
    </row>
    <row r="111" spans="1:26" ht="15.75" customHeight="1" x14ac:dyDescent="0.2">
      <c r="A111" s="1243"/>
      <c r="B111" s="1243"/>
      <c r="C111" s="1243"/>
      <c r="D111" s="1243"/>
      <c r="E111" s="1243"/>
      <c r="F111" s="1243"/>
      <c r="G111" s="1243"/>
      <c r="H111" s="1243"/>
      <c r="I111" s="1243"/>
      <c r="J111" s="1243"/>
      <c r="K111" s="1243"/>
      <c r="L111" s="1243"/>
      <c r="M111" s="1243"/>
      <c r="N111" s="1243"/>
      <c r="O111" s="1243"/>
      <c r="P111" s="1243"/>
      <c r="Q111" s="1243"/>
      <c r="R111" s="1243"/>
      <c r="S111" s="1243"/>
      <c r="T111" s="1243"/>
      <c r="U111" s="1243"/>
      <c r="V111" s="1243"/>
      <c r="W111" s="1243"/>
      <c r="X111" s="1243"/>
      <c r="Y111" s="1243"/>
      <c r="Z111" s="1243"/>
    </row>
    <row r="112" spans="1:26" ht="15.75" customHeight="1" x14ac:dyDescent="0.2">
      <c r="A112" s="1243"/>
      <c r="B112" s="1243"/>
      <c r="C112" s="1243"/>
      <c r="D112" s="1243"/>
      <c r="E112" s="1243"/>
      <c r="F112" s="1243"/>
      <c r="G112" s="1243"/>
      <c r="H112" s="1243"/>
      <c r="I112" s="1243"/>
      <c r="J112" s="1243"/>
      <c r="K112" s="1243"/>
      <c r="L112" s="1243"/>
      <c r="M112" s="1243"/>
      <c r="N112" s="1243"/>
      <c r="O112" s="1243"/>
      <c r="P112" s="1243"/>
      <c r="Q112" s="1243"/>
      <c r="R112" s="1243"/>
      <c r="S112" s="1243"/>
      <c r="T112" s="1243"/>
      <c r="U112" s="1243"/>
      <c r="V112" s="1243"/>
      <c r="W112" s="1243"/>
      <c r="X112" s="1243"/>
      <c r="Y112" s="1243"/>
      <c r="Z112" s="1243"/>
    </row>
    <row r="113" spans="1:26" ht="15.75" customHeight="1" x14ac:dyDescent="0.2">
      <c r="A113" s="1243"/>
      <c r="B113" s="1243"/>
      <c r="C113" s="1243"/>
      <c r="D113" s="1243"/>
      <c r="E113" s="1243"/>
      <c r="F113" s="1243"/>
      <c r="G113" s="1243"/>
      <c r="H113" s="1243"/>
      <c r="I113" s="1243"/>
      <c r="J113" s="1243"/>
      <c r="K113" s="1243"/>
      <c r="L113" s="1243"/>
      <c r="M113" s="1243"/>
      <c r="N113" s="1243"/>
      <c r="O113" s="1243"/>
      <c r="P113" s="1243"/>
      <c r="Q113" s="1243"/>
      <c r="R113" s="1243"/>
      <c r="S113" s="1243"/>
      <c r="T113" s="1243"/>
      <c r="U113" s="1243"/>
      <c r="V113" s="1243"/>
      <c r="W113" s="1243"/>
      <c r="X113" s="1243"/>
      <c r="Y113" s="1243"/>
      <c r="Z113" s="1243"/>
    </row>
    <row r="114" spans="1:26" ht="15.75" customHeight="1" x14ac:dyDescent="0.2">
      <c r="A114" s="1243"/>
      <c r="B114" s="1243"/>
      <c r="C114" s="1243"/>
      <c r="D114" s="1243"/>
      <c r="E114" s="1243"/>
      <c r="F114" s="1243"/>
      <c r="G114" s="1243"/>
      <c r="H114" s="1243"/>
      <c r="I114" s="1243"/>
      <c r="J114" s="1243"/>
      <c r="K114" s="1243"/>
      <c r="L114" s="1243"/>
      <c r="M114" s="1243"/>
      <c r="N114" s="1243"/>
      <c r="O114" s="1243"/>
      <c r="P114" s="1243"/>
      <c r="Q114" s="1243"/>
      <c r="R114" s="1243"/>
      <c r="S114" s="1243"/>
      <c r="T114" s="1243"/>
      <c r="U114" s="1243"/>
      <c r="V114" s="1243"/>
      <c r="W114" s="1243"/>
      <c r="X114" s="1243"/>
      <c r="Y114" s="1243"/>
      <c r="Z114" s="1243"/>
    </row>
    <row r="115" spans="1:26" ht="15.75" customHeight="1" x14ac:dyDescent="0.2">
      <c r="A115" s="1243"/>
      <c r="B115" s="1243"/>
      <c r="C115" s="1243"/>
      <c r="D115" s="1243"/>
      <c r="E115" s="1243"/>
      <c r="F115" s="1243"/>
      <c r="G115" s="1243"/>
      <c r="H115" s="1243"/>
      <c r="I115" s="1243"/>
      <c r="J115" s="1243"/>
      <c r="K115" s="1243"/>
      <c r="L115" s="1243"/>
      <c r="M115" s="1243"/>
      <c r="N115" s="1243"/>
      <c r="O115" s="1243"/>
      <c r="P115" s="1243"/>
      <c r="Q115" s="1243"/>
      <c r="R115" s="1243"/>
      <c r="S115" s="1243"/>
      <c r="T115" s="1243"/>
      <c r="U115" s="1243"/>
      <c r="V115" s="1243"/>
      <c r="W115" s="1243"/>
      <c r="X115" s="1243"/>
      <c r="Y115" s="1243"/>
      <c r="Z115" s="1243"/>
    </row>
    <row r="116" spans="1:26" ht="15.75" customHeight="1" x14ac:dyDescent="0.2">
      <c r="A116" s="1243"/>
      <c r="B116" s="1243"/>
      <c r="C116" s="1243"/>
      <c r="D116" s="1243"/>
      <c r="E116" s="1243"/>
      <c r="F116" s="1243"/>
      <c r="G116" s="1243"/>
      <c r="H116" s="1243"/>
      <c r="I116" s="1243"/>
      <c r="J116" s="1243"/>
      <c r="K116" s="1243"/>
      <c r="L116" s="1243"/>
      <c r="M116" s="1243"/>
      <c r="N116" s="1243"/>
      <c r="O116" s="1243"/>
      <c r="P116" s="1243"/>
      <c r="Q116" s="1243"/>
      <c r="R116" s="1243"/>
      <c r="S116" s="1243"/>
      <c r="T116" s="1243"/>
      <c r="U116" s="1243"/>
      <c r="V116" s="1243"/>
      <c r="W116" s="1243"/>
      <c r="X116" s="1243"/>
      <c r="Y116" s="1243"/>
      <c r="Z116" s="1243"/>
    </row>
    <row r="117" spans="1:26" ht="15.75" customHeight="1" x14ac:dyDescent="0.2">
      <c r="A117" s="1243"/>
      <c r="B117" s="1243"/>
      <c r="C117" s="1243"/>
      <c r="D117" s="1243"/>
      <c r="E117" s="1243"/>
      <c r="F117" s="1243"/>
      <c r="G117" s="1243"/>
      <c r="H117" s="1243"/>
      <c r="I117" s="1243"/>
      <c r="J117" s="1243"/>
      <c r="K117" s="1243"/>
      <c r="L117" s="1243"/>
      <c r="M117" s="1243"/>
      <c r="N117" s="1243"/>
      <c r="O117" s="1243"/>
      <c r="P117" s="1243"/>
      <c r="Q117" s="1243"/>
      <c r="R117" s="1243"/>
      <c r="S117" s="1243"/>
      <c r="T117" s="1243"/>
      <c r="U117" s="1243"/>
      <c r="V117" s="1243"/>
      <c r="W117" s="1243"/>
      <c r="X117" s="1243"/>
      <c r="Y117" s="1243"/>
      <c r="Z117" s="1243"/>
    </row>
    <row r="118" spans="1:26" ht="15.75" customHeight="1" x14ac:dyDescent="0.2">
      <c r="A118" s="1243"/>
      <c r="B118" s="1243"/>
      <c r="C118" s="1243"/>
      <c r="D118" s="1243"/>
      <c r="E118" s="1243"/>
      <c r="F118" s="1243"/>
      <c r="G118" s="1243"/>
      <c r="H118" s="1243"/>
      <c r="I118" s="1243"/>
      <c r="J118" s="1243"/>
      <c r="K118" s="1243"/>
      <c r="L118" s="1243"/>
      <c r="M118" s="1243"/>
      <c r="N118" s="1243"/>
      <c r="O118" s="1243"/>
      <c r="P118" s="1243"/>
      <c r="Q118" s="1243"/>
      <c r="R118" s="1243"/>
      <c r="S118" s="1243"/>
      <c r="T118" s="1243"/>
      <c r="U118" s="1243"/>
      <c r="V118" s="1243"/>
      <c r="W118" s="1243"/>
      <c r="X118" s="1243"/>
      <c r="Y118" s="1243"/>
      <c r="Z118" s="1243"/>
    </row>
    <row r="119" spans="1:26" ht="15.75" customHeight="1" x14ac:dyDescent="0.2">
      <c r="A119" s="1243"/>
      <c r="B119" s="1243"/>
      <c r="C119" s="1243"/>
      <c r="D119" s="1243"/>
      <c r="E119" s="1243"/>
      <c r="F119" s="1243"/>
      <c r="G119" s="1243"/>
      <c r="H119" s="1243"/>
      <c r="I119" s="1243"/>
      <c r="J119" s="1243"/>
      <c r="K119" s="1243"/>
      <c r="L119" s="1243"/>
      <c r="M119" s="1243"/>
      <c r="N119" s="1243"/>
      <c r="O119" s="1243"/>
      <c r="P119" s="1243"/>
      <c r="Q119" s="1243"/>
      <c r="R119" s="1243"/>
      <c r="S119" s="1243"/>
      <c r="T119" s="1243"/>
      <c r="U119" s="1243"/>
      <c r="V119" s="1243"/>
      <c r="W119" s="1243"/>
      <c r="X119" s="1243"/>
      <c r="Y119" s="1243"/>
      <c r="Z119" s="1243"/>
    </row>
    <row r="120" spans="1:26" ht="15.75" customHeight="1" x14ac:dyDescent="0.2">
      <c r="A120" s="1243"/>
      <c r="B120" s="1243"/>
      <c r="C120" s="1243"/>
      <c r="D120" s="1243"/>
      <c r="E120" s="1243"/>
      <c r="F120" s="1243"/>
      <c r="G120" s="1243"/>
      <c r="H120" s="1243"/>
      <c r="I120" s="1243"/>
      <c r="J120" s="1243"/>
      <c r="K120" s="1243"/>
      <c r="L120" s="1243"/>
      <c r="M120" s="1243"/>
      <c r="N120" s="1243"/>
      <c r="O120" s="1243"/>
      <c r="P120" s="1243"/>
      <c r="Q120" s="1243"/>
      <c r="R120" s="1243"/>
      <c r="S120" s="1243"/>
      <c r="T120" s="1243"/>
      <c r="U120" s="1243"/>
      <c r="V120" s="1243"/>
      <c r="W120" s="1243"/>
      <c r="X120" s="1243"/>
      <c r="Y120" s="1243"/>
      <c r="Z120" s="1243"/>
    </row>
    <row r="121" spans="1:26" ht="15.75" customHeight="1" x14ac:dyDescent="0.2">
      <c r="A121" s="1243"/>
      <c r="B121" s="1243"/>
      <c r="C121" s="1243"/>
      <c r="D121" s="1243"/>
      <c r="E121" s="1243"/>
      <c r="F121" s="1243"/>
      <c r="G121" s="1243"/>
      <c r="H121" s="1243"/>
      <c r="I121" s="1243"/>
      <c r="J121" s="1243"/>
      <c r="K121" s="1243"/>
      <c r="L121" s="1243"/>
      <c r="M121" s="1243"/>
      <c r="N121" s="1243"/>
      <c r="O121" s="1243"/>
      <c r="P121" s="1243"/>
      <c r="Q121" s="1243"/>
      <c r="R121" s="1243"/>
      <c r="S121" s="1243"/>
      <c r="T121" s="1243"/>
      <c r="U121" s="1243"/>
      <c r="V121" s="1243"/>
      <c r="W121" s="1243"/>
      <c r="X121" s="1243"/>
      <c r="Y121" s="1243"/>
      <c r="Z121" s="1243"/>
    </row>
    <row r="122" spans="1:26" ht="15.75" customHeight="1" x14ac:dyDescent="0.2">
      <c r="A122" s="1243"/>
      <c r="B122" s="1243"/>
      <c r="C122" s="1243"/>
      <c r="D122" s="1243"/>
      <c r="E122" s="1243"/>
      <c r="F122" s="1243"/>
      <c r="G122" s="1243"/>
      <c r="H122" s="1243"/>
      <c r="I122" s="1243"/>
      <c r="J122" s="1243"/>
      <c r="K122" s="1243"/>
      <c r="L122" s="1243"/>
      <c r="M122" s="1243"/>
      <c r="N122" s="1243"/>
      <c r="O122" s="1243"/>
      <c r="P122" s="1243"/>
      <c r="Q122" s="1243"/>
      <c r="R122" s="1243"/>
      <c r="S122" s="1243"/>
      <c r="T122" s="1243"/>
      <c r="U122" s="1243"/>
      <c r="V122" s="1243"/>
      <c r="W122" s="1243"/>
      <c r="X122" s="1243"/>
      <c r="Y122" s="1243"/>
      <c r="Z122" s="1243"/>
    </row>
    <row r="123" spans="1:26" ht="15.75" customHeight="1" x14ac:dyDescent="0.2">
      <c r="A123" s="1243"/>
      <c r="B123" s="1243"/>
      <c r="C123" s="1243"/>
      <c r="D123" s="1243"/>
      <c r="E123" s="1243"/>
      <c r="F123" s="1243"/>
      <c r="G123" s="1243"/>
      <c r="H123" s="1243"/>
      <c r="I123" s="1243"/>
      <c r="J123" s="1243"/>
      <c r="K123" s="1243"/>
      <c r="L123" s="1243"/>
      <c r="M123" s="1243"/>
      <c r="N123" s="1243"/>
      <c r="O123" s="1243"/>
      <c r="P123" s="1243"/>
      <c r="Q123" s="1243"/>
      <c r="R123" s="1243"/>
      <c r="S123" s="1243"/>
      <c r="T123" s="1243"/>
      <c r="U123" s="1243"/>
      <c r="V123" s="1243"/>
      <c r="W123" s="1243"/>
      <c r="X123" s="1243"/>
      <c r="Y123" s="1243"/>
      <c r="Z123" s="1243"/>
    </row>
    <row r="124" spans="1:26" ht="15.75" customHeight="1" x14ac:dyDescent="0.2">
      <c r="A124" s="1243"/>
      <c r="B124" s="1243"/>
      <c r="C124" s="1243"/>
      <c r="D124" s="1243"/>
      <c r="E124" s="1243"/>
      <c r="F124" s="1243"/>
      <c r="G124" s="1243"/>
      <c r="H124" s="1243"/>
      <c r="I124" s="1243"/>
      <c r="J124" s="1243"/>
      <c r="K124" s="1243"/>
      <c r="L124" s="1243"/>
      <c r="M124" s="1243"/>
      <c r="N124" s="1243"/>
      <c r="O124" s="1243"/>
      <c r="P124" s="1243"/>
      <c r="Q124" s="1243"/>
      <c r="R124" s="1243"/>
      <c r="S124" s="1243"/>
      <c r="T124" s="1243"/>
      <c r="U124" s="1243"/>
      <c r="V124" s="1243"/>
      <c r="W124" s="1243"/>
      <c r="X124" s="1243"/>
      <c r="Y124" s="1243"/>
      <c r="Z124" s="1243"/>
    </row>
    <row r="125" spans="1:26" ht="15.75" customHeight="1" x14ac:dyDescent="0.2">
      <c r="A125" s="1243"/>
      <c r="B125" s="1243"/>
      <c r="C125" s="1243"/>
      <c r="D125" s="1243"/>
      <c r="E125" s="1243"/>
      <c r="F125" s="1243"/>
      <c r="G125" s="1243"/>
      <c r="H125" s="1243"/>
      <c r="I125" s="1243"/>
      <c r="J125" s="1243"/>
      <c r="K125" s="1243"/>
      <c r="L125" s="1243"/>
      <c r="M125" s="1243"/>
      <c r="N125" s="1243"/>
      <c r="O125" s="1243"/>
      <c r="P125" s="1243"/>
      <c r="Q125" s="1243"/>
      <c r="R125" s="1243"/>
      <c r="S125" s="1243"/>
      <c r="T125" s="1243"/>
      <c r="U125" s="1243"/>
      <c r="V125" s="1243"/>
      <c r="W125" s="1243"/>
      <c r="X125" s="1243"/>
      <c r="Y125" s="1243"/>
      <c r="Z125" s="1243"/>
    </row>
    <row r="126" spans="1:26" ht="15.75" customHeight="1" x14ac:dyDescent="0.2">
      <c r="A126" s="1243"/>
      <c r="B126" s="1243"/>
      <c r="C126" s="1243"/>
      <c r="D126" s="1243"/>
      <c r="E126" s="1243"/>
      <c r="F126" s="1243"/>
      <c r="G126" s="1243"/>
      <c r="H126" s="1243"/>
      <c r="I126" s="1243"/>
      <c r="J126" s="1243"/>
      <c r="K126" s="1243"/>
      <c r="L126" s="1243"/>
      <c r="M126" s="1243"/>
      <c r="N126" s="1243"/>
      <c r="O126" s="1243"/>
      <c r="P126" s="1243"/>
      <c r="Q126" s="1243"/>
      <c r="R126" s="1243"/>
      <c r="S126" s="1243"/>
      <c r="T126" s="1243"/>
      <c r="U126" s="1243"/>
      <c r="V126" s="1243"/>
      <c r="W126" s="1243"/>
      <c r="X126" s="1243"/>
      <c r="Y126" s="1243"/>
      <c r="Z126" s="1243"/>
    </row>
    <row r="127" spans="1:26" ht="15.75" customHeight="1" x14ac:dyDescent="0.2">
      <c r="A127" s="1243"/>
      <c r="B127" s="1243"/>
      <c r="C127" s="1243"/>
      <c r="D127" s="1243"/>
      <c r="E127" s="1243"/>
      <c r="F127" s="1243"/>
      <c r="G127" s="1243"/>
      <c r="H127" s="1243"/>
      <c r="I127" s="1243"/>
      <c r="J127" s="1243"/>
      <c r="K127" s="1243"/>
      <c r="L127" s="1243"/>
      <c r="M127" s="1243"/>
      <c r="N127" s="1243"/>
      <c r="O127" s="1243"/>
      <c r="P127" s="1243"/>
      <c r="Q127" s="1243"/>
      <c r="R127" s="1243"/>
      <c r="S127" s="1243"/>
      <c r="T127" s="1243"/>
      <c r="U127" s="1243"/>
      <c r="V127" s="1243"/>
      <c r="W127" s="1243"/>
      <c r="X127" s="1243"/>
      <c r="Y127" s="1243"/>
      <c r="Z127" s="1243"/>
    </row>
    <row r="128" spans="1:26" ht="15.75" customHeight="1" x14ac:dyDescent="0.2">
      <c r="A128" s="1243"/>
      <c r="B128" s="1243"/>
      <c r="C128" s="1243"/>
      <c r="D128" s="1243"/>
      <c r="E128" s="1243"/>
      <c r="F128" s="1243"/>
      <c r="G128" s="1243"/>
      <c r="H128" s="1243"/>
      <c r="I128" s="1243"/>
      <c r="J128" s="1243"/>
      <c r="K128" s="1243"/>
      <c r="L128" s="1243"/>
      <c r="M128" s="1243"/>
      <c r="N128" s="1243"/>
      <c r="O128" s="1243"/>
      <c r="P128" s="1243"/>
      <c r="Q128" s="1243"/>
      <c r="R128" s="1243"/>
      <c r="S128" s="1243"/>
      <c r="T128" s="1243"/>
      <c r="U128" s="1243"/>
      <c r="V128" s="1243"/>
      <c r="W128" s="1243"/>
      <c r="X128" s="1243"/>
      <c r="Y128" s="1243"/>
      <c r="Z128" s="1243"/>
    </row>
    <row r="129" spans="1:26" ht="15.75" customHeight="1" x14ac:dyDescent="0.2">
      <c r="A129" s="1243"/>
      <c r="B129" s="1243"/>
      <c r="C129" s="1243"/>
      <c r="D129" s="1243"/>
      <c r="E129" s="1243"/>
      <c r="F129" s="1243"/>
      <c r="G129" s="1243"/>
      <c r="H129" s="1243"/>
      <c r="I129" s="1243"/>
      <c r="J129" s="1243"/>
      <c r="K129" s="1243"/>
      <c r="L129" s="1243"/>
      <c r="M129" s="1243"/>
      <c r="N129" s="1243"/>
      <c r="O129" s="1243"/>
      <c r="P129" s="1243"/>
      <c r="Q129" s="1243"/>
      <c r="R129" s="1243"/>
      <c r="S129" s="1243"/>
      <c r="T129" s="1243"/>
      <c r="U129" s="1243"/>
      <c r="V129" s="1243"/>
      <c r="W129" s="1243"/>
      <c r="X129" s="1243"/>
      <c r="Y129" s="1243"/>
      <c r="Z129" s="1243"/>
    </row>
    <row r="130" spans="1:26" ht="15.75" customHeight="1" x14ac:dyDescent="0.2">
      <c r="A130" s="1243"/>
      <c r="B130" s="1243"/>
      <c r="C130" s="1243"/>
      <c r="D130" s="1243"/>
      <c r="E130" s="1243"/>
      <c r="F130" s="1243"/>
      <c r="G130" s="1243"/>
      <c r="H130" s="1243"/>
      <c r="I130" s="1243"/>
      <c r="J130" s="1243"/>
      <c r="K130" s="1243"/>
      <c r="L130" s="1243"/>
      <c r="M130" s="1243"/>
      <c r="N130" s="1243"/>
      <c r="O130" s="1243"/>
      <c r="P130" s="1243"/>
      <c r="Q130" s="1243"/>
      <c r="R130" s="1243"/>
      <c r="S130" s="1243"/>
      <c r="T130" s="1243"/>
      <c r="U130" s="1243"/>
      <c r="V130" s="1243"/>
      <c r="W130" s="1243"/>
      <c r="X130" s="1243"/>
      <c r="Y130" s="1243"/>
      <c r="Z130" s="1243"/>
    </row>
    <row r="131" spans="1:26" ht="15.75" customHeight="1" x14ac:dyDescent="0.2">
      <c r="A131" s="1243"/>
      <c r="B131" s="1243"/>
      <c r="C131" s="1243"/>
      <c r="D131" s="1243"/>
      <c r="E131" s="1243"/>
      <c r="F131" s="1243"/>
      <c r="G131" s="1243"/>
      <c r="H131" s="1243"/>
      <c r="I131" s="1243"/>
      <c r="J131" s="1243"/>
      <c r="K131" s="1243"/>
      <c r="L131" s="1243"/>
      <c r="M131" s="1243"/>
      <c r="N131" s="1243"/>
      <c r="O131" s="1243"/>
      <c r="P131" s="1243"/>
      <c r="Q131" s="1243"/>
      <c r="R131" s="1243"/>
      <c r="S131" s="1243"/>
      <c r="T131" s="1243"/>
      <c r="U131" s="1243"/>
      <c r="V131" s="1243"/>
      <c r="W131" s="1243"/>
      <c r="X131" s="1243"/>
      <c r="Y131" s="1243"/>
      <c r="Z131" s="1243"/>
    </row>
    <row r="132" spans="1:26" ht="15.75" customHeight="1" x14ac:dyDescent="0.2">
      <c r="A132" s="1243"/>
      <c r="B132" s="1243"/>
      <c r="C132" s="1243"/>
      <c r="D132" s="1243"/>
      <c r="E132" s="1243"/>
      <c r="F132" s="1243"/>
      <c r="G132" s="1243"/>
      <c r="H132" s="1243"/>
      <c r="I132" s="1243"/>
      <c r="J132" s="1243"/>
      <c r="K132" s="1243"/>
      <c r="L132" s="1243"/>
      <c r="M132" s="1243"/>
      <c r="N132" s="1243"/>
      <c r="O132" s="1243"/>
      <c r="P132" s="1243"/>
      <c r="Q132" s="1243"/>
      <c r="R132" s="1243"/>
      <c r="S132" s="1243"/>
      <c r="T132" s="1243"/>
      <c r="U132" s="1243"/>
      <c r="V132" s="1243"/>
      <c r="W132" s="1243"/>
      <c r="X132" s="1243"/>
      <c r="Y132" s="1243"/>
      <c r="Z132" s="1243"/>
    </row>
    <row r="133" spans="1:26" ht="15.75" customHeight="1" x14ac:dyDescent="0.2">
      <c r="A133" s="1243"/>
      <c r="B133" s="1243"/>
      <c r="C133" s="1243"/>
      <c r="D133" s="1243"/>
      <c r="E133" s="1243"/>
      <c r="F133" s="1243"/>
      <c r="G133" s="1243"/>
      <c r="H133" s="1243"/>
      <c r="I133" s="1243"/>
      <c r="J133" s="1243"/>
      <c r="K133" s="1243"/>
      <c r="L133" s="1243"/>
      <c r="M133" s="1243"/>
      <c r="N133" s="1243"/>
      <c r="O133" s="1243"/>
      <c r="P133" s="1243"/>
      <c r="Q133" s="1243"/>
      <c r="R133" s="1243"/>
      <c r="S133" s="1243"/>
      <c r="T133" s="1243"/>
      <c r="U133" s="1243"/>
      <c r="V133" s="1243"/>
      <c r="W133" s="1243"/>
      <c r="X133" s="1243"/>
      <c r="Y133" s="1243"/>
      <c r="Z133" s="1243"/>
    </row>
    <row r="134" spans="1:26" ht="15.75" customHeight="1" x14ac:dyDescent="0.2">
      <c r="A134" s="1243"/>
      <c r="B134" s="1243"/>
      <c r="C134" s="1243"/>
      <c r="D134" s="1243"/>
      <c r="E134" s="1243"/>
      <c r="F134" s="1243"/>
      <c r="G134" s="1243"/>
      <c r="H134" s="1243"/>
      <c r="I134" s="1243"/>
      <c r="J134" s="1243"/>
      <c r="K134" s="1243"/>
      <c r="L134" s="1243"/>
      <c r="M134" s="1243"/>
      <c r="N134" s="1243"/>
      <c r="O134" s="1243"/>
      <c r="P134" s="1243"/>
      <c r="Q134" s="1243"/>
      <c r="R134" s="1243"/>
      <c r="S134" s="1243"/>
      <c r="T134" s="1243"/>
      <c r="U134" s="1243"/>
      <c r="V134" s="1243"/>
      <c r="W134" s="1243"/>
      <c r="X134" s="1243"/>
      <c r="Y134" s="1243"/>
      <c r="Z134" s="1243"/>
    </row>
    <row r="135" spans="1:26" ht="15.75" customHeight="1" x14ac:dyDescent="0.2">
      <c r="A135" s="1243"/>
      <c r="B135" s="1243"/>
      <c r="C135" s="1243"/>
      <c r="D135" s="1243"/>
      <c r="E135" s="1243"/>
      <c r="F135" s="1243"/>
      <c r="G135" s="1243"/>
      <c r="H135" s="1243"/>
      <c r="I135" s="1243"/>
      <c r="J135" s="1243"/>
      <c r="K135" s="1243"/>
      <c r="L135" s="1243"/>
      <c r="M135" s="1243"/>
      <c r="N135" s="1243"/>
      <c r="O135" s="1243"/>
      <c r="P135" s="1243"/>
      <c r="Q135" s="1243"/>
      <c r="R135" s="1243"/>
      <c r="S135" s="1243"/>
      <c r="T135" s="1243"/>
      <c r="U135" s="1243"/>
      <c r="V135" s="1243"/>
      <c r="W135" s="1243"/>
      <c r="X135" s="1243"/>
      <c r="Y135" s="1243"/>
      <c r="Z135" s="1243"/>
    </row>
    <row r="136" spans="1:26" ht="15.75" customHeight="1" x14ac:dyDescent="0.2">
      <c r="A136" s="1243"/>
      <c r="B136" s="1243"/>
      <c r="C136" s="1243"/>
      <c r="D136" s="1243"/>
      <c r="E136" s="1243"/>
      <c r="F136" s="1243"/>
      <c r="G136" s="1243"/>
      <c r="H136" s="1243"/>
      <c r="I136" s="1243"/>
      <c r="J136" s="1243"/>
      <c r="K136" s="1243"/>
      <c r="L136" s="1243"/>
      <c r="M136" s="1243"/>
      <c r="N136" s="1243"/>
      <c r="O136" s="1243"/>
      <c r="P136" s="1243"/>
      <c r="Q136" s="1243"/>
      <c r="R136" s="1243"/>
      <c r="S136" s="1243"/>
      <c r="T136" s="1243"/>
      <c r="U136" s="1243"/>
      <c r="V136" s="1243"/>
      <c r="W136" s="1243"/>
      <c r="X136" s="1243"/>
      <c r="Y136" s="1243"/>
      <c r="Z136" s="1243"/>
    </row>
    <row r="137" spans="1:26" ht="15.75" customHeight="1" x14ac:dyDescent="0.2">
      <c r="A137" s="1243"/>
      <c r="B137" s="1243"/>
      <c r="C137" s="1243"/>
      <c r="D137" s="1243"/>
      <c r="E137" s="1243"/>
      <c r="F137" s="1243"/>
      <c r="G137" s="1243"/>
      <c r="H137" s="1243"/>
      <c r="I137" s="1243"/>
      <c r="J137" s="1243"/>
      <c r="K137" s="1243"/>
      <c r="L137" s="1243"/>
      <c r="M137" s="1243"/>
      <c r="N137" s="1243"/>
      <c r="O137" s="1243"/>
      <c r="P137" s="1243"/>
      <c r="Q137" s="1243"/>
      <c r="R137" s="1243"/>
      <c r="S137" s="1243"/>
      <c r="T137" s="1243"/>
      <c r="U137" s="1243"/>
      <c r="V137" s="1243"/>
      <c r="W137" s="1243"/>
      <c r="X137" s="1243"/>
      <c r="Y137" s="1243"/>
      <c r="Z137" s="1243"/>
    </row>
    <row r="138" spans="1:26" ht="15.75" customHeight="1" x14ac:dyDescent="0.2">
      <c r="A138" s="1243"/>
      <c r="B138" s="1243"/>
      <c r="C138" s="1243"/>
      <c r="D138" s="1243"/>
      <c r="E138" s="1243"/>
      <c r="F138" s="1243"/>
      <c r="G138" s="1243"/>
      <c r="H138" s="1243"/>
      <c r="I138" s="1243"/>
      <c r="J138" s="1243"/>
      <c r="K138" s="1243"/>
      <c r="L138" s="1243"/>
      <c r="M138" s="1243"/>
      <c r="N138" s="1243"/>
      <c r="O138" s="1243"/>
      <c r="P138" s="1243"/>
      <c r="Q138" s="1243"/>
      <c r="R138" s="1243"/>
      <c r="S138" s="1243"/>
      <c r="T138" s="1243"/>
      <c r="U138" s="1243"/>
      <c r="V138" s="1243"/>
      <c r="W138" s="1243"/>
      <c r="X138" s="1243"/>
      <c r="Y138" s="1243"/>
      <c r="Z138" s="1243"/>
    </row>
    <row r="139" spans="1:26" ht="15.75" customHeight="1" x14ac:dyDescent="0.2">
      <c r="A139" s="1243"/>
      <c r="B139" s="1243"/>
      <c r="C139" s="1243"/>
      <c r="D139" s="1243"/>
      <c r="E139" s="1243"/>
      <c r="F139" s="1243"/>
      <c r="G139" s="1243"/>
      <c r="H139" s="1243"/>
      <c r="I139" s="1243"/>
      <c r="J139" s="1243"/>
      <c r="K139" s="1243"/>
      <c r="L139" s="1243"/>
      <c r="M139" s="1243"/>
      <c r="N139" s="1243"/>
      <c r="O139" s="1243"/>
      <c r="P139" s="1243"/>
      <c r="Q139" s="1243"/>
      <c r="R139" s="1243"/>
      <c r="S139" s="1243"/>
      <c r="T139" s="1243"/>
      <c r="U139" s="1243"/>
      <c r="V139" s="1243"/>
      <c r="W139" s="1243"/>
      <c r="X139" s="1243"/>
      <c r="Y139" s="1243"/>
      <c r="Z139" s="1243"/>
    </row>
    <row r="140" spans="1:26" ht="15.75" customHeight="1" x14ac:dyDescent="0.2">
      <c r="A140" s="1243"/>
      <c r="B140" s="1243"/>
      <c r="C140" s="1243"/>
      <c r="D140" s="1243"/>
      <c r="E140" s="1243"/>
      <c r="F140" s="1243"/>
      <c r="G140" s="1243"/>
      <c r="H140" s="1243"/>
      <c r="I140" s="1243"/>
      <c r="J140" s="1243"/>
      <c r="K140" s="1243"/>
      <c r="L140" s="1243"/>
      <c r="M140" s="1243"/>
      <c r="N140" s="1243"/>
      <c r="O140" s="1243"/>
      <c r="P140" s="1243"/>
      <c r="Q140" s="1243"/>
      <c r="R140" s="1243"/>
      <c r="S140" s="1243"/>
      <c r="T140" s="1243"/>
      <c r="U140" s="1243"/>
      <c r="V140" s="1243"/>
      <c r="W140" s="1243"/>
      <c r="X140" s="1243"/>
      <c r="Y140" s="1243"/>
      <c r="Z140" s="1243"/>
    </row>
    <row r="141" spans="1:26" ht="15.75" customHeight="1" x14ac:dyDescent="0.2">
      <c r="A141" s="1243"/>
      <c r="B141" s="1243"/>
      <c r="C141" s="1243"/>
      <c r="D141" s="1243"/>
      <c r="E141" s="1243"/>
      <c r="F141" s="1243"/>
      <c r="G141" s="1243"/>
      <c r="H141" s="1243"/>
      <c r="I141" s="1243"/>
      <c r="J141" s="1243"/>
      <c r="K141" s="1243"/>
      <c r="L141" s="1243"/>
      <c r="M141" s="1243"/>
      <c r="N141" s="1243"/>
      <c r="O141" s="1243"/>
      <c r="P141" s="1243"/>
      <c r="Q141" s="1243"/>
      <c r="R141" s="1243"/>
      <c r="S141" s="1243"/>
      <c r="T141" s="1243"/>
      <c r="U141" s="1243"/>
      <c r="V141" s="1243"/>
      <c r="W141" s="1243"/>
      <c r="X141" s="1243"/>
      <c r="Y141" s="1243"/>
      <c r="Z141" s="1243"/>
    </row>
    <row r="142" spans="1:26" ht="15.75" customHeight="1" x14ac:dyDescent="0.2">
      <c r="A142" s="1243"/>
      <c r="B142" s="1243"/>
      <c r="C142" s="1243"/>
      <c r="D142" s="1243"/>
      <c r="E142" s="1243"/>
      <c r="F142" s="1243"/>
      <c r="G142" s="1243"/>
      <c r="H142" s="1243"/>
      <c r="I142" s="1243"/>
      <c r="J142" s="1243"/>
      <c r="K142" s="1243"/>
      <c r="L142" s="1243"/>
      <c r="M142" s="1243"/>
      <c r="N142" s="1243"/>
      <c r="O142" s="1243"/>
      <c r="P142" s="1243"/>
      <c r="Q142" s="1243"/>
      <c r="R142" s="1243"/>
      <c r="S142" s="1243"/>
      <c r="T142" s="1243"/>
      <c r="U142" s="1243"/>
      <c r="V142" s="1243"/>
      <c r="W142" s="1243"/>
      <c r="X142" s="1243"/>
      <c r="Y142" s="1243"/>
      <c r="Z142" s="1243"/>
    </row>
    <row r="143" spans="1:26" ht="15.75" customHeight="1" x14ac:dyDescent="0.2">
      <c r="A143" s="1243"/>
      <c r="B143" s="1243"/>
      <c r="C143" s="1243"/>
      <c r="D143" s="1243"/>
      <c r="E143" s="1243"/>
      <c r="F143" s="1243"/>
      <c r="G143" s="1243"/>
      <c r="H143" s="1243"/>
      <c r="I143" s="1243"/>
      <c r="J143" s="1243"/>
      <c r="K143" s="1243"/>
      <c r="L143" s="1243"/>
      <c r="M143" s="1243"/>
      <c r="N143" s="1243"/>
      <c r="O143" s="1243"/>
      <c r="P143" s="1243"/>
      <c r="Q143" s="1243"/>
      <c r="R143" s="1243"/>
      <c r="S143" s="1243"/>
      <c r="T143" s="1243"/>
      <c r="U143" s="1243"/>
      <c r="V143" s="1243"/>
      <c r="W143" s="1243"/>
      <c r="X143" s="1243"/>
      <c r="Y143" s="1243"/>
      <c r="Z143" s="1243"/>
    </row>
    <row r="144" spans="1:26" ht="15.75" customHeight="1" x14ac:dyDescent="0.2">
      <c r="A144" s="1243"/>
      <c r="B144" s="1243"/>
      <c r="C144" s="1243"/>
      <c r="D144" s="1243"/>
      <c r="E144" s="1243"/>
      <c r="F144" s="1243"/>
      <c r="G144" s="1243"/>
      <c r="H144" s="1243"/>
      <c r="I144" s="1243"/>
      <c r="J144" s="1243"/>
      <c r="K144" s="1243"/>
      <c r="L144" s="1243"/>
      <c r="M144" s="1243"/>
      <c r="N144" s="1243"/>
      <c r="O144" s="1243"/>
      <c r="P144" s="1243"/>
      <c r="Q144" s="1243"/>
      <c r="R144" s="1243"/>
      <c r="S144" s="1243"/>
      <c r="T144" s="1243"/>
      <c r="U144" s="1243"/>
      <c r="V144" s="1243"/>
      <c r="W144" s="1243"/>
      <c r="X144" s="1243"/>
      <c r="Y144" s="1243"/>
      <c r="Z144" s="1243"/>
    </row>
    <row r="145" spans="1:26" ht="15.75" customHeight="1" x14ac:dyDescent="0.2">
      <c r="A145" s="1243"/>
      <c r="B145" s="1243"/>
      <c r="C145" s="1243"/>
      <c r="D145" s="1243"/>
      <c r="E145" s="1243"/>
      <c r="F145" s="1243"/>
      <c r="G145" s="1243"/>
      <c r="H145" s="1243"/>
      <c r="I145" s="1243"/>
      <c r="J145" s="1243"/>
      <c r="K145" s="1243"/>
      <c r="L145" s="1243"/>
      <c r="M145" s="1243"/>
      <c r="N145" s="1243"/>
      <c r="O145" s="1243"/>
      <c r="P145" s="1243"/>
      <c r="Q145" s="1243"/>
      <c r="R145" s="1243"/>
      <c r="S145" s="1243"/>
      <c r="T145" s="1243"/>
      <c r="U145" s="1243"/>
      <c r="V145" s="1243"/>
      <c r="W145" s="1243"/>
      <c r="X145" s="1243"/>
      <c r="Y145" s="1243"/>
      <c r="Z145" s="1243"/>
    </row>
    <row r="146" spans="1:26" ht="15.75" customHeight="1" x14ac:dyDescent="0.2">
      <c r="A146" s="1243"/>
      <c r="B146" s="1243"/>
      <c r="C146" s="1243"/>
      <c r="D146" s="1243"/>
      <c r="E146" s="1243"/>
      <c r="F146" s="1243"/>
      <c r="G146" s="1243"/>
      <c r="H146" s="1243"/>
      <c r="I146" s="1243"/>
      <c r="J146" s="1243"/>
      <c r="K146" s="1243"/>
      <c r="L146" s="1243"/>
      <c r="M146" s="1243"/>
      <c r="N146" s="1243"/>
      <c r="O146" s="1243"/>
      <c r="P146" s="1243"/>
      <c r="Q146" s="1243"/>
      <c r="R146" s="1243"/>
      <c r="S146" s="1243"/>
      <c r="T146" s="1243"/>
      <c r="U146" s="1243"/>
      <c r="V146" s="1243"/>
      <c r="W146" s="1243"/>
      <c r="X146" s="1243"/>
      <c r="Y146" s="1243"/>
      <c r="Z146" s="1243"/>
    </row>
    <row r="147" spans="1:26" ht="15.75" customHeight="1" x14ac:dyDescent="0.2">
      <c r="A147" s="1243"/>
      <c r="B147" s="1243"/>
      <c r="C147" s="1243"/>
      <c r="D147" s="1243"/>
      <c r="E147" s="1243"/>
      <c r="F147" s="1243"/>
      <c r="G147" s="1243"/>
      <c r="H147" s="1243"/>
      <c r="I147" s="1243"/>
      <c r="J147" s="1243"/>
      <c r="K147" s="1243"/>
      <c r="L147" s="1243"/>
      <c r="M147" s="1243"/>
      <c r="N147" s="1243"/>
      <c r="O147" s="1243"/>
      <c r="P147" s="1243"/>
      <c r="Q147" s="1243"/>
      <c r="R147" s="1243"/>
      <c r="S147" s="1243"/>
      <c r="T147" s="1243"/>
      <c r="U147" s="1243"/>
      <c r="V147" s="1243"/>
      <c r="W147" s="1243"/>
      <c r="X147" s="1243"/>
      <c r="Y147" s="1243"/>
      <c r="Z147" s="1243"/>
    </row>
    <row r="148" spans="1:26" ht="15.75" customHeight="1" x14ac:dyDescent="0.2">
      <c r="A148" s="1243"/>
      <c r="B148" s="1243"/>
      <c r="C148" s="1243"/>
      <c r="D148" s="1243"/>
      <c r="E148" s="1243"/>
      <c r="F148" s="1243"/>
      <c r="G148" s="1243"/>
      <c r="H148" s="1243"/>
      <c r="I148" s="1243"/>
      <c r="J148" s="1243"/>
      <c r="K148" s="1243"/>
      <c r="L148" s="1243"/>
      <c r="M148" s="1243"/>
      <c r="N148" s="1243"/>
      <c r="O148" s="1243"/>
      <c r="P148" s="1243"/>
      <c r="Q148" s="1243"/>
      <c r="R148" s="1243"/>
      <c r="S148" s="1243"/>
      <c r="T148" s="1243"/>
      <c r="U148" s="1243"/>
      <c r="V148" s="1243"/>
      <c r="W148" s="1243"/>
      <c r="X148" s="1243"/>
      <c r="Y148" s="1243"/>
      <c r="Z148" s="1243"/>
    </row>
    <row r="149" spans="1:26" ht="15.75" customHeight="1" x14ac:dyDescent="0.2">
      <c r="A149" s="1243"/>
      <c r="B149" s="1243"/>
      <c r="C149" s="1243"/>
      <c r="D149" s="1243"/>
      <c r="E149" s="1243"/>
      <c r="F149" s="1243"/>
      <c r="G149" s="1243"/>
      <c r="H149" s="1243"/>
      <c r="I149" s="1243"/>
      <c r="J149" s="1243"/>
      <c r="K149" s="1243"/>
      <c r="L149" s="1243"/>
      <c r="M149" s="1243"/>
      <c r="N149" s="1243"/>
      <c r="O149" s="1243"/>
      <c r="P149" s="1243"/>
      <c r="Q149" s="1243"/>
      <c r="R149" s="1243"/>
      <c r="S149" s="1243"/>
      <c r="T149" s="1243"/>
      <c r="U149" s="1243"/>
      <c r="V149" s="1243"/>
      <c r="W149" s="1243"/>
      <c r="X149" s="1243"/>
      <c r="Y149" s="1243"/>
      <c r="Z149" s="1243"/>
    </row>
    <row r="150" spans="1:26" ht="15.75" customHeight="1" x14ac:dyDescent="0.2">
      <c r="A150" s="1243"/>
      <c r="B150" s="1243"/>
      <c r="C150" s="1243"/>
      <c r="D150" s="1243"/>
      <c r="E150" s="1243"/>
      <c r="F150" s="1243"/>
      <c r="G150" s="1243"/>
      <c r="H150" s="1243"/>
      <c r="I150" s="1243"/>
      <c r="J150" s="1243"/>
      <c r="K150" s="1243"/>
      <c r="L150" s="1243"/>
      <c r="M150" s="1243"/>
      <c r="N150" s="1243"/>
      <c r="O150" s="1243"/>
      <c r="P150" s="1243"/>
      <c r="Q150" s="1243"/>
      <c r="R150" s="1243"/>
      <c r="S150" s="1243"/>
      <c r="T150" s="1243"/>
      <c r="U150" s="1243"/>
      <c r="V150" s="1243"/>
      <c r="W150" s="1243"/>
      <c r="X150" s="1243"/>
      <c r="Y150" s="1243"/>
      <c r="Z150" s="1243"/>
    </row>
    <row r="151" spans="1:26" ht="15.75" customHeight="1" x14ac:dyDescent="0.2">
      <c r="A151" s="1243"/>
      <c r="B151" s="1243"/>
      <c r="C151" s="1243"/>
      <c r="D151" s="1243"/>
      <c r="E151" s="1243"/>
      <c r="F151" s="1243"/>
      <c r="G151" s="1243"/>
      <c r="H151" s="1243"/>
      <c r="I151" s="1243"/>
      <c r="J151" s="1243"/>
      <c r="K151" s="1243"/>
      <c r="L151" s="1243"/>
      <c r="M151" s="1243"/>
      <c r="N151" s="1243"/>
      <c r="O151" s="1243"/>
      <c r="P151" s="1243"/>
      <c r="Q151" s="1243"/>
      <c r="R151" s="1243"/>
      <c r="S151" s="1243"/>
      <c r="T151" s="1243"/>
      <c r="U151" s="1243"/>
      <c r="V151" s="1243"/>
      <c r="W151" s="1243"/>
      <c r="X151" s="1243"/>
      <c r="Y151" s="1243"/>
      <c r="Z151" s="1243"/>
    </row>
    <row r="152" spans="1:26" ht="15.75" customHeight="1" x14ac:dyDescent="0.2">
      <c r="A152" s="1243"/>
      <c r="B152" s="1243"/>
      <c r="C152" s="1243"/>
      <c r="D152" s="1243"/>
      <c r="E152" s="1243"/>
      <c r="F152" s="1243"/>
      <c r="G152" s="1243"/>
      <c r="H152" s="1243"/>
      <c r="I152" s="1243"/>
      <c r="J152" s="1243"/>
      <c r="K152" s="1243"/>
      <c r="L152" s="1243"/>
      <c r="M152" s="1243"/>
      <c r="N152" s="1243"/>
      <c r="O152" s="1243"/>
      <c r="P152" s="1243"/>
      <c r="Q152" s="1243"/>
      <c r="R152" s="1243"/>
      <c r="S152" s="1243"/>
      <c r="T152" s="1243"/>
      <c r="U152" s="1243"/>
      <c r="V152" s="1243"/>
      <c r="W152" s="1243"/>
      <c r="X152" s="1243"/>
      <c r="Y152" s="1243"/>
      <c r="Z152" s="1243"/>
    </row>
    <row r="153" spans="1:26" ht="15.75" customHeight="1" x14ac:dyDescent="0.2">
      <c r="A153" s="1243"/>
      <c r="B153" s="1243"/>
      <c r="C153" s="1243"/>
      <c r="D153" s="1243"/>
      <c r="E153" s="1243"/>
      <c r="F153" s="1243"/>
      <c r="G153" s="1243"/>
      <c r="H153" s="1243"/>
      <c r="I153" s="1243"/>
      <c r="J153" s="1243"/>
      <c r="K153" s="1243"/>
      <c r="L153" s="1243"/>
      <c r="M153" s="1243"/>
      <c r="N153" s="1243"/>
      <c r="O153" s="1243"/>
      <c r="P153" s="1243"/>
      <c r="Q153" s="1243"/>
      <c r="R153" s="1243"/>
      <c r="S153" s="1243"/>
      <c r="T153" s="1243"/>
      <c r="U153" s="1243"/>
      <c r="V153" s="1243"/>
      <c r="W153" s="1243"/>
      <c r="X153" s="1243"/>
      <c r="Y153" s="1243"/>
      <c r="Z153" s="1243"/>
    </row>
    <row r="154" spans="1:26" ht="15.75" customHeight="1" x14ac:dyDescent="0.2">
      <c r="A154" s="1243"/>
      <c r="B154" s="1243"/>
      <c r="C154" s="1243"/>
      <c r="D154" s="1243"/>
      <c r="E154" s="1243"/>
      <c r="F154" s="1243"/>
      <c r="G154" s="1243"/>
      <c r="H154" s="1243"/>
      <c r="I154" s="1243"/>
      <c r="J154" s="1243"/>
      <c r="K154" s="1243"/>
      <c r="L154" s="1243"/>
      <c r="M154" s="1243"/>
      <c r="N154" s="1243"/>
      <c r="O154" s="1243"/>
      <c r="P154" s="1243"/>
      <c r="Q154" s="1243"/>
      <c r="R154" s="1243"/>
      <c r="S154" s="1243"/>
      <c r="T154" s="1243"/>
      <c r="U154" s="1243"/>
      <c r="V154" s="1243"/>
      <c r="W154" s="1243"/>
      <c r="X154" s="1243"/>
      <c r="Y154" s="1243"/>
      <c r="Z154" s="1243"/>
    </row>
    <row r="155" spans="1:26" ht="15.75" customHeight="1" x14ac:dyDescent="0.2">
      <c r="A155" s="1243"/>
      <c r="B155" s="1243"/>
      <c r="C155" s="1243"/>
      <c r="D155" s="1243"/>
      <c r="E155" s="1243"/>
      <c r="F155" s="1243"/>
      <c r="G155" s="1243"/>
      <c r="H155" s="1243"/>
      <c r="I155" s="1243"/>
      <c r="J155" s="1243"/>
      <c r="K155" s="1243"/>
      <c r="L155" s="1243"/>
      <c r="M155" s="1243"/>
      <c r="N155" s="1243"/>
      <c r="O155" s="1243"/>
      <c r="P155" s="1243"/>
      <c r="Q155" s="1243"/>
      <c r="R155" s="1243"/>
      <c r="S155" s="1243"/>
      <c r="T155" s="1243"/>
      <c r="U155" s="1243"/>
      <c r="V155" s="1243"/>
      <c r="W155" s="1243"/>
      <c r="X155" s="1243"/>
      <c r="Y155" s="1243"/>
      <c r="Z155" s="1243"/>
    </row>
    <row r="156" spans="1:26" ht="15.75" customHeight="1" x14ac:dyDescent="0.2">
      <c r="A156" s="1243"/>
      <c r="B156" s="1243"/>
      <c r="C156" s="1243"/>
      <c r="D156" s="1243"/>
      <c r="E156" s="1243"/>
      <c r="F156" s="1243"/>
      <c r="G156" s="1243"/>
      <c r="H156" s="1243"/>
      <c r="I156" s="1243"/>
      <c r="J156" s="1243"/>
      <c r="K156" s="1243"/>
      <c r="L156" s="1243"/>
      <c r="M156" s="1243"/>
      <c r="N156" s="1243"/>
      <c r="O156" s="1243"/>
      <c r="P156" s="1243"/>
      <c r="Q156" s="1243"/>
      <c r="R156" s="1243"/>
      <c r="S156" s="1243"/>
      <c r="T156" s="1243"/>
      <c r="U156" s="1243"/>
      <c r="V156" s="1243"/>
      <c r="W156" s="1243"/>
      <c r="X156" s="1243"/>
      <c r="Y156" s="1243"/>
      <c r="Z156" s="1243"/>
    </row>
    <row r="157" spans="1:26" ht="15.75" customHeight="1" x14ac:dyDescent="0.2">
      <c r="A157" s="1243"/>
      <c r="B157" s="1243"/>
      <c r="C157" s="1243"/>
      <c r="D157" s="1243"/>
      <c r="E157" s="1243"/>
      <c r="F157" s="1243"/>
      <c r="G157" s="1243"/>
      <c r="H157" s="1243"/>
      <c r="I157" s="1243"/>
      <c r="J157" s="1243"/>
      <c r="K157" s="1243"/>
      <c r="L157" s="1243"/>
      <c r="M157" s="1243"/>
      <c r="N157" s="1243"/>
      <c r="O157" s="1243"/>
      <c r="P157" s="1243"/>
      <c r="Q157" s="1243"/>
      <c r="R157" s="1243"/>
      <c r="S157" s="1243"/>
      <c r="T157" s="1243"/>
      <c r="U157" s="1243"/>
      <c r="V157" s="1243"/>
      <c r="W157" s="1243"/>
      <c r="X157" s="1243"/>
      <c r="Y157" s="1243"/>
      <c r="Z157" s="1243"/>
    </row>
    <row r="158" spans="1:26" ht="15.75" customHeight="1" x14ac:dyDescent="0.2">
      <c r="A158" s="1243"/>
      <c r="B158" s="1243"/>
      <c r="C158" s="1243"/>
      <c r="D158" s="1243"/>
      <c r="E158" s="1243"/>
      <c r="F158" s="1243"/>
      <c r="G158" s="1243"/>
      <c r="H158" s="1243"/>
      <c r="I158" s="1243"/>
      <c r="J158" s="1243"/>
      <c r="K158" s="1243"/>
      <c r="L158" s="1243"/>
      <c r="M158" s="1243"/>
      <c r="N158" s="1243"/>
      <c r="O158" s="1243"/>
      <c r="P158" s="1243"/>
      <c r="Q158" s="1243"/>
      <c r="R158" s="1243"/>
      <c r="S158" s="1243"/>
      <c r="T158" s="1243"/>
      <c r="U158" s="1243"/>
      <c r="V158" s="1243"/>
      <c r="W158" s="1243"/>
      <c r="X158" s="1243"/>
      <c r="Y158" s="1243"/>
      <c r="Z158" s="1243"/>
    </row>
    <row r="159" spans="1:26" ht="15.75" customHeight="1" x14ac:dyDescent="0.2">
      <c r="A159" s="1243"/>
      <c r="B159" s="1243"/>
      <c r="C159" s="1243"/>
      <c r="D159" s="1243"/>
      <c r="E159" s="1243"/>
      <c r="F159" s="1243"/>
      <c r="G159" s="1243"/>
      <c r="H159" s="1243"/>
      <c r="I159" s="1243"/>
      <c r="J159" s="1243"/>
      <c r="K159" s="1243"/>
      <c r="L159" s="1243"/>
      <c r="M159" s="1243"/>
      <c r="N159" s="1243"/>
      <c r="O159" s="1243"/>
      <c r="P159" s="1243"/>
      <c r="Q159" s="1243"/>
      <c r="R159" s="1243"/>
      <c r="S159" s="1243"/>
      <c r="T159" s="1243"/>
      <c r="U159" s="1243"/>
      <c r="V159" s="1243"/>
      <c r="W159" s="1243"/>
      <c r="X159" s="1243"/>
      <c r="Y159" s="1243"/>
      <c r="Z159" s="1243"/>
    </row>
    <row r="160" spans="1:26" ht="15.75" customHeight="1" x14ac:dyDescent="0.2">
      <c r="A160" s="1243"/>
      <c r="B160" s="1243"/>
      <c r="C160" s="1243"/>
      <c r="D160" s="1243"/>
      <c r="E160" s="1243"/>
      <c r="F160" s="1243"/>
      <c r="G160" s="1243"/>
      <c r="H160" s="1243"/>
      <c r="I160" s="1243"/>
      <c r="J160" s="1243"/>
      <c r="K160" s="1243"/>
      <c r="L160" s="1243"/>
      <c r="M160" s="1243"/>
      <c r="N160" s="1243"/>
      <c r="O160" s="1243"/>
      <c r="P160" s="1243"/>
      <c r="Q160" s="1243"/>
      <c r="R160" s="1243"/>
      <c r="S160" s="1243"/>
      <c r="T160" s="1243"/>
      <c r="U160" s="1243"/>
      <c r="V160" s="1243"/>
      <c r="W160" s="1243"/>
      <c r="X160" s="1243"/>
      <c r="Y160" s="1243"/>
      <c r="Z160" s="1243"/>
    </row>
    <row r="161" spans="1:26" ht="15.75" customHeight="1" x14ac:dyDescent="0.2">
      <c r="A161" s="1243"/>
      <c r="B161" s="1243"/>
      <c r="C161" s="1243"/>
      <c r="D161" s="1243"/>
      <c r="E161" s="1243"/>
      <c r="F161" s="1243"/>
      <c r="G161" s="1243"/>
      <c r="H161" s="1243"/>
      <c r="I161" s="1243"/>
      <c r="J161" s="1243"/>
      <c r="K161" s="1243"/>
      <c r="L161" s="1243"/>
      <c r="M161" s="1243"/>
      <c r="N161" s="1243"/>
      <c r="O161" s="1243"/>
      <c r="P161" s="1243"/>
      <c r="Q161" s="1243"/>
      <c r="R161" s="1243"/>
      <c r="S161" s="1243"/>
      <c r="T161" s="1243"/>
      <c r="U161" s="1243"/>
      <c r="V161" s="1243"/>
      <c r="W161" s="1243"/>
      <c r="X161" s="1243"/>
      <c r="Y161" s="1243"/>
      <c r="Z161" s="1243"/>
    </row>
    <row r="162" spans="1:26" ht="15.75" customHeight="1" x14ac:dyDescent="0.2">
      <c r="A162" s="1243"/>
      <c r="B162" s="1243"/>
      <c r="C162" s="1243"/>
      <c r="D162" s="1243"/>
      <c r="E162" s="1243"/>
      <c r="F162" s="1243"/>
      <c r="G162" s="1243"/>
      <c r="H162" s="1243"/>
      <c r="I162" s="1243"/>
      <c r="J162" s="1243"/>
      <c r="K162" s="1243"/>
      <c r="L162" s="1243"/>
      <c r="M162" s="1243"/>
      <c r="N162" s="1243"/>
      <c r="O162" s="1243"/>
      <c r="P162" s="1243"/>
      <c r="Q162" s="1243"/>
      <c r="R162" s="1243"/>
      <c r="S162" s="1243"/>
      <c r="T162" s="1243"/>
      <c r="U162" s="1243"/>
      <c r="V162" s="1243"/>
      <c r="W162" s="1243"/>
      <c r="X162" s="1243"/>
      <c r="Y162" s="1243"/>
      <c r="Z162" s="1243"/>
    </row>
    <row r="163" spans="1:26" ht="15.75" customHeight="1" x14ac:dyDescent="0.2">
      <c r="A163" s="1243"/>
      <c r="B163" s="1243"/>
      <c r="C163" s="1243"/>
      <c r="D163" s="1243"/>
      <c r="E163" s="1243"/>
      <c r="F163" s="1243"/>
      <c r="G163" s="1243"/>
      <c r="H163" s="1243"/>
      <c r="I163" s="1243"/>
      <c r="J163" s="1243"/>
      <c r="K163" s="1243"/>
      <c r="L163" s="1243"/>
      <c r="M163" s="1243"/>
      <c r="N163" s="1243"/>
      <c r="O163" s="1243"/>
      <c r="P163" s="1243"/>
      <c r="Q163" s="1243"/>
      <c r="R163" s="1243"/>
      <c r="S163" s="1243"/>
      <c r="T163" s="1243"/>
      <c r="U163" s="1243"/>
      <c r="V163" s="1243"/>
      <c r="W163" s="1243"/>
      <c r="X163" s="1243"/>
      <c r="Y163" s="1243"/>
      <c r="Z163" s="1243"/>
    </row>
    <row r="164" spans="1:26" ht="15.75" customHeight="1" x14ac:dyDescent="0.2">
      <c r="A164" s="1243"/>
      <c r="B164" s="1243"/>
      <c r="C164" s="1243"/>
      <c r="D164" s="1243"/>
      <c r="E164" s="1243"/>
      <c r="F164" s="1243"/>
      <c r="G164" s="1243"/>
      <c r="H164" s="1243"/>
      <c r="I164" s="1243"/>
      <c r="J164" s="1243"/>
      <c r="K164" s="1243"/>
      <c r="L164" s="1243"/>
      <c r="M164" s="1243"/>
      <c r="N164" s="1243"/>
      <c r="O164" s="1243"/>
      <c r="P164" s="1243"/>
      <c r="Q164" s="1243"/>
      <c r="R164" s="1243"/>
      <c r="S164" s="1243"/>
      <c r="T164" s="1243"/>
      <c r="U164" s="1243"/>
      <c r="V164" s="1243"/>
      <c r="W164" s="1243"/>
      <c r="X164" s="1243"/>
      <c r="Y164" s="1243"/>
      <c r="Z164" s="1243"/>
    </row>
    <row r="165" spans="1:26" ht="15.75" customHeight="1" x14ac:dyDescent="0.2">
      <c r="A165" s="1243"/>
      <c r="B165" s="1243"/>
      <c r="C165" s="1243"/>
      <c r="D165" s="1243"/>
      <c r="E165" s="1243"/>
      <c r="F165" s="1243"/>
      <c r="G165" s="1243"/>
      <c r="H165" s="1243"/>
      <c r="I165" s="1243"/>
      <c r="J165" s="1243"/>
      <c r="K165" s="1243"/>
      <c r="L165" s="1243"/>
      <c r="M165" s="1243"/>
      <c r="N165" s="1243"/>
      <c r="O165" s="1243"/>
      <c r="P165" s="1243"/>
      <c r="Q165" s="1243"/>
      <c r="R165" s="1243"/>
      <c r="S165" s="1243"/>
      <c r="T165" s="1243"/>
      <c r="U165" s="1243"/>
      <c r="V165" s="1243"/>
      <c r="W165" s="1243"/>
      <c r="X165" s="1243"/>
      <c r="Y165" s="1243"/>
      <c r="Z165" s="1243"/>
    </row>
    <row r="166" spans="1:26" ht="15.75" customHeight="1" x14ac:dyDescent="0.2">
      <c r="A166" s="1243"/>
      <c r="B166" s="1243"/>
      <c r="C166" s="1243"/>
      <c r="D166" s="1243"/>
      <c r="E166" s="1243"/>
      <c r="F166" s="1243"/>
      <c r="G166" s="1243"/>
      <c r="H166" s="1243"/>
      <c r="I166" s="1243"/>
      <c r="J166" s="1243"/>
      <c r="K166" s="1243"/>
      <c r="L166" s="1243"/>
      <c r="M166" s="1243"/>
      <c r="N166" s="1243"/>
      <c r="O166" s="1243"/>
      <c r="P166" s="1243"/>
      <c r="Q166" s="1243"/>
      <c r="R166" s="1243"/>
      <c r="S166" s="1243"/>
      <c r="T166" s="1243"/>
      <c r="U166" s="1243"/>
      <c r="V166" s="1243"/>
      <c r="W166" s="1243"/>
      <c r="X166" s="1243"/>
      <c r="Y166" s="1243"/>
      <c r="Z166" s="1243"/>
    </row>
    <row r="167" spans="1:26" ht="15.75" customHeight="1" x14ac:dyDescent="0.2">
      <c r="A167" s="1243"/>
      <c r="B167" s="1243"/>
      <c r="C167" s="1243"/>
      <c r="D167" s="1243"/>
      <c r="E167" s="1243"/>
      <c r="F167" s="1243"/>
      <c r="G167" s="1243"/>
      <c r="H167" s="1243"/>
      <c r="I167" s="1243"/>
      <c r="J167" s="1243"/>
      <c r="K167" s="1243"/>
      <c r="L167" s="1243"/>
      <c r="M167" s="1243"/>
      <c r="N167" s="1243"/>
      <c r="O167" s="1243"/>
      <c r="P167" s="1243"/>
      <c r="Q167" s="1243"/>
      <c r="R167" s="1243"/>
      <c r="S167" s="1243"/>
      <c r="T167" s="1243"/>
      <c r="U167" s="1243"/>
      <c r="V167" s="1243"/>
      <c r="W167" s="1243"/>
      <c r="X167" s="1243"/>
      <c r="Y167" s="1243"/>
      <c r="Z167" s="1243"/>
    </row>
    <row r="168" spans="1:26" ht="15.75" customHeight="1" x14ac:dyDescent="0.2">
      <c r="A168" s="1243"/>
      <c r="B168" s="1243"/>
      <c r="C168" s="1243"/>
      <c r="D168" s="1243"/>
      <c r="E168" s="1243"/>
      <c r="F168" s="1243"/>
      <c r="G168" s="1243"/>
      <c r="H168" s="1243"/>
      <c r="I168" s="1243"/>
      <c r="J168" s="1243"/>
      <c r="K168" s="1243"/>
      <c r="L168" s="1243"/>
      <c r="M168" s="1243"/>
      <c r="N168" s="1243"/>
      <c r="O168" s="1243"/>
      <c r="P168" s="1243"/>
      <c r="Q168" s="1243"/>
      <c r="R168" s="1243"/>
      <c r="S168" s="1243"/>
      <c r="T168" s="1243"/>
      <c r="U168" s="1243"/>
      <c r="V168" s="1243"/>
      <c r="W168" s="1243"/>
      <c r="X168" s="1243"/>
      <c r="Y168" s="1243"/>
      <c r="Z168" s="1243"/>
    </row>
    <row r="169" spans="1:26" ht="15.75" customHeight="1" x14ac:dyDescent="0.2">
      <c r="A169" s="1243"/>
      <c r="B169" s="1243"/>
      <c r="C169" s="1243"/>
      <c r="D169" s="1243"/>
      <c r="E169" s="1243"/>
      <c r="F169" s="1243"/>
      <c r="G169" s="1243"/>
      <c r="H169" s="1243"/>
      <c r="I169" s="1243"/>
      <c r="J169" s="1243"/>
      <c r="K169" s="1243"/>
      <c r="L169" s="1243"/>
      <c r="M169" s="1243"/>
      <c r="N169" s="1243"/>
      <c r="O169" s="1243"/>
      <c r="P169" s="1243"/>
      <c r="Q169" s="1243"/>
      <c r="R169" s="1243"/>
      <c r="S169" s="1243"/>
      <c r="T169" s="1243"/>
      <c r="U169" s="1243"/>
      <c r="V169" s="1243"/>
      <c r="W169" s="1243"/>
      <c r="X169" s="1243"/>
      <c r="Y169" s="1243"/>
      <c r="Z169" s="1243"/>
    </row>
    <row r="170" spans="1:26" ht="15.75" customHeight="1" x14ac:dyDescent="0.2">
      <c r="A170" s="1243"/>
      <c r="B170" s="1243"/>
      <c r="C170" s="1243"/>
      <c r="D170" s="1243"/>
      <c r="E170" s="1243"/>
      <c r="F170" s="1243"/>
      <c r="G170" s="1243"/>
      <c r="H170" s="1243"/>
      <c r="I170" s="1243"/>
      <c r="J170" s="1243"/>
      <c r="K170" s="1243"/>
      <c r="L170" s="1243"/>
      <c r="M170" s="1243"/>
      <c r="N170" s="1243"/>
      <c r="O170" s="1243"/>
      <c r="P170" s="1243"/>
      <c r="Q170" s="1243"/>
      <c r="R170" s="1243"/>
      <c r="S170" s="1243"/>
      <c r="T170" s="1243"/>
      <c r="U170" s="1243"/>
      <c r="V170" s="1243"/>
      <c r="W170" s="1243"/>
      <c r="X170" s="1243"/>
      <c r="Y170" s="1243"/>
      <c r="Z170" s="1243"/>
    </row>
    <row r="171" spans="1:26" ht="15.75" customHeight="1" x14ac:dyDescent="0.2">
      <c r="A171" s="1243"/>
      <c r="B171" s="1243"/>
      <c r="C171" s="1243"/>
      <c r="D171" s="1243"/>
      <c r="E171" s="1243"/>
      <c r="F171" s="1243"/>
      <c r="G171" s="1243"/>
      <c r="H171" s="1243"/>
      <c r="I171" s="1243"/>
      <c r="J171" s="1243"/>
      <c r="K171" s="1243"/>
      <c r="L171" s="1243"/>
      <c r="M171" s="1243"/>
      <c r="N171" s="1243"/>
      <c r="O171" s="1243"/>
      <c r="P171" s="1243"/>
      <c r="Q171" s="1243"/>
      <c r="R171" s="1243"/>
      <c r="S171" s="1243"/>
      <c r="T171" s="1243"/>
      <c r="U171" s="1243"/>
      <c r="V171" s="1243"/>
      <c r="W171" s="1243"/>
      <c r="X171" s="1243"/>
      <c r="Y171" s="1243"/>
      <c r="Z171" s="1243"/>
    </row>
    <row r="172" spans="1:26" ht="15.75" customHeight="1" x14ac:dyDescent="0.2">
      <c r="A172" s="1243"/>
      <c r="B172" s="1243"/>
      <c r="C172" s="1243"/>
      <c r="D172" s="1243"/>
      <c r="E172" s="1243"/>
      <c r="F172" s="1243"/>
      <c r="G172" s="1243"/>
      <c r="H172" s="1243"/>
      <c r="I172" s="1243"/>
      <c r="J172" s="1243"/>
      <c r="K172" s="1243"/>
      <c r="L172" s="1243"/>
      <c r="M172" s="1243"/>
      <c r="N172" s="1243"/>
      <c r="O172" s="1243"/>
      <c r="P172" s="1243"/>
      <c r="Q172" s="1243"/>
      <c r="R172" s="1243"/>
      <c r="S172" s="1243"/>
      <c r="T172" s="1243"/>
      <c r="U172" s="1243"/>
      <c r="V172" s="1243"/>
      <c r="W172" s="1243"/>
      <c r="X172" s="1243"/>
      <c r="Y172" s="1243"/>
      <c r="Z172" s="1243"/>
    </row>
    <row r="173" spans="1:26" ht="15.75" customHeight="1" x14ac:dyDescent="0.2">
      <c r="A173" s="1243"/>
      <c r="B173" s="1243"/>
      <c r="C173" s="1243"/>
      <c r="D173" s="1243"/>
      <c r="E173" s="1243"/>
      <c r="F173" s="1243"/>
      <c r="G173" s="1243"/>
      <c r="H173" s="1243"/>
      <c r="I173" s="1243"/>
      <c r="J173" s="1243"/>
      <c r="K173" s="1243"/>
      <c r="L173" s="1243"/>
      <c r="M173" s="1243"/>
      <c r="N173" s="1243"/>
      <c r="O173" s="1243"/>
      <c r="P173" s="1243"/>
      <c r="Q173" s="1243"/>
      <c r="R173" s="1243"/>
      <c r="S173" s="1243"/>
      <c r="T173" s="1243"/>
      <c r="U173" s="1243"/>
      <c r="V173" s="1243"/>
      <c r="W173" s="1243"/>
      <c r="X173" s="1243"/>
      <c r="Y173" s="1243"/>
      <c r="Z173" s="1243"/>
    </row>
    <row r="174" spans="1:26" ht="15.75" customHeight="1" x14ac:dyDescent="0.2">
      <c r="A174" s="1243"/>
      <c r="B174" s="1243"/>
      <c r="C174" s="1243"/>
      <c r="D174" s="1243"/>
      <c r="E174" s="1243"/>
      <c r="F174" s="1243"/>
      <c r="G174" s="1243"/>
      <c r="H174" s="1243"/>
      <c r="I174" s="1243"/>
      <c r="J174" s="1243"/>
      <c r="K174" s="1243"/>
      <c r="L174" s="1243"/>
      <c r="M174" s="1243"/>
      <c r="N174" s="1243"/>
      <c r="O174" s="1243"/>
      <c r="P174" s="1243"/>
      <c r="Q174" s="1243"/>
      <c r="R174" s="1243"/>
      <c r="S174" s="1243"/>
      <c r="T174" s="1243"/>
      <c r="U174" s="1243"/>
      <c r="V174" s="1243"/>
      <c r="W174" s="1243"/>
      <c r="X174" s="1243"/>
      <c r="Y174" s="1243"/>
      <c r="Z174" s="1243"/>
    </row>
    <row r="175" spans="1:26" ht="15.75" customHeight="1" x14ac:dyDescent="0.2">
      <c r="A175" s="1243"/>
      <c r="B175" s="1243"/>
      <c r="C175" s="1243"/>
      <c r="D175" s="1243"/>
      <c r="E175" s="1243"/>
      <c r="F175" s="1243"/>
      <c r="G175" s="1243"/>
      <c r="H175" s="1243"/>
      <c r="I175" s="1243"/>
      <c r="J175" s="1243"/>
      <c r="K175" s="1243"/>
      <c r="L175" s="1243"/>
      <c r="M175" s="1243"/>
      <c r="N175" s="1243"/>
      <c r="O175" s="1243"/>
      <c r="P175" s="1243"/>
      <c r="Q175" s="1243"/>
      <c r="R175" s="1243"/>
      <c r="S175" s="1243"/>
      <c r="T175" s="1243"/>
      <c r="U175" s="1243"/>
      <c r="V175" s="1243"/>
      <c r="W175" s="1243"/>
      <c r="X175" s="1243"/>
      <c r="Y175" s="1243"/>
      <c r="Z175" s="1243"/>
    </row>
    <row r="176" spans="1:26" ht="15.75" customHeight="1" x14ac:dyDescent="0.2">
      <c r="A176" s="1243"/>
      <c r="B176" s="1243"/>
      <c r="C176" s="1243"/>
      <c r="D176" s="1243"/>
      <c r="E176" s="1243"/>
      <c r="F176" s="1243"/>
      <c r="G176" s="1243"/>
      <c r="H176" s="1243"/>
      <c r="I176" s="1243"/>
      <c r="J176" s="1243"/>
      <c r="K176" s="1243"/>
      <c r="L176" s="1243"/>
      <c r="M176" s="1243"/>
      <c r="N176" s="1243"/>
      <c r="O176" s="1243"/>
      <c r="P176" s="1243"/>
      <c r="Q176" s="1243"/>
      <c r="R176" s="1243"/>
      <c r="S176" s="1243"/>
      <c r="T176" s="1243"/>
      <c r="U176" s="1243"/>
      <c r="V176" s="1243"/>
      <c r="W176" s="1243"/>
      <c r="X176" s="1243"/>
      <c r="Y176" s="1243"/>
      <c r="Z176" s="1243"/>
    </row>
    <row r="177" spans="1:26" ht="15.75" customHeight="1" x14ac:dyDescent="0.2">
      <c r="A177" s="1243"/>
      <c r="B177" s="1243"/>
      <c r="C177" s="1243"/>
      <c r="D177" s="1243"/>
      <c r="E177" s="1243"/>
      <c r="F177" s="1243"/>
      <c r="G177" s="1243"/>
      <c r="H177" s="1243"/>
      <c r="I177" s="1243"/>
      <c r="J177" s="1243"/>
      <c r="K177" s="1243"/>
      <c r="L177" s="1243"/>
      <c r="M177" s="1243"/>
      <c r="N177" s="1243"/>
      <c r="O177" s="1243"/>
      <c r="P177" s="1243"/>
      <c r="Q177" s="1243"/>
      <c r="R177" s="1243"/>
      <c r="S177" s="1243"/>
      <c r="T177" s="1243"/>
      <c r="U177" s="1243"/>
      <c r="V177" s="1243"/>
      <c r="W177" s="1243"/>
      <c r="X177" s="1243"/>
      <c r="Y177" s="1243"/>
      <c r="Z177" s="1243"/>
    </row>
    <row r="178" spans="1:26" ht="15.75" customHeight="1" x14ac:dyDescent="0.2">
      <c r="A178" s="1243"/>
      <c r="B178" s="1243"/>
      <c r="C178" s="1243"/>
      <c r="D178" s="1243"/>
      <c r="E178" s="1243"/>
      <c r="F178" s="1243"/>
      <c r="G178" s="1243"/>
      <c r="H178" s="1243"/>
      <c r="I178" s="1243"/>
      <c r="J178" s="1243"/>
      <c r="K178" s="1243"/>
      <c r="L178" s="1243"/>
      <c r="M178" s="1243"/>
      <c r="N178" s="1243"/>
      <c r="O178" s="1243"/>
      <c r="P178" s="1243"/>
      <c r="Q178" s="1243"/>
      <c r="R178" s="1243"/>
      <c r="S178" s="1243"/>
      <c r="T178" s="1243"/>
      <c r="U178" s="1243"/>
      <c r="V178" s="1243"/>
      <c r="W178" s="1243"/>
      <c r="X178" s="1243"/>
      <c r="Y178" s="1243"/>
      <c r="Z178" s="1243"/>
    </row>
    <row r="179" spans="1:26" ht="15.75" customHeight="1" x14ac:dyDescent="0.2">
      <c r="A179" s="1243"/>
      <c r="B179" s="1243"/>
      <c r="C179" s="1243"/>
      <c r="D179" s="1243"/>
      <c r="E179" s="1243"/>
      <c r="F179" s="1243"/>
      <c r="G179" s="1243"/>
      <c r="H179" s="1243"/>
      <c r="I179" s="1243"/>
      <c r="J179" s="1243"/>
      <c r="K179" s="1243"/>
      <c r="L179" s="1243"/>
      <c r="M179" s="1243"/>
      <c r="N179" s="1243"/>
      <c r="O179" s="1243"/>
      <c r="P179" s="1243"/>
      <c r="Q179" s="1243"/>
      <c r="R179" s="1243"/>
      <c r="S179" s="1243"/>
      <c r="T179" s="1243"/>
      <c r="U179" s="1243"/>
      <c r="V179" s="1243"/>
      <c r="W179" s="1243"/>
      <c r="X179" s="1243"/>
      <c r="Y179" s="1243"/>
      <c r="Z179" s="1243"/>
    </row>
    <row r="180" spans="1:26" ht="15.75" customHeight="1" x14ac:dyDescent="0.2">
      <c r="A180" s="1243"/>
      <c r="B180" s="1243"/>
      <c r="C180" s="1243"/>
      <c r="D180" s="1243"/>
      <c r="E180" s="1243"/>
      <c r="F180" s="1243"/>
      <c r="G180" s="1243"/>
      <c r="H180" s="1243"/>
      <c r="I180" s="1243"/>
      <c r="J180" s="1243"/>
      <c r="K180" s="1243"/>
      <c r="L180" s="1243"/>
      <c r="M180" s="1243"/>
      <c r="N180" s="1243"/>
      <c r="O180" s="1243"/>
      <c r="P180" s="1243"/>
      <c r="Q180" s="1243"/>
      <c r="R180" s="1243"/>
      <c r="S180" s="1243"/>
      <c r="T180" s="1243"/>
      <c r="U180" s="1243"/>
      <c r="V180" s="1243"/>
      <c r="W180" s="1243"/>
      <c r="X180" s="1243"/>
      <c r="Y180" s="1243"/>
      <c r="Z180" s="1243"/>
    </row>
    <row r="181" spans="1:26" ht="15.75" customHeight="1" x14ac:dyDescent="0.2">
      <c r="A181" s="1243"/>
      <c r="B181" s="1243"/>
      <c r="C181" s="1243"/>
      <c r="D181" s="1243"/>
      <c r="E181" s="1243"/>
      <c r="F181" s="1243"/>
      <c r="G181" s="1243"/>
      <c r="H181" s="1243"/>
      <c r="I181" s="1243"/>
      <c r="J181" s="1243"/>
      <c r="K181" s="1243"/>
      <c r="L181" s="1243"/>
      <c r="M181" s="1243"/>
      <c r="N181" s="1243"/>
      <c r="O181" s="1243"/>
      <c r="P181" s="1243"/>
      <c r="Q181" s="1243"/>
      <c r="R181" s="1243"/>
      <c r="S181" s="1243"/>
      <c r="T181" s="1243"/>
      <c r="U181" s="1243"/>
      <c r="V181" s="1243"/>
      <c r="W181" s="1243"/>
      <c r="X181" s="1243"/>
      <c r="Y181" s="1243"/>
      <c r="Z181" s="1243"/>
    </row>
    <row r="182" spans="1:26" ht="15.75" customHeight="1" x14ac:dyDescent="0.2">
      <c r="A182" s="1243"/>
      <c r="B182" s="1243"/>
      <c r="C182" s="1243"/>
      <c r="D182" s="1243"/>
      <c r="E182" s="1243"/>
      <c r="F182" s="1243"/>
      <c r="G182" s="1243"/>
      <c r="H182" s="1243"/>
      <c r="I182" s="1243"/>
      <c r="J182" s="1243"/>
      <c r="K182" s="1243"/>
      <c r="L182" s="1243"/>
      <c r="M182" s="1243"/>
      <c r="N182" s="1243"/>
      <c r="O182" s="1243"/>
      <c r="P182" s="1243"/>
      <c r="Q182" s="1243"/>
      <c r="R182" s="1243"/>
      <c r="S182" s="1243"/>
      <c r="T182" s="1243"/>
      <c r="U182" s="1243"/>
      <c r="V182" s="1243"/>
      <c r="W182" s="1243"/>
      <c r="X182" s="1243"/>
      <c r="Y182" s="1243"/>
      <c r="Z182" s="1243"/>
    </row>
    <row r="183" spans="1:26" ht="15.75" customHeight="1" x14ac:dyDescent="0.2">
      <c r="A183" s="1243"/>
      <c r="B183" s="1243"/>
      <c r="C183" s="1243"/>
      <c r="D183" s="1243"/>
      <c r="E183" s="1243"/>
      <c r="F183" s="1243"/>
      <c r="G183" s="1243"/>
      <c r="H183" s="1243"/>
      <c r="I183" s="1243"/>
      <c r="J183" s="1243"/>
      <c r="K183" s="1243"/>
      <c r="L183" s="1243"/>
      <c r="M183" s="1243"/>
      <c r="N183" s="1243"/>
      <c r="O183" s="1243"/>
      <c r="P183" s="1243"/>
      <c r="Q183" s="1243"/>
      <c r="R183" s="1243"/>
      <c r="S183" s="1243"/>
      <c r="T183" s="1243"/>
      <c r="U183" s="1243"/>
      <c r="V183" s="1243"/>
      <c r="W183" s="1243"/>
      <c r="X183" s="1243"/>
      <c r="Y183" s="1243"/>
      <c r="Z183" s="1243"/>
    </row>
    <row r="184" spans="1:26" ht="15.75" customHeight="1" x14ac:dyDescent="0.2">
      <c r="A184" s="1243"/>
      <c r="B184" s="1243"/>
      <c r="C184" s="1243"/>
      <c r="D184" s="1243"/>
      <c r="E184" s="1243"/>
      <c r="F184" s="1243"/>
      <c r="G184" s="1243"/>
      <c r="H184" s="1243"/>
      <c r="I184" s="1243"/>
      <c r="J184" s="1243"/>
      <c r="K184" s="1243"/>
      <c r="L184" s="1243"/>
      <c r="M184" s="1243"/>
      <c r="N184" s="1243"/>
      <c r="O184" s="1243"/>
      <c r="P184" s="1243"/>
      <c r="Q184" s="1243"/>
      <c r="R184" s="1243"/>
      <c r="S184" s="1243"/>
      <c r="T184" s="1243"/>
      <c r="U184" s="1243"/>
      <c r="V184" s="1243"/>
      <c r="W184" s="1243"/>
      <c r="X184" s="1243"/>
      <c r="Y184" s="1243"/>
      <c r="Z184" s="1243"/>
    </row>
    <row r="185" spans="1:26" ht="15.75" customHeight="1" x14ac:dyDescent="0.2">
      <c r="A185" s="1243"/>
      <c r="B185" s="1243"/>
      <c r="C185" s="1243"/>
      <c r="D185" s="1243"/>
      <c r="E185" s="1243"/>
      <c r="F185" s="1243"/>
      <c r="G185" s="1243"/>
      <c r="H185" s="1243"/>
      <c r="I185" s="1243"/>
      <c r="J185" s="1243"/>
      <c r="K185" s="1243"/>
      <c r="L185" s="1243"/>
      <c r="M185" s="1243"/>
      <c r="N185" s="1243"/>
      <c r="O185" s="1243"/>
      <c r="P185" s="1243"/>
      <c r="Q185" s="1243"/>
      <c r="R185" s="1243"/>
      <c r="S185" s="1243"/>
      <c r="T185" s="1243"/>
      <c r="U185" s="1243"/>
      <c r="V185" s="1243"/>
      <c r="W185" s="1243"/>
      <c r="X185" s="1243"/>
      <c r="Y185" s="1243"/>
      <c r="Z185" s="1243"/>
    </row>
    <row r="186" spans="1:26" ht="15.75" customHeight="1" x14ac:dyDescent="0.2">
      <c r="A186" s="1243"/>
      <c r="B186" s="1243"/>
      <c r="C186" s="1243"/>
      <c r="D186" s="1243"/>
      <c r="E186" s="1243"/>
      <c r="F186" s="1243"/>
      <c r="G186" s="1243"/>
      <c r="H186" s="1243"/>
      <c r="I186" s="1243"/>
      <c r="J186" s="1243"/>
      <c r="K186" s="1243"/>
      <c r="L186" s="1243"/>
      <c r="M186" s="1243"/>
      <c r="N186" s="1243"/>
      <c r="O186" s="1243"/>
      <c r="P186" s="1243"/>
      <c r="Q186" s="1243"/>
      <c r="R186" s="1243"/>
      <c r="S186" s="1243"/>
      <c r="T186" s="1243"/>
      <c r="U186" s="1243"/>
      <c r="V186" s="1243"/>
      <c r="W186" s="1243"/>
      <c r="X186" s="1243"/>
      <c r="Y186" s="1243"/>
      <c r="Z186" s="1243"/>
    </row>
    <row r="187" spans="1:26" ht="15.75" customHeight="1" x14ac:dyDescent="0.2">
      <c r="A187" s="1243"/>
      <c r="B187" s="1243"/>
      <c r="C187" s="1243"/>
      <c r="D187" s="1243"/>
      <c r="E187" s="1243"/>
      <c r="F187" s="1243"/>
      <c r="G187" s="1243"/>
      <c r="H187" s="1243"/>
      <c r="I187" s="1243"/>
      <c r="J187" s="1243"/>
      <c r="K187" s="1243"/>
      <c r="L187" s="1243"/>
      <c r="M187" s="1243"/>
      <c r="N187" s="1243"/>
      <c r="O187" s="1243"/>
      <c r="P187" s="1243"/>
      <c r="Q187" s="1243"/>
      <c r="R187" s="1243"/>
      <c r="S187" s="1243"/>
      <c r="T187" s="1243"/>
      <c r="U187" s="1243"/>
      <c r="V187" s="1243"/>
      <c r="W187" s="1243"/>
      <c r="X187" s="1243"/>
      <c r="Y187" s="1243"/>
      <c r="Z187" s="1243"/>
    </row>
    <row r="188" spans="1:26" ht="15.75" customHeight="1" x14ac:dyDescent="0.2">
      <c r="A188" s="1243"/>
      <c r="B188" s="1243"/>
      <c r="C188" s="1243"/>
      <c r="D188" s="1243"/>
      <c r="E188" s="1243"/>
      <c r="F188" s="1243"/>
      <c r="G188" s="1243"/>
      <c r="H188" s="1243"/>
      <c r="I188" s="1243"/>
      <c r="J188" s="1243"/>
      <c r="K188" s="1243"/>
      <c r="L188" s="1243"/>
      <c r="M188" s="1243"/>
      <c r="N188" s="1243"/>
      <c r="O188" s="1243"/>
      <c r="P188" s="1243"/>
      <c r="Q188" s="1243"/>
      <c r="R188" s="1243"/>
      <c r="S188" s="1243"/>
      <c r="T188" s="1243"/>
      <c r="U188" s="1243"/>
      <c r="V188" s="1243"/>
      <c r="W188" s="1243"/>
      <c r="X188" s="1243"/>
      <c r="Y188" s="1243"/>
      <c r="Z188" s="1243"/>
    </row>
    <row r="189" spans="1:26" ht="15.75" customHeight="1" x14ac:dyDescent="0.2">
      <c r="A189" s="1243"/>
      <c r="B189" s="1243"/>
      <c r="C189" s="1243"/>
      <c r="D189" s="1243"/>
      <c r="E189" s="1243"/>
      <c r="F189" s="1243"/>
      <c r="G189" s="1243"/>
      <c r="H189" s="1243"/>
      <c r="I189" s="1243"/>
      <c r="J189" s="1243"/>
      <c r="K189" s="1243"/>
      <c r="L189" s="1243"/>
      <c r="M189" s="1243"/>
      <c r="N189" s="1243"/>
      <c r="O189" s="1243"/>
      <c r="P189" s="1243"/>
      <c r="Q189" s="1243"/>
      <c r="R189" s="1243"/>
      <c r="S189" s="1243"/>
      <c r="T189" s="1243"/>
      <c r="U189" s="1243"/>
      <c r="V189" s="1243"/>
      <c r="W189" s="1243"/>
      <c r="X189" s="1243"/>
      <c r="Y189" s="1243"/>
      <c r="Z189" s="1243"/>
    </row>
    <row r="190" spans="1:26" ht="15.75" customHeight="1" x14ac:dyDescent="0.2">
      <c r="A190" s="1243"/>
      <c r="B190" s="1243"/>
      <c r="C190" s="1243"/>
      <c r="D190" s="1243"/>
      <c r="E190" s="1243"/>
      <c r="F190" s="1243"/>
      <c r="G190" s="1243"/>
      <c r="H190" s="1243"/>
      <c r="I190" s="1243"/>
      <c r="J190" s="1243"/>
      <c r="K190" s="1243"/>
      <c r="L190" s="1243"/>
      <c r="M190" s="1243"/>
      <c r="N190" s="1243"/>
      <c r="O190" s="1243"/>
      <c r="P190" s="1243"/>
      <c r="Q190" s="1243"/>
      <c r="R190" s="1243"/>
      <c r="S190" s="1243"/>
      <c r="T190" s="1243"/>
      <c r="U190" s="1243"/>
      <c r="V190" s="1243"/>
      <c r="W190" s="1243"/>
      <c r="X190" s="1243"/>
      <c r="Y190" s="1243"/>
      <c r="Z190" s="1243"/>
    </row>
    <row r="191" spans="1:26" ht="15.75" customHeight="1" x14ac:dyDescent="0.2">
      <c r="A191" s="1243"/>
      <c r="B191" s="1243"/>
      <c r="C191" s="1243"/>
      <c r="D191" s="1243"/>
      <c r="E191" s="1243"/>
      <c r="F191" s="1243"/>
      <c r="G191" s="1243"/>
      <c r="H191" s="1243"/>
      <c r="I191" s="1243"/>
      <c r="J191" s="1243"/>
      <c r="K191" s="1243"/>
      <c r="L191" s="1243"/>
      <c r="M191" s="1243"/>
      <c r="N191" s="1243"/>
      <c r="O191" s="1243"/>
      <c r="P191" s="1243"/>
      <c r="Q191" s="1243"/>
      <c r="R191" s="1243"/>
      <c r="S191" s="1243"/>
      <c r="T191" s="1243"/>
      <c r="U191" s="1243"/>
      <c r="V191" s="1243"/>
      <c r="W191" s="1243"/>
      <c r="X191" s="1243"/>
      <c r="Y191" s="1243"/>
      <c r="Z191" s="1243"/>
    </row>
    <row r="192" spans="1:26" ht="15.75" customHeight="1" x14ac:dyDescent="0.2">
      <c r="A192" s="1243"/>
      <c r="B192" s="1243"/>
      <c r="C192" s="1243"/>
      <c r="D192" s="1243"/>
      <c r="E192" s="1243"/>
      <c r="F192" s="1243"/>
      <c r="G192" s="1243"/>
      <c r="H192" s="1243"/>
      <c r="I192" s="1243"/>
      <c r="J192" s="1243"/>
      <c r="K192" s="1243"/>
      <c r="L192" s="1243"/>
      <c r="M192" s="1243"/>
      <c r="N192" s="1243"/>
      <c r="O192" s="1243"/>
      <c r="P192" s="1243"/>
      <c r="Q192" s="1243"/>
      <c r="R192" s="1243"/>
      <c r="S192" s="1243"/>
      <c r="T192" s="1243"/>
      <c r="U192" s="1243"/>
      <c r="V192" s="1243"/>
      <c r="W192" s="1243"/>
      <c r="X192" s="1243"/>
      <c r="Y192" s="1243"/>
      <c r="Z192" s="1243"/>
    </row>
    <row r="193" spans="1:26" ht="15.75" customHeight="1" x14ac:dyDescent="0.2">
      <c r="A193" s="1243"/>
      <c r="B193" s="1243"/>
      <c r="C193" s="1243"/>
      <c r="D193" s="1243"/>
      <c r="E193" s="1243"/>
      <c r="F193" s="1243"/>
      <c r="G193" s="1243"/>
      <c r="H193" s="1243"/>
      <c r="I193" s="1243"/>
      <c r="J193" s="1243"/>
      <c r="K193" s="1243"/>
      <c r="L193" s="1243"/>
      <c r="M193" s="1243"/>
      <c r="N193" s="1243"/>
      <c r="O193" s="1243"/>
      <c r="P193" s="1243"/>
      <c r="Q193" s="1243"/>
      <c r="R193" s="1243"/>
      <c r="S193" s="1243"/>
      <c r="T193" s="1243"/>
      <c r="U193" s="1243"/>
      <c r="V193" s="1243"/>
      <c r="W193" s="1243"/>
      <c r="X193" s="1243"/>
      <c r="Y193" s="1243"/>
      <c r="Z193" s="1243"/>
    </row>
    <row r="194" spans="1:26" ht="15.75" customHeight="1" x14ac:dyDescent="0.2">
      <c r="A194" s="1243"/>
      <c r="B194" s="1243"/>
      <c r="C194" s="1243"/>
      <c r="D194" s="1243"/>
      <c r="E194" s="1243"/>
      <c r="F194" s="1243"/>
      <c r="G194" s="1243"/>
      <c r="H194" s="1243"/>
      <c r="I194" s="1243"/>
      <c r="J194" s="1243"/>
      <c r="K194" s="1243"/>
      <c r="L194" s="1243"/>
      <c r="M194" s="1243"/>
      <c r="N194" s="1243"/>
      <c r="O194" s="1243"/>
      <c r="P194" s="1243"/>
      <c r="Q194" s="1243"/>
      <c r="R194" s="1243"/>
      <c r="S194" s="1243"/>
      <c r="T194" s="1243"/>
      <c r="U194" s="1243"/>
      <c r="V194" s="1243"/>
      <c r="W194" s="1243"/>
      <c r="X194" s="1243"/>
      <c r="Y194" s="1243"/>
      <c r="Z194" s="1243"/>
    </row>
    <row r="195" spans="1:26" ht="15.75" customHeight="1" x14ac:dyDescent="0.2">
      <c r="A195" s="1243"/>
      <c r="B195" s="1243"/>
      <c r="C195" s="1243"/>
      <c r="D195" s="1243"/>
      <c r="E195" s="1243"/>
      <c r="F195" s="1243"/>
      <c r="G195" s="1243"/>
      <c r="H195" s="1243"/>
      <c r="I195" s="1243"/>
      <c r="J195" s="1243"/>
      <c r="K195" s="1243"/>
      <c r="L195" s="1243"/>
      <c r="M195" s="1243"/>
      <c r="N195" s="1243"/>
      <c r="O195" s="1243"/>
      <c r="P195" s="1243"/>
      <c r="Q195" s="1243"/>
      <c r="R195" s="1243"/>
      <c r="S195" s="1243"/>
      <c r="T195" s="1243"/>
      <c r="U195" s="1243"/>
      <c r="V195" s="1243"/>
      <c r="W195" s="1243"/>
      <c r="X195" s="1243"/>
      <c r="Y195" s="1243"/>
      <c r="Z195" s="1243"/>
    </row>
    <row r="196" spans="1:26" ht="15.75" customHeight="1" x14ac:dyDescent="0.2">
      <c r="A196" s="1243"/>
      <c r="B196" s="1243"/>
      <c r="C196" s="1243"/>
      <c r="D196" s="1243"/>
      <c r="E196" s="1243"/>
      <c r="F196" s="1243"/>
      <c r="G196" s="1243"/>
      <c r="H196" s="1243"/>
      <c r="I196" s="1243"/>
      <c r="J196" s="1243"/>
      <c r="K196" s="1243"/>
      <c r="L196" s="1243"/>
      <c r="M196" s="1243"/>
      <c r="N196" s="1243"/>
      <c r="O196" s="1243"/>
      <c r="P196" s="1243"/>
      <c r="Q196" s="1243"/>
      <c r="R196" s="1243"/>
      <c r="S196" s="1243"/>
      <c r="T196" s="1243"/>
      <c r="U196" s="1243"/>
      <c r="V196" s="1243"/>
      <c r="W196" s="1243"/>
      <c r="X196" s="1243"/>
      <c r="Y196" s="1243"/>
      <c r="Z196" s="1243"/>
    </row>
    <row r="197" spans="1:26" ht="15.75" customHeight="1" x14ac:dyDescent="0.2">
      <c r="A197" s="1243"/>
      <c r="B197" s="1243"/>
      <c r="C197" s="1243"/>
      <c r="D197" s="1243"/>
      <c r="E197" s="1243"/>
      <c r="F197" s="1243"/>
      <c r="G197" s="1243"/>
      <c r="H197" s="1243"/>
      <c r="I197" s="1243"/>
      <c r="J197" s="1243"/>
      <c r="K197" s="1243"/>
      <c r="L197" s="1243"/>
      <c r="M197" s="1243"/>
      <c r="N197" s="1243"/>
      <c r="O197" s="1243"/>
      <c r="P197" s="1243"/>
      <c r="Q197" s="1243"/>
      <c r="R197" s="1243"/>
      <c r="S197" s="1243"/>
      <c r="T197" s="1243"/>
      <c r="U197" s="1243"/>
      <c r="V197" s="1243"/>
      <c r="W197" s="1243"/>
      <c r="X197" s="1243"/>
      <c r="Y197" s="1243"/>
      <c r="Z197" s="1243"/>
    </row>
    <row r="198" spans="1:26" ht="15.75" customHeight="1" x14ac:dyDescent="0.2">
      <c r="A198" s="1243"/>
      <c r="B198" s="1243"/>
      <c r="C198" s="1243"/>
      <c r="D198" s="1243"/>
      <c r="E198" s="1243"/>
      <c r="F198" s="1243"/>
      <c r="G198" s="1243"/>
      <c r="H198" s="1243"/>
      <c r="I198" s="1243"/>
      <c r="J198" s="1243"/>
      <c r="K198" s="1243"/>
      <c r="L198" s="1243"/>
      <c r="M198" s="1243"/>
      <c r="N198" s="1243"/>
      <c r="O198" s="1243"/>
      <c r="P198" s="1243"/>
      <c r="Q198" s="1243"/>
      <c r="R198" s="1243"/>
      <c r="S198" s="1243"/>
      <c r="T198" s="1243"/>
      <c r="U198" s="1243"/>
      <c r="V198" s="1243"/>
      <c r="W198" s="1243"/>
      <c r="X198" s="1243"/>
      <c r="Y198" s="1243"/>
      <c r="Z198" s="1243"/>
    </row>
    <row r="199" spans="1:26" ht="15.75" customHeight="1" x14ac:dyDescent="0.2">
      <c r="A199" s="1243"/>
      <c r="B199" s="1243"/>
      <c r="C199" s="1243"/>
      <c r="D199" s="1243"/>
      <c r="E199" s="1243"/>
      <c r="F199" s="1243"/>
      <c r="G199" s="1243"/>
      <c r="H199" s="1243"/>
      <c r="I199" s="1243"/>
      <c r="J199" s="1243"/>
      <c r="K199" s="1243"/>
      <c r="L199" s="1243"/>
      <c r="M199" s="1243"/>
      <c r="N199" s="1243"/>
      <c r="O199" s="1243"/>
      <c r="P199" s="1243"/>
      <c r="Q199" s="1243"/>
      <c r="R199" s="1243"/>
      <c r="S199" s="1243"/>
      <c r="T199" s="1243"/>
      <c r="U199" s="1243"/>
      <c r="V199" s="1243"/>
      <c r="W199" s="1243"/>
      <c r="X199" s="1243"/>
      <c r="Y199" s="1243"/>
      <c r="Z199" s="1243"/>
    </row>
    <row r="200" spans="1:26" ht="15.75" customHeight="1" x14ac:dyDescent="0.2">
      <c r="A200" s="1243"/>
      <c r="B200" s="1243"/>
      <c r="C200" s="1243"/>
      <c r="D200" s="1243"/>
      <c r="E200" s="1243"/>
      <c r="F200" s="1243"/>
      <c r="G200" s="1243"/>
      <c r="H200" s="1243"/>
      <c r="I200" s="1243"/>
      <c r="J200" s="1243"/>
      <c r="K200" s="1243"/>
      <c r="L200" s="1243"/>
      <c r="M200" s="1243"/>
      <c r="N200" s="1243"/>
      <c r="O200" s="1243"/>
      <c r="P200" s="1243"/>
      <c r="Q200" s="1243"/>
      <c r="R200" s="1243"/>
      <c r="S200" s="1243"/>
      <c r="T200" s="1243"/>
      <c r="U200" s="1243"/>
      <c r="V200" s="1243"/>
      <c r="W200" s="1243"/>
      <c r="X200" s="1243"/>
      <c r="Y200" s="1243"/>
      <c r="Z200" s="1243"/>
    </row>
    <row r="201" spans="1:26" ht="15.75" customHeight="1" x14ac:dyDescent="0.2">
      <c r="A201" s="1243"/>
      <c r="B201" s="1243"/>
      <c r="C201" s="1243"/>
      <c r="D201" s="1243"/>
      <c r="E201" s="1243"/>
      <c r="F201" s="1243"/>
      <c r="G201" s="1243"/>
      <c r="H201" s="1243"/>
      <c r="I201" s="1243"/>
      <c r="J201" s="1243"/>
      <c r="K201" s="1243"/>
      <c r="L201" s="1243"/>
      <c r="M201" s="1243"/>
      <c r="N201" s="1243"/>
      <c r="O201" s="1243"/>
      <c r="P201" s="1243"/>
      <c r="Q201" s="1243"/>
      <c r="R201" s="1243"/>
      <c r="S201" s="1243"/>
      <c r="T201" s="1243"/>
      <c r="U201" s="1243"/>
      <c r="V201" s="1243"/>
      <c r="W201" s="1243"/>
      <c r="X201" s="1243"/>
      <c r="Y201" s="1243"/>
      <c r="Z201" s="1243"/>
    </row>
    <row r="202" spans="1:26" ht="15.75" customHeight="1" x14ac:dyDescent="0.2">
      <c r="A202" s="1243"/>
      <c r="B202" s="1243"/>
      <c r="C202" s="1243"/>
      <c r="D202" s="1243"/>
      <c r="E202" s="1243"/>
      <c r="F202" s="1243"/>
      <c r="G202" s="1243"/>
      <c r="H202" s="1243"/>
      <c r="I202" s="1243"/>
      <c r="J202" s="1243"/>
      <c r="K202" s="1243"/>
      <c r="L202" s="1243"/>
      <c r="M202" s="1243"/>
      <c r="N202" s="1243"/>
      <c r="O202" s="1243"/>
      <c r="P202" s="1243"/>
      <c r="Q202" s="1243"/>
      <c r="R202" s="1243"/>
      <c r="S202" s="1243"/>
      <c r="T202" s="1243"/>
      <c r="U202" s="1243"/>
      <c r="V202" s="1243"/>
      <c r="W202" s="1243"/>
      <c r="X202" s="1243"/>
      <c r="Y202" s="1243"/>
      <c r="Z202" s="1243"/>
    </row>
    <row r="203" spans="1:26" ht="15.75" customHeight="1" x14ac:dyDescent="0.2">
      <c r="A203" s="1243"/>
      <c r="B203" s="1243"/>
      <c r="C203" s="1243"/>
      <c r="D203" s="1243"/>
      <c r="E203" s="1243"/>
      <c r="F203" s="1243"/>
      <c r="G203" s="1243"/>
      <c r="H203" s="1243"/>
      <c r="I203" s="1243"/>
      <c r="J203" s="1243"/>
      <c r="K203" s="1243"/>
      <c r="L203" s="1243"/>
      <c r="M203" s="1243"/>
      <c r="N203" s="1243"/>
      <c r="O203" s="1243"/>
      <c r="P203" s="1243"/>
      <c r="Q203" s="1243"/>
      <c r="R203" s="1243"/>
      <c r="S203" s="1243"/>
      <c r="T203" s="1243"/>
      <c r="U203" s="1243"/>
      <c r="V203" s="1243"/>
      <c r="W203" s="1243"/>
      <c r="X203" s="1243"/>
      <c r="Y203" s="1243"/>
      <c r="Z203" s="1243"/>
    </row>
    <row r="204" spans="1:26" ht="15.75" customHeight="1" x14ac:dyDescent="0.2">
      <c r="A204" s="1243"/>
      <c r="B204" s="1243"/>
      <c r="C204" s="1243"/>
      <c r="D204" s="1243"/>
      <c r="E204" s="1243"/>
      <c r="F204" s="1243"/>
      <c r="G204" s="1243"/>
      <c r="H204" s="1243"/>
      <c r="I204" s="1243"/>
      <c r="J204" s="1243"/>
      <c r="K204" s="1243"/>
      <c r="L204" s="1243"/>
      <c r="M204" s="1243"/>
      <c r="N204" s="1243"/>
      <c r="O204" s="1243"/>
      <c r="P204" s="1243"/>
      <c r="Q204" s="1243"/>
      <c r="R204" s="1243"/>
      <c r="S204" s="1243"/>
      <c r="T204" s="1243"/>
      <c r="U204" s="1243"/>
      <c r="V204" s="1243"/>
      <c r="W204" s="1243"/>
      <c r="X204" s="1243"/>
      <c r="Y204" s="1243"/>
      <c r="Z204" s="1243"/>
    </row>
    <row r="205" spans="1:26" ht="15.75" customHeight="1" x14ac:dyDescent="0.2">
      <c r="A205" s="1243"/>
      <c r="B205" s="1243"/>
      <c r="C205" s="1243"/>
      <c r="D205" s="1243"/>
      <c r="E205" s="1243"/>
      <c r="F205" s="1243"/>
      <c r="G205" s="1243"/>
      <c r="H205" s="1243"/>
      <c r="I205" s="1243"/>
      <c r="J205" s="1243"/>
      <c r="K205" s="1243"/>
      <c r="L205" s="1243"/>
      <c r="M205" s="1243"/>
      <c r="N205" s="1243"/>
      <c r="O205" s="1243"/>
      <c r="P205" s="1243"/>
      <c r="Q205" s="1243"/>
      <c r="R205" s="1243"/>
      <c r="S205" s="1243"/>
      <c r="T205" s="1243"/>
      <c r="U205" s="1243"/>
      <c r="V205" s="1243"/>
      <c r="W205" s="1243"/>
      <c r="X205" s="1243"/>
      <c r="Y205" s="1243"/>
      <c r="Z205" s="1243"/>
    </row>
    <row r="206" spans="1:26" ht="15.75" customHeight="1" x14ac:dyDescent="0.2">
      <c r="A206" s="1243"/>
      <c r="B206" s="1243"/>
      <c r="C206" s="1243"/>
      <c r="D206" s="1243"/>
      <c r="E206" s="1243"/>
      <c r="F206" s="1243"/>
      <c r="G206" s="1243"/>
      <c r="H206" s="1243"/>
      <c r="I206" s="1243"/>
      <c r="J206" s="1243"/>
      <c r="K206" s="1243"/>
      <c r="L206" s="1243"/>
      <c r="M206" s="1243"/>
      <c r="N206" s="1243"/>
      <c r="O206" s="1243"/>
      <c r="P206" s="1243"/>
      <c r="Q206" s="1243"/>
      <c r="R206" s="1243"/>
      <c r="S206" s="1243"/>
      <c r="T206" s="1243"/>
      <c r="U206" s="1243"/>
      <c r="V206" s="1243"/>
      <c r="W206" s="1243"/>
      <c r="X206" s="1243"/>
      <c r="Y206" s="1243"/>
      <c r="Z206" s="1243"/>
    </row>
    <row r="207" spans="1:26" ht="15.75" customHeight="1" x14ac:dyDescent="0.2">
      <c r="A207" s="1243"/>
      <c r="B207" s="1243"/>
      <c r="C207" s="1243"/>
      <c r="D207" s="1243"/>
      <c r="E207" s="1243"/>
      <c r="F207" s="1243"/>
      <c r="G207" s="1243"/>
      <c r="H207" s="1243"/>
      <c r="I207" s="1243"/>
      <c r="J207" s="1243"/>
      <c r="K207" s="1243"/>
      <c r="L207" s="1243"/>
      <c r="M207" s="1243"/>
      <c r="N207" s="1243"/>
      <c r="O207" s="1243"/>
      <c r="P207" s="1243"/>
      <c r="Q207" s="1243"/>
      <c r="R207" s="1243"/>
      <c r="S207" s="1243"/>
      <c r="T207" s="1243"/>
      <c r="U207" s="1243"/>
      <c r="V207" s="1243"/>
      <c r="W207" s="1243"/>
      <c r="X207" s="1243"/>
      <c r="Y207" s="1243"/>
      <c r="Z207" s="1243"/>
    </row>
    <row r="208" spans="1:26" ht="15.75" customHeight="1" x14ac:dyDescent="0.2">
      <c r="A208" s="1243"/>
      <c r="B208" s="1243"/>
      <c r="C208" s="1243"/>
      <c r="D208" s="1243"/>
      <c r="E208" s="1243"/>
      <c r="F208" s="1243"/>
      <c r="G208" s="1243"/>
      <c r="H208" s="1243"/>
      <c r="I208" s="1243"/>
      <c r="J208" s="1243"/>
      <c r="K208" s="1243"/>
      <c r="L208" s="1243"/>
      <c r="M208" s="1243"/>
      <c r="N208" s="1243"/>
      <c r="O208" s="1243"/>
      <c r="P208" s="1243"/>
      <c r="Q208" s="1243"/>
      <c r="R208" s="1243"/>
      <c r="S208" s="1243"/>
      <c r="T208" s="1243"/>
      <c r="U208" s="1243"/>
      <c r="V208" s="1243"/>
      <c r="W208" s="1243"/>
      <c r="X208" s="1243"/>
      <c r="Y208" s="1243"/>
      <c r="Z208" s="1243"/>
    </row>
    <row r="209" spans="1:26" ht="15.75" customHeight="1" x14ac:dyDescent="0.2">
      <c r="A209" s="1243"/>
      <c r="B209" s="1243"/>
      <c r="C209" s="1243"/>
      <c r="D209" s="1243"/>
      <c r="E209" s="1243"/>
      <c r="F209" s="1243"/>
      <c r="G209" s="1243"/>
      <c r="H209" s="1243"/>
      <c r="I209" s="1243"/>
      <c r="J209" s="1243"/>
      <c r="K209" s="1243"/>
      <c r="L209" s="1243"/>
      <c r="M209" s="1243"/>
      <c r="N209" s="1243"/>
      <c r="O209" s="1243"/>
      <c r="P209" s="1243"/>
      <c r="Q209" s="1243"/>
      <c r="R209" s="1243"/>
      <c r="S209" s="1243"/>
      <c r="T209" s="1243"/>
      <c r="U209" s="1243"/>
      <c r="V209" s="1243"/>
      <c r="W209" s="1243"/>
      <c r="X209" s="1243"/>
      <c r="Y209" s="1243"/>
      <c r="Z209" s="1243"/>
    </row>
    <row r="210" spans="1:26" ht="15.75" customHeight="1" x14ac:dyDescent="0.2">
      <c r="A210" s="1243"/>
      <c r="B210" s="1243"/>
      <c r="C210" s="1243"/>
      <c r="D210" s="1243"/>
      <c r="E210" s="1243"/>
      <c r="F210" s="1243"/>
      <c r="G210" s="1243"/>
      <c r="H210" s="1243"/>
      <c r="I210" s="1243"/>
      <c r="J210" s="1243"/>
      <c r="K210" s="1243"/>
      <c r="L210" s="1243"/>
      <c r="M210" s="1243"/>
      <c r="N210" s="1243"/>
      <c r="O210" s="1243"/>
      <c r="P210" s="1243"/>
      <c r="Q210" s="1243"/>
      <c r="R210" s="1243"/>
      <c r="S210" s="1243"/>
      <c r="T210" s="1243"/>
      <c r="U210" s="1243"/>
      <c r="V210" s="1243"/>
      <c r="W210" s="1243"/>
      <c r="X210" s="1243"/>
      <c r="Y210" s="1243"/>
      <c r="Z210" s="1243"/>
    </row>
    <row r="211" spans="1:26" ht="15.75" customHeight="1" x14ac:dyDescent="0.2">
      <c r="A211" s="1243"/>
      <c r="B211" s="1243"/>
      <c r="C211" s="1243"/>
      <c r="D211" s="1243"/>
      <c r="E211" s="1243"/>
      <c r="F211" s="1243"/>
      <c r="G211" s="1243"/>
      <c r="H211" s="1243"/>
      <c r="I211" s="1243"/>
      <c r="J211" s="1243"/>
      <c r="K211" s="1243"/>
      <c r="L211" s="1243"/>
      <c r="M211" s="1243"/>
      <c r="N211" s="1243"/>
      <c r="O211" s="1243"/>
      <c r="P211" s="1243"/>
      <c r="Q211" s="1243"/>
      <c r="R211" s="1243"/>
      <c r="S211" s="1243"/>
      <c r="T211" s="1243"/>
      <c r="U211" s="1243"/>
      <c r="V211" s="1243"/>
      <c r="W211" s="1243"/>
      <c r="X211" s="1243"/>
      <c r="Y211" s="1243"/>
      <c r="Z211" s="1243"/>
    </row>
    <row r="212" spans="1:26" ht="15.75" customHeight="1" x14ac:dyDescent="0.2">
      <c r="A212" s="1243"/>
      <c r="B212" s="1243"/>
      <c r="C212" s="1243"/>
      <c r="D212" s="1243"/>
      <c r="E212" s="1243"/>
      <c r="F212" s="1243"/>
      <c r="G212" s="1243"/>
      <c r="H212" s="1243"/>
      <c r="I212" s="1243"/>
      <c r="J212" s="1243"/>
      <c r="K212" s="1243"/>
      <c r="L212" s="1243"/>
      <c r="M212" s="1243"/>
      <c r="N212" s="1243"/>
      <c r="O212" s="1243"/>
      <c r="P212" s="1243"/>
      <c r="Q212" s="1243"/>
      <c r="R212" s="1243"/>
      <c r="S212" s="1243"/>
      <c r="T212" s="1243"/>
      <c r="U212" s="1243"/>
      <c r="V212" s="1243"/>
      <c r="W212" s="1243"/>
      <c r="X212" s="1243"/>
      <c r="Y212" s="1243"/>
      <c r="Z212" s="1243"/>
    </row>
    <row r="213" spans="1:26" ht="15.75" customHeight="1" x14ac:dyDescent="0.2">
      <c r="A213" s="1243"/>
      <c r="B213" s="1243"/>
      <c r="C213" s="1243"/>
      <c r="D213" s="1243"/>
      <c r="E213" s="1243"/>
      <c r="F213" s="1243"/>
      <c r="G213" s="1243"/>
      <c r="H213" s="1243"/>
      <c r="I213" s="1243"/>
      <c r="J213" s="1243"/>
      <c r="K213" s="1243"/>
      <c r="L213" s="1243"/>
      <c r="M213" s="1243"/>
      <c r="N213" s="1243"/>
      <c r="O213" s="1243"/>
      <c r="P213" s="1243"/>
      <c r="Q213" s="1243"/>
      <c r="R213" s="1243"/>
      <c r="S213" s="1243"/>
      <c r="T213" s="1243"/>
      <c r="U213" s="1243"/>
      <c r="V213" s="1243"/>
      <c r="W213" s="1243"/>
      <c r="X213" s="1243"/>
      <c r="Y213" s="1243"/>
      <c r="Z213" s="1243"/>
    </row>
    <row r="214" spans="1:26" ht="15.75" customHeight="1" x14ac:dyDescent="0.2">
      <c r="A214" s="1243"/>
      <c r="B214" s="1243"/>
      <c r="C214" s="1243"/>
      <c r="D214" s="1243"/>
      <c r="E214" s="1243"/>
      <c r="F214" s="1243"/>
      <c r="G214" s="1243"/>
      <c r="H214" s="1243"/>
      <c r="I214" s="1243"/>
      <c r="J214" s="1243"/>
      <c r="K214" s="1243"/>
      <c r="L214" s="1243"/>
      <c r="M214" s="1243"/>
      <c r="N214" s="1243"/>
      <c r="O214" s="1243"/>
      <c r="P214" s="1243"/>
      <c r="Q214" s="1243"/>
      <c r="R214" s="1243"/>
      <c r="S214" s="1243"/>
      <c r="T214" s="1243"/>
      <c r="U214" s="1243"/>
      <c r="V214" s="1243"/>
      <c r="W214" s="1243"/>
      <c r="X214" s="1243"/>
      <c r="Y214" s="1243"/>
      <c r="Z214" s="1243"/>
    </row>
    <row r="215" spans="1:26" ht="15.75" customHeight="1" x14ac:dyDescent="0.2">
      <c r="A215" s="1243"/>
      <c r="B215" s="1243"/>
      <c r="C215" s="1243"/>
      <c r="D215" s="1243"/>
      <c r="E215" s="1243"/>
      <c r="F215" s="1243"/>
      <c r="G215" s="1243"/>
      <c r="H215" s="1243"/>
      <c r="I215" s="1243"/>
      <c r="J215" s="1243"/>
      <c r="K215" s="1243"/>
      <c r="L215" s="1243"/>
      <c r="M215" s="1243"/>
      <c r="N215" s="1243"/>
      <c r="O215" s="1243"/>
      <c r="P215" s="1243"/>
      <c r="Q215" s="1243"/>
      <c r="R215" s="1243"/>
      <c r="S215" s="1243"/>
      <c r="T215" s="1243"/>
      <c r="U215" s="1243"/>
      <c r="V215" s="1243"/>
      <c r="W215" s="1243"/>
      <c r="X215" s="1243"/>
      <c r="Y215" s="1243"/>
      <c r="Z215" s="1243"/>
    </row>
    <row r="216" spans="1:26" ht="15.75" customHeight="1" x14ac:dyDescent="0.2">
      <c r="A216" s="1243"/>
      <c r="B216" s="1243"/>
      <c r="C216" s="1243"/>
      <c r="D216" s="1243"/>
      <c r="E216" s="1243"/>
      <c r="F216" s="1243"/>
      <c r="G216" s="1243"/>
      <c r="H216" s="1243"/>
      <c r="I216" s="1243"/>
      <c r="J216" s="1243"/>
      <c r="K216" s="1243"/>
      <c r="L216" s="1243"/>
      <c r="M216" s="1243"/>
      <c r="N216" s="1243"/>
      <c r="O216" s="1243"/>
      <c r="P216" s="1243"/>
      <c r="Q216" s="1243"/>
      <c r="R216" s="1243"/>
      <c r="S216" s="1243"/>
      <c r="T216" s="1243"/>
      <c r="U216" s="1243"/>
      <c r="V216" s="1243"/>
      <c r="W216" s="1243"/>
      <c r="X216" s="1243"/>
      <c r="Y216" s="1243"/>
      <c r="Z216" s="1243"/>
    </row>
    <row r="217" spans="1:26" ht="15.75" customHeight="1" x14ac:dyDescent="0.2">
      <c r="A217" s="1243"/>
      <c r="B217" s="1243"/>
      <c r="C217" s="1243"/>
      <c r="D217" s="1243"/>
      <c r="E217" s="1243"/>
      <c r="F217" s="1243"/>
      <c r="G217" s="1243"/>
      <c r="H217" s="1243"/>
      <c r="I217" s="1243"/>
      <c r="J217" s="1243"/>
      <c r="K217" s="1243"/>
      <c r="L217" s="1243"/>
      <c r="M217" s="1243"/>
      <c r="N217" s="1243"/>
      <c r="O217" s="1243"/>
      <c r="P217" s="1243"/>
      <c r="Q217" s="1243"/>
      <c r="R217" s="1243"/>
      <c r="S217" s="1243"/>
      <c r="T217" s="1243"/>
      <c r="U217" s="1243"/>
      <c r="V217" s="1243"/>
      <c r="W217" s="1243"/>
      <c r="X217" s="1243"/>
      <c r="Y217" s="1243"/>
      <c r="Z217" s="1243"/>
    </row>
    <row r="218" spans="1:26" ht="15.75" customHeight="1" x14ac:dyDescent="0.2">
      <c r="A218" s="1243"/>
      <c r="B218" s="1243"/>
      <c r="C218" s="1243"/>
      <c r="D218" s="1243"/>
      <c r="E218" s="1243"/>
      <c r="F218" s="1243"/>
      <c r="G218" s="1243"/>
      <c r="H218" s="1243"/>
      <c r="I218" s="1243"/>
      <c r="J218" s="1243"/>
      <c r="K218" s="1243"/>
      <c r="L218" s="1243"/>
      <c r="M218" s="1243"/>
      <c r="N218" s="1243"/>
      <c r="O218" s="1243"/>
      <c r="P218" s="1243"/>
      <c r="Q218" s="1243"/>
      <c r="R218" s="1243"/>
      <c r="S218" s="1243"/>
      <c r="T218" s="1243"/>
      <c r="U218" s="1243"/>
      <c r="V218" s="1243"/>
      <c r="W218" s="1243"/>
      <c r="X218" s="1243"/>
      <c r="Y218" s="1243"/>
      <c r="Z218" s="1243"/>
    </row>
    <row r="219" spans="1:26" ht="15.75" customHeight="1" x14ac:dyDescent="0.2">
      <c r="A219" s="1243"/>
      <c r="B219" s="1243"/>
      <c r="C219" s="1243"/>
      <c r="D219" s="1243"/>
      <c r="E219" s="1243"/>
      <c r="F219" s="1243"/>
      <c r="G219" s="1243"/>
      <c r="H219" s="1243"/>
      <c r="I219" s="1243"/>
      <c r="J219" s="1243"/>
      <c r="K219" s="1243"/>
      <c r="L219" s="1243"/>
      <c r="M219" s="1243"/>
      <c r="N219" s="1243"/>
      <c r="O219" s="1243"/>
      <c r="P219" s="1243"/>
      <c r="Q219" s="1243"/>
      <c r="R219" s="1243"/>
      <c r="S219" s="1243"/>
      <c r="T219" s="1243"/>
      <c r="U219" s="1243"/>
      <c r="V219" s="1243"/>
      <c r="W219" s="1243"/>
      <c r="X219" s="1243"/>
      <c r="Y219" s="1243"/>
      <c r="Z219" s="1243"/>
    </row>
    <row r="220" spans="1:26" ht="15.75" customHeight="1" x14ac:dyDescent="0.2">
      <c r="A220" s="1243"/>
      <c r="B220" s="1243"/>
      <c r="C220" s="1243"/>
      <c r="D220" s="1243"/>
      <c r="E220" s="1243"/>
      <c r="F220" s="1243"/>
      <c r="G220" s="1243"/>
      <c r="H220" s="1243"/>
      <c r="I220" s="1243"/>
      <c r="J220" s="1243"/>
      <c r="K220" s="1243"/>
      <c r="L220" s="1243"/>
      <c r="M220" s="1243"/>
      <c r="N220" s="1243"/>
      <c r="O220" s="1243"/>
      <c r="P220" s="1243"/>
      <c r="Q220" s="1243"/>
      <c r="R220" s="1243"/>
      <c r="S220" s="1243"/>
      <c r="T220" s="1243"/>
      <c r="U220" s="1243"/>
      <c r="V220" s="1243"/>
      <c r="W220" s="1243"/>
      <c r="X220" s="1243"/>
      <c r="Y220" s="1243"/>
      <c r="Z220" s="1243"/>
    </row>
    <row r="221" spans="1:26" ht="15.75" customHeight="1" x14ac:dyDescent="0.2">
      <c r="A221" s="1243"/>
      <c r="B221" s="1243"/>
      <c r="C221" s="1243"/>
      <c r="D221" s="1243"/>
      <c r="E221" s="1243"/>
      <c r="F221" s="1243"/>
      <c r="G221" s="1243"/>
      <c r="H221" s="1243"/>
      <c r="I221" s="1243"/>
      <c r="J221" s="1243"/>
      <c r="K221" s="1243"/>
      <c r="L221" s="1243"/>
      <c r="M221" s="1243"/>
      <c r="N221" s="1243"/>
      <c r="O221" s="1243"/>
      <c r="P221" s="1243"/>
      <c r="Q221" s="1243"/>
      <c r="R221" s="1243"/>
      <c r="S221" s="1243"/>
      <c r="T221" s="1243"/>
      <c r="U221" s="1243"/>
      <c r="V221" s="1243"/>
      <c r="W221" s="1243"/>
      <c r="X221" s="1243"/>
      <c r="Y221" s="1243"/>
      <c r="Z221" s="1243"/>
    </row>
    <row r="222" spans="1:26" ht="15.75" customHeight="1" x14ac:dyDescent="0.2">
      <c r="A222" s="1243"/>
      <c r="B222" s="1243"/>
      <c r="C222" s="1243"/>
      <c r="D222" s="1243"/>
      <c r="E222" s="1243"/>
      <c r="F222" s="1243"/>
      <c r="G222" s="1243"/>
      <c r="H222" s="1243"/>
      <c r="I222" s="1243"/>
      <c r="J222" s="1243"/>
      <c r="K222" s="1243"/>
      <c r="L222" s="1243"/>
      <c r="M222" s="1243"/>
      <c r="N222" s="1243"/>
      <c r="O222" s="1243"/>
      <c r="P222" s="1243"/>
      <c r="Q222" s="1243"/>
      <c r="R222" s="1243"/>
      <c r="S222" s="1243"/>
      <c r="T222" s="1243"/>
      <c r="U222" s="1243"/>
      <c r="V222" s="1243"/>
      <c r="W222" s="1243"/>
      <c r="X222" s="1243"/>
      <c r="Y222" s="1243"/>
      <c r="Z222" s="1243"/>
    </row>
    <row r="223" spans="1:26" ht="15.75" customHeight="1" x14ac:dyDescent="0.2">
      <c r="A223" s="1243"/>
      <c r="B223" s="1243"/>
      <c r="C223" s="1243"/>
      <c r="D223" s="1243"/>
      <c r="E223" s="1243"/>
      <c r="F223" s="1243"/>
      <c r="G223" s="1243"/>
      <c r="H223" s="1243"/>
      <c r="I223" s="1243"/>
      <c r="J223" s="1243"/>
      <c r="K223" s="1243"/>
      <c r="L223" s="1243"/>
      <c r="M223" s="1243"/>
      <c r="N223" s="1243"/>
      <c r="O223" s="1243"/>
      <c r="P223" s="1243"/>
      <c r="Q223" s="1243"/>
      <c r="R223" s="1243"/>
      <c r="S223" s="1243"/>
      <c r="T223" s="1243"/>
      <c r="U223" s="1243"/>
      <c r="V223" s="1243"/>
      <c r="W223" s="1243"/>
      <c r="X223" s="1243"/>
      <c r="Y223" s="1243"/>
      <c r="Z223" s="1243"/>
    </row>
    <row r="224" spans="1:26" ht="15.75" customHeight="1" x14ac:dyDescent="0.2">
      <c r="A224" s="1243"/>
      <c r="B224" s="1243"/>
      <c r="C224" s="1243"/>
      <c r="D224" s="1243"/>
      <c r="E224" s="1243"/>
      <c r="F224" s="1243"/>
      <c r="G224" s="1243"/>
      <c r="H224" s="1243"/>
      <c r="I224" s="1243"/>
      <c r="J224" s="1243"/>
      <c r="K224" s="1243"/>
      <c r="L224" s="1243"/>
      <c r="M224" s="1243"/>
      <c r="N224" s="1243"/>
      <c r="O224" s="1243"/>
      <c r="P224" s="1243"/>
      <c r="Q224" s="1243"/>
      <c r="R224" s="1243"/>
      <c r="S224" s="1243"/>
      <c r="T224" s="1243"/>
      <c r="U224" s="1243"/>
      <c r="V224" s="1243"/>
      <c r="W224" s="1243"/>
      <c r="X224" s="1243"/>
      <c r="Y224" s="1243"/>
      <c r="Z224" s="1243"/>
    </row>
    <row r="225" spans="1:26" ht="15.75" customHeight="1" x14ac:dyDescent="0.2">
      <c r="A225" s="1243"/>
      <c r="B225" s="1243"/>
      <c r="C225" s="1243"/>
      <c r="D225" s="1243"/>
      <c r="E225" s="1243"/>
      <c r="F225" s="1243"/>
      <c r="G225" s="1243"/>
      <c r="H225" s="1243"/>
      <c r="I225" s="1243"/>
      <c r="J225" s="1243"/>
      <c r="K225" s="1243"/>
      <c r="L225" s="1243"/>
      <c r="M225" s="1243"/>
      <c r="N225" s="1243"/>
      <c r="O225" s="1243"/>
      <c r="P225" s="1243"/>
      <c r="Q225" s="1243"/>
      <c r="R225" s="1243"/>
      <c r="S225" s="1243"/>
      <c r="T225" s="1243"/>
      <c r="U225" s="1243"/>
      <c r="V225" s="1243"/>
      <c r="W225" s="1243"/>
      <c r="X225" s="1243"/>
      <c r="Y225" s="1243"/>
      <c r="Z225" s="1243"/>
    </row>
    <row r="226" spans="1:26" ht="15.75" customHeight="1" x14ac:dyDescent="0.2">
      <c r="A226" s="1243"/>
      <c r="B226" s="1243"/>
      <c r="C226" s="1243"/>
      <c r="D226" s="1243"/>
      <c r="E226" s="1243"/>
      <c r="F226" s="1243"/>
      <c r="G226" s="1243"/>
      <c r="H226" s="1243"/>
      <c r="I226" s="1243"/>
      <c r="J226" s="1243"/>
      <c r="K226" s="1243"/>
      <c r="L226" s="1243"/>
      <c r="M226" s="1243"/>
      <c r="N226" s="1243"/>
      <c r="O226" s="1243"/>
      <c r="P226" s="1243"/>
      <c r="Q226" s="1243"/>
      <c r="R226" s="1243"/>
      <c r="S226" s="1243"/>
      <c r="T226" s="1243"/>
      <c r="U226" s="1243"/>
      <c r="V226" s="1243"/>
      <c r="W226" s="1243"/>
      <c r="X226" s="1243"/>
      <c r="Y226" s="1243"/>
      <c r="Z226" s="1243"/>
    </row>
    <row r="227" spans="1:26" ht="15.75" customHeight="1" x14ac:dyDescent="0.2">
      <c r="A227" s="1243"/>
      <c r="B227" s="1243"/>
      <c r="C227" s="1243"/>
      <c r="D227" s="1243"/>
      <c r="E227" s="1243"/>
      <c r="F227" s="1243"/>
      <c r="G227" s="1243"/>
      <c r="H227" s="1243"/>
      <c r="I227" s="1243"/>
      <c r="J227" s="1243"/>
      <c r="K227" s="1243"/>
      <c r="L227" s="1243"/>
      <c r="M227" s="1243"/>
      <c r="N227" s="1243"/>
      <c r="O227" s="1243"/>
      <c r="P227" s="1243"/>
      <c r="Q227" s="1243"/>
      <c r="R227" s="1243"/>
      <c r="S227" s="1243"/>
      <c r="T227" s="1243"/>
      <c r="U227" s="1243"/>
      <c r="V227" s="1243"/>
      <c r="W227" s="1243"/>
      <c r="X227" s="1243"/>
      <c r="Y227" s="1243"/>
      <c r="Z227" s="1243"/>
    </row>
    <row r="228" spans="1:26" ht="15.75" customHeight="1" x14ac:dyDescent="0.2">
      <c r="A228" s="1243"/>
      <c r="B228" s="1243"/>
      <c r="C228" s="1243"/>
      <c r="D228" s="1243"/>
      <c r="E228" s="1243"/>
      <c r="F228" s="1243"/>
      <c r="G228" s="1243"/>
      <c r="H228" s="1243"/>
      <c r="I228" s="1243"/>
      <c r="J228" s="1243"/>
      <c r="K228" s="1243"/>
      <c r="L228" s="1243"/>
      <c r="M228" s="1243"/>
      <c r="N228" s="1243"/>
      <c r="O228" s="1243"/>
      <c r="P228" s="1243"/>
      <c r="Q228" s="1243"/>
      <c r="R228" s="1243"/>
      <c r="S228" s="1243"/>
      <c r="T228" s="1243"/>
      <c r="U228" s="1243"/>
      <c r="V228" s="1243"/>
      <c r="W228" s="1243"/>
      <c r="X228" s="1243"/>
      <c r="Y228" s="1243"/>
      <c r="Z228" s="1243"/>
    </row>
    <row r="229" spans="1:26" ht="15.75" customHeight="1" x14ac:dyDescent="0.2">
      <c r="A229" s="1243"/>
      <c r="B229" s="1243"/>
      <c r="C229" s="1243"/>
      <c r="D229" s="1243"/>
      <c r="E229" s="1243"/>
      <c r="F229" s="1243"/>
      <c r="G229" s="1243"/>
      <c r="H229" s="1243"/>
      <c r="I229" s="1243"/>
      <c r="J229" s="1243"/>
      <c r="K229" s="1243"/>
      <c r="L229" s="1243"/>
      <c r="M229" s="1243"/>
      <c r="N229" s="1243"/>
      <c r="O229" s="1243"/>
      <c r="P229" s="1243"/>
      <c r="Q229" s="1243"/>
      <c r="R229" s="1243"/>
      <c r="S229" s="1243"/>
      <c r="T229" s="1243"/>
      <c r="U229" s="1243"/>
      <c r="V229" s="1243"/>
      <c r="W229" s="1243"/>
      <c r="X229" s="1243"/>
      <c r="Y229" s="1243"/>
      <c r="Z229" s="1243"/>
    </row>
    <row r="230" spans="1:26" ht="15.75" customHeight="1" x14ac:dyDescent="0.2">
      <c r="A230" s="1243"/>
      <c r="B230" s="1243"/>
      <c r="C230" s="1243"/>
      <c r="D230" s="1243"/>
      <c r="E230" s="1243"/>
      <c r="F230" s="1243"/>
      <c r="G230" s="1243"/>
      <c r="H230" s="1243"/>
      <c r="I230" s="1243"/>
      <c r="J230" s="1243"/>
      <c r="K230" s="1243"/>
      <c r="L230" s="1243"/>
      <c r="M230" s="1243"/>
      <c r="N230" s="1243"/>
      <c r="O230" s="1243"/>
      <c r="P230" s="1243"/>
      <c r="Q230" s="1243"/>
      <c r="R230" s="1243"/>
      <c r="S230" s="1243"/>
      <c r="T230" s="1243"/>
      <c r="U230" s="1243"/>
      <c r="V230" s="1243"/>
      <c r="W230" s="1243"/>
      <c r="X230" s="1243"/>
      <c r="Y230" s="1243"/>
      <c r="Z230" s="1243"/>
    </row>
    <row r="231" spans="1:26" ht="15.75" customHeight="1" x14ac:dyDescent="0.2">
      <c r="A231" s="1243"/>
      <c r="B231" s="1243"/>
      <c r="C231" s="1243"/>
      <c r="D231" s="1243"/>
      <c r="E231" s="1243"/>
      <c r="F231" s="1243"/>
      <c r="G231" s="1243"/>
      <c r="H231" s="1243"/>
      <c r="I231" s="1243"/>
      <c r="J231" s="1243"/>
      <c r="K231" s="1243"/>
      <c r="L231" s="1243"/>
      <c r="M231" s="1243"/>
      <c r="N231" s="1243"/>
      <c r="O231" s="1243"/>
      <c r="P231" s="1243"/>
      <c r="Q231" s="1243"/>
      <c r="R231" s="1243"/>
      <c r="S231" s="1243"/>
      <c r="T231" s="1243"/>
      <c r="U231" s="1243"/>
      <c r="V231" s="1243"/>
      <c r="W231" s="1243"/>
      <c r="X231" s="1243"/>
      <c r="Y231" s="1243"/>
      <c r="Z231" s="1243"/>
    </row>
    <row r="232" spans="1:26" ht="15.75" customHeight="1" x14ac:dyDescent="0.2">
      <c r="A232" s="1243"/>
      <c r="B232" s="1243"/>
      <c r="C232" s="1243"/>
      <c r="D232" s="1243"/>
      <c r="E232" s="1243"/>
      <c r="F232" s="1243"/>
      <c r="G232" s="1243"/>
      <c r="H232" s="1243"/>
      <c r="I232" s="1243"/>
      <c r="J232" s="1243"/>
      <c r="K232" s="1243"/>
      <c r="L232" s="1243"/>
      <c r="M232" s="1243"/>
      <c r="N232" s="1243"/>
      <c r="O232" s="1243"/>
      <c r="P232" s="1243"/>
      <c r="Q232" s="1243"/>
      <c r="R232" s="1243"/>
      <c r="S232" s="1243"/>
      <c r="T232" s="1243"/>
      <c r="U232" s="1243"/>
      <c r="V232" s="1243"/>
      <c r="W232" s="1243"/>
      <c r="X232" s="1243"/>
      <c r="Y232" s="1243"/>
      <c r="Z232" s="1243"/>
    </row>
    <row r="233" spans="1:26" ht="15.75" customHeight="1" x14ac:dyDescent="0.2">
      <c r="A233" s="1243"/>
      <c r="B233" s="1243"/>
      <c r="C233" s="1243"/>
      <c r="D233" s="1243"/>
      <c r="E233" s="1243"/>
      <c r="F233" s="1243"/>
      <c r="G233" s="1243"/>
      <c r="H233" s="1243"/>
      <c r="I233" s="1243"/>
      <c r="J233" s="1243"/>
      <c r="K233" s="1243"/>
      <c r="L233" s="1243"/>
      <c r="M233" s="1243"/>
      <c r="N233" s="1243"/>
      <c r="O233" s="1243"/>
      <c r="P233" s="1243"/>
      <c r="Q233" s="1243"/>
      <c r="R233" s="1243"/>
      <c r="S233" s="1243"/>
      <c r="T233" s="1243"/>
      <c r="U233" s="1243"/>
      <c r="V233" s="1243"/>
      <c r="W233" s="1243"/>
      <c r="X233" s="1243"/>
      <c r="Y233" s="1243"/>
      <c r="Z233" s="1243"/>
    </row>
    <row r="234" spans="1:26" ht="15.75" customHeight="1" x14ac:dyDescent="0.2">
      <c r="A234" s="1243"/>
      <c r="B234" s="1243"/>
      <c r="C234" s="1243"/>
      <c r="D234" s="1243"/>
      <c r="E234" s="1243"/>
      <c r="F234" s="1243"/>
      <c r="G234" s="1243"/>
      <c r="H234" s="1243"/>
      <c r="I234" s="1243"/>
      <c r="J234" s="1243"/>
      <c r="K234" s="1243"/>
      <c r="L234" s="1243"/>
      <c r="M234" s="1243"/>
      <c r="N234" s="1243"/>
      <c r="O234" s="1243"/>
      <c r="P234" s="1243"/>
      <c r="Q234" s="1243"/>
      <c r="R234" s="1243"/>
      <c r="S234" s="1243"/>
      <c r="T234" s="1243"/>
      <c r="U234" s="1243"/>
      <c r="V234" s="1243"/>
      <c r="W234" s="1243"/>
      <c r="X234" s="1243"/>
      <c r="Y234" s="1243"/>
      <c r="Z234" s="1243"/>
    </row>
    <row r="235" spans="1:26" ht="15.75" customHeight="1" x14ac:dyDescent="0.2">
      <c r="A235" s="1243"/>
      <c r="B235" s="1243"/>
      <c r="C235" s="1243"/>
      <c r="D235" s="1243"/>
      <c r="E235" s="1243"/>
      <c r="F235" s="1243"/>
      <c r="G235" s="1243"/>
      <c r="H235" s="1243"/>
      <c r="I235" s="1243"/>
      <c r="J235" s="1243"/>
      <c r="K235" s="1243"/>
      <c r="L235" s="1243"/>
      <c r="M235" s="1243"/>
      <c r="N235" s="1243"/>
      <c r="O235" s="1243"/>
      <c r="P235" s="1243"/>
      <c r="Q235" s="1243"/>
      <c r="R235" s="1243"/>
      <c r="S235" s="1243"/>
      <c r="T235" s="1243"/>
      <c r="U235" s="1243"/>
      <c r="V235" s="1243"/>
      <c r="W235" s="1243"/>
      <c r="X235" s="1243"/>
      <c r="Y235" s="1243"/>
      <c r="Z235" s="1243"/>
    </row>
    <row r="236" spans="1:26" ht="15.75" customHeight="1" x14ac:dyDescent="0.2">
      <c r="A236" s="1243"/>
      <c r="B236" s="1243"/>
      <c r="C236" s="1243"/>
      <c r="D236" s="1243"/>
      <c r="E236" s="1243"/>
      <c r="F236" s="1243"/>
      <c r="G236" s="1243"/>
      <c r="H236" s="1243"/>
      <c r="I236" s="1243"/>
      <c r="J236" s="1243"/>
      <c r="K236" s="1243"/>
      <c r="L236" s="1243"/>
      <c r="M236" s="1243"/>
      <c r="N236" s="1243"/>
      <c r="O236" s="1243"/>
      <c r="P236" s="1243"/>
      <c r="Q236" s="1243"/>
      <c r="R236" s="1243"/>
      <c r="S236" s="1243"/>
      <c r="T236" s="1243"/>
      <c r="U236" s="1243"/>
      <c r="V236" s="1243"/>
      <c r="W236" s="1243"/>
      <c r="X236" s="1243"/>
      <c r="Y236" s="1243"/>
      <c r="Z236" s="1243"/>
    </row>
    <row r="237" spans="1:26" ht="15.75" customHeight="1" x14ac:dyDescent="0.2">
      <c r="A237" s="1243"/>
      <c r="B237" s="1243"/>
      <c r="C237" s="1243"/>
      <c r="D237" s="1243"/>
      <c r="E237" s="1243"/>
      <c r="F237" s="1243"/>
      <c r="G237" s="1243"/>
      <c r="H237" s="1243"/>
      <c r="I237" s="1243"/>
      <c r="J237" s="1243"/>
      <c r="K237" s="1243"/>
      <c r="L237" s="1243"/>
      <c r="M237" s="1243"/>
      <c r="N237" s="1243"/>
      <c r="O237" s="1243"/>
      <c r="P237" s="1243"/>
      <c r="Q237" s="1243"/>
      <c r="R237" s="1243"/>
      <c r="S237" s="1243"/>
      <c r="T237" s="1243"/>
      <c r="U237" s="1243"/>
      <c r="V237" s="1243"/>
      <c r="W237" s="1243"/>
      <c r="X237" s="1243"/>
      <c r="Y237" s="1243"/>
      <c r="Z237" s="1243"/>
    </row>
    <row r="238" spans="1:26" ht="15.75" customHeight="1" x14ac:dyDescent="0.2">
      <c r="A238" s="1243"/>
      <c r="B238" s="1243"/>
      <c r="C238" s="1243"/>
      <c r="D238" s="1243"/>
      <c r="E238" s="1243"/>
      <c r="F238" s="1243"/>
      <c r="G238" s="1243"/>
      <c r="H238" s="1243"/>
      <c r="I238" s="1243"/>
      <c r="J238" s="1243"/>
      <c r="K238" s="1243"/>
      <c r="L238" s="1243"/>
      <c r="M238" s="1243"/>
      <c r="N238" s="1243"/>
      <c r="O238" s="1243"/>
      <c r="P238" s="1243"/>
      <c r="Q238" s="1243"/>
      <c r="R238" s="1243"/>
      <c r="S238" s="1243"/>
      <c r="T238" s="1243"/>
      <c r="U238" s="1243"/>
      <c r="V238" s="1243"/>
      <c r="W238" s="1243"/>
      <c r="X238" s="1243"/>
      <c r="Y238" s="1243"/>
      <c r="Z238" s="1243"/>
    </row>
    <row r="239" spans="1:26" ht="15.75" customHeight="1" x14ac:dyDescent="0.2">
      <c r="A239" s="1243"/>
      <c r="B239" s="1243"/>
      <c r="C239" s="1243"/>
      <c r="D239" s="1243"/>
      <c r="E239" s="1243"/>
      <c r="F239" s="1243"/>
      <c r="G239" s="1243"/>
      <c r="H239" s="1243"/>
      <c r="I239" s="1243"/>
      <c r="J239" s="1243"/>
      <c r="K239" s="1243"/>
      <c r="L239" s="1243"/>
      <c r="M239" s="1243"/>
      <c r="N239" s="1243"/>
      <c r="O239" s="1243"/>
      <c r="P239" s="1243"/>
      <c r="Q239" s="1243"/>
      <c r="R239" s="1243"/>
      <c r="S239" s="1243"/>
      <c r="T239" s="1243"/>
      <c r="U239" s="1243"/>
      <c r="V239" s="1243"/>
      <c r="W239" s="1243"/>
      <c r="X239" s="1243"/>
      <c r="Y239" s="1243"/>
      <c r="Z239" s="1243"/>
    </row>
    <row r="240" spans="1:26" ht="15.75" customHeight="1" x14ac:dyDescent="0.2">
      <c r="A240" s="1243"/>
      <c r="B240" s="1243"/>
      <c r="C240" s="1243"/>
      <c r="D240" s="1243"/>
      <c r="E240" s="1243"/>
      <c r="F240" s="1243"/>
      <c r="G240" s="1243"/>
      <c r="H240" s="1243"/>
      <c r="I240" s="1243"/>
      <c r="J240" s="1243"/>
      <c r="K240" s="1243"/>
      <c r="L240" s="1243"/>
      <c r="M240" s="1243"/>
      <c r="N240" s="1243"/>
      <c r="O240" s="1243"/>
      <c r="P240" s="1243"/>
      <c r="Q240" s="1243"/>
      <c r="R240" s="1243"/>
      <c r="S240" s="1243"/>
      <c r="T240" s="1243"/>
      <c r="U240" s="1243"/>
      <c r="V240" s="1243"/>
      <c r="W240" s="1243"/>
      <c r="X240" s="1243"/>
      <c r="Y240" s="1243"/>
      <c r="Z240" s="1243"/>
    </row>
    <row r="241" spans="1:26" ht="15.75" customHeight="1" x14ac:dyDescent="0.2">
      <c r="A241" s="1243"/>
      <c r="B241" s="1243"/>
      <c r="C241" s="1243"/>
      <c r="D241" s="1243"/>
      <c r="E241" s="1243"/>
      <c r="F241" s="1243"/>
      <c r="G241" s="1243"/>
      <c r="H241" s="1243"/>
      <c r="I241" s="1243"/>
      <c r="J241" s="1243"/>
      <c r="K241" s="1243"/>
      <c r="L241" s="1243"/>
      <c r="M241" s="1243"/>
      <c r="N241" s="1243"/>
      <c r="O241" s="1243"/>
      <c r="P241" s="1243"/>
      <c r="Q241" s="1243"/>
      <c r="R241" s="1243"/>
      <c r="S241" s="1243"/>
      <c r="T241" s="1243"/>
      <c r="U241" s="1243"/>
      <c r="V241" s="1243"/>
      <c r="W241" s="1243"/>
      <c r="X241" s="1243"/>
      <c r="Y241" s="1243"/>
      <c r="Z241" s="1243"/>
    </row>
    <row r="242" spans="1:26" ht="15.75" customHeight="1" x14ac:dyDescent="0.2">
      <c r="A242" s="1243"/>
      <c r="B242" s="1243"/>
      <c r="C242" s="1243"/>
      <c r="D242" s="1243"/>
      <c r="E242" s="1243"/>
      <c r="F242" s="1243"/>
      <c r="G242" s="1243"/>
      <c r="H242" s="1243"/>
      <c r="I242" s="1243"/>
      <c r="J242" s="1243"/>
      <c r="K242" s="1243"/>
      <c r="L242" s="1243"/>
      <c r="M242" s="1243"/>
      <c r="N242" s="1243"/>
      <c r="O242" s="1243"/>
      <c r="P242" s="1243"/>
      <c r="Q242" s="1243"/>
      <c r="R242" s="1243"/>
      <c r="S242" s="1243"/>
      <c r="T242" s="1243"/>
      <c r="U242" s="1243"/>
      <c r="V242" s="1243"/>
      <c r="W242" s="1243"/>
      <c r="X242" s="1243"/>
      <c r="Y242" s="1243"/>
      <c r="Z242" s="1243"/>
    </row>
    <row r="243" spans="1:26" ht="15.75" customHeight="1" x14ac:dyDescent="0.2">
      <c r="A243" s="1243"/>
      <c r="B243" s="1243"/>
      <c r="C243" s="1243"/>
      <c r="D243" s="1243"/>
      <c r="E243" s="1243"/>
      <c r="F243" s="1243"/>
      <c r="G243" s="1243"/>
      <c r="H243" s="1243"/>
      <c r="I243" s="1243"/>
      <c r="J243" s="1243"/>
      <c r="K243" s="1243"/>
      <c r="L243" s="1243"/>
      <c r="M243" s="1243"/>
      <c r="N243" s="1243"/>
      <c r="O243" s="1243"/>
      <c r="P243" s="1243"/>
      <c r="Q243" s="1243"/>
      <c r="R243" s="1243"/>
      <c r="S243" s="1243"/>
      <c r="T243" s="1243"/>
      <c r="U243" s="1243"/>
      <c r="V243" s="1243"/>
      <c r="W243" s="1243"/>
      <c r="X243" s="1243"/>
      <c r="Y243" s="1243"/>
      <c r="Z243" s="1243"/>
    </row>
    <row r="244" spans="1:26" ht="15.75" customHeight="1" x14ac:dyDescent="0.2">
      <c r="A244" s="1243"/>
      <c r="B244" s="1243"/>
      <c r="C244" s="1243"/>
      <c r="D244" s="1243"/>
      <c r="E244" s="1243"/>
      <c r="F244" s="1243"/>
      <c r="G244" s="1243"/>
      <c r="H244" s="1243"/>
      <c r="I244" s="1243"/>
      <c r="J244" s="1243"/>
      <c r="K244" s="1243"/>
      <c r="L244" s="1243"/>
      <c r="M244" s="1243"/>
      <c r="N244" s="1243"/>
      <c r="O244" s="1243"/>
      <c r="P244" s="1243"/>
      <c r="Q244" s="1243"/>
      <c r="R244" s="1243"/>
      <c r="S244" s="1243"/>
      <c r="T244" s="1243"/>
      <c r="U244" s="1243"/>
      <c r="V244" s="1243"/>
      <c r="W244" s="1243"/>
      <c r="X244" s="1243"/>
      <c r="Y244" s="1243"/>
      <c r="Z244" s="1243"/>
    </row>
    <row r="245" spans="1:26" ht="15.75" customHeight="1" x14ac:dyDescent="0.2">
      <c r="A245" s="1243"/>
      <c r="B245" s="1243"/>
      <c r="C245" s="1243"/>
      <c r="D245" s="1243"/>
      <c r="E245" s="1243"/>
      <c r="F245" s="1243"/>
      <c r="G245" s="1243"/>
      <c r="H245" s="1243"/>
      <c r="I245" s="1243"/>
      <c r="J245" s="1243"/>
      <c r="K245" s="1243"/>
      <c r="L245" s="1243"/>
      <c r="M245" s="1243"/>
      <c r="N245" s="1243"/>
      <c r="O245" s="1243"/>
      <c r="P245" s="1243"/>
      <c r="Q245" s="1243"/>
      <c r="R245" s="1243"/>
      <c r="S245" s="1243"/>
      <c r="T245" s="1243"/>
      <c r="U245" s="1243"/>
      <c r="V245" s="1243"/>
      <c r="W245" s="1243"/>
      <c r="X245" s="1243"/>
      <c r="Y245" s="1243"/>
      <c r="Z245" s="1243"/>
    </row>
    <row r="246" spans="1:26" ht="15.75" customHeight="1" x14ac:dyDescent="0.2">
      <c r="A246" s="1243"/>
      <c r="B246" s="1243"/>
      <c r="C246" s="1243"/>
      <c r="D246" s="1243"/>
      <c r="E246" s="1243"/>
      <c r="F246" s="1243"/>
      <c r="G246" s="1243"/>
      <c r="H246" s="1243"/>
      <c r="I246" s="1243"/>
      <c r="J246" s="1243"/>
      <c r="K246" s="1243"/>
      <c r="L246" s="1243"/>
      <c r="M246" s="1243"/>
      <c r="N246" s="1243"/>
      <c r="O246" s="1243"/>
      <c r="P246" s="1243"/>
      <c r="Q246" s="1243"/>
      <c r="R246" s="1243"/>
      <c r="S246" s="1243"/>
      <c r="T246" s="1243"/>
      <c r="U246" s="1243"/>
      <c r="V246" s="1243"/>
      <c r="W246" s="1243"/>
      <c r="X246" s="1243"/>
      <c r="Y246" s="1243"/>
      <c r="Z246" s="1243"/>
    </row>
    <row r="247" spans="1:26" ht="15.75" customHeight="1" x14ac:dyDescent="0.2">
      <c r="A247" s="1243"/>
      <c r="B247" s="1243"/>
      <c r="C247" s="1243"/>
      <c r="D247" s="1243"/>
      <c r="E247" s="1243"/>
      <c r="F247" s="1243"/>
      <c r="G247" s="1243"/>
      <c r="H247" s="1243"/>
      <c r="I247" s="1243"/>
      <c r="J247" s="1243"/>
      <c r="K247" s="1243"/>
      <c r="L247" s="1243"/>
      <c r="M247" s="1243"/>
      <c r="N247" s="1243"/>
      <c r="O247" s="1243"/>
      <c r="P247" s="1243"/>
      <c r="Q247" s="1243"/>
      <c r="R247" s="1243"/>
      <c r="S247" s="1243"/>
      <c r="T247" s="1243"/>
      <c r="U247" s="1243"/>
      <c r="V247" s="1243"/>
      <c r="W247" s="1243"/>
      <c r="X247" s="1243"/>
      <c r="Y247" s="1243"/>
      <c r="Z247" s="1243"/>
    </row>
    <row r="248" spans="1:26" ht="15.75" customHeight="1" x14ac:dyDescent="0.2">
      <c r="A248" s="1243"/>
      <c r="B248" s="1243"/>
      <c r="C248" s="1243"/>
      <c r="D248" s="1243"/>
      <c r="E248" s="1243"/>
      <c r="F248" s="1243"/>
      <c r="G248" s="1243"/>
      <c r="H248" s="1243"/>
      <c r="I248" s="1243"/>
      <c r="J248" s="1243"/>
      <c r="K248" s="1243"/>
      <c r="L248" s="1243"/>
      <c r="M248" s="1243"/>
      <c r="N248" s="1243"/>
      <c r="O248" s="1243"/>
      <c r="P248" s="1243"/>
      <c r="Q248" s="1243"/>
      <c r="R248" s="1243"/>
      <c r="S248" s="1243"/>
      <c r="T248" s="1243"/>
      <c r="U248" s="1243"/>
      <c r="V248" s="1243"/>
      <c r="W248" s="1243"/>
      <c r="X248" s="1243"/>
      <c r="Y248" s="1243"/>
      <c r="Z248" s="1243"/>
    </row>
    <row r="249" spans="1:26" ht="15.75" customHeight="1" x14ac:dyDescent="0.2">
      <c r="A249" s="1243"/>
      <c r="B249" s="1243"/>
      <c r="C249" s="1243"/>
      <c r="D249" s="1243"/>
      <c r="E249" s="1243"/>
      <c r="F249" s="1243"/>
      <c r="G249" s="1243"/>
      <c r="H249" s="1243"/>
      <c r="I249" s="1243"/>
      <c r="J249" s="1243"/>
      <c r="K249" s="1243"/>
      <c r="L249" s="1243"/>
      <c r="M249" s="1243"/>
      <c r="N249" s="1243"/>
      <c r="O249" s="1243"/>
      <c r="P249" s="1243"/>
      <c r="Q249" s="1243"/>
      <c r="R249" s="1243"/>
      <c r="S249" s="1243"/>
      <c r="T249" s="1243"/>
      <c r="U249" s="1243"/>
      <c r="V249" s="1243"/>
      <c r="W249" s="1243"/>
      <c r="X249" s="1243"/>
      <c r="Y249" s="1243"/>
      <c r="Z249" s="1243"/>
    </row>
    <row r="250" spans="1:26" ht="15.75" customHeight="1" x14ac:dyDescent="0.2">
      <c r="A250" s="1243"/>
      <c r="B250" s="1243"/>
      <c r="C250" s="1243"/>
      <c r="D250" s="1243"/>
      <c r="E250" s="1243"/>
      <c r="F250" s="1243"/>
      <c r="G250" s="1243"/>
      <c r="H250" s="1243"/>
      <c r="I250" s="1243"/>
      <c r="J250" s="1243"/>
      <c r="K250" s="1243"/>
      <c r="L250" s="1243"/>
      <c r="M250" s="1243"/>
      <c r="N250" s="1243"/>
      <c r="O250" s="1243"/>
      <c r="P250" s="1243"/>
      <c r="Q250" s="1243"/>
      <c r="R250" s="1243"/>
      <c r="S250" s="1243"/>
      <c r="T250" s="1243"/>
      <c r="U250" s="1243"/>
      <c r="V250" s="1243"/>
      <c r="W250" s="1243"/>
      <c r="X250" s="1243"/>
      <c r="Y250" s="1243"/>
      <c r="Z250" s="1243"/>
    </row>
    <row r="251" spans="1:26" ht="15.75" customHeight="1" x14ac:dyDescent="0.2">
      <c r="A251" s="1243"/>
      <c r="B251" s="1243"/>
      <c r="C251" s="1243"/>
      <c r="D251" s="1243"/>
      <c r="E251" s="1243"/>
      <c r="F251" s="1243"/>
      <c r="G251" s="1243"/>
      <c r="H251" s="1243"/>
      <c r="I251" s="1243"/>
      <c r="J251" s="1243"/>
      <c r="K251" s="1243"/>
      <c r="L251" s="1243"/>
      <c r="M251" s="1243"/>
      <c r="N251" s="1243"/>
      <c r="O251" s="1243"/>
      <c r="P251" s="1243"/>
      <c r="Q251" s="1243"/>
      <c r="R251" s="1243"/>
      <c r="S251" s="1243"/>
      <c r="T251" s="1243"/>
      <c r="U251" s="1243"/>
      <c r="V251" s="1243"/>
      <c r="W251" s="1243"/>
      <c r="X251" s="1243"/>
      <c r="Y251" s="1243"/>
      <c r="Z251" s="1243"/>
    </row>
    <row r="252" spans="1:26" ht="15.75" customHeight="1" x14ac:dyDescent="0.2">
      <c r="A252" s="1243"/>
      <c r="B252" s="1243"/>
      <c r="C252" s="1243"/>
      <c r="D252" s="1243"/>
      <c r="E252" s="1243"/>
      <c r="F252" s="1243"/>
      <c r="G252" s="1243"/>
      <c r="H252" s="1243"/>
      <c r="I252" s="1243"/>
      <c r="J252" s="1243"/>
      <c r="K252" s="1243"/>
      <c r="L252" s="1243"/>
      <c r="M252" s="1243"/>
      <c r="N252" s="1243"/>
      <c r="O252" s="1243"/>
      <c r="P252" s="1243"/>
      <c r="Q252" s="1243"/>
      <c r="R252" s="1243"/>
      <c r="S252" s="1243"/>
      <c r="T252" s="1243"/>
      <c r="U252" s="1243"/>
      <c r="V252" s="1243"/>
      <c r="W252" s="1243"/>
      <c r="X252" s="1243"/>
      <c r="Y252" s="1243"/>
      <c r="Z252" s="1243"/>
    </row>
    <row r="253" spans="1:26" ht="15.75" customHeight="1" x14ac:dyDescent="0.2">
      <c r="A253" s="1243"/>
      <c r="B253" s="1243"/>
      <c r="C253" s="1243"/>
      <c r="D253" s="1243"/>
      <c r="E253" s="1243"/>
      <c r="F253" s="1243"/>
      <c r="G253" s="1243"/>
      <c r="H253" s="1243"/>
      <c r="I253" s="1243"/>
      <c r="J253" s="1243"/>
      <c r="K253" s="1243"/>
      <c r="L253" s="1243"/>
      <c r="M253" s="1243"/>
      <c r="N253" s="1243"/>
      <c r="O253" s="1243"/>
      <c r="P253" s="1243"/>
      <c r="Q253" s="1243"/>
      <c r="R253" s="1243"/>
      <c r="S253" s="1243"/>
      <c r="T253" s="1243"/>
      <c r="U253" s="1243"/>
      <c r="V253" s="1243"/>
      <c r="W253" s="1243"/>
      <c r="X253" s="1243"/>
      <c r="Y253" s="1243"/>
      <c r="Z253" s="1243"/>
    </row>
    <row r="254" spans="1:26" ht="15.75" customHeight="1" x14ac:dyDescent="0.2">
      <c r="A254" s="1243"/>
      <c r="B254" s="1243"/>
      <c r="C254" s="1243"/>
      <c r="D254" s="1243"/>
      <c r="E254" s="1243"/>
      <c r="F254" s="1243"/>
      <c r="G254" s="1243"/>
      <c r="H254" s="1243"/>
      <c r="I254" s="1243"/>
      <c r="J254" s="1243"/>
      <c r="K254" s="1243"/>
      <c r="L254" s="1243"/>
      <c r="M254" s="1243"/>
      <c r="N254" s="1243"/>
      <c r="O254" s="1243"/>
      <c r="P254" s="1243"/>
      <c r="Q254" s="1243"/>
      <c r="R254" s="1243"/>
      <c r="S254" s="1243"/>
      <c r="T254" s="1243"/>
      <c r="U254" s="1243"/>
      <c r="V254" s="1243"/>
      <c r="W254" s="1243"/>
      <c r="X254" s="1243"/>
      <c r="Y254" s="1243"/>
      <c r="Z254" s="1243"/>
    </row>
    <row r="255" spans="1:26" ht="15.75" customHeight="1" x14ac:dyDescent="0.2">
      <c r="A255" s="1243"/>
      <c r="B255" s="1243"/>
      <c r="C255" s="1243"/>
      <c r="D255" s="1243"/>
      <c r="E255" s="1243"/>
      <c r="F255" s="1243"/>
      <c r="G255" s="1243"/>
      <c r="H255" s="1243"/>
      <c r="I255" s="1243"/>
      <c r="J255" s="1243"/>
      <c r="K255" s="1243"/>
      <c r="L255" s="1243"/>
      <c r="M255" s="1243"/>
      <c r="N255" s="1243"/>
      <c r="O255" s="1243"/>
      <c r="P255" s="1243"/>
      <c r="Q255" s="1243"/>
      <c r="R255" s="1243"/>
      <c r="S255" s="1243"/>
      <c r="T255" s="1243"/>
      <c r="U255" s="1243"/>
      <c r="V255" s="1243"/>
      <c r="W255" s="1243"/>
      <c r="X255" s="1243"/>
      <c r="Y255" s="1243"/>
      <c r="Z255" s="1243"/>
    </row>
    <row r="256" spans="1:26" ht="15.75" customHeight="1" x14ac:dyDescent="0.2">
      <c r="A256" s="1243"/>
      <c r="B256" s="1243"/>
      <c r="C256" s="1243"/>
      <c r="D256" s="1243"/>
      <c r="E256" s="1243"/>
      <c r="F256" s="1243"/>
      <c r="G256" s="1243"/>
      <c r="H256" s="1243"/>
      <c r="I256" s="1243"/>
      <c r="J256" s="1243"/>
      <c r="K256" s="1243"/>
      <c r="L256" s="1243"/>
      <c r="M256" s="1243"/>
      <c r="N256" s="1243"/>
      <c r="O256" s="1243"/>
      <c r="P256" s="1243"/>
      <c r="Q256" s="1243"/>
      <c r="R256" s="1243"/>
      <c r="S256" s="1243"/>
      <c r="T256" s="1243"/>
      <c r="U256" s="1243"/>
      <c r="V256" s="1243"/>
      <c r="W256" s="1243"/>
      <c r="X256" s="1243"/>
      <c r="Y256" s="1243"/>
      <c r="Z256" s="1243"/>
    </row>
    <row r="257" spans="1:26" ht="15.75" customHeight="1" x14ac:dyDescent="0.2">
      <c r="A257" s="1243"/>
      <c r="B257" s="1243"/>
      <c r="C257" s="1243"/>
      <c r="D257" s="1243"/>
      <c r="E257" s="1243"/>
      <c r="F257" s="1243"/>
      <c r="G257" s="1243"/>
      <c r="H257" s="1243"/>
      <c r="I257" s="1243"/>
      <c r="J257" s="1243"/>
      <c r="K257" s="1243"/>
      <c r="L257" s="1243"/>
      <c r="M257" s="1243"/>
      <c r="N257" s="1243"/>
      <c r="O257" s="1243"/>
      <c r="P257" s="1243"/>
      <c r="Q257" s="1243"/>
      <c r="R257" s="1243"/>
      <c r="S257" s="1243"/>
      <c r="T257" s="1243"/>
      <c r="U257" s="1243"/>
      <c r="V257" s="1243"/>
      <c r="W257" s="1243"/>
      <c r="X257" s="1243"/>
      <c r="Y257" s="1243"/>
      <c r="Z257" s="1243"/>
    </row>
    <row r="258" spans="1:26" ht="15.75" customHeight="1" x14ac:dyDescent="0.2">
      <c r="A258" s="1243"/>
      <c r="B258" s="1243"/>
      <c r="C258" s="1243"/>
      <c r="D258" s="1243"/>
      <c r="E258" s="1243"/>
      <c r="F258" s="1243"/>
      <c r="G258" s="1243"/>
      <c r="H258" s="1243"/>
      <c r="I258" s="1243"/>
      <c r="J258" s="1243"/>
      <c r="K258" s="1243"/>
      <c r="L258" s="1243"/>
      <c r="M258" s="1243"/>
      <c r="N258" s="1243"/>
      <c r="O258" s="1243"/>
      <c r="P258" s="1243"/>
      <c r="Q258" s="1243"/>
      <c r="R258" s="1243"/>
      <c r="S258" s="1243"/>
      <c r="T258" s="1243"/>
      <c r="U258" s="1243"/>
      <c r="V258" s="1243"/>
      <c r="W258" s="1243"/>
      <c r="X258" s="1243"/>
      <c r="Y258" s="1243"/>
      <c r="Z258" s="1243"/>
    </row>
    <row r="259" spans="1:26" ht="15.75" customHeight="1" x14ac:dyDescent="0.2">
      <c r="A259" s="1243"/>
      <c r="B259" s="1243"/>
      <c r="C259" s="1243"/>
      <c r="D259" s="1243"/>
      <c r="E259" s="1243"/>
      <c r="F259" s="1243"/>
      <c r="G259" s="1243"/>
      <c r="H259" s="1243"/>
      <c r="I259" s="1243"/>
      <c r="J259" s="1243"/>
      <c r="K259" s="1243"/>
      <c r="L259" s="1243"/>
      <c r="M259" s="1243"/>
      <c r="N259" s="1243"/>
      <c r="O259" s="1243"/>
      <c r="P259" s="1243"/>
      <c r="Q259" s="1243"/>
      <c r="R259" s="1243"/>
      <c r="S259" s="1243"/>
      <c r="T259" s="1243"/>
      <c r="U259" s="1243"/>
      <c r="V259" s="1243"/>
      <c r="W259" s="1243"/>
      <c r="X259" s="1243"/>
      <c r="Y259" s="1243"/>
      <c r="Z259" s="1243"/>
    </row>
    <row r="260" spans="1:26" ht="15.75" customHeight="1" x14ac:dyDescent="0.2">
      <c r="A260" s="1243"/>
      <c r="B260" s="1243"/>
      <c r="C260" s="1243"/>
      <c r="D260" s="1243"/>
      <c r="E260" s="1243"/>
      <c r="F260" s="1243"/>
      <c r="G260" s="1243"/>
      <c r="H260" s="1243"/>
      <c r="I260" s="1243"/>
      <c r="J260" s="1243"/>
      <c r="K260" s="1243"/>
      <c r="L260" s="1243"/>
      <c r="M260" s="1243"/>
      <c r="N260" s="1243"/>
      <c r="O260" s="1243"/>
      <c r="P260" s="1243"/>
      <c r="Q260" s="1243"/>
      <c r="R260" s="1243"/>
      <c r="S260" s="1243"/>
      <c r="T260" s="1243"/>
      <c r="U260" s="1243"/>
      <c r="V260" s="1243"/>
      <c r="W260" s="1243"/>
      <c r="X260" s="1243"/>
      <c r="Y260" s="1243"/>
      <c r="Z260" s="1243"/>
    </row>
    <row r="261" spans="1:26" ht="15.75" customHeight="1" x14ac:dyDescent="0.2">
      <c r="A261" s="1243"/>
      <c r="B261" s="1243"/>
      <c r="C261" s="1243"/>
      <c r="D261" s="1243"/>
      <c r="E261" s="1243"/>
      <c r="F261" s="1243"/>
      <c r="G261" s="1243"/>
      <c r="H261" s="1243"/>
      <c r="I261" s="1243"/>
      <c r="J261" s="1243"/>
      <c r="K261" s="1243"/>
      <c r="L261" s="1243"/>
      <c r="M261" s="1243"/>
      <c r="N261" s="1243"/>
      <c r="O261" s="1243"/>
      <c r="P261" s="1243"/>
      <c r="Q261" s="1243"/>
      <c r="R261" s="1243"/>
      <c r="S261" s="1243"/>
      <c r="T261" s="1243"/>
      <c r="U261" s="1243"/>
      <c r="V261" s="1243"/>
      <c r="W261" s="1243"/>
      <c r="X261" s="1243"/>
      <c r="Y261" s="1243"/>
      <c r="Z261" s="1243"/>
    </row>
    <row r="262" spans="1:26" ht="15.75" customHeight="1" x14ac:dyDescent="0.2">
      <c r="A262" s="1243"/>
      <c r="B262" s="1243"/>
      <c r="C262" s="1243"/>
      <c r="D262" s="1243"/>
      <c r="E262" s="1243"/>
      <c r="F262" s="1243"/>
      <c r="G262" s="1243"/>
      <c r="H262" s="1243"/>
      <c r="I262" s="1243"/>
      <c r="J262" s="1243"/>
      <c r="K262" s="1243"/>
      <c r="L262" s="1243"/>
      <c r="M262" s="1243"/>
      <c r="N262" s="1243"/>
      <c r="O262" s="1243"/>
      <c r="P262" s="1243"/>
      <c r="Q262" s="1243"/>
      <c r="R262" s="1243"/>
      <c r="S262" s="1243"/>
      <c r="T262" s="1243"/>
      <c r="U262" s="1243"/>
      <c r="V262" s="1243"/>
      <c r="W262" s="1243"/>
      <c r="X262" s="1243"/>
      <c r="Y262" s="1243"/>
      <c r="Z262" s="1243"/>
    </row>
    <row r="263" spans="1:26" ht="15.75" customHeight="1" x14ac:dyDescent="0.2">
      <c r="A263" s="1243"/>
      <c r="B263" s="1243"/>
      <c r="C263" s="1243"/>
      <c r="D263" s="1243"/>
      <c r="E263" s="1243"/>
      <c r="F263" s="1243"/>
      <c r="G263" s="1243"/>
      <c r="H263" s="1243"/>
      <c r="I263" s="1243"/>
      <c r="J263" s="1243"/>
      <c r="K263" s="1243"/>
      <c r="L263" s="1243"/>
      <c r="M263" s="1243"/>
      <c r="N263" s="1243"/>
      <c r="O263" s="1243"/>
      <c r="P263" s="1243"/>
      <c r="Q263" s="1243"/>
      <c r="R263" s="1243"/>
      <c r="S263" s="1243"/>
      <c r="T263" s="1243"/>
      <c r="U263" s="1243"/>
      <c r="V263" s="1243"/>
      <c r="W263" s="1243"/>
      <c r="X263" s="1243"/>
      <c r="Y263" s="1243"/>
      <c r="Z263" s="1243"/>
    </row>
    <row r="264" spans="1:26" ht="15.75" customHeight="1" x14ac:dyDescent="0.2">
      <c r="A264" s="1243"/>
      <c r="B264" s="1243"/>
      <c r="C264" s="1243"/>
      <c r="D264" s="1243"/>
      <c r="E264" s="1243"/>
      <c r="F264" s="1243"/>
      <c r="G264" s="1243"/>
      <c r="H264" s="1243"/>
      <c r="I264" s="1243"/>
      <c r="J264" s="1243"/>
      <c r="K264" s="1243"/>
      <c r="L264" s="1243"/>
      <c r="M264" s="1243"/>
      <c r="N264" s="1243"/>
      <c r="O264" s="1243"/>
      <c r="P264" s="1243"/>
      <c r="Q264" s="1243"/>
      <c r="R264" s="1243"/>
      <c r="S264" s="1243"/>
      <c r="T264" s="1243"/>
      <c r="U264" s="1243"/>
      <c r="V264" s="1243"/>
      <c r="W264" s="1243"/>
      <c r="X264" s="1243"/>
      <c r="Y264" s="1243"/>
      <c r="Z264" s="1243"/>
    </row>
    <row r="265" spans="1:26" ht="15.75" customHeight="1" x14ac:dyDescent="0.2">
      <c r="A265" s="1243"/>
      <c r="B265" s="1243"/>
      <c r="C265" s="1243"/>
      <c r="D265" s="1243"/>
      <c r="E265" s="1243"/>
      <c r="F265" s="1243"/>
      <c r="G265" s="1243"/>
      <c r="H265" s="1243"/>
      <c r="I265" s="1243"/>
      <c r="J265" s="1243"/>
      <c r="K265" s="1243"/>
      <c r="L265" s="1243"/>
      <c r="M265" s="1243"/>
      <c r="N265" s="1243"/>
      <c r="O265" s="1243"/>
      <c r="P265" s="1243"/>
      <c r="Q265" s="1243"/>
      <c r="R265" s="1243"/>
      <c r="S265" s="1243"/>
      <c r="T265" s="1243"/>
      <c r="U265" s="1243"/>
      <c r="V265" s="1243"/>
      <c r="W265" s="1243"/>
      <c r="X265" s="1243"/>
      <c r="Y265" s="1243"/>
      <c r="Z265" s="1243"/>
    </row>
    <row r="266" spans="1:26" ht="15.75" customHeight="1" x14ac:dyDescent="0.2">
      <c r="A266" s="1243"/>
      <c r="B266" s="1243"/>
      <c r="C266" s="1243"/>
      <c r="D266" s="1243"/>
      <c r="E266" s="1243"/>
      <c r="F266" s="1243"/>
      <c r="G266" s="1243"/>
      <c r="H266" s="1243"/>
      <c r="I266" s="1243"/>
      <c r="J266" s="1243"/>
      <c r="K266" s="1243"/>
      <c r="L266" s="1243"/>
      <c r="M266" s="1243"/>
      <c r="N266" s="1243"/>
      <c r="O266" s="1243"/>
      <c r="P266" s="1243"/>
      <c r="Q266" s="1243"/>
      <c r="R266" s="1243"/>
      <c r="S266" s="1243"/>
      <c r="T266" s="1243"/>
      <c r="U266" s="1243"/>
      <c r="V266" s="1243"/>
      <c r="W266" s="1243"/>
      <c r="X266" s="1243"/>
      <c r="Y266" s="1243"/>
      <c r="Z266" s="1243"/>
    </row>
    <row r="267" spans="1:26" ht="15.75" customHeight="1" x14ac:dyDescent="0.2">
      <c r="A267" s="1243"/>
      <c r="B267" s="1243"/>
      <c r="C267" s="1243"/>
      <c r="D267" s="1243"/>
      <c r="E267" s="1243"/>
      <c r="F267" s="1243"/>
      <c r="G267" s="1243"/>
      <c r="H267" s="1243"/>
      <c r="I267" s="1243"/>
      <c r="J267" s="1243"/>
      <c r="K267" s="1243"/>
      <c r="L267" s="1243"/>
      <c r="M267" s="1243"/>
      <c r="N267" s="1243"/>
      <c r="O267" s="1243"/>
      <c r="P267" s="1243"/>
      <c r="Q267" s="1243"/>
      <c r="R267" s="1243"/>
      <c r="S267" s="1243"/>
      <c r="T267" s="1243"/>
      <c r="U267" s="1243"/>
      <c r="V267" s="1243"/>
      <c r="W267" s="1243"/>
      <c r="X267" s="1243"/>
      <c r="Y267" s="1243"/>
      <c r="Z267" s="1243"/>
    </row>
    <row r="268" spans="1:26" ht="15.75" customHeight="1" x14ac:dyDescent="0.2">
      <c r="A268" s="1243"/>
      <c r="B268" s="1243"/>
      <c r="C268" s="1243"/>
      <c r="D268" s="1243"/>
      <c r="E268" s="1243"/>
      <c r="F268" s="1243"/>
      <c r="G268" s="1243"/>
      <c r="H268" s="1243"/>
      <c r="I268" s="1243"/>
      <c r="J268" s="1243"/>
      <c r="K268" s="1243"/>
      <c r="L268" s="1243"/>
      <c r="M268" s="1243"/>
      <c r="N268" s="1243"/>
      <c r="O268" s="1243"/>
      <c r="P268" s="1243"/>
      <c r="Q268" s="1243"/>
      <c r="R268" s="1243"/>
      <c r="S268" s="1243"/>
      <c r="T268" s="1243"/>
      <c r="U268" s="1243"/>
      <c r="V268" s="1243"/>
      <c r="W268" s="1243"/>
      <c r="X268" s="1243"/>
      <c r="Y268" s="1243"/>
      <c r="Z268" s="1243"/>
    </row>
    <row r="269" spans="1:26" ht="15.75" customHeight="1" x14ac:dyDescent="0.2">
      <c r="A269" s="1243"/>
      <c r="B269" s="1243"/>
      <c r="C269" s="1243"/>
      <c r="D269" s="1243"/>
      <c r="E269" s="1243"/>
      <c r="F269" s="1243"/>
      <c r="G269" s="1243"/>
      <c r="H269" s="1243"/>
      <c r="I269" s="1243"/>
      <c r="J269" s="1243"/>
      <c r="K269" s="1243"/>
      <c r="L269" s="1243"/>
      <c r="M269" s="1243"/>
      <c r="N269" s="1243"/>
      <c r="O269" s="1243"/>
      <c r="P269" s="1243"/>
      <c r="Q269" s="1243"/>
      <c r="R269" s="1243"/>
      <c r="S269" s="1243"/>
      <c r="T269" s="1243"/>
      <c r="U269" s="1243"/>
      <c r="V269" s="1243"/>
      <c r="W269" s="1243"/>
      <c r="X269" s="1243"/>
      <c r="Y269" s="1243"/>
      <c r="Z269" s="1243"/>
    </row>
    <row r="270" spans="1:26" ht="15.75" customHeight="1" x14ac:dyDescent="0.2">
      <c r="A270" s="1243"/>
      <c r="B270" s="1243"/>
      <c r="C270" s="1243"/>
      <c r="D270" s="1243"/>
      <c r="E270" s="1243"/>
      <c r="F270" s="1243"/>
      <c r="G270" s="1243"/>
      <c r="H270" s="1243"/>
      <c r="I270" s="1243"/>
      <c r="J270" s="1243"/>
      <c r="K270" s="1243"/>
      <c r="L270" s="1243"/>
      <c r="M270" s="1243"/>
      <c r="N270" s="1243"/>
      <c r="O270" s="1243"/>
      <c r="P270" s="1243"/>
      <c r="Q270" s="1243"/>
      <c r="R270" s="1243"/>
      <c r="S270" s="1243"/>
      <c r="T270" s="1243"/>
      <c r="U270" s="1243"/>
      <c r="V270" s="1243"/>
      <c r="W270" s="1243"/>
      <c r="X270" s="1243"/>
      <c r="Y270" s="1243"/>
      <c r="Z270" s="1243"/>
    </row>
    <row r="271" spans="1:26" ht="15.75" customHeight="1" x14ac:dyDescent="0.2">
      <c r="A271" s="1243"/>
      <c r="B271" s="1243"/>
      <c r="C271" s="1243"/>
      <c r="D271" s="1243"/>
      <c r="E271" s="1243"/>
      <c r="F271" s="1243"/>
      <c r="G271" s="1243"/>
      <c r="H271" s="1243"/>
      <c r="I271" s="1243"/>
      <c r="J271" s="1243"/>
      <c r="K271" s="1243"/>
      <c r="L271" s="1243"/>
      <c r="M271" s="1243"/>
      <c r="N271" s="1243"/>
      <c r="O271" s="1243"/>
      <c r="P271" s="1243"/>
      <c r="Q271" s="1243"/>
      <c r="R271" s="1243"/>
      <c r="S271" s="1243"/>
      <c r="T271" s="1243"/>
      <c r="U271" s="1243"/>
      <c r="V271" s="1243"/>
      <c r="W271" s="1243"/>
      <c r="X271" s="1243"/>
      <c r="Y271" s="1243"/>
      <c r="Z271" s="1243"/>
    </row>
    <row r="272" spans="1:26" ht="15.75" customHeight="1" x14ac:dyDescent="0.2">
      <c r="A272" s="1243"/>
      <c r="B272" s="1243"/>
      <c r="C272" s="1243"/>
      <c r="D272" s="1243"/>
      <c r="E272" s="1243"/>
      <c r="F272" s="1243"/>
      <c r="G272" s="1243"/>
      <c r="H272" s="1243"/>
      <c r="I272" s="1243"/>
      <c r="J272" s="1243"/>
      <c r="K272" s="1243"/>
      <c r="L272" s="1243"/>
      <c r="M272" s="1243"/>
      <c r="N272" s="1243"/>
      <c r="O272" s="1243"/>
      <c r="P272" s="1243"/>
      <c r="Q272" s="1243"/>
      <c r="R272" s="1243"/>
      <c r="S272" s="1243"/>
      <c r="T272" s="1243"/>
      <c r="U272" s="1243"/>
      <c r="V272" s="1243"/>
      <c r="W272" s="1243"/>
      <c r="X272" s="1243"/>
      <c r="Y272" s="1243"/>
      <c r="Z272" s="1243"/>
    </row>
    <row r="273" spans="1:26" ht="15.75" customHeight="1" x14ac:dyDescent="0.2">
      <c r="A273" s="1243"/>
      <c r="B273" s="1243"/>
      <c r="C273" s="1243"/>
      <c r="D273" s="1243"/>
      <c r="E273" s="1243"/>
      <c r="F273" s="1243"/>
      <c r="G273" s="1243"/>
      <c r="H273" s="1243"/>
      <c r="I273" s="1243"/>
      <c r="J273" s="1243"/>
      <c r="K273" s="1243"/>
      <c r="L273" s="1243"/>
      <c r="M273" s="1243"/>
      <c r="N273" s="1243"/>
      <c r="O273" s="1243"/>
      <c r="P273" s="1243"/>
      <c r="Q273" s="1243"/>
      <c r="R273" s="1243"/>
      <c r="S273" s="1243"/>
      <c r="T273" s="1243"/>
      <c r="U273" s="1243"/>
      <c r="V273" s="1243"/>
      <c r="W273" s="1243"/>
      <c r="X273" s="1243"/>
      <c r="Y273" s="1243"/>
      <c r="Z273" s="1243"/>
    </row>
    <row r="274" spans="1:26" ht="15.75" customHeight="1" x14ac:dyDescent="0.2">
      <c r="A274" s="1243"/>
      <c r="B274" s="1243"/>
      <c r="C274" s="1243"/>
      <c r="D274" s="1243"/>
      <c r="E274" s="1243"/>
      <c r="F274" s="1243"/>
      <c r="G274" s="1243"/>
      <c r="H274" s="1243"/>
      <c r="I274" s="1243"/>
      <c r="J274" s="1243"/>
      <c r="K274" s="1243"/>
      <c r="L274" s="1243"/>
      <c r="M274" s="1243"/>
      <c r="N274" s="1243"/>
      <c r="O274" s="1243"/>
      <c r="P274" s="1243"/>
      <c r="Q274" s="1243"/>
      <c r="R274" s="1243"/>
      <c r="S274" s="1243"/>
      <c r="T274" s="1243"/>
      <c r="U274" s="1243"/>
      <c r="V274" s="1243"/>
      <c r="W274" s="1243"/>
      <c r="X274" s="1243"/>
      <c r="Y274" s="1243"/>
      <c r="Z274" s="1243"/>
    </row>
    <row r="275" spans="1:26" ht="15.75" customHeight="1" x14ac:dyDescent="0.2">
      <c r="A275" s="1243"/>
      <c r="B275" s="1243"/>
      <c r="C275" s="1243"/>
      <c r="D275" s="1243"/>
      <c r="E275" s="1243"/>
      <c r="F275" s="1243"/>
      <c r="G275" s="1243"/>
      <c r="H275" s="1243"/>
      <c r="I275" s="1243"/>
      <c r="J275" s="1243"/>
      <c r="K275" s="1243"/>
      <c r="L275" s="1243"/>
      <c r="M275" s="1243"/>
      <c r="N275" s="1243"/>
      <c r="O275" s="1243"/>
      <c r="P275" s="1243"/>
      <c r="Q275" s="1243"/>
      <c r="R275" s="1243"/>
      <c r="S275" s="1243"/>
      <c r="T275" s="1243"/>
      <c r="U275" s="1243"/>
      <c r="V275" s="1243"/>
      <c r="W275" s="1243"/>
      <c r="X275" s="1243"/>
      <c r="Y275" s="1243"/>
      <c r="Z275" s="1243"/>
    </row>
    <row r="276" spans="1:26" ht="15.75" customHeight="1" x14ac:dyDescent="0.2">
      <c r="A276" s="1243"/>
      <c r="B276" s="1243"/>
      <c r="C276" s="1243"/>
      <c r="D276" s="1243"/>
      <c r="E276" s="1243"/>
      <c r="F276" s="1243"/>
      <c r="G276" s="1243"/>
      <c r="H276" s="1243"/>
      <c r="I276" s="1243"/>
      <c r="J276" s="1243"/>
      <c r="K276" s="1243"/>
      <c r="L276" s="1243"/>
      <c r="M276" s="1243"/>
      <c r="N276" s="1243"/>
      <c r="O276" s="1243"/>
      <c r="P276" s="1243"/>
      <c r="Q276" s="1243"/>
      <c r="R276" s="1243"/>
      <c r="S276" s="1243"/>
      <c r="T276" s="1243"/>
      <c r="U276" s="1243"/>
      <c r="V276" s="1243"/>
      <c r="W276" s="1243"/>
      <c r="X276" s="1243"/>
      <c r="Y276" s="1243"/>
      <c r="Z276" s="1243"/>
    </row>
    <row r="277" spans="1:26" ht="15.75" customHeight="1" x14ac:dyDescent="0.2">
      <c r="A277" s="1243"/>
      <c r="B277" s="1243"/>
      <c r="C277" s="1243"/>
      <c r="D277" s="1243"/>
      <c r="E277" s="1243"/>
      <c r="F277" s="1243"/>
      <c r="G277" s="1243"/>
      <c r="H277" s="1243"/>
      <c r="I277" s="1243"/>
      <c r="J277" s="1243"/>
      <c r="K277" s="1243"/>
      <c r="L277" s="1243"/>
      <c r="M277" s="1243"/>
      <c r="N277" s="1243"/>
      <c r="O277" s="1243"/>
      <c r="P277" s="1243"/>
      <c r="Q277" s="1243"/>
      <c r="R277" s="1243"/>
      <c r="S277" s="1243"/>
      <c r="T277" s="1243"/>
      <c r="U277" s="1243"/>
      <c r="V277" s="1243"/>
      <c r="W277" s="1243"/>
      <c r="X277" s="1243"/>
      <c r="Y277" s="1243"/>
      <c r="Z277" s="1243"/>
    </row>
    <row r="278" spans="1:26" ht="15.75" customHeight="1" x14ac:dyDescent="0.2">
      <c r="A278" s="1243"/>
      <c r="B278" s="1243"/>
      <c r="C278" s="1243"/>
      <c r="D278" s="1243"/>
      <c r="E278" s="1243"/>
      <c r="F278" s="1243"/>
      <c r="G278" s="1243"/>
      <c r="H278" s="1243"/>
      <c r="I278" s="1243"/>
      <c r="J278" s="1243"/>
      <c r="K278" s="1243"/>
      <c r="L278" s="1243"/>
      <c r="M278" s="1243"/>
      <c r="N278" s="1243"/>
      <c r="O278" s="1243"/>
      <c r="P278" s="1243"/>
      <c r="Q278" s="1243"/>
      <c r="R278" s="1243"/>
      <c r="S278" s="1243"/>
      <c r="T278" s="1243"/>
      <c r="U278" s="1243"/>
      <c r="V278" s="1243"/>
      <c r="W278" s="1243"/>
      <c r="X278" s="1243"/>
      <c r="Y278" s="1243"/>
      <c r="Z278" s="1243"/>
    </row>
    <row r="279" spans="1:26" ht="15.75" customHeight="1" x14ac:dyDescent="0.2">
      <c r="A279" s="1243"/>
      <c r="B279" s="1243"/>
      <c r="C279" s="1243"/>
      <c r="D279" s="1243"/>
      <c r="E279" s="1243"/>
      <c r="F279" s="1243"/>
      <c r="G279" s="1243"/>
      <c r="H279" s="1243"/>
      <c r="I279" s="1243"/>
      <c r="J279" s="1243"/>
      <c r="K279" s="1243"/>
      <c r="L279" s="1243"/>
      <c r="M279" s="1243"/>
      <c r="N279" s="1243"/>
      <c r="O279" s="1243"/>
      <c r="P279" s="1243"/>
      <c r="Q279" s="1243"/>
      <c r="R279" s="1243"/>
      <c r="S279" s="1243"/>
      <c r="T279" s="1243"/>
      <c r="U279" s="1243"/>
      <c r="V279" s="1243"/>
      <c r="W279" s="1243"/>
      <c r="X279" s="1243"/>
      <c r="Y279" s="1243"/>
      <c r="Z279" s="1243"/>
    </row>
    <row r="280" spans="1:26" ht="15.75" customHeight="1" x14ac:dyDescent="0.2">
      <c r="A280" s="1243"/>
      <c r="B280" s="1243"/>
      <c r="C280" s="1243"/>
      <c r="D280" s="1243"/>
      <c r="E280" s="1243"/>
      <c r="F280" s="1243"/>
      <c r="G280" s="1243"/>
      <c r="H280" s="1243"/>
      <c r="I280" s="1243"/>
      <c r="J280" s="1243"/>
      <c r="K280" s="1243"/>
      <c r="L280" s="1243"/>
      <c r="M280" s="1243"/>
      <c r="N280" s="1243"/>
      <c r="O280" s="1243"/>
      <c r="P280" s="1243"/>
      <c r="Q280" s="1243"/>
      <c r="R280" s="1243"/>
      <c r="S280" s="1243"/>
      <c r="T280" s="1243"/>
      <c r="U280" s="1243"/>
      <c r="V280" s="1243"/>
      <c r="W280" s="1243"/>
      <c r="X280" s="1243"/>
      <c r="Y280" s="1243"/>
      <c r="Z280" s="1243"/>
    </row>
    <row r="281" spans="1:26" ht="15.75" customHeight="1" x14ac:dyDescent="0.2">
      <c r="A281" s="1243"/>
      <c r="B281" s="1243"/>
      <c r="C281" s="1243"/>
      <c r="D281" s="1243"/>
      <c r="E281" s="1243"/>
      <c r="F281" s="1243"/>
      <c r="G281" s="1243"/>
      <c r="H281" s="1243"/>
      <c r="I281" s="1243"/>
      <c r="J281" s="1243"/>
      <c r="K281" s="1243"/>
      <c r="L281" s="1243"/>
      <c r="M281" s="1243"/>
      <c r="N281" s="1243"/>
      <c r="O281" s="1243"/>
      <c r="P281" s="1243"/>
      <c r="Q281" s="1243"/>
      <c r="R281" s="1243"/>
      <c r="S281" s="1243"/>
      <c r="T281" s="1243"/>
      <c r="U281" s="1243"/>
      <c r="V281" s="1243"/>
      <c r="W281" s="1243"/>
      <c r="X281" s="1243"/>
      <c r="Y281" s="1243"/>
      <c r="Z281" s="1243"/>
    </row>
    <row r="282" spans="1:26" ht="15.75" customHeight="1" x14ac:dyDescent="0.2">
      <c r="A282" s="1243"/>
      <c r="B282" s="1243"/>
      <c r="C282" s="1243"/>
      <c r="D282" s="1243"/>
      <c r="E282" s="1243"/>
      <c r="F282" s="1243"/>
      <c r="G282" s="1243"/>
      <c r="H282" s="1243"/>
      <c r="I282" s="1243"/>
      <c r="J282" s="1243"/>
      <c r="K282" s="1243"/>
      <c r="L282" s="1243"/>
      <c r="M282" s="1243"/>
      <c r="N282" s="1243"/>
      <c r="O282" s="1243"/>
      <c r="P282" s="1243"/>
      <c r="Q282" s="1243"/>
      <c r="R282" s="1243"/>
      <c r="S282" s="1243"/>
      <c r="T282" s="1243"/>
      <c r="U282" s="1243"/>
      <c r="V282" s="1243"/>
      <c r="W282" s="1243"/>
      <c r="X282" s="1243"/>
      <c r="Y282" s="1243"/>
      <c r="Z282" s="1243"/>
    </row>
    <row r="283" spans="1:26" ht="15.75" customHeight="1" x14ac:dyDescent="0.2">
      <c r="A283" s="1243"/>
      <c r="B283" s="1243"/>
      <c r="C283" s="1243"/>
      <c r="D283" s="1243"/>
      <c r="E283" s="1243"/>
      <c r="F283" s="1243"/>
      <c r="G283" s="1243"/>
      <c r="H283" s="1243"/>
      <c r="I283" s="1243"/>
      <c r="J283" s="1243"/>
      <c r="K283" s="1243"/>
      <c r="L283" s="1243"/>
      <c r="M283" s="1243"/>
      <c r="N283" s="1243"/>
      <c r="O283" s="1243"/>
      <c r="P283" s="1243"/>
      <c r="Q283" s="1243"/>
      <c r="R283" s="1243"/>
      <c r="S283" s="1243"/>
      <c r="T283" s="1243"/>
      <c r="U283" s="1243"/>
      <c r="V283" s="1243"/>
      <c r="W283" s="1243"/>
      <c r="X283" s="1243"/>
      <c r="Y283" s="1243"/>
      <c r="Z283" s="1243"/>
    </row>
    <row r="284" spans="1:26" ht="15.75" customHeight="1" x14ac:dyDescent="0.2">
      <c r="A284" s="1243"/>
      <c r="B284" s="1243"/>
      <c r="C284" s="1243"/>
      <c r="D284" s="1243"/>
      <c r="E284" s="1243"/>
      <c r="F284" s="1243"/>
      <c r="G284" s="1243"/>
      <c r="H284" s="1243"/>
      <c r="I284" s="1243"/>
      <c r="J284" s="1243"/>
      <c r="K284" s="1243"/>
      <c r="L284" s="1243"/>
      <c r="M284" s="1243"/>
      <c r="N284" s="1243"/>
      <c r="O284" s="1243"/>
      <c r="P284" s="1243"/>
      <c r="Q284" s="1243"/>
      <c r="R284" s="1243"/>
      <c r="S284" s="1243"/>
      <c r="T284" s="1243"/>
      <c r="U284" s="1243"/>
      <c r="V284" s="1243"/>
      <c r="W284" s="1243"/>
      <c r="X284" s="1243"/>
      <c r="Y284" s="1243"/>
      <c r="Z284" s="1243"/>
    </row>
    <row r="285" spans="1:26" ht="15.75" customHeight="1" x14ac:dyDescent="0.2">
      <c r="A285" s="1243"/>
      <c r="B285" s="1243"/>
      <c r="C285" s="1243"/>
      <c r="D285" s="1243"/>
      <c r="E285" s="1243"/>
      <c r="F285" s="1243"/>
      <c r="G285" s="1243"/>
      <c r="H285" s="1243"/>
      <c r="I285" s="1243"/>
      <c r="J285" s="1243"/>
      <c r="K285" s="1243"/>
      <c r="L285" s="1243"/>
      <c r="M285" s="1243"/>
      <c r="N285" s="1243"/>
      <c r="O285" s="1243"/>
      <c r="P285" s="1243"/>
      <c r="Q285" s="1243"/>
      <c r="R285" s="1243"/>
      <c r="S285" s="1243"/>
      <c r="T285" s="1243"/>
      <c r="U285" s="1243"/>
      <c r="V285" s="1243"/>
      <c r="W285" s="1243"/>
      <c r="X285" s="1243"/>
      <c r="Y285" s="1243"/>
      <c r="Z285" s="1243"/>
    </row>
    <row r="286" spans="1:26" ht="15.75" customHeight="1" x14ac:dyDescent="0.2">
      <c r="A286" s="1243"/>
      <c r="B286" s="1243"/>
      <c r="C286" s="1243"/>
      <c r="D286" s="1243"/>
      <c r="E286" s="1243"/>
      <c r="F286" s="1243"/>
      <c r="G286" s="1243"/>
      <c r="H286" s="1243"/>
      <c r="I286" s="1243"/>
      <c r="J286" s="1243"/>
      <c r="K286" s="1243"/>
      <c r="L286" s="1243"/>
      <c r="M286" s="1243"/>
      <c r="N286" s="1243"/>
      <c r="O286" s="1243"/>
      <c r="P286" s="1243"/>
      <c r="Q286" s="1243"/>
      <c r="R286" s="1243"/>
      <c r="S286" s="1243"/>
      <c r="T286" s="1243"/>
      <c r="U286" s="1243"/>
      <c r="V286" s="1243"/>
      <c r="W286" s="1243"/>
      <c r="X286" s="1243"/>
      <c r="Y286" s="1243"/>
      <c r="Z286" s="1243"/>
    </row>
    <row r="287" spans="1:26" ht="15.75" customHeight="1" x14ac:dyDescent="0.2">
      <c r="A287" s="1243"/>
      <c r="B287" s="1243"/>
      <c r="C287" s="1243"/>
      <c r="D287" s="1243"/>
      <c r="E287" s="1243"/>
      <c r="F287" s="1243"/>
      <c r="G287" s="1243"/>
      <c r="H287" s="1243"/>
      <c r="I287" s="1243"/>
      <c r="J287" s="1243"/>
      <c r="K287" s="1243"/>
      <c r="L287" s="1243"/>
      <c r="M287" s="1243"/>
      <c r="N287" s="1243"/>
      <c r="O287" s="1243"/>
      <c r="P287" s="1243"/>
      <c r="Q287" s="1243"/>
      <c r="R287" s="1243"/>
      <c r="S287" s="1243"/>
      <c r="T287" s="1243"/>
      <c r="U287" s="1243"/>
      <c r="V287" s="1243"/>
      <c r="W287" s="1243"/>
      <c r="X287" s="1243"/>
      <c r="Y287" s="1243"/>
      <c r="Z287" s="1243"/>
    </row>
    <row r="288" spans="1:26" ht="15.75" customHeight="1" x14ac:dyDescent="0.2">
      <c r="A288" s="1243"/>
      <c r="B288" s="1243"/>
      <c r="C288" s="1243"/>
      <c r="D288" s="1243"/>
      <c r="E288" s="1243"/>
      <c r="F288" s="1243"/>
      <c r="G288" s="1243"/>
      <c r="H288" s="1243"/>
      <c r="I288" s="1243"/>
      <c r="J288" s="1243"/>
      <c r="K288" s="1243"/>
      <c r="L288" s="1243"/>
      <c r="M288" s="1243"/>
      <c r="N288" s="1243"/>
      <c r="O288" s="1243"/>
      <c r="P288" s="1243"/>
      <c r="Q288" s="1243"/>
      <c r="R288" s="1243"/>
      <c r="S288" s="1243"/>
      <c r="T288" s="1243"/>
      <c r="U288" s="1243"/>
      <c r="V288" s="1243"/>
      <c r="W288" s="1243"/>
      <c r="X288" s="1243"/>
      <c r="Y288" s="1243"/>
      <c r="Z288" s="1243"/>
    </row>
    <row r="289" spans="1:26" ht="15.75" customHeight="1" x14ac:dyDescent="0.2">
      <c r="A289" s="1243"/>
      <c r="B289" s="1243"/>
      <c r="C289" s="1243"/>
      <c r="D289" s="1243"/>
      <c r="E289" s="1243"/>
      <c r="F289" s="1243"/>
      <c r="G289" s="1243"/>
      <c r="H289" s="1243"/>
      <c r="I289" s="1243"/>
      <c r="J289" s="1243"/>
      <c r="K289" s="1243"/>
      <c r="L289" s="1243"/>
      <c r="M289" s="1243"/>
      <c r="N289" s="1243"/>
      <c r="O289" s="1243"/>
      <c r="P289" s="1243"/>
      <c r="Q289" s="1243"/>
      <c r="R289" s="1243"/>
      <c r="S289" s="1243"/>
      <c r="T289" s="1243"/>
      <c r="U289" s="1243"/>
      <c r="V289" s="1243"/>
      <c r="W289" s="1243"/>
      <c r="X289" s="1243"/>
      <c r="Y289" s="1243"/>
      <c r="Z289" s="1243"/>
    </row>
    <row r="290" spans="1:26" ht="15.75" customHeight="1" x14ac:dyDescent="0.2">
      <c r="A290" s="1243"/>
      <c r="B290" s="1243"/>
      <c r="C290" s="1243"/>
      <c r="D290" s="1243"/>
      <c r="E290" s="1243"/>
      <c r="F290" s="1243"/>
      <c r="G290" s="1243"/>
      <c r="H290" s="1243"/>
      <c r="I290" s="1243"/>
      <c r="J290" s="1243"/>
      <c r="K290" s="1243"/>
      <c r="L290" s="1243"/>
      <c r="M290" s="1243"/>
      <c r="N290" s="1243"/>
      <c r="O290" s="1243"/>
      <c r="P290" s="1243"/>
      <c r="Q290" s="1243"/>
      <c r="R290" s="1243"/>
      <c r="S290" s="1243"/>
      <c r="T290" s="1243"/>
      <c r="U290" s="1243"/>
      <c r="V290" s="1243"/>
      <c r="W290" s="1243"/>
      <c r="X290" s="1243"/>
      <c r="Y290" s="1243"/>
      <c r="Z290" s="1243"/>
    </row>
    <row r="291" spans="1:26" ht="15.75" customHeight="1" x14ac:dyDescent="0.2">
      <c r="A291" s="1243"/>
      <c r="B291" s="1243"/>
      <c r="C291" s="1243"/>
      <c r="D291" s="1243"/>
      <c r="E291" s="1243"/>
      <c r="F291" s="1243"/>
      <c r="G291" s="1243"/>
      <c r="H291" s="1243"/>
      <c r="I291" s="1243"/>
      <c r="J291" s="1243"/>
      <c r="K291" s="1243"/>
      <c r="L291" s="1243"/>
      <c r="M291" s="1243"/>
      <c r="N291" s="1243"/>
      <c r="O291" s="1243"/>
      <c r="P291" s="1243"/>
      <c r="Q291" s="1243"/>
      <c r="R291" s="1243"/>
      <c r="S291" s="1243"/>
      <c r="T291" s="1243"/>
      <c r="U291" s="1243"/>
      <c r="V291" s="1243"/>
      <c r="W291" s="1243"/>
      <c r="X291" s="1243"/>
      <c r="Y291" s="1243"/>
      <c r="Z291" s="1243"/>
    </row>
    <row r="292" spans="1:26" ht="15.75" customHeight="1" x14ac:dyDescent="0.2">
      <c r="A292" s="1243"/>
      <c r="B292" s="1243"/>
      <c r="C292" s="1243"/>
      <c r="D292" s="1243"/>
      <c r="E292" s="1243"/>
      <c r="F292" s="1243"/>
      <c r="G292" s="1243"/>
      <c r="H292" s="1243"/>
      <c r="I292" s="1243"/>
      <c r="J292" s="1243"/>
      <c r="K292" s="1243"/>
      <c r="L292" s="1243"/>
      <c r="M292" s="1243"/>
      <c r="N292" s="1243"/>
      <c r="O292" s="1243"/>
      <c r="P292" s="1243"/>
      <c r="Q292" s="1243"/>
      <c r="R292" s="1243"/>
      <c r="S292" s="1243"/>
      <c r="T292" s="1243"/>
      <c r="U292" s="1243"/>
      <c r="V292" s="1243"/>
      <c r="W292" s="1243"/>
      <c r="X292" s="1243"/>
      <c r="Y292" s="1243"/>
      <c r="Z292" s="1243"/>
    </row>
    <row r="293" spans="1:26" ht="15.75" customHeight="1" x14ac:dyDescent="0.2">
      <c r="A293" s="1243"/>
      <c r="B293" s="1243"/>
      <c r="C293" s="1243"/>
      <c r="D293" s="1243"/>
      <c r="E293" s="1243"/>
      <c r="F293" s="1243"/>
      <c r="G293" s="1243"/>
      <c r="H293" s="1243"/>
      <c r="I293" s="1243"/>
      <c r="J293" s="1243"/>
      <c r="K293" s="1243"/>
      <c r="L293" s="1243"/>
      <c r="M293" s="1243"/>
      <c r="N293" s="1243"/>
      <c r="O293" s="1243"/>
      <c r="P293" s="1243"/>
      <c r="Q293" s="1243"/>
      <c r="R293" s="1243"/>
      <c r="S293" s="1243"/>
      <c r="T293" s="1243"/>
      <c r="U293" s="1243"/>
      <c r="V293" s="1243"/>
      <c r="W293" s="1243"/>
      <c r="X293" s="1243"/>
      <c r="Y293" s="1243"/>
      <c r="Z293" s="1243"/>
    </row>
    <row r="294" spans="1:26" ht="15.75" customHeight="1" x14ac:dyDescent="0.2">
      <c r="A294" s="1243"/>
      <c r="B294" s="1243"/>
      <c r="C294" s="1243"/>
      <c r="D294" s="1243"/>
      <c r="E294" s="1243"/>
      <c r="F294" s="1243"/>
      <c r="G294" s="1243"/>
      <c r="H294" s="1243"/>
      <c r="I294" s="1243"/>
      <c r="J294" s="1243"/>
      <c r="K294" s="1243"/>
      <c r="L294" s="1243"/>
      <c r="M294" s="1243"/>
      <c r="N294" s="1243"/>
      <c r="O294" s="1243"/>
      <c r="P294" s="1243"/>
      <c r="Q294" s="1243"/>
      <c r="R294" s="1243"/>
      <c r="S294" s="1243"/>
      <c r="T294" s="1243"/>
      <c r="U294" s="1243"/>
      <c r="V294" s="1243"/>
      <c r="W294" s="1243"/>
      <c r="X294" s="1243"/>
      <c r="Y294" s="1243"/>
      <c r="Z294" s="1243"/>
    </row>
    <row r="295" spans="1:26" ht="15.75" customHeight="1" x14ac:dyDescent="0.2">
      <c r="A295" s="1243"/>
      <c r="B295" s="1243"/>
      <c r="C295" s="1243"/>
      <c r="D295" s="1243"/>
      <c r="E295" s="1243"/>
      <c r="F295" s="1243"/>
      <c r="G295" s="1243"/>
      <c r="H295" s="1243"/>
      <c r="I295" s="1243"/>
      <c r="J295" s="1243"/>
      <c r="K295" s="1243"/>
      <c r="L295" s="1243"/>
      <c r="M295" s="1243"/>
      <c r="N295" s="1243"/>
      <c r="O295" s="1243"/>
      <c r="P295" s="1243"/>
      <c r="Q295" s="1243"/>
      <c r="R295" s="1243"/>
      <c r="S295" s="1243"/>
      <c r="T295" s="1243"/>
      <c r="U295" s="1243"/>
      <c r="V295" s="1243"/>
      <c r="W295" s="1243"/>
      <c r="X295" s="1243"/>
      <c r="Y295" s="1243"/>
      <c r="Z295" s="1243"/>
    </row>
    <row r="296" spans="1:26" ht="15.75" customHeight="1" x14ac:dyDescent="0.2">
      <c r="A296" s="1243"/>
      <c r="B296" s="1243"/>
      <c r="C296" s="1243"/>
      <c r="D296" s="1243"/>
      <c r="E296" s="1243"/>
      <c r="F296" s="1243"/>
      <c r="G296" s="1243"/>
      <c r="H296" s="1243"/>
      <c r="I296" s="1243"/>
      <c r="J296" s="1243"/>
      <c r="K296" s="1243"/>
      <c r="L296" s="1243"/>
      <c r="M296" s="1243"/>
      <c r="N296" s="1243"/>
      <c r="O296" s="1243"/>
      <c r="P296" s="1243"/>
      <c r="Q296" s="1243"/>
      <c r="R296" s="1243"/>
      <c r="S296" s="1243"/>
      <c r="T296" s="1243"/>
      <c r="U296" s="1243"/>
      <c r="V296" s="1243"/>
      <c r="W296" s="1243"/>
      <c r="X296" s="1243"/>
      <c r="Y296" s="1243"/>
      <c r="Z296" s="1243"/>
    </row>
    <row r="297" spans="1:26" ht="15.75" customHeight="1" x14ac:dyDescent="0.2">
      <c r="A297" s="1243"/>
      <c r="B297" s="1243"/>
      <c r="C297" s="1243"/>
      <c r="D297" s="1243"/>
      <c r="E297" s="1243"/>
      <c r="F297" s="1243"/>
      <c r="G297" s="1243"/>
      <c r="H297" s="1243"/>
      <c r="I297" s="1243"/>
      <c r="J297" s="1243"/>
      <c r="K297" s="1243"/>
      <c r="L297" s="1243"/>
      <c r="M297" s="1243"/>
      <c r="N297" s="1243"/>
      <c r="O297" s="1243"/>
      <c r="P297" s="1243"/>
      <c r="Q297" s="1243"/>
      <c r="R297" s="1243"/>
      <c r="S297" s="1243"/>
      <c r="T297" s="1243"/>
      <c r="U297" s="1243"/>
      <c r="V297" s="1243"/>
      <c r="W297" s="1243"/>
      <c r="X297" s="1243"/>
      <c r="Y297" s="1243"/>
      <c r="Z297" s="1243"/>
    </row>
    <row r="298" spans="1:26" ht="15.75" customHeight="1" x14ac:dyDescent="0.2">
      <c r="A298" s="1243"/>
      <c r="B298" s="1243"/>
      <c r="C298" s="1243"/>
      <c r="D298" s="1243"/>
      <c r="E298" s="1243"/>
      <c r="F298" s="1243"/>
      <c r="G298" s="1243"/>
      <c r="H298" s="1243"/>
      <c r="I298" s="1243"/>
      <c r="J298" s="1243"/>
      <c r="K298" s="1243"/>
      <c r="L298" s="1243"/>
      <c r="M298" s="1243"/>
      <c r="N298" s="1243"/>
      <c r="O298" s="1243"/>
      <c r="P298" s="1243"/>
      <c r="Q298" s="1243"/>
      <c r="R298" s="1243"/>
      <c r="S298" s="1243"/>
      <c r="T298" s="1243"/>
      <c r="U298" s="1243"/>
      <c r="V298" s="1243"/>
      <c r="W298" s="1243"/>
      <c r="X298" s="1243"/>
      <c r="Y298" s="1243"/>
      <c r="Z298" s="1243"/>
    </row>
    <row r="299" spans="1:26" ht="15.75" customHeight="1" x14ac:dyDescent="0.2">
      <c r="A299" s="1243"/>
      <c r="B299" s="1243"/>
      <c r="C299" s="1243"/>
      <c r="D299" s="1243"/>
      <c r="E299" s="1243"/>
      <c r="F299" s="1243"/>
      <c r="G299" s="1243"/>
      <c r="H299" s="1243"/>
      <c r="I299" s="1243"/>
      <c r="J299" s="1243"/>
      <c r="K299" s="1243"/>
      <c r="L299" s="1243"/>
      <c r="M299" s="1243"/>
      <c r="N299" s="1243"/>
      <c r="O299" s="1243"/>
      <c r="P299" s="1243"/>
      <c r="Q299" s="1243"/>
      <c r="R299" s="1243"/>
      <c r="S299" s="1243"/>
      <c r="T299" s="1243"/>
      <c r="U299" s="1243"/>
      <c r="V299" s="1243"/>
      <c r="W299" s="1243"/>
      <c r="X299" s="1243"/>
      <c r="Y299" s="1243"/>
      <c r="Z299" s="1243"/>
    </row>
    <row r="300" spans="1:26" ht="15.75" customHeight="1" x14ac:dyDescent="0.2">
      <c r="A300" s="1243"/>
      <c r="B300" s="1243"/>
      <c r="C300" s="1243"/>
      <c r="D300" s="1243"/>
      <c r="E300" s="1243"/>
      <c r="F300" s="1243"/>
      <c r="G300" s="1243"/>
      <c r="H300" s="1243"/>
      <c r="I300" s="1243"/>
      <c r="J300" s="1243"/>
      <c r="K300" s="1243"/>
      <c r="L300" s="1243"/>
      <c r="M300" s="1243"/>
      <c r="N300" s="1243"/>
      <c r="O300" s="1243"/>
      <c r="P300" s="1243"/>
      <c r="Q300" s="1243"/>
      <c r="R300" s="1243"/>
      <c r="S300" s="1243"/>
      <c r="T300" s="1243"/>
      <c r="U300" s="1243"/>
      <c r="V300" s="1243"/>
      <c r="W300" s="1243"/>
      <c r="X300" s="1243"/>
      <c r="Y300" s="1243"/>
      <c r="Z300" s="1243"/>
    </row>
    <row r="301" spans="1:26" ht="15.75" customHeight="1" x14ac:dyDescent="0.2">
      <c r="A301" s="1243"/>
      <c r="B301" s="1243"/>
      <c r="C301" s="1243"/>
      <c r="D301" s="1243"/>
      <c r="E301" s="1243"/>
      <c r="F301" s="1243"/>
      <c r="G301" s="1243"/>
      <c r="H301" s="1243"/>
      <c r="I301" s="1243"/>
      <c r="J301" s="1243"/>
      <c r="K301" s="1243"/>
      <c r="L301" s="1243"/>
      <c r="M301" s="1243"/>
      <c r="N301" s="1243"/>
      <c r="O301" s="1243"/>
      <c r="P301" s="1243"/>
      <c r="Q301" s="1243"/>
      <c r="R301" s="1243"/>
      <c r="S301" s="1243"/>
      <c r="T301" s="1243"/>
      <c r="U301" s="1243"/>
      <c r="V301" s="1243"/>
      <c r="W301" s="1243"/>
      <c r="X301" s="1243"/>
      <c r="Y301" s="1243"/>
      <c r="Z301" s="1243"/>
    </row>
    <row r="302" spans="1:26" ht="15.75" customHeight="1" x14ac:dyDescent="0.2">
      <c r="A302" s="1243"/>
      <c r="B302" s="1243"/>
      <c r="C302" s="1243"/>
      <c r="D302" s="1243"/>
      <c r="E302" s="1243"/>
      <c r="F302" s="1243"/>
      <c r="G302" s="1243"/>
      <c r="H302" s="1243"/>
      <c r="I302" s="1243"/>
      <c r="J302" s="1243"/>
      <c r="K302" s="1243"/>
      <c r="L302" s="1243"/>
      <c r="M302" s="1243"/>
      <c r="N302" s="1243"/>
      <c r="O302" s="1243"/>
      <c r="P302" s="1243"/>
      <c r="Q302" s="1243"/>
      <c r="R302" s="1243"/>
      <c r="S302" s="1243"/>
      <c r="T302" s="1243"/>
      <c r="U302" s="1243"/>
      <c r="V302" s="1243"/>
      <c r="W302" s="1243"/>
      <c r="X302" s="1243"/>
      <c r="Y302" s="1243"/>
      <c r="Z302" s="1243"/>
    </row>
    <row r="303" spans="1:26" ht="15.75" customHeight="1" x14ac:dyDescent="0.2">
      <c r="A303" s="1243"/>
      <c r="B303" s="1243"/>
      <c r="C303" s="1243"/>
      <c r="D303" s="1243"/>
      <c r="E303" s="1243"/>
      <c r="F303" s="1243"/>
      <c r="G303" s="1243"/>
      <c r="H303" s="1243"/>
      <c r="I303" s="1243"/>
      <c r="J303" s="1243"/>
      <c r="K303" s="1243"/>
      <c r="L303" s="1243"/>
      <c r="M303" s="1243"/>
      <c r="N303" s="1243"/>
      <c r="O303" s="1243"/>
      <c r="P303" s="1243"/>
      <c r="Q303" s="1243"/>
      <c r="R303" s="1243"/>
      <c r="S303" s="1243"/>
      <c r="T303" s="1243"/>
      <c r="U303" s="1243"/>
      <c r="V303" s="1243"/>
      <c r="W303" s="1243"/>
      <c r="X303" s="1243"/>
      <c r="Y303" s="1243"/>
      <c r="Z303" s="1243"/>
    </row>
    <row r="304" spans="1:26" ht="15.75" customHeight="1" x14ac:dyDescent="0.2">
      <c r="A304" s="1243"/>
      <c r="B304" s="1243"/>
      <c r="C304" s="1243"/>
      <c r="D304" s="1243"/>
      <c r="E304" s="1243"/>
      <c r="F304" s="1243"/>
      <c r="G304" s="1243"/>
      <c r="H304" s="1243"/>
      <c r="I304" s="1243"/>
      <c r="J304" s="1243"/>
      <c r="K304" s="1243"/>
      <c r="L304" s="1243"/>
      <c r="M304" s="1243"/>
      <c r="N304" s="1243"/>
      <c r="O304" s="1243"/>
      <c r="P304" s="1243"/>
      <c r="Q304" s="1243"/>
      <c r="R304" s="1243"/>
      <c r="S304" s="1243"/>
      <c r="T304" s="1243"/>
      <c r="U304" s="1243"/>
      <c r="V304" s="1243"/>
      <c r="W304" s="1243"/>
      <c r="X304" s="1243"/>
      <c r="Y304" s="1243"/>
      <c r="Z304" s="1243"/>
    </row>
    <row r="305" spans="1:26" ht="15.75" customHeight="1" x14ac:dyDescent="0.2">
      <c r="A305" s="1243"/>
      <c r="B305" s="1243"/>
      <c r="C305" s="1243"/>
      <c r="D305" s="1243"/>
      <c r="E305" s="1243"/>
      <c r="F305" s="1243"/>
      <c r="G305" s="1243"/>
      <c r="H305" s="1243"/>
      <c r="I305" s="1243"/>
      <c r="J305" s="1243"/>
      <c r="K305" s="1243"/>
      <c r="L305" s="1243"/>
      <c r="M305" s="1243"/>
      <c r="N305" s="1243"/>
      <c r="O305" s="1243"/>
      <c r="P305" s="1243"/>
      <c r="Q305" s="1243"/>
      <c r="R305" s="1243"/>
      <c r="S305" s="1243"/>
      <c r="T305" s="1243"/>
      <c r="U305" s="1243"/>
      <c r="V305" s="1243"/>
      <c r="W305" s="1243"/>
      <c r="X305" s="1243"/>
      <c r="Y305" s="1243"/>
      <c r="Z305" s="1243"/>
    </row>
    <row r="306" spans="1:26" ht="15.75" customHeight="1" x14ac:dyDescent="0.2">
      <c r="A306" s="1243"/>
      <c r="B306" s="1243"/>
      <c r="C306" s="1243"/>
      <c r="D306" s="1243"/>
      <c r="E306" s="1243"/>
      <c r="F306" s="1243"/>
      <c r="G306" s="1243"/>
      <c r="H306" s="1243"/>
      <c r="I306" s="1243"/>
      <c r="J306" s="1243"/>
      <c r="K306" s="1243"/>
      <c r="L306" s="1243"/>
      <c r="M306" s="1243"/>
      <c r="N306" s="1243"/>
      <c r="O306" s="1243"/>
      <c r="P306" s="1243"/>
      <c r="Q306" s="1243"/>
      <c r="R306" s="1243"/>
      <c r="S306" s="1243"/>
      <c r="T306" s="1243"/>
      <c r="U306" s="1243"/>
      <c r="V306" s="1243"/>
      <c r="W306" s="1243"/>
      <c r="X306" s="1243"/>
      <c r="Y306" s="1243"/>
      <c r="Z306" s="1243"/>
    </row>
    <row r="307" spans="1:26" ht="15.75" customHeight="1" x14ac:dyDescent="0.2">
      <c r="A307" s="1243"/>
      <c r="B307" s="1243"/>
      <c r="C307" s="1243"/>
      <c r="D307" s="1243"/>
      <c r="E307" s="1243"/>
      <c r="F307" s="1243"/>
      <c r="G307" s="1243"/>
      <c r="H307" s="1243"/>
      <c r="I307" s="1243"/>
      <c r="J307" s="1243"/>
      <c r="K307" s="1243"/>
      <c r="L307" s="1243"/>
      <c r="M307" s="1243"/>
      <c r="N307" s="1243"/>
      <c r="O307" s="1243"/>
      <c r="P307" s="1243"/>
      <c r="Q307" s="1243"/>
      <c r="R307" s="1243"/>
      <c r="S307" s="1243"/>
      <c r="T307" s="1243"/>
      <c r="U307" s="1243"/>
      <c r="V307" s="1243"/>
      <c r="W307" s="1243"/>
      <c r="X307" s="1243"/>
      <c r="Y307" s="1243"/>
      <c r="Z307" s="1243"/>
    </row>
    <row r="308" spans="1:26" ht="15.75" customHeight="1" x14ac:dyDescent="0.2">
      <c r="A308" s="1243"/>
      <c r="B308" s="1243"/>
      <c r="C308" s="1243"/>
      <c r="D308" s="1243"/>
      <c r="E308" s="1243"/>
      <c r="F308" s="1243"/>
      <c r="G308" s="1243"/>
      <c r="H308" s="1243"/>
      <c r="I308" s="1243"/>
      <c r="J308" s="1243"/>
      <c r="K308" s="1243"/>
      <c r="L308" s="1243"/>
      <c r="M308" s="1243"/>
      <c r="N308" s="1243"/>
      <c r="O308" s="1243"/>
      <c r="P308" s="1243"/>
      <c r="Q308" s="1243"/>
      <c r="R308" s="1243"/>
      <c r="S308" s="1243"/>
      <c r="T308" s="1243"/>
      <c r="U308" s="1243"/>
      <c r="V308" s="1243"/>
      <c r="W308" s="1243"/>
      <c r="X308" s="1243"/>
      <c r="Y308" s="1243"/>
      <c r="Z308" s="1243"/>
    </row>
    <row r="309" spans="1:26" ht="15.75" customHeight="1" x14ac:dyDescent="0.2">
      <c r="A309" s="1243"/>
      <c r="B309" s="1243"/>
      <c r="C309" s="1243"/>
      <c r="D309" s="1243"/>
      <c r="E309" s="1243"/>
      <c r="F309" s="1243"/>
      <c r="G309" s="1243"/>
      <c r="H309" s="1243"/>
      <c r="I309" s="1243"/>
      <c r="J309" s="1243"/>
      <c r="K309" s="1243"/>
      <c r="L309" s="1243"/>
      <c r="M309" s="1243"/>
      <c r="N309" s="1243"/>
      <c r="O309" s="1243"/>
      <c r="P309" s="1243"/>
      <c r="Q309" s="1243"/>
      <c r="R309" s="1243"/>
      <c r="S309" s="1243"/>
      <c r="T309" s="1243"/>
      <c r="U309" s="1243"/>
      <c r="V309" s="1243"/>
      <c r="W309" s="1243"/>
      <c r="X309" s="1243"/>
      <c r="Y309" s="1243"/>
      <c r="Z309" s="1243"/>
    </row>
    <row r="310" spans="1:26" ht="15.75" customHeight="1" x14ac:dyDescent="0.2">
      <c r="A310" s="1243"/>
      <c r="B310" s="1243"/>
      <c r="C310" s="1243"/>
      <c r="D310" s="1243"/>
      <c r="E310" s="1243"/>
      <c r="F310" s="1243"/>
      <c r="G310" s="1243"/>
      <c r="H310" s="1243"/>
      <c r="I310" s="1243"/>
      <c r="J310" s="1243"/>
      <c r="K310" s="1243"/>
      <c r="L310" s="1243"/>
      <c r="M310" s="1243"/>
      <c r="N310" s="1243"/>
      <c r="O310" s="1243"/>
      <c r="P310" s="1243"/>
      <c r="Q310" s="1243"/>
      <c r="R310" s="1243"/>
      <c r="S310" s="1243"/>
      <c r="T310" s="1243"/>
      <c r="U310" s="1243"/>
      <c r="V310" s="1243"/>
      <c r="W310" s="1243"/>
      <c r="X310" s="1243"/>
      <c r="Y310" s="1243"/>
      <c r="Z310" s="1243"/>
    </row>
    <row r="311" spans="1:26" ht="15.75" customHeight="1" x14ac:dyDescent="0.2">
      <c r="A311" s="1243"/>
      <c r="B311" s="1243"/>
      <c r="C311" s="1243"/>
      <c r="D311" s="1243"/>
      <c r="E311" s="1243"/>
      <c r="F311" s="1243"/>
      <c r="G311" s="1243"/>
      <c r="H311" s="1243"/>
      <c r="I311" s="1243"/>
      <c r="J311" s="1243"/>
      <c r="K311" s="1243"/>
      <c r="L311" s="1243"/>
      <c r="M311" s="1243"/>
      <c r="N311" s="1243"/>
      <c r="O311" s="1243"/>
      <c r="P311" s="1243"/>
      <c r="Q311" s="1243"/>
      <c r="R311" s="1243"/>
      <c r="S311" s="1243"/>
      <c r="T311" s="1243"/>
      <c r="U311" s="1243"/>
      <c r="V311" s="1243"/>
      <c r="W311" s="1243"/>
      <c r="X311" s="1243"/>
      <c r="Y311" s="1243"/>
      <c r="Z311" s="1243"/>
    </row>
    <row r="312" spans="1:26" ht="15.75" customHeight="1" x14ac:dyDescent="0.2">
      <c r="A312" s="1243"/>
      <c r="B312" s="1243"/>
      <c r="C312" s="1243"/>
      <c r="D312" s="1243"/>
      <c r="E312" s="1243"/>
      <c r="F312" s="1243"/>
      <c r="G312" s="1243"/>
      <c r="H312" s="1243"/>
      <c r="I312" s="1243"/>
      <c r="J312" s="1243"/>
      <c r="K312" s="1243"/>
      <c r="L312" s="1243"/>
      <c r="M312" s="1243"/>
      <c r="N312" s="1243"/>
      <c r="O312" s="1243"/>
      <c r="P312" s="1243"/>
      <c r="Q312" s="1243"/>
      <c r="R312" s="1243"/>
      <c r="S312" s="1243"/>
      <c r="T312" s="1243"/>
      <c r="U312" s="1243"/>
      <c r="V312" s="1243"/>
      <c r="W312" s="1243"/>
      <c r="X312" s="1243"/>
      <c r="Y312" s="1243"/>
      <c r="Z312" s="1243"/>
    </row>
    <row r="313" spans="1:26" ht="15.75" customHeight="1" x14ac:dyDescent="0.2">
      <c r="A313" s="1243"/>
      <c r="B313" s="1243"/>
      <c r="C313" s="1243"/>
      <c r="D313" s="1243"/>
      <c r="E313" s="1243"/>
      <c r="F313" s="1243"/>
      <c r="G313" s="1243"/>
      <c r="H313" s="1243"/>
      <c r="I313" s="1243"/>
      <c r="J313" s="1243"/>
      <c r="K313" s="1243"/>
      <c r="L313" s="1243"/>
      <c r="M313" s="1243"/>
      <c r="N313" s="1243"/>
      <c r="O313" s="1243"/>
      <c r="P313" s="1243"/>
      <c r="Q313" s="1243"/>
      <c r="R313" s="1243"/>
      <c r="S313" s="1243"/>
      <c r="T313" s="1243"/>
      <c r="U313" s="1243"/>
      <c r="V313" s="1243"/>
      <c r="W313" s="1243"/>
      <c r="X313" s="1243"/>
      <c r="Y313" s="1243"/>
      <c r="Z313" s="1243"/>
    </row>
    <row r="314" spans="1:26" ht="15.75" customHeight="1" x14ac:dyDescent="0.2">
      <c r="A314" s="1243"/>
      <c r="B314" s="1243"/>
      <c r="C314" s="1243"/>
      <c r="D314" s="1243"/>
      <c r="E314" s="1243"/>
      <c r="F314" s="1243"/>
      <c r="G314" s="1243"/>
      <c r="H314" s="1243"/>
      <c r="I314" s="1243"/>
      <c r="J314" s="1243"/>
      <c r="K314" s="1243"/>
      <c r="L314" s="1243"/>
      <c r="M314" s="1243"/>
      <c r="N314" s="1243"/>
      <c r="O314" s="1243"/>
      <c r="P314" s="1243"/>
      <c r="Q314" s="1243"/>
      <c r="R314" s="1243"/>
      <c r="S314" s="1243"/>
      <c r="T314" s="1243"/>
      <c r="U314" s="1243"/>
      <c r="V314" s="1243"/>
      <c r="W314" s="1243"/>
      <c r="X314" s="1243"/>
      <c r="Y314" s="1243"/>
      <c r="Z314" s="1243"/>
    </row>
    <row r="315" spans="1:26" ht="15.75" customHeight="1" x14ac:dyDescent="0.2">
      <c r="A315" s="1243"/>
      <c r="B315" s="1243"/>
      <c r="C315" s="1243"/>
      <c r="D315" s="1243"/>
      <c r="E315" s="1243"/>
      <c r="F315" s="1243"/>
      <c r="G315" s="1243"/>
      <c r="H315" s="1243"/>
      <c r="I315" s="1243"/>
      <c r="J315" s="1243"/>
      <c r="K315" s="1243"/>
      <c r="L315" s="1243"/>
      <c r="M315" s="1243"/>
      <c r="N315" s="1243"/>
      <c r="O315" s="1243"/>
      <c r="P315" s="1243"/>
      <c r="Q315" s="1243"/>
      <c r="R315" s="1243"/>
      <c r="S315" s="1243"/>
      <c r="T315" s="1243"/>
      <c r="U315" s="1243"/>
      <c r="V315" s="1243"/>
      <c r="W315" s="1243"/>
      <c r="X315" s="1243"/>
      <c r="Y315" s="1243"/>
      <c r="Z315" s="1243"/>
    </row>
    <row r="316" spans="1:26" ht="15.75" customHeight="1" x14ac:dyDescent="0.2">
      <c r="A316" s="1243"/>
      <c r="B316" s="1243"/>
      <c r="C316" s="1243"/>
      <c r="D316" s="1243"/>
      <c r="E316" s="1243"/>
      <c r="F316" s="1243"/>
      <c r="G316" s="1243"/>
      <c r="H316" s="1243"/>
      <c r="I316" s="1243"/>
      <c r="J316" s="1243"/>
      <c r="K316" s="1243"/>
      <c r="L316" s="1243"/>
      <c r="M316" s="1243"/>
      <c r="N316" s="1243"/>
      <c r="O316" s="1243"/>
      <c r="P316" s="1243"/>
      <c r="Q316" s="1243"/>
      <c r="R316" s="1243"/>
      <c r="S316" s="1243"/>
      <c r="T316" s="1243"/>
      <c r="U316" s="1243"/>
      <c r="V316" s="1243"/>
      <c r="W316" s="1243"/>
      <c r="X316" s="1243"/>
      <c r="Y316" s="1243"/>
      <c r="Z316" s="1243"/>
    </row>
    <row r="317" spans="1:26" ht="15.75" customHeight="1" x14ac:dyDescent="0.2">
      <c r="A317" s="1243"/>
      <c r="B317" s="1243"/>
      <c r="C317" s="1243"/>
      <c r="D317" s="1243"/>
      <c r="E317" s="1243"/>
      <c r="F317" s="1243"/>
      <c r="G317" s="1243"/>
      <c r="H317" s="1243"/>
      <c r="I317" s="1243"/>
      <c r="J317" s="1243"/>
      <c r="K317" s="1243"/>
      <c r="L317" s="1243"/>
      <c r="M317" s="1243"/>
      <c r="N317" s="1243"/>
      <c r="O317" s="1243"/>
      <c r="P317" s="1243"/>
      <c r="Q317" s="1243"/>
      <c r="R317" s="1243"/>
      <c r="S317" s="1243"/>
      <c r="T317" s="1243"/>
      <c r="U317" s="1243"/>
      <c r="V317" s="1243"/>
      <c r="W317" s="1243"/>
      <c r="X317" s="1243"/>
      <c r="Y317" s="1243"/>
      <c r="Z317" s="1243"/>
    </row>
    <row r="318" spans="1:26" ht="15.75" customHeight="1" x14ac:dyDescent="0.2">
      <c r="A318" s="1243"/>
      <c r="B318" s="1243"/>
      <c r="C318" s="1243"/>
      <c r="D318" s="1243"/>
      <c r="E318" s="1243"/>
      <c r="F318" s="1243"/>
      <c r="G318" s="1243"/>
      <c r="H318" s="1243"/>
      <c r="I318" s="1243"/>
      <c r="J318" s="1243"/>
      <c r="K318" s="1243"/>
      <c r="L318" s="1243"/>
      <c r="M318" s="1243"/>
      <c r="N318" s="1243"/>
      <c r="O318" s="1243"/>
      <c r="P318" s="1243"/>
      <c r="Q318" s="1243"/>
      <c r="R318" s="1243"/>
      <c r="S318" s="1243"/>
      <c r="T318" s="1243"/>
      <c r="U318" s="1243"/>
      <c r="V318" s="1243"/>
      <c r="W318" s="1243"/>
      <c r="X318" s="1243"/>
      <c r="Y318" s="1243"/>
      <c r="Z318" s="1243"/>
    </row>
    <row r="319" spans="1:26" ht="15.75" customHeight="1" x14ac:dyDescent="0.2">
      <c r="A319" s="1243"/>
      <c r="B319" s="1243"/>
      <c r="C319" s="1243"/>
      <c r="D319" s="1243"/>
      <c r="E319" s="1243"/>
      <c r="F319" s="1243"/>
      <c r="G319" s="1243"/>
      <c r="H319" s="1243"/>
      <c r="I319" s="1243"/>
      <c r="J319" s="1243"/>
      <c r="K319" s="1243"/>
      <c r="L319" s="1243"/>
      <c r="M319" s="1243"/>
      <c r="N319" s="1243"/>
      <c r="O319" s="1243"/>
      <c r="P319" s="1243"/>
      <c r="Q319" s="1243"/>
      <c r="R319" s="1243"/>
      <c r="S319" s="1243"/>
      <c r="T319" s="1243"/>
      <c r="U319" s="1243"/>
      <c r="V319" s="1243"/>
      <c r="W319" s="1243"/>
      <c r="X319" s="1243"/>
      <c r="Y319" s="1243"/>
      <c r="Z319" s="1243"/>
    </row>
    <row r="320" spans="1:26" ht="15.75" customHeight="1" x14ac:dyDescent="0.2">
      <c r="A320" s="1243"/>
      <c r="B320" s="1243"/>
      <c r="C320" s="1243"/>
      <c r="D320" s="1243"/>
      <c r="E320" s="1243"/>
      <c r="F320" s="1243"/>
      <c r="G320" s="1243"/>
      <c r="H320" s="1243"/>
      <c r="I320" s="1243"/>
      <c r="J320" s="1243"/>
      <c r="K320" s="1243"/>
      <c r="L320" s="1243"/>
      <c r="M320" s="1243"/>
      <c r="N320" s="1243"/>
      <c r="O320" s="1243"/>
      <c r="P320" s="1243"/>
      <c r="Q320" s="1243"/>
      <c r="R320" s="1243"/>
      <c r="S320" s="1243"/>
      <c r="T320" s="1243"/>
      <c r="U320" s="1243"/>
      <c r="V320" s="1243"/>
      <c r="W320" s="1243"/>
      <c r="X320" s="1243"/>
      <c r="Y320" s="1243"/>
      <c r="Z320" s="1243"/>
    </row>
    <row r="321" spans="1:26" ht="15.75" customHeight="1" x14ac:dyDescent="0.2">
      <c r="A321" s="1243"/>
      <c r="B321" s="1243"/>
      <c r="C321" s="1243"/>
      <c r="D321" s="1243"/>
      <c r="E321" s="1243"/>
      <c r="F321" s="1243"/>
      <c r="G321" s="1243"/>
      <c r="H321" s="1243"/>
      <c r="I321" s="1243"/>
      <c r="J321" s="1243"/>
      <c r="K321" s="1243"/>
      <c r="L321" s="1243"/>
      <c r="M321" s="1243"/>
      <c r="N321" s="1243"/>
      <c r="O321" s="1243"/>
      <c r="P321" s="1243"/>
      <c r="Q321" s="1243"/>
      <c r="R321" s="1243"/>
      <c r="S321" s="1243"/>
      <c r="T321" s="1243"/>
      <c r="U321" s="1243"/>
      <c r="V321" s="1243"/>
      <c r="W321" s="1243"/>
      <c r="X321" s="1243"/>
      <c r="Y321" s="1243"/>
      <c r="Z321" s="1243"/>
    </row>
    <row r="322" spans="1:26" ht="15.75" customHeight="1" x14ac:dyDescent="0.2">
      <c r="A322" s="1243"/>
      <c r="B322" s="1243"/>
      <c r="C322" s="1243"/>
      <c r="D322" s="1243"/>
      <c r="E322" s="1243"/>
      <c r="F322" s="1243"/>
      <c r="G322" s="1243"/>
      <c r="H322" s="1243"/>
      <c r="I322" s="1243"/>
      <c r="J322" s="1243"/>
      <c r="K322" s="1243"/>
      <c r="L322" s="1243"/>
      <c r="M322" s="1243"/>
      <c r="N322" s="1243"/>
      <c r="O322" s="1243"/>
      <c r="P322" s="1243"/>
      <c r="Q322" s="1243"/>
      <c r="R322" s="1243"/>
      <c r="S322" s="1243"/>
      <c r="T322" s="1243"/>
      <c r="U322" s="1243"/>
      <c r="V322" s="1243"/>
      <c r="W322" s="1243"/>
      <c r="X322" s="1243"/>
      <c r="Y322" s="1243"/>
      <c r="Z322" s="1243"/>
    </row>
    <row r="323" spans="1:26" ht="15.75" customHeight="1" x14ac:dyDescent="0.2">
      <c r="A323" s="1243"/>
      <c r="B323" s="1243"/>
      <c r="C323" s="1243"/>
      <c r="D323" s="1243"/>
      <c r="E323" s="1243"/>
      <c r="F323" s="1243"/>
      <c r="G323" s="1243"/>
      <c r="H323" s="1243"/>
      <c r="I323" s="1243"/>
      <c r="J323" s="1243"/>
      <c r="K323" s="1243"/>
      <c r="L323" s="1243"/>
      <c r="M323" s="1243"/>
      <c r="N323" s="1243"/>
      <c r="O323" s="1243"/>
      <c r="P323" s="1243"/>
      <c r="Q323" s="1243"/>
      <c r="R323" s="1243"/>
      <c r="S323" s="1243"/>
      <c r="T323" s="1243"/>
      <c r="U323" s="1243"/>
      <c r="V323" s="1243"/>
      <c r="W323" s="1243"/>
      <c r="X323" s="1243"/>
      <c r="Y323" s="1243"/>
      <c r="Z323" s="1243"/>
    </row>
    <row r="324" spans="1:26" ht="15.75" customHeight="1" x14ac:dyDescent="0.2">
      <c r="A324" s="1243"/>
      <c r="B324" s="1243"/>
      <c r="C324" s="1243"/>
      <c r="D324" s="1243"/>
      <c r="E324" s="1243"/>
      <c r="F324" s="1243"/>
      <c r="G324" s="1243"/>
      <c r="H324" s="1243"/>
      <c r="I324" s="1243"/>
      <c r="J324" s="1243"/>
      <c r="K324" s="1243"/>
      <c r="L324" s="1243"/>
      <c r="M324" s="1243"/>
      <c r="N324" s="1243"/>
      <c r="O324" s="1243"/>
      <c r="P324" s="1243"/>
      <c r="Q324" s="1243"/>
      <c r="R324" s="1243"/>
      <c r="S324" s="1243"/>
      <c r="T324" s="1243"/>
      <c r="U324" s="1243"/>
      <c r="V324" s="1243"/>
      <c r="W324" s="1243"/>
      <c r="X324" s="1243"/>
      <c r="Y324" s="1243"/>
      <c r="Z324" s="1243"/>
    </row>
    <row r="325" spans="1:26" ht="15.75" customHeight="1" x14ac:dyDescent="0.2">
      <c r="A325" s="1243"/>
      <c r="B325" s="1243"/>
      <c r="C325" s="1243"/>
      <c r="D325" s="1243"/>
      <c r="E325" s="1243"/>
      <c r="F325" s="1243"/>
      <c r="G325" s="1243"/>
      <c r="H325" s="1243"/>
      <c r="I325" s="1243"/>
      <c r="J325" s="1243"/>
      <c r="K325" s="1243"/>
      <c r="L325" s="1243"/>
      <c r="M325" s="1243"/>
      <c r="N325" s="1243"/>
      <c r="O325" s="1243"/>
      <c r="P325" s="1243"/>
      <c r="Q325" s="1243"/>
      <c r="R325" s="1243"/>
      <c r="S325" s="1243"/>
      <c r="T325" s="1243"/>
      <c r="U325" s="1243"/>
      <c r="V325" s="1243"/>
      <c r="W325" s="1243"/>
      <c r="X325" s="1243"/>
      <c r="Y325" s="1243"/>
      <c r="Z325" s="1243"/>
    </row>
    <row r="326" spans="1:26" ht="15.75" customHeight="1" x14ac:dyDescent="0.2">
      <c r="A326" s="1243"/>
      <c r="B326" s="1243"/>
      <c r="C326" s="1243"/>
      <c r="D326" s="1243"/>
      <c r="E326" s="1243"/>
      <c r="F326" s="1243"/>
      <c r="G326" s="1243"/>
      <c r="H326" s="1243"/>
      <c r="I326" s="1243"/>
      <c r="J326" s="1243"/>
      <c r="K326" s="1243"/>
      <c r="L326" s="1243"/>
      <c r="M326" s="1243"/>
      <c r="N326" s="1243"/>
      <c r="O326" s="1243"/>
      <c r="P326" s="1243"/>
      <c r="Q326" s="1243"/>
      <c r="R326" s="1243"/>
      <c r="S326" s="1243"/>
      <c r="T326" s="1243"/>
      <c r="U326" s="1243"/>
      <c r="V326" s="1243"/>
      <c r="W326" s="1243"/>
      <c r="X326" s="1243"/>
      <c r="Y326" s="1243"/>
      <c r="Z326" s="1243"/>
    </row>
    <row r="327" spans="1:26" ht="15.75" customHeight="1" x14ac:dyDescent="0.2">
      <c r="A327" s="1243"/>
      <c r="B327" s="1243"/>
      <c r="C327" s="1243"/>
      <c r="D327" s="1243"/>
      <c r="E327" s="1243"/>
      <c r="F327" s="1243"/>
      <c r="G327" s="1243"/>
      <c r="H327" s="1243"/>
      <c r="I327" s="1243"/>
      <c r="J327" s="1243"/>
      <c r="K327" s="1243"/>
      <c r="L327" s="1243"/>
      <c r="M327" s="1243"/>
      <c r="N327" s="1243"/>
      <c r="O327" s="1243"/>
      <c r="P327" s="1243"/>
      <c r="Q327" s="1243"/>
      <c r="R327" s="1243"/>
      <c r="S327" s="1243"/>
      <c r="T327" s="1243"/>
      <c r="U327" s="1243"/>
      <c r="V327" s="1243"/>
      <c r="W327" s="1243"/>
      <c r="X327" s="1243"/>
      <c r="Y327" s="1243"/>
      <c r="Z327" s="1243"/>
    </row>
    <row r="328" spans="1:26" ht="15.75" customHeight="1" x14ac:dyDescent="0.2">
      <c r="A328" s="1243"/>
      <c r="B328" s="1243"/>
      <c r="C328" s="1243"/>
      <c r="D328" s="1243"/>
      <c r="E328" s="1243"/>
      <c r="F328" s="1243"/>
      <c r="G328" s="1243"/>
      <c r="H328" s="1243"/>
      <c r="I328" s="1243"/>
      <c r="J328" s="1243"/>
      <c r="K328" s="1243"/>
      <c r="L328" s="1243"/>
      <c r="M328" s="1243"/>
      <c r="N328" s="1243"/>
      <c r="O328" s="1243"/>
      <c r="P328" s="1243"/>
      <c r="Q328" s="1243"/>
      <c r="R328" s="1243"/>
      <c r="S328" s="1243"/>
      <c r="T328" s="1243"/>
      <c r="U328" s="1243"/>
      <c r="V328" s="1243"/>
      <c r="W328" s="1243"/>
      <c r="X328" s="1243"/>
      <c r="Y328" s="1243"/>
      <c r="Z328" s="1243"/>
    </row>
    <row r="329" spans="1:26" ht="15.75" customHeight="1" x14ac:dyDescent="0.2">
      <c r="A329" s="1243"/>
      <c r="B329" s="1243"/>
      <c r="C329" s="1243"/>
      <c r="D329" s="1243"/>
      <c r="E329" s="1243"/>
      <c r="F329" s="1243"/>
      <c r="G329" s="1243"/>
      <c r="H329" s="1243"/>
      <c r="I329" s="1243"/>
      <c r="J329" s="1243"/>
      <c r="K329" s="1243"/>
      <c r="L329" s="1243"/>
      <c r="M329" s="1243"/>
      <c r="N329" s="1243"/>
      <c r="O329" s="1243"/>
      <c r="P329" s="1243"/>
      <c r="Q329" s="1243"/>
      <c r="R329" s="1243"/>
      <c r="S329" s="1243"/>
      <c r="T329" s="1243"/>
      <c r="U329" s="1243"/>
      <c r="V329" s="1243"/>
      <c r="W329" s="1243"/>
      <c r="X329" s="1243"/>
      <c r="Y329" s="1243"/>
      <c r="Z329" s="1243"/>
    </row>
    <row r="330" spans="1:26" ht="15.75" customHeight="1" x14ac:dyDescent="0.2">
      <c r="A330" s="1243"/>
      <c r="B330" s="1243"/>
      <c r="C330" s="1243"/>
      <c r="D330" s="1243"/>
      <c r="E330" s="1243"/>
      <c r="F330" s="1243"/>
      <c r="G330" s="1243"/>
      <c r="H330" s="1243"/>
      <c r="I330" s="1243"/>
      <c r="J330" s="1243"/>
      <c r="K330" s="1243"/>
      <c r="L330" s="1243"/>
      <c r="M330" s="1243"/>
      <c r="N330" s="1243"/>
      <c r="O330" s="1243"/>
      <c r="P330" s="1243"/>
      <c r="Q330" s="1243"/>
      <c r="R330" s="1243"/>
      <c r="S330" s="1243"/>
      <c r="T330" s="1243"/>
      <c r="U330" s="1243"/>
      <c r="V330" s="1243"/>
      <c r="W330" s="1243"/>
      <c r="X330" s="1243"/>
      <c r="Y330" s="1243"/>
      <c r="Z330" s="1243"/>
    </row>
    <row r="331" spans="1:26" ht="15.75" customHeight="1" x14ac:dyDescent="0.2">
      <c r="A331" s="1243"/>
      <c r="B331" s="1243"/>
      <c r="C331" s="1243"/>
      <c r="D331" s="1243"/>
      <c r="E331" s="1243"/>
      <c r="F331" s="1243"/>
      <c r="G331" s="1243"/>
      <c r="H331" s="1243"/>
      <c r="I331" s="1243"/>
      <c r="J331" s="1243"/>
      <c r="K331" s="1243"/>
      <c r="L331" s="1243"/>
      <c r="M331" s="1243"/>
      <c r="N331" s="1243"/>
      <c r="O331" s="1243"/>
      <c r="P331" s="1243"/>
      <c r="Q331" s="1243"/>
      <c r="R331" s="1243"/>
      <c r="S331" s="1243"/>
      <c r="T331" s="1243"/>
      <c r="U331" s="1243"/>
      <c r="V331" s="1243"/>
      <c r="W331" s="1243"/>
      <c r="X331" s="1243"/>
      <c r="Y331" s="1243"/>
      <c r="Z331" s="1243"/>
    </row>
    <row r="332" spans="1:26" ht="15.75" customHeight="1" x14ac:dyDescent="0.2">
      <c r="A332" s="1243"/>
      <c r="B332" s="1243"/>
      <c r="C332" s="1243"/>
      <c r="D332" s="1243"/>
      <c r="E332" s="1243"/>
      <c r="F332" s="1243"/>
      <c r="G332" s="1243"/>
      <c r="H332" s="1243"/>
      <c r="I332" s="1243"/>
      <c r="J332" s="1243"/>
      <c r="K332" s="1243"/>
      <c r="L332" s="1243"/>
      <c r="M332" s="1243"/>
      <c r="N332" s="1243"/>
      <c r="O332" s="1243"/>
      <c r="P332" s="1243"/>
      <c r="Q332" s="1243"/>
      <c r="R332" s="1243"/>
      <c r="S332" s="1243"/>
      <c r="T332" s="1243"/>
      <c r="U332" s="1243"/>
      <c r="V332" s="1243"/>
      <c r="W332" s="1243"/>
      <c r="X332" s="1243"/>
      <c r="Y332" s="1243"/>
      <c r="Z332" s="1243"/>
    </row>
    <row r="333" spans="1:26" ht="15.75" customHeight="1" x14ac:dyDescent="0.2">
      <c r="A333" s="1243"/>
      <c r="B333" s="1243"/>
      <c r="C333" s="1243"/>
      <c r="D333" s="1243"/>
      <c r="E333" s="1243"/>
      <c r="F333" s="1243"/>
      <c r="G333" s="1243"/>
      <c r="H333" s="1243"/>
      <c r="I333" s="1243"/>
      <c r="J333" s="1243"/>
      <c r="K333" s="1243"/>
      <c r="L333" s="1243"/>
      <c r="M333" s="1243"/>
      <c r="N333" s="1243"/>
      <c r="O333" s="1243"/>
      <c r="P333" s="1243"/>
      <c r="Q333" s="1243"/>
      <c r="R333" s="1243"/>
      <c r="S333" s="1243"/>
      <c r="T333" s="1243"/>
      <c r="U333" s="1243"/>
      <c r="V333" s="1243"/>
      <c r="W333" s="1243"/>
      <c r="X333" s="1243"/>
      <c r="Y333" s="1243"/>
      <c r="Z333" s="1243"/>
    </row>
    <row r="334" spans="1:26" ht="15.75" customHeight="1" x14ac:dyDescent="0.2">
      <c r="A334" s="1243"/>
      <c r="B334" s="1243"/>
      <c r="C334" s="1243"/>
      <c r="D334" s="1243"/>
      <c r="E334" s="1243"/>
      <c r="F334" s="1243"/>
      <c r="G334" s="1243"/>
      <c r="H334" s="1243"/>
      <c r="I334" s="1243"/>
      <c r="J334" s="1243"/>
      <c r="K334" s="1243"/>
      <c r="L334" s="1243"/>
      <c r="M334" s="1243"/>
      <c r="N334" s="1243"/>
      <c r="O334" s="1243"/>
      <c r="P334" s="1243"/>
      <c r="Q334" s="1243"/>
      <c r="R334" s="1243"/>
      <c r="S334" s="1243"/>
      <c r="T334" s="1243"/>
      <c r="U334" s="1243"/>
      <c r="V334" s="1243"/>
      <c r="W334" s="1243"/>
      <c r="X334" s="1243"/>
      <c r="Y334" s="1243"/>
      <c r="Z334" s="1243"/>
    </row>
    <row r="335" spans="1:26" ht="15.75" customHeight="1" x14ac:dyDescent="0.2">
      <c r="A335" s="1243"/>
      <c r="B335" s="1243"/>
      <c r="C335" s="1243"/>
      <c r="D335" s="1243"/>
      <c r="E335" s="1243"/>
      <c r="F335" s="1243"/>
      <c r="G335" s="1243"/>
      <c r="H335" s="1243"/>
      <c r="I335" s="1243"/>
      <c r="J335" s="1243"/>
      <c r="K335" s="1243"/>
      <c r="L335" s="1243"/>
      <c r="M335" s="1243"/>
      <c r="N335" s="1243"/>
      <c r="O335" s="1243"/>
      <c r="P335" s="1243"/>
      <c r="Q335" s="1243"/>
      <c r="R335" s="1243"/>
      <c r="S335" s="1243"/>
      <c r="T335" s="1243"/>
      <c r="U335" s="1243"/>
      <c r="V335" s="1243"/>
      <c r="W335" s="1243"/>
      <c r="X335" s="1243"/>
      <c r="Y335" s="1243"/>
      <c r="Z335" s="1243"/>
    </row>
    <row r="336" spans="1:26" ht="15.75" customHeight="1" x14ac:dyDescent="0.2">
      <c r="A336" s="1243"/>
      <c r="B336" s="1243"/>
      <c r="C336" s="1243"/>
      <c r="D336" s="1243"/>
      <c r="E336" s="1243"/>
      <c r="F336" s="1243"/>
      <c r="G336" s="1243"/>
      <c r="H336" s="1243"/>
      <c r="I336" s="1243"/>
      <c r="J336" s="1243"/>
      <c r="K336" s="1243"/>
      <c r="L336" s="1243"/>
      <c r="M336" s="1243"/>
      <c r="N336" s="1243"/>
      <c r="O336" s="1243"/>
      <c r="P336" s="1243"/>
      <c r="Q336" s="1243"/>
      <c r="R336" s="1243"/>
      <c r="S336" s="1243"/>
      <c r="T336" s="1243"/>
      <c r="U336" s="1243"/>
      <c r="V336" s="1243"/>
      <c r="W336" s="1243"/>
      <c r="X336" s="1243"/>
      <c r="Y336" s="1243"/>
      <c r="Z336" s="1243"/>
    </row>
    <row r="337" spans="1:26" ht="15.75" customHeight="1" x14ac:dyDescent="0.2">
      <c r="A337" s="1243"/>
      <c r="B337" s="1243"/>
      <c r="C337" s="1243"/>
      <c r="D337" s="1243"/>
      <c r="E337" s="1243"/>
      <c r="F337" s="1243"/>
      <c r="G337" s="1243"/>
      <c r="H337" s="1243"/>
      <c r="I337" s="1243"/>
      <c r="J337" s="1243"/>
      <c r="K337" s="1243"/>
      <c r="L337" s="1243"/>
      <c r="M337" s="1243"/>
      <c r="N337" s="1243"/>
      <c r="O337" s="1243"/>
      <c r="P337" s="1243"/>
      <c r="Q337" s="1243"/>
      <c r="R337" s="1243"/>
      <c r="S337" s="1243"/>
      <c r="T337" s="1243"/>
      <c r="U337" s="1243"/>
      <c r="V337" s="1243"/>
      <c r="W337" s="1243"/>
      <c r="X337" s="1243"/>
      <c r="Y337" s="1243"/>
      <c r="Z337" s="1243"/>
    </row>
    <row r="338" spans="1:26" ht="15.75" customHeight="1" x14ac:dyDescent="0.2">
      <c r="A338" s="1243"/>
      <c r="B338" s="1243"/>
      <c r="C338" s="1243"/>
      <c r="D338" s="1243"/>
      <c r="E338" s="1243"/>
      <c r="F338" s="1243"/>
      <c r="G338" s="1243"/>
      <c r="H338" s="1243"/>
      <c r="I338" s="1243"/>
      <c r="J338" s="1243"/>
      <c r="K338" s="1243"/>
      <c r="L338" s="1243"/>
      <c r="M338" s="1243"/>
      <c r="N338" s="1243"/>
      <c r="O338" s="1243"/>
      <c r="P338" s="1243"/>
      <c r="Q338" s="1243"/>
      <c r="R338" s="1243"/>
      <c r="S338" s="1243"/>
      <c r="T338" s="1243"/>
      <c r="U338" s="1243"/>
      <c r="V338" s="1243"/>
      <c r="W338" s="1243"/>
      <c r="X338" s="1243"/>
      <c r="Y338" s="1243"/>
      <c r="Z338" s="1243"/>
    </row>
    <row r="339" spans="1:26" ht="15.75" customHeight="1" x14ac:dyDescent="0.2">
      <c r="A339" s="1243"/>
      <c r="B339" s="1243"/>
      <c r="C339" s="1243"/>
      <c r="D339" s="1243"/>
      <c r="E339" s="1243"/>
      <c r="F339" s="1243"/>
      <c r="G339" s="1243"/>
      <c r="H339" s="1243"/>
      <c r="I339" s="1243"/>
      <c r="J339" s="1243"/>
      <c r="K339" s="1243"/>
      <c r="L339" s="1243"/>
      <c r="M339" s="1243"/>
      <c r="N339" s="1243"/>
      <c r="O339" s="1243"/>
      <c r="P339" s="1243"/>
      <c r="Q339" s="1243"/>
      <c r="R339" s="1243"/>
      <c r="S339" s="1243"/>
      <c r="T339" s="1243"/>
      <c r="U339" s="1243"/>
      <c r="V339" s="1243"/>
      <c r="W339" s="1243"/>
      <c r="X339" s="1243"/>
      <c r="Y339" s="1243"/>
      <c r="Z339" s="1243"/>
    </row>
    <row r="340" spans="1:26" ht="15.75" customHeight="1" x14ac:dyDescent="0.2">
      <c r="A340" s="1243"/>
      <c r="B340" s="1243"/>
      <c r="C340" s="1243"/>
      <c r="D340" s="1243"/>
      <c r="E340" s="1243"/>
      <c r="F340" s="1243"/>
      <c r="G340" s="1243"/>
      <c r="H340" s="1243"/>
      <c r="I340" s="1243"/>
      <c r="J340" s="1243"/>
      <c r="K340" s="1243"/>
      <c r="L340" s="1243"/>
      <c r="M340" s="1243"/>
      <c r="N340" s="1243"/>
      <c r="O340" s="1243"/>
      <c r="P340" s="1243"/>
      <c r="Q340" s="1243"/>
      <c r="R340" s="1243"/>
      <c r="S340" s="1243"/>
      <c r="T340" s="1243"/>
      <c r="U340" s="1243"/>
      <c r="V340" s="1243"/>
      <c r="W340" s="1243"/>
      <c r="X340" s="1243"/>
      <c r="Y340" s="1243"/>
      <c r="Z340" s="1243"/>
    </row>
    <row r="341" spans="1:26" ht="15.75" customHeight="1" x14ac:dyDescent="0.2">
      <c r="A341" s="1243"/>
      <c r="B341" s="1243"/>
      <c r="C341" s="1243"/>
      <c r="D341" s="1243"/>
      <c r="E341" s="1243"/>
      <c r="F341" s="1243"/>
      <c r="G341" s="1243"/>
      <c r="H341" s="1243"/>
      <c r="I341" s="1243"/>
      <c r="J341" s="1243"/>
      <c r="K341" s="1243"/>
      <c r="L341" s="1243"/>
      <c r="M341" s="1243"/>
      <c r="N341" s="1243"/>
      <c r="O341" s="1243"/>
      <c r="P341" s="1243"/>
      <c r="Q341" s="1243"/>
      <c r="R341" s="1243"/>
      <c r="S341" s="1243"/>
      <c r="T341" s="1243"/>
      <c r="U341" s="1243"/>
      <c r="V341" s="1243"/>
      <c r="W341" s="1243"/>
      <c r="X341" s="1243"/>
      <c r="Y341" s="1243"/>
      <c r="Z341" s="1243"/>
    </row>
    <row r="342" spans="1:26" ht="15.75" customHeight="1" x14ac:dyDescent="0.2">
      <c r="A342" s="1243"/>
      <c r="B342" s="1243"/>
      <c r="C342" s="1243"/>
      <c r="D342" s="1243"/>
      <c r="E342" s="1243"/>
      <c r="F342" s="1243"/>
      <c r="G342" s="1243"/>
      <c r="H342" s="1243"/>
      <c r="I342" s="1243"/>
      <c r="J342" s="1243"/>
      <c r="K342" s="1243"/>
      <c r="L342" s="1243"/>
      <c r="M342" s="1243"/>
      <c r="N342" s="1243"/>
      <c r="O342" s="1243"/>
      <c r="P342" s="1243"/>
      <c r="Q342" s="1243"/>
      <c r="R342" s="1243"/>
      <c r="S342" s="1243"/>
      <c r="T342" s="1243"/>
      <c r="U342" s="1243"/>
      <c r="V342" s="1243"/>
      <c r="W342" s="1243"/>
      <c r="X342" s="1243"/>
      <c r="Y342" s="1243"/>
      <c r="Z342" s="1243"/>
    </row>
    <row r="343" spans="1:26" ht="15.75" customHeight="1" x14ac:dyDescent="0.2">
      <c r="A343" s="1243"/>
      <c r="B343" s="1243"/>
      <c r="C343" s="1243"/>
      <c r="D343" s="1243"/>
      <c r="E343" s="1243"/>
      <c r="F343" s="1243"/>
      <c r="G343" s="1243"/>
      <c r="H343" s="1243"/>
      <c r="I343" s="1243"/>
      <c r="J343" s="1243"/>
      <c r="K343" s="1243"/>
      <c r="L343" s="1243"/>
      <c r="M343" s="1243"/>
      <c r="N343" s="1243"/>
      <c r="O343" s="1243"/>
      <c r="P343" s="1243"/>
      <c r="Q343" s="1243"/>
      <c r="R343" s="1243"/>
      <c r="S343" s="1243"/>
      <c r="T343" s="1243"/>
      <c r="U343" s="1243"/>
      <c r="V343" s="1243"/>
      <c r="W343" s="1243"/>
      <c r="X343" s="1243"/>
      <c r="Y343" s="1243"/>
      <c r="Z343" s="1243"/>
    </row>
    <row r="344" spans="1:26" ht="15.75" customHeight="1" x14ac:dyDescent="0.2">
      <c r="A344" s="1243"/>
      <c r="B344" s="1243"/>
      <c r="C344" s="1243"/>
      <c r="D344" s="1243"/>
      <c r="E344" s="1243"/>
      <c r="F344" s="1243"/>
      <c r="G344" s="1243"/>
      <c r="H344" s="1243"/>
      <c r="I344" s="1243"/>
      <c r="J344" s="1243"/>
      <c r="K344" s="1243"/>
      <c r="L344" s="1243"/>
      <c r="M344" s="1243"/>
      <c r="N344" s="1243"/>
      <c r="O344" s="1243"/>
      <c r="P344" s="1243"/>
      <c r="Q344" s="1243"/>
      <c r="R344" s="1243"/>
      <c r="S344" s="1243"/>
      <c r="T344" s="1243"/>
      <c r="U344" s="1243"/>
      <c r="V344" s="1243"/>
      <c r="W344" s="1243"/>
      <c r="X344" s="1243"/>
      <c r="Y344" s="1243"/>
      <c r="Z344" s="1243"/>
    </row>
    <row r="345" spans="1:26" ht="15.75" customHeight="1" x14ac:dyDescent="0.2">
      <c r="A345" s="1243"/>
      <c r="B345" s="1243"/>
      <c r="C345" s="1243"/>
      <c r="D345" s="1243"/>
      <c r="E345" s="1243"/>
      <c r="F345" s="1243"/>
      <c r="G345" s="1243"/>
      <c r="H345" s="1243"/>
      <c r="I345" s="1243"/>
      <c r="J345" s="1243"/>
      <c r="K345" s="1243"/>
      <c r="L345" s="1243"/>
      <c r="M345" s="1243"/>
      <c r="N345" s="1243"/>
      <c r="O345" s="1243"/>
      <c r="P345" s="1243"/>
      <c r="Q345" s="1243"/>
      <c r="R345" s="1243"/>
      <c r="S345" s="1243"/>
      <c r="T345" s="1243"/>
      <c r="U345" s="1243"/>
      <c r="V345" s="1243"/>
      <c r="W345" s="1243"/>
      <c r="X345" s="1243"/>
      <c r="Y345" s="1243"/>
      <c r="Z345" s="1243"/>
    </row>
    <row r="346" spans="1:26" ht="15.75" customHeight="1" x14ac:dyDescent="0.2">
      <c r="A346" s="1243"/>
      <c r="B346" s="1243"/>
      <c r="C346" s="1243"/>
      <c r="D346" s="1243"/>
      <c r="E346" s="1243"/>
      <c r="F346" s="1243"/>
      <c r="G346" s="1243"/>
      <c r="H346" s="1243"/>
      <c r="I346" s="1243"/>
      <c r="J346" s="1243"/>
      <c r="K346" s="1243"/>
      <c r="L346" s="1243"/>
      <c r="M346" s="1243"/>
      <c r="N346" s="1243"/>
      <c r="O346" s="1243"/>
      <c r="P346" s="1243"/>
      <c r="Q346" s="1243"/>
      <c r="R346" s="1243"/>
      <c r="S346" s="1243"/>
      <c r="T346" s="1243"/>
      <c r="U346" s="1243"/>
      <c r="V346" s="1243"/>
      <c r="W346" s="1243"/>
      <c r="X346" s="1243"/>
      <c r="Y346" s="1243"/>
      <c r="Z346" s="1243"/>
    </row>
    <row r="347" spans="1:26" ht="15.75" customHeight="1" x14ac:dyDescent="0.2">
      <c r="A347" s="1243"/>
      <c r="B347" s="1243"/>
      <c r="C347" s="1243"/>
      <c r="D347" s="1243"/>
      <c r="E347" s="1243"/>
      <c r="F347" s="1243"/>
      <c r="G347" s="1243"/>
      <c r="H347" s="1243"/>
      <c r="I347" s="1243"/>
      <c r="J347" s="1243"/>
      <c r="K347" s="1243"/>
      <c r="L347" s="1243"/>
      <c r="M347" s="1243"/>
      <c r="N347" s="1243"/>
      <c r="O347" s="1243"/>
      <c r="P347" s="1243"/>
      <c r="Q347" s="1243"/>
      <c r="R347" s="1243"/>
      <c r="S347" s="1243"/>
      <c r="T347" s="1243"/>
      <c r="U347" s="1243"/>
      <c r="V347" s="1243"/>
      <c r="W347" s="1243"/>
      <c r="X347" s="1243"/>
      <c r="Y347" s="1243"/>
      <c r="Z347" s="1243"/>
    </row>
    <row r="348" spans="1:26" ht="15.75" customHeight="1" x14ac:dyDescent="0.2">
      <c r="A348" s="1243"/>
      <c r="B348" s="1243"/>
      <c r="C348" s="1243"/>
      <c r="D348" s="1243"/>
      <c r="E348" s="1243"/>
      <c r="F348" s="1243"/>
      <c r="G348" s="1243"/>
      <c r="H348" s="1243"/>
      <c r="I348" s="1243"/>
      <c r="J348" s="1243"/>
      <c r="K348" s="1243"/>
      <c r="L348" s="1243"/>
      <c r="M348" s="1243"/>
      <c r="N348" s="1243"/>
      <c r="O348" s="1243"/>
      <c r="P348" s="1243"/>
      <c r="Q348" s="1243"/>
      <c r="R348" s="1243"/>
      <c r="S348" s="1243"/>
      <c r="T348" s="1243"/>
      <c r="U348" s="1243"/>
      <c r="V348" s="1243"/>
      <c r="W348" s="1243"/>
      <c r="X348" s="1243"/>
      <c r="Y348" s="1243"/>
      <c r="Z348" s="1243"/>
    </row>
    <row r="349" spans="1:26" ht="15.75" customHeight="1" x14ac:dyDescent="0.2">
      <c r="A349" s="1243"/>
      <c r="B349" s="1243"/>
      <c r="C349" s="1243"/>
      <c r="D349" s="1243"/>
      <c r="E349" s="1243"/>
      <c r="F349" s="1243"/>
      <c r="G349" s="1243"/>
      <c r="H349" s="1243"/>
      <c r="I349" s="1243"/>
      <c r="J349" s="1243"/>
      <c r="K349" s="1243"/>
      <c r="L349" s="1243"/>
      <c r="M349" s="1243"/>
      <c r="N349" s="1243"/>
      <c r="O349" s="1243"/>
      <c r="P349" s="1243"/>
      <c r="Q349" s="1243"/>
      <c r="R349" s="1243"/>
      <c r="S349" s="1243"/>
      <c r="T349" s="1243"/>
      <c r="U349" s="1243"/>
      <c r="V349" s="1243"/>
      <c r="W349" s="1243"/>
      <c r="X349" s="1243"/>
      <c r="Y349" s="1243"/>
      <c r="Z349" s="1243"/>
    </row>
    <row r="350" spans="1:26" ht="15.75" customHeight="1" x14ac:dyDescent="0.2">
      <c r="A350" s="1243"/>
      <c r="B350" s="1243"/>
      <c r="C350" s="1243"/>
      <c r="D350" s="1243"/>
      <c r="E350" s="1243"/>
      <c r="F350" s="1243"/>
      <c r="G350" s="1243"/>
      <c r="H350" s="1243"/>
      <c r="I350" s="1243"/>
      <c r="J350" s="1243"/>
      <c r="K350" s="1243"/>
      <c r="L350" s="1243"/>
      <c r="M350" s="1243"/>
      <c r="N350" s="1243"/>
      <c r="O350" s="1243"/>
      <c r="P350" s="1243"/>
      <c r="Q350" s="1243"/>
      <c r="R350" s="1243"/>
      <c r="S350" s="1243"/>
      <c r="T350" s="1243"/>
      <c r="U350" s="1243"/>
      <c r="V350" s="1243"/>
      <c r="W350" s="1243"/>
      <c r="X350" s="1243"/>
      <c r="Y350" s="1243"/>
      <c r="Z350" s="1243"/>
    </row>
    <row r="351" spans="1:26" ht="15.75" customHeight="1" x14ac:dyDescent="0.2">
      <c r="A351" s="1243"/>
      <c r="B351" s="1243"/>
      <c r="C351" s="1243"/>
      <c r="D351" s="1243"/>
      <c r="E351" s="1243"/>
      <c r="F351" s="1243"/>
      <c r="G351" s="1243"/>
      <c r="H351" s="1243"/>
      <c r="I351" s="1243"/>
      <c r="J351" s="1243"/>
      <c r="K351" s="1243"/>
      <c r="L351" s="1243"/>
      <c r="M351" s="1243"/>
      <c r="N351" s="1243"/>
      <c r="O351" s="1243"/>
      <c r="P351" s="1243"/>
      <c r="Q351" s="1243"/>
      <c r="R351" s="1243"/>
      <c r="S351" s="1243"/>
      <c r="T351" s="1243"/>
      <c r="U351" s="1243"/>
      <c r="V351" s="1243"/>
      <c r="W351" s="1243"/>
      <c r="X351" s="1243"/>
      <c r="Y351" s="1243"/>
      <c r="Z351" s="1243"/>
    </row>
    <row r="352" spans="1:26" ht="15.75" customHeight="1" x14ac:dyDescent="0.2">
      <c r="A352" s="1243"/>
      <c r="B352" s="1243"/>
      <c r="C352" s="1243"/>
      <c r="D352" s="1243"/>
      <c r="E352" s="1243"/>
      <c r="F352" s="1243"/>
      <c r="G352" s="1243"/>
      <c r="H352" s="1243"/>
      <c r="I352" s="1243"/>
      <c r="J352" s="1243"/>
      <c r="K352" s="1243"/>
      <c r="L352" s="1243"/>
      <c r="M352" s="1243"/>
      <c r="N352" s="1243"/>
      <c r="O352" s="1243"/>
      <c r="P352" s="1243"/>
      <c r="Q352" s="1243"/>
      <c r="R352" s="1243"/>
      <c r="S352" s="1243"/>
      <c r="T352" s="1243"/>
      <c r="U352" s="1243"/>
      <c r="V352" s="1243"/>
      <c r="W352" s="1243"/>
      <c r="X352" s="1243"/>
      <c r="Y352" s="1243"/>
      <c r="Z352" s="1243"/>
    </row>
    <row r="353" spans="1:26" ht="15.75" customHeight="1" x14ac:dyDescent="0.2">
      <c r="A353" s="1243"/>
      <c r="B353" s="1243"/>
      <c r="C353" s="1243"/>
      <c r="D353" s="1243"/>
      <c r="E353" s="1243"/>
      <c r="F353" s="1243"/>
      <c r="G353" s="1243"/>
      <c r="H353" s="1243"/>
      <c r="I353" s="1243"/>
      <c r="J353" s="1243"/>
      <c r="K353" s="1243"/>
      <c r="L353" s="1243"/>
      <c r="M353" s="1243"/>
      <c r="N353" s="1243"/>
      <c r="O353" s="1243"/>
      <c r="P353" s="1243"/>
      <c r="Q353" s="1243"/>
      <c r="R353" s="1243"/>
      <c r="S353" s="1243"/>
      <c r="T353" s="1243"/>
      <c r="U353" s="1243"/>
      <c r="V353" s="1243"/>
      <c r="W353" s="1243"/>
      <c r="X353" s="1243"/>
      <c r="Y353" s="1243"/>
      <c r="Z353" s="1243"/>
    </row>
    <row r="354" spans="1:26" ht="15.75" customHeight="1" x14ac:dyDescent="0.2">
      <c r="A354" s="1243"/>
      <c r="B354" s="1243"/>
      <c r="C354" s="1243"/>
      <c r="D354" s="1243"/>
      <c r="E354" s="1243"/>
      <c r="F354" s="1243"/>
      <c r="G354" s="1243"/>
      <c r="H354" s="1243"/>
      <c r="I354" s="1243"/>
      <c r="J354" s="1243"/>
      <c r="K354" s="1243"/>
      <c r="L354" s="1243"/>
      <c r="M354" s="1243"/>
      <c r="N354" s="1243"/>
      <c r="O354" s="1243"/>
      <c r="P354" s="1243"/>
      <c r="Q354" s="1243"/>
      <c r="R354" s="1243"/>
      <c r="S354" s="1243"/>
      <c r="T354" s="1243"/>
      <c r="U354" s="1243"/>
      <c r="V354" s="1243"/>
      <c r="W354" s="1243"/>
      <c r="X354" s="1243"/>
      <c r="Y354" s="1243"/>
      <c r="Z354" s="1243"/>
    </row>
    <row r="355" spans="1:26" ht="15.75" customHeight="1" x14ac:dyDescent="0.2">
      <c r="A355" s="1243"/>
      <c r="B355" s="1243"/>
      <c r="C355" s="1243"/>
      <c r="D355" s="1243"/>
      <c r="E355" s="1243"/>
      <c r="F355" s="1243"/>
      <c r="G355" s="1243"/>
      <c r="H355" s="1243"/>
      <c r="I355" s="1243"/>
      <c r="J355" s="1243"/>
      <c r="K355" s="1243"/>
      <c r="L355" s="1243"/>
      <c r="M355" s="1243"/>
      <c r="N355" s="1243"/>
      <c r="O355" s="1243"/>
      <c r="P355" s="1243"/>
      <c r="Q355" s="1243"/>
      <c r="R355" s="1243"/>
      <c r="S355" s="1243"/>
      <c r="T355" s="1243"/>
      <c r="U355" s="1243"/>
      <c r="V355" s="1243"/>
      <c r="W355" s="1243"/>
      <c r="X355" s="1243"/>
      <c r="Y355" s="1243"/>
      <c r="Z355" s="1243"/>
    </row>
    <row r="356" spans="1:26" ht="15.75" customHeight="1" x14ac:dyDescent="0.2">
      <c r="A356" s="1243"/>
      <c r="B356" s="1243"/>
      <c r="C356" s="1243"/>
      <c r="D356" s="1243"/>
      <c r="E356" s="1243"/>
      <c r="F356" s="1243"/>
      <c r="G356" s="1243"/>
      <c r="H356" s="1243"/>
      <c r="I356" s="1243"/>
      <c r="J356" s="1243"/>
      <c r="K356" s="1243"/>
      <c r="L356" s="1243"/>
      <c r="M356" s="1243"/>
      <c r="N356" s="1243"/>
      <c r="O356" s="1243"/>
      <c r="P356" s="1243"/>
      <c r="Q356" s="1243"/>
      <c r="R356" s="1243"/>
      <c r="S356" s="1243"/>
      <c r="T356" s="1243"/>
      <c r="U356" s="1243"/>
      <c r="V356" s="1243"/>
      <c r="W356" s="1243"/>
      <c r="X356" s="1243"/>
      <c r="Y356" s="1243"/>
      <c r="Z356" s="1243"/>
    </row>
    <row r="357" spans="1:26" ht="15.75" customHeight="1" x14ac:dyDescent="0.2">
      <c r="A357" s="1243"/>
      <c r="B357" s="1243"/>
      <c r="C357" s="1243"/>
      <c r="D357" s="1243"/>
      <c r="E357" s="1243"/>
      <c r="F357" s="1243"/>
      <c r="G357" s="1243"/>
      <c r="H357" s="1243"/>
      <c r="I357" s="1243"/>
      <c r="J357" s="1243"/>
      <c r="K357" s="1243"/>
      <c r="L357" s="1243"/>
      <c r="M357" s="1243"/>
      <c r="N357" s="1243"/>
      <c r="O357" s="1243"/>
      <c r="P357" s="1243"/>
      <c r="Q357" s="1243"/>
      <c r="R357" s="1243"/>
      <c r="S357" s="1243"/>
      <c r="T357" s="1243"/>
      <c r="U357" s="1243"/>
      <c r="V357" s="1243"/>
      <c r="W357" s="1243"/>
      <c r="X357" s="1243"/>
      <c r="Y357" s="1243"/>
      <c r="Z357" s="1243"/>
    </row>
    <row r="358" spans="1:26" ht="15.75" customHeight="1" x14ac:dyDescent="0.2">
      <c r="A358" s="1243"/>
      <c r="B358" s="1243"/>
      <c r="C358" s="1243"/>
      <c r="D358" s="1243"/>
      <c r="E358" s="1243"/>
      <c r="F358" s="1243"/>
      <c r="G358" s="1243"/>
      <c r="H358" s="1243"/>
      <c r="I358" s="1243"/>
      <c r="J358" s="1243"/>
      <c r="K358" s="1243"/>
      <c r="L358" s="1243"/>
      <c r="M358" s="1243"/>
      <c r="N358" s="1243"/>
      <c r="O358" s="1243"/>
      <c r="P358" s="1243"/>
      <c r="Q358" s="1243"/>
      <c r="R358" s="1243"/>
      <c r="S358" s="1243"/>
      <c r="T358" s="1243"/>
      <c r="U358" s="1243"/>
      <c r="V358" s="1243"/>
      <c r="W358" s="1243"/>
      <c r="X358" s="1243"/>
      <c r="Y358" s="1243"/>
      <c r="Z358" s="1243"/>
    </row>
    <row r="359" spans="1:26" ht="15.75" customHeight="1" x14ac:dyDescent="0.2">
      <c r="A359" s="1243"/>
      <c r="B359" s="1243"/>
      <c r="C359" s="1243"/>
      <c r="D359" s="1243"/>
      <c r="E359" s="1243"/>
      <c r="F359" s="1243"/>
      <c r="G359" s="1243"/>
      <c r="H359" s="1243"/>
      <c r="I359" s="1243"/>
      <c r="J359" s="1243"/>
      <c r="K359" s="1243"/>
      <c r="L359" s="1243"/>
      <c r="M359" s="1243"/>
      <c r="N359" s="1243"/>
      <c r="O359" s="1243"/>
      <c r="P359" s="1243"/>
      <c r="Q359" s="1243"/>
      <c r="R359" s="1243"/>
      <c r="S359" s="1243"/>
      <c r="T359" s="1243"/>
      <c r="U359" s="1243"/>
      <c r="V359" s="1243"/>
      <c r="W359" s="1243"/>
      <c r="X359" s="1243"/>
      <c r="Y359" s="1243"/>
      <c r="Z359" s="1243"/>
    </row>
    <row r="360" spans="1:26" ht="15.75" customHeight="1" x14ac:dyDescent="0.2">
      <c r="A360" s="1243"/>
      <c r="B360" s="1243"/>
      <c r="C360" s="1243"/>
      <c r="D360" s="1243"/>
      <c r="E360" s="1243"/>
      <c r="F360" s="1243"/>
      <c r="G360" s="1243"/>
      <c r="H360" s="1243"/>
      <c r="I360" s="1243"/>
      <c r="J360" s="1243"/>
      <c r="K360" s="1243"/>
      <c r="L360" s="1243"/>
      <c r="M360" s="1243"/>
      <c r="N360" s="1243"/>
      <c r="O360" s="1243"/>
      <c r="P360" s="1243"/>
      <c r="Q360" s="1243"/>
      <c r="R360" s="1243"/>
      <c r="S360" s="1243"/>
      <c r="T360" s="1243"/>
      <c r="U360" s="1243"/>
      <c r="V360" s="1243"/>
      <c r="W360" s="1243"/>
      <c r="X360" s="1243"/>
      <c r="Y360" s="1243"/>
      <c r="Z360" s="1243"/>
    </row>
    <row r="361" spans="1:26" ht="15.75" customHeight="1" x14ac:dyDescent="0.2">
      <c r="A361" s="1243"/>
      <c r="B361" s="1243"/>
      <c r="C361" s="1243"/>
      <c r="D361" s="1243"/>
      <c r="E361" s="1243"/>
      <c r="F361" s="1243"/>
      <c r="G361" s="1243"/>
      <c r="H361" s="1243"/>
      <c r="I361" s="1243"/>
      <c r="J361" s="1243"/>
      <c r="K361" s="1243"/>
      <c r="L361" s="1243"/>
      <c r="M361" s="1243"/>
      <c r="N361" s="1243"/>
      <c r="O361" s="1243"/>
      <c r="P361" s="1243"/>
      <c r="Q361" s="1243"/>
      <c r="R361" s="1243"/>
      <c r="S361" s="1243"/>
      <c r="T361" s="1243"/>
      <c r="U361" s="1243"/>
      <c r="V361" s="1243"/>
      <c r="W361" s="1243"/>
      <c r="X361" s="1243"/>
      <c r="Y361" s="1243"/>
      <c r="Z361" s="1243"/>
    </row>
    <row r="362" spans="1:26" ht="15.75" customHeight="1" x14ac:dyDescent="0.2">
      <c r="A362" s="1243"/>
      <c r="B362" s="1243"/>
      <c r="C362" s="1243"/>
      <c r="D362" s="1243"/>
      <c r="E362" s="1243"/>
      <c r="F362" s="1243"/>
      <c r="G362" s="1243"/>
      <c r="H362" s="1243"/>
      <c r="I362" s="1243"/>
      <c r="J362" s="1243"/>
      <c r="K362" s="1243"/>
      <c r="L362" s="1243"/>
      <c r="M362" s="1243"/>
      <c r="N362" s="1243"/>
      <c r="O362" s="1243"/>
      <c r="P362" s="1243"/>
      <c r="Q362" s="1243"/>
      <c r="R362" s="1243"/>
      <c r="S362" s="1243"/>
      <c r="T362" s="1243"/>
      <c r="U362" s="1243"/>
      <c r="V362" s="1243"/>
      <c r="W362" s="1243"/>
      <c r="X362" s="1243"/>
      <c r="Y362" s="1243"/>
      <c r="Z362" s="1243"/>
    </row>
    <row r="363" spans="1:26" ht="15.75" customHeight="1" x14ac:dyDescent="0.2">
      <c r="A363" s="1243"/>
      <c r="B363" s="1243"/>
      <c r="C363" s="1243"/>
      <c r="D363" s="1243"/>
      <c r="E363" s="1243"/>
      <c r="F363" s="1243"/>
      <c r="G363" s="1243"/>
      <c r="H363" s="1243"/>
      <c r="I363" s="1243"/>
      <c r="J363" s="1243"/>
      <c r="K363" s="1243"/>
      <c r="L363" s="1243"/>
      <c r="M363" s="1243"/>
      <c r="N363" s="1243"/>
      <c r="O363" s="1243"/>
      <c r="P363" s="1243"/>
      <c r="Q363" s="1243"/>
      <c r="R363" s="1243"/>
      <c r="S363" s="1243"/>
      <c r="T363" s="1243"/>
      <c r="U363" s="1243"/>
      <c r="V363" s="1243"/>
      <c r="W363" s="1243"/>
      <c r="X363" s="1243"/>
      <c r="Y363" s="1243"/>
      <c r="Z363" s="1243"/>
    </row>
    <row r="364" spans="1:26" ht="15.75" customHeight="1" x14ac:dyDescent="0.2">
      <c r="A364" s="1243"/>
      <c r="B364" s="1243"/>
      <c r="C364" s="1243"/>
      <c r="D364" s="1243"/>
      <c r="E364" s="1243"/>
      <c r="F364" s="1243"/>
      <c r="G364" s="1243"/>
      <c r="H364" s="1243"/>
      <c r="I364" s="1243"/>
      <c r="J364" s="1243"/>
      <c r="K364" s="1243"/>
      <c r="L364" s="1243"/>
      <c r="M364" s="1243"/>
      <c r="N364" s="1243"/>
      <c r="O364" s="1243"/>
      <c r="P364" s="1243"/>
      <c r="Q364" s="1243"/>
      <c r="R364" s="1243"/>
      <c r="S364" s="1243"/>
      <c r="T364" s="1243"/>
      <c r="U364" s="1243"/>
      <c r="V364" s="1243"/>
      <c r="W364" s="1243"/>
      <c r="X364" s="1243"/>
      <c r="Y364" s="1243"/>
      <c r="Z364" s="1243"/>
    </row>
    <row r="365" spans="1:26" ht="15.75" customHeight="1" x14ac:dyDescent="0.2">
      <c r="A365" s="1243"/>
      <c r="B365" s="1243"/>
      <c r="C365" s="1243"/>
      <c r="D365" s="1243"/>
      <c r="E365" s="1243"/>
      <c r="F365" s="1243"/>
      <c r="G365" s="1243"/>
      <c r="H365" s="1243"/>
      <c r="I365" s="1243"/>
      <c r="J365" s="1243"/>
      <c r="K365" s="1243"/>
      <c r="L365" s="1243"/>
      <c r="M365" s="1243"/>
      <c r="N365" s="1243"/>
      <c r="O365" s="1243"/>
      <c r="P365" s="1243"/>
      <c r="Q365" s="1243"/>
      <c r="R365" s="1243"/>
      <c r="S365" s="1243"/>
      <c r="T365" s="1243"/>
      <c r="U365" s="1243"/>
      <c r="V365" s="1243"/>
      <c r="W365" s="1243"/>
      <c r="X365" s="1243"/>
      <c r="Y365" s="1243"/>
      <c r="Z365" s="1243"/>
    </row>
    <row r="366" spans="1:26" ht="15.75" customHeight="1" x14ac:dyDescent="0.2">
      <c r="A366" s="1243"/>
      <c r="B366" s="1243"/>
      <c r="C366" s="1243"/>
      <c r="D366" s="1243"/>
      <c r="E366" s="1243"/>
      <c r="F366" s="1243"/>
      <c r="G366" s="1243"/>
      <c r="H366" s="1243"/>
      <c r="I366" s="1243"/>
      <c r="J366" s="1243"/>
      <c r="K366" s="1243"/>
      <c r="L366" s="1243"/>
      <c r="M366" s="1243"/>
      <c r="N366" s="1243"/>
      <c r="O366" s="1243"/>
      <c r="P366" s="1243"/>
      <c r="Q366" s="1243"/>
      <c r="R366" s="1243"/>
      <c r="S366" s="1243"/>
      <c r="T366" s="1243"/>
      <c r="U366" s="1243"/>
      <c r="V366" s="1243"/>
      <c r="W366" s="1243"/>
      <c r="X366" s="1243"/>
      <c r="Y366" s="1243"/>
      <c r="Z366" s="1243"/>
    </row>
    <row r="367" spans="1:26" ht="15.75" customHeight="1" x14ac:dyDescent="0.2">
      <c r="A367" s="1243"/>
      <c r="B367" s="1243"/>
      <c r="C367" s="1243"/>
      <c r="D367" s="1243"/>
      <c r="E367" s="1243"/>
      <c r="F367" s="1243"/>
      <c r="G367" s="1243"/>
      <c r="H367" s="1243"/>
      <c r="I367" s="1243"/>
      <c r="J367" s="1243"/>
      <c r="K367" s="1243"/>
      <c r="L367" s="1243"/>
      <c r="M367" s="1243"/>
      <c r="N367" s="1243"/>
      <c r="O367" s="1243"/>
      <c r="P367" s="1243"/>
      <c r="Q367" s="1243"/>
      <c r="R367" s="1243"/>
      <c r="S367" s="1243"/>
      <c r="T367" s="1243"/>
      <c r="U367" s="1243"/>
      <c r="V367" s="1243"/>
      <c r="W367" s="1243"/>
      <c r="X367" s="1243"/>
      <c r="Y367" s="1243"/>
      <c r="Z367" s="1243"/>
    </row>
    <row r="368" spans="1:26" ht="15.75" customHeight="1" x14ac:dyDescent="0.2">
      <c r="A368" s="1243"/>
      <c r="B368" s="1243"/>
      <c r="C368" s="1243"/>
      <c r="D368" s="1243"/>
      <c r="E368" s="1243"/>
      <c r="F368" s="1243"/>
      <c r="G368" s="1243"/>
      <c r="H368" s="1243"/>
      <c r="I368" s="1243"/>
      <c r="J368" s="1243"/>
      <c r="K368" s="1243"/>
      <c r="L368" s="1243"/>
      <c r="M368" s="1243"/>
      <c r="N368" s="1243"/>
      <c r="O368" s="1243"/>
      <c r="P368" s="1243"/>
      <c r="Q368" s="1243"/>
      <c r="R368" s="1243"/>
      <c r="S368" s="1243"/>
      <c r="T368" s="1243"/>
      <c r="U368" s="1243"/>
      <c r="V368" s="1243"/>
      <c r="W368" s="1243"/>
      <c r="X368" s="1243"/>
      <c r="Y368" s="1243"/>
      <c r="Z368" s="1243"/>
    </row>
    <row r="369" spans="1:26" ht="15.75" customHeight="1" x14ac:dyDescent="0.2">
      <c r="A369" s="1243"/>
      <c r="B369" s="1243"/>
      <c r="C369" s="1243"/>
      <c r="D369" s="1243"/>
      <c r="E369" s="1243"/>
      <c r="F369" s="1243"/>
      <c r="G369" s="1243"/>
      <c r="H369" s="1243"/>
      <c r="I369" s="1243"/>
      <c r="J369" s="1243"/>
      <c r="K369" s="1243"/>
      <c r="L369" s="1243"/>
      <c r="M369" s="1243"/>
      <c r="N369" s="1243"/>
      <c r="O369" s="1243"/>
      <c r="P369" s="1243"/>
      <c r="Q369" s="1243"/>
      <c r="R369" s="1243"/>
      <c r="S369" s="1243"/>
      <c r="T369" s="1243"/>
      <c r="U369" s="1243"/>
      <c r="V369" s="1243"/>
      <c r="W369" s="1243"/>
      <c r="X369" s="1243"/>
      <c r="Y369" s="1243"/>
      <c r="Z369" s="1243"/>
    </row>
    <row r="370" spans="1:26" ht="15.75" customHeight="1" x14ac:dyDescent="0.2">
      <c r="A370" s="1243"/>
      <c r="B370" s="1243"/>
      <c r="C370" s="1243"/>
      <c r="D370" s="1243"/>
      <c r="E370" s="1243"/>
      <c r="F370" s="1243"/>
      <c r="G370" s="1243"/>
      <c r="H370" s="1243"/>
      <c r="I370" s="1243"/>
      <c r="J370" s="1243"/>
      <c r="K370" s="1243"/>
      <c r="L370" s="1243"/>
      <c r="M370" s="1243"/>
      <c r="N370" s="1243"/>
      <c r="O370" s="1243"/>
      <c r="P370" s="1243"/>
      <c r="Q370" s="1243"/>
      <c r="R370" s="1243"/>
      <c r="S370" s="1243"/>
      <c r="T370" s="1243"/>
      <c r="U370" s="1243"/>
      <c r="V370" s="1243"/>
      <c r="W370" s="1243"/>
      <c r="X370" s="1243"/>
      <c r="Y370" s="1243"/>
      <c r="Z370" s="1243"/>
    </row>
    <row r="371" spans="1:26" ht="15.75" customHeight="1" x14ac:dyDescent="0.2">
      <c r="A371" s="1243"/>
      <c r="B371" s="1243"/>
      <c r="C371" s="1243"/>
      <c r="D371" s="1243"/>
      <c r="E371" s="1243"/>
      <c r="F371" s="1243"/>
      <c r="G371" s="1243"/>
      <c r="H371" s="1243"/>
      <c r="I371" s="1243"/>
      <c r="J371" s="1243"/>
      <c r="K371" s="1243"/>
      <c r="L371" s="1243"/>
      <c r="M371" s="1243"/>
      <c r="N371" s="1243"/>
      <c r="O371" s="1243"/>
      <c r="P371" s="1243"/>
      <c r="Q371" s="1243"/>
      <c r="R371" s="1243"/>
      <c r="S371" s="1243"/>
      <c r="T371" s="1243"/>
      <c r="U371" s="1243"/>
      <c r="V371" s="1243"/>
      <c r="W371" s="1243"/>
      <c r="X371" s="1243"/>
      <c r="Y371" s="1243"/>
      <c r="Z371" s="1243"/>
    </row>
    <row r="372" spans="1:26" ht="15.75" customHeight="1" x14ac:dyDescent="0.2">
      <c r="A372" s="1243"/>
      <c r="B372" s="1243"/>
      <c r="C372" s="1243"/>
      <c r="D372" s="1243"/>
      <c r="E372" s="1243"/>
      <c r="F372" s="1243"/>
      <c r="G372" s="1243"/>
      <c r="H372" s="1243"/>
      <c r="I372" s="1243"/>
      <c r="J372" s="1243"/>
      <c r="K372" s="1243"/>
      <c r="L372" s="1243"/>
      <c r="M372" s="1243"/>
      <c r="N372" s="1243"/>
      <c r="O372" s="1243"/>
      <c r="P372" s="1243"/>
      <c r="Q372" s="1243"/>
      <c r="R372" s="1243"/>
      <c r="S372" s="1243"/>
      <c r="T372" s="1243"/>
      <c r="U372" s="1243"/>
      <c r="V372" s="1243"/>
      <c r="W372" s="1243"/>
      <c r="X372" s="1243"/>
      <c r="Y372" s="1243"/>
      <c r="Z372" s="1243"/>
    </row>
    <row r="373" spans="1:26" ht="15.75" customHeight="1" x14ac:dyDescent="0.2">
      <c r="A373" s="1243"/>
      <c r="B373" s="1243"/>
      <c r="C373" s="1243"/>
      <c r="D373" s="1243"/>
      <c r="E373" s="1243"/>
      <c r="F373" s="1243"/>
      <c r="G373" s="1243"/>
      <c r="H373" s="1243"/>
      <c r="I373" s="1243"/>
      <c r="J373" s="1243"/>
      <c r="K373" s="1243"/>
      <c r="L373" s="1243"/>
      <c r="M373" s="1243"/>
      <c r="N373" s="1243"/>
      <c r="O373" s="1243"/>
      <c r="P373" s="1243"/>
      <c r="Q373" s="1243"/>
      <c r="R373" s="1243"/>
      <c r="S373" s="1243"/>
      <c r="T373" s="1243"/>
      <c r="U373" s="1243"/>
      <c r="V373" s="1243"/>
      <c r="W373" s="1243"/>
      <c r="X373" s="1243"/>
      <c r="Y373" s="1243"/>
      <c r="Z373" s="1243"/>
    </row>
    <row r="374" spans="1:26" ht="15.75" customHeight="1" x14ac:dyDescent="0.2">
      <c r="A374" s="1243"/>
      <c r="B374" s="1243"/>
      <c r="C374" s="1243"/>
      <c r="D374" s="1243"/>
      <c r="E374" s="1243"/>
      <c r="F374" s="1243"/>
      <c r="G374" s="1243"/>
      <c r="H374" s="1243"/>
      <c r="I374" s="1243"/>
      <c r="J374" s="1243"/>
      <c r="K374" s="1243"/>
      <c r="L374" s="1243"/>
      <c r="M374" s="1243"/>
      <c r="N374" s="1243"/>
      <c r="O374" s="1243"/>
      <c r="P374" s="1243"/>
      <c r="Q374" s="1243"/>
      <c r="R374" s="1243"/>
      <c r="S374" s="1243"/>
      <c r="T374" s="1243"/>
      <c r="U374" s="1243"/>
      <c r="V374" s="1243"/>
      <c r="W374" s="1243"/>
      <c r="X374" s="1243"/>
      <c r="Y374" s="1243"/>
      <c r="Z374" s="1243"/>
    </row>
    <row r="375" spans="1:26" ht="15.75" customHeight="1" x14ac:dyDescent="0.2">
      <c r="A375" s="1243"/>
      <c r="B375" s="1243"/>
      <c r="C375" s="1243"/>
      <c r="D375" s="1243"/>
      <c r="E375" s="1243"/>
      <c r="F375" s="1243"/>
      <c r="G375" s="1243"/>
      <c r="H375" s="1243"/>
      <c r="I375" s="1243"/>
      <c r="J375" s="1243"/>
      <c r="K375" s="1243"/>
      <c r="L375" s="1243"/>
      <c r="M375" s="1243"/>
      <c r="N375" s="1243"/>
      <c r="O375" s="1243"/>
      <c r="P375" s="1243"/>
      <c r="Q375" s="1243"/>
      <c r="R375" s="1243"/>
      <c r="S375" s="1243"/>
      <c r="T375" s="1243"/>
      <c r="U375" s="1243"/>
      <c r="V375" s="1243"/>
      <c r="W375" s="1243"/>
      <c r="X375" s="1243"/>
      <c r="Y375" s="1243"/>
      <c r="Z375" s="1243"/>
    </row>
    <row r="376" spans="1:26" ht="15.75" customHeight="1" x14ac:dyDescent="0.2">
      <c r="A376" s="1243"/>
      <c r="B376" s="1243"/>
      <c r="C376" s="1243"/>
      <c r="D376" s="1243"/>
      <c r="E376" s="1243"/>
      <c r="F376" s="1243"/>
      <c r="G376" s="1243"/>
      <c r="H376" s="1243"/>
      <c r="I376" s="1243"/>
      <c r="J376" s="1243"/>
      <c r="K376" s="1243"/>
      <c r="L376" s="1243"/>
      <c r="M376" s="1243"/>
      <c r="N376" s="1243"/>
      <c r="O376" s="1243"/>
      <c r="P376" s="1243"/>
      <c r="Q376" s="1243"/>
      <c r="R376" s="1243"/>
      <c r="S376" s="1243"/>
      <c r="T376" s="1243"/>
      <c r="U376" s="1243"/>
      <c r="V376" s="1243"/>
      <c r="W376" s="1243"/>
      <c r="X376" s="1243"/>
      <c r="Y376" s="1243"/>
      <c r="Z376" s="1243"/>
    </row>
    <row r="377" spans="1:26" ht="15.75" customHeight="1" x14ac:dyDescent="0.2">
      <c r="A377" s="1243"/>
      <c r="B377" s="1243"/>
      <c r="C377" s="1243"/>
      <c r="D377" s="1243"/>
      <c r="E377" s="1243"/>
      <c r="F377" s="1243"/>
      <c r="G377" s="1243"/>
      <c r="H377" s="1243"/>
      <c r="I377" s="1243"/>
      <c r="J377" s="1243"/>
      <c r="K377" s="1243"/>
      <c r="L377" s="1243"/>
      <c r="M377" s="1243"/>
      <c r="N377" s="1243"/>
      <c r="O377" s="1243"/>
      <c r="P377" s="1243"/>
      <c r="Q377" s="1243"/>
      <c r="R377" s="1243"/>
      <c r="S377" s="1243"/>
      <c r="T377" s="1243"/>
      <c r="U377" s="1243"/>
      <c r="V377" s="1243"/>
      <c r="W377" s="1243"/>
      <c r="X377" s="1243"/>
      <c r="Y377" s="1243"/>
      <c r="Z377" s="1243"/>
    </row>
    <row r="378" spans="1:26" ht="15.75" customHeight="1" x14ac:dyDescent="0.2">
      <c r="A378" s="1243"/>
      <c r="B378" s="1243"/>
      <c r="C378" s="1243"/>
      <c r="D378" s="1243"/>
      <c r="E378" s="1243"/>
      <c r="F378" s="1243"/>
      <c r="G378" s="1243"/>
      <c r="H378" s="1243"/>
      <c r="I378" s="1243"/>
      <c r="J378" s="1243"/>
      <c r="K378" s="1243"/>
      <c r="L378" s="1243"/>
      <c r="M378" s="1243"/>
      <c r="N378" s="1243"/>
      <c r="O378" s="1243"/>
      <c r="P378" s="1243"/>
      <c r="Q378" s="1243"/>
      <c r="R378" s="1243"/>
      <c r="S378" s="1243"/>
      <c r="T378" s="1243"/>
      <c r="U378" s="1243"/>
      <c r="V378" s="1243"/>
      <c r="W378" s="1243"/>
      <c r="X378" s="1243"/>
      <c r="Y378" s="1243"/>
      <c r="Z378" s="1243"/>
    </row>
    <row r="379" spans="1:26" ht="15.75" customHeight="1" x14ac:dyDescent="0.2">
      <c r="A379" s="1243"/>
      <c r="B379" s="1243"/>
      <c r="C379" s="1243"/>
      <c r="D379" s="1243"/>
      <c r="E379" s="1243"/>
      <c r="F379" s="1243"/>
      <c r="G379" s="1243"/>
      <c r="H379" s="1243"/>
      <c r="I379" s="1243"/>
      <c r="J379" s="1243"/>
      <c r="K379" s="1243"/>
      <c r="L379" s="1243"/>
      <c r="M379" s="1243"/>
      <c r="N379" s="1243"/>
      <c r="O379" s="1243"/>
      <c r="P379" s="1243"/>
      <c r="Q379" s="1243"/>
      <c r="R379" s="1243"/>
      <c r="S379" s="1243"/>
      <c r="T379" s="1243"/>
      <c r="U379" s="1243"/>
      <c r="V379" s="1243"/>
      <c r="W379" s="1243"/>
      <c r="X379" s="1243"/>
      <c r="Y379" s="1243"/>
      <c r="Z379" s="1243"/>
    </row>
    <row r="380" spans="1:26" ht="15.75" customHeight="1" x14ac:dyDescent="0.2">
      <c r="A380" s="1243"/>
      <c r="B380" s="1243"/>
      <c r="C380" s="1243"/>
      <c r="D380" s="1243"/>
      <c r="E380" s="1243"/>
      <c r="F380" s="1243"/>
      <c r="G380" s="1243"/>
      <c r="H380" s="1243"/>
      <c r="I380" s="1243"/>
      <c r="J380" s="1243"/>
      <c r="K380" s="1243"/>
      <c r="L380" s="1243"/>
      <c r="M380" s="1243"/>
      <c r="N380" s="1243"/>
      <c r="O380" s="1243"/>
      <c r="P380" s="1243"/>
      <c r="Q380" s="1243"/>
      <c r="R380" s="1243"/>
      <c r="S380" s="1243"/>
      <c r="T380" s="1243"/>
      <c r="U380" s="1243"/>
      <c r="V380" s="1243"/>
      <c r="W380" s="1243"/>
      <c r="X380" s="1243"/>
      <c r="Y380" s="1243"/>
      <c r="Z380" s="1243"/>
    </row>
    <row r="381" spans="1:26" ht="15.75" customHeight="1" x14ac:dyDescent="0.2">
      <c r="A381" s="1243"/>
      <c r="B381" s="1243"/>
      <c r="C381" s="1243"/>
      <c r="D381" s="1243"/>
      <c r="E381" s="1243"/>
      <c r="F381" s="1243"/>
      <c r="G381" s="1243"/>
      <c r="H381" s="1243"/>
      <c r="I381" s="1243"/>
      <c r="J381" s="1243"/>
      <c r="K381" s="1243"/>
      <c r="L381" s="1243"/>
      <c r="M381" s="1243"/>
      <c r="N381" s="1243"/>
      <c r="O381" s="1243"/>
      <c r="P381" s="1243"/>
      <c r="Q381" s="1243"/>
      <c r="R381" s="1243"/>
      <c r="S381" s="1243"/>
      <c r="T381" s="1243"/>
      <c r="U381" s="1243"/>
      <c r="V381" s="1243"/>
      <c r="W381" s="1243"/>
      <c r="X381" s="1243"/>
      <c r="Y381" s="1243"/>
      <c r="Z381" s="1243"/>
    </row>
    <row r="382" spans="1:26" ht="15.75" customHeight="1" x14ac:dyDescent="0.2">
      <c r="A382" s="1243"/>
      <c r="B382" s="1243"/>
      <c r="C382" s="1243"/>
      <c r="D382" s="1243"/>
      <c r="E382" s="1243"/>
      <c r="F382" s="1243"/>
      <c r="G382" s="1243"/>
      <c r="H382" s="1243"/>
      <c r="I382" s="1243"/>
      <c r="J382" s="1243"/>
      <c r="K382" s="1243"/>
      <c r="L382" s="1243"/>
      <c r="M382" s="1243"/>
      <c r="N382" s="1243"/>
      <c r="O382" s="1243"/>
      <c r="P382" s="1243"/>
      <c r="Q382" s="1243"/>
      <c r="R382" s="1243"/>
      <c r="S382" s="1243"/>
      <c r="T382" s="1243"/>
      <c r="U382" s="1243"/>
      <c r="V382" s="1243"/>
      <c r="W382" s="1243"/>
      <c r="X382" s="1243"/>
      <c r="Y382" s="1243"/>
      <c r="Z382" s="1243"/>
    </row>
    <row r="383" spans="1:26" ht="15.75" customHeight="1" x14ac:dyDescent="0.2">
      <c r="A383" s="1243"/>
      <c r="B383" s="1243"/>
      <c r="C383" s="1243"/>
      <c r="D383" s="1243"/>
      <c r="E383" s="1243"/>
      <c r="F383" s="1243"/>
      <c r="G383" s="1243"/>
      <c r="H383" s="1243"/>
      <c r="I383" s="1243"/>
      <c r="J383" s="1243"/>
      <c r="K383" s="1243"/>
      <c r="L383" s="1243"/>
      <c r="M383" s="1243"/>
      <c r="N383" s="1243"/>
      <c r="O383" s="1243"/>
      <c r="P383" s="1243"/>
      <c r="Q383" s="1243"/>
      <c r="R383" s="1243"/>
      <c r="S383" s="1243"/>
      <c r="T383" s="1243"/>
      <c r="U383" s="1243"/>
      <c r="V383" s="1243"/>
      <c r="W383" s="1243"/>
      <c r="X383" s="1243"/>
      <c r="Y383" s="1243"/>
      <c r="Z383" s="1243"/>
    </row>
    <row r="384" spans="1:26" ht="15.75" customHeight="1" x14ac:dyDescent="0.2">
      <c r="A384" s="1243"/>
      <c r="B384" s="1243"/>
      <c r="C384" s="1243"/>
      <c r="D384" s="1243"/>
      <c r="E384" s="1243"/>
      <c r="F384" s="1243"/>
      <c r="G384" s="1243"/>
      <c r="H384" s="1243"/>
      <c r="I384" s="1243"/>
      <c r="J384" s="1243"/>
      <c r="K384" s="1243"/>
      <c r="L384" s="1243"/>
      <c r="M384" s="1243"/>
      <c r="N384" s="1243"/>
      <c r="O384" s="1243"/>
      <c r="P384" s="1243"/>
      <c r="Q384" s="1243"/>
      <c r="R384" s="1243"/>
      <c r="S384" s="1243"/>
      <c r="T384" s="1243"/>
      <c r="U384" s="1243"/>
      <c r="V384" s="1243"/>
      <c r="W384" s="1243"/>
      <c r="X384" s="1243"/>
      <c r="Y384" s="1243"/>
      <c r="Z384" s="1243"/>
    </row>
    <row r="385" spans="1:26" ht="15.75" customHeight="1" x14ac:dyDescent="0.2">
      <c r="A385" s="1243"/>
      <c r="B385" s="1243"/>
      <c r="C385" s="1243"/>
      <c r="D385" s="1243"/>
      <c r="E385" s="1243"/>
      <c r="F385" s="1243"/>
      <c r="G385" s="1243"/>
      <c r="H385" s="1243"/>
      <c r="I385" s="1243"/>
      <c r="J385" s="1243"/>
      <c r="K385" s="1243"/>
      <c r="L385" s="1243"/>
      <c r="M385" s="1243"/>
      <c r="N385" s="1243"/>
      <c r="O385" s="1243"/>
      <c r="P385" s="1243"/>
      <c r="Q385" s="1243"/>
      <c r="R385" s="1243"/>
      <c r="S385" s="1243"/>
      <c r="T385" s="1243"/>
      <c r="U385" s="1243"/>
      <c r="V385" s="1243"/>
      <c r="W385" s="1243"/>
      <c r="X385" s="1243"/>
      <c r="Y385" s="1243"/>
      <c r="Z385" s="1243"/>
    </row>
    <row r="386" spans="1:26" ht="15.75" customHeight="1" x14ac:dyDescent="0.2">
      <c r="A386" s="1243"/>
      <c r="B386" s="1243"/>
      <c r="C386" s="1243"/>
      <c r="D386" s="1243"/>
      <c r="E386" s="1243"/>
      <c r="F386" s="1243"/>
      <c r="G386" s="1243"/>
      <c r="H386" s="1243"/>
      <c r="I386" s="1243"/>
      <c r="J386" s="1243"/>
      <c r="K386" s="1243"/>
      <c r="L386" s="1243"/>
      <c r="M386" s="1243"/>
      <c r="N386" s="1243"/>
      <c r="O386" s="1243"/>
      <c r="P386" s="1243"/>
      <c r="Q386" s="1243"/>
      <c r="R386" s="1243"/>
      <c r="S386" s="1243"/>
      <c r="T386" s="1243"/>
      <c r="U386" s="1243"/>
      <c r="V386" s="1243"/>
      <c r="W386" s="1243"/>
      <c r="X386" s="1243"/>
      <c r="Y386" s="1243"/>
      <c r="Z386" s="1243"/>
    </row>
    <row r="387" spans="1:26" ht="15.75" customHeight="1" x14ac:dyDescent="0.2">
      <c r="A387" s="1243"/>
      <c r="B387" s="1243"/>
      <c r="C387" s="1243"/>
      <c r="D387" s="1243"/>
      <c r="E387" s="1243"/>
      <c r="F387" s="1243"/>
      <c r="G387" s="1243"/>
      <c r="H387" s="1243"/>
      <c r="I387" s="1243"/>
      <c r="J387" s="1243"/>
      <c r="K387" s="1243"/>
      <c r="L387" s="1243"/>
      <c r="M387" s="1243"/>
      <c r="N387" s="1243"/>
      <c r="O387" s="1243"/>
      <c r="P387" s="1243"/>
      <c r="Q387" s="1243"/>
      <c r="R387" s="1243"/>
      <c r="S387" s="1243"/>
      <c r="T387" s="1243"/>
      <c r="U387" s="1243"/>
      <c r="V387" s="1243"/>
      <c r="W387" s="1243"/>
      <c r="X387" s="1243"/>
      <c r="Y387" s="1243"/>
      <c r="Z387" s="1243"/>
    </row>
    <row r="388" spans="1:26" ht="15.75" customHeight="1" x14ac:dyDescent="0.2">
      <c r="A388" s="1243"/>
      <c r="B388" s="1243"/>
      <c r="C388" s="1243"/>
      <c r="D388" s="1243"/>
      <c r="E388" s="1243"/>
      <c r="F388" s="1243"/>
      <c r="G388" s="1243"/>
      <c r="H388" s="1243"/>
      <c r="I388" s="1243"/>
      <c r="J388" s="1243"/>
      <c r="K388" s="1243"/>
      <c r="L388" s="1243"/>
      <c r="M388" s="1243"/>
      <c r="N388" s="1243"/>
      <c r="O388" s="1243"/>
      <c r="P388" s="1243"/>
      <c r="Q388" s="1243"/>
      <c r="R388" s="1243"/>
      <c r="S388" s="1243"/>
      <c r="T388" s="1243"/>
      <c r="U388" s="1243"/>
      <c r="V388" s="1243"/>
      <c r="W388" s="1243"/>
      <c r="X388" s="1243"/>
      <c r="Y388" s="1243"/>
      <c r="Z388" s="1243"/>
    </row>
    <row r="389" spans="1:26" ht="15.75" customHeight="1" x14ac:dyDescent="0.2">
      <c r="A389" s="1243"/>
      <c r="B389" s="1243"/>
      <c r="C389" s="1243"/>
      <c r="D389" s="1243"/>
      <c r="E389" s="1243"/>
      <c r="F389" s="1243"/>
      <c r="G389" s="1243"/>
      <c r="H389" s="1243"/>
      <c r="I389" s="1243"/>
      <c r="J389" s="1243"/>
      <c r="K389" s="1243"/>
      <c r="L389" s="1243"/>
      <c r="M389" s="1243"/>
      <c r="N389" s="1243"/>
      <c r="O389" s="1243"/>
      <c r="P389" s="1243"/>
      <c r="Q389" s="1243"/>
      <c r="R389" s="1243"/>
      <c r="S389" s="1243"/>
      <c r="T389" s="1243"/>
      <c r="U389" s="1243"/>
      <c r="V389" s="1243"/>
      <c r="W389" s="1243"/>
      <c r="X389" s="1243"/>
      <c r="Y389" s="1243"/>
      <c r="Z389" s="1243"/>
    </row>
    <row r="390" spans="1:26" ht="15.75" customHeight="1" x14ac:dyDescent="0.2">
      <c r="A390" s="1243"/>
      <c r="B390" s="1243"/>
      <c r="C390" s="1243"/>
      <c r="D390" s="1243"/>
      <c r="E390" s="1243"/>
      <c r="F390" s="1243"/>
      <c r="G390" s="1243"/>
      <c r="H390" s="1243"/>
      <c r="I390" s="1243"/>
      <c r="J390" s="1243"/>
      <c r="K390" s="1243"/>
      <c r="L390" s="1243"/>
      <c r="M390" s="1243"/>
      <c r="N390" s="1243"/>
      <c r="O390" s="1243"/>
      <c r="P390" s="1243"/>
      <c r="Q390" s="1243"/>
      <c r="R390" s="1243"/>
      <c r="S390" s="1243"/>
      <c r="T390" s="1243"/>
      <c r="U390" s="1243"/>
      <c r="V390" s="1243"/>
      <c r="W390" s="1243"/>
      <c r="X390" s="1243"/>
      <c r="Y390" s="1243"/>
      <c r="Z390" s="1243"/>
    </row>
    <row r="391" spans="1:26" ht="15.75" customHeight="1" x14ac:dyDescent="0.2">
      <c r="A391" s="1243"/>
      <c r="B391" s="1243"/>
      <c r="C391" s="1243"/>
      <c r="D391" s="1243"/>
      <c r="E391" s="1243"/>
      <c r="F391" s="1243"/>
      <c r="G391" s="1243"/>
      <c r="H391" s="1243"/>
      <c r="I391" s="1243"/>
      <c r="J391" s="1243"/>
      <c r="K391" s="1243"/>
      <c r="L391" s="1243"/>
      <c r="M391" s="1243"/>
      <c r="N391" s="1243"/>
      <c r="O391" s="1243"/>
      <c r="P391" s="1243"/>
      <c r="Q391" s="1243"/>
      <c r="R391" s="1243"/>
      <c r="S391" s="1243"/>
      <c r="T391" s="1243"/>
      <c r="U391" s="1243"/>
      <c r="V391" s="1243"/>
      <c r="W391" s="1243"/>
      <c r="X391" s="1243"/>
      <c r="Y391" s="1243"/>
      <c r="Z391" s="1243"/>
    </row>
    <row r="392" spans="1:26" ht="15.75" customHeight="1" x14ac:dyDescent="0.2">
      <c r="A392" s="1243"/>
      <c r="B392" s="1243"/>
      <c r="C392" s="1243"/>
      <c r="D392" s="1243"/>
      <c r="E392" s="1243"/>
      <c r="F392" s="1243"/>
      <c r="G392" s="1243"/>
      <c r="H392" s="1243"/>
      <c r="I392" s="1243"/>
      <c r="J392" s="1243"/>
      <c r="K392" s="1243"/>
      <c r="L392" s="1243"/>
      <c r="M392" s="1243"/>
      <c r="N392" s="1243"/>
      <c r="O392" s="1243"/>
      <c r="P392" s="1243"/>
      <c r="Q392" s="1243"/>
      <c r="R392" s="1243"/>
      <c r="S392" s="1243"/>
      <c r="T392" s="1243"/>
      <c r="U392" s="1243"/>
      <c r="V392" s="1243"/>
      <c r="W392" s="1243"/>
      <c r="X392" s="1243"/>
      <c r="Y392" s="1243"/>
      <c r="Z392" s="1243"/>
    </row>
    <row r="393" spans="1:26" ht="15.75" customHeight="1" x14ac:dyDescent="0.2">
      <c r="A393" s="1243"/>
      <c r="B393" s="1243"/>
      <c r="C393" s="1243"/>
      <c r="D393" s="1243"/>
      <c r="E393" s="1243"/>
      <c r="F393" s="1243"/>
      <c r="G393" s="1243"/>
      <c r="H393" s="1243"/>
      <c r="I393" s="1243"/>
      <c r="J393" s="1243"/>
      <c r="K393" s="1243"/>
      <c r="L393" s="1243"/>
      <c r="M393" s="1243"/>
      <c r="N393" s="1243"/>
      <c r="O393" s="1243"/>
      <c r="P393" s="1243"/>
      <c r="Q393" s="1243"/>
      <c r="R393" s="1243"/>
      <c r="S393" s="1243"/>
      <c r="T393" s="1243"/>
      <c r="U393" s="1243"/>
      <c r="V393" s="1243"/>
      <c r="W393" s="1243"/>
      <c r="X393" s="1243"/>
      <c r="Y393" s="1243"/>
      <c r="Z393" s="1243"/>
    </row>
    <row r="394" spans="1:26" ht="15.75" customHeight="1" x14ac:dyDescent="0.2">
      <c r="A394" s="1243"/>
      <c r="B394" s="1243"/>
      <c r="C394" s="1243"/>
      <c r="D394" s="1243"/>
      <c r="E394" s="1243"/>
      <c r="F394" s="1243"/>
      <c r="G394" s="1243"/>
      <c r="H394" s="1243"/>
      <c r="I394" s="1243"/>
      <c r="J394" s="1243"/>
      <c r="K394" s="1243"/>
      <c r="L394" s="1243"/>
      <c r="M394" s="1243"/>
      <c r="N394" s="1243"/>
      <c r="O394" s="1243"/>
      <c r="P394" s="1243"/>
      <c r="Q394" s="1243"/>
      <c r="R394" s="1243"/>
      <c r="S394" s="1243"/>
      <c r="T394" s="1243"/>
      <c r="U394" s="1243"/>
      <c r="V394" s="1243"/>
      <c r="W394" s="1243"/>
      <c r="X394" s="1243"/>
      <c r="Y394" s="1243"/>
      <c r="Z394" s="1243"/>
    </row>
    <row r="395" spans="1:26" ht="15.75" customHeight="1" x14ac:dyDescent="0.2">
      <c r="A395" s="1243"/>
      <c r="B395" s="1243"/>
      <c r="C395" s="1243"/>
      <c r="D395" s="1243"/>
      <c r="E395" s="1243"/>
      <c r="F395" s="1243"/>
      <c r="G395" s="1243"/>
      <c r="H395" s="1243"/>
      <c r="I395" s="1243"/>
      <c r="J395" s="1243"/>
      <c r="K395" s="1243"/>
      <c r="L395" s="1243"/>
      <c r="M395" s="1243"/>
      <c r="N395" s="1243"/>
      <c r="O395" s="1243"/>
      <c r="P395" s="1243"/>
      <c r="Q395" s="1243"/>
      <c r="R395" s="1243"/>
      <c r="S395" s="1243"/>
      <c r="T395" s="1243"/>
      <c r="U395" s="1243"/>
      <c r="V395" s="1243"/>
      <c r="W395" s="1243"/>
      <c r="X395" s="1243"/>
      <c r="Y395" s="1243"/>
      <c r="Z395" s="1243"/>
    </row>
    <row r="396" spans="1:26" ht="15.75" customHeight="1" x14ac:dyDescent="0.2">
      <c r="A396" s="1243"/>
      <c r="B396" s="1243"/>
      <c r="C396" s="1243"/>
      <c r="D396" s="1243"/>
      <c r="E396" s="1243"/>
      <c r="F396" s="1243"/>
      <c r="G396" s="1243"/>
      <c r="H396" s="1243"/>
      <c r="I396" s="1243"/>
      <c r="J396" s="1243"/>
      <c r="K396" s="1243"/>
      <c r="L396" s="1243"/>
      <c r="M396" s="1243"/>
      <c r="N396" s="1243"/>
      <c r="O396" s="1243"/>
      <c r="P396" s="1243"/>
      <c r="Q396" s="1243"/>
      <c r="R396" s="1243"/>
      <c r="S396" s="1243"/>
      <c r="T396" s="1243"/>
      <c r="U396" s="1243"/>
      <c r="V396" s="1243"/>
      <c r="W396" s="1243"/>
      <c r="X396" s="1243"/>
      <c r="Y396" s="1243"/>
      <c r="Z396" s="1243"/>
    </row>
    <row r="397" spans="1:26" ht="15.75" customHeight="1" x14ac:dyDescent="0.2">
      <c r="A397" s="1243"/>
      <c r="B397" s="1243"/>
      <c r="C397" s="1243"/>
      <c r="D397" s="1243"/>
      <c r="E397" s="1243"/>
      <c r="F397" s="1243"/>
      <c r="G397" s="1243"/>
      <c r="H397" s="1243"/>
      <c r="I397" s="1243"/>
      <c r="J397" s="1243"/>
      <c r="K397" s="1243"/>
      <c r="L397" s="1243"/>
      <c r="M397" s="1243"/>
      <c r="N397" s="1243"/>
      <c r="O397" s="1243"/>
      <c r="P397" s="1243"/>
      <c r="Q397" s="1243"/>
      <c r="R397" s="1243"/>
      <c r="S397" s="1243"/>
      <c r="T397" s="1243"/>
      <c r="U397" s="1243"/>
      <c r="V397" s="1243"/>
      <c r="W397" s="1243"/>
      <c r="X397" s="1243"/>
      <c r="Y397" s="1243"/>
      <c r="Z397" s="1243"/>
    </row>
    <row r="398" spans="1:26" ht="15.75" customHeight="1" x14ac:dyDescent="0.2">
      <c r="A398" s="1243"/>
      <c r="B398" s="1243"/>
      <c r="C398" s="1243"/>
      <c r="D398" s="1243"/>
      <c r="E398" s="1243"/>
      <c r="F398" s="1243"/>
      <c r="G398" s="1243"/>
      <c r="H398" s="1243"/>
      <c r="I398" s="1243"/>
      <c r="J398" s="1243"/>
      <c r="K398" s="1243"/>
      <c r="L398" s="1243"/>
      <c r="M398" s="1243"/>
      <c r="N398" s="1243"/>
      <c r="O398" s="1243"/>
      <c r="P398" s="1243"/>
      <c r="Q398" s="1243"/>
      <c r="R398" s="1243"/>
      <c r="S398" s="1243"/>
      <c r="T398" s="1243"/>
      <c r="U398" s="1243"/>
      <c r="V398" s="1243"/>
      <c r="W398" s="1243"/>
      <c r="X398" s="1243"/>
      <c r="Y398" s="1243"/>
      <c r="Z398" s="1243"/>
    </row>
    <row r="399" spans="1:26" ht="15.75" customHeight="1" x14ac:dyDescent="0.2">
      <c r="A399" s="1243"/>
      <c r="B399" s="1243"/>
      <c r="C399" s="1243"/>
      <c r="D399" s="1243"/>
      <c r="E399" s="1243"/>
      <c r="F399" s="1243"/>
      <c r="G399" s="1243"/>
      <c r="H399" s="1243"/>
      <c r="I399" s="1243"/>
      <c r="J399" s="1243"/>
      <c r="K399" s="1243"/>
      <c r="L399" s="1243"/>
      <c r="M399" s="1243"/>
      <c r="N399" s="1243"/>
      <c r="O399" s="1243"/>
      <c r="P399" s="1243"/>
      <c r="Q399" s="1243"/>
      <c r="R399" s="1243"/>
      <c r="S399" s="1243"/>
      <c r="T399" s="1243"/>
      <c r="U399" s="1243"/>
      <c r="V399" s="1243"/>
      <c r="W399" s="1243"/>
      <c r="X399" s="1243"/>
      <c r="Y399" s="1243"/>
      <c r="Z399" s="1243"/>
    </row>
    <row r="400" spans="1:26" ht="15.75" customHeight="1" x14ac:dyDescent="0.2">
      <c r="A400" s="1243"/>
      <c r="B400" s="1243"/>
      <c r="C400" s="1243"/>
      <c r="D400" s="1243"/>
      <c r="E400" s="1243"/>
      <c r="F400" s="1243"/>
      <c r="G400" s="1243"/>
      <c r="H400" s="1243"/>
      <c r="I400" s="1243"/>
      <c r="J400" s="1243"/>
      <c r="K400" s="1243"/>
      <c r="L400" s="1243"/>
      <c r="M400" s="1243"/>
      <c r="N400" s="1243"/>
      <c r="O400" s="1243"/>
      <c r="P400" s="1243"/>
      <c r="Q400" s="1243"/>
      <c r="R400" s="1243"/>
      <c r="S400" s="1243"/>
      <c r="T400" s="1243"/>
      <c r="U400" s="1243"/>
      <c r="V400" s="1243"/>
      <c r="W400" s="1243"/>
      <c r="X400" s="1243"/>
      <c r="Y400" s="1243"/>
      <c r="Z400" s="1243"/>
    </row>
    <row r="401" spans="1:26" ht="15.75" customHeight="1" x14ac:dyDescent="0.2">
      <c r="A401" s="1243"/>
      <c r="B401" s="1243"/>
      <c r="C401" s="1243"/>
      <c r="D401" s="1243"/>
      <c r="E401" s="1243"/>
      <c r="F401" s="1243"/>
      <c r="G401" s="1243"/>
      <c r="H401" s="1243"/>
      <c r="I401" s="1243"/>
      <c r="J401" s="1243"/>
      <c r="K401" s="1243"/>
      <c r="L401" s="1243"/>
      <c r="M401" s="1243"/>
      <c r="N401" s="1243"/>
      <c r="O401" s="1243"/>
      <c r="P401" s="1243"/>
      <c r="Q401" s="1243"/>
      <c r="R401" s="1243"/>
      <c r="S401" s="1243"/>
      <c r="T401" s="1243"/>
      <c r="U401" s="1243"/>
      <c r="V401" s="1243"/>
      <c r="W401" s="1243"/>
      <c r="X401" s="1243"/>
      <c r="Y401" s="1243"/>
      <c r="Z401" s="1243"/>
    </row>
    <row r="402" spans="1:26" ht="15.75" customHeight="1" x14ac:dyDescent="0.2">
      <c r="A402" s="1243"/>
      <c r="B402" s="1243"/>
      <c r="C402" s="1243"/>
      <c r="D402" s="1243"/>
      <c r="E402" s="1243"/>
      <c r="F402" s="1243"/>
      <c r="G402" s="1243"/>
      <c r="H402" s="1243"/>
      <c r="I402" s="1243"/>
      <c r="J402" s="1243"/>
      <c r="K402" s="1243"/>
      <c r="L402" s="1243"/>
      <c r="M402" s="1243"/>
      <c r="N402" s="1243"/>
      <c r="O402" s="1243"/>
      <c r="P402" s="1243"/>
      <c r="Q402" s="1243"/>
      <c r="R402" s="1243"/>
      <c r="S402" s="1243"/>
      <c r="T402" s="1243"/>
      <c r="U402" s="1243"/>
      <c r="V402" s="1243"/>
      <c r="W402" s="1243"/>
      <c r="X402" s="1243"/>
      <c r="Y402" s="1243"/>
      <c r="Z402" s="1243"/>
    </row>
    <row r="403" spans="1:26" ht="15.75" customHeight="1" x14ac:dyDescent="0.2">
      <c r="A403" s="1243"/>
      <c r="B403" s="1243"/>
      <c r="C403" s="1243"/>
      <c r="D403" s="1243"/>
      <c r="E403" s="1243"/>
      <c r="F403" s="1243"/>
      <c r="G403" s="1243"/>
      <c r="H403" s="1243"/>
      <c r="I403" s="1243"/>
      <c r="J403" s="1243"/>
      <c r="K403" s="1243"/>
      <c r="L403" s="1243"/>
      <c r="M403" s="1243"/>
      <c r="N403" s="1243"/>
      <c r="O403" s="1243"/>
      <c r="P403" s="1243"/>
      <c r="Q403" s="1243"/>
      <c r="R403" s="1243"/>
      <c r="S403" s="1243"/>
      <c r="T403" s="1243"/>
      <c r="U403" s="1243"/>
      <c r="V403" s="1243"/>
      <c r="W403" s="1243"/>
      <c r="X403" s="1243"/>
      <c r="Y403" s="1243"/>
      <c r="Z403" s="1243"/>
    </row>
    <row r="404" spans="1:26" ht="15.75" customHeight="1" x14ac:dyDescent="0.2">
      <c r="A404" s="1243"/>
      <c r="B404" s="1243"/>
      <c r="C404" s="1243"/>
      <c r="D404" s="1243"/>
      <c r="E404" s="1243"/>
      <c r="F404" s="1243"/>
      <c r="G404" s="1243"/>
      <c r="H404" s="1243"/>
      <c r="I404" s="1243"/>
      <c r="J404" s="1243"/>
      <c r="K404" s="1243"/>
      <c r="L404" s="1243"/>
      <c r="M404" s="1243"/>
      <c r="N404" s="1243"/>
      <c r="O404" s="1243"/>
      <c r="P404" s="1243"/>
      <c r="Q404" s="1243"/>
      <c r="R404" s="1243"/>
      <c r="S404" s="1243"/>
      <c r="T404" s="1243"/>
      <c r="U404" s="1243"/>
      <c r="V404" s="1243"/>
      <c r="W404" s="1243"/>
      <c r="X404" s="1243"/>
      <c r="Y404" s="1243"/>
      <c r="Z404" s="1243"/>
    </row>
    <row r="405" spans="1:26" ht="15.75" customHeight="1" x14ac:dyDescent="0.2">
      <c r="A405" s="1243"/>
      <c r="B405" s="1243"/>
      <c r="C405" s="1243"/>
      <c r="D405" s="1243"/>
      <c r="E405" s="1243"/>
      <c r="F405" s="1243"/>
      <c r="G405" s="1243"/>
      <c r="H405" s="1243"/>
      <c r="I405" s="1243"/>
      <c r="J405" s="1243"/>
      <c r="K405" s="1243"/>
      <c r="L405" s="1243"/>
      <c r="M405" s="1243"/>
      <c r="N405" s="1243"/>
      <c r="O405" s="1243"/>
      <c r="P405" s="1243"/>
      <c r="Q405" s="1243"/>
      <c r="R405" s="1243"/>
      <c r="S405" s="1243"/>
      <c r="T405" s="1243"/>
      <c r="U405" s="1243"/>
      <c r="V405" s="1243"/>
      <c r="W405" s="1243"/>
      <c r="X405" s="1243"/>
      <c r="Y405" s="1243"/>
      <c r="Z405" s="1243"/>
    </row>
    <row r="406" spans="1:26" ht="15.75" customHeight="1" x14ac:dyDescent="0.2">
      <c r="A406" s="1243"/>
      <c r="B406" s="1243"/>
      <c r="C406" s="1243"/>
      <c r="D406" s="1243"/>
      <c r="E406" s="1243"/>
      <c r="F406" s="1243"/>
      <c r="G406" s="1243"/>
      <c r="H406" s="1243"/>
      <c r="I406" s="1243"/>
      <c r="J406" s="1243"/>
      <c r="K406" s="1243"/>
      <c r="L406" s="1243"/>
      <c r="M406" s="1243"/>
      <c r="N406" s="1243"/>
      <c r="O406" s="1243"/>
      <c r="P406" s="1243"/>
      <c r="Q406" s="1243"/>
      <c r="R406" s="1243"/>
      <c r="S406" s="1243"/>
      <c r="T406" s="1243"/>
      <c r="U406" s="1243"/>
      <c r="V406" s="1243"/>
      <c r="W406" s="1243"/>
      <c r="X406" s="1243"/>
      <c r="Y406" s="1243"/>
      <c r="Z406" s="1243"/>
    </row>
    <row r="407" spans="1:26" ht="15.75" customHeight="1" x14ac:dyDescent="0.2">
      <c r="A407" s="1243"/>
      <c r="B407" s="1243"/>
      <c r="C407" s="1243"/>
      <c r="D407" s="1243"/>
      <c r="E407" s="1243"/>
      <c r="F407" s="1243"/>
      <c r="G407" s="1243"/>
      <c r="H407" s="1243"/>
      <c r="I407" s="1243"/>
      <c r="J407" s="1243"/>
      <c r="K407" s="1243"/>
      <c r="L407" s="1243"/>
      <c r="M407" s="1243"/>
      <c r="N407" s="1243"/>
      <c r="O407" s="1243"/>
      <c r="P407" s="1243"/>
      <c r="Q407" s="1243"/>
      <c r="R407" s="1243"/>
      <c r="S407" s="1243"/>
      <c r="T407" s="1243"/>
      <c r="U407" s="1243"/>
      <c r="V407" s="1243"/>
      <c r="W407" s="1243"/>
      <c r="X407" s="1243"/>
      <c r="Y407" s="1243"/>
      <c r="Z407" s="1243"/>
    </row>
    <row r="408" spans="1:26" ht="15.75" customHeight="1" x14ac:dyDescent="0.2">
      <c r="A408" s="1243"/>
      <c r="B408" s="1243"/>
      <c r="C408" s="1243"/>
      <c r="D408" s="1243"/>
      <c r="E408" s="1243"/>
      <c r="F408" s="1243"/>
      <c r="G408" s="1243"/>
      <c r="H408" s="1243"/>
      <c r="I408" s="1243"/>
      <c r="J408" s="1243"/>
      <c r="K408" s="1243"/>
      <c r="L408" s="1243"/>
      <c r="M408" s="1243"/>
      <c r="N408" s="1243"/>
      <c r="O408" s="1243"/>
      <c r="P408" s="1243"/>
      <c r="Q408" s="1243"/>
      <c r="R408" s="1243"/>
      <c r="S408" s="1243"/>
      <c r="T408" s="1243"/>
      <c r="U408" s="1243"/>
      <c r="V408" s="1243"/>
      <c r="W408" s="1243"/>
      <c r="X408" s="1243"/>
      <c r="Y408" s="1243"/>
      <c r="Z408" s="1243"/>
    </row>
    <row r="409" spans="1:26" ht="15.75" customHeight="1" x14ac:dyDescent="0.2">
      <c r="A409" s="1243"/>
      <c r="B409" s="1243"/>
      <c r="C409" s="1243"/>
      <c r="D409" s="1243"/>
      <c r="E409" s="1243"/>
      <c r="F409" s="1243"/>
      <c r="G409" s="1243"/>
      <c r="H409" s="1243"/>
      <c r="I409" s="1243"/>
      <c r="J409" s="1243"/>
      <c r="K409" s="1243"/>
      <c r="L409" s="1243"/>
      <c r="M409" s="1243"/>
      <c r="N409" s="1243"/>
      <c r="O409" s="1243"/>
      <c r="P409" s="1243"/>
      <c r="Q409" s="1243"/>
      <c r="R409" s="1243"/>
      <c r="S409" s="1243"/>
      <c r="T409" s="1243"/>
      <c r="U409" s="1243"/>
      <c r="V409" s="1243"/>
      <c r="W409" s="1243"/>
      <c r="X409" s="1243"/>
      <c r="Y409" s="1243"/>
      <c r="Z409" s="1243"/>
    </row>
    <row r="410" spans="1:26" ht="15.75" customHeight="1" x14ac:dyDescent="0.2">
      <c r="A410" s="1243"/>
      <c r="B410" s="1243"/>
      <c r="C410" s="1243"/>
      <c r="D410" s="1243"/>
      <c r="E410" s="1243"/>
      <c r="F410" s="1243"/>
      <c r="G410" s="1243"/>
      <c r="H410" s="1243"/>
      <c r="I410" s="1243"/>
      <c r="J410" s="1243"/>
      <c r="K410" s="1243"/>
      <c r="L410" s="1243"/>
      <c r="M410" s="1243"/>
      <c r="N410" s="1243"/>
      <c r="O410" s="1243"/>
      <c r="P410" s="1243"/>
      <c r="Q410" s="1243"/>
      <c r="R410" s="1243"/>
      <c r="S410" s="1243"/>
      <c r="T410" s="1243"/>
      <c r="U410" s="1243"/>
      <c r="V410" s="1243"/>
      <c r="W410" s="1243"/>
      <c r="X410" s="1243"/>
      <c r="Y410" s="1243"/>
      <c r="Z410" s="1243"/>
    </row>
    <row r="411" spans="1:26" ht="15.75" customHeight="1" x14ac:dyDescent="0.2">
      <c r="A411" s="1243"/>
      <c r="B411" s="1243"/>
      <c r="C411" s="1243"/>
      <c r="D411" s="1243"/>
      <c r="E411" s="1243"/>
      <c r="F411" s="1243"/>
      <c r="G411" s="1243"/>
      <c r="H411" s="1243"/>
      <c r="I411" s="1243"/>
      <c r="J411" s="1243"/>
      <c r="K411" s="1243"/>
      <c r="L411" s="1243"/>
      <c r="M411" s="1243"/>
      <c r="N411" s="1243"/>
      <c r="O411" s="1243"/>
      <c r="P411" s="1243"/>
      <c r="Q411" s="1243"/>
      <c r="R411" s="1243"/>
      <c r="S411" s="1243"/>
      <c r="T411" s="1243"/>
      <c r="U411" s="1243"/>
      <c r="V411" s="1243"/>
      <c r="W411" s="1243"/>
      <c r="X411" s="1243"/>
      <c r="Y411" s="1243"/>
      <c r="Z411" s="1243"/>
    </row>
    <row r="412" spans="1:26" ht="15.75" customHeight="1" x14ac:dyDescent="0.2">
      <c r="A412" s="1243"/>
      <c r="B412" s="1243"/>
      <c r="C412" s="1243"/>
      <c r="D412" s="1243"/>
      <c r="E412" s="1243"/>
      <c r="F412" s="1243"/>
      <c r="G412" s="1243"/>
      <c r="H412" s="1243"/>
      <c r="I412" s="1243"/>
      <c r="J412" s="1243"/>
      <c r="K412" s="1243"/>
      <c r="L412" s="1243"/>
      <c r="M412" s="1243"/>
      <c r="N412" s="1243"/>
      <c r="O412" s="1243"/>
      <c r="P412" s="1243"/>
      <c r="Q412" s="1243"/>
      <c r="R412" s="1243"/>
      <c r="S412" s="1243"/>
      <c r="T412" s="1243"/>
      <c r="U412" s="1243"/>
      <c r="V412" s="1243"/>
      <c r="W412" s="1243"/>
      <c r="X412" s="1243"/>
      <c r="Y412" s="1243"/>
      <c r="Z412" s="1243"/>
    </row>
    <row r="413" spans="1:26" ht="15.75" customHeight="1" x14ac:dyDescent="0.2">
      <c r="A413" s="1243"/>
      <c r="B413" s="1243"/>
      <c r="C413" s="1243"/>
      <c r="D413" s="1243"/>
      <c r="E413" s="1243"/>
      <c r="F413" s="1243"/>
      <c r="G413" s="1243"/>
      <c r="H413" s="1243"/>
      <c r="I413" s="1243"/>
      <c r="J413" s="1243"/>
      <c r="K413" s="1243"/>
      <c r="L413" s="1243"/>
      <c r="M413" s="1243"/>
      <c r="N413" s="1243"/>
      <c r="O413" s="1243"/>
      <c r="P413" s="1243"/>
      <c r="Q413" s="1243"/>
      <c r="R413" s="1243"/>
      <c r="S413" s="1243"/>
      <c r="T413" s="1243"/>
      <c r="U413" s="1243"/>
      <c r="V413" s="1243"/>
      <c r="W413" s="1243"/>
      <c r="X413" s="1243"/>
      <c r="Y413" s="1243"/>
      <c r="Z413" s="1243"/>
    </row>
    <row r="414" spans="1:26" ht="15.75" customHeight="1" x14ac:dyDescent="0.2">
      <c r="A414" s="1243"/>
      <c r="B414" s="1243"/>
      <c r="C414" s="1243"/>
      <c r="D414" s="1243"/>
      <c r="E414" s="1243"/>
      <c r="F414" s="1243"/>
      <c r="G414" s="1243"/>
      <c r="H414" s="1243"/>
      <c r="I414" s="1243"/>
      <c r="J414" s="1243"/>
      <c r="K414" s="1243"/>
      <c r="L414" s="1243"/>
      <c r="M414" s="1243"/>
      <c r="N414" s="1243"/>
      <c r="O414" s="1243"/>
      <c r="P414" s="1243"/>
      <c r="Q414" s="1243"/>
      <c r="R414" s="1243"/>
      <c r="S414" s="1243"/>
      <c r="T414" s="1243"/>
      <c r="U414" s="1243"/>
      <c r="V414" s="1243"/>
      <c r="W414" s="1243"/>
      <c r="X414" s="1243"/>
      <c r="Y414" s="1243"/>
      <c r="Z414" s="1243"/>
    </row>
    <row r="415" spans="1:26" ht="15.75" customHeight="1" x14ac:dyDescent="0.2">
      <c r="A415" s="1243"/>
      <c r="B415" s="1243"/>
      <c r="C415" s="1243"/>
      <c r="D415" s="1243"/>
      <c r="E415" s="1243"/>
      <c r="F415" s="1243"/>
      <c r="G415" s="1243"/>
      <c r="H415" s="1243"/>
      <c r="I415" s="1243"/>
      <c r="J415" s="1243"/>
      <c r="K415" s="1243"/>
      <c r="L415" s="1243"/>
      <c r="M415" s="1243"/>
      <c r="N415" s="1243"/>
      <c r="O415" s="1243"/>
      <c r="P415" s="1243"/>
      <c r="Q415" s="1243"/>
      <c r="R415" s="1243"/>
      <c r="S415" s="1243"/>
      <c r="T415" s="1243"/>
      <c r="U415" s="1243"/>
      <c r="V415" s="1243"/>
      <c r="W415" s="1243"/>
      <c r="X415" s="1243"/>
      <c r="Y415" s="1243"/>
      <c r="Z415" s="1243"/>
    </row>
    <row r="416" spans="1:26" ht="15.75" customHeight="1" x14ac:dyDescent="0.2">
      <c r="A416" s="1243"/>
      <c r="B416" s="1243"/>
      <c r="C416" s="1243"/>
      <c r="D416" s="1243"/>
      <c r="E416" s="1243"/>
      <c r="F416" s="1243"/>
      <c r="G416" s="1243"/>
      <c r="H416" s="1243"/>
      <c r="I416" s="1243"/>
      <c r="J416" s="1243"/>
      <c r="K416" s="1243"/>
      <c r="L416" s="1243"/>
      <c r="M416" s="1243"/>
      <c r="N416" s="1243"/>
      <c r="O416" s="1243"/>
      <c r="P416" s="1243"/>
      <c r="Q416" s="1243"/>
      <c r="R416" s="1243"/>
      <c r="S416" s="1243"/>
      <c r="T416" s="1243"/>
      <c r="U416" s="1243"/>
      <c r="V416" s="1243"/>
      <c r="W416" s="1243"/>
      <c r="X416" s="1243"/>
      <c r="Y416" s="1243"/>
      <c r="Z416" s="1243"/>
    </row>
    <row r="417" spans="1:26" ht="15.75" customHeight="1" x14ac:dyDescent="0.2">
      <c r="A417" s="1243"/>
      <c r="B417" s="1243"/>
      <c r="C417" s="1243"/>
      <c r="D417" s="1243"/>
      <c r="E417" s="1243"/>
      <c r="F417" s="1243"/>
      <c r="G417" s="1243"/>
      <c r="H417" s="1243"/>
      <c r="I417" s="1243"/>
      <c r="J417" s="1243"/>
      <c r="K417" s="1243"/>
      <c r="L417" s="1243"/>
      <c r="M417" s="1243"/>
      <c r="N417" s="1243"/>
      <c r="O417" s="1243"/>
      <c r="P417" s="1243"/>
      <c r="Q417" s="1243"/>
      <c r="R417" s="1243"/>
      <c r="S417" s="1243"/>
      <c r="T417" s="1243"/>
      <c r="U417" s="1243"/>
      <c r="V417" s="1243"/>
      <c r="W417" s="1243"/>
      <c r="X417" s="1243"/>
      <c r="Y417" s="1243"/>
      <c r="Z417" s="1243"/>
    </row>
    <row r="418" spans="1:26" ht="15.75" customHeight="1" x14ac:dyDescent="0.2">
      <c r="A418" s="1243"/>
      <c r="B418" s="1243"/>
      <c r="C418" s="1243"/>
      <c r="D418" s="1243"/>
      <c r="E418" s="1243"/>
      <c r="F418" s="1243"/>
      <c r="G418" s="1243"/>
      <c r="H418" s="1243"/>
      <c r="I418" s="1243"/>
      <c r="J418" s="1243"/>
      <c r="K418" s="1243"/>
      <c r="L418" s="1243"/>
      <c r="M418" s="1243"/>
      <c r="N418" s="1243"/>
      <c r="O418" s="1243"/>
      <c r="P418" s="1243"/>
      <c r="Q418" s="1243"/>
      <c r="R418" s="1243"/>
      <c r="S418" s="1243"/>
      <c r="T418" s="1243"/>
      <c r="U418" s="1243"/>
      <c r="V418" s="1243"/>
      <c r="W418" s="1243"/>
      <c r="X418" s="1243"/>
      <c r="Y418" s="1243"/>
      <c r="Z418" s="1243"/>
    </row>
    <row r="419" spans="1:26" ht="15.75" customHeight="1" x14ac:dyDescent="0.2">
      <c r="A419" s="1243"/>
      <c r="B419" s="1243"/>
      <c r="C419" s="1243"/>
      <c r="D419" s="1243"/>
      <c r="E419" s="1243"/>
      <c r="F419" s="1243"/>
      <c r="G419" s="1243"/>
      <c r="H419" s="1243"/>
      <c r="I419" s="1243"/>
      <c r="J419" s="1243"/>
      <c r="K419" s="1243"/>
      <c r="L419" s="1243"/>
      <c r="M419" s="1243"/>
      <c r="N419" s="1243"/>
      <c r="O419" s="1243"/>
      <c r="P419" s="1243"/>
      <c r="Q419" s="1243"/>
      <c r="R419" s="1243"/>
      <c r="S419" s="1243"/>
      <c r="T419" s="1243"/>
      <c r="U419" s="1243"/>
      <c r="V419" s="1243"/>
      <c r="W419" s="1243"/>
      <c r="X419" s="1243"/>
      <c r="Y419" s="1243"/>
      <c r="Z419" s="1243"/>
    </row>
    <row r="420" spans="1:26" ht="15.75" customHeight="1" x14ac:dyDescent="0.2">
      <c r="A420" s="1243"/>
      <c r="B420" s="1243"/>
      <c r="C420" s="1243"/>
      <c r="D420" s="1243"/>
      <c r="E420" s="1243"/>
      <c r="F420" s="1243"/>
      <c r="G420" s="1243"/>
      <c r="H420" s="1243"/>
      <c r="I420" s="1243"/>
      <c r="J420" s="1243"/>
      <c r="K420" s="1243"/>
      <c r="L420" s="1243"/>
      <c r="M420" s="1243"/>
      <c r="N420" s="1243"/>
      <c r="O420" s="1243"/>
      <c r="P420" s="1243"/>
      <c r="Q420" s="1243"/>
      <c r="R420" s="1243"/>
      <c r="S420" s="1243"/>
      <c r="T420" s="1243"/>
      <c r="U420" s="1243"/>
      <c r="V420" s="1243"/>
      <c r="W420" s="1243"/>
      <c r="X420" s="1243"/>
      <c r="Y420" s="1243"/>
      <c r="Z420" s="1243"/>
    </row>
    <row r="421" spans="1:26" ht="15.75" customHeight="1" x14ac:dyDescent="0.2">
      <c r="A421" s="1243"/>
      <c r="B421" s="1243"/>
      <c r="C421" s="1243"/>
      <c r="D421" s="1243"/>
      <c r="E421" s="1243"/>
      <c r="F421" s="1243"/>
      <c r="G421" s="1243"/>
      <c r="H421" s="1243"/>
      <c r="I421" s="1243"/>
      <c r="J421" s="1243"/>
      <c r="K421" s="1243"/>
      <c r="L421" s="1243"/>
      <c r="M421" s="1243"/>
      <c r="N421" s="1243"/>
      <c r="O421" s="1243"/>
      <c r="P421" s="1243"/>
      <c r="Q421" s="1243"/>
      <c r="R421" s="1243"/>
      <c r="S421" s="1243"/>
      <c r="T421" s="1243"/>
      <c r="U421" s="1243"/>
      <c r="V421" s="1243"/>
      <c r="W421" s="1243"/>
      <c r="X421" s="1243"/>
      <c r="Y421" s="1243"/>
      <c r="Z421" s="1243"/>
    </row>
    <row r="422" spans="1:26" ht="15.75" customHeight="1" x14ac:dyDescent="0.2">
      <c r="A422" s="1243"/>
      <c r="B422" s="1243"/>
      <c r="C422" s="1243"/>
      <c r="D422" s="1243"/>
      <c r="E422" s="1243"/>
      <c r="F422" s="1243"/>
      <c r="G422" s="1243"/>
      <c r="H422" s="1243"/>
      <c r="I422" s="1243"/>
      <c r="J422" s="1243"/>
      <c r="K422" s="1243"/>
      <c r="L422" s="1243"/>
      <c r="M422" s="1243"/>
      <c r="N422" s="1243"/>
      <c r="O422" s="1243"/>
      <c r="P422" s="1243"/>
      <c r="Q422" s="1243"/>
      <c r="R422" s="1243"/>
      <c r="S422" s="1243"/>
      <c r="T422" s="1243"/>
      <c r="U422" s="1243"/>
      <c r="V422" s="1243"/>
      <c r="W422" s="1243"/>
      <c r="X422" s="1243"/>
      <c r="Y422" s="1243"/>
      <c r="Z422" s="1243"/>
    </row>
    <row r="423" spans="1:26" ht="15.75" customHeight="1" x14ac:dyDescent="0.2">
      <c r="A423" s="1243"/>
      <c r="B423" s="1243"/>
      <c r="C423" s="1243"/>
      <c r="D423" s="1243"/>
      <c r="E423" s="1243"/>
      <c r="F423" s="1243"/>
      <c r="G423" s="1243"/>
      <c r="H423" s="1243"/>
      <c r="I423" s="1243"/>
      <c r="J423" s="1243"/>
      <c r="K423" s="1243"/>
      <c r="L423" s="1243"/>
      <c r="M423" s="1243"/>
      <c r="N423" s="1243"/>
      <c r="O423" s="1243"/>
      <c r="P423" s="1243"/>
      <c r="Q423" s="1243"/>
      <c r="R423" s="1243"/>
      <c r="S423" s="1243"/>
      <c r="T423" s="1243"/>
      <c r="U423" s="1243"/>
      <c r="V423" s="1243"/>
      <c r="W423" s="1243"/>
      <c r="X423" s="1243"/>
      <c r="Y423" s="1243"/>
      <c r="Z423" s="1243"/>
    </row>
    <row r="424" spans="1:26" ht="15.75" customHeight="1" x14ac:dyDescent="0.2">
      <c r="A424" s="1243"/>
      <c r="B424" s="1243"/>
      <c r="C424" s="1243"/>
      <c r="D424" s="1243"/>
      <c r="E424" s="1243"/>
      <c r="F424" s="1243"/>
      <c r="G424" s="1243"/>
      <c r="H424" s="1243"/>
      <c r="I424" s="1243"/>
      <c r="J424" s="1243"/>
      <c r="K424" s="1243"/>
      <c r="L424" s="1243"/>
      <c r="M424" s="1243"/>
      <c r="N424" s="1243"/>
      <c r="O424" s="1243"/>
      <c r="P424" s="1243"/>
      <c r="Q424" s="1243"/>
      <c r="R424" s="1243"/>
      <c r="S424" s="1243"/>
      <c r="T424" s="1243"/>
      <c r="U424" s="1243"/>
      <c r="V424" s="1243"/>
      <c r="W424" s="1243"/>
      <c r="X424" s="1243"/>
      <c r="Y424" s="1243"/>
      <c r="Z424" s="1243"/>
    </row>
    <row r="425" spans="1:26" ht="15.75" customHeight="1" x14ac:dyDescent="0.2">
      <c r="A425" s="1243"/>
      <c r="B425" s="1243"/>
      <c r="C425" s="1243"/>
      <c r="D425" s="1243"/>
      <c r="E425" s="1243"/>
      <c r="F425" s="1243"/>
      <c r="G425" s="1243"/>
      <c r="H425" s="1243"/>
      <c r="I425" s="1243"/>
      <c r="J425" s="1243"/>
      <c r="K425" s="1243"/>
      <c r="L425" s="1243"/>
      <c r="M425" s="1243"/>
      <c r="N425" s="1243"/>
      <c r="O425" s="1243"/>
      <c r="P425" s="1243"/>
      <c r="Q425" s="1243"/>
      <c r="R425" s="1243"/>
      <c r="S425" s="1243"/>
      <c r="T425" s="1243"/>
      <c r="U425" s="1243"/>
      <c r="V425" s="1243"/>
      <c r="W425" s="1243"/>
      <c r="X425" s="1243"/>
      <c r="Y425" s="1243"/>
      <c r="Z425" s="1243"/>
    </row>
    <row r="426" spans="1:26" ht="15.75" customHeight="1" x14ac:dyDescent="0.2">
      <c r="A426" s="1243"/>
      <c r="B426" s="1243"/>
      <c r="C426" s="1243"/>
      <c r="D426" s="1243"/>
      <c r="E426" s="1243"/>
      <c r="F426" s="1243"/>
      <c r="G426" s="1243"/>
      <c r="H426" s="1243"/>
      <c r="I426" s="1243"/>
      <c r="J426" s="1243"/>
      <c r="K426" s="1243"/>
      <c r="L426" s="1243"/>
      <c r="M426" s="1243"/>
      <c r="N426" s="1243"/>
      <c r="O426" s="1243"/>
      <c r="P426" s="1243"/>
      <c r="Q426" s="1243"/>
      <c r="R426" s="1243"/>
      <c r="S426" s="1243"/>
      <c r="T426" s="1243"/>
      <c r="U426" s="1243"/>
      <c r="V426" s="1243"/>
      <c r="W426" s="1243"/>
      <c r="X426" s="1243"/>
      <c r="Y426" s="1243"/>
      <c r="Z426" s="1243"/>
    </row>
    <row r="427" spans="1:26" ht="15.75" customHeight="1" x14ac:dyDescent="0.2">
      <c r="A427" s="1243"/>
      <c r="B427" s="1243"/>
      <c r="C427" s="1243"/>
      <c r="D427" s="1243"/>
      <c r="E427" s="1243"/>
      <c r="F427" s="1243"/>
      <c r="G427" s="1243"/>
      <c r="H427" s="1243"/>
      <c r="I427" s="1243"/>
      <c r="J427" s="1243"/>
      <c r="K427" s="1243"/>
      <c r="L427" s="1243"/>
      <c r="M427" s="1243"/>
      <c r="N427" s="1243"/>
      <c r="O427" s="1243"/>
      <c r="P427" s="1243"/>
      <c r="Q427" s="1243"/>
      <c r="R427" s="1243"/>
      <c r="S427" s="1243"/>
      <c r="T427" s="1243"/>
      <c r="U427" s="1243"/>
      <c r="V427" s="1243"/>
      <c r="W427" s="1243"/>
      <c r="X427" s="1243"/>
      <c r="Y427" s="1243"/>
      <c r="Z427" s="1243"/>
    </row>
    <row r="428" spans="1:26" ht="15.75" customHeight="1" x14ac:dyDescent="0.2">
      <c r="A428" s="1243"/>
      <c r="B428" s="1243"/>
      <c r="C428" s="1243"/>
      <c r="D428" s="1243"/>
      <c r="E428" s="1243"/>
      <c r="F428" s="1243"/>
      <c r="G428" s="1243"/>
      <c r="H428" s="1243"/>
      <c r="I428" s="1243"/>
      <c r="J428" s="1243"/>
      <c r="K428" s="1243"/>
      <c r="L428" s="1243"/>
      <c r="M428" s="1243"/>
      <c r="N428" s="1243"/>
      <c r="O428" s="1243"/>
      <c r="P428" s="1243"/>
      <c r="Q428" s="1243"/>
      <c r="R428" s="1243"/>
      <c r="S428" s="1243"/>
      <c r="T428" s="1243"/>
      <c r="U428" s="1243"/>
      <c r="V428" s="1243"/>
      <c r="W428" s="1243"/>
      <c r="X428" s="1243"/>
      <c r="Y428" s="1243"/>
      <c r="Z428" s="1243"/>
    </row>
    <row r="429" spans="1:26" ht="15.75" customHeight="1" x14ac:dyDescent="0.2">
      <c r="A429" s="1243"/>
      <c r="B429" s="1243"/>
      <c r="C429" s="1243"/>
      <c r="D429" s="1243"/>
      <c r="E429" s="1243"/>
      <c r="F429" s="1243"/>
      <c r="G429" s="1243"/>
      <c r="H429" s="1243"/>
      <c r="I429" s="1243"/>
      <c r="J429" s="1243"/>
      <c r="K429" s="1243"/>
      <c r="L429" s="1243"/>
      <c r="M429" s="1243"/>
      <c r="N429" s="1243"/>
      <c r="O429" s="1243"/>
      <c r="P429" s="1243"/>
      <c r="Q429" s="1243"/>
      <c r="R429" s="1243"/>
      <c r="S429" s="1243"/>
      <c r="T429" s="1243"/>
      <c r="U429" s="1243"/>
      <c r="V429" s="1243"/>
      <c r="W429" s="1243"/>
      <c r="X429" s="1243"/>
      <c r="Y429" s="1243"/>
      <c r="Z429" s="1243"/>
    </row>
    <row r="430" spans="1:26" ht="15.75" customHeight="1" x14ac:dyDescent="0.2">
      <c r="A430" s="1243"/>
      <c r="B430" s="1243"/>
      <c r="C430" s="1243"/>
      <c r="D430" s="1243"/>
      <c r="E430" s="1243"/>
      <c r="F430" s="1243"/>
      <c r="G430" s="1243"/>
      <c r="H430" s="1243"/>
      <c r="I430" s="1243"/>
      <c r="J430" s="1243"/>
      <c r="K430" s="1243"/>
      <c r="L430" s="1243"/>
      <c r="M430" s="1243"/>
      <c r="N430" s="1243"/>
      <c r="O430" s="1243"/>
      <c r="P430" s="1243"/>
      <c r="Q430" s="1243"/>
      <c r="R430" s="1243"/>
      <c r="S430" s="1243"/>
      <c r="T430" s="1243"/>
      <c r="U430" s="1243"/>
      <c r="V430" s="1243"/>
      <c r="W430" s="1243"/>
      <c r="X430" s="1243"/>
      <c r="Y430" s="1243"/>
      <c r="Z430" s="1243"/>
    </row>
    <row r="431" spans="1:26" ht="15.75" customHeight="1" x14ac:dyDescent="0.2">
      <c r="A431" s="1243"/>
      <c r="B431" s="1243"/>
      <c r="C431" s="1243"/>
      <c r="D431" s="1243"/>
      <c r="E431" s="1243"/>
      <c r="F431" s="1243"/>
      <c r="G431" s="1243"/>
      <c r="H431" s="1243"/>
      <c r="I431" s="1243"/>
      <c r="J431" s="1243"/>
      <c r="K431" s="1243"/>
      <c r="L431" s="1243"/>
      <c r="M431" s="1243"/>
      <c r="N431" s="1243"/>
      <c r="O431" s="1243"/>
      <c r="P431" s="1243"/>
      <c r="Q431" s="1243"/>
      <c r="R431" s="1243"/>
      <c r="S431" s="1243"/>
      <c r="T431" s="1243"/>
      <c r="U431" s="1243"/>
      <c r="V431" s="1243"/>
      <c r="W431" s="1243"/>
      <c r="X431" s="1243"/>
      <c r="Y431" s="1243"/>
      <c r="Z431" s="1243"/>
    </row>
    <row r="432" spans="1:26" ht="15.75" customHeight="1" x14ac:dyDescent="0.2">
      <c r="A432" s="1243"/>
      <c r="B432" s="1243"/>
      <c r="C432" s="1243"/>
      <c r="D432" s="1243"/>
      <c r="E432" s="1243"/>
      <c r="F432" s="1243"/>
      <c r="G432" s="1243"/>
      <c r="H432" s="1243"/>
      <c r="I432" s="1243"/>
      <c r="J432" s="1243"/>
      <c r="K432" s="1243"/>
      <c r="L432" s="1243"/>
      <c r="M432" s="1243"/>
      <c r="N432" s="1243"/>
      <c r="O432" s="1243"/>
      <c r="P432" s="1243"/>
      <c r="Q432" s="1243"/>
      <c r="R432" s="1243"/>
      <c r="S432" s="1243"/>
      <c r="T432" s="1243"/>
      <c r="U432" s="1243"/>
      <c r="V432" s="1243"/>
      <c r="W432" s="1243"/>
      <c r="X432" s="1243"/>
      <c r="Y432" s="1243"/>
      <c r="Z432" s="1243"/>
    </row>
    <row r="433" spans="1:26" ht="15.75" customHeight="1" x14ac:dyDescent="0.2">
      <c r="A433" s="1243"/>
      <c r="B433" s="1243"/>
      <c r="C433" s="1243"/>
      <c r="D433" s="1243"/>
      <c r="E433" s="1243"/>
      <c r="F433" s="1243"/>
      <c r="G433" s="1243"/>
      <c r="H433" s="1243"/>
      <c r="I433" s="1243"/>
      <c r="J433" s="1243"/>
      <c r="K433" s="1243"/>
      <c r="L433" s="1243"/>
      <c r="M433" s="1243"/>
      <c r="N433" s="1243"/>
      <c r="O433" s="1243"/>
      <c r="P433" s="1243"/>
      <c r="Q433" s="1243"/>
      <c r="R433" s="1243"/>
      <c r="S433" s="1243"/>
      <c r="T433" s="1243"/>
      <c r="U433" s="1243"/>
      <c r="V433" s="1243"/>
      <c r="W433" s="1243"/>
      <c r="X433" s="1243"/>
      <c r="Y433" s="1243"/>
      <c r="Z433" s="1243"/>
    </row>
    <row r="434" spans="1:26" ht="15.75" customHeight="1" x14ac:dyDescent="0.2">
      <c r="A434" s="1243"/>
      <c r="B434" s="1243"/>
      <c r="C434" s="1243"/>
      <c r="D434" s="1243"/>
      <c r="E434" s="1243"/>
      <c r="F434" s="1243"/>
      <c r="G434" s="1243"/>
      <c r="H434" s="1243"/>
      <c r="I434" s="1243"/>
      <c r="J434" s="1243"/>
      <c r="K434" s="1243"/>
      <c r="L434" s="1243"/>
      <c r="M434" s="1243"/>
      <c r="N434" s="1243"/>
      <c r="O434" s="1243"/>
      <c r="P434" s="1243"/>
      <c r="Q434" s="1243"/>
      <c r="R434" s="1243"/>
      <c r="S434" s="1243"/>
      <c r="T434" s="1243"/>
      <c r="U434" s="1243"/>
      <c r="V434" s="1243"/>
      <c r="W434" s="1243"/>
      <c r="X434" s="1243"/>
      <c r="Y434" s="1243"/>
      <c r="Z434" s="1243"/>
    </row>
    <row r="435" spans="1:26" ht="15.75" customHeight="1" x14ac:dyDescent="0.2">
      <c r="A435" s="1243"/>
      <c r="B435" s="1243"/>
      <c r="C435" s="1243"/>
      <c r="D435" s="1243"/>
      <c r="E435" s="1243"/>
      <c r="F435" s="1243"/>
      <c r="G435" s="1243"/>
      <c r="H435" s="1243"/>
      <c r="I435" s="1243"/>
      <c r="J435" s="1243"/>
      <c r="K435" s="1243"/>
      <c r="L435" s="1243"/>
      <c r="M435" s="1243"/>
      <c r="N435" s="1243"/>
      <c r="O435" s="1243"/>
      <c r="P435" s="1243"/>
      <c r="Q435" s="1243"/>
      <c r="R435" s="1243"/>
      <c r="S435" s="1243"/>
      <c r="T435" s="1243"/>
      <c r="U435" s="1243"/>
      <c r="V435" s="1243"/>
      <c r="W435" s="1243"/>
      <c r="X435" s="1243"/>
      <c r="Y435" s="1243"/>
      <c r="Z435" s="1243"/>
    </row>
    <row r="436" spans="1:26" ht="15.75" customHeight="1" x14ac:dyDescent="0.2">
      <c r="A436" s="1243"/>
      <c r="B436" s="1243"/>
      <c r="C436" s="1243"/>
      <c r="D436" s="1243"/>
      <c r="E436" s="1243"/>
      <c r="F436" s="1243"/>
      <c r="G436" s="1243"/>
      <c r="H436" s="1243"/>
      <c r="I436" s="1243"/>
      <c r="J436" s="1243"/>
      <c r="K436" s="1243"/>
      <c r="L436" s="1243"/>
      <c r="M436" s="1243"/>
      <c r="N436" s="1243"/>
      <c r="O436" s="1243"/>
      <c r="P436" s="1243"/>
      <c r="Q436" s="1243"/>
      <c r="R436" s="1243"/>
      <c r="S436" s="1243"/>
      <c r="T436" s="1243"/>
      <c r="U436" s="1243"/>
      <c r="V436" s="1243"/>
      <c r="W436" s="1243"/>
      <c r="X436" s="1243"/>
      <c r="Y436" s="1243"/>
      <c r="Z436" s="1243"/>
    </row>
    <row r="437" spans="1:26" ht="15.75" customHeight="1" x14ac:dyDescent="0.2">
      <c r="A437" s="1243"/>
      <c r="B437" s="1243"/>
      <c r="C437" s="1243"/>
      <c r="D437" s="1243"/>
      <c r="E437" s="1243"/>
      <c r="F437" s="1243"/>
      <c r="G437" s="1243"/>
      <c r="H437" s="1243"/>
      <c r="I437" s="1243"/>
      <c r="J437" s="1243"/>
      <c r="K437" s="1243"/>
      <c r="L437" s="1243"/>
      <c r="M437" s="1243"/>
      <c r="N437" s="1243"/>
      <c r="O437" s="1243"/>
      <c r="P437" s="1243"/>
      <c r="Q437" s="1243"/>
      <c r="R437" s="1243"/>
      <c r="S437" s="1243"/>
      <c r="T437" s="1243"/>
      <c r="U437" s="1243"/>
      <c r="V437" s="1243"/>
      <c r="W437" s="1243"/>
      <c r="X437" s="1243"/>
      <c r="Y437" s="1243"/>
      <c r="Z437" s="1243"/>
    </row>
    <row r="438" spans="1:26" ht="15.75" customHeight="1" x14ac:dyDescent="0.2">
      <c r="A438" s="1243"/>
      <c r="B438" s="1243"/>
      <c r="C438" s="1243"/>
      <c r="D438" s="1243"/>
      <c r="E438" s="1243"/>
      <c r="F438" s="1243"/>
      <c r="G438" s="1243"/>
      <c r="H438" s="1243"/>
      <c r="I438" s="1243"/>
      <c r="J438" s="1243"/>
      <c r="K438" s="1243"/>
      <c r="L438" s="1243"/>
      <c r="M438" s="1243"/>
      <c r="N438" s="1243"/>
      <c r="O438" s="1243"/>
      <c r="P438" s="1243"/>
      <c r="Q438" s="1243"/>
      <c r="R438" s="1243"/>
      <c r="S438" s="1243"/>
      <c r="T438" s="1243"/>
      <c r="U438" s="1243"/>
      <c r="V438" s="1243"/>
      <c r="W438" s="1243"/>
      <c r="X438" s="1243"/>
      <c r="Y438" s="1243"/>
      <c r="Z438" s="1243"/>
    </row>
    <row r="439" spans="1:26" ht="15.75" customHeight="1" x14ac:dyDescent="0.2">
      <c r="A439" s="1243"/>
      <c r="B439" s="1243"/>
      <c r="C439" s="1243"/>
      <c r="D439" s="1243"/>
      <c r="E439" s="1243"/>
      <c r="F439" s="1243"/>
      <c r="G439" s="1243"/>
      <c r="H439" s="1243"/>
      <c r="I439" s="1243"/>
      <c r="J439" s="1243"/>
      <c r="K439" s="1243"/>
      <c r="L439" s="1243"/>
      <c r="M439" s="1243"/>
      <c r="N439" s="1243"/>
      <c r="O439" s="1243"/>
      <c r="P439" s="1243"/>
      <c r="Q439" s="1243"/>
      <c r="R439" s="1243"/>
      <c r="S439" s="1243"/>
      <c r="T439" s="1243"/>
      <c r="U439" s="1243"/>
      <c r="V439" s="1243"/>
      <c r="W439" s="1243"/>
      <c r="X439" s="1243"/>
      <c r="Y439" s="1243"/>
      <c r="Z439" s="1243"/>
    </row>
    <row r="440" spans="1:26" ht="15.75" customHeight="1" x14ac:dyDescent="0.2">
      <c r="A440" s="1243"/>
      <c r="B440" s="1243"/>
      <c r="C440" s="1243"/>
      <c r="D440" s="1243"/>
      <c r="E440" s="1243"/>
      <c r="F440" s="1243"/>
      <c r="G440" s="1243"/>
      <c r="H440" s="1243"/>
      <c r="I440" s="1243"/>
      <c r="J440" s="1243"/>
      <c r="K440" s="1243"/>
      <c r="L440" s="1243"/>
      <c r="M440" s="1243"/>
      <c r="N440" s="1243"/>
      <c r="O440" s="1243"/>
      <c r="P440" s="1243"/>
      <c r="Q440" s="1243"/>
      <c r="R440" s="1243"/>
      <c r="S440" s="1243"/>
      <c r="T440" s="1243"/>
      <c r="U440" s="1243"/>
      <c r="V440" s="1243"/>
      <c r="W440" s="1243"/>
      <c r="X440" s="1243"/>
      <c r="Y440" s="1243"/>
      <c r="Z440" s="1243"/>
    </row>
    <row r="441" spans="1:26" ht="15.75" customHeight="1" x14ac:dyDescent="0.2">
      <c r="A441" s="1243"/>
      <c r="B441" s="1243"/>
      <c r="C441" s="1243"/>
      <c r="D441" s="1243"/>
      <c r="E441" s="1243"/>
      <c r="F441" s="1243"/>
      <c r="G441" s="1243"/>
      <c r="H441" s="1243"/>
      <c r="I441" s="1243"/>
      <c r="J441" s="1243"/>
      <c r="K441" s="1243"/>
      <c r="L441" s="1243"/>
      <c r="M441" s="1243"/>
      <c r="N441" s="1243"/>
      <c r="O441" s="1243"/>
      <c r="P441" s="1243"/>
      <c r="Q441" s="1243"/>
      <c r="R441" s="1243"/>
      <c r="S441" s="1243"/>
      <c r="T441" s="1243"/>
      <c r="U441" s="1243"/>
      <c r="V441" s="1243"/>
      <c r="W441" s="1243"/>
      <c r="X441" s="1243"/>
      <c r="Y441" s="1243"/>
      <c r="Z441" s="1243"/>
    </row>
    <row r="442" spans="1:26" ht="15.75" customHeight="1" x14ac:dyDescent="0.2">
      <c r="A442" s="1243"/>
      <c r="B442" s="1243"/>
      <c r="C442" s="1243"/>
      <c r="D442" s="1243"/>
      <c r="E442" s="1243"/>
      <c r="F442" s="1243"/>
      <c r="G442" s="1243"/>
      <c r="H442" s="1243"/>
      <c r="I442" s="1243"/>
      <c r="J442" s="1243"/>
      <c r="K442" s="1243"/>
      <c r="L442" s="1243"/>
      <c r="M442" s="1243"/>
      <c r="N442" s="1243"/>
      <c r="O442" s="1243"/>
      <c r="P442" s="1243"/>
      <c r="Q442" s="1243"/>
      <c r="R442" s="1243"/>
      <c r="S442" s="1243"/>
      <c r="T442" s="1243"/>
      <c r="U442" s="1243"/>
      <c r="V442" s="1243"/>
      <c r="W442" s="1243"/>
      <c r="X442" s="1243"/>
      <c r="Y442" s="1243"/>
      <c r="Z442" s="1243"/>
    </row>
    <row r="443" spans="1:26" ht="15.75" customHeight="1" x14ac:dyDescent="0.2">
      <c r="A443" s="1243"/>
      <c r="B443" s="1243"/>
      <c r="C443" s="1243"/>
      <c r="D443" s="1243"/>
      <c r="E443" s="1243"/>
      <c r="F443" s="1243"/>
      <c r="G443" s="1243"/>
      <c r="H443" s="1243"/>
      <c r="I443" s="1243"/>
      <c r="J443" s="1243"/>
      <c r="K443" s="1243"/>
      <c r="L443" s="1243"/>
      <c r="M443" s="1243"/>
      <c r="N443" s="1243"/>
      <c r="O443" s="1243"/>
      <c r="P443" s="1243"/>
      <c r="Q443" s="1243"/>
      <c r="R443" s="1243"/>
      <c r="S443" s="1243"/>
      <c r="T443" s="1243"/>
      <c r="U443" s="1243"/>
      <c r="V443" s="1243"/>
      <c r="W443" s="1243"/>
      <c r="X443" s="1243"/>
      <c r="Y443" s="1243"/>
      <c r="Z443" s="1243"/>
    </row>
    <row r="444" spans="1:26" ht="15.75" customHeight="1" x14ac:dyDescent="0.2">
      <c r="A444" s="1243"/>
      <c r="B444" s="1243"/>
      <c r="C444" s="1243"/>
      <c r="D444" s="1243"/>
      <c r="E444" s="1243"/>
      <c r="F444" s="1243"/>
      <c r="G444" s="1243"/>
      <c r="H444" s="1243"/>
      <c r="I444" s="1243"/>
      <c r="J444" s="1243"/>
      <c r="K444" s="1243"/>
      <c r="L444" s="1243"/>
      <c r="M444" s="1243"/>
      <c r="N444" s="1243"/>
      <c r="O444" s="1243"/>
      <c r="P444" s="1243"/>
      <c r="Q444" s="1243"/>
      <c r="R444" s="1243"/>
      <c r="S444" s="1243"/>
      <c r="T444" s="1243"/>
      <c r="U444" s="1243"/>
      <c r="V444" s="1243"/>
      <c r="W444" s="1243"/>
      <c r="X444" s="1243"/>
      <c r="Y444" s="1243"/>
      <c r="Z444" s="1243"/>
    </row>
    <row r="445" spans="1:26" ht="15.75" customHeight="1" x14ac:dyDescent="0.2">
      <c r="A445" s="1243"/>
      <c r="B445" s="1243"/>
      <c r="C445" s="1243"/>
      <c r="D445" s="1243"/>
      <c r="E445" s="1243"/>
      <c r="F445" s="1243"/>
      <c r="G445" s="1243"/>
      <c r="H445" s="1243"/>
      <c r="I445" s="1243"/>
      <c r="J445" s="1243"/>
      <c r="K445" s="1243"/>
      <c r="L445" s="1243"/>
      <c r="M445" s="1243"/>
      <c r="N445" s="1243"/>
      <c r="O445" s="1243"/>
      <c r="P445" s="1243"/>
      <c r="Q445" s="1243"/>
      <c r="R445" s="1243"/>
      <c r="S445" s="1243"/>
      <c r="T445" s="1243"/>
      <c r="U445" s="1243"/>
      <c r="V445" s="1243"/>
      <c r="W445" s="1243"/>
      <c r="X445" s="1243"/>
      <c r="Y445" s="1243"/>
      <c r="Z445" s="1243"/>
    </row>
    <row r="446" spans="1:26" ht="15.75" customHeight="1" x14ac:dyDescent="0.2">
      <c r="A446" s="1243"/>
      <c r="B446" s="1243"/>
      <c r="C446" s="1243"/>
      <c r="D446" s="1243"/>
      <c r="E446" s="1243"/>
      <c r="F446" s="1243"/>
      <c r="G446" s="1243"/>
      <c r="H446" s="1243"/>
      <c r="I446" s="1243"/>
      <c r="J446" s="1243"/>
      <c r="K446" s="1243"/>
      <c r="L446" s="1243"/>
      <c r="M446" s="1243"/>
      <c r="N446" s="1243"/>
      <c r="O446" s="1243"/>
      <c r="P446" s="1243"/>
      <c r="Q446" s="1243"/>
      <c r="R446" s="1243"/>
      <c r="S446" s="1243"/>
      <c r="T446" s="1243"/>
      <c r="U446" s="1243"/>
      <c r="V446" s="1243"/>
      <c r="W446" s="1243"/>
      <c r="X446" s="1243"/>
      <c r="Y446" s="1243"/>
      <c r="Z446" s="1243"/>
    </row>
    <row r="447" spans="1:26" ht="15.75" customHeight="1" x14ac:dyDescent="0.2">
      <c r="A447" s="1243"/>
      <c r="B447" s="1243"/>
      <c r="C447" s="1243"/>
      <c r="D447" s="1243"/>
      <c r="E447" s="1243"/>
      <c r="F447" s="1243"/>
      <c r="G447" s="1243"/>
      <c r="H447" s="1243"/>
      <c r="I447" s="1243"/>
      <c r="J447" s="1243"/>
      <c r="K447" s="1243"/>
      <c r="L447" s="1243"/>
      <c r="M447" s="1243"/>
      <c r="N447" s="1243"/>
      <c r="O447" s="1243"/>
      <c r="P447" s="1243"/>
      <c r="Q447" s="1243"/>
      <c r="R447" s="1243"/>
      <c r="S447" s="1243"/>
      <c r="T447" s="1243"/>
      <c r="U447" s="1243"/>
      <c r="V447" s="1243"/>
      <c r="W447" s="1243"/>
      <c r="X447" s="1243"/>
      <c r="Y447" s="1243"/>
      <c r="Z447" s="1243"/>
    </row>
    <row r="448" spans="1:26" ht="15.75" customHeight="1" x14ac:dyDescent="0.2">
      <c r="A448" s="1243"/>
      <c r="B448" s="1243"/>
      <c r="C448" s="1243"/>
      <c r="D448" s="1243"/>
      <c r="E448" s="1243"/>
      <c r="F448" s="1243"/>
      <c r="G448" s="1243"/>
      <c r="H448" s="1243"/>
      <c r="I448" s="1243"/>
      <c r="J448" s="1243"/>
      <c r="K448" s="1243"/>
      <c r="L448" s="1243"/>
      <c r="M448" s="1243"/>
      <c r="N448" s="1243"/>
      <c r="O448" s="1243"/>
      <c r="P448" s="1243"/>
      <c r="Q448" s="1243"/>
      <c r="R448" s="1243"/>
      <c r="S448" s="1243"/>
      <c r="T448" s="1243"/>
      <c r="U448" s="1243"/>
      <c r="V448" s="1243"/>
      <c r="W448" s="1243"/>
      <c r="X448" s="1243"/>
      <c r="Y448" s="1243"/>
      <c r="Z448" s="1243"/>
    </row>
    <row r="449" spans="1:26" ht="15.75" customHeight="1" x14ac:dyDescent="0.2">
      <c r="A449" s="1243"/>
      <c r="B449" s="1243"/>
      <c r="C449" s="1243"/>
      <c r="D449" s="1243"/>
      <c r="E449" s="1243"/>
      <c r="F449" s="1243"/>
      <c r="G449" s="1243"/>
      <c r="H449" s="1243"/>
      <c r="I449" s="1243"/>
      <c r="J449" s="1243"/>
      <c r="K449" s="1243"/>
      <c r="L449" s="1243"/>
      <c r="M449" s="1243"/>
      <c r="N449" s="1243"/>
      <c r="O449" s="1243"/>
      <c r="P449" s="1243"/>
      <c r="Q449" s="1243"/>
      <c r="R449" s="1243"/>
      <c r="S449" s="1243"/>
      <c r="T449" s="1243"/>
      <c r="U449" s="1243"/>
      <c r="V449" s="1243"/>
      <c r="W449" s="1243"/>
      <c r="X449" s="1243"/>
      <c r="Y449" s="1243"/>
      <c r="Z449" s="1243"/>
    </row>
    <row r="450" spans="1:26" ht="15.75" customHeight="1" x14ac:dyDescent="0.2">
      <c r="A450" s="1243"/>
      <c r="B450" s="1243"/>
      <c r="C450" s="1243"/>
      <c r="D450" s="1243"/>
      <c r="E450" s="1243"/>
      <c r="F450" s="1243"/>
      <c r="G450" s="1243"/>
      <c r="H450" s="1243"/>
      <c r="I450" s="1243"/>
      <c r="J450" s="1243"/>
      <c r="K450" s="1243"/>
      <c r="L450" s="1243"/>
      <c r="M450" s="1243"/>
      <c r="N450" s="1243"/>
      <c r="O450" s="1243"/>
      <c r="P450" s="1243"/>
      <c r="Q450" s="1243"/>
      <c r="R450" s="1243"/>
      <c r="S450" s="1243"/>
      <c r="T450" s="1243"/>
      <c r="U450" s="1243"/>
      <c r="V450" s="1243"/>
      <c r="W450" s="1243"/>
      <c r="X450" s="1243"/>
      <c r="Y450" s="1243"/>
      <c r="Z450" s="1243"/>
    </row>
    <row r="451" spans="1:26" ht="15.75" customHeight="1" x14ac:dyDescent="0.2">
      <c r="A451" s="1243"/>
      <c r="B451" s="1243"/>
      <c r="C451" s="1243"/>
      <c r="D451" s="1243"/>
      <c r="E451" s="1243"/>
      <c r="F451" s="1243"/>
      <c r="G451" s="1243"/>
      <c r="H451" s="1243"/>
      <c r="I451" s="1243"/>
      <c r="J451" s="1243"/>
      <c r="K451" s="1243"/>
      <c r="L451" s="1243"/>
      <c r="M451" s="1243"/>
      <c r="N451" s="1243"/>
      <c r="O451" s="1243"/>
      <c r="P451" s="1243"/>
      <c r="Q451" s="1243"/>
      <c r="R451" s="1243"/>
      <c r="S451" s="1243"/>
      <c r="T451" s="1243"/>
      <c r="U451" s="1243"/>
      <c r="V451" s="1243"/>
      <c r="W451" s="1243"/>
      <c r="X451" s="1243"/>
      <c r="Y451" s="1243"/>
      <c r="Z451" s="1243"/>
    </row>
    <row r="452" spans="1:26" ht="15.75" customHeight="1" x14ac:dyDescent="0.2">
      <c r="A452" s="1243"/>
      <c r="B452" s="1243"/>
      <c r="C452" s="1243"/>
      <c r="D452" s="1243"/>
      <c r="E452" s="1243"/>
      <c r="F452" s="1243"/>
      <c r="G452" s="1243"/>
      <c r="H452" s="1243"/>
      <c r="I452" s="1243"/>
      <c r="J452" s="1243"/>
      <c r="K452" s="1243"/>
      <c r="L452" s="1243"/>
      <c r="M452" s="1243"/>
      <c r="N452" s="1243"/>
      <c r="O452" s="1243"/>
      <c r="P452" s="1243"/>
      <c r="Q452" s="1243"/>
      <c r="R452" s="1243"/>
      <c r="S452" s="1243"/>
      <c r="T452" s="1243"/>
      <c r="U452" s="1243"/>
      <c r="V452" s="1243"/>
      <c r="W452" s="1243"/>
      <c r="X452" s="1243"/>
      <c r="Y452" s="1243"/>
      <c r="Z452" s="1243"/>
    </row>
    <row r="453" spans="1:26" ht="15.75" customHeight="1" x14ac:dyDescent="0.2">
      <c r="A453" s="1243"/>
      <c r="B453" s="1243"/>
      <c r="C453" s="1243"/>
      <c r="D453" s="1243"/>
      <c r="E453" s="1243"/>
      <c r="F453" s="1243"/>
      <c r="G453" s="1243"/>
      <c r="H453" s="1243"/>
      <c r="I453" s="1243"/>
      <c r="J453" s="1243"/>
      <c r="K453" s="1243"/>
      <c r="L453" s="1243"/>
      <c r="M453" s="1243"/>
      <c r="N453" s="1243"/>
      <c r="O453" s="1243"/>
      <c r="P453" s="1243"/>
      <c r="Q453" s="1243"/>
      <c r="R453" s="1243"/>
      <c r="S453" s="1243"/>
      <c r="T453" s="1243"/>
      <c r="U453" s="1243"/>
      <c r="V453" s="1243"/>
      <c r="W453" s="1243"/>
      <c r="X453" s="1243"/>
      <c r="Y453" s="1243"/>
      <c r="Z453" s="1243"/>
    </row>
    <row r="454" spans="1:26" ht="15.75" customHeight="1" x14ac:dyDescent="0.2">
      <c r="A454" s="1243"/>
      <c r="B454" s="1243"/>
      <c r="C454" s="1243"/>
      <c r="D454" s="1243"/>
      <c r="E454" s="1243"/>
      <c r="F454" s="1243"/>
      <c r="G454" s="1243"/>
      <c r="H454" s="1243"/>
      <c r="I454" s="1243"/>
      <c r="J454" s="1243"/>
      <c r="K454" s="1243"/>
      <c r="L454" s="1243"/>
      <c r="M454" s="1243"/>
      <c r="N454" s="1243"/>
      <c r="O454" s="1243"/>
      <c r="P454" s="1243"/>
      <c r="Q454" s="1243"/>
      <c r="R454" s="1243"/>
      <c r="S454" s="1243"/>
      <c r="T454" s="1243"/>
      <c r="U454" s="1243"/>
      <c r="V454" s="1243"/>
      <c r="W454" s="1243"/>
      <c r="X454" s="1243"/>
      <c r="Y454" s="1243"/>
      <c r="Z454" s="1243"/>
    </row>
    <row r="455" spans="1:26" ht="15.75" customHeight="1" x14ac:dyDescent="0.2">
      <c r="A455" s="1243"/>
      <c r="B455" s="1243"/>
      <c r="C455" s="1243"/>
      <c r="D455" s="1243"/>
      <c r="E455" s="1243"/>
      <c r="F455" s="1243"/>
      <c r="G455" s="1243"/>
      <c r="H455" s="1243"/>
      <c r="I455" s="1243"/>
      <c r="J455" s="1243"/>
      <c r="K455" s="1243"/>
      <c r="L455" s="1243"/>
      <c r="M455" s="1243"/>
      <c r="N455" s="1243"/>
      <c r="O455" s="1243"/>
      <c r="P455" s="1243"/>
      <c r="Q455" s="1243"/>
      <c r="R455" s="1243"/>
      <c r="S455" s="1243"/>
      <c r="T455" s="1243"/>
      <c r="U455" s="1243"/>
      <c r="V455" s="1243"/>
      <c r="W455" s="1243"/>
      <c r="X455" s="1243"/>
      <c r="Y455" s="1243"/>
      <c r="Z455" s="1243"/>
    </row>
    <row r="456" spans="1:26" ht="15.75" customHeight="1" x14ac:dyDescent="0.2">
      <c r="A456" s="1243"/>
      <c r="B456" s="1243"/>
      <c r="C456" s="1243"/>
      <c r="D456" s="1243"/>
      <c r="E456" s="1243"/>
      <c r="F456" s="1243"/>
      <c r="G456" s="1243"/>
      <c r="H456" s="1243"/>
      <c r="I456" s="1243"/>
      <c r="J456" s="1243"/>
      <c r="K456" s="1243"/>
      <c r="L456" s="1243"/>
      <c r="M456" s="1243"/>
      <c r="N456" s="1243"/>
      <c r="O456" s="1243"/>
      <c r="P456" s="1243"/>
      <c r="Q456" s="1243"/>
      <c r="R456" s="1243"/>
      <c r="S456" s="1243"/>
      <c r="T456" s="1243"/>
      <c r="U456" s="1243"/>
      <c r="V456" s="1243"/>
      <c r="W456" s="1243"/>
      <c r="X456" s="1243"/>
      <c r="Y456" s="1243"/>
      <c r="Z456" s="1243"/>
    </row>
    <row r="457" spans="1:26" ht="15.75" customHeight="1" x14ac:dyDescent="0.2">
      <c r="A457" s="1243"/>
      <c r="B457" s="1243"/>
      <c r="C457" s="1243"/>
      <c r="D457" s="1243"/>
      <c r="E457" s="1243"/>
      <c r="F457" s="1243"/>
      <c r="G457" s="1243"/>
      <c r="H457" s="1243"/>
      <c r="I457" s="1243"/>
      <c r="J457" s="1243"/>
      <c r="K457" s="1243"/>
      <c r="L457" s="1243"/>
      <c r="M457" s="1243"/>
      <c r="N457" s="1243"/>
      <c r="O457" s="1243"/>
      <c r="P457" s="1243"/>
      <c r="Q457" s="1243"/>
      <c r="R457" s="1243"/>
      <c r="S457" s="1243"/>
      <c r="T457" s="1243"/>
      <c r="U457" s="1243"/>
      <c r="V457" s="1243"/>
      <c r="W457" s="1243"/>
      <c r="X457" s="1243"/>
      <c r="Y457" s="1243"/>
      <c r="Z457" s="1243"/>
    </row>
    <row r="458" spans="1:26" ht="15.75" customHeight="1" x14ac:dyDescent="0.2">
      <c r="A458" s="1243"/>
      <c r="B458" s="1243"/>
      <c r="C458" s="1243"/>
      <c r="D458" s="1243"/>
      <c r="E458" s="1243"/>
      <c r="F458" s="1243"/>
      <c r="G458" s="1243"/>
      <c r="H458" s="1243"/>
      <c r="I458" s="1243"/>
      <c r="J458" s="1243"/>
      <c r="K458" s="1243"/>
      <c r="L458" s="1243"/>
      <c r="M458" s="1243"/>
      <c r="N458" s="1243"/>
      <c r="O458" s="1243"/>
      <c r="P458" s="1243"/>
      <c r="Q458" s="1243"/>
      <c r="R458" s="1243"/>
      <c r="S458" s="1243"/>
      <c r="T458" s="1243"/>
      <c r="U458" s="1243"/>
      <c r="V458" s="1243"/>
      <c r="W458" s="1243"/>
      <c r="X458" s="1243"/>
      <c r="Y458" s="1243"/>
      <c r="Z458" s="1243"/>
    </row>
    <row r="459" spans="1:26" ht="15.75" customHeight="1" x14ac:dyDescent="0.2">
      <c r="A459" s="1243"/>
      <c r="B459" s="1243"/>
      <c r="C459" s="1243"/>
      <c r="D459" s="1243"/>
      <c r="E459" s="1243"/>
      <c r="F459" s="1243"/>
      <c r="G459" s="1243"/>
      <c r="H459" s="1243"/>
      <c r="I459" s="1243"/>
      <c r="J459" s="1243"/>
      <c r="K459" s="1243"/>
      <c r="L459" s="1243"/>
      <c r="M459" s="1243"/>
      <c r="N459" s="1243"/>
      <c r="O459" s="1243"/>
      <c r="P459" s="1243"/>
      <c r="Q459" s="1243"/>
      <c r="R459" s="1243"/>
      <c r="S459" s="1243"/>
      <c r="T459" s="1243"/>
      <c r="U459" s="1243"/>
      <c r="V459" s="1243"/>
      <c r="W459" s="1243"/>
      <c r="X459" s="1243"/>
      <c r="Y459" s="1243"/>
      <c r="Z459" s="1243"/>
    </row>
    <row r="460" spans="1:26" ht="15.75" customHeight="1" x14ac:dyDescent="0.2">
      <c r="A460" s="1243"/>
      <c r="B460" s="1243"/>
      <c r="C460" s="1243"/>
      <c r="D460" s="1243"/>
      <c r="E460" s="1243"/>
      <c r="F460" s="1243"/>
      <c r="G460" s="1243"/>
      <c r="H460" s="1243"/>
      <c r="I460" s="1243"/>
      <c r="J460" s="1243"/>
      <c r="K460" s="1243"/>
      <c r="L460" s="1243"/>
      <c r="M460" s="1243"/>
      <c r="N460" s="1243"/>
      <c r="O460" s="1243"/>
      <c r="P460" s="1243"/>
      <c r="Q460" s="1243"/>
      <c r="R460" s="1243"/>
      <c r="S460" s="1243"/>
      <c r="T460" s="1243"/>
      <c r="U460" s="1243"/>
      <c r="V460" s="1243"/>
      <c r="W460" s="1243"/>
      <c r="X460" s="1243"/>
      <c r="Y460" s="1243"/>
      <c r="Z460" s="1243"/>
    </row>
    <row r="461" spans="1:26" ht="15.75" customHeight="1" x14ac:dyDescent="0.2">
      <c r="A461" s="1243"/>
      <c r="B461" s="1243"/>
      <c r="C461" s="1243"/>
      <c r="D461" s="1243"/>
      <c r="E461" s="1243"/>
      <c r="F461" s="1243"/>
      <c r="G461" s="1243"/>
      <c r="H461" s="1243"/>
      <c r="I461" s="1243"/>
      <c r="J461" s="1243"/>
      <c r="K461" s="1243"/>
      <c r="L461" s="1243"/>
      <c r="M461" s="1243"/>
      <c r="N461" s="1243"/>
      <c r="O461" s="1243"/>
      <c r="P461" s="1243"/>
      <c r="Q461" s="1243"/>
      <c r="R461" s="1243"/>
      <c r="S461" s="1243"/>
      <c r="T461" s="1243"/>
      <c r="U461" s="1243"/>
      <c r="V461" s="1243"/>
      <c r="W461" s="1243"/>
      <c r="X461" s="1243"/>
      <c r="Y461" s="1243"/>
      <c r="Z461" s="1243"/>
    </row>
    <row r="462" spans="1:26" ht="15.75" customHeight="1" x14ac:dyDescent="0.2">
      <c r="A462" s="1243"/>
      <c r="B462" s="1243"/>
      <c r="C462" s="1243"/>
      <c r="D462" s="1243"/>
      <c r="E462" s="1243"/>
      <c r="F462" s="1243"/>
      <c r="G462" s="1243"/>
      <c r="H462" s="1243"/>
      <c r="I462" s="1243"/>
      <c r="J462" s="1243"/>
      <c r="K462" s="1243"/>
      <c r="L462" s="1243"/>
      <c r="M462" s="1243"/>
      <c r="N462" s="1243"/>
      <c r="O462" s="1243"/>
      <c r="P462" s="1243"/>
      <c r="Q462" s="1243"/>
      <c r="R462" s="1243"/>
      <c r="S462" s="1243"/>
      <c r="T462" s="1243"/>
      <c r="U462" s="1243"/>
      <c r="V462" s="1243"/>
      <c r="W462" s="1243"/>
      <c r="X462" s="1243"/>
      <c r="Y462" s="1243"/>
      <c r="Z462" s="1243"/>
    </row>
    <row r="463" spans="1:26" ht="15.75" customHeight="1" x14ac:dyDescent="0.2">
      <c r="A463" s="1243"/>
      <c r="B463" s="1243"/>
      <c r="C463" s="1243"/>
      <c r="D463" s="1243"/>
      <c r="E463" s="1243"/>
      <c r="F463" s="1243"/>
      <c r="G463" s="1243"/>
      <c r="H463" s="1243"/>
      <c r="I463" s="1243"/>
      <c r="J463" s="1243"/>
      <c r="K463" s="1243"/>
      <c r="L463" s="1243"/>
      <c r="M463" s="1243"/>
      <c r="N463" s="1243"/>
      <c r="O463" s="1243"/>
      <c r="P463" s="1243"/>
      <c r="Q463" s="1243"/>
      <c r="R463" s="1243"/>
      <c r="S463" s="1243"/>
      <c r="T463" s="1243"/>
      <c r="U463" s="1243"/>
      <c r="V463" s="1243"/>
      <c r="W463" s="1243"/>
      <c r="X463" s="1243"/>
      <c r="Y463" s="1243"/>
      <c r="Z463" s="1243"/>
    </row>
    <row r="464" spans="1:26" ht="15.75" customHeight="1" x14ac:dyDescent="0.2">
      <c r="A464" s="1243"/>
      <c r="B464" s="1243"/>
      <c r="C464" s="1243"/>
      <c r="D464" s="1243"/>
      <c r="E464" s="1243"/>
      <c r="F464" s="1243"/>
      <c r="G464" s="1243"/>
      <c r="H464" s="1243"/>
      <c r="I464" s="1243"/>
      <c r="J464" s="1243"/>
      <c r="K464" s="1243"/>
      <c r="L464" s="1243"/>
      <c r="M464" s="1243"/>
      <c r="N464" s="1243"/>
      <c r="O464" s="1243"/>
      <c r="P464" s="1243"/>
      <c r="Q464" s="1243"/>
      <c r="R464" s="1243"/>
      <c r="S464" s="1243"/>
      <c r="T464" s="1243"/>
      <c r="U464" s="1243"/>
      <c r="V464" s="1243"/>
      <c r="W464" s="1243"/>
      <c r="X464" s="1243"/>
      <c r="Y464" s="1243"/>
      <c r="Z464" s="1243"/>
    </row>
    <row r="465" spans="1:26" ht="15.75" customHeight="1" x14ac:dyDescent="0.2">
      <c r="A465" s="1243"/>
      <c r="B465" s="1243"/>
      <c r="C465" s="1243"/>
      <c r="D465" s="1243"/>
      <c r="E465" s="1243"/>
      <c r="F465" s="1243"/>
      <c r="G465" s="1243"/>
      <c r="H465" s="1243"/>
      <c r="I465" s="1243"/>
      <c r="J465" s="1243"/>
      <c r="K465" s="1243"/>
      <c r="L465" s="1243"/>
      <c r="M465" s="1243"/>
      <c r="N465" s="1243"/>
      <c r="O465" s="1243"/>
      <c r="P465" s="1243"/>
      <c r="Q465" s="1243"/>
      <c r="R465" s="1243"/>
      <c r="S465" s="1243"/>
      <c r="T465" s="1243"/>
      <c r="U465" s="1243"/>
      <c r="V465" s="1243"/>
      <c r="W465" s="1243"/>
      <c r="X465" s="1243"/>
      <c r="Y465" s="1243"/>
      <c r="Z465" s="1243"/>
    </row>
    <row r="466" spans="1:26" ht="15.75" customHeight="1" x14ac:dyDescent="0.2">
      <c r="A466" s="1243"/>
      <c r="B466" s="1243"/>
      <c r="C466" s="1243"/>
      <c r="D466" s="1243"/>
      <c r="E466" s="1243"/>
      <c r="F466" s="1243"/>
      <c r="G466" s="1243"/>
      <c r="H466" s="1243"/>
      <c r="I466" s="1243"/>
      <c r="J466" s="1243"/>
      <c r="K466" s="1243"/>
      <c r="L466" s="1243"/>
      <c r="M466" s="1243"/>
      <c r="N466" s="1243"/>
      <c r="O466" s="1243"/>
      <c r="P466" s="1243"/>
      <c r="Q466" s="1243"/>
      <c r="R466" s="1243"/>
      <c r="S466" s="1243"/>
      <c r="T466" s="1243"/>
      <c r="U466" s="1243"/>
      <c r="V466" s="1243"/>
      <c r="W466" s="1243"/>
      <c r="X466" s="1243"/>
      <c r="Y466" s="1243"/>
      <c r="Z466" s="1243"/>
    </row>
    <row r="467" spans="1:26" ht="15.75" customHeight="1" x14ac:dyDescent="0.2">
      <c r="A467" s="1243"/>
      <c r="B467" s="1243"/>
      <c r="C467" s="1243"/>
      <c r="D467" s="1243"/>
      <c r="E467" s="1243"/>
      <c r="F467" s="1243"/>
      <c r="G467" s="1243"/>
      <c r="H467" s="1243"/>
      <c r="I467" s="1243"/>
      <c r="J467" s="1243"/>
      <c r="K467" s="1243"/>
      <c r="L467" s="1243"/>
      <c r="M467" s="1243"/>
      <c r="N467" s="1243"/>
      <c r="O467" s="1243"/>
      <c r="P467" s="1243"/>
      <c r="Q467" s="1243"/>
      <c r="R467" s="1243"/>
      <c r="S467" s="1243"/>
      <c r="T467" s="1243"/>
      <c r="U467" s="1243"/>
      <c r="V467" s="1243"/>
      <c r="W467" s="1243"/>
      <c r="X467" s="1243"/>
      <c r="Y467" s="1243"/>
      <c r="Z467" s="1243"/>
    </row>
    <row r="468" spans="1:26" ht="15.75" customHeight="1" x14ac:dyDescent="0.2">
      <c r="A468" s="1243"/>
      <c r="B468" s="1243"/>
      <c r="C468" s="1243"/>
      <c r="D468" s="1243"/>
      <c r="E468" s="1243"/>
      <c r="F468" s="1243"/>
      <c r="G468" s="1243"/>
      <c r="H468" s="1243"/>
      <c r="I468" s="1243"/>
      <c r="J468" s="1243"/>
      <c r="K468" s="1243"/>
      <c r="L468" s="1243"/>
      <c r="M468" s="1243"/>
      <c r="N468" s="1243"/>
      <c r="O468" s="1243"/>
      <c r="P468" s="1243"/>
      <c r="Q468" s="1243"/>
      <c r="R468" s="1243"/>
      <c r="S468" s="1243"/>
      <c r="T468" s="1243"/>
      <c r="U468" s="1243"/>
      <c r="V468" s="1243"/>
      <c r="W468" s="1243"/>
      <c r="X468" s="1243"/>
      <c r="Y468" s="1243"/>
      <c r="Z468" s="1243"/>
    </row>
    <row r="469" spans="1:26" ht="15.75" customHeight="1" x14ac:dyDescent="0.2">
      <c r="A469" s="1243"/>
      <c r="B469" s="1243"/>
      <c r="C469" s="1243"/>
      <c r="D469" s="1243"/>
      <c r="E469" s="1243"/>
      <c r="F469" s="1243"/>
      <c r="G469" s="1243"/>
      <c r="H469" s="1243"/>
      <c r="I469" s="1243"/>
      <c r="J469" s="1243"/>
      <c r="K469" s="1243"/>
      <c r="L469" s="1243"/>
      <c r="M469" s="1243"/>
      <c r="N469" s="1243"/>
      <c r="O469" s="1243"/>
      <c r="P469" s="1243"/>
      <c r="Q469" s="1243"/>
      <c r="R469" s="1243"/>
      <c r="S469" s="1243"/>
      <c r="T469" s="1243"/>
      <c r="U469" s="1243"/>
      <c r="V469" s="1243"/>
      <c r="W469" s="1243"/>
      <c r="X469" s="1243"/>
      <c r="Y469" s="1243"/>
      <c r="Z469" s="1243"/>
    </row>
    <row r="470" spans="1:26" ht="15.75" customHeight="1" x14ac:dyDescent="0.2">
      <c r="A470" s="1243"/>
      <c r="B470" s="1243"/>
      <c r="C470" s="1243"/>
      <c r="D470" s="1243"/>
      <c r="E470" s="1243"/>
      <c r="F470" s="1243"/>
      <c r="G470" s="1243"/>
      <c r="H470" s="1243"/>
      <c r="I470" s="1243"/>
      <c r="J470" s="1243"/>
      <c r="K470" s="1243"/>
      <c r="L470" s="1243"/>
      <c r="M470" s="1243"/>
      <c r="N470" s="1243"/>
      <c r="O470" s="1243"/>
      <c r="P470" s="1243"/>
      <c r="Q470" s="1243"/>
      <c r="R470" s="1243"/>
      <c r="S470" s="1243"/>
      <c r="T470" s="1243"/>
      <c r="U470" s="1243"/>
      <c r="V470" s="1243"/>
      <c r="W470" s="1243"/>
      <c r="X470" s="1243"/>
      <c r="Y470" s="1243"/>
      <c r="Z470" s="1243"/>
    </row>
    <row r="471" spans="1:26" ht="15.75" customHeight="1" x14ac:dyDescent="0.2">
      <c r="A471" s="1243"/>
      <c r="B471" s="1243"/>
      <c r="C471" s="1243"/>
      <c r="D471" s="1243"/>
      <c r="E471" s="1243"/>
      <c r="F471" s="1243"/>
      <c r="G471" s="1243"/>
      <c r="H471" s="1243"/>
      <c r="I471" s="1243"/>
      <c r="J471" s="1243"/>
      <c r="K471" s="1243"/>
      <c r="L471" s="1243"/>
      <c r="M471" s="1243"/>
      <c r="N471" s="1243"/>
      <c r="O471" s="1243"/>
      <c r="P471" s="1243"/>
      <c r="Q471" s="1243"/>
      <c r="R471" s="1243"/>
      <c r="S471" s="1243"/>
      <c r="T471" s="1243"/>
      <c r="U471" s="1243"/>
      <c r="V471" s="1243"/>
      <c r="W471" s="1243"/>
      <c r="X471" s="1243"/>
      <c r="Y471" s="1243"/>
      <c r="Z471" s="1243"/>
    </row>
    <row r="472" spans="1:26" ht="15.75" customHeight="1" x14ac:dyDescent="0.2">
      <c r="A472" s="1243"/>
      <c r="B472" s="1243"/>
      <c r="C472" s="1243"/>
      <c r="D472" s="1243"/>
      <c r="E472" s="1243"/>
      <c r="F472" s="1243"/>
      <c r="G472" s="1243"/>
      <c r="H472" s="1243"/>
      <c r="I472" s="1243"/>
      <c r="J472" s="1243"/>
      <c r="K472" s="1243"/>
      <c r="L472" s="1243"/>
      <c r="M472" s="1243"/>
      <c r="N472" s="1243"/>
      <c r="O472" s="1243"/>
      <c r="P472" s="1243"/>
      <c r="Q472" s="1243"/>
      <c r="R472" s="1243"/>
      <c r="S472" s="1243"/>
      <c r="T472" s="1243"/>
      <c r="U472" s="1243"/>
      <c r="V472" s="1243"/>
      <c r="W472" s="1243"/>
      <c r="X472" s="1243"/>
      <c r="Y472" s="1243"/>
      <c r="Z472" s="1243"/>
    </row>
    <row r="473" spans="1:26" ht="15.75" customHeight="1" x14ac:dyDescent="0.2">
      <c r="A473" s="1243"/>
      <c r="B473" s="1243"/>
      <c r="C473" s="1243"/>
      <c r="D473" s="1243"/>
      <c r="E473" s="1243"/>
      <c r="F473" s="1243"/>
      <c r="G473" s="1243"/>
      <c r="H473" s="1243"/>
      <c r="I473" s="1243"/>
      <c r="J473" s="1243"/>
      <c r="K473" s="1243"/>
      <c r="L473" s="1243"/>
      <c r="M473" s="1243"/>
      <c r="N473" s="1243"/>
      <c r="O473" s="1243"/>
      <c r="P473" s="1243"/>
      <c r="Q473" s="1243"/>
      <c r="R473" s="1243"/>
      <c r="S473" s="1243"/>
      <c r="T473" s="1243"/>
      <c r="U473" s="1243"/>
      <c r="V473" s="1243"/>
      <c r="W473" s="1243"/>
      <c r="X473" s="1243"/>
      <c r="Y473" s="1243"/>
      <c r="Z473" s="1243"/>
    </row>
    <row r="474" spans="1:26" ht="15.75" customHeight="1" x14ac:dyDescent="0.2">
      <c r="A474" s="1243"/>
      <c r="B474" s="1243"/>
      <c r="C474" s="1243"/>
      <c r="D474" s="1243"/>
      <c r="E474" s="1243"/>
      <c r="F474" s="1243"/>
      <c r="G474" s="1243"/>
      <c r="H474" s="1243"/>
      <c r="I474" s="1243"/>
      <c r="J474" s="1243"/>
      <c r="K474" s="1243"/>
      <c r="L474" s="1243"/>
      <c r="M474" s="1243"/>
      <c r="N474" s="1243"/>
      <c r="O474" s="1243"/>
      <c r="P474" s="1243"/>
      <c r="Q474" s="1243"/>
      <c r="R474" s="1243"/>
      <c r="S474" s="1243"/>
      <c r="T474" s="1243"/>
      <c r="U474" s="1243"/>
      <c r="V474" s="1243"/>
      <c r="W474" s="1243"/>
      <c r="X474" s="1243"/>
      <c r="Y474" s="1243"/>
      <c r="Z474" s="1243"/>
    </row>
    <row r="475" spans="1:26" ht="15.75" customHeight="1" x14ac:dyDescent="0.2">
      <c r="A475" s="1243"/>
      <c r="B475" s="1243"/>
      <c r="C475" s="1243"/>
      <c r="D475" s="1243"/>
      <c r="E475" s="1243"/>
      <c r="F475" s="1243"/>
      <c r="G475" s="1243"/>
      <c r="H475" s="1243"/>
      <c r="I475" s="1243"/>
      <c r="J475" s="1243"/>
      <c r="K475" s="1243"/>
      <c r="L475" s="1243"/>
      <c r="M475" s="1243"/>
      <c r="N475" s="1243"/>
      <c r="O475" s="1243"/>
      <c r="P475" s="1243"/>
      <c r="Q475" s="1243"/>
      <c r="R475" s="1243"/>
      <c r="S475" s="1243"/>
      <c r="T475" s="1243"/>
      <c r="U475" s="1243"/>
      <c r="V475" s="1243"/>
      <c r="W475" s="1243"/>
      <c r="X475" s="1243"/>
      <c r="Y475" s="1243"/>
      <c r="Z475" s="1243"/>
    </row>
    <row r="476" spans="1:26" ht="15.75" customHeight="1" x14ac:dyDescent="0.2">
      <c r="A476" s="1243"/>
      <c r="B476" s="1243"/>
      <c r="C476" s="1243"/>
      <c r="D476" s="1243"/>
      <c r="E476" s="1243"/>
      <c r="F476" s="1243"/>
      <c r="G476" s="1243"/>
      <c r="H476" s="1243"/>
      <c r="I476" s="1243"/>
      <c r="J476" s="1243"/>
      <c r="K476" s="1243"/>
      <c r="L476" s="1243"/>
      <c r="M476" s="1243"/>
      <c r="N476" s="1243"/>
      <c r="O476" s="1243"/>
      <c r="P476" s="1243"/>
      <c r="Q476" s="1243"/>
      <c r="R476" s="1243"/>
      <c r="S476" s="1243"/>
      <c r="T476" s="1243"/>
      <c r="U476" s="1243"/>
      <c r="V476" s="1243"/>
      <c r="W476" s="1243"/>
      <c r="X476" s="1243"/>
      <c r="Y476" s="1243"/>
      <c r="Z476" s="1243"/>
    </row>
    <row r="477" spans="1:26" ht="15.75" customHeight="1" x14ac:dyDescent="0.2">
      <c r="A477" s="1243"/>
      <c r="B477" s="1243"/>
      <c r="C477" s="1243"/>
      <c r="D477" s="1243"/>
      <c r="E477" s="1243"/>
      <c r="F477" s="1243"/>
      <c r="G477" s="1243"/>
      <c r="H477" s="1243"/>
      <c r="I477" s="1243"/>
      <c r="J477" s="1243"/>
      <c r="K477" s="1243"/>
      <c r="L477" s="1243"/>
      <c r="M477" s="1243"/>
      <c r="N477" s="1243"/>
      <c r="O477" s="1243"/>
      <c r="P477" s="1243"/>
      <c r="Q477" s="1243"/>
      <c r="R477" s="1243"/>
      <c r="S477" s="1243"/>
      <c r="T477" s="1243"/>
      <c r="U477" s="1243"/>
      <c r="V477" s="1243"/>
      <c r="W477" s="1243"/>
      <c r="X477" s="1243"/>
      <c r="Y477" s="1243"/>
      <c r="Z477" s="1243"/>
    </row>
    <row r="478" spans="1:26" ht="15.75" customHeight="1" x14ac:dyDescent="0.2">
      <c r="A478" s="1243"/>
      <c r="B478" s="1243"/>
      <c r="C478" s="1243"/>
      <c r="D478" s="1243"/>
      <c r="E478" s="1243"/>
      <c r="F478" s="1243"/>
      <c r="G478" s="1243"/>
      <c r="H478" s="1243"/>
      <c r="I478" s="1243"/>
      <c r="J478" s="1243"/>
      <c r="K478" s="1243"/>
      <c r="L478" s="1243"/>
      <c r="M478" s="1243"/>
      <c r="N478" s="1243"/>
      <c r="O478" s="1243"/>
      <c r="P478" s="1243"/>
      <c r="Q478" s="1243"/>
      <c r="R478" s="1243"/>
      <c r="S478" s="1243"/>
      <c r="T478" s="1243"/>
      <c r="U478" s="1243"/>
      <c r="V478" s="1243"/>
      <c r="W478" s="1243"/>
      <c r="X478" s="1243"/>
      <c r="Y478" s="1243"/>
      <c r="Z478" s="1243"/>
    </row>
    <row r="479" spans="1:26" ht="15.75" customHeight="1" x14ac:dyDescent="0.2">
      <c r="A479" s="1243"/>
      <c r="B479" s="1243"/>
      <c r="C479" s="1243"/>
      <c r="D479" s="1243"/>
      <c r="E479" s="1243"/>
      <c r="F479" s="1243"/>
      <c r="G479" s="1243"/>
      <c r="H479" s="1243"/>
      <c r="I479" s="1243"/>
      <c r="J479" s="1243"/>
      <c r="K479" s="1243"/>
      <c r="L479" s="1243"/>
      <c r="M479" s="1243"/>
      <c r="N479" s="1243"/>
      <c r="O479" s="1243"/>
      <c r="P479" s="1243"/>
      <c r="Q479" s="1243"/>
      <c r="R479" s="1243"/>
      <c r="S479" s="1243"/>
      <c r="T479" s="1243"/>
      <c r="U479" s="1243"/>
      <c r="V479" s="1243"/>
      <c r="W479" s="1243"/>
      <c r="X479" s="1243"/>
      <c r="Y479" s="1243"/>
      <c r="Z479" s="1243"/>
    </row>
    <row r="480" spans="1:26" ht="15.75" customHeight="1" x14ac:dyDescent="0.2">
      <c r="A480" s="1243"/>
      <c r="B480" s="1243"/>
      <c r="C480" s="1243"/>
      <c r="D480" s="1243"/>
      <c r="E480" s="1243"/>
      <c r="F480" s="1243"/>
      <c r="G480" s="1243"/>
      <c r="H480" s="1243"/>
      <c r="I480" s="1243"/>
      <c r="J480" s="1243"/>
      <c r="K480" s="1243"/>
      <c r="L480" s="1243"/>
      <c r="M480" s="1243"/>
      <c r="N480" s="1243"/>
      <c r="O480" s="1243"/>
      <c r="P480" s="1243"/>
      <c r="Q480" s="1243"/>
      <c r="R480" s="1243"/>
      <c r="S480" s="1243"/>
      <c r="T480" s="1243"/>
      <c r="U480" s="1243"/>
      <c r="V480" s="1243"/>
      <c r="W480" s="1243"/>
      <c r="X480" s="1243"/>
      <c r="Y480" s="1243"/>
      <c r="Z480" s="1243"/>
    </row>
    <row r="481" spans="1:26" ht="15.75" customHeight="1" x14ac:dyDescent="0.2">
      <c r="A481" s="1243"/>
      <c r="B481" s="1243"/>
      <c r="C481" s="1243"/>
      <c r="D481" s="1243"/>
      <c r="E481" s="1243"/>
      <c r="F481" s="1243"/>
      <c r="G481" s="1243"/>
      <c r="H481" s="1243"/>
      <c r="I481" s="1243"/>
      <c r="J481" s="1243"/>
      <c r="K481" s="1243"/>
      <c r="L481" s="1243"/>
      <c r="M481" s="1243"/>
      <c r="N481" s="1243"/>
      <c r="O481" s="1243"/>
      <c r="P481" s="1243"/>
      <c r="Q481" s="1243"/>
      <c r="R481" s="1243"/>
      <c r="S481" s="1243"/>
      <c r="T481" s="1243"/>
      <c r="U481" s="1243"/>
      <c r="V481" s="1243"/>
      <c r="W481" s="1243"/>
      <c r="X481" s="1243"/>
      <c r="Y481" s="1243"/>
      <c r="Z481" s="1243"/>
    </row>
    <row r="482" spans="1:26" ht="15.75" customHeight="1" x14ac:dyDescent="0.2">
      <c r="A482" s="1243"/>
      <c r="B482" s="1243"/>
      <c r="C482" s="1243"/>
      <c r="D482" s="1243"/>
      <c r="E482" s="1243"/>
      <c r="F482" s="1243"/>
      <c r="G482" s="1243"/>
      <c r="H482" s="1243"/>
      <c r="I482" s="1243"/>
      <c r="J482" s="1243"/>
      <c r="K482" s="1243"/>
      <c r="L482" s="1243"/>
      <c r="M482" s="1243"/>
      <c r="N482" s="1243"/>
      <c r="O482" s="1243"/>
      <c r="P482" s="1243"/>
      <c r="Q482" s="1243"/>
      <c r="R482" s="1243"/>
      <c r="S482" s="1243"/>
      <c r="T482" s="1243"/>
      <c r="U482" s="1243"/>
      <c r="V482" s="1243"/>
      <c r="W482" s="1243"/>
      <c r="X482" s="1243"/>
      <c r="Y482" s="1243"/>
      <c r="Z482" s="1243"/>
    </row>
    <row r="483" spans="1:26" ht="15.75" customHeight="1" x14ac:dyDescent="0.2">
      <c r="A483" s="1243"/>
      <c r="B483" s="1243"/>
      <c r="C483" s="1243"/>
      <c r="D483" s="1243"/>
      <c r="E483" s="1243"/>
      <c r="F483" s="1243"/>
      <c r="G483" s="1243"/>
      <c r="H483" s="1243"/>
      <c r="I483" s="1243"/>
      <c r="J483" s="1243"/>
      <c r="K483" s="1243"/>
      <c r="L483" s="1243"/>
      <c r="M483" s="1243"/>
      <c r="N483" s="1243"/>
      <c r="O483" s="1243"/>
      <c r="P483" s="1243"/>
      <c r="Q483" s="1243"/>
      <c r="R483" s="1243"/>
      <c r="S483" s="1243"/>
      <c r="T483" s="1243"/>
      <c r="U483" s="1243"/>
      <c r="V483" s="1243"/>
      <c r="W483" s="1243"/>
      <c r="X483" s="1243"/>
      <c r="Y483" s="1243"/>
      <c r="Z483" s="1243"/>
    </row>
    <row r="484" spans="1:26" ht="15.75" customHeight="1" x14ac:dyDescent="0.2">
      <c r="A484" s="1243"/>
      <c r="B484" s="1243"/>
      <c r="C484" s="1243"/>
      <c r="D484" s="1243"/>
      <c r="E484" s="1243"/>
      <c r="F484" s="1243"/>
      <c r="G484" s="1243"/>
      <c r="H484" s="1243"/>
      <c r="I484" s="1243"/>
      <c r="J484" s="1243"/>
      <c r="K484" s="1243"/>
      <c r="L484" s="1243"/>
      <c r="M484" s="1243"/>
      <c r="N484" s="1243"/>
      <c r="O484" s="1243"/>
      <c r="P484" s="1243"/>
      <c r="Q484" s="1243"/>
      <c r="R484" s="1243"/>
      <c r="S484" s="1243"/>
      <c r="T484" s="1243"/>
      <c r="U484" s="1243"/>
      <c r="V484" s="1243"/>
      <c r="W484" s="1243"/>
      <c r="X484" s="1243"/>
      <c r="Y484" s="1243"/>
      <c r="Z484" s="1243"/>
    </row>
    <row r="485" spans="1:26" ht="15.75" customHeight="1" x14ac:dyDescent="0.2">
      <c r="A485" s="1243"/>
      <c r="B485" s="1243"/>
      <c r="C485" s="1243"/>
      <c r="D485" s="1243"/>
      <c r="E485" s="1243"/>
      <c r="F485" s="1243"/>
      <c r="G485" s="1243"/>
      <c r="H485" s="1243"/>
      <c r="I485" s="1243"/>
      <c r="J485" s="1243"/>
      <c r="K485" s="1243"/>
      <c r="L485" s="1243"/>
      <c r="M485" s="1243"/>
      <c r="N485" s="1243"/>
      <c r="O485" s="1243"/>
      <c r="P485" s="1243"/>
      <c r="Q485" s="1243"/>
      <c r="R485" s="1243"/>
      <c r="S485" s="1243"/>
      <c r="T485" s="1243"/>
      <c r="U485" s="1243"/>
      <c r="V485" s="1243"/>
      <c r="W485" s="1243"/>
      <c r="X485" s="1243"/>
      <c r="Y485" s="1243"/>
      <c r="Z485" s="1243"/>
    </row>
    <row r="486" spans="1:26" ht="15.75" customHeight="1" x14ac:dyDescent="0.2">
      <c r="A486" s="1243"/>
      <c r="B486" s="1243"/>
      <c r="C486" s="1243"/>
      <c r="D486" s="1243"/>
      <c r="E486" s="1243"/>
      <c r="F486" s="1243"/>
      <c r="G486" s="1243"/>
      <c r="H486" s="1243"/>
      <c r="I486" s="1243"/>
      <c r="J486" s="1243"/>
      <c r="K486" s="1243"/>
      <c r="L486" s="1243"/>
      <c r="M486" s="1243"/>
      <c r="N486" s="1243"/>
      <c r="O486" s="1243"/>
      <c r="P486" s="1243"/>
      <c r="Q486" s="1243"/>
      <c r="R486" s="1243"/>
      <c r="S486" s="1243"/>
      <c r="T486" s="1243"/>
      <c r="U486" s="1243"/>
      <c r="V486" s="1243"/>
      <c r="W486" s="1243"/>
      <c r="X486" s="1243"/>
      <c r="Y486" s="1243"/>
      <c r="Z486" s="1243"/>
    </row>
    <row r="487" spans="1:26" ht="15.75" customHeight="1" x14ac:dyDescent="0.2">
      <c r="A487" s="1243"/>
      <c r="B487" s="1243"/>
      <c r="C487" s="1243"/>
      <c r="D487" s="1243"/>
      <c r="E487" s="1243"/>
      <c r="F487" s="1243"/>
      <c r="G487" s="1243"/>
      <c r="H487" s="1243"/>
      <c r="I487" s="1243"/>
      <c r="J487" s="1243"/>
      <c r="K487" s="1243"/>
      <c r="L487" s="1243"/>
      <c r="M487" s="1243"/>
      <c r="N487" s="1243"/>
      <c r="O487" s="1243"/>
      <c r="P487" s="1243"/>
      <c r="Q487" s="1243"/>
      <c r="R487" s="1243"/>
      <c r="S487" s="1243"/>
      <c r="T487" s="1243"/>
      <c r="U487" s="1243"/>
      <c r="V487" s="1243"/>
      <c r="W487" s="1243"/>
      <c r="X487" s="1243"/>
      <c r="Y487" s="1243"/>
      <c r="Z487" s="1243"/>
    </row>
    <row r="488" spans="1:26" ht="15.75" customHeight="1" x14ac:dyDescent="0.2">
      <c r="A488" s="1243"/>
      <c r="B488" s="1243"/>
      <c r="C488" s="1243"/>
      <c r="D488" s="1243"/>
      <c r="E488" s="1243"/>
      <c r="F488" s="1243"/>
      <c r="G488" s="1243"/>
      <c r="H488" s="1243"/>
      <c r="I488" s="1243"/>
      <c r="J488" s="1243"/>
      <c r="K488" s="1243"/>
      <c r="L488" s="1243"/>
      <c r="M488" s="1243"/>
      <c r="N488" s="1243"/>
      <c r="O488" s="1243"/>
      <c r="P488" s="1243"/>
      <c r="Q488" s="1243"/>
      <c r="R488" s="1243"/>
      <c r="S488" s="1243"/>
      <c r="T488" s="1243"/>
      <c r="U488" s="1243"/>
      <c r="V488" s="1243"/>
      <c r="W488" s="1243"/>
      <c r="X488" s="1243"/>
      <c r="Y488" s="1243"/>
      <c r="Z488" s="1243"/>
    </row>
    <row r="489" spans="1:26" ht="15.75" customHeight="1" x14ac:dyDescent="0.2">
      <c r="A489" s="1243"/>
      <c r="B489" s="1243"/>
      <c r="C489" s="1243"/>
      <c r="D489" s="1243"/>
      <c r="E489" s="1243"/>
      <c r="F489" s="1243"/>
      <c r="G489" s="1243"/>
      <c r="H489" s="1243"/>
      <c r="I489" s="1243"/>
      <c r="J489" s="1243"/>
      <c r="K489" s="1243"/>
      <c r="L489" s="1243"/>
      <c r="M489" s="1243"/>
      <c r="N489" s="1243"/>
      <c r="O489" s="1243"/>
      <c r="P489" s="1243"/>
      <c r="Q489" s="1243"/>
      <c r="R489" s="1243"/>
      <c r="S489" s="1243"/>
      <c r="T489" s="1243"/>
      <c r="U489" s="1243"/>
      <c r="V489" s="1243"/>
      <c r="W489" s="1243"/>
      <c r="X489" s="1243"/>
      <c r="Y489" s="1243"/>
      <c r="Z489" s="1243"/>
    </row>
    <row r="490" spans="1:26" ht="15.75" customHeight="1" x14ac:dyDescent="0.2">
      <c r="A490" s="1243"/>
      <c r="B490" s="1243"/>
      <c r="C490" s="1243"/>
      <c r="D490" s="1243"/>
      <c r="E490" s="1243"/>
      <c r="F490" s="1243"/>
      <c r="G490" s="1243"/>
      <c r="H490" s="1243"/>
      <c r="I490" s="1243"/>
      <c r="J490" s="1243"/>
      <c r="K490" s="1243"/>
      <c r="L490" s="1243"/>
      <c r="M490" s="1243"/>
      <c r="N490" s="1243"/>
      <c r="O490" s="1243"/>
      <c r="P490" s="1243"/>
      <c r="Q490" s="1243"/>
      <c r="R490" s="1243"/>
      <c r="S490" s="1243"/>
      <c r="T490" s="1243"/>
      <c r="U490" s="1243"/>
      <c r="V490" s="1243"/>
      <c r="W490" s="1243"/>
      <c r="X490" s="1243"/>
      <c r="Y490" s="1243"/>
      <c r="Z490" s="1243"/>
    </row>
    <row r="491" spans="1:26" ht="15.75" customHeight="1" x14ac:dyDescent="0.2">
      <c r="A491" s="1243"/>
      <c r="B491" s="1243"/>
      <c r="C491" s="1243"/>
      <c r="D491" s="1243"/>
      <c r="E491" s="1243"/>
      <c r="F491" s="1243"/>
      <c r="G491" s="1243"/>
      <c r="H491" s="1243"/>
      <c r="I491" s="1243"/>
      <c r="J491" s="1243"/>
      <c r="K491" s="1243"/>
      <c r="L491" s="1243"/>
      <c r="M491" s="1243"/>
      <c r="N491" s="1243"/>
      <c r="O491" s="1243"/>
      <c r="P491" s="1243"/>
      <c r="Q491" s="1243"/>
      <c r="R491" s="1243"/>
      <c r="S491" s="1243"/>
      <c r="T491" s="1243"/>
      <c r="U491" s="1243"/>
      <c r="V491" s="1243"/>
      <c r="W491" s="1243"/>
      <c r="X491" s="1243"/>
      <c r="Y491" s="1243"/>
      <c r="Z491" s="1243"/>
    </row>
    <row r="492" spans="1:26" ht="15.75" customHeight="1" x14ac:dyDescent="0.2">
      <c r="A492" s="1243"/>
      <c r="B492" s="1243"/>
      <c r="C492" s="1243"/>
      <c r="D492" s="1243"/>
      <c r="E492" s="1243"/>
      <c r="F492" s="1243"/>
      <c r="G492" s="1243"/>
      <c r="H492" s="1243"/>
      <c r="I492" s="1243"/>
      <c r="J492" s="1243"/>
      <c r="K492" s="1243"/>
      <c r="L492" s="1243"/>
      <c r="M492" s="1243"/>
      <c r="N492" s="1243"/>
      <c r="O492" s="1243"/>
      <c r="P492" s="1243"/>
      <c r="Q492" s="1243"/>
      <c r="R492" s="1243"/>
      <c r="S492" s="1243"/>
      <c r="T492" s="1243"/>
      <c r="U492" s="1243"/>
      <c r="V492" s="1243"/>
      <c r="W492" s="1243"/>
      <c r="X492" s="1243"/>
      <c r="Y492" s="1243"/>
      <c r="Z492" s="1243"/>
    </row>
    <row r="493" spans="1:26" ht="15.75" customHeight="1" x14ac:dyDescent="0.2">
      <c r="A493" s="1243"/>
      <c r="B493" s="1243"/>
      <c r="C493" s="1243"/>
      <c r="D493" s="1243"/>
      <c r="E493" s="1243"/>
      <c r="F493" s="1243"/>
      <c r="G493" s="1243"/>
      <c r="H493" s="1243"/>
      <c r="I493" s="1243"/>
      <c r="J493" s="1243"/>
      <c r="K493" s="1243"/>
      <c r="L493" s="1243"/>
      <c r="M493" s="1243"/>
      <c r="N493" s="1243"/>
      <c r="O493" s="1243"/>
      <c r="P493" s="1243"/>
      <c r="Q493" s="1243"/>
      <c r="R493" s="1243"/>
      <c r="S493" s="1243"/>
      <c r="T493" s="1243"/>
      <c r="U493" s="1243"/>
      <c r="V493" s="1243"/>
      <c r="W493" s="1243"/>
      <c r="X493" s="1243"/>
      <c r="Y493" s="1243"/>
      <c r="Z493" s="1243"/>
    </row>
    <row r="494" spans="1:26" ht="15.75" customHeight="1" x14ac:dyDescent="0.2">
      <c r="A494" s="1243"/>
      <c r="B494" s="1243"/>
      <c r="C494" s="1243"/>
      <c r="D494" s="1243"/>
      <c r="E494" s="1243"/>
      <c r="F494" s="1243"/>
      <c r="G494" s="1243"/>
      <c r="H494" s="1243"/>
      <c r="I494" s="1243"/>
      <c r="J494" s="1243"/>
      <c r="K494" s="1243"/>
      <c r="L494" s="1243"/>
      <c r="M494" s="1243"/>
      <c r="N494" s="1243"/>
      <c r="O494" s="1243"/>
      <c r="P494" s="1243"/>
      <c r="Q494" s="1243"/>
      <c r="R494" s="1243"/>
      <c r="S494" s="1243"/>
      <c r="T494" s="1243"/>
      <c r="U494" s="1243"/>
      <c r="V494" s="1243"/>
      <c r="W494" s="1243"/>
      <c r="X494" s="1243"/>
      <c r="Y494" s="1243"/>
      <c r="Z494" s="1243"/>
    </row>
    <row r="495" spans="1:26" ht="15.75" customHeight="1" x14ac:dyDescent="0.2">
      <c r="A495" s="1243"/>
      <c r="B495" s="1243"/>
      <c r="C495" s="1243"/>
      <c r="D495" s="1243"/>
      <c r="E495" s="1243"/>
      <c r="F495" s="1243"/>
      <c r="G495" s="1243"/>
      <c r="H495" s="1243"/>
      <c r="I495" s="1243"/>
      <c r="J495" s="1243"/>
      <c r="K495" s="1243"/>
      <c r="L495" s="1243"/>
      <c r="M495" s="1243"/>
      <c r="N495" s="1243"/>
      <c r="O495" s="1243"/>
      <c r="P495" s="1243"/>
      <c r="Q495" s="1243"/>
      <c r="R495" s="1243"/>
      <c r="S495" s="1243"/>
      <c r="T495" s="1243"/>
      <c r="U495" s="1243"/>
      <c r="V495" s="1243"/>
      <c r="W495" s="1243"/>
      <c r="X495" s="1243"/>
      <c r="Y495" s="1243"/>
      <c r="Z495" s="1243"/>
    </row>
    <row r="496" spans="1:26" ht="15.75" customHeight="1" x14ac:dyDescent="0.2">
      <c r="A496" s="1243"/>
      <c r="B496" s="1243"/>
      <c r="C496" s="1243"/>
      <c r="D496" s="1243"/>
      <c r="E496" s="1243"/>
      <c r="F496" s="1243"/>
      <c r="G496" s="1243"/>
      <c r="H496" s="1243"/>
      <c r="I496" s="1243"/>
      <c r="J496" s="1243"/>
      <c r="K496" s="1243"/>
      <c r="L496" s="1243"/>
      <c r="M496" s="1243"/>
      <c r="N496" s="1243"/>
      <c r="O496" s="1243"/>
      <c r="P496" s="1243"/>
      <c r="Q496" s="1243"/>
      <c r="R496" s="1243"/>
      <c r="S496" s="1243"/>
      <c r="T496" s="1243"/>
      <c r="U496" s="1243"/>
      <c r="V496" s="1243"/>
      <c r="W496" s="1243"/>
      <c r="X496" s="1243"/>
      <c r="Y496" s="1243"/>
      <c r="Z496" s="1243"/>
    </row>
    <row r="497" spans="1:26" ht="15.75" customHeight="1" x14ac:dyDescent="0.2">
      <c r="A497" s="1243"/>
      <c r="B497" s="1243"/>
      <c r="C497" s="1243"/>
      <c r="D497" s="1243"/>
      <c r="E497" s="1243"/>
      <c r="F497" s="1243"/>
      <c r="G497" s="1243"/>
      <c r="H497" s="1243"/>
      <c r="I497" s="1243"/>
      <c r="J497" s="1243"/>
      <c r="K497" s="1243"/>
      <c r="L497" s="1243"/>
      <c r="M497" s="1243"/>
      <c r="N497" s="1243"/>
      <c r="O497" s="1243"/>
      <c r="P497" s="1243"/>
      <c r="Q497" s="1243"/>
      <c r="R497" s="1243"/>
      <c r="S497" s="1243"/>
      <c r="T497" s="1243"/>
      <c r="U497" s="1243"/>
      <c r="V497" s="1243"/>
      <c r="W497" s="1243"/>
      <c r="X497" s="1243"/>
      <c r="Y497" s="1243"/>
      <c r="Z497" s="1243"/>
    </row>
    <row r="498" spans="1:26" ht="15.75" customHeight="1" x14ac:dyDescent="0.2">
      <c r="A498" s="1243"/>
      <c r="B498" s="1243"/>
      <c r="C498" s="1243"/>
      <c r="D498" s="1243"/>
      <c r="E498" s="1243"/>
      <c r="F498" s="1243"/>
      <c r="G498" s="1243"/>
      <c r="H498" s="1243"/>
      <c r="I498" s="1243"/>
      <c r="J498" s="1243"/>
      <c r="K498" s="1243"/>
      <c r="L498" s="1243"/>
      <c r="M498" s="1243"/>
      <c r="N498" s="1243"/>
      <c r="O498" s="1243"/>
      <c r="P498" s="1243"/>
      <c r="Q498" s="1243"/>
      <c r="R498" s="1243"/>
      <c r="S498" s="1243"/>
      <c r="T498" s="1243"/>
      <c r="U498" s="1243"/>
      <c r="V498" s="1243"/>
      <c r="W498" s="1243"/>
      <c r="X498" s="1243"/>
      <c r="Y498" s="1243"/>
      <c r="Z498" s="1243"/>
    </row>
    <row r="499" spans="1:26" ht="15.75" customHeight="1" x14ac:dyDescent="0.2">
      <c r="A499" s="1243"/>
      <c r="B499" s="1243"/>
      <c r="C499" s="1243"/>
      <c r="D499" s="1243"/>
      <c r="E499" s="1243"/>
      <c r="F499" s="1243"/>
      <c r="G499" s="1243"/>
      <c r="H499" s="1243"/>
      <c r="I499" s="1243"/>
      <c r="J499" s="1243"/>
      <c r="K499" s="1243"/>
      <c r="L499" s="1243"/>
      <c r="M499" s="1243"/>
      <c r="N499" s="1243"/>
      <c r="O499" s="1243"/>
      <c r="P499" s="1243"/>
      <c r="Q499" s="1243"/>
      <c r="R499" s="1243"/>
      <c r="S499" s="1243"/>
      <c r="T499" s="1243"/>
      <c r="U499" s="1243"/>
      <c r="V499" s="1243"/>
      <c r="W499" s="1243"/>
      <c r="X499" s="1243"/>
      <c r="Y499" s="1243"/>
      <c r="Z499" s="1243"/>
    </row>
    <row r="500" spans="1:26" ht="15.75" customHeight="1" x14ac:dyDescent="0.2">
      <c r="A500" s="1243"/>
      <c r="B500" s="1243"/>
      <c r="C500" s="1243"/>
      <c r="D500" s="1243"/>
      <c r="E500" s="1243"/>
      <c r="F500" s="1243"/>
      <c r="G500" s="1243"/>
      <c r="H500" s="1243"/>
      <c r="I500" s="1243"/>
      <c r="J500" s="1243"/>
      <c r="K500" s="1243"/>
      <c r="L500" s="1243"/>
      <c r="M500" s="1243"/>
      <c r="N500" s="1243"/>
      <c r="O500" s="1243"/>
      <c r="P500" s="1243"/>
      <c r="Q500" s="1243"/>
      <c r="R500" s="1243"/>
      <c r="S500" s="1243"/>
      <c r="T500" s="1243"/>
      <c r="U500" s="1243"/>
      <c r="V500" s="1243"/>
      <c r="W500" s="1243"/>
      <c r="X500" s="1243"/>
      <c r="Y500" s="1243"/>
      <c r="Z500" s="1243"/>
    </row>
    <row r="501" spans="1:26" ht="15.75" customHeight="1" x14ac:dyDescent="0.2">
      <c r="A501" s="1243"/>
      <c r="B501" s="1243"/>
      <c r="C501" s="1243"/>
      <c r="D501" s="1243"/>
      <c r="E501" s="1243"/>
      <c r="F501" s="1243"/>
      <c r="G501" s="1243"/>
      <c r="H501" s="1243"/>
      <c r="I501" s="1243"/>
      <c r="J501" s="1243"/>
      <c r="K501" s="1243"/>
      <c r="L501" s="1243"/>
      <c r="M501" s="1243"/>
      <c r="N501" s="1243"/>
      <c r="O501" s="1243"/>
      <c r="P501" s="1243"/>
      <c r="Q501" s="1243"/>
      <c r="R501" s="1243"/>
      <c r="S501" s="1243"/>
      <c r="T501" s="1243"/>
      <c r="U501" s="1243"/>
      <c r="V501" s="1243"/>
      <c r="W501" s="1243"/>
      <c r="X501" s="1243"/>
      <c r="Y501" s="1243"/>
      <c r="Z501" s="1243"/>
    </row>
    <row r="502" spans="1:26" ht="15.75" customHeight="1" x14ac:dyDescent="0.2">
      <c r="A502" s="1243"/>
      <c r="B502" s="1243"/>
      <c r="C502" s="1243"/>
      <c r="D502" s="1243"/>
      <c r="E502" s="1243"/>
      <c r="F502" s="1243"/>
      <c r="G502" s="1243"/>
      <c r="H502" s="1243"/>
      <c r="I502" s="1243"/>
      <c r="J502" s="1243"/>
      <c r="K502" s="1243"/>
      <c r="L502" s="1243"/>
      <c r="M502" s="1243"/>
      <c r="N502" s="1243"/>
      <c r="O502" s="1243"/>
      <c r="P502" s="1243"/>
      <c r="Q502" s="1243"/>
      <c r="R502" s="1243"/>
      <c r="S502" s="1243"/>
      <c r="T502" s="1243"/>
      <c r="U502" s="1243"/>
      <c r="V502" s="1243"/>
      <c r="W502" s="1243"/>
      <c r="X502" s="1243"/>
      <c r="Y502" s="1243"/>
      <c r="Z502" s="1243"/>
    </row>
    <row r="503" spans="1:26" ht="15.75" customHeight="1" x14ac:dyDescent="0.2">
      <c r="A503" s="1243"/>
      <c r="B503" s="1243"/>
      <c r="C503" s="1243"/>
      <c r="D503" s="1243"/>
      <c r="E503" s="1243"/>
      <c r="F503" s="1243"/>
      <c r="G503" s="1243"/>
      <c r="H503" s="1243"/>
      <c r="I503" s="1243"/>
      <c r="J503" s="1243"/>
      <c r="K503" s="1243"/>
      <c r="L503" s="1243"/>
      <c r="M503" s="1243"/>
      <c r="N503" s="1243"/>
      <c r="O503" s="1243"/>
      <c r="P503" s="1243"/>
      <c r="Q503" s="1243"/>
      <c r="R503" s="1243"/>
      <c r="S503" s="1243"/>
      <c r="T503" s="1243"/>
      <c r="U503" s="1243"/>
      <c r="V503" s="1243"/>
      <c r="W503" s="1243"/>
      <c r="X503" s="1243"/>
      <c r="Y503" s="1243"/>
      <c r="Z503" s="1243"/>
    </row>
    <row r="504" spans="1:26" ht="15.75" customHeight="1" x14ac:dyDescent="0.2">
      <c r="A504" s="1243"/>
      <c r="B504" s="1243"/>
      <c r="C504" s="1243"/>
      <c r="D504" s="1243"/>
      <c r="E504" s="1243"/>
      <c r="F504" s="1243"/>
      <c r="G504" s="1243"/>
      <c r="H504" s="1243"/>
      <c r="I504" s="1243"/>
      <c r="J504" s="1243"/>
      <c r="K504" s="1243"/>
      <c r="L504" s="1243"/>
      <c r="M504" s="1243"/>
      <c r="N504" s="1243"/>
      <c r="O504" s="1243"/>
      <c r="P504" s="1243"/>
      <c r="Q504" s="1243"/>
      <c r="R504" s="1243"/>
      <c r="S504" s="1243"/>
      <c r="T504" s="1243"/>
      <c r="U504" s="1243"/>
      <c r="V504" s="1243"/>
      <c r="W504" s="1243"/>
      <c r="X504" s="1243"/>
      <c r="Y504" s="1243"/>
      <c r="Z504" s="1243"/>
    </row>
    <row r="505" spans="1:26" ht="15.75" customHeight="1" x14ac:dyDescent="0.2">
      <c r="A505" s="1243"/>
      <c r="B505" s="1243"/>
      <c r="C505" s="1243"/>
      <c r="D505" s="1243"/>
      <c r="E505" s="1243"/>
      <c r="F505" s="1243"/>
      <c r="G505" s="1243"/>
      <c r="H505" s="1243"/>
      <c r="I505" s="1243"/>
      <c r="J505" s="1243"/>
      <c r="K505" s="1243"/>
      <c r="L505" s="1243"/>
      <c r="M505" s="1243"/>
      <c r="N505" s="1243"/>
      <c r="O505" s="1243"/>
      <c r="P505" s="1243"/>
      <c r="Q505" s="1243"/>
      <c r="R505" s="1243"/>
      <c r="S505" s="1243"/>
      <c r="T505" s="1243"/>
      <c r="U505" s="1243"/>
      <c r="V505" s="1243"/>
      <c r="W505" s="1243"/>
      <c r="X505" s="1243"/>
      <c r="Y505" s="1243"/>
      <c r="Z505" s="1243"/>
    </row>
    <row r="506" spans="1:26" ht="15.75" customHeight="1" x14ac:dyDescent="0.2">
      <c r="A506" s="1243"/>
      <c r="B506" s="1243"/>
      <c r="C506" s="1243"/>
      <c r="D506" s="1243"/>
      <c r="E506" s="1243"/>
      <c r="F506" s="1243"/>
      <c r="G506" s="1243"/>
      <c r="H506" s="1243"/>
      <c r="I506" s="1243"/>
      <c r="J506" s="1243"/>
      <c r="K506" s="1243"/>
      <c r="L506" s="1243"/>
      <c r="M506" s="1243"/>
      <c r="N506" s="1243"/>
      <c r="O506" s="1243"/>
      <c r="P506" s="1243"/>
      <c r="Q506" s="1243"/>
      <c r="R506" s="1243"/>
      <c r="S506" s="1243"/>
      <c r="T506" s="1243"/>
      <c r="U506" s="1243"/>
      <c r="V506" s="1243"/>
      <c r="W506" s="1243"/>
      <c r="X506" s="1243"/>
      <c r="Y506" s="1243"/>
      <c r="Z506" s="1243"/>
    </row>
    <row r="507" spans="1:26" ht="15.75" customHeight="1" x14ac:dyDescent="0.2">
      <c r="A507" s="1243"/>
      <c r="B507" s="1243"/>
      <c r="C507" s="1243"/>
      <c r="D507" s="1243"/>
      <c r="E507" s="1243"/>
      <c r="F507" s="1243"/>
      <c r="G507" s="1243"/>
      <c r="H507" s="1243"/>
      <c r="I507" s="1243"/>
      <c r="J507" s="1243"/>
      <c r="K507" s="1243"/>
      <c r="L507" s="1243"/>
      <c r="M507" s="1243"/>
      <c r="N507" s="1243"/>
      <c r="O507" s="1243"/>
      <c r="P507" s="1243"/>
      <c r="Q507" s="1243"/>
      <c r="R507" s="1243"/>
      <c r="S507" s="1243"/>
      <c r="T507" s="1243"/>
      <c r="U507" s="1243"/>
      <c r="V507" s="1243"/>
      <c r="W507" s="1243"/>
      <c r="X507" s="1243"/>
      <c r="Y507" s="1243"/>
      <c r="Z507" s="1243"/>
    </row>
    <row r="508" spans="1:26" ht="15.75" customHeight="1" x14ac:dyDescent="0.2">
      <c r="A508" s="1243"/>
      <c r="B508" s="1243"/>
      <c r="C508" s="1243"/>
      <c r="D508" s="1243"/>
      <c r="E508" s="1243"/>
      <c r="F508" s="1243"/>
      <c r="G508" s="1243"/>
      <c r="H508" s="1243"/>
      <c r="I508" s="1243"/>
      <c r="J508" s="1243"/>
      <c r="K508" s="1243"/>
      <c r="L508" s="1243"/>
      <c r="M508" s="1243"/>
      <c r="N508" s="1243"/>
      <c r="O508" s="1243"/>
      <c r="P508" s="1243"/>
      <c r="Q508" s="1243"/>
      <c r="R508" s="1243"/>
      <c r="S508" s="1243"/>
      <c r="T508" s="1243"/>
      <c r="U508" s="1243"/>
      <c r="V508" s="1243"/>
      <c r="W508" s="1243"/>
      <c r="X508" s="1243"/>
      <c r="Y508" s="1243"/>
      <c r="Z508" s="1243"/>
    </row>
    <row r="509" spans="1:26" ht="15.75" customHeight="1" x14ac:dyDescent="0.2">
      <c r="A509" s="1243"/>
      <c r="B509" s="1243"/>
      <c r="C509" s="1243"/>
      <c r="D509" s="1243"/>
      <c r="E509" s="1243"/>
      <c r="F509" s="1243"/>
      <c r="G509" s="1243"/>
      <c r="H509" s="1243"/>
      <c r="I509" s="1243"/>
      <c r="J509" s="1243"/>
      <c r="K509" s="1243"/>
      <c r="L509" s="1243"/>
      <c r="M509" s="1243"/>
      <c r="N509" s="1243"/>
      <c r="O509" s="1243"/>
      <c r="P509" s="1243"/>
      <c r="Q509" s="1243"/>
      <c r="R509" s="1243"/>
      <c r="S509" s="1243"/>
      <c r="T509" s="1243"/>
      <c r="U509" s="1243"/>
      <c r="V509" s="1243"/>
      <c r="W509" s="1243"/>
      <c r="X509" s="1243"/>
      <c r="Y509" s="1243"/>
      <c r="Z509" s="1243"/>
    </row>
    <row r="510" spans="1:26" ht="15.75" customHeight="1" x14ac:dyDescent="0.2">
      <c r="A510" s="1243"/>
      <c r="B510" s="1243"/>
      <c r="C510" s="1243"/>
      <c r="D510" s="1243"/>
      <c r="E510" s="1243"/>
      <c r="F510" s="1243"/>
      <c r="G510" s="1243"/>
      <c r="H510" s="1243"/>
      <c r="I510" s="1243"/>
      <c r="J510" s="1243"/>
      <c r="K510" s="1243"/>
      <c r="L510" s="1243"/>
      <c r="M510" s="1243"/>
      <c r="N510" s="1243"/>
      <c r="O510" s="1243"/>
      <c r="P510" s="1243"/>
      <c r="Q510" s="1243"/>
      <c r="R510" s="1243"/>
      <c r="S510" s="1243"/>
      <c r="T510" s="1243"/>
      <c r="U510" s="1243"/>
      <c r="V510" s="1243"/>
      <c r="W510" s="1243"/>
      <c r="X510" s="1243"/>
      <c r="Y510" s="1243"/>
      <c r="Z510" s="1243"/>
    </row>
    <row r="511" spans="1:26" ht="15.75" customHeight="1" x14ac:dyDescent="0.2">
      <c r="A511" s="1243"/>
      <c r="B511" s="1243"/>
      <c r="C511" s="1243"/>
      <c r="D511" s="1243"/>
      <c r="E511" s="1243"/>
      <c r="F511" s="1243"/>
      <c r="G511" s="1243"/>
      <c r="H511" s="1243"/>
      <c r="I511" s="1243"/>
      <c r="J511" s="1243"/>
      <c r="K511" s="1243"/>
      <c r="L511" s="1243"/>
      <c r="M511" s="1243"/>
      <c r="N511" s="1243"/>
      <c r="O511" s="1243"/>
      <c r="P511" s="1243"/>
      <c r="Q511" s="1243"/>
      <c r="R511" s="1243"/>
      <c r="S511" s="1243"/>
      <c r="T511" s="1243"/>
      <c r="U511" s="1243"/>
      <c r="V511" s="1243"/>
      <c r="W511" s="1243"/>
      <c r="X511" s="1243"/>
      <c r="Y511" s="1243"/>
      <c r="Z511" s="1243"/>
    </row>
    <row r="512" spans="1:26" ht="15.75" customHeight="1" x14ac:dyDescent="0.2">
      <c r="A512" s="1243"/>
      <c r="B512" s="1243"/>
      <c r="C512" s="1243"/>
      <c r="D512" s="1243"/>
      <c r="E512" s="1243"/>
      <c r="F512" s="1243"/>
      <c r="G512" s="1243"/>
      <c r="H512" s="1243"/>
      <c r="I512" s="1243"/>
      <c r="J512" s="1243"/>
      <c r="K512" s="1243"/>
      <c r="L512" s="1243"/>
      <c r="M512" s="1243"/>
      <c r="N512" s="1243"/>
      <c r="O512" s="1243"/>
      <c r="P512" s="1243"/>
      <c r="Q512" s="1243"/>
      <c r="R512" s="1243"/>
      <c r="S512" s="1243"/>
      <c r="T512" s="1243"/>
      <c r="U512" s="1243"/>
      <c r="V512" s="1243"/>
      <c r="W512" s="1243"/>
      <c r="X512" s="1243"/>
      <c r="Y512" s="1243"/>
      <c r="Z512" s="1243"/>
    </row>
    <row r="513" spans="1:26" ht="15.75" customHeight="1" x14ac:dyDescent="0.2">
      <c r="A513" s="1243"/>
      <c r="B513" s="1243"/>
      <c r="C513" s="1243"/>
      <c r="D513" s="1243"/>
      <c r="E513" s="1243"/>
      <c r="F513" s="1243"/>
      <c r="G513" s="1243"/>
      <c r="H513" s="1243"/>
      <c r="I513" s="1243"/>
      <c r="J513" s="1243"/>
      <c r="K513" s="1243"/>
      <c r="L513" s="1243"/>
      <c r="M513" s="1243"/>
      <c r="N513" s="1243"/>
      <c r="O513" s="1243"/>
      <c r="P513" s="1243"/>
      <c r="Q513" s="1243"/>
      <c r="R513" s="1243"/>
      <c r="S513" s="1243"/>
      <c r="T513" s="1243"/>
      <c r="U513" s="1243"/>
      <c r="V513" s="1243"/>
      <c r="W513" s="1243"/>
      <c r="X513" s="1243"/>
      <c r="Y513" s="1243"/>
      <c r="Z513" s="1243"/>
    </row>
    <row r="514" spans="1:26" ht="15.75" customHeight="1" x14ac:dyDescent="0.2">
      <c r="A514" s="1243"/>
      <c r="B514" s="1243"/>
      <c r="C514" s="1243"/>
      <c r="D514" s="1243"/>
      <c r="E514" s="1243"/>
      <c r="F514" s="1243"/>
      <c r="G514" s="1243"/>
      <c r="H514" s="1243"/>
      <c r="I514" s="1243"/>
      <c r="J514" s="1243"/>
      <c r="K514" s="1243"/>
      <c r="L514" s="1243"/>
      <c r="M514" s="1243"/>
      <c r="N514" s="1243"/>
      <c r="O514" s="1243"/>
      <c r="P514" s="1243"/>
      <c r="Q514" s="1243"/>
      <c r="R514" s="1243"/>
      <c r="S514" s="1243"/>
      <c r="T514" s="1243"/>
      <c r="U514" s="1243"/>
      <c r="V514" s="1243"/>
      <c r="W514" s="1243"/>
      <c r="X514" s="1243"/>
      <c r="Y514" s="1243"/>
      <c r="Z514" s="1243"/>
    </row>
    <row r="515" spans="1:26" ht="15.75" customHeight="1" x14ac:dyDescent="0.2">
      <c r="A515" s="1243"/>
      <c r="B515" s="1243"/>
      <c r="C515" s="1243"/>
      <c r="D515" s="1243"/>
      <c r="E515" s="1243"/>
      <c r="F515" s="1243"/>
      <c r="G515" s="1243"/>
      <c r="H515" s="1243"/>
      <c r="I515" s="1243"/>
      <c r="J515" s="1243"/>
      <c r="K515" s="1243"/>
      <c r="L515" s="1243"/>
      <c r="M515" s="1243"/>
      <c r="N515" s="1243"/>
      <c r="O515" s="1243"/>
      <c r="P515" s="1243"/>
      <c r="Q515" s="1243"/>
      <c r="R515" s="1243"/>
      <c r="S515" s="1243"/>
      <c r="T515" s="1243"/>
      <c r="U515" s="1243"/>
      <c r="V515" s="1243"/>
      <c r="W515" s="1243"/>
      <c r="X515" s="1243"/>
      <c r="Y515" s="1243"/>
      <c r="Z515" s="1243"/>
    </row>
    <row r="516" spans="1:26" ht="15.75" customHeight="1" x14ac:dyDescent="0.2">
      <c r="A516" s="1243"/>
      <c r="B516" s="1243"/>
      <c r="C516" s="1243"/>
      <c r="D516" s="1243"/>
      <c r="E516" s="1243"/>
      <c r="F516" s="1243"/>
      <c r="G516" s="1243"/>
      <c r="H516" s="1243"/>
      <c r="I516" s="1243"/>
      <c r="J516" s="1243"/>
      <c r="K516" s="1243"/>
      <c r="L516" s="1243"/>
      <c r="M516" s="1243"/>
      <c r="N516" s="1243"/>
      <c r="O516" s="1243"/>
      <c r="P516" s="1243"/>
      <c r="Q516" s="1243"/>
      <c r="R516" s="1243"/>
      <c r="S516" s="1243"/>
      <c r="T516" s="1243"/>
      <c r="U516" s="1243"/>
      <c r="V516" s="1243"/>
      <c r="W516" s="1243"/>
      <c r="X516" s="1243"/>
      <c r="Y516" s="1243"/>
      <c r="Z516" s="1243"/>
    </row>
    <row r="517" spans="1:26" ht="15.75" customHeight="1" x14ac:dyDescent="0.2">
      <c r="A517" s="1243"/>
      <c r="B517" s="1243"/>
      <c r="C517" s="1243"/>
      <c r="D517" s="1243"/>
      <c r="E517" s="1243"/>
      <c r="F517" s="1243"/>
      <c r="G517" s="1243"/>
      <c r="H517" s="1243"/>
      <c r="I517" s="1243"/>
      <c r="J517" s="1243"/>
      <c r="K517" s="1243"/>
      <c r="L517" s="1243"/>
      <c r="M517" s="1243"/>
      <c r="N517" s="1243"/>
      <c r="O517" s="1243"/>
      <c r="P517" s="1243"/>
      <c r="Q517" s="1243"/>
      <c r="R517" s="1243"/>
      <c r="S517" s="1243"/>
      <c r="T517" s="1243"/>
      <c r="U517" s="1243"/>
      <c r="V517" s="1243"/>
      <c r="W517" s="1243"/>
      <c r="X517" s="1243"/>
      <c r="Y517" s="1243"/>
      <c r="Z517" s="1243"/>
    </row>
    <row r="518" spans="1:26" ht="15.75" customHeight="1" x14ac:dyDescent="0.2">
      <c r="A518" s="1243"/>
      <c r="B518" s="1243"/>
      <c r="C518" s="1243"/>
      <c r="D518" s="1243"/>
      <c r="E518" s="1243"/>
      <c r="F518" s="1243"/>
      <c r="G518" s="1243"/>
      <c r="H518" s="1243"/>
      <c r="I518" s="1243"/>
      <c r="J518" s="1243"/>
      <c r="K518" s="1243"/>
      <c r="L518" s="1243"/>
      <c r="M518" s="1243"/>
      <c r="N518" s="1243"/>
      <c r="O518" s="1243"/>
      <c r="P518" s="1243"/>
      <c r="Q518" s="1243"/>
      <c r="R518" s="1243"/>
      <c r="S518" s="1243"/>
      <c r="T518" s="1243"/>
      <c r="U518" s="1243"/>
      <c r="V518" s="1243"/>
      <c r="W518" s="1243"/>
      <c r="X518" s="1243"/>
      <c r="Y518" s="1243"/>
      <c r="Z518" s="1243"/>
    </row>
    <row r="519" spans="1:26" ht="15.75" customHeight="1" x14ac:dyDescent="0.2">
      <c r="A519" s="1243"/>
      <c r="B519" s="1243"/>
      <c r="C519" s="1243"/>
      <c r="D519" s="1243"/>
      <c r="E519" s="1243"/>
      <c r="F519" s="1243"/>
      <c r="G519" s="1243"/>
      <c r="H519" s="1243"/>
      <c r="I519" s="1243"/>
      <c r="J519" s="1243"/>
      <c r="K519" s="1243"/>
      <c r="L519" s="1243"/>
      <c r="M519" s="1243"/>
      <c r="N519" s="1243"/>
      <c r="O519" s="1243"/>
      <c r="P519" s="1243"/>
      <c r="Q519" s="1243"/>
      <c r="R519" s="1243"/>
      <c r="S519" s="1243"/>
      <c r="T519" s="1243"/>
      <c r="U519" s="1243"/>
      <c r="V519" s="1243"/>
      <c r="W519" s="1243"/>
      <c r="X519" s="1243"/>
      <c r="Y519" s="1243"/>
      <c r="Z519" s="1243"/>
    </row>
    <row r="520" spans="1:26" ht="15.75" customHeight="1" x14ac:dyDescent="0.2">
      <c r="A520" s="1243"/>
      <c r="B520" s="1243"/>
      <c r="C520" s="1243"/>
      <c r="D520" s="1243"/>
      <c r="E520" s="1243"/>
      <c r="F520" s="1243"/>
      <c r="G520" s="1243"/>
      <c r="H520" s="1243"/>
      <c r="I520" s="1243"/>
      <c r="J520" s="1243"/>
      <c r="K520" s="1243"/>
      <c r="L520" s="1243"/>
      <c r="M520" s="1243"/>
      <c r="N520" s="1243"/>
      <c r="O520" s="1243"/>
      <c r="P520" s="1243"/>
      <c r="Q520" s="1243"/>
      <c r="R520" s="1243"/>
      <c r="S520" s="1243"/>
      <c r="T520" s="1243"/>
      <c r="U520" s="1243"/>
      <c r="V520" s="1243"/>
      <c r="W520" s="1243"/>
      <c r="X520" s="1243"/>
      <c r="Y520" s="1243"/>
      <c r="Z520" s="1243"/>
    </row>
    <row r="521" spans="1:26" ht="15.75" customHeight="1" x14ac:dyDescent="0.2">
      <c r="A521" s="1243"/>
      <c r="B521" s="1243"/>
      <c r="C521" s="1243"/>
      <c r="D521" s="1243"/>
      <c r="E521" s="1243"/>
      <c r="F521" s="1243"/>
      <c r="G521" s="1243"/>
      <c r="H521" s="1243"/>
      <c r="I521" s="1243"/>
      <c r="J521" s="1243"/>
      <c r="K521" s="1243"/>
      <c r="L521" s="1243"/>
      <c r="M521" s="1243"/>
      <c r="N521" s="1243"/>
      <c r="O521" s="1243"/>
      <c r="P521" s="1243"/>
      <c r="Q521" s="1243"/>
      <c r="R521" s="1243"/>
      <c r="S521" s="1243"/>
      <c r="T521" s="1243"/>
      <c r="U521" s="1243"/>
      <c r="V521" s="1243"/>
      <c r="W521" s="1243"/>
      <c r="X521" s="1243"/>
      <c r="Y521" s="1243"/>
      <c r="Z521" s="1243"/>
    </row>
    <row r="522" spans="1:26" ht="15.75" customHeight="1" x14ac:dyDescent="0.2">
      <c r="A522" s="1243"/>
      <c r="B522" s="1243"/>
      <c r="C522" s="1243"/>
      <c r="D522" s="1243"/>
      <c r="E522" s="1243"/>
      <c r="F522" s="1243"/>
      <c r="G522" s="1243"/>
      <c r="H522" s="1243"/>
      <c r="I522" s="1243"/>
      <c r="J522" s="1243"/>
      <c r="K522" s="1243"/>
      <c r="L522" s="1243"/>
      <c r="M522" s="1243"/>
      <c r="N522" s="1243"/>
      <c r="O522" s="1243"/>
      <c r="P522" s="1243"/>
      <c r="Q522" s="1243"/>
      <c r="R522" s="1243"/>
      <c r="S522" s="1243"/>
      <c r="T522" s="1243"/>
      <c r="U522" s="1243"/>
      <c r="V522" s="1243"/>
      <c r="W522" s="1243"/>
      <c r="X522" s="1243"/>
      <c r="Y522" s="1243"/>
      <c r="Z522" s="1243"/>
    </row>
    <row r="523" spans="1:26" ht="15.75" customHeight="1" x14ac:dyDescent="0.2">
      <c r="A523" s="1243"/>
      <c r="B523" s="1243"/>
      <c r="C523" s="1243"/>
      <c r="D523" s="1243"/>
      <c r="E523" s="1243"/>
      <c r="F523" s="1243"/>
      <c r="G523" s="1243"/>
      <c r="H523" s="1243"/>
      <c r="I523" s="1243"/>
      <c r="J523" s="1243"/>
      <c r="K523" s="1243"/>
      <c r="L523" s="1243"/>
      <c r="M523" s="1243"/>
      <c r="N523" s="1243"/>
      <c r="O523" s="1243"/>
      <c r="P523" s="1243"/>
      <c r="Q523" s="1243"/>
      <c r="R523" s="1243"/>
      <c r="S523" s="1243"/>
      <c r="T523" s="1243"/>
      <c r="U523" s="1243"/>
      <c r="V523" s="1243"/>
      <c r="W523" s="1243"/>
      <c r="X523" s="1243"/>
      <c r="Y523" s="1243"/>
      <c r="Z523" s="1243"/>
    </row>
    <row r="524" spans="1:26" ht="15.75" customHeight="1" x14ac:dyDescent="0.2">
      <c r="A524" s="1243"/>
      <c r="B524" s="1243"/>
      <c r="C524" s="1243"/>
      <c r="D524" s="1243"/>
      <c r="E524" s="1243"/>
      <c r="F524" s="1243"/>
      <c r="G524" s="1243"/>
      <c r="H524" s="1243"/>
      <c r="I524" s="1243"/>
      <c r="J524" s="1243"/>
      <c r="K524" s="1243"/>
      <c r="L524" s="1243"/>
      <c r="M524" s="1243"/>
      <c r="N524" s="1243"/>
      <c r="O524" s="1243"/>
      <c r="P524" s="1243"/>
      <c r="Q524" s="1243"/>
      <c r="R524" s="1243"/>
      <c r="S524" s="1243"/>
      <c r="T524" s="1243"/>
      <c r="U524" s="1243"/>
      <c r="V524" s="1243"/>
      <c r="W524" s="1243"/>
      <c r="X524" s="1243"/>
      <c r="Y524" s="1243"/>
      <c r="Z524" s="1243"/>
    </row>
    <row r="525" spans="1:26" ht="15.75" customHeight="1" x14ac:dyDescent="0.2">
      <c r="A525" s="1243"/>
      <c r="B525" s="1243"/>
      <c r="C525" s="1243"/>
      <c r="D525" s="1243"/>
      <c r="E525" s="1243"/>
      <c r="F525" s="1243"/>
      <c r="G525" s="1243"/>
      <c r="H525" s="1243"/>
      <c r="I525" s="1243"/>
      <c r="J525" s="1243"/>
      <c r="K525" s="1243"/>
      <c r="L525" s="1243"/>
      <c r="M525" s="1243"/>
      <c r="N525" s="1243"/>
      <c r="O525" s="1243"/>
      <c r="P525" s="1243"/>
      <c r="Q525" s="1243"/>
      <c r="R525" s="1243"/>
      <c r="S525" s="1243"/>
      <c r="T525" s="1243"/>
      <c r="U525" s="1243"/>
      <c r="V525" s="1243"/>
      <c r="W525" s="1243"/>
      <c r="X525" s="1243"/>
      <c r="Y525" s="1243"/>
      <c r="Z525" s="1243"/>
    </row>
    <row r="526" spans="1:26" ht="15.75" customHeight="1" x14ac:dyDescent="0.2">
      <c r="A526" s="1243"/>
      <c r="B526" s="1243"/>
      <c r="C526" s="1243"/>
      <c r="D526" s="1243"/>
      <c r="E526" s="1243"/>
      <c r="F526" s="1243"/>
      <c r="G526" s="1243"/>
      <c r="H526" s="1243"/>
      <c r="I526" s="1243"/>
      <c r="J526" s="1243"/>
      <c r="K526" s="1243"/>
      <c r="L526" s="1243"/>
      <c r="M526" s="1243"/>
      <c r="N526" s="1243"/>
      <c r="O526" s="1243"/>
      <c r="P526" s="1243"/>
      <c r="Q526" s="1243"/>
      <c r="R526" s="1243"/>
      <c r="S526" s="1243"/>
      <c r="T526" s="1243"/>
      <c r="U526" s="1243"/>
      <c r="V526" s="1243"/>
      <c r="W526" s="1243"/>
      <c r="X526" s="1243"/>
      <c r="Y526" s="1243"/>
      <c r="Z526" s="1243"/>
    </row>
    <row r="527" spans="1:26" ht="15.75" customHeight="1" x14ac:dyDescent="0.2">
      <c r="A527" s="1243"/>
      <c r="B527" s="1243"/>
      <c r="C527" s="1243"/>
      <c r="D527" s="1243"/>
      <c r="E527" s="1243"/>
      <c r="F527" s="1243"/>
      <c r="G527" s="1243"/>
      <c r="H527" s="1243"/>
      <c r="I527" s="1243"/>
      <c r="J527" s="1243"/>
      <c r="K527" s="1243"/>
      <c r="L527" s="1243"/>
      <c r="M527" s="1243"/>
      <c r="N527" s="1243"/>
      <c r="O527" s="1243"/>
      <c r="P527" s="1243"/>
      <c r="Q527" s="1243"/>
      <c r="R527" s="1243"/>
      <c r="S527" s="1243"/>
      <c r="T527" s="1243"/>
      <c r="U527" s="1243"/>
      <c r="V527" s="1243"/>
      <c r="W527" s="1243"/>
      <c r="X527" s="1243"/>
      <c r="Y527" s="1243"/>
      <c r="Z527" s="1243"/>
    </row>
    <row r="528" spans="1:26" ht="15.75" customHeight="1" x14ac:dyDescent="0.2">
      <c r="A528" s="1243"/>
      <c r="B528" s="1243"/>
      <c r="C528" s="1243"/>
      <c r="D528" s="1243"/>
      <c r="E528" s="1243"/>
      <c r="F528" s="1243"/>
      <c r="G528" s="1243"/>
      <c r="H528" s="1243"/>
      <c r="I528" s="1243"/>
      <c r="J528" s="1243"/>
      <c r="K528" s="1243"/>
      <c r="L528" s="1243"/>
      <c r="M528" s="1243"/>
      <c r="N528" s="1243"/>
      <c r="O528" s="1243"/>
      <c r="P528" s="1243"/>
      <c r="Q528" s="1243"/>
      <c r="R528" s="1243"/>
      <c r="S528" s="1243"/>
      <c r="T528" s="1243"/>
      <c r="U528" s="1243"/>
      <c r="V528" s="1243"/>
      <c r="W528" s="1243"/>
      <c r="X528" s="1243"/>
      <c r="Y528" s="1243"/>
      <c r="Z528" s="1243"/>
    </row>
    <row r="529" spans="1:26" ht="15.75" customHeight="1" x14ac:dyDescent="0.2">
      <c r="A529" s="1243"/>
      <c r="B529" s="1243"/>
      <c r="C529" s="1243"/>
      <c r="D529" s="1243"/>
      <c r="E529" s="1243"/>
      <c r="F529" s="1243"/>
      <c r="G529" s="1243"/>
      <c r="H529" s="1243"/>
      <c r="I529" s="1243"/>
      <c r="J529" s="1243"/>
      <c r="K529" s="1243"/>
      <c r="L529" s="1243"/>
      <c r="M529" s="1243"/>
      <c r="N529" s="1243"/>
      <c r="O529" s="1243"/>
      <c r="P529" s="1243"/>
      <c r="Q529" s="1243"/>
      <c r="R529" s="1243"/>
      <c r="S529" s="1243"/>
      <c r="T529" s="1243"/>
      <c r="U529" s="1243"/>
      <c r="V529" s="1243"/>
      <c r="W529" s="1243"/>
      <c r="X529" s="1243"/>
      <c r="Y529" s="1243"/>
      <c r="Z529" s="1243"/>
    </row>
    <row r="530" spans="1:26" ht="15.75" customHeight="1" x14ac:dyDescent="0.2">
      <c r="A530" s="1243"/>
      <c r="B530" s="1243"/>
      <c r="C530" s="1243"/>
      <c r="D530" s="1243"/>
      <c r="E530" s="1243"/>
      <c r="F530" s="1243"/>
      <c r="G530" s="1243"/>
      <c r="H530" s="1243"/>
      <c r="I530" s="1243"/>
      <c r="J530" s="1243"/>
      <c r="K530" s="1243"/>
      <c r="L530" s="1243"/>
      <c r="M530" s="1243"/>
      <c r="N530" s="1243"/>
      <c r="O530" s="1243"/>
      <c r="P530" s="1243"/>
      <c r="Q530" s="1243"/>
      <c r="R530" s="1243"/>
      <c r="S530" s="1243"/>
      <c r="T530" s="1243"/>
      <c r="U530" s="1243"/>
      <c r="V530" s="1243"/>
      <c r="W530" s="1243"/>
      <c r="X530" s="1243"/>
      <c r="Y530" s="1243"/>
      <c r="Z530" s="1243"/>
    </row>
    <row r="531" spans="1:26" ht="15.75" customHeight="1" x14ac:dyDescent="0.2">
      <c r="A531" s="1243"/>
      <c r="B531" s="1243"/>
      <c r="C531" s="1243"/>
      <c r="D531" s="1243"/>
      <c r="E531" s="1243"/>
      <c r="F531" s="1243"/>
      <c r="G531" s="1243"/>
      <c r="H531" s="1243"/>
      <c r="I531" s="1243"/>
      <c r="J531" s="1243"/>
      <c r="K531" s="1243"/>
      <c r="L531" s="1243"/>
      <c r="M531" s="1243"/>
      <c r="N531" s="1243"/>
      <c r="O531" s="1243"/>
      <c r="P531" s="1243"/>
      <c r="Q531" s="1243"/>
      <c r="R531" s="1243"/>
      <c r="S531" s="1243"/>
      <c r="T531" s="1243"/>
      <c r="U531" s="1243"/>
      <c r="V531" s="1243"/>
      <c r="W531" s="1243"/>
      <c r="X531" s="1243"/>
      <c r="Y531" s="1243"/>
      <c r="Z531" s="1243"/>
    </row>
    <row r="532" spans="1:26" ht="15.75" customHeight="1" x14ac:dyDescent="0.2">
      <c r="A532" s="1243"/>
      <c r="B532" s="1243"/>
      <c r="C532" s="1243"/>
      <c r="D532" s="1243"/>
      <c r="E532" s="1243"/>
      <c r="F532" s="1243"/>
      <c r="G532" s="1243"/>
      <c r="H532" s="1243"/>
      <c r="I532" s="1243"/>
      <c r="J532" s="1243"/>
      <c r="K532" s="1243"/>
      <c r="L532" s="1243"/>
      <c r="M532" s="1243"/>
      <c r="N532" s="1243"/>
      <c r="O532" s="1243"/>
      <c r="P532" s="1243"/>
      <c r="Q532" s="1243"/>
      <c r="R532" s="1243"/>
      <c r="S532" s="1243"/>
      <c r="T532" s="1243"/>
      <c r="U532" s="1243"/>
      <c r="V532" s="1243"/>
      <c r="W532" s="1243"/>
      <c r="X532" s="1243"/>
      <c r="Y532" s="1243"/>
      <c r="Z532" s="1243"/>
    </row>
    <row r="533" spans="1:26" ht="15.75" customHeight="1" x14ac:dyDescent="0.2">
      <c r="A533" s="1243"/>
      <c r="B533" s="1243"/>
      <c r="C533" s="1243"/>
      <c r="D533" s="1243"/>
      <c r="E533" s="1243"/>
      <c r="F533" s="1243"/>
      <c r="G533" s="1243"/>
      <c r="H533" s="1243"/>
      <c r="I533" s="1243"/>
      <c r="J533" s="1243"/>
      <c r="K533" s="1243"/>
      <c r="L533" s="1243"/>
      <c r="M533" s="1243"/>
      <c r="N533" s="1243"/>
      <c r="O533" s="1243"/>
      <c r="P533" s="1243"/>
      <c r="Q533" s="1243"/>
      <c r="R533" s="1243"/>
      <c r="S533" s="1243"/>
      <c r="T533" s="1243"/>
      <c r="U533" s="1243"/>
      <c r="V533" s="1243"/>
      <c r="W533" s="1243"/>
      <c r="X533" s="1243"/>
      <c r="Y533" s="1243"/>
      <c r="Z533" s="1243"/>
    </row>
    <row r="534" spans="1:26" ht="15.75" customHeight="1" x14ac:dyDescent="0.2">
      <c r="A534" s="1243"/>
      <c r="B534" s="1243"/>
      <c r="C534" s="1243"/>
      <c r="D534" s="1243"/>
      <c r="E534" s="1243"/>
      <c r="F534" s="1243"/>
      <c r="G534" s="1243"/>
      <c r="H534" s="1243"/>
      <c r="I534" s="1243"/>
      <c r="J534" s="1243"/>
      <c r="K534" s="1243"/>
      <c r="L534" s="1243"/>
      <c r="M534" s="1243"/>
      <c r="N534" s="1243"/>
      <c r="O534" s="1243"/>
      <c r="P534" s="1243"/>
      <c r="Q534" s="1243"/>
      <c r="R534" s="1243"/>
      <c r="S534" s="1243"/>
      <c r="T534" s="1243"/>
      <c r="U534" s="1243"/>
      <c r="V534" s="1243"/>
      <c r="W534" s="1243"/>
      <c r="X534" s="1243"/>
      <c r="Y534" s="1243"/>
      <c r="Z534" s="1243"/>
    </row>
    <row r="535" spans="1:26" ht="15.75" customHeight="1" x14ac:dyDescent="0.2">
      <c r="A535" s="1243"/>
      <c r="B535" s="1243"/>
      <c r="C535" s="1243"/>
      <c r="D535" s="1243"/>
      <c r="E535" s="1243"/>
      <c r="F535" s="1243"/>
      <c r="G535" s="1243"/>
      <c r="H535" s="1243"/>
      <c r="I535" s="1243"/>
      <c r="J535" s="1243"/>
      <c r="K535" s="1243"/>
      <c r="L535" s="1243"/>
      <c r="M535" s="1243"/>
      <c r="N535" s="1243"/>
      <c r="O535" s="1243"/>
      <c r="P535" s="1243"/>
      <c r="Q535" s="1243"/>
      <c r="R535" s="1243"/>
      <c r="S535" s="1243"/>
      <c r="T535" s="1243"/>
      <c r="U535" s="1243"/>
      <c r="V535" s="1243"/>
      <c r="W535" s="1243"/>
      <c r="X535" s="1243"/>
      <c r="Y535" s="1243"/>
      <c r="Z535" s="1243"/>
    </row>
    <row r="536" spans="1:26" ht="15.75" customHeight="1" x14ac:dyDescent="0.2">
      <c r="A536" s="1243"/>
      <c r="B536" s="1243"/>
      <c r="C536" s="1243"/>
      <c r="D536" s="1243"/>
      <c r="E536" s="1243"/>
      <c r="F536" s="1243"/>
      <c r="G536" s="1243"/>
      <c r="H536" s="1243"/>
      <c r="I536" s="1243"/>
      <c r="J536" s="1243"/>
      <c r="K536" s="1243"/>
      <c r="L536" s="1243"/>
      <c r="M536" s="1243"/>
      <c r="N536" s="1243"/>
      <c r="O536" s="1243"/>
      <c r="P536" s="1243"/>
      <c r="Q536" s="1243"/>
      <c r="R536" s="1243"/>
      <c r="S536" s="1243"/>
      <c r="T536" s="1243"/>
      <c r="U536" s="1243"/>
      <c r="V536" s="1243"/>
      <c r="W536" s="1243"/>
      <c r="X536" s="1243"/>
      <c r="Y536" s="1243"/>
      <c r="Z536" s="1243"/>
    </row>
    <row r="537" spans="1:26" ht="15.75" customHeight="1" x14ac:dyDescent="0.2">
      <c r="A537" s="1243"/>
      <c r="B537" s="1243"/>
      <c r="C537" s="1243"/>
      <c r="D537" s="1243"/>
      <c r="E537" s="1243"/>
      <c r="F537" s="1243"/>
      <c r="G537" s="1243"/>
      <c r="H537" s="1243"/>
      <c r="I537" s="1243"/>
      <c r="J537" s="1243"/>
      <c r="K537" s="1243"/>
      <c r="L537" s="1243"/>
      <c r="M537" s="1243"/>
      <c r="N537" s="1243"/>
      <c r="O537" s="1243"/>
      <c r="P537" s="1243"/>
      <c r="Q537" s="1243"/>
      <c r="R537" s="1243"/>
      <c r="S537" s="1243"/>
      <c r="T537" s="1243"/>
      <c r="U537" s="1243"/>
      <c r="V537" s="1243"/>
      <c r="W537" s="1243"/>
      <c r="X537" s="1243"/>
      <c r="Y537" s="1243"/>
      <c r="Z537" s="1243"/>
    </row>
    <row r="538" spans="1:26" ht="15.75" customHeight="1" x14ac:dyDescent="0.2">
      <c r="A538" s="1243"/>
      <c r="B538" s="1243"/>
      <c r="C538" s="1243"/>
      <c r="D538" s="1243"/>
      <c r="E538" s="1243"/>
      <c r="F538" s="1243"/>
      <c r="G538" s="1243"/>
      <c r="H538" s="1243"/>
      <c r="I538" s="1243"/>
      <c r="J538" s="1243"/>
      <c r="K538" s="1243"/>
      <c r="L538" s="1243"/>
      <c r="M538" s="1243"/>
      <c r="N538" s="1243"/>
      <c r="O538" s="1243"/>
      <c r="P538" s="1243"/>
      <c r="Q538" s="1243"/>
      <c r="R538" s="1243"/>
      <c r="S538" s="1243"/>
      <c r="T538" s="1243"/>
      <c r="U538" s="1243"/>
      <c r="V538" s="1243"/>
      <c r="W538" s="1243"/>
      <c r="X538" s="1243"/>
      <c r="Y538" s="1243"/>
      <c r="Z538" s="1243"/>
    </row>
    <row r="539" spans="1:26" ht="15.75" customHeight="1" x14ac:dyDescent="0.2">
      <c r="A539" s="1243"/>
      <c r="B539" s="1243"/>
      <c r="C539" s="1243"/>
      <c r="D539" s="1243"/>
      <c r="E539" s="1243"/>
      <c r="F539" s="1243"/>
      <c r="G539" s="1243"/>
      <c r="H539" s="1243"/>
      <c r="I539" s="1243"/>
      <c r="J539" s="1243"/>
      <c r="K539" s="1243"/>
      <c r="L539" s="1243"/>
      <c r="M539" s="1243"/>
      <c r="N539" s="1243"/>
      <c r="O539" s="1243"/>
      <c r="P539" s="1243"/>
      <c r="Q539" s="1243"/>
      <c r="R539" s="1243"/>
      <c r="S539" s="1243"/>
      <c r="T539" s="1243"/>
      <c r="U539" s="1243"/>
      <c r="V539" s="1243"/>
      <c r="W539" s="1243"/>
      <c r="X539" s="1243"/>
      <c r="Y539" s="1243"/>
      <c r="Z539" s="1243"/>
    </row>
    <row r="540" spans="1:26" ht="15.75" customHeight="1" x14ac:dyDescent="0.2">
      <c r="A540" s="1243"/>
      <c r="B540" s="1243"/>
      <c r="C540" s="1243"/>
      <c r="D540" s="1243"/>
      <c r="E540" s="1243"/>
      <c r="F540" s="1243"/>
      <c r="G540" s="1243"/>
      <c r="H540" s="1243"/>
      <c r="I540" s="1243"/>
      <c r="J540" s="1243"/>
      <c r="K540" s="1243"/>
      <c r="L540" s="1243"/>
      <c r="M540" s="1243"/>
      <c r="N540" s="1243"/>
      <c r="O540" s="1243"/>
      <c r="P540" s="1243"/>
      <c r="Q540" s="1243"/>
      <c r="R540" s="1243"/>
      <c r="S540" s="1243"/>
      <c r="T540" s="1243"/>
      <c r="U540" s="1243"/>
      <c r="V540" s="1243"/>
      <c r="W540" s="1243"/>
      <c r="X540" s="1243"/>
      <c r="Y540" s="1243"/>
      <c r="Z540" s="1243"/>
    </row>
    <row r="541" spans="1:26" ht="15.75" customHeight="1" x14ac:dyDescent="0.2">
      <c r="A541" s="1243"/>
      <c r="B541" s="1243"/>
      <c r="C541" s="1243"/>
      <c r="D541" s="1243"/>
      <c r="E541" s="1243"/>
      <c r="F541" s="1243"/>
      <c r="G541" s="1243"/>
      <c r="H541" s="1243"/>
      <c r="I541" s="1243"/>
      <c r="J541" s="1243"/>
      <c r="K541" s="1243"/>
      <c r="L541" s="1243"/>
      <c r="M541" s="1243"/>
      <c r="N541" s="1243"/>
      <c r="O541" s="1243"/>
      <c r="P541" s="1243"/>
      <c r="Q541" s="1243"/>
      <c r="R541" s="1243"/>
      <c r="S541" s="1243"/>
      <c r="T541" s="1243"/>
      <c r="U541" s="1243"/>
      <c r="V541" s="1243"/>
      <c r="W541" s="1243"/>
      <c r="X541" s="1243"/>
      <c r="Y541" s="1243"/>
      <c r="Z541" s="1243"/>
    </row>
    <row r="542" spans="1:26" ht="15.75" customHeight="1" x14ac:dyDescent="0.2">
      <c r="A542" s="1243"/>
      <c r="B542" s="1243"/>
      <c r="C542" s="1243"/>
      <c r="D542" s="1243"/>
      <c r="E542" s="1243"/>
      <c r="F542" s="1243"/>
      <c r="G542" s="1243"/>
      <c r="H542" s="1243"/>
      <c r="I542" s="1243"/>
      <c r="J542" s="1243"/>
      <c r="K542" s="1243"/>
      <c r="L542" s="1243"/>
      <c r="M542" s="1243"/>
      <c r="N542" s="1243"/>
      <c r="O542" s="1243"/>
      <c r="P542" s="1243"/>
      <c r="Q542" s="1243"/>
      <c r="R542" s="1243"/>
      <c r="S542" s="1243"/>
      <c r="T542" s="1243"/>
      <c r="U542" s="1243"/>
      <c r="V542" s="1243"/>
      <c r="W542" s="1243"/>
      <c r="X542" s="1243"/>
      <c r="Y542" s="1243"/>
      <c r="Z542" s="1243"/>
    </row>
    <row r="543" spans="1:26" ht="15.75" customHeight="1" x14ac:dyDescent="0.2">
      <c r="A543" s="1243"/>
      <c r="B543" s="1243"/>
      <c r="C543" s="1243"/>
      <c r="D543" s="1243"/>
      <c r="E543" s="1243"/>
      <c r="F543" s="1243"/>
      <c r="G543" s="1243"/>
      <c r="H543" s="1243"/>
      <c r="I543" s="1243"/>
      <c r="J543" s="1243"/>
      <c r="K543" s="1243"/>
      <c r="L543" s="1243"/>
      <c r="M543" s="1243"/>
      <c r="N543" s="1243"/>
      <c r="O543" s="1243"/>
      <c r="P543" s="1243"/>
      <c r="Q543" s="1243"/>
      <c r="R543" s="1243"/>
      <c r="S543" s="1243"/>
      <c r="T543" s="1243"/>
      <c r="U543" s="1243"/>
      <c r="V543" s="1243"/>
      <c r="W543" s="1243"/>
      <c r="X543" s="1243"/>
      <c r="Y543" s="1243"/>
      <c r="Z543" s="1243"/>
    </row>
    <row r="544" spans="1:26" ht="15.75" customHeight="1" x14ac:dyDescent="0.2">
      <c r="A544" s="1243"/>
      <c r="B544" s="1243"/>
      <c r="C544" s="1243"/>
      <c r="D544" s="1243"/>
      <c r="E544" s="1243"/>
      <c r="F544" s="1243"/>
      <c r="G544" s="1243"/>
      <c r="H544" s="1243"/>
      <c r="I544" s="1243"/>
      <c r="J544" s="1243"/>
      <c r="K544" s="1243"/>
      <c r="L544" s="1243"/>
      <c r="M544" s="1243"/>
      <c r="N544" s="1243"/>
      <c r="O544" s="1243"/>
      <c r="P544" s="1243"/>
      <c r="Q544" s="1243"/>
      <c r="R544" s="1243"/>
      <c r="S544" s="1243"/>
      <c r="T544" s="1243"/>
      <c r="U544" s="1243"/>
      <c r="V544" s="1243"/>
      <c r="W544" s="1243"/>
      <c r="X544" s="1243"/>
      <c r="Y544" s="1243"/>
      <c r="Z544" s="1243"/>
    </row>
    <row r="545" spans="1:26" ht="15.75" customHeight="1" x14ac:dyDescent="0.2">
      <c r="A545" s="1243"/>
      <c r="B545" s="1243"/>
      <c r="C545" s="1243"/>
      <c r="D545" s="1243"/>
      <c r="E545" s="1243"/>
      <c r="F545" s="1243"/>
      <c r="G545" s="1243"/>
      <c r="H545" s="1243"/>
      <c r="I545" s="1243"/>
      <c r="J545" s="1243"/>
      <c r="K545" s="1243"/>
      <c r="L545" s="1243"/>
      <c r="M545" s="1243"/>
      <c r="N545" s="1243"/>
      <c r="O545" s="1243"/>
      <c r="P545" s="1243"/>
      <c r="Q545" s="1243"/>
      <c r="R545" s="1243"/>
      <c r="S545" s="1243"/>
      <c r="T545" s="1243"/>
      <c r="U545" s="1243"/>
      <c r="V545" s="1243"/>
      <c r="W545" s="1243"/>
      <c r="X545" s="1243"/>
      <c r="Y545" s="1243"/>
      <c r="Z545" s="1243"/>
    </row>
    <row r="546" spans="1:26" ht="15.75" customHeight="1" x14ac:dyDescent="0.2">
      <c r="A546" s="1243"/>
      <c r="B546" s="1243"/>
      <c r="C546" s="1243"/>
      <c r="D546" s="1243"/>
      <c r="E546" s="1243"/>
      <c r="F546" s="1243"/>
      <c r="G546" s="1243"/>
      <c r="H546" s="1243"/>
      <c r="I546" s="1243"/>
      <c r="J546" s="1243"/>
      <c r="K546" s="1243"/>
      <c r="L546" s="1243"/>
      <c r="M546" s="1243"/>
      <c r="N546" s="1243"/>
      <c r="O546" s="1243"/>
      <c r="P546" s="1243"/>
      <c r="Q546" s="1243"/>
      <c r="R546" s="1243"/>
      <c r="S546" s="1243"/>
      <c r="T546" s="1243"/>
      <c r="U546" s="1243"/>
      <c r="V546" s="1243"/>
      <c r="W546" s="1243"/>
      <c r="X546" s="1243"/>
      <c r="Y546" s="1243"/>
      <c r="Z546" s="1243"/>
    </row>
    <row r="547" spans="1:26" ht="15.75" customHeight="1" x14ac:dyDescent="0.2">
      <c r="A547" s="1243"/>
      <c r="B547" s="1243"/>
      <c r="C547" s="1243"/>
      <c r="D547" s="1243"/>
      <c r="E547" s="1243"/>
      <c r="F547" s="1243"/>
      <c r="G547" s="1243"/>
      <c r="H547" s="1243"/>
      <c r="I547" s="1243"/>
      <c r="J547" s="1243"/>
      <c r="K547" s="1243"/>
      <c r="L547" s="1243"/>
      <c r="M547" s="1243"/>
      <c r="N547" s="1243"/>
      <c r="O547" s="1243"/>
      <c r="P547" s="1243"/>
      <c r="Q547" s="1243"/>
      <c r="R547" s="1243"/>
      <c r="S547" s="1243"/>
      <c r="T547" s="1243"/>
      <c r="U547" s="1243"/>
      <c r="V547" s="1243"/>
      <c r="W547" s="1243"/>
      <c r="X547" s="1243"/>
      <c r="Y547" s="1243"/>
      <c r="Z547" s="1243"/>
    </row>
    <row r="548" spans="1:26" ht="15.75" customHeight="1" x14ac:dyDescent="0.2">
      <c r="A548" s="1243"/>
      <c r="B548" s="1243"/>
      <c r="C548" s="1243"/>
      <c r="D548" s="1243"/>
      <c r="E548" s="1243"/>
      <c r="F548" s="1243"/>
      <c r="G548" s="1243"/>
      <c r="H548" s="1243"/>
      <c r="I548" s="1243"/>
      <c r="J548" s="1243"/>
      <c r="K548" s="1243"/>
      <c r="L548" s="1243"/>
      <c r="M548" s="1243"/>
      <c r="N548" s="1243"/>
      <c r="O548" s="1243"/>
      <c r="P548" s="1243"/>
      <c r="Q548" s="1243"/>
      <c r="R548" s="1243"/>
      <c r="S548" s="1243"/>
      <c r="T548" s="1243"/>
      <c r="U548" s="1243"/>
      <c r="V548" s="1243"/>
      <c r="W548" s="1243"/>
      <c r="X548" s="1243"/>
      <c r="Y548" s="1243"/>
      <c r="Z548" s="1243"/>
    </row>
    <row r="549" spans="1:26" ht="15.75" customHeight="1" x14ac:dyDescent="0.2">
      <c r="A549" s="1243"/>
      <c r="B549" s="1243"/>
      <c r="C549" s="1243"/>
      <c r="D549" s="1243"/>
      <c r="E549" s="1243"/>
      <c r="F549" s="1243"/>
      <c r="G549" s="1243"/>
      <c r="H549" s="1243"/>
      <c r="I549" s="1243"/>
      <c r="J549" s="1243"/>
      <c r="K549" s="1243"/>
      <c r="L549" s="1243"/>
      <c r="M549" s="1243"/>
      <c r="N549" s="1243"/>
      <c r="O549" s="1243"/>
      <c r="P549" s="1243"/>
      <c r="Q549" s="1243"/>
      <c r="R549" s="1243"/>
      <c r="S549" s="1243"/>
      <c r="T549" s="1243"/>
      <c r="U549" s="1243"/>
      <c r="V549" s="1243"/>
      <c r="W549" s="1243"/>
      <c r="X549" s="1243"/>
      <c r="Y549" s="1243"/>
      <c r="Z549" s="1243"/>
    </row>
    <row r="550" spans="1:26" ht="15.75" customHeight="1" x14ac:dyDescent="0.2">
      <c r="A550" s="1243"/>
      <c r="B550" s="1243"/>
      <c r="C550" s="1243"/>
      <c r="D550" s="1243"/>
      <c r="E550" s="1243"/>
      <c r="F550" s="1243"/>
      <c r="G550" s="1243"/>
      <c r="H550" s="1243"/>
      <c r="I550" s="1243"/>
      <c r="J550" s="1243"/>
      <c r="K550" s="1243"/>
      <c r="L550" s="1243"/>
      <c r="M550" s="1243"/>
      <c r="N550" s="1243"/>
      <c r="O550" s="1243"/>
      <c r="P550" s="1243"/>
      <c r="Q550" s="1243"/>
      <c r="R550" s="1243"/>
      <c r="S550" s="1243"/>
      <c r="T550" s="1243"/>
      <c r="U550" s="1243"/>
      <c r="V550" s="1243"/>
      <c r="W550" s="1243"/>
      <c r="X550" s="1243"/>
      <c r="Y550" s="1243"/>
      <c r="Z550" s="1243"/>
    </row>
    <row r="551" spans="1:26" ht="15.75" customHeight="1" x14ac:dyDescent="0.2">
      <c r="A551" s="1243"/>
      <c r="B551" s="1243"/>
      <c r="C551" s="1243"/>
      <c r="D551" s="1243"/>
      <c r="E551" s="1243"/>
      <c r="F551" s="1243"/>
      <c r="G551" s="1243"/>
      <c r="H551" s="1243"/>
      <c r="I551" s="1243"/>
      <c r="J551" s="1243"/>
      <c r="K551" s="1243"/>
      <c r="L551" s="1243"/>
      <c r="M551" s="1243"/>
      <c r="N551" s="1243"/>
      <c r="O551" s="1243"/>
      <c r="P551" s="1243"/>
      <c r="Q551" s="1243"/>
      <c r="R551" s="1243"/>
      <c r="S551" s="1243"/>
      <c r="T551" s="1243"/>
      <c r="U551" s="1243"/>
      <c r="V551" s="1243"/>
      <c r="W551" s="1243"/>
      <c r="X551" s="1243"/>
      <c r="Y551" s="1243"/>
      <c r="Z551" s="1243"/>
    </row>
    <row r="552" spans="1:26" ht="15.75" customHeight="1" x14ac:dyDescent="0.2">
      <c r="A552" s="1243"/>
      <c r="B552" s="1243"/>
      <c r="C552" s="1243"/>
      <c r="D552" s="1243"/>
      <c r="E552" s="1243"/>
      <c r="F552" s="1243"/>
      <c r="G552" s="1243"/>
      <c r="H552" s="1243"/>
      <c r="I552" s="1243"/>
      <c r="J552" s="1243"/>
      <c r="K552" s="1243"/>
      <c r="L552" s="1243"/>
      <c r="M552" s="1243"/>
      <c r="N552" s="1243"/>
      <c r="O552" s="1243"/>
      <c r="P552" s="1243"/>
      <c r="Q552" s="1243"/>
      <c r="R552" s="1243"/>
      <c r="S552" s="1243"/>
      <c r="T552" s="1243"/>
      <c r="U552" s="1243"/>
      <c r="V552" s="1243"/>
      <c r="W552" s="1243"/>
      <c r="X552" s="1243"/>
      <c r="Y552" s="1243"/>
      <c r="Z552" s="1243"/>
    </row>
    <row r="553" spans="1:26" ht="15.75" customHeight="1" x14ac:dyDescent="0.2">
      <c r="A553" s="1243"/>
      <c r="B553" s="1243"/>
      <c r="C553" s="1243"/>
      <c r="D553" s="1243"/>
      <c r="E553" s="1243"/>
      <c r="F553" s="1243"/>
      <c r="G553" s="1243"/>
      <c r="H553" s="1243"/>
      <c r="I553" s="1243"/>
      <c r="J553" s="1243"/>
      <c r="K553" s="1243"/>
      <c r="L553" s="1243"/>
      <c r="M553" s="1243"/>
      <c r="N553" s="1243"/>
      <c r="O553" s="1243"/>
      <c r="P553" s="1243"/>
      <c r="Q553" s="1243"/>
      <c r="R553" s="1243"/>
      <c r="S553" s="1243"/>
      <c r="T553" s="1243"/>
      <c r="U553" s="1243"/>
      <c r="V553" s="1243"/>
      <c r="W553" s="1243"/>
      <c r="X553" s="1243"/>
      <c r="Y553" s="1243"/>
      <c r="Z553" s="1243"/>
    </row>
    <row r="554" spans="1:26" ht="15.75" customHeight="1" x14ac:dyDescent="0.2">
      <c r="A554" s="1243"/>
      <c r="B554" s="1243"/>
      <c r="C554" s="1243"/>
      <c r="D554" s="1243"/>
      <c r="E554" s="1243"/>
      <c r="F554" s="1243"/>
      <c r="G554" s="1243"/>
      <c r="H554" s="1243"/>
      <c r="I554" s="1243"/>
      <c r="J554" s="1243"/>
      <c r="K554" s="1243"/>
      <c r="L554" s="1243"/>
      <c r="M554" s="1243"/>
      <c r="N554" s="1243"/>
      <c r="O554" s="1243"/>
      <c r="P554" s="1243"/>
      <c r="Q554" s="1243"/>
      <c r="R554" s="1243"/>
      <c r="S554" s="1243"/>
      <c r="T554" s="1243"/>
      <c r="U554" s="1243"/>
      <c r="V554" s="1243"/>
      <c r="W554" s="1243"/>
      <c r="X554" s="1243"/>
      <c r="Y554" s="1243"/>
      <c r="Z554" s="1243"/>
    </row>
    <row r="555" spans="1:26" ht="15.75" customHeight="1" x14ac:dyDescent="0.2">
      <c r="A555" s="1243"/>
      <c r="B555" s="1243"/>
      <c r="C555" s="1243"/>
      <c r="D555" s="1243"/>
      <c r="E555" s="1243"/>
      <c r="F555" s="1243"/>
      <c r="G555" s="1243"/>
      <c r="H555" s="1243"/>
      <c r="I555" s="1243"/>
      <c r="J555" s="1243"/>
      <c r="K555" s="1243"/>
      <c r="L555" s="1243"/>
      <c r="M555" s="1243"/>
      <c r="N555" s="1243"/>
      <c r="O555" s="1243"/>
      <c r="P555" s="1243"/>
      <c r="Q555" s="1243"/>
      <c r="R555" s="1243"/>
      <c r="S555" s="1243"/>
      <c r="T555" s="1243"/>
      <c r="U555" s="1243"/>
      <c r="V555" s="1243"/>
      <c r="W555" s="1243"/>
      <c r="X555" s="1243"/>
      <c r="Y555" s="1243"/>
      <c r="Z555" s="1243"/>
    </row>
    <row r="556" spans="1:26" ht="15.75" customHeight="1" x14ac:dyDescent="0.2">
      <c r="A556" s="1243"/>
      <c r="B556" s="1243"/>
      <c r="C556" s="1243"/>
      <c r="D556" s="1243"/>
      <c r="E556" s="1243"/>
      <c r="F556" s="1243"/>
      <c r="G556" s="1243"/>
      <c r="H556" s="1243"/>
      <c r="I556" s="1243"/>
      <c r="J556" s="1243"/>
      <c r="K556" s="1243"/>
      <c r="L556" s="1243"/>
      <c r="M556" s="1243"/>
      <c r="N556" s="1243"/>
      <c r="O556" s="1243"/>
      <c r="P556" s="1243"/>
      <c r="Q556" s="1243"/>
      <c r="R556" s="1243"/>
      <c r="S556" s="1243"/>
      <c r="T556" s="1243"/>
      <c r="U556" s="1243"/>
      <c r="V556" s="1243"/>
      <c r="W556" s="1243"/>
      <c r="X556" s="1243"/>
      <c r="Y556" s="1243"/>
      <c r="Z556" s="1243"/>
    </row>
    <row r="557" spans="1:26" ht="15.75" customHeight="1" x14ac:dyDescent="0.2">
      <c r="A557" s="1243"/>
      <c r="B557" s="1243"/>
      <c r="C557" s="1243"/>
      <c r="D557" s="1243"/>
      <c r="E557" s="1243"/>
      <c r="F557" s="1243"/>
      <c r="G557" s="1243"/>
      <c r="H557" s="1243"/>
      <c r="I557" s="1243"/>
      <c r="J557" s="1243"/>
      <c r="K557" s="1243"/>
      <c r="L557" s="1243"/>
      <c r="M557" s="1243"/>
      <c r="N557" s="1243"/>
      <c r="O557" s="1243"/>
      <c r="P557" s="1243"/>
      <c r="Q557" s="1243"/>
      <c r="R557" s="1243"/>
      <c r="S557" s="1243"/>
      <c r="T557" s="1243"/>
      <c r="U557" s="1243"/>
      <c r="V557" s="1243"/>
      <c r="W557" s="1243"/>
      <c r="X557" s="1243"/>
      <c r="Y557" s="1243"/>
      <c r="Z557" s="1243"/>
    </row>
    <row r="558" spans="1:26" ht="15.75" customHeight="1" x14ac:dyDescent="0.2">
      <c r="A558" s="1243"/>
      <c r="B558" s="1243"/>
      <c r="C558" s="1243"/>
      <c r="D558" s="1243"/>
      <c r="E558" s="1243"/>
      <c r="F558" s="1243"/>
      <c r="G558" s="1243"/>
      <c r="H558" s="1243"/>
      <c r="I558" s="1243"/>
      <c r="J558" s="1243"/>
      <c r="K558" s="1243"/>
      <c r="L558" s="1243"/>
      <c r="M558" s="1243"/>
      <c r="N558" s="1243"/>
      <c r="O558" s="1243"/>
      <c r="P558" s="1243"/>
      <c r="Q558" s="1243"/>
      <c r="R558" s="1243"/>
      <c r="S558" s="1243"/>
      <c r="T558" s="1243"/>
      <c r="U558" s="1243"/>
      <c r="V558" s="1243"/>
      <c r="W558" s="1243"/>
      <c r="X558" s="1243"/>
      <c r="Y558" s="1243"/>
      <c r="Z558" s="1243"/>
    </row>
    <row r="559" spans="1:26" ht="15.75" customHeight="1" x14ac:dyDescent="0.2">
      <c r="A559" s="1243"/>
      <c r="B559" s="1243"/>
      <c r="C559" s="1243"/>
      <c r="D559" s="1243"/>
      <c r="E559" s="1243"/>
      <c r="F559" s="1243"/>
      <c r="G559" s="1243"/>
      <c r="H559" s="1243"/>
      <c r="I559" s="1243"/>
      <c r="J559" s="1243"/>
      <c r="K559" s="1243"/>
      <c r="L559" s="1243"/>
      <c r="M559" s="1243"/>
      <c r="N559" s="1243"/>
      <c r="O559" s="1243"/>
      <c r="P559" s="1243"/>
      <c r="Q559" s="1243"/>
      <c r="R559" s="1243"/>
      <c r="S559" s="1243"/>
      <c r="T559" s="1243"/>
      <c r="U559" s="1243"/>
      <c r="V559" s="1243"/>
      <c r="W559" s="1243"/>
      <c r="X559" s="1243"/>
      <c r="Y559" s="1243"/>
      <c r="Z559" s="1243"/>
    </row>
    <row r="560" spans="1:26" ht="15.75" customHeight="1" x14ac:dyDescent="0.2">
      <c r="A560" s="1243"/>
      <c r="B560" s="1243"/>
      <c r="C560" s="1243"/>
      <c r="D560" s="1243"/>
      <c r="E560" s="1243"/>
      <c r="F560" s="1243"/>
      <c r="G560" s="1243"/>
      <c r="H560" s="1243"/>
      <c r="I560" s="1243"/>
      <c r="J560" s="1243"/>
      <c r="K560" s="1243"/>
      <c r="L560" s="1243"/>
      <c r="M560" s="1243"/>
      <c r="N560" s="1243"/>
      <c r="O560" s="1243"/>
      <c r="P560" s="1243"/>
      <c r="Q560" s="1243"/>
      <c r="R560" s="1243"/>
      <c r="S560" s="1243"/>
      <c r="T560" s="1243"/>
      <c r="U560" s="1243"/>
      <c r="V560" s="1243"/>
      <c r="W560" s="1243"/>
      <c r="X560" s="1243"/>
      <c r="Y560" s="1243"/>
      <c r="Z560" s="1243"/>
    </row>
    <row r="561" spans="1:26" ht="15.75" customHeight="1" x14ac:dyDescent="0.2">
      <c r="A561" s="1243"/>
      <c r="B561" s="1243"/>
      <c r="C561" s="1243"/>
      <c r="D561" s="1243"/>
      <c r="E561" s="1243"/>
      <c r="F561" s="1243"/>
      <c r="G561" s="1243"/>
      <c r="H561" s="1243"/>
      <c r="I561" s="1243"/>
      <c r="J561" s="1243"/>
      <c r="K561" s="1243"/>
      <c r="L561" s="1243"/>
      <c r="M561" s="1243"/>
      <c r="N561" s="1243"/>
      <c r="O561" s="1243"/>
      <c r="P561" s="1243"/>
      <c r="Q561" s="1243"/>
      <c r="R561" s="1243"/>
      <c r="S561" s="1243"/>
      <c r="T561" s="1243"/>
      <c r="U561" s="1243"/>
      <c r="V561" s="1243"/>
      <c r="W561" s="1243"/>
      <c r="X561" s="1243"/>
      <c r="Y561" s="1243"/>
      <c r="Z561" s="1243"/>
    </row>
    <row r="562" spans="1:26" ht="15.75" customHeight="1" x14ac:dyDescent="0.2">
      <c r="A562" s="1243"/>
      <c r="B562" s="1243"/>
      <c r="C562" s="1243"/>
      <c r="D562" s="1243"/>
      <c r="E562" s="1243"/>
      <c r="F562" s="1243"/>
      <c r="G562" s="1243"/>
      <c r="H562" s="1243"/>
      <c r="I562" s="1243"/>
      <c r="J562" s="1243"/>
      <c r="K562" s="1243"/>
      <c r="L562" s="1243"/>
      <c r="M562" s="1243"/>
      <c r="N562" s="1243"/>
      <c r="O562" s="1243"/>
      <c r="P562" s="1243"/>
      <c r="Q562" s="1243"/>
      <c r="R562" s="1243"/>
      <c r="S562" s="1243"/>
      <c r="T562" s="1243"/>
      <c r="U562" s="1243"/>
      <c r="V562" s="1243"/>
      <c r="W562" s="1243"/>
      <c r="X562" s="1243"/>
      <c r="Y562" s="1243"/>
      <c r="Z562" s="1243"/>
    </row>
    <row r="563" spans="1:26" ht="15.75" customHeight="1" x14ac:dyDescent="0.2">
      <c r="A563" s="1243"/>
      <c r="B563" s="1243"/>
      <c r="C563" s="1243"/>
      <c r="D563" s="1243"/>
      <c r="E563" s="1243"/>
      <c r="F563" s="1243"/>
      <c r="G563" s="1243"/>
      <c r="H563" s="1243"/>
      <c r="I563" s="1243"/>
      <c r="J563" s="1243"/>
      <c r="K563" s="1243"/>
      <c r="L563" s="1243"/>
      <c r="M563" s="1243"/>
      <c r="N563" s="1243"/>
      <c r="O563" s="1243"/>
      <c r="P563" s="1243"/>
      <c r="Q563" s="1243"/>
      <c r="R563" s="1243"/>
      <c r="S563" s="1243"/>
      <c r="T563" s="1243"/>
      <c r="U563" s="1243"/>
      <c r="V563" s="1243"/>
      <c r="W563" s="1243"/>
      <c r="X563" s="1243"/>
      <c r="Y563" s="1243"/>
      <c r="Z563" s="1243"/>
    </row>
    <row r="564" spans="1:26" ht="15.75" customHeight="1" x14ac:dyDescent="0.2">
      <c r="A564" s="1243"/>
      <c r="B564" s="1243"/>
      <c r="C564" s="1243"/>
      <c r="D564" s="1243"/>
      <c r="E564" s="1243"/>
      <c r="F564" s="1243"/>
      <c r="G564" s="1243"/>
      <c r="H564" s="1243"/>
      <c r="I564" s="1243"/>
      <c r="J564" s="1243"/>
      <c r="K564" s="1243"/>
      <c r="L564" s="1243"/>
      <c r="M564" s="1243"/>
      <c r="N564" s="1243"/>
      <c r="O564" s="1243"/>
      <c r="P564" s="1243"/>
      <c r="Q564" s="1243"/>
      <c r="R564" s="1243"/>
      <c r="S564" s="1243"/>
      <c r="T564" s="1243"/>
      <c r="U564" s="1243"/>
      <c r="V564" s="1243"/>
      <c r="W564" s="1243"/>
      <c r="X564" s="1243"/>
      <c r="Y564" s="1243"/>
      <c r="Z564" s="1243"/>
    </row>
    <row r="565" spans="1:26" ht="15.75" customHeight="1" x14ac:dyDescent="0.2">
      <c r="A565" s="1243"/>
      <c r="B565" s="1243"/>
      <c r="C565" s="1243"/>
      <c r="D565" s="1243"/>
      <c r="E565" s="1243"/>
      <c r="F565" s="1243"/>
      <c r="G565" s="1243"/>
      <c r="H565" s="1243"/>
      <c r="I565" s="1243"/>
      <c r="J565" s="1243"/>
      <c r="K565" s="1243"/>
      <c r="L565" s="1243"/>
      <c r="M565" s="1243"/>
      <c r="N565" s="1243"/>
      <c r="O565" s="1243"/>
      <c r="P565" s="1243"/>
      <c r="Q565" s="1243"/>
      <c r="R565" s="1243"/>
      <c r="S565" s="1243"/>
      <c r="T565" s="1243"/>
      <c r="U565" s="1243"/>
      <c r="V565" s="1243"/>
      <c r="W565" s="1243"/>
      <c r="X565" s="1243"/>
      <c r="Y565" s="1243"/>
      <c r="Z565" s="1243"/>
    </row>
    <row r="566" spans="1:26" ht="15.75" customHeight="1" x14ac:dyDescent="0.2">
      <c r="A566" s="1243"/>
      <c r="B566" s="1243"/>
      <c r="C566" s="1243"/>
      <c r="D566" s="1243"/>
      <c r="E566" s="1243"/>
      <c r="F566" s="1243"/>
      <c r="G566" s="1243"/>
      <c r="H566" s="1243"/>
      <c r="I566" s="1243"/>
      <c r="J566" s="1243"/>
      <c r="K566" s="1243"/>
      <c r="L566" s="1243"/>
      <c r="M566" s="1243"/>
      <c r="N566" s="1243"/>
      <c r="O566" s="1243"/>
      <c r="P566" s="1243"/>
      <c r="Q566" s="1243"/>
      <c r="R566" s="1243"/>
      <c r="S566" s="1243"/>
      <c r="T566" s="1243"/>
      <c r="U566" s="1243"/>
      <c r="V566" s="1243"/>
      <c r="W566" s="1243"/>
      <c r="X566" s="1243"/>
      <c r="Y566" s="1243"/>
      <c r="Z566" s="1243"/>
    </row>
    <row r="567" spans="1:26" ht="15.75" customHeight="1" x14ac:dyDescent="0.2">
      <c r="A567" s="1243"/>
      <c r="B567" s="1243"/>
      <c r="C567" s="1243"/>
      <c r="D567" s="1243"/>
      <c r="E567" s="1243"/>
      <c r="F567" s="1243"/>
      <c r="G567" s="1243"/>
      <c r="H567" s="1243"/>
      <c r="I567" s="1243"/>
      <c r="J567" s="1243"/>
      <c r="K567" s="1243"/>
      <c r="L567" s="1243"/>
      <c r="M567" s="1243"/>
      <c r="N567" s="1243"/>
      <c r="O567" s="1243"/>
      <c r="P567" s="1243"/>
      <c r="Q567" s="1243"/>
      <c r="R567" s="1243"/>
      <c r="S567" s="1243"/>
      <c r="T567" s="1243"/>
      <c r="U567" s="1243"/>
      <c r="V567" s="1243"/>
      <c r="W567" s="1243"/>
      <c r="X567" s="1243"/>
      <c r="Y567" s="1243"/>
      <c r="Z567" s="1243"/>
    </row>
    <row r="568" spans="1:26" ht="15.75" customHeight="1" x14ac:dyDescent="0.2">
      <c r="A568" s="1243"/>
      <c r="B568" s="1243"/>
      <c r="C568" s="1243"/>
      <c r="D568" s="1243"/>
      <c r="E568" s="1243"/>
      <c r="F568" s="1243"/>
      <c r="G568" s="1243"/>
      <c r="H568" s="1243"/>
      <c r="I568" s="1243"/>
      <c r="J568" s="1243"/>
      <c r="K568" s="1243"/>
      <c r="L568" s="1243"/>
      <c r="M568" s="1243"/>
      <c r="N568" s="1243"/>
      <c r="O568" s="1243"/>
      <c r="P568" s="1243"/>
      <c r="Q568" s="1243"/>
      <c r="R568" s="1243"/>
      <c r="S568" s="1243"/>
      <c r="T568" s="1243"/>
      <c r="U568" s="1243"/>
      <c r="V568" s="1243"/>
      <c r="W568" s="1243"/>
      <c r="X568" s="1243"/>
      <c r="Y568" s="1243"/>
      <c r="Z568" s="1243"/>
    </row>
    <row r="569" spans="1:26" ht="15.75" customHeight="1" x14ac:dyDescent="0.2">
      <c r="A569" s="1243"/>
      <c r="B569" s="1243"/>
      <c r="C569" s="1243"/>
      <c r="D569" s="1243"/>
      <c r="E569" s="1243"/>
      <c r="F569" s="1243"/>
      <c r="G569" s="1243"/>
      <c r="H569" s="1243"/>
      <c r="I569" s="1243"/>
      <c r="J569" s="1243"/>
      <c r="K569" s="1243"/>
      <c r="L569" s="1243"/>
      <c r="M569" s="1243"/>
      <c r="N569" s="1243"/>
      <c r="O569" s="1243"/>
      <c r="P569" s="1243"/>
      <c r="Q569" s="1243"/>
      <c r="R569" s="1243"/>
      <c r="S569" s="1243"/>
      <c r="T569" s="1243"/>
      <c r="U569" s="1243"/>
      <c r="V569" s="1243"/>
      <c r="W569" s="1243"/>
      <c r="X569" s="1243"/>
      <c r="Y569" s="1243"/>
      <c r="Z569" s="1243"/>
    </row>
    <row r="570" spans="1:26" ht="15.75" customHeight="1" x14ac:dyDescent="0.2">
      <c r="A570" s="1243"/>
      <c r="B570" s="1243"/>
      <c r="C570" s="1243"/>
      <c r="D570" s="1243"/>
      <c r="E570" s="1243"/>
      <c r="F570" s="1243"/>
      <c r="G570" s="1243"/>
      <c r="H570" s="1243"/>
      <c r="I570" s="1243"/>
      <c r="J570" s="1243"/>
      <c r="K570" s="1243"/>
      <c r="L570" s="1243"/>
      <c r="M570" s="1243"/>
      <c r="N570" s="1243"/>
      <c r="O570" s="1243"/>
      <c r="P570" s="1243"/>
      <c r="Q570" s="1243"/>
      <c r="R570" s="1243"/>
      <c r="S570" s="1243"/>
      <c r="T570" s="1243"/>
      <c r="U570" s="1243"/>
      <c r="V570" s="1243"/>
      <c r="W570" s="1243"/>
      <c r="X570" s="1243"/>
      <c r="Y570" s="1243"/>
      <c r="Z570" s="1243"/>
    </row>
    <row r="571" spans="1:26" ht="15.75" customHeight="1" x14ac:dyDescent="0.2">
      <c r="A571" s="1243"/>
      <c r="B571" s="1243"/>
      <c r="C571" s="1243"/>
      <c r="D571" s="1243"/>
      <c r="E571" s="1243"/>
      <c r="F571" s="1243"/>
      <c r="G571" s="1243"/>
      <c r="H571" s="1243"/>
      <c r="I571" s="1243"/>
      <c r="J571" s="1243"/>
      <c r="K571" s="1243"/>
      <c r="L571" s="1243"/>
      <c r="M571" s="1243"/>
      <c r="N571" s="1243"/>
      <c r="O571" s="1243"/>
      <c r="P571" s="1243"/>
      <c r="Q571" s="1243"/>
      <c r="R571" s="1243"/>
      <c r="S571" s="1243"/>
      <c r="T571" s="1243"/>
      <c r="U571" s="1243"/>
      <c r="V571" s="1243"/>
      <c r="W571" s="1243"/>
      <c r="X571" s="1243"/>
      <c r="Y571" s="1243"/>
      <c r="Z571" s="1243"/>
    </row>
    <row r="572" spans="1:26" ht="15.75" customHeight="1" x14ac:dyDescent="0.2">
      <c r="A572" s="1243"/>
      <c r="B572" s="1243"/>
      <c r="C572" s="1243"/>
      <c r="D572" s="1243"/>
      <c r="E572" s="1243"/>
      <c r="F572" s="1243"/>
      <c r="G572" s="1243"/>
      <c r="H572" s="1243"/>
      <c r="I572" s="1243"/>
      <c r="J572" s="1243"/>
      <c r="K572" s="1243"/>
      <c r="L572" s="1243"/>
      <c r="M572" s="1243"/>
      <c r="N572" s="1243"/>
      <c r="O572" s="1243"/>
      <c r="P572" s="1243"/>
      <c r="Q572" s="1243"/>
      <c r="R572" s="1243"/>
      <c r="S572" s="1243"/>
      <c r="T572" s="1243"/>
      <c r="U572" s="1243"/>
      <c r="V572" s="1243"/>
      <c r="W572" s="1243"/>
      <c r="X572" s="1243"/>
      <c r="Y572" s="1243"/>
      <c r="Z572" s="1243"/>
    </row>
    <row r="573" spans="1:26" ht="15.75" customHeight="1" x14ac:dyDescent="0.2">
      <c r="A573" s="1243"/>
      <c r="B573" s="1243"/>
      <c r="C573" s="1243"/>
      <c r="D573" s="1243"/>
      <c r="E573" s="1243"/>
      <c r="F573" s="1243"/>
      <c r="G573" s="1243"/>
      <c r="H573" s="1243"/>
      <c r="I573" s="1243"/>
      <c r="J573" s="1243"/>
      <c r="K573" s="1243"/>
      <c r="L573" s="1243"/>
      <c r="M573" s="1243"/>
      <c r="N573" s="1243"/>
      <c r="O573" s="1243"/>
      <c r="P573" s="1243"/>
      <c r="Q573" s="1243"/>
      <c r="R573" s="1243"/>
      <c r="S573" s="1243"/>
      <c r="T573" s="1243"/>
      <c r="U573" s="1243"/>
      <c r="V573" s="1243"/>
      <c r="W573" s="1243"/>
      <c r="X573" s="1243"/>
      <c r="Y573" s="1243"/>
      <c r="Z573" s="1243"/>
    </row>
    <row r="574" spans="1:26" ht="15.75" customHeight="1" x14ac:dyDescent="0.2">
      <c r="A574" s="1243"/>
      <c r="B574" s="1243"/>
      <c r="C574" s="1243"/>
      <c r="D574" s="1243"/>
      <c r="E574" s="1243"/>
      <c r="F574" s="1243"/>
      <c r="G574" s="1243"/>
      <c r="H574" s="1243"/>
      <c r="I574" s="1243"/>
      <c r="J574" s="1243"/>
      <c r="K574" s="1243"/>
      <c r="L574" s="1243"/>
      <c r="M574" s="1243"/>
      <c r="N574" s="1243"/>
      <c r="O574" s="1243"/>
      <c r="P574" s="1243"/>
      <c r="Q574" s="1243"/>
      <c r="R574" s="1243"/>
      <c r="S574" s="1243"/>
      <c r="T574" s="1243"/>
      <c r="U574" s="1243"/>
      <c r="V574" s="1243"/>
      <c r="W574" s="1243"/>
      <c r="X574" s="1243"/>
      <c r="Y574" s="1243"/>
      <c r="Z574" s="1243"/>
    </row>
    <row r="575" spans="1:26" ht="15.75" customHeight="1" x14ac:dyDescent="0.2">
      <c r="A575" s="1243"/>
      <c r="B575" s="1243"/>
      <c r="C575" s="1243"/>
      <c r="D575" s="1243"/>
      <c r="E575" s="1243"/>
      <c r="F575" s="1243"/>
      <c r="G575" s="1243"/>
      <c r="H575" s="1243"/>
      <c r="I575" s="1243"/>
      <c r="J575" s="1243"/>
      <c r="K575" s="1243"/>
      <c r="L575" s="1243"/>
      <c r="M575" s="1243"/>
      <c r="N575" s="1243"/>
      <c r="O575" s="1243"/>
      <c r="P575" s="1243"/>
      <c r="Q575" s="1243"/>
      <c r="R575" s="1243"/>
      <c r="S575" s="1243"/>
      <c r="T575" s="1243"/>
      <c r="U575" s="1243"/>
      <c r="V575" s="1243"/>
      <c r="W575" s="1243"/>
      <c r="X575" s="1243"/>
      <c r="Y575" s="1243"/>
      <c r="Z575" s="1243"/>
    </row>
    <row r="576" spans="1:26" ht="15.75" customHeight="1" x14ac:dyDescent="0.2">
      <c r="A576" s="1243"/>
      <c r="B576" s="1243"/>
      <c r="C576" s="1243"/>
      <c r="D576" s="1243"/>
      <c r="E576" s="1243"/>
      <c r="F576" s="1243"/>
      <c r="G576" s="1243"/>
      <c r="H576" s="1243"/>
      <c r="I576" s="1243"/>
      <c r="J576" s="1243"/>
      <c r="K576" s="1243"/>
      <c r="L576" s="1243"/>
      <c r="M576" s="1243"/>
      <c r="N576" s="1243"/>
      <c r="O576" s="1243"/>
      <c r="P576" s="1243"/>
      <c r="Q576" s="1243"/>
      <c r="R576" s="1243"/>
      <c r="S576" s="1243"/>
      <c r="T576" s="1243"/>
      <c r="U576" s="1243"/>
      <c r="V576" s="1243"/>
      <c r="W576" s="1243"/>
      <c r="X576" s="1243"/>
      <c r="Y576" s="1243"/>
      <c r="Z576" s="1243"/>
    </row>
    <row r="577" spans="1:26" ht="15.75" customHeight="1" x14ac:dyDescent="0.2">
      <c r="A577" s="1243"/>
      <c r="B577" s="1243"/>
      <c r="C577" s="1243"/>
      <c r="D577" s="1243"/>
      <c r="E577" s="1243"/>
      <c r="F577" s="1243"/>
      <c r="G577" s="1243"/>
      <c r="H577" s="1243"/>
      <c r="I577" s="1243"/>
      <c r="J577" s="1243"/>
      <c r="K577" s="1243"/>
      <c r="L577" s="1243"/>
      <c r="M577" s="1243"/>
      <c r="N577" s="1243"/>
      <c r="O577" s="1243"/>
      <c r="P577" s="1243"/>
      <c r="Q577" s="1243"/>
      <c r="R577" s="1243"/>
      <c r="S577" s="1243"/>
      <c r="T577" s="1243"/>
      <c r="U577" s="1243"/>
      <c r="V577" s="1243"/>
      <c r="W577" s="1243"/>
      <c r="X577" s="1243"/>
      <c r="Y577" s="1243"/>
      <c r="Z577" s="1243"/>
    </row>
    <row r="578" spans="1:26" ht="15.75" customHeight="1" x14ac:dyDescent="0.2">
      <c r="A578" s="1243"/>
      <c r="B578" s="1243"/>
      <c r="C578" s="1243"/>
      <c r="D578" s="1243"/>
      <c r="E578" s="1243"/>
      <c r="F578" s="1243"/>
      <c r="G578" s="1243"/>
      <c r="H578" s="1243"/>
      <c r="I578" s="1243"/>
      <c r="J578" s="1243"/>
      <c r="K578" s="1243"/>
      <c r="L578" s="1243"/>
      <c r="M578" s="1243"/>
      <c r="N578" s="1243"/>
      <c r="O578" s="1243"/>
      <c r="P578" s="1243"/>
      <c r="Q578" s="1243"/>
      <c r="R578" s="1243"/>
      <c r="S578" s="1243"/>
      <c r="T578" s="1243"/>
      <c r="U578" s="1243"/>
      <c r="V578" s="1243"/>
      <c r="W578" s="1243"/>
      <c r="X578" s="1243"/>
      <c r="Y578" s="1243"/>
      <c r="Z578" s="1243"/>
    </row>
    <row r="579" spans="1:26" ht="15.75" customHeight="1" x14ac:dyDescent="0.2">
      <c r="A579" s="1243"/>
      <c r="B579" s="1243"/>
      <c r="C579" s="1243"/>
      <c r="D579" s="1243"/>
      <c r="E579" s="1243"/>
      <c r="F579" s="1243"/>
      <c r="G579" s="1243"/>
      <c r="H579" s="1243"/>
      <c r="I579" s="1243"/>
      <c r="J579" s="1243"/>
      <c r="K579" s="1243"/>
      <c r="L579" s="1243"/>
      <c r="M579" s="1243"/>
      <c r="N579" s="1243"/>
      <c r="O579" s="1243"/>
      <c r="P579" s="1243"/>
      <c r="Q579" s="1243"/>
      <c r="R579" s="1243"/>
      <c r="S579" s="1243"/>
      <c r="T579" s="1243"/>
      <c r="U579" s="1243"/>
      <c r="V579" s="1243"/>
      <c r="W579" s="1243"/>
      <c r="X579" s="1243"/>
      <c r="Y579" s="1243"/>
      <c r="Z579" s="1243"/>
    </row>
    <row r="580" spans="1:26" ht="15.75" customHeight="1" x14ac:dyDescent="0.2">
      <c r="A580" s="1243"/>
      <c r="B580" s="1243"/>
      <c r="C580" s="1243"/>
      <c r="D580" s="1243"/>
      <c r="E580" s="1243"/>
      <c r="F580" s="1243"/>
      <c r="G580" s="1243"/>
      <c r="H580" s="1243"/>
      <c r="I580" s="1243"/>
      <c r="J580" s="1243"/>
      <c r="K580" s="1243"/>
      <c r="L580" s="1243"/>
      <c r="M580" s="1243"/>
      <c r="N580" s="1243"/>
      <c r="O580" s="1243"/>
      <c r="P580" s="1243"/>
      <c r="Q580" s="1243"/>
      <c r="R580" s="1243"/>
      <c r="S580" s="1243"/>
      <c r="T580" s="1243"/>
      <c r="U580" s="1243"/>
      <c r="V580" s="1243"/>
      <c r="W580" s="1243"/>
      <c r="X580" s="1243"/>
      <c r="Y580" s="1243"/>
      <c r="Z580" s="1243"/>
    </row>
    <row r="581" spans="1:26" ht="15.75" customHeight="1" x14ac:dyDescent="0.2">
      <c r="A581" s="1243"/>
      <c r="B581" s="1243"/>
      <c r="C581" s="1243"/>
      <c r="D581" s="1243"/>
      <c r="E581" s="1243"/>
      <c r="F581" s="1243"/>
      <c r="G581" s="1243"/>
      <c r="H581" s="1243"/>
      <c r="I581" s="1243"/>
      <c r="J581" s="1243"/>
      <c r="K581" s="1243"/>
      <c r="L581" s="1243"/>
      <c r="M581" s="1243"/>
      <c r="N581" s="1243"/>
      <c r="O581" s="1243"/>
      <c r="P581" s="1243"/>
      <c r="Q581" s="1243"/>
      <c r="R581" s="1243"/>
      <c r="S581" s="1243"/>
      <c r="T581" s="1243"/>
      <c r="U581" s="1243"/>
      <c r="V581" s="1243"/>
      <c r="W581" s="1243"/>
      <c r="X581" s="1243"/>
      <c r="Y581" s="1243"/>
      <c r="Z581" s="1243"/>
    </row>
    <row r="582" spans="1:26" ht="15.75" customHeight="1" x14ac:dyDescent="0.2">
      <c r="A582" s="1243"/>
      <c r="B582" s="1243"/>
      <c r="C582" s="1243"/>
      <c r="D582" s="1243"/>
      <c r="E582" s="1243"/>
      <c r="F582" s="1243"/>
      <c r="G582" s="1243"/>
      <c r="H582" s="1243"/>
      <c r="I582" s="1243"/>
      <c r="J582" s="1243"/>
      <c r="K582" s="1243"/>
      <c r="L582" s="1243"/>
      <c r="M582" s="1243"/>
      <c r="N582" s="1243"/>
      <c r="O582" s="1243"/>
      <c r="P582" s="1243"/>
      <c r="Q582" s="1243"/>
      <c r="R582" s="1243"/>
      <c r="S582" s="1243"/>
      <c r="T582" s="1243"/>
      <c r="U582" s="1243"/>
      <c r="V582" s="1243"/>
      <c r="W582" s="1243"/>
      <c r="X582" s="1243"/>
      <c r="Y582" s="1243"/>
      <c r="Z582" s="1243"/>
    </row>
    <row r="583" spans="1:26" ht="15.75" customHeight="1" x14ac:dyDescent="0.2">
      <c r="A583" s="1243"/>
      <c r="B583" s="1243"/>
      <c r="C583" s="1243"/>
      <c r="D583" s="1243"/>
      <c r="E583" s="1243"/>
      <c r="F583" s="1243"/>
      <c r="G583" s="1243"/>
      <c r="H583" s="1243"/>
      <c r="I583" s="1243"/>
      <c r="J583" s="1243"/>
      <c r="K583" s="1243"/>
      <c r="L583" s="1243"/>
      <c r="M583" s="1243"/>
      <c r="N583" s="1243"/>
      <c r="O583" s="1243"/>
      <c r="P583" s="1243"/>
      <c r="Q583" s="1243"/>
      <c r="R583" s="1243"/>
      <c r="S583" s="1243"/>
      <c r="T583" s="1243"/>
      <c r="U583" s="1243"/>
      <c r="V583" s="1243"/>
      <c r="W583" s="1243"/>
      <c r="X583" s="1243"/>
      <c r="Y583" s="1243"/>
      <c r="Z583" s="1243"/>
    </row>
    <row r="584" spans="1:26" ht="15.75" customHeight="1" x14ac:dyDescent="0.2">
      <c r="A584" s="1243"/>
      <c r="B584" s="1243"/>
      <c r="C584" s="1243"/>
      <c r="D584" s="1243"/>
      <c r="E584" s="1243"/>
      <c r="F584" s="1243"/>
      <c r="G584" s="1243"/>
      <c r="H584" s="1243"/>
      <c r="I584" s="1243"/>
      <c r="J584" s="1243"/>
      <c r="K584" s="1243"/>
      <c r="L584" s="1243"/>
      <c r="M584" s="1243"/>
      <c r="N584" s="1243"/>
      <c r="O584" s="1243"/>
      <c r="P584" s="1243"/>
      <c r="Q584" s="1243"/>
      <c r="R584" s="1243"/>
      <c r="S584" s="1243"/>
      <c r="T584" s="1243"/>
      <c r="U584" s="1243"/>
      <c r="V584" s="1243"/>
      <c r="W584" s="1243"/>
      <c r="X584" s="1243"/>
      <c r="Y584" s="1243"/>
      <c r="Z584" s="1243"/>
    </row>
    <row r="585" spans="1:26" ht="15.75" customHeight="1" x14ac:dyDescent="0.2">
      <c r="A585" s="1243"/>
      <c r="B585" s="1243"/>
      <c r="C585" s="1243"/>
      <c r="D585" s="1243"/>
      <c r="E585" s="1243"/>
      <c r="F585" s="1243"/>
      <c r="G585" s="1243"/>
      <c r="H585" s="1243"/>
      <c r="I585" s="1243"/>
      <c r="J585" s="1243"/>
      <c r="K585" s="1243"/>
      <c r="L585" s="1243"/>
      <c r="M585" s="1243"/>
      <c r="N585" s="1243"/>
      <c r="O585" s="1243"/>
      <c r="P585" s="1243"/>
      <c r="Q585" s="1243"/>
      <c r="R585" s="1243"/>
      <c r="S585" s="1243"/>
      <c r="T585" s="1243"/>
      <c r="U585" s="1243"/>
      <c r="V585" s="1243"/>
      <c r="W585" s="1243"/>
      <c r="X585" s="1243"/>
      <c r="Y585" s="1243"/>
      <c r="Z585" s="1243"/>
    </row>
    <row r="586" spans="1:26" ht="15.75" customHeight="1" x14ac:dyDescent="0.2">
      <c r="A586" s="1243"/>
      <c r="B586" s="1243"/>
      <c r="C586" s="1243"/>
      <c r="D586" s="1243"/>
      <c r="E586" s="1243"/>
      <c r="F586" s="1243"/>
      <c r="G586" s="1243"/>
      <c r="H586" s="1243"/>
      <c r="I586" s="1243"/>
      <c r="J586" s="1243"/>
      <c r="K586" s="1243"/>
      <c r="L586" s="1243"/>
      <c r="M586" s="1243"/>
      <c r="N586" s="1243"/>
      <c r="O586" s="1243"/>
      <c r="P586" s="1243"/>
      <c r="Q586" s="1243"/>
      <c r="R586" s="1243"/>
      <c r="S586" s="1243"/>
      <c r="T586" s="1243"/>
      <c r="U586" s="1243"/>
      <c r="V586" s="1243"/>
      <c r="W586" s="1243"/>
      <c r="X586" s="1243"/>
      <c r="Y586" s="1243"/>
      <c r="Z586" s="1243"/>
    </row>
    <row r="587" spans="1:26" ht="15.75" customHeight="1" x14ac:dyDescent="0.2">
      <c r="A587" s="1243"/>
      <c r="B587" s="1243"/>
      <c r="C587" s="1243"/>
      <c r="D587" s="1243"/>
      <c r="E587" s="1243"/>
      <c r="F587" s="1243"/>
      <c r="G587" s="1243"/>
      <c r="H587" s="1243"/>
      <c r="I587" s="1243"/>
      <c r="J587" s="1243"/>
      <c r="K587" s="1243"/>
      <c r="L587" s="1243"/>
      <c r="M587" s="1243"/>
      <c r="N587" s="1243"/>
      <c r="O587" s="1243"/>
      <c r="P587" s="1243"/>
      <c r="Q587" s="1243"/>
      <c r="R587" s="1243"/>
      <c r="S587" s="1243"/>
      <c r="T587" s="1243"/>
      <c r="U587" s="1243"/>
      <c r="V587" s="1243"/>
      <c r="W587" s="1243"/>
      <c r="X587" s="1243"/>
      <c r="Y587" s="1243"/>
      <c r="Z587" s="1243"/>
    </row>
    <row r="588" spans="1:26" ht="15.75" customHeight="1" x14ac:dyDescent="0.2">
      <c r="A588" s="1243"/>
      <c r="B588" s="1243"/>
      <c r="C588" s="1243"/>
      <c r="D588" s="1243"/>
      <c r="E588" s="1243"/>
      <c r="F588" s="1243"/>
      <c r="G588" s="1243"/>
      <c r="H588" s="1243"/>
      <c r="I588" s="1243"/>
      <c r="J588" s="1243"/>
      <c r="K588" s="1243"/>
      <c r="L588" s="1243"/>
      <c r="M588" s="1243"/>
      <c r="N588" s="1243"/>
      <c r="O588" s="1243"/>
      <c r="P588" s="1243"/>
      <c r="Q588" s="1243"/>
      <c r="R588" s="1243"/>
      <c r="S588" s="1243"/>
      <c r="T588" s="1243"/>
      <c r="U588" s="1243"/>
      <c r="V588" s="1243"/>
      <c r="W588" s="1243"/>
      <c r="X588" s="1243"/>
      <c r="Y588" s="1243"/>
      <c r="Z588" s="1243"/>
    </row>
    <row r="589" spans="1:26" ht="15.75" customHeight="1" x14ac:dyDescent="0.2">
      <c r="A589" s="1243"/>
      <c r="B589" s="1243"/>
      <c r="C589" s="1243"/>
      <c r="D589" s="1243"/>
      <c r="E589" s="1243"/>
      <c r="F589" s="1243"/>
      <c r="G589" s="1243"/>
      <c r="H589" s="1243"/>
      <c r="I589" s="1243"/>
      <c r="J589" s="1243"/>
      <c r="K589" s="1243"/>
      <c r="L589" s="1243"/>
      <c r="M589" s="1243"/>
      <c r="N589" s="1243"/>
      <c r="O589" s="1243"/>
      <c r="P589" s="1243"/>
      <c r="Q589" s="1243"/>
      <c r="R589" s="1243"/>
      <c r="S589" s="1243"/>
      <c r="T589" s="1243"/>
      <c r="U589" s="1243"/>
      <c r="V589" s="1243"/>
      <c r="W589" s="1243"/>
      <c r="X589" s="1243"/>
      <c r="Y589" s="1243"/>
      <c r="Z589" s="1243"/>
    </row>
    <row r="590" spans="1:26" ht="15.75" customHeight="1" x14ac:dyDescent="0.2">
      <c r="A590" s="1243"/>
      <c r="B590" s="1243"/>
      <c r="C590" s="1243"/>
      <c r="D590" s="1243"/>
      <c r="E590" s="1243"/>
      <c r="F590" s="1243"/>
      <c r="G590" s="1243"/>
      <c r="H590" s="1243"/>
      <c r="I590" s="1243"/>
      <c r="J590" s="1243"/>
      <c r="K590" s="1243"/>
      <c r="L590" s="1243"/>
      <c r="M590" s="1243"/>
      <c r="N590" s="1243"/>
      <c r="O590" s="1243"/>
      <c r="P590" s="1243"/>
      <c r="Q590" s="1243"/>
      <c r="R590" s="1243"/>
      <c r="S590" s="1243"/>
      <c r="T590" s="1243"/>
      <c r="U590" s="1243"/>
      <c r="V590" s="1243"/>
      <c r="W590" s="1243"/>
      <c r="X590" s="1243"/>
      <c r="Y590" s="1243"/>
      <c r="Z590" s="1243"/>
    </row>
    <row r="591" spans="1:26" ht="15.75" customHeight="1" x14ac:dyDescent="0.2">
      <c r="A591" s="1243"/>
      <c r="B591" s="1243"/>
      <c r="C591" s="1243"/>
      <c r="D591" s="1243"/>
      <c r="E591" s="1243"/>
      <c r="F591" s="1243"/>
      <c r="G591" s="1243"/>
      <c r="H591" s="1243"/>
      <c r="I591" s="1243"/>
      <c r="J591" s="1243"/>
      <c r="K591" s="1243"/>
      <c r="L591" s="1243"/>
      <c r="M591" s="1243"/>
      <c r="N591" s="1243"/>
      <c r="O591" s="1243"/>
      <c r="P591" s="1243"/>
      <c r="Q591" s="1243"/>
      <c r="R591" s="1243"/>
      <c r="S591" s="1243"/>
      <c r="T591" s="1243"/>
      <c r="U591" s="1243"/>
      <c r="V591" s="1243"/>
      <c r="W591" s="1243"/>
      <c r="X591" s="1243"/>
      <c r="Y591" s="1243"/>
      <c r="Z591" s="1243"/>
    </row>
    <row r="592" spans="1:26" ht="15.75" customHeight="1" x14ac:dyDescent="0.2">
      <c r="A592" s="1243"/>
      <c r="B592" s="1243"/>
      <c r="C592" s="1243"/>
      <c r="D592" s="1243"/>
      <c r="E592" s="1243"/>
      <c r="F592" s="1243"/>
      <c r="G592" s="1243"/>
      <c r="H592" s="1243"/>
      <c r="I592" s="1243"/>
      <c r="J592" s="1243"/>
      <c r="K592" s="1243"/>
      <c r="L592" s="1243"/>
      <c r="M592" s="1243"/>
      <c r="N592" s="1243"/>
      <c r="O592" s="1243"/>
      <c r="P592" s="1243"/>
      <c r="Q592" s="1243"/>
      <c r="R592" s="1243"/>
      <c r="S592" s="1243"/>
      <c r="T592" s="1243"/>
      <c r="U592" s="1243"/>
      <c r="V592" s="1243"/>
      <c r="W592" s="1243"/>
      <c r="X592" s="1243"/>
      <c r="Y592" s="1243"/>
      <c r="Z592" s="1243"/>
    </row>
    <row r="593" spans="1:26" ht="15.75" customHeight="1" x14ac:dyDescent="0.2">
      <c r="A593" s="1243"/>
      <c r="B593" s="1243"/>
      <c r="C593" s="1243"/>
      <c r="D593" s="1243"/>
      <c r="E593" s="1243"/>
      <c r="F593" s="1243"/>
      <c r="G593" s="1243"/>
      <c r="H593" s="1243"/>
      <c r="I593" s="1243"/>
      <c r="J593" s="1243"/>
      <c r="K593" s="1243"/>
      <c r="L593" s="1243"/>
      <c r="M593" s="1243"/>
      <c r="N593" s="1243"/>
      <c r="O593" s="1243"/>
      <c r="P593" s="1243"/>
      <c r="Q593" s="1243"/>
      <c r="R593" s="1243"/>
      <c r="S593" s="1243"/>
      <c r="T593" s="1243"/>
      <c r="U593" s="1243"/>
      <c r="V593" s="1243"/>
      <c r="W593" s="1243"/>
      <c r="X593" s="1243"/>
      <c r="Y593" s="1243"/>
      <c r="Z593" s="1243"/>
    </row>
    <row r="594" spans="1:26" ht="15.75" customHeight="1" x14ac:dyDescent="0.2">
      <c r="A594" s="1243"/>
      <c r="B594" s="1243"/>
      <c r="C594" s="1243"/>
      <c r="D594" s="1243"/>
      <c r="E594" s="1243"/>
      <c r="F594" s="1243"/>
      <c r="G594" s="1243"/>
      <c r="H594" s="1243"/>
      <c r="I594" s="1243"/>
      <c r="J594" s="1243"/>
      <c r="K594" s="1243"/>
      <c r="L594" s="1243"/>
      <c r="M594" s="1243"/>
      <c r="N594" s="1243"/>
      <c r="O594" s="1243"/>
      <c r="P594" s="1243"/>
      <c r="Q594" s="1243"/>
      <c r="R594" s="1243"/>
      <c r="S594" s="1243"/>
      <c r="T594" s="1243"/>
      <c r="U594" s="1243"/>
      <c r="V594" s="1243"/>
      <c r="W594" s="1243"/>
      <c r="X594" s="1243"/>
      <c r="Y594" s="1243"/>
      <c r="Z594" s="1243"/>
    </row>
    <row r="595" spans="1:26" ht="15.75" customHeight="1" x14ac:dyDescent="0.2">
      <c r="A595" s="1243"/>
      <c r="B595" s="1243"/>
      <c r="C595" s="1243"/>
      <c r="D595" s="1243"/>
      <c r="E595" s="1243"/>
      <c r="F595" s="1243"/>
      <c r="G595" s="1243"/>
      <c r="H595" s="1243"/>
      <c r="I595" s="1243"/>
      <c r="J595" s="1243"/>
      <c r="K595" s="1243"/>
      <c r="L595" s="1243"/>
      <c r="M595" s="1243"/>
      <c r="N595" s="1243"/>
      <c r="O595" s="1243"/>
      <c r="P595" s="1243"/>
      <c r="Q595" s="1243"/>
      <c r="R595" s="1243"/>
      <c r="S595" s="1243"/>
      <c r="T595" s="1243"/>
      <c r="U595" s="1243"/>
      <c r="V595" s="1243"/>
      <c r="W595" s="1243"/>
      <c r="X595" s="1243"/>
      <c r="Y595" s="1243"/>
      <c r="Z595" s="1243"/>
    </row>
    <row r="596" spans="1:26" ht="15.75" customHeight="1" x14ac:dyDescent="0.2">
      <c r="A596" s="1243"/>
      <c r="B596" s="1243"/>
      <c r="C596" s="1243"/>
      <c r="D596" s="1243"/>
      <c r="E596" s="1243"/>
      <c r="F596" s="1243"/>
      <c r="G596" s="1243"/>
      <c r="H596" s="1243"/>
      <c r="I596" s="1243"/>
      <c r="J596" s="1243"/>
      <c r="K596" s="1243"/>
      <c r="L596" s="1243"/>
      <c r="M596" s="1243"/>
      <c r="N596" s="1243"/>
      <c r="O596" s="1243"/>
      <c r="P596" s="1243"/>
      <c r="Q596" s="1243"/>
      <c r="R596" s="1243"/>
      <c r="S596" s="1243"/>
      <c r="T596" s="1243"/>
      <c r="U596" s="1243"/>
      <c r="V596" s="1243"/>
      <c r="W596" s="1243"/>
      <c r="X596" s="1243"/>
      <c r="Y596" s="1243"/>
      <c r="Z596" s="1243"/>
    </row>
    <row r="597" spans="1:26" ht="15.75" customHeight="1" x14ac:dyDescent="0.2">
      <c r="A597" s="1243"/>
      <c r="B597" s="1243"/>
      <c r="C597" s="1243"/>
      <c r="D597" s="1243"/>
      <c r="E597" s="1243"/>
      <c r="F597" s="1243"/>
      <c r="G597" s="1243"/>
      <c r="H597" s="1243"/>
      <c r="I597" s="1243"/>
      <c r="J597" s="1243"/>
      <c r="K597" s="1243"/>
      <c r="L597" s="1243"/>
      <c r="M597" s="1243"/>
      <c r="N597" s="1243"/>
      <c r="O597" s="1243"/>
      <c r="P597" s="1243"/>
      <c r="Q597" s="1243"/>
      <c r="R597" s="1243"/>
      <c r="S597" s="1243"/>
      <c r="T597" s="1243"/>
      <c r="U597" s="1243"/>
      <c r="V597" s="1243"/>
      <c r="W597" s="1243"/>
      <c r="X597" s="1243"/>
      <c r="Y597" s="1243"/>
      <c r="Z597" s="1243"/>
    </row>
    <row r="598" spans="1:26" ht="15.75" customHeight="1" x14ac:dyDescent="0.2">
      <c r="A598" s="1243"/>
      <c r="B598" s="1243"/>
      <c r="C598" s="1243"/>
      <c r="D598" s="1243"/>
      <c r="E598" s="1243"/>
      <c r="F598" s="1243"/>
      <c r="G598" s="1243"/>
      <c r="H598" s="1243"/>
      <c r="I598" s="1243"/>
      <c r="J598" s="1243"/>
      <c r="K598" s="1243"/>
      <c r="L598" s="1243"/>
      <c r="M598" s="1243"/>
      <c r="N598" s="1243"/>
      <c r="O598" s="1243"/>
      <c r="P598" s="1243"/>
      <c r="Q598" s="1243"/>
      <c r="R598" s="1243"/>
      <c r="S598" s="1243"/>
      <c r="T598" s="1243"/>
      <c r="U598" s="1243"/>
      <c r="V598" s="1243"/>
      <c r="W598" s="1243"/>
      <c r="X598" s="1243"/>
      <c r="Y598" s="1243"/>
      <c r="Z598" s="1243"/>
    </row>
    <row r="599" spans="1:26" ht="15.75" customHeight="1" x14ac:dyDescent="0.2">
      <c r="A599" s="1243"/>
      <c r="B599" s="1243"/>
      <c r="C599" s="1243"/>
      <c r="D599" s="1243"/>
      <c r="E599" s="1243"/>
      <c r="F599" s="1243"/>
      <c r="G599" s="1243"/>
      <c r="H599" s="1243"/>
      <c r="I599" s="1243"/>
      <c r="J599" s="1243"/>
      <c r="K599" s="1243"/>
      <c r="L599" s="1243"/>
      <c r="M599" s="1243"/>
      <c r="N599" s="1243"/>
      <c r="O599" s="1243"/>
      <c r="P599" s="1243"/>
      <c r="Q599" s="1243"/>
      <c r="R599" s="1243"/>
      <c r="S599" s="1243"/>
      <c r="T599" s="1243"/>
      <c r="U599" s="1243"/>
      <c r="V599" s="1243"/>
      <c r="W599" s="1243"/>
      <c r="X599" s="1243"/>
      <c r="Y599" s="1243"/>
      <c r="Z599" s="1243"/>
    </row>
    <row r="600" spans="1:26" ht="15.75" customHeight="1" x14ac:dyDescent="0.2">
      <c r="A600" s="1243"/>
      <c r="B600" s="1243"/>
      <c r="C600" s="1243"/>
      <c r="D600" s="1243"/>
      <c r="E600" s="1243"/>
      <c r="F600" s="1243"/>
      <c r="G600" s="1243"/>
      <c r="H600" s="1243"/>
      <c r="I600" s="1243"/>
      <c r="J600" s="1243"/>
      <c r="K600" s="1243"/>
      <c r="L600" s="1243"/>
      <c r="M600" s="1243"/>
      <c r="N600" s="1243"/>
      <c r="O600" s="1243"/>
      <c r="P600" s="1243"/>
      <c r="Q600" s="1243"/>
      <c r="R600" s="1243"/>
      <c r="S600" s="1243"/>
      <c r="T600" s="1243"/>
      <c r="U600" s="1243"/>
      <c r="V600" s="1243"/>
      <c r="W600" s="1243"/>
      <c r="X600" s="1243"/>
      <c r="Y600" s="1243"/>
      <c r="Z600" s="1243"/>
    </row>
    <row r="601" spans="1:26" ht="15.75" customHeight="1" x14ac:dyDescent="0.2">
      <c r="A601" s="1243"/>
      <c r="B601" s="1243"/>
      <c r="C601" s="1243"/>
      <c r="D601" s="1243"/>
      <c r="E601" s="1243"/>
      <c r="F601" s="1243"/>
      <c r="G601" s="1243"/>
      <c r="H601" s="1243"/>
      <c r="I601" s="1243"/>
      <c r="J601" s="1243"/>
      <c r="K601" s="1243"/>
      <c r="L601" s="1243"/>
      <c r="M601" s="1243"/>
      <c r="N601" s="1243"/>
      <c r="O601" s="1243"/>
      <c r="P601" s="1243"/>
      <c r="Q601" s="1243"/>
      <c r="R601" s="1243"/>
      <c r="S601" s="1243"/>
      <c r="T601" s="1243"/>
      <c r="U601" s="1243"/>
      <c r="V601" s="1243"/>
      <c r="W601" s="1243"/>
      <c r="X601" s="1243"/>
      <c r="Y601" s="1243"/>
      <c r="Z601" s="1243"/>
    </row>
    <row r="602" spans="1:26" ht="15.75" customHeight="1" x14ac:dyDescent="0.2">
      <c r="A602" s="1243"/>
      <c r="B602" s="1243"/>
      <c r="C602" s="1243"/>
      <c r="D602" s="1243"/>
      <c r="E602" s="1243"/>
      <c r="F602" s="1243"/>
      <c r="G602" s="1243"/>
      <c r="H602" s="1243"/>
      <c r="I602" s="1243"/>
      <c r="J602" s="1243"/>
      <c r="K602" s="1243"/>
      <c r="L602" s="1243"/>
      <c r="M602" s="1243"/>
      <c r="N602" s="1243"/>
      <c r="O602" s="1243"/>
      <c r="P602" s="1243"/>
      <c r="Q602" s="1243"/>
      <c r="R602" s="1243"/>
      <c r="S602" s="1243"/>
      <c r="T602" s="1243"/>
      <c r="U602" s="1243"/>
      <c r="V602" s="1243"/>
      <c r="W602" s="1243"/>
      <c r="X602" s="1243"/>
      <c r="Y602" s="1243"/>
      <c r="Z602" s="1243"/>
    </row>
    <row r="603" spans="1:26" ht="15.75" customHeight="1" x14ac:dyDescent="0.2">
      <c r="A603" s="1243"/>
      <c r="B603" s="1243"/>
      <c r="C603" s="1243"/>
      <c r="D603" s="1243"/>
      <c r="E603" s="1243"/>
      <c r="F603" s="1243"/>
      <c r="G603" s="1243"/>
      <c r="H603" s="1243"/>
      <c r="I603" s="1243"/>
      <c r="J603" s="1243"/>
      <c r="K603" s="1243"/>
      <c r="L603" s="1243"/>
      <c r="M603" s="1243"/>
      <c r="N603" s="1243"/>
      <c r="O603" s="1243"/>
      <c r="P603" s="1243"/>
      <c r="Q603" s="1243"/>
      <c r="R603" s="1243"/>
      <c r="S603" s="1243"/>
      <c r="T603" s="1243"/>
      <c r="U603" s="1243"/>
      <c r="V603" s="1243"/>
      <c r="W603" s="1243"/>
      <c r="X603" s="1243"/>
      <c r="Y603" s="1243"/>
      <c r="Z603" s="1243"/>
    </row>
    <row r="604" spans="1:26" ht="15.75" customHeight="1" x14ac:dyDescent="0.2">
      <c r="A604" s="1243"/>
      <c r="B604" s="1243"/>
      <c r="C604" s="1243"/>
      <c r="D604" s="1243"/>
      <c r="E604" s="1243"/>
      <c r="F604" s="1243"/>
      <c r="G604" s="1243"/>
      <c r="H604" s="1243"/>
      <c r="I604" s="1243"/>
      <c r="J604" s="1243"/>
      <c r="K604" s="1243"/>
      <c r="L604" s="1243"/>
      <c r="M604" s="1243"/>
      <c r="N604" s="1243"/>
      <c r="O604" s="1243"/>
      <c r="P604" s="1243"/>
      <c r="Q604" s="1243"/>
      <c r="R604" s="1243"/>
      <c r="S604" s="1243"/>
      <c r="T604" s="1243"/>
      <c r="U604" s="1243"/>
      <c r="V604" s="1243"/>
      <c r="W604" s="1243"/>
      <c r="X604" s="1243"/>
      <c r="Y604" s="1243"/>
      <c r="Z604" s="1243"/>
    </row>
    <row r="605" spans="1:26" ht="15.75" customHeight="1" x14ac:dyDescent="0.2">
      <c r="A605" s="1243"/>
      <c r="B605" s="1243"/>
      <c r="C605" s="1243"/>
      <c r="D605" s="1243"/>
      <c r="E605" s="1243"/>
      <c r="F605" s="1243"/>
      <c r="G605" s="1243"/>
      <c r="H605" s="1243"/>
      <c r="I605" s="1243"/>
      <c r="J605" s="1243"/>
      <c r="K605" s="1243"/>
      <c r="L605" s="1243"/>
      <c r="M605" s="1243"/>
      <c r="N605" s="1243"/>
      <c r="O605" s="1243"/>
      <c r="P605" s="1243"/>
      <c r="Q605" s="1243"/>
      <c r="R605" s="1243"/>
      <c r="S605" s="1243"/>
      <c r="T605" s="1243"/>
      <c r="U605" s="1243"/>
      <c r="V605" s="1243"/>
      <c r="W605" s="1243"/>
      <c r="X605" s="1243"/>
      <c r="Y605" s="1243"/>
      <c r="Z605" s="1243"/>
    </row>
    <row r="606" spans="1:26" ht="15.75" customHeight="1" x14ac:dyDescent="0.2">
      <c r="A606" s="1243"/>
      <c r="B606" s="1243"/>
      <c r="C606" s="1243"/>
      <c r="D606" s="1243"/>
      <c r="E606" s="1243"/>
      <c r="F606" s="1243"/>
      <c r="G606" s="1243"/>
      <c r="H606" s="1243"/>
      <c r="I606" s="1243"/>
      <c r="J606" s="1243"/>
      <c r="K606" s="1243"/>
      <c r="L606" s="1243"/>
      <c r="M606" s="1243"/>
      <c r="N606" s="1243"/>
      <c r="O606" s="1243"/>
      <c r="P606" s="1243"/>
      <c r="Q606" s="1243"/>
      <c r="R606" s="1243"/>
      <c r="S606" s="1243"/>
      <c r="T606" s="1243"/>
      <c r="U606" s="1243"/>
      <c r="V606" s="1243"/>
      <c r="W606" s="1243"/>
      <c r="X606" s="1243"/>
      <c r="Y606" s="1243"/>
      <c r="Z606" s="1243"/>
    </row>
    <row r="607" spans="1:26" ht="15.75" customHeight="1" x14ac:dyDescent="0.2">
      <c r="A607" s="1243"/>
      <c r="B607" s="1243"/>
      <c r="C607" s="1243"/>
      <c r="D607" s="1243"/>
      <c r="E607" s="1243"/>
      <c r="F607" s="1243"/>
      <c r="G607" s="1243"/>
      <c r="H607" s="1243"/>
      <c r="I607" s="1243"/>
      <c r="J607" s="1243"/>
      <c r="K607" s="1243"/>
      <c r="L607" s="1243"/>
      <c r="M607" s="1243"/>
      <c r="N607" s="1243"/>
      <c r="O607" s="1243"/>
      <c r="P607" s="1243"/>
      <c r="Q607" s="1243"/>
      <c r="R607" s="1243"/>
      <c r="S607" s="1243"/>
      <c r="T607" s="1243"/>
      <c r="U607" s="1243"/>
      <c r="V607" s="1243"/>
      <c r="W607" s="1243"/>
      <c r="X607" s="1243"/>
      <c r="Y607" s="1243"/>
      <c r="Z607" s="1243"/>
    </row>
    <row r="608" spans="1:26" ht="15.75" customHeight="1" x14ac:dyDescent="0.2">
      <c r="A608" s="1243"/>
      <c r="B608" s="1243"/>
      <c r="C608" s="1243"/>
      <c r="D608" s="1243"/>
      <c r="E608" s="1243"/>
      <c r="F608" s="1243"/>
      <c r="G608" s="1243"/>
      <c r="H608" s="1243"/>
      <c r="I608" s="1243"/>
      <c r="J608" s="1243"/>
      <c r="K608" s="1243"/>
      <c r="L608" s="1243"/>
      <c r="M608" s="1243"/>
      <c r="N608" s="1243"/>
      <c r="O608" s="1243"/>
      <c r="P608" s="1243"/>
      <c r="Q608" s="1243"/>
      <c r="R608" s="1243"/>
      <c r="S608" s="1243"/>
      <c r="T608" s="1243"/>
      <c r="U608" s="1243"/>
      <c r="V608" s="1243"/>
      <c r="W608" s="1243"/>
      <c r="X608" s="1243"/>
      <c r="Y608" s="1243"/>
      <c r="Z608" s="1243"/>
    </row>
    <row r="609" spans="1:26" ht="15.75" customHeight="1" x14ac:dyDescent="0.2">
      <c r="A609" s="1243"/>
      <c r="B609" s="1243"/>
      <c r="C609" s="1243"/>
      <c r="D609" s="1243"/>
      <c r="E609" s="1243"/>
      <c r="F609" s="1243"/>
      <c r="G609" s="1243"/>
      <c r="H609" s="1243"/>
      <c r="I609" s="1243"/>
      <c r="J609" s="1243"/>
      <c r="K609" s="1243"/>
      <c r="L609" s="1243"/>
      <c r="M609" s="1243"/>
      <c r="N609" s="1243"/>
      <c r="O609" s="1243"/>
      <c r="P609" s="1243"/>
      <c r="Q609" s="1243"/>
      <c r="R609" s="1243"/>
      <c r="S609" s="1243"/>
      <c r="T609" s="1243"/>
      <c r="U609" s="1243"/>
      <c r="V609" s="1243"/>
      <c r="W609" s="1243"/>
      <c r="X609" s="1243"/>
      <c r="Y609" s="1243"/>
      <c r="Z609" s="1243"/>
    </row>
    <row r="610" spans="1:26" ht="15.75" customHeight="1" x14ac:dyDescent="0.2">
      <c r="A610" s="1243"/>
      <c r="B610" s="1243"/>
      <c r="C610" s="1243"/>
      <c r="D610" s="1243"/>
      <c r="E610" s="1243"/>
      <c r="F610" s="1243"/>
      <c r="G610" s="1243"/>
      <c r="H610" s="1243"/>
      <c r="I610" s="1243"/>
      <c r="J610" s="1243"/>
      <c r="K610" s="1243"/>
      <c r="L610" s="1243"/>
      <c r="M610" s="1243"/>
      <c r="N610" s="1243"/>
      <c r="O610" s="1243"/>
      <c r="P610" s="1243"/>
      <c r="Q610" s="1243"/>
      <c r="R610" s="1243"/>
      <c r="S610" s="1243"/>
      <c r="T610" s="1243"/>
      <c r="U610" s="1243"/>
      <c r="V610" s="1243"/>
      <c r="W610" s="1243"/>
      <c r="X610" s="1243"/>
      <c r="Y610" s="1243"/>
      <c r="Z610" s="1243"/>
    </row>
    <row r="611" spans="1:26" ht="15.75" customHeight="1" x14ac:dyDescent="0.2">
      <c r="A611" s="1243"/>
      <c r="B611" s="1243"/>
      <c r="C611" s="1243"/>
      <c r="D611" s="1243"/>
      <c r="E611" s="1243"/>
      <c r="F611" s="1243"/>
      <c r="G611" s="1243"/>
      <c r="H611" s="1243"/>
      <c r="I611" s="1243"/>
      <c r="J611" s="1243"/>
      <c r="K611" s="1243"/>
      <c r="L611" s="1243"/>
      <c r="M611" s="1243"/>
      <c r="N611" s="1243"/>
      <c r="O611" s="1243"/>
      <c r="P611" s="1243"/>
      <c r="Q611" s="1243"/>
      <c r="R611" s="1243"/>
      <c r="S611" s="1243"/>
      <c r="T611" s="1243"/>
      <c r="U611" s="1243"/>
      <c r="V611" s="1243"/>
      <c r="W611" s="1243"/>
      <c r="X611" s="1243"/>
      <c r="Y611" s="1243"/>
      <c r="Z611" s="1243"/>
    </row>
    <row r="612" spans="1:26" ht="15.75" customHeight="1" x14ac:dyDescent="0.2">
      <c r="A612" s="1243"/>
      <c r="B612" s="1243"/>
      <c r="C612" s="1243"/>
      <c r="D612" s="1243"/>
      <c r="E612" s="1243"/>
      <c r="F612" s="1243"/>
      <c r="G612" s="1243"/>
      <c r="H612" s="1243"/>
      <c r="I612" s="1243"/>
      <c r="J612" s="1243"/>
      <c r="K612" s="1243"/>
      <c r="L612" s="1243"/>
      <c r="M612" s="1243"/>
      <c r="N612" s="1243"/>
      <c r="O612" s="1243"/>
      <c r="P612" s="1243"/>
      <c r="Q612" s="1243"/>
      <c r="R612" s="1243"/>
      <c r="S612" s="1243"/>
      <c r="T612" s="1243"/>
      <c r="U612" s="1243"/>
      <c r="V612" s="1243"/>
      <c r="W612" s="1243"/>
      <c r="X612" s="1243"/>
      <c r="Y612" s="1243"/>
      <c r="Z612" s="1243"/>
    </row>
    <row r="613" spans="1:26" ht="15.75" customHeight="1" x14ac:dyDescent="0.2">
      <c r="A613" s="1243"/>
      <c r="B613" s="1243"/>
      <c r="C613" s="1243"/>
      <c r="D613" s="1243"/>
      <c r="E613" s="1243"/>
      <c r="F613" s="1243"/>
      <c r="G613" s="1243"/>
      <c r="H613" s="1243"/>
      <c r="I613" s="1243"/>
      <c r="J613" s="1243"/>
      <c r="K613" s="1243"/>
      <c r="L613" s="1243"/>
      <c r="M613" s="1243"/>
      <c r="N613" s="1243"/>
      <c r="O613" s="1243"/>
      <c r="P613" s="1243"/>
      <c r="Q613" s="1243"/>
      <c r="R613" s="1243"/>
      <c r="S613" s="1243"/>
      <c r="T613" s="1243"/>
      <c r="U613" s="1243"/>
      <c r="V613" s="1243"/>
      <c r="W613" s="1243"/>
      <c r="X613" s="1243"/>
      <c r="Y613" s="1243"/>
      <c r="Z613" s="1243"/>
    </row>
    <row r="614" spans="1:26" ht="15.75" customHeight="1" x14ac:dyDescent="0.2">
      <c r="A614" s="1243"/>
      <c r="B614" s="1243"/>
      <c r="C614" s="1243"/>
      <c r="D614" s="1243"/>
      <c r="E614" s="1243"/>
      <c r="F614" s="1243"/>
      <c r="G614" s="1243"/>
      <c r="H614" s="1243"/>
      <c r="I614" s="1243"/>
      <c r="J614" s="1243"/>
      <c r="K614" s="1243"/>
      <c r="L614" s="1243"/>
      <c r="M614" s="1243"/>
      <c r="N614" s="1243"/>
      <c r="O614" s="1243"/>
      <c r="P614" s="1243"/>
      <c r="Q614" s="1243"/>
      <c r="R614" s="1243"/>
      <c r="S614" s="1243"/>
      <c r="T614" s="1243"/>
      <c r="U614" s="1243"/>
      <c r="V614" s="1243"/>
      <c r="W614" s="1243"/>
      <c r="X614" s="1243"/>
      <c r="Y614" s="1243"/>
      <c r="Z614" s="1243"/>
    </row>
    <row r="615" spans="1:26" ht="15.75" customHeight="1" x14ac:dyDescent="0.2">
      <c r="A615" s="1243"/>
      <c r="B615" s="1243"/>
      <c r="C615" s="1243"/>
      <c r="D615" s="1243"/>
      <c r="E615" s="1243"/>
      <c r="F615" s="1243"/>
      <c r="G615" s="1243"/>
      <c r="H615" s="1243"/>
      <c r="I615" s="1243"/>
      <c r="J615" s="1243"/>
      <c r="K615" s="1243"/>
      <c r="L615" s="1243"/>
      <c r="M615" s="1243"/>
      <c r="N615" s="1243"/>
      <c r="O615" s="1243"/>
      <c r="P615" s="1243"/>
      <c r="Q615" s="1243"/>
      <c r="R615" s="1243"/>
      <c r="S615" s="1243"/>
      <c r="T615" s="1243"/>
      <c r="U615" s="1243"/>
      <c r="V615" s="1243"/>
      <c r="W615" s="1243"/>
      <c r="X615" s="1243"/>
      <c r="Y615" s="1243"/>
      <c r="Z615" s="1243"/>
    </row>
    <row r="616" spans="1:26" ht="15.75" customHeight="1" x14ac:dyDescent="0.2">
      <c r="A616" s="1243"/>
      <c r="B616" s="1243"/>
      <c r="C616" s="1243"/>
      <c r="D616" s="1243"/>
      <c r="E616" s="1243"/>
      <c r="F616" s="1243"/>
      <c r="G616" s="1243"/>
      <c r="H616" s="1243"/>
      <c r="I616" s="1243"/>
      <c r="J616" s="1243"/>
      <c r="K616" s="1243"/>
      <c r="L616" s="1243"/>
      <c r="M616" s="1243"/>
      <c r="N616" s="1243"/>
      <c r="O616" s="1243"/>
      <c r="P616" s="1243"/>
      <c r="Q616" s="1243"/>
      <c r="R616" s="1243"/>
      <c r="S616" s="1243"/>
      <c r="T616" s="1243"/>
      <c r="U616" s="1243"/>
      <c r="V616" s="1243"/>
      <c r="W616" s="1243"/>
      <c r="X616" s="1243"/>
      <c r="Y616" s="1243"/>
      <c r="Z616" s="1243"/>
    </row>
    <row r="617" spans="1:26" ht="15.75" customHeight="1" x14ac:dyDescent="0.2">
      <c r="A617" s="1243"/>
      <c r="B617" s="1243"/>
      <c r="C617" s="1243"/>
      <c r="D617" s="1243"/>
      <c r="E617" s="1243"/>
      <c r="F617" s="1243"/>
      <c r="G617" s="1243"/>
      <c r="H617" s="1243"/>
      <c r="I617" s="1243"/>
      <c r="J617" s="1243"/>
      <c r="K617" s="1243"/>
      <c r="L617" s="1243"/>
      <c r="M617" s="1243"/>
      <c r="N617" s="1243"/>
      <c r="O617" s="1243"/>
      <c r="P617" s="1243"/>
      <c r="Q617" s="1243"/>
      <c r="R617" s="1243"/>
      <c r="S617" s="1243"/>
      <c r="T617" s="1243"/>
      <c r="U617" s="1243"/>
      <c r="V617" s="1243"/>
      <c r="W617" s="1243"/>
      <c r="X617" s="1243"/>
      <c r="Y617" s="1243"/>
      <c r="Z617" s="1243"/>
    </row>
    <row r="618" spans="1:26" ht="15.75" customHeight="1" x14ac:dyDescent="0.2">
      <c r="A618" s="1243"/>
      <c r="B618" s="1243"/>
      <c r="C618" s="1243"/>
      <c r="D618" s="1243"/>
      <c r="E618" s="1243"/>
      <c r="F618" s="1243"/>
      <c r="G618" s="1243"/>
      <c r="H618" s="1243"/>
      <c r="I618" s="1243"/>
      <c r="J618" s="1243"/>
      <c r="K618" s="1243"/>
      <c r="L618" s="1243"/>
      <c r="M618" s="1243"/>
      <c r="N618" s="1243"/>
      <c r="O618" s="1243"/>
      <c r="P618" s="1243"/>
      <c r="Q618" s="1243"/>
      <c r="R618" s="1243"/>
      <c r="S618" s="1243"/>
      <c r="T618" s="1243"/>
      <c r="U618" s="1243"/>
      <c r="V618" s="1243"/>
      <c r="W618" s="1243"/>
      <c r="X618" s="1243"/>
      <c r="Y618" s="1243"/>
      <c r="Z618" s="1243"/>
    </row>
    <row r="619" spans="1:26" ht="15.75" customHeight="1" x14ac:dyDescent="0.2">
      <c r="A619" s="1243"/>
      <c r="B619" s="1243"/>
      <c r="C619" s="1243"/>
      <c r="D619" s="1243"/>
      <c r="E619" s="1243"/>
      <c r="F619" s="1243"/>
      <c r="G619" s="1243"/>
      <c r="H619" s="1243"/>
      <c r="I619" s="1243"/>
      <c r="J619" s="1243"/>
      <c r="K619" s="1243"/>
      <c r="L619" s="1243"/>
      <c r="M619" s="1243"/>
      <c r="N619" s="1243"/>
      <c r="O619" s="1243"/>
      <c r="P619" s="1243"/>
      <c r="Q619" s="1243"/>
      <c r="R619" s="1243"/>
      <c r="S619" s="1243"/>
      <c r="T619" s="1243"/>
      <c r="U619" s="1243"/>
      <c r="V619" s="1243"/>
      <c r="W619" s="1243"/>
      <c r="X619" s="1243"/>
      <c r="Y619" s="1243"/>
      <c r="Z619" s="1243"/>
    </row>
    <row r="620" spans="1:26" ht="15.75" customHeight="1" x14ac:dyDescent="0.2">
      <c r="A620" s="1243"/>
      <c r="B620" s="1243"/>
      <c r="C620" s="1243"/>
      <c r="D620" s="1243"/>
      <c r="E620" s="1243"/>
      <c r="F620" s="1243"/>
      <c r="G620" s="1243"/>
      <c r="H620" s="1243"/>
      <c r="I620" s="1243"/>
      <c r="J620" s="1243"/>
      <c r="K620" s="1243"/>
      <c r="L620" s="1243"/>
      <c r="M620" s="1243"/>
      <c r="N620" s="1243"/>
      <c r="O620" s="1243"/>
      <c r="P620" s="1243"/>
      <c r="Q620" s="1243"/>
      <c r="R620" s="1243"/>
      <c r="S620" s="1243"/>
      <c r="T620" s="1243"/>
      <c r="U620" s="1243"/>
      <c r="V620" s="1243"/>
      <c r="W620" s="1243"/>
      <c r="X620" s="1243"/>
      <c r="Y620" s="1243"/>
      <c r="Z620" s="1243"/>
    </row>
    <row r="621" spans="1:26" ht="15.75" customHeight="1" x14ac:dyDescent="0.2">
      <c r="A621" s="1243"/>
      <c r="B621" s="1243"/>
      <c r="C621" s="1243"/>
      <c r="D621" s="1243"/>
      <c r="E621" s="1243"/>
      <c r="F621" s="1243"/>
      <c r="G621" s="1243"/>
      <c r="H621" s="1243"/>
      <c r="I621" s="1243"/>
      <c r="J621" s="1243"/>
      <c r="K621" s="1243"/>
      <c r="L621" s="1243"/>
      <c r="M621" s="1243"/>
      <c r="N621" s="1243"/>
      <c r="O621" s="1243"/>
      <c r="P621" s="1243"/>
      <c r="Q621" s="1243"/>
      <c r="R621" s="1243"/>
      <c r="S621" s="1243"/>
      <c r="T621" s="1243"/>
      <c r="U621" s="1243"/>
      <c r="V621" s="1243"/>
      <c r="W621" s="1243"/>
      <c r="X621" s="1243"/>
      <c r="Y621" s="1243"/>
      <c r="Z621" s="1243"/>
    </row>
    <row r="622" spans="1:26" ht="15.75" customHeight="1" x14ac:dyDescent="0.2">
      <c r="A622" s="1243"/>
      <c r="B622" s="1243"/>
      <c r="C622" s="1243"/>
      <c r="D622" s="1243"/>
      <c r="E622" s="1243"/>
      <c r="F622" s="1243"/>
      <c r="G622" s="1243"/>
      <c r="H622" s="1243"/>
      <c r="I622" s="1243"/>
      <c r="J622" s="1243"/>
      <c r="K622" s="1243"/>
      <c r="L622" s="1243"/>
      <c r="M622" s="1243"/>
      <c r="N622" s="1243"/>
      <c r="O622" s="1243"/>
      <c r="P622" s="1243"/>
      <c r="Q622" s="1243"/>
      <c r="R622" s="1243"/>
      <c r="S622" s="1243"/>
      <c r="T622" s="1243"/>
      <c r="U622" s="1243"/>
      <c r="V622" s="1243"/>
      <c r="W622" s="1243"/>
      <c r="X622" s="1243"/>
      <c r="Y622" s="1243"/>
      <c r="Z622" s="1243"/>
    </row>
    <row r="623" spans="1:26" ht="15.75" customHeight="1" x14ac:dyDescent="0.2">
      <c r="A623" s="1243"/>
      <c r="B623" s="1243"/>
      <c r="C623" s="1243"/>
      <c r="D623" s="1243"/>
      <c r="E623" s="1243"/>
      <c r="F623" s="1243"/>
      <c r="G623" s="1243"/>
      <c r="H623" s="1243"/>
      <c r="I623" s="1243"/>
      <c r="J623" s="1243"/>
      <c r="K623" s="1243"/>
      <c r="L623" s="1243"/>
      <c r="M623" s="1243"/>
      <c r="N623" s="1243"/>
      <c r="O623" s="1243"/>
      <c r="P623" s="1243"/>
      <c r="Q623" s="1243"/>
      <c r="R623" s="1243"/>
      <c r="S623" s="1243"/>
      <c r="T623" s="1243"/>
      <c r="U623" s="1243"/>
      <c r="V623" s="1243"/>
      <c r="W623" s="1243"/>
      <c r="X623" s="1243"/>
      <c r="Y623" s="1243"/>
      <c r="Z623" s="1243"/>
    </row>
    <row r="624" spans="1:26" ht="15.75" customHeight="1" x14ac:dyDescent="0.2">
      <c r="A624" s="1243"/>
      <c r="B624" s="1243"/>
      <c r="C624" s="1243"/>
      <c r="D624" s="1243"/>
      <c r="E624" s="1243"/>
      <c r="F624" s="1243"/>
      <c r="G624" s="1243"/>
      <c r="H624" s="1243"/>
      <c r="I624" s="1243"/>
      <c r="J624" s="1243"/>
      <c r="K624" s="1243"/>
      <c r="L624" s="1243"/>
      <c r="M624" s="1243"/>
      <c r="N624" s="1243"/>
      <c r="O624" s="1243"/>
      <c r="P624" s="1243"/>
      <c r="Q624" s="1243"/>
      <c r="R624" s="1243"/>
      <c r="S624" s="1243"/>
      <c r="T624" s="1243"/>
      <c r="U624" s="1243"/>
      <c r="V624" s="1243"/>
      <c r="W624" s="1243"/>
      <c r="X624" s="1243"/>
      <c r="Y624" s="1243"/>
      <c r="Z624" s="1243"/>
    </row>
    <row r="625" spans="1:26" ht="15.75" customHeight="1" x14ac:dyDescent="0.2">
      <c r="A625" s="1243"/>
      <c r="B625" s="1243"/>
      <c r="C625" s="1243"/>
      <c r="D625" s="1243"/>
      <c r="E625" s="1243"/>
      <c r="F625" s="1243"/>
      <c r="G625" s="1243"/>
      <c r="H625" s="1243"/>
      <c r="I625" s="1243"/>
      <c r="J625" s="1243"/>
      <c r="K625" s="1243"/>
      <c r="L625" s="1243"/>
      <c r="M625" s="1243"/>
      <c r="N625" s="1243"/>
      <c r="O625" s="1243"/>
      <c r="P625" s="1243"/>
      <c r="Q625" s="1243"/>
      <c r="R625" s="1243"/>
      <c r="S625" s="1243"/>
      <c r="T625" s="1243"/>
      <c r="U625" s="1243"/>
      <c r="V625" s="1243"/>
      <c r="W625" s="1243"/>
      <c r="X625" s="1243"/>
      <c r="Y625" s="1243"/>
      <c r="Z625" s="1243"/>
    </row>
    <row r="626" spans="1:26" ht="15.75" customHeight="1" x14ac:dyDescent="0.2">
      <c r="A626" s="1243"/>
      <c r="B626" s="1243"/>
      <c r="C626" s="1243"/>
      <c r="D626" s="1243"/>
      <c r="E626" s="1243"/>
      <c r="F626" s="1243"/>
      <c r="G626" s="1243"/>
      <c r="H626" s="1243"/>
      <c r="I626" s="1243"/>
      <c r="J626" s="1243"/>
      <c r="K626" s="1243"/>
      <c r="L626" s="1243"/>
      <c r="M626" s="1243"/>
      <c r="N626" s="1243"/>
      <c r="O626" s="1243"/>
      <c r="P626" s="1243"/>
      <c r="Q626" s="1243"/>
      <c r="R626" s="1243"/>
      <c r="S626" s="1243"/>
      <c r="T626" s="1243"/>
      <c r="U626" s="1243"/>
      <c r="V626" s="1243"/>
      <c r="W626" s="1243"/>
      <c r="X626" s="1243"/>
      <c r="Y626" s="1243"/>
      <c r="Z626" s="1243"/>
    </row>
    <row r="627" spans="1:26" ht="15.75" customHeight="1" x14ac:dyDescent="0.2">
      <c r="A627" s="1243"/>
      <c r="B627" s="1243"/>
      <c r="C627" s="1243"/>
      <c r="D627" s="1243"/>
      <c r="E627" s="1243"/>
      <c r="F627" s="1243"/>
      <c r="G627" s="1243"/>
      <c r="H627" s="1243"/>
      <c r="I627" s="1243"/>
      <c r="J627" s="1243"/>
      <c r="K627" s="1243"/>
      <c r="L627" s="1243"/>
      <c r="M627" s="1243"/>
      <c r="N627" s="1243"/>
      <c r="O627" s="1243"/>
      <c r="P627" s="1243"/>
      <c r="Q627" s="1243"/>
      <c r="R627" s="1243"/>
      <c r="S627" s="1243"/>
      <c r="T627" s="1243"/>
      <c r="U627" s="1243"/>
      <c r="V627" s="1243"/>
      <c r="W627" s="1243"/>
      <c r="X627" s="1243"/>
      <c r="Y627" s="1243"/>
      <c r="Z627" s="1243"/>
    </row>
    <row r="628" spans="1:26" ht="15.75" customHeight="1" x14ac:dyDescent="0.2">
      <c r="A628" s="1243"/>
      <c r="B628" s="1243"/>
      <c r="C628" s="1243"/>
      <c r="D628" s="1243"/>
      <c r="E628" s="1243"/>
      <c r="F628" s="1243"/>
      <c r="G628" s="1243"/>
      <c r="H628" s="1243"/>
      <c r="I628" s="1243"/>
      <c r="J628" s="1243"/>
      <c r="K628" s="1243"/>
      <c r="L628" s="1243"/>
      <c r="M628" s="1243"/>
      <c r="N628" s="1243"/>
      <c r="O628" s="1243"/>
      <c r="P628" s="1243"/>
      <c r="Q628" s="1243"/>
      <c r="R628" s="1243"/>
      <c r="S628" s="1243"/>
      <c r="T628" s="1243"/>
      <c r="U628" s="1243"/>
      <c r="V628" s="1243"/>
      <c r="W628" s="1243"/>
      <c r="X628" s="1243"/>
      <c r="Y628" s="1243"/>
      <c r="Z628" s="1243"/>
    </row>
    <row r="629" spans="1:26" ht="15.75" customHeight="1" x14ac:dyDescent="0.2">
      <c r="A629" s="1243"/>
      <c r="B629" s="1243"/>
      <c r="C629" s="1243"/>
      <c r="D629" s="1243"/>
      <c r="E629" s="1243"/>
      <c r="F629" s="1243"/>
      <c r="G629" s="1243"/>
      <c r="H629" s="1243"/>
      <c r="I629" s="1243"/>
      <c r="J629" s="1243"/>
      <c r="K629" s="1243"/>
      <c r="L629" s="1243"/>
      <c r="M629" s="1243"/>
      <c r="N629" s="1243"/>
      <c r="O629" s="1243"/>
      <c r="P629" s="1243"/>
      <c r="Q629" s="1243"/>
      <c r="R629" s="1243"/>
      <c r="S629" s="1243"/>
      <c r="T629" s="1243"/>
      <c r="U629" s="1243"/>
      <c r="V629" s="1243"/>
      <c r="W629" s="1243"/>
      <c r="X629" s="1243"/>
      <c r="Y629" s="1243"/>
      <c r="Z629" s="1243"/>
    </row>
    <row r="630" spans="1:26" ht="15.75" customHeight="1" x14ac:dyDescent="0.2">
      <c r="A630" s="1243"/>
      <c r="B630" s="1243"/>
      <c r="C630" s="1243"/>
      <c r="D630" s="1243"/>
      <c r="E630" s="1243"/>
      <c r="F630" s="1243"/>
      <c r="G630" s="1243"/>
      <c r="H630" s="1243"/>
      <c r="I630" s="1243"/>
      <c r="J630" s="1243"/>
      <c r="K630" s="1243"/>
      <c r="L630" s="1243"/>
      <c r="M630" s="1243"/>
      <c r="N630" s="1243"/>
      <c r="O630" s="1243"/>
      <c r="P630" s="1243"/>
      <c r="Q630" s="1243"/>
      <c r="R630" s="1243"/>
      <c r="S630" s="1243"/>
      <c r="T630" s="1243"/>
      <c r="U630" s="1243"/>
      <c r="V630" s="1243"/>
      <c r="W630" s="1243"/>
      <c r="X630" s="1243"/>
      <c r="Y630" s="1243"/>
      <c r="Z630" s="1243"/>
    </row>
    <row r="631" spans="1:26" ht="15.75" customHeight="1" x14ac:dyDescent="0.2">
      <c r="A631" s="1243"/>
      <c r="B631" s="1243"/>
      <c r="C631" s="1243"/>
      <c r="D631" s="1243"/>
      <c r="E631" s="1243"/>
      <c r="F631" s="1243"/>
      <c r="G631" s="1243"/>
      <c r="H631" s="1243"/>
      <c r="I631" s="1243"/>
      <c r="J631" s="1243"/>
      <c r="K631" s="1243"/>
      <c r="L631" s="1243"/>
      <c r="M631" s="1243"/>
      <c r="N631" s="1243"/>
      <c r="O631" s="1243"/>
      <c r="P631" s="1243"/>
      <c r="Q631" s="1243"/>
      <c r="R631" s="1243"/>
      <c r="S631" s="1243"/>
      <c r="T631" s="1243"/>
      <c r="U631" s="1243"/>
      <c r="V631" s="1243"/>
      <c r="W631" s="1243"/>
      <c r="X631" s="1243"/>
      <c r="Y631" s="1243"/>
      <c r="Z631" s="1243"/>
    </row>
    <row r="632" spans="1:26" ht="15.75" customHeight="1" x14ac:dyDescent="0.2">
      <c r="A632" s="1243"/>
      <c r="B632" s="1243"/>
      <c r="C632" s="1243"/>
      <c r="D632" s="1243"/>
      <c r="E632" s="1243"/>
      <c r="F632" s="1243"/>
      <c r="G632" s="1243"/>
      <c r="H632" s="1243"/>
      <c r="I632" s="1243"/>
      <c r="J632" s="1243"/>
      <c r="K632" s="1243"/>
      <c r="L632" s="1243"/>
      <c r="M632" s="1243"/>
      <c r="N632" s="1243"/>
      <c r="O632" s="1243"/>
      <c r="P632" s="1243"/>
      <c r="Q632" s="1243"/>
      <c r="R632" s="1243"/>
      <c r="S632" s="1243"/>
      <c r="T632" s="1243"/>
      <c r="U632" s="1243"/>
      <c r="V632" s="1243"/>
      <c r="W632" s="1243"/>
      <c r="X632" s="1243"/>
      <c r="Y632" s="1243"/>
      <c r="Z632" s="1243"/>
    </row>
    <row r="633" spans="1:26" ht="15.75" customHeight="1" x14ac:dyDescent="0.2">
      <c r="A633" s="1243"/>
      <c r="B633" s="1243"/>
      <c r="C633" s="1243"/>
      <c r="D633" s="1243"/>
      <c r="E633" s="1243"/>
      <c r="F633" s="1243"/>
      <c r="G633" s="1243"/>
      <c r="H633" s="1243"/>
      <c r="I633" s="1243"/>
      <c r="J633" s="1243"/>
      <c r="K633" s="1243"/>
      <c r="L633" s="1243"/>
      <c r="M633" s="1243"/>
      <c r="N633" s="1243"/>
      <c r="O633" s="1243"/>
      <c r="P633" s="1243"/>
      <c r="Q633" s="1243"/>
      <c r="R633" s="1243"/>
      <c r="S633" s="1243"/>
      <c r="T633" s="1243"/>
      <c r="U633" s="1243"/>
      <c r="V633" s="1243"/>
      <c r="W633" s="1243"/>
      <c r="X633" s="1243"/>
      <c r="Y633" s="1243"/>
      <c r="Z633" s="1243"/>
    </row>
    <row r="634" spans="1:26" ht="15.75" customHeight="1" x14ac:dyDescent="0.2">
      <c r="A634" s="1243"/>
      <c r="B634" s="1243"/>
      <c r="C634" s="1243"/>
      <c r="D634" s="1243"/>
      <c r="E634" s="1243"/>
      <c r="F634" s="1243"/>
      <c r="G634" s="1243"/>
      <c r="H634" s="1243"/>
      <c r="I634" s="1243"/>
      <c r="J634" s="1243"/>
      <c r="K634" s="1243"/>
      <c r="L634" s="1243"/>
      <c r="M634" s="1243"/>
      <c r="N634" s="1243"/>
      <c r="O634" s="1243"/>
      <c r="P634" s="1243"/>
      <c r="Q634" s="1243"/>
      <c r="R634" s="1243"/>
      <c r="S634" s="1243"/>
      <c r="T634" s="1243"/>
      <c r="U634" s="1243"/>
      <c r="V634" s="1243"/>
      <c r="W634" s="1243"/>
      <c r="X634" s="1243"/>
      <c r="Y634" s="1243"/>
      <c r="Z634" s="1243"/>
    </row>
    <row r="635" spans="1:26" ht="15.75" customHeight="1" x14ac:dyDescent="0.2">
      <c r="A635" s="1243"/>
      <c r="B635" s="1243"/>
      <c r="C635" s="1243"/>
      <c r="D635" s="1243"/>
      <c r="E635" s="1243"/>
      <c r="F635" s="1243"/>
      <c r="G635" s="1243"/>
      <c r="H635" s="1243"/>
      <c r="I635" s="1243"/>
      <c r="J635" s="1243"/>
      <c r="K635" s="1243"/>
      <c r="L635" s="1243"/>
      <c r="M635" s="1243"/>
      <c r="N635" s="1243"/>
      <c r="O635" s="1243"/>
      <c r="P635" s="1243"/>
      <c r="Q635" s="1243"/>
      <c r="R635" s="1243"/>
      <c r="S635" s="1243"/>
      <c r="T635" s="1243"/>
      <c r="U635" s="1243"/>
      <c r="V635" s="1243"/>
      <c r="W635" s="1243"/>
      <c r="X635" s="1243"/>
      <c r="Y635" s="1243"/>
      <c r="Z635" s="1243"/>
    </row>
    <row r="636" spans="1:26" ht="15.75" customHeight="1" x14ac:dyDescent="0.2">
      <c r="A636" s="1243"/>
      <c r="B636" s="1243"/>
      <c r="C636" s="1243"/>
      <c r="D636" s="1243"/>
      <c r="E636" s="1243"/>
      <c r="F636" s="1243"/>
      <c r="G636" s="1243"/>
      <c r="H636" s="1243"/>
      <c r="I636" s="1243"/>
      <c r="J636" s="1243"/>
      <c r="K636" s="1243"/>
      <c r="L636" s="1243"/>
      <c r="M636" s="1243"/>
      <c r="N636" s="1243"/>
      <c r="O636" s="1243"/>
      <c r="P636" s="1243"/>
      <c r="Q636" s="1243"/>
      <c r="R636" s="1243"/>
      <c r="S636" s="1243"/>
      <c r="T636" s="1243"/>
      <c r="U636" s="1243"/>
      <c r="V636" s="1243"/>
      <c r="W636" s="1243"/>
      <c r="X636" s="1243"/>
      <c r="Y636" s="1243"/>
      <c r="Z636" s="1243"/>
    </row>
    <row r="637" spans="1:26" ht="15.75" customHeight="1" x14ac:dyDescent="0.2">
      <c r="A637" s="1243"/>
      <c r="B637" s="1243"/>
      <c r="C637" s="1243"/>
      <c r="D637" s="1243"/>
      <c r="E637" s="1243"/>
      <c r="F637" s="1243"/>
      <c r="G637" s="1243"/>
      <c r="H637" s="1243"/>
      <c r="I637" s="1243"/>
      <c r="J637" s="1243"/>
      <c r="K637" s="1243"/>
      <c r="L637" s="1243"/>
      <c r="M637" s="1243"/>
      <c r="N637" s="1243"/>
      <c r="O637" s="1243"/>
      <c r="P637" s="1243"/>
      <c r="Q637" s="1243"/>
      <c r="R637" s="1243"/>
      <c r="S637" s="1243"/>
      <c r="T637" s="1243"/>
      <c r="U637" s="1243"/>
      <c r="V637" s="1243"/>
      <c r="W637" s="1243"/>
      <c r="X637" s="1243"/>
      <c r="Y637" s="1243"/>
      <c r="Z637" s="1243"/>
    </row>
    <row r="638" spans="1:26" ht="15.75" customHeight="1" x14ac:dyDescent="0.2">
      <c r="A638" s="1243"/>
      <c r="B638" s="1243"/>
      <c r="C638" s="1243"/>
      <c r="D638" s="1243"/>
      <c r="E638" s="1243"/>
      <c r="F638" s="1243"/>
      <c r="G638" s="1243"/>
      <c r="H638" s="1243"/>
      <c r="I638" s="1243"/>
      <c r="J638" s="1243"/>
      <c r="K638" s="1243"/>
      <c r="L638" s="1243"/>
      <c r="M638" s="1243"/>
      <c r="N638" s="1243"/>
      <c r="O638" s="1243"/>
      <c r="P638" s="1243"/>
      <c r="Q638" s="1243"/>
      <c r="R638" s="1243"/>
      <c r="S638" s="1243"/>
      <c r="T638" s="1243"/>
      <c r="U638" s="1243"/>
      <c r="V638" s="1243"/>
      <c r="W638" s="1243"/>
      <c r="X638" s="1243"/>
      <c r="Y638" s="1243"/>
      <c r="Z638" s="1243"/>
    </row>
    <row r="639" spans="1:26" ht="15.75" customHeight="1" x14ac:dyDescent="0.2">
      <c r="A639" s="1243"/>
      <c r="B639" s="1243"/>
      <c r="C639" s="1243"/>
      <c r="D639" s="1243"/>
      <c r="E639" s="1243"/>
      <c r="F639" s="1243"/>
      <c r="G639" s="1243"/>
      <c r="H639" s="1243"/>
      <c r="I639" s="1243"/>
      <c r="J639" s="1243"/>
      <c r="K639" s="1243"/>
      <c r="L639" s="1243"/>
      <c r="M639" s="1243"/>
      <c r="N639" s="1243"/>
      <c r="O639" s="1243"/>
      <c r="P639" s="1243"/>
      <c r="Q639" s="1243"/>
      <c r="R639" s="1243"/>
      <c r="S639" s="1243"/>
      <c r="T639" s="1243"/>
      <c r="U639" s="1243"/>
      <c r="V639" s="1243"/>
      <c r="W639" s="1243"/>
      <c r="X639" s="1243"/>
      <c r="Y639" s="1243"/>
      <c r="Z639" s="1243"/>
    </row>
    <row r="640" spans="1:26" ht="15.75" customHeight="1" x14ac:dyDescent="0.2">
      <c r="A640" s="1243"/>
      <c r="B640" s="1243"/>
      <c r="C640" s="1243"/>
      <c r="D640" s="1243"/>
      <c r="E640" s="1243"/>
      <c r="F640" s="1243"/>
      <c r="G640" s="1243"/>
      <c r="H640" s="1243"/>
      <c r="I640" s="1243"/>
      <c r="J640" s="1243"/>
      <c r="K640" s="1243"/>
      <c r="L640" s="1243"/>
      <c r="M640" s="1243"/>
      <c r="N640" s="1243"/>
      <c r="O640" s="1243"/>
      <c r="P640" s="1243"/>
      <c r="Q640" s="1243"/>
      <c r="R640" s="1243"/>
      <c r="S640" s="1243"/>
      <c r="T640" s="1243"/>
      <c r="U640" s="1243"/>
      <c r="V640" s="1243"/>
      <c r="W640" s="1243"/>
      <c r="X640" s="1243"/>
      <c r="Y640" s="1243"/>
      <c r="Z640" s="1243"/>
    </row>
    <row r="641" spans="1:26" ht="15.75" customHeight="1" x14ac:dyDescent="0.2">
      <c r="A641" s="1243"/>
      <c r="B641" s="1243"/>
      <c r="C641" s="1243"/>
      <c r="D641" s="1243"/>
      <c r="E641" s="1243"/>
      <c r="F641" s="1243"/>
      <c r="G641" s="1243"/>
      <c r="H641" s="1243"/>
      <c r="I641" s="1243"/>
      <c r="J641" s="1243"/>
      <c r="K641" s="1243"/>
      <c r="L641" s="1243"/>
      <c r="M641" s="1243"/>
      <c r="N641" s="1243"/>
      <c r="O641" s="1243"/>
      <c r="P641" s="1243"/>
      <c r="Q641" s="1243"/>
      <c r="R641" s="1243"/>
      <c r="S641" s="1243"/>
      <c r="T641" s="1243"/>
      <c r="U641" s="1243"/>
      <c r="V641" s="1243"/>
      <c r="W641" s="1243"/>
      <c r="X641" s="1243"/>
      <c r="Y641" s="1243"/>
      <c r="Z641" s="1243"/>
    </row>
    <row r="642" spans="1:26" ht="15.75" customHeight="1" x14ac:dyDescent="0.2">
      <c r="A642" s="1243"/>
      <c r="B642" s="1243"/>
      <c r="C642" s="1243"/>
      <c r="D642" s="1243"/>
      <c r="E642" s="1243"/>
      <c r="F642" s="1243"/>
      <c r="G642" s="1243"/>
      <c r="H642" s="1243"/>
      <c r="I642" s="1243"/>
      <c r="J642" s="1243"/>
      <c r="K642" s="1243"/>
      <c r="L642" s="1243"/>
      <c r="M642" s="1243"/>
      <c r="N642" s="1243"/>
      <c r="O642" s="1243"/>
      <c r="P642" s="1243"/>
      <c r="Q642" s="1243"/>
      <c r="R642" s="1243"/>
      <c r="S642" s="1243"/>
      <c r="T642" s="1243"/>
      <c r="U642" s="1243"/>
      <c r="V642" s="1243"/>
      <c r="W642" s="1243"/>
      <c r="X642" s="1243"/>
      <c r="Y642" s="1243"/>
      <c r="Z642" s="1243"/>
    </row>
    <row r="643" spans="1:26" ht="15.75" customHeight="1" x14ac:dyDescent="0.2">
      <c r="A643" s="1243"/>
      <c r="B643" s="1243"/>
      <c r="C643" s="1243"/>
      <c r="D643" s="1243"/>
      <c r="E643" s="1243"/>
      <c r="F643" s="1243"/>
      <c r="G643" s="1243"/>
      <c r="H643" s="1243"/>
      <c r="I643" s="1243"/>
      <c r="J643" s="1243"/>
      <c r="K643" s="1243"/>
      <c r="L643" s="1243"/>
      <c r="M643" s="1243"/>
      <c r="N643" s="1243"/>
      <c r="O643" s="1243"/>
      <c r="P643" s="1243"/>
      <c r="Q643" s="1243"/>
      <c r="R643" s="1243"/>
      <c r="S643" s="1243"/>
      <c r="T643" s="1243"/>
      <c r="U643" s="1243"/>
      <c r="V643" s="1243"/>
      <c r="W643" s="1243"/>
      <c r="X643" s="1243"/>
      <c r="Y643" s="1243"/>
      <c r="Z643" s="1243"/>
    </row>
    <row r="644" spans="1:26" ht="15.75" customHeight="1" x14ac:dyDescent="0.2">
      <c r="A644" s="1243"/>
      <c r="B644" s="1243"/>
      <c r="C644" s="1243"/>
      <c r="D644" s="1243"/>
      <c r="E644" s="1243"/>
      <c r="F644" s="1243"/>
      <c r="G644" s="1243"/>
      <c r="H644" s="1243"/>
      <c r="I644" s="1243"/>
      <c r="J644" s="1243"/>
      <c r="K644" s="1243"/>
      <c r="L644" s="1243"/>
      <c r="M644" s="1243"/>
      <c r="N644" s="1243"/>
      <c r="O644" s="1243"/>
      <c r="P644" s="1243"/>
      <c r="Q644" s="1243"/>
      <c r="R644" s="1243"/>
      <c r="S644" s="1243"/>
      <c r="T644" s="1243"/>
      <c r="U644" s="1243"/>
      <c r="V644" s="1243"/>
      <c r="W644" s="1243"/>
      <c r="X644" s="1243"/>
      <c r="Y644" s="1243"/>
      <c r="Z644" s="1243"/>
    </row>
    <row r="645" spans="1:26" ht="15.75" customHeight="1" x14ac:dyDescent="0.2">
      <c r="A645" s="1243"/>
      <c r="B645" s="1243"/>
      <c r="C645" s="1243"/>
      <c r="D645" s="1243"/>
      <c r="E645" s="1243"/>
      <c r="F645" s="1243"/>
      <c r="G645" s="1243"/>
      <c r="H645" s="1243"/>
      <c r="I645" s="1243"/>
      <c r="J645" s="1243"/>
      <c r="K645" s="1243"/>
      <c r="L645" s="1243"/>
      <c r="M645" s="1243"/>
      <c r="N645" s="1243"/>
      <c r="O645" s="1243"/>
      <c r="P645" s="1243"/>
      <c r="Q645" s="1243"/>
      <c r="R645" s="1243"/>
      <c r="S645" s="1243"/>
      <c r="T645" s="1243"/>
      <c r="U645" s="1243"/>
      <c r="V645" s="1243"/>
      <c r="W645" s="1243"/>
      <c r="X645" s="1243"/>
      <c r="Y645" s="1243"/>
      <c r="Z645" s="1243"/>
    </row>
    <row r="646" spans="1:26" ht="15.75" customHeight="1" x14ac:dyDescent="0.2">
      <c r="A646" s="1243"/>
      <c r="B646" s="1243"/>
      <c r="C646" s="1243"/>
      <c r="D646" s="1243"/>
      <c r="E646" s="1243"/>
      <c r="F646" s="1243"/>
      <c r="G646" s="1243"/>
      <c r="H646" s="1243"/>
      <c r="I646" s="1243"/>
      <c r="J646" s="1243"/>
      <c r="K646" s="1243"/>
      <c r="L646" s="1243"/>
      <c r="M646" s="1243"/>
      <c r="N646" s="1243"/>
      <c r="O646" s="1243"/>
      <c r="P646" s="1243"/>
      <c r="Q646" s="1243"/>
      <c r="R646" s="1243"/>
      <c r="S646" s="1243"/>
      <c r="T646" s="1243"/>
      <c r="U646" s="1243"/>
      <c r="V646" s="1243"/>
      <c r="W646" s="1243"/>
      <c r="X646" s="1243"/>
      <c r="Y646" s="1243"/>
      <c r="Z646" s="1243"/>
    </row>
    <row r="647" spans="1:26" ht="15.75" customHeight="1" x14ac:dyDescent="0.2">
      <c r="A647" s="1243"/>
      <c r="B647" s="1243"/>
      <c r="C647" s="1243"/>
      <c r="D647" s="1243"/>
      <c r="E647" s="1243"/>
      <c r="F647" s="1243"/>
      <c r="G647" s="1243"/>
      <c r="H647" s="1243"/>
      <c r="I647" s="1243"/>
      <c r="J647" s="1243"/>
      <c r="K647" s="1243"/>
      <c r="L647" s="1243"/>
      <c r="M647" s="1243"/>
      <c r="N647" s="1243"/>
      <c r="O647" s="1243"/>
      <c r="P647" s="1243"/>
      <c r="Q647" s="1243"/>
      <c r="R647" s="1243"/>
      <c r="S647" s="1243"/>
      <c r="T647" s="1243"/>
      <c r="U647" s="1243"/>
      <c r="V647" s="1243"/>
      <c r="W647" s="1243"/>
      <c r="X647" s="1243"/>
      <c r="Y647" s="1243"/>
      <c r="Z647" s="1243"/>
    </row>
    <row r="648" spans="1:26" ht="15.75" customHeight="1" x14ac:dyDescent="0.2">
      <c r="A648" s="1243"/>
      <c r="B648" s="1243"/>
      <c r="C648" s="1243"/>
      <c r="D648" s="1243"/>
      <c r="E648" s="1243"/>
      <c r="F648" s="1243"/>
      <c r="G648" s="1243"/>
      <c r="H648" s="1243"/>
      <c r="I648" s="1243"/>
      <c r="J648" s="1243"/>
      <c r="K648" s="1243"/>
      <c r="L648" s="1243"/>
      <c r="M648" s="1243"/>
      <c r="N648" s="1243"/>
      <c r="O648" s="1243"/>
      <c r="P648" s="1243"/>
      <c r="Q648" s="1243"/>
      <c r="R648" s="1243"/>
      <c r="S648" s="1243"/>
      <c r="T648" s="1243"/>
      <c r="U648" s="1243"/>
      <c r="V648" s="1243"/>
      <c r="W648" s="1243"/>
      <c r="X648" s="1243"/>
      <c r="Y648" s="1243"/>
      <c r="Z648" s="1243"/>
    </row>
    <row r="649" spans="1:26" ht="15.75" customHeight="1" x14ac:dyDescent="0.2">
      <c r="A649" s="1243"/>
      <c r="B649" s="1243"/>
      <c r="C649" s="1243"/>
      <c r="D649" s="1243"/>
      <c r="E649" s="1243"/>
      <c r="F649" s="1243"/>
      <c r="G649" s="1243"/>
      <c r="H649" s="1243"/>
      <c r="I649" s="1243"/>
      <c r="J649" s="1243"/>
      <c r="K649" s="1243"/>
      <c r="L649" s="1243"/>
      <c r="M649" s="1243"/>
      <c r="N649" s="1243"/>
      <c r="O649" s="1243"/>
      <c r="P649" s="1243"/>
      <c r="Q649" s="1243"/>
      <c r="R649" s="1243"/>
      <c r="S649" s="1243"/>
      <c r="T649" s="1243"/>
      <c r="U649" s="1243"/>
      <c r="V649" s="1243"/>
      <c r="W649" s="1243"/>
      <c r="X649" s="1243"/>
      <c r="Y649" s="1243"/>
      <c r="Z649" s="1243"/>
    </row>
    <row r="650" spans="1:26" ht="15.75" customHeight="1" x14ac:dyDescent="0.2">
      <c r="A650" s="1243"/>
      <c r="B650" s="1243"/>
      <c r="C650" s="1243"/>
      <c r="D650" s="1243"/>
      <c r="E650" s="1243"/>
      <c r="F650" s="1243"/>
      <c r="G650" s="1243"/>
      <c r="H650" s="1243"/>
      <c r="I650" s="1243"/>
      <c r="J650" s="1243"/>
      <c r="K650" s="1243"/>
      <c r="L650" s="1243"/>
      <c r="M650" s="1243"/>
      <c r="N650" s="1243"/>
      <c r="O650" s="1243"/>
      <c r="P650" s="1243"/>
      <c r="Q650" s="1243"/>
      <c r="R650" s="1243"/>
      <c r="S650" s="1243"/>
      <c r="T650" s="1243"/>
      <c r="U650" s="1243"/>
      <c r="V650" s="1243"/>
      <c r="W650" s="1243"/>
      <c r="X650" s="1243"/>
      <c r="Y650" s="1243"/>
      <c r="Z650" s="1243"/>
    </row>
    <row r="651" spans="1:26" ht="15.75" customHeight="1" x14ac:dyDescent="0.2">
      <c r="A651" s="1243"/>
      <c r="B651" s="1243"/>
      <c r="C651" s="1243"/>
      <c r="D651" s="1243"/>
      <c r="E651" s="1243"/>
      <c r="F651" s="1243"/>
      <c r="G651" s="1243"/>
      <c r="H651" s="1243"/>
      <c r="I651" s="1243"/>
      <c r="J651" s="1243"/>
      <c r="K651" s="1243"/>
      <c r="L651" s="1243"/>
      <c r="M651" s="1243"/>
      <c r="N651" s="1243"/>
      <c r="O651" s="1243"/>
      <c r="P651" s="1243"/>
      <c r="Q651" s="1243"/>
      <c r="R651" s="1243"/>
      <c r="S651" s="1243"/>
      <c r="T651" s="1243"/>
      <c r="U651" s="1243"/>
      <c r="V651" s="1243"/>
      <c r="W651" s="1243"/>
      <c r="X651" s="1243"/>
      <c r="Y651" s="1243"/>
      <c r="Z651" s="1243"/>
    </row>
    <row r="652" spans="1:26" ht="15.75" customHeight="1" x14ac:dyDescent="0.2">
      <c r="A652" s="1243"/>
      <c r="B652" s="1243"/>
      <c r="C652" s="1243"/>
      <c r="D652" s="1243"/>
      <c r="E652" s="1243"/>
      <c r="F652" s="1243"/>
      <c r="G652" s="1243"/>
      <c r="H652" s="1243"/>
      <c r="I652" s="1243"/>
      <c r="J652" s="1243"/>
      <c r="K652" s="1243"/>
      <c r="L652" s="1243"/>
      <c r="M652" s="1243"/>
      <c r="N652" s="1243"/>
      <c r="O652" s="1243"/>
      <c r="P652" s="1243"/>
      <c r="Q652" s="1243"/>
      <c r="R652" s="1243"/>
      <c r="S652" s="1243"/>
      <c r="T652" s="1243"/>
      <c r="U652" s="1243"/>
      <c r="V652" s="1243"/>
      <c r="W652" s="1243"/>
      <c r="X652" s="1243"/>
      <c r="Y652" s="1243"/>
      <c r="Z652" s="1243"/>
    </row>
    <row r="653" spans="1:26" ht="15.75" customHeight="1" x14ac:dyDescent="0.2">
      <c r="A653" s="1243"/>
      <c r="B653" s="1243"/>
      <c r="C653" s="1243"/>
      <c r="D653" s="1243"/>
      <c r="E653" s="1243"/>
      <c r="F653" s="1243"/>
      <c r="G653" s="1243"/>
      <c r="H653" s="1243"/>
      <c r="I653" s="1243"/>
      <c r="J653" s="1243"/>
      <c r="K653" s="1243"/>
      <c r="L653" s="1243"/>
      <c r="M653" s="1243"/>
      <c r="N653" s="1243"/>
      <c r="O653" s="1243"/>
      <c r="P653" s="1243"/>
      <c r="Q653" s="1243"/>
      <c r="R653" s="1243"/>
      <c r="S653" s="1243"/>
      <c r="T653" s="1243"/>
      <c r="U653" s="1243"/>
      <c r="V653" s="1243"/>
      <c r="W653" s="1243"/>
      <c r="X653" s="1243"/>
      <c r="Y653" s="1243"/>
      <c r="Z653" s="1243"/>
    </row>
    <row r="654" spans="1:26" ht="15.75" customHeight="1" x14ac:dyDescent="0.2">
      <c r="A654" s="1243"/>
      <c r="B654" s="1243"/>
      <c r="C654" s="1243"/>
      <c r="D654" s="1243"/>
      <c r="E654" s="1243"/>
      <c r="F654" s="1243"/>
      <c r="G654" s="1243"/>
      <c r="H654" s="1243"/>
      <c r="I654" s="1243"/>
      <c r="J654" s="1243"/>
      <c r="K654" s="1243"/>
      <c r="L654" s="1243"/>
      <c r="M654" s="1243"/>
      <c r="N654" s="1243"/>
      <c r="O654" s="1243"/>
      <c r="P654" s="1243"/>
      <c r="Q654" s="1243"/>
      <c r="R654" s="1243"/>
      <c r="S654" s="1243"/>
      <c r="T654" s="1243"/>
      <c r="U654" s="1243"/>
      <c r="V654" s="1243"/>
      <c r="W654" s="1243"/>
      <c r="X654" s="1243"/>
      <c r="Y654" s="1243"/>
      <c r="Z654" s="1243"/>
    </row>
    <row r="655" spans="1:26" ht="15.75" customHeight="1" x14ac:dyDescent="0.2">
      <c r="A655" s="1243"/>
      <c r="B655" s="1243"/>
      <c r="C655" s="1243"/>
      <c r="D655" s="1243"/>
      <c r="E655" s="1243"/>
      <c r="F655" s="1243"/>
      <c r="G655" s="1243"/>
      <c r="H655" s="1243"/>
      <c r="I655" s="1243"/>
      <c r="J655" s="1243"/>
      <c r="K655" s="1243"/>
      <c r="L655" s="1243"/>
      <c r="M655" s="1243"/>
      <c r="N655" s="1243"/>
      <c r="O655" s="1243"/>
      <c r="P655" s="1243"/>
      <c r="Q655" s="1243"/>
      <c r="R655" s="1243"/>
      <c r="S655" s="1243"/>
      <c r="T655" s="1243"/>
      <c r="U655" s="1243"/>
      <c r="V655" s="1243"/>
      <c r="W655" s="1243"/>
      <c r="X655" s="1243"/>
      <c r="Y655" s="1243"/>
      <c r="Z655" s="1243"/>
    </row>
    <row r="656" spans="1:26" ht="15.75" customHeight="1" x14ac:dyDescent="0.2">
      <c r="A656" s="1243"/>
      <c r="B656" s="1243"/>
      <c r="C656" s="1243"/>
      <c r="D656" s="1243"/>
      <c r="E656" s="1243"/>
      <c r="F656" s="1243"/>
      <c r="G656" s="1243"/>
      <c r="H656" s="1243"/>
      <c r="I656" s="1243"/>
      <c r="J656" s="1243"/>
      <c r="K656" s="1243"/>
      <c r="L656" s="1243"/>
      <c r="M656" s="1243"/>
      <c r="N656" s="1243"/>
      <c r="O656" s="1243"/>
      <c r="P656" s="1243"/>
      <c r="Q656" s="1243"/>
      <c r="R656" s="1243"/>
      <c r="S656" s="1243"/>
      <c r="T656" s="1243"/>
      <c r="U656" s="1243"/>
      <c r="V656" s="1243"/>
      <c r="W656" s="1243"/>
      <c r="X656" s="1243"/>
      <c r="Y656" s="1243"/>
      <c r="Z656" s="1243"/>
    </row>
    <row r="657" spans="1:26" ht="15.75" customHeight="1" x14ac:dyDescent="0.2">
      <c r="A657" s="1243"/>
      <c r="B657" s="1243"/>
      <c r="C657" s="1243"/>
      <c r="D657" s="1243"/>
      <c r="E657" s="1243"/>
      <c r="F657" s="1243"/>
      <c r="G657" s="1243"/>
      <c r="H657" s="1243"/>
      <c r="I657" s="1243"/>
      <c r="J657" s="1243"/>
      <c r="K657" s="1243"/>
      <c r="L657" s="1243"/>
      <c r="M657" s="1243"/>
      <c r="N657" s="1243"/>
      <c r="O657" s="1243"/>
      <c r="P657" s="1243"/>
      <c r="Q657" s="1243"/>
      <c r="R657" s="1243"/>
      <c r="S657" s="1243"/>
      <c r="T657" s="1243"/>
      <c r="U657" s="1243"/>
      <c r="V657" s="1243"/>
      <c r="W657" s="1243"/>
      <c r="X657" s="1243"/>
      <c r="Y657" s="1243"/>
      <c r="Z657" s="1243"/>
    </row>
    <row r="658" spans="1:26" ht="15.75" customHeight="1" x14ac:dyDescent="0.2">
      <c r="A658" s="1243"/>
      <c r="B658" s="1243"/>
      <c r="C658" s="1243"/>
      <c r="D658" s="1243"/>
      <c r="E658" s="1243"/>
      <c r="F658" s="1243"/>
      <c r="G658" s="1243"/>
      <c r="H658" s="1243"/>
      <c r="I658" s="1243"/>
      <c r="J658" s="1243"/>
      <c r="K658" s="1243"/>
      <c r="L658" s="1243"/>
      <c r="M658" s="1243"/>
      <c r="N658" s="1243"/>
      <c r="O658" s="1243"/>
      <c r="P658" s="1243"/>
      <c r="Q658" s="1243"/>
      <c r="R658" s="1243"/>
      <c r="S658" s="1243"/>
      <c r="T658" s="1243"/>
      <c r="U658" s="1243"/>
      <c r="V658" s="1243"/>
      <c r="W658" s="1243"/>
      <c r="X658" s="1243"/>
      <c r="Y658" s="1243"/>
      <c r="Z658" s="1243"/>
    </row>
    <row r="659" spans="1:26" ht="15.75" customHeight="1" x14ac:dyDescent="0.2">
      <c r="A659" s="1243"/>
      <c r="B659" s="1243"/>
      <c r="C659" s="1243"/>
      <c r="D659" s="1243"/>
      <c r="E659" s="1243"/>
      <c r="F659" s="1243"/>
      <c r="G659" s="1243"/>
      <c r="H659" s="1243"/>
      <c r="I659" s="1243"/>
      <c r="J659" s="1243"/>
      <c r="K659" s="1243"/>
      <c r="L659" s="1243"/>
      <c r="M659" s="1243"/>
      <c r="N659" s="1243"/>
      <c r="O659" s="1243"/>
      <c r="P659" s="1243"/>
      <c r="Q659" s="1243"/>
      <c r="R659" s="1243"/>
      <c r="S659" s="1243"/>
      <c r="T659" s="1243"/>
      <c r="U659" s="1243"/>
      <c r="V659" s="1243"/>
      <c r="W659" s="1243"/>
      <c r="X659" s="1243"/>
      <c r="Y659" s="1243"/>
      <c r="Z659" s="1243"/>
    </row>
    <row r="660" spans="1:26" ht="15.75" customHeight="1" x14ac:dyDescent="0.2">
      <c r="A660" s="1243"/>
      <c r="B660" s="1243"/>
      <c r="C660" s="1243"/>
      <c r="D660" s="1243"/>
      <c r="E660" s="1243"/>
      <c r="F660" s="1243"/>
      <c r="G660" s="1243"/>
      <c r="H660" s="1243"/>
      <c r="I660" s="1243"/>
      <c r="J660" s="1243"/>
      <c r="K660" s="1243"/>
      <c r="L660" s="1243"/>
      <c r="M660" s="1243"/>
      <c r="N660" s="1243"/>
      <c r="O660" s="1243"/>
      <c r="P660" s="1243"/>
      <c r="Q660" s="1243"/>
      <c r="R660" s="1243"/>
      <c r="S660" s="1243"/>
      <c r="T660" s="1243"/>
      <c r="U660" s="1243"/>
      <c r="V660" s="1243"/>
      <c r="W660" s="1243"/>
      <c r="X660" s="1243"/>
      <c r="Y660" s="1243"/>
      <c r="Z660" s="1243"/>
    </row>
    <row r="661" spans="1:26" ht="15.75" customHeight="1" x14ac:dyDescent="0.2">
      <c r="A661" s="1243"/>
      <c r="B661" s="1243"/>
      <c r="C661" s="1243"/>
      <c r="D661" s="1243"/>
      <c r="E661" s="1243"/>
      <c r="F661" s="1243"/>
      <c r="G661" s="1243"/>
      <c r="H661" s="1243"/>
      <c r="I661" s="1243"/>
      <c r="J661" s="1243"/>
      <c r="K661" s="1243"/>
      <c r="L661" s="1243"/>
      <c r="M661" s="1243"/>
      <c r="N661" s="1243"/>
      <c r="O661" s="1243"/>
      <c r="P661" s="1243"/>
      <c r="Q661" s="1243"/>
      <c r="R661" s="1243"/>
      <c r="S661" s="1243"/>
      <c r="T661" s="1243"/>
      <c r="U661" s="1243"/>
      <c r="V661" s="1243"/>
      <c r="W661" s="1243"/>
      <c r="X661" s="1243"/>
      <c r="Y661" s="1243"/>
      <c r="Z661" s="1243"/>
    </row>
    <row r="662" spans="1:26" ht="15.75" customHeight="1" x14ac:dyDescent="0.2">
      <c r="A662" s="1243"/>
      <c r="B662" s="1243"/>
      <c r="C662" s="1243"/>
      <c r="D662" s="1243"/>
      <c r="E662" s="1243"/>
      <c r="F662" s="1243"/>
      <c r="G662" s="1243"/>
      <c r="H662" s="1243"/>
      <c r="I662" s="1243"/>
      <c r="J662" s="1243"/>
      <c r="K662" s="1243"/>
      <c r="L662" s="1243"/>
      <c r="M662" s="1243"/>
      <c r="N662" s="1243"/>
      <c r="O662" s="1243"/>
      <c r="P662" s="1243"/>
      <c r="Q662" s="1243"/>
      <c r="R662" s="1243"/>
      <c r="S662" s="1243"/>
      <c r="T662" s="1243"/>
      <c r="U662" s="1243"/>
      <c r="V662" s="1243"/>
      <c r="W662" s="1243"/>
      <c r="X662" s="1243"/>
      <c r="Y662" s="1243"/>
      <c r="Z662" s="1243"/>
    </row>
    <row r="663" spans="1:26" ht="15.75" customHeight="1" x14ac:dyDescent="0.2">
      <c r="A663" s="1243"/>
      <c r="B663" s="1243"/>
      <c r="C663" s="1243"/>
      <c r="D663" s="1243"/>
      <c r="E663" s="1243"/>
      <c r="F663" s="1243"/>
      <c r="G663" s="1243"/>
      <c r="H663" s="1243"/>
      <c r="I663" s="1243"/>
      <c r="J663" s="1243"/>
      <c r="K663" s="1243"/>
      <c r="L663" s="1243"/>
      <c r="M663" s="1243"/>
      <c r="N663" s="1243"/>
      <c r="O663" s="1243"/>
      <c r="P663" s="1243"/>
      <c r="Q663" s="1243"/>
      <c r="R663" s="1243"/>
      <c r="S663" s="1243"/>
      <c r="T663" s="1243"/>
      <c r="U663" s="1243"/>
      <c r="V663" s="1243"/>
      <c r="W663" s="1243"/>
      <c r="X663" s="1243"/>
      <c r="Y663" s="1243"/>
      <c r="Z663" s="1243"/>
    </row>
    <row r="664" spans="1:26" ht="15.75" customHeight="1" x14ac:dyDescent="0.2">
      <c r="A664" s="1243"/>
      <c r="B664" s="1243"/>
      <c r="C664" s="1243"/>
      <c r="D664" s="1243"/>
      <c r="E664" s="1243"/>
      <c r="F664" s="1243"/>
      <c r="G664" s="1243"/>
      <c r="H664" s="1243"/>
      <c r="I664" s="1243"/>
      <c r="J664" s="1243"/>
      <c r="K664" s="1243"/>
      <c r="L664" s="1243"/>
      <c r="M664" s="1243"/>
      <c r="N664" s="1243"/>
      <c r="O664" s="1243"/>
      <c r="P664" s="1243"/>
      <c r="Q664" s="1243"/>
      <c r="R664" s="1243"/>
      <c r="S664" s="1243"/>
      <c r="T664" s="1243"/>
      <c r="U664" s="1243"/>
      <c r="V664" s="1243"/>
      <c r="W664" s="1243"/>
      <c r="X664" s="1243"/>
      <c r="Y664" s="1243"/>
      <c r="Z664" s="1243"/>
    </row>
    <row r="665" spans="1:26" ht="15.75" customHeight="1" x14ac:dyDescent="0.2">
      <c r="A665" s="1243"/>
      <c r="B665" s="1243"/>
      <c r="C665" s="1243"/>
      <c r="D665" s="1243"/>
      <c r="E665" s="1243"/>
      <c r="F665" s="1243"/>
      <c r="G665" s="1243"/>
      <c r="H665" s="1243"/>
      <c r="I665" s="1243"/>
      <c r="J665" s="1243"/>
      <c r="K665" s="1243"/>
      <c r="L665" s="1243"/>
      <c r="M665" s="1243"/>
      <c r="N665" s="1243"/>
      <c r="O665" s="1243"/>
      <c r="P665" s="1243"/>
      <c r="Q665" s="1243"/>
      <c r="R665" s="1243"/>
      <c r="S665" s="1243"/>
      <c r="T665" s="1243"/>
      <c r="U665" s="1243"/>
      <c r="V665" s="1243"/>
      <c r="W665" s="1243"/>
      <c r="X665" s="1243"/>
      <c r="Y665" s="1243"/>
      <c r="Z665" s="1243"/>
    </row>
    <row r="666" spans="1:26" ht="15.75" customHeight="1" x14ac:dyDescent="0.2">
      <c r="A666" s="1243"/>
      <c r="B666" s="1243"/>
      <c r="C666" s="1243"/>
      <c r="D666" s="1243"/>
      <c r="E666" s="1243"/>
      <c r="F666" s="1243"/>
      <c r="G666" s="1243"/>
      <c r="H666" s="1243"/>
      <c r="I666" s="1243"/>
      <c r="J666" s="1243"/>
      <c r="K666" s="1243"/>
      <c r="L666" s="1243"/>
      <c r="M666" s="1243"/>
      <c r="N666" s="1243"/>
      <c r="O666" s="1243"/>
      <c r="P666" s="1243"/>
      <c r="Q666" s="1243"/>
      <c r="R666" s="1243"/>
      <c r="S666" s="1243"/>
      <c r="T666" s="1243"/>
      <c r="U666" s="1243"/>
      <c r="V666" s="1243"/>
      <c r="W666" s="1243"/>
      <c r="X666" s="1243"/>
      <c r="Y666" s="1243"/>
      <c r="Z666" s="1243"/>
    </row>
    <row r="667" spans="1:26" ht="15.75" customHeight="1" x14ac:dyDescent="0.2">
      <c r="A667" s="1243"/>
      <c r="B667" s="1243"/>
      <c r="C667" s="1243"/>
      <c r="D667" s="1243"/>
      <c r="E667" s="1243"/>
      <c r="F667" s="1243"/>
      <c r="G667" s="1243"/>
      <c r="H667" s="1243"/>
      <c r="I667" s="1243"/>
      <c r="J667" s="1243"/>
      <c r="K667" s="1243"/>
      <c r="L667" s="1243"/>
      <c r="M667" s="1243"/>
      <c r="N667" s="1243"/>
      <c r="O667" s="1243"/>
      <c r="P667" s="1243"/>
      <c r="Q667" s="1243"/>
      <c r="R667" s="1243"/>
      <c r="S667" s="1243"/>
      <c r="T667" s="1243"/>
      <c r="U667" s="1243"/>
      <c r="V667" s="1243"/>
      <c r="W667" s="1243"/>
      <c r="X667" s="1243"/>
      <c r="Y667" s="1243"/>
      <c r="Z667" s="1243"/>
    </row>
    <row r="668" spans="1:26" ht="15.75" customHeight="1" x14ac:dyDescent="0.2">
      <c r="A668" s="1243"/>
      <c r="B668" s="1243"/>
      <c r="C668" s="1243"/>
      <c r="D668" s="1243"/>
      <c r="E668" s="1243"/>
      <c r="F668" s="1243"/>
      <c r="G668" s="1243"/>
      <c r="H668" s="1243"/>
      <c r="I668" s="1243"/>
      <c r="J668" s="1243"/>
      <c r="K668" s="1243"/>
      <c r="L668" s="1243"/>
      <c r="M668" s="1243"/>
      <c r="N668" s="1243"/>
      <c r="O668" s="1243"/>
      <c r="P668" s="1243"/>
      <c r="Q668" s="1243"/>
      <c r="R668" s="1243"/>
      <c r="S668" s="1243"/>
      <c r="T668" s="1243"/>
      <c r="U668" s="1243"/>
      <c r="V668" s="1243"/>
      <c r="W668" s="1243"/>
      <c r="X668" s="1243"/>
      <c r="Y668" s="1243"/>
      <c r="Z668" s="1243"/>
    </row>
    <row r="669" spans="1:26" ht="15.75" customHeight="1" x14ac:dyDescent="0.2">
      <c r="A669" s="1243"/>
      <c r="B669" s="1243"/>
      <c r="C669" s="1243"/>
      <c r="D669" s="1243"/>
      <c r="E669" s="1243"/>
      <c r="F669" s="1243"/>
      <c r="G669" s="1243"/>
      <c r="H669" s="1243"/>
      <c r="I669" s="1243"/>
      <c r="J669" s="1243"/>
      <c r="K669" s="1243"/>
      <c r="L669" s="1243"/>
      <c r="M669" s="1243"/>
      <c r="N669" s="1243"/>
      <c r="O669" s="1243"/>
      <c r="P669" s="1243"/>
      <c r="Q669" s="1243"/>
      <c r="R669" s="1243"/>
      <c r="S669" s="1243"/>
      <c r="T669" s="1243"/>
      <c r="U669" s="1243"/>
      <c r="V669" s="1243"/>
      <c r="W669" s="1243"/>
      <c r="X669" s="1243"/>
      <c r="Y669" s="1243"/>
      <c r="Z669" s="1243"/>
    </row>
    <row r="670" spans="1:26" ht="15.75" customHeight="1" x14ac:dyDescent="0.2">
      <c r="A670" s="1243"/>
      <c r="B670" s="1243"/>
      <c r="C670" s="1243"/>
      <c r="D670" s="1243"/>
      <c r="E670" s="1243"/>
      <c r="F670" s="1243"/>
      <c r="G670" s="1243"/>
      <c r="H670" s="1243"/>
      <c r="I670" s="1243"/>
      <c r="J670" s="1243"/>
      <c r="K670" s="1243"/>
      <c r="L670" s="1243"/>
      <c r="M670" s="1243"/>
      <c r="N670" s="1243"/>
      <c r="O670" s="1243"/>
      <c r="P670" s="1243"/>
      <c r="Q670" s="1243"/>
      <c r="R670" s="1243"/>
      <c r="S670" s="1243"/>
      <c r="T670" s="1243"/>
      <c r="U670" s="1243"/>
      <c r="V670" s="1243"/>
      <c r="W670" s="1243"/>
      <c r="X670" s="1243"/>
      <c r="Y670" s="1243"/>
      <c r="Z670" s="1243"/>
    </row>
    <row r="671" spans="1:26" ht="15.75" customHeight="1" x14ac:dyDescent="0.2">
      <c r="A671" s="1243"/>
      <c r="B671" s="1243"/>
      <c r="C671" s="1243"/>
      <c r="D671" s="1243"/>
      <c r="E671" s="1243"/>
      <c r="F671" s="1243"/>
      <c r="G671" s="1243"/>
      <c r="H671" s="1243"/>
      <c r="I671" s="1243"/>
      <c r="J671" s="1243"/>
      <c r="K671" s="1243"/>
      <c r="L671" s="1243"/>
      <c r="M671" s="1243"/>
      <c r="N671" s="1243"/>
      <c r="O671" s="1243"/>
      <c r="P671" s="1243"/>
      <c r="Q671" s="1243"/>
      <c r="R671" s="1243"/>
      <c r="S671" s="1243"/>
      <c r="T671" s="1243"/>
      <c r="U671" s="1243"/>
      <c r="V671" s="1243"/>
      <c r="W671" s="1243"/>
      <c r="X671" s="1243"/>
      <c r="Y671" s="1243"/>
      <c r="Z671" s="1243"/>
    </row>
    <row r="672" spans="1:26" ht="15.75" customHeight="1" x14ac:dyDescent="0.2">
      <c r="A672" s="1243"/>
      <c r="B672" s="1243"/>
      <c r="C672" s="1243"/>
      <c r="D672" s="1243"/>
      <c r="E672" s="1243"/>
      <c r="F672" s="1243"/>
      <c r="G672" s="1243"/>
      <c r="H672" s="1243"/>
      <c r="I672" s="1243"/>
      <c r="J672" s="1243"/>
      <c r="K672" s="1243"/>
      <c r="L672" s="1243"/>
      <c r="M672" s="1243"/>
      <c r="N672" s="1243"/>
      <c r="O672" s="1243"/>
      <c r="P672" s="1243"/>
      <c r="Q672" s="1243"/>
      <c r="R672" s="1243"/>
      <c r="S672" s="1243"/>
      <c r="T672" s="1243"/>
      <c r="U672" s="1243"/>
      <c r="V672" s="1243"/>
      <c r="W672" s="1243"/>
      <c r="X672" s="1243"/>
      <c r="Y672" s="1243"/>
      <c r="Z672" s="1243"/>
    </row>
    <row r="673" spans="1:26" ht="15.75" customHeight="1" x14ac:dyDescent="0.2">
      <c r="A673" s="1243"/>
      <c r="B673" s="1243"/>
      <c r="C673" s="1243"/>
      <c r="D673" s="1243"/>
      <c r="E673" s="1243"/>
      <c r="F673" s="1243"/>
      <c r="G673" s="1243"/>
      <c r="H673" s="1243"/>
      <c r="I673" s="1243"/>
      <c r="J673" s="1243"/>
      <c r="K673" s="1243"/>
      <c r="L673" s="1243"/>
      <c r="M673" s="1243"/>
      <c r="N673" s="1243"/>
      <c r="O673" s="1243"/>
      <c r="P673" s="1243"/>
      <c r="Q673" s="1243"/>
      <c r="R673" s="1243"/>
      <c r="S673" s="1243"/>
      <c r="T673" s="1243"/>
      <c r="U673" s="1243"/>
      <c r="V673" s="1243"/>
      <c r="W673" s="1243"/>
      <c r="X673" s="1243"/>
      <c r="Y673" s="1243"/>
      <c r="Z673" s="1243"/>
    </row>
    <row r="674" spans="1:26" ht="15.75" customHeight="1" x14ac:dyDescent="0.2">
      <c r="A674" s="1243"/>
      <c r="B674" s="1243"/>
      <c r="C674" s="1243"/>
      <c r="D674" s="1243"/>
      <c r="E674" s="1243"/>
      <c r="F674" s="1243"/>
      <c r="G674" s="1243"/>
      <c r="H674" s="1243"/>
      <c r="I674" s="1243"/>
      <c r="J674" s="1243"/>
      <c r="K674" s="1243"/>
      <c r="L674" s="1243"/>
      <c r="M674" s="1243"/>
      <c r="N674" s="1243"/>
      <c r="O674" s="1243"/>
      <c r="P674" s="1243"/>
      <c r="Q674" s="1243"/>
      <c r="R674" s="1243"/>
      <c r="S674" s="1243"/>
      <c r="T674" s="1243"/>
      <c r="U674" s="1243"/>
      <c r="V674" s="1243"/>
      <c r="W674" s="1243"/>
      <c r="X674" s="1243"/>
      <c r="Y674" s="1243"/>
      <c r="Z674" s="1243"/>
    </row>
    <row r="675" spans="1:26" ht="15.75" customHeight="1" x14ac:dyDescent="0.2">
      <c r="A675" s="1243"/>
      <c r="B675" s="1243"/>
      <c r="C675" s="1243"/>
      <c r="D675" s="1243"/>
      <c r="E675" s="1243"/>
      <c r="F675" s="1243"/>
      <c r="G675" s="1243"/>
      <c r="H675" s="1243"/>
      <c r="I675" s="1243"/>
      <c r="J675" s="1243"/>
      <c r="K675" s="1243"/>
      <c r="L675" s="1243"/>
      <c r="M675" s="1243"/>
      <c r="N675" s="1243"/>
      <c r="O675" s="1243"/>
      <c r="P675" s="1243"/>
      <c r="Q675" s="1243"/>
      <c r="R675" s="1243"/>
      <c r="S675" s="1243"/>
      <c r="T675" s="1243"/>
      <c r="U675" s="1243"/>
      <c r="V675" s="1243"/>
      <c r="W675" s="1243"/>
      <c r="X675" s="1243"/>
      <c r="Y675" s="1243"/>
      <c r="Z675" s="1243"/>
    </row>
    <row r="676" spans="1:26" ht="15.75" customHeight="1" x14ac:dyDescent="0.2">
      <c r="A676" s="1243"/>
      <c r="B676" s="1243"/>
      <c r="C676" s="1243"/>
      <c r="D676" s="1243"/>
      <c r="E676" s="1243"/>
      <c r="F676" s="1243"/>
      <c r="G676" s="1243"/>
      <c r="H676" s="1243"/>
      <c r="I676" s="1243"/>
      <c r="J676" s="1243"/>
      <c r="K676" s="1243"/>
      <c r="L676" s="1243"/>
      <c r="M676" s="1243"/>
      <c r="N676" s="1243"/>
      <c r="O676" s="1243"/>
      <c r="P676" s="1243"/>
      <c r="Q676" s="1243"/>
      <c r="R676" s="1243"/>
      <c r="S676" s="1243"/>
      <c r="T676" s="1243"/>
      <c r="U676" s="1243"/>
      <c r="V676" s="1243"/>
      <c r="W676" s="1243"/>
      <c r="X676" s="1243"/>
      <c r="Y676" s="1243"/>
      <c r="Z676" s="1243"/>
    </row>
    <row r="677" spans="1:26" ht="15.75" customHeight="1" x14ac:dyDescent="0.2">
      <c r="A677" s="1243"/>
      <c r="B677" s="1243"/>
      <c r="C677" s="1243"/>
      <c r="D677" s="1243"/>
      <c r="E677" s="1243"/>
      <c r="F677" s="1243"/>
      <c r="G677" s="1243"/>
      <c r="H677" s="1243"/>
      <c r="I677" s="1243"/>
      <c r="J677" s="1243"/>
      <c r="K677" s="1243"/>
      <c r="L677" s="1243"/>
      <c r="M677" s="1243"/>
      <c r="N677" s="1243"/>
      <c r="O677" s="1243"/>
      <c r="P677" s="1243"/>
      <c r="Q677" s="1243"/>
      <c r="R677" s="1243"/>
      <c r="S677" s="1243"/>
      <c r="T677" s="1243"/>
      <c r="U677" s="1243"/>
      <c r="V677" s="1243"/>
      <c r="W677" s="1243"/>
      <c r="X677" s="1243"/>
      <c r="Y677" s="1243"/>
      <c r="Z677" s="1243"/>
    </row>
    <row r="678" spans="1:26" ht="15.75" customHeight="1" x14ac:dyDescent="0.2">
      <c r="A678" s="1243"/>
      <c r="B678" s="1243"/>
      <c r="C678" s="1243"/>
      <c r="D678" s="1243"/>
      <c r="E678" s="1243"/>
      <c r="F678" s="1243"/>
      <c r="G678" s="1243"/>
      <c r="H678" s="1243"/>
      <c r="I678" s="1243"/>
      <c r="J678" s="1243"/>
      <c r="K678" s="1243"/>
      <c r="L678" s="1243"/>
      <c r="M678" s="1243"/>
      <c r="N678" s="1243"/>
      <c r="O678" s="1243"/>
      <c r="P678" s="1243"/>
      <c r="Q678" s="1243"/>
      <c r="R678" s="1243"/>
      <c r="S678" s="1243"/>
      <c r="T678" s="1243"/>
      <c r="U678" s="1243"/>
      <c r="V678" s="1243"/>
      <c r="W678" s="1243"/>
      <c r="X678" s="1243"/>
      <c r="Y678" s="1243"/>
      <c r="Z678" s="1243"/>
    </row>
    <row r="679" spans="1:26" ht="15.75" customHeight="1" x14ac:dyDescent="0.2">
      <c r="A679" s="1243"/>
      <c r="B679" s="1243"/>
      <c r="C679" s="1243"/>
      <c r="D679" s="1243"/>
      <c r="E679" s="1243"/>
      <c r="F679" s="1243"/>
      <c r="G679" s="1243"/>
      <c r="H679" s="1243"/>
      <c r="I679" s="1243"/>
      <c r="J679" s="1243"/>
      <c r="K679" s="1243"/>
      <c r="L679" s="1243"/>
      <c r="M679" s="1243"/>
      <c r="N679" s="1243"/>
      <c r="O679" s="1243"/>
      <c r="P679" s="1243"/>
      <c r="Q679" s="1243"/>
      <c r="R679" s="1243"/>
      <c r="S679" s="1243"/>
      <c r="T679" s="1243"/>
      <c r="U679" s="1243"/>
      <c r="V679" s="1243"/>
      <c r="W679" s="1243"/>
      <c r="X679" s="1243"/>
      <c r="Y679" s="1243"/>
      <c r="Z679" s="1243"/>
    </row>
    <row r="680" spans="1:26" ht="15.75" customHeight="1" x14ac:dyDescent="0.2">
      <c r="A680" s="1243"/>
      <c r="B680" s="1243"/>
      <c r="C680" s="1243"/>
      <c r="D680" s="1243"/>
      <c r="E680" s="1243"/>
      <c r="F680" s="1243"/>
      <c r="G680" s="1243"/>
      <c r="H680" s="1243"/>
      <c r="I680" s="1243"/>
      <c r="J680" s="1243"/>
      <c r="K680" s="1243"/>
      <c r="L680" s="1243"/>
      <c r="M680" s="1243"/>
      <c r="N680" s="1243"/>
      <c r="O680" s="1243"/>
      <c r="P680" s="1243"/>
      <c r="Q680" s="1243"/>
      <c r="R680" s="1243"/>
      <c r="S680" s="1243"/>
      <c r="T680" s="1243"/>
      <c r="U680" s="1243"/>
      <c r="V680" s="1243"/>
      <c r="W680" s="1243"/>
      <c r="X680" s="1243"/>
      <c r="Y680" s="1243"/>
      <c r="Z680" s="1243"/>
    </row>
    <row r="681" spans="1:26" ht="15.75" customHeight="1" x14ac:dyDescent="0.2">
      <c r="A681" s="1243"/>
      <c r="B681" s="1243"/>
      <c r="C681" s="1243"/>
      <c r="D681" s="1243"/>
      <c r="E681" s="1243"/>
      <c r="F681" s="1243"/>
      <c r="G681" s="1243"/>
      <c r="H681" s="1243"/>
      <c r="I681" s="1243"/>
      <c r="J681" s="1243"/>
      <c r="K681" s="1243"/>
      <c r="L681" s="1243"/>
      <c r="M681" s="1243"/>
      <c r="N681" s="1243"/>
      <c r="O681" s="1243"/>
      <c r="P681" s="1243"/>
      <c r="Q681" s="1243"/>
      <c r="R681" s="1243"/>
      <c r="S681" s="1243"/>
      <c r="T681" s="1243"/>
      <c r="U681" s="1243"/>
      <c r="V681" s="1243"/>
      <c r="W681" s="1243"/>
      <c r="X681" s="1243"/>
      <c r="Y681" s="1243"/>
      <c r="Z681" s="1243"/>
    </row>
    <row r="682" spans="1:26" ht="15.75" customHeight="1" x14ac:dyDescent="0.2">
      <c r="A682" s="1243"/>
      <c r="B682" s="1243"/>
      <c r="C682" s="1243"/>
      <c r="D682" s="1243"/>
      <c r="E682" s="1243"/>
      <c r="F682" s="1243"/>
      <c r="G682" s="1243"/>
      <c r="H682" s="1243"/>
      <c r="I682" s="1243"/>
      <c r="J682" s="1243"/>
      <c r="K682" s="1243"/>
      <c r="L682" s="1243"/>
      <c r="M682" s="1243"/>
      <c r="N682" s="1243"/>
      <c r="O682" s="1243"/>
      <c r="P682" s="1243"/>
      <c r="Q682" s="1243"/>
      <c r="R682" s="1243"/>
      <c r="S682" s="1243"/>
      <c r="T682" s="1243"/>
      <c r="U682" s="1243"/>
      <c r="V682" s="1243"/>
      <c r="W682" s="1243"/>
      <c r="X682" s="1243"/>
      <c r="Y682" s="1243"/>
      <c r="Z682" s="1243"/>
    </row>
    <row r="683" spans="1:26" ht="15.75" customHeight="1" x14ac:dyDescent="0.2">
      <c r="A683" s="1243"/>
      <c r="B683" s="1243"/>
      <c r="C683" s="1243"/>
      <c r="D683" s="1243"/>
      <c r="E683" s="1243"/>
      <c r="F683" s="1243"/>
      <c r="G683" s="1243"/>
      <c r="H683" s="1243"/>
      <c r="I683" s="1243"/>
      <c r="J683" s="1243"/>
      <c r="K683" s="1243"/>
      <c r="L683" s="1243"/>
      <c r="M683" s="1243"/>
      <c r="N683" s="1243"/>
      <c r="O683" s="1243"/>
      <c r="P683" s="1243"/>
      <c r="Q683" s="1243"/>
      <c r="R683" s="1243"/>
      <c r="S683" s="1243"/>
      <c r="T683" s="1243"/>
      <c r="U683" s="1243"/>
      <c r="V683" s="1243"/>
      <c r="W683" s="1243"/>
      <c r="X683" s="1243"/>
      <c r="Y683" s="1243"/>
      <c r="Z683" s="1243"/>
    </row>
    <row r="684" spans="1:26" ht="15.75" customHeight="1" x14ac:dyDescent="0.2">
      <c r="A684" s="1243"/>
      <c r="B684" s="1243"/>
      <c r="C684" s="1243"/>
      <c r="D684" s="1243"/>
      <c r="E684" s="1243"/>
      <c r="F684" s="1243"/>
      <c r="G684" s="1243"/>
      <c r="H684" s="1243"/>
      <c r="I684" s="1243"/>
      <c r="J684" s="1243"/>
      <c r="K684" s="1243"/>
      <c r="L684" s="1243"/>
      <c r="M684" s="1243"/>
      <c r="N684" s="1243"/>
      <c r="O684" s="1243"/>
      <c r="P684" s="1243"/>
      <c r="Q684" s="1243"/>
      <c r="R684" s="1243"/>
      <c r="S684" s="1243"/>
      <c r="T684" s="1243"/>
      <c r="U684" s="1243"/>
      <c r="V684" s="1243"/>
      <c r="W684" s="1243"/>
      <c r="X684" s="1243"/>
      <c r="Y684" s="1243"/>
      <c r="Z684" s="1243"/>
    </row>
    <row r="685" spans="1:26" ht="15.75" customHeight="1" x14ac:dyDescent="0.2">
      <c r="A685" s="1243"/>
      <c r="B685" s="1243"/>
      <c r="C685" s="1243"/>
      <c r="D685" s="1243"/>
      <c r="E685" s="1243"/>
      <c r="F685" s="1243"/>
      <c r="G685" s="1243"/>
      <c r="H685" s="1243"/>
      <c r="I685" s="1243"/>
      <c r="J685" s="1243"/>
      <c r="K685" s="1243"/>
      <c r="L685" s="1243"/>
      <c r="M685" s="1243"/>
      <c r="N685" s="1243"/>
      <c r="O685" s="1243"/>
      <c r="P685" s="1243"/>
      <c r="Q685" s="1243"/>
      <c r="R685" s="1243"/>
      <c r="S685" s="1243"/>
      <c r="T685" s="1243"/>
      <c r="U685" s="1243"/>
      <c r="V685" s="1243"/>
      <c r="W685" s="1243"/>
      <c r="X685" s="1243"/>
      <c r="Y685" s="1243"/>
      <c r="Z685" s="1243"/>
    </row>
    <row r="686" spans="1:26" ht="15.75" customHeight="1" x14ac:dyDescent="0.2">
      <c r="A686" s="1243"/>
      <c r="B686" s="1243"/>
      <c r="C686" s="1243"/>
      <c r="D686" s="1243"/>
      <c r="E686" s="1243"/>
      <c r="F686" s="1243"/>
      <c r="G686" s="1243"/>
      <c r="H686" s="1243"/>
      <c r="I686" s="1243"/>
      <c r="J686" s="1243"/>
      <c r="K686" s="1243"/>
      <c r="L686" s="1243"/>
      <c r="M686" s="1243"/>
      <c r="N686" s="1243"/>
      <c r="O686" s="1243"/>
      <c r="P686" s="1243"/>
      <c r="Q686" s="1243"/>
      <c r="R686" s="1243"/>
      <c r="S686" s="1243"/>
      <c r="T686" s="1243"/>
      <c r="U686" s="1243"/>
      <c r="V686" s="1243"/>
      <c r="W686" s="1243"/>
      <c r="X686" s="1243"/>
      <c r="Y686" s="1243"/>
      <c r="Z686" s="1243"/>
    </row>
    <row r="687" spans="1:26" ht="15.75" customHeight="1" x14ac:dyDescent="0.2">
      <c r="A687" s="1243"/>
      <c r="B687" s="1243"/>
      <c r="C687" s="1243"/>
      <c r="D687" s="1243"/>
      <c r="E687" s="1243"/>
      <c r="F687" s="1243"/>
      <c r="G687" s="1243"/>
      <c r="H687" s="1243"/>
      <c r="I687" s="1243"/>
      <c r="J687" s="1243"/>
      <c r="K687" s="1243"/>
      <c r="L687" s="1243"/>
      <c r="M687" s="1243"/>
      <c r="N687" s="1243"/>
      <c r="O687" s="1243"/>
      <c r="P687" s="1243"/>
      <c r="Q687" s="1243"/>
      <c r="R687" s="1243"/>
      <c r="S687" s="1243"/>
      <c r="T687" s="1243"/>
      <c r="U687" s="1243"/>
      <c r="V687" s="1243"/>
      <c r="W687" s="1243"/>
      <c r="X687" s="1243"/>
      <c r="Y687" s="1243"/>
      <c r="Z687" s="1243"/>
    </row>
    <row r="688" spans="1:26" ht="15.75" customHeight="1" x14ac:dyDescent="0.2">
      <c r="A688" s="1243"/>
      <c r="B688" s="1243"/>
      <c r="C688" s="1243"/>
      <c r="D688" s="1243"/>
      <c r="E688" s="1243"/>
      <c r="F688" s="1243"/>
      <c r="G688" s="1243"/>
      <c r="H688" s="1243"/>
      <c r="I688" s="1243"/>
      <c r="J688" s="1243"/>
      <c r="K688" s="1243"/>
      <c r="L688" s="1243"/>
      <c r="M688" s="1243"/>
      <c r="N688" s="1243"/>
      <c r="O688" s="1243"/>
      <c r="P688" s="1243"/>
      <c r="Q688" s="1243"/>
      <c r="R688" s="1243"/>
      <c r="S688" s="1243"/>
      <c r="T688" s="1243"/>
      <c r="U688" s="1243"/>
      <c r="V688" s="1243"/>
      <c r="W688" s="1243"/>
      <c r="X688" s="1243"/>
      <c r="Y688" s="1243"/>
      <c r="Z688" s="1243"/>
    </row>
    <row r="689" spans="1:26" ht="15.75" customHeight="1" x14ac:dyDescent="0.2">
      <c r="A689" s="1243"/>
      <c r="B689" s="1243"/>
      <c r="C689" s="1243"/>
      <c r="D689" s="1243"/>
      <c r="E689" s="1243"/>
      <c r="F689" s="1243"/>
      <c r="G689" s="1243"/>
      <c r="H689" s="1243"/>
      <c r="I689" s="1243"/>
      <c r="J689" s="1243"/>
      <c r="K689" s="1243"/>
      <c r="L689" s="1243"/>
      <c r="M689" s="1243"/>
      <c r="N689" s="1243"/>
      <c r="O689" s="1243"/>
      <c r="P689" s="1243"/>
      <c r="Q689" s="1243"/>
      <c r="R689" s="1243"/>
      <c r="S689" s="1243"/>
      <c r="T689" s="1243"/>
      <c r="U689" s="1243"/>
      <c r="V689" s="1243"/>
      <c r="W689" s="1243"/>
      <c r="X689" s="1243"/>
      <c r="Y689" s="1243"/>
      <c r="Z689" s="1243"/>
    </row>
    <row r="690" spans="1:26" ht="15.75" customHeight="1" x14ac:dyDescent="0.2">
      <c r="A690" s="1243"/>
      <c r="B690" s="1243"/>
      <c r="C690" s="1243"/>
      <c r="D690" s="1243"/>
      <c r="E690" s="1243"/>
      <c r="F690" s="1243"/>
      <c r="G690" s="1243"/>
      <c r="H690" s="1243"/>
      <c r="I690" s="1243"/>
      <c r="J690" s="1243"/>
      <c r="K690" s="1243"/>
      <c r="L690" s="1243"/>
      <c r="M690" s="1243"/>
      <c r="N690" s="1243"/>
      <c r="O690" s="1243"/>
      <c r="P690" s="1243"/>
      <c r="Q690" s="1243"/>
      <c r="R690" s="1243"/>
      <c r="S690" s="1243"/>
      <c r="T690" s="1243"/>
      <c r="U690" s="1243"/>
      <c r="V690" s="1243"/>
      <c r="W690" s="1243"/>
      <c r="X690" s="1243"/>
      <c r="Y690" s="1243"/>
      <c r="Z690" s="1243"/>
    </row>
    <row r="691" spans="1:26" ht="15.75" customHeight="1" x14ac:dyDescent="0.2">
      <c r="A691" s="1243"/>
      <c r="B691" s="1243"/>
      <c r="C691" s="1243"/>
      <c r="D691" s="1243"/>
      <c r="E691" s="1243"/>
      <c r="F691" s="1243"/>
      <c r="G691" s="1243"/>
      <c r="H691" s="1243"/>
      <c r="I691" s="1243"/>
      <c r="J691" s="1243"/>
      <c r="K691" s="1243"/>
      <c r="L691" s="1243"/>
      <c r="M691" s="1243"/>
      <c r="N691" s="1243"/>
      <c r="O691" s="1243"/>
      <c r="P691" s="1243"/>
      <c r="Q691" s="1243"/>
      <c r="R691" s="1243"/>
      <c r="S691" s="1243"/>
      <c r="T691" s="1243"/>
      <c r="U691" s="1243"/>
      <c r="V691" s="1243"/>
      <c r="W691" s="1243"/>
      <c r="X691" s="1243"/>
      <c r="Y691" s="1243"/>
      <c r="Z691" s="1243"/>
    </row>
    <row r="692" spans="1:26" ht="15.75" customHeight="1" x14ac:dyDescent="0.2">
      <c r="A692" s="1243"/>
      <c r="B692" s="1243"/>
      <c r="C692" s="1243"/>
      <c r="D692" s="1243"/>
      <c r="E692" s="1243"/>
      <c r="F692" s="1243"/>
      <c r="G692" s="1243"/>
      <c r="H692" s="1243"/>
      <c r="I692" s="1243"/>
      <c r="J692" s="1243"/>
      <c r="K692" s="1243"/>
      <c r="L692" s="1243"/>
      <c r="M692" s="1243"/>
      <c r="N692" s="1243"/>
      <c r="O692" s="1243"/>
      <c r="P692" s="1243"/>
      <c r="Q692" s="1243"/>
      <c r="R692" s="1243"/>
      <c r="S692" s="1243"/>
      <c r="T692" s="1243"/>
      <c r="U692" s="1243"/>
      <c r="V692" s="1243"/>
      <c r="W692" s="1243"/>
      <c r="X692" s="1243"/>
      <c r="Y692" s="1243"/>
      <c r="Z692" s="1243"/>
    </row>
    <row r="693" spans="1:26" ht="15.75" customHeight="1" x14ac:dyDescent="0.2">
      <c r="A693" s="1243"/>
      <c r="B693" s="1243"/>
      <c r="C693" s="1243"/>
      <c r="D693" s="1243"/>
      <c r="E693" s="1243"/>
      <c r="F693" s="1243"/>
      <c r="G693" s="1243"/>
      <c r="H693" s="1243"/>
      <c r="I693" s="1243"/>
      <c r="J693" s="1243"/>
      <c r="K693" s="1243"/>
      <c r="L693" s="1243"/>
      <c r="M693" s="1243"/>
      <c r="N693" s="1243"/>
      <c r="O693" s="1243"/>
      <c r="P693" s="1243"/>
      <c r="Q693" s="1243"/>
      <c r="R693" s="1243"/>
      <c r="S693" s="1243"/>
      <c r="T693" s="1243"/>
      <c r="U693" s="1243"/>
      <c r="V693" s="1243"/>
      <c r="W693" s="1243"/>
      <c r="X693" s="1243"/>
      <c r="Y693" s="1243"/>
      <c r="Z693" s="1243"/>
    </row>
    <row r="694" spans="1:26" ht="15.75" customHeight="1" x14ac:dyDescent="0.2">
      <c r="A694" s="1243"/>
      <c r="B694" s="1243"/>
      <c r="C694" s="1243"/>
      <c r="D694" s="1243"/>
      <c r="E694" s="1243"/>
      <c r="F694" s="1243"/>
      <c r="G694" s="1243"/>
      <c r="H694" s="1243"/>
      <c r="I694" s="1243"/>
      <c r="J694" s="1243"/>
      <c r="K694" s="1243"/>
      <c r="L694" s="1243"/>
      <c r="M694" s="1243"/>
      <c r="N694" s="1243"/>
      <c r="O694" s="1243"/>
      <c r="P694" s="1243"/>
      <c r="Q694" s="1243"/>
      <c r="R694" s="1243"/>
      <c r="S694" s="1243"/>
      <c r="T694" s="1243"/>
      <c r="U694" s="1243"/>
      <c r="V694" s="1243"/>
      <c r="W694" s="1243"/>
      <c r="X694" s="1243"/>
      <c r="Y694" s="1243"/>
      <c r="Z694" s="1243"/>
    </row>
    <row r="695" spans="1:26" ht="15.75" customHeight="1" x14ac:dyDescent="0.2">
      <c r="A695" s="1243"/>
      <c r="B695" s="1243"/>
      <c r="C695" s="1243"/>
      <c r="D695" s="1243"/>
      <c r="E695" s="1243"/>
      <c r="F695" s="1243"/>
      <c r="G695" s="1243"/>
      <c r="H695" s="1243"/>
      <c r="I695" s="1243"/>
      <c r="J695" s="1243"/>
      <c r="K695" s="1243"/>
      <c r="L695" s="1243"/>
      <c r="M695" s="1243"/>
      <c r="N695" s="1243"/>
      <c r="O695" s="1243"/>
      <c r="P695" s="1243"/>
      <c r="Q695" s="1243"/>
      <c r="R695" s="1243"/>
      <c r="S695" s="1243"/>
      <c r="T695" s="1243"/>
      <c r="U695" s="1243"/>
      <c r="V695" s="1243"/>
      <c r="W695" s="1243"/>
      <c r="X695" s="1243"/>
      <c r="Y695" s="1243"/>
      <c r="Z695" s="1243"/>
    </row>
    <row r="696" spans="1:26" ht="15.75" customHeight="1" x14ac:dyDescent="0.2">
      <c r="A696" s="1243"/>
      <c r="B696" s="1243"/>
      <c r="C696" s="1243"/>
      <c r="D696" s="1243"/>
      <c r="E696" s="1243"/>
      <c r="F696" s="1243"/>
      <c r="G696" s="1243"/>
      <c r="H696" s="1243"/>
      <c r="I696" s="1243"/>
      <c r="J696" s="1243"/>
      <c r="K696" s="1243"/>
      <c r="L696" s="1243"/>
      <c r="M696" s="1243"/>
      <c r="N696" s="1243"/>
      <c r="O696" s="1243"/>
      <c r="P696" s="1243"/>
      <c r="Q696" s="1243"/>
      <c r="R696" s="1243"/>
      <c r="S696" s="1243"/>
      <c r="T696" s="1243"/>
      <c r="U696" s="1243"/>
      <c r="V696" s="1243"/>
      <c r="W696" s="1243"/>
      <c r="X696" s="1243"/>
      <c r="Y696" s="1243"/>
      <c r="Z696" s="1243"/>
    </row>
    <row r="697" spans="1:26" ht="15.75" customHeight="1" x14ac:dyDescent="0.2">
      <c r="A697" s="1243"/>
      <c r="B697" s="1243"/>
      <c r="C697" s="1243"/>
      <c r="D697" s="1243"/>
      <c r="E697" s="1243"/>
      <c r="F697" s="1243"/>
      <c r="G697" s="1243"/>
      <c r="H697" s="1243"/>
      <c r="I697" s="1243"/>
      <c r="J697" s="1243"/>
      <c r="K697" s="1243"/>
      <c r="L697" s="1243"/>
      <c r="M697" s="1243"/>
      <c r="N697" s="1243"/>
      <c r="O697" s="1243"/>
      <c r="P697" s="1243"/>
      <c r="Q697" s="1243"/>
      <c r="R697" s="1243"/>
      <c r="S697" s="1243"/>
      <c r="T697" s="1243"/>
      <c r="U697" s="1243"/>
      <c r="V697" s="1243"/>
      <c r="W697" s="1243"/>
      <c r="X697" s="1243"/>
      <c r="Y697" s="1243"/>
      <c r="Z697" s="1243"/>
    </row>
    <row r="698" spans="1:26" ht="15.75" customHeight="1" x14ac:dyDescent="0.2">
      <c r="A698" s="1243"/>
      <c r="B698" s="1243"/>
      <c r="C698" s="1243"/>
      <c r="D698" s="1243"/>
      <c r="E698" s="1243"/>
      <c r="F698" s="1243"/>
      <c r="G698" s="1243"/>
      <c r="H698" s="1243"/>
      <c r="I698" s="1243"/>
      <c r="J698" s="1243"/>
      <c r="K698" s="1243"/>
      <c r="L698" s="1243"/>
      <c r="M698" s="1243"/>
      <c r="N698" s="1243"/>
      <c r="O698" s="1243"/>
      <c r="P698" s="1243"/>
      <c r="Q698" s="1243"/>
      <c r="R698" s="1243"/>
      <c r="S698" s="1243"/>
      <c r="T698" s="1243"/>
      <c r="U698" s="1243"/>
      <c r="V698" s="1243"/>
      <c r="W698" s="1243"/>
      <c r="X698" s="1243"/>
      <c r="Y698" s="1243"/>
      <c r="Z698" s="1243"/>
    </row>
    <row r="699" spans="1:26" ht="15.75" customHeight="1" x14ac:dyDescent="0.2">
      <c r="A699" s="1243"/>
      <c r="B699" s="1243"/>
      <c r="C699" s="1243"/>
      <c r="D699" s="1243"/>
      <c r="E699" s="1243"/>
      <c r="F699" s="1243"/>
      <c r="G699" s="1243"/>
      <c r="H699" s="1243"/>
      <c r="I699" s="1243"/>
      <c r="J699" s="1243"/>
      <c r="K699" s="1243"/>
      <c r="L699" s="1243"/>
      <c r="M699" s="1243"/>
      <c r="N699" s="1243"/>
      <c r="O699" s="1243"/>
      <c r="P699" s="1243"/>
      <c r="Q699" s="1243"/>
      <c r="R699" s="1243"/>
      <c r="S699" s="1243"/>
      <c r="T699" s="1243"/>
      <c r="U699" s="1243"/>
      <c r="V699" s="1243"/>
      <c r="W699" s="1243"/>
      <c r="X699" s="1243"/>
      <c r="Y699" s="1243"/>
      <c r="Z699" s="1243"/>
    </row>
    <row r="700" spans="1:26" ht="15.75" customHeight="1" x14ac:dyDescent="0.2">
      <c r="A700" s="1243"/>
      <c r="B700" s="1243"/>
      <c r="C700" s="1243"/>
      <c r="D700" s="1243"/>
      <c r="E700" s="1243"/>
      <c r="F700" s="1243"/>
      <c r="G700" s="1243"/>
      <c r="H700" s="1243"/>
      <c r="I700" s="1243"/>
      <c r="J700" s="1243"/>
      <c r="K700" s="1243"/>
      <c r="L700" s="1243"/>
      <c r="M700" s="1243"/>
      <c r="N700" s="1243"/>
      <c r="O700" s="1243"/>
      <c r="P700" s="1243"/>
      <c r="Q700" s="1243"/>
      <c r="R700" s="1243"/>
      <c r="S700" s="1243"/>
      <c r="T700" s="1243"/>
      <c r="U700" s="1243"/>
      <c r="V700" s="1243"/>
      <c r="W700" s="1243"/>
      <c r="X700" s="1243"/>
      <c r="Y700" s="1243"/>
      <c r="Z700" s="1243"/>
    </row>
    <row r="701" spans="1:26" ht="15.75" customHeight="1" x14ac:dyDescent="0.2">
      <c r="A701" s="1243"/>
      <c r="B701" s="1243"/>
      <c r="C701" s="1243"/>
      <c r="D701" s="1243"/>
      <c r="E701" s="1243"/>
      <c r="F701" s="1243"/>
      <c r="G701" s="1243"/>
      <c r="H701" s="1243"/>
      <c r="I701" s="1243"/>
      <c r="J701" s="1243"/>
      <c r="K701" s="1243"/>
      <c r="L701" s="1243"/>
      <c r="M701" s="1243"/>
      <c r="N701" s="1243"/>
      <c r="O701" s="1243"/>
      <c r="P701" s="1243"/>
      <c r="Q701" s="1243"/>
      <c r="R701" s="1243"/>
      <c r="S701" s="1243"/>
      <c r="T701" s="1243"/>
      <c r="U701" s="1243"/>
      <c r="V701" s="1243"/>
      <c r="W701" s="1243"/>
      <c r="X701" s="1243"/>
      <c r="Y701" s="1243"/>
      <c r="Z701" s="1243"/>
    </row>
    <row r="702" spans="1:26" ht="15.75" customHeight="1" x14ac:dyDescent="0.2">
      <c r="A702" s="1243"/>
      <c r="B702" s="1243"/>
      <c r="C702" s="1243"/>
      <c r="D702" s="1243"/>
      <c r="E702" s="1243"/>
      <c r="F702" s="1243"/>
      <c r="G702" s="1243"/>
      <c r="H702" s="1243"/>
      <c r="I702" s="1243"/>
      <c r="J702" s="1243"/>
      <c r="K702" s="1243"/>
      <c r="L702" s="1243"/>
      <c r="M702" s="1243"/>
      <c r="N702" s="1243"/>
      <c r="O702" s="1243"/>
      <c r="P702" s="1243"/>
      <c r="Q702" s="1243"/>
      <c r="R702" s="1243"/>
      <c r="S702" s="1243"/>
      <c r="T702" s="1243"/>
      <c r="U702" s="1243"/>
      <c r="V702" s="1243"/>
      <c r="W702" s="1243"/>
      <c r="X702" s="1243"/>
      <c r="Y702" s="1243"/>
      <c r="Z702" s="1243"/>
    </row>
    <row r="703" spans="1:26" ht="15.75" customHeight="1" x14ac:dyDescent="0.2">
      <c r="A703" s="1243"/>
      <c r="B703" s="1243"/>
      <c r="C703" s="1243"/>
      <c r="D703" s="1243"/>
      <c r="E703" s="1243"/>
      <c r="F703" s="1243"/>
      <c r="G703" s="1243"/>
      <c r="H703" s="1243"/>
      <c r="I703" s="1243"/>
      <c r="J703" s="1243"/>
      <c r="K703" s="1243"/>
      <c r="L703" s="1243"/>
      <c r="M703" s="1243"/>
      <c r="N703" s="1243"/>
      <c r="O703" s="1243"/>
      <c r="P703" s="1243"/>
      <c r="Q703" s="1243"/>
      <c r="R703" s="1243"/>
      <c r="S703" s="1243"/>
      <c r="T703" s="1243"/>
      <c r="U703" s="1243"/>
      <c r="V703" s="1243"/>
      <c r="W703" s="1243"/>
      <c r="X703" s="1243"/>
      <c r="Y703" s="1243"/>
      <c r="Z703" s="1243"/>
    </row>
    <row r="704" spans="1:26" ht="15.75" customHeight="1" x14ac:dyDescent="0.2">
      <c r="A704" s="1243"/>
      <c r="B704" s="1243"/>
      <c r="C704" s="1243"/>
      <c r="D704" s="1243"/>
      <c r="E704" s="1243"/>
      <c r="F704" s="1243"/>
      <c r="G704" s="1243"/>
      <c r="H704" s="1243"/>
      <c r="I704" s="1243"/>
      <c r="J704" s="1243"/>
      <c r="K704" s="1243"/>
      <c r="L704" s="1243"/>
      <c r="M704" s="1243"/>
      <c r="N704" s="1243"/>
      <c r="O704" s="1243"/>
      <c r="P704" s="1243"/>
      <c r="Q704" s="1243"/>
      <c r="R704" s="1243"/>
      <c r="S704" s="1243"/>
      <c r="T704" s="1243"/>
      <c r="U704" s="1243"/>
      <c r="V704" s="1243"/>
      <c r="W704" s="1243"/>
      <c r="X704" s="1243"/>
      <c r="Y704" s="1243"/>
      <c r="Z704" s="1243"/>
    </row>
    <row r="705" spans="1:26" ht="15.75" customHeight="1" x14ac:dyDescent="0.2">
      <c r="A705" s="1243"/>
      <c r="B705" s="1243"/>
      <c r="C705" s="1243"/>
      <c r="D705" s="1243"/>
      <c r="E705" s="1243"/>
      <c r="F705" s="1243"/>
      <c r="G705" s="1243"/>
      <c r="H705" s="1243"/>
      <c r="I705" s="1243"/>
      <c r="J705" s="1243"/>
      <c r="K705" s="1243"/>
      <c r="L705" s="1243"/>
      <c r="M705" s="1243"/>
      <c r="N705" s="1243"/>
      <c r="O705" s="1243"/>
      <c r="P705" s="1243"/>
      <c r="Q705" s="1243"/>
      <c r="R705" s="1243"/>
      <c r="S705" s="1243"/>
      <c r="T705" s="1243"/>
      <c r="U705" s="1243"/>
      <c r="V705" s="1243"/>
      <c r="W705" s="1243"/>
      <c r="X705" s="1243"/>
      <c r="Y705" s="1243"/>
      <c r="Z705" s="1243"/>
    </row>
    <row r="706" spans="1:26" ht="15.75" customHeight="1" x14ac:dyDescent="0.2">
      <c r="A706" s="1243"/>
      <c r="B706" s="1243"/>
      <c r="C706" s="1243"/>
      <c r="D706" s="1243"/>
      <c r="E706" s="1243"/>
      <c r="F706" s="1243"/>
      <c r="G706" s="1243"/>
      <c r="H706" s="1243"/>
      <c r="I706" s="1243"/>
      <c r="J706" s="1243"/>
      <c r="K706" s="1243"/>
      <c r="L706" s="1243"/>
      <c r="M706" s="1243"/>
      <c r="N706" s="1243"/>
      <c r="O706" s="1243"/>
      <c r="P706" s="1243"/>
      <c r="Q706" s="1243"/>
      <c r="R706" s="1243"/>
      <c r="S706" s="1243"/>
      <c r="T706" s="1243"/>
      <c r="U706" s="1243"/>
      <c r="V706" s="1243"/>
      <c r="W706" s="1243"/>
      <c r="X706" s="1243"/>
      <c r="Y706" s="1243"/>
      <c r="Z706" s="1243"/>
    </row>
    <row r="707" spans="1:26" ht="15.75" customHeight="1" x14ac:dyDescent="0.2">
      <c r="A707" s="1243"/>
      <c r="B707" s="1243"/>
      <c r="C707" s="1243"/>
      <c r="D707" s="1243"/>
      <c r="E707" s="1243"/>
      <c r="F707" s="1243"/>
      <c r="G707" s="1243"/>
      <c r="H707" s="1243"/>
      <c r="I707" s="1243"/>
      <c r="J707" s="1243"/>
      <c r="K707" s="1243"/>
      <c r="L707" s="1243"/>
      <c r="M707" s="1243"/>
      <c r="N707" s="1243"/>
      <c r="O707" s="1243"/>
      <c r="P707" s="1243"/>
      <c r="Q707" s="1243"/>
      <c r="R707" s="1243"/>
      <c r="S707" s="1243"/>
      <c r="T707" s="1243"/>
      <c r="U707" s="1243"/>
      <c r="V707" s="1243"/>
      <c r="W707" s="1243"/>
      <c r="X707" s="1243"/>
      <c r="Y707" s="1243"/>
      <c r="Z707" s="1243"/>
    </row>
    <row r="708" spans="1:26" ht="15.75" customHeight="1" x14ac:dyDescent="0.2">
      <c r="A708" s="1243"/>
      <c r="B708" s="1243"/>
      <c r="C708" s="1243"/>
      <c r="D708" s="1243"/>
      <c r="E708" s="1243"/>
      <c r="F708" s="1243"/>
      <c r="G708" s="1243"/>
      <c r="H708" s="1243"/>
      <c r="I708" s="1243"/>
      <c r="J708" s="1243"/>
      <c r="K708" s="1243"/>
      <c r="L708" s="1243"/>
      <c r="M708" s="1243"/>
      <c r="N708" s="1243"/>
      <c r="O708" s="1243"/>
      <c r="P708" s="1243"/>
      <c r="Q708" s="1243"/>
      <c r="R708" s="1243"/>
      <c r="S708" s="1243"/>
      <c r="T708" s="1243"/>
      <c r="U708" s="1243"/>
      <c r="V708" s="1243"/>
      <c r="W708" s="1243"/>
      <c r="X708" s="1243"/>
      <c r="Y708" s="1243"/>
      <c r="Z708" s="1243"/>
    </row>
    <row r="709" spans="1:26" ht="15.75" customHeight="1" x14ac:dyDescent="0.2">
      <c r="A709" s="1243"/>
      <c r="B709" s="1243"/>
      <c r="C709" s="1243"/>
      <c r="D709" s="1243"/>
      <c r="E709" s="1243"/>
      <c r="F709" s="1243"/>
      <c r="G709" s="1243"/>
      <c r="H709" s="1243"/>
      <c r="I709" s="1243"/>
      <c r="J709" s="1243"/>
      <c r="K709" s="1243"/>
      <c r="L709" s="1243"/>
      <c r="M709" s="1243"/>
      <c r="N709" s="1243"/>
      <c r="O709" s="1243"/>
      <c r="P709" s="1243"/>
      <c r="Q709" s="1243"/>
      <c r="R709" s="1243"/>
      <c r="S709" s="1243"/>
      <c r="T709" s="1243"/>
      <c r="U709" s="1243"/>
      <c r="V709" s="1243"/>
      <c r="W709" s="1243"/>
      <c r="X709" s="1243"/>
      <c r="Y709" s="1243"/>
      <c r="Z709" s="1243"/>
    </row>
    <row r="710" spans="1:26" ht="15.75" customHeight="1" x14ac:dyDescent="0.2">
      <c r="A710" s="1243"/>
      <c r="B710" s="1243"/>
      <c r="C710" s="1243"/>
      <c r="D710" s="1243"/>
      <c r="E710" s="1243"/>
      <c r="F710" s="1243"/>
      <c r="G710" s="1243"/>
      <c r="H710" s="1243"/>
      <c r="I710" s="1243"/>
      <c r="J710" s="1243"/>
      <c r="K710" s="1243"/>
      <c r="L710" s="1243"/>
      <c r="M710" s="1243"/>
      <c r="N710" s="1243"/>
      <c r="O710" s="1243"/>
      <c r="P710" s="1243"/>
      <c r="Q710" s="1243"/>
      <c r="R710" s="1243"/>
      <c r="S710" s="1243"/>
      <c r="T710" s="1243"/>
      <c r="U710" s="1243"/>
      <c r="V710" s="1243"/>
      <c r="W710" s="1243"/>
      <c r="X710" s="1243"/>
      <c r="Y710" s="1243"/>
      <c r="Z710" s="1243"/>
    </row>
    <row r="711" spans="1:26" ht="15.75" customHeight="1" x14ac:dyDescent="0.2">
      <c r="A711" s="1243"/>
      <c r="B711" s="1243"/>
      <c r="C711" s="1243"/>
      <c r="D711" s="1243"/>
      <c r="E711" s="1243"/>
      <c r="F711" s="1243"/>
      <c r="G711" s="1243"/>
      <c r="H711" s="1243"/>
      <c r="I711" s="1243"/>
      <c r="J711" s="1243"/>
      <c r="K711" s="1243"/>
      <c r="L711" s="1243"/>
      <c r="M711" s="1243"/>
      <c r="N711" s="1243"/>
      <c r="O711" s="1243"/>
      <c r="P711" s="1243"/>
      <c r="Q711" s="1243"/>
      <c r="R711" s="1243"/>
      <c r="S711" s="1243"/>
      <c r="T711" s="1243"/>
      <c r="U711" s="1243"/>
      <c r="V711" s="1243"/>
      <c r="W711" s="1243"/>
      <c r="X711" s="1243"/>
      <c r="Y711" s="1243"/>
      <c r="Z711" s="1243"/>
    </row>
    <row r="712" spans="1:26" ht="15.75" customHeight="1" x14ac:dyDescent="0.2">
      <c r="A712" s="1243"/>
      <c r="B712" s="1243"/>
      <c r="C712" s="1243"/>
      <c r="D712" s="1243"/>
      <c r="E712" s="1243"/>
      <c r="F712" s="1243"/>
      <c r="G712" s="1243"/>
      <c r="H712" s="1243"/>
      <c r="I712" s="1243"/>
      <c r="J712" s="1243"/>
      <c r="K712" s="1243"/>
      <c r="L712" s="1243"/>
      <c r="M712" s="1243"/>
      <c r="N712" s="1243"/>
      <c r="O712" s="1243"/>
      <c r="P712" s="1243"/>
      <c r="Q712" s="1243"/>
      <c r="R712" s="1243"/>
      <c r="S712" s="1243"/>
      <c r="T712" s="1243"/>
      <c r="U712" s="1243"/>
      <c r="V712" s="1243"/>
      <c r="W712" s="1243"/>
      <c r="X712" s="1243"/>
      <c r="Y712" s="1243"/>
      <c r="Z712" s="1243"/>
    </row>
    <row r="713" spans="1:26" ht="15.75" customHeight="1" x14ac:dyDescent="0.2">
      <c r="A713" s="1243"/>
      <c r="B713" s="1243"/>
      <c r="C713" s="1243"/>
      <c r="D713" s="1243"/>
      <c r="E713" s="1243"/>
      <c r="F713" s="1243"/>
      <c r="G713" s="1243"/>
      <c r="H713" s="1243"/>
      <c r="I713" s="1243"/>
      <c r="J713" s="1243"/>
      <c r="K713" s="1243"/>
      <c r="L713" s="1243"/>
      <c r="M713" s="1243"/>
      <c r="N713" s="1243"/>
      <c r="O713" s="1243"/>
      <c r="P713" s="1243"/>
      <c r="Q713" s="1243"/>
      <c r="R713" s="1243"/>
      <c r="S713" s="1243"/>
      <c r="T713" s="1243"/>
      <c r="U713" s="1243"/>
      <c r="V713" s="1243"/>
      <c r="W713" s="1243"/>
      <c r="X713" s="1243"/>
      <c r="Y713" s="1243"/>
      <c r="Z713" s="1243"/>
    </row>
    <row r="714" spans="1:26" ht="15.75" customHeight="1" x14ac:dyDescent="0.2">
      <c r="A714" s="1243"/>
      <c r="B714" s="1243"/>
      <c r="C714" s="1243"/>
      <c r="D714" s="1243"/>
      <c r="E714" s="1243"/>
      <c r="F714" s="1243"/>
      <c r="G714" s="1243"/>
      <c r="H714" s="1243"/>
      <c r="I714" s="1243"/>
      <c r="J714" s="1243"/>
      <c r="K714" s="1243"/>
      <c r="L714" s="1243"/>
      <c r="M714" s="1243"/>
      <c r="N714" s="1243"/>
      <c r="O714" s="1243"/>
      <c r="P714" s="1243"/>
      <c r="Q714" s="1243"/>
      <c r="R714" s="1243"/>
      <c r="S714" s="1243"/>
      <c r="T714" s="1243"/>
      <c r="U714" s="1243"/>
      <c r="V714" s="1243"/>
      <c r="W714" s="1243"/>
      <c r="X714" s="1243"/>
      <c r="Y714" s="1243"/>
      <c r="Z714" s="1243"/>
    </row>
    <row r="715" spans="1:26" ht="15.75" customHeight="1" x14ac:dyDescent="0.2">
      <c r="A715" s="1243"/>
      <c r="B715" s="1243"/>
      <c r="C715" s="1243"/>
      <c r="D715" s="1243"/>
      <c r="E715" s="1243"/>
      <c r="F715" s="1243"/>
      <c r="G715" s="1243"/>
      <c r="H715" s="1243"/>
      <c r="I715" s="1243"/>
      <c r="J715" s="1243"/>
      <c r="K715" s="1243"/>
      <c r="L715" s="1243"/>
      <c r="M715" s="1243"/>
      <c r="N715" s="1243"/>
      <c r="O715" s="1243"/>
      <c r="P715" s="1243"/>
      <c r="Q715" s="1243"/>
      <c r="R715" s="1243"/>
      <c r="S715" s="1243"/>
      <c r="T715" s="1243"/>
      <c r="U715" s="1243"/>
      <c r="V715" s="1243"/>
      <c r="W715" s="1243"/>
      <c r="X715" s="1243"/>
      <c r="Y715" s="1243"/>
      <c r="Z715" s="1243"/>
    </row>
    <row r="716" spans="1:26" ht="15.75" customHeight="1" x14ac:dyDescent="0.2">
      <c r="A716" s="1243"/>
      <c r="B716" s="1243"/>
      <c r="C716" s="1243"/>
      <c r="D716" s="1243"/>
      <c r="E716" s="1243"/>
      <c r="F716" s="1243"/>
      <c r="G716" s="1243"/>
      <c r="H716" s="1243"/>
      <c r="I716" s="1243"/>
      <c r="J716" s="1243"/>
      <c r="K716" s="1243"/>
      <c r="L716" s="1243"/>
      <c r="M716" s="1243"/>
      <c r="N716" s="1243"/>
      <c r="O716" s="1243"/>
      <c r="P716" s="1243"/>
      <c r="Q716" s="1243"/>
      <c r="R716" s="1243"/>
      <c r="S716" s="1243"/>
      <c r="T716" s="1243"/>
      <c r="U716" s="1243"/>
      <c r="V716" s="1243"/>
      <c r="W716" s="1243"/>
      <c r="X716" s="1243"/>
      <c r="Y716" s="1243"/>
      <c r="Z716" s="1243"/>
    </row>
    <row r="717" spans="1:26" ht="15.75" customHeight="1" x14ac:dyDescent="0.2">
      <c r="A717" s="1243"/>
      <c r="B717" s="1243"/>
      <c r="C717" s="1243"/>
      <c r="D717" s="1243"/>
      <c r="E717" s="1243"/>
      <c r="F717" s="1243"/>
      <c r="G717" s="1243"/>
      <c r="H717" s="1243"/>
      <c r="I717" s="1243"/>
      <c r="J717" s="1243"/>
      <c r="K717" s="1243"/>
      <c r="L717" s="1243"/>
      <c r="M717" s="1243"/>
      <c r="N717" s="1243"/>
      <c r="O717" s="1243"/>
      <c r="P717" s="1243"/>
      <c r="Q717" s="1243"/>
      <c r="R717" s="1243"/>
      <c r="S717" s="1243"/>
      <c r="T717" s="1243"/>
      <c r="U717" s="1243"/>
      <c r="V717" s="1243"/>
      <c r="W717" s="1243"/>
      <c r="X717" s="1243"/>
      <c r="Y717" s="1243"/>
      <c r="Z717" s="1243"/>
    </row>
    <row r="718" spans="1:26" ht="15.75" customHeight="1" x14ac:dyDescent="0.2">
      <c r="A718" s="1243"/>
      <c r="B718" s="1243"/>
      <c r="C718" s="1243"/>
      <c r="D718" s="1243"/>
      <c r="E718" s="1243"/>
      <c r="F718" s="1243"/>
      <c r="G718" s="1243"/>
      <c r="H718" s="1243"/>
      <c r="I718" s="1243"/>
      <c r="J718" s="1243"/>
      <c r="K718" s="1243"/>
      <c r="L718" s="1243"/>
      <c r="M718" s="1243"/>
      <c r="N718" s="1243"/>
      <c r="O718" s="1243"/>
      <c r="P718" s="1243"/>
      <c r="Q718" s="1243"/>
      <c r="R718" s="1243"/>
      <c r="S718" s="1243"/>
      <c r="T718" s="1243"/>
      <c r="U718" s="1243"/>
      <c r="V718" s="1243"/>
      <c r="W718" s="1243"/>
      <c r="X718" s="1243"/>
      <c r="Y718" s="1243"/>
      <c r="Z718" s="1243"/>
    </row>
    <row r="719" spans="1:26" ht="15.75" customHeight="1" x14ac:dyDescent="0.2">
      <c r="A719" s="1243"/>
      <c r="B719" s="1243"/>
      <c r="C719" s="1243"/>
      <c r="D719" s="1243"/>
      <c r="E719" s="1243"/>
      <c r="F719" s="1243"/>
      <c r="G719" s="1243"/>
      <c r="H719" s="1243"/>
      <c r="I719" s="1243"/>
      <c r="J719" s="1243"/>
      <c r="K719" s="1243"/>
      <c r="L719" s="1243"/>
      <c r="M719" s="1243"/>
      <c r="N719" s="1243"/>
      <c r="O719" s="1243"/>
      <c r="P719" s="1243"/>
      <c r="Q719" s="1243"/>
      <c r="R719" s="1243"/>
      <c r="S719" s="1243"/>
      <c r="T719" s="1243"/>
      <c r="U719" s="1243"/>
      <c r="V719" s="1243"/>
      <c r="W719" s="1243"/>
      <c r="X719" s="1243"/>
      <c r="Y719" s="1243"/>
      <c r="Z719" s="1243"/>
    </row>
    <row r="720" spans="1:26" ht="15.75" customHeight="1" x14ac:dyDescent="0.2">
      <c r="A720" s="1243"/>
      <c r="B720" s="1243"/>
      <c r="C720" s="1243"/>
      <c r="D720" s="1243"/>
      <c r="E720" s="1243"/>
      <c r="F720" s="1243"/>
      <c r="G720" s="1243"/>
      <c r="H720" s="1243"/>
      <c r="I720" s="1243"/>
      <c r="J720" s="1243"/>
      <c r="K720" s="1243"/>
      <c r="L720" s="1243"/>
      <c r="M720" s="1243"/>
      <c r="N720" s="1243"/>
      <c r="O720" s="1243"/>
      <c r="P720" s="1243"/>
      <c r="Q720" s="1243"/>
      <c r="R720" s="1243"/>
      <c r="S720" s="1243"/>
      <c r="T720" s="1243"/>
      <c r="U720" s="1243"/>
      <c r="V720" s="1243"/>
      <c r="W720" s="1243"/>
      <c r="X720" s="1243"/>
      <c r="Y720" s="1243"/>
      <c r="Z720" s="1243"/>
    </row>
    <row r="721" spans="1:26" ht="15.75" customHeight="1" x14ac:dyDescent="0.2">
      <c r="A721" s="1243"/>
      <c r="B721" s="1243"/>
      <c r="C721" s="1243"/>
      <c r="D721" s="1243"/>
      <c r="E721" s="1243"/>
      <c r="F721" s="1243"/>
      <c r="G721" s="1243"/>
      <c r="H721" s="1243"/>
      <c r="I721" s="1243"/>
      <c r="J721" s="1243"/>
      <c r="K721" s="1243"/>
      <c r="L721" s="1243"/>
      <c r="M721" s="1243"/>
      <c r="N721" s="1243"/>
      <c r="O721" s="1243"/>
      <c r="P721" s="1243"/>
      <c r="Q721" s="1243"/>
      <c r="R721" s="1243"/>
      <c r="S721" s="1243"/>
      <c r="T721" s="1243"/>
      <c r="U721" s="1243"/>
      <c r="V721" s="1243"/>
      <c r="W721" s="1243"/>
      <c r="X721" s="1243"/>
      <c r="Y721" s="1243"/>
      <c r="Z721" s="1243"/>
    </row>
    <row r="722" spans="1:26" ht="15.75" customHeight="1" x14ac:dyDescent="0.2">
      <c r="A722" s="1243"/>
      <c r="B722" s="1243"/>
      <c r="C722" s="1243"/>
      <c r="D722" s="1243"/>
      <c r="E722" s="1243"/>
      <c r="F722" s="1243"/>
      <c r="G722" s="1243"/>
      <c r="H722" s="1243"/>
      <c r="I722" s="1243"/>
      <c r="J722" s="1243"/>
      <c r="K722" s="1243"/>
      <c r="L722" s="1243"/>
      <c r="M722" s="1243"/>
      <c r="N722" s="1243"/>
      <c r="O722" s="1243"/>
      <c r="P722" s="1243"/>
      <c r="Q722" s="1243"/>
      <c r="R722" s="1243"/>
      <c r="S722" s="1243"/>
      <c r="T722" s="1243"/>
      <c r="U722" s="1243"/>
      <c r="V722" s="1243"/>
      <c r="W722" s="1243"/>
      <c r="X722" s="1243"/>
      <c r="Y722" s="1243"/>
      <c r="Z722" s="1243"/>
    </row>
    <row r="723" spans="1:26" ht="15.75" customHeight="1" x14ac:dyDescent="0.2">
      <c r="A723" s="1243"/>
      <c r="B723" s="1243"/>
      <c r="C723" s="1243"/>
      <c r="D723" s="1243"/>
      <c r="E723" s="1243"/>
      <c r="F723" s="1243"/>
      <c r="G723" s="1243"/>
      <c r="H723" s="1243"/>
      <c r="I723" s="1243"/>
      <c r="J723" s="1243"/>
      <c r="K723" s="1243"/>
      <c r="L723" s="1243"/>
      <c r="M723" s="1243"/>
      <c r="N723" s="1243"/>
      <c r="O723" s="1243"/>
      <c r="P723" s="1243"/>
      <c r="Q723" s="1243"/>
      <c r="R723" s="1243"/>
      <c r="S723" s="1243"/>
      <c r="T723" s="1243"/>
      <c r="U723" s="1243"/>
      <c r="V723" s="1243"/>
      <c r="W723" s="1243"/>
      <c r="X723" s="1243"/>
      <c r="Y723" s="1243"/>
      <c r="Z723" s="1243"/>
    </row>
    <row r="724" spans="1:26" ht="15.75" customHeight="1" x14ac:dyDescent="0.2">
      <c r="A724" s="1243"/>
      <c r="B724" s="1243"/>
      <c r="C724" s="1243"/>
      <c r="D724" s="1243"/>
      <c r="E724" s="1243"/>
      <c r="F724" s="1243"/>
      <c r="G724" s="1243"/>
      <c r="H724" s="1243"/>
      <c r="I724" s="1243"/>
      <c r="J724" s="1243"/>
      <c r="K724" s="1243"/>
      <c r="L724" s="1243"/>
      <c r="M724" s="1243"/>
      <c r="N724" s="1243"/>
      <c r="O724" s="1243"/>
      <c r="P724" s="1243"/>
      <c r="Q724" s="1243"/>
      <c r="R724" s="1243"/>
      <c r="S724" s="1243"/>
      <c r="T724" s="1243"/>
      <c r="U724" s="1243"/>
      <c r="V724" s="1243"/>
      <c r="W724" s="1243"/>
      <c r="X724" s="1243"/>
      <c r="Y724" s="1243"/>
      <c r="Z724" s="1243"/>
    </row>
    <row r="725" spans="1:26" ht="15.75" customHeight="1" x14ac:dyDescent="0.2">
      <c r="A725" s="1243"/>
      <c r="B725" s="1243"/>
      <c r="C725" s="1243"/>
      <c r="D725" s="1243"/>
      <c r="E725" s="1243"/>
      <c r="F725" s="1243"/>
      <c r="G725" s="1243"/>
      <c r="H725" s="1243"/>
      <c r="I725" s="1243"/>
      <c r="J725" s="1243"/>
      <c r="K725" s="1243"/>
      <c r="L725" s="1243"/>
      <c r="M725" s="1243"/>
      <c r="N725" s="1243"/>
      <c r="O725" s="1243"/>
      <c r="P725" s="1243"/>
      <c r="Q725" s="1243"/>
      <c r="R725" s="1243"/>
      <c r="S725" s="1243"/>
      <c r="T725" s="1243"/>
      <c r="U725" s="1243"/>
      <c r="V725" s="1243"/>
      <c r="W725" s="1243"/>
      <c r="X725" s="1243"/>
      <c r="Y725" s="1243"/>
      <c r="Z725" s="1243"/>
    </row>
    <row r="726" spans="1:26" ht="15.75" customHeight="1" x14ac:dyDescent="0.2">
      <c r="A726" s="1243"/>
      <c r="B726" s="1243"/>
      <c r="C726" s="1243"/>
      <c r="D726" s="1243"/>
      <c r="E726" s="1243"/>
      <c r="F726" s="1243"/>
      <c r="G726" s="1243"/>
      <c r="H726" s="1243"/>
      <c r="I726" s="1243"/>
      <c r="J726" s="1243"/>
      <c r="K726" s="1243"/>
      <c r="L726" s="1243"/>
      <c r="M726" s="1243"/>
      <c r="N726" s="1243"/>
      <c r="O726" s="1243"/>
      <c r="P726" s="1243"/>
      <c r="Q726" s="1243"/>
      <c r="R726" s="1243"/>
      <c r="S726" s="1243"/>
      <c r="T726" s="1243"/>
      <c r="U726" s="1243"/>
      <c r="V726" s="1243"/>
      <c r="W726" s="1243"/>
      <c r="X726" s="1243"/>
      <c r="Y726" s="1243"/>
      <c r="Z726" s="1243"/>
    </row>
    <row r="727" spans="1:26" ht="15.75" customHeight="1" x14ac:dyDescent="0.2">
      <c r="A727" s="1243"/>
      <c r="B727" s="1243"/>
      <c r="C727" s="1243"/>
      <c r="D727" s="1243"/>
      <c r="E727" s="1243"/>
      <c r="F727" s="1243"/>
      <c r="G727" s="1243"/>
      <c r="H727" s="1243"/>
      <c r="I727" s="1243"/>
      <c r="J727" s="1243"/>
      <c r="K727" s="1243"/>
      <c r="L727" s="1243"/>
      <c r="M727" s="1243"/>
      <c r="N727" s="1243"/>
      <c r="O727" s="1243"/>
      <c r="P727" s="1243"/>
      <c r="Q727" s="1243"/>
      <c r="R727" s="1243"/>
      <c r="S727" s="1243"/>
      <c r="T727" s="1243"/>
      <c r="U727" s="1243"/>
      <c r="V727" s="1243"/>
      <c r="W727" s="1243"/>
      <c r="X727" s="1243"/>
      <c r="Y727" s="1243"/>
      <c r="Z727" s="1243"/>
    </row>
    <row r="728" spans="1:26" ht="15.75" customHeight="1" x14ac:dyDescent="0.2">
      <c r="A728" s="1243"/>
      <c r="B728" s="1243"/>
      <c r="C728" s="1243"/>
      <c r="D728" s="1243"/>
      <c r="E728" s="1243"/>
      <c r="F728" s="1243"/>
      <c r="G728" s="1243"/>
      <c r="H728" s="1243"/>
      <c r="I728" s="1243"/>
      <c r="J728" s="1243"/>
      <c r="K728" s="1243"/>
      <c r="L728" s="1243"/>
      <c r="M728" s="1243"/>
      <c r="N728" s="1243"/>
      <c r="O728" s="1243"/>
      <c r="P728" s="1243"/>
      <c r="Q728" s="1243"/>
      <c r="R728" s="1243"/>
      <c r="S728" s="1243"/>
      <c r="T728" s="1243"/>
      <c r="U728" s="1243"/>
      <c r="V728" s="1243"/>
      <c r="W728" s="1243"/>
      <c r="X728" s="1243"/>
      <c r="Y728" s="1243"/>
      <c r="Z728" s="1243"/>
    </row>
    <row r="729" spans="1:26" ht="15.75" customHeight="1" x14ac:dyDescent="0.2">
      <c r="A729" s="1243"/>
      <c r="B729" s="1243"/>
      <c r="C729" s="1243"/>
      <c r="D729" s="1243"/>
      <c r="E729" s="1243"/>
      <c r="F729" s="1243"/>
      <c r="G729" s="1243"/>
      <c r="H729" s="1243"/>
      <c r="I729" s="1243"/>
      <c r="J729" s="1243"/>
      <c r="K729" s="1243"/>
      <c r="L729" s="1243"/>
      <c r="M729" s="1243"/>
      <c r="N729" s="1243"/>
      <c r="O729" s="1243"/>
      <c r="P729" s="1243"/>
      <c r="Q729" s="1243"/>
      <c r="R729" s="1243"/>
      <c r="S729" s="1243"/>
      <c r="T729" s="1243"/>
      <c r="U729" s="1243"/>
      <c r="V729" s="1243"/>
      <c r="W729" s="1243"/>
      <c r="X729" s="1243"/>
      <c r="Y729" s="1243"/>
      <c r="Z729" s="1243"/>
    </row>
    <row r="730" spans="1:26" ht="15.75" customHeight="1" x14ac:dyDescent="0.2">
      <c r="A730" s="1243"/>
      <c r="B730" s="1243"/>
      <c r="C730" s="1243"/>
      <c r="D730" s="1243"/>
      <c r="E730" s="1243"/>
      <c r="F730" s="1243"/>
      <c r="G730" s="1243"/>
      <c r="H730" s="1243"/>
      <c r="I730" s="1243"/>
      <c r="J730" s="1243"/>
      <c r="K730" s="1243"/>
      <c r="L730" s="1243"/>
      <c r="M730" s="1243"/>
      <c r="N730" s="1243"/>
      <c r="O730" s="1243"/>
      <c r="P730" s="1243"/>
      <c r="Q730" s="1243"/>
      <c r="R730" s="1243"/>
      <c r="S730" s="1243"/>
      <c r="T730" s="1243"/>
      <c r="U730" s="1243"/>
      <c r="V730" s="1243"/>
      <c r="W730" s="1243"/>
      <c r="X730" s="1243"/>
      <c r="Y730" s="1243"/>
      <c r="Z730" s="1243"/>
    </row>
    <row r="731" spans="1:26" ht="15.75" customHeight="1" x14ac:dyDescent="0.2">
      <c r="A731" s="1243"/>
      <c r="B731" s="1243"/>
      <c r="C731" s="1243"/>
      <c r="D731" s="1243"/>
      <c r="E731" s="1243"/>
      <c r="F731" s="1243"/>
      <c r="G731" s="1243"/>
      <c r="H731" s="1243"/>
      <c r="I731" s="1243"/>
      <c r="J731" s="1243"/>
      <c r="K731" s="1243"/>
      <c r="L731" s="1243"/>
      <c r="M731" s="1243"/>
      <c r="N731" s="1243"/>
      <c r="O731" s="1243"/>
      <c r="P731" s="1243"/>
      <c r="Q731" s="1243"/>
      <c r="R731" s="1243"/>
      <c r="S731" s="1243"/>
      <c r="T731" s="1243"/>
      <c r="U731" s="1243"/>
      <c r="V731" s="1243"/>
      <c r="W731" s="1243"/>
      <c r="X731" s="1243"/>
      <c r="Y731" s="1243"/>
      <c r="Z731" s="1243"/>
    </row>
    <row r="732" spans="1:26" ht="15.75" customHeight="1" x14ac:dyDescent="0.2">
      <c r="A732" s="1243"/>
      <c r="B732" s="1243"/>
      <c r="C732" s="1243"/>
      <c r="D732" s="1243"/>
      <c r="E732" s="1243"/>
      <c r="F732" s="1243"/>
      <c r="G732" s="1243"/>
      <c r="H732" s="1243"/>
      <c r="I732" s="1243"/>
      <c r="J732" s="1243"/>
      <c r="K732" s="1243"/>
      <c r="L732" s="1243"/>
      <c r="M732" s="1243"/>
      <c r="N732" s="1243"/>
      <c r="O732" s="1243"/>
      <c r="P732" s="1243"/>
      <c r="Q732" s="1243"/>
      <c r="R732" s="1243"/>
      <c r="S732" s="1243"/>
      <c r="T732" s="1243"/>
      <c r="U732" s="1243"/>
      <c r="V732" s="1243"/>
      <c r="W732" s="1243"/>
      <c r="X732" s="1243"/>
      <c r="Y732" s="1243"/>
      <c r="Z732" s="1243"/>
    </row>
    <row r="733" spans="1:26" ht="15.75" customHeight="1" x14ac:dyDescent="0.2">
      <c r="A733" s="1243"/>
      <c r="B733" s="1243"/>
      <c r="C733" s="1243"/>
      <c r="D733" s="1243"/>
      <c r="E733" s="1243"/>
      <c r="F733" s="1243"/>
      <c r="G733" s="1243"/>
      <c r="H733" s="1243"/>
      <c r="I733" s="1243"/>
      <c r="J733" s="1243"/>
      <c r="K733" s="1243"/>
      <c r="L733" s="1243"/>
      <c r="M733" s="1243"/>
      <c r="N733" s="1243"/>
      <c r="O733" s="1243"/>
      <c r="P733" s="1243"/>
      <c r="Q733" s="1243"/>
      <c r="R733" s="1243"/>
      <c r="S733" s="1243"/>
      <c r="T733" s="1243"/>
      <c r="U733" s="1243"/>
      <c r="V733" s="1243"/>
      <c r="W733" s="1243"/>
      <c r="X733" s="1243"/>
      <c r="Y733" s="1243"/>
      <c r="Z733" s="1243"/>
    </row>
    <row r="734" spans="1:26" ht="15.75" customHeight="1" x14ac:dyDescent="0.2">
      <c r="A734" s="1243"/>
      <c r="B734" s="1243"/>
      <c r="C734" s="1243"/>
      <c r="D734" s="1243"/>
      <c r="E734" s="1243"/>
      <c r="F734" s="1243"/>
      <c r="G734" s="1243"/>
      <c r="H734" s="1243"/>
      <c r="I734" s="1243"/>
      <c r="J734" s="1243"/>
      <c r="K734" s="1243"/>
      <c r="L734" s="1243"/>
      <c r="M734" s="1243"/>
      <c r="N734" s="1243"/>
      <c r="O734" s="1243"/>
      <c r="P734" s="1243"/>
      <c r="Q734" s="1243"/>
      <c r="R734" s="1243"/>
      <c r="S734" s="1243"/>
      <c r="T734" s="1243"/>
      <c r="U734" s="1243"/>
      <c r="V734" s="1243"/>
      <c r="W734" s="1243"/>
      <c r="X734" s="1243"/>
      <c r="Y734" s="1243"/>
      <c r="Z734" s="1243"/>
    </row>
    <row r="735" spans="1:26" ht="15.75" customHeight="1" x14ac:dyDescent="0.2">
      <c r="A735" s="1243"/>
      <c r="B735" s="1243"/>
      <c r="C735" s="1243"/>
      <c r="D735" s="1243"/>
      <c r="E735" s="1243"/>
      <c r="F735" s="1243"/>
      <c r="G735" s="1243"/>
      <c r="H735" s="1243"/>
      <c r="I735" s="1243"/>
      <c r="J735" s="1243"/>
      <c r="K735" s="1243"/>
      <c r="L735" s="1243"/>
      <c r="M735" s="1243"/>
      <c r="N735" s="1243"/>
      <c r="O735" s="1243"/>
      <c r="P735" s="1243"/>
      <c r="Q735" s="1243"/>
      <c r="R735" s="1243"/>
      <c r="S735" s="1243"/>
      <c r="T735" s="1243"/>
      <c r="U735" s="1243"/>
      <c r="V735" s="1243"/>
      <c r="W735" s="1243"/>
      <c r="X735" s="1243"/>
      <c r="Y735" s="1243"/>
      <c r="Z735" s="1243"/>
    </row>
    <row r="736" spans="1:26" ht="15.75" customHeight="1" x14ac:dyDescent="0.2">
      <c r="A736" s="1243"/>
      <c r="B736" s="1243"/>
      <c r="C736" s="1243"/>
      <c r="D736" s="1243"/>
      <c r="E736" s="1243"/>
      <c r="F736" s="1243"/>
      <c r="G736" s="1243"/>
      <c r="H736" s="1243"/>
      <c r="I736" s="1243"/>
      <c r="J736" s="1243"/>
      <c r="K736" s="1243"/>
      <c r="L736" s="1243"/>
      <c r="M736" s="1243"/>
      <c r="N736" s="1243"/>
      <c r="O736" s="1243"/>
      <c r="P736" s="1243"/>
      <c r="Q736" s="1243"/>
      <c r="R736" s="1243"/>
      <c r="S736" s="1243"/>
      <c r="T736" s="1243"/>
      <c r="U736" s="1243"/>
      <c r="V736" s="1243"/>
      <c r="W736" s="1243"/>
      <c r="X736" s="1243"/>
      <c r="Y736" s="1243"/>
      <c r="Z736" s="1243"/>
    </row>
    <row r="737" spans="1:26" ht="15.75" customHeight="1" x14ac:dyDescent="0.2">
      <c r="A737" s="1243"/>
      <c r="B737" s="1243"/>
      <c r="C737" s="1243"/>
      <c r="D737" s="1243"/>
      <c r="E737" s="1243"/>
      <c r="F737" s="1243"/>
      <c r="G737" s="1243"/>
      <c r="H737" s="1243"/>
      <c r="I737" s="1243"/>
      <c r="J737" s="1243"/>
      <c r="K737" s="1243"/>
      <c r="L737" s="1243"/>
      <c r="M737" s="1243"/>
      <c r="N737" s="1243"/>
      <c r="O737" s="1243"/>
      <c r="P737" s="1243"/>
      <c r="Q737" s="1243"/>
      <c r="R737" s="1243"/>
      <c r="S737" s="1243"/>
      <c r="T737" s="1243"/>
      <c r="U737" s="1243"/>
      <c r="V737" s="1243"/>
      <c r="W737" s="1243"/>
      <c r="X737" s="1243"/>
      <c r="Y737" s="1243"/>
      <c r="Z737" s="1243"/>
    </row>
    <row r="738" spans="1:26" ht="15.75" customHeight="1" x14ac:dyDescent="0.2">
      <c r="A738" s="1243"/>
      <c r="B738" s="1243"/>
      <c r="C738" s="1243"/>
      <c r="D738" s="1243"/>
      <c r="E738" s="1243"/>
      <c r="F738" s="1243"/>
      <c r="G738" s="1243"/>
      <c r="H738" s="1243"/>
      <c r="I738" s="1243"/>
      <c r="J738" s="1243"/>
      <c r="K738" s="1243"/>
      <c r="L738" s="1243"/>
      <c r="M738" s="1243"/>
      <c r="N738" s="1243"/>
      <c r="O738" s="1243"/>
      <c r="P738" s="1243"/>
      <c r="Q738" s="1243"/>
      <c r="R738" s="1243"/>
      <c r="S738" s="1243"/>
      <c r="T738" s="1243"/>
      <c r="U738" s="1243"/>
      <c r="V738" s="1243"/>
      <c r="W738" s="1243"/>
      <c r="X738" s="1243"/>
      <c r="Y738" s="1243"/>
      <c r="Z738" s="1243"/>
    </row>
    <row r="739" spans="1:26" ht="15.75" customHeight="1" x14ac:dyDescent="0.2">
      <c r="A739" s="1243"/>
      <c r="B739" s="1243"/>
      <c r="C739" s="1243"/>
      <c r="D739" s="1243"/>
      <c r="E739" s="1243"/>
      <c r="F739" s="1243"/>
      <c r="G739" s="1243"/>
      <c r="H739" s="1243"/>
      <c r="I739" s="1243"/>
      <c r="J739" s="1243"/>
      <c r="K739" s="1243"/>
      <c r="L739" s="1243"/>
      <c r="M739" s="1243"/>
      <c r="N739" s="1243"/>
      <c r="O739" s="1243"/>
      <c r="P739" s="1243"/>
      <c r="Q739" s="1243"/>
      <c r="R739" s="1243"/>
      <c r="S739" s="1243"/>
      <c r="T739" s="1243"/>
      <c r="U739" s="1243"/>
      <c r="V739" s="1243"/>
      <c r="W739" s="1243"/>
      <c r="X739" s="1243"/>
      <c r="Y739" s="1243"/>
      <c r="Z739" s="1243"/>
    </row>
    <row r="740" spans="1:26" ht="15.75" customHeight="1" x14ac:dyDescent="0.2">
      <c r="A740" s="1243"/>
      <c r="B740" s="1243"/>
      <c r="C740" s="1243"/>
      <c r="D740" s="1243"/>
      <c r="E740" s="1243"/>
      <c r="F740" s="1243"/>
      <c r="G740" s="1243"/>
      <c r="H740" s="1243"/>
      <c r="I740" s="1243"/>
      <c r="J740" s="1243"/>
      <c r="K740" s="1243"/>
      <c r="L740" s="1243"/>
      <c r="M740" s="1243"/>
      <c r="N740" s="1243"/>
      <c r="O740" s="1243"/>
      <c r="P740" s="1243"/>
      <c r="Q740" s="1243"/>
      <c r="R740" s="1243"/>
      <c r="S740" s="1243"/>
      <c r="T740" s="1243"/>
      <c r="U740" s="1243"/>
      <c r="V740" s="1243"/>
      <c r="W740" s="1243"/>
      <c r="X740" s="1243"/>
      <c r="Y740" s="1243"/>
      <c r="Z740" s="1243"/>
    </row>
    <row r="741" spans="1:26" ht="15.75" customHeight="1" x14ac:dyDescent="0.2">
      <c r="A741" s="1243"/>
      <c r="B741" s="1243"/>
      <c r="C741" s="1243"/>
      <c r="D741" s="1243"/>
      <c r="E741" s="1243"/>
      <c r="F741" s="1243"/>
      <c r="G741" s="1243"/>
      <c r="H741" s="1243"/>
      <c r="I741" s="1243"/>
      <c r="J741" s="1243"/>
      <c r="K741" s="1243"/>
      <c r="L741" s="1243"/>
      <c r="M741" s="1243"/>
      <c r="N741" s="1243"/>
      <c r="O741" s="1243"/>
      <c r="P741" s="1243"/>
      <c r="Q741" s="1243"/>
      <c r="R741" s="1243"/>
      <c r="S741" s="1243"/>
      <c r="T741" s="1243"/>
      <c r="U741" s="1243"/>
      <c r="V741" s="1243"/>
      <c r="W741" s="1243"/>
      <c r="X741" s="1243"/>
      <c r="Y741" s="1243"/>
      <c r="Z741" s="1243"/>
    </row>
    <row r="742" spans="1:26" ht="15.75" customHeight="1" x14ac:dyDescent="0.2">
      <c r="A742" s="1243"/>
      <c r="B742" s="1243"/>
      <c r="C742" s="1243"/>
      <c r="D742" s="1243"/>
      <c r="E742" s="1243"/>
      <c r="F742" s="1243"/>
      <c r="G742" s="1243"/>
      <c r="H742" s="1243"/>
      <c r="I742" s="1243"/>
      <c r="J742" s="1243"/>
      <c r="K742" s="1243"/>
      <c r="L742" s="1243"/>
      <c r="M742" s="1243"/>
      <c r="N742" s="1243"/>
      <c r="O742" s="1243"/>
      <c r="P742" s="1243"/>
      <c r="Q742" s="1243"/>
      <c r="R742" s="1243"/>
      <c r="S742" s="1243"/>
      <c r="T742" s="1243"/>
      <c r="U742" s="1243"/>
      <c r="V742" s="1243"/>
      <c r="W742" s="1243"/>
      <c r="X742" s="1243"/>
      <c r="Y742" s="1243"/>
      <c r="Z742" s="1243"/>
    </row>
    <row r="743" spans="1:26" ht="15.75" customHeight="1" x14ac:dyDescent="0.2">
      <c r="A743" s="1243"/>
      <c r="B743" s="1243"/>
      <c r="C743" s="1243"/>
      <c r="D743" s="1243"/>
      <c r="E743" s="1243"/>
      <c r="F743" s="1243"/>
      <c r="G743" s="1243"/>
      <c r="H743" s="1243"/>
      <c r="I743" s="1243"/>
      <c r="J743" s="1243"/>
      <c r="K743" s="1243"/>
      <c r="L743" s="1243"/>
      <c r="M743" s="1243"/>
      <c r="N743" s="1243"/>
      <c r="O743" s="1243"/>
      <c r="P743" s="1243"/>
      <c r="Q743" s="1243"/>
      <c r="R743" s="1243"/>
      <c r="S743" s="1243"/>
      <c r="T743" s="1243"/>
      <c r="U743" s="1243"/>
      <c r="V743" s="1243"/>
      <c r="W743" s="1243"/>
      <c r="X743" s="1243"/>
      <c r="Y743" s="1243"/>
      <c r="Z743" s="1243"/>
    </row>
    <row r="744" spans="1:26" ht="15.75" customHeight="1" x14ac:dyDescent="0.2">
      <c r="A744" s="1243"/>
      <c r="B744" s="1243"/>
      <c r="C744" s="1243"/>
      <c r="D744" s="1243"/>
      <c r="E744" s="1243"/>
      <c r="F744" s="1243"/>
      <c r="G744" s="1243"/>
      <c r="H744" s="1243"/>
      <c r="I744" s="1243"/>
      <c r="J744" s="1243"/>
      <c r="K744" s="1243"/>
      <c r="L744" s="1243"/>
      <c r="M744" s="1243"/>
      <c r="N744" s="1243"/>
      <c r="O744" s="1243"/>
      <c r="P744" s="1243"/>
      <c r="Q744" s="1243"/>
      <c r="R744" s="1243"/>
      <c r="S744" s="1243"/>
      <c r="T744" s="1243"/>
      <c r="U744" s="1243"/>
      <c r="V744" s="1243"/>
      <c r="W744" s="1243"/>
      <c r="X744" s="1243"/>
      <c r="Y744" s="1243"/>
      <c r="Z744" s="1243"/>
    </row>
    <row r="745" spans="1:26" ht="15.75" customHeight="1" x14ac:dyDescent="0.2">
      <c r="A745" s="1243"/>
      <c r="B745" s="1243"/>
      <c r="C745" s="1243"/>
      <c r="D745" s="1243"/>
      <c r="E745" s="1243"/>
      <c r="F745" s="1243"/>
      <c r="G745" s="1243"/>
      <c r="H745" s="1243"/>
      <c r="I745" s="1243"/>
      <c r="J745" s="1243"/>
      <c r="K745" s="1243"/>
      <c r="L745" s="1243"/>
      <c r="M745" s="1243"/>
      <c r="N745" s="1243"/>
      <c r="O745" s="1243"/>
      <c r="P745" s="1243"/>
      <c r="Q745" s="1243"/>
      <c r="R745" s="1243"/>
      <c r="S745" s="1243"/>
      <c r="T745" s="1243"/>
      <c r="U745" s="1243"/>
      <c r="V745" s="1243"/>
      <c r="W745" s="1243"/>
      <c r="X745" s="1243"/>
      <c r="Y745" s="1243"/>
      <c r="Z745" s="1243"/>
    </row>
    <row r="746" spans="1:26" ht="15.75" customHeight="1" x14ac:dyDescent="0.2">
      <c r="A746" s="1243"/>
      <c r="B746" s="1243"/>
      <c r="C746" s="1243"/>
      <c r="D746" s="1243"/>
      <c r="E746" s="1243"/>
      <c r="F746" s="1243"/>
      <c r="G746" s="1243"/>
      <c r="H746" s="1243"/>
      <c r="I746" s="1243"/>
      <c r="J746" s="1243"/>
      <c r="K746" s="1243"/>
      <c r="L746" s="1243"/>
      <c r="M746" s="1243"/>
      <c r="N746" s="1243"/>
      <c r="O746" s="1243"/>
      <c r="P746" s="1243"/>
      <c r="Q746" s="1243"/>
      <c r="R746" s="1243"/>
      <c r="S746" s="1243"/>
      <c r="T746" s="1243"/>
      <c r="U746" s="1243"/>
      <c r="V746" s="1243"/>
      <c r="W746" s="1243"/>
      <c r="X746" s="1243"/>
      <c r="Y746" s="1243"/>
      <c r="Z746" s="1243"/>
    </row>
    <row r="747" spans="1:26" ht="15.75" customHeight="1" x14ac:dyDescent="0.2">
      <c r="A747" s="1243"/>
      <c r="B747" s="1243"/>
      <c r="C747" s="1243"/>
      <c r="D747" s="1243"/>
      <c r="E747" s="1243"/>
      <c r="F747" s="1243"/>
      <c r="G747" s="1243"/>
      <c r="H747" s="1243"/>
      <c r="I747" s="1243"/>
      <c r="J747" s="1243"/>
      <c r="K747" s="1243"/>
      <c r="L747" s="1243"/>
      <c r="M747" s="1243"/>
      <c r="N747" s="1243"/>
      <c r="O747" s="1243"/>
      <c r="P747" s="1243"/>
      <c r="Q747" s="1243"/>
      <c r="R747" s="1243"/>
      <c r="S747" s="1243"/>
      <c r="T747" s="1243"/>
      <c r="U747" s="1243"/>
      <c r="V747" s="1243"/>
      <c r="W747" s="1243"/>
      <c r="X747" s="1243"/>
      <c r="Y747" s="1243"/>
      <c r="Z747" s="1243"/>
    </row>
    <row r="748" spans="1:26" ht="15.75" customHeight="1" x14ac:dyDescent="0.2">
      <c r="A748" s="1243"/>
      <c r="B748" s="1243"/>
      <c r="C748" s="1243"/>
      <c r="D748" s="1243"/>
      <c r="E748" s="1243"/>
      <c r="F748" s="1243"/>
      <c r="G748" s="1243"/>
      <c r="H748" s="1243"/>
      <c r="I748" s="1243"/>
      <c r="J748" s="1243"/>
      <c r="K748" s="1243"/>
      <c r="L748" s="1243"/>
      <c r="M748" s="1243"/>
      <c r="N748" s="1243"/>
      <c r="O748" s="1243"/>
      <c r="P748" s="1243"/>
      <c r="Q748" s="1243"/>
      <c r="R748" s="1243"/>
      <c r="S748" s="1243"/>
      <c r="T748" s="1243"/>
      <c r="U748" s="1243"/>
      <c r="V748" s="1243"/>
      <c r="W748" s="1243"/>
      <c r="X748" s="1243"/>
      <c r="Y748" s="1243"/>
      <c r="Z748" s="1243"/>
    </row>
    <row r="749" spans="1:26" ht="15.75" customHeight="1" x14ac:dyDescent="0.2">
      <c r="A749" s="1243"/>
      <c r="B749" s="1243"/>
      <c r="C749" s="1243"/>
      <c r="D749" s="1243"/>
      <c r="E749" s="1243"/>
      <c r="F749" s="1243"/>
      <c r="G749" s="1243"/>
      <c r="H749" s="1243"/>
      <c r="I749" s="1243"/>
      <c r="J749" s="1243"/>
      <c r="K749" s="1243"/>
      <c r="L749" s="1243"/>
      <c r="M749" s="1243"/>
      <c r="N749" s="1243"/>
      <c r="O749" s="1243"/>
      <c r="P749" s="1243"/>
      <c r="Q749" s="1243"/>
      <c r="R749" s="1243"/>
      <c r="S749" s="1243"/>
      <c r="T749" s="1243"/>
      <c r="U749" s="1243"/>
      <c r="V749" s="1243"/>
      <c r="W749" s="1243"/>
      <c r="X749" s="1243"/>
      <c r="Y749" s="1243"/>
      <c r="Z749" s="1243"/>
    </row>
    <row r="750" spans="1:26" ht="15.75" customHeight="1" x14ac:dyDescent="0.2">
      <c r="A750" s="1243"/>
      <c r="B750" s="1243"/>
      <c r="C750" s="1243"/>
      <c r="D750" s="1243"/>
      <c r="E750" s="1243"/>
      <c r="F750" s="1243"/>
      <c r="G750" s="1243"/>
      <c r="H750" s="1243"/>
      <c r="I750" s="1243"/>
      <c r="J750" s="1243"/>
      <c r="K750" s="1243"/>
      <c r="L750" s="1243"/>
      <c r="M750" s="1243"/>
      <c r="N750" s="1243"/>
      <c r="O750" s="1243"/>
      <c r="P750" s="1243"/>
      <c r="Q750" s="1243"/>
      <c r="R750" s="1243"/>
      <c r="S750" s="1243"/>
      <c r="T750" s="1243"/>
      <c r="U750" s="1243"/>
      <c r="V750" s="1243"/>
      <c r="W750" s="1243"/>
      <c r="X750" s="1243"/>
      <c r="Y750" s="1243"/>
      <c r="Z750" s="1243"/>
    </row>
    <row r="751" spans="1:26" ht="15.75" customHeight="1" x14ac:dyDescent="0.2">
      <c r="A751" s="1243"/>
      <c r="B751" s="1243"/>
      <c r="C751" s="1243"/>
      <c r="D751" s="1243"/>
      <c r="E751" s="1243"/>
      <c r="F751" s="1243"/>
      <c r="G751" s="1243"/>
      <c r="H751" s="1243"/>
      <c r="I751" s="1243"/>
      <c r="J751" s="1243"/>
      <c r="K751" s="1243"/>
      <c r="L751" s="1243"/>
      <c r="M751" s="1243"/>
      <c r="N751" s="1243"/>
      <c r="O751" s="1243"/>
      <c r="P751" s="1243"/>
      <c r="Q751" s="1243"/>
      <c r="R751" s="1243"/>
      <c r="S751" s="1243"/>
      <c r="T751" s="1243"/>
      <c r="U751" s="1243"/>
      <c r="V751" s="1243"/>
      <c r="W751" s="1243"/>
      <c r="X751" s="1243"/>
      <c r="Y751" s="1243"/>
      <c r="Z751" s="1243"/>
    </row>
    <row r="752" spans="1:26" ht="15.75" customHeight="1" x14ac:dyDescent="0.2">
      <c r="A752" s="1243"/>
      <c r="B752" s="1243"/>
      <c r="C752" s="1243"/>
      <c r="D752" s="1243"/>
      <c r="E752" s="1243"/>
      <c r="F752" s="1243"/>
      <c r="G752" s="1243"/>
      <c r="H752" s="1243"/>
      <c r="I752" s="1243"/>
      <c r="J752" s="1243"/>
      <c r="K752" s="1243"/>
      <c r="L752" s="1243"/>
      <c r="M752" s="1243"/>
      <c r="N752" s="1243"/>
      <c r="O752" s="1243"/>
      <c r="P752" s="1243"/>
      <c r="Q752" s="1243"/>
      <c r="R752" s="1243"/>
      <c r="S752" s="1243"/>
      <c r="T752" s="1243"/>
      <c r="U752" s="1243"/>
      <c r="V752" s="1243"/>
      <c r="W752" s="1243"/>
      <c r="X752" s="1243"/>
      <c r="Y752" s="1243"/>
      <c r="Z752" s="1243"/>
    </row>
    <row r="753" spans="1:26" ht="15.75" customHeight="1" x14ac:dyDescent="0.2">
      <c r="A753" s="1243"/>
      <c r="B753" s="1243"/>
      <c r="C753" s="1243"/>
      <c r="D753" s="1243"/>
      <c r="E753" s="1243"/>
      <c r="F753" s="1243"/>
      <c r="G753" s="1243"/>
      <c r="H753" s="1243"/>
      <c r="I753" s="1243"/>
      <c r="J753" s="1243"/>
      <c r="K753" s="1243"/>
      <c r="L753" s="1243"/>
      <c r="M753" s="1243"/>
      <c r="N753" s="1243"/>
      <c r="O753" s="1243"/>
      <c r="P753" s="1243"/>
      <c r="Q753" s="1243"/>
      <c r="R753" s="1243"/>
      <c r="S753" s="1243"/>
      <c r="T753" s="1243"/>
      <c r="U753" s="1243"/>
      <c r="V753" s="1243"/>
      <c r="W753" s="1243"/>
      <c r="X753" s="1243"/>
      <c r="Y753" s="1243"/>
      <c r="Z753" s="1243"/>
    </row>
    <row r="754" spans="1:26" ht="15.75" customHeight="1" x14ac:dyDescent="0.2">
      <c r="A754" s="1243"/>
      <c r="B754" s="1243"/>
      <c r="C754" s="1243"/>
      <c r="D754" s="1243"/>
      <c r="E754" s="1243"/>
      <c r="F754" s="1243"/>
      <c r="G754" s="1243"/>
      <c r="H754" s="1243"/>
      <c r="I754" s="1243"/>
      <c r="J754" s="1243"/>
      <c r="K754" s="1243"/>
      <c r="L754" s="1243"/>
      <c r="M754" s="1243"/>
      <c r="N754" s="1243"/>
      <c r="O754" s="1243"/>
      <c r="P754" s="1243"/>
      <c r="Q754" s="1243"/>
      <c r="R754" s="1243"/>
      <c r="S754" s="1243"/>
      <c r="T754" s="1243"/>
      <c r="U754" s="1243"/>
      <c r="V754" s="1243"/>
      <c r="W754" s="1243"/>
      <c r="X754" s="1243"/>
      <c r="Y754" s="1243"/>
      <c r="Z754" s="1243"/>
    </row>
    <row r="755" spans="1:26" ht="15.75" customHeight="1" x14ac:dyDescent="0.2">
      <c r="A755" s="1243"/>
      <c r="B755" s="1243"/>
      <c r="C755" s="1243"/>
      <c r="D755" s="1243"/>
      <c r="E755" s="1243"/>
      <c r="F755" s="1243"/>
      <c r="G755" s="1243"/>
      <c r="H755" s="1243"/>
      <c r="I755" s="1243"/>
      <c r="J755" s="1243"/>
      <c r="K755" s="1243"/>
      <c r="L755" s="1243"/>
      <c r="M755" s="1243"/>
      <c r="N755" s="1243"/>
      <c r="O755" s="1243"/>
      <c r="P755" s="1243"/>
      <c r="Q755" s="1243"/>
      <c r="R755" s="1243"/>
      <c r="S755" s="1243"/>
      <c r="T755" s="1243"/>
      <c r="U755" s="1243"/>
      <c r="V755" s="1243"/>
      <c r="W755" s="1243"/>
      <c r="X755" s="1243"/>
      <c r="Y755" s="1243"/>
      <c r="Z755" s="1243"/>
    </row>
    <row r="756" spans="1:26" ht="15.75" customHeight="1" x14ac:dyDescent="0.2">
      <c r="A756" s="1243"/>
      <c r="B756" s="1243"/>
      <c r="C756" s="1243"/>
      <c r="D756" s="1243"/>
      <c r="E756" s="1243"/>
      <c r="F756" s="1243"/>
      <c r="G756" s="1243"/>
      <c r="H756" s="1243"/>
      <c r="I756" s="1243"/>
      <c r="J756" s="1243"/>
      <c r="K756" s="1243"/>
      <c r="L756" s="1243"/>
      <c r="M756" s="1243"/>
      <c r="N756" s="1243"/>
      <c r="O756" s="1243"/>
      <c r="P756" s="1243"/>
      <c r="Q756" s="1243"/>
      <c r="R756" s="1243"/>
      <c r="S756" s="1243"/>
      <c r="T756" s="1243"/>
      <c r="U756" s="1243"/>
      <c r="V756" s="1243"/>
      <c r="W756" s="1243"/>
      <c r="X756" s="1243"/>
      <c r="Y756" s="1243"/>
      <c r="Z756" s="1243"/>
    </row>
    <row r="757" spans="1:26" ht="15.75" customHeight="1" x14ac:dyDescent="0.2">
      <c r="A757" s="1243"/>
      <c r="B757" s="1243"/>
      <c r="C757" s="1243"/>
      <c r="D757" s="1243"/>
      <c r="E757" s="1243"/>
      <c r="F757" s="1243"/>
      <c r="G757" s="1243"/>
      <c r="H757" s="1243"/>
      <c r="I757" s="1243"/>
      <c r="J757" s="1243"/>
      <c r="K757" s="1243"/>
      <c r="L757" s="1243"/>
      <c r="M757" s="1243"/>
      <c r="N757" s="1243"/>
      <c r="O757" s="1243"/>
      <c r="P757" s="1243"/>
      <c r="Q757" s="1243"/>
      <c r="R757" s="1243"/>
      <c r="S757" s="1243"/>
      <c r="T757" s="1243"/>
      <c r="U757" s="1243"/>
      <c r="V757" s="1243"/>
      <c r="W757" s="1243"/>
      <c r="X757" s="1243"/>
      <c r="Y757" s="1243"/>
      <c r="Z757" s="1243"/>
    </row>
    <row r="758" spans="1:26" ht="15.75" customHeight="1" x14ac:dyDescent="0.2">
      <c r="A758" s="1243"/>
      <c r="B758" s="1243"/>
      <c r="C758" s="1243"/>
      <c r="D758" s="1243"/>
      <c r="E758" s="1243"/>
      <c r="F758" s="1243"/>
      <c r="G758" s="1243"/>
      <c r="H758" s="1243"/>
      <c r="I758" s="1243"/>
      <c r="J758" s="1243"/>
      <c r="K758" s="1243"/>
      <c r="L758" s="1243"/>
      <c r="M758" s="1243"/>
      <c r="N758" s="1243"/>
      <c r="O758" s="1243"/>
      <c r="P758" s="1243"/>
      <c r="Q758" s="1243"/>
      <c r="R758" s="1243"/>
      <c r="S758" s="1243"/>
      <c r="T758" s="1243"/>
      <c r="U758" s="1243"/>
      <c r="V758" s="1243"/>
      <c r="W758" s="1243"/>
      <c r="X758" s="1243"/>
      <c r="Y758" s="1243"/>
      <c r="Z758" s="1243"/>
    </row>
    <row r="759" spans="1:26" ht="15.75" customHeight="1" x14ac:dyDescent="0.2">
      <c r="A759" s="1243"/>
      <c r="B759" s="1243"/>
      <c r="C759" s="1243"/>
      <c r="D759" s="1243"/>
      <c r="E759" s="1243"/>
      <c r="F759" s="1243"/>
      <c r="G759" s="1243"/>
      <c r="H759" s="1243"/>
      <c r="I759" s="1243"/>
      <c r="J759" s="1243"/>
      <c r="K759" s="1243"/>
      <c r="L759" s="1243"/>
      <c r="M759" s="1243"/>
      <c r="N759" s="1243"/>
      <c r="O759" s="1243"/>
      <c r="P759" s="1243"/>
      <c r="Q759" s="1243"/>
      <c r="R759" s="1243"/>
      <c r="S759" s="1243"/>
      <c r="T759" s="1243"/>
      <c r="U759" s="1243"/>
      <c r="V759" s="1243"/>
      <c r="W759" s="1243"/>
      <c r="X759" s="1243"/>
      <c r="Y759" s="1243"/>
      <c r="Z759" s="1243"/>
    </row>
    <row r="760" spans="1:26" ht="15.75" customHeight="1" x14ac:dyDescent="0.2">
      <c r="A760" s="1243"/>
      <c r="B760" s="1243"/>
      <c r="C760" s="1243"/>
      <c r="D760" s="1243"/>
      <c r="E760" s="1243"/>
      <c r="F760" s="1243"/>
      <c r="G760" s="1243"/>
      <c r="H760" s="1243"/>
      <c r="I760" s="1243"/>
      <c r="J760" s="1243"/>
      <c r="K760" s="1243"/>
      <c r="L760" s="1243"/>
      <c r="M760" s="1243"/>
      <c r="N760" s="1243"/>
      <c r="O760" s="1243"/>
      <c r="P760" s="1243"/>
      <c r="Q760" s="1243"/>
      <c r="R760" s="1243"/>
      <c r="S760" s="1243"/>
      <c r="T760" s="1243"/>
      <c r="U760" s="1243"/>
      <c r="V760" s="1243"/>
      <c r="W760" s="1243"/>
      <c r="X760" s="1243"/>
      <c r="Y760" s="1243"/>
      <c r="Z760" s="1243"/>
    </row>
    <row r="761" spans="1:26" ht="15.75" customHeight="1" x14ac:dyDescent="0.2">
      <c r="A761" s="1243"/>
      <c r="B761" s="1243"/>
      <c r="C761" s="1243"/>
      <c r="D761" s="1243"/>
      <c r="E761" s="1243"/>
      <c r="F761" s="1243"/>
      <c r="G761" s="1243"/>
      <c r="H761" s="1243"/>
      <c r="I761" s="1243"/>
      <c r="J761" s="1243"/>
      <c r="K761" s="1243"/>
      <c r="L761" s="1243"/>
      <c r="M761" s="1243"/>
      <c r="N761" s="1243"/>
      <c r="O761" s="1243"/>
      <c r="P761" s="1243"/>
      <c r="Q761" s="1243"/>
      <c r="R761" s="1243"/>
      <c r="S761" s="1243"/>
      <c r="T761" s="1243"/>
      <c r="U761" s="1243"/>
      <c r="V761" s="1243"/>
      <c r="W761" s="1243"/>
      <c r="X761" s="1243"/>
      <c r="Y761" s="1243"/>
      <c r="Z761" s="1243"/>
    </row>
    <row r="762" spans="1:26" ht="15.75" customHeight="1" x14ac:dyDescent="0.2">
      <c r="A762" s="1243"/>
      <c r="B762" s="1243"/>
      <c r="C762" s="1243"/>
      <c r="D762" s="1243"/>
      <c r="E762" s="1243"/>
      <c r="F762" s="1243"/>
      <c r="G762" s="1243"/>
      <c r="H762" s="1243"/>
      <c r="I762" s="1243"/>
      <c r="J762" s="1243"/>
      <c r="K762" s="1243"/>
      <c r="L762" s="1243"/>
      <c r="M762" s="1243"/>
      <c r="N762" s="1243"/>
      <c r="O762" s="1243"/>
      <c r="P762" s="1243"/>
      <c r="Q762" s="1243"/>
      <c r="R762" s="1243"/>
      <c r="S762" s="1243"/>
      <c r="T762" s="1243"/>
      <c r="U762" s="1243"/>
      <c r="V762" s="1243"/>
      <c r="W762" s="1243"/>
      <c r="X762" s="1243"/>
      <c r="Y762" s="1243"/>
      <c r="Z762" s="1243"/>
    </row>
    <row r="763" spans="1:26" ht="15.75" customHeight="1" x14ac:dyDescent="0.2">
      <c r="A763" s="1243"/>
      <c r="B763" s="1243"/>
      <c r="C763" s="1243"/>
      <c r="D763" s="1243"/>
      <c r="E763" s="1243"/>
      <c r="F763" s="1243"/>
      <c r="G763" s="1243"/>
      <c r="H763" s="1243"/>
      <c r="I763" s="1243"/>
      <c r="J763" s="1243"/>
      <c r="K763" s="1243"/>
      <c r="L763" s="1243"/>
      <c r="M763" s="1243"/>
      <c r="N763" s="1243"/>
      <c r="O763" s="1243"/>
      <c r="P763" s="1243"/>
      <c r="Q763" s="1243"/>
      <c r="R763" s="1243"/>
      <c r="S763" s="1243"/>
      <c r="T763" s="1243"/>
      <c r="U763" s="1243"/>
      <c r="V763" s="1243"/>
      <c r="W763" s="1243"/>
      <c r="X763" s="1243"/>
      <c r="Y763" s="1243"/>
      <c r="Z763" s="1243"/>
    </row>
    <row r="764" spans="1:26" ht="15.75" customHeight="1" x14ac:dyDescent="0.2">
      <c r="A764" s="1243"/>
      <c r="B764" s="1243"/>
      <c r="C764" s="1243"/>
      <c r="D764" s="1243"/>
      <c r="E764" s="1243"/>
      <c r="F764" s="1243"/>
      <c r="G764" s="1243"/>
      <c r="H764" s="1243"/>
      <c r="I764" s="1243"/>
      <c r="J764" s="1243"/>
      <c r="K764" s="1243"/>
      <c r="L764" s="1243"/>
      <c r="M764" s="1243"/>
      <c r="N764" s="1243"/>
      <c r="O764" s="1243"/>
      <c r="P764" s="1243"/>
      <c r="Q764" s="1243"/>
      <c r="R764" s="1243"/>
      <c r="S764" s="1243"/>
      <c r="T764" s="1243"/>
      <c r="U764" s="1243"/>
      <c r="V764" s="1243"/>
      <c r="W764" s="1243"/>
      <c r="X764" s="1243"/>
      <c r="Y764" s="1243"/>
      <c r="Z764" s="1243"/>
    </row>
    <row r="765" spans="1:26" ht="15.75" customHeight="1" x14ac:dyDescent="0.2">
      <c r="A765" s="1243"/>
      <c r="B765" s="1243"/>
      <c r="C765" s="1243"/>
      <c r="D765" s="1243"/>
      <c r="E765" s="1243"/>
      <c r="F765" s="1243"/>
      <c r="G765" s="1243"/>
      <c r="H765" s="1243"/>
      <c r="I765" s="1243"/>
      <c r="J765" s="1243"/>
      <c r="K765" s="1243"/>
      <c r="L765" s="1243"/>
      <c r="M765" s="1243"/>
      <c r="N765" s="1243"/>
      <c r="O765" s="1243"/>
      <c r="P765" s="1243"/>
      <c r="Q765" s="1243"/>
      <c r="R765" s="1243"/>
      <c r="S765" s="1243"/>
      <c r="T765" s="1243"/>
      <c r="U765" s="1243"/>
      <c r="V765" s="1243"/>
      <c r="W765" s="1243"/>
      <c r="X765" s="1243"/>
      <c r="Y765" s="1243"/>
      <c r="Z765" s="1243"/>
    </row>
    <row r="766" spans="1:26" ht="15.75" customHeight="1" x14ac:dyDescent="0.2">
      <c r="A766" s="1243"/>
      <c r="B766" s="1243"/>
      <c r="C766" s="1243"/>
      <c r="D766" s="1243"/>
      <c r="E766" s="1243"/>
      <c r="F766" s="1243"/>
      <c r="G766" s="1243"/>
      <c r="H766" s="1243"/>
      <c r="I766" s="1243"/>
      <c r="J766" s="1243"/>
      <c r="K766" s="1243"/>
      <c r="L766" s="1243"/>
      <c r="M766" s="1243"/>
      <c r="N766" s="1243"/>
      <c r="O766" s="1243"/>
      <c r="P766" s="1243"/>
      <c r="Q766" s="1243"/>
      <c r="R766" s="1243"/>
      <c r="S766" s="1243"/>
      <c r="T766" s="1243"/>
      <c r="U766" s="1243"/>
      <c r="V766" s="1243"/>
      <c r="W766" s="1243"/>
      <c r="X766" s="1243"/>
      <c r="Y766" s="1243"/>
      <c r="Z766" s="1243"/>
    </row>
    <row r="767" spans="1:26" ht="15.75" customHeight="1" x14ac:dyDescent="0.2">
      <c r="A767" s="1243"/>
      <c r="B767" s="1243"/>
      <c r="C767" s="1243"/>
      <c r="D767" s="1243"/>
      <c r="E767" s="1243"/>
      <c r="F767" s="1243"/>
      <c r="G767" s="1243"/>
      <c r="H767" s="1243"/>
      <c r="I767" s="1243"/>
      <c r="J767" s="1243"/>
      <c r="K767" s="1243"/>
      <c r="L767" s="1243"/>
      <c r="M767" s="1243"/>
      <c r="N767" s="1243"/>
      <c r="O767" s="1243"/>
      <c r="P767" s="1243"/>
      <c r="Q767" s="1243"/>
      <c r="R767" s="1243"/>
      <c r="S767" s="1243"/>
      <c r="T767" s="1243"/>
      <c r="U767" s="1243"/>
      <c r="V767" s="1243"/>
      <c r="W767" s="1243"/>
      <c r="X767" s="1243"/>
      <c r="Y767" s="1243"/>
      <c r="Z767" s="1243"/>
    </row>
    <row r="768" spans="1:26" ht="15.75" customHeight="1" x14ac:dyDescent="0.2">
      <c r="A768" s="1243"/>
      <c r="B768" s="1243"/>
      <c r="C768" s="1243"/>
      <c r="D768" s="1243"/>
      <c r="E768" s="1243"/>
      <c r="F768" s="1243"/>
      <c r="G768" s="1243"/>
      <c r="H768" s="1243"/>
      <c r="I768" s="1243"/>
      <c r="J768" s="1243"/>
      <c r="K768" s="1243"/>
      <c r="L768" s="1243"/>
      <c r="M768" s="1243"/>
      <c r="N768" s="1243"/>
      <c r="O768" s="1243"/>
      <c r="P768" s="1243"/>
      <c r="Q768" s="1243"/>
      <c r="R768" s="1243"/>
      <c r="S768" s="1243"/>
      <c r="T768" s="1243"/>
      <c r="U768" s="1243"/>
      <c r="V768" s="1243"/>
      <c r="W768" s="1243"/>
      <c r="X768" s="1243"/>
      <c r="Y768" s="1243"/>
      <c r="Z768" s="1243"/>
    </row>
    <row r="769" spans="1:26" ht="15.75" customHeight="1" x14ac:dyDescent="0.2">
      <c r="A769" s="1243"/>
      <c r="B769" s="1243"/>
      <c r="C769" s="1243"/>
      <c r="D769" s="1243"/>
      <c r="E769" s="1243"/>
      <c r="F769" s="1243"/>
      <c r="G769" s="1243"/>
      <c r="H769" s="1243"/>
      <c r="I769" s="1243"/>
      <c r="J769" s="1243"/>
      <c r="K769" s="1243"/>
      <c r="L769" s="1243"/>
      <c r="M769" s="1243"/>
      <c r="N769" s="1243"/>
      <c r="O769" s="1243"/>
      <c r="P769" s="1243"/>
      <c r="Q769" s="1243"/>
      <c r="R769" s="1243"/>
      <c r="S769" s="1243"/>
      <c r="T769" s="1243"/>
      <c r="U769" s="1243"/>
      <c r="V769" s="1243"/>
      <c r="W769" s="1243"/>
      <c r="X769" s="1243"/>
      <c r="Y769" s="1243"/>
      <c r="Z769" s="1243"/>
    </row>
    <row r="770" spans="1:26" ht="15.75" customHeight="1" x14ac:dyDescent="0.2">
      <c r="A770" s="1243"/>
      <c r="B770" s="1243"/>
      <c r="C770" s="1243"/>
      <c r="D770" s="1243"/>
      <c r="E770" s="1243"/>
      <c r="F770" s="1243"/>
      <c r="G770" s="1243"/>
      <c r="H770" s="1243"/>
      <c r="I770" s="1243"/>
      <c r="J770" s="1243"/>
      <c r="K770" s="1243"/>
      <c r="L770" s="1243"/>
      <c r="M770" s="1243"/>
      <c r="N770" s="1243"/>
      <c r="O770" s="1243"/>
      <c r="P770" s="1243"/>
      <c r="Q770" s="1243"/>
      <c r="R770" s="1243"/>
      <c r="S770" s="1243"/>
      <c r="T770" s="1243"/>
      <c r="U770" s="1243"/>
      <c r="V770" s="1243"/>
      <c r="W770" s="1243"/>
      <c r="X770" s="1243"/>
      <c r="Y770" s="1243"/>
      <c r="Z770" s="1243"/>
    </row>
    <row r="771" spans="1:26" ht="15.75" customHeight="1" x14ac:dyDescent="0.2">
      <c r="A771" s="1243"/>
      <c r="B771" s="1243"/>
      <c r="C771" s="1243"/>
      <c r="D771" s="1243"/>
      <c r="E771" s="1243"/>
      <c r="F771" s="1243"/>
      <c r="G771" s="1243"/>
      <c r="H771" s="1243"/>
      <c r="I771" s="1243"/>
      <c r="J771" s="1243"/>
      <c r="K771" s="1243"/>
      <c r="L771" s="1243"/>
      <c r="M771" s="1243"/>
      <c r="N771" s="1243"/>
      <c r="O771" s="1243"/>
      <c r="P771" s="1243"/>
      <c r="Q771" s="1243"/>
      <c r="R771" s="1243"/>
      <c r="S771" s="1243"/>
      <c r="T771" s="1243"/>
      <c r="U771" s="1243"/>
      <c r="V771" s="1243"/>
      <c r="W771" s="1243"/>
      <c r="X771" s="1243"/>
      <c r="Y771" s="1243"/>
      <c r="Z771" s="1243"/>
    </row>
    <row r="772" spans="1:26" ht="15.75" customHeight="1" x14ac:dyDescent="0.2">
      <c r="A772" s="1243"/>
      <c r="B772" s="1243"/>
      <c r="C772" s="1243"/>
      <c r="D772" s="1243"/>
      <c r="E772" s="1243"/>
      <c r="F772" s="1243"/>
      <c r="G772" s="1243"/>
      <c r="H772" s="1243"/>
      <c r="I772" s="1243"/>
      <c r="J772" s="1243"/>
      <c r="K772" s="1243"/>
      <c r="L772" s="1243"/>
      <c r="M772" s="1243"/>
      <c r="N772" s="1243"/>
      <c r="O772" s="1243"/>
      <c r="P772" s="1243"/>
      <c r="Q772" s="1243"/>
      <c r="R772" s="1243"/>
      <c r="S772" s="1243"/>
      <c r="T772" s="1243"/>
      <c r="U772" s="1243"/>
      <c r="V772" s="1243"/>
      <c r="W772" s="1243"/>
      <c r="X772" s="1243"/>
      <c r="Y772" s="1243"/>
      <c r="Z772" s="1243"/>
    </row>
    <row r="773" spans="1:26" ht="15.75" customHeight="1" x14ac:dyDescent="0.2">
      <c r="A773" s="1243"/>
      <c r="B773" s="1243"/>
      <c r="C773" s="1243"/>
      <c r="D773" s="1243"/>
      <c r="E773" s="1243"/>
      <c r="F773" s="1243"/>
      <c r="G773" s="1243"/>
      <c r="H773" s="1243"/>
      <c r="I773" s="1243"/>
      <c r="J773" s="1243"/>
      <c r="K773" s="1243"/>
      <c r="L773" s="1243"/>
      <c r="M773" s="1243"/>
      <c r="N773" s="1243"/>
      <c r="O773" s="1243"/>
      <c r="P773" s="1243"/>
      <c r="Q773" s="1243"/>
      <c r="R773" s="1243"/>
      <c r="S773" s="1243"/>
      <c r="T773" s="1243"/>
      <c r="U773" s="1243"/>
      <c r="V773" s="1243"/>
      <c r="W773" s="1243"/>
      <c r="X773" s="1243"/>
      <c r="Y773" s="1243"/>
      <c r="Z773" s="1243"/>
    </row>
    <row r="774" spans="1:26" ht="15.75" customHeight="1" x14ac:dyDescent="0.2">
      <c r="A774" s="1243"/>
      <c r="B774" s="1243"/>
      <c r="C774" s="1243"/>
      <c r="D774" s="1243"/>
      <c r="E774" s="1243"/>
      <c r="F774" s="1243"/>
      <c r="G774" s="1243"/>
      <c r="H774" s="1243"/>
      <c r="I774" s="1243"/>
      <c r="J774" s="1243"/>
      <c r="K774" s="1243"/>
      <c r="L774" s="1243"/>
      <c r="M774" s="1243"/>
      <c r="N774" s="1243"/>
      <c r="O774" s="1243"/>
      <c r="P774" s="1243"/>
      <c r="Q774" s="1243"/>
      <c r="R774" s="1243"/>
      <c r="S774" s="1243"/>
      <c r="T774" s="1243"/>
      <c r="U774" s="1243"/>
      <c r="V774" s="1243"/>
      <c r="W774" s="1243"/>
      <c r="X774" s="1243"/>
      <c r="Y774" s="1243"/>
      <c r="Z774" s="1243"/>
    </row>
    <row r="775" spans="1:26" ht="15.75" customHeight="1" x14ac:dyDescent="0.2">
      <c r="A775" s="1243"/>
      <c r="B775" s="1243"/>
      <c r="C775" s="1243"/>
      <c r="D775" s="1243"/>
      <c r="E775" s="1243"/>
      <c r="F775" s="1243"/>
      <c r="G775" s="1243"/>
      <c r="H775" s="1243"/>
      <c r="I775" s="1243"/>
      <c r="J775" s="1243"/>
      <c r="K775" s="1243"/>
      <c r="L775" s="1243"/>
      <c r="M775" s="1243"/>
      <c r="N775" s="1243"/>
      <c r="O775" s="1243"/>
      <c r="P775" s="1243"/>
      <c r="Q775" s="1243"/>
      <c r="R775" s="1243"/>
      <c r="S775" s="1243"/>
      <c r="T775" s="1243"/>
      <c r="U775" s="1243"/>
      <c r="V775" s="1243"/>
      <c r="W775" s="1243"/>
      <c r="X775" s="1243"/>
      <c r="Y775" s="1243"/>
      <c r="Z775" s="1243"/>
    </row>
    <row r="776" spans="1:26" ht="15.75" customHeight="1" x14ac:dyDescent="0.2">
      <c r="A776" s="1243"/>
      <c r="B776" s="1243"/>
      <c r="C776" s="1243"/>
      <c r="D776" s="1243"/>
      <c r="E776" s="1243"/>
      <c r="F776" s="1243"/>
      <c r="G776" s="1243"/>
      <c r="H776" s="1243"/>
      <c r="I776" s="1243"/>
      <c r="J776" s="1243"/>
      <c r="K776" s="1243"/>
      <c r="L776" s="1243"/>
      <c r="M776" s="1243"/>
      <c r="N776" s="1243"/>
      <c r="O776" s="1243"/>
      <c r="P776" s="1243"/>
      <c r="Q776" s="1243"/>
      <c r="R776" s="1243"/>
      <c r="S776" s="1243"/>
      <c r="T776" s="1243"/>
      <c r="U776" s="1243"/>
      <c r="V776" s="1243"/>
      <c r="W776" s="1243"/>
      <c r="X776" s="1243"/>
      <c r="Y776" s="1243"/>
      <c r="Z776" s="1243"/>
    </row>
    <row r="777" spans="1:26" ht="15.75" customHeight="1" x14ac:dyDescent="0.2">
      <c r="A777" s="1243"/>
      <c r="B777" s="1243"/>
      <c r="C777" s="1243"/>
      <c r="D777" s="1243"/>
      <c r="E777" s="1243"/>
      <c r="F777" s="1243"/>
      <c r="G777" s="1243"/>
      <c r="H777" s="1243"/>
      <c r="I777" s="1243"/>
      <c r="J777" s="1243"/>
      <c r="K777" s="1243"/>
      <c r="L777" s="1243"/>
      <c r="M777" s="1243"/>
      <c r="N777" s="1243"/>
      <c r="O777" s="1243"/>
      <c r="P777" s="1243"/>
      <c r="Q777" s="1243"/>
      <c r="R777" s="1243"/>
      <c r="S777" s="1243"/>
      <c r="T777" s="1243"/>
      <c r="U777" s="1243"/>
      <c r="V777" s="1243"/>
      <c r="W777" s="1243"/>
      <c r="X777" s="1243"/>
      <c r="Y777" s="1243"/>
      <c r="Z777" s="1243"/>
    </row>
    <row r="778" spans="1:26" ht="15.75" customHeight="1" x14ac:dyDescent="0.2">
      <c r="A778" s="1243"/>
      <c r="B778" s="1243"/>
      <c r="C778" s="1243"/>
      <c r="D778" s="1243"/>
      <c r="E778" s="1243"/>
      <c r="F778" s="1243"/>
      <c r="G778" s="1243"/>
      <c r="H778" s="1243"/>
      <c r="I778" s="1243"/>
      <c r="J778" s="1243"/>
      <c r="K778" s="1243"/>
      <c r="L778" s="1243"/>
      <c r="M778" s="1243"/>
      <c r="N778" s="1243"/>
      <c r="O778" s="1243"/>
      <c r="P778" s="1243"/>
      <c r="Q778" s="1243"/>
      <c r="R778" s="1243"/>
      <c r="S778" s="1243"/>
      <c r="T778" s="1243"/>
      <c r="U778" s="1243"/>
      <c r="V778" s="1243"/>
      <c r="W778" s="1243"/>
      <c r="X778" s="1243"/>
      <c r="Y778" s="1243"/>
      <c r="Z778" s="1243"/>
    </row>
    <row r="779" spans="1:26" ht="15.75" customHeight="1" x14ac:dyDescent="0.2">
      <c r="A779" s="1243"/>
      <c r="B779" s="1243"/>
      <c r="C779" s="1243"/>
      <c r="D779" s="1243"/>
      <c r="E779" s="1243"/>
      <c r="F779" s="1243"/>
      <c r="G779" s="1243"/>
      <c r="H779" s="1243"/>
      <c r="I779" s="1243"/>
      <c r="J779" s="1243"/>
      <c r="K779" s="1243"/>
      <c r="L779" s="1243"/>
      <c r="M779" s="1243"/>
      <c r="N779" s="1243"/>
      <c r="O779" s="1243"/>
      <c r="P779" s="1243"/>
      <c r="Q779" s="1243"/>
      <c r="R779" s="1243"/>
      <c r="S779" s="1243"/>
      <c r="T779" s="1243"/>
      <c r="U779" s="1243"/>
      <c r="V779" s="1243"/>
      <c r="W779" s="1243"/>
      <c r="X779" s="1243"/>
      <c r="Y779" s="1243"/>
      <c r="Z779" s="1243"/>
    </row>
    <row r="780" spans="1:26" ht="15.75" customHeight="1" x14ac:dyDescent="0.2">
      <c r="A780" s="1243"/>
      <c r="B780" s="1243"/>
      <c r="C780" s="1243"/>
      <c r="D780" s="1243"/>
      <c r="E780" s="1243"/>
      <c r="F780" s="1243"/>
      <c r="G780" s="1243"/>
      <c r="H780" s="1243"/>
      <c r="I780" s="1243"/>
      <c r="J780" s="1243"/>
      <c r="K780" s="1243"/>
      <c r="L780" s="1243"/>
      <c r="M780" s="1243"/>
      <c r="N780" s="1243"/>
      <c r="O780" s="1243"/>
      <c r="P780" s="1243"/>
      <c r="Q780" s="1243"/>
      <c r="R780" s="1243"/>
      <c r="S780" s="1243"/>
      <c r="T780" s="1243"/>
      <c r="U780" s="1243"/>
      <c r="V780" s="1243"/>
      <c r="W780" s="1243"/>
      <c r="X780" s="1243"/>
      <c r="Y780" s="1243"/>
      <c r="Z780" s="1243"/>
    </row>
    <row r="781" spans="1:26" ht="15.75" customHeight="1" x14ac:dyDescent="0.2">
      <c r="A781" s="1243"/>
      <c r="B781" s="1243"/>
      <c r="C781" s="1243"/>
      <c r="D781" s="1243"/>
      <c r="E781" s="1243"/>
      <c r="F781" s="1243"/>
      <c r="G781" s="1243"/>
      <c r="H781" s="1243"/>
      <c r="I781" s="1243"/>
      <c r="J781" s="1243"/>
      <c r="K781" s="1243"/>
      <c r="L781" s="1243"/>
      <c r="M781" s="1243"/>
      <c r="N781" s="1243"/>
      <c r="O781" s="1243"/>
      <c r="P781" s="1243"/>
      <c r="Q781" s="1243"/>
      <c r="R781" s="1243"/>
      <c r="S781" s="1243"/>
      <c r="T781" s="1243"/>
      <c r="U781" s="1243"/>
      <c r="V781" s="1243"/>
      <c r="W781" s="1243"/>
      <c r="X781" s="1243"/>
      <c r="Y781" s="1243"/>
      <c r="Z781" s="1243"/>
    </row>
    <row r="782" spans="1:26" ht="15.75" customHeight="1" x14ac:dyDescent="0.2">
      <c r="A782" s="1243"/>
      <c r="B782" s="1243"/>
      <c r="C782" s="1243"/>
      <c r="D782" s="1243"/>
      <c r="E782" s="1243"/>
      <c r="F782" s="1243"/>
      <c r="G782" s="1243"/>
      <c r="H782" s="1243"/>
      <c r="I782" s="1243"/>
      <c r="J782" s="1243"/>
      <c r="K782" s="1243"/>
      <c r="L782" s="1243"/>
      <c r="M782" s="1243"/>
      <c r="N782" s="1243"/>
      <c r="O782" s="1243"/>
      <c r="P782" s="1243"/>
      <c r="Q782" s="1243"/>
      <c r="R782" s="1243"/>
      <c r="S782" s="1243"/>
      <c r="T782" s="1243"/>
      <c r="U782" s="1243"/>
      <c r="V782" s="1243"/>
      <c r="W782" s="1243"/>
      <c r="X782" s="1243"/>
      <c r="Y782" s="1243"/>
      <c r="Z782" s="1243"/>
    </row>
    <row r="783" spans="1:26" ht="15.75" customHeight="1" x14ac:dyDescent="0.2">
      <c r="A783" s="1243"/>
      <c r="B783" s="1243"/>
      <c r="C783" s="1243"/>
      <c r="D783" s="1243"/>
      <c r="E783" s="1243"/>
      <c r="F783" s="1243"/>
      <c r="G783" s="1243"/>
      <c r="H783" s="1243"/>
      <c r="I783" s="1243"/>
      <c r="J783" s="1243"/>
      <c r="K783" s="1243"/>
      <c r="L783" s="1243"/>
      <c r="M783" s="1243"/>
      <c r="N783" s="1243"/>
      <c r="O783" s="1243"/>
      <c r="P783" s="1243"/>
      <c r="Q783" s="1243"/>
      <c r="R783" s="1243"/>
      <c r="S783" s="1243"/>
      <c r="T783" s="1243"/>
      <c r="U783" s="1243"/>
      <c r="V783" s="1243"/>
      <c r="W783" s="1243"/>
      <c r="X783" s="1243"/>
      <c r="Y783" s="1243"/>
      <c r="Z783" s="1243"/>
    </row>
    <row r="784" spans="1:26" ht="15.75" customHeight="1" x14ac:dyDescent="0.2">
      <c r="A784" s="1243"/>
      <c r="B784" s="1243"/>
      <c r="C784" s="1243"/>
      <c r="D784" s="1243"/>
      <c r="E784" s="1243"/>
      <c r="F784" s="1243"/>
      <c r="G784" s="1243"/>
      <c r="H784" s="1243"/>
      <c r="I784" s="1243"/>
      <c r="J784" s="1243"/>
      <c r="K784" s="1243"/>
      <c r="L784" s="1243"/>
      <c r="M784" s="1243"/>
      <c r="N784" s="1243"/>
      <c r="O784" s="1243"/>
      <c r="P784" s="1243"/>
      <c r="Q784" s="1243"/>
      <c r="R784" s="1243"/>
      <c r="S784" s="1243"/>
      <c r="T784" s="1243"/>
      <c r="U784" s="1243"/>
      <c r="V784" s="1243"/>
      <c r="W784" s="1243"/>
      <c r="X784" s="1243"/>
      <c r="Y784" s="1243"/>
      <c r="Z784" s="1243"/>
    </row>
    <row r="785" spans="1:26" ht="15.75" customHeight="1" x14ac:dyDescent="0.2">
      <c r="A785" s="1243"/>
      <c r="B785" s="1243"/>
      <c r="C785" s="1243"/>
      <c r="D785" s="1243"/>
      <c r="E785" s="1243"/>
      <c r="F785" s="1243"/>
      <c r="G785" s="1243"/>
      <c r="H785" s="1243"/>
      <c r="I785" s="1243"/>
      <c r="J785" s="1243"/>
      <c r="K785" s="1243"/>
      <c r="L785" s="1243"/>
      <c r="M785" s="1243"/>
      <c r="N785" s="1243"/>
      <c r="O785" s="1243"/>
      <c r="P785" s="1243"/>
      <c r="Q785" s="1243"/>
      <c r="R785" s="1243"/>
      <c r="S785" s="1243"/>
      <c r="T785" s="1243"/>
      <c r="U785" s="1243"/>
      <c r="V785" s="1243"/>
      <c r="W785" s="1243"/>
      <c r="X785" s="1243"/>
      <c r="Y785" s="1243"/>
      <c r="Z785" s="1243"/>
    </row>
    <row r="786" spans="1:26" ht="15.75" customHeight="1" x14ac:dyDescent="0.2">
      <c r="A786" s="1243"/>
      <c r="B786" s="1243"/>
      <c r="C786" s="1243"/>
      <c r="D786" s="1243"/>
      <c r="E786" s="1243"/>
      <c r="F786" s="1243"/>
      <c r="G786" s="1243"/>
      <c r="H786" s="1243"/>
      <c r="I786" s="1243"/>
      <c r="J786" s="1243"/>
      <c r="K786" s="1243"/>
      <c r="L786" s="1243"/>
      <c r="M786" s="1243"/>
      <c r="N786" s="1243"/>
      <c r="O786" s="1243"/>
      <c r="P786" s="1243"/>
      <c r="Q786" s="1243"/>
      <c r="R786" s="1243"/>
      <c r="S786" s="1243"/>
      <c r="T786" s="1243"/>
      <c r="U786" s="1243"/>
      <c r="V786" s="1243"/>
      <c r="W786" s="1243"/>
      <c r="X786" s="1243"/>
      <c r="Y786" s="1243"/>
      <c r="Z786" s="1243"/>
    </row>
    <row r="787" spans="1:26" ht="15.75" customHeight="1" x14ac:dyDescent="0.2">
      <c r="A787" s="1243"/>
      <c r="B787" s="1243"/>
      <c r="C787" s="1243"/>
      <c r="D787" s="1243"/>
      <c r="E787" s="1243"/>
      <c r="F787" s="1243"/>
      <c r="G787" s="1243"/>
      <c r="H787" s="1243"/>
      <c r="I787" s="1243"/>
      <c r="J787" s="1243"/>
      <c r="K787" s="1243"/>
      <c r="L787" s="1243"/>
      <c r="M787" s="1243"/>
      <c r="N787" s="1243"/>
      <c r="O787" s="1243"/>
      <c r="P787" s="1243"/>
      <c r="Q787" s="1243"/>
      <c r="R787" s="1243"/>
      <c r="S787" s="1243"/>
      <c r="T787" s="1243"/>
      <c r="U787" s="1243"/>
      <c r="V787" s="1243"/>
      <c r="W787" s="1243"/>
      <c r="X787" s="1243"/>
      <c r="Y787" s="1243"/>
      <c r="Z787" s="1243"/>
    </row>
    <row r="788" spans="1:26" ht="15.75" customHeight="1" x14ac:dyDescent="0.2">
      <c r="A788" s="1243"/>
      <c r="B788" s="1243"/>
      <c r="C788" s="1243"/>
      <c r="D788" s="1243"/>
      <c r="E788" s="1243"/>
      <c r="F788" s="1243"/>
      <c r="G788" s="1243"/>
      <c r="H788" s="1243"/>
      <c r="I788" s="1243"/>
      <c r="J788" s="1243"/>
      <c r="K788" s="1243"/>
      <c r="L788" s="1243"/>
      <c r="M788" s="1243"/>
      <c r="N788" s="1243"/>
      <c r="O788" s="1243"/>
      <c r="P788" s="1243"/>
      <c r="Q788" s="1243"/>
      <c r="R788" s="1243"/>
      <c r="S788" s="1243"/>
      <c r="T788" s="1243"/>
      <c r="U788" s="1243"/>
      <c r="V788" s="1243"/>
      <c r="W788" s="1243"/>
      <c r="X788" s="1243"/>
      <c r="Y788" s="1243"/>
      <c r="Z788" s="1243"/>
    </row>
    <row r="789" spans="1:26" ht="15.75" customHeight="1" x14ac:dyDescent="0.2">
      <c r="A789" s="1243"/>
      <c r="B789" s="1243"/>
      <c r="C789" s="1243"/>
      <c r="D789" s="1243"/>
      <c r="E789" s="1243"/>
      <c r="F789" s="1243"/>
      <c r="G789" s="1243"/>
      <c r="H789" s="1243"/>
      <c r="I789" s="1243"/>
      <c r="J789" s="1243"/>
      <c r="K789" s="1243"/>
      <c r="L789" s="1243"/>
      <c r="M789" s="1243"/>
      <c r="N789" s="1243"/>
      <c r="O789" s="1243"/>
      <c r="P789" s="1243"/>
      <c r="Q789" s="1243"/>
      <c r="R789" s="1243"/>
      <c r="S789" s="1243"/>
      <c r="T789" s="1243"/>
      <c r="U789" s="1243"/>
      <c r="V789" s="1243"/>
      <c r="W789" s="1243"/>
      <c r="X789" s="1243"/>
      <c r="Y789" s="1243"/>
      <c r="Z789" s="1243"/>
    </row>
    <row r="790" spans="1:26" ht="15.75" customHeight="1" x14ac:dyDescent="0.2">
      <c r="A790" s="1243"/>
      <c r="B790" s="1243"/>
      <c r="C790" s="1243"/>
      <c r="D790" s="1243"/>
      <c r="E790" s="1243"/>
      <c r="F790" s="1243"/>
      <c r="G790" s="1243"/>
      <c r="H790" s="1243"/>
      <c r="I790" s="1243"/>
      <c r="J790" s="1243"/>
      <c r="K790" s="1243"/>
      <c r="L790" s="1243"/>
      <c r="M790" s="1243"/>
      <c r="N790" s="1243"/>
      <c r="O790" s="1243"/>
      <c r="P790" s="1243"/>
      <c r="Q790" s="1243"/>
      <c r="R790" s="1243"/>
      <c r="S790" s="1243"/>
      <c r="T790" s="1243"/>
      <c r="U790" s="1243"/>
      <c r="V790" s="1243"/>
      <c r="W790" s="1243"/>
      <c r="X790" s="1243"/>
      <c r="Y790" s="1243"/>
      <c r="Z790" s="1243"/>
    </row>
    <row r="791" spans="1:26" ht="15.75" customHeight="1" x14ac:dyDescent="0.2">
      <c r="A791" s="1243"/>
      <c r="B791" s="1243"/>
      <c r="C791" s="1243"/>
      <c r="D791" s="1243"/>
      <c r="E791" s="1243"/>
      <c r="F791" s="1243"/>
      <c r="G791" s="1243"/>
      <c r="H791" s="1243"/>
      <c r="I791" s="1243"/>
      <c r="J791" s="1243"/>
      <c r="K791" s="1243"/>
      <c r="L791" s="1243"/>
      <c r="M791" s="1243"/>
      <c r="N791" s="1243"/>
      <c r="O791" s="1243"/>
      <c r="P791" s="1243"/>
      <c r="Q791" s="1243"/>
      <c r="R791" s="1243"/>
      <c r="S791" s="1243"/>
      <c r="T791" s="1243"/>
      <c r="U791" s="1243"/>
      <c r="V791" s="1243"/>
      <c r="W791" s="1243"/>
      <c r="X791" s="1243"/>
      <c r="Y791" s="1243"/>
      <c r="Z791" s="1243"/>
    </row>
    <row r="792" spans="1:26" ht="15.75" customHeight="1" x14ac:dyDescent="0.2">
      <c r="A792" s="1243"/>
      <c r="B792" s="1243"/>
      <c r="C792" s="1243"/>
      <c r="D792" s="1243"/>
      <c r="E792" s="1243"/>
      <c r="F792" s="1243"/>
      <c r="G792" s="1243"/>
      <c r="H792" s="1243"/>
      <c r="I792" s="1243"/>
      <c r="J792" s="1243"/>
      <c r="K792" s="1243"/>
      <c r="L792" s="1243"/>
      <c r="M792" s="1243"/>
      <c r="N792" s="1243"/>
      <c r="O792" s="1243"/>
      <c r="P792" s="1243"/>
      <c r="Q792" s="1243"/>
      <c r="R792" s="1243"/>
      <c r="S792" s="1243"/>
      <c r="T792" s="1243"/>
      <c r="U792" s="1243"/>
      <c r="V792" s="1243"/>
      <c r="W792" s="1243"/>
      <c r="X792" s="1243"/>
      <c r="Y792" s="1243"/>
      <c r="Z792" s="1243"/>
    </row>
    <row r="793" spans="1:26" ht="15.75" customHeight="1" x14ac:dyDescent="0.2">
      <c r="A793" s="1243"/>
      <c r="B793" s="1243"/>
      <c r="C793" s="1243"/>
      <c r="D793" s="1243"/>
      <c r="E793" s="1243"/>
      <c r="F793" s="1243"/>
      <c r="G793" s="1243"/>
      <c r="H793" s="1243"/>
      <c r="I793" s="1243"/>
      <c r="J793" s="1243"/>
      <c r="K793" s="1243"/>
      <c r="L793" s="1243"/>
      <c r="M793" s="1243"/>
      <c r="N793" s="1243"/>
      <c r="O793" s="1243"/>
      <c r="P793" s="1243"/>
      <c r="Q793" s="1243"/>
      <c r="R793" s="1243"/>
      <c r="S793" s="1243"/>
      <c r="T793" s="1243"/>
      <c r="U793" s="1243"/>
      <c r="V793" s="1243"/>
      <c r="W793" s="1243"/>
      <c r="X793" s="1243"/>
      <c r="Y793" s="1243"/>
      <c r="Z793" s="1243"/>
    </row>
    <row r="794" spans="1:26" ht="15.75" customHeight="1" x14ac:dyDescent="0.2">
      <c r="A794" s="1243"/>
      <c r="B794" s="1243"/>
      <c r="C794" s="1243"/>
      <c r="D794" s="1243"/>
      <c r="E794" s="1243"/>
      <c r="F794" s="1243"/>
      <c r="G794" s="1243"/>
      <c r="H794" s="1243"/>
      <c r="I794" s="1243"/>
      <c r="J794" s="1243"/>
      <c r="K794" s="1243"/>
      <c r="L794" s="1243"/>
      <c r="M794" s="1243"/>
      <c r="N794" s="1243"/>
      <c r="O794" s="1243"/>
      <c r="P794" s="1243"/>
      <c r="Q794" s="1243"/>
      <c r="R794" s="1243"/>
      <c r="S794" s="1243"/>
      <c r="T794" s="1243"/>
      <c r="U794" s="1243"/>
      <c r="V794" s="1243"/>
      <c r="W794" s="1243"/>
      <c r="X794" s="1243"/>
      <c r="Y794" s="1243"/>
      <c r="Z794" s="1243"/>
    </row>
    <row r="795" spans="1:26" ht="15.75" customHeight="1" x14ac:dyDescent="0.2">
      <c r="A795" s="1243"/>
      <c r="B795" s="1243"/>
      <c r="C795" s="1243"/>
      <c r="D795" s="1243"/>
      <c r="E795" s="1243"/>
      <c r="F795" s="1243"/>
      <c r="G795" s="1243"/>
      <c r="H795" s="1243"/>
      <c r="I795" s="1243"/>
      <c r="J795" s="1243"/>
      <c r="K795" s="1243"/>
      <c r="L795" s="1243"/>
      <c r="M795" s="1243"/>
      <c r="N795" s="1243"/>
      <c r="O795" s="1243"/>
      <c r="P795" s="1243"/>
      <c r="Q795" s="1243"/>
      <c r="R795" s="1243"/>
      <c r="S795" s="1243"/>
      <c r="T795" s="1243"/>
      <c r="U795" s="1243"/>
      <c r="V795" s="1243"/>
      <c r="W795" s="1243"/>
      <c r="X795" s="1243"/>
      <c r="Y795" s="1243"/>
      <c r="Z795" s="1243"/>
    </row>
    <row r="796" spans="1:26" ht="15.75" customHeight="1" x14ac:dyDescent="0.2">
      <c r="A796" s="1243"/>
      <c r="B796" s="1243"/>
      <c r="C796" s="1243"/>
      <c r="D796" s="1243"/>
      <c r="E796" s="1243"/>
      <c r="F796" s="1243"/>
      <c r="G796" s="1243"/>
      <c r="H796" s="1243"/>
      <c r="I796" s="1243"/>
      <c r="J796" s="1243"/>
      <c r="K796" s="1243"/>
      <c r="L796" s="1243"/>
      <c r="M796" s="1243"/>
      <c r="N796" s="1243"/>
      <c r="O796" s="1243"/>
      <c r="P796" s="1243"/>
      <c r="Q796" s="1243"/>
      <c r="R796" s="1243"/>
      <c r="S796" s="1243"/>
      <c r="T796" s="1243"/>
      <c r="U796" s="1243"/>
      <c r="V796" s="1243"/>
      <c r="W796" s="1243"/>
      <c r="X796" s="1243"/>
      <c r="Y796" s="1243"/>
      <c r="Z796" s="1243"/>
    </row>
    <row r="797" spans="1:26" ht="15.75" customHeight="1" x14ac:dyDescent="0.2">
      <c r="A797" s="1243"/>
      <c r="B797" s="1243"/>
      <c r="C797" s="1243"/>
      <c r="D797" s="1243"/>
      <c r="E797" s="1243"/>
      <c r="F797" s="1243"/>
      <c r="G797" s="1243"/>
      <c r="H797" s="1243"/>
      <c r="I797" s="1243"/>
      <c r="J797" s="1243"/>
      <c r="K797" s="1243"/>
      <c r="L797" s="1243"/>
      <c r="M797" s="1243"/>
      <c r="N797" s="1243"/>
      <c r="O797" s="1243"/>
      <c r="P797" s="1243"/>
      <c r="Q797" s="1243"/>
      <c r="R797" s="1243"/>
      <c r="S797" s="1243"/>
      <c r="T797" s="1243"/>
      <c r="U797" s="1243"/>
      <c r="V797" s="1243"/>
      <c r="W797" s="1243"/>
      <c r="X797" s="1243"/>
      <c r="Y797" s="1243"/>
      <c r="Z797" s="1243"/>
    </row>
    <row r="798" spans="1:26" ht="15.75" customHeight="1" x14ac:dyDescent="0.2">
      <c r="A798" s="1243"/>
      <c r="B798" s="1243"/>
      <c r="C798" s="1243"/>
      <c r="D798" s="1243"/>
      <c r="E798" s="1243"/>
      <c r="F798" s="1243"/>
      <c r="G798" s="1243"/>
      <c r="H798" s="1243"/>
      <c r="I798" s="1243"/>
      <c r="J798" s="1243"/>
      <c r="K798" s="1243"/>
      <c r="L798" s="1243"/>
      <c r="M798" s="1243"/>
      <c r="N798" s="1243"/>
      <c r="O798" s="1243"/>
      <c r="P798" s="1243"/>
      <c r="Q798" s="1243"/>
      <c r="R798" s="1243"/>
      <c r="S798" s="1243"/>
      <c r="T798" s="1243"/>
      <c r="U798" s="1243"/>
      <c r="V798" s="1243"/>
      <c r="W798" s="1243"/>
      <c r="X798" s="1243"/>
      <c r="Y798" s="1243"/>
      <c r="Z798" s="1243"/>
    </row>
    <row r="799" spans="1:26" ht="15.75" customHeight="1" x14ac:dyDescent="0.2">
      <c r="A799" s="1243"/>
      <c r="B799" s="1243"/>
      <c r="C799" s="1243"/>
      <c r="D799" s="1243"/>
      <c r="E799" s="1243"/>
      <c r="F799" s="1243"/>
      <c r="G799" s="1243"/>
      <c r="H799" s="1243"/>
      <c r="I799" s="1243"/>
      <c r="J799" s="1243"/>
      <c r="K799" s="1243"/>
      <c r="L799" s="1243"/>
      <c r="M799" s="1243"/>
      <c r="N799" s="1243"/>
      <c r="O799" s="1243"/>
      <c r="P799" s="1243"/>
      <c r="Q799" s="1243"/>
      <c r="R799" s="1243"/>
      <c r="S799" s="1243"/>
      <c r="T799" s="1243"/>
      <c r="U799" s="1243"/>
      <c r="V799" s="1243"/>
      <c r="W799" s="1243"/>
      <c r="X799" s="1243"/>
      <c r="Y799" s="1243"/>
      <c r="Z799" s="1243"/>
    </row>
    <row r="800" spans="1:26" ht="15.75" customHeight="1" x14ac:dyDescent="0.2">
      <c r="A800" s="1243"/>
      <c r="B800" s="1243"/>
      <c r="C800" s="1243"/>
      <c r="D800" s="1243"/>
      <c r="E800" s="1243"/>
      <c r="F800" s="1243"/>
      <c r="G800" s="1243"/>
      <c r="H800" s="1243"/>
      <c r="I800" s="1243"/>
      <c r="J800" s="1243"/>
      <c r="K800" s="1243"/>
      <c r="L800" s="1243"/>
      <c r="M800" s="1243"/>
      <c r="N800" s="1243"/>
      <c r="O800" s="1243"/>
      <c r="P800" s="1243"/>
      <c r="Q800" s="1243"/>
      <c r="R800" s="1243"/>
      <c r="S800" s="1243"/>
      <c r="T800" s="1243"/>
      <c r="U800" s="1243"/>
      <c r="V800" s="1243"/>
      <c r="W800" s="1243"/>
      <c r="X800" s="1243"/>
      <c r="Y800" s="1243"/>
      <c r="Z800" s="1243"/>
    </row>
    <row r="801" spans="1:26" ht="15.75" customHeight="1" x14ac:dyDescent="0.2">
      <c r="A801" s="1243"/>
      <c r="B801" s="1243"/>
      <c r="C801" s="1243"/>
      <c r="D801" s="1243"/>
      <c r="E801" s="1243"/>
      <c r="F801" s="1243"/>
      <c r="G801" s="1243"/>
      <c r="H801" s="1243"/>
      <c r="I801" s="1243"/>
      <c r="J801" s="1243"/>
      <c r="K801" s="1243"/>
      <c r="L801" s="1243"/>
      <c r="M801" s="1243"/>
      <c r="N801" s="1243"/>
      <c r="O801" s="1243"/>
      <c r="P801" s="1243"/>
      <c r="Q801" s="1243"/>
      <c r="R801" s="1243"/>
      <c r="S801" s="1243"/>
      <c r="T801" s="1243"/>
      <c r="U801" s="1243"/>
      <c r="V801" s="1243"/>
      <c r="W801" s="1243"/>
      <c r="X801" s="1243"/>
      <c r="Y801" s="1243"/>
      <c r="Z801" s="1243"/>
    </row>
    <row r="802" spans="1:26" ht="15.75" customHeight="1" x14ac:dyDescent="0.2">
      <c r="A802" s="1243"/>
      <c r="B802" s="1243"/>
      <c r="C802" s="1243"/>
      <c r="D802" s="1243"/>
      <c r="E802" s="1243"/>
      <c r="F802" s="1243"/>
      <c r="G802" s="1243"/>
      <c r="H802" s="1243"/>
      <c r="I802" s="1243"/>
      <c r="J802" s="1243"/>
      <c r="K802" s="1243"/>
      <c r="L802" s="1243"/>
      <c r="M802" s="1243"/>
      <c r="N802" s="1243"/>
      <c r="O802" s="1243"/>
      <c r="P802" s="1243"/>
      <c r="Q802" s="1243"/>
      <c r="R802" s="1243"/>
      <c r="S802" s="1243"/>
      <c r="T802" s="1243"/>
      <c r="U802" s="1243"/>
      <c r="V802" s="1243"/>
      <c r="W802" s="1243"/>
      <c r="X802" s="1243"/>
      <c r="Y802" s="1243"/>
      <c r="Z802" s="1243"/>
    </row>
    <row r="803" spans="1:26" ht="15.75" customHeight="1" x14ac:dyDescent="0.2">
      <c r="A803" s="1243"/>
      <c r="B803" s="1243"/>
      <c r="C803" s="1243"/>
      <c r="D803" s="1243"/>
      <c r="E803" s="1243"/>
      <c r="F803" s="1243"/>
      <c r="G803" s="1243"/>
      <c r="H803" s="1243"/>
      <c r="I803" s="1243"/>
      <c r="J803" s="1243"/>
      <c r="K803" s="1243"/>
      <c r="L803" s="1243"/>
      <c r="M803" s="1243"/>
      <c r="N803" s="1243"/>
      <c r="O803" s="1243"/>
      <c r="P803" s="1243"/>
      <c r="Q803" s="1243"/>
      <c r="R803" s="1243"/>
      <c r="S803" s="1243"/>
      <c r="T803" s="1243"/>
      <c r="U803" s="1243"/>
      <c r="V803" s="1243"/>
      <c r="W803" s="1243"/>
      <c r="X803" s="1243"/>
      <c r="Y803" s="1243"/>
      <c r="Z803" s="1243"/>
    </row>
    <row r="804" spans="1:26" ht="15.75" customHeight="1" x14ac:dyDescent="0.2">
      <c r="A804" s="1243"/>
      <c r="B804" s="1243"/>
      <c r="C804" s="1243"/>
      <c r="D804" s="1243"/>
      <c r="E804" s="1243"/>
      <c r="F804" s="1243"/>
      <c r="G804" s="1243"/>
      <c r="H804" s="1243"/>
      <c r="I804" s="1243"/>
      <c r="J804" s="1243"/>
      <c r="K804" s="1243"/>
      <c r="L804" s="1243"/>
      <c r="M804" s="1243"/>
      <c r="N804" s="1243"/>
      <c r="O804" s="1243"/>
      <c r="P804" s="1243"/>
      <c r="Q804" s="1243"/>
      <c r="R804" s="1243"/>
      <c r="S804" s="1243"/>
      <c r="T804" s="1243"/>
      <c r="U804" s="1243"/>
      <c r="V804" s="1243"/>
      <c r="W804" s="1243"/>
      <c r="X804" s="1243"/>
      <c r="Y804" s="1243"/>
      <c r="Z804" s="1243"/>
    </row>
    <row r="805" spans="1:26" ht="15.75" customHeight="1" x14ac:dyDescent="0.2">
      <c r="A805" s="1243"/>
      <c r="B805" s="1243"/>
      <c r="C805" s="1243"/>
      <c r="D805" s="1243"/>
      <c r="E805" s="1243"/>
      <c r="F805" s="1243"/>
      <c r="G805" s="1243"/>
      <c r="H805" s="1243"/>
      <c r="I805" s="1243"/>
      <c r="J805" s="1243"/>
      <c r="K805" s="1243"/>
      <c r="L805" s="1243"/>
      <c r="M805" s="1243"/>
      <c r="N805" s="1243"/>
      <c r="O805" s="1243"/>
      <c r="P805" s="1243"/>
      <c r="Q805" s="1243"/>
      <c r="R805" s="1243"/>
      <c r="S805" s="1243"/>
      <c r="T805" s="1243"/>
      <c r="U805" s="1243"/>
      <c r="V805" s="1243"/>
      <c r="W805" s="1243"/>
      <c r="X805" s="1243"/>
      <c r="Y805" s="1243"/>
      <c r="Z805" s="1243"/>
    </row>
    <row r="806" spans="1:26" ht="15.75" customHeight="1" x14ac:dyDescent="0.2">
      <c r="A806" s="1243"/>
      <c r="B806" s="1243"/>
      <c r="C806" s="1243"/>
      <c r="D806" s="1243"/>
      <c r="E806" s="1243"/>
      <c r="F806" s="1243"/>
      <c r="G806" s="1243"/>
      <c r="H806" s="1243"/>
      <c r="I806" s="1243"/>
      <c r="J806" s="1243"/>
      <c r="K806" s="1243"/>
      <c r="L806" s="1243"/>
      <c r="M806" s="1243"/>
      <c r="N806" s="1243"/>
      <c r="O806" s="1243"/>
      <c r="P806" s="1243"/>
      <c r="Q806" s="1243"/>
      <c r="R806" s="1243"/>
      <c r="S806" s="1243"/>
      <c r="T806" s="1243"/>
      <c r="U806" s="1243"/>
      <c r="V806" s="1243"/>
      <c r="W806" s="1243"/>
      <c r="X806" s="1243"/>
      <c r="Y806" s="1243"/>
      <c r="Z806" s="1243"/>
    </row>
    <row r="807" spans="1:26" ht="15.75" customHeight="1" x14ac:dyDescent="0.2">
      <c r="A807" s="1243"/>
      <c r="B807" s="1243"/>
      <c r="C807" s="1243"/>
      <c r="D807" s="1243"/>
      <c r="E807" s="1243"/>
      <c r="F807" s="1243"/>
      <c r="G807" s="1243"/>
      <c r="H807" s="1243"/>
      <c r="I807" s="1243"/>
      <c r="J807" s="1243"/>
      <c r="K807" s="1243"/>
      <c r="L807" s="1243"/>
      <c r="M807" s="1243"/>
      <c r="N807" s="1243"/>
      <c r="O807" s="1243"/>
      <c r="P807" s="1243"/>
      <c r="Q807" s="1243"/>
      <c r="R807" s="1243"/>
      <c r="S807" s="1243"/>
      <c r="T807" s="1243"/>
      <c r="U807" s="1243"/>
      <c r="V807" s="1243"/>
      <c r="W807" s="1243"/>
      <c r="X807" s="1243"/>
      <c r="Y807" s="1243"/>
      <c r="Z807" s="1243"/>
    </row>
    <row r="808" spans="1:26" ht="15.75" customHeight="1" x14ac:dyDescent="0.2">
      <c r="A808" s="1243"/>
      <c r="B808" s="1243"/>
      <c r="C808" s="1243"/>
      <c r="D808" s="1243"/>
      <c r="E808" s="1243"/>
      <c r="F808" s="1243"/>
      <c r="G808" s="1243"/>
      <c r="H808" s="1243"/>
      <c r="I808" s="1243"/>
      <c r="J808" s="1243"/>
      <c r="K808" s="1243"/>
      <c r="L808" s="1243"/>
      <c r="M808" s="1243"/>
      <c r="N808" s="1243"/>
      <c r="O808" s="1243"/>
      <c r="P808" s="1243"/>
      <c r="Q808" s="1243"/>
      <c r="R808" s="1243"/>
      <c r="S808" s="1243"/>
      <c r="T808" s="1243"/>
      <c r="U808" s="1243"/>
      <c r="V808" s="1243"/>
      <c r="W808" s="1243"/>
      <c r="X808" s="1243"/>
      <c r="Y808" s="1243"/>
      <c r="Z808" s="1243"/>
    </row>
    <row r="809" spans="1:26" ht="15.75" customHeight="1" x14ac:dyDescent="0.2">
      <c r="A809" s="1243"/>
      <c r="B809" s="1243"/>
      <c r="C809" s="1243"/>
      <c r="D809" s="1243"/>
      <c r="E809" s="1243"/>
      <c r="F809" s="1243"/>
      <c r="G809" s="1243"/>
      <c r="H809" s="1243"/>
      <c r="I809" s="1243"/>
      <c r="J809" s="1243"/>
      <c r="K809" s="1243"/>
      <c r="L809" s="1243"/>
      <c r="M809" s="1243"/>
      <c r="N809" s="1243"/>
      <c r="O809" s="1243"/>
      <c r="P809" s="1243"/>
      <c r="Q809" s="1243"/>
      <c r="R809" s="1243"/>
      <c r="S809" s="1243"/>
      <c r="T809" s="1243"/>
      <c r="U809" s="1243"/>
      <c r="V809" s="1243"/>
      <c r="W809" s="1243"/>
      <c r="X809" s="1243"/>
      <c r="Y809" s="1243"/>
      <c r="Z809" s="1243"/>
    </row>
    <row r="810" spans="1:26" ht="15.75" customHeight="1" x14ac:dyDescent="0.2">
      <c r="A810" s="1243"/>
      <c r="B810" s="1243"/>
      <c r="C810" s="1243"/>
      <c r="D810" s="1243"/>
      <c r="E810" s="1243"/>
      <c r="F810" s="1243"/>
      <c r="G810" s="1243"/>
      <c r="H810" s="1243"/>
      <c r="I810" s="1243"/>
      <c r="J810" s="1243"/>
      <c r="K810" s="1243"/>
      <c r="L810" s="1243"/>
      <c r="M810" s="1243"/>
      <c r="N810" s="1243"/>
      <c r="O810" s="1243"/>
      <c r="P810" s="1243"/>
      <c r="Q810" s="1243"/>
      <c r="R810" s="1243"/>
      <c r="S810" s="1243"/>
      <c r="T810" s="1243"/>
      <c r="U810" s="1243"/>
      <c r="V810" s="1243"/>
      <c r="W810" s="1243"/>
      <c r="X810" s="1243"/>
      <c r="Y810" s="1243"/>
      <c r="Z810" s="1243"/>
    </row>
    <row r="811" spans="1:26" ht="15.75" customHeight="1" x14ac:dyDescent="0.2">
      <c r="A811" s="1243"/>
      <c r="B811" s="1243"/>
      <c r="C811" s="1243"/>
      <c r="D811" s="1243"/>
      <c r="E811" s="1243"/>
      <c r="F811" s="1243"/>
      <c r="G811" s="1243"/>
      <c r="H811" s="1243"/>
      <c r="I811" s="1243"/>
      <c r="J811" s="1243"/>
      <c r="K811" s="1243"/>
      <c r="L811" s="1243"/>
      <c r="M811" s="1243"/>
      <c r="N811" s="1243"/>
      <c r="O811" s="1243"/>
      <c r="P811" s="1243"/>
      <c r="Q811" s="1243"/>
      <c r="R811" s="1243"/>
      <c r="S811" s="1243"/>
      <c r="T811" s="1243"/>
      <c r="U811" s="1243"/>
      <c r="V811" s="1243"/>
      <c r="W811" s="1243"/>
      <c r="X811" s="1243"/>
      <c r="Y811" s="1243"/>
      <c r="Z811" s="1243"/>
    </row>
    <row r="812" spans="1:26" ht="15.75" customHeight="1" x14ac:dyDescent="0.2">
      <c r="A812" s="1243"/>
      <c r="B812" s="1243"/>
      <c r="C812" s="1243"/>
      <c r="D812" s="1243"/>
      <c r="E812" s="1243"/>
      <c r="F812" s="1243"/>
      <c r="G812" s="1243"/>
      <c r="H812" s="1243"/>
      <c r="I812" s="1243"/>
      <c r="J812" s="1243"/>
      <c r="K812" s="1243"/>
      <c r="L812" s="1243"/>
      <c r="M812" s="1243"/>
      <c r="N812" s="1243"/>
      <c r="O812" s="1243"/>
      <c r="P812" s="1243"/>
      <c r="Q812" s="1243"/>
      <c r="R812" s="1243"/>
      <c r="S812" s="1243"/>
      <c r="T812" s="1243"/>
      <c r="U812" s="1243"/>
      <c r="V812" s="1243"/>
      <c r="W812" s="1243"/>
      <c r="X812" s="1243"/>
      <c r="Y812" s="1243"/>
      <c r="Z812" s="1243"/>
    </row>
    <row r="813" spans="1:26" ht="15.75" customHeight="1" x14ac:dyDescent="0.2">
      <c r="A813" s="1243"/>
      <c r="B813" s="1243"/>
      <c r="C813" s="1243"/>
      <c r="D813" s="1243"/>
      <c r="E813" s="1243"/>
      <c r="F813" s="1243"/>
      <c r="G813" s="1243"/>
      <c r="H813" s="1243"/>
      <c r="I813" s="1243"/>
      <c r="J813" s="1243"/>
      <c r="K813" s="1243"/>
      <c r="L813" s="1243"/>
      <c r="M813" s="1243"/>
      <c r="N813" s="1243"/>
      <c r="O813" s="1243"/>
      <c r="P813" s="1243"/>
      <c r="Q813" s="1243"/>
      <c r="R813" s="1243"/>
      <c r="S813" s="1243"/>
      <c r="T813" s="1243"/>
      <c r="U813" s="1243"/>
      <c r="V813" s="1243"/>
      <c r="W813" s="1243"/>
      <c r="X813" s="1243"/>
      <c r="Y813" s="1243"/>
      <c r="Z813" s="1243"/>
    </row>
    <row r="814" spans="1:26" ht="15.75" customHeight="1" x14ac:dyDescent="0.2">
      <c r="A814" s="1243"/>
      <c r="B814" s="1243"/>
      <c r="C814" s="1243"/>
      <c r="D814" s="1243"/>
      <c r="E814" s="1243"/>
      <c r="F814" s="1243"/>
      <c r="G814" s="1243"/>
      <c r="H814" s="1243"/>
      <c r="I814" s="1243"/>
      <c r="J814" s="1243"/>
      <c r="K814" s="1243"/>
      <c r="L814" s="1243"/>
      <c r="M814" s="1243"/>
      <c r="N814" s="1243"/>
      <c r="O814" s="1243"/>
      <c r="P814" s="1243"/>
      <c r="Q814" s="1243"/>
      <c r="R814" s="1243"/>
      <c r="S814" s="1243"/>
      <c r="T814" s="1243"/>
      <c r="U814" s="1243"/>
      <c r="V814" s="1243"/>
      <c r="W814" s="1243"/>
      <c r="X814" s="1243"/>
      <c r="Y814" s="1243"/>
      <c r="Z814" s="1243"/>
    </row>
    <row r="815" spans="1:26" ht="15.75" customHeight="1" x14ac:dyDescent="0.2">
      <c r="A815" s="1243"/>
      <c r="B815" s="1243"/>
      <c r="C815" s="1243"/>
      <c r="D815" s="1243"/>
      <c r="E815" s="1243"/>
      <c r="F815" s="1243"/>
      <c r="G815" s="1243"/>
      <c r="H815" s="1243"/>
      <c r="I815" s="1243"/>
      <c r="J815" s="1243"/>
      <c r="K815" s="1243"/>
      <c r="L815" s="1243"/>
      <c r="M815" s="1243"/>
      <c r="N815" s="1243"/>
      <c r="O815" s="1243"/>
      <c r="P815" s="1243"/>
      <c r="Q815" s="1243"/>
      <c r="R815" s="1243"/>
      <c r="S815" s="1243"/>
      <c r="T815" s="1243"/>
      <c r="U815" s="1243"/>
      <c r="V815" s="1243"/>
      <c r="W815" s="1243"/>
      <c r="X815" s="1243"/>
      <c r="Y815" s="1243"/>
      <c r="Z815" s="1243"/>
    </row>
    <row r="816" spans="1:26" ht="15.75" customHeight="1" x14ac:dyDescent="0.2">
      <c r="A816" s="1243"/>
      <c r="B816" s="1243"/>
      <c r="C816" s="1243"/>
      <c r="D816" s="1243"/>
      <c r="E816" s="1243"/>
      <c r="F816" s="1243"/>
      <c r="G816" s="1243"/>
      <c r="H816" s="1243"/>
      <c r="I816" s="1243"/>
      <c r="J816" s="1243"/>
      <c r="K816" s="1243"/>
      <c r="L816" s="1243"/>
      <c r="M816" s="1243"/>
      <c r="N816" s="1243"/>
      <c r="O816" s="1243"/>
      <c r="P816" s="1243"/>
      <c r="Q816" s="1243"/>
      <c r="R816" s="1243"/>
      <c r="S816" s="1243"/>
      <c r="T816" s="1243"/>
      <c r="U816" s="1243"/>
      <c r="V816" s="1243"/>
      <c r="W816" s="1243"/>
      <c r="X816" s="1243"/>
      <c r="Y816" s="1243"/>
      <c r="Z816" s="1243"/>
    </row>
    <row r="817" spans="1:26" ht="15.75" customHeight="1" x14ac:dyDescent="0.2">
      <c r="A817" s="1243"/>
      <c r="B817" s="1243"/>
      <c r="C817" s="1243"/>
      <c r="D817" s="1243"/>
      <c r="E817" s="1243"/>
      <c r="F817" s="1243"/>
      <c r="G817" s="1243"/>
      <c r="H817" s="1243"/>
      <c r="I817" s="1243"/>
      <c r="J817" s="1243"/>
      <c r="K817" s="1243"/>
      <c r="L817" s="1243"/>
      <c r="M817" s="1243"/>
      <c r="N817" s="1243"/>
      <c r="O817" s="1243"/>
      <c r="P817" s="1243"/>
      <c r="Q817" s="1243"/>
      <c r="R817" s="1243"/>
      <c r="S817" s="1243"/>
      <c r="T817" s="1243"/>
      <c r="U817" s="1243"/>
      <c r="V817" s="1243"/>
      <c r="W817" s="1243"/>
      <c r="X817" s="1243"/>
      <c r="Y817" s="1243"/>
      <c r="Z817" s="1243"/>
    </row>
    <row r="818" spans="1:26" ht="15.75" customHeight="1" x14ac:dyDescent="0.2">
      <c r="A818" s="1243"/>
      <c r="B818" s="1243"/>
      <c r="C818" s="1243"/>
      <c r="D818" s="1243"/>
      <c r="E818" s="1243"/>
      <c r="F818" s="1243"/>
      <c r="G818" s="1243"/>
      <c r="H818" s="1243"/>
      <c r="I818" s="1243"/>
      <c r="J818" s="1243"/>
      <c r="K818" s="1243"/>
      <c r="L818" s="1243"/>
      <c r="M818" s="1243"/>
      <c r="N818" s="1243"/>
      <c r="O818" s="1243"/>
      <c r="P818" s="1243"/>
      <c r="Q818" s="1243"/>
      <c r="R818" s="1243"/>
      <c r="S818" s="1243"/>
      <c r="T818" s="1243"/>
      <c r="U818" s="1243"/>
      <c r="V818" s="1243"/>
      <c r="W818" s="1243"/>
      <c r="X818" s="1243"/>
      <c r="Y818" s="1243"/>
      <c r="Z818" s="1243"/>
    </row>
    <row r="819" spans="1:26" ht="15.75" customHeight="1" x14ac:dyDescent="0.2">
      <c r="A819" s="1243"/>
      <c r="B819" s="1243"/>
      <c r="C819" s="1243"/>
      <c r="D819" s="1243"/>
      <c r="E819" s="1243"/>
      <c r="F819" s="1243"/>
      <c r="G819" s="1243"/>
      <c r="H819" s="1243"/>
      <c r="I819" s="1243"/>
      <c r="J819" s="1243"/>
      <c r="K819" s="1243"/>
      <c r="L819" s="1243"/>
      <c r="M819" s="1243"/>
      <c r="N819" s="1243"/>
      <c r="O819" s="1243"/>
      <c r="P819" s="1243"/>
      <c r="Q819" s="1243"/>
      <c r="R819" s="1243"/>
      <c r="S819" s="1243"/>
      <c r="T819" s="1243"/>
      <c r="U819" s="1243"/>
      <c r="V819" s="1243"/>
      <c r="W819" s="1243"/>
      <c r="X819" s="1243"/>
      <c r="Y819" s="1243"/>
      <c r="Z819" s="1243"/>
    </row>
    <row r="820" spans="1:26" ht="15.75" customHeight="1" x14ac:dyDescent="0.2">
      <c r="A820" s="1243"/>
      <c r="B820" s="1243"/>
      <c r="C820" s="1243"/>
      <c r="D820" s="1243"/>
      <c r="E820" s="1243"/>
      <c r="F820" s="1243"/>
      <c r="G820" s="1243"/>
      <c r="H820" s="1243"/>
      <c r="I820" s="1243"/>
      <c r="J820" s="1243"/>
      <c r="K820" s="1243"/>
      <c r="L820" s="1243"/>
      <c r="M820" s="1243"/>
      <c r="N820" s="1243"/>
      <c r="O820" s="1243"/>
      <c r="P820" s="1243"/>
      <c r="Q820" s="1243"/>
      <c r="R820" s="1243"/>
      <c r="S820" s="1243"/>
      <c r="T820" s="1243"/>
      <c r="U820" s="1243"/>
      <c r="V820" s="1243"/>
      <c r="W820" s="1243"/>
      <c r="X820" s="1243"/>
      <c r="Y820" s="1243"/>
      <c r="Z820" s="1243"/>
    </row>
    <row r="821" spans="1:26" ht="15.75" customHeight="1" x14ac:dyDescent="0.2">
      <c r="A821" s="1243"/>
      <c r="B821" s="1243"/>
      <c r="C821" s="1243"/>
      <c r="D821" s="1243"/>
      <c r="E821" s="1243"/>
      <c r="F821" s="1243"/>
      <c r="G821" s="1243"/>
      <c r="H821" s="1243"/>
      <c r="I821" s="1243"/>
      <c r="J821" s="1243"/>
      <c r="K821" s="1243"/>
      <c r="L821" s="1243"/>
      <c r="M821" s="1243"/>
      <c r="N821" s="1243"/>
      <c r="O821" s="1243"/>
      <c r="P821" s="1243"/>
      <c r="Q821" s="1243"/>
      <c r="R821" s="1243"/>
      <c r="S821" s="1243"/>
      <c r="T821" s="1243"/>
      <c r="U821" s="1243"/>
      <c r="V821" s="1243"/>
      <c r="W821" s="1243"/>
      <c r="X821" s="1243"/>
      <c r="Y821" s="1243"/>
      <c r="Z821" s="1243"/>
    </row>
    <row r="822" spans="1:26" ht="15.75" customHeight="1" x14ac:dyDescent="0.2">
      <c r="A822" s="1243"/>
      <c r="B822" s="1243"/>
      <c r="C822" s="1243"/>
      <c r="D822" s="1243"/>
      <c r="E822" s="1243"/>
      <c r="F822" s="1243"/>
      <c r="G822" s="1243"/>
      <c r="H822" s="1243"/>
      <c r="I822" s="1243"/>
      <c r="J822" s="1243"/>
      <c r="K822" s="1243"/>
      <c r="L822" s="1243"/>
      <c r="M822" s="1243"/>
      <c r="N822" s="1243"/>
      <c r="O822" s="1243"/>
      <c r="P822" s="1243"/>
      <c r="Q822" s="1243"/>
      <c r="R822" s="1243"/>
      <c r="S822" s="1243"/>
      <c r="T822" s="1243"/>
      <c r="U822" s="1243"/>
      <c r="V822" s="1243"/>
      <c r="W822" s="1243"/>
      <c r="X822" s="1243"/>
      <c r="Y822" s="1243"/>
      <c r="Z822" s="1243"/>
    </row>
    <row r="823" spans="1:26" ht="15.75" customHeight="1" x14ac:dyDescent="0.2">
      <c r="A823" s="1243"/>
      <c r="B823" s="1243"/>
      <c r="C823" s="1243"/>
      <c r="D823" s="1243"/>
      <c r="E823" s="1243"/>
      <c r="F823" s="1243"/>
      <c r="G823" s="1243"/>
      <c r="H823" s="1243"/>
      <c r="I823" s="1243"/>
      <c r="J823" s="1243"/>
      <c r="K823" s="1243"/>
      <c r="L823" s="1243"/>
      <c r="M823" s="1243"/>
      <c r="N823" s="1243"/>
      <c r="O823" s="1243"/>
      <c r="P823" s="1243"/>
      <c r="Q823" s="1243"/>
      <c r="R823" s="1243"/>
      <c r="S823" s="1243"/>
      <c r="T823" s="1243"/>
      <c r="U823" s="1243"/>
      <c r="V823" s="1243"/>
      <c r="W823" s="1243"/>
      <c r="X823" s="1243"/>
      <c r="Y823" s="1243"/>
      <c r="Z823" s="1243"/>
    </row>
    <row r="824" spans="1:26" ht="15.75" customHeight="1" x14ac:dyDescent="0.2">
      <c r="A824" s="1243"/>
      <c r="B824" s="1243"/>
      <c r="C824" s="1243"/>
      <c r="D824" s="1243"/>
      <c r="E824" s="1243"/>
      <c r="F824" s="1243"/>
      <c r="G824" s="1243"/>
      <c r="H824" s="1243"/>
      <c r="I824" s="1243"/>
      <c r="J824" s="1243"/>
      <c r="K824" s="1243"/>
      <c r="L824" s="1243"/>
      <c r="M824" s="1243"/>
      <c r="N824" s="1243"/>
      <c r="O824" s="1243"/>
      <c r="P824" s="1243"/>
      <c r="Q824" s="1243"/>
      <c r="R824" s="1243"/>
      <c r="S824" s="1243"/>
      <c r="T824" s="1243"/>
      <c r="U824" s="1243"/>
      <c r="V824" s="1243"/>
      <c r="W824" s="1243"/>
      <c r="X824" s="1243"/>
      <c r="Y824" s="1243"/>
      <c r="Z824" s="1243"/>
    </row>
    <row r="825" spans="1:26" ht="15.75" customHeight="1" x14ac:dyDescent="0.2">
      <c r="A825" s="1243"/>
      <c r="B825" s="1243"/>
      <c r="C825" s="1243"/>
      <c r="D825" s="1243"/>
      <c r="E825" s="1243"/>
      <c r="F825" s="1243"/>
      <c r="G825" s="1243"/>
      <c r="H825" s="1243"/>
      <c r="I825" s="1243"/>
      <c r="J825" s="1243"/>
      <c r="K825" s="1243"/>
      <c r="L825" s="1243"/>
      <c r="M825" s="1243"/>
      <c r="N825" s="1243"/>
      <c r="O825" s="1243"/>
      <c r="P825" s="1243"/>
      <c r="Q825" s="1243"/>
      <c r="R825" s="1243"/>
      <c r="S825" s="1243"/>
      <c r="T825" s="1243"/>
      <c r="U825" s="1243"/>
      <c r="V825" s="1243"/>
      <c r="W825" s="1243"/>
      <c r="X825" s="1243"/>
      <c r="Y825" s="1243"/>
      <c r="Z825" s="1243"/>
    </row>
    <row r="826" spans="1:26" ht="15.75" customHeight="1" x14ac:dyDescent="0.2">
      <c r="A826" s="1243"/>
      <c r="B826" s="1243"/>
      <c r="C826" s="1243"/>
      <c r="D826" s="1243"/>
      <c r="E826" s="1243"/>
      <c r="F826" s="1243"/>
      <c r="G826" s="1243"/>
      <c r="H826" s="1243"/>
      <c r="I826" s="1243"/>
      <c r="J826" s="1243"/>
      <c r="K826" s="1243"/>
      <c r="L826" s="1243"/>
      <c r="M826" s="1243"/>
      <c r="N826" s="1243"/>
      <c r="O826" s="1243"/>
      <c r="P826" s="1243"/>
      <c r="Q826" s="1243"/>
      <c r="R826" s="1243"/>
      <c r="S826" s="1243"/>
      <c r="T826" s="1243"/>
      <c r="U826" s="1243"/>
      <c r="V826" s="1243"/>
      <c r="W826" s="1243"/>
      <c r="X826" s="1243"/>
      <c r="Y826" s="1243"/>
      <c r="Z826" s="1243"/>
    </row>
    <row r="827" spans="1:26" ht="15.75" customHeight="1" x14ac:dyDescent="0.2">
      <c r="A827" s="1243"/>
      <c r="B827" s="1243"/>
      <c r="C827" s="1243"/>
      <c r="D827" s="1243"/>
      <c r="E827" s="1243"/>
      <c r="F827" s="1243"/>
      <c r="G827" s="1243"/>
      <c r="H827" s="1243"/>
      <c r="I827" s="1243"/>
      <c r="J827" s="1243"/>
      <c r="K827" s="1243"/>
      <c r="L827" s="1243"/>
      <c r="M827" s="1243"/>
      <c r="N827" s="1243"/>
      <c r="O827" s="1243"/>
      <c r="P827" s="1243"/>
      <c r="Q827" s="1243"/>
      <c r="R827" s="1243"/>
      <c r="S827" s="1243"/>
      <c r="T827" s="1243"/>
      <c r="U827" s="1243"/>
      <c r="V827" s="1243"/>
      <c r="W827" s="1243"/>
      <c r="X827" s="1243"/>
      <c r="Y827" s="1243"/>
      <c r="Z827" s="1243"/>
    </row>
    <row r="828" spans="1:26" ht="15.75" customHeight="1" x14ac:dyDescent="0.2">
      <c r="A828" s="1243"/>
      <c r="B828" s="1243"/>
      <c r="C828" s="1243"/>
      <c r="D828" s="1243"/>
      <c r="E828" s="1243"/>
      <c r="F828" s="1243"/>
      <c r="G828" s="1243"/>
      <c r="H828" s="1243"/>
      <c r="I828" s="1243"/>
      <c r="J828" s="1243"/>
      <c r="K828" s="1243"/>
      <c r="L828" s="1243"/>
      <c r="M828" s="1243"/>
      <c r="N828" s="1243"/>
      <c r="O828" s="1243"/>
      <c r="P828" s="1243"/>
      <c r="Q828" s="1243"/>
      <c r="R828" s="1243"/>
      <c r="S828" s="1243"/>
      <c r="T828" s="1243"/>
      <c r="U828" s="1243"/>
      <c r="V828" s="1243"/>
      <c r="W828" s="1243"/>
      <c r="X828" s="1243"/>
      <c r="Y828" s="1243"/>
      <c r="Z828" s="1243"/>
    </row>
    <row r="829" spans="1:26" ht="15.75" customHeight="1" x14ac:dyDescent="0.2">
      <c r="A829" s="1243"/>
      <c r="B829" s="1243"/>
      <c r="C829" s="1243"/>
      <c r="D829" s="1243"/>
      <c r="E829" s="1243"/>
      <c r="F829" s="1243"/>
      <c r="G829" s="1243"/>
      <c r="H829" s="1243"/>
      <c r="I829" s="1243"/>
      <c r="J829" s="1243"/>
      <c r="K829" s="1243"/>
      <c r="L829" s="1243"/>
      <c r="M829" s="1243"/>
      <c r="N829" s="1243"/>
      <c r="O829" s="1243"/>
      <c r="P829" s="1243"/>
      <c r="Q829" s="1243"/>
      <c r="R829" s="1243"/>
      <c r="S829" s="1243"/>
      <c r="T829" s="1243"/>
      <c r="U829" s="1243"/>
      <c r="V829" s="1243"/>
      <c r="W829" s="1243"/>
      <c r="X829" s="1243"/>
      <c r="Y829" s="1243"/>
      <c r="Z829" s="1243"/>
    </row>
    <row r="830" spans="1:26" ht="15.75" customHeight="1" x14ac:dyDescent="0.2">
      <c r="A830" s="1243"/>
      <c r="B830" s="1243"/>
      <c r="C830" s="1243"/>
      <c r="D830" s="1243"/>
      <c r="E830" s="1243"/>
      <c r="F830" s="1243"/>
      <c r="G830" s="1243"/>
      <c r="H830" s="1243"/>
      <c r="I830" s="1243"/>
      <c r="J830" s="1243"/>
      <c r="K830" s="1243"/>
      <c r="L830" s="1243"/>
      <c r="M830" s="1243"/>
      <c r="N830" s="1243"/>
      <c r="O830" s="1243"/>
      <c r="P830" s="1243"/>
      <c r="Q830" s="1243"/>
      <c r="R830" s="1243"/>
      <c r="S830" s="1243"/>
      <c r="T830" s="1243"/>
      <c r="U830" s="1243"/>
      <c r="V830" s="1243"/>
      <c r="W830" s="1243"/>
      <c r="X830" s="1243"/>
      <c r="Y830" s="1243"/>
      <c r="Z830" s="1243"/>
    </row>
    <row r="831" spans="1:26" ht="15.75" customHeight="1" x14ac:dyDescent="0.2">
      <c r="A831" s="1243"/>
      <c r="B831" s="1243"/>
      <c r="C831" s="1243"/>
      <c r="D831" s="1243"/>
      <c r="E831" s="1243"/>
      <c r="F831" s="1243"/>
      <c r="G831" s="1243"/>
      <c r="H831" s="1243"/>
      <c r="I831" s="1243"/>
      <c r="J831" s="1243"/>
      <c r="K831" s="1243"/>
      <c r="L831" s="1243"/>
      <c r="M831" s="1243"/>
      <c r="N831" s="1243"/>
      <c r="O831" s="1243"/>
      <c r="P831" s="1243"/>
      <c r="Q831" s="1243"/>
      <c r="R831" s="1243"/>
      <c r="S831" s="1243"/>
      <c r="T831" s="1243"/>
      <c r="U831" s="1243"/>
      <c r="V831" s="1243"/>
      <c r="W831" s="1243"/>
      <c r="X831" s="1243"/>
      <c r="Y831" s="1243"/>
      <c r="Z831" s="1243"/>
    </row>
    <row r="832" spans="1:26" ht="15.75" customHeight="1" x14ac:dyDescent="0.2">
      <c r="A832" s="1243"/>
      <c r="B832" s="1243"/>
      <c r="C832" s="1243"/>
      <c r="D832" s="1243"/>
      <c r="E832" s="1243"/>
      <c r="F832" s="1243"/>
      <c r="G832" s="1243"/>
      <c r="H832" s="1243"/>
      <c r="I832" s="1243"/>
      <c r="J832" s="1243"/>
      <c r="K832" s="1243"/>
      <c r="L832" s="1243"/>
      <c r="M832" s="1243"/>
      <c r="N832" s="1243"/>
      <c r="O832" s="1243"/>
      <c r="P832" s="1243"/>
      <c r="Q832" s="1243"/>
      <c r="R832" s="1243"/>
      <c r="S832" s="1243"/>
      <c r="T832" s="1243"/>
      <c r="U832" s="1243"/>
      <c r="V832" s="1243"/>
      <c r="W832" s="1243"/>
      <c r="X832" s="1243"/>
      <c r="Y832" s="1243"/>
      <c r="Z832" s="1243"/>
    </row>
    <row r="833" spans="1:26" ht="15.75" customHeight="1" x14ac:dyDescent="0.2">
      <c r="A833" s="1243"/>
      <c r="B833" s="1243"/>
      <c r="C833" s="1243"/>
      <c r="D833" s="1243"/>
      <c r="E833" s="1243"/>
      <c r="F833" s="1243"/>
      <c r="G833" s="1243"/>
      <c r="H833" s="1243"/>
      <c r="I833" s="1243"/>
      <c r="J833" s="1243"/>
      <c r="K833" s="1243"/>
      <c r="L833" s="1243"/>
      <c r="M833" s="1243"/>
      <c r="N833" s="1243"/>
      <c r="O833" s="1243"/>
      <c r="P833" s="1243"/>
      <c r="Q833" s="1243"/>
      <c r="R833" s="1243"/>
      <c r="S833" s="1243"/>
      <c r="T833" s="1243"/>
      <c r="U833" s="1243"/>
      <c r="V833" s="1243"/>
      <c r="W833" s="1243"/>
      <c r="X833" s="1243"/>
      <c r="Y833" s="1243"/>
      <c r="Z833" s="1243"/>
    </row>
    <row r="834" spans="1:26" ht="15.75" customHeight="1" x14ac:dyDescent="0.2">
      <c r="A834" s="1243"/>
      <c r="B834" s="1243"/>
      <c r="C834" s="1243"/>
      <c r="D834" s="1243"/>
      <c r="E834" s="1243"/>
      <c r="F834" s="1243"/>
      <c r="G834" s="1243"/>
      <c r="H834" s="1243"/>
      <c r="I834" s="1243"/>
      <c r="J834" s="1243"/>
      <c r="K834" s="1243"/>
      <c r="L834" s="1243"/>
      <c r="M834" s="1243"/>
      <c r="N834" s="1243"/>
      <c r="O834" s="1243"/>
      <c r="P834" s="1243"/>
      <c r="Q834" s="1243"/>
      <c r="R834" s="1243"/>
      <c r="S834" s="1243"/>
      <c r="T834" s="1243"/>
      <c r="U834" s="1243"/>
      <c r="V834" s="1243"/>
      <c r="W834" s="1243"/>
      <c r="X834" s="1243"/>
      <c r="Y834" s="1243"/>
      <c r="Z834" s="1243"/>
    </row>
    <row r="835" spans="1:26" ht="15.75" customHeight="1" x14ac:dyDescent="0.2">
      <c r="A835" s="1243"/>
      <c r="B835" s="1243"/>
      <c r="C835" s="1243"/>
      <c r="D835" s="1243"/>
      <c r="E835" s="1243"/>
      <c r="F835" s="1243"/>
      <c r="G835" s="1243"/>
      <c r="H835" s="1243"/>
      <c r="I835" s="1243"/>
      <c r="J835" s="1243"/>
      <c r="K835" s="1243"/>
      <c r="L835" s="1243"/>
      <c r="M835" s="1243"/>
      <c r="N835" s="1243"/>
      <c r="O835" s="1243"/>
      <c r="P835" s="1243"/>
      <c r="Q835" s="1243"/>
      <c r="R835" s="1243"/>
      <c r="S835" s="1243"/>
      <c r="T835" s="1243"/>
      <c r="U835" s="1243"/>
      <c r="V835" s="1243"/>
      <c r="W835" s="1243"/>
      <c r="X835" s="1243"/>
      <c r="Y835" s="1243"/>
      <c r="Z835" s="1243"/>
    </row>
    <row r="836" spans="1:26" ht="15.75" customHeight="1" x14ac:dyDescent="0.2">
      <c r="A836" s="1243"/>
      <c r="B836" s="1243"/>
      <c r="C836" s="1243"/>
      <c r="D836" s="1243"/>
      <c r="E836" s="1243"/>
      <c r="F836" s="1243"/>
      <c r="G836" s="1243"/>
      <c r="H836" s="1243"/>
      <c r="I836" s="1243"/>
      <c r="J836" s="1243"/>
      <c r="K836" s="1243"/>
      <c r="L836" s="1243"/>
      <c r="M836" s="1243"/>
      <c r="N836" s="1243"/>
      <c r="O836" s="1243"/>
      <c r="P836" s="1243"/>
      <c r="Q836" s="1243"/>
      <c r="R836" s="1243"/>
      <c r="S836" s="1243"/>
      <c r="T836" s="1243"/>
      <c r="U836" s="1243"/>
      <c r="V836" s="1243"/>
      <c r="W836" s="1243"/>
      <c r="X836" s="1243"/>
      <c r="Y836" s="1243"/>
      <c r="Z836" s="1243"/>
    </row>
    <row r="837" spans="1:26" ht="15.75" customHeight="1" x14ac:dyDescent="0.2">
      <c r="A837" s="1243"/>
      <c r="B837" s="1243"/>
      <c r="C837" s="1243"/>
      <c r="D837" s="1243"/>
      <c r="E837" s="1243"/>
      <c r="F837" s="1243"/>
      <c r="G837" s="1243"/>
      <c r="H837" s="1243"/>
      <c r="I837" s="1243"/>
      <c r="J837" s="1243"/>
      <c r="K837" s="1243"/>
      <c r="L837" s="1243"/>
      <c r="M837" s="1243"/>
      <c r="N837" s="1243"/>
      <c r="O837" s="1243"/>
      <c r="P837" s="1243"/>
      <c r="Q837" s="1243"/>
      <c r="R837" s="1243"/>
      <c r="S837" s="1243"/>
      <c r="T837" s="1243"/>
      <c r="U837" s="1243"/>
      <c r="V837" s="1243"/>
      <c r="W837" s="1243"/>
      <c r="X837" s="1243"/>
      <c r="Y837" s="1243"/>
      <c r="Z837" s="1243"/>
    </row>
    <row r="838" spans="1:26" ht="15.75" customHeight="1" x14ac:dyDescent="0.2">
      <c r="A838" s="1243"/>
      <c r="B838" s="1243"/>
      <c r="C838" s="1243"/>
      <c r="D838" s="1243"/>
      <c r="E838" s="1243"/>
      <c r="F838" s="1243"/>
      <c r="G838" s="1243"/>
      <c r="H838" s="1243"/>
      <c r="I838" s="1243"/>
      <c r="J838" s="1243"/>
      <c r="K838" s="1243"/>
      <c r="L838" s="1243"/>
      <c r="M838" s="1243"/>
      <c r="N838" s="1243"/>
      <c r="O838" s="1243"/>
      <c r="P838" s="1243"/>
      <c r="Q838" s="1243"/>
      <c r="R838" s="1243"/>
      <c r="S838" s="1243"/>
      <c r="T838" s="1243"/>
      <c r="U838" s="1243"/>
      <c r="V838" s="1243"/>
      <c r="W838" s="1243"/>
      <c r="X838" s="1243"/>
      <c r="Y838" s="1243"/>
      <c r="Z838" s="1243"/>
    </row>
    <row r="839" spans="1:26" ht="15.75" customHeight="1" x14ac:dyDescent="0.2">
      <c r="A839" s="1243"/>
      <c r="B839" s="1243"/>
      <c r="C839" s="1243"/>
      <c r="D839" s="1243"/>
      <c r="E839" s="1243"/>
      <c r="F839" s="1243"/>
      <c r="G839" s="1243"/>
      <c r="H839" s="1243"/>
      <c r="I839" s="1243"/>
      <c r="J839" s="1243"/>
      <c r="K839" s="1243"/>
      <c r="L839" s="1243"/>
      <c r="M839" s="1243"/>
      <c r="N839" s="1243"/>
      <c r="O839" s="1243"/>
      <c r="P839" s="1243"/>
      <c r="Q839" s="1243"/>
      <c r="R839" s="1243"/>
      <c r="S839" s="1243"/>
      <c r="T839" s="1243"/>
      <c r="U839" s="1243"/>
      <c r="V839" s="1243"/>
      <c r="W839" s="1243"/>
      <c r="X839" s="1243"/>
      <c r="Y839" s="1243"/>
      <c r="Z839" s="1243"/>
    </row>
    <row r="840" spans="1:26" ht="15.75" customHeight="1" x14ac:dyDescent="0.2">
      <c r="A840" s="1243"/>
      <c r="B840" s="1243"/>
      <c r="C840" s="1243"/>
      <c r="D840" s="1243"/>
      <c r="E840" s="1243"/>
      <c r="F840" s="1243"/>
      <c r="G840" s="1243"/>
      <c r="H840" s="1243"/>
      <c r="I840" s="1243"/>
      <c r="J840" s="1243"/>
      <c r="K840" s="1243"/>
      <c r="L840" s="1243"/>
      <c r="M840" s="1243"/>
      <c r="N840" s="1243"/>
      <c r="O840" s="1243"/>
      <c r="P840" s="1243"/>
      <c r="Q840" s="1243"/>
      <c r="R840" s="1243"/>
      <c r="S840" s="1243"/>
      <c r="T840" s="1243"/>
      <c r="U840" s="1243"/>
      <c r="V840" s="1243"/>
      <c r="W840" s="1243"/>
      <c r="X840" s="1243"/>
      <c r="Y840" s="1243"/>
      <c r="Z840" s="1243"/>
    </row>
    <row r="841" spans="1:26" ht="15.75" customHeight="1" x14ac:dyDescent="0.2">
      <c r="A841" s="1243"/>
      <c r="B841" s="1243"/>
      <c r="C841" s="1243"/>
      <c r="D841" s="1243"/>
      <c r="E841" s="1243"/>
      <c r="F841" s="1243"/>
      <c r="G841" s="1243"/>
      <c r="H841" s="1243"/>
      <c r="I841" s="1243"/>
      <c r="J841" s="1243"/>
      <c r="K841" s="1243"/>
      <c r="L841" s="1243"/>
      <c r="M841" s="1243"/>
      <c r="N841" s="1243"/>
      <c r="O841" s="1243"/>
      <c r="P841" s="1243"/>
      <c r="Q841" s="1243"/>
      <c r="R841" s="1243"/>
      <c r="S841" s="1243"/>
      <c r="T841" s="1243"/>
      <c r="U841" s="1243"/>
      <c r="V841" s="1243"/>
      <c r="W841" s="1243"/>
      <c r="X841" s="1243"/>
      <c r="Y841" s="1243"/>
      <c r="Z841" s="1243"/>
    </row>
    <row r="842" spans="1:26" ht="15.75" customHeight="1" x14ac:dyDescent="0.2">
      <c r="A842" s="1243"/>
      <c r="B842" s="1243"/>
      <c r="C842" s="1243"/>
      <c r="D842" s="1243"/>
      <c r="E842" s="1243"/>
      <c r="F842" s="1243"/>
      <c r="G842" s="1243"/>
      <c r="H842" s="1243"/>
      <c r="I842" s="1243"/>
      <c r="J842" s="1243"/>
      <c r="K842" s="1243"/>
      <c r="L842" s="1243"/>
      <c r="M842" s="1243"/>
      <c r="N842" s="1243"/>
      <c r="O842" s="1243"/>
      <c r="P842" s="1243"/>
      <c r="Q842" s="1243"/>
      <c r="R842" s="1243"/>
      <c r="S842" s="1243"/>
      <c r="T842" s="1243"/>
      <c r="U842" s="1243"/>
      <c r="V842" s="1243"/>
      <c r="W842" s="1243"/>
      <c r="X842" s="1243"/>
      <c r="Y842" s="1243"/>
      <c r="Z842" s="1243"/>
    </row>
    <row r="843" spans="1:26" ht="15.75" customHeight="1" x14ac:dyDescent="0.2">
      <c r="A843" s="1243"/>
      <c r="B843" s="1243"/>
      <c r="C843" s="1243"/>
      <c r="D843" s="1243"/>
      <c r="E843" s="1243"/>
      <c r="F843" s="1243"/>
      <c r="G843" s="1243"/>
      <c r="H843" s="1243"/>
      <c r="I843" s="1243"/>
      <c r="J843" s="1243"/>
      <c r="K843" s="1243"/>
      <c r="L843" s="1243"/>
      <c r="M843" s="1243"/>
      <c r="N843" s="1243"/>
      <c r="O843" s="1243"/>
      <c r="P843" s="1243"/>
      <c r="Q843" s="1243"/>
      <c r="R843" s="1243"/>
      <c r="S843" s="1243"/>
      <c r="T843" s="1243"/>
      <c r="U843" s="1243"/>
      <c r="V843" s="1243"/>
      <c r="W843" s="1243"/>
      <c r="X843" s="1243"/>
      <c r="Y843" s="1243"/>
      <c r="Z843" s="1243"/>
    </row>
    <row r="844" spans="1:26" ht="15.75" customHeight="1" x14ac:dyDescent="0.2">
      <c r="A844" s="1243"/>
      <c r="B844" s="1243"/>
      <c r="C844" s="1243"/>
      <c r="D844" s="1243"/>
      <c r="E844" s="1243"/>
      <c r="F844" s="1243"/>
      <c r="G844" s="1243"/>
      <c r="H844" s="1243"/>
      <c r="I844" s="1243"/>
      <c r="J844" s="1243"/>
      <c r="K844" s="1243"/>
      <c r="L844" s="1243"/>
      <c r="M844" s="1243"/>
      <c r="N844" s="1243"/>
      <c r="O844" s="1243"/>
      <c r="P844" s="1243"/>
      <c r="Q844" s="1243"/>
      <c r="R844" s="1243"/>
      <c r="S844" s="1243"/>
      <c r="T844" s="1243"/>
      <c r="U844" s="1243"/>
      <c r="V844" s="1243"/>
      <c r="W844" s="1243"/>
      <c r="X844" s="1243"/>
      <c r="Y844" s="1243"/>
      <c r="Z844" s="1243"/>
    </row>
    <row r="845" spans="1:26" ht="15.75" customHeight="1" x14ac:dyDescent="0.2">
      <c r="A845" s="1243"/>
      <c r="B845" s="1243"/>
      <c r="C845" s="1243"/>
      <c r="D845" s="1243"/>
      <c r="E845" s="1243"/>
      <c r="F845" s="1243"/>
      <c r="G845" s="1243"/>
      <c r="H845" s="1243"/>
      <c r="I845" s="1243"/>
      <c r="J845" s="1243"/>
      <c r="K845" s="1243"/>
      <c r="L845" s="1243"/>
      <c r="M845" s="1243"/>
      <c r="N845" s="1243"/>
      <c r="O845" s="1243"/>
      <c r="P845" s="1243"/>
      <c r="Q845" s="1243"/>
      <c r="R845" s="1243"/>
      <c r="S845" s="1243"/>
      <c r="T845" s="1243"/>
      <c r="U845" s="1243"/>
      <c r="V845" s="1243"/>
      <c r="W845" s="1243"/>
      <c r="X845" s="1243"/>
      <c r="Y845" s="1243"/>
      <c r="Z845" s="1243"/>
    </row>
    <row r="846" spans="1:26" ht="15.75" customHeight="1" x14ac:dyDescent="0.2">
      <c r="A846" s="1243"/>
      <c r="B846" s="1243"/>
      <c r="C846" s="1243"/>
      <c r="D846" s="1243"/>
      <c r="E846" s="1243"/>
      <c r="F846" s="1243"/>
      <c r="G846" s="1243"/>
      <c r="H846" s="1243"/>
      <c r="I846" s="1243"/>
      <c r="J846" s="1243"/>
      <c r="K846" s="1243"/>
      <c r="L846" s="1243"/>
      <c r="M846" s="1243"/>
      <c r="N846" s="1243"/>
      <c r="O846" s="1243"/>
      <c r="P846" s="1243"/>
      <c r="Q846" s="1243"/>
      <c r="R846" s="1243"/>
      <c r="S846" s="1243"/>
      <c r="T846" s="1243"/>
      <c r="U846" s="1243"/>
      <c r="V846" s="1243"/>
      <c r="W846" s="1243"/>
      <c r="X846" s="1243"/>
      <c r="Y846" s="1243"/>
      <c r="Z846" s="1243"/>
    </row>
    <row r="847" spans="1:26" ht="15.75" customHeight="1" x14ac:dyDescent="0.2">
      <c r="A847" s="1243"/>
      <c r="B847" s="1243"/>
      <c r="C847" s="1243"/>
      <c r="D847" s="1243"/>
      <c r="E847" s="1243"/>
      <c r="F847" s="1243"/>
      <c r="G847" s="1243"/>
      <c r="H847" s="1243"/>
      <c r="I847" s="1243"/>
      <c r="J847" s="1243"/>
      <c r="K847" s="1243"/>
      <c r="L847" s="1243"/>
      <c r="M847" s="1243"/>
      <c r="N847" s="1243"/>
      <c r="O847" s="1243"/>
      <c r="P847" s="1243"/>
      <c r="Q847" s="1243"/>
      <c r="R847" s="1243"/>
      <c r="S847" s="1243"/>
      <c r="T847" s="1243"/>
      <c r="U847" s="1243"/>
      <c r="V847" s="1243"/>
      <c r="W847" s="1243"/>
      <c r="X847" s="1243"/>
      <c r="Y847" s="1243"/>
      <c r="Z847" s="1243"/>
    </row>
    <row r="848" spans="1:26" ht="15.75" customHeight="1" x14ac:dyDescent="0.2">
      <c r="A848" s="1243"/>
      <c r="B848" s="1243"/>
      <c r="C848" s="1243"/>
      <c r="D848" s="1243"/>
      <c r="E848" s="1243"/>
      <c r="F848" s="1243"/>
      <c r="G848" s="1243"/>
      <c r="H848" s="1243"/>
      <c r="I848" s="1243"/>
      <c r="J848" s="1243"/>
      <c r="K848" s="1243"/>
      <c r="L848" s="1243"/>
      <c r="M848" s="1243"/>
      <c r="N848" s="1243"/>
      <c r="O848" s="1243"/>
      <c r="P848" s="1243"/>
      <c r="Q848" s="1243"/>
      <c r="R848" s="1243"/>
      <c r="S848" s="1243"/>
      <c r="T848" s="1243"/>
      <c r="U848" s="1243"/>
      <c r="V848" s="1243"/>
      <c r="W848" s="1243"/>
      <c r="X848" s="1243"/>
      <c r="Y848" s="1243"/>
      <c r="Z848" s="1243"/>
    </row>
    <row r="849" spans="1:26" ht="15.75" customHeight="1" x14ac:dyDescent="0.2">
      <c r="A849" s="1243"/>
      <c r="B849" s="1243"/>
      <c r="C849" s="1243"/>
      <c r="D849" s="1243"/>
      <c r="E849" s="1243"/>
      <c r="F849" s="1243"/>
      <c r="G849" s="1243"/>
      <c r="H849" s="1243"/>
      <c r="I849" s="1243"/>
      <c r="J849" s="1243"/>
      <c r="K849" s="1243"/>
      <c r="L849" s="1243"/>
      <c r="M849" s="1243"/>
      <c r="N849" s="1243"/>
      <c r="O849" s="1243"/>
      <c r="P849" s="1243"/>
      <c r="Q849" s="1243"/>
      <c r="R849" s="1243"/>
      <c r="S849" s="1243"/>
      <c r="T849" s="1243"/>
      <c r="U849" s="1243"/>
      <c r="V849" s="1243"/>
      <c r="W849" s="1243"/>
      <c r="X849" s="1243"/>
      <c r="Y849" s="1243"/>
      <c r="Z849" s="1243"/>
    </row>
    <row r="850" spans="1:26" ht="15.75" customHeight="1" x14ac:dyDescent="0.2">
      <c r="A850" s="1243"/>
      <c r="B850" s="1243"/>
      <c r="C850" s="1243"/>
      <c r="D850" s="1243"/>
      <c r="E850" s="1243"/>
      <c r="F850" s="1243"/>
      <c r="G850" s="1243"/>
      <c r="H850" s="1243"/>
      <c r="I850" s="1243"/>
      <c r="J850" s="1243"/>
      <c r="K850" s="1243"/>
      <c r="L850" s="1243"/>
      <c r="M850" s="1243"/>
      <c r="N850" s="1243"/>
      <c r="O850" s="1243"/>
      <c r="P850" s="1243"/>
      <c r="Q850" s="1243"/>
      <c r="R850" s="1243"/>
      <c r="S850" s="1243"/>
      <c r="T850" s="1243"/>
      <c r="U850" s="1243"/>
      <c r="V850" s="1243"/>
      <c r="W850" s="1243"/>
      <c r="X850" s="1243"/>
      <c r="Y850" s="1243"/>
      <c r="Z850" s="1243"/>
    </row>
    <row r="851" spans="1:26" ht="15.75" customHeight="1" x14ac:dyDescent="0.2">
      <c r="A851" s="1243"/>
      <c r="B851" s="1243"/>
      <c r="C851" s="1243"/>
      <c r="D851" s="1243"/>
      <c r="E851" s="1243"/>
      <c r="F851" s="1243"/>
      <c r="G851" s="1243"/>
      <c r="H851" s="1243"/>
      <c r="I851" s="1243"/>
      <c r="J851" s="1243"/>
      <c r="K851" s="1243"/>
      <c r="L851" s="1243"/>
      <c r="M851" s="1243"/>
      <c r="N851" s="1243"/>
      <c r="O851" s="1243"/>
      <c r="P851" s="1243"/>
      <c r="Q851" s="1243"/>
      <c r="R851" s="1243"/>
      <c r="S851" s="1243"/>
      <c r="T851" s="1243"/>
      <c r="U851" s="1243"/>
      <c r="V851" s="1243"/>
      <c r="W851" s="1243"/>
      <c r="X851" s="1243"/>
      <c r="Y851" s="1243"/>
      <c r="Z851" s="1243"/>
    </row>
    <row r="852" spans="1:26" ht="15.75" customHeight="1" x14ac:dyDescent="0.2">
      <c r="A852" s="1243"/>
      <c r="B852" s="1243"/>
      <c r="C852" s="1243"/>
      <c r="D852" s="1243"/>
      <c r="E852" s="1243"/>
      <c r="F852" s="1243"/>
      <c r="G852" s="1243"/>
      <c r="H852" s="1243"/>
      <c r="I852" s="1243"/>
      <c r="J852" s="1243"/>
      <c r="K852" s="1243"/>
      <c r="L852" s="1243"/>
      <c r="M852" s="1243"/>
      <c r="N852" s="1243"/>
      <c r="O852" s="1243"/>
      <c r="P852" s="1243"/>
      <c r="Q852" s="1243"/>
      <c r="R852" s="1243"/>
      <c r="S852" s="1243"/>
      <c r="T852" s="1243"/>
      <c r="U852" s="1243"/>
      <c r="V852" s="1243"/>
      <c r="W852" s="1243"/>
      <c r="X852" s="1243"/>
      <c r="Y852" s="1243"/>
      <c r="Z852" s="1243"/>
    </row>
    <row r="853" spans="1:26" ht="15.75" customHeight="1" x14ac:dyDescent="0.2">
      <c r="A853" s="1243"/>
      <c r="B853" s="1243"/>
      <c r="C853" s="1243"/>
      <c r="D853" s="1243"/>
      <c r="E853" s="1243"/>
      <c r="F853" s="1243"/>
      <c r="G853" s="1243"/>
      <c r="H853" s="1243"/>
      <c r="I853" s="1243"/>
      <c r="J853" s="1243"/>
      <c r="K853" s="1243"/>
      <c r="L853" s="1243"/>
      <c r="M853" s="1243"/>
      <c r="N853" s="1243"/>
      <c r="O853" s="1243"/>
      <c r="P853" s="1243"/>
      <c r="Q853" s="1243"/>
      <c r="R853" s="1243"/>
      <c r="S853" s="1243"/>
      <c r="T853" s="1243"/>
      <c r="U853" s="1243"/>
      <c r="V853" s="1243"/>
      <c r="W853" s="1243"/>
      <c r="X853" s="1243"/>
      <c r="Y853" s="1243"/>
      <c r="Z853" s="1243"/>
    </row>
    <row r="854" spans="1:26" ht="15.75" customHeight="1" x14ac:dyDescent="0.2">
      <c r="A854" s="1243"/>
      <c r="B854" s="1243"/>
      <c r="C854" s="1243"/>
      <c r="D854" s="1243"/>
      <c r="E854" s="1243"/>
      <c r="F854" s="1243"/>
      <c r="G854" s="1243"/>
      <c r="H854" s="1243"/>
      <c r="I854" s="1243"/>
      <c r="J854" s="1243"/>
      <c r="K854" s="1243"/>
      <c r="L854" s="1243"/>
      <c r="M854" s="1243"/>
      <c r="N854" s="1243"/>
      <c r="O854" s="1243"/>
      <c r="P854" s="1243"/>
      <c r="Q854" s="1243"/>
      <c r="R854" s="1243"/>
      <c r="S854" s="1243"/>
      <c r="T854" s="1243"/>
      <c r="U854" s="1243"/>
      <c r="V854" s="1243"/>
      <c r="W854" s="1243"/>
      <c r="X854" s="1243"/>
      <c r="Y854" s="1243"/>
      <c r="Z854" s="1243"/>
    </row>
    <row r="855" spans="1:26" ht="15.75" customHeight="1" x14ac:dyDescent="0.2">
      <c r="A855" s="1243"/>
      <c r="B855" s="1243"/>
      <c r="C855" s="1243"/>
      <c r="D855" s="1243"/>
      <c r="E855" s="1243"/>
      <c r="F855" s="1243"/>
      <c r="G855" s="1243"/>
      <c r="H855" s="1243"/>
      <c r="I855" s="1243"/>
      <c r="J855" s="1243"/>
      <c r="K855" s="1243"/>
      <c r="L855" s="1243"/>
      <c r="M855" s="1243"/>
      <c r="N855" s="1243"/>
      <c r="O855" s="1243"/>
      <c r="P855" s="1243"/>
      <c r="Q855" s="1243"/>
      <c r="R855" s="1243"/>
      <c r="S855" s="1243"/>
      <c r="T855" s="1243"/>
      <c r="U855" s="1243"/>
      <c r="V855" s="1243"/>
      <c r="W855" s="1243"/>
      <c r="X855" s="1243"/>
      <c r="Y855" s="1243"/>
      <c r="Z855" s="1243"/>
    </row>
    <row r="856" spans="1:26" ht="15.75" customHeight="1" x14ac:dyDescent="0.2">
      <c r="A856" s="1243"/>
      <c r="B856" s="1243"/>
      <c r="C856" s="1243"/>
      <c r="D856" s="1243"/>
      <c r="E856" s="1243"/>
      <c r="F856" s="1243"/>
      <c r="G856" s="1243"/>
      <c r="H856" s="1243"/>
      <c r="I856" s="1243"/>
      <c r="J856" s="1243"/>
      <c r="K856" s="1243"/>
      <c r="L856" s="1243"/>
      <c r="M856" s="1243"/>
      <c r="N856" s="1243"/>
      <c r="O856" s="1243"/>
      <c r="P856" s="1243"/>
      <c r="Q856" s="1243"/>
      <c r="R856" s="1243"/>
      <c r="S856" s="1243"/>
      <c r="T856" s="1243"/>
      <c r="U856" s="1243"/>
      <c r="V856" s="1243"/>
      <c r="W856" s="1243"/>
      <c r="X856" s="1243"/>
      <c r="Y856" s="1243"/>
      <c r="Z856" s="1243"/>
    </row>
    <row r="857" spans="1:26" ht="15.75" customHeight="1" x14ac:dyDescent="0.2">
      <c r="A857" s="1243"/>
      <c r="B857" s="1243"/>
      <c r="C857" s="1243"/>
      <c r="D857" s="1243"/>
      <c r="E857" s="1243"/>
      <c r="F857" s="1243"/>
      <c r="G857" s="1243"/>
      <c r="H857" s="1243"/>
      <c r="I857" s="1243"/>
      <c r="J857" s="1243"/>
      <c r="K857" s="1243"/>
      <c r="L857" s="1243"/>
      <c r="M857" s="1243"/>
      <c r="N857" s="1243"/>
      <c r="O857" s="1243"/>
      <c r="P857" s="1243"/>
      <c r="Q857" s="1243"/>
      <c r="R857" s="1243"/>
      <c r="S857" s="1243"/>
      <c r="T857" s="1243"/>
      <c r="U857" s="1243"/>
      <c r="V857" s="1243"/>
      <c r="W857" s="1243"/>
      <c r="X857" s="1243"/>
      <c r="Y857" s="1243"/>
      <c r="Z857" s="1243"/>
    </row>
    <row r="858" spans="1:26" ht="15.75" customHeight="1" x14ac:dyDescent="0.2">
      <c r="A858" s="1243"/>
      <c r="B858" s="1243"/>
      <c r="C858" s="1243"/>
      <c r="D858" s="1243"/>
      <c r="E858" s="1243"/>
      <c r="F858" s="1243"/>
      <c r="G858" s="1243"/>
      <c r="H858" s="1243"/>
      <c r="I858" s="1243"/>
      <c r="J858" s="1243"/>
      <c r="K858" s="1243"/>
      <c r="L858" s="1243"/>
      <c r="M858" s="1243"/>
      <c r="N858" s="1243"/>
      <c r="O858" s="1243"/>
      <c r="P858" s="1243"/>
      <c r="Q858" s="1243"/>
      <c r="R858" s="1243"/>
      <c r="S858" s="1243"/>
      <c r="T858" s="1243"/>
      <c r="U858" s="1243"/>
      <c r="V858" s="1243"/>
      <c r="W858" s="1243"/>
      <c r="X858" s="1243"/>
      <c r="Y858" s="1243"/>
      <c r="Z858" s="1243"/>
    </row>
    <row r="859" spans="1:26" ht="15.75" customHeight="1" x14ac:dyDescent="0.2">
      <c r="A859" s="1243"/>
      <c r="B859" s="1243"/>
      <c r="C859" s="1243"/>
      <c r="D859" s="1243"/>
      <c r="E859" s="1243"/>
      <c r="F859" s="1243"/>
      <c r="G859" s="1243"/>
      <c r="H859" s="1243"/>
      <c r="I859" s="1243"/>
      <c r="J859" s="1243"/>
      <c r="K859" s="1243"/>
      <c r="L859" s="1243"/>
      <c r="M859" s="1243"/>
      <c r="N859" s="1243"/>
      <c r="O859" s="1243"/>
      <c r="P859" s="1243"/>
      <c r="Q859" s="1243"/>
      <c r="R859" s="1243"/>
      <c r="S859" s="1243"/>
      <c r="T859" s="1243"/>
      <c r="U859" s="1243"/>
      <c r="V859" s="1243"/>
      <c r="W859" s="1243"/>
      <c r="X859" s="1243"/>
      <c r="Y859" s="1243"/>
      <c r="Z859" s="1243"/>
    </row>
    <row r="860" spans="1:26" ht="15.75" customHeight="1" x14ac:dyDescent="0.2">
      <c r="A860" s="1243"/>
      <c r="B860" s="1243"/>
      <c r="C860" s="1243"/>
      <c r="D860" s="1243"/>
      <c r="E860" s="1243"/>
      <c r="F860" s="1243"/>
      <c r="G860" s="1243"/>
      <c r="H860" s="1243"/>
      <c r="I860" s="1243"/>
      <c r="J860" s="1243"/>
      <c r="K860" s="1243"/>
      <c r="L860" s="1243"/>
      <c r="M860" s="1243"/>
      <c r="N860" s="1243"/>
      <c r="O860" s="1243"/>
      <c r="P860" s="1243"/>
      <c r="Q860" s="1243"/>
      <c r="R860" s="1243"/>
      <c r="S860" s="1243"/>
      <c r="T860" s="1243"/>
      <c r="U860" s="1243"/>
      <c r="V860" s="1243"/>
      <c r="W860" s="1243"/>
      <c r="X860" s="1243"/>
      <c r="Y860" s="1243"/>
      <c r="Z860" s="1243"/>
    </row>
    <row r="861" spans="1:26" ht="15.75" customHeight="1" x14ac:dyDescent="0.2">
      <c r="A861" s="1243"/>
      <c r="B861" s="1243"/>
      <c r="C861" s="1243"/>
      <c r="D861" s="1243"/>
      <c r="E861" s="1243"/>
      <c r="F861" s="1243"/>
      <c r="G861" s="1243"/>
      <c r="H861" s="1243"/>
      <c r="I861" s="1243"/>
      <c r="J861" s="1243"/>
      <c r="K861" s="1243"/>
      <c r="L861" s="1243"/>
      <c r="M861" s="1243"/>
      <c r="N861" s="1243"/>
      <c r="O861" s="1243"/>
      <c r="P861" s="1243"/>
      <c r="Q861" s="1243"/>
      <c r="R861" s="1243"/>
      <c r="S861" s="1243"/>
      <c r="T861" s="1243"/>
      <c r="U861" s="1243"/>
      <c r="V861" s="1243"/>
      <c r="W861" s="1243"/>
      <c r="X861" s="1243"/>
      <c r="Y861" s="1243"/>
      <c r="Z861" s="1243"/>
    </row>
    <row r="862" spans="1:26" ht="15.75" customHeight="1" x14ac:dyDescent="0.2">
      <c r="A862" s="1243"/>
      <c r="B862" s="1243"/>
      <c r="C862" s="1243"/>
      <c r="D862" s="1243"/>
      <c r="E862" s="1243"/>
      <c r="F862" s="1243"/>
      <c r="G862" s="1243"/>
      <c r="H862" s="1243"/>
      <c r="I862" s="1243"/>
      <c r="J862" s="1243"/>
      <c r="K862" s="1243"/>
      <c r="L862" s="1243"/>
      <c r="M862" s="1243"/>
      <c r="N862" s="1243"/>
      <c r="O862" s="1243"/>
      <c r="P862" s="1243"/>
      <c r="Q862" s="1243"/>
      <c r="R862" s="1243"/>
      <c r="S862" s="1243"/>
      <c r="T862" s="1243"/>
      <c r="U862" s="1243"/>
      <c r="V862" s="1243"/>
      <c r="W862" s="1243"/>
      <c r="X862" s="1243"/>
      <c r="Y862" s="1243"/>
      <c r="Z862" s="1243"/>
    </row>
    <row r="863" spans="1:26" ht="15.75" customHeight="1" x14ac:dyDescent="0.2">
      <c r="A863" s="1243"/>
      <c r="B863" s="1243"/>
      <c r="C863" s="1243"/>
      <c r="D863" s="1243"/>
      <c r="E863" s="1243"/>
      <c r="F863" s="1243"/>
      <c r="G863" s="1243"/>
      <c r="H863" s="1243"/>
      <c r="I863" s="1243"/>
      <c r="J863" s="1243"/>
      <c r="K863" s="1243"/>
      <c r="L863" s="1243"/>
      <c r="M863" s="1243"/>
      <c r="N863" s="1243"/>
      <c r="O863" s="1243"/>
      <c r="P863" s="1243"/>
      <c r="Q863" s="1243"/>
      <c r="R863" s="1243"/>
      <c r="S863" s="1243"/>
      <c r="T863" s="1243"/>
      <c r="U863" s="1243"/>
      <c r="V863" s="1243"/>
      <c r="W863" s="1243"/>
      <c r="X863" s="1243"/>
      <c r="Y863" s="1243"/>
      <c r="Z863" s="1243"/>
    </row>
    <row r="864" spans="1:26" ht="15.75" customHeight="1" x14ac:dyDescent="0.2">
      <c r="A864" s="1243"/>
      <c r="B864" s="1243"/>
      <c r="C864" s="1243"/>
      <c r="D864" s="1243"/>
      <c r="E864" s="1243"/>
      <c r="F864" s="1243"/>
      <c r="G864" s="1243"/>
      <c r="H864" s="1243"/>
      <c r="I864" s="1243"/>
      <c r="J864" s="1243"/>
      <c r="K864" s="1243"/>
      <c r="L864" s="1243"/>
      <c r="M864" s="1243"/>
      <c r="N864" s="1243"/>
      <c r="O864" s="1243"/>
      <c r="P864" s="1243"/>
      <c r="Q864" s="1243"/>
      <c r="R864" s="1243"/>
      <c r="S864" s="1243"/>
      <c r="T864" s="1243"/>
      <c r="U864" s="1243"/>
      <c r="V864" s="1243"/>
      <c r="W864" s="1243"/>
      <c r="X864" s="1243"/>
      <c r="Y864" s="1243"/>
      <c r="Z864" s="1243"/>
    </row>
    <row r="865" spans="1:26" ht="15.75" customHeight="1" x14ac:dyDescent="0.2">
      <c r="A865" s="1243"/>
      <c r="B865" s="1243"/>
      <c r="C865" s="1243"/>
      <c r="D865" s="1243"/>
      <c r="E865" s="1243"/>
      <c r="F865" s="1243"/>
      <c r="G865" s="1243"/>
      <c r="H865" s="1243"/>
      <c r="I865" s="1243"/>
      <c r="J865" s="1243"/>
      <c r="K865" s="1243"/>
      <c r="L865" s="1243"/>
      <c r="M865" s="1243"/>
      <c r="N865" s="1243"/>
      <c r="O865" s="1243"/>
      <c r="P865" s="1243"/>
      <c r="Q865" s="1243"/>
      <c r="R865" s="1243"/>
      <c r="S865" s="1243"/>
      <c r="T865" s="1243"/>
      <c r="U865" s="1243"/>
      <c r="V865" s="1243"/>
      <c r="W865" s="1243"/>
      <c r="X865" s="1243"/>
      <c r="Y865" s="1243"/>
      <c r="Z865" s="1243"/>
    </row>
    <row r="866" spans="1:26" ht="15.75" customHeight="1" x14ac:dyDescent="0.2">
      <c r="A866" s="1243"/>
      <c r="B866" s="1243"/>
      <c r="C866" s="1243"/>
      <c r="D866" s="1243"/>
      <c r="E866" s="1243"/>
      <c r="F866" s="1243"/>
      <c r="G866" s="1243"/>
      <c r="H866" s="1243"/>
      <c r="I866" s="1243"/>
      <c r="J866" s="1243"/>
      <c r="K866" s="1243"/>
      <c r="L866" s="1243"/>
      <c r="M866" s="1243"/>
      <c r="N866" s="1243"/>
      <c r="O866" s="1243"/>
      <c r="P866" s="1243"/>
      <c r="Q866" s="1243"/>
      <c r="R866" s="1243"/>
      <c r="S866" s="1243"/>
      <c r="T866" s="1243"/>
      <c r="U866" s="1243"/>
      <c r="V866" s="1243"/>
      <c r="W866" s="1243"/>
      <c r="X866" s="1243"/>
      <c r="Y866" s="1243"/>
      <c r="Z866" s="1243"/>
    </row>
    <row r="867" spans="1:26" ht="15.75" customHeight="1" x14ac:dyDescent="0.2">
      <c r="A867" s="1243"/>
      <c r="B867" s="1243"/>
      <c r="C867" s="1243"/>
      <c r="D867" s="1243"/>
      <c r="E867" s="1243"/>
      <c r="F867" s="1243"/>
      <c r="G867" s="1243"/>
      <c r="H867" s="1243"/>
      <c r="I867" s="1243"/>
      <c r="J867" s="1243"/>
      <c r="K867" s="1243"/>
      <c r="L867" s="1243"/>
      <c r="M867" s="1243"/>
      <c r="N867" s="1243"/>
      <c r="O867" s="1243"/>
      <c r="P867" s="1243"/>
      <c r="Q867" s="1243"/>
      <c r="R867" s="1243"/>
      <c r="S867" s="1243"/>
      <c r="T867" s="1243"/>
      <c r="U867" s="1243"/>
      <c r="V867" s="1243"/>
      <c r="W867" s="1243"/>
      <c r="X867" s="1243"/>
      <c r="Y867" s="1243"/>
      <c r="Z867" s="1243"/>
    </row>
    <row r="868" spans="1:26" ht="15.75" customHeight="1" x14ac:dyDescent="0.2">
      <c r="A868" s="1243"/>
      <c r="B868" s="1243"/>
      <c r="C868" s="1243"/>
      <c r="D868" s="1243"/>
      <c r="E868" s="1243"/>
      <c r="F868" s="1243"/>
      <c r="G868" s="1243"/>
      <c r="H868" s="1243"/>
      <c r="I868" s="1243"/>
      <c r="J868" s="1243"/>
      <c r="K868" s="1243"/>
      <c r="L868" s="1243"/>
      <c r="M868" s="1243"/>
      <c r="N868" s="1243"/>
      <c r="O868" s="1243"/>
      <c r="P868" s="1243"/>
      <c r="Q868" s="1243"/>
      <c r="R868" s="1243"/>
      <c r="S868" s="1243"/>
      <c r="T868" s="1243"/>
      <c r="U868" s="1243"/>
      <c r="V868" s="1243"/>
      <c r="W868" s="1243"/>
      <c r="X868" s="1243"/>
      <c r="Y868" s="1243"/>
      <c r="Z868" s="1243"/>
    </row>
    <row r="869" spans="1:26" ht="15.75" customHeight="1" x14ac:dyDescent="0.2">
      <c r="A869" s="1243"/>
      <c r="B869" s="1243"/>
      <c r="C869" s="1243"/>
      <c r="D869" s="1243"/>
      <c r="E869" s="1243"/>
      <c r="F869" s="1243"/>
      <c r="G869" s="1243"/>
      <c r="H869" s="1243"/>
      <c r="I869" s="1243"/>
      <c r="J869" s="1243"/>
      <c r="K869" s="1243"/>
      <c r="L869" s="1243"/>
      <c r="M869" s="1243"/>
      <c r="N869" s="1243"/>
      <c r="O869" s="1243"/>
      <c r="P869" s="1243"/>
      <c r="Q869" s="1243"/>
      <c r="R869" s="1243"/>
      <c r="S869" s="1243"/>
      <c r="T869" s="1243"/>
      <c r="U869" s="1243"/>
      <c r="V869" s="1243"/>
      <c r="W869" s="1243"/>
      <c r="X869" s="1243"/>
      <c r="Y869" s="1243"/>
      <c r="Z869" s="1243"/>
    </row>
    <row r="870" spans="1:26" ht="15.75" customHeight="1" x14ac:dyDescent="0.2">
      <c r="A870" s="1243"/>
      <c r="B870" s="1243"/>
      <c r="C870" s="1243"/>
      <c r="D870" s="1243"/>
      <c r="E870" s="1243"/>
      <c r="F870" s="1243"/>
      <c r="G870" s="1243"/>
      <c r="H870" s="1243"/>
      <c r="I870" s="1243"/>
      <c r="J870" s="1243"/>
      <c r="K870" s="1243"/>
      <c r="L870" s="1243"/>
      <c r="M870" s="1243"/>
      <c r="N870" s="1243"/>
      <c r="O870" s="1243"/>
      <c r="P870" s="1243"/>
      <c r="Q870" s="1243"/>
      <c r="R870" s="1243"/>
      <c r="S870" s="1243"/>
      <c r="T870" s="1243"/>
      <c r="U870" s="1243"/>
      <c r="V870" s="1243"/>
      <c r="W870" s="1243"/>
      <c r="X870" s="1243"/>
      <c r="Y870" s="1243"/>
      <c r="Z870" s="1243"/>
    </row>
    <row r="871" spans="1:26" ht="15.75" customHeight="1" x14ac:dyDescent="0.2">
      <c r="A871" s="1243"/>
      <c r="B871" s="1243"/>
      <c r="C871" s="1243"/>
      <c r="D871" s="1243"/>
      <c r="E871" s="1243"/>
      <c r="F871" s="1243"/>
      <c r="G871" s="1243"/>
      <c r="H871" s="1243"/>
      <c r="I871" s="1243"/>
      <c r="J871" s="1243"/>
      <c r="K871" s="1243"/>
      <c r="L871" s="1243"/>
      <c r="M871" s="1243"/>
      <c r="N871" s="1243"/>
      <c r="O871" s="1243"/>
      <c r="P871" s="1243"/>
      <c r="Q871" s="1243"/>
      <c r="R871" s="1243"/>
      <c r="S871" s="1243"/>
      <c r="T871" s="1243"/>
      <c r="U871" s="1243"/>
      <c r="V871" s="1243"/>
      <c r="W871" s="1243"/>
      <c r="X871" s="1243"/>
      <c r="Y871" s="1243"/>
      <c r="Z871" s="1243"/>
    </row>
    <row r="872" spans="1:26" ht="15.75" customHeight="1" x14ac:dyDescent="0.2">
      <c r="A872" s="1243"/>
      <c r="B872" s="1243"/>
      <c r="C872" s="1243"/>
      <c r="D872" s="1243"/>
      <c r="E872" s="1243"/>
      <c r="F872" s="1243"/>
      <c r="G872" s="1243"/>
      <c r="H872" s="1243"/>
      <c r="I872" s="1243"/>
      <c r="J872" s="1243"/>
      <c r="K872" s="1243"/>
      <c r="L872" s="1243"/>
      <c r="M872" s="1243"/>
      <c r="N872" s="1243"/>
      <c r="O872" s="1243"/>
      <c r="P872" s="1243"/>
      <c r="Q872" s="1243"/>
      <c r="R872" s="1243"/>
      <c r="S872" s="1243"/>
      <c r="T872" s="1243"/>
      <c r="U872" s="1243"/>
      <c r="V872" s="1243"/>
      <c r="W872" s="1243"/>
      <c r="X872" s="1243"/>
      <c r="Y872" s="1243"/>
      <c r="Z872" s="1243"/>
    </row>
    <row r="873" spans="1:26" ht="15.75" customHeight="1" x14ac:dyDescent="0.2">
      <c r="A873" s="1243"/>
      <c r="B873" s="1243"/>
      <c r="C873" s="1243"/>
      <c r="D873" s="1243"/>
      <c r="E873" s="1243"/>
      <c r="F873" s="1243"/>
      <c r="G873" s="1243"/>
      <c r="H873" s="1243"/>
      <c r="I873" s="1243"/>
      <c r="J873" s="1243"/>
      <c r="K873" s="1243"/>
      <c r="L873" s="1243"/>
      <c r="M873" s="1243"/>
      <c r="N873" s="1243"/>
      <c r="O873" s="1243"/>
      <c r="P873" s="1243"/>
      <c r="Q873" s="1243"/>
      <c r="R873" s="1243"/>
      <c r="S873" s="1243"/>
      <c r="T873" s="1243"/>
      <c r="U873" s="1243"/>
      <c r="V873" s="1243"/>
      <c r="W873" s="1243"/>
      <c r="X873" s="1243"/>
      <c r="Y873" s="1243"/>
      <c r="Z873" s="1243"/>
    </row>
    <row r="874" spans="1:26" ht="15.75" customHeight="1" x14ac:dyDescent="0.2">
      <c r="A874" s="1243"/>
      <c r="B874" s="1243"/>
      <c r="C874" s="1243"/>
      <c r="D874" s="1243"/>
      <c r="E874" s="1243"/>
      <c r="F874" s="1243"/>
      <c r="G874" s="1243"/>
      <c r="H874" s="1243"/>
      <c r="I874" s="1243"/>
      <c r="J874" s="1243"/>
      <c r="K874" s="1243"/>
      <c r="L874" s="1243"/>
      <c r="M874" s="1243"/>
      <c r="N874" s="1243"/>
      <c r="O874" s="1243"/>
      <c r="P874" s="1243"/>
      <c r="Q874" s="1243"/>
      <c r="R874" s="1243"/>
      <c r="S874" s="1243"/>
      <c r="T874" s="1243"/>
      <c r="U874" s="1243"/>
      <c r="V874" s="1243"/>
      <c r="W874" s="1243"/>
      <c r="X874" s="1243"/>
      <c r="Y874" s="1243"/>
      <c r="Z874" s="1243"/>
    </row>
    <row r="875" spans="1:26" ht="15.75" customHeight="1" x14ac:dyDescent="0.2">
      <c r="A875" s="1243"/>
      <c r="B875" s="1243"/>
      <c r="C875" s="1243"/>
      <c r="D875" s="1243"/>
      <c r="E875" s="1243"/>
      <c r="F875" s="1243"/>
      <c r="G875" s="1243"/>
      <c r="H875" s="1243"/>
      <c r="I875" s="1243"/>
      <c r="J875" s="1243"/>
      <c r="K875" s="1243"/>
      <c r="L875" s="1243"/>
      <c r="M875" s="1243"/>
      <c r="N875" s="1243"/>
      <c r="O875" s="1243"/>
      <c r="P875" s="1243"/>
      <c r="Q875" s="1243"/>
      <c r="R875" s="1243"/>
      <c r="S875" s="1243"/>
      <c r="T875" s="1243"/>
      <c r="U875" s="1243"/>
      <c r="V875" s="1243"/>
      <c r="W875" s="1243"/>
      <c r="X875" s="1243"/>
      <c r="Y875" s="1243"/>
      <c r="Z875" s="1243"/>
    </row>
    <row r="876" spans="1:26" ht="15.75" customHeight="1" x14ac:dyDescent="0.2">
      <c r="A876" s="1243"/>
      <c r="B876" s="1243"/>
      <c r="C876" s="1243"/>
      <c r="D876" s="1243"/>
      <c r="E876" s="1243"/>
      <c r="F876" s="1243"/>
      <c r="G876" s="1243"/>
      <c r="H876" s="1243"/>
      <c r="I876" s="1243"/>
      <c r="J876" s="1243"/>
      <c r="K876" s="1243"/>
      <c r="L876" s="1243"/>
      <c r="M876" s="1243"/>
      <c r="N876" s="1243"/>
      <c r="O876" s="1243"/>
      <c r="P876" s="1243"/>
      <c r="Q876" s="1243"/>
      <c r="R876" s="1243"/>
      <c r="S876" s="1243"/>
      <c r="T876" s="1243"/>
      <c r="U876" s="1243"/>
      <c r="V876" s="1243"/>
      <c r="W876" s="1243"/>
      <c r="X876" s="1243"/>
      <c r="Y876" s="1243"/>
      <c r="Z876" s="1243"/>
    </row>
    <row r="877" spans="1:26" ht="15.75" customHeight="1" x14ac:dyDescent="0.2">
      <c r="A877" s="1243"/>
      <c r="B877" s="1243"/>
      <c r="C877" s="1243"/>
      <c r="D877" s="1243"/>
      <c r="E877" s="1243"/>
      <c r="F877" s="1243"/>
      <c r="G877" s="1243"/>
      <c r="H877" s="1243"/>
      <c r="I877" s="1243"/>
      <c r="J877" s="1243"/>
      <c r="K877" s="1243"/>
      <c r="L877" s="1243"/>
      <c r="M877" s="1243"/>
      <c r="N877" s="1243"/>
      <c r="O877" s="1243"/>
      <c r="P877" s="1243"/>
      <c r="Q877" s="1243"/>
      <c r="R877" s="1243"/>
      <c r="S877" s="1243"/>
      <c r="T877" s="1243"/>
      <c r="U877" s="1243"/>
      <c r="V877" s="1243"/>
      <c r="W877" s="1243"/>
      <c r="X877" s="1243"/>
      <c r="Y877" s="1243"/>
      <c r="Z877" s="1243"/>
    </row>
    <row r="878" spans="1:26" ht="15.75" customHeight="1" x14ac:dyDescent="0.2">
      <c r="A878" s="1243"/>
      <c r="B878" s="1243"/>
      <c r="C878" s="1243"/>
      <c r="D878" s="1243"/>
      <c r="E878" s="1243"/>
      <c r="F878" s="1243"/>
      <c r="G878" s="1243"/>
      <c r="H878" s="1243"/>
      <c r="I878" s="1243"/>
      <c r="J878" s="1243"/>
      <c r="K878" s="1243"/>
      <c r="L878" s="1243"/>
      <c r="M878" s="1243"/>
      <c r="N878" s="1243"/>
      <c r="O878" s="1243"/>
      <c r="P878" s="1243"/>
      <c r="Q878" s="1243"/>
      <c r="R878" s="1243"/>
      <c r="S878" s="1243"/>
      <c r="T878" s="1243"/>
      <c r="U878" s="1243"/>
      <c r="V878" s="1243"/>
      <c r="W878" s="1243"/>
      <c r="X878" s="1243"/>
      <c r="Y878" s="1243"/>
      <c r="Z878" s="1243"/>
    </row>
    <row r="879" spans="1:26" ht="15.75" customHeight="1" x14ac:dyDescent="0.2">
      <c r="A879" s="1243"/>
      <c r="B879" s="1243"/>
      <c r="C879" s="1243"/>
      <c r="D879" s="1243"/>
      <c r="E879" s="1243"/>
      <c r="F879" s="1243"/>
      <c r="G879" s="1243"/>
      <c r="H879" s="1243"/>
      <c r="I879" s="1243"/>
      <c r="J879" s="1243"/>
      <c r="K879" s="1243"/>
      <c r="L879" s="1243"/>
      <c r="M879" s="1243"/>
      <c r="N879" s="1243"/>
      <c r="O879" s="1243"/>
      <c r="P879" s="1243"/>
      <c r="Q879" s="1243"/>
      <c r="R879" s="1243"/>
      <c r="S879" s="1243"/>
      <c r="T879" s="1243"/>
      <c r="U879" s="1243"/>
      <c r="V879" s="1243"/>
      <c r="W879" s="1243"/>
      <c r="X879" s="1243"/>
      <c r="Y879" s="1243"/>
      <c r="Z879" s="1243"/>
    </row>
    <row r="880" spans="1:26" ht="15.75" customHeight="1" x14ac:dyDescent="0.2">
      <c r="A880" s="1243"/>
      <c r="B880" s="1243"/>
      <c r="C880" s="1243"/>
      <c r="D880" s="1243"/>
      <c r="E880" s="1243"/>
      <c r="F880" s="1243"/>
      <c r="G880" s="1243"/>
      <c r="H880" s="1243"/>
      <c r="I880" s="1243"/>
      <c r="J880" s="1243"/>
      <c r="K880" s="1243"/>
      <c r="L880" s="1243"/>
      <c r="M880" s="1243"/>
      <c r="N880" s="1243"/>
      <c r="O880" s="1243"/>
      <c r="P880" s="1243"/>
      <c r="Q880" s="1243"/>
      <c r="R880" s="1243"/>
      <c r="S880" s="1243"/>
      <c r="T880" s="1243"/>
      <c r="U880" s="1243"/>
      <c r="V880" s="1243"/>
      <c r="W880" s="1243"/>
      <c r="X880" s="1243"/>
      <c r="Y880" s="1243"/>
      <c r="Z880" s="1243"/>
    </row>
    <row r="881" spans="1:26" ht="15.75" customHeight="1" x14ac:dyDescent="0.2">
      <c r="A881" s="1243"/>
      <c r="B881" s="1243"/>
      <c r="C881" s="1243"/>
      <c r="D881" s="1243"/>
      <c r="E881" s="1243"/>
      <c r="F881" s="1243"/>
      <c r="G881" s="1243"/>
      <c r="H881" s="1243"/>
      <c r="I881" s="1243"/>
      <c r="J881" s="1243"/>
      <c r="K881" s="1243"/>
      <c r="L881" s="1243"/>
      <c r="M881" s="1243"/>
      <c r="N881" s="1243"/>
      <c r="O881" s="1243"/>
      <c r="P881" s="1243"/>
      <c r="Q881" s="1243"/>
      <c r="R881" s="1243"/>
      <c r="S881" s="1243"/>
      <c r="T881" s="1243"/>
      <c r="U881" s="1243"/>
      <c r="V881" s="1243"/>
      <c r="W881" s="1243"/>
      <c r="X881" s="1243"/>
      <c r="Y881" s="1243"/>
      <c r="Z881" s="1243"/>
    </row>
    <row r="882" spans="1:26" ht="15.75" customHeight="1" x14ac:dyDescent="0.2">
      <c r="A882" s="1243"/>
      <c r="B882" s="1243"/>
      <c r="C882" s="1243"/>
      <c r="D882" s="1243"/>
      <c r="E882" s="1243"/>
      <c r="F882" s="1243"/>
      <c r="G882" s="1243"/>
      <c r="H882" s="1243"/>
      <c r="I882" s="1243"/>
      <c r="J882" s="1243"/>
      <c r="K882" s="1243"/>
      <c r="L882" s="1243"/>
      <c r="M882" s="1243"/>
      <c r="N882" s="1243"/>
      <c r="O882" s="1243"/>
      <c r="P882" s="1243"/>
      <c r="Q882" s="1243"/>
      <c r="R882" s="1243"/>
      <c r="S882" s="1243"/>
      <c r="T882" s="1243"/>
      <c r="U882" s="1243"/>
      <c r="V882" s="1243"/>
      <c r="W882" s="1243"/>
      <c r="X882" s="1243"/>
      <c r="Y882" s="1243"/>
      <c r="Z882" s="1243"/>
    </row>
    <row r="883" spans="1:26" ht="15.75" customHeight="1" x14ac:dyDescent="0.2">
      <c r="A883" s="1243"/>
      <c r="B883" s="1243"/>
      <c r="C883" s="1243"/>
      <c r="D883" s="1243"/>
      <c r="E883" s="1243"/>
      <c r="F883" s="1243"/>
      <c r="G883" s="1243"/>
      <c r="H883" s="1243"/>
      <c r="I883" s="1243"/>
      <c r="J883" s="1243"/>
      <c r="K883" s="1243"/>
      <c r="L883" s="1243"/>
      <c r="M883" s="1243"/>
      <c r="N883" s="1243"/>
      <c r="O883" s="1243"/>
      <c r="P883" s="1243"/>
      <c r="Q883" s="1243"/>
      <c r="R883" s="1243"/>
      <c r="S883" s="1243"/>
      <c r="T883" s="1243"/>
      <c r="U883" s="1243"/>
      <c r="V883" s="1243"/>
      <c r="W883" s="1243"/>
      <c r="X883" s="1243"/>
      <c r="Y883" s="1243"/>
      <c r="Z883" s="1243"/>
    </row>
    <row r="884" spans="1:26" ht="15.75" customHeight="1" x14ac:dyDescent="0.2">
      <c r="A884" s="1243"/>
      <c r="B884" s="1243"/>
      <c r="C884" s="1243"/>
      <c r="D884" s="1243"/>
      <c r="E884" s="1243"/>
      <c r="F884" s="1243"/>
      <c r="G884" s="1243"/>
      <c r="H884" s="1243"/>
      <c r="I884" s="1243"/>
      <c r="J884" s="1243"/>
      <c r="K884" s="1243"/>
      <c r="L884" s="1243"/>
      <c r="M884" s="1243"/>
      <c r="N884" s="1243"/>
      <c r="O884" s="1243"/>
      <c r="P884" s="1243"/>
      <c r="Q884" s="1243"/>
      <c r="R884" s="1243"/>
      <c r="S884" s="1243"/>
      <c r="T884" s="1243"/>
      <c r="U884" s="1243"/>
      <c r="V884" s="1243"/>
      <c r="W884" s="1243"/>
      <c r="X884" s="1243"/>
      <c r="Y884" s="1243"/>
      <c r="Z884" s="1243"/>
    </row>
    <row r="885" spans="1:26" ht="15.75" customHeight="1" x14ac:dyDescent="0.2">
      <c r="A885" s="1243"/>
      <c r="B885" s="1243"/>
      <c r="C885" s="1243"/>
      <c r="D885" s="1243"/>
      <c r="E885" s="1243"/>
      <c r="F885" s="1243"/>
      <c r="G885" s="1243"/>
      <c r="H885" s="1243"/>
      <c r="I885" s="1243"/>
      <c r="J885" s="1243"/>
      <c r="K885" s="1243"/>
      <c r="L885" s="1243"/>
      <c r="M885" s="1243"/>
      <c r="N885" s="1243"/>
      <c r="O885" s="1243"/>
      <c r="P885" s="1243"/>
      <c r="Q885" s="1243"/>
      <c r="R885" s="1243"/>
      <c r="S885" s="1243"/>
      <c r="T885" s="1243"/>
      <c r="U885" s="1243"/>
      <c r="V885" s="1243"/>
      <c r="W885" s="1243"/>
      <c r="X885" s="1243"/>
      <c r="Y885" s="1243"/>
      <c r="Z885" s="1243"/>
    </row>
    <row r="886" spans="1:26" ht="15.75" customHeight="1" x14ac:dyDescent="0.2">
      <c r="A886" s="1243"/>
      <c r="B886" s="1243"/>
      <c r="C886" s="1243"/>
      <c r="D886" s="1243"/>
      <c r="E886" s="1243"/>
      <c r="F886" s="1243"/>
      <c r="G886" s="1243"/>
      <c r="H886" s="1243"/>
      <c r="I886" s="1243"/>
      <c r="J886" s="1243"/>
      <c r="K886" s="1243"/>
      <c r="L886" s="1243"/>
      <c r="M886" s="1243"/>
      <c r="N886" s="1243"/>
      <c r="O886" s="1243"/>
      <c r="P886" s="1243"/>
      <c r="Q886" s="1243"/>
      <c r="R886" s="1243"/>
      <c r="S886" s="1243"/>
      <c r="T886" s="1243"/>
      <c r="U886" s="1243"/>
      <c r="V886" s="1243"/>
      <c r="W886" s="1243"/>
      <c r="X886" s="1243"/>
      <c r="Y886" s="1243"/>
      <c r="Z886" s="1243"/>
    </row>
    <row r="887" spans="1:26" ht="15.75" customHeight="1" x14ac:dyDescent="0.2">
      <c r="A887" s="1243"/>
      <c r="B887" s="1243"/>
      <c r="C887" s="1243"/>
      <c r="D887" s="1243"/>
      <c r="E887" s="1243"/>
      <c r="F887" s="1243"/>
      <c r="G887" s="1243"/>
      <c r="H887" s="1243"/>
      <c r="I887" s="1243"/>
      <c r="J887" s="1243"/>
      <c r="K887" s="1243"/>
      <c r="L887" s="1243"/>
      <c r="M887" s="1243"/>
      <c r="N887" s="1243"/>
      <c r="O887" s="1243"/>
      <c r="P887" s="1243"/>
      <c r="Q887" s="1243"/>
      <c r="R887" s="1243"/>
      <c r="S887" s="1243"/>
      <c r="T887" s="1243"/>
      <c r="U887" s="1243"/>
      <c r="V887" s="1243"/>
      <c r="W887" s="1243"/>
      <c r="X887" s="1243"/>
      <c r="Y887" s="1243"/>
      <c r="Z887" s="1243"/>
    </row>
    <row r="888" spans="1:26" ht="15.75" customHeight="1" x14ac:dyDescent="0.2">
      <c r="A888" s="1243"/>
      <c r="B888" s="1243"/>
      <c r="C888" s="1243"/>
      <c r="D888" s="1243"/>
      <c r="E888" s="1243"/>
      <c r="F888" s="1243"/>
      <c r="G888" s="1243"/>
      <c r="H888" s="1243"/>
      <c r="I888" s="1243"/>
      <c r="J888" s="1243"/>
      <c r="K888" s="1243"/>
      <c r="L888" s="1243"/>
      <c r="M888" s="1243"/>
      <c r="N888" s="1243"/>
      <c r="O888" s="1243"/>
      <c r="P888" s="1243"/>
      <c r="Q888" s="1243"/>
      <c r="R888" s="1243"/>
      <c r="S888" s="1243"/>
      <c r="T888" s="1243"/>
      <c r="U888" s="1243"/>
      <c r="V888" s="1243"/>
      <c r="W888" s="1243"/>
      <c r="X888" s="1243"/>
      <c r="Y888" s="1243"/>
      <c r="Z888" s="1243"/>
    </row>
    <row r="889" spans="1:26" ht="15.75" customHeight="1" x14ac:dyDescent="0.2">
      <c r="A889" s="1243"/>
      <c r="B889" s="1243"/>
      <c r="C889" s="1243"/>
      <c r="D889" s="1243"/>
      <c r="E889" s="1243"/>
      <c r="F889" s="1243"/>
      <c r="G889" s="1243"/>
      <c r="H889" s="1243"/>
      <c r="I889" s="1243"/>
      <c r="J889" s="1243"/>
      <c r="K889" s="1243"/>
      <c r="L889" s="1243"/>
      <c r="M889" s="1243"/>
      <c r="N889" s="1243"/>
      <c r="O889" s="1243"/>
      <c r="P889" s="1243"/>
      <c r="Q889" s="1243"/>
      <c r="R889" s="1243"/>
      <c r="S889" s="1243"/>
      <c r="T889" s="1243"/>
      <c r="U889" s="1243"/>
      <c r="V889" s="1243"/>
      <c r="W889" s="1243"/>
      <c r="X889" s="1243"/>
      <c r="Y889" s="1243"/>
      <c r="Z889" s="1243"/>
    </row>
    <row r="890" spans="1:26" ht="15.75" customHeight="1" x14ac:dyDescent="0.2">
      <c r="A890" s="1243"/>
      <c r="B890" s="1243"/>
      <c r="C890" s="1243"/>
      <c r="D890" s="1243"/>
      <c r="E890" s="1243"/>
      <c r="F890" s="1243"/>
      <c r="G890" s="1243"/>
      <c r="H890" s="1243"/>
      <c r="I890" s="1243"/>
      <c r="J890" s="1243"/>
      <c r="K890" s="1243"/>
      <c r="L890" s="1243"/>
      <c r="M890" s="1243"/>
      <c r="N890" s="1243"/>
      <c r="O890" s="1243"/>
      <c r="P890" s="1243"/>
      <c r="Q890" s="1243"/>
      <c r="R890" s="1243"/>
      <c r="S890" s="1243"/>
      <c r="T890" s="1243"/>
      <c r="U890" s="1243"/>
      <c r="V890" s="1243"/>
      <c r="W890" s="1243"/>
      <c r="X890" s="1243"/>
      <c r="Y890" s="1243"/>
      <c r="Z890" s="1243"/>
    </row>
    <row r="891" spans="1:26" ht="15.75" customHeight="1" x14ac:dyDescent="0.2">
      <c r="A891" s="1243"/>
      <c r="B891" s="1243"/>
      <c r="C891" s="1243"/>
      <c r="D891" s="1243"/>
      <c r="E891" s="1243"/>
      <c r="F891" s="1243"/>
      <c r="G891" s="1243"/>
      <c r="H891" s="1243"/>
      <c r="I891" s="1243"/>
      <c r="J891" s="1243"/>
      <c r="K891" s="1243"/>
      <c r="L891" s="1243"/>
      <c r="M891" s="1243"/>
      <c r="N891" s="1243"/>
      <c r="O891" s="1243"/>
      <c r="P891" s="1243"/>
      <c r="Q891" s="1243"/>
      <c r="R891" s="1243"/>
      <c r="S891" s="1243"/>
      <c r="T891" s="1243"/>
      <c r="U891" s="1243"/>
      <c r="V891" s="1243"/>
      <c r="W891" s="1243"/>
      <c r="X891" s="1243"/>
      <c r="Y891" s="1243"/>
      <c r="Z891" s="1243"/>
    </row>
    <row r="892" spans="1:26" ht="15.75" customHeight="1" x14ac:dyDescent="0.2">
      <c r="A892" s="1243"/>
      <c r="B892" s="1243"/>
      <c r="C892" s="1243"/>
      <c r="D892" s="1243"/>
      <c r="E892" s="1243"/>
      <c r="F892" s="1243"/>
      <c r="G892" s="1243"/>
      <c r="H892" s="1243"/>
      <c r="I892" s="1243"/>
      <c r="J892" s="1243"/>
      <c r="K892" s="1243"/>
      <c r="L892" s="1243"/>
      <c r="M892" s="1243"/>
      <c r="N892" s="1243"/>
      <c r="O892" s="1243"/>
      <c r="P892" s="1243"/>
      <c r="Q892" s="1243"/>
      <c r="R892" s="1243"/>
      <c r="S892" s="1243"/>
      <c r="T892" s="1243"/>
      <c r="U892" s="1243"/>
      <c r="V892" s="1243"/>
      <c r="W892" s="1243"/>
      <c r="X892" s="1243"/>
      <c r="Y892" s="1243"/>
      <c r="Z892" s="1243"/>
    </row>
    <row r="893" spans="1:26" ht="15.75" customHeight="1" x14ac:dyDescent="0.2">
      <c r="A893" s="1243"/>
      <c r="B893" s="1243"/>
      <c r="C893" s="1243"/>
      <c r="D893" s="1243"/>
      <c r="E893" s="1243"/>
      <c r="F893" s="1243"/>
      <c r="G893" s="1243"/>
      <c r="H893" s="1243"/>
      <c r="I893" s="1243"/>
      <c r="J893" s="1243"/>
      <c r="K893" s="1243"/>
      <c r="L893" s="1243"/>
      <c r="M893" s="1243"/>
      <c r="N893" s="1243"/>
      <c r="O893" s="1243"/>
      <c r="P893" s="1243"/>
      <c r="Q893" s="1243"/>
      <c r="R893" s="1243"/>
      <c r="S893" s="1243"/>
      <c r="T893" s="1243"/>
      <c r="U893" s="1243"/>
      <c r="V893" s="1243"/>
      <c r="W893" s="1243"/>
      <c r="X893" s="1243"/>
      <c r="Y893" s="1243"/>
      <c r="Z893" s="1243"/>
    </row>
    <row r="894" spans="1:26" ht="15.75" customHeight="1" x14ac:dyDescent="0.2">
      <c r="A894" s="1243"/>
      <c r="B894" s="1243"/>
      <c r="C894" s="1243"/>
      <c r="D894" s="1243"/>
      <c r="E894" s="1243"/>
      <c r="F894" s="1243"/>
      <c r="G894" s="1243"/>
      <c r="H894" s="1243"/>
      <c r="I894" s="1243"/>
      <c r="J894" s="1243"/>
      <c r="K894" s="1243"/>
      <c r="L894" s="1243"/>
      <c r="M894" s="1243"/>
      <c r="N894" s="1243"/>
      <c r="O894" s="1243"/>
      <c r="P894" s="1243"/>
      <c r="Q894" s="1243"/>
      <c r="R894" s="1243"/>
      <c r="S894" s="1243"/>
      <c r="T894" s="1243"/>
      <c r="U894" s="1243"/>
      <c r="V894" s="1243"/>
      <c r="W894" s="1243"/>
      <c r="X894" s="1243"/>
      <c r="Y894" s="1243"/>
      <c r="Z894" s="1243"/>
    </row>
    <row r="895" spans="1:26" ht="15.75" customHeight="1" x14ac:dyDescent="0.2">
      <c r="A895" s="1243"/>
      <c r="B895" s="1243"/>
      <c r="C895" s="1243"/>
      <c r="D895" s="1243"/>
      <c r="E895" s="1243"/>
      <c r="F895" s="1243"/>
      <c r="G895" s="1243"/>
      <c r="H895" s="1243"/>
      <c r="I895" s="1243"/>
      <c r="J895" s="1243"/>
      <c r="K895" s="1243"/>
      <c r="L895" s="1243"/>
      <c r="M895" s="1243"/>
      <c r="N895" s="1243"/>
      <c r="O895" s="1243"/>
      <c r="P895" s="1243"/>
      <c r="Q895" s="1243"/>
      <c r="R895" s="1243"/>
      <c r="S895" s="1243"/>
      <c r="T895" s="1243"/>
      <c r="U895" s="1243"/>
      <c r="V895" s="1243"/>
      <c r="W895" s="1243"/>
      <c r="X895" s="1243"/>
      <c r="Y895" s="1243"/>
      <c r="Z895" s="1243"/>
    </row>
    <row r="896" spans="1:26" ht="15.75" customHeight="1" x14ac:dyDescent="0.2">
      <c r="A896" s="1243"/>
      <c r="B896" s="1243"/>
      <c r="C896" s="1243"/>
      <c r="D896" s="1243"/>
      <c r="E896" s="1243"/>
      <c r="F896" s="1243"/>
      <c r="G896" s="1243"/>
      <c r="H896" s="1243"/>
      <c r="I896" s="1243"/>
      <c r="J896" s="1243"/>
      <c r="K896" s="1243"/>
      <c r="L896" s="1243"/>
      <c r="M896" s="1243"/>
      <c r="N896" s="1243"/>
      <c r="O896" s="1243"/>
      <c r="P896" s="1243"/>
      <c r="Q896" s="1243"/>
      <c r="R896" s="1243"/>
      <c r="S896" s="1243"/>
      <c r="T896" s="1243"/>
      <c r="U896" s="1243"/>
      <c r="V896" s="1243"/>
      <c r="W896" s="1243"/>
      <c r="X896" s="1243"/>
      <c r="Y896" s="1243"/>
      <c r="Z896" s="1243"/>
    </row>
    <row r="897" spans="1:26" ht="15.75" customHeight="1" x14ac:dyDescent="0.2">
      <c r="A897" s="1243"/>
      <c r="B897" s="1243"/>
      <c r="C897" s="1243"/>
      <c r="D897" s="1243"/>
      <c r="E897" s="1243"/>
      <c r="F897" s="1243"/>
      <c r="G897" s="1243"/>
      <c r="H897" s="1243"/>
      <c r="I897" s="1243"/>
      <c r="J897" s="1243"/>
      <c r="K897" s="1243"/>
      <c r="L897" s="1243"/>
      <c r="M897" s="1243"/>
      <c r="N897" s="1243"/>
      <c r="O897" s="1243"/>
      <c r="P897" s="1243"/>
      <c r="Q897" s="1243"/>
      <c r="R897" s="1243"/>
      <c r="S897" s="1243"/>
      <c r="T897" s="1243"/>
      <c r="U897" s="1243"/>
      <c r="V897" s="1243"/>
      <c r="W897" s="1243"/>
      <c r="X897" s="1243"/>
      <c r="Y897" s="1243"/>
      <c r="Z897" s="1243"/>
    </row>
    <row r="898" spans="1:26" ht="15.75" customHeight="1" x14ac:dyDescent="0.2">
      <c r="A898" s="1243"/>
      <c r="B898" s="1243"/>
      <c r="C898" s="1243"/>
      <c r="D898" s="1243"/>
      <c r="E898" s="1243"/>
      <c r="F898" s="1243"/>
      <c r="G898" s="1243"/>
      <c r="H898" s="1243"/>
      <c r="I898" s="1243"/>
      <c r="J898" s="1243"/>
      <c r="K898" s="1243"/>
      <c r="L898" s="1243"/>
      <c r="M898" s="1243"/>
      <c r="N898" s="1243"/>
      <c r="O898" s="1243"/>
      <c r="P898" s="1243"/>
      <c r="Q898" s="1243"/>
      <c r="R898" s="1243"/>
      <c r="S898" s="1243"/>
      <c r="T898" s="1243"/>
      <c r="U898" s="1243"/>
      <c r="V898" s="1243"/>
      <c r="W898" s="1243"/>
      <c r="X898" s="1243"/>
      <c r="Y898" s="1243"/>
      <c r="Z898" s="1243"/>
    </row>
    <row r="899" spans="1:26" ht="15.75" customHeight="1" x14ac:dyDescent="0.2">
      <c r="A899" s="1243"/>
      <c r="B899" s="1243"/>
      <c r="C899" s="1243"/>
      <c r="D899" s="1243"/>
      <c r="E899" s="1243"/>
      <c r="F899" s="1243"/>
      <c r="G899" s="1243"/>
      <c r="H899" s="1243"/>
      <c r="I899" s="1243"/>
      <c r="J899" s="1243"/>
      <c r="K899" s="1243"/>
      <c r="L899" s="1243"/>
      <c r="M899" s="1243"/>
      <c r="N899" s="1243"/>
      <c r="O899" s="1243"/>
      <c r="P899" s="1243"/>
      <c r="Q899" s="1243"/>
      <c r="R899" s="1243"/>
      <c r="S899" s="1243"/>
      <c r="T899" s="1243"/>
      <c r="U899" s="1243"/>
      <c r="V899" s="1243"/>
      <c r="W899" s="1243"/>
      <c r="X899" s="1243"/>
      <c r="Y899" s="1243"/>
      <c r="Z899" s="1243"/>
    </row>
    <row r="900" spans="1:26" ht="15.75" customHeight="1" x14ac:dyDescent="0.2">
      <c r="A900" s="1243"/>
      <c r="B900" s="1243"/>
      <c r="C900" s="1243"/>
      <c r="D900" s="1243"/>
      <c r="E900" s="1243"/>
      <c r="F900" s="1243"/>
      <c r="G900" s="1243"/>
      <c r="H900" s="1243"/>
      <c r="I900" s="1243"/>
      <c r="J900" s="1243"/>
      <c r="K900" s="1243"/>
      <c r="L900" s="1243"/>
      <c r="M900" s="1243"/>
      <c r="N900" s="1243"/>
      <c r="O900" s="1243"/>
      <c r="P900" s="1243"/>
      <c r="Q900" s="1243"/>
      <c r="R900" s="1243"/>
      <c r="S900" s="1243"/>
      <c r="T900" s="1243"/>
      <c r="U900" s="1243"/>
      <c r="V900" s="1243"/>
      <c r="W900" s="1243"/>
      <c r="X900" s="1243"/>
      <c r="Y900" s="1243"/>
      <c r="Z900" s="1243"/>
    </row>
    <row r="901" spans="1:26" ht="15.75" customHeight="1" x14ac:dyDescent="0.2">
      <c r="A901" s="1243"/>
      <c r="B901" s="1243"/>
      <c r="C901" s="1243"/>
      <c r="D901" s="1243"/>
      <c r="E901" s="1243"/>
      <c r="F901" s="1243"/>
      <c r="G901" s="1243"/>
      <c r="H901" s="1243"/>
      <c r="I901" s="1243"/>
      <c r="J901" s="1243"/>
      <c r="K901" s="1243"/>
      <c r="L901" s="1243"/>
      <c r="M901" s="1243"/>
      <c r="N901" s="1243"/>
      <c r="O901" s="1243"/>
      <c r="P901" s="1243"/>
      <c r="Q901" s="1243"/>
      <c r="R901" s="1243"/>
      <c r="S901" s="1243"/>
      <c r="T901" s="1243"/>
      <c r="U901" s="1243"/>
      <c r="V901" s="1243"/>
      <c r="W901" s="1243"/>
      <c r="X901" s="1243"/>
      <c r="Y901" s="1243"/>
      <c r="Z901" s="1243"/>
    </row>
    <row r="902" spans="1:26" ht="15.75" customHeight="1" x14ac:dyDescent="0.2">
      <c r="A902" s="1243"/>
      <c r="B902" s="1243"/>
      <c r="C902" s="1243"/>
      <c r="D902" s="1243"/>
      <c r="E902" s="1243"/>
      <c r="F902" s="1243"/>
      <c r="G902" s="1243"/>
      <c r="H902" s="1243"/>
      <c r="I902" s="1243"/>
      <c r="J902" s="1243"/>
      <c r="K902" s="1243"/>
      <c r="L902" s="1243"/>
      <c r="M902" s="1243"/>
      <c r="N902" s="1243"/>
      <c r="O902" s="1243"/>
      <c r="P902" s="1243"/>
      <c r="Q902" s="1243"/>
      <c r="R902" s="1243"/>
      <c r="S902" s="1243"/>
      <c r="T902" s="1243"/>
      <c r="U902" s="1243"/>
      <c r="V902" s="1243"/>
      <c r="W902" s="1243"/>
      <c r="X902" s="1243"/>
      <c r="Y902" s="1243"/>
      <c r="Z902" s="1243"/>
    </row>
    <row r="903" spans="1:26" ht="15.75" customHeight="1" x14ac:dyDescent="0.2">
      <c r="A903" s="1243"/>
      <c r="B903" s="1243"/>
      <c r="C903" s="1243"/>
      <c r="D903" s="1243"/>
      <c r="E903" s="1243"/>
      <c r="F903" s="1243"/>
      <c r="G903" s="1243"/>
      <c r="H903" s="1243"/>
      <c r="I903" s="1243"/>
      <c r="J903" s="1243"/>
      <c r="K903" s="1243"/>
      <c r="L903" s="1243"/>
      <c r="M903" s="1243"/>
      <c r="N903" s="1243"/>
      <c r="O903" s="1243"/>
      <c r="P903" s="1243"/>
      <c r="Q903" s="1243"/>
      <c r="R903" s="1243"/>
      <c r="S903" s="1243"/>
      <c r="T903" s="1243"/>
      <c r="U903" s="1243"/>
      <c r="V903" s="1243"/>
      <c r="W903" s="1243"/>
      <c r="X903" s="1243"/>
      <c r="Y903" s="1243"/>
      <c r="Z903" s="1243"/>
    </row>
    <row r="904" spans="1:26" ht="15.75" customHeight="1" x14ac:dyDescent="0.2">
      <c r="A904" s="1243"/>
      <c r="B904" s="1243"/>
      <c r="C904" s="1243"/>
      <c r="D904" s="1243"/>
      <c r="E904" s="1243"/>
      <c r="F904" s="1243"/>
      <c r="G904" s="1243"/>
      <c r="H904" s="1243"/>
      <c r="I904" s="1243"/>
      <c r="J904" s="1243"/>
      <c r="K904" s="1243"/>
      <c r="L904" s="1243"/>
      <c r="M904" s="1243"/>
      <c r="N904" s="1243"/>
      <c r="O904" s="1243"/>
      <c r="P904" s="1243"/>
      <c r="Q904" s="1243"/>
      <c r="R904" s="1243"/>
      <c r="S904" s="1243"/>
      <c r="T904" s="1243"/>
      <c r="U904" s="1243"/>
      <c r="V904" s="1243"/>
      <c r="W904" s="1243"/>
      <c r="X904" s="1243"/>
      <c r="Y904" s="1243"/>
      <c r="Z904" s="1243"/>
    </row>
    <row r="905" spans="1:26" ht="15.75" customHeight="1" x14ac:dyDescent="0.2">
      <c r="A905" s="1243"/>
      <c r="B905" s="1243"/>
      <c r="C905" s="1243"/>
      <c r="D905" s="1243"/>
      <c r="E905" s="1243"/>
      <c r="F905" s="1243"/>
      <c r="G905" s="1243"/>
      <c r="H905" s="1243"/>
      <c r="I905" s="1243"/>
      <c r="J905" s="1243"/>
      <c r="K905" s="1243"/>
      <c r="L905" s="1243"/>
      <c r="M905" s="1243"/>
      <c r="N905" s="1243"/>
      <c r="O905" s="1243"/>
      <c r="P905" s="1243"/>
      <c r="Q905" s="1243"/>
      <c r="R905" s="1243"/>
      <c r="S905" s="1243"/>
      <c r="T905" s="1243"/>
      <c r="U905" s="1243"/>
      <c r="V905" s="1243"/>
      <c r="W905" s="1243"/>
      <c r="X905" s="1243"/>
      <c r="Y905" s="1243"/>
      <c r="Z905" s="1243"/>
    </row>
    <row r="906" spans="1:26" ht="15.75" customHeight="1" x14ac:dyDescent="0.2">
      <c r="A906" s="1243"/>
      <c r="B906" s="1243"/>
      <c r="C906" s="1243"/>
      <c r="D906" s="1243"/>
      <c r="E906" s="1243"/>
      <c r="F906" s="1243"/>
      <c r="G906" s="1243"/>
      <c r="H906" s="1243"/>
      <c r="I906" s="1243"/>
      <c r="J906" s="1243"/>
      <c r="K906" s="1243"/>
      <c r="L906" s="1243"/>
      <c r="M906" s="1243"/>
      <c r="N906" s="1243"/>
      <c r="O906" s="1243"/>
      <c r="P906" s="1243"/>
      <c r="Q906" s="1243"/>
      <c r="R906" s="1243"/>
      <c r="S906" s="1243"/>
      <c r="T906" s="1243"/>
      <c r="U906" s="1243"/>
      <c r="V906" s="1243"/>
      <c r="W906" s="1243"/>
      <c r="X906" s="1243"/>
      <c r="Y906" s="1243"/>
      <c r="Z906" s="1243"/>
    </row>
    <row r="907" spans="1:26" ht="15.75" customHeight="1" x14ac:dyDescent="0.2">
      <c r="A907" s="1243"/>
      <c r="B907" s="1243"/>
      <c r="C907" s="1243"/>
      <c r="D907" s="1243"/>
      <c r="E907" s="1243"/>
      <c r="F907" s="1243"/>
      <c r="G907" s="1243"/>
      <c r="H907" s="1243"/>
      <c r="I907" s="1243"/>
      <c r="J907" s="1243"/>
      <c r="K907" s="1243"/>
      <c r="L907" s="1243"/>
      <c r="M907" s="1243"/>
      <c r="N907" s="1243"/>
      <c r="O907" s="1243"/>
      <c r="P907" s="1243"/>
      <c r="Q907" s="1243"/>
      <c r="R907" s="1243"/>
      <c r="S907" s="1243"/>
      <c r="T907" s="1243"/>
      <c r="U907" s="1243"/>
      <c r="V907" s="1243"/>
      <c r="W907" s="1243"/>
      <c r="X907" s="1243"/>
      <c r="Y907" s="1243"/>
      <c r="Z907" s="1243"/>
    </row>
    <row r="908" spans="1:26" ht="15.75" customHeight="1" x14ac:dyDescent="0.2">
      <c r="A908" s="1243"/>
      <c r="B908" s="1243"/>
      <c r="C908" s="1243"/>
      <c r="D908" s="1243"/>
      <c r="E908" s="1243"/>
      <c r="F908" s="1243"/>
      <c r="G908" s="1243"/>
      <c r="H908" s="1243"/>
      <c r="I908" s="1243"/>
      <c r="J908" s="1243"/>
      <c r="K908" s="1243"/>
      <c r="L908" s="1243"/>
      <c r="M908" s="1243"/>
      <c r="N908" s="1243"/>
      <c r="O908" s="1243"/>
      <c r="P908" s="1243"/>
      <c r="Q908" s="1243"/>
      <c r="R908" s="1243"/>
      <c r="S908" s="1243"/>
      <c r="T908" s="1243"/>
      <c r="U908" s="1243"/>
      <c r="V908" s="1243"/>
      <c r="W908" s="1243"/>
      <c r="X908" s="1243"/>
      <c r="Y908" s="1243"/>
      <c r="Z908" s="1243"/>
    </row>
    <row r="909" spans="1:26" ht="15.75" customHeight="1" x14ac:dyDescent="0.2">
      <c r="A909" s="1243"/>
      <c r="B909" s="1243"/>
      <c r="C909" s="1243"/>
      <c r="D909" s="1243"/>
      <c r="E909" s="1243"/>
      <c r="F909" s="1243"/>
      <c r="G909" s="1243"/>
      <c r="H909" s="1243"/>
      <c r="I909" s="1243"/>
      <c r="J909" s="1243"/>
      <c r="K909" s="1243"/>
      <c r="L909" s="1243"/>
      <c r="M909" s="1243"/>
      <c r="N909" s="1243"/>
      <c r="O909" s="1243"/>
      <c r="P909" s="1243"/>
      <c r="Q909" s="1243"/>
      <c r="R909" s="1243"/>
      <c r="S909" s="1243"/>
      <c r="T909" s="1243"/>
      <c r="U909" s="1243"/>
      <c r="V909" s="1243"/>
      <c r="W909" s="1243"/>
      <c r="X909" s="1243"/>
      <c r="Y909" s="1243"/>
      <c r="Z909" s="1243"/>
    </row>
    <row r="910" spans="1:26" ht="15.75" customHeight="1" x14ac:dyDescent="0.2">
      <c r="A910" s="1243"/>
      <c r="B910" s="1243"/>
      <c r="C910" s="1243"/>
      <c r="D910" s="1243"/>
      <c r="E910" s="1243"/>
      <c r="F910" s="1243"/>
      <c r="G910" s="1243"/>
      <c r="H910" s="1243"/>
      <c r="I910" s="1243"/>
      <c r="J910" s="1243"/>
      <c r="K910" s="1243"/>
      <c r="L910" s="1243"/>
      <c r="M910" s="1243"/>
      <c r="N910" s="1243"/>
      <c r="O910" s="1243"/>
      <c r="P910" s="1243"/>
      <c r="Q910" s="1243"/>
      <c r="R910" s="1243"/>
      <c r="S910" s="1243"/>
      <c r="T910" s="1243"/>
      <c r="U910" s="1243"/>
      <c r="V910" s="1243"/>
      <c r="W910" s="1243"/>
      <c r="X910" s="1243"/>
      <c r="Y910" s="1243"/>
      <c r="Z910" s="1243"/>
    </row>
    <row r="911" spans="1:26" ht="15.75" customHeight="1" x14ac:dyDescent="0.2">
      <c r="A911" s="1243"/>
      <c r="B911" s="1243"/>
      <c r="C911" s="1243"/>
      <c r="D911" s="1243"/>
      <c r="E911" s="1243"/>
      <c r="F911" s="1243"/>
      <c r="G911" s="1243"/>
      <c r="H911" s="1243"/>
      <c r="I911" s="1243"/>
      <c r="J911" s="1243"/>
      <c r="K911" s="1243"/>
      <c r="L911" s="1243"/>
      <c r="M911" s="1243"/>
      <c r="N911" s="1243"/>
      <c r="O911" s="1243"/>
      <c r="P911" s="1243"/>
      <c r="Q911" s="1243"/>
      <c r="R911" s="1243"/>
      <c r="S911" s="1243"/>
      <c r="T911" s="1243"/>
      <c r="U911" s="1243"/>
      <c r="V911" s="1243"/>
      <c r="W911" s="1243"/>
      <c r="X911" s="1243"/>
      <c r="Y911" s="1243"/>
      <c r="Z911" s="1243"/>
    </row>
    <row r="912" spans="1:26" ht="15.75" customHeight="1" x14ac:dyDescent="0.2">
      <c r="A912" s="1243"/>
      <c r="B912" s="1243"/>
      <c r="C912" s="1243"/>
      <c r="D912" s="1243"/>
      <c r="E912" s="1243"/>
      <c r="F912" s="1243"/>
      <c r="G912" s="1243"/>
      <c r="H912" s="1243"/>
      <c r="I912" s="1243"/>
      <c r="J912" s="1243"/>
      <c r="K912" s="1243"/>
      <c r="L912" s="1243"/>
      <c r="M912" s="1243"/>
      <c r="N912" s="1243"/>
      <c r="O912" s="1243"/>
      <c r="P912" s="1243"/>
      <c r="Q912" s="1243"/>
      <c r="R912" s="1243"/>
      <c r="S912" s="1243"/>
      <c r="T912" s="1243"/>
      <c r="U912" s="1243"/>
      <c r="V912" s="1243"/>
      <c r="W912" s="1243"/>
      <c r="X912" s="1243"/>
      <c r="Y912" s="1243"/>
      <c r="Z912" s="1243"/>
    </row>
    <row r="913" spans="1:26" ht="15.75" customHeight="1" x14ac:dyDescent="0.2">
      <c r="A913" s="1243"/>
      <c r="B913" s="1243"/>
      <c r="C913" s="1243"/>
      <c r="D913" s="1243"/>
      <c r="E913" s="1243"/>
      <c r="F913" s="1243"/>
      <c r="G913" s="1243"/>
      <c r="H913" s="1243"/>
      <c r="I913" s="1243"/>
      <c r="J913" s="1243"/>
      <c r="K913" s="1243"/>
      <c r="L913" s="1243"/>
      <c r="M913" s="1243"/>
      <c r="N913" s="1243"/>
      <c r="O913" s="1243"/>
      <c r="P913" s="1243"/>
      <c r="Q913" s="1243"/>
      <c r="R913" s="1243"/>
      <c r="S913" s="1243"/>
      <c r="T913" s="1243"/>
      <c r="U913" s="1243"/>
      <c r="V913" s="1243"/>
      <c r="W913" s="1243"/>
      <c r="X913" s="1243"/>
      <c r="Y913" s="1243"/>
      <c r="Z913" s="1243"/>
    </row>
    <row r="914" spans="1:26" ht="15.75" customHeight="1" x14ac:dyDescent="0.2">
      <c r="A914" s="1243"/>
      <c r="B914" s="1243"/>
      <c r="C914" s="1243"/>
      <c r="D914" s="1243"/>
      <c r="E914" s="1243"/>
      <c r="F914" s="1243"/>
      <c r="G914" s="1243"/>
      <c r="H914" s="1243"/>
      <c r="I914" s="1243"/>
      <c r="J914" s="1243"/>
      <c r="K914" s="1243"/>
      <c r="L914" s="1243"/>
      <c r="M914" s="1243"/>
      <c r="N914" s="1243"/>
      <c r="O914" s="1243"/>
      <c r="P914" s="1243"/>
      <c r="Q914" s="1243"/>
      <c r="R914" s="1243"/>
      <c r="S914" s="1243"/>
      <c r="T914" s="1243"/>
      <c r="U914" s="1243"/>
      <c r="V914" s="1243"/>
      <c r="W914" s="1243"/>
      <c r="X914" s="1243"/>
      <c r="Y914" s="1243"/>
      <c r="Z914" s="1243"/>
    </row>
    <row r="915" spans="1:26" ht="15.75" customHeight="1" x14ac:dyDescent="0.2">
      <c r="A915" s="1243"/>
      <c r="B915" s="1243"/>
      <c r="C915" s="1243"/>
      <c r="D915" s="1243"/>
      <c r="E915" s="1243"/>
      <c r="F915" s="1243"/>
      <c r="G915" s="1243"/>
      <c r="H915" s="1243"/>
      <c r="I915" s="1243"/>
      <c r="J915" s="1243"/>
      <c r="K915" s="1243"/>
      <c r="L915" s="1243"/>
      <c r="M915" s="1243"/>
      <c r="N915" s="1243"/>
      <c r="O915" s="1243"/>
      <c r="P915" s="1243"/>
      <c r="Q915" s="1243"/>
      <c r="R915" s="1243"/>
      <c r="S915" s="1243"/>
      <c r="T915" s="1243"/>
      <c r="U915" s="1243"/>
      <c r="V915" s="1243"/>
      <c r="W915" s="1243"/>
      <c r="X915" s="1243"/>
      <c r="Y915" s="1243"/>
      <c r="Z915" s="1243"/>
    </row>
    <row r="916" spans="1:26" ht="15.75" customHeight="1" x14ac:dyDescent="0.2">
      <c r="A916" s="1243"/>
      <c r="B916" s="1243"/>
      <c r="C916" s="1243"/>
      <c r="D916" s="1243"/>
      <c r="E916" s="1243"/>
      <c r="F916" s="1243"/>
      <c r="G916" s="1243"/>
      <c r="H916" s="1243"/>
      <c r="I916" s="1243"/>
      <c r="J916" s="1243"/>
      <c r="K916" s="1243"/>
      <c r="L916" s="1243"/>
      <c r="M916" s="1243"/>
      <c r="N916" s="1243"/>
      <c r="O916" s="1243"/>
      <c r="P916" s="1243"/>
      <c r="Q916" s="1243"/>
      <c r="R916" s="1243"/>
      <c r="S916" s="1243"/>
      <c r="T916" s="1243"/>
      <c r="U916" s="1243"/>
      <c r="V916" s="1243"/>
      <c r="W916" s="1243"/>
      <c r="X916" s="1243"/>
      <c r="Y916" s="1243"/>
      <c r="Z916" s="1243"/>
    </row>
    <row r="917" spans="1:26" ht="15.75" customHeight="1" x14ac:dyDescent="0.2">
      <c r="A917" s="1243"/>
      <c r="B917" s="1243"/>
      <c r="C917" s="1243"/>
      <c r="D917" s="1243"/>
      <c r="E917" s="1243"/>
      <c r="F917" s="1243"/>
      <c r="G917" s="1243"/>
      <c r="H917" s="1243"/>
      <c r="I917" s="1243"/>
      <c r="J917" s="1243"/>
      <c r="K917" s="1243"/>
      <c r="L917" s="1243"/>
      <c r="M917" s="1243"/>
      <c r="N917" s="1243"/>
      <c r="O917" s="1243"/>
      <c r="P917" s="1243"/>
      <c r="Q917" s="1243"/>
      <c r="R917" s="1243"/>
      <c r="S917" s="1243"/>
      <c r="T917" s="1243"/>
      <c r="U917" s="1243"/>
      <c r="V917" s="1243"/>
      <c r="W917" s="1243"/>
      <c r="X917" s="1243"/>
      <c r="Y917" s="1243"/>
      <c r="Z917" s="1243"/>
    </row>
    <row r="918" spans="1:26" ht="15.75" customHeight="1" x14ac:dyDescent="0.2">
      <c r="A918" s="1243"/>
      <c r="B918" s="1243"/>
      <c r="C918" s="1243"/>
      <c r="D918" s="1243"/>
      <c r="E918" s="1243"/>
      <c r="F918" s="1243"/>
      <c r="G918" s="1243"/>
      <c r="H918" s="1243"/>
      <c r="I918" s="1243"/>
      <c r="J918" s="1243"/>
      <c r="K918" s="1243"/>
      <c r="L918" s="1243"/>
      <c r="M918" s="1243"/>
      <c r="N918" s="1243"/>
      <c r="O918" s="1243"/>
      <c r="P918" s="1243"/>
      <c r="Q918" s="1243"/>
      <c r="R918" s="1243"/>
      <c r="S918" s="1243"/>
      <c r="T918" s="1243"/>
      <c r="U918" s="1243"/>
      <c r="V918" s="1243"/>
      <c r="W918" s="1243"/>
      <c r="X918" s="1243"/>
      <c r="Y918" s="1243"/>
      <c r="Z918" s="1243"/>
    </row>
    <row r="919" spans="1:26" ht="15.75" customHeight="1" x14ac:dyDescent="0.2">
      <c r="A919" s="1243"/>
      <c r="B919" s="1243"/>
      <c r="C919" s="1243"/>
      <c r="D919" s="1243"/>
      <c r="E919" s="1243"/>
      <c r="F919" s="1243"/>
      <c r="G919" s="1243"/>
      <c r="H919" s="1243"/>
      <c r="I919" s="1243"/>
      <c r="J919" s="1243"/>
      <c r="K919" s="1243"/>
      <c r="L919" s="1243"/>
      <c r="M919" s="1243"/>
      <c r="N919" s="1243"/>
      <c r="O919" s="1243"/>
      <c r="P919" s="1243"/>
      <c r="Q919" s="1243"/>
      <c r="R919" s="1243"/>
      <c r="S919" s="1243"/>
      <c r="T919" s="1243"/>
      <c r="U919" s="1243"/>
      <c r="V919" s="1243"/>
      <c r="W919" s="1243"/>
      <c r="X919" s="1243"/>
      <c r="Y919" s="1243"/>
      <c r="Z919" s="1243"/>
    </row>
    <row r="920" spans="1:26" ht="15.75" customHeight="1" x14ac:dyDescent="0.2">
      <c r="A920" s="1243"/>
      <c r="B920" s="1243"/>
      <c r="C920" s="1243"/>
      <c r="D920" s="1243"/>
      <c r="E920" s="1243"/>
      <c r="F920" s="1243"/>
      <c r="G920" s="1243"/>
      <c r="H920" s="1243"/>
      <c r="I920" s="1243"/>
      <c r="J920" s="1243"/>
      <c r="K920" s="1243"/>
      <c r="L920" s="1243"/>
      <c r="M920" s="1243"/>
      <c r="N920" s="1243"/>
      <c r="O920" s="1243"/>
      <c r="P920" s="1243"/>
      <c r="Q920" s="1243"/>
      <c r="R920" s="1243"/>
      <c r="S920" s="1243"/>
      <c r="T920" s="1243"/>
      <c r="U920" s="1243"/>
      <c r="V920" s="1243"/>
      <c r="W920" s="1243"/>
      <c r="X920" s="1243"/>
      <c r="Y920" s="1243"/>
      <c r="Z920" s="1243"/>
    </row>
    <row r="921" spans="1:26" ht="15.75" customHeight="1" x14ac:dyDescent="0.2">
      <c r="A921" s="1243"/>
      <c r="B921" s="1243"/>
      <c r="C921" s="1243"/>
      <c r="D921" s="1243"/>
      <c r="E921" s="1243"/>
      <c r="F921" s="1243"/>
      <c r="G921" s="1243"/>
      <c r="H921" s="1243"/>
      <c r="I921" s="1243"/>
      <c r="J921" s="1243"/>
      <c r="K921" s="1243"/>
      <c r="L921" s="1243"/>
      <c r="M921" s="1243"/>
      <c r="N921" s="1243"/>
      <c r="O921" s="1243"/>
      <c r="P921" s="1243"/>
      <c r="Q921" s="1243"/>
      <c r="R921" s="1243"/>
      <c r="S921" s="1243"/>
      <c r="T921" s="1243"/>
      <c r="U921" s="1243"/>
      <c r="V921" s="1243"/>
      <c r="W921" s="1243"/>
      <c r="X921" s="1243"/>
      <c r="Y921" s="1243"/>
      <c r="Z921" s="1243"/>
    </row>
    <row r="922" spans="1:26" ht="15.75" customHeight="1" x14ac:dyDescent="0.2">
      <c r="A922" s="1243"/>
      <c r="B922" s="1243"/>
      <c r="C922" s="1243"/>
      <c r="D922" s="1243"/>
      <c r="E922" s="1243"/>
      <c r="F922" s="1243"/>
      <c r="G922" s="1243"/>
      <c r="H922" s="1243"/>
      <c r="I922" s="1243"/>
      <c r="J922" s="1243"/>
      <c r="K922" s="1243"/>
      <c r="L922" s="1243"/>
      <c r="M922" s="1243"/>
      <c r="N922" s="1243"/>
      <c r="O922" s="1243"/>
      <c r="P922" s="1243"/>
      <c r="Q922" s="1243"/>
      <c r="R922" s="1243"/>
      <c r="S922" s="1243"/>
      <c r="T922" s="1243"/>
      <c r="U922" s="1243"/>
      <c r="V922" s="1243"/>
      <c r="W922" s="1243"/>
      <c r="X922" s="1243"/>
      <c r="Y922" s="1243"/>
      <c r="Z922" s="1243"/>
    </row>
    <row r="923" spans="1:26" ht="15.75" customHeight="1" x14ac:dyDescent="0.2">
      <c r="A923" s="1243"/>
      <c r="B923" s="1243"/>
      <c r="C923" s="1243"/>
      <c r="D923" s="1243"/>
      <c r="E923" s="1243"/>
      <c r="F923" s="1243"/>
      <c r="G923" s="1243"/>
      <c r="H923" s="1243"/>
      <c r="I923" s="1243"/>
      <c r="J923" s="1243"/>
      <c r="K923" s="1243"/>
      <c r="L923" s="1243"/>
      <c r="M923" s="1243"/>
      <c r="N923" s="1243"/>
      <c r="O923" s="1243"/>
      <c r="P923" s="1243"/>
      <c r="Q923" s="1243"/>
      <c r="R923" s="1243"/>
      <c r="S923" s="1243"/>
      <c r="T923" s="1243"/>
      <c r="U923" s="1243"/>
      <c r="V923" s="1243"/>
      <c r="W923" s="1243"/>
      <c r="X923" s="1243"/>
      <c r="Y923" s="1243"/>
      <c r="Z923" s="1243"/>
    </row>
    <row r="924" spans="1:26" ht="15.75" customHeight="1" x14ac:dyDescent="0.2">
      <c r="A924" s="1243"/>
      <c r="B924" s="1243"/>
      <c r="C924" s="1243"/>
      <c r="D924" s="1243"/>
      <c r="E924" s="1243"/>
      <c r="F924" s="1243"/>
      <c r="G924" s="1243"/>
      <c r="H924" s="1243"/>
      <c r="I924" s="1243"/>
      <c r="J924" s="1243"/>
      <c r="K924" s="1243"/>
      <c r="L924" s="1243"/>
      <c r="M924" s="1243"/>
      <c r="N924" s="1243"/>
      <c r="O924" s="1243"/>
      <c r="P924" s="1243"/>
      <c r="Q924" s="1243"/>
      <c r="R924" s="1243"/>
      <c r="S924" s="1243"/>
      <c r="T924" s="1243"/>
      <c r="U924" s="1243"/>
      <c r="V924" s="1243"/>
      <c r="W924" s="1243"/>
      <c r="X924" s="1243"/>
      <c r="Y924" s="1243"/>
      <c r="Z924" s="1243"/>
    </row>
    <row r="925" spans="1:26" ht="15.75" customHeight="1" x14ac:dyDescent="0.2">
      <c r="A925" s="1243"/>
      <c r="B925" s="1243"/>
      <c r="C925" s="1243"/>
      <c r="D925" s="1243"/>
      <c r="E925" s="1243"/>
      <c r="F925" s="1243"/>
      <c r="G925" s="1243"/>
      <c r="H925" s="1243"/>
      <c r="I925" s="1243"/>
      <c r="J925" s="1243"/>
      <c r="K925" s="1243"/>
      <c r="L925" s="1243"/>
      <c r="M925" s="1243"/>
      <c r="N925" s="1243"/>
      <c r="O925" s="1243"/>
      <c r="P925" s="1243"/>
      <c r="Q925" s="1243"/>
      <c r="R925" s="1243"/>
      <c r="S925" s="1243"/>
      <c r="T925" s="1243"/>
      <c r="U925" s="1243"/>
      <c r="V925" s="1243"/>
      <c r="W925" s="1243"/>
      <c r="X925" s="1243"/>
      <c r="Y925" s="1243"/>
      <c r="Z925" s="1243"/>
    </row>
    <row r="926" spans="1:26" ht="15.75" customHeight="1" x14ac:dyDescent="0.2">
      <c r="A926" s="1243"/>
      <c r="B926" s="1243"/>
      <c r="C926" s="1243"/>
      <c r="D926" s="1243"/>
      <c r="E926" s="1243"/>
      <c r="F926" s="1243"/>
      <c r="G926" s="1243"/>
      <c r="H926" s="1243"/>
      <c r="I926" s="1243"/>
      <c r="J926" s="1243"/>
      <c r="K926" s="1243"/>
      <c r="L926" s="1243"/>
      <c r="M926" s="1243"/>
      <c r="N926" s="1243"/>
      <c r="O926" s="1243"/>
      <c r="P926" s="1243"/>
      <c r="Q926" s="1243"/>
      <c r="R926" s="1243"/>
      <c r="S926" s="1243"/>
      <c r="T926" s="1243"/>
      <c r="U926" s="1243"/>
      <c r="V926" s="1243"/>
      <c r="W926" s="1243"/>
      <c r="X926" s="1243"/>
      <c r="Y926" s="1243"/>
      <c r="Z926" s="1243"/>
    </row>
    <row r="927" spans="1:26" ht="15.75" customHeight="1" x14ac:dyDescent="0.2">
      <c r="A927" s="1243"/>
      <c r="B927" s="1243"/>
      <c r="C927" s="1243"/>
      <c r="D927" s="1243"/>
      <c r="E927" s="1243"/>
      <c r="F927" s="1243"/>
      <c r="G927" s="1243"/>
      <c r="H927" s="1243"/>
      <c r="I927" s="1243"/>
      <c r="J927" s="1243"/>
      <c r="K927" s="1243"/>
      <c r="L927" s="1243"/>
      <c r="M927" s="1243"/>
      <c r="N927" s="1243"/>
      <c r="O927" s="1243"/>
      <c r="P927" s="1243"/>
      <c r="Q927" s="1243"/>
      <c r="R927" s="1243"/>
      <c r="S927" s="1243"/>
      <c r="T927" s="1243"/>
      <c r="U927" s="1243"/>
      <c r="V927" s="1243"/>
      <c r="W927" s="1243"/>
      <c r="X927" s="1243"/>
      <c r="Y927" s="1243"/>
      <c r="Z927" s="1243"/>
    </row>
    <row r="928" spans="1:26" ht="15.75" customHeight="1" x14ac:dyDescent="0.2">
      <c r="A928" s="1243"/>
      <c r="B928" s="1243"/>
      <c r="C928" s="1243"/>
      <c r="D928" s="1243"/>
      <c r="E928" s="1243"/>
      <c r="F928" s="1243"/>
      <c r="G928" s="1243"/>
      <c r="H928" s="1243"/>
      <c r="I928" s="1243"/>
      <c r="J928" s="1243"/>
      <c r="K928" s="1243"/>
      <c r="L928" s="1243"/>
      <c r="M928" s="1243"/>
      <c r="N928" s="1243"/>
      <c r="O928" s="1243"/>
      <c r="P928" s="1243"/>
      <c r="Q928" s="1243"/>
      <c r="R928" s="1243"/>
      <c r="S928" s="1243"/>
      <c r="T928" s="1243"/>
      <c r="U928" s="1243"/>
      <c r="V928" s="1243"/>
      <c r="W928" s="1243"/>
      <c r="X928" s="1243"/>
      <c r="Y928" s="1243"/>
      <c r="Z928" s="1243"/>
    </row>
    <row r="929" spans="1:26" ht="15.75" customHeight="1" x14ac:dyDescent="0.2">
      <c r="A929" s="1243"/>
      <c r="B929" s="1243"/>
      <c r="C929" s="1243"/>
      <c r="D929" s="1243"/>
      <c r="E929" s="1243"/>
      <c r="F929" s="1243"/>
      <c r="G929" s="1243"/>
      <c r="H929" s="1243"/>
      <c r="I929" s="1243"/>
      <c r="J929" s="1243"/>
      <c r="K929" s="1243"/>
      <c r="L929" s="1243"/>
      <c r="M929" s="1243"/>
      <c r="N929" s="1243"/>
      <c r="O929" s="1243"/>
      <c r="P929" s="1243"/>
      <c r="Q929" s="1243"/>
      <c r="R929" s="1243"/>
      <c r="S929" s="1243"/>
      <c r="T929" s="1243"/>
      <c r="U929" s="1243"/>
      <c r="V929" s="1243"/>
      <c r="W929" s="1243"/>
      <c r="X929" s="1243"/>
      <c r="Y929" s="1243"/>
      <c r="Z929" s="1243"/>
    </row>
    <row r="930" spans="1:26" ht="15.75" customHeight="1" x14ac:dyDescent="0.2">
      <c r="A930" s="1243"/>
      <c r="B930" s="1243"/>
      <c r="C930" s="1243"/>
      <c r="D930" s="1243"/>
      <c r="E930" s="1243"/>
      <c r="F930" s="1243"/>
      <c r="G930" s="1243"/>
      <c r="H930" s="1243"/>
      <c r="I930" s="1243"/>
      <c r="J930" s="1243"/>
      <c r="K930" s="1243"/>
      <c r="L930" s="1243"/>
      <c r="M930" s="1243"/>
      <c r="N930" s="1243"/>
      <c r="O930" s="1243"/>
      <c r="P930" s="1243"/>
      <c r="Q930" s="1243"/>
      <c r="R930" s="1243"/>
      <c r="S930" s="1243"/>
      <c r="T930" s="1243"/>
      <c r="U930" s="1243"/>
      <c r="V930" s="1243"/>
      <c r="W930" s="1243"/>
      <c r="X930" s="1243"/>
      <c r="Y930" s="1243"/>
      <c r="Z930" s="1243"/>
    </row>
    <row r="931" spans="1:26" ht="15.75" customHeight="1" x14ac:dyDescent="0.2">
      <c r="A931" s="1243"/>
      <c r="B931" s="1243"/>
      <c r="C931" s="1243"/>
      <c r="D931" s="1243"/>
      <c r="E931" s="1243"/>
      <c r="F931" s="1243"/>
      <c r="G931" s="1243"/>
      <c r="H931" s="1243"/>
      <c r="I931" s="1243"/>
      <c r="J931" s="1243"/>
      <c r="K931" s="1243"/>
      <c r="L931" s="1243"/>
      <c r="M931" s="1243"/>
      <c r="N931" s="1243"/>
      <c r="O931" s="1243"/>
      <c r="P931" s="1243"/>
      <c r="Q931" s="1243"/>
      <c r="R931" s="1243"/>
      <c r="S931" s="1243"/>
      <c r="T931" s="1243"/>
      <c r="U931" s="1243"/>
      <c r="V931" s="1243"/>
      <c r="W931" s="1243"/>
      <c r="X931" s="1243"/>
      <c r="Y931" s="1243"/>
      <c r="Z931" s="1243"/>
    </row>
    <row r="932" spans="1:26" ht="15.75" customHeight="1" x14ac:dyDescent="0.2">
      <c r="A932" s="1243"/>
      <c r="B932" s="1243"/>
      <c r="C932" s="1243"/>
      <c r="D932" s="1243"/>
      <c r="E932" s="1243"/>
      <c r="F932" s="1243"/>
      <c r="G932" s="1243"/>
      <c r="H932" s="1243"/>
      <c r="I932" s="1243"/>
      <c r="J932" s="1243"/>
      <c r="K932" s="1243"/>
      <c r="L932" s="1243"/>
      <c r="M932" s="1243"/>
      <c r="N932" s="1243"/>
      <c r="O932" s="1243"/>
      <c r="P932" s="1243"/>
      <c r="Q932" s="1243"/>
      <c r="R932" s="1243"/>
      <c r="S932" s="1243"/>
      <c r="T932" s="1243"/>
      <c r="U932" s="1243"/>
      <c r="V932" s="1243"/>
      <c r="W932" s="1243"/>
      <c r="X932" s="1243"/>
      <c r="Y932" s="1243"/>
      <c r="Z932" s="1243"/>
    </row>
    <row r="933" spans="1:26" ht="15.75" customHeight="1" x14ac:dyDescent="0.2">
      <c r="A933" s="1243"/>
      <c r="B933" s="1243"/>
      <c r="C933" s="1243"/>
      <c r="D933" s="1243"/>
      <c r="E933" s="1243"/>
      <c r="F933" s="1243"/>
      <c r="G933" s="1243"/>
      <c r="H933" s="1243"/>
      <c r="I933" s="1243"/>
      <c r="J933" s="1243"/>
      <c r="K933" s="1243"/>
      <c r="L933" s="1243"/>
      <c r="M933" s="1243"/>
      <c r="N933" s="1243"/>
      <c r="O933" s="1243"/>
      <c r="P933" s="1243"/>
      <c r="Q933" s="1243"/>
      <c r="R933" s="1243"/>
      <c r="S933" s="1243"/>
      <c r="T933" s="1243"/>
      <c r="U933" s="1243"/>
      <c r="V933" s="1243"/>
      <c r="W933" s="1243"/>
      <c r="X933" s="1243"/>
      <c r="Y933" s="1243"/>
      <c r="Z933" s="1243"/>
    </row>
    <row r="934" spans="1:26" ht="15.75" customHeight="1" x14ac:dyDescent="0.2">
      <c r="A934" s="1243"/>
      <c r="B934" s="1243"/>
      <c r="C934" s="1243"/>
      <c r="D934" s="1243"/>
      <c r="E934" s="1243"/>
      <c r="F934" s="1243"/>
      <c r="G934" s="1243"/>
      <c r="H934" s="1243"/>
      <c r="I934" s="1243"/>
      <c r="J934" s="1243"/>
      <c r="K934" s="1243"/>
      <c r="L934" s="1243"/>
      <c r="M934" s="1243"/>
      <c r="N934" s="1243"/>
      <c r="O934" s="1243"/>
      <c r="P934" s="1243"/>
      <c r="Q934" s="1243"/>
      <c r="R934" s="1243"/>
      <c r="S934" s="1243"/>
      <c r="T934" s="1243"/>
      <c r="U934" s="1243"/>
      <c r="V934" s="1243"/>
      <c r="W934" s="1243"/>
      <c r="X934" s="1243"/>
      <c r="Y934" s="1243"/>
      <c r="Z934" s="1243"/>
    </row>
    <row r="935" spans="1:26" ht="15.75" customHeight="1" x14ac:dyDescent="0.2">
      <c r="A935" s="1243"/>
      <c r="B935" s="1243"/>
      <c r="C935" s="1243"/>
      <c r="D935" s="1243"/>
      <c r="E935" s="1243"/>
      <c r="F935" s="1243"/>
      <c r="G935" s="1243"/>
      <c r="H935" s="1243"/>
      <c r="I935" s="1243"/>
      <c r="J935" s="1243"/>
      <c r="K935" s="1243"/>
      <c r="L935" s="1243"/>
      <c r="M935" s="1243"/>
      <c r="N935" s="1243"/>
      <c r="O935" s="1243"/>
      <c r="P935" s="1243"/>
      <c r="Q935" s="1243"/>
      <c r="R935" s="1243"/>
      <c r="S935" s="1243"/>
      <c r="T935" s="1243"/>
      <c r="U935" s="1243"/>
      <c r="V935" s="1243"/>
      <c r="W935" s="1243"/>
      <c r="X935" s="1243"/>
      <c r="Y935" s="1243"/>
      <c r="Z935" s="1243"/>
    </row>
    <row r="936" spans="1:26" ht="15.75" customHeight="1" x14ac:dyDescent="0.2">
      <c r="A936" s="1243"/>
      <c r="B936" s="1243"/>
      <c r="C936" s="1243"/>
      <c r="D936" s="1243"/>
      <c r="E936" s="1243"/>
      <c r="F936" s="1243"/>
      <c r="G936" s="1243"/>
      <c r="H936" s="1243"/>
      <c r="I936" s="1243"/>
      <c r="J936" s="1243"/>
      <c r="K936" s="1243"/>
      <c r="L936" s="1243"/>
      <c r="M936" s="1243"/>
      <c r="N936" s="1243"/>
      <c r="O936" s="1243"/>
      <c r="P936" s="1243"/>
      <c r="Q936" s="1243"/>
      <c r="R936" s="1243"/>
      <c r="S936" s="1243"/>
      <c r="T936" s="1243"/>
      <c r="U936" s="1243"/>
      <c r="V936" s="1243"/>
      <c r="W936" s="1243"/>
      <c r="X936" s="1243"/>
      <c r="Y936" s="1243"/>
      <c r="Z936" s="1243"/>
    </row>
    <row r="937" spans="1:26" ht="15.75" customHeight="1" x14ac:dyDescent="0.2">
      <c r="A937" s="1243"/>
      <c r="B937" s="1243"/>
      <c r="C937" s="1243"/>
      <c r="D937" s="1243"/>
      <c r="E937" s="1243"/>
      <c r="F937" s="1243"/>
      <c r="G937" s="1243"/>
      <c r="H937" s="1243"/>
      <c r="I937" s="1243"/>
      <c r="J937" s="1243"/>
      <c r="K937" s="1243"/>
      <c r="L937" s="1243"/>
      <c r="M937" s="1243"/>
      <c r="N937" s="1243"/>
      <c r="O937" s="1243"/>
      <c r="P937" s="1243"/>
      <c r="Q937" s="1243"/>
      <c r="R937" s="1243"/>
      <c r="S937" s="1243"/>
      <c r="T937" s="1243"/>
      <c r="U937" s="1243"/>
      <c r="V937" s="1243"/>
      <c r="W937" s="1243"/>
      <c r="X937" s="1243"/>
      <c r="Y937" s="1243"/>
      <c r="Z937" s="1243"/>
    </row>
    <row r="938" spans="1:26" ht="15.75" customHeight="1" x14ac:dyDescent="0.2">
      <c r="A938" s="1243"/>
      <c r="B938" s="1243"/>
      <c r="C938" s="1243"/>
      <c r="D938" s="1243"/>
      <c r="E938" s="1243"/>
      <c r="F938" s="1243"/>
      <c r="G938" s="1243"/>
      <c r="H938" s="1243"/>
      <c r="I938" s="1243"/>
      <c r="J938" s="1243"/>
      <c r="K938" s="1243"/>
      <c r="L938" s="1243"/>
      <c r="M938" s="1243"/>
      <c r="N938" s="1243"/>
      <c r="O938" s="1243"/>
      <c r="P938" s="1243"/>
      <c r="Q938" s="1243"/>
      <c r="R938" s="1243"/>
      <c r="S938" s="1243"/>
      <c r="T938" s="1243"/>
      <c r="U938" s="1243"/>
      <c r="V938" s="1243"/>
      <c r="W938" s="1243"/>
      <c r="X938" s="1243"/>
      <c r="Y938" s="1243"/>
      <c r="Z938" s="1243"/>
    </row>
    <row r="939" spans="1:26" ht="15.75" customHeight="1" x14ac:dyDescent="0.2">
      <c r="A939" s="1243"/>
      <c r="B939" s="1243"/>
      <c r="C939" s="1243"/>
      <c r="D939" s="1243"/>
      <c r="E939" s="1243"/>
      <c r="F939" s="1243"/>
      <c r="G939" s="1243"/>
      <c r="H939" s="1243"/>
      <c r="I939" s="1243"/>
      <c r="J939" s="1243"/>
      <c r="K939" s="1243"/>
      <c r="L939" s="1243"/>
      <c r="M939" s="1243"/>
      <c r="N939" s="1243"/>
      <c r="O939" s="1243"/>
      <c r="P939" s="1243"/>
      <c r="Q939" s="1243"/>
      <c r="R939" s="1243"/>
      <c r="S939" s="1243"/>
      <c r="T939" s="1243"/>
      <c r="U939" s="1243"/>
      <c r="V939" s="1243"/>
      <c r="W939" s="1243"/>
      <c r="X939" s="1243"/>
      <c r="Y939" s="1243"/>
      <c r="Z939" s="1243"/>
    </row>
    <row r="940" spans="1:26" ht="15.75" customHeight="1" x14ac:dyDescent="0.2">
      <c r="A940" s="1243"/>
      <c r="B940" s="1243"/>
      <c r="C940" s="1243"/>
      <c r="D940" s="1243"/>
      <c r="E940" s="1243"/>
      <c r="F940" s="1243"/>
      <c r="G940" s="1243"/>
      <c r="H940" s="1243"/>
      <c r="I940" s="1243"/>
      <c r="J940" s="1243"/>
      <c r="K940" s="1243"/>
      <c r="L940" s="1243"/>
      <c r="M940" s="1243"/>
      <c r="N940" s="1243"/>
      <c r="O940" s="1243"/>
      <c r="P940" s="1243"/>
      <c r="Q940" s="1243"/>
      <c r="R940" s="1243"/>
      <c r="S940" s="1243"/>
      <c r="T940" s="1243"/>
      <c r="U940" s="1243"/>
      <c r="V940" s="1243"/>
      <c r="W940" s="1243"/>
      <c r="X940" s="1243"/>
      <c r="Y940" s="1243"/>
      <c r="Z940" s="1243"/>
    </row>
    <row r="941" spans="1:26" ht="15.75" customHeight="1" x14ac:dyDescent="0.2">
      <c r="A941" s="1243"/>
      <c r="B941" s="1243"/>
      <c r="C941" s="1243"/>
      <c r="D941" s="1243"/>
      <c r="E941" s="1243"/>
      <c r="F941" s="1243"/>
      <c r="G941" s="1243"/>
      <c r="H941" s="1243"/>
      <c r="I941" s="1243"/>
      <c r="J941" s="1243"/>
      <c r="K941" s="1243"/>
      <c r="L941" s="1243"/>
      <c r="M941" s="1243"/>
      <c r="N941" s="1243"/>
      <c r="O941" s="1243"/>
      <c r="P941" s="1243"/>
      <c r="Q941" s="1243"/>
      <c r="R941" s="1243"/>
      <c r="S941" s="1243"/>
      <c r="T941" s="1243"/>
      <c r="U941" s="1243"/>
      <c r="V941" s="1243"/>
      <c r="W941" s="1243"/>
      <c r="X941" s="1243"/>
      <c r="Y941" s="1243"/>
      <c r="Z941" s="1243"/>
    </row>
    <row r="942" spans="1:26" ht="15.75" customHeight="1" x14ac:dyDescent="0.2">
      <c r="A942" s="1243"/>
      <c r="B942" s="1243"/>
      <c r="C942" s="1243"/>
      <c r="D942" s="1243"/>
      <c r="E942" s="1243"/>
      <c r="F942" s="1243"/>
      <c r="G942" s="1243"/>
      <c r="H942" s="1243"/>
      <c r="I942" s="1243"/>
      <c r="J942" s="1243"/>
      <c r="K942" s="1243"/>
      <c r="L942" s="1243"/>
      <c r="M942" s="1243"/>
      <c r="N942" s="1243"/>
      <c r="O942" s="1243"/>
      <c r="P942" s="1243"/>
      <c r="Q942" s="1243"/>
      <c r="R942" s="1243"/>
      <c r="S942" s="1243"/>
      <c r="T942" s="1243"/>
      <c r="U942" s="1243"/>
      <c r="V942" s="1243"/>
      <c r="W942" s="1243"/>
      <c r="X942" s="1243"/>
      <c r="Y942" s="1243"/>
      <c r="Z942" s="1243"/>
    </row>
    <row r="943" spans="1:26" ht="15.75" customHeight="1" x14ac:dyDescent="0.2">
      <c r="A943" s="1243"/>
      <c r="B943" s="1243"/>
      <c r="C943" s="1243"/>
      <c r="D943" s="1243"/>
      <c r="E943" s="1243"/>
      <c r="F943" s="1243"/>
      <c r="G943" s="1243"/>
      <c r="H943" s="1243"/>
      <c r="I943" s="1243"/>
      <c r="J943" s="1243"/>
      <c r="K943" s="1243"/>
      <c r="L943" s="1243"/>
      <c r="M943" s="1243"/>
      <c r="N943" s="1243"/>
      <c r="O943" s="1243"/>
      <c r="P943" s="1243"/>
      <c r="Q943" s="1243"/>
      <c r="R943" s="1243"/>
      <c r="S943" s="1243"/>
      <c r="T943" s="1243"/>
      <c r="U943" s="1243"/>
      <c r="V943" s="1243"/>
      <c r="W943" s="1243"/>
      <c r="X943" s="1243"/>
      <c r="Y943" s="1243"/>
      <c r="Z943" s="1243"/>
    </row>
    <row r="944" spans="1:26" ht="15.75" customHeight="1" x14ac:dyDescent="0.2">
      <c r="A944" s="1243"/>
      <c r="B944" s="1243"/>
      <c r="C944" s="1243"/>
      <c r="D944" s="1243"/>
      <c r="E944" s="1243"/>
      <c r="F944" s="1243"/>
      <c r="G944" s="1243"/>
      <c r="H944" s="1243"/>
      <c r="I944" s="1243"/>
      <c r="J944" s="1243"/>
      <c r="K944" s="1243"/>
      <c r="L944" s="1243"/>
      <c r="M944" s="1243"/>
      <c r="N944" s="1243"/>
      <c r="O944" s="1243"/>
      <c r="P944" s="1243"/>
      <c r="Q944" s="1243"/>
      <c r="R944" s="1243"/>
      <c r="S944" s="1243"/>
      <c r="T944" s="1243"/>
      <c r="U944" s="1243"/>
      <c r="V944" s="1243"/>
      <c r="W944" s="1243"/>
      <c r="X944" s="1243"/>
      <c r="Y944" s="1243"/>
      <c r="Z944" s="1243"/>
    </row>
    <row r="945" spans="1:26" ht="15.75" customHeight="1" x14ac:dyDescent="0.2">
      <c r="A945" s="1243"/>
      <c r="B945" s="1243"/>
      <c r="C945" s="1243"/>
      <c r="D945" s="1243"/>
      <c r="E945" s="1243"/>
      <c r="F945" s="1243"/>
      <c r="G945" s="1243"/>
      <c r="H945" s="1243"/>
      <c r="I945" s="1243"/>
      <c r="J945" s="1243"/>
      <c r="K945" s="1243"/>
      <c r="L945" s="1243"/>
      <c r="M945" s="1243"/>
      <c r="N945" s="1243"/>
      <c r="O945" s="1243"/>
      <c r="P945" s="1243"/>
      <c r="Q945" s="1243"/>
      <c r="R945" s="1243"/>
      <c r="S945" s="1243"/>
      <c r="T945" s="1243"/>
      <c r="U945" s="1243"/>
      <c r="V945" s="1243"/>
      <c r="W945" s="1243"/>
      <c r="X945" s="1243"/>
      <c r="Y945" s="1243"/>
      <c r="Z945" s="1243"/>
    </row>
    <row r="946" spans="1:26" ht="15.75" customHeight="1" x14ac:dyDescent="0.2">
      <c r="A946" s="1243"/>
      <c r="B946" s="1243"/>
      <c r="C946" s="1243"/>
      <c r="D946" s="1243"/>
      <c r="E946" s="1243"/>
      <c r="F946" s="1243"/>
      <c r="G946" s="1243"/>
      <c r="H946" s="1243"/>
      <c r="I946" s="1243"/>
      <c r="J946" s="1243"/>
      <c r="K946" s="1243"/>
      <c r="L946" s="1243"/>
      <c r="M946" s="1243"/>
      <c r="N946" s="1243"/>
      <c r="O946" s="1243"/>
      <c r="P946" s="1243"/>
      <c r="Q946" s="1243"/>
      <c r="R946" s="1243"/>
      <c r="S946" s="1243"/>
      <c r="T946" s="1243"/>
      <c r="U946" s="1243"/>
      <c r="V946" s="1243"/>
      <c r="W946" s="1243"/>
      <c r="X946" s="1243"/>
      <c r="Y946" s="1243"/>
      <c r="Z946" s="1243"/>
    </row>
    <row r="947" spans="1:26" ht="15.75" customHeight="1" x14ac:dyDescent="0.2">
      <c r="A947" s="1243"/>
      <c r="B947" s="1243"/>
      <c r="C947" s="1243"/>
      <c r="D947" s="1243"/>
      <c r="E947" s="1243"/>
      <c r="F947" s="1243"/>
      <c r="G947" s="1243"/>
      <c r="H947" s="1243"/>
      <c r="I947" s="1243"/>
      <c r="J947" s="1243"/>
      <c r="K947" s="1243"/>
      <c r="L947" s="1243"/>
      <c r="M947" s="1243"/>
      <c r="N947" s="1243"/>
      <c r="O947" s="1243"/>
      <c r="P947" s="1243"/>
      <c r="Q947" s="1243"/>
      <c r="R947" s="1243"/>
      <c r="S947" s="1243"/>
      <c r="T947" s="1243"/>
      <c r="U947" s="1243"/>
      <c r="V947" s="1243"/>
      <c r="W947" s="1243"/>
      <c r="X947" s="1243"/>
      <c r="Y947" s="1243"/>
      <c r="Z947" s="1243"/>
    </row>
    <row r="948" spans="1:26" ht="15.75" customHeight="1" x14ac:dyDescent="0.2">
      <c r="A948" s="1243"/>
      <c r="B948" s="1243"/>
      <c r="C948" s="1243"/>
      <c r="D948" s="1243"/>
      <c r="E948" s="1243"/>
      <c r="F948" s="1243"/>
      <c r="G948" s="1243"/>
      <c r="H948" s="1243"/>
      <c r="I948" s="1243"/>
      <c r="J948" s="1243"/>
      <c r="K948" s="1243"/>
      <c r="L948" s="1243"/>
      <c r="M948" s="1243"/>
      <c r="N948" s="1243"/>
      <c r="O948" s="1243"/>
      <c r="P948" s="1243"/>
      <c r="Q948" s="1243"/>
      <c r="R948" s="1243"/>
      <c r="S948" s="1243"/>
      <c r="T948" s="1243"/>
      <c r="U948" s="1243"/>
      <c r="V948" s="1243"/>
      <c r="W948" s="1243"/>
      <c r="X948" s="1243"/>
      <c r="Y948" s="1243"/>
      <c r="Z948" s="1243"/>
    </row>
    <row r="949" spans="1:26" ht="15.75" customHeight="1" x14ac:dyDescent="0.2">
      <c r="A949" s="1243"/>
      <c r="B949" s="1243"/>
      <c r="C949" s="1243"/>
      <c r="D949" s="1243"/>
      <c r="E949" s="1243"/>
      <c r="F949" s="1243"/>
      <c r="G949" s="1243"/>
      <c r="H949" s="1243"/>
      <c r="I949" s="1243"/>
      <c r="J949" s="1243"/>
      <c r="K949" s="1243"/>
      <c r="L949" s="1243"/>
      <c r="M949" s="1243"/>
      <c r="N949" s="1243"/>
      <c r="O949" s="1243"/>
      <c r="P949" s="1243"/>
      <c r="Q949" s="1243"/>
      <c r="R949" s="1243"/>
      <c r="S949" s="1243"/>
      <c r="T949" s="1243"/>
      <c r="U949" s="1243"/>
      <c r="V949" s="1243"/>
      <c r="W949" s="1243"/>
      <c r="X949" s="1243"/>
      <c r="Y949" s="1243"/>
      <c r="Z949" s="1243"/>
    </row>
    <row r="950" spans="1:26" ht="15.75" customHeight="1" x14ac:dyDescent="0.2">
      <c r="A950" s="1243"/>
      <c r="B950" s="1243"/>
      <c r="C950" s="1243"/>
      <c r="D950" s="1243"/>
      <c r="E950" s="1243"/>
      <c r="F950" s="1243"/>
      <c r="G950" s="1243"/>
      <c r="H950" s="1243"/>
      <c r="I950" s="1243"/>
      <c r="J950" s="1243"/>
      <c r="K950" s="1243"/>
      <c r="L950" s="1243"/>
      <c r="M950" s="1243"/>
      <c r="N950" s="1243"/>
      <c r="O950" s="1243"/>
      <c r="P950" s="1243"/>
      <c r="Q950" s="1243"/>
      <c r="R950" s="1243"/>
      <c r="S950" s="1243"/>
      <c r="T950" s="1243"/>
      <c r="U950" s="1243"/>
      <c r="V950" s="1243"/>
      <c r="W950" s="1243"/>
      <c r="X950" s="1243"/>
      <c r="Y950" s="1243"/>
      <c r="Z950" s="1243"/>
    </row>
    <row r="951" spans="1:26" ht="15.75" customHeight="1" x14ac:dyDescent="0.2">
      <c r="A951" s="1243"/>
      <c r="B951" s="1243"/>
      <c r="C951" s="1243"/>
      <c r="D951" s="1243"/>
      <c r="E951" s="1243"/>
      <c r="F951" s="1243"/>
      <c r="G951" s="1243"/>
      <c r="H951" s="1243"/>
      <c r="I951" s="1243"/>
      <c r="J951" s="1243"/>
      <c r="K951" s="1243"/>
      <c r="L951" s="1243"/>
      <c r="M951" s="1243"/>
      <c r="N951" s="1243"/>
      <c r="O951" s="1243"/>
      <c r="P951" s="1243"/>
      <c r="Q951" s="1243"/>
      <c r="R951" s="1243"/>
      <c r="S951" s="1243"/>
      <c r="T951" s="1243"/>
      <c r="U951" s="1243"/>
      <c r="V951" s="1243"/>
      <c r="W951" s="1243"/>
      <c r="X951" s="1243"/>
      <c r="Y951" s="1243"/>
      <c r="Z951" s="1243"/>
    </row>
    <row r="952" spans="1:26" ht="15.75" customHeight="1" x14ac:dyDescent="0.2">
      <c r="A952" s="1243"/>
      <c r="B952" s="1243"/>
      <c r="C952" s="1243"/>
      <c r="D952" s="1243"/>
      <c r="E952" s="1243"/>
      <c r="F952" s="1243"/>
      <c r="G952" s="1243"/>
      <c r="H952" s="1243"/>
      <c r="I952" s="1243"/>
      <c r="J952" s="1243"/>
      <c r="K952" s="1243"/>
      <c r="L952" s="1243"/>
      <c r="M952" s="1243"/>
      <c r="N952" s="1243"/>
      <c r="O952" s="1243"/>
      <c r="P952" s="1243"/>
      <c r="Q952" s="1243"/>
      <c r="R952" s="1243"/>
      <c r="S952" s="1243"/>
      <c r="T952" s="1243"/>
      <c r="U952" s="1243"/>
      <c r="V952" s="1243"/>
      <c r="W952" s="1243"/>
      <c r="X952" s="1243"/>
      <c r="Y952" s="1243"/>
      <c r="Z952" s="1243"/>
    </row>
    <row r="953" spans="1:26" ht="15.75" customHeight="1" x14ac:dyDescent="0.2">
      <c r="A953" s="1243"/>
      <c r="B953" s="1243"/>
      <c r="C953" s="1243"/>
      <c r="D953" s="1243"/>
      <c r="E953" s="1243"/>
      <c r="F953" s="1243"/>
      <c r="G953" s="1243"/>
      <c r="H953" s="1243"/>
      <c r="I953" s="1243"/>
      <c r="J953" s="1243"/>
      <c r="K953" s="1243"/>
      <c r="L953" s="1243"/>
      <c r="M953" s="1243"/>
      <c r="N953" s="1243"/>
      <c r="O953" s="1243"/>
      <c r="P953" s="1243"/>
      <c r="Q953" s="1243"/>
      <c r="R953" s="1243"/>
      <c r="S953" s="1243"/>
      <c r="T953" s="1243"/>
      <c r="U953" s="1243"/>
      <c r="V953" s="1243"/>
      <c r="W953" s="1243"/>
      <c r="X953" s="1243"/>
      <c r="Y953" s="1243"/>
      <c r="Z953" s="1243"/>
    </row>
    <row r="954" spans="1:26" ht="15.75" customHeight="1" x14ac:dyDescent="0.2">
      <c r="A954" s="1243"/>
      <c r="B954" s="1243"/>
      <c r="C954" s="1243"/>
      <c r="D954" s="1243"/>
      <c r="E954" s="1243"/>
      <c r="F954" s="1243"/>
      <c r="G954" s="1243"/>
      <c r="H954" s="1243"/>
      <c r="I954" s="1243"/>
      <c r="J954" s="1243"/>
      <c r="K954" s="1243"/>
      <c r="L954" s="1243"/>
      <c r="M954" s="1243"/>
      <c r="N954" s="1243"/>
      <c r="O954" s="1243"/>
      <c r="P954" s="1243"/>
      <c r="Q954" s="1243"/>
      <c r="R954" s="1243"/>
      <c r="S954" s="1243"/>
      <c r="T954" s="1243"/>
      <c r="U954" s="1243"/>
      <c r="V954" s="1243"/>
      <c r="W954" s="1243"/>
      <c r="X954" s="1243"/>
      <c r="Y954" s="1243"/>
      <c r="Z954" s="1243"/>
    </row>
    <row r="955" spans="1:26" ht="15.75" customHeight="1" x14ac:dyDescent="0.2">
      <c r="A955" s="1243"/>
      <c r="B955" s="1243"/>
      <c r="C955" s="1243"/>
      <c r="D955" s="1243"/>
      <c r="E955" s="1243"/>
      <c r="F955" s="1243"/>
      <c r="G955" s="1243"/>
      <c r="H955" s="1243"/>
      <c r="I955" s="1243"/>
      <c r="J955" s="1243"/>
      <c r="K955" s="1243"/>
      <c r="L955" s="1243"/>
      <c r="M955" s="1243"/>
      <c r="N955" s="1243"/>
      <c r="O955" s="1243"/>
      <c r="P955" s="1243"/>
      <c r="Q955" s="1243"/>
      <c r="R955" s="1243"/>
      <c r="S955" s="1243"/>
      <c r="T955" s="1243"/>
      <c r="U955" s="1243"/>
      <c r="V955" s="1243"/>
      <c r="W955" s="1243"/>
      <c r="X955" s="1243"/>
      <c r="Y955" s="1243"/>
      <c r="Z955" s="1243"/>
    </row>
    <row r="956" spans="1:26" ht="15.75" customHeight="1" x14ac:dyDescent="0.2">
      <c r="A956" s="1243"/>
      <c r="B956" s="1243"/>
      <c r="C956" s="1243"/>
      <c r="D956" s="1243"/>
      <c r="E956" s="1243"/>
      <c r="F956" s="1243"/>
      <c r="G956" s="1243"/>
      <c r="H956" s="1243"/>
      <c r="I956" s="1243"/>
      <c r="J956" s="1243"/>
      <c r="K956" s="1243"/>
      <c r="L956" s="1243"/>
      <c r="M956" s="1243"/>
      <c r="N956" s="1243"/>
      <c r="O956" s="1243"/>
      <c r="P956" s="1243"/>
      <c r="Q956" s="1243"/>
      <c r="R956" s="1243"/>
      <c r="S956" s="1243"/>
      <c r="T956" s="1243"/>
      <c r="U956" s="1243"/>
      <c r="V956" s="1243"/>
      <c r="W956" s="1243"/>
      <c r="X956" s="1243"/>
      <c r="Y956" s="1243"/>
      <c r="Z956" s="1243"/>
    </row>
    <row r="957" spans="1:26" ht="15.75" customHeight="1" x14ac:dyDescent="0.2">
      <c r="A957" s="1243"/>
      <c r="B957" s="1243"/>
      <c r="C957" s="1243"/>
      <c r="D957" s="1243"/>
      <c r="E957" s="1243"/>
      <c r="F957" s="1243"/>
      <c r="G957" s="1243"/>
      <c r="H957" s="1243"/>
      <c r="I957" s="1243"/>
      <c r="J957" s="1243"/>
      <c r="K957" s="1243"/>
      <c r="L957" s="1243"/>
      <c r="M957" s="1243"/>
      <c r="N957" s="1243"/>
      <c r="O957" s="1243"/>
      <c r="P957" s="1243"/>
      <c r="Q957" s="1243"/>
      <c r="R957" s="1243"/>
      <c r="S957" s="1243"/>
      <c r="T957" s="1243"/>
      <c r="U957" s="1243"/>
      <c r="V957" s="1243"/>
      <c r="W957" s="1243"/>
      <c r="X957" s="1243"/>
      <c r="Y957" s="1243"/>
      <c r="Z957" s="1243"/>
    </row>
    <row r="958" spans="1:26" ht="15.75" customHeight="1" x14ac:dyDescent="0.2">
      <c r="A958" s="1243"/>
      <c r="B958" s="1243"/>
      <c r="C958" s="1243"/>
      <c r="D958" s="1243"/>
      <c r="E958" s="1243"/>
      <c r="F958" s="1243"/>
      <c r="G958" s="1243"/>
      <c r="H958" s="1243"/>
      <c r="I958" s="1243"/>
      <c r="J958" s="1243"/>
      <c r="K958" s="1243"/>
      <c r="L958" s="1243"/>
      <c r="M958" s="1243"/>
      <c r="N958" s="1243"/>
      <c r="O958" s="1243"/>
      <c r="P958" s="1243"/>
      <c r="Q958" s="1243"/>
      <c r="R958" s="1243"/>
      <c r="S958" s="1243"/>
      <c r="T958" s="1243"/>
      <c r="U958" s="1243"/>
      <c r="V958" s="1243"/>
      <c r="W958" s="1243"/>
      <c r="X958" s="1243"/>
      <c r="Y958" s="1243"/>
      <c r="Z958" s="1243"/>
    </row>
    <row r="959" spans="1:26" ht="15.75" customHeight="1" x14ac:dyDescent="0.2">
      <c r="A959" s="1243"/>
      <c r="B959" s="1243"/>
      <c r="C959" s="1243"/>
      <c r="D959" s="1243"/>
      <c r="E959" s="1243"/>
      <c r="F959" s="1243"/>
      <c r="G959" s="1243"/>
      <c r="H959" s="1243"/>
      <c r="I959" s="1243"/>
      <c r="J959" s="1243"/>
      <c r="K959" s="1243"/>
      <c r="L959" s="1243"/>
      <c r="M959" s="1243"/>
      <c r="N959" s="1243"/>
      <c r="O959" s="1243"/>
      <c r="P959" s="1243"/>
      <c r="Q959" s="1243"/>
      <c r="R959" s="1243"/>
      <c r="S959" s="1243"/>
      <c r="T959" s="1243"/>
      <c r="U959" s="1243"/>
      <c r="V959" s="1243"/>
      <c r="W959" s="1243"/>
      <c r="X959" s="1243"/>
      <c r="Y959" s="1243"/>
      <c r="Z959" s="1243"/>
    </row>
    <row r="960" spans="1:26" ht="15.75" customHeight="1" x14ac:dyDescent="0.2">
      <c r="A960" s="1243"/>
      <c r="B960" s="1243"/>
      <c r="C960" s="1243"/>
      <c r="D960" s="1243"/>
      <c r="E960" s="1243"/>
      <c r="F960" s="1243"/>
      <c r="G960" s="1243"/>
      <c r="H960" s="1243"/>
      <c r="I960" s="1243"/>
      <c r="J960" s="1243"/>
      <c r="K960" s="1243"/>
      <c r="L960" s="1243"/>
      <c r="M960" s="1243"/>
      <c r="N960" s="1243"/>
      <c r="O960" s="1243"/>
      <c r="P960" s="1243"/>
      <c r="Q960" s="1243"/>
      <c r="R960" s="1243"/>
      <c r="S960" s="1243"/>
      <c r="T960" s="1243"/>
      <c r="U960" s="1243"/>
      <c r="V960" s="1243"/>
      <c r="W960" s="1243"/>
      <c r="X960" s="1243"/>
      <c r="Y960" s="1243"/>
      <c r="Z960" s="1243"/>
    </row>
    <row r="961" spans="1:26" ht="15.75" customHeight="1" x14ac:dyDescent="0.2">
      <c r="A961" s="1243"/>
      <c r="B961" s="1243"/>
      <c r="C961" s="1243"/>
      <c r="D961" s="1243"/>
      <c r="E961" s="1243"/>
      <c r="F961" s="1243"/>
      <c r="G961" s="1243"/>
      <c r="H961" s="1243"/>
      <c r="I961" s="1243"/>
      <c r="J961" s="1243"/>
      <c r="K961" s="1243"/>
      <c r="L961" s="1243"/>
      <c r="M961" s="1243"/>
      <c r="N961" s="1243"/>
      <c r="O961" s="1243"/>
      <c r="P961" s="1243"/>
      <c r="Q961" s="1243"/>
      <c r="R961" s="1243"/>
      <c r="S961" s="1243"/>
      <c r="T961" s="1243"/>
      <c r="U961" s="1243"/>
      <c r="V961" s="1243"/>
      <c r="W961" s="1243"/>
      <c r="X961" s="1243"/>
      <c r="Y961" s="1243"/>
      <c r="Z961" s="1243"/>
    </row>
    <row r="962" spans="1:26" ht="15.75" customHeight="1" x14ac:dyDescent="0.2">
      <c r="A962" s="1243"/>
      <c r="B962" s="1243"/>
      <c r="C962" s="1243"/>
      <c r="D962" s="1243"/>
      <c r="E962" s="1243"/>
      <c r="F962" s="1243"/>
      <c r="G962" s="1243"/>
      <c r="H962" s="1243"/>
      <c r="I962" s="1243"/>
      <c r="J962" s="1243"/>
      <c r="K962" s="1243"/>
      <c r="L962" s="1243"/>
      <c r="M962" s="1243"/>
      <c r="N962" s="1243"/>
      <c r="O962" s="1243"/>
      <c r="P962" s="1243"/>
      <c r="Q962" s="1243"/>
      <c r="R962" s="1243"/>
      <c r="S962" s="1243"/>
      <c r="T962" s="1243"/>
      <c r="U962" s="1243"/>
      <c r="V962" s="1243"/>
      <c r="W962" s="1243"/>
      <c r="X962" s="1243"/>
      <c r="Y962" s="1243"/>
      <c r="Z962" s="1243"/>
    </row>
    <row r="963" spans="1:26" ht="15.75" customHeight="1" x14ac:dyDescent="0.2">
      <c r="A963" s="1243"/>
      <c r="B963" s="1243"/>
      <c r="C963" s="1243"/>
      <c r="D963" s="1243"/>
      <c r="E963" s="1243"/>
      <c r="F963" s="1243"/>
      <c r="G963" s="1243"/>
      <c r="H963" s="1243"/>
      <c r="I963" s="1243"/>
      <c r="J963" s="1243"/>
      <c r="K963" s="1243"/>
      <c r="L963" s="1243"/>
      <c r="M963" s="1243"/>
      <c r="N963" s="1243"/>
      <c r="O963" s="1243"/>
      <c r="P963" s="1243"/>
      <c r="Q963" s="1243"/>
      <c r="R963" s="1243"/>
      <c r="S963" s="1243"/>
      <c r="T963" s="1243"/>
      <c r="U963" s="1243"/>
      <c r="V963" s="1243"/>
      <c r="W963" s="1243"/>
      <c r="X963" s="1243"/>
      <c r="Y963" s="1243"/>
      <c r="Z963" s="1243"/>
    </row>
    <row r="964" spans="1:26" ht="15.75" customHeight="1" x14ac:dyDescent="0.2">
      <c r="A964" s="1243"/>
      <c r="B964" s="1243"/>
      <c r="C964" s="1243"/>
      <c r="D964" s="1243"/>
      <c r="E964" s="1243"/>
      <c r="F964" s="1243"/>
      <c r="G964" s="1243"/>
      <c r="H964" s="1243"/>
      <c r="I964" s="1243"/>
      <c r="J964" s="1243"/>
      <c r="K964" s="1243"/>
      <c r="L964" s="1243"/>
      <c r="M964" s="1243"/>
      <c r="N964" s="1243"/>
      <c r="O964" s="1243"/>
      <c r="P964" s="1243"/>
      <c r="Q964" s="1243"/>
      <c r="R964" s="1243"/>
      <c r="S964" s="1243"/>
      <c r="T964" s="1243"/>
      <c r="U964" s="1243"/>
      <c r="V964" s="1243"/>
      <c r="W964" s="1243"/>
      <c r="X964" s="1243"/>
      <c r="Y964" s="1243"/>
      <c r="Z964" s="1243"/>
    </row>
    <row r="965" spans="1:26" ht="15.75" customHeight="1" x14ac:dyDescent="0.2">
      <c r="A965" s="1243"/>
      <c r="B965" s="1243"/>
      <c r="C965" s="1243"/>
      <c r="D965" s="1243"/>
      <c r="E965" s="1243"/>
      <c r="F965" s="1243"/>
      <c r="G965" s="1243"/>
      <c r="H965" s="1243"/>
      <c r="I965" s="1243"/>
      <c r="J965" s="1243"/>
      <c r="K965" s="1243"/>
      <c r="L965" s="1243"/>
      <c r="M965" s="1243"/>
      <c r="N965" s="1243"/>
      <c r="O965" s="1243"/>
      <c r="P965" s="1243"/>
      <c r="Q965" s="1243"/>
      <c r="R965" s="1243"/>
      <c r="S965" s="1243"/>
      <c r="T965" s="1243"/>
      <c r="U965" s="1243"/>
      <c r="V965" s="1243"/>
      <c r="W965" s="1243"/>
      <c r="X965" s="1243"/>
      <c r="Y965" s="1243"/>
      <c r="Z965" s="1243"/>
    </row>
    <row r="966" spans="1:26" ht="15.75" customHeight="1" x14ac:dyDescent="0.2">
      <c r="A966" s="1243"/>
      <c r="B966" s="1243"/>
      <c r="C966" s="1243"/>
      <c r="D966" s="1243"/>
      <c r="E966" s="1243"/>
      <c r="F966" s="1243"/>
      <c r="G966" s="1243"/>
      <c r="H966" s="1243"/>
      <c r="I966" s="1243"/>
      <c r="J966" s="1243"/>
      <c r="K966" s="1243"/>
      <c r="L966" s="1243"/>
      <c r="M966" s="1243"/>
      <c r="N966" s="1243"/>
      <c r="O966" s="1243"/>
      <c r="P966" s="1243"/>
      <c r="Q966" s="1243"/>
      <c r="R966" s="1243"/>
      <c r="S966" s="1243"/>
      <c r="T966" s="1243"/>
      <c r="U966" s="1243"/>
      <c r="V966" s="1243"/>
      <c r="W966" s="1243"/>
      <c r="X966" s="1243"/>
      <c r="Y966" s="1243"/>
      <c r="Z966" s="1243"/>
    </row>
    <row r="967" spans="1:26" ht="15.75" customHeight="1" x14ac:dyDescent="0.2">
      <c r="A967" s="1243"/>
      <c r="B967" s="1243"/>
      <c r="C967" s="1243"/>
      <c r="D967" s="1243"/>
      <c r="E967" s="1243"/>
      <c r="F967" s="1243"/>
      <c r="G967" s="1243"/>
      <c r="H967" s="1243"/>
      <c r="I967" s="1243"/>
      <c r="J967" s="1243"/>
      <c r="K967" s="1243"/>
      <c r="L967" s="1243"/>
      <c r="M967" s="1243"/>
      <c r="N967" s="1243"/>
      <c r="O967" s="1243"/>
      <c r="P967" s="1243"/>
      <c r="Q967" s="1243"/>
      <c r="R967" s="1243"/>
      <c r="S967" s="1243"/>
      <c r="T967" s="1243"/>
      <c r="U967" s="1243"/>
      <c r="V967" s="1243"/>
      <c r="W967" s="1243"/>
      <c r="X967" s="1243"/>
      <c r="Y967" s="1243"/>
      <c r="Z967" s="1243"/>
    </row>
    <row r="968" spans="1:26" ht="15.75" customHeight="1" x14ac:dyDescent="0.2">
      <c r="A968" s="1243"/>
      <c r="B968" s="1243"/>
      <c r="C968" s="1243"/>
      <c r="D968" s="1243"/>
      <c r="E968" s="1243"/>
      <c r="F968" s="1243"/>
      <c r="G968" s="1243"/>
      <c r="H968" s="1243"/>
      <c r="I968" s="1243"/>
      <c r="J968" s="1243"/>
      <c r="K968" s="1243"/>
      <c r="L968" s="1243"/>
      <c r="M968" s="1243"/>
      <c r="N968" s="1243"/>
      <c r="O968" s="1243"/>
      <c r="P968" s="1243"/>
      <c r="Q968" s="1243"/>
      <c r="R968" s="1243"/>
      <c r="S968" s="1243"/>
      <c r="T968" s="1243"/>
      <c r="U968" s="1243"/>
      <c r="V968" s="1243"/>
      <c r="W968" s="1243"/>
      <c r="X968" s="1243"/>
      <c r="Y968" s="1243"/>
      <c r="Z968" s="1243"/>
    </row>
    <row r="969" spans="1:26" ht="15.75" customHeight="1" x14ac:dyDescent="0.2">
      <c r="A969" s="1243"/>
      <c r="B969" s="1243"/>
      <c r="C969" s="1243"/>
      <c r="D969" s="1243"/>
      <c r="E969" s="1243"/>
      <c r="F969" s="1243"/>
      <c r="G969" s="1243"/>
      <c r="H969" s="1243"/>
      <c r="I969" s="1243"/>
      <c r="J969" s="1243"/>
      <c r="K969" s="1243"/>
      <c r="L969" s="1243"/>
      <c r="M969" s="1243"/>
      <c r="N969" s="1243"/>
      <c r="O969" s="1243"/>
      <c r="P969" s="1243"/>
      <c r="Q969" s="1243"/>
      <c r="R969" s="1243"/>
      <c r="S969" s="1243"/>
      <c r="T969" s="1243"/>
      <c r="U969" s="1243"/>
      <c r="V969" s="1243"/>
      <c r="W969" s="1243"/>
      <c r="X969" s="1243"/>
      <c r="Y969" s="1243"/>
      <c r="Z969" s="1243"/>
    </row>
    <row r="970" spans="1:26" ht="15.75" customHeight="1" x14ac:dyDescent="0.2">
      <c r="A970" s="1243"/>
      <c r="B970" s="1243"/>
      <c r="C970" s="1243"/>
      <c r="D970" s="1243"/>
      <c r="E970" s="1243"/>
      <c r="F970" s="1243"/>
      <c r="G970" s="1243"/>
      <c r="H970" s="1243"/>
      <c r="I970" s="1243"/>
      <c r="J970" s="1243"/>
      <c r="K970" s="1243"/>
      <c r="L970" s="1243"/>
      <c r="M970" s="1243"/>
      <c r="N970" s="1243"/>
      <c r="O970" s="1243"/>
      <c r="P970" s="1243"/>
      <c r="Q970" s="1243"/>
      <c r="R970" s="1243"/>
      <c r="S970" s="1243"/>
      <c r="T970" s="1243"/>
      <c r="U970" s="1243"/>
      <c r="V970" s="1243"/>
      <c r="W970" s="1243"/>
      <c r="X970" s="1243"/>
      <c r="Y970" s="1243"/>
      <c r="Z970" s="1243"/>
    </row>
    <row r="971" spans="1:26" ht="15.75" customHeight="1" x14ac:dyDescent="0.2">
      <c r="A971" s="1243"/>
      <c r="B971" s="1243"/>
      <c r="C971" s="1243"/>
      <c r="D971" s="1243"/>
      <c r="E971" s="1243"/>
      <c r="F971" s="1243"/>
      <c r="G971" s="1243"/>
      <c r="H971" s="1243"/>
      <c r="I971" s="1243"/>
      <c r="J971" s="1243"/>
      <c r="K971" s="1243"/>
      <c r="L971" s="1243"/>
      <c r="M971" s="1243"/>
      <c r="N971" s="1243"/>
      <c r="O971" s="1243"/>
      <c r="P971" s="1243"/>
      <c r="Q971" s="1243"/>
      <c r="R971" s="1243"/>
      <c r="S971" s="1243"/>
      <c r="T971" s="1243"/>
      <c r="U971" s="1243"/>
      <c r="V971" s="1243"/>
      <c r="W971" s="1243"/>
      <c r="X971" s="1243"/>
      <c r="Y971" s="1243"/>
      <c r="Z971" s="1243"/>
    </row>
    <row r="972" spans="1:26" ht="15.75" customHeight="1" x14ac:dyDescent="0.2">
      <c r="A972" s="1243"/>
      <c r="B972" s="1243"/>
      <c r="C972" s="1243"/>
      <c r="D972" s="1243"/>
      <c r="E972" s="1243"/>
      <c r="F972" s="1243"/>
      <c r="G972" s="1243"/>
      <c r="H972" s="1243"/>
      <c r="I972" s="1243"/>
      <c r="J972" s="1243"/>
      <c r="K972" s="1243"/>
      <c r="L972" s="1243"/>
      <c r="M972" s="1243"/>
      <c r="N972" s="1243"/>
      <c r="O972" s="1243"/>
      <c r="P972" s="1243"/>
      <c r="Q972" s="1243"/>
      <c r="R972" s="1243"/>
      <c r="S972" s="1243"/>
      <c r="T972" s="1243"/>
      <c r="U972" s="1243"/>
      <c r="V972" s="1243"/>
      <c r="W972" s="1243"/>
      <c r="X972" s="1243"/>
      <c r="Y972" s="1243"/>
      <c r="Z972" s="1243"/>
    </row>
    <row r="973" spans="1:26" ht="15.75" customHeight="1" x14ac:dyDescent="0.2">
      <c r="A973" s="1243"/>
      <c r="B973" s="1243"/>
      <c r="C973" s="1243"/>
      <c r="D973" s="1243"/>
      <c r="E973" s="1243"/>
      <c r="F973" s="1243"/>
      <c r="G973" s="1243"/>
      <c r="H973" s="1243"/>
      <c r="I973" s="1243"/>
      <c r="J973" s="1243"/>
      <c r="K973" s="1243"/>
      <c r="L973" s="1243"/>
      <c r="M973" s="1243"/>
      <c r="N973" s="1243"/>
      <c r="O973" s="1243"/>
      <c r="P973" s="1243"/>
      <c r="Q973" s="1243"/>
      <c r="R973" s="1243"/>
      <c r="S973" s="1243"/>
      <c r="T973" s="1243"/>
      <c r="U973" s="1243"/>
      <c r="V973" s="1243"/>
      <c r="W973" s="1243"/>
      <c r="X973" s="1243"/>
      <c r="Y973" s="1243"/>
      <c r="Z973" s="1243"/>
    </row>
    <row r="974" spans="1:26" ht="15.75" customHeight="1" x14ac:dyDescent="0.2">
      <c r="A974" s="1243"/>
      <c r="B974" s="1243"/>
      <c r="C974" s="1243"/>
      <c r="D974" s="1243"/>
      <c r="E974" s="1243"/>
      <c r="F974" s="1243"/>
      <c r="G974" s="1243"/>
      <c r="H974" s="1243"/>
      <c r="I974" s="1243"/>
      <c r="J974" s="1243"/>
      <c r="K974" s="1243"/>
      <c r="L974" s="1243"/>
      <c r="M974" s="1243"/>
      <c r="N974" s="1243"/>
      <c r="O974" s="1243"/>
      <c r="P974" s="1243"/>
      <c r="Q974" s="1243"/>
      <c r="R974" s="1243"/>
      <c r="S974" s="1243"/>
      <c r="T974" s="1243"/>
      <c r="U974" s="1243"/>
      <c r="V974" s="1243"/>
      <c r="W974" s="1243"/>
      <c r="X974" s="1243"/>
      <c r="Y974" s="1243"/>
      <c r="Z974" s="1243"/>
    </row>
    <row r="975" spans="1:26" ht="15.75" customHeight="1" x14ac:dyDescent="0.2">
      <c r="A975" s="1243"/>
      <c r="B975" s="1243"/>
      <c r="C975" s="1243"/>
      <c r="D975" s="1243"/>
      <c r="E975" s="1243"/>
      <c r="F975" s="1243"/>
      <c r="G975" s="1243"/>
      <c r="H975" s="1243"/>
      <c r="I975" s="1243"/>
      <c r="J975" s="1243"/>
      <c r="K975" s="1243"/>
      <c r="L975" s="1243"/>
      <c r="M975" s="1243"/>
      <c r="N975" s="1243"/>
      <c r="O975" s="1243"/>
      <c r="P975" s="1243"/>
      <c r="Q975" s="1243"/>
      <c r="R975" s="1243"/>
      <c r="S975" s="1243"/>
      <c r="T975" s="1243"/>
      <c r="U975" s="1243"/>
      <c r="V975" s="1243"/>
      <c r="W975" s="1243"/>
      <c r="X975" s="1243"/>
      <c r="Y975" s="1243"/>
      <c r="Z975" s="1243"/>
    </row>
    <row r="976" spans="1:26" ht="15.75" customHeight="1" x14ac:dyDescent="0.2">
      <c r="A976" s="1243"/>
      <c r="B976" s="1243"/>
      <c r="C976" s="1243"/>
      <c r="D976" s="1243"/>
      <c r="E976" s="1243"/>
      <c r="F976" s="1243"/>
      <c r="G976" s="1243"/>
      <c r="H976" s="1243"/>
      <c r="I976" s="1243"/>
      <c r="J976" s="1243"/>
      <c r="K976" s="1243"/>
      <c r="L976" s="1243"/>
      <c r="M976" s="1243"/>
      <c r="N976" s="1243"/>
      <c r="O976" s="1243"/>
      <c r="P976" s="1243"/>
      <c r="Q976" s="1243"/>
      <c r="R976" s="1243"/>
      <c r="S976" s="1243"/>
      <c r="T976" s="1243"/>
      <c r="U976" s="1243"/>
      <c r="V976" s="1243"/>
      <c r="W976" s="1243"/>
      <c r="X976" s="1243"/>
      <c r="Y976" s="1243"/>
      <c r="Z976" s="1243"/>
    </row>
    <row r="977" spans="1:26" ht="15.75" customHeight="1" x14ac:dyDescent="0.2">
      <c r="A977" s="1243"/>
      <c r="B977" s="1243"/>
      <c r="C977" s="1243"/>
      <c r="D977" s="1243"/>
      <c r="E977" s="1243"/>
      <c r="F977" s="1243"/>
      <c r="G977" s="1243"/>
      <c r="H977" s="1243"/>
      <c r="I977" s="1243"/>
      <c r="J977" s="1243"/>
      <c r="K977" s="1243"/>
      <c r="L977" s="1243"/>
      <c r="M977" s="1243"/>
      <c r="N977" s="1243"/>
      <c r="O977" s="1243"/>
      <c r="P977" s="1243"/>
      <c r="Q977" s="1243"/>
      <c r="R977" s="1243"/>
      <c r="S977" s="1243"/>
      <c r="T977" s="1243"/>
      <c r="U977" s="1243"/>
      <c r="V977" s="1243"/>
      <c r="W977" s="1243"/>
      <c r="X977" s="1243"/>
      <c r="Y977" s="1243"/>
      <c r="Z977" s="1243"/>
    </row>
    <row r="978" spans="1:26" ht="15.75" customHeight="1" x14ac:dyDescent="0.2">
      <c r="A978" s="1243"/>
      <c r="B978" s="1243"/>
      <c r="C978" s="1243"/>
      <c r="D978" s="1243"/>
      <c r="E978" s="1243"/>
      <c r="F978" s="1243"/>
      <c r="G978" s="1243"/>
      <c r="H978" s="1243"/>
      <c r="I978" s="1243"/>
      <c r="J978" s="1243"/>
      <c r="K978" s="1243"/>
      <c r="L978" s="1243"/>
      <c r="M978" s="1243"/>
      <c r="N978" s="1243"/>
      <c r="O978" s="1243"/>
      <c r="P978" s="1243"/>
      <c r="Q978" s="1243"/>
      <c r="R978" s="1243"/>
      <c r="S978" s="1243"/>
      <c r="T978" s="1243"/>
      <c r="U978" s="1243"/>
      <c r="V978" s="1243"/>
      <c r="W978" s="1243"/>
      <c r="X978" s="1243"/>
      <c r="Y978" s="1243"/>
      <c r="Z978" s="1243"/>
    </row>
    <row r="979" spans="1:26" ht="15.75" customHeight="1" x14ac:dyDescent="0.2">
      <c r="A979" s="1243"/>
      <c r="B979" s="1243"/>
      <c r="C979" s="1243"/>
      <c r="D979" s="1243"/>
      <c r="E979" s="1243"/>
      <c r="F979" s="1243"/>
      <c r="G979" s="1243"/>
      <c r="H979" s="1243"/>
      <c r="I979" s="1243"/>
      <c r="J979" s="1243"/>
      <c r="K979" s="1243"/>
      <c r="L979" s="1243"/>
      <c r="M979" s="1243"/>
      <c r="N979" s="1243"/>
      <c r="O979" s="1243"/>
      <c r="P979" s="1243"/>
      <c r="Q979" s="1243"/>
      <c r="R979" s="1243"/>
      <c r="S979" s="1243"/>
      <c r="T979" s="1243"/>
      <c r="U979" s="1243"/>
      <c r="V979" s="1243"/>
      <c r="W979" s="1243"/>
      <c r="X979" s="1243"/>
      <c r="Y979" s="1243"/>
      <c r="Z979" s="1243"/>
    </row>
    <row r="980" spans="1:26" ht="15.75" customHeight="1" x14ac:dyDescent="0.2">
      <c r="A980" s="1243"/>
      <c r="B980" s="1243"/>
      <c r="C980" s="1243"/>
      <c r="D980" s="1243"/>
      <c r="E980" s="1243"/>
      <c r="F980" s="1243"/>
      <c r="G980" s="1243"/>
      <c r="H980" s="1243"/>
      <c r="I980" s="1243"/>
      <c r="J980" s="1243"/>
      <c r="K980" s="1243"/>
      <c r="L980" s="1243"/>
      <c r="M980" s="1243"/>
      <c r="N980" s="1243"/>
      <c r="O980" s="1243"/>
      <c r="P980" s="1243"/>
      <c r="Q980" s="1243"/>
      <c r="R980" s="1243"/>
      <c r="S980" s="1243"/>
      <c r="T980" s="1243"/>
      <c r="U980" s="1243"/>
      <c r="V980" s="1243"/>
      <c r="W980" s="1243"/>
      <c r="X980" s="1243"/>
      <c r="Y980" s="1243"/>
      <c r="Z980" s="1243"/>
    </row>
    <row r="981" spans="1:26" ht="15.75" customHeight="1" x14ac:dyDescent="0.2">
      <c r="A981" s="1243"/>
      <c r="B981" s="1243"/>
      <c r="C981" s="1243"/>
      <c r="D981" s="1243"/>
      <c r="E981" s="1243"/>
      <c r="F981" s="1243"/>
      <c r="G981" s="1243"/>
      <c r="H981" s="1243"/>
      <c r="I981" s="1243"/>
      <c r="J981" s="1243"/>
      <c r="K981" s="1243"/>
      <c r="L981" s="1243"/>
      <c r="M981" s="1243"/>
      <c r="N981" s="1243"/>
      <c r="O981" s="1243"/>
      <c r="P981" s="1243"/>
      <c r="Q981" s="1243"/>
      <c r="R981" s="1243"/>
      <c r="S981" s="1243"/>
      <c r="T981" s="1243"/>
      <c r="U981" s="1243"/>
      <c r="V981" s="1243"/>
      <c r="W981" s="1243"/>
      <c r="X981" s="1243"/>
      <c r="Y981" s="1243"/>
      <c r="Z981" s="1243"/>
    </row>
    <row r="982" spans="1:26" ht="15.75" customHeight="1" x14ac:dyDescent="0.2">
      <c r="A982" s="1243"/>
      <c r="B982" s="1243"/>
      <c r="C982" s="1243"/>
      <c r="D982" s="1243"/>
      <c r="E982" s="1243"/>
      <c r="F982" s="1243"/>
      <c r="G982" s="1243"/>
      <c r="H982" s="1243"/>
      <c r="I982" s="1243"/>
      <c r="J982" s="1243"/>
      <c r="K982" s="1243"/>
      <c r="L982" s="1243"/>
      <c r="M982" s="1243"/>
      <c r="N982" s="1243"/>
      <c r="O982" s="1243"/>
      <c r="P982" s="1243"/>
      <c r="Q982" s="1243"/>
      <c r="R982" s="1243"/>
      <c r="S982" s="1243"/>
      <c r="T982" s="1243"/>
      <c r="U982" s="1243"/>
      <c r="V982" s="1243"/>
      <c r="W982" s="1243"/>
      <c r="X982" s="1243"/>
      <c r="Y982" s="1243"/>
      <c r="Z982" s="1243"/>
    </row>
    <row r="983" spans="1:26" ht="15.75" customHeight="1" x14ac:dyDescent="0.2">
      <c r="A983" s="1243"/>
      <c r="B983" s="1243"/>
      <c r="C983" s="1243"/>
      <c r="D983" s="1243"/>
      <c r="E983" s="1243"/>
      <c r="F983" s="1243"/>
      <c r="G983" s="1243"/>
      <c r="H983" s="1243"/>
      <c r="I983" s="1243"/>
      <c r="J983" s="1243"/>
      <c r="K983" s="1243"/>
      <c r="L983" s="1243"/>
      <c r="M983" s="1243"/>
      <c r="N983" s="1243"/>
      <c r="O983" s="1243"/>
      <c r="P983" s="1243"/>
      <c r="Q983" s="1243"/>
      <c r="R983" s="1243"/>
      <c r="S983" s="1243"/>
      <c r="T983" s="1243"/>
      <c r="U983" s="1243"/>
      <c r="V983" s="1243"/>
      <c r="W983" s="1243"/>
      <c r="X983" s="1243"/>
      <c r="Y983" s="1243"/>
      <c r="Z983" s="1243"/>
    </row>
    <row r="984" spans="1:26" ht="15.75" customHeight="1" x14ac:dyDescent="0.2">
      <c r="A984" s="1243"/>
      <c r="B984" s="1243"/>
      <c r="C984" s="1243"/>
      <c r="D984" s="1243"/>
      <c r="E984" s="1243"/>
      <c r="F984" s="1243"/>
      <c r="G984" s="1243"/>
      <c r="H984" s="1243"/>
      <c r="I984" s="1243"/>
      <c r="J984" s="1243"/>
      <c r="K984" s="1243"/>
      <c r="L984" s="1243"/>
      <c r="M984" s="1243"/>
      <c r="N984" s="1243"/>
      <c r="O984" s="1243"/>
      <c r="P984" s="1243"/>
      <c r="Q984" s="1243"/>
      <c r="R984" s="1243"/>
      <c r="S984" s="1243"/>
      <c r="T984" s="1243"/>
      <c r="U984" s="1243"/>
      <c r="V984" s="1243"/>
      <c r="W984" s="1243"/>
      <c r="X984" s="1243"/>
      <c r="Y984" s="1243"/>
      <c r="Z984" s="1243"/>
    </row>
    <row r="985" spans="1:26" ht="15.75" customHeight="1" x14ac:dyDescent="0.2">
      <c r="A985" s="1243"/>
      <c r="B985" s="1243"/>
      <c r="C985" s="1243"/>
      <c r="D985" s="1243"/>
      <c r="E985" s="1243"/>
      <c r="F985" s="1243"/>
      <c r="G985" s="1243"/>
      <c r="H985" s="1243"/>
      <c r="I985" s="1243"/>
      <c r="J985" s="1243"/>
      <c r="K985" s="1243"/>
      <c r="L985" s="1243"/>
      <c r="M985" s="1243"/>
      <c r="N985" s="1243"/>
      <c r="O985" s="1243"/>
      <c r="P985" s="1243"/>
      <c r="Q985" s="1243"/>
      <c r="R985" s="1243"/>
      <c r="S985" s="1243"/>
      <c r="T985" s="1243"/>
      <c r="U985" s="1243"/>
      <c r="V985" s="1243"/>
      <c r="W985" s="1243"/>
      <c r="X985" s="1243"/>
      <c r="Y985" s="1243"/>
      <c r="Z985" s="1243"/>
    </row>
    <row r="986" spans="1:26" ht="15.75" customHeight="1" x14ac:dyDescent="0.2">
      <c r="A986" s="1243"/>
      <c r="B986" s="1243"/>
      <c r="C986" s="1243"/>
      <c r="D986" s="1243"/>
      <c r="E986" s="1243"/>
      <c r="F986" s="1243"/>
      <c r="G986" s="1243"/>
      <c r="H986" s="1243"/>
      <c r="I986" s="1243"/>
      <c r="J986" s="1243"/>
      <c r="K986" s="1243"/>
      <c r="L986" s="1243"/>
      <c r="M986" s="1243"/>
      <c r="N986" s="1243"/>
      <c r="O986" s="1243"/>
      <c r="P986" s="1243"/>
      <c r="Q986" s="1243"/>
      <c r="R986" s="1243"/>
      <c r="S986" s="1243"/>
      <c r="T986" s="1243"/>
      <c r="U986" s="1243"/>
      <c r="V986" s="1243"/>
      <c r="W986" s="1243"/>
      <c r="X986" s="1243"/>
      <c r="Y986" s="1243"/>
      <c r="Z986" s="1243"/>
    </row>
    <row r="987" spans="1:26" ht="15.75" customHeight="1" x14ac:dyDescent="0.2">
      <c r="A987" s="1243"/>
      <c r="B987" s="1243"/>
      <c r="C987" s="1243"/>
      <c r="D987" s="1243"/>
      <c r="E987" s="1243"/>
      <c r="F987" s="1243"/>
      <c r="G987" s="1243"/>
      <c r="H987" s="1243"/>
      <c r="I987" s="1243"/>
      <c r="J987" s="1243"/>
      <c r="K987" s="1243"/>
      <c r="L987" s="1243"/>
      <c r="M987" s="1243"/>
      <c r="N987" s="1243"/>
      <c r="O987" s="1243"/>
      <c r="P987" s="1243"/>
      <c r="Q987" s="1243"/>
      <c r="R987" s="1243"/>
      <c r="S987" s="1243"/>
      <c r="T987" s="1243"/>
      <c r="U987" s="1243"/>
      <c r="V987" s="1243"/>
      <c r="W987" s="1243"/>
      <c r="X987" s="1243"/>
      <c r="Y987" s="1243"/>
      <c r="Z987" s="1243"/>
    </row>
    <row r="988" spans="1:26" ht="15.75" customHeight="1" x14ac:dyDescent="0.2">
      <c r="A988" s="1243"/>
      <c r="B988" s="1243"/>
      <c r="C988" s="1243"/>
      <c r="D988" s="1243"/>
      <c r="E988" s="1243"/>
      <c r="F988" s="1243"/>
      <c r="G988" s="1243"/>
      <c r="H988" s="1243"/>
      <c r="I988" s="1243"/>
      <c r="J988" s="1243"/>
      <c r="K988" s="1243"/>
      <c r="L988" s="1243"/>
      <c r="M988" s="1243"/>
      <c r="N988" s="1243"/>
      <c r="O988" s="1243"/>
      <c r="P988" s="1243"/>
      <c r="Q988" s="1243"/>
      <c r="R988" s="1243"/>
      <c r="S988" s="1243"/>
      <c r="T988" s="1243"/>
      <c r="U988" s="1243"/>
      <c r="V988" s="1243"/>
      <c r="W988" s="1243"/>
      <c r="X988" s="1243"/>
      <c r="Y988" s="1243"/>
      <c r="Z988" s="1243"/>
    </row>
    <row r="989" spans="1:26" ht="15.75" customHeight="1" x14ac:dyDescent="0.2">
      <c r="A989" s="1243"/>
      <c r="B989" s="1243"/>
      <c r="C989" s="1243"/>
      <c r="D989" s="1243"/>
      <c r="E989" s="1243"/>
      <c r="F989" s="1243"/>
      <c r="G989" s="1243"/>
      <c r="H989" s="1243"/>
      <c r="I989" s="1243"/>
      <c r="J989" s="1243"/>
      <c r="K989" s="1243"/>
      <c r="L989" s="1243"/>
      <c r="M989" s="1243"/>
      <c r="N989" s="1243"/>
      <c r="O989" s="1243"/>
      <c r="P989" s="1243"/>
      <c r="Q989" s="1243"/>
      <c r="R989" s="1243"/>
      <c r="S989" s="1243"/>
      <c r="T989" s="1243"/>
      <c r="U989" s="1243"/>
      <c r="V989" s="1243"/>
      <c r="W989" s="1243"/>
      <c r="X989" s="1243"/>
      <c r="Y989" s="1243"/>
      <c r="Z989" s="1243"/>
    </row>
    <row r="990" spans="1:26" ht="15.75" customHeight="1" x14ac:dyDescent="0.2">
      <c r="A990" s="1243"/>
      <c r="B990" s="1243"/>
      <c r="C990" s="1243"/>
      <c r="D990" s="1243"/>
      <c r="E990" s="1243"/>
      <c r="F990" s="1243"/>
      <c r="G990" s="1243"/>
      <c r="H990" s="1243"/>
      <c r="I990" s="1243"/>
      <c r="J990" s="1243"/>
      <c r="K990" s="1243"/>
      <c r="L990" s="1243"/>
      <c r="M990" s="1243"/>
      <c r="N990" s="1243"/>
      <c r="O990" s="1243"/>
      <c r="P990" s="1243"/>
      <c r="Q990" s="1243"/>
      <c r="R990" s="1243"/>
      <c r="S990" s="1243"/>
      <c r="T990" s="1243"/>
      <c r="U990" s="1243"/>
      <c r="V990" s="1243"/>
      <c r="W990" s="1243"/>
      <c r="X990" s="1243"/>
      <c r="Y990" s="1243"/>
      <c r="Z990" s="1243"/>
    </row>
    <row r="991" spans="1:26" ht="15.75" customHeight="1" x14ac:dyDescent="0.2">
      <c r="A991" s="1243"/>
      <c r="B991" s="1243"/>
      <c r="C991" s="1243"/>
      <c r="D991" s="1243"/>
      <c r="E991" s="1243"/>
      <c r="F991" s="1243"/>
      <c r="G991" s="1243"/>
      <c r="H991" s="1243"/>
      <c r="I991" s="1243"/>
      <c r="J991" s="1243"/>
      <c r="K991" s="1243"/>
      <c r="L991" s="1243"/>
      <c r="M991" s="1243"/>
      <c r="N991" s="1243"/>
      <c r="O991" s="1243"/>
      <c r="P991" s="1243"/>
      <c r="Q991" s="1243"/>
      <c r="R991" s="1243"/>
      <c r="S991" s="1243"/>
      <c r="T991" s="1243"/>
      <c r="U991" s="1243"/>
      <c r="V991" s="1243"/>
      <c r="W991" s="1243"/>
      <c r="X991" s="1243"/>
      <c r="Y991" s="1243"/>
      <c r="Z991" s="1243"/>
    </row>
    <row r="992" spans="1:26" ht="15.75" customHeight="1" x14ac:dyDescent="0.2">
      <c r="A992" s="1243"/>
      <c r="B992" s="1243"/>
      <c r="C992" s="1243"/>
      <c r="D992" s="1243"/>
      <c r="E992" s="1243"/>
      <c r="F992" s="1243"/>
      <c r="G992" s="1243"/>
      <c r="H992" s="1243"/>
      <c r="I992" s="1243"/>
      <c r="J992" s="1243"/>
      <c r="K992" s="1243"/>
      <c r="L992" s="1243"/>
      <c r="M992" s="1243"/>
      <c r="N992" s="1243"/>
      <c r="O992" s="1243"/>
      <c r="P992" s="1243"/>
      <c r="Q992" s="1243"/>
      <c r="R992" s="1243"/>
      <c r="S992" s="1243"/>
      <c r="T992" s="1243"/>
      <c r="U992" s="1243"/>
      <c r="V992" s="1243"/>
      <c r="W992" s="1243"/>
      <c r="X992" s="1243"/>
      <c r="Y992" s="1243"/>
      <c r="Z992" s="1243"/>
    </row>
    <row r="993" spans="1:26" ht="15.75" customHeight="1" x14ac:dyDescent="0.2">
      <c r="A993" s="1243"/>
      <c r="B993" s="1243"/>
      <c r="C993" s="1243"/>
      <c r="D993" s="1243"/>
      <c r="E993" s="1243"/>
      <c r="F993" s="1243"/>
      <c r="G993" s="1243"/>
      <c r="H993" s="1243"/>
      <c r="I993" s="1243"/>
      <c r="J993" s="1243"/>
      <c r="K993" s="1243"/>
      <c r="L993" s="1243"/>
      <c r="M993" s="1243"/>
      <c r="N993" s="1243"/>
      <c r="O993" s="1243"/>
      <c r="P993" s="1243"/>
      <c r="Q993" s="1243"/>
      <c r="R993" s="1243"/>
      <c r="S993" s="1243"/>
      <c r="T993" s="1243"/>
      <c r="U993" s="1243"/>
      <c r="V993" s="1243"/>
      <c r="W993" s="1243"/>
      <c r="X993" s="1243"/>
      <c r="Y993" s="1243"/>
      <c r="Z993" s="1243"/>
    </row>
    <row r="994" spans="1:26" ht="15.75" customHeight="1" x14ac:dyDescent="0.2">
      <c r="A994" s="1243"/>
      <c r="B994" s="1243"/>
      <c r="C994" s="1243"/>
      <c r="D994" s="1243"/>
      <c r="E994" s="1243"/>
      <c r="F994" s="1243"/>
      <c r="G994" s="1243"/>
      <c r="H994" s="1243"/>
      <c r="I994" s="1243"/>
      <c r="J994" s="1243"/>
      <c r="K994" s="1243"/>
      <c r="L994" s="1243"/>
      <c r="M994" s="1243"/>
      <c r="N994" s="1243"/>
      <c r="O994" s="1243"/>
      <c r="P994" s="1243"/>
      <c r="Q994" s="1243"/>
      <c r="R994" s="1243"/>
      <c r="S994" s="1243"/>
      <c r="T994" s="1243"/>
      <c r="U994" s="1243"/>
      <c r="V994" s="1243"/>
      <c r="W994" s="1243"/>
      <c r="X994" s="1243"/>
      <c r="Y994" s="1243"/>
      <c r="Z994" s="1243"/>
    </row>
    <row r="995" spans="1:26" ht="15.75" customHeight="1" x14ac:dyDescent="0.2">
      <c r="A995" s="1243"/>
      <c r="B995" s="1243"/>
      <c r="C995" s="1243"/>
      <c r="D995" s="1243"/>
      <c r="E995" s="1243"/>
      <c r="F995" s="1243"/>
      <c r="G995" s="1243"/>
      <c r="H995" s="1243"/>
      <c r="I995" s="1243"/>
      <c r="J995" s="1243"/>
      <c r="K995" s="1243"/>
      <c r="L995" s="1243"/>
      <c r="M995" s="1243"/>
      <c r="N995" s="1243"/>
      <c r="O995" s="1243"/>
      <c r="P995" s="1243"/>
      <c r="Q995" s="1243"/>
      <c r="R995" s="1243"/>
      <c r="S995" s="1243"/>
      <c r="T995" s="1243"/>
      <c r="U995" s="1243"/>
      <c r="V995" s="1243"/>
      <c r="W995" s="1243"/>
      <c r="X995" s="1243"/>
      <c r="Y995" s="1243"/>
      <c r="Z995" s="1243"/>
    </row>
    <row r="996" spans="1:26" ht="15.75" customHeight="1" x14ac:dyDescent="0.2">
      <c r="A996" s="1243"/>
      <c r="B996" s="1243"/>
      <c r="C996" s="1243"/>
      <c r="D996" s="1243"/>
      <c r="E996" s="1243"/>
      <c r="F996" s="1243"/>
      <c r="G996" s="1243"/>
      <c r="H996" s="1243"/>
      <c r="I996" s="1243"/>
      <c r="J996" s="1243"/>
      <c r="K996" s="1243"/>
      <c r="L996" s="1243"/>
      <c r="M996" s="1243"/>
      <c r="N996" s="1243"/>
      <c r="O996" s="1243"/>
      <c r="P996" s="1243"/>
      <c r="Q996" s="1243"/>
      <c r="R996" s="1243"/>
      <c r="S996" s="1243"/>
      <c r="T996" s="1243"/>
      <c r="U996" s="1243"/>
      <c r="V996" s="1243"/>
      <c r="W996" s="1243"/>
      <c r="X996" s="1243"/>
      <c r="Y996" s="1243"/>
      <c r="Z996" s="1243"/>
    </row>
    <row r="997" spans="1:26" ht="15.75" customHeight="1" x14ac:dyDescent="0.2">
      <c r="A997" s="1243"/>
      <c r="B997" s="1243"/>
      <c r="C997" s="1243"/>
      <c r="D997" s="1243"/>
      <c r="E997" s="1243"/>
      <c r="F997" s="1243"/>
      <c r="G997" s="1243"/>
      <c r="H997" s="1243"/>
      <c r="I997" s="1243"/>
      <c r="J997" s="1243"/>
      <c r="K997" s="1243"/>
      <c r="L997" s="1243"/>
      <c r="M997" s="1243"/>
      <c r="N997" s="1243"/>
      <c r="O997" s="1243"/>
      <c r="P997" s="1243"/>
      <c r="Q997" s="1243"/>
      <c r="R997" s="1243"/>
      <c r="S997" s="1243"/>
      <c r="T997" s="1243"/>
      <c r="U997" s="1243"/>
      <c r="V997" s="1243"/>
      <c r="W997" s="1243"/>
      <c r="X997" s="1243"/>
      <c r="Y997" s="1243"/>
      <c r="Z997" s="1243"/>
    </row>
    <row r="998" spans="1:26" ht="15.75" customHeight="1" x14ac:dyDescent="0.2">
      <c r="A998" s="1243"/>
      <c r="B998" s="1243"/>
      <c r="C998" s="1243"/>
      <c r="D998" s="1243"/>
      <c r="E998" s="1243"/>
      <c r="F998" s="1243"/>
      <c r="G998" s="1243"/>
      <c r="H998" s="1243"/>
      <c r="I998" s="1243"/>
      <c r="J998" s="1243"/>
      <c r="K998" s="1243"/>
      <c r="L998" s="1243"/>
      <c r="M998" s="1243"/>
      <c r="N998" s="1243"/>
      <c r="O998" s="1243"/>
      <c r="P998" s="1243"/>
      <c r="Q998" s="1243"/>
      <c r="R998" s="1243"/>
      <c r="S998" s="1243"/>
      <c r="T998" s="1243"/>
      <c r="U998" s="1243"/>
      <c r="V998" s="1243"/>
      <c r="W998" s="1243"/>
      <c r="X998" s="1243"/>
      <c r="Y998" s="1243"/>
      <c r="Z998" s="1243"/>
    </row>
    <row r="999" spans="1:26" ht="15.75" customHeight="1" x14ac:dyDescent="0.2">
      <c r="A999" s="1243"/>
      <c r="B999" s="1243"/>
      <c r="C999" s="1243"/>
      <c r="D999" s="1243"/>
      <c r="E999" s="1243"/>
      <c r="F999" s="1243"/>
      <c r="G999" s="1243"/>
      <c r="H999" s="1243"/>
      <c r="I999" s="1243"/>
      <c r="J999" s="1243"/>
      <c r="K999" s="1243"/>
      <c r="L999" s="1243"/>
      <c r="M999" s="1243"/>
      <c r="N999" s="1243"/>
      <c r="O999" s="1243"/>
      <c r="P999" s="1243"/>
      <c r="Q999" s="1243"/>
      <c r="R999" s="1243"/>
      <c r="S999" s="1243"/>
      <c r="T999" s="1243"/>
      <c r="U999" s="1243"/>
      <c r="V999" s="1243"/>
      <c r="W999" s="1243"/>
      <c r="X999" s="1243"/>
      <c r="Y999" s="1243"/>
      <c r="Z999" s="1243"/>
    </row>
    <row r="1000" spans="1:26" ht="15.75" customHeight="1" x14ac:dyDescent="0.2">
      <c r="A1000" s="1243"/>
      <c r="B1000" s="1243"/>
      <c r="C1000" s="1243"/>
      <c r="D1000" s="1243"/>
      <c r="E1000" s="1243"/>
      <c r="F1000" s="1243"/>
      <c r="G1000" s="1243"/>
      <c r="H1000" s="1243"/>
      <c r="I1000" s="1243"/>
      <c r="J1000" s="1243"/>
      <c r="K1000" s="1243"/>
      <c r="L1000" s="1243"/>
      <c r="M1000" s="1243"/>
      <c r="N1000" s="1243"/>
      <c r="O1000" s="1243"/>
      <c r="P1000" s="1243"/>
      <c r="Q1000" s="1243"/>
      <c r="R1000" s="1243"/>
      <c r="S1000" s="1243"/>
      <c r="T1000" s="1243"/>
      <c r="U1000" s="1243"/>
      <c r="V1000" s="1243"/>
      <c r="W1000" s="1243"/>
      <c r="X1000" s="1243"/>
      <c r="Y1000" s="1243"/>
      <c r="Z1000" s="1243"/>
    </row>
    <row r="1001" spans="1:26" ht="15.75" customHeight="1" x14ac:dyDescent="0.2">
      <c r="A1001" s="1243"/>
      <c r="B1001" s="1243"/>
      <c r="C1001" s="1243"/>
      <c r="D1001" s="1243"/>
      <c r="E1001" s="1243"/>
      <c r="F1001" s="1243"/>
      <c r="G1001" s="1243"/>
      <c r="H1001" s="1243"/>
      <c r="I1001" s="1243"/>
      <c r="J1001" s="1243"/>
      <c r="K1001" s="1243"/>
      <c r="L1001" s="1243"/>
      <c r="M1001" s="1243"/>
      <c r="N1001" s="1243"/>
      <c r="O1001" s="1243"/>
      <c r="P1001" s="1243"/>
      <c r="Q1001" s="1243"/>
      <c r="R1001" s="1243"/>
      <c r="S1001" s="1243"/>
      <c r="T1001" s="1243"/>
      <c r="U1001" s="1243"/>
      <c r="V1001" s="1243"/>
      <c r="W1001" s="1243"/>
      <c r="X1001" s="1243"/>
      <c r="Y1001" s="1243"/>
      <c r="Z1001" s="1243"/>
    </row>
  </sheetData>
  <pageMargins left="0.7" right="0.7" top="0.75" bottom="0.75" header="0" footer="0"/>
  <pageSetup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6CE951-8533-4120-94B5-AFE1819235BD}">
  <sheetPr>
    <pageSetUpPr fitToPage="1"/>
  </sheetPr>
  <dimension ref="A1:M1000"/>
  <sheetViews>
    <sheetView showGridLines="0" workbookViewId="0">
      <pane xSplit="1" ySplit="4" topLeftCell="B119" activePane="bottomRight" state="frozen"/>
      <selection activeCell="B5" sqref="B5"/>
      <selection pane="topRight" activeCell="B5" sqref="B5"/>
      <selection pane="bottomLeft" activeCell="B5" sqref="B5"/>
      <selection pane="bottomRight" activeCell="J131" sqref="J131"/>
    </sheetView>
  </sheetViews>
  <sheetFormatPr defaultColWidth="13.28515625" defaultRowHeight="15" customHeight="1" x14ac:dyDescent="0.2"/>
  <cols>
    <col min="1" max="1" width="41.42578125" style="1213" customWidth="1"/>
    <col min="2" max="9" width="18.42578125" style="1213" customWidth="1"/>
    <col min="10" max="11" width="27.5703125" style="1213" customWidth="1"/>
    <col min="12" max="13" width="18.42578125" style="1213" customWidth="1"/>
    <col min="14" max="26" width="8" style="1213" customWidth="1"/>
    <col min="27" max="16384" width="13.28515625" style="1213"/>
  </cols>
  <sheetData>
    <row r="1" spans="1:13" ht="19.5" customHeight="1" x14ac:dyDescent="0.25">
      <c r="A1" s="1242" t="s">
        <v>1262</v>
      </c>
      <c r="B1" s="1241"/>
      <c r="C1" s="1241"/>
      <c r="D1" s="1241"/>
      <c r="E1" s="1241"/>
      <c r="F1" s="1241"/>
      <c r="G1" s="1241"/>
      <c r="H1" s="1241"/>
      <c r="I1" s="1241"/>
      <c r="J1" s="1241"/>
      <c r="K1" s="1241"/>
      <c r="L1" s="1241"/>
      <c r="M1" s="1241"/>
    </row>
    <row r="2" spans="1:13" ht="19.5" customHeight="1" x14ac:dyDescent="0.2">
      <c r="A2" s="1241" t="s">
        <v>1261</v>
      </c>
      <c r="B2" s="1241"/>
      <c r="C2" s="1241"/>
      <c r="D2" s="1241"/>
      <c r="E2" s="1241"/>
      <c r="F2" s="1241"/>
      <c r="G2" s="1241"/>
      <c r="H2" s="1241"/>
      <c r="I2" s="1241"/>
      <c r="J2" s="1241"/>
      <c r="K2" s="1241"/>
      <c r="L2" s="1241"/>
      <c r="M2" s="1241"/>
    </row>
    <row r="3" spans="1:13" x14ac:dyDescent="0.2">
      <c r="A3" s="1241"/>
      <c r="B3" s="1241"/>
      <c r="C3" s="1241"/>
      <c r="D3" s="1241"/>
      <c r="E3" s="1241"/>
      <c r="F3" s="1241"/>
      <c r="G3" s="1241"/>
      <c r="H3" s="1241"/>
      <c r="I3" s="1241"/>
      <c r="J3" s="1241"/>
      <c r="K3" s="1241"/>
      <c r="L3" s="1241"/>
      <c r="M3" s="1241"/>
    </row>
    <row r="4" spans="1:13" ht="95.25" thickBot="1" x14ac:dyDescent="0.25">
      <c r="A4" s="1240" t="s">
        <v>1260</v>
      </c>
      <c r="B4" s="1239" t="s">
        <v>1259</v>
      </c>
      <c r="C4" s="1239" t="s">
        <v>1258</v>
      </c>
      <c r="D4" s="1239" t="s">
        <v>1257</v>
      </c>
      <c r="E4" s="1239" t="s">
        <v>1256</v>
      </c>
      <c r="F4" s="1239" t="s">
        <v>1255</v>
      </c>
      <c r="G4" s="1239" t="s">
        <v>1254</v>
      </c>
      <c r="H4" s="1239" t="s">
        <v>1253</v>
      </c>
      <c r="I4" s="1239" t="s">
        <v>1252</v>
      </c>
      <c r="J4" s="1239" t="s">
        <v>1251</v>
      </c>
      <c r="K4" s="1239" t="s">
        <v>1250</v>
      </c>
      <c r="L4" s="1238" t="s">
        <v>1249</v>
      </c>
      <c r="M4" s="1237" t="s">
        <v>1123</v>
      </c>
    </row>
    <row r="5" spans="1:13" ht="19.5" customHeight="1" x14ac:dyDescent="0.2">
      <c r="A5" s="1236" t="s">
        <v>1248</v>
      </c>
      <c r="B5" s="1235">
        <v>0</v>
      </c>
      <c r="C5" s="1235">
        <v>0</v>
      </c>
      <c r="D5" s="1235">
        <v>0</v>
      </c>
      <c r="E5" s="1235">
        <v>0</v>
      </c>
      <c r="F5" s="1235">
        <v>0</v>
      </c>
      <c r="G5" s="1235">
        <v>0</v>
      </c>
      <c r="H5" s="1235">
        <v>0</v>
      </c>
      <c r="I5" s="1235">
        <v>2122</v>
      </c>
      <c r="J5" s="1234">
        <f t="shared" ref="J5:J36" si="0">SUM(B5,C5,E5,G5,)</f>
        <v>0</v>
      </c>
      <c r="K5" s="1234">
        <f t="shared" ref="K5:K36" si="1">SUM(B5,D5,F5,H5,I5,)</f>
        <v>2122</v>
      </c>
      <c r="L5" s="1233">
        <f>IFERROR(J5/J131, 0)</f>
        <v>0</v>
      </c>
      <c r="M5" s="1232">
        <f>IFERROR(K5 / DetailedCapShares, 0)</f>
        <v>0</v>
      </c>
    </row>
    <row r="6" spans="1:13" ht="19.5" customHeight="1" x14ac:dyDescent="0.2">
      <c r="A6" s="1236" t="s">
        <v>1247</v>
      </c>
      <c r="B6" s="1235">
        <v>1083</v>
      </c>
      <c r="C6" s="1235">
        <v>0</v>
      </c>
      <c r="D6" s="1235">
        <v>0</v>
      </c>
      <c r="E6" s="1235">
        <v>0</v>
      </c>
      <c r="F6" s="1235">
        <v>0</v>
      </c>
      <c r="G6" s="1235">
        <v>0</v>
      </c>
      <c r="H6" s="1235">
        <v>0</v>
      </c>
      <c r="I6" s="1235">
        <v>1975</v>
      </c>
      <c r="J6" s="1234">
        <f t="shared" si="0"/>
        <v>1083</v>
      </c>
      <c r="K6" s="1234">
        <f t="shared" si="1"/>
        <v>3058</v>
      </c>
      <c r="L6" s="1233">
        <f>IFERROR(J6/J131, 0)</f>
        <v>5.7367572150845888E-5</v>
      </c>
      <c r="M6" s="1232">
        <f>IFERROR(K6 / DetailedCapShares, 0)</f>
        <v>0</v>
      </c>
    </row>
    <row r="7" spans="1:13" ht="19.5" customHeight="1" x14ac:dyDescent="0.2">
      <c r="A7" s="1236" t="s">
        <v>1246</v>
      </c>
      <c r="B7" s="1235">
        <v>0</v>
      </c>
      <c r="C7" s="1235">
        <v>0</v>
      </c>
      <c r="D7" s="1235">
        <v>0</v>
      </c>
      <c r="E7" s="1235">
        <v>0</v>
      </c>
      <c r="F7" s="1235">
        <v>0</v>
      </c>
      <c r="G7" s="1235">
        <v>0</v>
      </c>
      <c r="H7" s="1235">
        <v>0</v>
      </c>
      <c r="I7" s="1235">
        <v>500</v>
      </c>
      <c r="J7" s="1234">
        <f t="shared" si="0"/>
        <v>0</v>
      </c>
      <c r="K7" s="1234">
        <f t="shared" si="1"/>
        <v>500</v>
      </c>
      <c r="L7" s="1233">
        <f>IFERROR(J7/J131, 0)</f>
        <v>0</v>
      </c>
      <c r="M7" s="1232">
        <f>IFERROR(K7 / DetailedCapShares, 0)</f>
        <v>0</v>
      </c>
    </row>
    <row r="8" spans="1:13" ht="19.5" customHeight="1" x14ac:dyDescent="0.2">
      <c r="A8" s="1236" t="s">
        <v>1245</v>
      </c>
      <c r="B8" s="1235">
        <v>0</v>
      </c>
      <c r="C8" s="1235">
        <v>0</v>
      </c>
      <c r="D8" s="1235">
        <v>0</v>
      </c>
      <c r="E8" s="1235">
        <v>0</v>
      </c>
      <c r="F8" s="1235">
        <v>0</v>
      </c>
      <c r="G8" s="1235">
        <v>0</v>
      </c>
      <c r="H8" s="1235">
        <v>0</v>
      </c>
      <c r="I8" s="1235">
        <v>300</v>
      </c>
      <c r="J8" s="1234">
        <f t="shared" si="0"/>
        <v>0</v>
      </c>
      <c r="K8" s="1234">
        <f t="shared" si="1"/>
        <v>300</v>
      </c>
      <c r="L8" s="1233">
        <f>IFERROR(J8/J131, 0)</f>
        <v>0</v>
      </c>
      <c r="M8" s="1232">
        <f>IFERROR(K8 / DetailedCapShares, 0)</f>
        <v>0</v>
      </c>
    </row>
    <row r="9" spans="1:13" ht="19.5" customHeight="1" x14ac:dyDescent="0.2">
      <c r="A9" s="1236" t="s">
        <v>1244</v>
      </c>
      <c r="B9" s="1235">
        <v>3672</v>
      </c>
      <c r="C9" s="1235">
        <v>0</v>
      </c>
      <c r="D9" s="1235">
        <v>0</v>
      </c>
      <c r="E9" s="1235">
        <v>0</v>
      </c>
      <c r="F9" s="1235">
        <v>0</v>
      </c>
      <c r="G9" s="1235">
        <v>0</v>
      </c>
      <c r="H9" s="1235">
        <v>0</v>
      </c>
      <c r="I9" s="1235">
        <v>0</v>
      </c>
      <c r="J9" s="1234">
        <f t="shared" si="0"/>
        <v>3672</v>
      </c>
      <c r="K9" s="1234">
        <f t="shared" si="1"/>
        <v>3672</v>
      </c>
      <c r="L9" s="1233">
        <f>IFERROR(J9/J131, 0)</f>
        <v>1.9450944130923922E-4</v>
      </c>
      <c r="M9" s="1232">
        <f>IFERROR(K9 / DetailedCapShares, 0)</f>
        <v>0</v>
      </c>
    </row>
    <row r="10" spans="1:13" ht="19.5" customHeight="1" x14ac:dyDescent="0.2">
      <c r="A10" s="1236" t="s">
        <v>1243</v>
      </c>
      <c r="B10" s="1235">
        <v>0</v>
      </c>
      <c r="C10" s="1235">
        <v>0</v>
      </c>
      <c r="D10" s="1235">
        <v>0</v>
      </c>
      <c r="E10" s="1235">
        <v>0</v>
      </c>
      <c r="F10" s="1235">
        <v>0</v>
      </c>
      <c r="G10" s="1235">
        <v>0</v>
      </c>
      <c r="H10" s="1235">
        <v>0</v>
      </c>
      <c r="I10" s="1235">
        <v>500</v>
      </c>
      <c r="J10" s="1234">
        <f t="shared" si="0"/>
        <v>0</v>
      </c>
      <c r="K10" s="1234">
        <f t="shared" si="1"/>
        <v>500</v>
      </c>
      <c r="L10" s="1233">
        <f>IFERROR(J10/J131, 0)</f>
        <v>0</v>
      </c>
      <c r="M10" s="1232">
        <f>IFERROR(K10 / DetailedCapShares, 0)</f>
        <v>0</v>
      </c>
    </row>
    <row r="11" spans="1:13" ht="19.5" customHeight="1" x14ac:dyDescent="0.2">
      <c r="A11" s="1236" t="s">
        <v>1242</v>
      </c>
      <c r="B11" s="1235">
        <v>0</v>
      </c>
      <c r="C11" s="1235">
        <v>0</v>
      </c>
      <c r="D11" s="1235">
        <v>0</v>
      </c>
      <c r="E11" s="1235">
        <v>0</v>
      </c>
      <c r="F11" s="1235">
        <v>0</v>
      </c>
      <c r="G11" s="1235">
        <v>0</v>
      </c>
      <c r="H11" s="1235">
        <v>0</v>
      </c>
      <c r="I11" s="1235">
        <v>300</v>
      </c>
      <c r="J11" s="1234">
        <f t="shared" si="0"/>
        <v>0</v>
      </c>
      <c r="K11" s="1234">
        <f t="shared" si="1"/>
        <v>300</v>
      </c>
      <c r="L11" s="1233">
        <f>IFERROR(J11/J131, 0)</f>
        <v>0</v>
      </c>
      <c r="M11" s="1232">
        <f>IFERROR(K11 / DetailedCapShares, 0)</f>
        <v>0</v>
      </c>
    </row>
    <row r="12" spans="1:13" ht="19.5" customHeight="1" x14ac:dyDescent="0.2">
      <c r="A12" s="1236" t="s">
        <v>1241</v>
      </c>
      <c r="B12" s="1235">
        <v>0</v>
      </c>
      <c r="C12" s="1235">
        <v>0</v>
      </c>
      <c r="D12" s="1235">
        <v>0</v>
      </c>
      <c r="E12" s="1235">
        <v>0</v>
      </c>
      <c r="F12" s="1235">
        <v>0</v>
      </c>
      <c r="G12" s="1235">
        <v>0</v>
      </c>
      <c r="H12" s="1235">
        <v>0</v>
      </c>
      <c r="I12" s="1235">
        <v>3058</v>
      </c>
      <c r="J12" s="1234">
        <f t="shared" si="0"/>
        <v>0</v>
      </c>
      <c r="K12" s="1234">
        <f t="shared" si="1"/>
        <v>3058</v>
      </c>
      <c r="L12" s="1233">
        <f>IFERROR(J12/J131, 0)</f>
        <v>0</v>
      </c>
      <c r="M12" s="1232">
        <f>IFERROR(K12 / DetailedCapShares, 0)</f>
        <v>0</v>
      </c>
    </row>
    <row r="13" spans="1:13" ht="19.5" customHeight="1" x14ac:dyDescent="0.2">
      <c r="A13" s="1236" t="s">
        <v>1240</v>
      </c>
      <c r="B13" s="1235">
        <v>45124</v>
      </c>
      <c r="C13" s="1235">
        <v>0</v>
      </c>
      <c r="D13" s="1235">
        <v>0</v>
      </c>
      <c r="E13" s="1235">
        <v>0</v>
      </c>
      <c r="F13" s="1235">
        <v>0</v>
      </c>
      <c r="G13" s="1235">
        <v>0</v>
      </c>
      <c r="H13" s="1235">
        <v>0</v>
      </c>
      <c r="I13" s="1235">
        <v>0</v>
      </c>
      <c r="J13" s="1234">
        <f t="shared" si="0"/>
        <v>45124</v>
      </c>
      <c r="K13" s="1234">
        <f t="shared" si="1"/>
        <v>45124</v>
      </c>
      <c r="L13" s="1233">
        <f>IFERROR(J13/J131, 0)</f>
        <v>2.3902625353044967E-3</v>
      </c>
      <c r="M13" s="1232">
        <f>IFERROR(K13 / DetailedCapShares, 0)</f>
        <v>0</v>
      </c>
    </row>
    <row r="14" spans="1:13" ht="19.5" customHeight="1" x14ac:dyDescent="0.2">
      <c r="A14" s="1236" t="s">
        <v>1239</v>
      </c>
      <c r="B14" s="1235">
        <v>0</v>
      </c>
      <c r="C14" s="1235">
        <v>0</v>
      </c>
      <c r="D14" s="1235">
        <v>0</v>
      </c>
      <c r="E14" s="1235">
        <v>0</v>
      </c>
      <c r="F14" s="1235">
        <v>0</v>
      </c>
      <c r="G14" s="1235">
        <v>0</v>
      </c>
      <c r="H14" s="1235">
        <v>0</v>
      </c>
      <c r="I14" s="1235">
        <v>7073</v>
      </c>
      <c r="J14" s="1234">
        <f t="shared" si="0"/>
        <v>0</v>
      </c>
      <c r="K14" s="1234">
        <f t="shared" si="1"/>
        <v>7073</v>
      </c>
      <c r="L14" s="1233">
        <f>IFERROR(J14/J131, 0)</f>
        <v>0</v>
      </c>
      <c r="M14" s="1232">
        <f>IFERROR(K14 / DetailedCapShares, 0)</f>
        <v>0</v>
      </c>
    </row>
    <row r="15" spans="1:13" ht="19.5" customHeight="1" x14ac:dyDescent="0.2">
      <c r="A15" s="1236" t="s">
        <v>1238</v>
      </c>
      <c r="B15" s="1235">
        <v>0</v>
      </c>
      <c r="C15" s="1235">
        <v>0</v>
      </c>
      <c r="D15" s="1235">
        <v>0</v>
      </c>
      <c r="E15" s="1235">
        <v>0</v>
      </c>
      <c r="F15" s="1235">
        <v>0</v>
      </c>
      <c r="G15" s="1235">
        <v>0</v>
      </c>
      <c r="H15" s="1235">
        <v>0</v>
      </c>
      <c r="I15" s="1235">
        <v>1019</v>
      </c>
      <c r="J15" s="1234">
        <f t="shared" si="0"/>
        <v>0</v>
      </c>
      <c r="K15" s="1234">
        <f t="shared" si="1"/>
        <v>1019</v>
      </c>
      <c r="L15" s="1233">
        <f>IFERROR(J15/J131, 0)</f>
        <v>0</v>
      </c>
      <c r="M15" s="1232">
        <f>IFERROR(K15 / DetailedCapShares, 0)</f>
        <v>0</v>
      </c>
    </row>
    <row r="16" spans="1:13" ht="19.5" customHeight="1" x14ac:dyDescent="0.2">
      <c r="A16" s="1236" t="s">
        <v>1237</v>
      </c>
      <c r="B16" s="1235">
        <v>2787</v>
      </c>
      <c r="C16" s="1235">
        <v>0</v>
      </c>
      <c r="D16" s="1235">
        <v>0</v>
      </c>
      <c r="E16" s="1235">
        <v>0</v>
      </c>
      <c r="F16" s="1235">
        <v>0</v>
      </c>
      <c r="G16" s="1235">
        <v>0</v>
      </c>
      <c r="H16" s="1235">
        <v>0</v>
      </c>
      <c r="I16" s="1235">
        <v>0</v>
      </c>
      <c r="J16" s="1234">
        <f t="shared" si="0"/>
        <v>2787</v>
      </c>
      <c r="K16" s="1234">
        <f t="shared" si="1"/>
        <v>2787</v>
      </c>
      <c r="L16" s="1233">
        <f>IFERROR(J16/J131, 0)</f>
        <v>1.4763012334663664E-4</v>
      </c>
      <c r="M16" s="1232">
        <f>IFERROR(K16 / DetailedCapShares, 0)</f>
        <v>0</v>
      </c>
    </row>
    <row r="17" spans="1:13" ht="19.5" customHeight="1" x14ac:dyDescent="0.2">
      <c r="A17" s="1236" t="s">
        <v>1236</v>
      </c>
      <c r="B17" s="1235">
        <v>0</v>
      </c>
      <c r="C17" s="1235">
        <v>0</v>
      </c>
      <c r="D17" s="1235">
        <v>0</v>
      </c>
      <c r="E17" s="1235">
        <v>0</v>
      </c>
      <c r="F17" s="1235">
        <v>0</v>
      </c>
      <c r="G17" s="1235">
        <v>0</v>
      </c>
      <c r="H17" s="1235">
        <v>0</v>
      </c>
      <c r="I17" s="1235">
        <v>300</v>
      </c>
      <c r="J17" s="1234">
        <f t="shared" si="0"/>
        <v>0</v>
      </c>
      <c r="K17" s="1234">
        <f t="shared" si="1"/>
        <v>300</v>
      </c>
      <c r="L17" s="1233">
        <f>IFERROR(J17/J131, 0)</f>
        <v>0</v>
      </c>
      <c r="M17" s="1232">
        <f>IFERROR(K17 / DetailedCapShares, 0)</f>
        <v>0</v>
      </c>
    </row>
    <row r="18" spans="1:13" ht="19.5" customHeight="1" x14ac:dyDescent="0.2">
      <c r="A18" s="1236" t="s">
        <v>1235</v>
      </c>
      <c r="B18" s="1235">
        <v>0</v>
      </c>
      <c r="C18" s="1235">
        <v>0</v>
      </c>
      <c r="D18" s="1235">
        <v>0</v>
      </c>
      <c r="E18" s="1235">
        <v>0</v>
      </c>
      <c r="F18" s="1235">
        <v>0</v>
      </c>
      <c r="G18" s="1235">
        <v>0</v>
      </c>
      <c r="H18" s="1235">
        <v>0</v>
      </c>
      <c r="I18" s="1235">
        <v>300</v>
      </c>
      <c r="J18" s="1234">
        <f t="shared" si="0"/>
        <v>0</v>
      </c>
      <c r="K18" s="1234">
        <f t="shared" si="1"/>
        <v>300</v>
      </c>
      <c r="L18" s="1233">
        <f>IFERROR(J18/J131, 0)</f>
        <v>0</v>
      </c>
      <c r="M18" s="1232">
        <f>IFERROR(K18 / DetailedCapShares, 0)</f>
        <v>0</v>
      </c>
    </row>
    <row r="19" spans="1:13" ht="19.5" customHeight="1" x14ac:dyDescent="0.2">
      <c r="A19" s="1236" t="s">
        <v>1234</v>
      </c>
      <c r="B19" s="1235">
        <v>25699</v>
      </c>
      <c r="C19" s="1235">
        <v>56691</v>
      </c>
      <c r="D19" s="1235">
        <v>56691</v>
      </c>
      <c r="E19" s="1235">
        <v>37788</v>
      </c>
      <c r="F19" s="1235">
        <v>37788</v>
      </c>
      <c r="G19" s="1235">
        <v>0</v>
      </c>
      <c r="H19" s="1235">
        <v>0</v>
      </c>
      <c r="I19" s="1235">
        <v>0</v>
      </c>
      <c r="J19" s="1234">
        <f t="shared" si="0"/>
        <v>120178</v>
      </c>
      <c r="K19" s="1234">
        <f t="shared" si="1"/>
        <v>120178</v>
      </c>
      <c r="L19" s="1233">
        <f>IFERROR(J19/J131, 0)</f>
        <v>6.3659465244176889E-3</v>
      </c>
      <c r="M19" s="1232">
        <f>IFERROR(K19 / DetailedCapShares, 0)</f>
        <v>0</v>
      </c>
    </row>
    <row r="20" spans="1:13" ht="19.5" customHeight="1" x14ac:dyDescent="0.2">
      <c r="A20" s="1236" t="s">
        <v>1233</v>
      </c>
      <c r="B20" s="1235">
        <v>1326843</v>
      </c>
      <c r="C20" s="1235">
        <v>2927038</v>
      </c>
      <c r="D20" s="1235">
        <v>2927038</v>
      </c>
      <c r="E20" s="1235">
        <v>1951040</v>
      </c>
      <c r="F20" s="1235">
        <v>1951040</v>
      </c>
      <c r="G20" s="1235">
        <v>0</v>
      </c>
      <c r="H20" s="1235">
        <v>0</v>
      </c>
      <c r="I20" s="1235">
        <v>0</v>
      </c>
      <c r="J20" s="1234">
        <f t="shared" si="0"/>
        <v>6204921</v>
      </c>
      <c r="K20" s="1234">
        <f t="shared" si="1"/>
        <v>6204921</v>
      </c>
      <c r="L20" s="1233">
        <f>IFERROR(J20/J131, 0)</f>
        <v>0.32868075083822607</v>
      </c>
      <c r="M20" s="1232">
        <f>IFERROR(K20 / DetailedCapShares, 0)</f>
        <v>0</v>
      </c>
    </row>
    <row r="21" spans="1:13" ht="19.5" customHeight="1" x14ac:dyDescent="0.2">
      <c r="A21" s="1236" t="s">
        <v>1232</v>
      </c>
      <c r="B21" s="1235">
        <v>1883729</v>
      </c>
      <c r="C21" s="1235">
        <v>0</v>
      </c>
      <c r="D21" s="1235">
        <v>0</v>
      </c>
      <c r="E21" s="1235">
        <v>0</v>
      </c>
      <c r="F21" s="1235">
        <v>0</v>
      </c>
      <c r="G21" s="1235">
        <v>0</v>
      </c>
      <c r="H21" s="1235">
        <v>0</v>
      </c>
      <c r="I21" s="1235">
        <v>0</v>
      </c>
      <c r="J21" s="1234">
        <f t="shared" si="0"/>
        <v>1883729</v>
      </c>
      <c r="K21" s="1234">
        <f t="shared" si="1"/>
        <v>1883729</v>
      </c>
      <c r="L21" s="1233">
        <f>IFERROR(J21/J131, 0)</f>
        <v>9.9782972594774491E-2</v>
      </c>
      <c r="M21" s="1232">
        <f>IFERROR(K21 / DetailedCapShares, 0)</f>
        <v>0</v>
      </c>
    </row>
    <row r="22" spans="1:13" ht="19.5" customHeight="1" x14ac:dyDescent="0.2">
      <c r="A22" s="1236" t="s">
        <v>1231</v>
      </c>
      <c r="B22" s="1235">
        <v>589</v>
      </c>
      <c r="C22" s="1235">
        <v>0</v>
      </c>
      <c r="D22" s="1235">
        <v>0</v>
      </c>
      <c r="E22" s="1235">
        <v>0</v>
      </c>
      <c r="F22" s="1235">
        <v>0</v>
      </c>
      <c r="G22" s="1235">
        <v>0</v>
      </c>
      <c r="H22" s="1235">
        <v>0</v>
      </c>
      <c r="I22" s="1235">
        <v>0</v>
      </c>
      <c r="J22" s="1234">
        <f t="shared" si="0"/>
        <v>589</v>
      </c>
      <c r="K22" s="1234">
        <f t="shared" si="1"/>
        <v>589</v>
      </c>
      <c r="L22" s="1233">
        <f>IFERROR(J22/J131, 0)</f>
        <v>3.119990766098636E-5</v>
      </c>
      <c r="M22" s="1232">
        <f>IFERROR(K22 / DetailedCapShares, 0)</f>
        <v>0</v>
      </c>
    </row>
    <row r="23" spans="1:13" ht="19.5" customHeight="1" x14ac:dyDescent="0.2">
      <c r="A23" s="1236" t="s">
        <v>1230</v>
      </c>
      <c r="B23" s="1235">
        <v>0</v>
      </c>
      <c r="C23" s="1235">
        <v>0</v>
      </c>
      <c r="D23" s="1235">
        <v>0</v>
      </c>
      <c r="E23" s="1235">
        <v>0</v>
      </c>
      <c r="F23" s="1235">
        <v>0</v>
      </c>
      <c r="G23" s="1235">
        <v>0</v>
      </c>
      <c r="H23" s="1235">
        <v>0</v>
      </c>
      <c r="I23" s="1235">
        <v>3058</v>
      </c>
      <c r="J23" s="1234">
        <f t="shared" si="0"/>
        <v>0</v>
      </c>
      <c r="K23" s="1234">
        <f t="shared" si="1"/>
        <v>3058</v>
      </c>
      <c r="L23" s="1233">
        <f>IFERROR(J23/J131, 0)</f>
        <v>0</v>
      </c>
      <c r="M23" s="1232">
        <f>IFERROR(K23 / DetailedCapShares, 0)</f>
        <v>0</v>
      </c>
    </row>
    <row r="24" spans="1:13" ht="19.5" customHeight="1" x14ac:dyDescent="0.2">
      <c r="A24" s="1236" t="s">
        <v>1229</v>
      </c>
      <c r="B24" s="1235">
        <v>2369</v>
      </c>
      <c r="C24" s="1235">
        <v>0</v>
      </c>
      <c r="D24" s="1235">
        <v>0</v>
      </c>
      <c r="E24" s="1235">
        <v>0</v>
      </c>
      <c r="F24" s="1235">
        <v>0</v>
      </c>
      <c r="G24" s="1235">
        <v>0</v>
      </c>
      <c r="H24" s="1235">
        <v>0</v>
      </c>
      <c r="I24" s="1235">
        <v>0</v>
      </c>
      <c r="J24" s="1234">
        <f t="shared" si="0"/>
        <v>2369</v>
      </c>
      <c r="K24" s="1234">
        <f t="shared" si="1"/>
        <v>2369</v>
      </c>
      <c r="L24" s="1233">
        <f>IFERROR(J24/J131, 0)</f>
        <v>1.2548825339367859E-4</v>
      </c>
      <c r="M24" s="1232">
        <f>IFERROR(K24 / DetailedCapShares, 0)</f>
        <v>0</v>
      </c>
    </row>
    <row r="25" spans="1:13" ht="19.5" customHeight="1" x14ac:dyDescent="0.2">
      <c r="A25" s="1236" t="s">
        <v>1228</v>
      </c>
      <c r="B25" s="1235">
        <v>24457</v>
      </c>
      <c r="C25" s="1235">
        <v>0</v>
      </c>
      <c r="D25" s="1235">
        <v>0</v>
      </c>
      <c r="E25" s="1235">
        <v>0</v>
      </c>
      <c r="F25" s="1235">
        <v>0</v>
      </c>
      <c r="G25" s="1235">
        <v>0</v>
      </c>
      <c r="H25" s="1235">
        <v>0</v>
      </c>
      <c r="I25" s="1235">
        <v>12417</v>
      </c>
      <c r="J25" s="1234">
        <f t="shared" si="0"/>
        <v>24457</v>
      </c>
      <c r="K25" s="1234">
        <f t="shared" si="1"/>
        <v>36874</v>
      </c>
      <c r="L25" s="1233">
        <f>IFERROR(J25/J131, 0)</f>
        <v>1.2955112761710414E-3</v>
      </c>
      <c r="M25" s="1232">
        <f>IFERROR(K25 / DetailedCapShares, 0)</f>
        <v>0</v>
      </c>
    </row>
    <row r="26" spans="1:13" ht="19.5" customHeight="1" x14ac:dyDescent="0.2">
      <c r="A26" s="1236" t="s">
        <v>1227</v>
      </c>
      <c r="B26" s="1235">
        <v>0</v>
      </c>
      <c r="C26" s="1235">
        <v>0</v>
      </c>
      <c r="D26" s="1235">
        <v>0</v>
      </c>
      <c r="E26" s="1235">
        <v>0</v>
      </c>
      <c r="F26" s="1235">
        <v>0</v>
      </c>
      <c r="G26" s="1235">
        <v>0</v>
      </c>
      <c r="H26" s="1235">
        <v>0</v>
      </c>
      <c r="I26" s="1235">
        <v>1768</v>
      </c>
      <c r="J26" s="1234">
        <f t="shared" si="0"/>
        <v>0</v>
      </c>
      <c r="K26" s="1234">
        <f t="shared" si="1"/>
        <v>1768</v>
      </c>
      <c r="L26" s="1233">
        <f>IFERROR(J26/J131, 0)</f>
        <v>0</v>
      </c>
      <c r="M26" s="1232">
        <f>IFERROR(K26 / DetailedCapShares, 0)</f>
        <v>0</v>
      </c>
    </row>
    <row r="27" spans="1:13" ht="19.5" customHeight="1" x14ac:dyDescent="0.2">
      <c r="A27" s="1236" t="s">
        <v>1226</v>
      </c>
      <c r="B27" s="1235">
        <v>0</v>
      </c>
      <c r="C27" s="1235">
        <v>0</v>
      </c>
      <c r="D27" s="1235">
        <v>0</v>
      </c>
      <c r="E27" s="1235">
        <v>0</v>
      </c>
      <c r="F27" s="1235">
        <v>0</v>
      </c>
      <c r="G27" s="1235">
        <v>0</v>
      </c>
      <c r="H27" s="1235">
        <v>0</v>
      </c>
      <c r="I27" s="1235">
        <v>3058</v>
      </c>
      <c r="J27" s="1234">
        <f t="shared" si="0"/>
        <v>0</v>
      </c>
      <c r="K27" s="1234">
        <f t="shared" si="1"/>
        <v>3058</v>
      </c>
      <c r="L27" s="1233">
        <f>IFERROR(J27/J131, 0)</f>
        <v>0</v>
      </c>
      <c r="M27" s="1232">
        <f>IFERROR(K27 / DetailedCapShares, 0)</f>
        <v>0</v>
      </c>
    </row>
    <row r="28" spans="1:13" ht="19.5" customHeight="1" x14ac:dyDescent="0.2">
      <c r="A28" s="1236" t="s">
        <v>1225</v>
      </c>
      <c r="B28" s="1235">
        <v>156</v>
      </c>
      <c r="C28" s="1235">
        <v>0</v>
      </c>
      <c r="D28" s="1235">
        <v>0</v>
      </c>
      <c r="E28" s="1235">
        <v>0</v>
      </c>
      <c r="F28" s="1235">
        <v>0</v>
      </c>
      <c r="G28" s="1235">
        <v>0</v>
      </c>
      <c r="H28" s="1235">
        <v>0</v>
      </c>
      <c r="I28" s="1235">
        <v>0</v>
      </c>
      <c r="J28" s="1234">
        <f t="shared" si="0"/>
        <v>156</v>
      </c>
      <c r="K28" s="1234">
        <f t="shared" si="1"/>
        <v>156</v>
      </c>
      <c r="L28" s="1233">
        <f>IFERROR(J28/J131, 0)</f>
        <v>8.2634729967977454E-6</v>
      </c>
      <c r="M28" s="1232">
        <f>IFERROR(K28 / DetailedCapShares, 0)</f>
        <v>0</v>
      </c>
    </row>
    <row r="29" spans="1:13" ht="19.5" customHeight="1" x14ac:dyDescent="0.2">
      <c r="A29" s="1236" t="s">
        <v>1224</v>
      </c>
      <c r="B29" s="1235">
        <v>0</v>
      </c>
      <c r="C29" s="1235">
        <v>0</v>
      </c>
      <c r="D29" s="1235">
        <v>0</v>
      </c>
      <c r="E29" s="1235">
        <v>0</v>
      </c>
      <c r="F29" s="1235">
        <v>0</v>
      </c>
      <c r="G29" s="1235">
        <v>0</v>
      </c>
      <c r="H29" s="1235">
        <v>0</v>
      </c>
      <c r="I29" s="1235">
        <v>407</v>
      </c>
      <c r="J29" s="1234">
        <f t="shared" si="0"/>
        <v>0</v>
      </c>
      <c r="K29" s="1234">
        <f t="shared" si="1"/>
        <v>407</v>
      </c>
      <c r="L29" s="1233">
        <f>IFERROR(J29/J131, 0)</f>
        <v>0</v>
      </c>
      <c r="M29" s="1232">
        <f>IFERROR(K29 / DetailedCapShares, 0)</f>
        <v>0</v>
      </c>
    </row>
    <row r="30" spans="1:13" ht="19.5" customHeight="1" x14ac:dyDescent="0.2">
      <c r="A30" s="1236" t="s">
        <v>1223</v>
      </c>
      <c r="B30" s="1235">
        <v>0</v>
      </c>
      <c r="C30" s="1235">
        <v>0</v>
      </c>
      <c r="D30" s="1235">
        <v>0</v>
      </c>
      <c r="E30" s="1235">
        <v>0</v>
      </c>
      <c r="F30" s="1235">
        <v>0</v>
      </c>
      <c r="G30" s="1235">
        <v>0</v>
      </c>
      <c r="H30" s="1235">
        <v>0</v>
      </c>
      <c r="I30" s="1235">
        <v>3670</v>
      </c>
      <c r="J30" s="1234">
        <f t="shared" si="0"/>
        <v>0</v>
      </c>
      <c r="K30" s="1234">
        <f t="shared" si="1"/>
        <v>3670</v>
      </c>
      <c r="L30" s="1233">
        <f>IFERROR(J30/J131, 0)</f>
        <v>0</v>
      </c>
      <c r="M30" s="1232">
        <f>IFERROR(K30 / DetailedCapShares, 0)</f>
        <v>0</v>
      </c>
    </row>
    <row r="31" spans="1:13" ht="19.5" customHeight="1" x14ac:dyDescent="0.2">
      <c r="A31" s="1236" t="s">
        <v>1222</v>
      </c>
      <c r="B31" s="1235">
        <v>0</v>
      </c>
      <c r="C31" s="1235">
        <v>0</v>
      </c>
      <c r="D31" s="1235">
        <v>0</v>
      </c>
      <c r="E31" s="1235">
        <v>0</v>
      </c>
      <c r="F31" s="1235">
        <v>0</v>
      </c>
      <c r="G31" s="1235">
        <v>0</v>
      </c>
      <c r="H31" s="1235">
        <v>0</v>
      </c>
      <c r="I31" s="1235">
        <v>6116</v>
      </c>
      <c r="J31" s="1234">
        <f t="shared" si="0"/>
        <v>0</v>
      </c>
      <c r="K31" s="1234">
        <f t="shared" si="1"/>
        <v>6116</v>
      </c>
      <c r="L31" s="1233">
        <f>IFERROR(J31/J131, 0)</f>
        <v>0</v>
      </c>
      <c r="M31" s="1232">
        <f>IFERROR(K31 / DetailedCapShares, 0)</f>
        <v>0</v>
      </c>
    </row>
    <row r="32" spans="1:13" ht="19.5" customHeight="1" x14ac:dyDescent="0.2">
      <c r="A32" s="1236" t="s">
        <v>1221</v>
      </c>
      <c r="B32" s="1235">
        <v>0</v>
      </c>
      <c r="C32" s="1235">
        <v>0</v>
      </c>
      <c r="D32" s="1235">
        <v>0</v>
      </c>
      <c r="E32" s="1235">
        <v>0</v>
      </c>
      <c r="F32" s="1235">
        <v>0</v>
      </c>
      <c r="G32" s="1235">
        <v>0</v>
      </c>
      <c r="H32" s="1235">
        <v>0</v>
      </c>
      <c r="I32" s="1235">
        <v>1768</v>
      </c>
      <c r="J32" s="1234">
        <f t="shared" si="0"/>
        <v>0</v>
      </c>
      <c r="K32" s="1234">
        <f t="shared" si="1"/>
        <v>1768</v>
      </c>
      <c r="L32" s="1233">
        <f>IFERROR(J32/J131, 0)</f>
        <v>0</v>
      </c>
      <c r="M32" s="1232">
        <f>IFERROR(K32 / DetailedCapShares, 0)</f>
        <v>0</v>
      </c>
    </row>
    <row r="33" spans="1:13" ht="19.5" customHeight="1" x14ac:dyDescent="0.2">
      <c r="A33" s="1236" t="s">
        <v>1220</v>
      </c>
      <c r="B33" s="1235">
        <v>0</v>
      </c>
      <c r="C33" s="1235">
        <v>0</v>
      </c>
      <c r="D33" s="1235">
        <v>0</v>
      </c>
      <c r="E33" s="1235">
        <v>0</v>
      </c>
      <c r="F33" s="1235">
        <v>0</v>
      </c>
      <c r="G33" s="1235">
        <v>0</v>
      </c>
      <c r="H33" s="1235">
        <v>0</v>
      </c>
      <c r="I33" s="1235">
        <v>8841</v>
      </c>
      <c r="J33" s="1234">
        <f t="shared" si="0"/>
        <v>0</v>
      </c>
      <c r="K33" s="1234">
        <f t="shared" si="1"/>
        <v>8841</v>
      </c>
      <c r="L33" s="1233">
        <f>IFERROR(J33/J131, 0)</f>
        <v>0</v>
      </c>
      <c r="M33" s="1232">
        <f>IFERROR(K33 / DetailedCapShares, 0)</f>
        <v>0</v>
      </c>
    </row>
    <row r="34" spans="1:13" ht="19.5" customHeight="1" x14ac:dyDescent="0.2">
      <c r="A34" s="1236" t="s">
        <v>1219</v>
      </c>
      <c r="B34" s="1235">
        <v>0</v>
      </c>
      <c r="C34" s="1235">
        <v>0</v>
      </c>
      <c r="D34" s="1235">
        <v>0</v>
      </c>
      <c r="E34" s="1235">
        <v>0</v>
      </c>
      <c r="F34" s="1235">
        <v>0</v>
      </c>
      <c r="G34" s="1235">
        <v>0</v>
      </c>
      <c r="H34" s="1235">
        <v>0</v>
      </c>
      <c r="I34" s="1235">
        <v>300</v>
      </c>
      <c r="J34" s="1234">
        <f t="shared" si="0"/>
        <v>0</v>
      </c>
      <c r="K34" s="1234">
        <f t="shared" si="1"/>
        <v>300</v>
      </c>
      <c r="L34" s="1233">
        <f>IFERROR(J34/J131, 0)</f>
        <v>0</v>
      </c>
      <c r="M34" s="1232">
        <f>IFERROR(K34 / DetailedCapShares, 0)</f>
        <v>0</v>
      </c>
    </row>
    <row r="35" spans="1:13" ht="19.5" customHeight="1" x14ac:dyDescent="0.2">
      <c r="A35" s="1236" t="s">
        <v>1218</v>
      </c>
      <c r="B35" s="1235">
        <v>0</v>
      </c>
      <c r="C35" s="1235">
        <v>0</v>
      </c>
      <c r="D35" s="1235">
        <v>0</v>
      </c>
      <c r="E35" s="1235">
        <v>0</v>
      </c>
      <c r="F35" s="1235">
        <v>0</v>
      </c>
      <c r="G35" s="1235">
        <v>0</v>
      </c>
      <c r="H35" s="1235">
        <v>0</v>
      </c>
      <c r="I35" s="1235">
        <v>2039</v>
      </c>
      <c r="J35" s="1234">
        <f t="shared" si="0"/>
        <v>0</v>
      </c>
      <c r="K35" s="1234">
        <f t="shared" si="1"/>
        <v>2039</v>
      </c>
      <c r="L35" s="1233">
        <f>IFERROR(J35/J131, 0)</f>
        <v>0</v>
      </c>
      <c r="M35" s="1232">
        <f>IFERROR(K35 / DetailedCapShares, 0)</f>
        <v>0</v>
      </c>
    </row>
    <row r="36" spans="1:13" ht="19.5" customHeight="1" x14ac:dyDescent="0.2">
      <c r="A36" s="1236" t="s">
        <v>1217</v>
      </c>
      <c r="B36" s="1235">
        <v>0</v>
      </c>
      <c r="C36" s="1235">
        <v>0</v>
      </c>
      <c r="D36" s="1235">
        <v>0</v>
      </c>
      <c r="E36" s="1235">
        <v>0</v>
      </c>
      <c r="F36" s="1235">
        <v>0</v>
      </c>
      <c r="G36" s="1235">
        <v>0</v>
      </c>
      <c r="H36" s="1235">
        <v>0</v>
      </c>
      <c r="I36" s="1235">
        <v>6117</v>
      </c>
      <c r="J36" s="1234">
        <f t="shared" si="0"/>
        <v>0</v>
      </c>
      <c r="K36" s="1234">
        <f t="shared" si="1"/>
        <v>6117</v>
      </c>
      <c r="L36" s="1233">
        <f>IFERROR(J36/J131, 0)</f>
        <v>0</v>
      </c>
      <c r="M36" s="1232">
        <f>IFERROR(K36 / DetailedCapShares, 0)</f>
        <v>0</v>
      </c>
    </row>
    <row r="37" spans="1:13" ht="19.5" customHeight="1" x14ac:dyDescent="0.2">
      <c r="A37" s="1236" t="s">
        <v>1216</v>
      </c>
      <c r="B37" s="1235">
        <v>0</v>
      </c>
      <c r="C37" s="1235">
        <v>0</v>
      </c>
      <c r="D37" s="1235">
        <v>0</v>
      </c>
      <c r="E37" s="1235">
        <v>0</v>
      </c>
      <c r="F37" s="1235">
        <v>0</v>
      </c>
      <c r="G37" s="1235">
        <v>0</v>
      </c>
      <c r="H37" s="1235">
        <v>0</v>
      </c>
      <c r="I37" s="1235">
        <v>1019</v>
      </c>
      <c r="J37" s="1234">
        <f t="shared" ref="J37:J68" si="2">SUM(B37,C37,E37,G37,)</f>
        <v>0</v>
      </c>
      <c r="K37" s="1234">
        <f t="shared" ref="K37:K68" si="3">SUM(B37,D37,F37,H37,I37,)</f>
        <v>1019</v>
      </c>
      <c r="L37" s="1233">
        <f>IFERROR(J37/J131, 0)</f>
        <v>0</v>
      </c>
      <c r="M37" s="1232">
        <f>IFERROR(K37 / DetailedCapShares, 0)</f>
        <v>0</v>
      </c>
    </row>
    <row r="38" spans="1:13" ht="19.5" customHeight="1" x14ac:dyDescent="0.2">
      <c r="A38" s="1236" t="s">
        <v>1215</v>
      </c>
      <c r="B38" s="1235">
        <v>0</v>
      </c>
      <c r="C38" s="1235">
        <v>0</v>
      </c>
      <c r="D38" s="1235">
        <v>0</v>
      </c>
      <c r="E38" s="1235">
        <v>0</v>
      </c>
      <c r="F38" s="1235">
        <v>0</v>
      </c>
      <c r="G38" s="1235">
        <v>0</v>
      </c>
      <c r="H38" s="1235">
        <v>0</v>
      </c>
      <c r="I38" s="1235">
        <v>408</v>
      </c>
      <c r="J38" s="1234">
        <f t="shared" si="2"/>
        <v>0</v>
      </c>
      <c r="K38" s="1234">
        <f t="shared" si="3"/>
        <v>408</v>
      </c>
      <c r="L38" s="1233">
        <f>IFERROR(J38/J131, 0)</f>
        <v>0</v>
      </c>
      <c r="M38" s="1232">
        <f>IFERROR(K38 / DetailedCapShares, 0)</f>
        <v>0</v>
      </c>
    </row>
    <row r="39" spans="1:13" ht="19.5" customHeight="1" x14ac:dyDescent="0.2">
      <c r="A39" s="1236" t="s">
        <v>1214</v>
      </c>
      <c r="B39" s="1235">
        <v>0</v>
      </c>
      <c r="C39" s="1235">
        <v>0</v>
      </c>
      <c r="D39" s="1235">
        <v>0</v>
      </c>
      <c r="E39" s="1235">
        <v>0</v>
      </c>
      <c r="F39" s="1235">
        <v>0</v>
      </c>
      <c r="G39" s="1235">
        <v>0</v>
      </c>
      <c r="H39" s="1235">
        <v>0</v>
      </c>
      <c r="I39" s="1235">
        <v>612</v>
      </c>
      <c r="J39" s="1234">
        <f t="shared" si="2"/>
        <v>0</v>
      </c>
      <c r="K39" s="1234">
        <f t="shared" si="3"/>
        <v>612</v>
      </c>
      <c r="L39" s="1233">
        <f>IFERROR(J39/J131, 0)</f>
        <v>0</v>
      </c>
      <c r="M39" s="1232">
        <f>IFERROR(K39 / DetailedCapShares, 0)</f>
        <v>0</v>
      </c>
    </row>
    <row r="40" spans="1:13" ht="19.5" customHeight="1" x14ac:dyDescent="0.2">
      <c r="A40" s="1236" t="s">
        <v>1213</v>
      </c>
      <c r="B40" s="1235">
        <v>0</v>
      </c>
      <c r="C40" s="1235">
        <v>0</v>
      </c>
      <c r="D40" s="1235">
        <v>0</v>
      </c>
      <c r="E40" s="1235">
        <v>0</v>
      </c>
      <c r="F40" s="1235">
        <v>0</v>
      </c>
      <c r="G40" s="1235">
        <v>0</v>
      </c>
      <c r="H40" s="1235">
        <v>0</v>
      </c>
      <c r="I40" s="1235">
        <v>197</v>
      </c>
      <c r="J40" s="1234">
        <f t="shared" si="2"/>
        <v>0</v>
      </c>
      <c r="K40" s="1234">
        <f t="shared" si="3"/>
        <v>197</v>
      </c>
      <c r="L40" s="1233">
        <f>IFERROR(J40/J131, 0)</f>
        <v>0</v>
      </c>
      <c r="M40" s="1232">
        <f>IFERROR(K40 / DetailedCapShares, 0)</f>
        <v>0</v>
      </c>
    </row>
    <row r="41" spans="1:13" ht="19.5" customHeight="1" x14ac:dyDescent="0.2">
      <c r="A41" s="1236" t="s">
        <v>1212</v>
      </c>
      <c r="B41" s="1235">
        <v>0</v>
      </c>
      <c r="C41" s="1235">
        <v>0</v>
      </c>
      <c r="D41" s="1235">
        <v>0</v>
      </c>
      <c r="E41" s="1235">
        <v>0</v>
      </c>
      <c r="F41" s="1235">
        <v>0</v>
      </c>
      <c r="G41" s="1235">
        <v>0</v>
      </c>
      <c r="H41" s="1235">
        <v>0</v>
      </c>
      <c r="I41" s="1235">
        <v>2548</v>
      </c>
      <c r="J41" s="1234">
        <f t="shared" si="2"/>
        <v>0</v>
      </c>
      <c r="K41" s="1234">
        <f t="shared" si="3"/>
        <v>2548</v>
      </c>
      <c r="L41" s="1233">
        <f>IFERROR(J41/J131, 0)</f>
        <v>0</v>
      </c>
      <c r="M41" s="1232">
        <f>IFERROR(K41 / DetailedCapShares, 0)</f>
        <v>0</v>
      </c>
    </row>
    <row r="42" spans="1:13" ht="19.5" customHeight="1" x14ac:dyDescent="0.2">
      <c r="A42" s="1236" t="s">
        <v>1211</v>
      </c>
      <c r="B42" s="1235">
        <v>0</v>
      </c>
      <c r="C42" s="1235">
        <v>0</v>
      </c>
      <c r="D42" s="1235">
        <v>0</v>
      </c>
      <c r="E42" s="1235">
        <v>0</v>
      </c>
      <c r="F42" s="1235">
        <v>0</v>
      </c>
      <c r="G42" s="1235">
        <v>0</v>
      </c>
      <c r="H42" s="1235">
        <v>0</v>
      </c>
      <c r="I42" s="1235">
        <v>15380</v>
      </c>
      <c r="J42" s="1234">
        <f t="shared" si="2"/>
        <v>0</v>
      </c>
      <c r="K42" s="1234">
        <f t="shared" si="3"/>
        <v>15380</v>
      </c>
      <c r="L42" s="1233">
        <f>IFERROR(J42/J131, 0)</f>
        <v>0</v>
      </c>
      <c r="M42" s="1232">
        <f>IFERROR(K42 / DetailedCapShares, 0)</f>
        <v>0</v>
      </c>
    </row>
    <row r="43" spans="1:13" ht="19.5" customHeight="1" x14ac:dyDescent="0.2">
      <c r="A43" s="1236" t="s">
        <v>1210</v>
      </c>
      <c r="B43" s="1235">
        <v>0</v>
      </c>
      <c r="C43" s="1235">
        <v>0</v>
      </c>
      <c r="D43" s="1235">
        <v>0</v>
      </c>
      <c r="E43" s="1235">
        <v>0</v>
      </c>
      <c r="F43" s="1235">
        <v>0</v>
      </c>
      <c r="G43" s="1235">
        <v>0</v>
      </c>
      <c r="H43" s="1235">
        <v>0</v>
      </c>
      <c r="I43" s="1235">
        <v>3058</v>
      </c>
      <c r="J43" s="1234">
        <f t="shared" si="2"/>
        <v>0</v>
      </c>
      <c r="K43" s="1234">
        <f t="shared" si="3"/>
        <v>3058</v>
      </c>
      <c r="L43" s="1233">
        <f>IFERROR(J43/J131, 0)</f>
        <v>0</v>
      </c>
      <c r="M43" s="1232">
        <f>IFERROR(K43 / DetailedCapShares, 0)</f>
        <v>0</v>
      </c>
    </row>
    <row r="44" spans="1:13" ht="19.5" customHeight="1" x14ac:dyDescent="0.2">
      <c r="A44" s="1236" t="s">
        <v>1209</v>
      </c>
      <c r="B44" s="1235">
        <v>0</v>
      </c>
      <c r="C44" s="1235">
        <v>0</v>
      </c>
      <c r="D44" s="1235">
        <v>0</v>
      </c>
      <c r="E44" s="1235">
        <v>0</v>
      </c>
      <c r="F44" s="1235">
        <v>0</v>
      </c>
      <c r="G44" s="1235">
        <v>22234</v>
      </c>
      <c r="H44" s="1235">
        <v>22234</v>
      </c>
      <c r="I44" s="1235">
        <v>0</v>
      </c>
      <c r="J44" s="1234">
        <f t="shared" si="2"/>
        <v>22234</v>
      </c>
      <c r="K44" s="1234">
        <f t="shared" si="3"/>
        <v>22234</v>
      </c>
      <c r="L44" s="1233">
        <f>IFERROR(J44/J131, 0)</f>
        <v>1.1777567859666735E-3</v>
      </c>
      <c r="M44" s="1232">
        <f>IFERROR(K44 / DetailedCapShares, 0)</f>
        <v>0</v>
      </c>
    </row>
    <row r="45" spans="1:13" ht="19.5" customHeight="1" x14ac:dyDescent="0.2">
      <c r="A45" s="1236" t="s">
        <v>1208</v>
      </c>
      <c r="B45" s="1235">
        <v>0</v>
      </c>
      <c r="C45" s="1235">
        <v>0</v>
      </c>
      <c r="D45" s="1235">
        <v>0</v>
      </c>
      <c r="E45" s="1235">
        <v>0</v>
      </c>
      <c r="F45" s="1235">
        <v>0</v>
      </c>
      <c r="G45" s="1235">
        <v>0</v>
      </c>
      <c r="H45" s="1235">
        <v>0</v>
      </c>
      <c r="I45" s="1235">
        <v>2039</v>
      </c>
      <c r="J45" s="1234">
        <f t="shared" si="2"/>
        <v>0</v>
      </c>
      <c r="K45" s="1234">
        <f t="shared" si="3"/>
        <v>2039</v>
      </c>
      <c r="L45" s="1233">
        <f>IFERROR(J45/J131, 0)</f>
        <v>0</v>
      </c>
      <c r="M45" s="1232">
        <f>IFERROR(K45 / DetailedCapShares, 0)</f>
        <v>0</v>
      </c>
    </row>
    <row r="46" spans="1:13" ht="19.5" customHeight="1" x14ac:dyDescent="0.2">
      <c r="A46" s="1236" t="s">
        <v>1207</v>
      </c>
      <c r="B46" s="1235">
        <v>0</v>
      </c>
      <c r="C46" s="1235">
        <v>0</v>
      </c>
      <c r="D46" s="1235">
        <v>0</v>
      </c>
      <c r="E46" s="1235">
        <v>0</v>
      </c>
      <c r="F46" s="1235">
        <v>0</v>
      </c>
      <c r="G46" s="1235">
        <v>0</v>
      </c>
      <c r="H46" s="1235">
        <v>0</v>
      </c>
      <c r="I46" s="1235">
        <v>500</v>
      </c>
      <c r="J46" s="1234">
        <f t="shared" si="2"/>
        <v>0</v>
      </c>
      <c r="K46" s="1234">
        <f t="shared" si="3"/>
        <v>500</v>
      </c>
      <c r="L46" s="1233">
        <f>IFERROR(J46/J131, 0)</f>
        <v>0</v>
      </c>
      <c r="M46" s="1232">
        <f>IFERROR(K46 / DetailedCapShares, 0)</f>
        <v>0</v>
      </c>
    </row>
    <row r="47" spans="1:13" ht="19.5" customHeight="1" x14ac:dyDescent="0.2">
      <c r="A47" s="1236" t="s">
        <v>1206</v>
      </c>
      <c r="B47" s="1235">
        <v>0</v>
      </c>
      <c r="C47" s="1235">
        <v>0</v>
      </c>
      <c r="D47" s="1235">
        <v>0</v>
      </c>
      <c r="E47" s="1235">
        <v>0</v>
      </c>
      <c r="F47" s="1235">
        <v>0</v>
      </c>
      <c r="G47" s="1235">
        <v>39637</v>
      </c>
      <c r="H47" s="1235">
        <v>39637</v>
      </c>
      <c r="I47" s="1235">
        <v>0</v>
      </c>
      <c r="J47" s="1234">
        <f t="shared" si="2"/>
        <v>39637</v>
      </c>
      <c r="K47" s="1234">
        <f t="shared" si="3"/>
        <v>39637</v>
      </c>
      <c r="L47" s="1233">
        <f>IFERROR(J47/J131, 0)</f>
        <v>2.0996107639363604E-3</v>
      </c>
      <c r="M47" s="1232">
        <f>IFERROR(K47 / DetailedCapShares, 0)</f>
        <v>0</v>
      </c>
    </row>
    <row r="48" spans="1:13" ht="19.5" customHeight="1" x14ac:dyDescent="0.2">
      <c r="A48" s="1236" t="s">
        <v>1205</v>
      </c>
      <c r="B48" s="1235">
        <v>3249</v>
      </c>
      <c r="C48" s="1235">
        <v>0</v>
      </c>
      <c r="D48" s="1235">
        <v>0</v>
      </c>
      <c r="E48" s="1235">
        <v>0</v>
      </c>
      <c r="F48" s="1235">
        <v>0</v>
      </c>
      <c r="G48" s="1235">
        <v>0</v>
      </c>
      <c r="H48" s="1235">
        <v>0</v>
      </c>
      <c r="I48" s="1235">
        <v>0</v>
      </c>
      <c r="J48" s="1234">
        <f t="shared" si="2"/>
        <v>3249</v>
      </c>
      <c r="K48" s="1234">
        <f t="shared" si="3"/>
        <v>3249</v>
      </c>
      <c r="L48" s="1233">
        <f>IFERROR(J48/J131, 0)</f>
        <v>1.7210271645253766E-4</v>
      </c>
      <c r="M48" s="1232">
        <f>IFERROR(K48 / DetailedCapShares, 0)</f>
        <v>0</v>
      </c>
    </row>
    <row r="49" spans="1:13" ht="19.5" customHeight="1" x14ac:dyDescent="0.2">
      <c r="A49" s="1236" t="s">
        <v>1204</v>
      </c>
      <c r="B49" s="1235">
        <v>125</v>
      </c>
      <c r="C49" s="1235">
        <v>0</v>
      </c>
      <c r="D49" s="1235">
        <v>0</v>
      </c>
      <c r="E49" s="1235">
        <v>0</v>
      </c>
      <c r="F49" s="1235">
        <v>0</v>
      </c>
      <c r="G49" s="1235">
        <v>0</v>
      </c>
      <c r="H49" s="1235">
        <v>0</v>
      </c>
      <c r="I49" s="1235">
        <v>0</v>
      </c>
      <c r="J49" s="1234">
        <f t="shared" si="2"/>
        <v>125</v>
      </c>
      <c r="K49" s="1234">
        <f t="shared" si="3"/>
        <v>125</v>
      </c>
      <c r="L49" s="1233">
        <f>IFERROR(J49/J131, 0)</f>
        <v>6.6213725935879373E-6</v>
      </c>
      <c r="M49" s="1232">
        <f>IFERROR(K49 / DetailedCapShares, 0)</f>
        <v>0</v>
      </c>
    </row>
    <row r="50" spans="1:13" ht="19.5" customHeight="1" x14ac:dyDescent="0.2">
      <c r="A50" s="1236" t="s">
        <v>1203</v>
      </c>
      <c r="B50" s="1235">
        <v>0</v>
      </c>
      <c r="C50" s="1235">
        <v>0</v>
      </c>
      <c r="D50" s="1235">
        <v>0</v>
      </c>
      <c r="E50" s="1235">
        <v>0</v>
      </c>
      <c r="F50" s="1235">
        <v>0</v>
      </c>
      <c r="G50" s="1235">
        <v>0</v>
      </c>
      <c r="H50" s="1235">
        <v>0</v>
      </c>
      <c r="I50" s="1235">
        <v>6116</v>
      </c>
      <c r="J50" s="1234">
        <f t="shared" si="2"/>
        <v>0</v>
      </c>
      <c r="K50" s="1234">
        <f t="shared" si="3"/>
        <v>6116</v>
      </c>
      <c r="L50" s="1233">
        <f>IFERROR(J50/J131, 0)</f>
        <v>0</v>
      </c>
      <c r="M50" s="1232">
        <f>IFERROR(K50 / DetailedCapShares, 0)</f>
        <v>0</v>
      </c>
    </row>
    <row r="51" spans="1:13" ht="19.5" customHeight="1" x14ac:dyDescent="0.2">
      <c r="A51" s="1236" t="s">
        <v>1202</v>
      </c>
      <c r="B51" s="1235">
        <v>1252</v>
      </c>
      <c r="C51" s="1235">
        <v>0</v>
      </c>
      <c r="D51" s="1235">
        <v>0</v>
      </c>
      <c r="E51" s="1235">
        <v>0</v>
      </c>
      <c r="F51" s="1235">
        <v>0</v>
      </c>
      <c r="G51" s="1235">
        <v>0</v>
      </c>
      <c r="H51" s="1235">
        <v>0</v>
      </c>
      <c r="I51" s="1235">
        <v>0</v>
      </c>
      <c r="J51" s="1234">
        <f t="shared" si="2"/>
        <v>1252</v>
      </c>
      <c r="K51" s="1234">
        <f t="shared" si="3"/>
        <v>1252</v>
      </c>
      <c r="L51" s="1233">
        <f>IFERROR(J51/J131, 0)</f>
        <v>6.6319667897376782E-5</v>
      </c>
      <c r="M51" s="1232">
        <f>IFERROR(K51 / DetailedCapShares, 0)</f>
        <v>0</v>
      </c>
    </row>
    <row r="52" spans="1:13" ht="19.5" customHeight="1" x14ac:dyDescent="0.2">
      <c r="A52" s="1236" t="s">
        <v>1201</v>
      </c>
      <c r="B52" s="1235">
        <v>0</v>
      </c>
      <c r="C52" s="1235">
        <v>0</v>
      </c>
      <c r="D52" s="1235">
        <v>0</v>
      </c>
      <c r="E52" s="1235">
        <v>0</v>
      </c>
      <c r="F52" s="1235">
        <v>0</v>
      </c>
      <c r="G52" s="1235">
        <v>0</v>
      </c>
      <c r="H52" s="1235">
        <v>0</v>
      </c>
      <c r="I52" s="1235">
        <v>7073</v>
      </c>
      <c r="J52" s="1234">
        <f t="shared" si="2"/>
        <v>0</v>
      </c>
      <c r="K52" s="1234">
        <f t="shared" si="3"/>
        <v>7073</v>
      </c>
      <c r="L52" s="1233">
        <f>IFERROR(J52/J131, 0)</f>
        <v>0</v>
      </c>
      <c r="M52" s="1232">
        <f>IFERROR(K52 / DetailedCapShares, 0)</f>
        <v>0</v>
      </c>
    </row>
    <row r="53" spans="1:13" ht="19.5" customHeight="1" x14ac:dyDescent="0.2">
      <c r="A53" s="1236" t="s">
        <v>1200</v>
      </c>
      <c r="B53" s="1235">
        <v>8894</v>
      </c>
      <c r="C53" s="1235">
        <v>0</v>
      </c>
      <c r="D53" s="1235">
        <v>0</v>
      </c>
      <c r="E53" s="1235">
        <v>0</v>
      </c>
      <c r="F53" s="1235">
        <v>0</v>
      </c>
      <c r="G53" s="1235">
        <v>0</v>
      </c>
      <c r="H53" s="1235">
        <v>0</v>
      </c>
      <c r="I53" s="1235">
        <v>0</v>
      </c>
      <c r="J53" s="1234">
        <f t="shared" si="2"/>
        <v>8894</v>
      </c>
      <c r="K53" s="1234">
        <f t="shared" si="3"/>
        <v>8894</v>
      </c>
      <c r="L53" s="1233">
        <f>IFERROR(J53/J131, 0)</f>
        <v>4.7112390277896887E-4</v>
      </c>
      <c r="M53" s="1232">
        <f>IFERROR(K53 / DetailedCapShares, 0)</f>
        <v>0</v>
      </c>
    </row>
    <row r="54" spans="1:13" ht="19.5" customHeight="1" x14ac:dyDescent="0.2">
      <c r="A54" s="1236" t="s">
        <v>1199</v>
      </c>
      <c r="B54" s="1235">
        <v>0</v>
      </c>
      <c r="C54" s="1235">
        <v>0</v>
      </c>
      <c r="D54" s="1235">
        <v>0</v>
      </c>
      <c r="E54" s="1235">
        <v>0</v>
      </c>
      <c r="F54" s="1235">
        <v>0</v>
      </c>
      <c r="G54" s="1235">
        <v>0</v>
      </c>
      <c r="H54" s="1235">
        <v>0</v>
      </c>
      <c r="I54" s="1235">
        <v>4078</v>
      </c>
      <c r="J54" s="1234">
        <f t="shared" si="2"/>
        <v>0</v>
      </c>
      <c r="K54" s="1234">
        <f t="shared" si="3"/>
        <v>4078</v>
      </c>
      <c r="L54" s="1233">
        <f>IFERROR(J54/J131, 0)</f>
        <v>0</v>
      </c>
      <c r="M54" s="1232">
        <f>IFERROR(K54 / DetailedCapShares, 0)</f>
        <v>0</v>
      </c>
    </row>
    <row r="55" spans="1:13" ht="19.5" customHeight="1" x14ac:dyDescent="0.2">
      <c r="A55" s="1236" t="s">
        <v>1198</v>
      </c>
      <c r="B55" s="1235">
        <v>0</v>
      </c>
      <c r="C55" s="1235">
        <v>0</v>
      </c>
      <c r="D55" s="1235">
        <v>0</v>
      </c>
      <c r="E55" s="1235">
        <v>0</v>
      </c>
      <c r="F55" s="1235">
        <v>0</v>
      </c>
      <c r="G55" s="1235">
        <v>0</v>
      </c>
      <c r="H55" s="1235">
        <v>0</v>
      </c>
      <c r="I55" s="1235">
        <v>3058</v>
      </c>
      <c r="J55" s="1234">
        <f t="shared" si="2"/>
        <v>0</v>
      </c>
      <c r="K55" s="1234">
        <f t="shared" si="3"/>
        <v>3058</v>
      </c>
      <c r="L55" s="1233">
        <f>IFERROR(J55/J131, 0)</f>
        <v>0</v>
      </c>
      <c r="M55" s="1232">
        <f>IFERROR(K55 / DetailedCapShares, 0)</f>
        <v>0</v>
      </c>
    </row>
    <row r="56" spans="1:13" ht="19.5" customHeight="1" x14ac:dyDescent="0.2">
      <c r="A56" s="1236" t="s">
        <v>1197</v>
      </c>
      <c r="B56" s="1235">
        <v>0</v>
      </c>
      <c r="C56" s="1235">
        <v>0</v>
      </c>
      <c r="D56" s="1235">
        <v>0</v>
      </c>
      <c r="E56" s="1235">
        <v>0</v>
      </c>
      <c r="F56" s="1235">
        <v>0</v>
      </c>
      <c r="G56" s="1235">
        <v>0</v>
      </c>
      <c r="H56" s="1235">
        <v>0</v>
      </c>
      <c r="I56" s="1235">
        <v>300</v>
      </c>
      <c r="J56" s="1234">
        <f t="shared" si="2"/>
        <v>0</v>
      </c>
      <c r="K56" s="1234">
        <f t="shared" si="3"/>
        <v>300</v>
      </c>
      <c r="L56" s="1233">
        <f>IFERROR(J56/J131, 0)</f>
        <v>0</v>
      </c>
      <c r="M56" s="1232">
        <f>IFERROR(K56 / DetailedCapShares, 0)</f>
        <v>0</v>
      </c>
    </row>
    <row r="57" spans="1:13" ht="19.5" customHeight="1" x14ac:dyDescent="0.2">
      <c r="A57" s="1236" t="s">
        <v>1196</v>
      </c>
      <c r="B57" s="1235">
        <v>764</v>
      </c>
      <c r="C57" s="1235">
        <v>0</v>
      </c>
      <c r="D57" s="1235">
        <v>0</v>
      </c>
      <c r="E57" s="1235">
        <v>0</v>
      </c>
      <c r="F57" s="1235">
        <v>0</v>
      </c>
      <c r="G57" s="1235">
        <v>0</v>
      </c>
      <c r="H57" s="1235">
        <v>0</v>
      </c>
      <c r="I57" s="1235">
        <v>2294</v>
      </c>
      <c r="J57" s="1234">
        <f t="shared" si="2"/>
        <v>764</v>
      </c>
      <c r="K57" s="1234">
        <f t="shared" si="3"/>
        <v>3058</v>
      </c>
      <c r="L57" s="1233">
        <f>IFERROR(J57/J131, 0)</f>
        <v>4.0469829292009468E-5</v>
      </c>
      <c r="M57" s="1232">
        <f>IFERROR(K57 / DetailedCapShares, 0)</f>
        <v>0</v>
      </c>
    </row>
    <row r="58" spans="1:13" ht="19.5" customHeight="1" x14ac:dyDescent="0.2">
      <c r="A58" s="1236" t="s">
        <v>1195</v>
      </c>
      <c r="B58" s="1235">
        <v>0</v>
      </c>
      <c r="C58" s="1235">
        <v>0</v>
      </c>
      <c r="D58" s="1235">
        <v>0</v>
      </c>
      <c r="E58" s="1235">
        <v>0</v>
      </c>
      <c r="F58" s="1235">
        <v>0</v>
      </c>
      <c r="G58" s="1235">
        <v>0</v>
      </c>
      <c r="H58" s="1235">
        <v>0</v>
      </c>
      <c r="I58" s="1235">
        <v>68668</v>
      </c>
      <c r="J58" s="1234">
        <f t="shared" si="2"/>
        <v>0</v>
      </c>
      <c r="K58" s="1234">
        <f t="shared" si="3"/>
        <v>68668</v>
      </c>
      <c r="L58" s="1233">
        <f>IFERROR(J58/J131, 0)</f>
        <v>0</v>
      </c>
      <c r="M58" s="1232">
        <f>IFERROR(K58 / DetailedCapShares, 0)</f>
        <v>0</v>
      </c>
    </row>
    <row r="59" spans="1:13" ht="19.5" customHeight="1" x14ac:dyDescent="0.2">
      <c r="A59" s="1236" t="s">
        <v>1194</v>
      </c>
      <c r="B59" s="1235">
        <v>541</v>
      </c>
      <c r="C59" s="1235">
        <v>0</v>
      </c>
      <c r="D59" s="1235">
        <v>0</v>
      </c>
      <c r="E59" s="1235">
        <v>0</v>
      </c>
      <c r="F59" s="1235">
        <v>0</v>
      </c>
      <c r="G59" s="1235">
        <v>0</v>
      </c>
      <c r="H59" s="1235">
        <v>0</v>
      </c>
      <c r="I59" s="1235">
        <v>0</v>
      </c>
      <c r="J59" s="1234">
        <f t="shared" si="2"/>
        <v>541</v>
      </c>
      <c r="K59" s="1234">
        <f t="shared" si="3"/>
        <v>541</v>
      </c>
      <c r="L59" s="1233">
        <f>IFERROR(J59/J131, 0)</f>
        <v>2.8657300585048592E-5</v>
      </c>
      <c r="M59" s="1232">
        <f>IFERROR(K59 / DetailedCapShares, 0)</f>
        <v>0</v>
      </c>
    </row>
    <row r="60" spans="1:13" ht="19.5" customHeight="1" x14ac:dyDescent="0.2">
      <c r="A60" s="1236" t="s">
        <v>1193</v>
      </c>
      <c r="B60" s="1235">
        <v>0</v>
      </c>
      <c r="C60" s="1235">
        <v>0</v>
      </c>
      <c r="D60" s="1235">
        <v>0</v>
      </c>
      <c r="E60" s="1235">
        <v>0</v>
      </c>
      <c r="F60" s="1235">
        <v>0</v>
      </c>
      <c r="G60" s="1235">
        <v>0</v>
      </c>
      <c r="H60" s="1235">
        <v>0</v>
      </c>
      <c r="I60" s="1235">
        <v>122321</v>
      </c>
      <c r="J60" s="1234">
        <f t="shared" si="2"/>
        <v>0</v>
      </c>
      <c r="K60" s="1234">
        <f t="shared" si="3"/>
        <v>122321</v>
      </c>
      <c r="L60" s="1233">
        <f>IFERROR(J60/J131, 0)</f>
        <v>0</v>
      </c>
      <c r="M60" s="1232">
        <f>IFERROR(K60 / DetailedCapShares, 0)</f>
        <v>0</v>
      </c>
    </row>
    <row r="61" spans="1:13" ht="19.5" customHeight="1" x14ac:dyDescent="0.2">
      <c r="A61" s="1236" t="s">
        <v>1192</v>
      </c>
      <c r="B61" s="1235">
        <v>39027</v>
      </c>
      <c r="C61" s="1235">
        <v>0</v>
      </c>
      <c r="D61" s="1235">
        <v>0</v>
      </c>
      <c r="E61" s="1235">
        <v>0</v>
      </c>
      <c r="F61" s="1235">
        <v>0</v>
      </c>
      <c r="G61" s="1235">
        <v>0</v>
      </c>
      <c r="H61" s="1235">
        <v>0</v>
      </c>
      <c r="I61" s="1235">
        <v>95000</v>
      </c>
      <c r="J61" s="1234">
        <f t="shared" si="2"/>
        <v>39027</v>
      </c>
      <c r="K61" s="1234">
        <f t="shared" si="3"/>
        <v>134027</v>
      </c>
      <c r="L61" s="1233">
        <f>IFERROR(J61/J131, 0)</f>
        <v>2.0672984656796515E-3</v>
      </c>
      <c r="M61" s="1232">
        <f>IFERROR(K61 / DetailedCapShares, 0)</f>
        <v>0</v>
      </c>
    </row>
    <row r="62" spans="1:13" ht="19.5" customHeight="1" x14ac:dyDescent="0.2">
      <c r="A62" s="1236" t="s">
        <v>1191</v>
      </c>
      <c r="B62" s="1235">
        <v>0</v>
      </c>
      <c r="C62" s="1235">
        <v>0</v>
      </c>
      <c r="D62" s="1235">
        <v>0</v>
      </c>
      <c r="E62" s="1235">
        <v>0</v>
      </c>
      <c r="F62" s="1235">
        <v>0</v>
      </c>
      <c r="G62" s="1235">
        <v>0</v>
      </c>
      <c r="H62" s="1235">
        <v>0</v>
      </c>
      <c r="I62" s="1235">
        <v>408</v>
      </c>
      <c r="J62" s="1234">
        <f t="shared" si="2"/>
        <v>0</v>
      </c>
      <c r="K62" s="1234">
        <f t="shared" si="3"/>
        <v>408</v>
      </c>
      <c r="L62" s="1233">
        <f>IFERROR(J62/J131, 0)</f>
        <v>0</v>
      </c>
      <c r="M62" s="1232">
        <f>IFERROR(K62 / DetailedCapShares, 0)</f>
        <v>0</v>
      </c>
    </row>
    <row r="63" spans="1:13" ht="19.5" customHeight="1" x14ac:dyDescent="0.2">
      <c r="A63" s="1236" t="s">
        <v>1190</v>
      </c>
      <c r="B63" s="1235">
        <v>0</v>
      </c>
      <c r="C63" s="1235">
        <v>0</v>
      </c>
      <c r="D63" s="1235">
        <v>0</v>
      </c>
      <c r="E63" s="1235">
        <v>0</v>
      </c>
      <c r="F63" s="1235">
        <v>0</v>
      </c>
      <c r="G63" s="1235">
        <v>0</v>
      </c>
      <c r="H63" s="1235">
        <v>0</v>
      </c>
      <c r="I63" s="1235">
        <v>500</v>
      </c>
      <c r="J63" s="1234">
        <f t="shared" si="2"/>
        <v>0</v>
      </c>
      <c r="K63" s="1234">
        <f t="shared" si="3"/>
        <v>500</v>
      </c>
      <c r="L63" s="1233">
        <f>IFERROR(J63/J131, 0)</f>
        <v>0</v>
      </c>
      <c r="M63" s="1232">
        <f>IFERROR(K63 / DetailedCapShares, 0)</f>
        <v>0</v>
      </c>
    </row>
    <row r="64" spans="1:13" ht="19.5" customHeight="1" x14ac:dyDescent="0.2">
      <c r="A64" s="1236" t="s">
        <v>1189</v>
      </c>
      <c r="B64" s="1235">
        <v>0</v>
      </c>
      <c r="C64" s="1235">
        <v>0</v>
      </c>
      <c r="D64" s="1235">
        <v>0</v>
      </c>
      <c r="E64" s="1235">
        <v>0</v>
      </c>
      <c r="F64" s="1235">
        <v>0</v>
      </c>
      <c r="G64" s="1235">
        <v>0</v>
      </c>
      <c r="H64" s="1235">
        <v>0</v>
      </c>
      <c r="I64" s="1235">
        <v>300</v>
      </c>
      <c r="J64" s="1234">
        <f t="shared" si="2"/>
        <v>0</v>
      </c>
      <c r="K64" s="1234">
        <f t="shared" si="3"/>
        <v>300</v>
      </c>
      <c r="L64" s="1233">
        <f>IFERROR(J64/J131, 0)</f>
        <v>0</v>
      </c>
      <c r="M64" s="1232">
        <f>IFERROR(K64 / DetailedCapShares, 0)</f>
        <v>0</v>
      </c>
    </row>
    <row r="65" spans="1:13" ht="19.5" customHeight="1" x14ac:dyDescent="0.2">
      <c r="A65" s="1236" t="s">
        <v>1188</v>
      </c>
      <c r="B65" s="1235">
        <v>0</v>
      </c>
      <c r="C65" s="1235">
        <v>0</v>
      </c>
      <c r="D65" s="1235">
        <v>0</v>
      </c>
      <c r="E65" s="1235">
        <v>0</v>
      </c>
      <c r="F65" s="1235">
        <v>0</v>
      </c>
      <c r="G65" s="1235">
        <v>0</v>
      </c>
      <c r="H65" s="1235">
        <v>0</v>
      </c>
      <c r="I65" s="1235">
        <v>2344</v>
      </c>
      <c r="J65" s="1234">
        <f t="shared" si="2"/>
        <v>0</v>
      </c>
      <c r="K65" s="1234">
        <f t="shared" si="3"/>
        <v>2344</v>
      </c>
      <c r="L65" s="1233">
        <f>IFERROR(J65/J131, 0)</f>
        <v>0</v>
      </c>
      <c r="M65" s="1232">
        <f>IFERROR(K65 / DetailedCapShares, 0)</f>
        <v>0</v>
      </c>
    </row>
    <row r="66" spans="1:13" ht="19.5" customHeight="1" x14ac:dyDescent="0.2">
      <c r="A66" s="1236" t="s">
        <v>1187</v>
      </c>
      <c r="B66" s="1235">
        <v>0</v>
      </c>
      <c r="C66" s="1235">
        <v>0</v>
      </c>
      <c r="D66" s="1235">
        <v>0</v>
      </c>
      <c r="E66" s="1235">
        <v>0</v>
      </c>
      <c r="F66" s="1235">
        <v>0</v>
      </c>
      <c r="G66" s="1235">
        <v>0</v>
      </c>
      <c r="H66" s="1235">
        <v>0</v>
      </c>
      <c r="I66" s="1235">
        <v>300</v>
      </c>
      <c r="J66" s="1234">
        <f t="shared" si="2"/>
        <v>0</v>
      </c>
      <c r="K66" s="1234">
        <f t="shared" si="3"/>
        <v>300</v>
      </c>
      <c r="L66" s="1233">
        <f>IFERROR(J66/J131, 0)</f>
        <v>0</v>
      </c>
      <c r="M66" s="1232">
        <f>IFERROR(K66 / DetailedCapShares, 0)</f>
        <v>0</v>
      </c>
    </row>
    <row r="67" spans="1:13" ht="19.5" customHeight="1" x14ac:dyDescent="0.2">
      <c r="A67" s="1236" t="s">
        <v>1186</v>
      </c>
      <c r="B67" s="1235">
        <v>0</v>
      </c>
      <c r="C67" s="1235">
        <v>0</v>
      </c>
      <c r="D67" s="1235">
        <v>0</v>
      </c>
      <c r="E67" s="1235">
        <v>0</v>
      </c>
      <c r="F67" s="1235">
        <v>0</v>
      </c>
      <c r="G67" s="1235">
        <v>0</v>
      </c>
      <c r="H67" s="1235">
        <v>0</v>
      </c>
      <c r="I67" s="1235">
        <v>1019</v>
      </c>
      <c r="J67" s="1234">
        <f t="shared" si="2"/>
        <v>0</v>
      </c>
      <c r="K67" s="1234">
        <f t="shared" si="3"/>
        <v>1019</v>
      </c>
      <c r="L67" s="1233">
        <f>IFERROR(J67/J131, 0)</f>
        <v>0</v>
      </c>
      <c r="M67" s="1232">
        <f>IFERROR(K67 / DetailedCapShares, 0)</f>
        <v>0</v>
      </c>
    </row>
    <row r="68" spans="1:13" ht="19.5" customHeight="1" x14ac:dyDescent="0.2">
      <c r="A68" s="1236" t="s">
        <v>1185</v>
      </c>
      <c r="B68" s="1235">
        <v>0</v>
      </c>
      <c r="C68" s="1235">
        <v>0</v>
      </c>
      <c r="D68" s="1235">
        <v>0</v>
      </c>
      <c r="E68" s="1235">
        <v>0</v>
      </c>
      <c r="F68" s="1235">
        <v>0</v>
      </c>
      <c r="G68" s="1235">
        <v>0</v>
      </c>
      <c r="H68" s="1235">
        <v>0</v>
      </c>
      <c r="I68" s="1235">
        <v>1019</v>
      </c>
      <c r="J68" s="1234">
        <f t="shared" si="2"/>
        <v>0</v>
      </c>
      <c r="K68" s="1234">
        <f t="shared" si="3"/>
        <v>1019</v>
      </c>
      <c r="L68" s="1233">
        <f>IFERROR(J68/J131, 0)</f>
        <v>0</v>
      </c>
      <c r="M68" s="1232">
        <f>IFERROR(K68 / DetailedCapShares, 0)</f>
        <v>0</v>
      </c>
    </row>
    <row r="69" spans="1:13" ht="19.5" customHeight="1" x14ac:dyDescent="0.2">
      <c r="A69" s="1236" t="s">
        <v>1184</v>
      </c>
      <c r="B69" s="1235">
        <v>0</v>
      </c>
      <c r="C69" s="1235">
        <v>0</v>
      </c>
      <c r="D69" s="1235">
        <v>0</v>
      </c>
      <c r="E69" s="1235">
        <v>0</v>
      </c>
      <c r="F69" s="1235">
        <v>0</v>
      </c>
      <c r="G69" s="1235">
        <v>0</v>
      </c>
      <c r="H69" s="1235">
        <v>0</v>
      </c>
      <c r="I69" s="1235">
        <v>1529</v>
      </c>
      <c r="J69" s="1234">
        <f t="shared" ref="J69:J100" si="4">SUM(B69,C69,E69,G69,)</f>
        <v>0</v>
      </c>
      <c r="K69" s="1234">
        <f t="shared" ref="K69:K100" si="5">SUM(B69,D69,F69,H69,I69,)</f>
        <v>1529</v>
      </c>
      <c r="L69" s="1233">
        <f>IFERROR(J69/J131, 0)</f>
        <v>0</v>
      </c>
      <c r="M69" s="1232">
        <f>IFERROR(K69 / DetailedCapShares, 0)</f>
        <v>0</v>
      </c>
    </row>
    <row r="70" spans="1:13" ht="19.5" customHeight="1" x14ac:dyDescent="0.2">
      <c r="A70" s="1236" t="s">
        <v>1183</v>
      </c>
      <c r="B70" s="1235">
        <v>0</v>
      </c>
      <c r="C70" s="1235">
        <v>0</v>
      </c>
      <c r="D70" s="1235">
        <v>0</v>
      </c>
      <c r="E70" s="1235">
        <v>0</v>
      </c>
      <c r="F70" s="1235">
        <v>0</v>
      </c>
      <c r="G70" s="1235">
        <v>0</v>
      </c>
      <c r="H70" s="1235">
        <v>0</v>
      </c>
      <c r="I70" s="1235">
        <v>500</v>
      </c>
      <c r="J70" s="1234">
        <f t="shared" si="4"/>
        <v>0</v>
      </c>
      <c r="K70" s="1234">
        <f t="shared" si="5"/>
        <v>500</v>
      </c>
      <c r="L70" s="1233">
        <f>IFERROR(J70/J131, 0)</f>
        <v>0</v>
      </c>
      <c r="M70" s="1232">
        <f>IFERROR(K70 / DetailedCapShares, 0)</f>
        <v>0</v>
      </c>
    </row>
    <row r="71" spans="1:13" ht="19.5" customHeight="1" x14ac:dyDescent="0.2">
      <c r="A71" s="1236" t="s">
        <v>1182</v>
      </c>
      <c r="B71" s="1235">
        <v>250</v>
      </c>
      <c r="C71" s="1235">
        <v>0</v>
      </c>
      <c r="D71" s="1235">
        <v>0</v>
      </c>
      <c r="E71" s="1235">
        <v>0</v>
      </c>
      <c r="F71" s="1235">
        <v>0</v>
      </c>
      <c r="G71" s="1235">
        <v>0</v>
      </c>
      <c r="H71" s="1235">
        <v>0</v>
      </c>
      <c r="I71" s="1235">
        <v>0</v>
      </c>
      <c r="J71" s="1234">
        <f t="shared" si="4"/>
        <v>250</v>
      </c>
      <c r="K71" s="1234">
        <f t="shared" si="5"/>
        <v>250</v>
      </c>
      <c r="L71" s="1233">
        <f>IFERROR(J71/J131, 0)</f>
        <v>1.3242745187175875E-5</v>
      </c>
      <c r="M71" s="1232">
        <f>IFERROR(K71 / DetailedCapShares, 0)</f>
        <v>0</v>
      </c>
    </row>
    <row r="72" spans="1:13" ht="19.5" customHeight="1" x14ac:dyDescent="0.2">
      <c r="A72" s="1236" t="s">
        <v>1181</v>
      </c>
      <c r="B72" s="1235">
        <v>0</v>
      </c>
      <c r="C72" s="1235">
        <v>0</v>
      </c>
      <c r="D72" s="1235">
        <v>0</v>
      </c>
      <c r="E72" s="1235">
        <v>0</v>
      </c>
      <c r="F72" s="1235">
        <v>0</v>
      </c>
      <c r="G72" s="1235">
        <v>0</v>
      </c>
      <c r="H72" s="1235">
        <v>0</v>
      </c>
      <c r="I72" s="1235">
        <v>300</v>
      </c>
      <c r="J72" s="1234">
        <f t="shared" si="4"/>
        <v>0</v>
      </c>
      <c r="K72" s="1234">
        <f t="shared" si="5"/>
        <v>300</v>
      </c>
      <c r="L72" s="1233">
        <f>IFERROR(J72/J131, 0)</f>
        <v>0</v>
      </c>
      <c r="M72" s="1232">
        <f>IFERROR(K72 / DetailedCapShares, 0)</f>
        <v>0</v>
      </c>
    </row>
    <row r="73" spans="1:13" ht="19.5" customHeight="1" x14ac:dyDescent="0.2">
      <c r="A73" s="1236" t="s">
        <v>1180</v>
      </c>
      <c r="B73" s="1235">
        <v>0</v>
      </c>
      <c r="C73" s="1235">
        <v>0</v>
      </c>
      <c r="D73" s="1235">
        <v>0</v>
      </c>
      <c r="E73" s="1235">
        <v>0</v>
      </c>
      <c r="F73" s="1235">
        <v>0</v>
      </c>
      <c r="G73" s="1235">
        <v>0</v>
      </c>
      <c r="H73" s="1235">
        <v>0</v>
      </c>
      <c r="I73" s="1235">
        <v>1529</v>
      </c>
      <c r="J73" s="1234">
        <f t="shared" si="4"/>
        <v>0</v>
      </c>
      <c r="K73" s="1234">
        <f t="shared" si="5"/>
        <v>1529</v>
      </c>
      <c r="L73" s="1233">
        <f>IFERROR(J73/J131, 0)</f>
        <v>0</v>
      </c>
      <c r="M73" s="1232">
        <f>IFERROR(K73 / DetailedCapShares, 0)</f>
        <v>0</v>
      </c>
    </row>
    <row r="74" spans="1:13" ht="19.5" customHeight="1" x14ac:dyDescent="0.2">
      <c r="A74" s="1236" t="s">
        <v>1179</v>
      </c>
      <c r="B74" s="1235">
        <v>40000</v>
      </c>
      <c r="C74" s="1235">
        <v>0</v>
      </c>
      <c r="D74" s="1235">
        <v>0</v>
      </c>
      <c r="E74" s="1235">
        <v>0</v>
      </c>
      <c r="F74" s="1235">
        <v>0</v>
      </c>
      <c r="G74" s="1235">
        <v>0</v>
      </c>
      <c r="H74" s="1235">
        <v>0</v>
      </c>
      <c r="I74" s="1235">
        <v>50258</v>
      </c>
      <c r="J74" s="1234">
        <f t="shared" si="4"/>
        <v>40000</v>
      </c>
      <c r="K74" s="1234">
        <f t="shared" si="5"/>
        <v>90258</v>
      </c>
      <c r="L74" s="1233">
        <f>IFERROR(J74/J131, 0)</f>
        <v>2.1188392299481399E-3</v>
      </c>
      <c r="M74" s="1232">
        <f>IFERROR(K74 / DetailedCapShares, 0)</f>
        <v>0</v>
      </c>
    </row>
    <row r="75" spans="1:13" ht="19.5" customHeight="1" x14ac:dyDescent="0.2">
      <c r="A75" s="1236" t="s">
        <v>1178</v>
      </c>
      <c r="B75" s="1235">
        <v>500</v>
      </c>
      <c r="C75" s="1235">
        <v>0</v>
      </c>
      <c r="D75" s="1235">
        <v>0</v>
      </c>
      <c r="E75" s="1235">
        <v>0</v>
      </c>
      <c r="F75" s="1235">
        <v>0</v>
      </c>
      <c r="G75" s="1235">
        <v>0</v>
      </c>
      <c r="H75" s="1235">
        <v>0</v>
      </c>
      <c r="I75" s="1235">
        <v>0</v>
      </c>
      <c r="J75" s="1234">
        <f t="shared" si="4"/>
        <v>500</v>
      </c>
      <c r="K75" s="1234">
        <f t="shared" si="5"/>
        <v>500</v>
      </c>
      <c r="L75" s="1233">
        <f>IFERROR(J75/J131, 0)</f>
        <v>2.6485490374351749E-5</v>
      </c>
      <c r="M75" s="1232">
        <f>IFERROR(K75 / DetailedCapShares, 0)</f>
        <v>0</v>
      </c>
    </row>
    <row r="76" spans="1:13" ht="19.5" customHeight="1" x14ac:dyDescent="0.2">
      <c r="A76" s="1236" t="s">
        <v>1177</v>
      </c>
      <c r="B76" s="1235">
        <v>1728</v>
      </c>
      <c r="C76" s="1235">
        <v>0</v>
      </c>
      <c r="D76" s="1235">
        <v>0</v>
      </c>
      <c r="E76" s="1235">
        <v>0</v>
      </c>
      <c r="F76" s="1235">
        <v>0</v>
      </c>
      <c r="G76" s="1235">
        <v>0</v>
      </c>
      <c r="H76" s="1235">
        <v>0</v>
      </c>
      <c r="I76" s="1235">
        <v>2375</v>
      </c>
      <c r="J76" s="1234">
        <f t="shared" si="4"/>
        <v>1728</v>
      </c>
      <c r="K76" s="1234">
        <f t="shared" si="5"/>
        <v>4103</v>
      </c>
      <c r="L76" s="1233">
        <f>IFERROR(J76/J131, 0)</f>
        <v>9.1533854733759647E-5</v>
      </c>
      <c r="M76" s="1232">
        <f>IFERROR(K76 / DetailedCapShares, 0)</f>
        <v>0</v>
      </c>
    </row>
    <row r="77" spans="1:13" ht="19.5" customHeight="1" x14ac:dyDescent="0.2">
      <c r="A77" s="1236" t="s">
        <v>1176</v>
      </c>
      <c r="B77" s="1235">
        <v>0</v>
      </c>
      <c r="C77" s="1235">
        <v>0</v>
      </c>
      <c r="D77" s="1235">
        <v>0</v>
      </c>
      <c r="E77" s="1235">
        <v>0</v>
      </c>
      <c r="F77" s="1235">
        <v>0</v>
      </c>
      <c r="G77" s="1235">
        <v>0</v>
      </c>
      <c r="H77" s="1235">
        <v>0</v>
      </c>
      <c r="I77" s="1235">
        <v>1325</v>
      </c>
      <c r="J77" s="1234">
        <f t="shared" si="4"/>
        <v>0</v>
      </c>
      <c r="K77" s="1234">
        <f t="shared" si="5"/>
        <v>1325</v>
      </c>
      <c r="L77" s="1233">
        <f>IFERROR(J77/J131, 0)</f>
        <v>0</v>
      </c>
      <c r="M77" s="1232">
        <f>IFERROR(K77 / DetailedCapShares, 0)</f>
        <v>0</v>
      </c>
    </row>
    <row r="78" spans="1:13" ht="19.5" customHeight="1" x14ac:dyDescent="0.2">
      <c r="A78" s="1236" t="s">
        <v>1175</v>
      </c>
      <c r="B78" s="1235">
        <v>10684</v>
      </c>
      <c r="C78" s="1235">
        <v>0</v>
      </c>
      <c r="D78" s="1235">
        <v>0</v>
      </c>
      <c r="E78" s="1235">
        <v>0</v>
      </c>
      <c r="F78" s="1235">
        <v>0</v>
      </c>
      <c r="G78" s="1235">
        <v>0</v>
      </c>
      <c r="H78" s="1235">
        <v>0</v>
      </c>
      <c r="I78" s="1235">
        <v>37000</v>
      </c>
      <c r="J78" s="1234">
        <f t="shared" si="4"/>
        <v>10684</v>
      </c>
      <c r="K78" s="1234">
        <f t="shared" si="5"/>
        <v>47684</v>
      </c>
      <c r="L78" s="1233">
        <f>IFERROR(J78/J131, 0)</f>
        <v>5.6594195831914814E-4</v>
      </c>
      <c r="M78" s="1232">
        <f>IFERROR(K78 / DetailedCapShares, 0)</f>
        <v>0</v>
      </c>
    </row>
    <row r="79" spans="1:13" ht="19.5" customHeight="1" x14ac:dyDescent="0.2">
      <c r="A79" s="1236" t="s">
        <v>1174</v>
      </c>
      <c r="B79" s="1235">
        <v>5000</v>
      </c>
      <c r="C79" s="1235">
        <v>0</v>
      </c>
      <c r="D79" s="1235">
        <v>0</v>
      </c>
      <c r="E79" s="1235">
        <v>0</v>
      </c>
      <c r="F79" s="1235">
        <v>0</v>
      </c>
      <c r="G79" s="1235">
        <v>0</v>
      </c>
      <c r="H79" s="1235">
        <v>0</v>
      </c>
      <c r="I79" s="1235">
        <v>0</v>
      </c>
      <c r="J79" s="1234">
        <f t="shared" si="4"/>
        <v>5000</v>
      </c>
      <c r="K79" s="1234">
        <f t="shared" si="5"/>
        <v>5000</v>
      </c>
      <c r="L79" s="1233">
        <f>IFERROR(J79/J131, 0)</f>
        <v>2.6485490374351749E-4</v>
      </c>
      <c r="M79" s="1232">
        <f>IFERROR(K79 / DetailedCapShares, 0)</f>
        <v>0</v>
      </c>
    </row>
    <row r="80" spans="1:13" ht="19.5" customHeight="1" x14ac:dyDescent="0.2">
      <c r="A80" s="1236" t="s">
        <v>1173</v>
      </c>
      <c r="B80" s="1235">
        <v>0</v>
      </c>
      <c r="C80" s="1235">
        <v>0</v>
      </c>
      <c r="D80" s="1235">
        <v>0</v>
      </c>
      <c r="E80" s="1235">
        <v>0</v>
      </c>
      <c r="F80" s="1235">
        <v>0</v>
      </c>
      <c r="G80" s="1235">
        <v>0</v>
      </c>
      <c r="H80" s="1235">
        <v>0</v>
      </c>
      <c r="I80" s="1235">
        <v>1019</v>
      </c>
      <c r="J80" s="1234">
        <f t="shared" si="4"/>
        <v>0</v>
      </c>
      <c r="K80" s="1234">
        <f t="shared" si="5"/>
        <v>1019</v>
      </c>
      <c r="L80" s="1233">
        <f>IFERROR(J80/J131, 0)</f>
        <v>0</v>
      </c>
      <c r="M80" s="1232">
        <f>IFERROR(K80 / DetailedCapShares, 0)</f>
        <v>0</v>
      </c>
    </row>
    <row r="81" spans="1:13" ht="19.5" customHeight="1" x14ac:dyDescent="0.2">
      <c r="A81" s="1236" t="s">
        <v>1172</v>
      </c>
      <c r="B81" s="1235">
        <v>0</v>
      </c>
      <c r="C81" s="1235">
        <v>0</v>
      </c>
      <c r="D81" s="1235">
        <v>0</v>
      </c>
      <c r="E81" s="1235">
        <v>0</v>
      </c>
      <c r="F81" s="1235">
        <v>0</v>
      </c>
      <c r="G81" s="1235">
        <v>0</v>
      </c>
      <c r="H81" s="1235">
        <v>0</v>
      </c>
      <c r="I81" s="1235">
        <v>5304</v>
      </c>
      <c r="J81" s="1234">
        <f t="shared" si="4"/>
        <v>0</v>
      </c>
      <c r="K81" s="1234">
        <f t="shared" si="5"/>
        <v>5304</v>
      </c>
      <c r="L81" s="1233">
        <f>IFERROR(J81/J131, 0)</f>
        <v>0</v>
      </c>
      <c r="M81" s="1232">
        <f>IFERROR(K81 / DetailedCapShares, 0)</f>
        <v>0</v>
      </c>
    </row>
    <row r="82" spans="1:13" ht="19.5" customHeight="1" x14ac:dyDescent="0.2">
      <c r="A82" s="1236" t="s">
        <v>1171</v>
      </c>
      <c r="B82" s="1235">
        <v>0</v>
      </c>
      <c r="C82" s="1235">
        <v>0</v>
      </c>
      <c r="D82" s="1235">
        <v>0</v>
      </c>
      <c r="E82" s="1235">
        <v>0</v>
      </c>
      <c r="F82" s="1235">
        <v>0</v>
      </c>
      <c r="G82" s="1235">
        <v>0</v>
      </c>
      <c r="H82" s="1235">
        <v>0</v>
      </c>
      <c r="I82" s="1235">
        <v>1019</v>
      </c>
      <c r="J82" s="1234">
        <f t="shared" si="4"/>
        <v>0</v>
      </c>
      <c r="K82" s="1234">
        <f t="shared" si="5"/>
        <v>1019</v>
      </c>
      <c r="L82" s="1233">
        <f>IFERROR(J82/J131, 0)</f>
        <v>0</v>
      </c>
      <c r="M82" s="1232">
        <f>IFERROR(K82 / DetailedCapShares, 0)</f>
        <v>0</v>
      </c>
    </row>
    <row r="83" spans="1:13" ht="19.5" customHeight="1" x14ac:dyDescent="0.2">
      <c r="A83" s="1236" t="s">
        <v>1170</v>
      </c>
      <c r="B83" s="1235">
        <v>0</v>
      </c>
      <c r="C83" s="1235">
        <v>0</v>
      </c>
      <c r="D83" s="1235">
        <v>0</v>
      </c>
      <c r="E83" s="1235">
        <v>0</v>
      </c>
      <c r="F83" s="1235">
        <v>0</v>
      </c>
      <c r="G83" s="1235">
        <v>0</v>
      </c>
      <c r="H83" s="1235">
        <v>0</v>
      </c>
      <c r="I83" s="1235">
        <v>300</v>
      </c>
      <c r="J83" s="1234">
        <f t="shared" si="4"/>
        <v>0</v>
      </c>
      <c r="K83" s="1234">
        <f t="shared" si="5"/>
        <v>300</v>
      </c>
      <c r="L83" s="1233">
        <f>IFERROR(J83/J131, 0)</f>
        <v>0</v>
      </c>
      <c r="M83" s="1232">
        <f>IFERROR(K83 / DetailedCapShares, 0)</f>
        <v>0</v>
      </c>
    </row>
    <row r="84" spans="1:13" ht="19.5" customHeight="1" x14ac:dyDescent="0.2">
      <c r="A84" s="1236" t="s">
        <v>1169</v>
      </c>
      <c r="B84" s="1235">
        <v>0</v>
      </c>
      <c r="C84" s="1235">
        <v>0</v>
      </c>
      <c r="D84" s="1235">
        <v>0</v>
      </c>
      <c r="E84" s="1235">
        <v>0</v>
      </c>
      <c r="F84" s="1235">
        <v>0</v>
      </c>
      <c r="G84" s="1235">
        <v>0</v>
      </c>
      <c r="H84" s="1235">
        <v>0</v>
      </c>
      <c r="I84" s="1235">
        <v>14145</v>
      </c>
      <c r="J84" s="1234">
        <f t="shared" si="4"/>
        <v>0</v>
      </c>
      <c r="K84" s="1234">
        <f t="shared" si="5"/>
        <v>14145</v>
      </c>
      <c r="L84" s="1233">
        <f>IFERROR(J84/J131, 0)</f>
        <v>0</v>
      </c>
      <c r="M84" s="1232">
        <f>IFERROR(K84 / DetailedCapShares, 0)</f>
        <v>0</v>
      </c>
    </row>
    <row r="85" spans="1:13" ht="19.5" customHeight="1" x14ac:dyDescent="0.2">
      <c r="A85" s="1236" t="s">
        <v>1168</v>
      </c>
      <c r="B85" s="1235">
        <v>0</v>
      </c>
      <c r="C85" s="1235">
        <v>938283</v>
      </c>
      <c r="D85" s="1235">
        <v>938283</v>
      </c>
      <c r="E85" s="1235">
        <v>632381</v>
      </c>
      <c r="F85" s="1235">
        <v>632381</v>
      </c>
      <c r="G85" s="1235">
        <v>3266578</v>
      </c>
      <c r="H85" s="1235">
        <v>3266578</v>
      </c>
      <c r="I85" s="1235">
        <v>0</v>
      </c>
      <c r="J85" s="1234">
        <f t="shared" si="4"/>
        <v>4837242</v>
      </c>
      <c r="K85" s="1234">
        <f t="shared" si="5"/>
        <v>4837242</v>
      </c>
      <c r="L85" s="1233">
        <f>IFERROR(J85/J131, 0)</f>
        <v>0.25623345285881999</v>
      </c>
      <c r="M85" s="1232">
        <f>IFERROR(K85 / DetailedCapShares, 0)</f>
        <v>0</v>
      </c>
    </row>
    <row r="86" spans="1:13" ht="19.5" customHeight="1" x14ac:dyDescent="0.2">
      <c r="A86" s="1236" t="s">
        <v>1167</v>
      </c>
      <c r="B86" s="1235">
        <v>0</v>
      </c>
      <c r="C86" s="1235">
        <v>0</v>
      </c>
      <c r="D86" s="1235">
        <v>0</v>
      </c>
      <c r="E86" s="1235">
        <v>0</v>
      </c>
      <c r="F86" s="1235">
        <v>0</v>
      </c>
      <c r="G86" s="1235">
        <v>0</v>
      </c>
      <c r="H86" s="1235">
        <v>0</v>
      </c>
      <c r="I86" s="1235">
        <v>1768</v>
      </c>
      <c r="J86" s="1234">
        <f t="shared" si="4"/>
        <v>0</v>
      </c>
      <c r="K86" s="1234">
        <f t="shared" si="5"/>
        <v>1768</v>
      </c>
      <c r="L86" s="1233">
        <f>IFERROR(J86/J131, 0)</f>
        <v>0</v>
      </c>
      <c r="M86" s="1232">
        <f>IFERROR(K86 / DetailedCapShares, 0)</f>
        <v>0</v>
      </c>
    </row>
    <row r="87" spans="1:13" ht="19.5" customHeight="1" x14ac:dyDescent="0.2">
      <c r="A87" s="1236" t="s">
        <v>1166</v>
      </c>
      <c r="B87" s="1235">
        <v>4763729</v>
      </c>
      <c r="C87" s="1235">
        <v>0</v>
      </c>
      <c r="D87" s="1235">
        <v>0</v>
      </c>
      <c r="E87" s="1235">
        <v>0</v>
      </c>
      <c r="F87" s="1235">
        <v>0</v>
      </c>
      <c r="G87" s="1235">
        <v>0</v>
      </c>
      <c r="H87" s="1235">
        <v>0</v>
      </c>
      <c r="I87" s="1235">
        <v>0</v>
      </c>
      <c r="J87" s="1234">
        <f t="shared" si="4"/>
        <v>4763729</v>
      </c>
      <c r="K87" s="1234">
        <f t="shared" si="5"/>
        <v>4763729</v>
      </c>
      <c r="L87" s="1233">
        <f>IFERROR(J87/J131, 0)</f>
        <v>0.25233939715104053</v>
      </c>
      <c r="M87" s="1232">
        <f>IFERROR(K87 / DetailedCapShares, 0)</f>
        <v>0</v>
      </c>
    </row>
    <row r="88" spans="1:13" ht="19.5" customHeight="1" x14ac:dyDescent="0.2">
      <c r="A88" s="1236" t="s">
        <v>1165</v>
      </c>
      <c r="B88" s="1235">
        <v>1842</v>
      </c>
      <c r="C88" s="1235">
        <v>0</v>
      </c>
      <c r="D88" s="1235">
        <v>0</v>
      </c>
      <c r="E88" s="1235">
        <v>0</v>
      </c>
      <c r="F88" s="1235">
        <v>0</v>
      </c>
      <c r="G88" s="1235">
        <v>0</v>
      </c>
      <c r="H88" s="1235">
        <v>0</v>
      </c>
      <c r="I88" s="1235">
        <v>2579</v>
      </c>
      <c r="J88" s="1234">
        <f t="shared" si="4"/>
        <v>1842</v>
      </c>
      <c r="K88" s="1234">
        <f t="shared" si="5"/>
        <v>4421</v>
      </c>
      <c r="L88" s="1233">
        <f>IFERROR(J88/J131, 0)</f>
        <v>9.757254653911184E-5</v>
      </c>
      <c r="M88" s="1232">
        <f>IFERROR(K88 / DetailedCapShares, 0)</f>
        <v>0</v>
      </c>
    </row>
    <row r="89" spans="1:13" ht="19.5" customHeight="1" x14ac:dyDescent="0.2">
      <c r="A89" s="1236" t="s">
        <v>1164</v>
      </c>
      <c r="B89" s="1235">
        <v>0</v>
      </c>
      <c r="C89" s="1235">
        <v>0</v>
      </c>
      <c r="D89" s="1235">
        <v>0</v>
      </c>
      <c r="E89" s="1235">
        <v>0</v>
      </c>
      <c r="F89" s="1235">
        <v>0</v>
      </c>
      <c r="G89" s="1235">
        <v>0</v>
      </c>
      <c r="H89" s="1235">
        <v>0</v>
      </c>
      <c r="I89" s="1235">
        <v>1631</v>
      </c>
      <c r="J89" s="1234">
        <f t="shared" si="4"/>
        <v>0</v>
      </c>
      <c r="K89" s="1234">
        <f t="shared" si="5"/>
        <v>1631</v>
      </c>
      <c r="L89" s="1233">
        <f>IFERROR(J89/J131, 0)</f>
        <v>0</v>
      </c>
      <c r="M89" s="1232">
        <f>IFERROR(K89 / DetailedCapShares, 0)</f>
        <v>0</v>
      </c>
    </row>
    <row r="90" spans="1:13" ht="19.5" customHeight="1" x14ac:dyDescent="0.2">
      <c r="A90" s="1236" t="s">
        <v>1163</v>
      </c>
      <c r="B90" s="1235">
        <v>0</v>
      </c>
      <c r="C90" s="1235">
        <v>0</v>
      </c>
      <c r="D90" s="1235">
        <v>0</v>
      </c>
      <c r="E90" s="1235">
        <v>0</v>
      </c>
      <c r="F90" s="1235">
        <v>0</v>
      </c>
      <c r="G90" s="1235">
        <v>0</v>
      </c>
      <c r="H90" s="1235">
        <v>0</v>
      </c>
      <c r="I90" s="1235">
        <v>300</v>
      </c>
      <c r="J90" s="1234">
        <f t="shared" si="4"/>
        <v>0</v>
      </c>
      <c r="K90" s="1234">
        <f t="shared" si="5"/>
        <v>300</v>
      </c>
      <c r="L90" s="1233">
        <f>IFERROR(J90/J131, 0)</f>
        <v>0</v>
      </c>
      <c r="M90" s="1232">
        <f>IFERROR(K90 / DetailedCapShares, 0)</f>
        <v>0</v>
      </c>
    </row>
    <row r="91" spans="1:13" ht="19.5" customHeight="1" x14ac:dyDescent="0.2">
      <c r="A91" s="1236" t="s">
        <v>1162</v>
      </c>
      <c r="B91" s="1235">
        <v>0</v>
      </c>
      <c r="C91" s="1235">
        <v>0</v>
      </c>
      <c r="D91" s="1235">
        <v>0</v>
      </c>
      <c r="E91" s="1235">
        <v>0</v>
      </c>
      <c r="F91" s="1235">
        <v>0</v>
      </c>
      <c r="G91" s="1235">
        <v>0</v>
      </c>
      <c r="H91" s="1235">
        <v>0</v>
      </c>
      <c r="I91" s="1235">
        <v>300</v>
      </c>
      <c r="J91" s="1234">
        <f t="shared" si="4"/>
        <v>0</v>
      </c>
      <c r="K91" s="1234">
        <f t="shared" si="5"/>
        <v>300</v>
      </c>
      <c r="L91" s="1233">
        <f>IFERROR(J91/J131, 0)</f>
        <v>0</v>
      </c>
      <c r="M91" s="1232">
        <f>IFERROR(K91 / DetailedCapShares, 0)</f>
        <v>0</v>
      </c>
    </row>
    <row r="92" spans="1:13" ht="19.5" customHeight="1" x14ac:dyDescent="0.2">
      <c r="A92" s="1236" t="s">
        <v>1161</v>
      </c>
      <c r="B92" s="1235">
        <v>0</v>
      </c>
      <c r="C92" s="1235">
        <v>0</v>
      </c>
      <c r="D92" s="1235">
        <v>0</v>
      </c>
      <c r="E92" s="1235">
        <v>0</v>
      </c>
      <c r="F92" s="1235">
        <v>0</v>
      </c>
      <c r="G92" s="1235">
        <v>0</v>
      </c>
      <c r="H92" s="1235">
        <v>0</v>
      </c>
      <c r="I92" s="1235">
        <v>1224</v>
      </c>
      <c r="J92" s="1234">
        <f t="shared" si="4"/>
        <v>0</v>
      </c>
      <c r="K92" s="1234">
        <f t="shared" si="5"/>
        <v>1224</v>
      </c>
      <c r="L92" s="1233">
        <f>IFERROR(J92/J131, 0)</f>
        <v>0</v>
      </c>
      <c r="M92" s="1232">
        <f>IFERROR(K92 / DetailedCapShares, 0)</f>
        <v>0</v>
      </c>
    </row>
    <row r="93" spans="1:13" ht="19.5" customHeight="1" x14ac:dyDescent="0.2">
      <c r="A93" s="1236" t="s">
        <v>1160</v>
      </c>
      <c r="B93" s="1235">
        <v>0</v>
      </c>
      <c r="C93" s="1235">
        <v>0</v>
      </c>
      <c r="D93" s="1235">
        <v>0</v>
      </c>
      <c r="E93" s="1235">
        <v>0</v>
      </c>
      <c r="F93" s="1235">
        <v>0</v>
      </c>
      <c r="G93" s="1235">
        <v>8894</v>
      </c>
      <c r="H93" s="1235">
        <v>8894</v>
      </c>
      <c r="I93" s="1235">
        <v>0</v>
      </c>
      <c r="J93" s="1234">
        <f t="shared" si="4"/>
        <v>8894</v>
      </c>
      <c r="K93" s="1234">
        <f t="shared" si="5"/>
        <v>8894</v>
      </c>
      <c r="L93" s="1233">
        <f>IFERROR(J93/J131, 0)</f>
        <v>4.7112390277896887E-4</v>
      </c>
      <c r="M93" s="1232">
        <f>IFERROR(K93 / DetailedCapShares, 0)</f>
        <v>0</v>
      </c>
    </row>
    <row r="94" spans="1:13" ht="19.5" customHeight="1" x14ac:dyDescent="0.2">
      <c r="A94" s="1236" t="s">
        <v>1159</v>
      </c>
      <c r="B94" s="1235">
        <v>0</v>
      </c>
      <c r="C94" s="1235">
        <v>0</v>
      </c>
      <c r="D94" s="1235">
        <v>0</v>
      </c>
      <c r="E94" s="1235">
        <v>0</v>
      </c>
      <c r="F94" s="1235">
        <v>0</v>
      </c>
      <c r="G94" s="1235">
        <v>0</v>
      </c>
      <c r="H94" s="1235">
        <v>0</v>
      </c>
      <c r="I94" s="1235">
        <v>2039</v>
      </c>
      <c r="J94" s="1234">
        <f t="shared" si="4"/>
        <v>0</v>
      </c>
      <c r="K94" s="1234">
        <f t="shared" si="5"/>
        <v>2039</v>
      </c>
      <c r="L94" s="1233">
        <f>IFERROR(J94/J131, 0)</f>
        <v>0</v>
      </c>
      <c r="M94" s="1232">
        <f>IFERROR(K94 / DetailedCapShares, 0)</f>
        <v>0</v>
      </c>
    </row>
    <row r="95" spans="1:13" ht="19.5" customHeight="1" x14ac:dyDescent="0.2">
      <c r="A95" s="1236" t="s">
        <v>1158</v>
      </c>
      <c r="B95" s="1235">
        <v>0</v>
      </c>
      <c r="C95" s="1235">
        <v>0</v>
      </c>
      <c r="D95" s="1235">
        <v>0</v>
      </c>
      <c r="E95" s="1235">
        <v>0</v>
      </c>
      <c r="F95" s="1235">
        <v>0</v>
      </c>
      <c r="G95" s="1235">
        <v>0</v>
      </c>
      <c r="H95" s="1235">
        <v>0</v>
      </c>
      <c r="I95" s="1235">
        <v>1229</v>
      </c>
      <c r="J95" s="1234">
        <f t="shared" si="4"/>
        <v>0</v>
      </c>
      <c r="K95" s="1234">
        <f t="shared" si="5"/>
        <v>1229</v>
      </c>
      <c r="L95" s="1233">
        <f>IFERROR(J95/J131, 0)</f>
        <v>0</v>
      </c>
      <c r="M95" s="1232">
        <f>IFERROR(K95 / DetailedCapShares, 0)</f>
        <v>0</v>
      </c>
    </row>
    <row r="96" spans="1:13" ht="19.5" customHeight="1" x14ac:dyDescent="0.2">
      <c r="A96" s="1236" t="s">
        <v>1157</v>
      </c>
      <c r="B96" s="1235">
        <v>0</v>
      </c>
      <c r="C96" s="1235">
        <v>0</v>
      </c>
      <c r="D96" s="1235">
        <v>0</v>
      </c>
      <c r="E96" s="1235">
        <v>0</v>
      </c>
      <c r="F96" s="1235">
        <v>0</v>
      </c>
      <c r="G96" s="1235">
        <v>0</v>
      </c>
      <c r="H96" s="1235">
        <v>0</v>
      </c>
      <c r="I96" s="1235">
        <v>7073</v>
      </c>
      <c r="J96" s="1234">
        <f t="shared" si="4"/>
        <v>0</v>
      </c>
      <c r="K96" s="1234">
        <f t="shared" si="5"/>
        <v>7073</v>
      </c>
      <c r="L96" s="1233">
        <f>IFERROR(J96/J131, 0)</f>
        <v>0</v>
      </c>
      <c r="M96" s="1232">
        <f>IFERROR(K96 / DetailedCapShares, 0)</f>
        <v>0</v>
      </c>
    </row>
    <row r="97" spans="1:13" ht="19.5" customHeight="1" x14ac:dyDescent="0.2">
      <c r="A97" s="1236" t="s">
        <v>1156</v>
      </c>
      <c r="B97" s="1235">
        <v>0</v>
      </c>
      <c r="C97" s="1235">
        <v>0</v>
      </c>
      <c r="D97" s="1235">
        <v>0</v>
      </c>
      <c r="E97" s="1235">
        <v>0</v>
      </c>
      <c r="F97" s="1235">
        <v>0</v>
      </c>
      <c r="G97" s="1235">
        <v>0</v>
      </c>
      <c r="H97" s="1235">
        <v>0</v>
      </c>
      <c r="I97" s="1235">
        <v>408</v>
      </c>
      <c r="J97" s="1234">
        <f t="shared" si="4"/>
        <v>0</v>
      </c>
      <c r="K97" s="1234">
        <f t="shared" si="5"/>
        <v>408</v>
      </c>
      <c r="L97" s="1233">
        <f>IFERROR(J97/J131, 0)</f>
        <v>0</v>
      </c>
      <c r="M97" s="1232">
        <f>IFERROR(K97 / DetailedCapShares, 0)</f>
        <v>0</v>
      </c>
    </row>
    <row r="98" spans="1:13" ht="19.5" customHeight="1" x14ac:dyDescent="0.2">
      <c r="A98" s="1236" t="s">
        <v>1155</v>
      </c>
      <c r="B98" s="1235">
        <v>0</v>
      </c>
      <c r="C98" s="1235">
        <v>0</v>
      </c>
      <c r="D98" s="1235">
        <v>0</v>
      </c>
      <c r="E98" s="1235">
        <v>0</v>
      </c>
      <c r="F98" s="1235">
        <v>0</v>
      </c>
      <c r="G98" s="1235">
        <v>0</v>
      </c>
      <c r="H98" s="1235">
        <v>0</v>
      </c>
      <c r="I98" s="1235">
        <v>300</v>
      </c>
      <c r="J98" s="1234">
        <f t="shared" si="4"/>
        <v>0</v>
      </c>
      <c r="K98" s="1234">
        <f t="shared" si="5"/>
        <v>300</v>
      </c>
      <c r="L98" s="1233">
        <f>IFERROR(J98/J131, 0)</f>
        <v>0</v>
      </c>
      <c r="M98" s="1232">
        <f>IFERROR(K98 / DetailedCapShares, 0)</f>
        <v>0</v>
      </c>
    </row>
    <row r="99" spans="1:13" ht="19.5" customHeight="1" x14ac:dyDescent="0.2">
      <c r="A99" s="1236" t="s">
        <v>1154</v>
      </c>
      <c r="B99" s="1235">
        <v>0</v>
      </c>
      <c r="C99" s="1235">
        <v>0</v>
      </c>
      <c r="D99" s="1235">
        <v>0</v>
      </c>
      <c r="E99" s="1235">
        <v>0</v>
      </c>
      <c r="F99" s="1235">
        <v>0</v>
      </c>
      <c r="G99" s="1235">
        <v>0</v>
      </c>
      <c r="H99" s="1235">
        <v>0</v>
      </c>
      <c r="I99" s="1235">
        <v>2039</v>
      </c>
      <c r="J99" s="1234">
        <f t="shared" si="4"/>
        <v>0</v>
      </c>
      <c r="K99" s="1234">
        <f t="shared" si="5"/>
        <v>2039</v>
      </c>
      <c r="L99" s="1233">
        <f>IFERROR(J99/J131, 0)</f>
        <v>0</v>
      </c>
      <c r="M99" s="1232">
        <f>IFERROR(K99 / DetailedCapShares, 0)</f>
        <v>0</v>
      </c>
    </row>
    <row r="100" spans="1:13" ht="19.5" customHeight="1" x14ac:dyDescent="0.2">
      <c r="A100" s="1236" t="s">
        <v>1153</v>
      </c>
      <c r="B100" s="1235">
        <v>0</v>
      </c>
      <c r="C100" s="1235">
        <v>0</v>
      </c>
      <c r="D100" s="1235">
        <v>0</v>
      </c>
      <c r="E100" s="1235">
        <v>0</v>
      </c>
      <c r="F100" s="1235">
        <v>0</v>
      </c>
      <c r="G100" s="1235">
        <v>0</v>
      </c>
      <c r="H100" s="1235">
        <v>0</v>
      </c>
      <c r="I100" s="1235">
        <v>17681</v>
      </c>
      <c r="J100" s="1234">
        <f t="shared" si="4"/>
        <v>0</v>
      </c>
      <c r="K100" s="1234">
        <f t="shared" si="5"/>
        <v>17681</v>
      </c>
      <c r="L100" s="1233">
        <f>IFERROR(J100/J131, 0)</f>
        <v>0</v>
      </c>
      <c r="M100" s="1232">
        <f>IFERROR(K100 / DetailedCapShares, 0)</f>
        <v>0</v>
      </c>
    </row>
    <row r="101" spans="1:13" ht="19.5" customHeight="1" x14ac:dyDescent="0.2">
      <c r="A101" s="1236" t="s">
        <v>1152</v>
      </c>
      <c r="B101" s="1235">
        <v>0</v>
      </c>
      <c r="C101" s="1235">
        <v>0</v>
      </c>
      <c r="D101" s="1235">
        <v>0</v>
      </c>
      <c r="E101" s="1235">
        <v>0</v>
      </c>
      <c r="F101" s="1235">
        <v>0</v>
      </c>
      <c r="G101" s="1235">
        <v>0</v>
      </c>
      <c r="H101" s="1235">
        <v>0</v>
      </c>
      <c r="I101" s="1235">
        <v>2039</v>
      </c>
      <c r="J101" s="1234">
        <f t="shared" ref="J101:J126" si="6">SUM(B101,C101,E101,G101,)</f>
        <v>0</v>
      </c>
      <c r="K101" s="1234">
        <f t="shared" ref="K101:K126" si="7">SUM(B101,D101,F101,H101,I101,)</f>
        <v>2039</v>
      </c>
      <c r="L101" s="1233">
        <f>IFERROR(J101/J131, 0)</f>
        <v>0</v>
      </c>
      <c r="M101" s="1232">
        <f>IFERROR(K101 / DetailedCapShares, 0)</f>
        <v>0</v>
      </c>
    </row>
    <row r="102" spans="1:13" ht="19.5" customHeight="1" x14ac:dyDescent="0.2">
      <c r="A102" s="1236" t="s">
        <v>1151</v>
      </c>
      <c r="B102" s="1235">
        <v>0</v>
      </c>
      <c r="C102" s="1235">
        <v>0</v>
      </c>
      <c r="D102" s="1235">
        <v>0</v>
      </c>
      <c r="E102" s="1235">
        <v>0</v>
      </c>
      <c r="F102" s="1235">
        <v>0</v>
      </c>
      <c r="G102" s="1235">
        <v>0</v>
      </c>
      <c r="H102" s="1235">
        <v>0</v>
      </c>
      <c r="I102" s="1235">
        <v>2039</v>
      </c>
      <c r="J102" s="1234">
        <f t="shared" si="6"/>
        <v>0</v>
      </c>
      <c r="K102" s="1234">
        <f t="shared" si="7"/>
        <v>2039</v>
      </c>
      <c r="L102" s="1233">
        <f>IFERROR(J102/J131, 0)</f>
        <v>0</v>
      </c>
      <c r="M102" s="1232">
        <f>IFERROR(K102 / DetailedCapShares, 0)</f>
        <v>0</v>
      </c>
    </row>
    <row r="103" spans="1:13" ht="19.5" customHeight="1" x14ac:dyDescent="0.2">
      <c r="A103" s="1236" t="s">
        <v>1150</v>
      </c>
      <c r="B103" s="1235">
        <v>0</v>
      </c>
      <c r="C103" s="1235">
        <v>0</v>
      </c>
      <c r="D103" s="1235">
        <v>0</v>
      </c>
      <c r="E103" s="1235">
        <v>0</v>
      </c>
      <c r="F103" s="1235">
        <v>0</v>
      </c>
      <c r="G103" s="1235">
        <v>8894</v>
      </c>
      <c r="H103" s="1235">
        <v>8894</v>
      </c>
      <c r="I103" s="1235">
        <v>0</v>
      </c>
      <c r="J103" s="1234">
        <f t="shared" si="6"/>
        <v>8894</v>
      </c>
      <c r="K103" s="1234">
        <f t="shared" si="7"/>
        <v>8894</v>
      </c>
      <c r="L103" s="1233">
        <f>IFERROR(J103/J131, 0)</f>
        <v>4.7112390277896887E-4</v>
      </c>
      <c r="M103" s="1232">
        <f>IFERROR(K103 / DetailedCapShares, 0)</f>
        <v>0</v>
      </c>
    </row>
    <row r="104" spans="1:13" ht="19.5" customHeight="1" x14ac:dyDescent="0.2">
      <c r="A104" s="1236" t="s">
        <v>1149</v>
      </c>
      <c r="B104" s="1235">
        <v>0</v>
      </c>
      <c r="C104" s="1235">
        <v>0</v>
      </c>
      <c r="D104" s="1235">
        <v>0</v>
      </c>
      <c r="E104" s="1235">
        <v>0</v>
      </c>
      <c r="F104" s="1235">
        <v>0</v>
      </c>
      <c r="G104" s="1235">
        <v>0</v>
      </c>
      <c r="H104" s="1235">
        <v>0</v>
      </c>
      <c r="I104" s="1235">
        <v>14145</v>
      </c>
      <c r="J104" s="1234">
        <f t="shared" si="6"/>
        <v>0</v>
      </c>
      <c r="K104" s="1234">
        <f t="shared" si="7"/>
        <v>14145</v>
      </c>
      <c r="L104" s="1233">
        <f>IFERROR(J104/J131, 0)</f>
        <v>0</v>
      </c>
      <c r="M104" s="1232">
        <f>IFERROR(K104 / DetailedCapShares, 0)</f>
        <v>0</v>
      </c>
    </row>
    <row r="105" spans="1:13" ht="19.5" customHeight="1" x14ac:dyDescent="0.2">
      <c r="A105" s="1236" t="s">
        <v>1148</v>
      </c>
      <c r="B105" s="1235">
        <v>85000</v>
      </c>
      <c r="C105" s="1235">
        <v>0</v>
      </c>
      <c r="D105" s="1235">
        <v>0</v>
      </c>
      <c r="E105" s="1235">
        <v>0</v>
      </c>
      <c r="F105" s="1235">
        <v>0</v>
      </c>
      <c r="G105" s="1235">
        <v>0</v>
      </c>
      <c r="H105" s="1235">
        <v>0</v>
      </c>
      <c r="I105" s="1235">
        <v>48809</v>
      </c>
      <c r="J105" s="1234">
        <f t="shared" si="6"/>
        <v>85000</v>
      </c>
      <c r="K105" s="1234">
        <f t="shared" si="7"/>
        <v>133809</v>
      </c>
      <c r="L105" s="1233">
        <f>IFERROR(J105/J131, 0)</f>
        <v>4.5025333636397975E-3</v>
      </c>
      <c r="M105" s="1232">
        <f>IFERROR(K105 / DetailedCapShares, 0)</f>
        <v>0</v>
      </c>
    </row>
    <row r="106" spans="1:13" ht="19.5" customHeight="1" x14ac:dyDescent="0.2">
      <c r="A106" s="1236" t="s">
        <v>1147</v>
      </c>
      <c r="B106" s="1235">
        <v>0</v>
      </c>
      <c r="C106" s="1235">
        <v>0</v>
      </c>
      <c r="D106" s="1235">
        <v>0</v>
      </c>
      <c r="E106" s="1235">
        <v>0</v>
      </c>
      <c r="F106" s="1235">
        <v>0</v>
      </c>
      <c r="G106" s="1235">
        <v>0</v>
      </c>
      <c r="H106" s="1235">
        <v>0</v>
      </c>
      <c r="I106" s="1235">
        <v>2039</v>
      </c>
      <c r="J106" s="1234">
        <f t="shared" si="6"/>
        <v>0</v>
      </c>
      <c r="K106" s="1234">
        <f t="shared" si="7"/>
        <v>2039</v>
      </c>
      <c r="L106" s="1233">
        <f>IFERROR(J106/J131, 0)</f>
        <v>0</v>
      </c>
      <c r="M106" s="1232">
        <f>IFERROR(K106 / DetailedCapShares, 0)</f>
        <v>0</v>
      </c>
    </row>
    <row r="107" spans="1:13" ht="19.5" customHeight="1" x14ac:dyDescent="0.2">
      <c r="A107" s="1236" t="s">
        <v>1146</v>
      </c>
      <c r="B107" s="1235">
        <v>0</v>
      </c>
      <c r="C107" s="1235">
        <v>0</v>
      </c>
      <c r="D107" s="1235">
        <v>0</v>
      </c>
      <c r="E107" s="1235">
        <v>0</v>
      </c>
      <c r="F107" s="1235">
        <v>0</v>
      </c>
      <c r="G107" s="1235">
        <v>0</v>
      </c>
      <c r="H107" s="1235">
        <v>0</v>
      </c>
      <c r="I107" s="1235">
        <v>2039</v>
      </c>
      <c r="J107" s="1234">
        <f t="shared" si="6"/>
        <v>0</v>
      </c>
      <c r="K107" s="1234">
        <f t="shared" si="7"/>
        <v>2039</v>
      </c>
      <c r="L107" s="1233">
        <f>IFERROR(J107/J131, 0)</f>
        <v>0</v>
      </c>
      <c r="M107" s="1232">
        <f>IFERROR(K107 / DetailedCapShares, 0)</f>
        <v>0</v>
      </c>
    </row>
    <row r="108" spans="1:13" ht="19.5" customHeight="1" x14ac:dyDescent="0.2">
      <c r="A108" s="1236" t="s">
        <v>1145</v>
      </c>
      <c r="B108" s="1235">
        <v>109226</v>
      </c>
      <c r="C108" s="1235">
        <v>0</v>
      </c>
      <c r="D108" s="1235">
        <v>0</v>
      </c>
      <c r="E108" s="1235">
        <v>0</v>
      </c>
      <c r="F108" s="1235">
        <v>0</v>
      </c>
      <c r="G108" s="1235">
        <v>0</v>
      </c>
      <c r="H108" s="1235">
        <v>0</v>
      </c>
      <c r="I108" s="1235">
        <v>17500</v>
      </c>
      <c r="J108" s="1234">
        <f t="shared" si="6"/>
        <v>109226</v>
      </c>
      <c r="K108" s="1234">
        <f t="shared" si="7"/>
        <v>126726</v>
      </c>
      <c r="L108" s="1233">
        <f>IFERROR(J108/J131, 0)</f>
        <v>5.7858083432578882E-3</v>
      </c>
      <c r="M108" s="1232">
        <f>IFERROR(K108 / DetailedCapShares, 0)</f>
        <v>0</v>
      </c>
    </row>
    <row r="109" spans="1:13" ht="19.5" customHeight="1" x14ac:dyDescent="0.2">
      <c r="A109" s="1236" t="s">
        <v>1144</v>
      </c>
      <c r="B109" s="1235">
        <v>0</v>
      </c>
      <c r="C109" s="1235">
        <v>0</v>
      </c>
      <c r="D109" s="1235">
        <v>0</v>
      </c>
      <c r="E109" s="1235">
        <v>0</v>
      </c>
      <c r="F109" s="1235">
        <v>0</v>
      </c>
      <c r="G109" s="1235">
        <v>0</v>
      </c>
      <c r="H109" s="1235">
        <v>0</v>
      </c>
      <c r="I109" s="1235">
        <v>3058</v>
      </c>
      <c r="J109" s="1234">
        <f t="shared" si="6"/>
        <v>0</v>
      </c>
      <c r="K109" s="1234">
        <f t="shared" si="7"/>
        <v>3058</v>
      </c>
      <c r="L109" s="1233">
        <f>IFERROR(J109/J131, 0)</f>
        <v>0</v>
      </c>
      <c r="M109" s="1232">
        <f>IFERROR(K109 / DetailedCapShares, 0)</f>
        <v>0</v>
      </c>
    </row>
    <row r="110" spans="1:13" ht="19.5" customHeight="1" x14ac:dyDescent="0.2">
      <c r="A110" s="1236" t="s">
        <v>1143</v>
      </c>
      <c r="B110" s="1235">
        <v>0</v>
      </c>
      <c r="C110" s="1235">
        <v>0</v>
      </c>
      <c r="D110" s="1235">
        <v>0</v>
      </c>
      <c r="E110" s="1235">
        <v>0</v>
      </c>
      <c r="F110" s="1235">
        <v>0</v>
      </c>
      <c r="G110" s="1235">
        <v>0</v>
      </c>
      <c r="H110" s="1235">
        <v>0</v>
      </c>
      <c r="I110" s="1235">
        <v>612</v>
      </c>
      <c r="J110" s="1234">
        <f t="shared" si="6"/>
        <v>0</v>
      </c>
      <c r="K110" s="1234">
        <f t="shared" si="7"/>
        <v>612</v>
      </c>
      <c r="L110" s="1233">
        <f>IFERROR(J110/J131, 0)</f>
        <v>0</v>
      </c>
      <c r="M110" s="1232">
        <f>IFERROR(K110 / DetailedCapShares, 0)</f>
        <v>0</v>
      </c>
    </row>
    <row r="111" spans="1:13" ht="19.5" customHeight="1" x14ac:dyDescent="0.2">
      <c r="A111" s="1236" t="s">
        <v>1142</v>
      </c>
      <c r="B111" s="1235">
        <v>0</v>
      </c>
      <c r="C111" s="1235">
        <v>0</v>
      </c>
      <c r="D111" s="1235">
        <v>0</v>
      </c>
      <c r="E111" s="1235">
        <v>0</v>
      </c>
      <c r="F111" s="1235">
        <v>0</v>
      </c>
      <c r="G111" s="1235">
        <v>0</v>
      </c>
      <c r="H111" s="1235">
        <v>0</v>
      </c>
      <c r="I111" s="1235">
        <v>764</v>
      </c>
      <c r="J111" s="1234">
        <f t="shared" si="6"/>
        <v>0</v>
      </c>
      <c r="K111" s="1234">
        <f t="shared" si="7"/>
        <v>764</v>
      </c>
      <c r="L111" s="1233">
        <f>IFERROR(J111/J131, 0)</f>
        <v>0</v>
      </c>
      <c r="M111" s="1232">
        <f>IFERROR(K111 / DetailedCapShares, 0)</f>
        <v>0</v>
      </c>
    </row>
    <row r="112" spans="1:13" ht="19.5" customHeight="1" x14ac:dyDescent="0.2">
      <c r="A112" s="1236" t="s">
        <v>1141</v>
      </c>
      <c r="B112" s="1235">
        <v>0</v>
      </c>
      <c r="C112" s="1235">
        <v>0</v>
      </c>
      <c r="D112" s="1235">
        <v>0</v>
      </c>
      <c r="E112" s="1235">
        <v>0</v>
      </c>
      <c r="F112" s="1235">
        <v>0</v>
      </c>
      <c r="G112" s="1235">
        <v>0</v>
      </c>
      <c r="H112" s="1235">
        <v>0</v>
      </c>
      <c r="I112" s="1235">
        <v>1768</v>
      </c>
      <c r="J112" s="1234">
        <f t="shared" si="6"/>
        <v>0</v>
      </c>
      <c r="K112" s="1234">
        <f t="shared" si="7"/>
        <v>1768</v>
      </c>
      <c r="L112" s="1233">
        <f>IFERROR(J112/J131, 0)</f>
        <v>0</v>
      </c>
      <c r="M112" s="1232">
        <f>IFERROR(K112 / DetailedCapShares, 0)</f>
        <v>0</v>
      </c>
    </row>
    <row r="113" spans="1:13" ht="19.5" customHeight="1" x14ac:dyDescent="0.2">
      <c r="A113" s="1236" t="s">
        <v>1140</v>
      </c>
      <c r="B113" s="1235">
        <v>0</v>
      </c>
      <c r="C113" s="1235">
        <v>0</v>
      </c>
      <c r="D113" s="1235">
        <v>0</v>
      </c>
      <c r="E113" s="1235">
        <v>0</v>
      </c>
      <c r="F113" s="1235">
        <v>0</v>
      </c>
      <c r="G113" s="1235">
        <v>0</v>
      </c>
      <c r="H113" s="1235">
        <v>0</v>
      </c>
      <c r="I113" s="1235">
        <v>1529</v>
      </c>
      <c r="J113" s="1234">
        <f t="shared" si="6"/>
        <v>0</v>
      </c>
      <c r="K113" s="1234">
        <f t="shared" si="7"/>
        <v>1529</v>
      </c>
      <c r="L113" s="1233">
        <f>IFERROR(J113/J131, 0)</f>
        <v>0</v>
      </c>
      <c r="M113" s="1232">
        <f>IFERROR(K113 / DetailedCapShares, 0)</f>
        <v>0</v>
      </c>
    </row>
    <row r="114" spans="1:13" ht="19.5" customHeight="1" x14ac:dyDescent="0.2">
      <c r="A114" s="1236" t="s">
        <v>1139</v>
      </c>
      <c r="B114" s="1235">
        <v>0</v>
      </c>
      <c r="C114" s="1235">
        <v>0</v>
      </c>
      <c r="D114" s="1235">
        <v>0</v>
      </c>
      <c r="E114" s="1235">
        <v>0</v>
      </c>
      <c r="F114" s="1235">
        <v>0</v>
      </c>
      <c r="G114" s="1235">
        <v>0</v>
      </c>
      <c r="H114" s="1235">
        <v>0</v>
      </c>
      <c r="I114" s="1235">
        <v>300</v>
      </c>
      <c r="J114" s="1234">
        <f t="shared" si="6"/>
        <v>0</v>
      </c>
      <c r="K114" s="1234">
        <f t="shared" si="7"/>
        <v>300</v>
      </c>
      <c r="L114" s="1233">
        <f>IFERROR(J114/J131, 0)</f>
        <v>0</v>
      </c>
      <c r="M114" s="1232">
        <f>IFERROR(K114 / DetailedCapShares, 0)</f>
        <v>0</v>
      </c>
    </row>
    <row r="115" spans="1:13" ht="19.5" customHeight="1" x14ac:dyDescent="0.2">
      <c r="A115" s="1236" t="s">
        <v>1138</v>
      </c>
      <c r="B115" s="1235">
        <v>0</v>
      </c>
      <c r="C115" s="1235">
        <v>0</v>
      </c>
      <c r="D115" s="1235">
        <v>0</v>
      </c>
      <c r="E115" s="1235">
        <v>0</v>
      </c>
      <c r="F115" s="1235">
        <v>0</v>
      </c>
      <c r="G115" s="1235">
        <v>238169</v>
      </c>
      <c r="H115" s="1235">
        <v>238169</v>
      </c>
      <c r="I115" s="1235">
        <v>0</v>
      </c>
      <c r="J115" s="1234">
        <f t="shared" si="6"/>
        <v>238169</v>
      </c>
      <c r="K115" s="1234">
        <f t="shared" si="7"/>
        <v>238169</v>
      </c>
      <c r="L115" s="1233">
        <f>IFERROR(J115/J131, 0)</f>
        <v>1.2616045513937963E-2</v>
      </c>
      <c r="M115" s="1232">
        <f>IFERROR(K115 / DetailedCapShares, 0)</f>
        <v>0</v>
      </c>
    </row>
    <row r="116" spans="1:13" ht="19.5" customHeight="1" x14ac:dyDescent="0.2">
      <c r="A116" s="1236" t="s">
        <v>1137</v>
      </c>
      <c r="B116" s="1235">
        <v>0</v>
      </c>
      <c r="C116" s="1235">
        <v>0</v>
      </c>
      <c r="D116" s="1235">
        <v>0</v>
      </c>
      <c r="E116" s="1235">
        <v>0</v>
      </c>
      <c r="F116" s="1235">
        <v>0</v>
      </c>
      <c r="G116" s="1235">
        <v>0</v>
      </c>
      <c r="H116" s="1235">
        <v>0</v>
      </c>
      <c r="I116" s="1235">
        <v>300</v>
      </c>
      <c r="J116" s="1234">
        <f t="shared" si="6"/>
        <v>0</v>
      </c>
      <c r="K116" s="1234">
        <f t="shared" si="7"/>
        <v>300</v>
      </c>
      <c r="L116" s="1233">
        <f>IFERROR(J116/J131, 0)</f>
        <v>0</v>
      </c>
      <c r="M116" s="1232">
        <f>IFERROR(K116 / DetailedCapShares, 0)</f>
        <v>0</v>
      </c>
    </row>
    <row r="117" spans="1:13" ht="19.5" customHeight="1" x14ac:dyDescent="0.2">
      <c r="A117" s="1236" t="s">
        <v>1136</v>
      </c>
      <c r="B117" s="1235">
        <v>0</v>
      </c>
      <c r="C117" s="1235">
        <v>0</v>
      </c>
      <c r="D117" s="1235">
        <v>0</v>
      </c>
      <c r="E117" s="1235">
        <v>0</v>
      </c>
      <c r="F117" s="1235">
        <v>0</v>
      </c>
      <c r="G117" s="1235">
        <v>0</v>
      </c>
      <c r="H117" s="1235">
        <v>0</v>
      </c>
      <c r="I117" s="1235">
        <v>10193</v>
      </c>
      <c r="J117" s="1234">
        <f t="shared" si="6"/>
        <v>0</v>
      </c>
      <c r="K117" s="1234">
        <f t="shared" si="7"/>
        <v>10193</v>
      </c>
      <c r="L117" s="1233">
        <f>IFERROR(J117/J131, 0)</f>
        <v>0</v>
      </c>
      <c r="M117" s="1232">
        <f>IFERROR(K117 / DetailedCapShares, 0)</f>
        <v>0</v>
      </c>
    </row>
    <row r="118" spans="1:13" ht="19.5" customHeight="1" x14ac:dyDescent="0.2">
      <c r="A118" s="1236" t="s">
        <v>1135</v>
      </c>
      <c r="B118" s="1235">
        <v>0</v>
      </c>
      <c r="C118" s="1235">
        <v>0</v>
      </c>
      <c r="D118" s="1235">
        <v>0</v>
      </c>
      <c r="E118" s="1235">
        <v>0</v>
      </c>
      <c r="F118" s="1235">
        <v>0</v>
      </c>
      <c r="G118" s="1235">
        <v>39600</v>
      </c>
      <c r="H118" s="1235">
        <v>39600</v>
      </c>
      <c r="I118" s="1235">
        <v>0</v>
      </c>
      <c r="J118" s="1234">
        <f t="shared" si="6"/>
        <v>39600</v>
      </c>
      <c r="K118" s="1234">
        <f t="shared" si="7"/>
        <v>39600</v>
      </c>
      <c r="L118" s="1233">
        <f>IFERROR(J118/J131, 0)</f>
        <v>2.0976508376486583E-3</v>
      </c>
      <c r="M118" s="1232">
        <f>IFERROR(K118 / DetailedCapShares, 0)</f>
        <v>0</v>
      </c>
    </row>
    <row r="119" spans="1:13" ht="19.5" customHeight="1" x14ac:dyDescent="0.2">
      <c r="A119" s="1236" t="s">
        <v>1134</v>
      </c>
      <c r="B119" s="1235">
        <v>0</v>
      </c>
      <c r="C119" s="1235">
        <v>0</v>
      </c>
      <c r="D119" s="1235">
        <v>0</v>
      </c>
      <c r="E119" s="1235">
        <v>0</v>
      </c>
      <c r="F119" s="1235">
        <v>0</v>
      </c>
      <c r="G119" s="1235">
        <v>31991</v>
      </c>
      <c r="H119" s="1235">
        <v>31991</v>
      </c>
      <c r="I119" s="1235">
        <v>0</v>
      </c>
      <c r="J119" s="1234">
        <f t="shared" si="6"/>
        <v>31991</v>
      </c>
      <c r="K119" s="1234">
        <f t="shared" si="7"/>
        <v>31991</v>
      </c>
      <c r="L119" s="1233">
        <f>IFERROR(J119/J131, 0)</f>
        <v>1.6945946451317735E-3</v>
      </c>
      <c r="M119" s="1232">
        <f>IFERROR(K119 / DetailedCapShares, 0)</f>
        <v>0</v>
      </c>
    </row>
    <row r="120" spans="1:13" ht="19.5" customHeight="1" x14ac:dyDescent="0.2">
      <c r="A120" s="1236" t="s">
        <v>1133</v>
      </c>
      <c r="B120" s="1235">
        <v>0</v>
      </c>
      <c r="C120" s="1235">
        <v>0</v>
      </c>
      <c r="D120" s="1235">
        <v>0</v>
      </c>
      <c r="E120" s="1235">
        <v>0</v>
      </c>
      <c r="F120" s="1235">
        <v>0</v>
      </c>
      <c r="G120" s="1235">
        <v>0</v>
      </c>
      <c r="H120" s="1235">
        <v>0</v>
      </c>
      <c r="I120" s="1235">
        <v>8155</v>
      </c>
      <c r="J120" s="1234">
        <f t="shared" si="6"/>
        <v>0</v>
      </c>
      <c r="K120" s="1234">
        <f t="shared" si="7"/>
        <v>8155</v>
      </c>
      <c r="L120" s="1233">
        <f>IFERROR(J120/J131, 0)</f>
        <v>0</v>
      </c>
      <c r="M120" s="1232">
        <f>IFERROR(K120 / DetailedCapShares, 0)</f>
        <v>0</v>
      </c>
    </row>
    <row r="121" spans="1:13" ht="19.5" customHeight="1" x14ac:dyDescent="0.2">
      <c r="A121" s="1236" t="s">
        <v>1132</v>
      </c>
      <c r="B121" s="1235">
        <v>0</v>
      </c>
      <c r="C121" s="1235">
        <v>0</v>
      </c>
      <c r="D121" s="1235">
        <v>0</v>
      </c>
      <c r="E121" s="1235">
        <v>0</v>
      </c>
      <c r="F121" s="1235">
        <v>0</v>
      </c>
      <c r="G121" s="1235">
        <v>0</v>
      </c>
      <c r="H121" s="1235">
        <v>0</v>
      </c>
      <c r="I121" s="1235">
        <v>15290</v>
      </c>
      <c r="J121" s="1234">
        <f t="shared" si="6"/>
        <v>0</v>
      </c>
      <c r="K121" s="1234">
        <f t="shared" si="7"/>
        <v>15290</v>
      </c>
      <c r="L121" s="1233">
        <f>IFERROR(J121/J131, 0)</f>
        <v>0</v>
      </c>
      <c r="M121" s="1232">
        <f>IFERROR(K121 / DetailedCapShares, 0)</f>
        <v>0</v>
      </c>
    </row>
    <row r="122" spans="1:13" ht="19.5" customHeight="1" x14ac:dyDescent="0.2">
      <c r="A122" s="1236" t="s">
        <v>1131</v>
      </c>
      <c r="B122" s="1235">
        <v>0</v>
      </c>
      <c r="C122" s="1235">
        <v>56293</v>
      </c>
      <c r="D122" s="1235">
        <v>56293</v>
      </c>
      <c r="E122" s="1235">
        <v>37941</v>
      </c>
      <c r="F122" s="1235">
        <v>37941</v>
      </c>
      <c r="G122" s="1235">
        <v>195980</v>
      </c>
      <c r="H122" s="1235">
        <v>195980</v>
      </c>
      <c r="I122" s="1235">
        <v>0</v>
      </c>
      <c r="J122" s="1234">
        <f t="shared" si="6"/>
        <v>290214</v>
      </c>
      <c r="K122" s="1234">
        <f t="shared" si="7"/>
        <v>290214</v>
      </c>
      <c r="L122" s="1233">
        <f>IFERROR(J122/J131, 0)</f>
        <v>1.5372920207004237E-2</v>
      </c>
      <c r="M122" s="1232">
        <f>IFERROR(K122 / DetailedCapShares, 0)</f>
        <v>0</v>
      </c>
    </row>
    <row r="123" spans="1:13" ht="19.5" customHeight="1" x14ac:dyDescent="0.2">
      <c r="A123" s="1236" t="s">
        <v>1130</v>
      </c>
      <c r="B123" s="1235">
        <v>250</v>
      </c>
      <c r="C123" s="1235">
        <v>0</v>
      </c>
      <c r="D123" s="1235">
        <v>0</v>
      </c>
      <c r="E123" s="1235">
        <v>0</v>
      </c>
      <c r="F123" s="1235">
        <v>0</v>
      </c>
      <c r="G123" s="1235">
        <v>0</v>
      </c>
      <c r="H123" s="1235">
        <v>0</v>
      </c>
      <c r="I123" s="1235">
        <v>250</v>
      </c>
      <c r="J123" s="1234">
        <f t="shared" si="6"/>
        <v>250</v>
      </c>
      <c r="K123" s="1234">
        <f t="shared" si="7"/>
        <v>500</v>
      </c>
      <c r="L123" s="1233">
        <f>IFERROR(J123/J131, 0)</f>
        <v>1.3242745187175875E-5</v>
      </c>
      <c r="M123" s="1232">
        <f>IFERROR(K123 / DetailedCapShares, 0)</f>
        <v>0</v>
      </c>
    </row>
    <row r="124" spans="1:13" ht="19.5" customHeight="1" x14ac:dyDescent="0.2">
      <c r="A124" s="1236" t="s">
        <v>1129</v>
      </c>
      <c r="B124" s="1235">
        <v>0</v>
      </c>
      <c r="C124" s="1235">
        <v>0</v>
      </c>
      <c r="D124" s="1235">
        <v>0</v>
      </c>
      <c r="E124" s="1235">
        <v>0</v>
      </c>
      <c r="F124" s="1235">
        <v>0</v>
      </c>
      <c r="G124" s="1235">
        <v>0</v>
      </c>
      <c r="H124" s="1235">
        <v>0</v>
      </c>
      <c r="I124" s="1235">
        <v>1019</v>
      </c>
      <c r="J124" s="1234">
        <f t="shared" si="6"/>
        <v>0</v>
      </c>
      <c r="K124" s="1234">
        <f t="shared" si="7"/>
        <v>1019</v>
      </c>
      <c r="L124" s="1233">
        <f>IFERROR(J124/J131, 0)</f>
        <v>0</v>
      </c>
      <c r="M124" s="1232">
        <f>IFERROR(K124 / DetailedCapShares, 0)</f>
        <v>0</v>
      </c>
    </row>
    <row r="125" spans="1:13" ht="19.5" customHeight="1" x14ac:dyDescent="0.2">
      <c r="A125" s="1236" t="s">
        <v>1128</v>
      </c>
      <c r="B125" s="1235">
        <v>0</v>
      </c>
      <c r="C125" s="1235">
        <v>0</v>
      </c>
      <c r="D125" s="1235">
        <v>0</v>
      </c>
      <c r="E125" s="1235">
        <v>0</v>
      </c>
      <c r="F125" s="1235">
        <v>0</v>
      </c>
      <c r="G125" s="1235">
        <v>0</v>
      </c>
      <c r="H125" s="1235">
        <v>0</v>
      </c>
      <c r="I125" s="1235">
        <v>1019</v>
      </c>
      <c r="J125" s="1234">
        <f t="shared" si="6"/>
        <v>0</v>
      </c>
      <c r="K125" s="1234">
        <f t="shared" si="7"/>
        <v>1019</v>
      </c>
      <c r="L125" s="1233">
        <f>IFERROR(J125/J131, 0)</f>
        <v>0</v>
      </c>
      <c r="M125" s="1232">
        <f>IFERROR(K125 / DetailedCapShares, 0)</f>
        <v>0</v>
      </c>
    </row>
    <row r="126" spans="1:13" ht="19.5" customHeight="1" x14ac:dyDescent="0.2">
      <c r="A126" s="1236" t="s">
        <v>1127</v>
      </c>
      <c r="B126" s="1235">
        <v>260</v>
      </c>
      <c r="C126" s="1235">
        <v>0</v>
      </c>
      <c r="D126" s="1235">
        <v>0</v>
      </c>
      <c r="E126" s="1235">
        <v>0</v>
      </c>
      <c r="F126" s="1235">
        <v>0</v>
      </c>
      <c r="G126" s="1235">
        <v>0</v>
      </c>
      <c r="H126" s="1235">
        <v>0</v>
      </c>
      <c r="I126" s="1235">
        <v>42</v>
      </c>
      <c r="J126" s="1234">
        <f t="shared" si="6"/>
        <v>260</v>
      </c>
      <c r="K126" s="1234">
        <f t="shared" si="7"/>
        <v>302</v>
      </c>
      <c r="L126" s="1233">
        <f>IFERROR(J126/J131, 0)</f>
        <v>1.3772454994662909E-5</v>
      </c>
      <c r="M126" s="1232">
        <f>IFERROR(K126 / DetailedCapShares, 0)</f>
        <v>0</v>
      </c>
    </row>
    <row r="127" spans="1:13" ht="19.5" customHeight="1" x14ac:dyDescent="0.2">
      <c r="A127" s="1231" t="s">
        <v>1126</v>
      </c>
      <c r="B127" s="1230"/>
      <c r="C127" s="1230"/>
      <c r="D127" s="1230"/>
      <c r="E127" s="1230"/>
      <c r="F127" s="1230"/>
      <c r="G127" s="1230"/>
      <c r="H127" s="1230"/>
      <c r="I127" s="1230">
        <v>695648</v>
      </c>
      <c r="J127" s="1230"/>
      <c r="K127" s="1230"/>
      <c r="L127" s="1229"/>
      <c r="M127" s="1228"/>
    </row>
    <row r="128" spans="1:13" ht="19.5" customHeight="1" thickBot="1" x14ac:dyDescent="0.25">
      <c r="A128" s="1227" t="s">
        <v>1125</v>
      </c>
      <c r="B128" s="1226"/>
      <c r="C128" s="1226"/>
      <c r="D128" s="1226"/>
      <c r="E128" s="1226"/>
      <c r="F128" s="1226"/>
      <c r="G128" s="1226"/>
      <c r="H128" s="1226"/>
      <c r="I128" s="1226">
        <v>812899</v>
      </c>
      <c r="J128" s="1226"/>
      <c r="K128" s="1226">
        <f>SUM(I128,)</f>
        <v>812899</v>
      </c>
      <c r="L128" s="1225"/>
      <c r="M128" s="1224">
        <f>IFERROR(K128/K129, 0)</f>
        <v>3.9873775237398615E-2</v>
      </c>
    </row>
    <row r="129" spans="1:13" ht="19.5" customHeight="1" x14ac:dyDescent="0.2">
      <c r="A129" s="1223" t="s">
        <v>1124</v>
      </c>
      <c r="B129" s="1222">
        <f>SUM(B5:B126)</f>
        <v>8388829</v>
      </c>
      <c r="C129" s="1222"/>
      <c r="D129" s="1222">
        <f>SUM(D5:D126)</f>
        <v>3978305</v>
      </c>
      <c r="E129" s="1222"/>
      <c r="F129" s="1222">
        <f>SUM(F5:F126)</f>
        <v>2659150</v>
      </c>
      <c r="G129" s="1222"/>
      <c r="H129" s="1222">
        <f>SUM(H5:H126)</f>
        <v>3851977</v>
      </c>
      <c r="I129" s="1222">
        <f>I127+I128</f>
        <v>1508547</v>
      </c>
      <c r="J129" s="1222"/>
      <c r="K129" s="1222">
        <f>SUM(B129,D129,F129,H129,I129,)</f>
        <v>20386808</v>
      </c>
      <c r="L129" s="1221"/>
      <c r="M129" s="1220">
        <f>IFERROR(SUM(B129,D129,F129,H129,I129,)/K129, 0)</f>
        <v>1</v>
      </c>
    </row>
    <row r="130" spans="1:13" ht="19.5" customHeight="1" thickBot="1" x14ac:dyDescent="0.25">
      <c r="A130" s="1219" t="s">
        <v>1123</v>
      </c>
      <c r="B130" s="1215">
        <f>IFERROR(B129/K129, 0)</f>
        <v>0.41148320031267277</v>
      </c>
      <c r="C130" s="1216"/>
      <c r="D130" s="1215">
        <f>IFERROR(D129/K129, 0)</f>
        <v>0.19514114225238202</v>
      </c>
      <c r="E130" s="1216"/>
      <c r="F130" s="1215">
        <f>IFERROR(F129/K129, 0)</f>
        <v>0.13043483805802261</v>
      </c>
      <c r="G130" s="1216"/>
      <c r="H130" s="1215">
        <f>IFERROR(H129/K129, 0)</f>
        <v>0.18894458612647944</v>
      </c>
      <c r="I130" s="1215">
        <f>IFERROR(I129/K129, 0)</f>
        <v>7.3996233250443133E-2</v>
      </c>
      <c r="J130" s="1216"/>
      <c r="K130" s="1215">
        <f>SUM(B130,D130,F130,H130,I130,)</f>
        <v>1</v>
      </c>
      <c r="L130" s="1215"/>
      <c r="M130" s="1214"/>
    </row>
    <row r="131" spans="1:13" ht="19.5" customHeight="1" x14ac:dyDescent="0.2">
      <c r="A131" s="1223" t="s">
        <v>1122</v>
      </c>
      <c r="B131" s="1222">
        <f>SUM(B5:B126)</f>
        <v>8388829</v>
      </c>
      <c r="C131" s="1222">
        <f>SUM(C5:C126)</f>
        <v>3978305</v>
      </c>
      <c r="D131" s="1222"/>
      <c r="E131" s="1222">
        <f>SUM(E5:E126)</f>
        <v>2659150</v>
      </c>
      <c r="F131" s="1222"/>
      <c r="G131" s="1222">
        <f>SUM(G5:G126)</f>
        <v>3851977</v>
      </c>
      <c r="H131" s="1222"/>
      <c r="I131" s="1222"/>
      <c r="J131" s="1222">
        <f>SUM(B131,C131,E131,G131,)</f>
        <v>18878261</v>
      </c>
      <c r="K131" s="1222"/>
      <c r="L131" s="1221">
        <f>SUM(L5:L126)</f>
        <v>0.99999999999999989</v>
      </c>
      <c r="M131" s="1220"/>
    </row>
    <row r="132" spans="1:13" ht="19.5" customHeight="1" x14ac:dyDescent="0.2">
      <c r="A132" s="1219" t="s">
        <v>1121</v>
      </c>
      <c r="B132" s="1215">
        <f>IFERROR(B131/J131, 0)</f>
        <v>0.44436449946316559</v>
      </c>
      <c r="C132" s="1215">
        <f>IFERROR(C131/J131, 0)</f>
        <v>0.21073471756747086</v>
      </c>
      <c r="D132" s="1216"/>
      <c r="E132" s="1215">
        <f>IFERROR(E131/J131, 0)</f>
        <v>0.14085778345791489</v>
      </c>
      <c r="F132" s="1216"/>
      <c r="G132" s="1215">
        <f>IFERROR(G131/J131, 0)</f>
        <v>0.20404299951144864</v>
      </c>
      <c r="H132" s="1216"/>
      <c r="I132" s="1216"/>
      <c r="J132" s="1215">
        <f>SUM(B132,C132,E132,G132,)</f>
        <v>1</v>
      </c>
      <c r="K132" s="1216"/>
      <c r="L132" s="1215"/>
      <c r="M132" s="1214"/>
    </row>
    <row r="133" spans="1:13" ht="19.5" customHeight="1" x14ac:dyDescent="0.2">
      <c r="A133" s="1219" t="s">
        <v>1120</v>
      </c>
      <c r="B133" s="1216"/>
      <c r="C133" s="1218">
        <v>2.26227</v>
      </c>
      <c r="D133" s="1218">
        <v>2.26227</v>
      </c>
      <c r="E133" s="1217">
        <v>5.6409000000000002</v>
      </c>
      <c r="F133" s="1217">
        <v>5.6409000000000002</v>
      </c>
      <c r="G133" s="1217">
        <v>1.1244000000000001</v>
      </c>
      <c r="H133" s="1217">
        <v>1.1244000000000001</v>
      </c>
      <c r="I133" s="1216"/>
      <c r="J133" s="1216"/>
      <c r="K133" s="1216"/>
      <c r="L133" s="1215"/>
      <c r="M133" s="1214"/>
    </row>
    <row r="134" spans="1:13" ht="15.75" customHeight="1" x14ac:dyDescent="0.2"/>
    <row r="135" spans="1:13" ht="15.75" customHeight="1" x14ac:dyDescent="0.2"/>
    <row r="136" spans="1:13" ht="15.75" customHeight="1" x14ac:dyDescent="0.2"/>
    <row r="137" spans="1:13" ht="15.75" customHeight="1" x14ac:dyDescent="0.2"/>
    <row r="138" spans="1:13" ht="15.75" customHeight="1" x14ac:dyDescent="0.2"/>
    <row r="139" spans="1:13" ht="15.75" customHeight="1" x14ac:dyDescent="0.2"/>
    <row r="140" spans="1:13" ht="15.75" customHeight="1" x14ac:dyDescent="0.2"/>
    <row r="141" spans="1:13" ht="15.75" customHeight="1" x14ac:dyDescent="0.2"/>
    <row r="142" spans="1:13" ht="15.75" customHeight="1" x14ac:dyDescent="0.2"/>
    <row r="143" spans="1:13" ht="15.75" customHeight="1" x14ac:dyDescent="0.2"/>
    <row r="144" spans="1:13"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autoFilter ref="A4:M133" xr:uid="{00000000-0009-0000-0000-000001000000}"/>
  <pageMargins left="0.75" right="0.75" top="1" bottom="1" header="0" footer="0"/>
  <pageSetup orientation="landscape"/>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560B17-F237-4BA4-A525-8216181FCB57}">
  <sheetPr>
    <tabColor theme="8" tint="0.79998168889431442"/>
    <pageSetUpPr fitToPage="1"/>
  </sheetPr>
  <dimension ref="A1:L21"/>
  <sheetViews>
    <sheetView showGridLines="0" view="pageBreakPreview" zoomScale="85" zoomScaleNormal="85" zoomScaleSheetLayoutView="85" workbookViewId="0">
      <selection activeCell="R36" sqref="R36"/>
    </sheetView>
  </sheetViews>
  <sheetFormatPr defaultColWidth="8" defaultRowHeight="12.75" x14ac:dyDescent="0.2"/>
  <cols>
    <col min="1" max="1" width="2" style="540" customWidth="1"/>
    <col min="2" max="2" width="8.42578125" style="540" customWidth="1"/>
    <col min="3" max="3" width="8" style="540"/>
    <col min="4" max="4" width="8.42578125" style="540" customWidth="1"/>
    <col min="5" max="11" width="8" style="540"/>
    <col min="12" max="12" width="2" style="540" customWidth="1"/>
    <col min="13" max="16384" width="8" style="540"/>
  </cols>
  <sheetData>
    <row r="1" spans="1:12" ht="11.1" customHeight="1" x14ac:dyDescent="0.2">
      <c r="A1" s="541"/>
      <c r="B1" s="541"/>
      <c r="C1" s="541"/>
      <c r="D1" s="541"/>
      <c r="E1" s="541"/>
      <c r="F1" s="541"/>
      <c r="G1" s="541"/>
      <c r="H1" s="541"/>
      <c r="I1" s="541"/>
      <c r="J1" s="541"/>
      <c r="K1" s="541"/>
      <c r="L1" s="541"/>
    </row>
    <row r="2" spans="1:12" ht="12.6" customHeight="1" x14ac:dyDescent="0.2">
      <c r="A2" s="541"/>
      <c r="B2" s="541"/>
      <c r="C2" s="541"/>
      <c r="D2" s="541"/>
      <c r="E2" s="541"/>
      <c r="F2" s="541"/>
      <c r="G2" s="541"/>
      <c r="H2" s="541"/>
      <c r="I2" s="541"/>
      <c r="J2" s="541"/>
      <c r="K2" s="541"/>
      <c r="L2" s="541"/>
    </row>
    <row r="3" spans="1:12" ht="12.6" customHeight="1" x14ac:dyDescent="0.2">
      <c r="A3" s="541"/>
      <c r="B3" s="541"/>
      <c r="C3" s="541"/>
      <c r="D3" s="541"/>
      <c r="E3" s="541"/>
      <c r="F3" s="541"/>
      <c r="G3" s="541"/>
      <c r="H3" s="541"/>
      <c r="I3" s="541"/>
      <c r="J3" s="541"/>
      <c r="K3" s="541"/>
      <c r="L3" s="541"/>
    </row>
    <row r="4" spans="1:12" ht="12.6" customHeight="1" x14ac:dyDescent="0.2">
      <c r="A4" s="541"/>
      <c r="B4" s="541"/>
      <c r="C4" s="541"/>
      <c r="D4" s="541"/>
      <c r="E4" s="541"/>
      <c r="F4" s="541"/>
      <c r="G4" s="541"/>
      <c r="H4" s="541"/>
      <c r="I4" s="541"/>
      <c r="J4" s="541"/>
      <c r="K4" s="541"/>
      <c r="L4" s="541"/>
    </row>
    <row r="5" spans="1:12" ht="12.6" customHeight="1" x14ac:dyDescent="0.2">
      <c r="A5" s="541"/>
      <c r="B5" s="541"/>
      <c r="C5" s="541"/>
      <c r="D5" s="541"/>
      <c r="E5" s="541"/>
      <c r="F5" s="541"/>
      <c r="G5" s="541"/>
      <c r="H5" s="541"/>
      <c r="I5" s="541"/>
      <c r="J5" s="541"/>
      <c r="K5" s="541"/>
      <c r="L5" s="541"/>
    </row>
    <row r="6" spans="1:12" ht="12.6" customHeight="1" x14ac:dyDescent="0.2">
      <c r="A6" s="541"/>
      <c r="B6" s="541"/>
      <c r="C6" s="541"/>
      <c r="D6" s="541"/>
      <c r="E6" s="541"/>
      <c r="F6" s="541"/>
      <c r="G6" s="541"/>
      <c r="H6" s="541"/>
      <c r="I6" s="541"/>
      <c r="J6" s="541"/>
      <c r="K6" s="541"/>
      <c r="L6" s="541"/>
    </row>
    <row r="7" spans="1:12" ht="12.6" customHeight="1" x14ac:dyDescent="0.2">
      <c r="A7" s="541"/>
      <c r="B7" s="541"/>
      <c r="C7" s="541"/>
      <c r="D7" s="541"/>
      <c r="E7" s="541"/>
      <c r="F7" s="541"/>
      <c r="G7" s="541"/>
      <c r="H7" s="541"/>
      <c r="I7" s="541"/>
      <c r="J7" s="541"/>
      <c r="K7" s="541"/>
      <c r="L7" s="541"/>
    </row>
    <row r="8" spans="1:12" ht="12.6" customHeight="1" x14ac:dyDescent="0.2">
      <c r="A8" s="541"/>
      <c r="B8" s="541"/>
      <c r="C8" s="541"/>
      <c r="D8" s="541"/>
      <c r="E8" s="541"/>
      <c r="F8" s="541"/>
      <c r="G8" s="541"/>
      <c r="H8" s="541"/>
      <c r="I8" s="541"/>
      <c r="J8" s="541"/>
      <c r="K8" s="541"/>
      <c r="L8" s="541"/>
    </row>
    <row r="9" spans="1:12" ht="12.6" customHeight="1" x14ac:dyDescent="0.2">
      <c r="A9" s="541"/>
      <c r="B9" s="541"/>
      <c r="C9" s="541"/>
      <c r="D9" s="541"/>
      <c r="E9" s="541"/>
      <c r="F9" s="541"/>
      <c r="G9" s="541"/>
      <c r="H9" s="541"/>
      <c r="I9" s="541"/>
      <c r="J9" s="541"/>
      <c r="K9" s="541"/>
      <c r="L9" s="541"/>
    </row>
    <row r="10" spans="1:12" ht="12.6" customHeight="1" x14ac:dyDescent="0.2">
      <c r="A10" s="541"/>
      <c r="B10" s="541"/>
      <c r="C10" s="541"/>
      <c r="D10" s="541"/>
      <c r="E10" s="541"/>
      <c r="F10" s="541"/>
      <c r="G10" s="541"/>
      <c r="H10" s="541"/>
      <c r="I10" s="541"/>
      <c r="J10" s="541"/>
      <c r="K10" s="541"/>
      <c r="L10" s="541"/>
    </row>
    <row r="11" spans="1:12" ht="12.6" customHeight="1" x14ac:dyDescent="0.2">
      <c r="A11" s="541"/>
      <c r="B11" s="541"/>
      <c r="C11" s="541"/>
      <c r="D11" s="541"/>
      <c r="E11" s="541"/>
      <c r="F11" s="541"/>
      <c r="G11" s="541"/>
      <c r="H11" s="541"/>
      <c r="I11" s="541"/>
      <c r="J11" s="541"/>
      <c r="K11" s="541"/>
      <c r="L11" s="541"/>
    </row>
    <row r="12" spans="1:12" ht="12.6" customHeight="1" x14ac:dyDescent="0.2">
      <c r="A12" s="541"/>
      <c r="B12" s="541"/>
      <c r="C12" s="541"/>
      <c r="D12" s="541"/>
      <c r="E12" s="541"/>
      <c r="F12" s="541"/>
      <c r="G12" s="541"/>
      <c r="H12" s="541"/>
      <c r="I12" s="541"/>
      <c r="J12" s="541"/>
      <c r="K12" s="541"/>
      <c r="L12" s="541"/>
    </row>
    <row r="13" spans="1:12" s="547" customFormat="1" ht="21" x14ac:dyDescent="0.25">
      <c r="A13" s="548"/>
      <c r="B13" s="550" t="s">
        <v>919</v>
      </c>
      <c r="C13" s="549"/>
      <c r="D13" s="549"/>
      <c r="E13" s="549"/>
      <c r="F13" s="549"/>
      <c r="G13" s="549"/>
      <c r="H13" s="549"/>
      <c r="I13" s="549"/>
      <c r="J13" s="549"/>
      <c r="K13" s="549"/>
      <c r="L13" s="548"/>
    </row>
    <row r="14" spans="1:12" ht="12.6" customHeight="1" x14ac:dyDescent="0.2">
      <c r="A14" s="541"/>
      <c r="B14" s="546" t="s">
        <v>918</v>
      </c>
      <c r="C14" s="541"/>
      <c r="D14" s="541"/>
      <c r="E14" s="541"/>
      <c r="F14" s="541"/>
      <c r="G14" s="541"/>
      <c r="H14" s="541"/>
      <c r="I14" s="541"/>
      <c r="J14" s="541"/>
      <c r="K14" s="541"/>
      <c r="L14" s="541"/>
    </row>
    <row r="15" spans="1:12" ht="12.6" customHeight="1" x14ac:dyDescent="0.2">
      <c r="A15" s="541"/>
      <c r="B15" s="541"/>
      <c r="C15" s="541"/>
      <c r="D15" s="541"/>
      <c r="E15" s="541"/>
      <c r="F15" s="541"/>
      <c r="G15" s="541"/>
      <c r="H15" s="541"/>
      <c r="I15" s="541"/>
      <c r="J15" s="541"/>
      <c r="K15" s="541"/>
      <c r="L15" s="541"/>
    </row>
    <row r="16" spans="1:12" ht="12.6" customHeight="1" x14ac:dyDescent="0.2">
      <c r="A16" s="541"/>
      <c r="B16" s="545"/>
      <c r="C16" s="541"/>
      <c r="D16" s="541"/>
      <c r="E16" s="541"/>
      <c r="F16" s="541"/>
      <c r="G16" s="541"/>
      <c r="H16" s="541"/>
      <c r="I16" s="541"/>
      <c r="J16" s="541"/>
      <c r="K16" s="541"/>
      <c r="L16" s="541"/>
    </row>
    <row r="17" spans="1:12" ht="12.6" customHeight="1" x14ac:dyDescent="0.2">
      <c r="A17" s="541"/>
      <c r="B17" s="544"/>
      <c r="C17" s="541"/>
      <c r="D17" s="541"/>
      <c r="E17" s="541"/>
      <c r="F17" s="541"/>
      <c r="G17" s="541"/>
      <c r="H17" s="541"/>
      <c r="I17" s="541"/>
      <c r="J17" s="541"/>
      <c r="K17" s="541"/>
      <c r="L17" s="541"/>
    </row>
    <row r="18" spans="1:12" ht="12.6" customHeight="1" x14ac:dyDescent="0.2">
      <c r="A18" s="541"/>
      <c r="B18" s="544"/>
      <c r="C18" s="541"/>
      <c r="D18" s="541"/>
      <c r="E18" s="541"/>
      <c r="F18" s="541"/>
      <c r="G18" s="541"/>
      <c r="H18" s="541"/>
      <c r="I18" s="541"/>
      <c r="J18" s="541"/>
      <c r="K18" s="541"/>
      <c r="L18" s="541"/>
    </row>
    <row r="19" spans="1:12" ht="12.6" customHeight="1" x14ac:dyDescent="0.2">
      <c r="A19" s="541"/>
      <c r="B19" s="544"/>
      <c r="C19" s="541"/>
      <c r="D19" s="541"/>
      <c r="E19" s="541"/>
      <c r="F19" s="541"/>
      <c r="G19" s="541"/>
      <c r="H19" s="541"/>
      <c r="I19" s="541"/>
      <c r="J19" s="541"/>
      <c r="K19" s="541"/>
      <c r="L19" s="541"/>
    </row>
    <row r="20" spans="1:12" ht="12.6" customHeight="1" x14ac:dyDescent="0.2">
      <c r="A20" s="541"/>
      <c r="B20" s="543"/>
      <c r="C20" s="541"/>
      <c r="D20" s="541"/>
      <c r="E20" s="541"/>
      <c r="F20" s="541"/>
      <c r="G20" s="541"/>
      <c r="H20" s="541"/>
      <c r="I20" s="541"/>
      <c r="J20" s="541"/>
      <c r="K20" s="541"/>
      <c r="L20" s="541"/>
    </row>
    <row r="21" spans="1:12" x14ac:dyDescent="0.2">
      <c r="A21" s="541"/>
      <c r="B21" s="542"/>
      <c r="C21" s="541"/>
      <c r="D21" s="541"/>
      <c r="E21" s="541"/>
      <c r="F21" s="541"/>
      <c r="G21" s="541"/>
      <c r="H21" s="541"/>
      <c r="I21" s="541"/>
      <c r="J21" s="541"/>
      <c r="K21" s="541"/>
      <c r="L21" s="541"/>
    </row>
  </sheetData>
  <pageMargins left="0.25" right="0.25" top="0.75" bottom="0.75" header="0.3" footer="0.3"/>
  <pageSetup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1771B-FA5A-4440-BF18-8F90392A06ED}">
  <sheetPr>
    <tabColor theme="8" tint="0.79998168889431442"/>
    <pageSetUpPr fitToPage="1"/>
  </sheetPr>
  <dimension ref="A1:G132"/>
  <sheetViews>
    <sheetView showGridLines="0" zoomScale="60" zoomScaleNormal="60" zoomScaleSheetLayoutView="85" workbookViewId="0">
      <selection activeCell="R36" sqref="R36"/>
    </sheetView>
  </sheetViews>
  <sheetFormatPr defaultColWidth="8" defaultRowHeight="15" x14ac:dyDescent="0.25"/>
  <cols>
    <col min="1" max="1" width="1.5703125" style="551" customWidth="1"/>
    <col min="2" max="2" width="124.5703125" style="551" bestFit="1" customWidth="1"/>
    <col min="3" max="3" width="8" style="551" customWidth="1"/>
    <col min="4" max="6" width="8" style="551"/>
    <col min="7" max="7" width="2.5703125" style="551" customWidth="1"/>
    <col min="8" max="16384" width="8" style="551"/>
  </cols>
  <sheetData>
    <row r="1" spans="1:7" s="566" customFormat="1" ht="12.2" customHeight="1" x14ac:dyDescent="0.2">
      <c r="A1" s="566" t="s">
        <v>90</v>
      </c>
      <c r="B1" s="572"/>
    </row>
    <row r="2" spans="1:7" s="566" customFormat="1" ht="16.5" thickBot="1" x14ac:dyDescent="0.3">
      <c r="B2" s="571" t="s">
        <v>806</v>
      </c>
      <c r="C2" s="571"/>
      <c r="D2" s="571"/>
      <c r="E2" s="571"/>
      <c r="F2" s="571"/>
      <c r="G2" s="571"/>
    </row>
    <row r="3" spans="1:7" s="566" customFormat="1" ht="12.2" customHeight="1" x14ac:dyDescent="0.35">
      <c r="B3" s="570" t="s">
        <v>920</v>
      </c>
      <c r="C3" s="569"/>
    </row>
    <row r="4" spans="1:7" s="566" customFormat="1" ht="12.2" customHeight="1" x14ac:dyDescent="0.25">
      <c r="B4" s="568"/>
      <c r="C4" s="567"/>
    </row>
    <row r="5" spans="1:7" s="553" customFormat="1" ht="12.75" x14ac:dyDescent="0.2">
      <c r="B5" s="556"/>
      <c r="C5" s="554"/>
    </row>
    <row r="6" spans="1:7" s="553" customFormat="1" ht="12.75" x14ac:dyDescent="0.2">
      <c r="B6" s="555"/>
      <c r="C6" s="554"/>
    </row>
    <row r="7" spans="1:7" s="553" customFormat="1" ht="12.75" x14ac:dyDescent="0.2">
      <c r="B7" s="555"/>
      <c r="C7" s="554"/>
    </row>
    <row r="8" spans="1:7" s="553" customFormat="1" ht="12.75" x14ac:dyDescent="0.2">
      <c r="B8" s="564"/>
      <c r="C8" s="554"/>
    </row>
    <row r="9" spans="1:7" s="553" customFormat="1" ht="12.75" x14ac:dyDescent="0.2">
      <c r="B9" s="555"/>
      <c r="C9" s="554"/>
      <c r="E9" s="565"/>
    </row>
    <row r="10" spans="1:7" s="553" customFormat="1" ht="12.75" x14ac:dyDescent="0.2">
      <c r="B10" s="564"/>
      <c r="C10" s="554"/>
    </row>
    <row r="11" spans="1:7" s="553" customFormat="1" ht="12.75" x14ac:dyDescent="0.2">
      <c r="B11" s="564"/>
      <c r="C11" s="554"/>
    </row>
    <row r="12" spans="1:7" s="553" customFormat="1" ht="12.75" x14ac:dyDescent="0.2">
      <c r="B12" s="555"/>
      <c r="C12" s="554"/>
    </row>
    <row r="13" spans="1:7" s="553" customFormat="1" ht="12.95" customHeight="1" x14ac:dyDescent="0.2">
      <c r="B13" s="555"/>
      <c r="C13" s="554"/>
    </row>
    <row r="14" spans="1:7" s="553" customFormat="1" ht="12.95" customHeight="1" x14ac:dyDescent="0.2">
      <c r="B14" s="556"/>
      <c r="C14" s="554"/>
    </row>
    <row r="15" spans="1:7" s="553" customFormat="1" ht="12.75" x14ac:dyDescent="0.2">
      <c r="B15" s="559"/>
      <c r="C15" s="563"/>
    </row>
    <row r="16" spans="1:7" s="553" customFormat="1" ht="12.75" x14ac:dyDescent="0.2">
      <c r="B16" s="555"/>
      <c r="C16" s="554"/>
    </row>
    <row r="17" spans="2:3" s="553" customFormat="1" ht="12.75" x14ac:dyDescent="0.2">
      <c r="B17" s="555"/>
      <c r="C17" s="554"/>
    </row>
    <row r="18" spans="2:3" s="553" customFormat="1" ht="12.75" x14ac:dyDescent="0.2">
      <c r="B18" s="559"/>
      <c r="C18" s="554"/>
    </row>
    <row r="19" spans="2:3" s="553" customFormat="1" ht="12.95" customHeight="1" x14ac:dyDescent="0.2">
      <c r="B19" s="562"/>
      <c r="C19" s="554"/>
    </row>
    <row r="20" spans="2:3" s="553" customFormat="1" ht="12.95" customHeight="1" x14ac:dyDescent="0.2">
      <c r="B20" s="556"/>
      <c r="C20" s="554"/>
    </row>
    <row r="21" spans="2:3" s="553" customFormat="1" ht="12.95" customHeight="1" x14ac:dyDescent="0.2">
      <c r="B21" s="558"/>
      <c r="C21" s="554"/>
    </row>
    <row r="22" spans="2:3" s="553" customFormat="1" ht="12.75" x14ac:dyDescent="0.2">
      <c r="B22" s="558"/>
      <c r="C22" s="554"/>
    </row>
    <row r="23" spans="2:3" s="553" customFormat="1" ht="12.95" customHeight="1" x14ac:dyDescent="0.2">
      <c r="B23" s="555"/>
      <c r="C23" s="554"/>
    </row>
    <row r="24" spans="2:3" s="553" customFormat="1" ht="12.95" customHeight="1" x14ac:dyDescent="0.2">
      <c r="B24" s="561"/>
      <c r="C24" s="554"/>
    </row>
    <row r="25" spans="2:3" s="553" customFormat="1" ht="12.95" customHeight="1" x14ac:dyDescent="0.2">
      <c r="B25" s="556"/>
      <c r="C25" s="554"/>
    </row>
    <row r="26" spans="2:3" s="553" customFormat="1" ht="12.95" customHeight="1" x14ac:dyDescent="0.2">
      <c r="B26" s="560"/>
      <c r="C26" s="554"/>
    </row>
    <row r="27" spans="2:3" s="553" customFormat="1" ht="12.95" customHeight="1" x14ac:dyDescent="0.2">
      <c r="B27" s="555"/>
      <c r="C27" s="554"/>
    </row>
    <row r="28" spans="2:3" s="553" customFormat="1" ht="12.95" customHeight="1" x14ac:dyDescent="0.2">
      <c r="B28" s="556"/>
      <c r="C28" s="554"/>
    </row>
    <row r="29" spans="2:3" s="553" customFormat="1" ht="12.95" customHeight="1" x14ac:dyDescent="0.2">
      <c r="B29" s="558"/>
      <c r="C29" s="554"/>
    </row>
    <row r="30" spans="2:3" s="553" customFormat="1" ht="26.45" customHeight="1" x14ac:dyDescent="0.2">
      <c r="B30" s="559"/>
      <c r="C30" s="554"/>
    </row>
    <row r="31" spans="2:3" s="553" customFormat="1" ht="12.95" customHeight="1" x14ac:dyDescent="0.2">
      <c r="B31" s="555"/>
      <c r="C31" s="554"/>
    </row>
    <row r="32" spans="2:3" s="553" customFormat="1" ht="12.75" x14ac:dyDescent="0.2">
      <c r="B32" s="555"/>
      <c r="C32" s="554"/>
    </row>
    <row r="33" spans="2:3" s="553" customFormat="1" ht="12.95" customHeight="1" x14ac:dyDescent="0.2">
      <c r="B33" s="556"/>
      <c r="C33" s="554"/>
    </row>
    <row r="34" spans="2:3" s="553" customFormat="1" ht="12.95" customHeight="1" x14ac:dyDescent="0.2">
      <c r="B34" s="558"/>
      <c r="C34" s="554"/>
    </row>
    <row r="35" spans="2:3" s="553" customFormat="1" ht="12.95" customHeight="1" x14ac:dyDescent="0.2">
      <c r="B35" s="557"/>
      <c r="C35" s="554"/>
    </row>
    <row r="36" spans="2:3" s="553" customFormat="1" ht="12.95" customHeight="1" x14ac:dyDescent="0.2">
      <c r="B36" s="556"/>
      <c r="C36" s="554"/>
    </row>
    <row r="37" spans="2:3" s="553" customFormat="1" ht="12.95" customHeight="1" x14ac:dyDescent="0.2">
      <c r="B37" s="555"/>
      <c r="C37" s="554"/>
    </row>
    <row r="38" spans="2:3" s="552" customFormat="1" ht="12.95" customHeight="1" x14ac:dyDescent="0.2"/>
    <row r="39" spans="2:3" s="552" customFormat="1" ht="12.95" customHeight="1" x14ac:dyDescent="0.2"/>
    <row r="40" spans="2:3" s="552" customFormat="1" ht="12.95" customHeight="1" x14ac:dyDescent="0.2"/>
    <row r="41" spans="2:3" s="552" customFormat="1" ht="15" customHeight="1" x14ac:dyDescent="0.2"/>
    <row r="42" spans="2:3" s="552" customFormat="1" ht="15" customHeight="1" x14ac:dyDescent="0.2"/>
    <row r="43" spans="2:3" s="552" customFormat="1" ht="15" customHeight="1" x14ac:dyDescent="0.2"/>
    <row r="44" spans="2:3" s="552" customFormat="1" ht="15" customHeight="1" x14ac:dyDescent="0.2"/>
    <row r="45" spans="2:3" s="552" customFormat="1" ht="15" customHeight="1" x14ac:dyDescent="0.2"/>
    <row r="46" spans="2:3" s="552" customFormat="1" ht="15" customHeight="1" x14ac:dyDescent="0.2"/>
    <row r="47" spans="2:3" s="552" customFormat="1" ht="15" customHeight="1" x14ac:dyDescent="0.2"/>
    <row r="48" spans="2:3" s="552" customFormat="1" ht="11.25" x14ac:dyDescent="0.2"/>
    <row r="49" s="552" customFormat="1" ht="11.25" x14ac:dyDescent="0.2"/>
    <row r="50" s="552" customFormat="1" ht="11.25" x14ac:dyDescent="0.2"/>
    <row r="51" s="552" customFormat="1" ht="11.25" x14ac:dyDescent="0.2"/>
    <row r="52" s="552" customFormat="1" ht="11.25" x14ac:dyDescent="0.2"/>
    <row r="53" s="552" customFormat="1" ht="11.25" x14ac:dyDescent="0.2"/>
    <row r="54" s="552" customFormat="1" ht="11.25" x14ac:dyDescent="0.2"/>
    <row r="55" s="552" customFormat="1" ht="11.25" x14ac:dyDescent="0.2"/>
    <row r="56" s="552" customFormat="1" ht="11.25" x14ac:dyDescent="0.2"/>
    <row r="57" s="552" customFormat="1" ht="11.25" x14ac:dyDescent="0.2"/>
    <row r="58" s="552" customFormat="1" ht="11.25" x14ac:dyDescent="0.2"/>
    <row r="59" s="552" customFormat="1" ht="11.25" x14ac:dyDescent="0.2"/>
    <row r="60" s="552" customFormat="1" ht="11.25" x14ac:dyDescent="0.2"/>
    <row r="61" s="552" customFormat="1" ht="11.25" x14ac:dyDescent="0.2"/>
    <row r="62" s="552" customFormat="1" ht="11.25" x14ac:dyDescent="0.2"/>
    <row r="63" s="552" customFormat="1" ht="11.25" x14ac:dyDescent="0.2"/>
    <row r="64" s="552" customFormat="1" ht="11.25" x14ac:dyDescent="0.2"/>
    <row r="65" s="552" customFormat="1" ht="11.25" x14ac:dyDescent="0.2"/>
    <row r="66" s="552" customFormat="1" ht="11.25" x14ac:dyDescent="0.2"/>
    <row r="67" s="552" customFormat="1" ht="11.25" x14ac:dyDescent="0.2"/>
    <row r="68" s="552" customFormat="1" ht="11.25" x14ac:dyDescent="0.2"/>
    <row r="69" s="552" customFormat="1" ht="11.25" x14ac:dyDescent="0.2"/>
    <row r="70" s="552" customFormat="1" ht="11.25" x14ac:dyDescent="0.2"/>
    <row r="71" s="552" customFormat="1" ht="11.25" x14ac:dyDescent="0.2"/>
    <row r="72" s="552" customFormat="1" ht="11.25" x14ac:dyDescent="0.2"/>
    <row r="73" s="552" customFormat="1" ht="11.25" x14ac:dyDescent="0.2"/>
    <row r="74" s="552" customFormat="1" ht="11.25" x14ac:dyDescent="0.2"/>
    <row r="75" s="552" customFormat="1" ht="11.25" x14ac:dyDescent="0.2"/>
    <row r="76" s="552" customFormat="1" ht="11.25" x14ac:dyDescent="0.2"/>
    <row r="77" s="552" customFormat="1" ht="11.25" x14ac:dyDescent="0.2"/>
    <row r="78" s="552" customFormat="1" ht="11.25" x14ac:dyDescent="0.2"/>
    <row r="79" s="552" customFormat="1" ht="11.25" x14ac:dyDescent="0.2"/>
    <row r="80" s="552" customFormat="1" ht="11.25" x14ac:dyDescent="0.2"/>
    <row r="81" s="552" customFormat="1" ht="11.25" x14ac:dyDescent="0.2"/>
    <row r="82" s="552" customFormat="1" ht="11.25" x14ac:dyDescent="0.2"/>
    <row r="83" s="552" customFormat="1" ht="11.25" x14ac:dyDescent="0.2"/>
    <row r="84" s="552" customFormat="1" ht="11.25" x14ac:dyDescent="0.2"/>
    <row r="85" s="552" customFormat="1" ht="11.25" x14ac:dyDescent="0.2"/>
    <row r="86" s="552" customFormat="1" ht="11.25" x14ac:dyDescent="0.2"/>
    <row r="87" s="552" customFormat="1" ht="11.25" x14ac:dyDescent="0.2"/>
    <row r="88" s="552" customFormat="1" ht="11.25" x14ac:dyDescent="0.2"/>
    <row r="89" s="552" customFormat="1" ht="11.25" x14ac:dyDescent="0.2"/>
    <row r="90" s="552" customFormat="1" ht="11.25" x14ac:dyDescent="0.2"/>
    <row r="91" s="552" customFormat="1" ht="11.25" x14ac:dyDescent="0.2"/>
    <row r="92" s="552" customFormat="1" ht="11.25" x14ac:dyDescent="0.2"/>
    <row r="93" s="552" customFormat="1" ht="11.25" x14ac:dyDescent="0.2"/>
    <row r="94" s="552" customFormat="1" ht="11.25" x14ac:dyDescent="0.2"/>
    <row r="95" s="552" customFormat="1" ht="11.25" x14ac:dyDescent="0.2"/>
    <row r="96" s="552" customFormat="1" ht="11.25" x14ac:dyDescent="0.2"/>
    <row r="97" s="552" customFormat="1" ht="11.25" x14ac:dyDescent="0.2"/>
    <row r="98" s="552" customFormat="1" ht="11.25" x14ac:dyDescent="0.2"/>
    <row r="99" s="552" customFormat="1" ht="11.25" x14ac:dyDescent="0.2"/>
    <row r="100" s="552" customFormat="1" ht="11.25" x14ac:dyDescent="0.2"/>
    <row r="101" s="552" customFormat="1" ht="11.25" x14ac:dyDescent="0.2"/>
    <row r="102" s="552" customFormat="1" ht="11.25" x14ac:dyDescent="0.2"/>
    <row r="103" s="552" customFormat="1" ht="11.25" x14ac:dyDescent="0.2"/>
    <row r="104" s="552" customFormat="1" ht="11.25" x14ac:dyDescent="0.2"/>
    <row r="105" s="552" customFormat="1" ht="11.25" x14ac:dyDescent="0.2"/>
    <row r="106" s="552" customFormat="1" ht="11.25" x14ac:dyDescent="0.2"/>
    <row r="107" s="552" customFormat="1" ht="11.25" x14ac:dyDescent="0.2"/>
    <row r="108" s="552" customFormat="1" ht="11.25" x14ac:dyDescent="0.2"/>
    <row r="109" s="552" customFormat="1" ht="11.25" x14ac:dyDescent="0.2"/>
    <row r="110" s="552" customFormat="1" ht="11.25" x14ac:dyDescent="0.2"/>
    <row r="111" s="552" customFormat="1" ht="11.25" x14ac:dyDescent="0.2"/>
    <row r="112" s="552" customFormat="1" ht="11.25" x14ac:dyDescent="0.2"/>
    <row r="113" s="552" customFormat="1" ht="11.25" x14ac:dyDescent="0.2"/>
    <row r="114" s="552" customFormat="1" ht="11.25" x14ac:dyDescent="0.2"/>
    <row r="115" s="552" customFormat="1" ht="11.25" x14ac:dyDescent="0.2"/>
    <row r="116" s="552" customFormat="1" ht="11.25" x14ac:dyDescent="0.2"/>
    <row r="117" s="552" customFormat="1" ht="11.25" x14ac:dyDescent="0.2"/>
    <row r="118" s="552" customFormat="1" ht="11.25" x14ac:dyDescent="0.2"/>
    <row r="119" s="552" customFormat="1" ht="11.25" x14ac:dyDescent="0.2"/>
    <row r="120" s="552" customFormat="1" ht="11.25" x14ac:dyDescent="0.2"/>
    <row r="121" s="552" customFormat="1" ht="11.25" x14ac:dyDescent="0.2"/>
    <row r="122" s="552" customFormat="1" ht="11.25" x14ac:dyDescent="0.2"/>
    <row r="123" s="552" customFormat="1" ht="11.25" x14ac:dyDescent="0.2"/>
    <row r="124" s="552" customFormat="1" ht="11.25" x14ac:dyDescent="0.2"/>
    <row r="125" s="552" customFormat="1" ht="11.25" x14ac:dyDescent="0.2"/>
    <row r="126" s="552" customFormat="1" ht="11.25" x14ac:dyDescent="0.2"/>
    <row r="127" s="552" customFormat="1" ht="11.25" x14ac:dyDescent="0.2"/>
    <row r="128" s="552" customFormat="1" ht="11.25" x14ac:dyDescent="0.2"/>
    <row r="129" s="552" customFormat="1" ht="11.25" x14ac:dyDescent="0.2"/>
    <row r="130" s="552" customFormat="1" ht="11.25" x14ac:dyDescent="0.2"/>
    <row r="131" s="552" customFormat="1" ht="11.25" x14ac:dyDescent="0.2"/>
    <row r="132" s="552" customFormat="1" ht="11.25" x14ac:dyDescent="0.2"/>
  </sheetData>
  <pageMargins left="0.7" right="0.7" top="0.75" bottom="0.75" header="0.3" footer="0.3"/>
  <pageSetup scale="68"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67893-3B9A-4F95-88EB-62F61589F8DC}">
  <sheetPr>
    <tabColor rgb="FFDDEBF7"/>
    <pageSetUpPr fitToPage="1"/>
  </sheetPr>
  <dimension ref="A1:AB99"/>
  <sheetViews>
    <sheetView showGridLines="0" view="pageBreakPreview" zoomScaleNormal="85" zoomScaleSheetLayoutView="100" workbookViewId="0">
      <selection activeCell="R36" sqref="R36"/>
    </sheetView>
  </sheetViews>
  <sheetFormatPr defaultColWidth="8.42578125" defaultRowHeight="12.75" x14ac:dyDescent="0.2"/>
  <cols>
    <col min="1" max="1" width="1.5703125" style="566" customWidth="1"/>
    <col min="2" max="2" width="38.42578125" style="566" bestFit="1" customWidth="1"/>
    <col min="3" max="3" width="1.42578125" style="566" customWidth="1"/>
    <col min="4" max="7" width="8.42578125" style="566" customWidth="1"/>
    <col min="8" max="10" width="8.42578125" style="566"/>
    <col min="11" max="11" width="46.85546875" style="566" bestFit="1" customWidth="1"/>
    <col min="12" max="12" width="1.42578125" style="566" customWidth="1"/>
    <col min="13" max="16" width="8.42578125" style="566" customWidth="1"/>
    <col min="17" max="19" width="8.42578125" style="566"/>
    <col min="20" max="20" width="28" style="566" bestFit="1" customWidth="1"/>
    <col min="21" max="21" width="1.42578125" style="566" customWidth="1"/>
    <col min="22" max="27" width="8.5703125" style="566" customWidth="1"/>
    <col min="28" max="28" width="1.5703125" style="566" customWidth="1"/>
    <col min="29" max="16384" width="8.42578125" style="566"/>
  </cols>
  <sheetData>
    <row r="1" spans="1:28" ht="12" customHeight="1" x14ac:dyDescent="0.2">
      <c r="A1" s="566" t="s">
        <v>90</v>
      </c>
      <c r="B1" s="572"/>
    </row>
    <row r="2" spans="1:28" ht="16.5" thickBot="1" x14ac:dyDescent="0.3">
      <c r="B2" s="571" t="s">
        <v>806</v>
      </c>
      <c r="C2" s="571"/>
      <c r="D2" s="571"/>
      <c r="E2" s="571"/>
      <c r="F2" s="571"/>
      <c r="G2" s="571"/>
      <c r="H2" s="571"/>
      <c r="I2" s="571"/>
      <c r="J2" s="571"/>
      <c r="K2" s="571"/>
      <c r="L2" s="571"/>
      <c r="M2" s="571"/>
      <c r="N2" s="571"/>
      <c r="O2" s="571"/>
      <c r="P2" s="571"/>
      <c r="Q2" s="571"/>
      <c r="R2" s="571"/>
      <c r="S2" s="571"/>
      <c r="T2" s="571"/>
      <c r="U2" s="571"/>
      <c r="V2" s="571"/>
      <c r="W2" s="571"/>
      <c r="X2" s="571"/>
      <c r="Y2" s="571"/>
      <c r="Z2" s="571"/>
      <c r="AA2" s="571"/>
      <c r="AB2" s="571"/>
    </row>
    <row r="3" spans="1:28" ht="12" customHeight="1" x14ac:dyDescent="0.35">
      <c r="B3" s="570" t="s">
        <v>853</v>
      </c>
      <c r="C3" s="569"/>
      <c r="R3" s="644"/>
      <c r="S3" s="644"/>
      <c r="T3" s="644"/>
      <c r="U3" s="644"/>
      <c r="V3" s="644"/>
      <c r="W3" s="644"/>
      <c r="X3" s="644"/>
      <c r="Y3" s="644"/>
      <c r="Z3" s="644"/>
      <c r="AA3" s="644"/>
      <c r="AB3" s="644"/>
    </row>
    <row r="4" spans="1:28" ht="12" customHeight="1" x14ac:dyDescent="0.25">
      <c r="B4" s="568" t="s">
        <v>987</v>
      </c>
      <c r="C4" s="567"/>
      <c r="R4" s="644"/>
      <c r="S4" s="644"/>
      <c r="T4" s="644"/>
      <c r="U4" s="644"/>
      <c r="V4" s="644"/>
      <c r="W4" s="644"/>
      <c r="X4" s="644"/>
      <c r="Y4" s="644"/>
      <c r="Z4" s="644"/>
      <c r="AA4" s="644"/>
      <c r="AB4" s="644"/>
    </row>
    <row r="5" spans="1:28" ht="12" customHeight="1" x14ac:dyDescent="0.2">
      <c r="B5" s="568" t="s">
        <v>983</v>
      </c>
      <c r="C5" s="643"/>
    </row>
    <row r="6" spans="1:28" ht="12.75" customHeight="1" x14ac:dyDescent="0.2">
      <c r="C6" s="642"/>
      <c r="E6" s="641"/>
    </row>
    <row r="7" spans="1:28" ht="12.75" customHeight="1" x14ac:dyDescent="0.2"/>
    <row r="8" spans="1:28" ht="12.75" customHeight="1" x14ac:dyDescent="0.35">
      <c r="B8" s="638" t="s">
        <v>986</v>
      </c>
      <c r="C8" s="638"/>
      <c r="D8" s="638"/>
      <c r="E8" s="638"/>
      <c r="F8" s="638"/>
      <c r="G8" s="638"/>
      <c r="H8" s="638"/>
      <c r="I8" s="638"/>
      <c r="K8" s="638" t="s">
        <v>985</v>
      </c>
      <c r="L8" s="638"/>
      <c r="M8" s="638"/>
      <c r="N8" s="638"/>
      <c r="O8" s="638"/>
      <c r="P8" s="638"/>
      <c r="Q8" s="638"/>
      <c r="R8" s="638"/>
      <c r="T8" s="638" t="s">
        <v>984</v>
      </c>
      <c r="U8" s="638"/>
      <c r="V8" s="638"/>
      <c r="W8" s="638"/>
      <c r="X8" s="638"/>
      <c r="Y8" s="638"/>
      <c r="Z8" s="638"/>
      <c r="AA8" s="638"/>
    </row>
    <row r="9" spans="1:28" ht="4.5" customHeight="1" x14ac:dyDescent="0.2">
      <c r="B9" s="640"/>
      <c r="C9" s="640"/>
      <c r="D9" s="639"/>
      <c r="E9" s="639"/>
      <c r="F9" s="639"/>
      <c r="G9" s="639"/>
      <c r="H9" s="639"/>
      <c r="I9" s="639"/>
      <c r="K9" s="640"/>
      <c r="L9" s="639"/>
      <c r="M9" s="639"/>
      <c r="N9" s="639"/>
      <c r="O9" s="639"/>
      <c r="P9" s="639"/>
      <c r="Q9" s="639"/>
      <c r="R9" s="639"/>
      <c r="T9" s="640"/>
      <c r="U9" s="640"/>
      <c r="V9" s="640"/>
      <c r="W9" s="640"/>
      <c r="X9" s="640"/>
      <c r="Y9" s="639"/>
      <c r="Z9" s="639"/>
      <c r="AA9" s="639"/>
    </row>
    <row r="10" spans="1:28" ht="15" customHeight="1" x14ac:dyDescent="0.35">
      <c r="D10" s="638" t="s">
        <v>983</v>
      </c>
      <c r="E10" s="638"/>
      <c r="F10" s="638"/>
      <c r="G10" s="638"/>
      <c r="H10" s="638"/>
      <c r="I10" s="638"/>
      <c r="M10" s="638" t="s">
        <v>983</v>
      </c>
      <c r="N10" s="638"/>
      <c r="O10" s="638"/>
      <c r="P10" s="638"/>
      <c r="Q10" s="638"/>
      <c r="R10" s="638"/>
      <c r="V10" s="638" t="s">
        <v>983</v>
      </c>
      <c r="W10" s="638"/>
      <c r="X10" s="638"/>
      <c r="Y10" s="638"/>
      <c r="Z10" s="638"/>
      <c r="AA10" s="638"/>
    </row>
    <row r="11" spans="1:28" ht="15" customHeight="1" x14ac:dyDescent="0.2">
      <c r="B11" s="637"/>
      <c r="C11" s="637"/>
      <c r="D11" s="636" t="s">
        <v>982</v>
      </c>
      <c r="E11" s="636" t="s">
        <v>981</v>
      </c>
      <c r="F11" s="636" t="s">
        <v>980</v>
      </c>
      <c r="G11" s="636" t="s">
        <v>979</v>
      </c>
      <c r="H11" s="636" t="s">
        <v>978</v>
      </c>
      <c r="I11" s="636" t="s">
        <v>977</v>
      </c>
      <c r="K11" s="637"/>
      <c r="M11" s="636" t="s">
        <v>982</v>
      </c>
      <c r="N11" s="636" t="s">
        <v>981</v>
      </c>
      <c r="O11" s="636" t="s">
        <v>980</v>
      </c>
      <c r="P11" s="636" t="s">
        <v>979</v>
      </c>
      <c r="Q11" s="636" t="s">
        <v>978</v>
      </c>
      <c r="R11" s="636" t="s">
        <v>977</v>
      </c>
      <c r="T11" s="637"/>
      <c r="V11" s="636" t="s">
        <v>982</v>
      </c>
      <c r="W11" s="636" t="s">
        <v>981</v>
      </c>
      <c r="X11" s="636" t="s">
        <v>980</v>
      </c>
      <c r="Y11" s="636" t="s">
        <v>979</v>
      </c>
      <c r="Z11" s="636" t="s">
        <v>978</v>
      </c>
      <c r="AA11" s="636" t="s">
        <v>977</v>
      </c>
    </row>
    <row r="12" spans="1:28" ht="7.5" customHeight="1" x14ac:dyDescent="0.2"/>
    <row r="13" spans="1:28" s="578" customFormat="1" ht="12.75" customHeight="1" x14ac:dyDescent="0.25">
      <c r="B13" s="612" t="s">
        <v>976</v>
      </c>
      <c r="C13" s="612"/>
      <c r="D13" s="612"/>
      <c r="E13" s="612"/>
      <c r="F13" s="612"/>
      <c r="G13" s="612"/>
      <c r="H13" s="612"/>
      <c r="I13" s="612"/>
      <c r="K13" s="612" t="s">
        <v>956</v>
      </c>
      <c r="L13" s="612"/>
      <c r="M13" s="612"/>
      <c r="N13" s="612"/>
      <c r="O13" s="612"/>
      <c r="P13" s="612"/>
      <c r="Q13" s="612"/>
      <c r="R13" s="612"/>
      <c r="T13" s="635" t="s">
        <v>343</v>
      </c>
    </row>
    <row r="14" spans="1:28" s="578" customFormat="1" ht="12.75" customHeight="1" x14ac:dyDescent="0.25">
      <c r="O14" s="618"/>
      <c r="P14" s="618"/>
      <c r="Q14" s="618"/>
      <c r="R14" s="618"/>
      <c r="T14" s="597" t="str">
        <f>'Bookings Build'!B13</f>
        <v>Inbound</v>
      </c>
      <c r="V14" s="626">
        <f>'Bookings Build'!AD13</f>
        <v>1461.531959999998</v>
      </c>
      <c r="W14" s="626">
        <f>'Bookings Build'!AE13</f>
        <v>2656.029359999995</v>
      </c>
      <c r="X14" s="626">
        <f>'Bookings Build'!AF13</f>
        <v>3866.6103999999887</v>
      </c>
      <c r="Y14" s="626">
        <f>'Bookings Build'!AG13</f>
        <v>6472.6095208040006</v>
      </c>
      <c r="Z14" s="626">
        <f>'Bookings Build'!AH13</f>
        <v>6688.6355018124214</v>
      </c>
      <c r="AA14" s="626">
        <f>'Bookings Build'!AI13</f>
        <v>7101.7005890774653</v>
      </c>
    </row>
    <row r="15" spans="1:28" s="578" customFormat="1" ht="12.75" customHeight="1" x14ac:dyDescent="0.2">
      <c r="B15" s="608" t="s">
        <v>853</v>
      </c>
      <c r="K15" s="582" t="s">
        <v>10</v>
      </c>
      <c r="L15" s="634"/>
      <c r="M15" s="576">
        <f>'Expense Build'!AC49</f>
        <v>7</v>
      </c>
      <c r="N15" s="576">
        <f>'Expense Build'!AD49</f>
        <v>21</v>
      </c>
      <c r="O15" s="576">
        <f>'Expense Build'!AE49</f>
        <v>27</v>
      </c>
      <c r="P15" s="576">
        <f>'Expense Build'!AF49</f>
        <v>45</v>
      </c>
      <c r="Q15" s="576">
        <f>'Expense Build'!AG49</f>
        <v>35</v>
      </c>
      <c r="R15" s="576">
        <f>'Expense Build'!AH49</f>
        <v>35</v>
      </c>
      <c r="T15" s="597" t="str">
        <f>'Bookings Build'!B14</f>
        <v>Outbound</v>
      </c>
      <c r="V15" s="626">
        <f>'Bookings Build'!AD14</f>
        <v>1.1879999999999999</v>
      </c>
      <c r="W15" s="626">
        <f>'Bookings Build'!AE14</f>
        <v>130.03199999999998</v>
      </c>
      <c r="X15" s="626">
        <f>'Bookings Build'!AF14</f>
        <v>397.27595999999994</v>
      </c>
      <c r="Y15" s="626">
        <f>'Bookings Build'!AG14</f>
        <v>1343.1409273499999</v>
      </c>
      <c r="Z15" s="626">
        <f>'Bookings Build'!AH14</f>
        <v>601.97349525976949</v>
      </c>
      <c r="AA15" s="626">
        <f>'Bookings Build'!AI14</f>
        <v>516.82225379871738</v>
      </c>
    </row>
    <row r="16" spans="1:28" s="578" customFormat="1" ht="12.75" customHeight="1" x14ac:dyDescent="0.25">
      <c r="B16" s="597" t="s">
        <v>975</v>
      </c>
      <c r="D16" s="633"/>
      <c r="E16" s="576">
        <f>'Bookings Build'!AE58</f>
        <v>2822</v>
      </c>
      <c r="F16" s="576">
        <f>'Bookings Build'!AF58</f>
        <v>7008</v>
      </c>
      <c r="G16" s="576">
        <f>'Bookings Build'!AG58</f>
        <v>7177</v>
      </c>
      <c r="H16" s="576">
        <f>'Bookings Build'!AH58</f>
        <v>6000</v>
      </c>
      <c r="I16" s="576">
        <f>'Bookings Build'!AI58</f>
        <v>6000</v>
      </c>
      <c r="K16" s="582" t="s">
        <v>11</v>
      </c>
      <c r="M16" s="576">
        <f>'Expense Build'!AC50</f>
        <v>3</v>
      </c>
      <c r="N16" s="576">
        <f>'Expense Build'!AD50</f>
        <v>10</v>
      </c>
      <c r="O16" s="576">
        <f>'Expense Build'!AE50</f>
        <v>14</v>
      </c>
      <c r="P16" s="576">
        <f>'Expense Build'!AF50</f>
        <v>20</v>
      </c>
      <c r="Q16" s="576">
        <f>'Expense Build'!AG50</f>
        <v>19</v>
      </c>
      <c r="R16" s="576">
        <f>'Expense Build'!AH50</f>
        <v>19</v>
      </c>
      <c r="T16" s="597" t="str">
        <f>'Bookings Build'!B15</f>
        <v>Tradeshow</v>
      </c>
      <c r="V16" s="632">
        <f>'Bookings Build'!AD15</f>
        <v>51.996000000000002</v>
      </c>
      <c r="W16" s="632">
        <f>'Bookings Build'!AE15</f>
        <v>584.16516000000001</v>
      </c>
      <c r="X16" s="632">
        <f>'Bookings Build'!AF15</f>
        <v>624.52163999999982</v>
      </c>
      <c r="Y16" s="632">
        <f>'Bookings Build'!AG15</f>
        <v>858.80407079999998</v>
      </c>
      <c r="Z16" s="632">
        <f>'Bookings Build'!AH15</f>
        <v>388.39618585061862</v>
      </c>
      <c r="AA16" s="632">
        <f>'Bookings Build'!AI15</f>
        <v>0</v>
      </c>
    </row>
    <row r="17" spans="2:27" s="578" customFormat="1" ht="12.75" customHeight="1" x14ac:dyDescent="0.2">
      <c r="B17" s="631" t="s">
        <v>974</v>
      </c>
      <c r="D17" s="611"/>
      <c r="E17" s="614" t="str">
        <f>'Bookings Build'!AE59</f>
        <v>n/a</v>
      </c>
      <c r="F17" s="630">
        <f>'Bookings Build'!AF59</f>
        <v>1.4833451452870303</v>
      </c>
      <c r="G17" s="630">
        <f>'Bookings Build'!AG59</f>
        <v>2.4115296803652875E-2</v>
      </c>
      <c r="H17" s="630">
        <f>'Bookings Build'!AH59</f>
        <v>-0.16399609864846032</v>
      </c>
      <c r="I17" s="630">
        <f>'Bookings Build'!AI59</f>
        <v>0</v>
      </c>
      <c r="K17" s="582" t="s">
        <v>385</v>
      </c>
      <c r="M17" s="576">
        <f>'Expense Build'!AC51</f>
        <v>0</v>
      </c>
      <c r="N17" s="576">
        <f>'Expense Build'!AD51</f>
        <v>4</v>
      </c>
      <c r="O17" s="576">
        <f>'Expense Build'!AE51</f>
        <v>5</v>
      </c>
      <c r="P17" s="576">
        <f>'Expense Build'!AF51</f>
        <v>9</v>
      </c>
      <c r="Q17" s="576">
        <f>'Expense Build'!AG51</f>
        <v>13</v>
      </c>
      <c r="R17" s="576">
        <f>'Expense Build'!AH51</f>
        <v>17</v>
      </c>
      <c r="T17" s="579" t="s">
        <v>875</v>
      </c>
      <c r="V17" s="600">
        <f t="shared" ref="V17:AA17" si="0">SUM(V14:V16)</f>
        <v>1514.7159599999982</v>
      </c>
      <c r="W17" s="600">
        <f t="shared" si="0"/>
        <v>3370.2265199999952</v>
      </c>
      <c r="X17" s="600">
        <f t="shared" si="0"/>
        <v>4888.4079999999885</v>
      </c>
      <c r="Y17" s="600">
        <f t="shared" si="0"/>
        <v>8674.5545189540007</v>
      </c>
      <c r="Z17" s="600">
        <f t="shared" si="0"/>
        <v>7679.0051829228087</v>
      </c>
      <c r="AA17" s="600">
        <f t="shared" si="0"/>
        <v>7618.5228428761829</v>
      </c>
    </row>
    <row r="18" spans="2:27" s="578" customFormat="1" ht="12.75" customHeight="1" x14ac:dyDescent="0.25">
      <c r="B18" s="597" t="s">
        <v>973</v>
      </c>
      <c r="D18" s="629"/>
      <c r="E18" s="613">
        <f>'Bookings Build'!AE60</f>
        <v>0.13501063075832742</v>
      </c>
      <c r="F18" s="613">
        <f>'Bookings Build'!AF60</f>
        <v>0.14340753424657535</v>
      </c>
      <c r="G18" s="613">
        <f>'Bookings Build'!AG60</f>
        <v>0.147826389856486</v>
      </c>
      <c r="H18" s="613">
        <f>'Bookings Build'!AH60</f>
        <v>0.14000000000000001</v>
      </c>
      <c r="I18" s="613">
        <f>'Bookings Build'!AI60</f>
        <v>0.13</v>
      </c>
      <c r="K18" s="582" t="s">
        <v>13</v>
      </c>
      <c r="M18" s="576">
        <f>'Expense Build'!AC52</f>
        <v>6</v>
      </c>
      <c r="N18" s="576">
        <f>'Expense Build'!AD52</f>
        <v>13</v>
      </c>
      <c r="O18" s="576">
        <f>'Expense Build'!AE52</f>
        <v>22</v>
      </c>
      <c r="P18" s="576">
        <f>'Expense Build'!AF52</f>
        <v>31</v>
      </c>
      <c r="Q18" s="576">
        <f>'Expense Build'!AG52</f>
        <v>50</v>
      </c>
      <c r="R18" s="576">
        <f>'Expense Build'!AH52</f>
        <v>50</v>
      </c>
      <c r="T18" s="628" t="s">
        <v>951</v>
      </c>
      <c r="V18" s="619" t="s">
        <v>950</v>
      </c>
      <c r="W18" s="609">
        <f>W17/V17-1</f>
        <v>1.2249891128102983</v>
      </c>
      <c r="X18" s="609">
        <f>X17/W17-1</f>
        <v>0.45046867650901867</v>
      </c>
      <c r="Y18" s="609">
        <f>Y17/X17-1</f>
        <v>0.77451524483104128</v>
      </c>
      <c r="Z18" s="609">
        <f>Z17/Y17-1</f>
        <v>-0.1147666239062658</v>
      </c>
      <c r="AA18" s="609">
        <f>AA17/Z17-1</f>
        <v>-7.8763249412998615E-3</v>
      </c>
    </row>
    <row r="19" spans="2:27" s="578" customFormat="1" ht="12.75" customHeight="1" x14ac:dyDescent="0.35">
      <c r="B19" s="597" t="s">
        <v>937</v>
      </c>
      <c r="D19" s="603">
        <f>'Bookings Build'!AD61</f>
        <v>2.7850576415094288</v>
      </c>
      <c r="E19" s="603">
        <f>'Bookings Build'!AE61</f>
        <v>2.8494888243831573</v>
      </c>
      <c r="F19" s="603">
        <f>'Bookings Build'!AF61</f>
        <v>2.3735227860696426</v>
      </c>
      <c r="G19" s="603">
        <f>'Bookings Build'!AG61</f>
        <v>2.8908833027004048</v>
      </c>
      <c r="H19" s="603">
        <f>'Bookings Build'!AH61</f>
        <v>3</v>
      </c>
      <c r="I19" s="603">
        <f>'Bookings Build'!AI61</f>
        <v>3</v>
      </c>
      <c r="K19" s="582" t="s">
        <v>14</v>
      </c>
      <c r="L19" s="627"/>
      <c r="M19" s="580">
        <f>'Expense Build'!AC53</f>
        <v>2</v>
      </c>
      <c r="N19" s="580">
        <f>'Expense Build'!AD53</f>
        <v>5</v>
      </c>
      <c r="O19" s="580">
        <f>'Expense Build'!AE53</f>
        <v>5</v>
      </c>
      <c r="P19" s="580">
        <f>'Expense Build'!AF53</f>
        <v>13</v>
      </c>
      <c r="Q19" s="580">
        <f>'Expense Build'!AG53</f>
        <v>18</v>
      </c>
      <c r="R19" s="580">
        <f>'Expense Build'!AH53</f>
        <v>18</v>
      </c>
    </row>
    <row r="20" spans="2:27" s="578" customFormat="1" ht="12.75" customHeight="1" x14ac:dyDescent="0.2">
      <c r="B20" s="597" t="s">
        <v>942</v>
      </c>
      <c r="D20" s="613">
        <f>'Bookings Build'!AD68</f>
        <v>0.7243817162756524</v>
      </c>
      <c r="E20" s="613">
        <f>'Bookings Build'!AE68</f>
        <v>0.42557232169811343</v>
      </c>
      <c r="F20" s="613">
        <f>'Bookings Build'!AF68</f>
        <v>0.38280959010361182</v>
      </c>
      <c r="G20" s="613">
        <f>'Bookings Build'!AG68</f>
        <v>0.50971263198953665</v>
      </c>
      <c r="H20" s="613">
        <f>'Bookings Build'!AH68</f>
        <v>0.35249999999999998</v>
      </c>
      <c r="I20" s="613">
        <f>'Bookings Build'!AI68</f>
        <v>0.33350000000000002</v>
      </c>
      <c r="K20" s="579" t="s">
        <v>550</v>
      </c>
      <c r="M20" s="577">
        <f t="shared" ref="M20:R20" si="1">SUM(M15:M19)</f>
        <v>18</v>
      </c>
      <c r="N20" s="577">
        <f t="shared" si="1"/>
        <v>53</v>
      </c>
      <c r="O20" s="577">
        <f t="shared" si="1"/>
        <v>73</v>
      </c>
      <c r="P20" s="577">
        <f t="shared" si="1"/>
        <v>118</v>
      </c>
      <c r="Q20" s="577">
        <f t="shared" si="1"/>
        <v>135</v>
      </c>
      <c r="R20" s="577">
        <f t="shared" si="1"/>
        <v>139</v>
      </c>
      <c r="T20" s="621" t="s">
        <v>972</v>
      </c>
    </row>
    <row r="21" spans="2:27" s="578" customFormat="1" ht="12.75" customHeight="1" x14ac:dyDescent="0.25">
      <c r="T21" s="579" t="s">
        <v>971</v>
      </c>
      <c r="V21" s="626">
        <f>'Revenue Build'!AC24</f>
        <v>394.62203999999957</v>
      </c>
      <c r="W21" s="626">
        <f>'Revenue Build'!AD24</f>
        <v>1686.9245999999976</v>
      </c>
      <c r="X21" s="626">
        <f>'Revenue Build'!AE24</f>
        <v>4623.2097599999934</v>
      </c>
      <c r="Y21" s="626">
        <f>'Revenue Build'!AF24</f>
        <v>8345.990559999982</v>
      </c>
      <c r="Z21" s="626">
        <f>'Revenue Build'!AG24</f>
        <v>15735.266517153981</v>
      </c>
      <c r="AA21" s="626">
        <f>'Revenue Build'!AH24</f>
        <v>20621.470786312617</v>
      </c>
    </row>
    <row r="22" spans="2:27" s="578" customFormat="1" ht="12.75" customHeight="1" x14ac:dyDescent="0.25">
      <c r="B22" s="612" t="s">
        <v>970</v>
      </c>
      <c r="C22" s="612"/>
      <c r="D22" s="612"/>
      <c r="E22" s="612"/>
      <c r="F22" s="612"/>
      <c r="G22" s="612"/>
      <c r="H22" s="612"/>
      <c r="I22" s="612"/>
      <c r="K22" s="612" t="s">
        <v>969</v>
      </c>
      <c r="L22" s="612"/>
      <c r="M22" s="612"/>
      <c r="N22" s="612"/>
      <c r="O22" s="612"/>
      <c r="P22" s="612"/>
      <c r="Q22" s="612"/>
      <c r="R22" s="612"/>
      <c r="T22" s="597" t="s">
        <v>968</v>
      </c>
      <c r="V22" s="626">
        <f>'Revenue Build'!AC25</f>
        <v>1232.8484399999979</v>
      </c>
      <c r="W22" s="626">
        <f>'Revenue Build'!AD25</f>
        <v>2518.9509599999956</v>
      </c>
      <c r="X22" s="626">
        <f>'Revenue Build'!AE25</f>
        <v>3061.4125599999907</v>
      </c>
      <c r="Y22" s="626">
        <f>'Revenue Build'!AF25</f>
        <v>4385.0236799999948</v>
      </c>
      <c r="Z22" s="626">
        <f>'Revenue Build'!AG25</f>
        <v>2548.4940000000001</v>
      </c>
      <c r="AA22" s="626">
        <f>'Revenue Build'!AH25</f>
        <v>2375.43975</v>
      </c>
    </row>
    <row r="23" spans="2:27" s="578" customFormat="1" ht="12.75" customHeight="1" x14ac:dyDescent="0.25">
      <c r="T23" s="597" t="s">
        <v>967</v>
      </c>
      <c r="V23" s="626">
        <f>'Revenue Build'!AC26</f>
        <v>11.952</v>
      </c>
      <c r="W23" s="626">
        <f>'Revenue Build'!AD26</f>
        <v>34.547999999999995</v>
      </c>
      <c r="X23" s="626">
        <f>'Revenue Build'!AE26</f>
        <v>96.851999999999975</v>
      </c>
      <c r="Y23" s="626">
        <f>'Revenue Build'!AF26</f>
        <v>139.98804000000001</v>
      </c>
      <c r="Z23" s="626">
        <f>'Revenue Build'!AG26</f>
        <v>0</v>
      </c>
      <c r="AA23" s="626">
        <f>'Revenue Build'!AH26</f>
        <v>0</v>
      </c>
    </row>
    <row r="24" spans="2:27" s="578" customFormat="1" ht="12.75" customHeight="1" x14ac:dyDescent="0.2">
      <c r="B24" s="622" t="s">
        <v>313</v>
      </c>
      <c r="K24" s="622" t="s">
        <v>966</v>
      </c>
      <c r="T24" s="597" t="s">
        <v>965</v>
      </c>
      <c r="V24" s="626">
        <f>'Revenue Build'!AC27</f>
        <v>281.86752000000013</v>
      </c>
      <c r="W24" s="626">
        <f>'Revenue Build'!AD27</f>
        <v>851.27555999999981</v>
      </c>
      <c r="X24" s="626">
        <f>'Revenue Build'!AE27</f>
        <v>1826.9954399999983</v>
      </c>
      <c r="Y24" s="626">
        <f>'Revenue Build'!AF27</f>
        <v>4289.5308389540041</v>
      </c>
      <c r="Z24" s="626">
        <f>'Revenue Build'!AG27</f>
        <v>5130.5111829228099</v>
      </c>
      <c r="AA24" s="626">
        <f>'Revenue Build'!AH27</f>
        <v>5243.0830928761834</v>
      </c>
    </row>
    <row r="25" spans="2:27" s="578" customFormat="1" ht="12.75" customHeight="1" x14ac:dyDescent="0.25">
      <c r="B25" s="621" t="s">
        <v>956</v>
      </c>
      <c r="K25" s="582" t="s">
        <v>10</v>
      </c>
      <c r="M25" s="576">
        <f>'Expense Build'!AC61</f>
        <v>214.07850965524753</v>
      </c>
      <c r="N25" s="576">
        <f>'Expense Build'!AD61</f>
        <v>129.99525018506046</v>
      </c>
      <c r="O25" s="576">
        <f>'Expense Build'!AE61</f>
        <v>114.14154400997489</v>
      </c>
      <c r="P25" s="576">
        <f>'Expense Build'!AF61</f>
        <v>118.95600006410051</v>
      </c>
      <c r="Q25" s="576">
        <f>'Expense Build'!AG61</f>
        <v>160.59060008653569</v>
      </c>
      <c r="R25" s="576">
        <f>'Expense Build'!AH61</f>
        <v>176.64966009518926</v>
      </c>
      <c r="T25" s="597" t="s">
        <v>964</v>
      </c>
      <c r="V25" s="626">
        <f>'Revenue Build'!AC28</f>
        <v>-124.10939999999999</v>
      </c>
      <c r="W25" s="626">
        <f>'Revenue Build'!AD28</f>
        <v>-326.81100000000009</v>
      </c>
      <c r="X25" s="626">
        <f>'Revenue Build'!AE28</f>
        <v>-806.09723999999983</v>
      </c>
      <c r="Y25" s="626">
        <f>'Revenue Build'!AF28</f>
        <v>-1193.1523922999993</v>
      </c>
      <c r="Z25" s="626">
        <f>'Revenue Build'!AG28</f>
        <v>-2321.8807492438555</v>
      </c>
      <c r="AA25" s="626">
        <f>'Revenue Build'!AH28</f>
        <v>-2970.51194891159</v>
      </c>
    </row>
    <row r="26" spans="2:27" s="578" customFormat="1" ht="12.75" customHeight="1" x14ac:dyDescent="0.25">
      <c r="B26" s="597" t="s">
        <v>955</v>
      </c>
      <c r="D26" s="611"/>
      <c r="E26" s="611"/>
      <c r="F26" s="611"/>
      <c r="G26" s="576">
        <f>'Bookings Build'!AG94</f>
        <v>4</v>
      </c>
      <c r="H26" s="576">
        <f>'Bookings Build'!AH94</f>
        <v>0</v>
      </c>
      <c r="I26" s="576">
        <f>'Bookings Build'!AI94</f>
        <v>0</v>
      </c>
      <c r="K26" s="582" t="s">
        <v>11</v>
      </c>
      <c r="M26" s="576">
        <f>'Expense Build'!AC62</f>
        <v>193.41570571709246</v>
      </c>
      <c r="N26" s="576">
        <f>'Expense Build'!AD62</f>
        <v>171.61302125269302</v>
      </c>
      <c r="O26" s="576">
        <f>'Expense Build'!AE62</f>
        <v>145.46472357561953</v>
      </c>
      <c r="P26" s="576">
        <f>'Expense Build'!AF62</f>
        <v>115.22614148692685</v>
      </c>
      <c r="Q26" s="576">
        <f>'Expense Build'!AG62</f>
        <v>155.55529100735126</v>
      </c>
      <c r="R26" s="576">
        <f>'Expense Build'!AH62</f>
        <v>171.11082010808639</v>
      </c>
      <c r="T26" s="597" t="s">
        <v>963</v>
      </c>
      <c r="V26" s="626">
        <f>'Revenue Build'!AC29</f>
        <v>-22.043999999999997</v>
      </c>
      <c r="W26" s="626">
        <f>'Revenue Build'!AD29</f>
        <v>-44.652000000000001</v>
      </c>
      <c r="X26" s="626">
        <f>'Revenue Build'!AE29</f>
        <v>-201.74004000000002</v>
      </c>
      <c r="Y26" s="626">
        <f>'Revenue Build'!AF29</f>
        <v>-22.644000000000002</v>
      </c>
      <c r="Z26" s="626">
        <f>'Revenue Build'!AG29</f>
        <v>0</v>
      </c>
      <c r="AA26" s="626">
        <f>'Revenue Build'!AH29</f>
        <v>0</v>
      </c>
    </row>
    <row r="27" spans="2:27" s="578" customFormat="1" ht="12.75" customHeight="1" x14ac:dyDescent="0.25">
      <c r="B27" s="597" t="s">
        <v>953</v>
      </c>
      <c r="D27" s="611"/>
      <c r="E27" s="611"/>
      <c r="F27" s="611"/>
      <c r="G27" s="576">
        <f>'Bookings Build'!AG98</f>
        <v>0.6</v>
      </c>
      <c r="H27" s="576">
        <f>'Bookings Build'!AH98</f>
        <v>0</v>
      </c>
      <c r="I27" s="576">
        <f>'Bookings Build'!AI98</f>
        <v>0</v>
      </c>
      <c r="K27" s="582" t="s">
        <v>385</v>
      </c>
      <c r="M27" s="605" t="str">
        <f>'Expense Build'!AC63</f>
        <v>-</v>
      </c>
      <c r="N27" s="576">
        <f>'Expense Build'!AD63</f>
        <v>219.70681795250968</v>
      </c>
      <c r="O27" s="576">
        <f>'Expense Build'!AE63</f>
        <v>138.31878917655476</v>
      </c>
      <c r="P27" s="576">
        <f>'Expense Build'!AF63</f>
        <v>111.90736595238094</v>
      </c>
      <c r="Q27" s="576">
        <f>'Expense Build'!AG63</f>
        <v>151.07494403571428</v>
      </c>
      <c r="R27" s="576">
        <f>'Expense Build'!AH63</f>
        <v>166.18243843928573</v>
      </c>
      <c r="T27" s="597" t="s">
        <v>962</v>
      </c>
      <c r="V27" s="626">
        <f>'Revenue Build'!AC30</f>
        <v>-88.212000000000018</v>
      </c>
      <c r="W27" s="626">
        <f>'Revenue Build'!AD30</f>
        <v>-97.026360000000011</v>
      </c>
      <c r="X27" s="626">
        <f>'Revenue Build'!AE30</f>
        <v>-254.64192000000003</v>
      </c>
      <c r="Y27" s="626">
        <f>'Revenue Build'!AF30</f>
        <v>-209.47020950000001</v>
      </c>
      <c r="Z27" s="626">
        <f>'Revenue Build'!AG30</f>
        <v>-470.9201645203143</v>
      </c>
      <c r="AA27" s="626">
        <f>'Revenue Build'!AH30</f>
        <v>-603.05720646480245</v>
      </c>
    </row>
    <row r="28" spans="2:27" s="578" customFormat="1" ht="12.75" customHeight="1" x14ac:dyDescent="0.25">
      <c r="B28" s="597" t="s">
        <v>949</v>
      </c>
      <c r="D28" s="611"/>
      <c r="E28" s="611"/>
      <c r="F28" s="611"/>
      <c r="G28" s="576">
        <f>'Bookings Build'!AG93</f>
        <v>4</v>
      </c>
      <c r="H28" s="576">
        <f>'Bookings Build'!AH93</f>
        <v>0</v>
      </c>
      <c r="I28" s="576">
        <f>'Bookings Build'!AI93</f>
        <v>0</v>
      </c>
      <c r="J28" s="618"/>
      <c r="K28" s="582" t="s">
        <v>13</v>
      </c>
      <c r="M28" s="576">
        <f>'Expense Build'!AC64</f>
        <v>99.789006677440241</v>
      </c>
      <c r="N28" s="576">
        <f>'Expense Build'!AD64</f>
        <v>194.65267752315188</v>
      </c>
      <c r="O28" s="576">
        <f>'Expense Build'!AE64</f>
        <v>197.81133554493073</v>
      </c>
      <c r="P28" s="576">
        <f>'Expense Build'!AF64</f>
        <v>155.87921216857058</v>
      </c>
      <c r="Q28" s="576">
        <f>'Expense Build'!AG64</f>
        <v>210.43693642757029</v>
      </c>
      <c r="R28" s="576">
        <f>'Expense Build'!AH64</f>
        <v>231.48063007032732</v>
      </c>
      <c r="T28" s="597" t="s">
        <v>961</v>
      </c>
      <c r="V28" s="615">
        <f>'Revenue Build'!AC32</f>
        <v>35.504040000000003</v>
      </c>
      <c r="W28" s="615">
        <f>'Revenue Build'!AD32</f>
        <v>26.334</v>
      </c>
      <c r="X28" s="615">
        <f>'Revenue Build'!AE32</f>
        <v>15</v>
      </c>
      <c r="Y28" s="615">
        <f>'Revenue Build'!AF32</f>
        <v>0</v>
      </c>
      <c r="Z28" s="615">
        <f>'Revenue Build'!AG32</f>
        <v>0</v>
      </c>
      <c r="AA28" s="615">
        <f>'Revenue Build'!AH32</f>
        <v>0</v>
      </c>
    </row>
    <row r="29" spans="2:27" s="578" customFormat="1" ht="12.75" customHeight="1" x14ac:dyDescent="0.25">
      <c r="D29" s="576"/>
      <c r="E29" s="576"/>
      <c r="F29" s="576"/>
      <c r="G29" s="576"/>
      <c r="H29" s="576"/>
      <c r="I29" s="576"/>
      <c r="K29" s="582" t="s">
        <v>14</v>
      </c>
      <c r="M29" s="576">
        <f>'Expense Build'!AC65</f>
        <v>173.99085747001297</v>
      </c>
      <c r="N29" s="576">
        <f>'Expense Build'!AD65</f>
        <v>305.41961347946585</v>
      </c>
      <c r="O29" s="576">
        <f>'Expense Build'!AE65</f>
        <v>141.38109888184067</v>
      </c>
      <c r="P29" s="576">
        <f>'Expense Build'!AF65</f>
        <v>157.34603272683972</v>
      </c>
      <c r="Q29" s="576">
        <f>'Expense Build'!AG65</f>
        <v>212.41714418123365</v>
      </c>
      <c r="R29" s="576">
        <f>'Expense Build'!AH65</f>
        <v>233.65885859935705</v>
      </c>
      <c r="T29" s="579" t="s">
        <v>960</v>
      </c>
      <c r="V29" s="600">
        <f t="shared" ref="V29:AA29" si="2">SUM(V21:V28)</f>
        <v>1722.4286399999976</v>
      </c>
      <c r="W29" s="600">
        <f t="shared" si="2"/>
        <v>4649.5437599999932</v>
      </c>
      <c r="X29" s="600">
        <f t="shared" si="2"/>
        <v>8360.990559999982</v>
      </c>
      <c r="Y29" s="600">
        <f t="shared" si="2"/>
        <v>15735.266517153981</v>
      </c>
      <c r="Z29" s="600">
        <f t="shared" si="2"/>
        <v>20621.470786312617</v>
      </c>
      <c r="AA29" s="600">
        <f t="shared" si="2"/>
        <v>24666.424473812407</v>
      </c>
    </row>
    <row r="30" spans="2:27" s="578" customFormat="1" ht="12.75" customHeight="1" x14ac:dyDescent="0.2">
      <c r="B30" s="608" t="s">
        <v>947</v>
      </c>
      <c r="J30" s="618"/>
      <c r="T30" s="585" t="s">
        <v>951</v>
      </c>
      <c r="W30" s="623">
        <f>W29/V29-1</f>
        <v>1.6994115471744591</v>
      </c>
      <c r="X30" s="623">
        <f>X29/W29-1</f>
        <v>0.79823892226363169</v>
      </c>
      <c r="Y30" s="623">
        <f>Y29/X29-1</f>
        <v>0.88198592071535775</v>
      </c>
      <c r="Z30" s="623">
        <f>Z29/Y29-1</f>
        <v>0.31052567580167034</v>
      </c>
      <c r="AA30" s="623">
        <f>AA29/Z29-1</f>
        <v>0.19615253099136876</v>
      </c>
    </row>
    <row r="31" spans="2:27" s="578" customFormat="1" ht="12.75" customHeight="1" x14ac:dyDescent="0.2">
      <c r="B31" s="597" t="s">
        <v>937</v>
      </c>
      <c r="D31" s="603">
        <f>'Bookings Build'!AD82</f>
        <v>1.1879999999999999</v>
      </c>
      <c r="E31" s="603">
        <f>'Bookings Build'!AE82</f>
        <v>2.3879999999999999</v>
      </c>
      <c r="F31" s="603">
        <f>'Bookings Build'!AF82</f>
        <v>37.700009999999999</v>
      </c>
      <c r="G31" s="603">
        <f>'Bookings Build'!AG82</f>
        <v>49.583329999999997</v>
      </c>
      <c r="H31" s="603">
        <f>'Bookings Build'!AH82</f>
        <v>45</v>
      </c>
      <c r="I31" s="603">
        <f>'Bookings Build'!AI82</f>
        <v>50</v>
      </c>
      <c r="K31" s="622" t="s">
        <v>959</v>
      </c>
      <c r="Y31" s="625"/>
    </row>
    <row r="32" spans="2:27" s="578" customFormat="1" ht="12.75" customHeight="1" x14ac:dyDescent="0.25">
      <c r="B32" s="578" t="s">
        <v>943</v>
      </c>
      <c r="D32" s="576">
        <f>'Bookings Build'!AD84</f>
        <v>1</v>
      </c>
      <c r="E32" s="576">
        <f>'Bookings Build'!AE84</f>
        <v>1</v>
      </c>
      <c r="F32" s="576">
        <f>'Bookings Build'!AF84</f>
        <v>4</v>
      </c>
      <c r="G32" s="576">
        <f>'Bookings Build'!AG84</f>
        <v>12</v>
      </c>
      <c r="H32" s="576">
        <f>'Bookings Build'!AH84</f>
        <v>0</v>
      </c>
      <c r="I32" s="576">
        <f>'Bookings Build'!AI84</f>
        <v>0</v>
      </c>
      <c r="K32" s="582" t="s">
        <v>10</v>
      </c>
      <c r="M32" s="576">
        <f>'Expense Build'!AC22</f>
        <v>175.6462505204305</v>
      </c>
      <c r="N32" s="576">
        <f>'Expense Build'!AD22</f>
        <v>1234.1000403828573</v>
      </c>
      <c r="O32" s="576">
        <f>'Expense Build'!AE22</f>
        <v>2231.970229498656</v>
      </c>
      <c r="P32" s="576">
        <f>'Expense Build'!AF22</f>
        <v>4002.1770299999998</v>
      </c>
      <c r="Q32" s="576">
        <f>'Expense Build'!AG22</f>
        <v>5821.4092531369188</v>
      </c>
      <c r="R32" s="576">
        <f>'Expense Build'!AH22</f>
        <v>6182.7381033316242</v>
      </c>
      <c r="T32" s="597" t="s">
        <v>958</v>
      </c>
      <c r="V32" s="623">
        <f t="shared" ref="V32:AA32" si="3">1+(V25/V21)</f>
        <v>0.68549805276968279</v>
      </c>
      <c r="W32" s="623">
        <f t="shared" si="3"/>
        <v>0.80626816397128798</v>
      </c>
      <c r="X32" s="623">
        <f t="shared" si="3"/>
        <v>0.82564121425457426</v>
      </c>
      <c r="Y32" s="623">
        <f t="shared" si="3"/>
        <v>0.8570388519226888</v>
      </c>
      <c r="Z32" s="623">
        <f t="shared" si="3"/>
        <v>0.8524409645866099</v>
      </c>
      <c r="AA32" s="623">
        <f t="shared" si="3"/>
        <v>0.85595052944122441</v>
      </c>
    </row>
    <row r="33" spans="2:27" s="578" customFormat="1" ht="12.75" customHeight="1" x14ac:dyDescent="0.25">
      <c r="B33" s="597" t="s">
        <v>942</v>
      </c>
      <c r="D33" s="614" t="str">
        <f>'Bookings Build'!AD90</f>
        <v>n/a</v>
      </c>
      <c r="E33" s="613">
        <f>'Bookings Build'!AE90</f>
        <v>1.0101010101010102</v>
      </c>
      <c r="F33" s="613">
        <f>'Bookings Build'!AF90</f>
        <v>6.7420351758793986</v>
      </c>
      <c r="G33" s="613">
        <f>'Bookings Build'!AG90</f>
        <v>0.50687959243992842</v>
      </c>
      <c r="H33" s="613">
        <f>'Bookings Build'!AH90</f>
        <v>0.85</v>
      </c>
      <c r="I33" s="613">
        <f>'Bookings Build'!AI90</f>
        <v>0.62749999999999995</v>
      </c>
      <c r="K33" s="582" t="s">
        <v>11</v>
      </c>
      <c r="M33" s="576">
        <f>'Expense Build'!AC23</f>
        <v>136.72892150548137</v>
      </c>
      <c r="N33" s="576">
        <f>'Expense Build'!AD23</f>
        <v>691.4182955700453</v>
      </c>
      <c r="O33" s="576">
        <f>'Expense Build'!AE23</f>
        <v>1479.8562445410803</v>
      </c>
      <c r="P33" s="576">
        <f>'Expense Build'!AF23</f>
        <v>2039.3809799999999</v>
      </c>
      <c r="Q33" s="576">
        <f>'Expense Build'!AG23</f>
        <v>2974.994940515593</v>
      </c>
      <c r="R33" s="576">
        <f>'Expense Build'!AH23</f>
        <v>3251.1055820536412</v>
      </c>
      <c r="T33" s="624" t="s">
        <v>957</v>
      </c>
      <c r="V33" s="623">
        <f t="shared" ref="V33:AA33" si="4">1+SUM(V27,V25,V24)/V21</f>
        <v>1.176234758707345</v>
      </c>
      <c r="W33" s="623">
        <f t="shared" si="4"/>
        <v>1.2533831091205856</v>
      </c>
      <c r="X33" s="623">
        <f t="shared" si="4"/>
        <v>1.1657411884335527</v>
      </c>
      <c r="Y33" s="623">
        <f t="shared" si="4"/>
        <v>1.3459036068157273</v>
      </c>
      <c r="Z33" s="623">
        <f t="shared" si="4"/>
        <v>1.148565025359447</v>
      </c>
      <c r="AA33" s="623">
        <f t="shared" si="4"/>
        <v>1.0809599836403483</v>
      </c>
    </row>
    <row r="34" spans="2:27" s="578" customFormat="1" ht="12.75" customHeight="1" x14ac:dyDescent="0.25">
      <c r="K34" s="582" t="s">
        <v>385</v>
      </c>
      <c r="M34" s="576">
        <f>'Expense Build'!AC24</f>
        <v>0</v>
      </c>
      <c r="N34" s="576">
        <f>'Expense Build'!AD24</f>
        <v>209.10194513864832</v>
      </c>
      <c r="O34" s="576">
        <f>'Expense Build'!AE24</f>
        <v>434.1322976446977</v>
      </c>
      <c r="P34" s="576">
        <f>'Expense Build'!AF24</f>
        <v>813.01161999999999</v>
      </c>
      <c r="Q34" s="576">
        <f>'Expense Build'!AG24</f>
        <v>1661.8243843928572</v>
      </c>
      <c r="R34" s="576">
        <f>'Expense Build'!AH24</f>
        <v>2492.736576589286</v>
      </c>
    </row>
    <row r="35" spans="2:27" s="578" customFormat="1" ht="12.75" customHeight="1" x14ac:dyDescent="0.2">
      <c r="B35" s="622" t="s">
        <v>608</v>
      </c>
      <c r="K35" s="582" t="s">
        <v>13</v>
      </c>
      <c r="M35" s="576">
        <f>'Expense Build'!AC25</f>
        <v>404.27140001199126</v>
      </c>
      <c r="N35" s="576">
        <f>'Expense Build'!AD25</f>
        <v>1162.3124311146125</v>
      </c>
      <c r="O35" s="576">
        <f>'Expense Build'!AE25</f>
        <v>2545.828785398835</v>
      </c>
      <c r="P35" s="576">
        <f>'Expense Build'!AF25</f>
        <v>4007.6631600000001</v>
      </c>
      <c r="Q35" s="576">
        <f>'Expense Build'!AG25</f>
        <v>7602.0343284459759</v>
      </c>
      <c r="R35" s="576">
        <f>'Expense Build'!AH25</f>
        <v>9259.2252028130933</v>
      </c>
      <c r="T35" s="601" t="s">
        <v>31</v>
      </c>
    </row>
    <row r="36" spans="2:27" s="578" customFormat="1" ht="12.75" customHeight="1" x14ac:dyDescent="0.25">
      <c r="B36" s="621" t="s">
        <v>956</v>
      </c>
      <c r="K36" s="582" t="s">
        <v>14</v>
      </c>
      <c r="M36" s="576">
        <f>'Expense Build'!AC26</f>
        <v>314.10489796209703</v>
      </c>
      <c r="N36" s="576">
        <f>'Expense Build'!AD26</f>
        <v>560.22717779383629</v>
      </c>
      <c r="O36" s="576">
        <f>'Expense Build'!AE26</f>
        <v>804.76536291673062</v>
      </c>
      <c r="P36" s="576">
        <f>'Expense Build'!AF26</f>
        <v>1390.82611</v>
      </c>
      <c r="Q36" s="576">
        <f>'Expense Build'!AG26</f>
        <v>3292.4657348091214</v>
      </c>
      <c r="R36" s="576">
        <f>'Expense Build'!AH26</f>
        <v>4205.8594547884268</v>
      </c>
      <c r="T36" s="602" t="s">
        <v>31</v>
      </c>
      <c r="V36" s="615">
        <f>'Functional P&amp;L'!AC15</f>
        <v>994.5830400000001</v>
      </c>
      <c r="W36" s="615">
        <f>'Functional P&amp;L'!AD15</f>
        <v>3468.8341999999998</v>
      </c>
      <c r="X36" s="615">
        <f>'Functional P&amp;L'!AE15</f>
        <v>6670.6785099999997</v>
      </c>
      <c r="Y36" s="615">
        <f>'Functional P&amp;L'!AF15</f>
        <v>11433.846784644251</v>
      </c>
      <c r="Z36" s="615">
        <f>'Functional P&amp;L'!AG15</f>
        <v>18057.915362387001</v>
      </c>
      <c r="AA36" s="615">
        <f>'Functional P&amp;L'!AH15</f>
        <v>22501.254183162415</v>
      </c>
    </row>
    <row r="37" spans="2:27" s="578" customFormat="1" x14ac:dyDescent="0.25">
      <c r="B37" s="597" t="s">
        <v>955</v>
      </c>
      <c r="D37" s="576">
        <f>'Bookings Build'!AD126</f>
        <v>2</v>
      </c>
      <c r="E37" s="576">
        <f>'Bookings Build'!AE126</f>
        <v>8</v>
      </c>
      <c r="F37" s="576">
        <f>'Bookings Build'!AF126</f>
        <v>0</v>
      </c>
      <c r="G37" s="576">
        <f>'Bookings Build'!AG126</f>
        <v>2</v>
      </c>
      <c r="H37" s="576">
        <f>'Bookings Build'!AH126</f>
        <v>0</v>
      </c>
      <c r="I37" s="576">
        <f>'Bookings Build'!AI126</f>
        <v>0</v>
      </c>
      <c r="T37" s="620" t="s">
        <v>954</v>
      </c>
      <c r="V37" s="600">
        <f t="shared" ref="V37:AA37" si="5">SUM(V36)</f>
        <v>994.5830400000001</v>
      </c>
      <c r="W37" s="600">
        <f t="shared" si="5"/>
        <v>3468.8341999999998</v>
      </c>
      <c r="X37" s="600">
        <f t="shared" si="5"/>
        <v>6670.6785099999997</v>
      </c>
      <c r="Y37" s="600">
        <f t="shared" si="5"/>
        <v>11433.846784644251</v>
      </c>
      <c r="Z37" s="600">
        <f t="shared" si="5"/>
        <v>18057.915362387001</v>
      </c>
      <c r="AA37" s="600">
        <f t="shared" si="5"/>
        <v>22501.254183162415</v>
      </c>
    </row>
    <row r="38" spans="2:27" s="578" customFormat="1" x14ac:dyDescent="0.25">
      <c r="B38" s="597" t="s">
        <v>953</v>
      </c>
      <c r="D38" s="576">
        <f>'Bookings Build'!AD130</f>
        <v>1.3</v>
      </c>
      <c r="E38" s="576">
        <f>'Bookings Build'!AE130</f>
        <v>7.6</v>
      </c>
      <c r="F38" s="576">
        <f>'Bookings Build'!AF130</f>
        <v>10</v>
      </c>
      <c r="G38" s="576">
        <f>'Bookings Build'!AG130</f>
        <v>9</v>
      </c>
      <c r="H38" s="576">
        <f>'Bookings Build'!AH130</f>
        <v>9</v>
      </c>
      <c r="I38" s="576">
        <f>'Bookings Build'!AI130</f>
        <v>9</v>
      </c>
      <c r="K38" s="612" t="s">
        <v>952</v>
      </c>
      <c r="L38" s="612"/>
      <c r="M38" s="612"/>
      <c r="N38" s="612"/>
      <c r="O38" s="612"/>
      <c r="P38" s="612"/>
      <c r="Q38" s="612"/>
      <c r="R38" s="612"/>
      <c r="T38" s="585" t="s">
        <v>951</v>
      </c>
      <c r="V38" s="619" t="s">
        <v>950</v>
      </c>
      <c r="W38" s="609">
        <f>IFERROR(W37/V37-1,"-")</f>
        <v>2.4877270780728367</v>
      </c>
      <c r="X38" s="609">
        <f>IFERROR(X37/W37-1,"-")</f>
        <v>0.92303180993775946</v>
      </c>
      <c r="Y38" s="609">
        <f>IFERROR(Y37/X37-1,"-")</f>
        <v>0.71404554536750586</v>
      </c>
      <c r="Z38" s="609">
        <f>IFERROR(Z37/Y37-1,"-")</f>
        <v>0.57933858153836093</v>
      </c>
      <c r="AA38" s="609">
        <f>IFERROR(AA37/Z37-1,"-")</f>
        <v>0.24606045225078899</v>
      </c>
    </row>
    <row r="39" spans="2:27" s="578" customFormat="1" x14ac:dyDescent="0.25">
      <c r="B39" s="597" t="s">
        <v>949</v>
      </c>
      <c r="D39" s="576">
        <f>'Bookings Build'!AD125</f>
        <v>3</v>
      </c>
      <c r="E39" s="576">
        <f>'Bookings Build'!AE125</f>
        <v>11</v>
      </c>
      <c r="F39" s="576">
        <f>'Bookings Build'!AF125</f>
        <v>10</v>
      </c>
      <c r="G39" s="576">
        <f>'Bookings Build'!AG125</f>
        <v>9</v>
      </c>
      <c r="H39" s="576">
        <f>'Bookings Build'!AH125</f>
        <v>9</v>
      </c>
      <c r="I39" s="576">
        <f>'Bookings Build'!AI125</f>
        <v>9</v>
      </c>
      <c r="J39" s="618"/>
      <c r="T39" s="575"/>
      <c r="V39" s="575"/>
      <c r="W39" s="575"/>
      <c r="X39" s="575"/>
      <c r="Y39" s="575"/>
      <c r="Z39" s="575"/>
      <c r="AA39" s="575"/>
    </row>
    <row r="40" spans="2:27" s="578" customFormat="1" ht="12.75" customHeight="1" x14ac:dyDescent="0.25">
      <c r="K40" s="582" t="s">
        <v>946</v>
      </c>
      <c r="M40" s="576">
        <f>'Expense Build'!AC71</f>
        <v>25.458849999999998</v>
      </c>
      <c r="N40" s="576">
        <f>'Expense Build'!AD71</f>
        <v>71.670670000000001</v>
      </c>
      <c r="O40" s="576">
        <f>'Expense Build'!AE71</f>
        <v>135.59773000000001</v>
      </c>
      <c r="P40" s="576">
        <f>'Expense Build'!AF71</f>
        <v>285.84616961610635</v>
      </c>
      <c r="Q40" s="576">
        <f>'Expense Build'!AG71</f>
        <v>451.44788405967506</v>
      </c>
      <c r="R40" s="576">
        <f>'Expense Build'!AH71</f>
        <v>562.53135457906046</v>
      </c>
      <c r="T40" s="601" t="s">
        <v>948</v>
      </c>
      <c r="V40" s="617"/>
      <c r="W40" s="617"/>
      <c r="X40" s="617"/>
      <c r="Y40" s="617"/>
      <c r="Z40" s="617"/>
      <c r="AA40" s="617"/>
    </row>
    <row r="41" spans="2:27" s="578" customFormat="1" ht="12.75" customHeight="1" x14ac:dyDescent="0.35">
      <c r="B41" s="608" t="s">
        <v>947</v>
      </c>
      <c r="K41" s="582" t="s">
        <v>944</v>
      </c>
      <c r="M41" s="580">
        <f>'Expense Build'!AC72</f>
        <v>282.17077999999998</v>
      </c>
      <c r="N41" s="580">
        <f>'Expense Build'!AD72</f>
        <v>875.32267000000002</v>
      </c>
      <c r="O41" s="580">
        <f>'Expense Build'!AE72</f>
        <v>1457.25911</v>
      </c>
      <c r="P41" s="580">
        <f>'Expense Build'!AF72</f>
        <v>2200</v>
      </c>
      <c r="Q41" s="580">
        <f>'Expense Build'!AG72</f>
        <v>3300</v>
      </c>
      <c r="R41" s="580">
        <f>'Expense Build'!AH72</f>
        <v>4000</v>
      </c>
      <c r="T41" s="602" t="s">
        <v>946</v>
      </c>
      <c r="V41" s="576">
        <f>'Functional P&amp;L'!AC19</f>
        <v>25.458849999999998</v>
      </c>
      <c r="W41" s="576">
        <f>'Functional P&amp;L'!AD19</f>
        <v>71.670670000000001</v>
      </c>
      <c r="X41" s="576">
        <f>'Functional P&amp;L'!AE19</f>
        <v>135.59773000000001</v>
      </c>
      <c r="Y41" s="576">
        <f>'Functional P&amp;L'!AF19</f>
        <v>285.84616961610635</v>
      </c>
      <c r="Z41" s="576">
        <f>'Functional P&amp;L'!AG19</f>
        <v>451.44788405967506</v>
      </c>
      <c r="AA41" s="576">
        <f>'Functional P&amp;L'!AH19</f>
        <v>562.53135457906046</v>
      </c>
    </row>
    <row r="42" spans="2:27" s="578" customFormat="1" ht="12.75" customHeight="1" x14ac:dyDescent="0.2">
      <c r="B42" s="597" t="s">
        <v>937</v>
      </c>
      <c r="D42" s="616" t="str">
        <f>'Bookings Build'!AD114</f>
        <v>-</v>
      </c>
      <c r="E42" s="603">
        <f>'Bookings Build'!AE114</f>
        <v>16.989600000000003</v>
      </c>
      <c r="F42" s="603">
        <f>'Bookings Build'!AF114</f>
        <v>7.1135999999999999</v>
      </c>
      <c r="G42" s="603">
        <f>'Bookings Build'!AG114</f>
        <v>12.729484444444438</v>
      </c>
      <c r="H42" s="603">
        <f>'Bookings Build'!AH114</f>
        <v>7.5</v>
      </c>
      <c r="I42" s="603">
        <f>'Bookings Build'!AI114</f>
        <v>8</v>
      </c>
      <c r="K42" s="579" t="s">
        <v>945</v>
      </c>
      <c r="M42" s="577">
        <f t="shared" ref="M42:R42" si="6">SUM(M40:M41)</f>
        <v>307.62962999999996</v>
      </c>
      <c r="N42" s="577">
        <f t="shared" si="6"/>
        <v>946.99333999999999</v>
      </c>
      <c r="O42" s="577">
        <f t="shared" si="6"/>
        <v>1592.8568399999999</v>
      </c>
      <c r="P42" s="577">
        <f t="shared" si="6"/>
        <v>2485.8461696161062</v>
      </c>
      <c r="Q42" s="577">
        <f t="shared" si="6"/>
        <v>3751.4478840596748</v>
      </c>
      <c r="R42" s="577">
        <f t="shared" si="6"/>
        <v>4562.5313545790605</v>
      </c>
      <c r="T42" s="602" t="s">
        <v>944</v>
      </c>
      <c r="U42" s="599"/>
      <c r="V42" s="615">
        <f>'Functional P&amp;L'!AC20</f>
        <v>282.17077999999998</v>
      </c>
      <c r="W42" s="615">
        <f>'Functional P&amp;L'!AD20</f>
        <v>875.32267000000002</v>
      </c>
      <c r="X42" s="615">
        <f>'Functional P&amp;L'!AE20</f>
        <v>1457.25911</v>
      </c>
      <c r="Y42" s="615">
        <f>'Functional P&amp;L'!AF20</f>
        <v>2200</v>
      </c>
      <c r="Z42" s="615">
        <f>'Functional P&amp;L'!AG20</f>
        <v>3300</v>
      </c>
      <c r="AA42" s="615">
        <f>'Functional P&amp;L'!AH20</f>
        <v>4000</v>
      </c>
    </row>
    <row r="43" spans="2:27" s="578" customFormat="1" ht="12.75" customHeight="1" x14ac:dyDescent="0.25">
      <c r="B43" s="578" t="s">
        <v>943</v>
      </c>
      <c r="D43" s="605">
        <f>'Bookings Build'!AD116</f>
        <v>0</v>
      </c>
      <c r="E43" s="576">
        <f>'Bookings Build'!AE116</f>
        <v>5</v>
      </c>
      <c r="F43" s="576">
        <f>'Bookings Build'!AF116</f>
        <v>15</v>
      </c>
      <c r="G43" s="576">
        <f>'Bookings Build'!AG116</f>
        <v>27</v>
      </c>
      <c r="H43" s="576">
        <f>'Bookings Build'!AH116</f>
        <v>27</v>
      </c>
      <c r="I43" s="576">
        <f>'Bookings Build'!AI116</f>
        <v>27</v>
      </c>
      <c r="M43" s="596"/>
      <c r="N43" s="596"/>
      <c r="O43" s="596"/>
      <c r="P43" s="596"/>
      <c r="Q43" s="596"/>
      <c r="R43" s="596"/>
      <c r="T43" s="601" t="s">
        <v>516</v>
      </c>
      <c r="U43" s="599"/>
      <c r="V43" s="600">
        <f t="shared" ref="V43:AA43" si="7">SUM(V41:V42)</f>
        <v>307.62962999999996</v>
      </c>
      <c r="W43" s="600">
        <f t="shared" si="7"/>
        <v>946.99333999999999</v>
      </c>
      <c r="X43" s="600">
        <f t="shared" si="7"/>
        <v>1592.8568399999999</v>
      </c>
      <c r="Y43" s="600">
        <f t="shared" si="7"/>
        <v>2485.8461696161062</v>
      </c>
      <c r="Z43" s="600">
        <f t="shared" si="7"/>
        <v>3751.4478840596748</v>
      </c>
      <c r="AA43" s="600">
        <f t="shared" si="7"/>
        <v>4562.5313545790605</v>
      </c>
    </row>
    <row r="44" spans="2:27" s="578" customFormat="1" ht="12.75" customHeight="1" x14ac:dyDescent="0.25">
      <c r="B44" s="597" t="s">
        <v>942</v>
      </c>
      <c r="D44" s="614" t="str">
        <f>'Bookings Build'!AD122</f>
        <v>-</v>
      </c>
      <c r="E44" s="614" t="str">
        <f>'Bookings Build'!AE122</f>
        <v>-</v>
      </c>
      <c r="F44" s="613">
        <f>'Bookings Build'!AF122</f>
        <v>0.8507478409414444</v>
      </c>
      <c r="G44" s="613">
        <f>'Bookings Build'!AG122</f>
        <v>0.99199725750577372</v>
      </c>
      <c r="H44" s="613">
        <f>'Bookings Build'!AH122</f>
        <v>0.375</v>
      </c>
      <c r="I44" s="613">
        <f>'Bookings Build'!AI122</f>
        <v>0.375</v>
      </c>
      <c r="K44" s="582" t="s">
        <v>924</v>
      </c>
      <c r="M44" s="583"/>
      <c r="N44" s="583"/>
      <c r="O44" s="576">
        <f>'Expense Build'!AE77</f>
        <v>154.40565000000001</v>
      </c>
      <c r="P44" s="576">
        <f>'Expense Build'!AF77</f>
        <v>300</v>
      </c>
      <c r="Q44" s="576">
        <f>'Expense Build'!AG77</f>
        <v>350</v>
      </c>
      <c r="R44" s="576">
        <f>'Expense Build'!AH77</f>
        <v>400</v>
      </c>
      <c r="T44" s="575"/>
      <c r="U44" s="599"/>
      <c r="V44" s="575"/>
      <c r="W44" s="575"/>
      <c r="X44" s="575"/>
      <c r="Y44" s="575"/>
      <c r="Z44" s="575"/>
      <c r="AA44" s="575"/>
    </row>
    <row r="45" spans="2:27" s="578" customFormat="1" ht="12.75" customHeight="1" x14ac:dyDescent="0.25">
      <c r="K45" s="582" t="s">
        <v>397</v>
      </c>
      <c r="M45" s="611"/>
      <c r="N45" s="583"/>
      <c r="O45" s="576">
        <f>'Expense Build'!AE78</f>
        <v>0</v>
      </c>
      <c r="P45" s="576">
        <f>'Expense Build'!AF78</f>
        <v>0</v>
      </c>
      <c r="Q45" s="576">
        <f>'Expense Build'!AG78</f>
        <v>250</v>
      </c>
      <c r="R45" s="576">
        <f>'Expense Build'!AH78</f>
        <v>600</v>
      </c>
      <c r="T45" s="601" t="s">
        <v>805</v>
      </c>
      <c r="V45" s="600">
        <f t="shared" ref="V45:AA45" si="8">V37-V43</f>
        <v>686.95341000000008</v>
      </c>
      <c r="W45" s="600">
        <f t="shared" si="8"/>
        <v>2521.8408599999998</v>
      </c>
      <c r="X45" s="600">
        <f t="shared" si="8"/>
        <v>5077.8216699999994</v>
      </c>
      <c r="Y45" s="600">
        <f t="shared" si="8"/>
        <v>8948.0006150281442</v>
      </c>
      <c r="Z45" s="600">
        <f t="shared" si="8"/>
        <v>14306.467478327326</v>
      </c>
      <c r="AA45" s="600">
        <f t="shared" si="8"/>
        <v>17938.722828583355</v>
      </c>
    </row>
    <row r="46" spans="2:27" s="578" customFormat="1" x14ac:dyDescent="0.25">
      <c r="B46" s="612" t="s">
        <v>941</v>
      </c>
      <c r="C46" s="612"/>
      <c r="D46" s="612"/>
      <c r="E46" s="612"/>
      <c r="F46" s="612"/>
      <c r="G46" s="612"/>
      <c r="H46" s="612"/>
      <c r="I46" s="612"/>
      <c r="K46" s="582" t="s">
        <v>928</v>
      </c>
      <c r="M46" s="611"/>
      <c r="N46" s="583"/>
      <c r="O46" s="576">
        <f>'Expense Build'!AE79</f>
        <v>13.876619999999999</v>
      </c>
      <c r="P46" s="576">
        <f>'Expense Build'!AF79</f>
        <v>25</v>
      </c>
      <c r="Q46" s="576">
        <f>'Expense Build'!AG79</f>
        <v>50</v>
      </c>
      <c r="R46" s="576">
        <f>'Expense Build'!AH79</f>
        <v>100</v>
      </c>
      <c r="T46" s="610" t="s">
        <v>929</v>
      </c>
      <c r="V46" s="609">
        <f t="shared" ref="V46:AA46" si="9">IFERROR(V45/V37,"-")</f>
        <v>0.69069487651830463</v>
      </c>
      <c r="W46" s="609">
        <f t="shared" si="9"/>
        <v>0.72699953776977866</v>
      </c>
      <c r="X46" s="609">
        <f t="shared" si="9"/>
        <v>0.76121516909979214</v>
      </c>
      <c r="Y46" s="609">
        <f t="shared" si="9"/>
        <v>0.78258881578204997</v>
      </c>
      <c r="Z46" s="609">
        <f t="shared" si="9"/>
        <v>0.79225465349817725</v>
      </c>
      <c r="AA46" s="609">
        <f t="shared" si="9"/>
        <v>0.79723213126523496</v>
      </c>
    </row>
    <row r="47" spans="2:27" s="578" customFormat="1" ht="15" x14ac:dyDescent="0.35">
      <c r="K47" s="582" t="s">
        <v>2</v>
      </c>
      <c r="M47" s="581"/>
      <c r="N47" s="581"/>
      <c r="O47" s="580">
        <f>'Expense Build'!AE80</f>
        <v>5.6835100000000001</v>
      </c>
      <c r="P47" s="580">
        <f>'Expense Build'!AF80</f>
        <v>45</v>
      </c>
      <c r="Q47" s="580">
        <f>'Expense Build'!AG80</f>
        <v>60</v>
      </c>
      <c r="R47" s="580">
        <f>'Expense Build'!AH80</f>
        <v>70</v>
      </c>
      <c r="T47" s="575"/>
      <c r="V47" s="575"/>
      <c r="W47" s="575"/>
      <c r="X47" s="575"/>
      <c r="Y47" s="575"/>
      <c r="Z47" s="575"/>
      <c r="AA47" s="575"/>
    </row>
    <row r="48" spans="2:27" s="578" customFormat="1" ht="12.75" customHeight="1" x14ac:dyDescent="0.2">
      <c r="B48" s="608" t="s">
        <v>853</v>
      </c>
      <c r="K48" s="579" t="s">
        <v>10</v>
      </c>
      <c r="M48" s="577">
        <f>'Expense Build'!AC81</f>
        <v>-3.713060659319372</v>
      </c>
      <c r="N48" s="577">
        <f>'Expense Build'!AD81</f>
        <v>168.48920212495727</v>
      </c>
      <c r="O48" s="577">
        <f>SUM(O44:O47)</f>
        <v>173.96578000000002</v>
      </c>
      <c r="P48" s="577">
        <f>SUM(P44:P47)</f>
        <v>370</v>
      </c>
      <c r="Q48" s="577">
        <f>SUM(Q44:Q47)</f>
        <v>710</v>
      </c>
      <c r="R48" s="577">
        <f>SUM(R44:R47)</f>
        <v>1170</v>
      </c>
      <c r="T48" s="601" t="s">
        <v>32</v>
      </c>
      <c r="V48" s="607"/>
      <c r="W48" s="607"/>
      <c r="X48" s="607"/>
      <c r="Y48" s="607"/>
      <c r="Z48" s="607"/>
      <c r="AA48" s="607"/>
    </row>
    <row r="49" spans="2:27" s="578" customFormat="1" ht="12.75" customHeight="1" x14ac:dyDescent="0.25">
      <c r="B49" s="604" t="s">
        <v>940</v>
      </c>
      <c r="C49" s="570"/>
      <c r="D49" s="576">
        <f>'Bookings Build'!AD152</f>
        <v>10</v>
      </c>
      <c r="E49" s="576">
        <f>'Bookings Build'!AE152</f>
        <v>22</v>
      </c>
      <c r="F49" s="576">
        <f>'Bookings Build'!AF152</f>
        <v>2</v>
      </c>
      <c r="G49" s="576">
        <f>'Bookings Build'!AG152</f>
        <v>5</v>
      </c>
      <c r="H49" s="576">
        <f>'Bookings Build'!AH152</f>
        <v>0</v>
      </c>
      <c r="I49" s="576">
        <f>'Bookings Build'!AI152</f>
        <v>0</v>
      </c>
      <c r="O49" s="606"/>
      <c r="P49" s="606"/>
      <c r="Q49" s="606"/>
      <c r="R49" s="606"/>
      <c r="T49" s="602" t="s">
        <v>12</v>
      </c>
      <c r="V49" s="576">
        <f>'Functional P&amp;L'!AC27</f>
        <v>919.25272972222217</v>
      </c>
      <c r="W49" s="576">
        <f>'Functional P&amp;L'!AD27</f>
        <v>4015.6262884934158</v>
      </c>
      <c r="X49" s="576">
        <f>'Functional P&amp;L'!AE27</f>
        <v>5492.1178316844343</v>
      </c>
      <c r="Y49" s="576">
        <f>'Functional P&amp;L'!AF27</f>
        <v>9559.56963</v>
      </c>
      <c r="Z49" s="576">
        <f>'Functional P&amp;L'!AG27</f>
        <v>13963.228578045369</v>
      </c>
      <c r="AA49" s="576">
        <f>'Functional P&amp;L'!AH27</f>
        <v>16446.580261974552</v>
      </c>
    </row>
    <row r="50" spans="2:27" s="578" customFormat="1" x14ac:dyDescent="0.25">
      <c r="B50" s="604" t="s">
        <v>939</v>
      </c>
      <c r="D50" s="605">
        <f>'Bookings Build'!AD153</f>
        <v>1</v>
      </c>
      <c r="E50" s="605">
        <f>'Bookings Build'!AE153</f>
        <v>3.7272727272727271</v>
      </c>
      <c r="F50" s="605">
        <f>'Bookings Build'!AF153</f>
        <v>21</v>
      </c>
      <c r="G50" s="605">
        <f>'Bookings Build'!AG153</f>
        <v>8.1999999999999993</v>
      </c>
      <c r="H50" s="605">
        <f>'Bookings Build'!AH153</f>
        <v>29</v>
      </c>
      <c r="I50" s="605">
        <f>'Bookings Build'!AI153</f>
        <v>33</v>
      </c>
      <c r="K50" s="582" t="s">
        <v>938</v>
      </c>
      <c r="M50" s="583"/>
      <c r="N50" s="583"/>
      <c r="O50" s="576">
        <f>'Expense Build'!AE85</f>
        <v>616.84108000000003</v>
      </c>
      <c r="P50" s="576">
        <f>'Expense Build'!AF85</f>
        <v>1250</v>
      </c>
      <c r="Q50" s="576">
        <f>'Expense Build'!AG85</f>
        <v>1500</v>
      </c>
      <c r="R50" s="576">
        <f>'Expense Build'!AH85</f>
        <v>1750</v>
      </c>
      <c r="T50" s="585" t="s">
        <v>936</v>
      </c>
      <c r="V50" s="598">
        <f t="shared" ref="V50:AA50" si="10">IFERROR(V49/V$37,"-")</f>
        <v>0.92425940595389811</v>
      </c>
      <c r="W50" s="598">
        <f t="shared" si="10"/>
        <v>1.1576299289523311</v>
      </c>
      <c r="X50" s="598">
        <f t="shared" si="10"/>
        <v>0.82332221878946987</v>
      </c>
      <c r="Y50" s="598">
        <f t="shared" si="10"/>
        <v>0.83607641505556818</v>
      </c>
      <c r="Z50" s="598">
        <f t="shared" si="10"/>
        <v>0.77324698326638008</v>
      </c>
      <c r="AA50" s="598">
        <f t="shared" si="10"/>
        <v>0.7309183802866176</v>
      </c>
    </row>
    <row r="51" spans="2:27" s="578" customFormat="1" ht="12.75" customHeight="1" x14ac:dyDescent="0.25">
      <c r="B51" s="604" t="s">
        <v>937</v>
      </c>
      <c r="D51" s="603">
        <f>'Bookings Build'!AD160</f>
        <v>5.0796000000000001</v>
      </c>
      <c r="E51" s="603">
        <f>'Bookings Build'!AE160</f>
        <v>5.7111848780487806</v>
      </c>
      <c r="F51" s="603">
        <f>'Bookings Build'!AF160</f>
        <v>9.9647171428571415</v>
      </c>
      <c r="G51" s="603">
        <f>'Bookings Build'!AG160</f>
        <v>9.2498780487804879</v>
      </c>
      <c r="H51" s="603">
        <f>'Bookings Build'!AH160</f>
        <v>9.5</v>
      </c>
      <c r="I51" s="603">
        <f>'Bookings Build'!AI160</f>
        <v>10</v>
      </c>
      <c r="K51" s="582" t="s">
        <v>350</v>
      </c>
      <c r="M51" s="583"/>
      <c r="N51" s="583"/>
      <c r="O51" s="576">
        <f>'Expense Build'!AE86</f>
        <v>365.14158999999995</v>
      </c>
      <c r="P51" s="576">
        <f>'Expense Build'!AF86</f>
        <v>700</v>
      </c>
      <c r="Q51" s="576">
        <f>'Expense Build'!AG86</f>
        <v>800</v>
      </c>
      <c r="R51" s="576">
        <f>'Expense Build'!AH86</f>
        <v>1000</v>
      </c>
      <c r="T51" s="602" t="s">
        <v>534</v>
      </c>
      <c r="V51" s="576">
        <f>'Functional P&amp;L'!AC29</f>
        <v>513.55562069444443</v>
      </c>
      <c r="W51" s="576">
        <f>'Functional P&amp;L'!AD29</f>
        <v>1385.279256380127</v>
      </c>
      <c r="X51" s="576">
        <f>'Functional P&amp;L'!AE29</f>
        <v>2728.9721953988351</v>
      </c>
      <c r="Y51" s="576">
        <f>'Functional P&amp;L'!AF29</f>
        <v>4415.6631600000001</v>
      </c>
      <c r="Z51" s="576">
        <f>'Functional P&amp;L'!AG29</f>
        <v>8227.0343284459759</v>
      </c>
      <c r="AA51" s="576">
        <f>'Functional P&amp;L'!AH29</f>
        <v>10034.225202813093</v>
      </c>
    </row>
    <row r="52" spans="2:27" s="578" customFormat="1" x14ac:dyDescent="0.25">
      <c r="K52" s="582" t="s">
        <v>924</v>
      </c>
      <c r="M52" s="583"/>
      <c r="N52" s="583"/>
      <c r="O52" s="576">
        <f>'Expense Build'!AE87</f>
        <v>140.77844999999999</v>
      </c>
      <c r="P52" s="576">
        <f>'Expense Build'!AF87</f>
        <v>275</v>
      </c>
      <c r="Q52" s="576">
        <f>'Expense Build'!AG87</f>
        <v>300</v>
      </c>
      <c r="R52" s="576">
        <f>'Expense Build'!AH87</f>
        <v>325</v>
      </c>
      <c r="T52" s="585" t="s">
        <v>936</v>
      </c>
      <c r="V52" s="598">
        <f t="shared" ref="V52:AA52" si="11">IFERROR(V51/V$37,"-")</f>
        <v>0.51635268252155631</v>
      </c>
      <c r="W52" s="598">
        <f t="shared" si="11"/>
        <v>0.39935009184933862</v>
      </c>
      <c r="X52" s="598">
        <f t="shared" si="11"/>
        <v>0.40909964275865474</v>
      </c>
      <c r="Y52" s="598">
        <f t="shared" si="11"/>
        <v>0.38619226260144324</v>
      </c>
      <c r="Z52" s="598">
        <f t="shared" si="11"/>
        <v>0.45559158758613644</v>
      </c>
      <c r="AA52" s="598">
        <f t="shared" si="11"/>
        <v>0.44594070717718737</v>
      </c>
    </row>
    <row r="53" spans="2:27" s="578" customFormat="1" ht="12.75" customHeight="1" x14ac:dyDescent="0.25">
      <c r="K53" s="582" t="s">
        <v>928</v>
      </c>
      <c r="M53" s="583"/>
      <c r="N53" s="583"/>
      <c r="O53" s="576">
        <f>'Expense Build'!AE88</f>
        <v>2.1718999999999999</v>
      </c>
      <c r="P53" s="576">
        <f>'Expense Build'!AF88</f>
        <v>15</v>
      </c>
      <c r="Q53" s="576">
        <f>'Expense Build'!AG88</f>
        <v>25</v>
      </c>
      <c r="R53" s="576">
        <f>'Expense Build'!AH88</f>
        <v>40</v>
      </c>
      <c r="T53" s="602" t="s">
        <v>543</v>
      </c>
      <c r="V53" s="576">
        <f>'Functional P&amp;L'!AC31</f>
        <v>634.1132995833334</v>
      </c>
      <c r="W53" s="576">
        <f>'Functional P&amp;L'!AD31</f>
        <v>1713.3952951264566</v>
      </c>
      <c r="X53" s="576">
        <f>'Functional P&amp;L'!AE31</f>
        <v>2288.709802916731</v>
      </c>
      <c r="Y53" s="576">
        <f>'Functional P&amp;L'!AF31</f>
        <v>3472.8940799999996</v>
      </c>
      <c r="Z53" s="576">
        <f>'Functional P&amp;L'!AG31</f>
        <v>6242.4657348091214</v>
      </c>
      <c r="AA53" s="576">
        <f>'Functional P&amp;L'!AH31</f>
        <v>7755.8594547884268</v>
      </c>
    </row>
    <row r="54" spans="2:27" s="578" customFormat="1" ht="12.75" customHeight="1" x14ac:dyDescent="0.35">
      <c r="K54" s="582" t="s">
        <v>2</v>
      </c>
      <c r="M54" s="581"/>
      <c r="N54" s="581"/>
      <c r="O54" s="580">
        <f>'Expense Build'!AE89</f>
        <v>2.3969800000000001</v>
      </c>
      <c r="P54" s="580">
        <f>'Expense Build'!AF89</f>
        <v>15</v>
      </c>
      <c r="Q54" s="580">
        <f>'Expense Build'!AG89</f>
        <v>25</v>
      </c>
      <c r="R54" s="580">
        <f>'Expense Build'!AH89</f>
        <v>50</v>
      </c>
      <c r="T54" s="585" t="s">
        <v>936</v>
      </c>
      <c r="V54" s="598">
        <f t="shared" ref="V54:AA54" si="12">IFERROR(V53/V$37,"-")</f>
        <v>0.63756697438087562</v>
      </c>
      <c r="W54" s="598">
        <f t="shared" si="12"/>
        <v>0.49393980696063733</v>
      </c>
      <c r="X54" s="598">
        <f t="shared" si="12"/>
        <v>0.34310000091980614</v>
      </c>
      <c r="Y54" s="598">
        <f t="shared" si="12"/>
        <v>0.30373802845286718</v>
      </c>
      <c r="Z54" s="598">
        <f t="shared" si="12"/>
        <v>0.34569138294952978</v>
      </c>
      <c r="AA54" s="598">
        <f t="shared" si="12"/>
        <v>0.34468565137102897</v>
      </c>
    </row>
    <row r="55" spans="2:27" s="578" customFormat="1" ht="12.75" customHeight="1" x14ac:dyDescent="0.2">
      <c r="K55" s="579" t="s">
        <v>11</v>
      </c>
      <c r="M55" s="577">
        <f>'Expense Build'!AC90</f>
        <v>598.36799835562977</v>
      </c>
      <c r="N55" s="577">
        <f>'Expense Build'!AD90</f>
        <v>1718.0492102033752</v>
      </c>
      <c r="O55" s="577">
        <f>SUM(O50:O54)</f>
        <v>1127.33</v>
      </c>
      <c r="P55" s="577">
        <f>SUM(P50:P54)</f>
        <v>2255</v>
      </c>
      <c r="Q55" s="577">
        <f>SUM(Q50:Q54)</f>
        <v>2650</v>
      </c>
      <c r="R55" s="577">
        <f>SUM(R50:R54)</f>
        <v>3165</v>
      </c>
      <c r="T55" s="601" t="s">
        <v>513</v>
      </c>
      <c r="U55" s="599"/>
      <c r="V55" s="600">
        <f t="shared" ref="V55:AA55" si="13">V53+V51+V49</f>
        <v>2066.9216500000002</v>
      </c>
      <c r="W55" s="600">
        <f t="shared" si="13"/>
        <v>7114.3008399999999</v>
      </c>
      <c r="X55" s="600">
        <f t="shared" si="13"/>
        <v>10509.79983</v>
      </c>
      <c r="Y55" s="600">
        <f t="shared" si="13"/>
        <v>17448.12687</v>
      </c>
      <c r="Z55" s="600">
        <f t="shared" si="13"/>
        <v>28432.728641300469</v>
      </c>
      <c r="AA55" s="600">
        <f t="shared" si="13"/>
        <v>34236.664919576069</v>
      </c>
    </row>
    <row r="56" spans="2:27" s="578" customFormat="1" ht="12.75" customHeight="1" x14ac:dyDescent="0.25">
      <c r="T56" s="585" t="s">
        <v>936</v>
      </c>
      <c r="U56" s="599"/>
      <c r="V56" s="598">
        <f t="shared" ref="V56:AA56" si="14">IFERROR(V55/V$37,"-")</f>
        <v>2.0781790628563304</v>
      </c>
      <c r="W56" s="598">
        <f t="shared" si="14"/>
        <v>2.0509198277623071</v>
      </c>
      <c r="X56" s="598">
        <f t="shared" si="14"/>
        <v>1.5755218624679306</v>
      </c>
      <c r="Y56" s="598">
        <f t="shared" si="14"/>
        <v>1.5260067061098785</v>
      </c>
      <c r="Z56" s="598">
        <f t="shared" si="14"/>
        <v>1.5745299538020465</v>
      </c>
      <c r="AA56" s="598">
        <f t="shared" si="14"/>
        <v>1.5215447388348338</v>
      </c>
    </row>
    <row r="57" spans="2:27" s="578" customFormat="1" ht="12.75" customHeight="1" x14ac:dyDescent="0.35">
      <c r="K57" s="582" t="s">
        <v>924</v>
      </c>
      <c r="M57" s="581"/>
      <c r="N57" s="581"/>
      <c r="O57" s="576">
        <f>'Expense Build'!AE94</f>
        <v>40.924030000000002</v>
      </c>
      <c r="P57" s="576">
        <f>'Expense Build'!AF94</f>
        <v>60</v>
      </c>
      <c r="Q57" s="576">
        <f>'Expense Build'!AG94</f>
        <v>100</v>
      </c>
      <c r="R57" s="576">
        <f>'Expense Build'!AH94</f>
        <v>125</v>
      </c>
      <c r="T57" s="575"/>
      <c r="V57" s="575"/>
      <c r="W57" s="575"/>
      <c r="X57" s="575"/>
      <c r="Y57" s="575"/>
      <c r="Z57" s="575"/>
      <c r="AA57" s="575"/>
    </row>
    <row r="58" spans="2:27" s="578" customFormat="1" ht="12.75" customHeight="1" x14ac:dyDescent="0.35">
      <c r="K58" s="582" t="s">
        <v>928</v>
      </c>
      <c r="M58" s="581"/>
      <c r="N58" s="581"/>
      <c r="O58" s="576">
        <f>'Expense Build'!AE95</f>
        <v>1.0833200000000001</v>
      </c>
      <c r="P58" s="576">
        <f>'Expense Build'!AF95</f>
        <v>10</v>
      </c>
      <c r="Q58" s="576">
        <f>'Expense Build'!AG95</f>
        <v>30</v>
      </c>
      <c r="R58" s="576">
        <f>'Expense Build'!AH95</f>
        <v>40</v>
      </c>
      <c r="T58" s="578" t="s">
        <v>935</v>
      </c>
      <c r="V58" s="576">
        <f>'Functional P&amp;L'!AC36</f>
        <v>0</v>
      </c>
      <c r="W58" s="576">
        <f>'Functional P&amp;L'!AD36</f>
        <v>0</v>
      </c>
      <c r="X58" s="576">
        <f>'Functional P&amp;L'!AE36</f>
        <v>118.7085</v>
      </c>
      <c r="Y58" s="576">
        <f>'Functional P&amp;L'!AF36</f>
        <v>125</v>
      </c>
      <c r="Z58" s="576">
        <f>'Functional P&amp;L'!AG36</f>
        <v>125</v>
      </c>
      <c r="AA58" s="576">
        <f>'Functional P&amp;L'!AH36</f>
        <v>125</v>
      </c>
    </row>
    <row r="59" spans="2:27" s="578" customFormat="1" ht="12.75" customHeight="1" x14ac:dyDescent="0.35">
      <c r="K59" s="582" t="s">
        <v>2</v>
      </c>
      <c r="M59" s="581"/>
      <c r="N59" s="581"/>
      <c r="O59" s="580">
        <f>'Expense Build'!AE96</f>
        <v>2.8559300000000003</v>
      </c>
      <c r="P59" s="580">
        <f>'Expense Build'!AF96</f>
        <v>10</v>
      </c>
      <c r="Q59" s="580">
        <f>'Expense Build'!AG96</f>
        <v>15</v>
      </c>
      <c r="R59" s="580">
        <f>'Expense Build'!AH96</f>
        <v>20</v>
      </c>
    </row>
    <row r="60" spans="2:27" s="578" customFormat="1" ht="12.75" customHeight="1" x14ac:dyDescent="0.2">
      <c r="K60" s="579" t="s">
        <v>385</v>
      </c>
      <c r="M60" s="577">
        <f>'Expense Build'!AC97</f>
        <v>12.222619999999999</v>
      </c>
      <c r="N60" s="577">
        <f>'Expense Build'!AD97</f>
        <v>-5.5324049264668602</v>
      </c>
      <c r="O60" s="577">
        <f>SUM(O57:O59)</f>
        <v>44.863280000000003</v>
      </c>
      <c r="P60" s="577">
        <f>SUM(P57:P59)</f>
        <v>80</v>
      </c>
      <c r="Q60" s="577">
        <f>SUM(Q57:Q59)</f>
        <v>145</v>
      </c>
      <c r="R60" s="577">
        <f>SUM(R57:R59)</f>
        <v>185</v>
      </c>
      <c r="T60" s="592" t="s">
        <v>934</v>
      </c>
      <c r="U60" s="592"/>
      <c r="V60" s="591">
        <f t="shared" ref="V60:AA60" si="15">V45-V55+V58</f>
        <v>-1379.9682400000002</v>
      </c>
      <c r="W60" s="591">
        <f t="shared" si="15"/>
        <v>-4592.4599799999996</v>
      </c>
      <c r="X60" s="591">
        <f t="shared" si="15"/>
        <v>-5313.2696600000008</v>
      </c>
      <c r="Y60" s="591">
        <f t="shared" si="15"/>
        <v>-8375.1262549718558</v>
      </c>
      <c r="Z60" s="591">
        <f t="shared" si="15"/>
        <v>-14001.261162973144</v>
      </c>
      <c r="AA60" s="591">
        <f t="shared" si="15"/>
        <v>-16172.942090992714</v>
      </c>
    </row>
    <row r="61" spans="2:27" s="578" customFormat="1" ht="12.75" customHeight="1" x14ac:dyDescent="0.25">
      <c r="B61" s="597"/>
      <c r="M61" s="596"/>
      <c r="N61" s="596"/>
      <c r="O61" s="596"/>
      <c r="P61" s="596"/>
      <c r="Q61" s="596"/>
      <c r="R61" s="596"/>
      <c r="T61" s="590" t="s">
        <v>929</v>
      </c>
      <c r="U61" s="590"/>
      <c r="V61" s="589">
        <f t="shared" ref="V61:AA61" si="16">IFERROR(V60/V$37,"-")</f>
        <v>-1.3874841863380256</v>
      </c>
      <c r="W61" s="589">
        <f t="shared" si="16"/>
        <v>-1.3239202899925282</v>
      </c>
      <c r="X61" s="589">
        <f t="shared" si="16"/>
        <v>-0.79651112732158946</v>
      </c>
      <c r="Y61" s="589">
        <f t="shared" si="16"/>
        <v>-0.7324854366790815</v>
      </c>
      <c r="Z61" s="589">
        <f t="shared" si="16"/>
        <v>-0.77535312808789103</v>
      </c>
      <c r="AA61" s="589">
        <f t="shared" si="16"/>
        <v>-0.71875736167163751</v>
      </c>
    </row>
    <row r="62" spans="2:27" s="578" customFormat="1" ht="12.75" customHeight="1" x14ac:dyDescent="0.25">
      <c r="K62" s="582" t="s">
        <v>933</v>
      </c>
      <c r="M62" s="583"/>
      <c r="N62" s="583"/>
      <c r="O62" s="576">
        <f>'Expense Build'!AE101</f>
        <v>130.39911999999998</v>
      </c>
      <c r="P62" s="576">
        <f>'Expense Build'!AF101</f>
        <v>183</v>
      </c>
      <c r="Q62" s="576">
        <f>'Expense Build'!AG101</f>
        <v>225</v>
      </c>
      <c r="R62" s="576">
        <f>'Expense Build'!AH101</f>
        <v>250</v>
      </c>
      <c r="T62" s="575"/>
      <c r="U62" s="575"/>
      <c r="V62" s="575"/>
      <c r="W62" s="575"/>
      <c r="X62" s="575"/>
      <c r="Y62" s="575"/>
      <c r="Z62" s="575"/>
      <c r="AA62" s="575"/>
    </row>
    <row r="63" spans="2:27" s="578" customFormat="1" ht="12.75" customHeight="1" x14ac:dyDescent="0.25">
      <c r="K63" s="582" t="s">
        <v>350</v>
      </c>
      <c r="M63" s="583"/>
      <c r="N63" s="583"/>
      <c r="O63" s="576">
        <f>'Expense Build'!AE102</f>
        <v>8.2457499999999992</v>
      </c>
      <c r="P63" s="576">
        <f>'Expense Build'!AF102</f>
        <v>104</v>
      </c>
      <c r="Q63" s="576">
        <f>'Expense Build'!AG102</f>
        <v>220</v>
      </c>
      <c r="R63" s="576">
        <f>'Expense Build'!AH102</f>
        <v>240</v>
      </c>
      <c r="T63" s="595" t="s">
        <v>932</v>
      </c>
      <c r="U63" s="595"/>
      <c r="V63" s="576">
        <f>'Functional P&amp;L'!AC42</f>
        <v>0</v>
      </c>
      <c r="W63" s="576">
        <f>'Functional P&amp;L'!AD42</f>
        <v>0</v>
      </c>
      <c r="X63" s="576">
        <f>'Functional P&amp;L'!AE42</f>
        <v>1247.6077799999998</v>
      </c>
      <c r="Y63" s="576">
        <f>'Functional P&amp;L'!AF42</f>
        <v>2202.0365355921058</v>
      </c>
      <c r="Z63" s="576">
        <f>'Functional P&amp;L'!AG42</f>
        <v>2055.6017537660377</v>
      </c>
      <c r="AA63" s="576">
        <f>'Functional P&amp;L'!AH42</f>
        <v>1771.7363460927113</v>
      </c>
    </row>
    <row r="64" spans="2:27" s="578" customFormat="1" ht="12.75" customHeight="1" x14ac:dyDescent="0.25">
      <c r="K64" s="582" t="s">
        <v>924</v>
      </c>
      <c r="M64" s="583"/>
      <c r="N64" s="583"/>
      <c r="O64" s="576">
        <f>'Expense Build'!AE103</f>
        <v>39.405650000000001</v>
      </c>
      <c r="P64" s="576">
        <f>'Expense Build'!AF103</f>
        <v>81</v>
      </c>
      <c r="Q64" s="576">
        <f>'Expense Build'!AG103</f>
        <v>100</v>
      </c>
      <c r="R64" s="576">
        <f>'Expense Build'!AH103</f>
        <v>125</v>
      </c>
      <c r="T64" s="585" t="s">
        <v>931</v>
      </c>
      <c r="U64" s="585"/>
      <c r="V64" s="594">
        <f>'Functional P&amp;L'!AC43</f>
        <v>0</v>
      </c>
      <c r="W64" s="594">
        <f>'Functional P&amp;L'!AD43</f>
        <v>0</v>
      </c>
      <c r="X64" s="594">
        <f>'Functional P&amp;L'!AE43</f>
        <v>0.25521760458619713</v>
      </c>
      <c r="Y64" s="594">
        <f>'Functional P&amp;L'!AF43</f>
        <v>0.25385010040349981</v>
      </c>
      <c r="Z64" s="594">
        <f>'Functional P&amp;L'!AG43</f>
        <v>0.26769115331989229</v>
      </c>
      <c r="AA64" s="594">
        <f>'Functional P&amp;L'!AH43</f>
        <v>0.23255641318308842</v>
      </c>
    </row>
    <row r="65" spans="11:27" s="578" customFormat="1" ht="12.75" customHeight="1" x14ac:dyDescent="0.25">
      <c r="K65" s="582" t="s">
        <v>928</v>
      </c>
      <c r="M65" s="583"/>
      <c r="N65" s="583"/>
      <c r="O65" s="576">
        <f>'Expense Build'!AE104</f>
        <v>4.1013500000000001</v>
      </c>
      <c r="P65" s="576">
        <f>'Expense Build'!AF104</f>
        <v>20</v>
      </c>
      <c r="Q65" s="576">
        <f>'Expense Build'!AG104</f>
        <v>50</v>
      </c>
      <c r="R65" s="576">
        <f>'Expense Build'!AH104</f>
        <v>100</v>
      </c>
      <c r="T65" s="585"/>
      <c r="U65" s="585"/>
      <c r="V65" s="593"/>
      <c r="W65" s="593"/>
      <c r="X65" s="593"/>
      <c r="Y65" s="593"/>
      <c r="Z65" s="593"/>
      <c r="AA65" s="593"/>
    </row>
    <row r="66" spans="11:27" s="578" customFormat="1" ht="12.75" customHeight="1" x14ac:dyDescent="0.35">
      <c r="K66" s="582" t="s">
        <v>2</v>
      </c>
      <c r="M66" s="581"/>
      <c r="N66" s="581"/>
      <c r="O66" s="580">
        <f>'Expense Build'!AE105</f>
        <v>0.99154000000000009</v>
      </c>
      <c r="P66" s="580">
        <f>'Expense Build'!AF105</f>
        <v>20</v>
      </c>
      <c r="Q66" s="580">
        <f>'Expense Build'!AG105</f>
        <v>30</v>
      </c>
      <c r="R66" s="580">
        <f>'Expense Build'!AH105</f>
        <v>60</v>
      </c>
      <c r="T66" s="592" t="s">
        <v>930</v>
      </c>
      <c r="U66" s="592"/>
      <c r="V66" s="591">
        <f>'Functional P&amp;L'!AC45</f>
        <v>-1379.9682400000002</v>
      </c>
      <c r="W66" s="591">
        <f>'Functional P&amp;L'!AD45</f>
        <v>-4592.4599799999996</v>
      </c>
      <c r="X66" s="591">
        <f>'Functional P&amp;L'!AE45</f>
        <v>-4065.661880000001</v>
      </c>
      <c r="Y66" s="591">
        <f>'Functional P&amp;L'!AF45</f>
        <v>-6121.4503493797492</v>
      </c>
      <c r="Z66" s="591">
        <f>'Functional P&amp;L'!AG45</f>
        <v>-11945.659409207103</v>
      </c>
      <c r="AA66" s="591">
        <f>'Functional P&amp;L'!AH45</f>
        <v>-14401.205744900002</v>
      </c>
    </row>
    <row r="67" spans="11:27" s="578" customFormat="1" ht="12.75" customHeight="1" x14ac:dyDescent="0.2">
      <c r="K67" s="579" t="s">
        <v>13</v>
      </c>
      <c r="M67" s="577">
        <f>'Expense Build'!AC106</f>
        <v>109.28422068245322</v>
      </c>
      <c r="N67" s="577">
        <f>'Expense Build'!AD106</f>
        <v>222.96682526551444</v>
      </c>
      <c r="O67" s="577">
        <f>SUM(O62:O66)</f>
        <v>183.14340999999996</v>
      </c>
      <c r="P67" s="577">
        <f>SUM(P62:P66)</f>
        <v>408</v>
      </c>
      <c r="Q67" s="577">
        <f>SUM(Q62:Q66)</f>
        <v>625</v>
      </c>
      <c r="R67" s="577">
        <f>SUM(R62:R66)</f>
        <v>775</v>
      </c>
      <c r="T67" s="590" t="s">
        <v>929</v>
      </c>
      <c r="U67" s="590"/>
      <c r="V67" s="589">
        <f t="shared" ref="V67:AA67" si="17">IFERROR(V66/V$37,"-")</f>
        <v>-1.3874841863380256</v>
      </c>
      <c r="W67" s="589">
        <f t="shared" si="17"/>
        <v>-1.3239202899925282</v>
      </c>
      <c r="X67" s="589">
        <f t="shared" si="17"/>
        <v>-0.60948250974847251</v>
      </c>
      <c r="Y67" s="589">
        <f t="shared" si="17"/>
        <v>-0.5353797776616096</v>
      </c>
      <c r="Z67" s="589">
        <f t="shared" si="17"/>
        <v>-0.6615192933116093</v>
      </c>
      <c r="AA67" s="589">
        <f t="shared" si="17"/>
        <v>-0.6400179131204321</v>
      </c>
    </row>
    <row r="68" spans="11:27" s="578" customFormat="1" ht="12.75" customHeight="1" x14ac:dyDescent="0.25">
      <c r="T68" s="588"/>
      <c r="U68" s="588"/>
      <c r="V68" s="587"/>
      <c r="W68" s="587"/>
      <c r="X68" s="587"/>
      <c r="Y68" s="587"/>
      <c r="Z68" s="587"/>
      <c r="AA68" s="587"/>
    </row>
    <row r="69" spans="11:27" s="578" customFormat="1" ht="12.75" customHeight="1" x14ac:dyDescent="0.25">
      <c r="K69" s="582" t="s">
        <v>928</v>
      </c>
      <c r="M69" s="583"/>
      <c r="N69" s="583"/>
      <c r="O69" s="576">
        <f>'Expense Build'!AE110</f>
        <v>75.69207999999999</v>
      </c>
      <c r="P69" s="576">
        <f>'Expense Build'!AF110</f>
        <v>115</v>
      </c>
      <c r="Q69" s="576">
        <f>'Expense Build'!AG110</f>
        <v>100</v>
      </c>
      <c r="R69" s="576">
        <f>'Expense Build'!AH110</f>
        <v>100</v>
      </c>
      <c r="T69" s="586" t="s">
        <v>927</v>
      </c>
      <c r="U69" s="586"/>
      <c r="V69" s="576">
        <f>'Functional P&amp;L'!AC48</f>
        <v>0</v>
      </c>
      <c r="W69" s="576">
        <f>'Functional P&amp;L'!AD48</f>
        <v>0</v>
      </c>
      <c r="X69" s="576">
        <f>'Functional P&amp;L'!AE48</f>
        <v>28.706129999999998</v>
      </c>
      <c r="Y69" s="576">
        <f>'Functional P&amp;L'!AF48</f>
        <v>31.312510275749077</v>
      </c>
      <c r="Z69" s="576">
        <f>'Functional P&amp;L'!AG48</f>
        <v>70.00759086011935</v>
      </c>
      <c r="AA69" s="576">
        <f>'Functional P&amp;L'!AH48</f>
        <v>86.27577522787459</v>
      </c>
    </row>
    <row r="70" spans="11:27" s="578" customFormat="1" ht="12.75" customHeight="1" x14ac:dyDescent="0.25">
      <c r="K70" s="582" t="s">
        <v>926</v>
      </c>
      <c r="M70" s="583"/>
      <c r="N70" s="583"/>
      <c r="O70" s="576">
        <f>'Expense Build'!AE111</f>
        <v>481.99956000000009</v>
      </c>
      <c r="P70" s="576">
        <f>'Expense Build'!AF111</f>
        <v>484</v>
      </c>
      <c r="Q70" s="576">
        <f>'Expense Build'!AG111</f>
        <v>1200</v>
      </c>
      <c r="R70" s="576">
        <f>'Expense Build'!AH111</f>
        <v>1200</v>
      </c>
      <c r="T70" s="585" t="s">
        <v>925</v>
      </c>
      <c r="U70" s="575"/>
      <c r="V70" s="584">
        <f>V69/'Functional P&amp;L'!AC10</f>
        <v>0</v>
      </c>
      <c r="W70" s="584">
        <f>W69/'Functional P&amp;L'!AD10</f>
        <v>0</v>
      </c>
      <c r="X70" s="584">
        <f>X69/'Functional P&amp;L'!AE10</f>
        <v>3.4333407978396264E-3</v>
      </c>
      <c r="Y70" s="584">
        <f>Y69/'Functional P&amp;L'!AF10</f>
        <v>1.9899574145511513E-3</v>
      </c>
      <c r="Z70" s="584">
        <f>Z69/'Functional P&amp;L'!AG10</f>
        <v>3.3948883464988548E-3</v>
      </c>
      <c r="AA70" s="584">
        <f>AA69/'Functional P&amp;L'!AH10</f>
        <v>3.4977009059205511E-3</v>
      </c>
    </row>
    <row r="71" spans="11:27" s="578" customFormat="1" ht="12.75" customHeight="1" x14ac:dyDescent="0.25">
      <c r="K71" s="582" t="s">
        <v>924</v>
      </c>
      <c r="M71" s="583"/>
      <c r="N71" s="583"/>
      <c r="O71" s="576">
        <f>'Expense Build'!AE112</f>
        <v>178.5042</v>
      </c>
      <c r="P71" s="576">
        <f>'Expense Build'!AF112</f>
        <v>300</v>
      </c>
      <c r="Q71" s="576">
        <f>'Expense Build'!AG112</f>
        <v>325</v>
      </c>
      <c r="R71" s="576">
        <f>'Expense Build'!AH112</f>
        <v>350</v>
      </c>
    </row>
    <row r="72" spans="11:27" s="578" customFormat="1" ht="12.75" customHeight="1" x14ac:dyDescent="0.25">
      <c r="K72" s="582" t="s">
        <v>350</v>
      </c>
      <c r="M72" s="583"/>
      <c r="N72" s="583"/>
      <c r="O72" s="576">
        <f>'Expense Build'!AE113</f>
        <v>77.289560000000009</v>
      </c>
      <c r="P72" s="576">
        <f>'Expense Build'!AF113</f>
        <v>275</v>
      </c>
      <c r="Q72" s="576">
        <f>'Expense Build'!AG113</f>
        <v>325</v>
      </c>
      <c r="R72" s="576">
        <f>'Expense Build'!AH113</f>
        <v>400</v>
      </c>
      <c r="T72" s="574" t="s">
        <v>923</v>
      </c>
      <c r="U72" s="574"/>
      <c r="V72" s="573">
        <f>'Functional P&amp;L'!AC51</f>
        <v>-1379.9682400000002</v>
      </c>
      <c r="W72" s="573">
        <f>'Functional P&amp;L'!AD51</f>
        <v>-4592.4599799999996</v>
      </c>
      <c r="X72" s="573">
        <f>'Functional P&amp;L'!AE51</f>
        <v>-5341.9757900000004</v>
      </c>
      <c r="Y72" s="573">
        <f>'Functional P&amp;L'!AF51</f>
        <v>-8354.7993952476045</v>
      </c>
      <c r="Z72" s="573">
        <f>'Functional P&amp;L'!AG51</f>
        <v>-14071.268753833259</v>
      </c>
      <c r="AA72" s="573">
        <f>'Functional P&amp;L'!AH51</f>
        <v>-16259.217866220588</v>
      </c>
    </row>
    <row r="73" spans="11:27" s="578" customFormat="1" ht="12.75" customHeight="1" x14ac:dyDescent="0.35">
      <c r="K73" s="582" t="s">
        <v>2</v>
      </c>
      <c r="M73" s="581"/>
      <c r="N73" s="581"/>
      <c r="O73" s="580">
        <f>'Expense Build'!AE114</f>
        <v>670.45903999999996</v>
      </c>
      <c r="P73" s="580">
        <f>'Expense Build'!AF114</f>
        <v>850</v>
      </c>
      <c r="Q73" s="580">
        <f>'Expense Build'!AG114</f>
        <v>1000</v>
      </c>
      <c r="R73" s="580">
        <f>'Expense Build'!AH114</f>
        <v>1500</v>
      </c>
      <c r="T73" s="575"/>
      <c r="U73" s="575"/>
      <c r="V73" s="575"/>
      <c r="W73" s="575"/>
      <c r="X73" s="575"/>
      <c r="Y73" s="575"/>
      <c r="Z73" s="575"/>
      <c r="AA73" s="575"/>
    </row>
    <row r="74" spans="11:27" ht="12.75" customHeight="1" x14ac:dyDescent="0.2">
      <c r="K74" s="579" t="s">
        <v>14</v>
      </c>
      <c r="L74" s="578"/>
      <c r="M74" s="577">
        <f>'Expense Build'!AC115</f>
        <v>320.00840162123632</v>
      </c>
      <c r="N74" s="577">
        <f>'Expense Build'!AD115</f>
        <v>1153.1681173326201</v>
      </c>
      <c r="O74" s="577">
        <f>SUM(O69:O73)</f>
        <v>1483.9444400000002</v>
      </c>
      <c r="P74" s="577">
        <f>SUM(P69:P73)</f>
        <v>2024</v>
      </c>
      <c r="Q74" s="577">
        <f>SUM(Q69:Q73)</f>
        <v>2950</v>
      </c>
      <c r="R74" s="577">
        <f>SUM(R69:R73)</f>
        <v>3550</v>
      </c>
      <c r="T74" s="575" t="s">
        <v>922</v>
      </c>
      <c r="U74" s="575"/>
      <c r="V74" s="576">
        <f>'Functional P&amp;L'!AC53</f>
        <v>0</v>
      </c>
      <c r="W74" s="576">
        <f>'Functional P&amp;L'!AD53</f>
        <v>0</v>
      </c>
      <c r="X74" s="576">
        <f>'Functional P&amp;L'!AE53</f>
        <v>6.923210000000001</v>
      </c>
      <c r="Y74" s="576">
        <f>'Functional P&amp;L'!AF53</f>
        <v>1.9347799999999999</v>
      </c>
      <c r="Z74" s="576">
        <f>'Functional P&amp;L'!AG53</f>
        <v>0</v>
      </c>
      <c r="AA74" s="576">
        <f>'Functional P&amp;L'!AH53</f>
        <v>0</v>
      </c>
    </row>
    <row r="75" spans="11:27" ht="12.75" customHeight="1" x14ac:dyDescent="0.2">
      <c r="T75" s="575"/>
      <c r="U75" s="575"/>
      <c r="V75" s="575"/>
      <c r="W75" s="575"/>
      <c r="X75" s="575"/>
      <c r="Y75" s="575"/>
      <c r="Z75" s="575"/>
      <c r="AA75" s="575"/>
    </row>
    <row r="76" spans="11:27" ht="12.75" customHeight="1" x14ac:dyDescent="0.2">
      <c r="T76" s="574" t="s">
        <v>921</v>
      </c>
      <c r="U76" s="574"/>
      <c r="V76" s="573">
        <f>'Functional P&amp;L'!AC55</f>
        <v>-1379.9682400000002</v>
      </c>
      <c r="W76" s="573">
        <f>'Functional P&amp;L'!AD55</f>
        <v>-4592.4599799999996</v>
      </c>
      <c r="X76" s="573">
        <f>'Functional P&amp;L'!AE55</f>
        <v>-5348.8990000000003</v>
      </c>
      <c r="Y76" s="573">
        <f>'Functional P&amp;L'!AF55</f>
        <v>-8356.7341752476041</v>
      </c>
      <c r="Z76" s="573">
        <f>'Functional P&amp;L'!AG55</f>
        <v>-14071.268753833259</v>
      </c>
      <c r="AA76" s="573">
        <f>'Functional P&amp;L'!AH55</f>
        <v>-16259.217866220588</v>
      </c>
    </row>
    <row r="77" spans="11:27" ht="12.75" customHeight="1" x14ac:dyDescent="0.2"/>
    <row r="78" spans="11:27" ht="12.75" customHeight="1" x14ac:dyDescent="0.2"/>
    <row r="79" spans="11:27" ht="12.75" customHeight="1" x14ac:dyDescent="0.2"/>
    <row r="80" spans="11:27"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ht="12.75" customHeight="1" x14ac:dyDescent="0.2"/>
    <row r="98" ht="12.75" customHeight="1" x14ac:dyDescent="0.2"/>
    <row r="99" ht="12.75" customHeight="1" x14ac:dyDescent="0.2"/>
  </sheetData>
  <pageMargins left="0.7" right="0.7" top="0.75" bottom="0.75" header="0.3" footer="0.3"/>
  <pageSetup scale="42"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D811A-78D1-4627-A6AA-25B76984AF8E}">
  <sheetPr>
    <tabColor theme="8" tint="0.79998168889431442"/>
    <pageSetUpPr fitToPage="1"/>
  </sheetPr>
  <dimension ref="A1:AQ56"/>
  <sheetViews>
    <sheetView showGridLines="0" zoomScale="90" zoomScaleNormal="90" zoomScaleSheetLayoutView="85" workbookViewId="0">
      <pane xSplit="3" ySplit="8" topLeftCell="J15" activePane="bottomRight" state="frozen"/>
      <selection activeCell="R36" sqref="R36"/>
      <selection pane="topRight" activeCell="R36" sqref="R36"/>
      <selection pane="bottomLeft" activeCell="R36" sqref="R36"/>
      <selection pane="bottomRight" activeCell="AA42" sqref="AA42"/>
    </sheetView>
  </sheetViews>
  <sheetFormatPr defaultColWidth="9.28515625" defaultRowHeight="12.75" outlineLevelCol="1" x14ac:dyDescent="0.2"/>
  <cols>
    <col min="1" max="1" width="1.5703125" style="572" customWidth="1"/>
    <col min="2" max="2" width="43.85546875" style="572" customWidth="1"/>
    <col min="3" max="3" width="1.5703125" style="572" customWidth="1"/>
    <col min="4" max="27" width="9.85546875" style="572" customWidth="1" outlineLevel="1"/>
    <col min="28" max="28" width="2.5703125" style="572" customWidth="1"/>
    <col min="29" max="34" width="10.7109375" style="572" customWidth="1"/>
    <col min="35" max="35" width="1.5703125" style="572" customWidth="1"/>
    <col min="36" max="37" width="12.140625" style="572" customWidth="1"/>
    <col min="38" max="38" width="1.5703125" style="572" customWidth="1"/>
    <col min="39" max="43" width="10.140625" style="572" bestFit="1" customWidth="1"/>
    <col min="44" max="16384" width="9.28515625" style="572"/>
  </cols>
  <sheetData>
    <row r="1" spans="1:38" ht="12" customHeight="1" x14ac:dyDescent="0.2"/>
    <row r="2" spans="1:38" s="566" customFormat="1" ht="12" customHeight="1" thickBot="1" x14ac:dyDescent="0.3">
      <c r="B2" s="571" t="s">
        <v>806</v>
      </c>
      <c r="C2" s="731"/>
      <c r="D2" s="731"/>
      <c r="E2" s="731"/>
      <c r="F2" s="731"/>
      <c r="G2" s="731"/>
      <c r="H2" s="731"/>
      <c r="I2" s="731"/>
      <c r="J2" s="731"/>
      <c r="K2" s="731"/>
      <c r="L2" s="731"/>
      <c r="M2" s="731"/>
      <c r="N2" s="731"/>
      <c r="O2" s="732"/>
      <c r="P2" s="732"/>
      <c r="Q2" s="732"/>
      <c r="R2" s="732"/>
      <c r="S2" s="732"/>
      <c r="T2" s="732"/>
      <c r="U2" s="732"/>
      <c r="V2" s="732"/>
      <c r="W2" s="732"/>
      <c r="X2" s="732"/>
      <c r="Y2" s="732"/>
      <c r="Z2" s="732"/>
      <c r="AA2" s="732"/>
      <c r="AB2" s="732"/>
      <c r="AC2" s="731"/>
      <c r="AD2" s="731"/>
      <c r="AE2" s="731"/>
      <c r="AF2" s="731"/>
      <c r="AG2" s="731"/>
      <c r="AH2" s="731"/>
      <c r="AI2" s="731"/>
      <c r="AJ2" s="731"/>
      <c r="AK2" s="731"/>
      <c r="AL2" s="731"/>
    </row>
    <row r="3" spans="1:38" s="566" customFormat="1" ht="12" customHeight="1" x14ac:dyDescent="0.2">
      <c r="B3" s="568" t="s">
        <v>1006</v>
      </c>
    </row>
    <row r="4" spans="1:38" s="566" customFormat="1" ht="12" customHeight="1" x14ac:dyDescent="0.2">
      <c r="B4" s="568" t="s">
        <v>987</v>
      </c>
      <c r="C4" s="643"/>
      <c r="D4" s="643"/>
      <c r="E4" s="643"/>
      <c r="F4" s="643"/>
      <c r="G4" s="643"/>
      <c r="H4" s="643"/>
      <c r="I4" s="643"/>
      <c r="J4" s="643"/>
      <c r="K4" s="643"/>
      <c r="L4" s="643"/>
      <c r="M4" s="643"/>
      <c r="N4" s="643"/>
      <c r="O4" s="643"/>
      <c r="P4" s="643"/>
      <c r="Q4" s="643"/>
      <c r="R4" s="643"/>
      <c r="S4" s="643"/>
      <c r="T4" s="643"/>
      <c r="U4" s="643"/>
      <c r="V4" s="643"/>
      <c r="W4" s="643"/>
      <c r="X4" s="643"/>
      <c r="Y4" s="643"/>
      <c r="Z4" s="643"/>
      <c r="AA4" s="643"/>
      <c r="AB4" s="643"/>
      <c r="AC4" s="643"/>
      <c r="AD4" s="643"/>
      <c r="AE4" s="643"/>
      <c r="AF4" s="643"/>
      <c r="AG4" s="643"/>
      <c r="AH4" s="643"/>
    </row>
    <row r="5" spans="1:38" s="566" customFormat="1" ht="12" customHeight="1" x14ac:dyDescent="0.2">
      <c r="B5" s="568" t="s">
        <v>983</v>
      </c>
      <c r="D5" s="729"/>
      <c r="E5" s="730"/>
      <c r="F5" s="729"/>
      <c r="G5" s="729"/>
      <c r="H5" s="729"/>
      <c r="I5" s="729"/>
      <c r="J5" s="729"/>
      <c r="K5" s="729"/>
      <c r="L5" s="729"/>
      <c r="M5" s="729"/>
      <c r="N5" s="729"/>
      <c r="O5" s="729"/>
      <c r="P5" s="729"/>
      <c r="Q5" s="729"/>
      <c r="R5" s="729"/>
      <c r="S5" s="729"/>
      <c r="T5" s="729"/>
      <c r="U5" s="729"/>
      <c r="V5" s="729"/>
      <c r="W5" s="729"/>
      <c r="X5" s="729"/>
      <c r="Y5" s="729"/>
      <c r="Z5" s="729"/>
      <c r="AA5" s="729"/>
    </row>
    <row r="6" spans="1:38" s="566" customFormat="1" ht="12" customHeight="1" x14ac:dyDescent="0.2">
      <c r="B6" s="568"/>
      <c r="D6" s="729"/>
      <c r="E6" s="730"/>
      <c r="F6" s="729"/>
      <c r="G6" s="729"/>
      <c r="H6" s="729"/>
      <c r="I6" s="729"/>
      <c r="J6" s="729"/>
      <c r="K6" s="729"/>
      <c r="L6" s="729"/>
      <c r="M6" s="729"/>
      <c r="N6" s="729"/>
      <c r="O6" s="729"/>
      <c r="P6" s="729"/>
      <c r="Q6" s="729"/>
      <c r="R6" s="729"/>
      <c r="S6" s="729"/>
      <c r="T6" s="729"/>
      <c r="U6" s="729"/>
      <c r="V6" s="729"/>
      <c r="W6" s="729"/>
      <c r="X6" s="729"/>
      <c r="Y6" s="729"/>
      <c r="Z6" s="729"/>
      <c r="AA6" s="729"/>
    </row>
    <row r="7" spans="1:38" ht="15" customHeight="1" x14ac:dyDescent="0.35">
      <c r="C7" s="638"/>
      <c r="D7" s="638" t="s">
        <v>1005</v>
      </c>
      <c r="E7" s="638"/>
      <c r="F7" s="638"/>
      <c r="G7" s="638"/>
      <c r="H7" s="638" t="s">
        <v>1004</v>
      </c>
      <c r="I7" s="638"/>
      <c r="J7" s="638"/>
      <c r="K7" s="638"/>
      <c r="L7" s="638" t="s">
        <v>1003</v>
      </c>
      <c r="M7" s="638"/>
      <c r="N7" s="638"/>
      <c r="O7" s="638"/>
      <c r="P7" s="638" t="s">
        <v>1002</v>
      </c>
      <c r="Q7" s="638"/>
      <c r="R7" s="638"/>
      <c r="S7" s="638"/>
      <c r="T7" s="638" t="s">
        <v>1001</v>
      </c>
      <c r="U7" s="638"/>
      <c r="V7" s="638"/>
      <c r="W7" s="638"/>
      <c r="X7" s="638" t="s">
        <v>1000</v>
      </c>
      <c r="Y7" s="638"/>
      <c r="Z7" s="638"/>
      <c r="AA7" s="638"/>
      <c r="AC7" s="638" t="s">
        <v>983</v>
      </c>
      <c r="AD7" s="638"/>
      <c r="AE7" s="638"/>
      <c r="AF7" s="638"/>
      <c r="AG7" s="638"/>
      <c r="AH7" s="638"/>
      <c r="AJ7" s="728" t="s">
        <v>999</v>
      </c>
      <c r="AK7" s="728" t="s">
        <v>999</v>
      </c>
    </row>
    <row r="8" spans="1:38" ht="15" x14ac:dyDescent="0.35">
      <c r="A8" s="578"/>
      <c r="C8" s="726"/>
      <c r="D8" s="726" t="s">
        <v>996</v>
      </c>
      <c r="E8" s="726" t="s">
        <v>995</v>
      </c>
      <c r="F8" s="726" t="s">
        <v>997</v>
      </c>
      <c r="G8" s="726" t="s">
        <v>998</v>
      </c>
      <c r="H8" s="726" t="s">
        <v>996</v>
      </c>
      <c r="I8" s="726" t="s">
        <v>995</v>
      </c>
      <c r="J8" s="726" t="s">
        <v>997</v>
      </c>
      <c r="K8" s="726" t="s">
        <v>998</v>
      </c>
      <c r="L8" s="726" t="s">
        <v>996</v>
      </c>
      <c r="M8" s="726" t="s">
        <v>995</v>
      </c>
      <c r="N8" s="727" t="s">
        <v>997</v>
      </c>
      <c r="O8" s="726" t="s">
        <v>998</v>
      </c>
      <c r="P8" s="726" t="s">
        <v>996</v>
      </c>
      <c r="Q8" s="726" t="s">
        <v>995</v>
      </c>
      <c r="R8" s="726" t="s">
        <v>997</v>
      </c>
      <c r="S8" s="726" t="s">
        <v>993</v>
      </c>
      <c r="T8" s="726" t="s">
        <v>996</v>
      </c>
      <c r="U8" s="726" t="s">
        <v>995</v>
      </c>
      <c r="V8" s="726" t="s">
        <v>994</v>
      </c>
      <c r="W8" s="726" t="s">
        <v>993</v>
      </c>
      <c r="X8" s="726" t="s">
        <v>996</v>
      </c>
      <c r="Y8" s="726" t="s">
        <v>995</v>
      </c>
      <c r="Z8" s="726" t="s">
        <v>994</v>
      </c>
      <c r="AA8" s="726" t="s">
        <v>993</v>
      </c>
      <c r="AC8" s="725" t="s">
        <v>982</v>
      </c>
      <c r="AD8" s="725" t="s">
        <v>981</v>
      </c>
      <c r="AE8" s="725" t="s">
        <v>980</v>
      </c>
      <c r="AF8" s="725" t="s">
        <v>979</v>
      </c>
      <c r="AG8" s="725" t="s">
        <v>978</v>
      </c>
      <c r="AH8" s="725" t="s">
        <v>977</v>
      </c>
      <c r="AI8" s="566"/>
      <c r="AJ8" s="724" t="s">
        <v>992</v>
      </c>
      <c r="AK8" s="723" t="s">
        <v>991</v>
      </c>
    </row>
    <row r="9" spans="1:38" ht="5.0999999999999996" customHeight="1" x14ac:dyDescent="0.2">
      <c r="N9" s="720"/>
      <c r="AC9" s="566"/>
      <c r="AD9" s="566"/>
      <c r="AE9" s="566"/>
      <c r="AF9" s="566"/>
      <c r="AG9" s="566"/>
      <c r="AH9" s="566"/>
      <c r="AI9" s="566"/>
    </row>
    <row r="10" spans="1:38" ht="14.1" customHeight="1" x14ac:dyDescent="0.2">
      <c r="B10" s="646" t="s">
        <v>344</v>
      </c>
      <c r="D10" s="722">
        <f>'Revenue Build'!D33</f>
        <v>632.19263999999953</v>
      </c>
      <c r="E10" s="722">
        <f>'Revenue Build'!E33</f>
        <v>987.24506399999791</v>
      </c>
      <c r="F10" s="722">
        <f>'Revenue Build'!F33</f>
        <v>1416.2426399999977</v>
      </c>
      <c r="G10" s="722">
        <f>'Revenue Build'!G33</f>
        <v>1722.4286400000065</v>
      </c>
      <c r="H10" s="722">
        <f>'Revenue Build'!H33</f>
        <v>2531.4484800000191</v>
      </c>
      <c r="I10" s="722">
        <f>'Revenue Build'!I33</f>
        <v>3583.9122000000184</v>
      </c>
      <c r="J10" s="722">
        <f>'Revenue Build'!J33</f>
        <v>4333.3386000000164</v>
      </c>
      <c r="K10" s="722">
        <f>'Revenue Build'!K33</f>
        <v>4649.543760000015</v>
      </c>
      <c r="L10" s="722">
        <f>'Revenue Build'!L33</f>
        <v>5426.5470000000132</v>
      </c>
      <c r="M10" s="722">
        <f>'Revenue Build'!M33</f>
        <v>6162.1922800000093</v>
      </c>
      <c r="N10" s="722">
        <f>'Revenue Build'!N33</f>
        <v>7217.5457200000073</v>
      </c>
      <c r="O10" s="722">
        <f>'Revenue Build'!O33</f>
        <v>8360.9905600000038</v>
      </c>
      <c r="P10" s="722">
        <f>'Revenue Build'!P33</f>
        <v>9910.4170000000049</v>
      </c>
      <c r="Q10" s="722">
        <f>'Revenue Build'!Q33</f>
        <v>11523.972880000003</v>
      </c>
      <c r="R10" s="722">
        <f>'Revenue Build'!R33</f>
        <v>13267.109680000003</v>
      </c>
      <c r="S10" s="722">
        <f>'Revenue Build'!S33</f>
        <v>15735.266517154003</v>
      </c>
      <c r="T10" s="722">
        <f>'Revenue Build'!T33</f>
        <v>16821.107524652645</v>
      </c>
      <c r="U10" s="722">
        <f>'Revenue Build'!U33</f>
        <v>17990.616585387263</v>
      </c>
      <c r="V10" s="722">
        <f>'Revenue Build'!V33</f>
        <v>19241.568687774776</v>
      </c>
      <c r="W10" s="722">
        <f>'Revenue Build'!W33</f>
        <v>20621.470786312639</v>
      </c>
      <c r="X10" s="722">
        <f>'Revenue Build'!X33</f>
        <v>21480.612204344889</v>
      </c>
      <c r="Y10" s="722">
        <f>'Revenue Build'!Y33</f>
        <v>22420.587535921695</v>
      </c>
      <c r="Z10" s="722">
        <f>'Revenue Build'!Z33</f>
        <v>23459.869362320555</v>
      </c>
      <c r="AA10" s="722">
        <f>'Revenue Build'!AA33</f>
        <v>24666.424473812429</v>
      </c>
      <c r="AB10" s="655"/>
      <c r="AC10" s="721">
        <f>G10</f>
        <v>1722.4286400000065</v>
      </c>
      <c r="AD10" s="721">
        <f>K10</f>
        <v>4649.543760000015</v>
      </c>
      <c r="AE10" s="721">
        <f>O10</f>
        <v>8360.9905600000038</v>
      </c>
      <c r="AF10" s="721">
        <f>S10</f>
        <v>15735.266517154003</v>
      </c>
      <c r="AG10" s="721">
        <f>W10</f>
        <v>20621.470786312639</v>
      </c>
      <c r="AH10" s="721">
        <f>AA10</f>
        <v>24666.424473812429</v>
      </c>
      <c r="AI10" s="566"/>
      <c r="AJ10" s="648">
        <f>IFERROR(_xlfn.RRI(2,AC10,AE10),"-")</f>
        <v>1.2032219387381269</v>
      </c>
      <c r="AK10" s="648">
        <f>IFERROR(_xlfn.RRI(3,AE10,AH10),"-")</f>
        <v>0.4342212599466384</v>
      </c>
    </row>
    <row r="11" spans="1:38" ht="14.1" customHeight="1" x14ac:dyDescent="0.2">
      <c r="B11" s="663" t="s">
        <v>951</v>
      </c>
      <c r="D11" s="716" t="s">
        <v>990</v>
      </c>
      <c r="E11" s="716" t="s">
        <v>990</v>
      </c>
      <c r="F11" s="716" t="s">
        <v>990</v>
      </c>
      <c r="G11" s="716" t="s">
        <v>990</v>
      </c>
      <c r="H11" s="715">
        <f t="shared" ref="H11:AA11" si="0">IFERROR(H10/D10-1,"-")</f>
        <v>3.0042359240373644</v>
      </c>
      <c r="I11" s="715">
        <f t="shared" si="0"/>
        <v>2.6302153646422548</v>
      </c>
      <c r="J11" s="715">
        <f t="shared" si="0"/>
        <v>2.0597430677556945</v>
      </c>
      <c r="K11" s="715">
        <f t="shared" si="0"/>
        <v>1.6994115471744582</v>
      </c>
      <c r="L11" s="715">
        <f t="shared" si="0"/>
        <v>1.1436529492395486</v>
      </c>
      <c r="M11" s="715">
        <f t="shared" si="0"/>
        <v>0.71940380682316318</v>
      </c>
      <c r="N11" s="715">
        <f t="shared" si="0"/>
        <v>0.66558544951921839</v>
      </c>
      <c r="O11" s="715">
        <f t="shared" si="0"/>
        <v>0.79823892226362814</v>
      </c>
      <c r="P11" s="715">
        <f t="shared" si="0"/>
        <v>0.82628419140200582</v>
      </c>
      <c r="Q11" s="715">
        <f t="shared" si="0"/>
        <v>0.87010926572385139</v>
      </c>
      <c r="R11" s="715">
        <f t="shared" si="0"/>
        <v>0.83817466417102104</v>
      </c>
      <c r="S11" s="715">
        <f t="shared" si="0"/>
        <v>0.88198592071535553</v>
      </c>
      <c r="T11" s="715">
        <f t="shared" si="0"/>
        <v>0.69731581674642307</v>
      </c>
      <c r="U11" s="715">
        <f t="shared" si="0"/>
        <v>0.56114707772440187</v>
      </c>
      <c r="V11" s="715">
        <f t="shared" si="0"/>
        <v>0.4503210685580743</v>
      </c>
      <c r="W11" s="715">
        <f t="shared" si="0"/>
        <v>0.3105256758016699</v>
      </c>
      <c r="X11" s="715">
        <f t="shared" si="0"/>
        <v>0.27700344182827297</v>
      </c>
      <c r="Y11" s="715">
        <f t="shared" si="0"/>
        <v>0.24623786124888247</v>
      </c>
      <c r="Z11" s="715">
        <f t="shared" si="0"/>
        <v>0.21922852252820202</v>
      </c>
      <c r="AA11" s="715">
        <f t="shared" si="0"/>
        <v>0.19615253099136853</v>
      </c>
      <c r="AB11" s="655"/>
      <c r="AC11" s="714" t="s">
        <v>990</v>
      </c>
      <c r="AD11" s="707">
        <f>IFERROR(AD10/AC10-1,"-")</f>
        <v>1.6994115471744582</v>
      </c>
      <c r="AE11" s="707">
        <f>IFERROR(AE10/AD10-1,"-")</f>
        <v>0.79823892226362814</v>
      </c>
      <c r="AF11" s="707">
        <f>IFERROR(AF10/AE10-1,"-")</f>
        <v>0.88198592071535553</v>
      </c>
      <c r="AG11" s="707">
        <f>IFERROR(AG10/AF10-1,"-")</f>
        <v>0.3105256758016699</v>
      </c>
      <c r="AH11" s="707">
        <f>IFERROR(AH10/AG10-1,"-")</f>
        <v>0.19615253099136853</v>
      </c>
      <c r="AI11" s="566"/>
      <c r="AJ11" s="648"/>
      <c r="AK11" s="648"/>
    </row>
    <row r="12" spans="1:38" ht="5.0999999999999996" customHeight="1" x14ac:dyDescent="0.2">
      <c r="N12" s="720"/>
      <c r="AC12" s="566"/>
      <c r="AD12" s="566"/>
      <c r="AE12" s="566"/>
      <c r="AF12" s="566"/>
      <c r="AG12" s="566"/>
      <c r="AH12" s="566"/>
      <c r="AI12" s="566"/>
      <c r="AJ12" s="648"/>
      <c r="AK12" s="648"/>
    </row>
    <row r="13" spans="1:38" s="646" customFormat="1" ht="14.1" customHeight="1" x14ac:dyDescent="0.2">
      <c r="B13" s="699" t="s">
        <v>31</v>
      </c>
      <c r="P13" s="719"/>
      <c r="Q13" s="719"/>
      <c r="R13" s="719"/>
      <c r="S13" s="719"/>
      <c r="T13" s="719"/>
      <c r="U13" s="719"/>
      <c r="V13" s="719"/>
      <c r="W13" s="719"/>
      <c r="AC13" s="637"/>
      <c r="AD13" s="637"/>
      <c r="AE13" s="637"/>
      <c r="AF13" s="637"/>
      <c r="AG13" s="637"/>
      <c r="AH13" s="637"/>
      <c r="AI13" s="637"/>
      <c r="AJ13" s="648"/>
      <c r="AK13" s="648"/>
    </row>
    <row r="14" spans="1:38" ht="15" x14ac:dyDescent="0.35">
      <c r="B14" s="704" t="s">
        <v>31</v>
      </c>
      <c r="D14" s="580">
        <f>'Revenue Build'!D17</f>
        <v>107.92167999999995</v>
      </c>
      <c r="E14" s="580">
        <f>'Revenue Build'!E17</f>
        <v>225.11712999999995</v>
      </c>
      <c r="F14" s="580">
        <f>'Revenue Build'!F17</f>
        <v>312.52542</v>
      </c>
      <c r="G14" s="580">
        <f>'Revenue Build'!G17</f>
        <v>349.01881000000014</v>
      </c>
      <c r="H14" s="580">
        <f>'Revenue Build'!H17</f>
        <v>706.9773399999998</v>
      </c>
      <c r="I14" s="580">
        <f>'Revenue Build'!I17</f>
        <v>838.42994999999962</v>
      </c>
      <c r="J14" s="580">
        <f>'Revenue Build'!J17</f>
        <v>912.78063999999961</v>
      </c>
      <c r="K14" s="580">
        <f>'Revenue Build'!K17</f>
        <v>1010.6462700000005</v>
      </c>
      <c r="L14" s="580">
        <f>'Revenue Build'!L17</f>
        <v>1380.1016299999994</v>
      </c>
      <c r="M14" s="580">
        <f>'Revenue Build'!M17</f>
        <v>1556.9180399999993</v>
      </c>
      <c r="N14" s="580">
        <f>'Revenue Build'!N17</f>
        <v>1673.4601800000009</v>
      </c>
      <c r="O14" s="580">
        <f>'Revenue Build'!O17</f>
        <v>2060.19866</v>
      </c>
      <c r="P14" s="580">
        <f>'Revenue Build'!P17</f>
        <v>2349.9260099999997</v>
      </c>
      <c r="Q14" s="580">
        <f>'Revenue Build'!Q17</f>
        <v>2620.7628900000018</v>
      </c>
      <c r="R14" s="580">
        <f>'Revenue Build'!R17</f>
        <v>2840.4873599999996</v>
      </c>
      <c r="S14" s="580">
        <f>'Revenue Build'!S17</f>
        <v>3622.6705246442502</v>
      </c>
      <c r="T14" s="580">
        <f>'Revenue Build'!T17</f>
        <v>4069.5467552258306</v>
      </c>
      <c r="U14" s="580">
        <f>'Revenue Build'!U17</f>
        <v>4351.465513754988</v>
      </c>
      <c r="V14" s="580">
        <f>'Revenue Build'!V17</f>
        <v>4654.0231591452548</v>
      </c>
      <c r="W14" s="580">
        <f>'Revenue Build'!W17</f>
        <v>4982.8799342609273</v>
      </c>
      <c r="X14" s="580">
        <f>'Revenue Build'!X17</f>
        <v>5262.7603738321905</v>
      </c>
      <c r="Y14" s="580">
        <f>'Revenue Build'!Y17</f>
        <v>5487.6499675333225</v>
      </c>
      <c r="Z14" s="580">
        <f>'Revenue Build'!Z17</f>
        <v>5735.0571122802803</v>
      </c>
      <c r="AA14" s="580">
        <f>'Revenue Build'!AA17</f>
        <v>6015.7867295166225</v>
      </c>
      <c r="AB14" s="655"/>
      <c r="AC14" s="712">
        <f>SUM(D14:G14)</f>
        <v>994.5830400000001</v>
      </c>
      <c r="AD14" s="712">
        <f>SUM(H14:K14)</f>
        <v>3468.8341999999998</v>
      </c>
      <c r="AE14" s="712">
        <f>SUM(L14:O14)</f>
        <v>6670.6785099999997</v>
      </c>
      <c r="AF14" s="712">
        <f>SUM(P14:S14)</f>
        <v>11433.846784644251</v>
      </c>
      <c r="AG14" s="712">
        <f>SUM(T14:W14)</f>
        <v>18057.915362387001</v>
      </c>
      <c r="AH14" s="712">
        <f>SUM(X14:AA14)</f>
        <v>22501.254183162415</v>
      </c>
      <c r="AI14" s="566"/>
      <c r="AJ14" s="648"/>
      <c r="AK14" s="648"/>
    </row>
    <row r="15" spans="1:38" s="646" customFormat="1" ht="14.1" customHeight="1" x14ac:dyDescent="0.2">
      <c r="B15" s="718" t="s">
        <v>954</v>
      </c>
      <c r="D15" s="698">
        <f t="shared" ref="D15:AA15" si="1">SUM(D14:D14)</f>
        <v>107.92167999999995</v>
      </c>
      <c r="E15" s="698">
        <f t="shared" si="1"/>
        <v>225.11712999999995</v>
      </c>
      <c r="F15" s="698">
        <f t="shared" si="1"/>
        <v>312.52542</v>
      </c>
      <c r="G15" s="698">
        <f t="shared" si="1"/>
        <v>349.01881000000014</v>
      </c>
      <c r="H15" s="698">
        <f t="shared" si="1"/>
        <v>706.9773399999998</v>
      </c>
      <c r="I15" s="698">
        <f t="shared" si="1"/>
        <v>838.42994999999962</v>
      </c>
      <c r="J15" s="698">
        <f t="shared" si="1"/>
        <v>912.78063999999961</v>
      </c>
      <c r="K15" s="698">
        <f t="shared" si="1"/>
        <v>1010.6462700000005</v>
      </c>
      <c r="L15" s="698">
        <f t="shared" si="1"/>
        <v>1380.1016299999994</v>
      </c>
      <c r="M15" s="698">
        <f t="shared" si="1"/>
        <v>1556.9180399999993</v>
      </c>
      <c r="N15" s="698">
        <f t="shared" si="1"/>
        <v>1673.4601800000009</v>
      </c>
      <c r="O15" s="698">
        <f t="shared" si="1"/>
        <v>2060.19866</v>
      </c>
      <c r="P15" s="698">
        <f t="shared" si="1"/>
        <v>2349.9260099999997</v>
      </c>
      <c r="Q15" s="698">
        <f t="shared" si="1"/>
        <v>2620.7628900000018</v>
      </c>
      <c r="R15" s="698">
        <f t="shared" si="1"/>
        <v>2840.4873599999996</v>
      </c>
      <c r="S15" s="698">
        <f t="shared" si="1"/>
        <v>3622.6705246442502</v>
      </c>
      <c r="T15" s="698">
        <f t="shared" si="1"/>
        <v>4069.5467552258306</v>
      </c>
      <c r="U15" s="698">
        <f t="shared" si="1"/>
        <v>4351.465513754988</v>
      </c>
      <c r="V15" s="698">
        <f t="shared" si="1"/>
        <v>4654.0231591452548</v>
      </c>
      <c r="W15" s="698">
        <f t="shared" si="1"/>
        <v>4982.8799342609273</v>
      </c>
      <c r="X15" s="698">
        <f t="shared" si="1"/>
        <v>5262.7603738321905</v>
      </c>
      <c r="Y15" s="698">
        <f t="shared" si="1"/>
        <v>5487.6499675333225</v>
      </c>
      <c r="Z15" s="698">
        <f t="shared" si="1"/>
        <v>5735.0571122802803</v>
      </c>
      <c r="AA15" s="698">
        <f t="shared" si="1"/>
        <v>6015.7867295166225</v>
      </c>
      <c r="AC15" s="697">
        <f t="shared" ref="AC15:AH15" si="2">SUM(AC14:AC14)</f>
        <v>994.5830400000001</v>
      </c>
      <c r="AD15" s="697">
        <f t="shared" si="2"/>
        <v>3468.8341999999998</v>
      </c>
      <c r="AE15" s="697">
        <f t="shared" si="2"/>
        <v>6670.6785099999997</v>
      </c>
      <c r="AF15" s="697">
        <f t="shared" si="2"/>
        <v>11433.846784644251</v>
      </c>
      <c r="AG15" s="697">
        <f t="shared" si="2"/>
        <v>18057.915362387001</v>
      </c>
      <c r="AH15" s="697">
        <f t="shared" si="2"/>
        <v>22501.254183162415</v>
      </c>
      <c r="AI15" s="717"/>
      <c r="AJ15" s="648">
        <f>IFERROR(_xlfn.RRI(2,AC15,AE15),"-")</f>
        <v>1.5897895890429674</v>
      </c>
      <c r="AK15" s="648">
        <f>IFERROR(_xlfn.RRI(3,AE15,AH15),"-")</f>
        <v>0.49972709703598217</v>
      </c>
    </row>
    <row r="16" spans="1:38" s="693" customFormat="1" ht="14.1" customHeight="1" x14ac:dyDescent="0.2">
      <c r="B16" s="663" t="s">
        <v>951</v>
      </c>
      <c r="D16" s="716" t="s">
        <v>990</v>
      </c>
      <c r="E16" s="716" t="s">
        <v>990</v>
      </c>
      <c r="F16" s="716" t="s">
        <v>990</v>
      </c>
      <c r="G16" s="716" t="s">
        <v>990</v>
      </c>
      <c r="H16" s="715">
        <f t="shared" ref="H16:AA16" si="3">IFERROR(H15/D15-1,"-")</f>
        <v>5.5508370514617651</v>
      </c>
      <c r="I16" s="715">
        <f t="shared" si="3"/>
        <v>2.7244164848761168</v>
      </c>
      <c r="J16" s="715">
        <f t="shared" si="3"/>
        <v>1.9206604697947438</v>
      </c>
      <c r="K16" s="715">
        <f t="shared" si="3"/>
        <v>1.8956785165819574</v>
      </c>
      <c r="L16" s="715">
        <f t="shared" si="3"/>
        <v>0.95211579199978291</v>
      </c>
      <c r="M16" s="715">
        <f t="shared" si="3"/>
        <v>0.85694468571882476</v>
      </c>
      <c r="N16" s="715">
        <f t="shared" si="3"/>
        <v>0.83336511168773431</v>
      </c>
      <c r="O16" s="715">
        <f t="shared" si="3"/>
        <v>1.0384962782279885</v>
      </c>
      <c r="P16" s="715">
        <f t="shared" si="3"/>
        <v>0.70271953812560928</v>
      </c>
      <c r="Q16" s="715">
        <f t="shared" si="3"/>
        <v>0.68330176840908274</v>
      </c>
      <c r="R16" s="715">
        <f t="shared" si="3"/>
        <v>0.69737373733027708</v>
      </c>
      <c r="S16" s="715">
        <f t="shared" si="3"/>
        <v>0.75840834914641198</v>
      </c>
      <c r="T16" s="715">
        <f t="shared" si="3"/>
        <v>0.73177654866922004</v>
      </c>
      <c r="U16" s="715">
        <f t="shared" si="3"/>
        <v>0.66038123111358038</v>
      </c>
      <c r="V16" s="715">
        <f t="shared" si="3"/>
        <v>0.63845938013442005</v>
      </c>
      <c r="W16" s="715">
        <f t="shared" si="3"/>
        <v>0.37547146514248664</v>
      </c>
      <c r="X16" s="715">
        <f t="shared" si="3"/>
        <v>0.29320553132215954</v>
      </c>
      <c r="Y16" s="715">
        <f t="shared" si="3"/>
        <v>0.26110386263819718</v>
      </c>
      <c r="Z16" s="715">
        <f t="shared" si="3"/>
        <v>0.23227945288814711</v>
      </c>
      <c r="AA16" s="715">
        <f t="shared" si="3"/>
        <v>0.20729112659402227</v>
      </c>
      <c r="AC16" s="714" t="s">
        <v>990</v>
      </c>
      <c r="AD16" s="707">
        <f>IFERROR(AD15/AC15-1,"-")</f>
        <v>2.4877270780728367</v>
      </c>
      <c r="AE16" s="707">
        <f>IFERROR(AE15/AD15-1,"-")</f>
        <v>0.92303180993775946</v>
      </c>
      <c r="AF16" s="707">
        <f>IFERROR(AF15/AE15-1,"-")</f>
        <v>0.71404554536750586</v>
      </c>
      <c r="AG16" s="707">
        <f>IFERROR(AG15/AF15-1,"-")</f>
        <v>0.57933858153836093</v>
      </c>
      <c r="AH16" s="707">
        <f>IFERROR(AH15/AG15-1,"-")</f>
        <v>0.24606045225078899</v>
      </c>
      <c r="AI16" s="694"/>
      <c r="AJ16" s="648"/>
      <c r="AK16" s="648"/>
    </row>
    <row r="17" spans="2:37" ht="12.75" customHeight="1" x14ac:dyDescent="0.2">
      <c r="AC17" s="566"/>
      <c r="AD17" s="566"/>
      <c r="AE17" s="566"/>
      <c r="AF17" s="566"/>
      <c r="AG17" s="566"/>
      <c r="AH17" s="566"/>
      <c r="AI17" s="566"/>
      <c r="AJ17" s="648"/>
      <c r="AK17" s="648"/>
    </row>
    <row r="18" spans="2:37" ht="14.1" customHeight="1" x14ac:dyDescent="0.2">
      <c r="B18" s="699" t="s">
        <v>948</v>
      </c>
      <c r="AC18" s="566"/>
      <c r="AD18" s="566"/>
      <c r="AE18" s="566"/>
      <c r="AF18" s="566"/>
      <c r="AG18" s="566"/>
      <c r="AH18" s="566"/>
      <c r="AI18" s="566"/>
      <c r="AJ18" s="648"/>
      <c r="AK18" s="648"/>
    </row>
    <row r="19" spans="2:37" ht="14.1" customHeight="1" x14ac:dyDescent="0.2">
      <c r="B19" s="704" t="s">
        <v>946</v>
      </c>
      <c r="D19" s="656">
        <f>'Expense Build'!D71</f>
        <v>3.2290900000000002</v>
      </c>
      <c r="E19" s="656">
        <f>'Expense Build'!E71</f>
        <v>4.7477200000000002</v>
      </c>
      <c r="F19" s="656">
        <f>'Expense Build'!F71</f>
        <v>6.989469999999999</v>
      </c>
      <c r="G19" s="656">
        <f>'Expense Build'!G71</f>
        <v>10.492569999999999</v>
      </c>
      <c r="H19" s="656">
        <f>'Expense Build'!H71</f>
        <v>10.910609999999998</v>
      </c>
      <c r="I19" s="656">
        <f>'Expense Build'!I71</f>
        <v>20.685370000000002</v>
      </c>
      <c r="J19" s="656">
        <f>'Expense Build'!J71</f>
        <v>18.848309999999998</v>
      </c>
      <c r="K19" s="656">
        <f>'Expense Build'!K71</f>
        <v>21.226380000000002</v>
      </c>
      <c r="L19" s="656">
        <f>'Expense Build'!L71</f>
        <v>24.888080000000002</v>
      </c>
      <c r="M19" s="656">
        <f>'Expense Build'!M71</f>
        <v>32.59581</v>
      </c>
      <c r="N19" s="656">
        <f>'Expense Build'!N71</f>
        <v>35.621589999999998</v>
      </c>
      <c r="O19" s="656">
        <f>'Expense Build'!O71</f>
        <v>42.492249999999999</v>
      </c>
      <c r="P19" s="656">
        <f>'Expense Build'!P71</f>
        <v>49.834620000000001</v>
      </c>
      <c r="Q19" s="656">
        <f>'Expense Build'!Q71</f>
        <v>60.565049999999999</v>
      </c>
      <c r="R19" s="656">
        <f>'Expense Build'!R71</f>
        <v>70.376179999999991</v>
      </c>
      <c r="S19" s="656">
        <f>'Expense Build'!S71</f>
        <v>105.07031961610636</v>
      </c>
      <c r="T19" s="656">
        <f>'Expense Build'!T71</f>
        <v>112.86197101491877</v>
      </c>
      <c r="U19" s="656">
        <f>'Expense Build'!U71</f>
        <v>112.86197101491877</v>
      </c>
      <c r="V19" s="656">
        <f>'Expense Build'!V71</f>
        <v>112.86197101491877</v>
      </c>
      <c r="W19" s="656">
        <f>'Expense Build'!W71</f>
        <v>112.86197101491877</v>
      </c>
      <c r="X19" s="656">
        <f>'Expense Build'!X71</f>
        <v>140.63283864476512</v>
      </c>
      <c r="Y19" s="656">
        <f>'Expense Build'!Y71</f>
        <v>140.63283864476512</v>
      </c>
      <c r="Z19" s="656">
        <f>'Expense Build'!Z71</f>
        <v>140.63283864476512</v>
      </c>
      <c r="AA19" s="656">
        <f>'Expense Build'!AA71</f>
        <v>140.63283864476512</v>
      </c>
      <c r="AB19" s="655"/>
      <c r="AC19" s="654">
        <f>SUM(D19:G19)</f>
        <v>25.458849999999998</v>
      </c>
      <c r="AD19" s="654">
        <f>SUM(H19:K19)</f>
        <v>71.670670000000001</v>
      </c>
      <c r="AE19" s="654">
        <f>SUM(L19:O19)</f>
        <v>135.59773000000001</v>
      </c>
      <c r="AF19" s="654">
        <f>SUM(P19:S19)</f>
        <v>285.84616961610635</v>
      </c>
      <c r="AG19" s="654">
        <f>SUM(T19:W19)</f>
        <v>451.44788405967506</v>
      </c>
      <c r="AH19" s="654">
        <f>SUM(X19:AA19)</f>
        <v>562.53135457906046</v>
      </c>
      <c r="AI19" s="566"/>
      <c r="AJ19" s="648">
        <f>IFERROR(_xlfn.RRI(2,AC19,AE19),"-")</f>
        <v>1.3078459628097363</v>
      </c>
      <c r="AK19" s="648">
        <f>IFERROR(_xlfn.RRI(3,AE19,AH19),"-")</f>
        <v>0.60681090942534399</v>
      </c>
    </row>
    <row r="20" spans="2:37" ht="15" x14ac:dyDescent="0.35">
      <c r="B20" s="704" t="s">
        <v>944</v>
      </c>
      <c r="D20" s="580">
        <f>'Expense Build'!D72</f>
        <v>71.699079999999995</v>
      </c>
      <c r="E20" s="580">
        <f>'Expense Build'!E72</f>
        <v>67.125889999999998</v>
      </c>
      <c r="F20" s="580">
        <f>'Expense Build'!F72</f>
        <v>60.348479999999995</v>
      </c>
      <c r="G20" s="580">
        <f>'Expense Build'!G72</f>
        <v>82.997329999999991</v>
      </c>
      <c r="H20" s="580">
        <f>'Expense Build'!H72</f>
        <v>116.22332999999999</v>
      </c>
      <c r="I20" s="580">
        <f>'Expense Build'!I72</f>
        <v>155.17502000000002</v>
      </c>
      <c r="J20" s="580">
        <f>'Expense Build'!J72</f>
        <v>243.88778999999997</v>
      </c>
      <c r="K20" s="580">
        <f>'Expense Build'!K72</f>
        <v>360.03653000000003</v>
      </c>
      <c r="L20" s="580">
        <f>'Expense Build'!L72</f>
        <v>362.01080999999999</v>
      </c>
      <c r="M20" s="580">
        <f>'Expense Build'!M72</f>
        <v>327.58406000000002</v>
      </c>
      <c r="N20" s="580">
        <f>'Expense Build'!N72</f>
        <v>335.40727000000004</v>
      </c>
      <c r="O20" s="580">
        <f>'Expense Build'!O72</f>
        <v>432.25696999999997</v>
      </c>
      <c r="P20" s="580">
        <f>'Expense Build'!P72</f>
        <v>458.72577000000001</v>
      </c>
      <c r="Q20" s="580">
        <f>'Expense Build'!Q72</f>
        <v>511.04390000000001</v>
      </c>
      <c r="R20" s="580">
        <f>'Expense Build'!R72</f>
        <v>554.82411000000002</v>
      </c>
      <c r="S20" s="580">
        <f>'Expense Build'!S72</f>
        <v>675.40621999999985</v>
      </c>
      <c r="T20" s="580">
        <f>'Expense Build'!T72</f>
        <v>660</v>
      </c>
      <c r="U20" s="580">
        <f>'Expense Build'!U72</f>
        <v>742.5</v>
      </c>
      <c r="V20" s="580">
        <f>'Expense Build'!V72</f>
        <v>907.50000000000011</v>
      </c>
      <c r="W20" s="580">
        <f>'Expense Build'!W72</f>
        <v>990</v>
      </c>
      <c r="X20" s="580">
        <f>'Expense Build'!X72</f>
        <v>800</v>
      </c>
      <c r="Y20" s="580">
        <f>'Expense Build'!Y72</f>
        <v>900</v>
      </c>
      <c r="Z20" s="580">
        <f>'Expense Build'!Z72</f>
        <v>1100</v>
      </c>
      <c r="AA20" s="580">
        <f>'Expense Build'!AA72</f>
        <v>1200</v>
      </c>
      <c r="AB20" s="713"/>
      <c r="AC20" s="712">
        <f>SUM(D20:G20)</f>
        <v>282.17077999999998</v>
      </c>
      <c r="AD20" s="712">
        <f>SUM(H20:K20)</f>
        <v>875.32267000000002</v>
      </c>
      <c r="AE20" s="712">
        <f>SUM(L20:O20)</f>
        <v>1457.25911</v>
      </c>
      <c r="AF20" s="712">
        <f>SUM(P20:S20)</f>
        <v>2200</v>
      </c>
      <c r="AG20" s="712">
        <f>SUM(T20:W20)</f>
        <v>3300</v>
      </c>
      <c r="AH20" s="712">
        <f>SUM(X20:AA20)</f>
        <v>4000</v>
      </c>
      <c r="AI20" s="566"/>
      <c r="AJ20" s="648">
        <f>IFERROR(_xlfn.RRI(2,AC20,AE20),"-")</f>
        <v>1.2725443639469685</v>
      </c>
      <c r="AK20" s="648">
        <f>IFERROR(_xlfn.RRI(3,AE20,AH20),"-")</f>
        <v>0.40014948216763235</v>
      </c>
    </row>
    <row r="21" spans="2:37" s="646" customFormat="1" ht="14.1" customHeight="1" x14ac:dyDescent="0.2">
      <c r="B21" s="699" t="s">
        <v>516</v>
      </c>
      <c r="D21" s="698">
        <f t="shared" ref="D21:AA21" si="4">SUM(D19:D20)</f>
        <v>74.928169999999994</v>
      </c>
      <c r="E21" s="698">
        <f t="shared" si="4"/>
        <v>71.873609999999999</v>
      </c>
      <c r="F21" s="698">
        <f t="shared" si="4"/>
        <v>67.337949999999992</v>
      </c>
      <c r="G21" s="698">
        <f t="shared" si="4"/>
        <v>93.489899999999992</v>
      </c>
      <c r="H21" s="698">
        <f t="shared" si="4"/>
        <v>127.13394</v>
      </c>
      <c r="I21" s="698">
        <f t="shared" si="4"/>
        <v>175.86039000000002</v>
      </c>
      <c r="J21" s="698">
        <f t="shared" si="4"/>
        <v>262.73609999999996</v>
      </c>
      <c r="K21" s="698">
        <f t="shared" si="4"/>
        <v>381.26291000000003</v>
      </c>
      <c r="L21" s="698">
        <f t="shared" si="4"/>
        <v>386.89888999999999</v>
      </c>
      <c r="M21" s="698">
        <f t="shared" si="4"/>
        <v>360.17987000000005</v>
      </c>
      <c r="N21" s="698">
        <f t="shared" si="4"/>
        <v>371.02886000000001</v>
      </c>
      <c r="O21" s="698">
        <f t="shared" si="4"/>
        <v>474.74921999999998</v>
      </c>
      <c r="P21" s="698">
        <f t="shared" si="4"/>
        <v>508.56038999999998</v>
      </c>
      <c r="Q21" s="698">
        <f t="shared" si="4"/>
        <v>571.60895000000005</v>
      </c>
      <c r="R21" s="698">
        <f t="shared" si="4"/>
        <v>625.20029</v>
      </c>
      <c r="S21" s="698">
        <f t="shared" si="4"/>
        <v>780.47653961610627</v>
      </c>
      <c r="T21" s="698">
        <f t="shared" si="4"/>
        <v>772.86197101491871</v>
      </c>
      <c r="U21" s="698">
        <f t="shared" si="4"/>
        <v>855.36197101491871</v>
      </c>
      <c r="V21" s="698">
        <f t="shared" si="4"/>
        <v>1020.3619710149189</v>
      </c>
      <c r="W21" s="698">
        <f t="shared" si="4"/>
        <v>1102.8619710149187</v>
      </c>
      <c r="X21" s="698">
        <f t="shared" si="4"/>
        <v>940.63283864476512</v>
      </c>
      <c r="Y21" s="698">
        <f t="shared" si="4"/>
        <v>1040.6328386447651</v>
      </c>
      <c r="Z21" s="698">
        <f t="shared" si="4"/>
        <v>1240.6328386447651</v>
      </c>
      <c r="AA21" s="698">
        <f t="shared" si="4"/>
        <v>1340.6328386447651</v>
      </c>
      <c r="AB21" s="711"/>
      <c r="AC21" s="697">
        <f t="shared" ref="AC21:AH21" si="5">SUM(AC19:AC20)</f>
        <v>307.62962999999996</v>
      </c>
      <c r="AD21" s="697">
        <f t="shared" si="5"/>
        <v>946.99333999999999</v>
      </c>
      <c r="AE21" s="697">
        <f t="shared" si="5"/>
        <v>1592.8568399999999</v>
      </c>
      <c r="AF21" s="697">
        <f t="shared" si="5"/>
        <v>2485.8461696161062</v>
      </c>
      <c r="AG21" s="697">
        <f t="shared" si="5"/>
        <v>3751.4478840596748</v>
      </c>
      <c r="AH21" s="697">
        <f t="shared" si="5"/>
        <v>4562.5313545790605</v>
      </c>
      <c r="AI21" s="637"/>
      <c r="AJ21" s="648">
        <f>IFERROR(_xlfn.RRI(2,AC21,AE21),"-")</f>
        <v>1.2754866444003583</v>
      </c>
      <c r="AK21" s="648">
        <f>IFERROR(_xlfn.RRI(3,AE21,AH21),"-")</f>
        <v>0.42017884490933266</v>
      </c>
    </row>
    <row r="22" spans="2:37" ht="12.75" customHeight="1" x14ac:dyDescent="0.2">
      <c r="AC22" s="566"/>
      <c r="AD22" s="566"/>
      <c r="AE22" s="566"/>
      <c r="AF22" s="566"/>
      <c r="AG22" s="566"/>
      <c r="AH22" s="566"/>
      <c r="AI22" s="566"/>
      <c r="AJ22" s="648"/>
      <c r="AK22" s="648"/>
    </row>
    <row r="23" spans="2:37" s="646" customFormat="1" ht="14.1" customHeight="1" x14ac:dyDescent="0.2">
      <c r="B23" s="699" t="s">
        <v>805</v>
      </c>
      <c r="D23" s="698">
        <f t="shared" ref="D23:AA23" si="6">D15-D21</f>
        <v>32.993509999999958</v>
      </c>
      <c r="E23" s="698">
        <f t="shared" si="6"/>
        <v>153.24351999999993</v>
      </c>
      <c r="F23" s="698">
        <f t="shared" si="6"/>
        <v>245.18747000000002</v>
      </c>
      <c r="G23" s="698">
        <f t="shared" si="6"/>
        <v>255.52891000000017</v>
      </c>
      <c r="H23" s="698">
        <f t="shared" si="6"/>
        <v>579.84339999999975</v>
      </c>
      <c r="I23" s="698">
        <f t="shared" si="6"/>
        <v>662.56955999999957</v>
      </c>
      <c r="J23" s="698">
        <f t="shared" si="6"/>
        <v>650.04453999999964</v>
      </c>
      <c r="K23" s="698">
        <f t="shared" si="6"/>
        <v>629.38336000000049</v>
      </c>
      <c r="L23" s="698">
        <f t="shared" si="6"/>
        <v>993.20273999999949</v>
      </c>
      <c r="M23" s="698">
        <f t="shared" si="6"/>
        <v>1196.7381699999992</v>
      </c>
      <c r="N23" s="698">
        <f t="shared" si="6"/>
        <v>1302.4313200000011</v>
      </c>
      <c r="O23" s="698">
        <f t="shared" si="6"/>
        <v>1585.4494400000001</v>
      </c>
      <c r="P23" s="698">
        <f t="shared" si="6"/>
        <v>1841.3656199999996</v>
      </c>
      <c r="Q23" s="698">
        <f t="shared" si="6"/>
        <v>2049.153940000002</v>
      </c>
      <c r="R23" s="698">
        <f t="shared" si="6"/>
        <v>2215.2870699999994</v>
      </c>
      <c r="S23" s="698">
        <f t="shared" si="6"/>
        <v>2842.1939850281442</v>
      </c>
      <c r="T23" s="698">
        <f t="shared" si="6"/>
        <v>3296.6847842109119</v>
      </c>
      <c r="U23" s="698">
        <f t="shared" si="6"/>
        <v>3496.1035427400693</v>
      </c>
      <c r="V23" s="698">
        <f t="shared" si="6"/>
        <v>3633.6611881303361</v>
      </c>
      <c r="W23" s="698">
        <f t="shared" si="6"/>
        <v>3880.0179632460085</v>
      </c>
      <c r="X23" s="698">
        <f t="shared" si="6"/>
        <v>4322.1275351874256</v>
      </c>
      <c r="Y23" s="698">
        <f t="shared" si="6"/>
        <v>4447.0171288885576</v>
      </c>
      <c r="Z23" s="698">
        <f t="shared" si="6"/>
        <v>4494.4242736355154</v>
      </c>
      <c r="AA23" s="698">
        <f t="shared" si="6"/>
        <v>4675.1538908718576</v>
      </c>
      <c r="AB23" s="710"/>
      <c r="AC23" s="697">
        <f t="shared" ref="AC23:AH23" si="7">AC15-AC21</f>
        <v>686.95341000000008</v>
      </c>
      <c r="AD23" s="697">
        <f t="shared" si="7"/>
        <v>2521.8408599999998</v>
      </c>
      <c r="AE23" s="697">
        <f t="shared" si="7"/>
        <v>5077.8216699999994</v>
      </c>
      <c r="AF23" s="697">
        <f t="shared" si="7"/>
        <v>8948.0006150281442</v>
      </c>
      <c r="AG23" s="697">
        <f t="shared" si="7"/>
        <v>14306.467478327326</v>
      </c>
      <c r="AH23" s="697">
        <f t="shared" si="7"/>
        <v>17938.722828583355</v>
      </c>
      <c r="AI23" s="637"/>
      <c r="AJ23" s="648">
        <f>IFERROR(_xlfn.RRI(2,AC23,AE23),"-")</f>
        <v>1.7187863478270877</v>
      </c>
      <c r="AK23" s="648">
        <f>IFERROR(_xlfn.RRI(3,AE23,AH23),"-")</f>
        <v>0.52301679196788164</v>
      </c>
    </row>
    <row r="24" spans="2:37" s="684" customFormat="1" ht="14.1" customHeight="1" x14ac:dyDescent="0.2">
      <c r="B24" s="709" t="s">
        <v>929</v>
      </c>
      <c r="D24" s="708">
        <f t="shared" ref="D24:AA24" si="8">IFERROR(D23/D15,"-")</f>
        <v>0.30571716452153053</v>
      </c>
      <c r="E24" s="708">
        <f t="shared" si="8"/>
        <v>0.68072793927321285</v>
      </c>
      <c r="F24" s="708">
        <f t="shared" si="8"/>
        <v>0.78453608669656383</v>
      </c>
      <c r="G24" s="708">
        <f t="shared" si="8"/>
        <v>0.7321350674480841</v>
      </c>
      <c r="H24" s="708">
        <f t="shared" si="8"/>
        <v>0.82017253905195875</v>
      </c>
      <c r="I24" s="708">
        <f t="shared" si="8"/>
        <v>0.79025034828491025</v>
      </c>
      <c r="J24" s="708">
        <f t="shared" si="8"/>
        <v>0.71215855323136557</v>
      </c>
      <c r="K24" s="708">
        <f t="shared" si="8"/>
        <v>0.6227533595903938</v>
      </c>
      <c r="L24" s="708">
        <f t="shared" si="8"/>
        <v>0.7196591311902153</v>
      </c>
      <c r="M24" s="708">
        <f t="shared" si="8"/>
        <v>0.76865842597597478</v>
      </c>
      <c r="N24" s="708">
        <f t="shared" si="8"/>
        <v>0.77828641252760511</v>
      </c>
      <c r="O24" s="708">
        <f t="shared" si="8"/>
        <v>0.76956143637138374</v>
      </c>
      <c r="P24" s="708">
        <f t="shared" si="8"/>
        <v>0.78358450953951519</v>
      </c>
      <c r="Q24" s="708">
        <f t="shared" si="8"/>
        <v>0.78189215354770247</v>
      </c>
      <c r="R24" s="708">
        <f t="shared" si="8"/>
        <v>0.77989682376196168</v>
      </c>
      <c r="S24" s="708">
        <f t="shared" si="8"/>
        <v>0.78455768077535848</v>
      </c>
      <c r="T24" s="708">
        <f t="shared" si="8"/>
        <v>0.81008647461232319</v>
      </c>
      <c r="U24" s="708">
        <f t="shared" si="8"/>
        <v>0.80343128807728836</v>
      </c>
      <c r="V24" s="708">
        <f t="shared" si="8"/>
        <v>0.78075700611633492</v>
      </c>
      <c r="W24" s="708">
        <f t="shared" si="8"/>
        <v>0.77866976817323252</v>
      </c>
      <c r="X24" s="708">
        <f t="shared" si="8"/>
        <v>0.82126626108195322</v>
      </c>
      <c r="Y24" s="708">
        <f t="shared" si="8"/>
        <v>0.81036821867256859</v>
      </c>
      <c r="Z24" s="708">
        <f t="shared" si="8"/>
        <v>0.78367559130523035</v>
      </c>
      <c r="AA24" s="708">
        <f t="shared" si="8"/>
        <v>0.77714754546285469</v>
      </c>
      <c r="AC24" s="707">
        <f t="shared" ref="AC24:AH24" si="9">IFERROR(AC23/AC15,"-")</f>
        <v>0.69069487651830463</v>
      </c>
      <c r="AD24" s="707">
        <f t="shared" si="9"/>
        <v>0.72699953776977866</v>
      </c>
      <c r="AE24" s="707">
        <f t="shared" si="9"/>
        <v>0.76121516909979214</v>
      </c>
      <c r="AF24" s="707">
        <f t="shared" si="9"/>
        <v>0.78258881578204997</v>
      </c>
      <c r="AG24" s="707">
        <f t="shared" si="9"/>
        <v>0.79225465349817725</v>
      </c>
      <c r="AH24" s="707">
        <f t="shared" si="9"/>
        <v>0.79723213126523496</v>
      </c>
      <c r="AI24" s="685"/>
      <c r="AJ24" s="648"/>
      <c r="AK24" s="648"/>
    </row>
    <row r="25" spans="2:37" ht="12.75" customHeight="1" x14ac:dyDescent="0.2">
      <c r="AC25" s="566"/>
      <c r="AD25" s="566"/>
      <c r="AE25" s="566"/>
      <c r="AF25" s="566"/>
      <c r="AG25" s="566"/>
      <c r="AH25" s="566"/>
      <c r="AI25" s="566"/>
      <c r="AJ25" s="648"/>
      <c r="AK25" s="648"/>
    </row>
    <row r="26" spans="2:37" s="646" customFormat="1" ht="14.1" customHeight="1" x14ac:dyDescent="0.2">
      <c r="B26" s="699" t="s">
        <v>32</v>
      </c>
      <c r="AC26" s="637"/>
      <c r="AD26" s="637"/>
      <c r="AE26" s="637"/>
      <c r="AF26" s="637"/>
      <c r="AG26" s="637"/>
      <c r="AH26" s="637"/>
      <c r="AI26" s="637"/>
      <c r="AJ26" s="648"/>
      <c r="AK26" s="648"/>
    </row>
    <row r="27" spans="2:37" ht="14.1" customHeight="1" x14ac:dyDescent="0.2">
      <c r="B27" s="704" t="s">
        <v>12</v>
      </c>
      <c r="D27" s="656">
        <f>'Expense Build'!D14+'Expense Build'!D15+'Expense Build'!D16</f>
        <v>49.06053</v>
      </c>
      <c r="E27" s="656">
        <f>'Expense Build'!E14+'Expense Build'!E15+'Expense Build'!E16</f>
        <v>146.86684222222223</v>
      </c>
      <c r="F27" s="656">
        <f>'Expense Build'!F14+'Expense Build'!F15+'Expense Build'!F16</f>
        <v>190.33871749999997</v>
      </c>
      <c r="G27" s="656">
        <f>'Expense Build'!G14+'Expense Build'!G15+'Expense Build'!G16</f>
        <v>532.98663999999997</v>
      </c>
      <c r="H27" s="656">
        <f>'Expense Build'!H14+'Expense Build'!H15+'Expense Build'!H16</f>
        <v>597.79194956521735</v>
      </c>
      <c r="I27" s="656">
        <f>'Expense Build'!I14+'Expense Build'!I15+'Expense Build'!I16</f>
        <v>840.59537882352936</v>
      </c>
      <c r="J27" s="656">
        <f>'Expense Build'!J14+'Expense Build'!J15+'Expense Build'!J16</f>
        <v>1101.4862569565216</v>
      </c>
      <c r="K27" s="656">
        <f>'Expense Build'!K14+'Expense Build'!K15+'Expense Build'!K16</f>
        <v>1475.7527031481479</v>
      </c>
      <c r="L27" s="656">
        <f>'Expense Build'!L14+'Expense Build'!L15+'Expense Build'!L16</f>
        <v>1273.0871499999998</v>
      </c>
      <c r="M27" s="656">
        <f>'Expense Build'!M14+'Expense Build'!M15+'Expense Build'!M16</f>
        <v>1282.6137860239864</v>
      </c>
      <c r="N27" s="656">
        <f>'Expense Build'!N14+'Expense Build'!N15+'Expense Build'!N16</f>
        <v>1340.2266302545509</v>
      </c>
      <c r="O27" s="656">
        <f>'Expense Build'!O14+'Expense Build'!O15+'Expense Build'!O16</f>
        <v>1596.1902654058968</v>
      </c>
      <c r="P27" s="656">
        <f>'Expense Build'!P14+'Expense Build'!P15+'Expense Build'!P16</f>
        <v>1844.4097499999998</v>
      </c>
      <c r="Q27" s="656">
        <f>'Expense Build'!Q14+'Expense Build'!Q15+'Expense Build'!Q16</f>
        <v>2268.6541299999999</v>
      </c>
      <c r="R27" s="656">
        <f>'Expense Build'!R14+'Expense Build'!R15+'Expense Build'!R16</f>
        <v>2529.5950600000001</v>
      </c>
      <c r="S27" s="656">
        <f>'Expense Build'!S14+'Expense Build'!S15+'Expense Build'!S16</f>
        <v>2916.9106900000002</v>
      </c>
      <c r="T27" s="656">
        <f>'Expense Build'!T14+'Expense Build'!T15+'Expense Build'!T16</f>
        <v>3599.2910366110154</v>
      </c>
      <c r="U27" s="656">
        <f>'Expense Build'!U14+'Expense Build'!U15+'Expense Build'!U16</f>
        <v>3416.877111135856</v>
      </c>
      <c r="V27" s="656">
        <f>'Expense Build'!V14+'Expense Build'!V15+'Expense Build'!V16</f>
        <v>3454.6458471447845</v>
      </c>
      <c r="W27" s="656">
        <f>'Expense Build'!W14+'Expense Build'!W15+'Expense Build'!W16</f>
        <v>3492.414583153713</v>
      </c>
      <c r="X27" s="656">
        <f>'Expense Build'!X14+'Expense Build'!X15+'Expense Build'!X16</f>
        <v>3961.8266510789058</v>
      </c>
      <c r="Y27" s="656">
        <f>'Expense Build'!Y14+'Expense Build'!Y15+'Expense Build'!Y16</f>
        <v>4003.3722606887272</v>
      </c>
      <c r="Z27" s="656">
        <f>'Expense Build'!Z14+'Expense Build'!Z15+'Expense Build'!Z16</f>
        <v>4219.9178702985482</v>
      </c>
      <c r="AA27" s="656">
        <f>'Expense Build'!AA14+'Expense Build'!AA15+'Expense Build'!AA16</f>
        <v>4261.4634799083697</v>
      </c>
      <c r="AB27" s="703"/>
      <c r="AC27" s="654">
        <f>SUM(D27:G27)</f>
        <v>919.25272972222217</v>
      </c>
      <c r="AD27" s="654">
        <f>SUM(H27:K27)</f>
        <v>4015.6262884934158</v>
      </c>
      <c r="AE27" s="654">
        <f>SUM(L27:O27)</f>
        <v>5492.1178316844343</v>
      </c>
      <c r="AF27" s="654">
        <f>SUM(P27:S27)</f>
        <v>9559.56963</v>
      </c>
      <c r="AG27" s="654">
        <f>SUM(T27:W27)</f>
        <v>13963.228578045369</v>
      </c>
      <c r="AH27" s="654">
        <f>SUM(X27:AA27)</f>
        <v>16446.580261974552</v>
      </c>
      <c r="AI27" s="566"/>
      <c r="AJ27" s="648">
        <f>IFERROR(_xlfn.RRI(2,AC27,AE27),"-")</f>
        <v>1.4442884695143565</v>
      </c>
      <c r="AK27" s="648">
        <f>IFERROR(_xlfn.RRI(3,AE27,AH27),"-")</f>
        <v>0.44138031802857758</v>
      </c>
    </row>
    <row r="28" spans="2:37" s="693" customFormat="1" ht="14.1" customHeight="1" x14ac:dyDescent="0.2">
      <c r="B28" s="701" t="s">
        <v>936</v>
      </c>
      <c r="D28" s="706">
        <f t="shared" ref="D28:AA28" si="10">IFERROR(D27/D$15,"-")</f>
        <v>0.4545938313784591</v>
      </c>
      <c r="E28" s="706">
        <f t="shared" si="10"/>
        <v>0.65240189505890678</v>
      </c>
      <c r="F28" s="706">
        <f t="shared" si="10"/>
        <v>0.60903435470945044</v>
      </c>
      <c r="G28" s="706">
        <f t="shared" si="10"/>
        <v>1.5271000436910542</v>
      </c>
      <c r="H28" s="706">
        <f t="shared" si="10"/>
        <v>0.84556026868586409</v>
      </c>
      <c r="I28" s="706">
        <f t="shared" si="10"/>
        <v>1.0025827188348051</v>
      </c>
      <c r="J28" s="706">
        <f t="shared" si="10"/>
        <v>1.2067370939818818</v>
      </c>
      <c r="K28" s="706">
        <f t="shared" si="10"/>
        <v>1.4602069457478404</v>
      </c>
      <c r="L28" s="706">
        <f t="shared" si="10"/>
        <v>0.92245898586468622</v>
      </c>
      <c r="M28" s="706">
        <f t="shared" si="10"/>
        <v>0.82381586767662285</v>
      </c>
      <c r="N28" s="706">
        <f t="shared" si="10"/>
        <v>0.80087153926456145</v>
      </c>
      <c r="O28" s="706">
        <f t="shared" si="10"/>
        <v>0.77477492651407542</v>
      </c>
      <c r="P28" s="706">
        <f t="shared" si="10"/>
        <v>0.78487992479388746</v>
      </c>
      <c r="Q28" s="706">
        <f t="shared" si="10"/>
        <v>0.86564646449187099</v>
      </c>
      <c r="R28" s="706">
        <f t="shared" si="10"/>
        <v>0.89054966257621382</v>
      </c>
      <c r="S28" s="706">
        <f t="shared" si="10"/>
        <v>0.80518243935154543</v>
      </c>
      <c r="T28" s="706">
        <f t="shared" si="10"/>
        <v>0.8844451859384721</v>
      </c>
      <c r="U28" s="706">
        <f t="shared" si="10"/>
        <v>0.7852244491735263</v>
      </c>
      <c r="V28" s="706">
        <f t="shared" si="10"/>
        <v>0.74229236276066479</v>
      </c>
      <c r="W28" s="706">
        <f t="shared" si="10"/>
        <v>0.7008827483762593</v>
      </c>
      <c r="X28" s="706">
        <f t="shared" si="10"/>
        <v>0.7528039222112668</v>
      </c>
      <c r="Y28" s="706">
        <f t="shared" si="10"/>
        <v>0.72952398282943465</v>
      </c>
      <c r="Z28" s="706">
        <f t="shared" si="10"/>
        <v>0.73581095840572941</v>
      </c>
      <c r="AA28" s="706">
        <f t="shared" si="10"/>
        <v>0.70838007920051127</v>
      </c>
      <c r="AB28" s="705"/>
      <c r="AC28" s="695">
        <f t="shared" ref="AC28:AH28" si="11">IFERROR(AC27/AC$15,"-")</f>
        <v>0.92425940595389811</v>
      </c>
      <c r="AD28" s="695">
        <f t="shared" si="11"/>
        <v>1.1576299289523311</v>
      </c>
      <c r="AE28" s="695">
        <f t="shared" si="11"/>
        <v>0.82332221878946987</v>
      </c>
      <c r="AF28" s="695">
        <f t="shared" si="11"/>
        <v>0.83607641505556818</v>
      </c>
      <c r="AG28" s="695">
        <f t="shared" si="11"/>
        <v>0.77324698326638008</v>
      </c>
      <c r="AH28" s="695">
        <f t="shared" si="11"/>
        <v>0.7309183802866176</v>
      </c>
      <c r="AI28" s="694"/>
      <c r="AJ28" s="648"/>
      <c r="AK28" s="648"/>
    </row>
    <row r="29" spans="2:37" ht="14.1" customHeight="1" x14ac:dyDescent="0.2">
      <c r="B29" s="704" t="s">
        <v>534</v>
      </c>
      <c r="D29" s="656">
        <f>'Expense Build'!D17</f>
        <v>83.355120000000014</v>
      </c>
      <c r="E29" s="656">
        <f>'Expense Build'!E17</f>
        <v>132.46609444444442</v>
      </c>
      <c r="F29" s="656">
        <f>'Expense Build'!F17</f>
        <v>130.76859999999999</v>
      </c>
      <c r="G29" s="656">
        <f>'Expense Build'!G17</f>
        <v>166.96580625000004</v>
      </c>
      <c r="H29" s="656">
        <f>'Expense Build'!H17</f>
        <v>219.33144695652175</v>
      </c>
      <c r="I29" s="656">
        <f>'Expense Build'!I17</f>
        <v>312.20110411764705</v>
      </c>
      <c r="J29" s="656">
        <f>'Expense Build'!J17</f>
        <v>386.7963895652174</v>
      </c>
      <c r="K29" s="656">
        <f>'Expense Build'!K17</f>
        <v>466.95031574074079</v>
      </c>
      <c r="L29" s="656">
        <f>'Expense Build'!L17</f>
        <v>594.54301999999984</v>
      </c>
      <c r="M29" s="656">
        <f>'Expense Build'!M17</f>
        <v>623.93677806041717</v>
      </c>
      <c r="N29" s="656">
        <f>'Expense Build'!N17</f>
        <v>647.73311826228439</v>
      </c>
      <c r="O29" s="656">
        <f>'Expense Build'!O17</f>
        <v>862.75927907613357</v>
      </c>
      <c r="P29" s="656">
        <f>'Expense Build'!P17</f>
        <v>900.36407999999983</v>
      </c>
      <c r="Q29" s="656">
        <f>'Expense Build'!Q17</f>
        <v>1022.2579500000001</v>
      </c>
      <c r="R29" s="656">
        <f>'Expense Build'!R17</f>
        <v>1121.9842699999999</v>
      </c>
      <c r="S29" s="656">
        <f>'Expense Build'!S17</f>
        <v>1371.0568600000001</v>
      </c>
      <c r="T29" s="656">
        <f>'Expense Build'!T17</f>
        <v>1839.7454914205623</v>
      </c>
      <c r="U29" s="656">
        <f>'Expense Build'!U17</f>
        <v>1971.2685766877937</v>
      </c>
      <c r="V29" s="656">
        <f>'Expense Build'!V17</f>
        <v>2155.4008960619176</v>
      </c>
      <c r="W29" s="656">
        <f>'Expense Build'!W17</f>
        <v>2260.619364275703</v>
      </c>
      <c r="X29" s="656">
        <f>'Expense Build'!X17</f>
        <v>2508.5563007032733</v>
      </c>
      <c r="Y29" s="656">
        <f>'Expense Build'!Y17</f>
        <v>2508.5563007032733</v>
      </c>
      <c r="Z29" s="656">
        <f>'Expense Build'!Z17</f>
        <v>2508.5563007032733</v>
      </c>
      <c r="AA29" s="656">
        <f>'Expense Build'!AA17</f>
        <v>2508.5563007032733</v>
      </c>
      <c r="AB29" s="703"/>
      <c r="AC29" s="702">
        <f>SUM(D29:G29)</f>
        <v>513.55562069444443</v>
      </c>
      <c r="AD29" s="702">
        <f>SUM(H29:K29)</f>
        <v>1385.279256380127</v>
      </c>
      <c r="AE29" s="702">
        <f>SUM(L29:O29)</f>
        <v>2728.9721953988351</v>
      </c>
      <c r="AF29" s="702">
        <f>SUM(P29:S29)</f>
        <v>4415.6631600000001</v>
      </c>
      <c r="AG29" s="702">
        <f>SUM(T29:W29)</f>
        <v>8227.0343284459759</v>
      </c>
      <c r="AH29" s="702">
        <f>SUM(X29:AA29)</f>
        <v>10034.225202813093</v>
      </c>
      <c r="AI29" s="566"/>
      <c r="AJ29" s="648">
        <f>IFERROR(_xlfn.RRI(2,AC29,AE29),"-")</f>
        <v>1.3051851437149313</v>
      </c>
      <c r="AK29" s="648">
        <f>IFERROR(_xlfn.RRI(3,AE29,AH29),"-")</f>
        <v>0.54345833727589921</v>
      </c>
    </row>
    <row r="30" spans="2:37" s="693" customFormat="1" ht="14.1" customHeight="1" x14ac:dyDescent="0.2">
      <c r="B30" s="701" t="s">
        <v>936</v>
      </c>
      <c r="D30" s="706">
        <f t="shared" ref="D30:AA30" si="12">IFERROR(D29/D$15,"-")</f>
        <v>0.77236677560986866</v>
      </c>
      <c r="E30" s="706">
        <f t="shared" si="12"/>
        <v>0.58843187297405775</v>
      </c>
      <c r="F30" s="706">
        <f t="shared" si="12"/>
        <v>0.41842548359746223</v>
      </c>
      <c r="G30" s="706">
        <f t="shared" si="12"/>
        <v>0.47838626878018403</v>
      </c>
      <c r="H30" s="706">
        <f t="shared" si="12"/>
        <v>0.31023829838240896</v>
      </c>
      <c r="I30" s="706">
        <f t="shared" si="12"/>
        <v>0.37236396924709952</v>
      </c>
      <c r="J30" s="706">
        <f t="shared" si="12"/>
        <v>0.42375612783068839</v>
      </c>
      <c r="K30" s="706">
        <f t="shared" si="12"/>
        <v>0.46203140465826936</v>
      </c>
      <c r="L30" s="706">
        <f t="shared" si="12"/>
        <v>0.43079654938165685</v>
      </c>
      <c r="M30" s="706">
        <f t="shared" si="12"/>
        <v>0.40075120335841019</v>
      </c>
      <c r="N30" s="706">
        <f t="shared" si="12"/>
        <v>0.38706216377510938</v>
      </c>
      <c r="O30" s="706">
        <f t="shared" si="12"/>
        <v>0.41877479867700407</v>
      </c>
      <c r="P30" s="706">
        <f t="shared" si="12"/>
        <v>0.3831457144474093</v>
      </c>
      <c r="Q30" s="706">
        <f t="shared" si="12"/>
        <v>0.39006121229074614</v>
      </c>
      <c r="R30" s="706">
        <f t="shared" si="12"/>
        <v>0.39499710007510824</v>
      </c>
      <c r="S30" s="706">
        <f t="shared" si="12"/>
        <v>0.37846578944262099</v>
      </c>
      <c r="T30" s="706">
        <f t="shared" si="12"/>
        <v>0.45207626354411296</v>
      </c>
      <c r="U30" s="706">
        <f t="shared" si="12"/>
        <v>0.45301257023791436</v>
      </c>
      <c r="V30" s="706">
        <f t="shared" si="12"/>
        <v>0.46312637955539798</v>
      </c>
      <c r="W30" s="706">
        <f t="shared" si="12"/>
        <v>0.45367726979177225</v>
      </c>
      <c r="X30" s="706">
        <f t="shared" si="12"/>
        <v>0.47666169890167637</v>
      </c>
      <c r="Y30" s="706">
        <f t="shared" si="12"/>
        <v>0.4571276075450672</v>
      </c>
      <c r="Z30" s="706">
        <f t="shared" si="12"/>
        <v>0.43740737914044275</v>
      </c>
      <c r="AA30" s="706">
        <f t="shared" si="12"/>
        <v>0.416995550788889</v>
      </c>
      <c r="AB30" s="705"/>
      <c r="AC30" s="695">
        <f t="shared" ref="AC30:AH30" si="13">IFERROR(AC29/AC$15,"-")</f>
        <v>0.51635268252155631</v>
      </c>
      <c r="AD30" s="695">
        <f t="shared" si="13"/>
        <v>0.39935009184933862</v>
      </c>
      <c r="AE30" s="695">
        <f t="shared" si="13"/>
        <v>0.40909964275865474</v>
      </c>
      <c r="AF30" s="695">
        <f t="shared" si="13"/>
        <v>0.38619226260144324</v>
      </c>
      <c r="AG30" s="695">
        <f t="shared" si="13"/>
        <v>0.45559158758613644</v>
      </c>
      <c r="AH30" s="695">
        <f t="shared" si="13"/>
        <v>0.44594070717718737</v>
      </c>
      <c r="AI30" s="694"/>
      <c r="AJ30" s="648"/>
      <c r="AK30" s="648"/>
    </row>
    <row r="31" spans="2:37" ht="14.1" customHeight="1" x14ac:dyDescent="0.2">
      <c r="B31" s="704" t="s">
        <v>543</v>
      </c>
      <c r="D31" s="656">
        <f>'Expense Build'!D18</f>
        <v>92.878419999999977</v>
      </c>
      <c r="E31" s="656">
        <f>'Expense Build'!E18</f>
        <v>192.55827333333332</v>
      </c>
      <c r="F31" s="656">
        <f>'Expense Build'!F18</f>
        <v>181.52698250000003</v>
      </c>
      <c r="G31" s="656">
        <f>'Expense Build'!G18</f>
        <v>167.14962375000005</v>
      </c>
      <c r="H31" s="656">
        <f>'Expense Build'!H18</f>
        <v>248.39205347826086</v>
      </c>
      <c r="I31" s="656">
        <f>'Expense Build'!I18</f>
        <v>428.62487705882359</v>
      </c>
      <c r="J31" s="656">
        <f>'Expense Build'!J18</f>
        <v>445.42763347826076</v>
      </c>
      <c r="K31" s="656">
        <f>'Expense Build'!K18</f>
        <v>590.95073111111128</v>
      </c>
      <c r="L31" s="656">
        <f>'Expense Build'!L18</f>
        <v>680.39957000000004</v>
      </c>
      <c r="M31" s="656">
        <f>'Expense Build'!M18</f>
        <v>450.66517591559648</v>
      </c>
      <c r="N31" s="656">
        <f>'Expense Build'!N18</f>
        <v>602.03070148316499</v>
      </c>
      <c r="O31" s="656">
        <f>'Expense Build'!O18</f>
        <v>555.6143555179691</v>
      </c>
      <c r="P31" s="656">
        <f>'Expense Build'!P18</f>
        <v>633.04985999999997</v>
      </c>
      <c r="Q31" s="656">
        <f>'Expense Build'!Q18</f>
        <v>870.74126999999999</v>
      </c>
      <c r="R31" s="656">
        <f>'Expense Build'!R18</f>
        <v>939.03379999999981</v>
      </c>
      <c r="S31" s="656">
        <f>'Expense Build'!S18</f>
        <v>1030.0691499999998</v>
      </c>
      <c r="T31" s="656">
        <f>'Expense Build'!T18</f>
        <v>1461.0458973673271</v>
      </c>
      <c r="U31" s="656">
        <f>'Expense Build'!U18</f>
        <v>1527.4262549239627</v>
      </c>
      <c r="V31" s="656">
        <f>'Expense Build'!V18</f>
        <v>1593.8066124805982</v>
      </c>
      <c r="W31" s="656">
        <f>'Expense Build'!W18</f>
        <v>1660.1869700372336</v>
      </c>
      <c r="X31" s="656">
        <f>'Expense Build'!X18</f>
        <v>1938.9648636971067</v>
      </c>
      <c r="Y31" s="656">
        <f>'Expense Build'!Y18</f>
        <v>1938.9648636971067</v>
      </c>
      <c r="Z31" s="656">
        <f>'Expense Build'!Z18</f>
        <v>1938.9648636971067</v>
      </c>
      <c r="AA31" s="656">
        <f>'Expense Build'!AA18</f>
        <v>1938.9648636971067</v>
      </c>
      <c r="AB31" s="703"/>
      <c r="AC31" s="702">
        <f>'Expense Build'!AC18</f>
        <v>634.1132995833334</v>
      </c>
      <c r="AD31" s="702">
        <f>SUM(H31:K31)</f>
        <v>1713.3952951264566</v>
      </c>
      <c r="AE31" s="702">
        <f>SUM(L31:O31)</f>
        <v>2288.709802916731</v>
      </c>
      <c r="AF31" s="702">
        <f>SUM(P31:S31)</f>
        <v>3472.8940799999996</v>
      </c>
      <c r="AG31" s="702">
        <f>SUM(T31:W31)</f>
        <v>6242.4657348091214</v>
      </c>
      <c r="AH31" s="702">
        <f>SUM(X31:AA31)</f>
        <v>7755.8594547884268</v>
      </c>
      <c r="AI31" s="566"/>
      <c r="AJ31" s="648">
        <f>IFERROR(_xlfn.RRI(2,AC31,AE31),"-")</f>
        <v>0.89981771908956243</v>
      </c>
      <c r="AK31" s="648">
        <f>IFERROR(_xlfn.RRI(3,AE31,AH31),"-")</f>
        <v>0.50203389671704768</v>
      </c>
    </row>
    <row r="32" spans="2:37" s="693" customFormat="1" ht="15" x14ac:dyDescent="0.35">
      <c r="B32" s="701" t="s">
        <v>936</v>
      </c>
      <c r="D32" s="696">
        <f t="shared" ref="D32:AA32" si="14">IFERROR(D31/D$15,"-")</f>
        <v>0.8606094716094117</v>
      </c>
      <c r="E32" s="696">
        <f t="shared" si="14"/>
        <v>0.8553692619185993</v>
      </c>
      <c r="F32" s="696">
        <f t="shared" si="14"/>
        <v>0.58083909622455676</v>
      </c>
      <c r="G32" s="696">
        <f t="shared" si="14"/>
        <v>0.47891293810210395</v>
      </c>
      <c r="H32" s="696">
        <f t="shared" si="14"/>
        <v>0.35134372691246502</v>
      </c>
      <c r="I32" s="696">
        <f t="shared" si="14"/>
        <v>0.51122324179715162</v>
      </c>
      <c r="J32" s="696">
        <f t="shared" si="14"/>
        <v>0.48798979071057091</v>
      </c>
      <c r="K32" s="696">
        <f t="shared" si="14"/>
        <v>0.58472558466090319</v>
      </c>
      <c r="L32" s="696">
        <f t="shared" si="14"/>
        <v>0.49300685921224535</v>
      </c>
      <c r="M32" s="696">
        <f t="shared" si="14"/>
        <v>0.28945979450247533</v>
      </c>
      <c r="N32" s="696">
        <f t="shared" si="14"/>
        <v>0.35975203275118545</v>
      </c>
      <c r="O32" s="696">
        <f t="shared" si="14"/>
        <v>0.26968969852546604</v>
      </c>
      <c r="P32" s="696">
        <f t="shared" si="14"/>
        <v>0.26939140096585429</v>
      </c>
      <c r="Q32" s="696">
        <f t="shared" si="14"/>
        <v>0.33224725263108384</v>
      </c>
      <c r="R32" s="696">
        <f t="shared" si="14"/>
        <v>0.33058897329506159</v>
      </c>
      <c r="S32" s="696">
        <f t="shared" si="14"/>
        <v>0.28433972755531051</v>
      </c>
      <c r="T32" s="696">
        <f t="shared" si="14"/>
        <v>0.35901931719819979</v>
      </c>
      <c r="U32" s="696">
        <f t="shared" si="14"/>
        <v>0.35101421580747139</v>
      </c>
      <c r="V32" s="696">
        <f t="shared" si="14"/>
        <v>0.34245781724328855</v>
      </c>
      <c r="W32" s="696">
        <f t="shared" si="14"/>
        <v>0.33317820054668373</v>
      </c>
      <c r="X32" s="696">
        <f t="shared" si="14"/>
        <v>0.36843115132852011</v>
      </c>
      <c r="Y32" s="696">
        <f t="shared" si="14"/>
        <v>0.35333246019127273</v>
      </c>
      <c r="Z32" s="696">
        <f t="shared" si="14"/>
        <v>0.33808989618346919</v>
      </c>
      <c r="AA32" s="696">
        <f t="shared" si="14"/>
        <v>0.32231276653866775</v>
      </c>
      <c r="AB32" s="700"/>
      <c r="AC32" s="695">
        <f t="shared" ref="AC32:AH32" si="15">IFERROR(AC31/AC$15,"-")</f>
        <v>0.63756697438087562</v>
      </c>
      <c r="AD32" s="695">
        <f t="shared" si="15"/>
        <v>0.49393980696063733</v>
      </c>
      <c r="AE32" s="695">
        <f t="shared" si="15"/>
        <v>0.34310000091980614</v>
      </c>
      <c r="AF32" s="695">
        <f t="shared" si="15"/>
        <v>0.30373802845286718</v>
      </c>
      <c r="AG32" s="695">
        <f t="shared" si="15"/>
        <v>0.34569138294952978</v>
      </c>
      <c r="AH32" s="695">
        <f t="shared" si="15"/>
        <v>0.34468565137102897</v>
      </c>
      <c r="AI32" s="694"/>
      <c r="AJ32" s="648"/>
      <c r="AK32" s="648"/>
    </row>
    <row r="33" spans="2:43" s="646" customFormat="1" ht="14.1" customHeight="1" x14ac:dyDescent="0.2">
      <c r="B33" s="699" t="s">
        <v>513</v>
      </c>
      <c r="D33" s="698">
        <f t="shared" ref="D33:AA33" si="16">D27+D29+D31</f>
        <v>225.29407</v>
      </c>
      <c r="E33" s="698">
        <f t="shared" si="16"/>
        <v>471.89121</v>
      </c>
      <c r="F33" s="698">
        <f t="shared" si="16"/>
        <v>502.6343</v>
      </c>
      <c r="G33" s="698">
        <f t="shared" si="16"/>
        <v>867.10207000000003</v>
      </c>
      <c r="H33" s="698">
        <f t="shared" si="16"/>
        <v>1065.5154499999999</v>
      </c>
      <c r="I33" s="698">
        <f t="shared" si="16"/>
        <v>1581.42136</v>
      </c>
      <c r="J33" s="698">
        <f t="shared" si="16"/>
        <v>1933.7102799999998</v>
      </c>
      <c r="K33" s="698">
        <f t="shared" si="16"/>
        <v>2533.6537499999999</v>
      </c>
      <c r="L33" s="698">
        <f t="shared" si="16"/>
        <v>2548.0297399999999</v>
      </c>
      <c r="M33" s="698">
        <f t="shared" si="16"/>
        <v>2357.2157400000001</v>
      </c>
      <c r="N33" s="698">
        <f t="shared" si="16"/>
        <v>2589.9904500000002</v>
      </c>
      <c r="O33" s="698">
        <f t="shared" si="16"/>
        <v>3014.5638999999996</v>
      </c>
      <c r="P33" s="698">
        <f t="shared" si="16"/>
        <v>3377.8236899999997</v>
      </c>
      <c r="Q33" s="698">
        <f t="shared" si="16"/>
        <v>4161.6533500000005</v>
      </c>
      <c r="R33" s="698">
        <f t="shared" si="16"/>
        <v>4590.6131299999997</v>
      </c>
      <c r="S33" s="698">
        <f t="shared" si="16"/>
        <v>5318.0367000000006</v>
      </c>
      <c r="T33" s="698">
        <f t="shared" si="16"/>
        <v>6900.0824253989049</v>
      </c>
      <c r="U33" s="698">
        <f t="shared" si="16"/>
        <v>6915.5719427476124</v>
      </c>
      <c r="V33" s="698">
        <f t="shared" si="16"/>
        <v>7203.8533556872999</v>
      </c>
      <c r="W33" s="698">
        <f t="shared" si="16"/>
        <v>7413.2209174666496</v>
      </c>
      <c r="X33" s="698">
        <f t="shared" si="16"/>
        <v>8409.3478154792865</v>
      </c>
      <c r="Y33" s="698">
        <f t="shared" si="16"/>
        <v>8450.893425089107</v>
      </c>
      <c r="Z33" s="698">
        <f t="shared" si="16"/>
        <v>8667.4390346989276</v>
      </c>
      <c r="AA33" s="698">
        <f t="shared" si="16"/>
        <v>8708.9846443087499</v>
      </c>
      <c r="AB33" s="698"/>
      <c r="AC33" s="697">
        <f>AC27+AC29+AC31</f>
        <v>2066.9216500000002</v>
      </c>
      <c r="AD33" s="697">
        <f>AD27+AD29+AD31</f>
        <v>7114.300839999999</v>
      </c>
      <c r="AE33" s="697">
        <f>AE27+AE29+AE31</f>
        <v>10509.79983</v>
      </c>
      <c r="AF33" s="697">
        <f>AF27+AF29+AF31</f>
        <v>17448.12687</v>
      </c>
      <c r="AG33" s="697">
        <f>SUM(T33:W33)</f>
        <v>28432.728641300466</v>
      </c>
      <c r="AH33" s="697">
        <f>SUM(X33:AA33)</f>
        <v>34236.664919576069</v>
      </c>
      <c r="AI33" s="637"/>
      <c r="AJ33" s="648">
        <f>IFERROR(_xlfn.RRI(2,AC33,AE33),"-")</f>
        <v>1.254941165926462</v>
      </c>
      <c r="AK33" s="648">
        <f>IFERROR(_xlfn.RRI(3,AE33,AH33),"-")</f>
        <v>0.48240089758163918</v>
      </c>
    </row>
    <row r="34" spans="2:43" s="693" customFormat="1" ht="14.1" customHeight="1" x14ac:dyDescent="0.2">
      <c r="B34" s="663" t="s">
        <v>936</v>
      </c>
      <c r="D34" s="696">
        <f t="shared" ref="D34:AA34" si="17">IFERROR(D33/D$15,"-")</f>
        <v>2.0875700785977398</v>
      </c>
      <c r="E34" s="696">
        <f t="shared" si="17"/>
        <v>2.0962030299515639</v>
      </c>
      <c r="F34" s="696">
        <f t="shared" si="17"/>
        <v>1.6082989345314695</v>
      </c>
      <c r="G34" s="696">
        <f t="shared" si="17"/>
        <v>2.4843992505733419</v>
      </c>
      <c r="H34" s="696">
        <f t="shared" si="17"/>
        <v>1.507142293980738</v>
      </c>
      <c r="I34" s="696">
        <f t="shared" si="17"/>
        <v>1.8861699298790564</v>
      </c>
      <c r="J34" s="696">
        <f t="shared" si="17"/>
        <v>2.1184830125231411</v>
      </c>
      <c r="K34" s="696">
        <f t="shared" si="17"/>
        <v>2.5069639350670125</v>
      </c>
      <c r="L34" s="696">
        <f t="shared" si="17"/>
        <v>1.8462623944585885</v>
      </c>
      <c r="M34" s="696">
        <f t="shared" si="17"/>
        <v>1.5140268655375084</v>
      </c>
      <c r="N34" s="696">
        <f t="shared" si="17"/>
        <v>1.5476857357908562</v>
      </c>
      <c r="O34" s="696">
        <f t="shared" si="17"/>
        <v>1.4632394237165456</v>
      </c>
      <c r="P34" s="696">
        <f t="shared" si="17"/>
        <v>1.4374170402071511</v>
      </c>
      <c r="Q34" s="696">
        <f t="shared" si="17"/>
        <v>1.5879549294137012</v>
      </c>
      <c r="R34" s="696">
        <f t="shared" si="17"/>
        <v>1.6161357359463837</v>
      </c>
      <c r="S34" s="696">
        <f t="shared" si="17"/>
        <v>1.4679879563494771</v>
      </c>
      <c r="T34" s="696">
        <f t="shared" si="17"/>
        <v>1.6955407666807849</v>
      </c>
      <c r="U34" s="696">
        <f t="shared" si="17"/>
        <v>1.5892512352189121</v>
      </c>
      <c r="V34" s="696">
        <f t="shared" si="17"/>
        <v>1.5478765595593511</v>
      </c>
      <c r="W34" s="696">
        <f t="shared" si="17"/>
        <v>1.4877382187147152</v>
      </c>
      <c r="X34" s="696">
        <f t="shared" si="17"/>
        <v>1.5978967724414634</v>
      </c>
      <c r="Y34" s="696">
        <f t="shared" si="17"/>
        <v>1.5399840505657745</v>
      </c>
      <c r="Z34" s="696">
        <f t="shared" si="17"/>
        <v>1.5113082337296413</v>
      </c>
      <c r="AA34" s="696">
        <f t="shared" si="17"/>
        <v>1.447688396528068</v>
      </c>
      <c r="AC34" s="695">
        <f t="shared" ref="AC34:AH34" si="18">IFERROR(AC33/AC$15,"-")</f>
        <v>2.0781790628563304</v>
      </c>
      <c r="AD34" s="695">
        <f t="shared" si="18"/>
        <v>2.0509198277623066</v>
      </c>
      <c r="AE34" s="695">
        <f t="shared" si="18"/>
        <v>1.5755218624679306</v>
      </c>
      <c r="AF34" s="695">
        <f t="shared" si="18"/>
        <v>1.5260067061098785</v>
      </c>
      <c r="AG34" s="695">
        <f t="shared" si="18"/>
        <v>1.5745299538020463</v>
      </c>
      <c r="AH34" s="695">
        <f t="shared" si="18"/>
        <v>1.5215447388348338</v>
      </c>
      <c r="AI34" s="694"/>
      <c r="AJ34" s="648"/>
      <c r="AK34" s="648"/>
    </row>
    <row r="35" spans="2:43" ht="12.75" customHeight="1" x14ac:dyDescent="0.25">
      <c r="D35" s="692"/>
      <c r="E35" s="687"/>
      <c r="F35" s="687"/>
      <c r="G35" s="687"/>
      <c r="H35" s="687"/>
      <c r="I35" s="687"/>
      <c r="J35" s="687"/>
      <c r="K35" s="687"/>
      <c r="L35" s="687"/>
      <c r="M35" s="687"/>
      <c r="N35" s="687"/>
      <c r="O35" s="687"/>
      <c r="P35" s="687"/>
      <c r="Q35" s="687"/>
      <c r="R35" s="687"/>
      <c r="T35" s="676"/>
      <c r="U35" s="676"/>
      <c r="V35" s="676"/>
      <c r="W35" s="676"/>
      <c r="X35" s="676"/>
      <c r="Y35" s="676"/>
      <c r="Z35" s="676"/>
      <c r="AA35" s="676"/>
      <c r="AC35" s="566"/>
      <c r="AD35" s="566"/>
      <c r="AE35" s="566"/>
      <c r="AF35" s="566"/>
      <c r="AG35" s="566"/>
      <c r="AH35" s="566"/>
      <c r="AI35" s="566"/>
      <c r="AJ35" s="648"/>
      <c r="AK35" s="648"/>
    </row>
    <row r="36" spans="2:43" ht="12.75" customHeight="1" x14ac:dyDescent="0.25">
      <c r="B36" s="682" t="s">
        <v>935</v>
      </c>
      <c r="D36" s="656">
        <v>0</v>
      </c>
      <c r="E36" s="656">
        <v>0</v>
      </c>
      <c r="F36" s="656">
        <v>0</v>
      </c>
      <c r="G36" s="656">
        <v>0</v>
      </c>
      <c r="H36" s="656">
        <v>0</v>
      </c>
      <c r="I36" s="656">
        <v>0</v>
      </c>
      <c r="J36" s="656">
        <v>0</v>
      </c>
      <c r="K36" s="656">
        <v>0</v>
      </c>
      <c r="L36" s="656">
        <v>0</v>
      </c>
      <c r="M36" s="656">
        <v>0</v>
      </c>
      <c r="N36" s="656">
        <v>0</v>
      </c>
      <c r="O36" s="656">
        <v>118.7085</v>
      </c>
      <c r="P36" s="656">
        <v>0</v>
      </c>
      <c r="Q36" s="656">
        <v>0</v>
      </c>
      <c r="R36" s="656">
        <v>0</v>
      </c>
      <c r="S36" s="654">
        <f>AF36</f>
        <v>125</v>
      </c>
      <c r="T36" s="690">
        <v>0</v>
      </c>
      <c r="U36" s="690">
        <v>0</v>
      </c>
      <c r="V36" s="690">
        <v>0</v>
      </c>
      <c r="W36" s="689">
        <f>AG36</f>
        <v>125</v>
      </c>
      <c r="X36" s="690">
        <v>0</v>
      </c>
      <c r="Y36" s="690">
        <v>0</v>
      </c>
      <c r="Z36" s="690">
        <v>0</v>
      </c>
      <c r="AA36" s="689">
        <f>AH36</f>
        <v>125</v>
      </c>
      <c r="AC36" s="654">
        <f>SUM(D36:G36)</f>
        <v>0</v>
      </c>
      <c r="AD36" s="654">
        <f>SUM(H36:K36)</f>
        <v>0</v>
      </c>
      <c r="AE36" s="654">
        <f>SUM(L36:O36)</f>
        <v>118.7085</v>
      </c>
      <c r="AF36" s="691">
        <v>125</v>
      </c>
      <c r="AG36" s="691">
        <v>125</v>
      </c>
      <c r="AH36" s="691">
        <v>125</v>
      </c>
      <c r="AI36" s="566"/>
      <c r="AJ36" s="648"/>
      <c r="AK36" s="648"/>
    </row>
    <row r="37" spans="2:43" ht="12.75" customHeight="1" x14ac:dyDescent="0.25">
      <c r="B37" s="682" t="s">
        <v>989</v>
      </c>
      <c r="D37" s="656">
        <v>0</v>
      </c>
      <c r="E37" s="656">
        <v>0</v>
      </c>
      <c r="F37" s="656">
        <v>0</v>
      </c>
      <c r="G37" s="656">
        <v>0</v>
      </c>
      <c r="H37" s="656">
        <v>0</v>
      </c>
      <c r="I37" s="656">
        <v>0</v>
      </c>
      <c r="J37" s="656">
        <v>0</v>
      </c>
      <c r="K37" s="656">
        <v>0</v>
      </c>
      <c r="L37" s="656">
        <v>0</v>
      </c>
      <c r="M37" s="656">
        <v>0</v>
      </c>
      <c r="N37" s="656">
        <v>0</v>
      </c>
      <c r="O37" s="656">
        <v>0</v>
      </c>
      <c r="P37" s="656">
        <v>0</v>
      </c>
      <c r="Q37" s="656">
        <v>0</v>
      </c>
      <c r="R37" s="656">
        <v>51.639369999999992</v>
      </c>
      <c r="S37" s="654">
        <v>0</v>
      </c>
      <c r="T37" s="690">
        <v>0</v>
      </c>
      <c r="U37" s="690">
        <v>0</v>
      </c>
      <c r="V37" s="690">
        <v>0</v>
      </c>
      <c r="W37" s="689">
        <v>0</v>
      </c>
      <c r="X37" s="690">
        <v>0</v>
      </c>
      <c r="Y37" s="690">
        <v>0</v>
      </c>
      <c r="Z37" s="690">
        <v>0</v>
      </c>
      <c r="AA37" s="689">
        <v>0</v>
      </c>
      <c r="AC37" s="654">
        <f>SUM(D37:G37)</f>
        <v>0</v>
      </c>
      <c r="AD37" s="654">
        <f>SUM(H37:K37)</f>
        <v>0</v>
      </c>
      <c r="AE37" s="654">
        <f>SUM(L37:O37)</f>
        <v>0</v>
      </c>
      <c r="AF37" s="688">
        <f>SUM(P37:S37)</f>
        <v>51.639369999999992</v>
      </c>
      <c r="AG37" s="688">
        <f>SUM(T37:W37)</f>
        <v>0</v>
      </c>
      <c r="AH37" s="688">
        <f>SUM(X37:AA37)</f>
        <v>0</v>
      </c>
      <c r="AI37" s="566"/>
      <c r="AJ37" s="648"/>
      <c r="AK37" s="648"/>
    </row>
    <row r="38" spans="2:43" ht="12.75" customHeight="1" x14ac:dyDescent="0.2">
      <c r="O38" s="687"/>
      <c r="AC38" s="566"/>
      <c r="AD38" s="566"/>
      <c r="AE38" s="566"/>
      <c r="AF38" s="566"/>
      <c r="AG38" s="566"/>
      <c r="AH38" s="566"/>
      <c r="AI38" s="566"/>
      <c r="AJ38" s="648"/>
      <c r="AK38" s="648"/>
    </row>
    <row r="39" spans="2:43" s="646" customFormat="1" ht="14.1" customHeight="1" x14ac:dyDescent="0.2">
      <c r="B39" s="675" t="s">
        <v>934</v>
      </c>
      <c r="C39" s="674"/>
      <c r="D39" s="673">
        <f t="shared" ref="D39:AA39" si="19">D23-D33+D36+D37</f>
        <v>-192.30056000000005</v>
      </c>
      <c r="E39" s="673">
        <f t="shared" si="19"/>
        <v>-318.64769000000007</v>
      </c>
      <c r="F39" s="673">
        <f t="shared" si="19"/>
        <v>-257.44682999999998</v>
      </c>
      <c r="G39" s="673">
        <f t="shared" si="19"/>
        <v>-611.57315999999992</v>
      </c>
      <c r="H39" s="673">
        <f t="shared" si="19"/>
        <v>-485.67205000000013</v>
      </c>
      <c r="I39" s="673">
        <f t="shared" si="19"/>
        <v>-918.85180000000048</v>
      </c>
      <c r="J39" s="673">
        <f t="shared" si="19"/>
        <v>-1283.6657400000001</v>
      </c>
      <c r="K39" s="673">
        <f t="shared" si="19"/>
        <v>-1904.2703899999995</v>
      </c>
      <c r="L39" s="673">
        <f t="shared" si="19"/>
        <v>-1554.8270000000005</v>
      </c>
      <c r="M39" s="673">
        <f t="shared" si="19"/>
        <v>-1160.4775700000009</v>
      </c>
      <c r="N39" s="673">
        <f t="shared" si="19"/>
        <v>-1287.5591299999992</v>
      </c>
      <c r="O39" s="673">
        <f t="shared" si="19"/>
        <v>-1310.4059599999996</v>
      </c>
      <c r="P39" s="673">
        <f t="shared" si="19"/>
        <v>-1536.4580700000001</v>
      </c>
      <c r="Q39" s="673">
        <f t="shared" si="19"/>
        <v>-2112.4994099999985</v>
      </c>
      <c r="R39" s="673">
        <f t="shared" si="19"/>
        <v>-2323.6866900000005</v>
      </c>
      <c r="S39" s="673">
        <f t="shared" si="19"/>
        <v>-2350.8427149718564</v>
      </c>
      <c r="T39" s="673">
        <f t="shared" si="19"/>
        <v>-3603.397641187993</v>
      </c>
      <c r="U39" s="673">
        <f t="shared" si="19"/>
        <v>-3419.4684000075431</v>
      </c>
      <c r="V39" s="673">
        <f t="shared" si="19"/>
        <v>-3570.1921675569638</v>
      </c>
      <c r="W39" s="673">
        <f t="shared" si="19"/>
        <v>-3408.202954220641</v>
      </c>
      <c r="X39" s="673">
        <f t="shared" si="19"/>
        <v>-4087.2202802918609</v>
      </c>
      <c r="Y39" s="673">
        <f t="shared" si="19"/>
        <v>-4003.8762962005494</v>
      </c>
      <c r="Z39" s="673">
        <f t="shared" si="19"/>
        <v>-4173.0147610634122</v>
      </c>
      <c r="AA39" s="673">
        <f t="shared" si="19"/>
        <v>-3908.8307534368923</v>
      </c>
      <c r="AC39" s="672">
        <f t="shared" ref="AC39:AH39" si="20">AC23-AC33+AC36+AC37</f>
        <v>-1379.9682400000002</v>
      </c>
      <c r="AD39" s="672">
        <f t="shared" si="20"/>
        <v>-4592.4599799999996</v>
      </c>
      <c r="AE39" s="672">
        <f t="shared" si="20"/>
        <v>-5313.2696600000008</v>
      </c>
      <c r="AF39" s="672">
        <f t="shared" si="20"/>
        <v>-8323.486884971855</v>
      </c>
      <c r="AG39" s="672">
        <f t="shared" si="20"/>
        <v>-14001.26116297314</v>
      </c>
      <c r="AH39" s="672">
        <f t="shared" si="20"/>
        <v>-16172.942090992714</v>
      </c>
      <c r="AI39" s="637"/>
      <c r="AJ39" s="648">
        <f>IFERROR(_xlfn.RRI(2,AC39,AE39),"-")</f>
        <v>0.96221406022144684</v>
      </c>
      <c r="AK39" s="648">
        <f>IFERROR(_xlfn.RRI(3,AE39,AH39),"-")</f>
        <v>0.44924693720033959</v>
      </c>
      <c r="AL39" s="647"/>
      <c r="AM39" s="647"/>
      <c r="AN39" s="647"/>
      <c r="AO39" s="647"/>
      <c r="AP39" s="647"/>
      <c r="AQ39" s="647"/>
    </row>
    <row r="40" spans="2:43" s="684" customFormat="1" ht="14.1" customHeight="1" x14ac:dyDescent="0.2">
      <c r="B40" s="671" t="s">
        <v>929</v>
      </c>
      <c r="C40" s="670"/>
      <c r="D40" s="669">
        <f t="shared" ref="D40:AA40" si="21">IFERROR(D39/D15,"-")</f>
        <v>-1.7818529140762092</v>
      </c>
      <c r="E40" s="669">
        <f t="shared" si="21"/>
        <v>-1.4154750906783511</v>
      </c>
      <c r="F40" s="669">
        <f t="shared" si="21"/>
        <v>-0.82376284783490561</v>
      </c>
      <c r="G40" s="669">
        <f t="shared" si="21"/>
        <v>-1.7522641831252581</v>
      </c>
      <c r="H40" s="669">
        <f t="shared" si="21"/>
        <v>-0.68696975492877932</v>
      </c>
      <c r="I40" s="669">
        <f t="shared" si="21"/>
        <v>-1.0959195815941463</v>
      </c>
      <c r="J40" s="669">
        <f t="shared" si="21"/>
        <v>-1.4063244592917754</v>
      </c>
      <c r="K40" s="669">
        <f t="shared" si="21"/>
        <v>-1.884210575476619</v>
      </c>
      <c r="L40" s="669">
        <f t="shared" si="21"/>
        <v>-1.1266032632683733</v>
      </c>
      <c r="M40" s="669">
        <f t="shared" si="21"/>
        <v>-0.74536843956153365</v>
      </c>
      <c r="N40" s="669">
        <f t="shared" si="21"/>
        <v>-0.76939932326325111</v>
      </c>
      <c r="O40" s="669">
        <f t="shared" si="21"/>
        <v>-0.63605805859518405</v>
      </c>
      <c r="P40" s="669">
        <f t="shared" si="21"/>
        <v>-0.65383253066763591</v>
      </c>
      <c r="Q40" s="669">
        <f t="shared" si="21"/>
        <v>-0.80606277586599873</v>
      </c>
      <c r="R40" s="669">
        <f t="shared" si="21"/>
        <v>-0.8180591551725831</v>
      </c>
      <c r="S40" s="669">
        <f t="shared" si="21"/>
        <v>-0.64892534360482901</v>
      </c>
      <c r="T40" s="669">
        <f t="shared" si="21"/>
        <v>-0.88545429206846171</v>
      </c>
      <c r="U40" s="669">
        <f t="shared" si="21"/>
        <v>-0.78581994714162373</v>
      </c>
      <c r="V40" s="669">
        <f t="shared" si="21"/>
        <v>-0.7671195534430163</v>
      </c>
      <c r="W40" s="669">
        <f t="shared" si="21"/>
        <v>-0.68398255610912162</v>
      </c>
      <c r="X40" s="669">
        <f t="shared" si="21"/>
        <v>-0.77663051135951011</v>
      </c>
      <c r="Y40" s="669">
        <f t="shared" si="21"/>
        <v>-0.72961583189320589</v>
      </c>
      <c r="Z40" s="669">
        <f t="shared" si="21"/>
        <v>-0.72763264242441095</v>
      </c>
      <c r="AA40" s="669">
        <f t="shared" si="21"/>
        <v>-0.64976218891838489</v>
      </c>
      <c r="AB40" s="686"/>
      <c r="AC40" s="668">
        <f t="shared" ref="AC40:AH40" si="22">IFERROR(AC39/AC15,"-")</f>
        <v>-1.3874841863380256</v>
      </c>
      <c r="AD40" s="668">
        <f t="shared" si="22"/>
        <v>-1.3239202899925282</v>
      </c>
      <c r="AE40" s="668">
        <f t="shared" si="22"/>
        <v>-0.79651112732158946</v>
      </c>
      <c r="AF40" s="668">
        <f t="shared" si="22"/>
        <v>-0.72796907652727738</v>
      </c>
      <c r="AG40" s="668">
        <f t="shared" si="22"/>
        <v>-0.77535312808789081</v>
      </c>
      <c r="AH40" s="668">
        <f t="shared" si="22"/>
        <v>-0.71875736167163751</v>
      </c>
      <c r="AI40" s="685"/>
      <c r="AJ40" s="648"/>
      <c r="AK40" s="648"/>
    </row>
    <row r="41" spans="2:43" x14ac:dyDescent="0.2">
      <c r="L41" s="683"/>
      <c r="M41" s="683"/>
      <c r="N41" s="683"/>
      <c r="O41" s="683"/>
      <c r="R41" s="683"/>
      <c r="S41" s="683"/>
      <c r="T41" s="683"/>
      <c r="U41" s="683"/>
      <c r="V41" s="683"/>
      <c r="W41" s="683"/>
      <c r="X41" s="683"/>
      <c r="Y41" s="683"/>
      <c r="Z41" s="683"/>
      <c r="AA41" s="683"/>
      <c r="AC41" s="653"/>
      <c r="AD41" s="653"/>
      <c r="AE41" s="653"/>
      <c r="AF41" s="566"/>
      <c r="AG41" s="566"/>
      <c r="AH41" s="566"/>
      <c r="AI41" s="566"/>
      <c r="AJ41" s="648"/>
      <c r="AK41" s="648"/>
    </row>
    <row r="42" spans="2:43" ht="15" x14ac:dyDescent="0.25">
      <c r="B42" s="682" t="s">
        <v>932</v>
      </c>
      <c r="D42" s="681"/>
      <c r="E42" s="681"/>
      <c r="F42" s="681"/>
      <c r="G42" s="681"/>
      <c r="H42" s="681"/>
      <c r="I42" s="681"/>
      <c r="J42" s="681"/>
      <c r="K42" s="679"/>
      <c r="L42" s="680">
        <v>60.673920000000045</v>
      </c>
      <c r="M42" s="680">
        <v>408.73851999999999</v>
      </c>
      <c r="N42" s="680">
        <v>492.93400000000003</v>
      </c>
      <c r="O42" s="680">
        <v>285.26133999999985</v>
      </c>
      <c r="P42" s="680">
        <v>115.64414999999991</v>
      </c>
      <c r="Q42" s="680">
        <v>750.2767300000005</v>
      </c>
      <c r="R42" s="680">
        <v>747.83063999999968</v>
      </c>
      <c r="S42" s="654">
        <f>('Bookings Build'!T27+'Bookings Build'!T38)*S43</f>
        <v>588.28501559210576</v>
      </c>
      <c r="T42" s="654">
        <f>('Bookings Build'!U27+'Bookings Build'!U38)*T43</f>
        <v>341.98598445201407</v>
      </c>
      <c r="U42" s="654">
        <f>('Bookings Build'!V27+'Bookings Build'!V38)*U43</f>
        <v>404.96271415330136</v>
      </c>
      <c r="V42" s="654">
        <f>('Bookings Build'!W27+'Bookings Build'!W38)*V43</f>
        <v>532.64333746283967</v>
      </c>
      <c r="W42" s="654">
        <f>('Bookings Build'!X27+'Bookings Build'!X38)*W43</f>
        <v>776.00971769788248</v>
      </c>
      <c r="X42" s="654">
        <f>('Bookings Build'!Y27+'Bookings Build'!Y38)*X43</f>
        <v>304.3182669640388</v>
      </c>
      <c r="Y42" s="654">
        <f>('Bookings Build'!Z27+'Bookings Build'!Z38)*Y43</f>
        <v>416.36715470059835</v>
      </c>
      <c r="Z42" s="654">
        <f>('Bookings Build'!AA27+'Bookings Build'!AA38)*Z43</f>
        <v>487.95676627986199</v>
      </c>
      <c r="AA42" s="654">
        <f>('Bookings Build'!AB27+'Bookings Build'!AB38)*AA43</f>
        <v>563.09415814821205</v>
      </c>
      <c r="AB42" s="655"/>
      <c r="AC42" s="679"/>
      <c r="AD42" s="679"/>
      <c r="AE42" s="654">
        <f>SUM(L42:O42)</f>
        <v>1247.6077799999998</v>
      </c>
      <c r="AF42" s="654">
        <f>SUM(P42:S42)</f>
        <v>2202.0365355921058</v>
      </c>
      <c r="AG42" s="654">
        <f>SUM(T42:W42)</f>
        <v>2055.6017537660377</v>
      </c>
      <c r="AH42" s="654">
        <f>SUM(X42:AA42)</f>
        <v>1771.7363460927113</v>
      </c>
      <c r="AI42" s="566"/>
      <c r="AJ42" s="648" t="str">
        <f>IFERROR(_xlfn.RRI(2,AC42,AE42),"-")</f>
        <v>-</v>
      </c>
      <c r="AK42" s="648">
        <f>IFERROR(_xlfn.RRI(3,AE42,AH42),"-")</f>
        <v>0.12401905424935289</v>
      </c>
    </row>
    <row r="43" spans="2:43" x14ac:dyDescent="0.2">
      <c r="B43" s="663" t="s">
        <v>931</v>
      </c>
      <c r="D43" s="677"/>
      <c r="E43" s="677"/>
      <c r="F43" s="677"/>
      <c r="G43" s="677"/>
      <c r="H43" s="677"/>
      <c r="I43" s="677"/>
      <c r="J43" s="677"/>
      <c r="K43" s="677"/>
      <c r="L43" s="661">
        <f>L42/('Bookings Build'!M27+'Bookings Build'!M38)</f>
        <v>5.9051071370468396E-2</v>
      </c>
      <c r="M43" s="661">
        <f>M42/('Bookings Build'!N27+'Bookings Build'!N38)</f>
        <v>0.352343200242968</v>
      </c>
      <c r="N43" s="661">
        <f>N42/('Bookings Build'!O27+'Bookings Build'!O38)</f>
        <v>0.38639393917730847</v>
      </c>
      <c r="O43" s="661">
        <f>O42/('Bookings Build'!P27+'Bookings Build'!P38)</f>
        <v>0.20016389420696754</v>
      </c>
      <c r="P43" s="661">
        <f>P42/('Bookings Build'!Q27+'Bookings Build'!Q38)</f>
        <v>6.6773564049774969E-2</v>
      </c>
      <c r="Q43" s="661">
        <f>Q42/('Bookings Build'!R27+'Bookings Build'!R38)</f>
        <v>0.39563542116140504</v>
      </c>
      <c r="R43" s="661">
        <f>R42/('Bookings Build'!S27+'Bookings Build'!S38)</f>
        <v>0.35488151267974144</v>
      </c>
      <c r="S43" s="661">
        <f>O43</f>
        <v>0.20016389420696754</v>
      </c>
      <c r="T43" s="678">
        <v>0.2</v>
      </c>
      <c r="U43" s="678">
        <v>0.22</v>
      </c>
      <c r="V43" s="678">
        <v>0.27</v>
      </c>
      <c r="W43" s="678">
        <v>0.36</v>
      </c>
      <c r="X43" s="678">
        <v>0.18</v>
      </c>
      <c r="Y43" s="678">
        <v>0.23</v>
      </c>
      <c r="Z43" s="678">
        <v>0.25</v>
      </c>
      <c r="AA43" s="678">
        <v>0.26</v>
      </c>
      <c r="AC43" s="677"/>
      <c r="AD43" s="677"/>
      <c r="AE43" s="661">
        <f>AE42/('Bookings Build'!AF27+'Bookings Build'!AF38)</f>
        <v>0.25521760458619713</v>
      </c>
      <c r="AF43" s="661">
        <f>AF42/('Bookings Build'!AG27+'Bookings Build'!AG38)</f>
        <v>0.25385010040349981</v>
      </c>
      <c r="AG43" s="661">
        <f>AG42/('Bookings Build'!AH27+'Bookings Build'!AH38)</f>
        <v>0.26769115331989229</v>
      </c>
      <c r="AH43" s="661">
        <f>AH42/('Bookings Build'!AI27+'Bookings Build'!AI38)</f>
        <v>0.23255641318308842</v>
      </c>
      <c r="AI43" s="566"/>
      <c r="AJ43" s="648"/>
      <c r="AK43" s="648"/>
    </row>
    <row r="44" spans="2:43" x14ac:dyDescent="0.2">
      <c r="B44" s="663"/>
      <c r="L44" s="676"/>
      <c r="M44" s="676"/>
      <c r="N44" s="676"/>
      <c r="O44" s="676"/>
      <c r="P44" s="676"/>
      <c r="Q44" s="676"/>
      <c r="R44" s="676"/>
      <c r="S44" s="676"/>
      <c r="T44" s="676"/>
      <c r="U44" s="676"/>
      <c r="V44" s="676"/>
      <c r="W44" s="676"/>
      <c r="X44" s="676"/>
      <c r="Y44" s="676"/>
      <c r="Z44" s="676"/>
      <c r="AA44" s="676"/>
      <c r="AC44" s="676"/>
      <c r="AD44" s="676"/>
      <c r="AE44" s="676"/>
      <c r="AF44" s="676"/>
      <c r="AG44" s="676"/>
      <c r="AH44" s="676"/>
      <c r="AI44" s="566"/>
      <c r="AJ44" s="648"/>
      <c r="AK44" s="648"/>
    </row>
    <row r="45" spans="2:43" x14ac:dyDescent="0.2">
      <c r="B45" s="675" t="s">
        <v>988</v>
      </c>
      <c r="C45" s="674"/>
      <c r="D45" s="673">
        <f t="shared" ref="D45:AA45" si="23">D39+D42</f>
        <v>-192.30056000000005</v>
      </c>
      <c r="E45" s="673">
        <f t="shared" si="23"/>
        <v>-318.64769000000007</v>
      </c>
      <c r="F45" s="673">
        <f t="shared" si="23"/>
        <v>-257.44682999999998</v>
      </c>
      <c r="G45" s="673">
        <f t="shared" si="23"/>
        <v>-611.57315999999992</v>
      </c>
      <c r="H45" s="673">
        <f t="shared" si="23"/>
        <v>-485.67205000000013</v>
      </c>
      <c r="I45" s="673">
        <f t="shared" si="23"/>
        <v>-918.85180000000048</v>
      </c>
      <c r="J45" s="673">
        <f t="shared" si="23"/>
        <v>-1283.6657400000001</v>
      </c>
      <c r="K45" s="673">
        <f t="shared" si="23"/>
        <v>-1904.2703899999995</v>
      </c>
      <c r="L45" s="673">
        <f t="shared" si="23"/>
        <v>-1494.1530800000005</v>
      </c>
      <c r="M45" s="673">
        <f t="shared" si="23"/>
        <v>-751.73905000000093</v>
      </c>
      <c r="N45" s="673">
        <f t="shared" si="23"/>
        <v>-794.62512999999922</v>
      </c>
      <c r="O45" s="673">
        <f t="shared" si="23"/>
        <v>-1025.1446199999998</v>
      </c>
      <c r="P45" s="673">
        <f t="shared" si="23"/>
        <v>-1420.8139200000003</v>
      </c>
      <c r="Q45" s="673">
        <f t="shared" si="23"/>
        <v>-1362.222679999998</v>
      </c>
      <c r="R45" s="673">
        <f t="shared" si="23"/>
        <v>-1575.8560500000008</v>
      </c>
      <c r="S45" s="673">
        <f t="shared" si="23"/>
        <v>-1762.5576993797506</v>
      </c>
      <c r="T45" s="673">
        <f t="shared" si="23"/>
        <v>-3261.4116567359788</v>
      </c>
      <c r="U45" s="673">
        <f t="shared" si="23"/>
        <v>-3014.5056858542416</v>
      </c>
      <c r="V45" s="673">
        <f t="shared" si="23"/>
        <v>-3037.5488300941242</v>
      </c>
      <c r="W45" s="673">
        <f t="shared" si="23"/>
        <v>-2632.1932365227585</v>
      </c>
      <c r="X45" s="673">
        <f t="shared" si="23"/>
        <v>-3782.9020133278223</v>
      </c>
      <c r="Y45" s="673">
        <f t="shared" si="23"/>
        <v>-3587.5091414999511</v>
      </c>
      <c r="Z45" s="673">
        <f t="shared" si="23"/>
        <v>-3685.0579947835504</v>
      </c>
      <c r="AA45" s="673">
        <f t="shared" si="23"/>
        <v>-3345.7365952886803</v>
      </c>
      <c r="AC45" s="672">
        <f t="shared" ref="AC45:AH45" si="24">AC39+AC42</f>
        <v>-1379.9682400000002</v>
      </c>
      <c r="AD45" s="672">
        <f t="shared" si="24"/>
        <v>-4592.4599799999996</v>
      </c>
      <c r="AE45" s="672">
        <f t="shared" si="24"/>
        <v>-4065.661880000001</v>
      </c>
      <c r="AF45" s="672">
        <f t="shared" si="24"/>
        <v>-6121.4503493797492</v>
      </c>
      <c r="AG45" s="672">
        <f t="shared" si="24"/>
        <v>-11945.659409207103</v>
      </c>
      <c r="AH45" s="672">
        <f t="shared" si="24"/>
        <v>-14401.205744900002</v>
      </c>
      <c r="AI45" s="566"/>
      <c r="AJ45" s="648">
        <f>IFERROR(_xlfn.RRI(2,AC45,AE45),"-")</f>
        <v>0.71644970866927804</v>
      </c>
      <c r="AK45" s="648">
        <f>IFERROR(_xlfn.RRI(3,AE45,AH45),"-")</f>
        <v>0.52436580883078721</v>
      </c>
    </row>
    <row r="46" spans="2:43" x14ac:dyDescent="0.2">
      <c r="B46" s="671" t="s">
        <v>929</v>
      </c>
      <c r="C46" s="670"/>
      <c r="D46" s="669">
        <f t="shared" ref="D46:AA46" si="25">IFERROR(D45/D15,"-")</f>
        <v>-1.7818529140762092</v>
      </c>
      <c r="E46" s="669">
        <f t="shared" si="25"/>
        <v>-1.4154750906783511</v>
      </c>
      <c r="F46" s="669">
        <f t="shared" si="25"/>
        <v>-0.82376284783490561</v>
      </c>
      <c r="G46" s="669">
        <f t="shared" si="25"/>
        <v>-1.7522641831252581</v>
      </c>
      <c r="H46" s="669">
        <f t="shared" si="25"/>
        <v>-0.68696975492877932</v>
      </c>
      <c r="I46" s="669">
        <f t="shared" si="25"/>
        <v>-1.0959195815941463</v>
      </c>
      <c r="J46" s="669">
        <f t="shared" si="25"/>
        <v>-1.4063244592917754</v>
      </c>
      <c r="K46" s="669">
        <f t="shared" si="25"/>
        <v>-1.884210575476619</v>
      </c>
      <c r="L46" s="669">
        <f t="shared" si="25"/>
        <v>-1.082639892251994</v>
      </c>
      <c r="M46" s="669">
        <f t="shared" si="25"/>
        <v>-0.48283790841038826</v>
      </c>
      <c r="N46" s="669">
        <f t="shared" si="25"/>
        <v>-0.47483958058685255</v>
      </c>
      <c r="O46" s="669">
        <f t="shared" si="25"/>
        <v>-0.49759503289842921</v>
      </c>
      <c r="P46" s="669">
        <f t="shared" si="25"/>
        <v>-0.60462070463231332</v>
      </c>
      <c r="Q46" s="669">
        <f t="shared" si="25"/>
        <v>-0.51978097110494303</v>
      </c>
      <c r="R46" s="669">
        <f t="shared" si="25"/>
        <v>-0.55478368683886736</v>
      </c>
      <c r="S46" s="669">
        <f t="shared" si="25"/>
        <v>-0.48653546807236508</v>
      </c>
      <c r="T46" s="669">
        <f t="shared" si="25"/>
        <v>-0.80141889328286975</v>
      </c>
      <c r="U46" s="669">
        <f t="shared" si="25"/>
        <v>-0.69275642339928589</v>
      </c>
      <c r="V46" s="669">
        <f t="shared" si="25"/>
        <v>-0.65267161898953507</v>
      </c>
      <c r="W46" s="669">
        <f t="shared" si="25"/>
        <v>-0.52824737325587834</v>
      </c>
      <c r="X46" s="669">
        <f t="shared" si="25"/>
        <v>-0.71880567318576616</v>
      </c>
      <c r="Y46" s="669">
        <f t="shared" si="25"/>
        <v>-0.65374234193594583</v>
      </c>
      <c r="Z46" s="669">
        <f t="shared" si="25"/>
        <v>-0.64254948514686328</v>
      </c>
      <c r="AA46" s="669">
        <f t="shared" si="25"/>
        <v>-0.55615944276626894</v>
      </c>
      <c r="AC46" s="668">
        <f t="shared" ref="AC46:AH46" si="26">IFERROR(AC45/AC15,"-")</f>
        <v>-1.3874841863380256</v>
      </c>
      <c r="AD46" s="668">
        <f t="shared" si="26"/>
        <v>-1.3239202899925282</v>
      </c>
      <c r="AE46" s="668">
        <f t="shared" si="26"/>
        <v>-0.60948250974847251</v>
      </c>
      <c r="AF46" s="668">
        <f t="shared" si="26"/>
        <v>-0.5353797776616096</v>
      </c>
      <c r="AG46" s="668">
        <f t="shared" si="26"/>
        <v>-0.6615192933116093</v>
      </c>
      <c r="AH46" s="668">
        <f t="shared" si="26"/>
        <v>-0.6400179131204321</v>
      </c>
      <c r="AI46" s="566"/>
      <c r="AJ46" s="648"/>
      <c r="AK46" s="648"/>
    </row>
    <row r="47" spans="2:43" s="541" customFormat="1" x14ac:dyDescent="0.2">
      <c r="B47" s="667"/>
      <c r="AC47" s="666"/>
      <c r="AD47" s="666"/>
      <c r="AE47" s="666"/>
      <c r="AF47" s="664"/>
      <c r="AG47" s="665"/>
      <c r="AH47" s="665"/>
      <c r="AI47" s="664"/>
      <c r="AJ47" s="648"/>
      <c r="AK47" s="648"/>
    </row>
    <row r="48" spans="2:43" s="658" customFormat="1" x14ac:dyDescent="0.2">
      <c r="B48" s="658" t="s">
        <v>927</v>
      </c>
      <c r="D48" s="656">
        <v>0</v>
      </c>
      <c r="E48" s="656">
        <v>0</v>
      </c>
      <c r="F48" s="656">
        <v>0</v>
      </c>
      <c r="G48" s="656">
        <v>0</v>
      </c>
      <c r="H48" s="656">
        <v>0</v>
      </c>
      <c r="I48" s="656">
        <v>0</v>
      </c>
      <c r="J48" s="656">
        <v>0</v>
      </c>
      <c r="K48" s="656">
        <v>0</v>
      </c>
      <c r="L48" s="656">
        <v>6.2654399999999999</v>
      </c>
      <c r="M48" s="656">
        <v>7.4802299999999997</v>
      </c>
      <c r="N48" s="656">
        <v>7.4802299999999997</v>
      </c>
      <c r="O48" s="656">
        <v>7.4802299999999997</v>
      </c>
      <c r="P48" s="656">
        <v>7.4802299999999997</v>
      </c>
      <c r="Q48" s="656">
        <v>7.4802299999999997</v>
      </c>
      <c r="R48" s="654">
        <v>7.4802299999999997</v>
      </c>
      <c r="S48" s="654">
        <f t="shared" ref="S48:AA48" si="27">S49*S10</f>
        <v>8.8718202757490783</v>
      </c>
      <c r="T48" s="654">
        <f t="shared" si="27"/>
        <v>15.769788304361855</v>
      </c>
      <c r="U48" s="654">
        <f t="shared" si="27"/>
        <v>16.866203048800557</v>
      </c>
      <c r="V48" s="654">
        <f t="shared" si="27"/>
        <v>18.038970644788851</v>
      </c>
      <c r="W48" s="654">
        <f t="shared" si="27"/>
        <v>19.332628862168097</v>
      </c>
      <c r="X48" s="654">
        <f t="shared" si="27"/>
        <v>20.138073941573332</v>
      </c>
      <c r="Y48" s="654">
        <f t="shared" si="27"/>
        <v>21.019300814926588</v>
      </c>
      <c r="Z48" s="654">
        <f t="shared" si="27"/>
        <v>21.993627527175519</v>
      </c>
      <c r="AA48" s="654">
        <f t="shared" si="27"/>
        <v>23.124772944199151</v>
      </c>
      <c r="AB48" s="662"/>
      <c r="AC48" s="654">
        <f>SUM(D48:G48)</f>
        <v>0</v>
      </c>
      <c r="AD48" s="654">
        <f>SUM(H48:K48)</f>
        <v>0</v>
      </c>
      <c r="AE48" s="654">
        <f>SUM(L48:O48)</f>
        <v>28.706129999999998</v>
      </c>
      <c r="AF48" s="654">
        <f>SUM(P48:S48)</f>
        <v>31.312510275749077</v>
      </c>
      <c r="AG48" s="654">
        <f>SUM(T48:W48)</f>
        <v>70.00759086011935</v>
      </c>
      <c r="AH48" s="654">
        <f>SUM(X48:AA48)</f>
        <v>86.27577522787459</v>
      </c>
      <c r="AI48" s="659"/>
      <c r="AJ48" s="648"/>
      <c r="AK48" s="648"/>
    </row>
    <row r="49" spans="2:43" s="658" customFormat="1" x14ac:dyDescent="0.2">
      <c r="B49" s="663" t="s">
        <v>925</v>
      </c>
      <c r="D49" s="656"/>
      <c r="E49" s="656"/>
      <c r="F49" s="656"/>
      <c r="G49" s="656"/>
      <c r="H49" s="656"/>
      <c r="I49" s="656"/>
      <c r="J49" s="656"/>
      <c r="K49" s="656"/>
      <c r="L49" s="661">
        <f t="shared" ref="L49:R49" si="28">L48/L10</f>
        <v>1.154590571131142E-3</v>
      </c>
      <c r="M49" s="661">
        <f t="shared" si="28"/>
        <v>1.2138910407385062E-3</v>
      </c>
      <c r="N49" s="661">
        <f t="shared" si="28"/>
        <v>1.0363952360249119E-3</v>
      </c>
      <c r="O49" s="661">
        <f t="shared" si="28"/>
        <v>8.9465834775443115E-4</v>
      </c>
      <c r="P49" s="661">
        <f t="shared" si="28"/>
        <v>7.5478458676360395E-4</v>
      </c>
      <c r="Q49" s="661">
        <f t="shared" si="28"/>
        <v>6.4910166640378254E-4</v>
      </c>
      <c r="R49" s="661">
        <f t="shared" si="28"/>
        <v>5.6381760461936563E-4</v>
      </c>
      <c r="S49" s="661">
        <f>R49</f>
        <v>5.6381760461936563E-4</v>
      </c>
      <c r="T49" s="661">
        <f>$AG$49/4</f>
        <v>9.3749999999999997E-4</v>
      </c>
      <c r="U49" s="661">
        <f>T49</f>
        <v>9.3749999999999997E-4</v>
      </c>
      <c r="V49" s="661">
        <f>U49</f>
        <v>9.3749999999999997E-4</v>
      </c>
      <c r="W49" s="661">
        <f>V49</f>
        <v>9.3749999999999997E-4</v>
      </c>
      <c r="X49" s="661">
        <f>$AH$49/4</f>
        <v>9.3749999999999997E-4</v>
      </c>
      <c r="Y49" s="661">
        <f>X49</f>
        <v>9.3749999999999997E-4</v>
      </c>
      <c r="Z49" s="661">
        <f>Y49</f>
        <v>9.3749999999999997E-4</v>
      </c>
      <c r="AA49" s="661">
        <f>Z49</f>
        <v>9.3749999999999997E-4</v>
      </c>
      <c r="AB49" s="662"/>
      <c r="AC49" s="661">
        <f>AC48/AC10</f>
        <v>0</v>
      </c>
      <c r="AD49" s="661">
        <f>AD48/AD10</f>
        <v>0</v>
      </c>
      <c r="AE49" s="661">
        <f>AE48/AE10</f>
        <v>3.4333407978396264E-3</v>
      </c>
      <c r="AF49" s="660">
        <v>3.7499999999999999E-3</v>
      </c>
      <c r="AG49" s="660">
        <v>3.7499999999999999E-3</v>
      </c>
      <c r="AH49" s="660">
        <v>3.7499999999999999E-3</v>
      </c>
      <c r="AI49" s="659"/>
      <c r="AJ49" s="648"/>
      <c r="AK49" s="648"/>
    </row>
    <row r="50" spans="2:43" x14ac:dyDescent="0.2">
      <c r="AC50" s="653"/>
      <c r="AD50" s="653"/>
      <c r="AE50" s="653"/>
      <c r="AF50" s="657"/>
      <c r="AG50" s="566"/>
      <c r="AH50" s="566"/>
      <c r="AI50" s="566"/>
      <c r="AJ50" s="648"/>
      <c r="AK50" s="648"/>
    </row>
    <row r="51" spans="2:43" s="646" customFormat="1" ht="14.1" customHeight="1" x14ac:dyDescent="0.2">
      <c r="B51" s="652" t="s">
        <v>923</v>
      </c>
      <c r="C51" s="651"/>
      <c r="D51" s="650">
        <f t="shared" ref="D51:AA51" si="29">D39-D48</f>
        <v>-192.30056000000005</v>
      </c>
      <c r="E51" s="650">
        <f t="shared" si="29"/>
        <v>-318.64769000000007</v>
      </c>
      <c r="F51" s="650">
        <f t="shared" si="29"/>
        <v>-257.44682999999998</v>
      </c>
      <c r="G51" s="650">
        <f t="shared" si="29"/>
        <v>-611.57315999999992</v>
      </c>
      <c r="H51" s="650">
        <f t="shared" si="29"/>
        <v>-485.67205000000013</v>
      </c>
      <c r="I51" s="650">
        <f t="shared" si="29"/>
        <v>-918.85180000000048</v>
      </c>
      <c r="J51" s="650">
        <f t="shared" si="29"/>
        <v>-1283.6657400000001</v>
      </c>
      <c r="K51" s="650">
        <f t="shared" si="29"/>
        <v>-1904.2703899999995</v>
      </c>
      <c r="L51" s="650">
        <f t="shared" si="29"/>
        <v>-1561.0924400000004</v>
      </c>
      <c r="M51" s="650">
        <f t="shared" si="29"/>
        <v>-1167.9578000000008</v>
      </c>
      <c r="N51" s="650">
        <f t="shared" si="29"/>
        <v>-1295.0393599999991</v>
      </c>
      <c r="O51" s="650">
        <f t="shared" si="29"/>
        <v>-1317.8861899999995</v>
      </c>
      <c r="P51" s="650">
        <f t="shared" si="29"/>
        <v>-1543.9383</v>
      </c>
      <c r="Q51" s="650">
        <f t="shared" si="29"/>
        <v>-2119.9796399999987</v>
      </c>
      <c r="R51" s="650">
        <f t="shared" si="29"/>
        <v>-2331.1669200000006</v>
      </c>
      <c r="S51" s="650">
        <f t="shared" si="29"/>
        <v>-2359.7145352476055</v>
      </c>
      <c r="T51" s="650">
        <f t="shared" si="29"/>
        <v>-3619.167429492355</v>
      </c>
      <c r="U51" s="650">
        <f t="shared" si="29"/>
        <v>-3436.3346030563434</v>
      </c>
      <c r="V51" s="650">
        <f t="shared" si="29"/>
        <v>-3588.2311382017529</v>
      </c>
      <c r="W51" s="650">
        <f t="shared" si="29"/>
        <v>-3427.5355830828089</v>
      </c>
      <c r="X51" s="650">
        <f t="shared" si="29"/>
        <v>-4107.3583542334345</v>
      </c>
      <c r="Y51" s="650">
        <f t="shared" si="29"/>
        <v>-4024.8955970154761</v>
      </c>
      <c r="Z51" s="650">
        <f t="shared" si="29"/>
        <v>-4195.0083885905879</v>
      </c>
      <c r="AA51" s="650">
        <f t="shared" si="29"/>
        <v>-3931.9555263810917</v>
      </c>
      <c r="AC51" s="649">
        <f t="shared" ref="AC51:AH51" si="30">AC39-AC48</f>
        <v>-1379.9682400000002</v>
      </c>
      <c r="AD51" s="649">
        <f t="shared" si="30"/>
        <v>-4592.4599799999996</v>
      </c>
      <c r="AE51" s="649">
        <f t="shared" si="30"/>
        <v>-5341.9757900000004</v>
      </c>
      <c r="AF51" s="649">
        <f t="shared" si="30"/>
        <v>-8354.7993952476045</v>
      </c>
      <c r="AG51" s="649">
        <f t="shared" si="30"/>
        <v>-14071.268753833259</v>
      </c>
      <c r="AH51" s="649">
        <f t="shared" si="30"/>
        <v>-16259.217866220588</v>
      </c>
      <c r="AI51" s="637"/>
      <c r="AJ51" s="648">
        <f>IFERROR(_xlfn.RRI(2,AC51,AE51),"-")</f>
        <v>0.96750757059712145</v>
      </c>
      <c r="AK51" s="648">
        <f>IFERROR(_xlfn.RRI(3,AE51,AH51),"-")</f>
        <v>0.44921419182950673</v>
      </c>
      <c r="AL51" s="647"/>
      <c r="AM51" s="647"/>
      <c r="AN51" s="647"/>
      <c r="AO51" s="647"/>
      <c r="AP51" s="647"/>
      <c r="AQ51" s="647"/>
    </row>
    <row r="52" spans="2:43" x14ac:dyDescent="0.2">
      <c r="AC52" s="653"/>
      <c r="AD52" s="653"/>
      <c r="AE52" s="653"/>
      <c r="AF52" s="566"/>
      <c r="AG52" s="566"/>
      <c r="AH52" s="566"/>
      <c r="AI52" s="566"/>
      <c r="AJ52" s="648"/>
      <c r="AK52" s="648"/>
    </row>
    <row r="53" spans="2:43" x14ac:dyDescent="0.2">
      <c r="B53" s="572" t="s">
        <v>922</v>
      </c>
      <c r="D53" s="656">
        <v>0</v>
      </c>
      <c r="E53" s="656">
        <v>0</v>
      </c>
      <c r="F53" s="656">
        <v>0</v>
      </c>
      <c r="G53" s="656">
        <v>0</v>
      </c>
      <c r="H53" s="656">
        <v>0</v>
      </c>
      <c r="I53" s="656">
        <v>0</v>
      </c>
      <c r="J53" s="656">
        <v>0</v>
      </c>
      <c r="K53" s="656">
        <v>0</v>
      </c>
      <c r="L53" s="656">
        <v>3.5540100000000003</v>
      </c>
      <c r="M53" s="656">
        <v>1.7261</v>
      </c>
      <c r="N53" s="656">
        <v>0.84280999999999995</v>
      </c>
      <c r="O53" s="656">
        <v>0.80028999999999995</v>
      </c>
      <c r="P53" s="656">
        <v>0.71104999999999996</v>
      </c>
      <c r="Q53" s="656">
        <v>0.64740999999999993</v>
      </c>
      <c r="R53" s="656">
        <v>0.57632000000000005</v>
      </c>
      <c r="S53" s="656">
        <v>0</v>
      </c>
      <c r="T53" s="656">
        <v>0</v>
      </c>
      <c r="U53" s="656">
        <v>0</v>
      </c>
      <c r="V53" s="656">
        <v>0</v>
      </c>
      <c r="W53" s="656">
        <v>0</v>
      </c>
      <c r="X53" s="656">
        <v>0</v>
      </c>
      <c r="Y53" s="656">
        <v>0</v>
      </c>
      <c r="Z53" s="656">
        <v>0</v>
      </c>
      <c r="AA53" s="656">
        <v>0</v>
      </c>
      <c r="AB53" s="655"/>
      <c r="AC53" s="654">
        <f>SUM(D53:G53)</f>
        <v>0</v>
      </c>
      <c r="AD53" s="654">
        <f>SUM(H53:K53)</f>
        <v>0</v>
      </c>
      <c r="AE53" s="654">
        <f>SUM(L53:O53)</f>
        <v>6.923210000000001</v>
      </c>
      <c r="AF53" s="654">
        <f>SUM(P53:S53)</f>
        <v>1.9347799999999999</v>
      </c>
      <c r="AG53" s="654">
        <f>SUM(T53:W53)</f>
        <v>0</v>
      </c>
      <c r="AH53" s="654">
        <f>SUM(X53:AA53)</f>
        <v>0</v>
      </c>
      <c r="AI53" s="566"/>
      <c r="AJ53" s="648"/>
      <c r="AK53" s="648"/>
    </row>
    <row r="54" spans="2:43" x14ac:dyDescent="0.2">
      <c r="AC54" s="653"/>
      <c r="AD54" s="653"/>
      <c r="AE54" s="653"/>
      <c r="AF54" s="566"/>
      <c r="AG54" s="566"/>
      <c r="AH54" s="566"/>
      <c r="AI54" s="566"/>
      <c r="AJ54" s="648"/>
      <c r="AK54" s="648"/>
    </row>
    <row r="55" spans="2:43" s="646" customFormat="1" ht="14.1" customHeight="1" x14ac:dyDescent="0.2">
      <c r="B55" s="652" t="s">
        <v>921</v>
      </c>
      <c r="C55" s="651"/>
      <c r="D55" s="650">
        <f t="shared" ref="D55:AA55" si="31">D51-D53</f>
        <v>-192.30056000000005</v>
      </c>
      <c r="E55" s="650">
        <f t="shared" si="31"/>
        <v>-318.64769000000007</v>
      </c>
      <c r="F55" s="650">
        <f t="shared" si="31"/>
        <v>-257.44682999999998</v>
      </c>
      <c r="G55" s="650">
        <f t="shared" si="31"/>
        <v>-611.57315999999992</v>
      </c>
      <c r="H55" s="650">
        <f t="shared" si="31"/>
        <v>-485.67205000000013</v>
      </c>
      <c r="I55" s="650">
        <f t="shared" si="31"/>
        <v>-918.85180000000048</v>
      </c>
      <c r="J55" s="650">
        <f t="shared" si="31"/>
        <v>-1283.6657400000001</v>
      </c>
      <c r="K55" s="650">
        <f t="shared" si="31"/>
        <v>-1904.2703899999995</v>
      </c>
      <c r="L55" s="650">
        <f t="shared" si="31"/>
        <v>-1564.6464500000004</v>
      </c>
      <c r="M55" s="650">
        <f t="shared" si="31"/>
        <v>-1169.6839000000009</v>
      </c>
      <c r="N55" s="650">
        <f t="shared" si="31"/>
        <v>-1295.8821699999992</v>
      </c>
      <c r="O55" s="650">
        <f t="shared" si="31"/>
        <v>-1318.6864799999994</v>
      </c>
      <c r="P55" s="650">
        <f t="shared" si="31"/>
        <v>-1544.6493499999999</v>
      </c>
      <c r="Q55" s="650">
        <f t="shared" si="31"/>
        <v>-2120.6270499999987</v>
      </c>
      <c r="R55" s="650">
        <f t="shared" si="31"/>
        <v>-2331.7432400000007</v>
      </c>
      <c r="S55" s="650">
        <f t="shared" si="31"/>
        <v>-2359.7145352476055</v>
      </c>
      <c r="T55" s="650">
        <f t="shared" si="31"/>
        <v>-3619.167429492355</v>
      </c>
      <c r="U55" s="650">
        <f t="shared" si="31"/>
        <v>-3436.3346030563434</v>
      </c>
      <c r="V55" s="650">
        <f t="shared" si="31"/>
        <v>-3588.2311382017529</v>
      </c>
      <c r="W55" s="650">
        <f t="shared" si="31"/>
        <v>-3427.5355830828089</v>
      </c>
      <c r="X55" s="650">
        <f t="shared" si="31"/>
        <v>-4107.3583542334345</v>
      </c>
      <c r="Y55" s="650">
        <f t="shared" si="31"/>
        <v>-4024.8955970154761</v>
      </c>
      <c r="Z55" s="650">
        <f t="shared" si="31"/>
        <v>-4195.0083885905879</v>
      </c>
      <c r="AA55" s="650">
        <f t="shared" si="31"/>
        <v>-3931.9555263810917</v>
      </c>
      <c r="AC55" s="649">
        <f t="shared" ref="AC55:AH55" si="32">AC51-AC53</f>
        <v>-1379.9682400000002</v>
      </c>
      <c r="AD55" s="649">
        <f t="shared" si="32"/>
        <v>-4592.4599799999996</v>
      </c>
      <c r="AE55" s="649">
        <f t="shared" si="32"/>
        <v>-5348.8990000000003</v>
      </c>
      <c r="AF55" s="649">
        <f t="shared" si="32"/>
        <v>-8356.7341752476041</v>
      </c>
      <c r="AG55" s="649">
        <f t="shared" si="32"/>
        <v>-14071.268753833259</v>
      </c>
      <c r="AH55" s="649">
        <f t="shared" si="32"/>
        <v>-16259.217866220588</v>
      </c>
      <c r="AI55" s="637"/>
      <c r="AJ55" s="648">
        <f>IFERROR(_xlfn.RRI(2,AC55,AE55),"-")</f>
        <v>0.96878210441373214</v>
      </c>
      <c r="AK55" s="648">
        <f>IFERROR(_xlfn.RRI(3,AE55,AH55),"-")</f>
        <v>0.44858867082386245</v>
      </c>
      <c r="AL55" s="647"/>
      <c r="AM55" s="647"/>
      <c r="AN55" s="647"/>
      <c r="AO55" s="647"/>
      <c r="AP55" s="647"/>
      <c r="AQ55" s="647"/>
    </row>
    <row r="56" spans="2:43" x14ac:dyDescent="0.2">
      <c r="AC56" s="645"/>
      <c r="AD56" s="645"/>
      <c r="AE56" s="645"/>
    </row>
  </sheetData>
  <pageMargins left="0.7" right="0.7" top="0.75" bottom="0.75" header="0.3" footer="0.3"/>
  <pageSetup scale="65"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7BDC15-1C1B-41A8-A55C-637FD6757F4B}">
  <sheetPr>
    <tabColor theme="8" tint="0.79998168889431442"/>
    <pageSetUpPr fitToPage="1"/>
  </sheetPr>
  <dimension ref="A1:AM167"/>
  <sheetViews>
    <sheetView showGridLines="0" zoomScale="80" zoomScaleNormal="80" zoomScaleSheetLayoutView="85" workbookViewId="0">
      <pane xSplit="4" ySplit="8" topLeftCell="V17" activePane="bottomRight" state="frozen"/>
      <selection activeCell="R36" sqref="R36"/>
      <selection pane="topRight" activeCell="R36" sqref="R36"/>
      <selection pane="bottomLeft" activeCell="R36" sqref="R36"/>
      <selection pane="bottomRight" activeCell="AB38" sqref="AB38"/>
    </sheetView>
  </sheetViews>
  <sheetFormatPr defaultColWidth="8.85546875" defaultRowHeight="12.75" outlineLevelCol="1" x14ac:dyDescent="0.2"/>
  <cols>
    <col min="1" max="1" width="1.5703125" style="733" customWidth="1"/>
    <col min="2" max="2" width="46.140625" style="733" customWidth="1"/>
    <col min="3" max="3" width="9.85546875" style="733" customWidth="1"/>
    <col min="4" max="4" width="1.5703125" style="733" customWidth="1"/>
    <col min="5" max="28" width="9.85546875" style="733" customWidth="1" outlineLevel="1"/>
    <col min="29" max="29" width="3.42578125" style="733" customWidth="1"/>
    <col min="30" max="35" width="10.7109375" style="733" customWidth="1"/>
    <col min="36" max="36" width="1.5703125" style="733" customWidth="1"/>
    <col min="37" max="16384" width="8.85546875" style="733"/>
  </cols>
  <sheetData>
    <row r="1" spans="1:36" ht="12" customHeight="1" x14ac:dyDescent="0.2">
      <c r="B1" s="572"/>
      <c r="C1" s="572"/>
    </row>
    <row r="2" spans="1:36" s="980" customFormat="1" ht="12" customHeight="1" thickBot="1" x14ac:dyDescent="0.3">
      <c r="B2" s="571" t="s">
        <v>806</v>
      </c>
      <c r="C2" s="571"/>
      <c r="D2" s="981"/>
      <c r="E2" s="981"/>
      <c r="F2" s="981"/>
      <c r="G2" s="981"/>
      <c r="H2" s="981"/>
      <c r="I2" s="981"/>
      <c r="J2" s="981"/>
      <c r="K2" s="981"/>
      <c r="L2" s="981"/>
      <c r="M2" s="981"/>
      <c r="N2" s="981"/>
      <c r="O2" s="981"/>
      <c r="P2" s="981"/>
      <c r="Q2" s="981"/>
      <c r="R2" s="981"/>
      <c r="S2" s="981"/>
      <c r="T2" s="981"/>
      <c r="U2" s="981"/>
      <c r="V2" s="981"/>
      <c r="W2" s="981"/>
      <c r="X2" s="981"/>
      <c r="Y2" s="981"/>
      <c r="Z2" s="981"/>
      <c r="AA2" s="981"/>
      <c r="AB2" s="981"/>
      <c r="AC2" s="981"/>
      <c r="AD2" s="981"/>
      <c r="AE2" s="981"/>
      <c r="AF2" s="981"/>
      <c r="AG2" s="981"/>
      <c r="AH2" s="981"/>
      <c r="AI2" s="981"/>
      <c r="AJ2" s="981"/>
    </row>
    <row r="3" spans="1:36" ht="12" customHeight="1" x14ac:dyDescent="0.2">
      <c r="B3" s="568" t="s">
        <v>1059</v>
      </c>
      <c r="C3" s="568"/>
    </row>
    <row r="4" spans="1:36" ht="12" customHeight="1" x14ac:dyDescent="0.2">
      <c r="B4" s="568" t="s">
        <v>987</v>
      </c>
      <c r="C4" s="568"/>
      <c r="T4" s="676">
        <f t="shared" ref="T4:AB4" si="0">+T16/T5</f>
        <v>0.95286161799716806</v>
      </c>
      <c r="U4" s="676">
        <f t="shared" si="0"/>
        <v>0.53607981958235584</v>
      </c>
      <c r="V4" s="676">
        <f t="shared" si="0"/>
        <v>0.47503368393548484</v>
      </c>
      <c r="W4" s="676">
        <f t="shared" si="0"/>
        <v>0.44269614903101806</v>
      </c>
      <c r="X4" s="676">
        <f t="shared" si="0"/>
        <v>0.38659231557287943</v>
      </c>
      <c r="Y4" s="676">
        <f t="shared" si="0"/>
        <v>0.26427131523563152</v>
      </c>
      <c r="Z4" s="676">
        <f t="shared" si="0"/>
        <v>0.23433813243094434</v>
      </c>
      <c r="AA4" s="676">
        <f t="shared" si="0"/>
        <v>0.22525974446898284</v>
      </c>
      <c r="AB4" s="676">
        <f t="shared" si="0"/>
        <v>0.20521039512438771</v>
      </c>
    </row>
    <row r="5" spans="1:36" ht="12" customHeight="1" x14ac:dyDescent="0.25">
      <c r="B5" s="568" t="s">
        <v>983</v>
      </c>
      <c r="C5" s="568"/>
      <c r="S5" s="853"/>
      <c r="T5" s="979">
        <v>3084.4107721870005</v>
      </c>
      <c r="U5" s="979">
        <v>3189.692765514335</v>
      </c>
      <c r="V5" s="979">
        <v>3874.9664961395192</v>
      </c>
      <c r="W5" s="979">
        <v>4456.2237689038438</v>
      </c>
      <c r="X5" s="979">
        <v>5575.8546208206253</v>
      </c>
      <c r="Y5" s="979">
        <v>6397.4292373792759</v>
      </c>
      <c r="Z5" s="979">
        <v>7725.1276101749545</v>
      </c>
      <c r="AA5" s="979">
        <v>8664.7841571542085</v>
      </c>
      <c r="AB5" s="979">
        <v>10553.786813751547</v>
      </c>
    </row>
    <row r="6" spans="1:36" x14ac:dyDescent="0.2">
      <c r="B6" s="568"/>
      <c r="C6" s="568"/>
    </row>
    <row r="7" spans="1:36" ht="15" x14ac:dyDescent="0.35">
      <c r="E7" s="638" t="s">
        <v>1005</v>
      </c>
      <c r="F7" s="638"/>
      <c r="G7" s="638"/>
      <c r="H7" s="638"/>
      <c r="I7" s="638" t="s">
        <v>1004</v>
      </c>
      <c r="J7" s="638"/>
      <c r="K7" s="638"/>
      <c r="L7" s="638"/>
      <c r="M7" s="638" t="s">
        <v>1003</v>
      </c>
      <c r="N7" s="638"/>
      <c r="O7" s="638"/>
      <c r="P7" s="638"/>
      <c r="Q7" s="638" t="s">
        <v>1002</v>
      </c>
      <c r="R7" s="638"/>
      <c r="S7" s="638"/>
      <c r="T7" s="638"/>
      <c r="U7" s="638" t="s">
        <v>1001</v>
      </c>
      <c r="V7" s="638"/>
      <c r="W7" s="638"/>
      <c r="X7" s="638"/>
      <c r="Y7" s="638" t="s">
        <v>1000</v>
      </c>
      <c r="Z7" s="638"/>
      <c r="AA7" s="638"/>
      <c r="AB7" s="638"/>
      <c r="AC7" s="978"/>
      <c r="AD7" s="638" t="s">
        <v>983</v>
      </c>
      <c r="AE7" s="638"/>
      <c r="AF7" s="638"/>
      <c r="AG7" s="638"/>
      <c r="AH7" s="638"/>
      <c r="AI7" s="638"/>
    </row>
    <row r="8" spans="1:36" ht="15" x14ac:dyDescent="0.2">
      <c r="E8" s="726" t="s">
        <v>996</v>
      </c>
      <c r="F8" s="726" t="s">
        <v>995</v>
      </c>
      <c r="G8" s="726" t="s">
        <v>997</v>
      </c>
      <c r="H8" s="726" t="s">
        <v>998</v>
      </c>
      <c r="I8" s="726" t="s">
        <v>996</v>
      </c>
      <c r="J8" s="726" t="s">
        <v>995</v>
      </c>
      <c r="K8" s="726" t="s">
        <v>997</v>
      </c>
      <c r="L8" s="726" t="s">
        <v>998</v>
      </c>
      <c r="M8" s="726" t="s">
        <v>996</v>
      </c>
      <c r="N8" s="726" t="s">
        <v>995</v>
      </c>
      <c r="O8" s="727" t="s">
        <v>997</v>
      </c>
      <c r="P8" s="726" t="s">
        <v>998</v>
      </c>
      <c r="Q8" s="726" t="s">
        <v>996</v>
      </c>
      <c r="R8" s="726" t="s">
        <v>995</v>
      </c>
      <c r="S8" s="726" t="s">
        <v>997</v>
      </c>
      <c r="T8" s="726" t="s">
        <v>993</v>
      </c>
      <c r="U8" s="726" t="s">
        <v>1058</v>
      </c>
      <c r="V8" s="726" t="s">
        <v>1057</v>
      </c>
      <c r="W8" s="726" t="s">
        <v>994</v>
      </c>
      <c r="X8" s="726" t="s">
        <v>993</v>
      </c>
      <c r="Y8" s="726" t="s">
        <v>1058</v>
      </c>
      <c r="Z8" s="726" t="s">
        <v>1057</v>
      </c>
      <c r="AA8" s="726" t="s">
        <v>994</v>
      </c>
      <c r="AB8" s="726" t="s">
        <v>993</v>
      </c>
      <c r="AC8" s="978"/>
      <c r="AD8" s="636" t="s">
        <v>982</v>
      </c>
      <c r="AE8" s="636" t="s">
        <v>981</v>
      </c>
      <c r="AF8" s="636" t="s">
        <v>980</v>
      </c>
      <c r="AG8" s="636" t="s">
        <v>979</v>
      </c>
      <c r="AH8" s="636" t="s">
        <v>978</v>
      </c>
      <c r="AI8" s="636" t="s">
        <v>977</v>
      </c>
    </row>
    <row r="9" spans="1:36" s="566" customFormat="1" ht="5.0999999999999996" customHeight="1" x14ac:dyDescent="0.2">
      <c r="A9" s="815"/>
      <c r="E9" s="566">
        <v>0</v>
      </c>
      <c r="T9" s="720"/>
      <c r="W9" s="720"/>
    </row>
    <row r="10" spans="1:36" s="566" customFormat="1" ht="12.75" customHeight="1" x14ac:dyDescent="0.2">
      <c r="A10" s="815" t="s">
        <v>1018</v>
      </c>
      <c r="B10" s="812" t="s">
        <v>1056</v>
      </c>
      <c r="C10" s="812"/>
      <c r="D10" s="812"/>
      <c r="E10" s="812"/>
      <c r="F10" s="812"/>
      <c r="G10" s="812"/>
      <c r="H10" s="812"/>
      <c r="I10" s="812"/>
      <c r="J10" s="812"/>
      <c r="K10" s="812"/>
      <c r="L10" s="812"/>
      <c r="M10" s="812"/>
      <c r="N10" s="812"/>
      <c r="O10" s="812"/>
      <c r="P10" s="812"/>
      <c r="Q10" s="812"/>
      <c r="R10" s="812"/>
      <c r="S10" s="812"/>
      <c r="T10" s="812"/>
      <c r="U10" s="812"/>
      <c r="V10" s="812"/>
      <c r="W10" s="813"/>
      <c r="X10" s="812"/>
      <c r="Y10" s="812"/>
      <c r="Z10" s="812"/>
      <c r="AA10" s="812"/>
      <c r="AB10" s="812"/>
      <c r="AC10" s="812"/>
      <c r="AD10" s="812"/>
      <c r="AE10" s="812"/>
      <c r="AF10" s="812"/>
      <c r="AG10" s="812"/>
      <c r="AH10" s="812"/>
      <c r="AI10" s="812"/>
      <c r="AJ10" s="977"/>
    </row>
    <row r="11" spans="1:36" ht="6" customHeight="1" x14ac:dyDescent="0.2"/>
    <row r="12" spans="1:36" ht="14.45" customHeight="1" x14ac:dyDescent="0.2">
      <c r="B12" s="806" t="s">
        <v>1055</v>
      </c>
      <c r="C12" s="805"/>
      <c r="D12" s="804"/>
      <c r="E12" s="802"/>
      <c r="F12" s="802"/>
      <c r="G12" s="802"/>
      <c r="H12" s="802"/>
      <c r="I12" s="802"/>
      <c r="J12" s="802"/>
      <c r="K12" s="802"/>
      <c r="L12" s="802"/>
      <c r="M12" s="802"/>
      <c r="N12" s="802"/>
      <c r="O12" s="802"/>
      <c r="P12" s="802"/>
      <c r="Q12" s="802"/>
      <c r="R12" s="802"/>
      <c r="S12" s="803"/>
      <c r="T12" s="976"/>
      <c r="U12" s="802"/>
      <c r="V12" s="802"/>
      <c r="W12" s="802"/>
      <c r="X12" s="802"/>
      <c r="Y12" s="802"/>
      <c r="Z12" s="802"/>
      <c r="AA12" s="802"/>
      <c r="AB12" s="802"/>
      <c r="AC12" s="802"/>
      <c r="AD12" s="802"/>
      <c r="AE12" s="802"/>
      <c r="AF12" s="803"/>
      <c r="AG12" s="802"/>
      <c r="AH12" s="802"/>
      <c r="AI12" s="803"/>
    </row>
    <row r="13" spans="1:36" ht="14.45" customHeight="1" x14ac:dyDescent="0.2">
      <c r="B13" s="759" t="s">
        <v>1038</v>
      </c>
      <c r="C13" s="758"/>
      <c r="E13" s="762">
        <f t="shared" ref="E13:AB13" si="1">E24+E35</f>
        <v>234.52259999999993</v>
      </c>
      <c r="F13" s="762">
        <f t="shared" si="1"/>
        <v>397.08851999999928</v>
      </c>
      <c r="G13" s="762">
        <f t="shared" si="1"/>
        <v>431.15303999999935</v>
      </c>
      <c r="H13" s="762">
        <f t="shared" si="1"/>
        <v>398.76779999999928</v>
      </c>
      <c r="I13" s="762">
        <f t="shared" si="1"/>
        <v>448.05179999999899</v>
      </c>
      <c r="J13" s="762">
        <f t="shared" si="1"/>
        <v>1058.9152799999993</v>
      </c>
      <c r="K13" s="762">
        <f t="shared" si="1"/>
        <v>537.80327999999827</v>
      </c>
      <c r="L13" s="762">
        <f t="shared" si="1"/>
        <v>611.25899999999842</v>
      </c>
      <c r="M13" s="762">
        <f t="shared" si="1"/>
        <v>822.67403999999772</v>
      </c>
      <c r="N13" s="762">
        <f t="shared" si="1"/>
        <v>936.55347999999731</v>
      </c>
      <c r="O13" s="762">
        <f t="shared" si="1"/>
        <v>985.54811999999674</v>
      </c>
      <c r="P13" s="762">
        <f t="shared" si="1"/>
        <v>1121.834759999997</v>
      </c>
      <c r="Q13" s="762">
        <f t="shared" si="1"/>
        <v>1345.42632</v>
      </c>
      <c r="R13" s="762">
        <f t="shared" si="1"/>
        <v>1625.92776</v>
      </c>
      <c r="S13" s="761">
        <f t="shared" si="1"/>
        <v>1541.6863199999993</v>
      </c>
      <c r="T13" s="762">
        <f t="shared" si="1"/>
        <v>1959.5691208040002</v>
      </c>
      <c r="U13" s="762">
        <f t="shared" si="1"/>
        <v>1509.4660265763205</v>
      </c>
      <c r="V13" s="762">
        <f t="shared" si="1"/>
        <v>1610.4797375064916</v>
      </c>
      <c r="W13" s="762">
        <f t="shared" si="1"/>
        <v>1710.2988883192188</v>
      </c>
      <c r="X13" s="762">
        <f t="shared" si="1"/>
        <v>1858.3908494103912</v>
      </c>
      <c r="Y13" s="762">
        <f t="shared" si="1"/>
        <v>1578.0526242472854</v>
      </c>
      <c r="Z13" s="762">
        <f t="shared" si="1"/>
        <v>1683.3394742284675</v>
      </c>
      <c r="AA13" s="762">
        <f t="shared" si="1"/>
        <v>1820.715512334179</v>
      </c>
      <c r="AB13" s="762">
        <f t="shared" si="1"/>
        <v>2019.5929782675337</v>
      </c>
      <c r="AC13" s="735"/>
      <c r="AD13" s="842">
        <f>SUM(E13:H13)</f>
        <v>1461.531959999998</v>
      </c>
      <c r="AE13" s="842">
        <f>SUM(I13:L13)</f>
        <v>2656.029359999995</v>
      </c>
      <c r="AF13" s="841">
        <f>SUM(M13:P13)</f>
        <v>3866.6103999999887</v>
      </c>
      <c r="AG13" s="842">
        <f>SUM(Q13:T13)</f>
        <v>6472.6095208040006</v>
      </c>
      <c r="AH13" s="842">
        <f>SUM(U13:X13)</f>
        <v>6688.6355018124214</v>
      </c>
      <c r="AI13" s="841">
        <f>SUM(Y13:AB13)</f>
        <v>7101.7005890774653</v>
      </c>
    </row>
    <row r="14" spans="1:36" ht="14.45" customHeight="1" x14ac:dyDescent="0.2">
      <c r="B14" s="759" t="s">
        <v>1036</v>
      </c>
      <c r="C14" s="758"/>
      <c r="E14" s="762">
        <f t="shared" ref="E14:AB14" si="2">E25+E36</f>
        <v>0</v>
      </c>
      <c r="F14" s="762">
        <f t="shared" si="2"/>
        <v>0</v>
      </c>
      <c r="G14" s="762">
        <f t="shared" si="2"/>
        <v>1.1879999999999999</v>
      </c>
      <c r="H14" s="762">
        <f t="shared" si="2"/>
        <v>0</v>
      </c>
      <c r="I14" s="762">
        <f t="shared" si="2"/>
        <v>1.2</v>
      </c>
      <c r="J14" s="762">
        <f t="shared" si="2"/>
        <v>36</v>
      </c>
      <c r="K14" s="762">
        <f t="shared" si="2"/>
        <v>90.443999999999988</v>
      </c>
      <c r="L14" s="762">
        <f t="shared" si="2"/>
        <v>2.3879999999999999</v>
      </c>
      <c r="M14" s="762">
        <f t="shared" si="2"/>
        <v>26.663999999999998</v>
      </c>
      <c r="N14" s="762">
        <f t="shared" si="2"/>
        <v>56.34</v>
      </c>
      <c r="O14" s="762">
        <f t="shared" si="2"/>
        <v>190.75199999999998</v>
      </c>
      <c r="P14" s="762">
        <f t="shared" si="2"/>
        <v>123.51996</v>
      </c>
      <c r="Q14" s="762">
        <f t="shared" si="2"/>
        <v>253.36392000000001</v>
      </c>
      <c r="R14" s="842">
        <f t="shared" si="2"/>
        <v>51.615960000000001</v>
      </c>
      <c r="S14" s="841">
        <f t="shared" si="2"/>
        <v>412.22819999999984</v>
      </c>
      <c r="T14" s="842">
        <f t="shared" si="2"/>
        <v>625.93284734999997</v>
      </c>
      <c r="U14" s="842">
        <f t="shared" si="2"/>
        <v>106.93115049374998</v>
      </c>
      <c r="V14" s="842">
        <f t="shared" si="2"/>
        <v>134.38880846149218</v>
      </c>
      <c r="W14" s="842">
        <f t="shared" si="2"/>
        <v>164.18637297975857</v>
      </c>
      <c r="X14" s="842">
        <f t="shared" si="2"/>
        <v>196.46716332476879</v>
      </c>
      <c r="Y14" s="842">
        <f t="shared" si="2"/>
        <v>112.60441444181913</v>
      </c>
      <c r="Z14" s="842">
        <f t="shared" si="2"/>
        <v>126.95250273065552</v>
      </c>
      <c r="AA14" s="842">
        <f t="shared" si="2"/>
        <v>131.11155278526866</v>
      </c>
      <c r="AB14" s="842">
        <f t="shared" si="2"/>
        <v>146.15378384097403</v>
      </c>
      <c r="AC14" s="842"/>
      <c r="AD14" s="842">
        <f>SUM(E14:H14)</f>
        <v>1.1879999999999999</v>
      </c>
      <c r="AE14" s="842">
        <f>SUM(I14:L14)</f>
        <v>130.03199999999998</v>
      </c>
      <c r="AF14" s="841">
        <f>SUM(M14:P14)</f>
        <v>397.27595999999994</v>
      </c>
      <c r="AG14" s="842">
        <f>SUM(Q14:T14)</f>
        <v>1343.1409273499999</v>
      </c>
      <c r="AH14" s="842">
        <f>SUM(U14:X14)</f>
        <v>601.97349525976949</v>
      </c>
      <c r="AI14" s="841">
        <f>SUM(Y14:AB14)</f>
        <v>516.82225379871738</v>
      </c>
    </row>
    <row r="15" spans="1:36" s="566" customFormat="1" ht="15" customHeight="1" x14ac:dyDescent="0.35">
      <c r="A15" s="815"/>
      <c r="B15" s="759" t="s">
        <v>1016</v>
      </c>
      <c r="C15" s="758"/>
      <c r="E15" s="962">
        <f t="shared" ref="E15:AB15" si="3">E26+E37</f>
        <v>0</v>
      </c>
      <c r="F15" s="962">
        <f t="shared" si="3"/>
        <v>3.5880000000000001</v>
      </c>
      <c r="G15" s="962">
        <f t="shared" si="3"/>
        <v>40.776000000000003</v>
      </c>
      <c r="H15" s="962">
        <f t="shared" si="3"/>
        <v>7.6320000000000006</v>
      </c>
      <c r="I15" s="962">
        <f t="shared" si="3"/>
        <v>133.03200000000001</v>
      </c>
      <c r="J15" s="962">
        <f t="shared" si="3"/>
        <v>69.614039999999989</v>
      </c>
      <c r="K15" s="962">
        <f t="shared" si="3"/>
        <v>240.18516</v>
      </c>
      <c r="L15" s="962">
        <f t="shared" si="3"/>
        <v>141.33396000000005</v>
      </c>
      <c r="M15" s="962">
        <f t="shared" si="3"/>
        <v>178.14407999999997</v>
      </c>
      <c r="N15" s="712">
        <f t="shared" si="3"/>
        <v>167.16443999999998</v>
      </c>
      <c r="O15" s="712">
        <f t="shared" si="3"/>
        <v>99.429000000000002</v>
      </c>
      <c r="P15" s="712">
        <f t="shared" si="3"/>
        <v>179.78411999999994</v>
      </c>
      <c r="Q15" s="712">
        <f t="shared" si="3"/>
        <v>133.09500000000003</v>
      </c>
      <c r="R15" s="712">
        <f t="shared" si="3"/>
        <v>218.84039999999993</v>
      </c>
      <c r="S15" s="795">
        <f t="shared" si="3"/>
        <v>153.35400000000001</v>
      </c>
      <c r="T15" s="712">
        <f t="shared" si="3"/>
        <v>353.51467079999998</v>
      </c>
      <c r="U15" s="712">
        <f t="shared" si="3"/>
        <v>93.53274519</v>
      </c>
      <c r="V15" s="712">
        <f t="shared" si="3"/>
        <v>95.871063819750006</v>
      </c>
      <c r="W15" s="712">
        <f t="shared" si="3"/>
        <v>98.267840415243754</v>
      </c>
      <c r="X15" s="712">
        <f t="shared" si="3"/>
        <v>100.72453642562485</v>
      </c>
      <c r="Y15" s="712">
        <f t="shared" si="3"/>
        <v>0</v>
      </c>
      <c r="Z15" s="712">
        <f t="shared" si="3"/>
        <v>0</v>
      </c>
      <c r="AA15" s="712">
        <f t="shared" si="3"/>
        <v>0</v>
      </c>
      <c r="AB15" s="712">
        <f t="shared" si="3"/>
        <v>0</v>
      </c>
      <c r="AD15" s="712">
        <f>SUM(E15:H15)</f>
        <v>51.996000000000002</v>
      </c>
      <c r="AE15" s="712">
        <f>SUM(I15:L15)</f>
        <v>584.16516000000001</v>
      </c>
      <c r="AF15" s="712">
        <f>SUM(M15:P15)</f>
        <v>624.52163999999982</v>
      </c>
      <c r="AG15" s="961">
        <f>SUM(Q15:T15)</f>
        <v>858.80407079999998</v>
      </c>
      <c r="AH15" s="712">
        <f>SUM(U15:X15)</f>
        <v>388.39618585061862</v>
      </c>
      <c r="AI15" s="960">
        <f>SUM(Y15:AB15)</f>
        <v>0</v>
      </c>
    </row>
    <row r="16" spans="1:36" s="637" customFormat="1" ht="12.75" customHeight="1" x14ac:dyDescent="0.2">
      <c r="A16" s="959"/>
      <c r="B16" s="958" t="s">
        <v>1054</v>
      </c>
      <c r="C16" s="957"/>
      <c r="D16" s="956"/>
      <c r="E16" s="955">
        <f t="shared" ref="E16:AB16" si="4">SUM(E13:E15)</f>
        <v>234.52259999999993</v>
      </c>
      <c r="F16" s="955">
        <f t="shared" si="4"/>
        <v>400.6765199999993</v>
      </c>
      <c r="G16" s="955">
        <f t="shared" si="4"/>
        <v>473.11703999999935</v>
      </c>
      <c r="H16" s="955">
        <f t="shared" si="4"/>
        <v>406.39979999999929</v>
      </c>
      <c r="I16" s="955">
        <f t="shared" si="4"/>
        <v>582.28379999999902</v>
      </c>
      <c r="J16" s="955">
        <f t="shared" si="4"/>
        <v>1164.5293199999992</v>
      </c>
      <c r="K16" s="955">
        <f t="shared" si="4"/>
        <v>868.43243999999822</v>
      </c>
      <c r="L16" s="955">
        <f t="shared" si="4"/>
        <v>754.9809599999985</v>
      </c>
      <c r="M16" s="955">
        <f t="shared" si="4"/>
        <v>1027.4821199999976</v>
      </c>
      <c r="N16" s="954">
        <f t="shared" si="4"/>
        <v>1160.0579199999972</v>
      </c>
      <c r="O16" s="954">
        <f t="shared" si="4"/>
        <v>1275.7291199999968</v>
      </c>
      <c r="P16" s="954">
        <f t="shared" si="4"/>
        <v>1425.1388399999971</v>
      </c>
      <c r="Q16" s="954">
        <f t="shared" si="4"/>
        <v>1731.8852400000001</v>
      </c>
      <c r="R16" s="950">
        <f t="shared" si="4"/>
        <v>1896.3841200000002</v>
      </c>
      <c r="S16" s="953">
        <f t="shared" si="4"/>
        <v>2107.2685199999992</v>
      </c>
      <c r="T16" s="952">
        <f t="shared" si="4"/>
        <v>2939.016638954</v>
      </c>
      <c r="U16" s="952">
        <f t="shared" si="4"/>
        <v>1709.9299222600705</v>
      </c>
      <c r="V16" s="952">
        <f t="shared" si="4"/>
        <v>1840.7396097877336</v>
      </c>
      <c r="W16" s="952">
        <f t="shared" si="4"/>
        <v>1972.753101714221</v>
      </c>
      <c r="X16" s="952">
        <f t="shared" si="4"/>
        <v>2155.5825491607852</v>
      </c>
      <c r="Y16" s="952">
        <f t="shared" si="4"/>
        <v>1690.6570386891044</v>
      </c>
      <c r="Z16" s="952">
        <f t="shared" si="4"/>
        <v>1810.2919769591231</v>
      </c>
      <c r="AA16" s="952">
        <f t="shared" si="4"/>
        <v>1951.8270651194478</v>
      </c>
      <c r="AB16" s="952">
        <f t="shared" si="4"/>
        <v>2165.7467621085079</v>
      </c>
      <c r="AD16" s="950">
        <f t="shared" ref="AD16:AI16" si="5">SUM(AD13:AD15)</f>
        <v>1514.7159599999982</v>
      </c>
      <c r="AE16" s="950">
        <f t="shared" si="5"/>
        <v>3370.2265199999952</v>
      </c>
      <c r="AF16" s="950">
        <f t="shared" si="5"/>
        <v>4888.4079999999885</v>
      </c>
      <c r="AG16" s="951">
        <f t="shared" si="5"/>
        <v>8674.5545189540007</v>
      </c>
      <c r="AH16" s="950">
        <f t="shared" si="5"/>
        <v>7679.0051829228087</v>
      </c>
      <c r="AI16" s="949">
        <f t="shared" si="5"/>
        <v>7618.5228428761829</v>
      </c>
    </row>
    <row r="17" spans="1:38" ht="14.45" customHeight="1" x14ac:dyDescent="0.2">
      <c r="B17" s="948" t="s">
        <v>974</v>
      </c>
      <c r="C17" s="947"/>
      <c r="D17" s="946"/>
      <c r="E17" s="944"/>
      <c r="F17" s="944"/>
      <c r="G17" s="944"/>
      <c r="H17" s="944"/>
      <c r="I17" s="944">
        <f t="shared" ref="I17:AB17" si="6">IFERROR(I16/E16-1,"-")</f>
        <v>1.4828472820956242</v>
      </c>
      <c r="J17" s="944">
        <f t="shared" si="6"/>
        <v>1.9064076926693914</v>
      </c>
      <c r="K17" s="944">
        <f t="shared" si="6"/>
        <v>0.83555519370006071</v>
      </c>
      <c r="L17" s="944">
        <f t="shared" si="6"/>
        <v>0.85772965439451454</v>
      </c>
      <c r="M17" s="944">
        <f t="shared" si="6"/>
        <v>0.76457273927249791</v>
      </c>
      <c r="N17" s="944">
        <f t="shared" si="6"/>
        <v>-3.8396628777040975E-3</v>
      </c>
      <c r="O17" s="944">
        <f t="shared" si="6"/>
        <v>0.46900214828455677</v>
      </c>
      <c r="P17" s="944">
        <f t="shared" si="6"/>
        <v>0.88764871633319054</v>
      </c>
      <c r="Q17" s="944">
        <f t="shared" si="6"/>
        <v>0.68556241153861053</v>
      </c>
      <c r="R17" s="942">
        <f t="shared" si="6"/>
        <v>0.63473227267825094</v>
      </c>
      <c r="S17" s="941">
        <f t="shared" si="6"/>
        <v>0.65181501853622703</v>
      </c>
      <c r="T17" s="942">
        <f t="shared" si="6"/>
        <v>1.062266886890828</v>
      </c>
      <c r="U17" s="942">
        <f t="shared" si="6"/>
        <v>-1.2677120419323784E-2</v>
      </c>
      <c r="V17" s="942">
        <f t="shared" si="6"/>
        <v>-2.9342425738234201E-2</v>
      </c>
      <c r="W17" s="942">
        <f t="shared" si="6"/>
        <v>-6.3834018782655266E-2</v>
      </c>
      <c r="X17" s="942">
        <f t="shared" si="6"/>
        <v>-0.26656333938689103</v>
      </c>
      <c r="Y17" s="942">
        <f t="shared" si="6"/>
        <v>-1.1271154051443522E-2</v>
      </c>
      <c r="Z17" s="942">
        <f t="shared" si="6"/>
        <v>-1.6540977695439274E-2</v>
      </c>
      <c r="AA17" s="942">
        <f t="shared" si="6"/>
        <v>-1.0607529435178509E-2</v>
      </c>
      <c r="AB17" s="942">
        <f t="shared" si="6"/>
        <v>4.7152974733812858E-3</v>
      </c>
      <c r="AC17" s="786"/>
      <c r="AD17" s="942"/>
      <c r="AE17" s="942">
        <f>IFERROR(AE16/AD16-1,"-")</f>
        <v>1.2249891128102983</v>
      </c>
      <c r="AF17" s="941">
        <f>IFERROR(AF16/AE16-1,"-")</f>
        <v>0.45046867650901867</v>
      </c>
      <c r="AG17" s="942">
        <f>IFERROR(AG16/AF16-1,"-")</f>
        <v>0.77451524483104128</v>
      </c>
      <c r="AH17" s="942">
        <f>IFERROR(AH16/AG16-1,"-")</f>
        <v>-0.1147666239062658</v>
      </c>
      <c r="AI17" s="941">
        <f>IFERROR(AI16/AH16-1,"-")</f>
        <v>-7.8763249412998615E-3</v>
      </c>
    </row>
    <row r="18" spans="1:38" ht="14.45" customHeight="1" x14ac:dyDescent="0.2">
      <c r="B18" s="975"/>
      <c r="C18" s="974"/>
      <c r="D18" s="932"/>
      <c r="E18" s="937"/>
      <c r="F18" s="937"/>
      <c r="G18" s="937"/>
      <c r="H18" s="937"/>
      <c r="I18" s="937"/>
      <c r="J18" s="937"/>
      <c r="K18" s="937"/>
      <c r="L18" s="937"/>
      <c r="M18" s="966"/>
      <c r="N18" s="966"/>
      <c r="O18" s="966"/>
      <c r="P18" s="966"/>
      <c r="Q18" s="966"/>
      <c r="R18" s="966"/>
      <c r="S18" s="973"/>
      <c r="T18" s="966"/>
      <c r="U18" s="966"/>
      <c r="V18" s="966"/>
      <c r="W18" s="966"/>
      <c r="X18" s="966"/>
      <c r="Y18" s="966"/>
      <c r="Z18" s="966"/>
      <c r="AA18" s="966"/>
      <c r="AB18" s="966"/>
      <c r="AC18" s="786"/>
      <c r="AD18" s="971"/>
      <c r="AE18" s="971"/>
      <c r="AF18" s="971"/>
      <c r="AG18" s="972"/>
      <c r="AH18" s="971"/>
      <c r="AI18" s="970"/>
    </row>
    <row r="19" spans="1:38" ht="14.45" customHeight="1" x14ac:dyDescent="0.2">
      <c r="B19" s="934" t="s">
        <v>1053</v>
      </c>
      <c r="C19" s="933"/>
      <c r="D19" s="932"/>
      <c r="E19" s="905">
        <f t="shared" ref="E19:AB19" si="7">IFERROR(E13/E$16,"-")</f>
        <v>1</v>
      </c>
      <c r="F19" s="905">
        <f t="shared" si="7"/>
        <v>0.99104514534567678</v>
      </c>
      <c r="G19" s="905">
        <f t="shared" si="7"/>
        <v>0.91130313125056739</v>
      </c>
      <c r="H19" s="905">
        <f t="shared" si="7"/>
        <v>0.98122046319904677</v>
      </c>
      <c r="I19" s="905">
        <f t="shared" si="7"/>
        <v>0.76947323624665454</v>
      </c>
      <c r="J19" s="905">
        <f t="shared" si="7"/>
        <v>0.90930753035913259</v>
      </c>
      <c r="K19" s="905">
        <f t="shared" si="7"/>
        <v>0.61928050499817733</v>
      </c>
      <c r="L19" s="905">
        <f t="shared" si="7"/>
        <v>0.80963498735120376</v>
      </c>
      <c r="M19" s="905">
        <f t="shared" si="7"/>
        <v>0.80066993282569199</v>
      </c>
      <c r="N19" s="905">
        <f t="shared" si="7"/>
        <v>0.8073333786644028</v>
      </c>
      <c r="O19" s="905">
        <f t="shared" si="7"/>
        <v>0.77253713546963576</v>
      </c>
      <c r="P19" s="905">
        <f t="shared" si="7"/>
        <v>0.7871757673799693</v>
      </c>
      <c r="Q19" s="905">
        <f t="shared" si="7"/>
        <v>0.77685650811366691</v>
      </c>
      <c r="R19" s="905">
        <f t="shared" si="7"/>
        <v>0.85738313396127774</v>
      </c>
      <c r="S19" s="906">
        <f t="shared" si="7"/>
        <v>0.73160411469535924</v>
      </c>
      <c r="T19" s="905">
        <f t="shared" si="7"/>
        <v>0.66674311905270922</v>
      </c>
      <c r="U19" s="905">
        <f t="shared" si="7"/>
        <v>0.88276484721737003</v>
      </c>
      <c r="V19" s="905">
        <f t="shared" si="7"/>
        <v>0.8749090468543812</v>
      </c>
      <c r="W19" s="905">
        <f t="shared" si="7"/>
        <v>0.866960435562391</v>
      </c>
      <c r="X19" s="905">
        <f t="shared" si="7"/>
        <v>0.86212928849971571</v>
      </c>
      <c r="Y19" s="905">
        <f t="shared" si="7"/>
        <v>0.93339606326713676</v>
      </c>
      <c r="Z19" s="905">
        <f t="shared" si="7"/>
        <v>0.92987180833452798</v>
      </c>
      <c r="AA19" s="905">
        <f t="shared" si="7"/>
        <v>0.93282624514828882</v>
      </c>
      <c r="AB19" s="905">
        <f t="shared" si="7"/>
        <v>0.93251575558229938</v>
      </c>
      <c r="AD19" s="931">
        <f t="shared" ref="AD19:AI21" si="8">IFERROR(AD13/AD$16,"-")</f>
        <v>0.96488846661389882</v>
      </c>
      <c r="AE19" s="931">
        <f t="shared" si="8"/>
        <v>0.7880863034690021</v>
      </c>
      <c r="AF19" s="930">
        <f t="shared" si="8"/>
        <v>0.79097538503332732</v>
      </c>
      <c r="AG19" s="931">
        <f t="shared" si="8"/>
        <v>0.74616045200491565</v>
      </c>
      <c r="AH19" s="931">
        <f t="shared" si="8"/>
        <v>0.87102890836525915</v>
      </c>
      <c r="AI19" s="930">
        <f t="shared" si="8"/>
        <v>0.93216240674765705</v>
      </c>
    </row>
    <row r="20" spans="1:38" ht="14.45" customHeight="1" x14ac:dyDescent="0.2">
      <c r="B20" s="934" t="s">
        <v>1052</v>
      </c>
      <c r="C20" s="933"/>
      <c r="D20" s="932"/>
      <c r="E20" s="905">
        <f t="shared" ref="E20:AB20" si="9">IFERROR(E14/E$16,"-")</f>
        <v>0</v>
      </c>
      <c r="F20" s="905">
        <f t="shared" si="9"/>
        <v>0</v>
      </c>
      <c r="G20" s="905">
        <f t="shared" si="9"/>
        <v>2.5110065788372399E-3</v>
      </c>
      <c r="H20" s="905">
        <f t="shared" si="9"/>
        <v>0</v>
      </c>
      <c r="I20" s="905">
        <f t="shared" si="9"/>
        <v>2.0608507397938975E-3</v>
      </c>
      <c r="J20" s="905">
        <f t="shared" si="9"/>
        <v>3.091377725036586E-2</v>
      </c>
      <c r="K20" s="905">
        <f t="shared" si="9"/>
        <v>0.10414627072199212</v>
      </c>
      <c r="L20" s="905">
        <f t="shared" si="9"/>
        <v>3.1629936733768818E-3</v>
      </c>
      <c r="M20" s="905">
        <f t="shared" si="9"/>
        <v>2.5950816545596004E-2</v>
      </c>
      <c r="N20" s="905">
        <f t="shared" si="9"/>
        <v>4.8566540539631102E-2</v>
      </c>
      <c r="O20" s="905">
        <f t="shared" si="9"/>
        <v>0.14952390520018893</v>
      </c>
      <c r="P20" s="905">
        <f t="shared" si="9"/>
        <v>8.6672229072081317E-2</v>
      </c>
      <c r="Q20" s="905">
        <f t="shared" si="9"/>
        <v>0.14629371170112865</v>
      </c>
      <c r="R20" s="905">
        <f t="shared" si="9"/>
        <v>2.7218093347037727E-2</v>
      </c>
      <c r="S20" s="906">
        <f t="shared" si="9"/>
        <v>0.19562205579761616</v>
      </c>
      <c r="T20" s="905">
        <f t="shared" si="9"/>
        <v>0.21297356369264051</v>
      </c>
      <c r="U20" s="905">
        <f t="shared" si="9"/>
        <v>6.2535399317660667E-2</v>
      </c>
      <c r="V20" s="905">
        <f t="shared" si="9"/>
        <v>7.3008049453007276E-2</v>
      </c>
      <c r="W20" s="905">
        <f t="shared" si="9"/>
        <v>8.3227025641013599E-2</v>
      </c>
      <c r="X20" s="905">
        <f t="shared" si="9"/>
        <v>9.1143418933901502E-2</v>
      </c>
      <c r="Y20" s="905">
        <f t="shared" si="9"/>
        <v>6.66039367328633E-2</v>
      </c>
      <c r="Z20" s="905">
        <f t="shared" si="9"/>
        <v>7.0128191665471962E-2</v>
      </c>
      <c r="AA20" s="905">
        <f t="shared" si="9"/>
        <v>6.7173754851711162E-2</v>
      </c>
      <c r="AB20" s="905">
        <f t="shared" si="9"/>
        <v>6.7484244417700512E-2</v>
      </c>
      <c r="AD20" s="931">
        <f t="shared" si="8"/>
        <v>7.8430546146750929E-4</v>
      </c>
      <c r="AE20" s="931">
        <f t="shared" si="8"/>
        <v>3.8582569814921572E-2</v>
      </c>
      <c r="AF20" s="930">
        <f t="shared" si="8"/>
        <v>8.1268985731142093E-2</v>
      </c>
      <c r="AG20" s="931">
        <f t="shared" si="8"/>
        <v>0.15483687656988282</v>
      </c>
      <c r="AH20" s="931">
        <f t="shared" si="8"/>
        <v>7.8392119932212928E-2</v>
      </c>
      <c r="AI20" s="930">
        <f t="shared" si="8"/>
        <v>6.783759325234287E-2</v>
      </c>
    </row>
    <row r="21" spans="1:38" ht="14.45" customHeight="1" x14ac:dyDescent="0.2">
      <c r="B21" s="934" t="s">
        <v>1051</v>
      </c>
      <c r="C21" s="933"/>
      <c r="D21" s="932"/>
      <c r="E21" s="905">
        <f t="shared" ref="E21:AB21" si="10">IFERROR(E15/E$16,"-")</f>
        <v>0</v>
      </c>
      <c r="F21" s="905">
        <f t="shared" si="10"/>
        <v>8.9548546543231598E-3</v>
      </c>
      <c r="G21" s="905">
        <f t="shared" si="10"/>
        <v>8.6185862170595373E-2</v>
      </c>
      <c r="H21" s="905">
        <f t="shared" si="10"/>
        <v>1.8779536800953185E-2</v>
      </c>
      <c r="I21" s="905">
        <f t="shared" si="10"/>
        <v>0.22846591301355151</v>
      </c>
      <c r="J21" s="905">
        <f t="shared" si="10"/>
        <v>5.9778692390501632E-2</v>
      </c>
      <c r="K21" s="905">
        <f t="shared" si="10"/>
        <v>0.27657322427983055</v>
      </c>
      <c r="L21" s="905">
        <f t="shared" si="10"/>
        <v>0.18720201897541935</v>
      </c>
      <c r="M21" s="905">
        <f t="shared" si="10"/>
        <v>0.17337925062871204</v>
      </c>
      <c r="N21" s="905">
        <f t="shared" si="10"/>
        <v>0.14410008079596609</v>
      </c>
      <c r="O21" s="905">
        <f t="shared" si="10"/>
        <v>7.793895933017525E-2</v>
      </c>
      <c r="P21" s="905">
        <f t="shared" si="10"/>
        <v>0.12615200354794928</v>
      </c>
      <c r="Q21" s="905">
        <f t="shared" si="10"/>
        <v>7.6849780185204428E-2</v>
      </c>
      <c r="R21" s="905">
        <f t="shared" si="10"/>
        <v>0.11539877269168437</v>
      </c>
      <c r="S21" s="906">
        <f t="shared" si="10"/>
        <v>7.2773829507024601E-2</v>
      </c>
      <c r="T21" s="905">
        <f t="shared" si="10"/>
        <v>0.12028331725465029</v>
      </c>
      <c r="U21" s="905">
        <f t="shared" si="10"/>
        <v>5.4699753464969317E-2</v>
      </c>
      <c r="V21" s="905">
        <f t="shared" si="10"/>
        <v>5.2082903692611614E-2</v>
      </c>
      <c r="W21" s="905">
        <f t="shared" si="10"/>
        <v>4.9812538796595508E-2</v>
      </c>
      <c r="X21" s="905">
        <f t="shared" si="10"/>
        <v>4.6727292566382618E-2</v>
      </c>
      <c r="Y21" s="905">
        <f t="shared" si="10"/>
        <v>0</v>
      </c>
      <c r="Z21" s="905">
        <f t="shared" si="10"/>
        <v>0</v>
      </c>
      <c r="AA21" s="905">
        <f t="shared" si="10"/>
        <v>0</v>
      </c>
      <c r="AB21" s="905">
        <f t="shared" si="10"/>
        <v>0</v>
      </c>
      <c r="AD21" s="931">
        <f t="shared" si="8"/>
        <v>3.4327227924633517E-2</v>
      </c>
      <c r="AE21" s="931">
        <f t="shared" si="8"/>
        <v>0.17333112671607631</v>
      </c>
      <c r="AF21" s="930">
        <f t="shared" si="8"/>
        <v>0.12775562923553052</v>
      </c>
      <c r="AG21" s="931">
        <f t="shared" si="8"/>
        <v>9.9002671425201527E-2</v>
      </c>
      <c r="AH21" s="931">
        <f t="shared" si="8"/>
        <v>5.0578971702528001E-2</v>
      </c>
      <c r="AI21" s="930">
        <f t="shared" si="8"/>
        <v>0</v>
      </c>
    </row>
    <row r="22" spans="1:38" ht="14.45" customHeight="1" x14ac:dyDescent="0.2">
      <c r="B22" s="969"/>
      <c r="C22" s="968"/>
      <c r="D22" s="932"/>
      <c r="E22" s="937"/>
      <c r="F22" s="937"/>
      <c r="G22" s="937"/>
      <c r="H22" s="937"/>
      <c r="I22" s="937"/>
      <c r="J22" s="937"/>
      <c r="K22" s="937"/>
      <c r="L22" s="937"/>
      <c r="M22" s="937"/>
      <c r="N22" s="937"/>
      <c r="O22" s="937"/>
      <c r="P22" s="937"/>
      <c r="Q22" s="937"/>
      <c r="R22" s="937"/>
      <c r="S22" s="938"/>
      <c r="T22" s="937"/>
      <c r="U22" s="937"/>
      <c r="V22" s="937"/>
      <c r="W22" s="937"/>
      <c r="X22" s="937"/>
      <c r="Y22" s="937"/>
      <c r="Z22" s="937"/>
      <c r="AA22" s="937"/>
      <c r="AB22" s="937"/>
      <c r="AD22" s="936"/>
      <c r="AE22" s="936"/>
      <c r="AF22" s="935"/>
      <c r="AG22" s="936"/>
      <c r="AH22" s="936"/>
      <c r="AI22" s="935"/>
    </row>
    <row r="23" spans="1:38" ht="14.45" customHeight="1" x14ac:dyDescent="0.2">
      <c r="B23" s="964" t="s">
        <v>1050</v>
      </c>
      <c r="C23" s="963"/>
      <c r="D23" s="862"/>
      <c r="S23" s="780"/>
      <c r="T23" s="887"/>
      <c r="V23" s="887"/>
      <c r="AD23" s="786"/>
      <c r="AE23" s="786"/>
      <c r="AF23" s="785"/>
      <c r="AG23" s="786"/>
      <c r="AH23" s="786"/>
      <c r="AI23" s="785"/>
    </row>
    <row r="24" spans="1:38" ht="14.45" customHeight="1" x14ac:dyDescent="0.2">
      <c r="B24" s="759" t="s">
        <v>1038</v>
      </c>
      <c r="C24" s="758"/>
      <c r="E24" s="762">
        <f t="shared" ref="E24:AB24" si="11">E50</f>
        <v>204.64259999999993</v>
      </c>
      <c r="F24" s="762">
        <f t="shared" si="11"/>
        <v>331.13447999999926</v>
      </c>
      <c r="G24" s="762">
        <f t="shared" si="11"/>
        <v>371.1333599999993</v>
      </c>
      <c r="H24" s="762">
        <f t="shared" si="11"/>
        <v>273.95399999999921</v>
      </c>
      <c r="I24" s="762">
        <f t="shared" si="11"/>
        <v>328.58579999999893</v>
      </c>
      <c r="J24" s="762">
        <f t="shared" si="11"/>
        <v>821.32607999999948</v>
      </c>
      <c r="K24" s="762">
        <f t="shared" si="11"/>
        <v>343.67999999999847</v>
      </c>
      <c r="L24" s="762">
        <f t="shared" si="11"/>
        <v>469.70591999999846</v>
      </c>
      <c r="M24" s="762">
        <f t="shared" si="11"/>
        <v>524.12111999999797</v>
      </c>
      <c r="N24" s="762">
        <f t="shared" si="11"/>
        <v>565.82703999999796</v>
      </c>
      <c r="O24" s="762">
        <f t="shared" si="11"/>
        <v>674.28803999999718</v>
      </c>
      <c r="P24" s="762">
        <f t="shared" si="11"/>
        <v>621.15419999999756</v>
      </c>
      <c r="Q24" s="762">
        <f t="shared" si="11"/>
        <v>617.96999999999696</v>
      </c>
      <c r="R24" s="762">
        <f t="shared" si="11"/>
        <v>901.60547999999915</v>
      </c>
      <c r="S24" s="761">
        <f t="shared" si="11"/>
        <v>686.37215999999876</v>
      </c>
      <c r="T24" s="762">
        <f t="shared" si="11"/>
        <v>861.13499999999988</v>
      </c>
      <c r="U24" s="762">
        <f t="shared" si="11"/>
        <v>544.32000000000005</v>
      </c>
      <c r="V24" s="762">
        <f t="shared" si="11"/>
        <v>568.00800000000004</v>
      </c>
      <c r="W24" s="762">
        <f t="shared" si="11"/>
        <v>585.90000000000009</v>
      </c>
      <c r="X24" s="762">
        <f t="shared" si="11"/>
        <v>647.76600000000008</v>
      </c>
      <c r="Y24" s="762">
        <f t="shared" si="11"/>
        <v>436.33687500000002</v>
      </c>
      <c r="Z24" s="762">
        <f t="shared" si="11"/>
        <v>482.53725000000003</v>
      </c>
      <c r="AA24" s="762">
        <f t="shared" si="11"/>
        <v>556.11562500000002</v>
      </c>
      <c r="AB24" s="762">
        <f t="shared" si="11"/>
        <v>684.45</v>
      </c>
      <c r="AC24" s="735"/>
      <c r="AD24" s="842">
        <f>SUM(E24:H24)</f>
        <v>1180.8644399999978</v>
      </c>
      <c r="AE24" s="842">
        <f>SUM(I24:L24)</f>
        <v>1963.2977999999953</v>
      </c>
      <c r="AF24" s="841">
        <f>SUM(M24:P24)</f>
        <v>2385.3903999999907</v>
      </c>
      <c r="AG24" s="842">
        <f>SUM(Q24:T24)</f>
        <v>3067.0826399999946</v>
      </c>
      <c r="AH24" s="842">
        <f>SUM(U24:X24)</f>
        <v>2345.9940000000001</v>
      </c>
      <c r="AI24" s="841">
        <f>SUM(Y24:AB24)</f>
        <v>2159.4397500000005</v>
      </c>
      <c r="AK24" s="676"/>
      <c r="AL24" s="676"/>
    </row>
    <row r="25" spans="1:38" ht="14.45" customHeight="1" x14ac:dyDescent="0.2">
      <c r="B25" s="759" t="s">
        <v>1036</v>
      </c>
      <c r="C25" s="758"/>
      <c r="E25" s="762">
        <f t="shared" ref="E25:AB25" si="12">E106+E74</f>
        <v>0</v>
      </c>
      <c r="F25" s="762">
        <f t="shared" si="12"/>
        <v>0</v>
      </c>
      <c r="G25" s="762">
        <f t="shared" si="12"/>
        <v>1.1879999999999999</v>
      </c>
      <c r="H25" s="762">
        <f t="shared" si="12"/>
        <v>0</v>
      </c>
      <c r="I25" s="762">
        <f t="shared" si="12"/>
        <v>0</v>
      </c>
      <c r="J25" s="762">
        <f t="shared" si="12"/>
        <v>36</v>
      </c>
      <c r="K25" s="762">
        <f t="shared" si="12"/>
        <v>48.948</v>
      </c>
      <c r="L25" s="762">
        <f t="shared" si="12"/>
        <v>2.3879999999999999</v>
      </c>
      <c r="M25" s="762">
        <f t="shared" si="12"/>
        <v>24.263999999999999</v>
      </c>
      <c r="N25" s="762">
        <f t="shared" si="12"/>
        <v>34.176000000000002</v>
      </c>
      <c r="O25" s="762">
        <f t="shared" si="12"/>
        <v>128.87603999999999</v>
      </c>
      <c r="P25" s="762">
        <f t="shared" si="12"/>
        <v>70.188000000000002</v>
      </c>
      <c r="Q25" s="762">
        <f t="shared" si="12"/>
        <v>170.78796</v>
      </c>
      <c r="R25" s="762">
        <f t="shared" si="12"/>
        <v>20.499959999999998</v>
      </c>
      <c r="S25" s="761">
        <f t="shared" si="12"/>
        <v>325.90811999999983</v>
      </c>
      <c r="T25" s="762">
        <f t="shared" si="12"/>
        <v>421.5</v>
      </c>
      <c r="U25" s="762">
        <f t="shared" si="12"/>
        <v>20.25</v>
      </c>
      <c r="V25" s="762">
        <f t="shared" si="12"/>
        <v>40.5</v>
      </c>
      <c r="W25" s="762">
        <f t="shared" si="12"/>
        <v>60.75</v>
      </c>
      <c r="X25" s="762">
        <f t="shared" si="12"/>
        <v>81</v>
      </c>
      <c r="Y25" s="762">
        <f t="shared" si="12"/>
        <v>43.2</v>
      </c>
      <c r="Z25" s="762">
        <f t="shared" si="12"/>
        <v>54</v>
      </c>
      <c r="AA25" s="762">
        <f t="shared" si="12"/>
        <v>54</v>
      </c>
      <c r="AB25" s="762">
        <f t="shared" si="12"/>
        <v>64.8</v>
      </c>
      <c r="AC25" s="735"/>
      <c r="AD25" s="842">
        <f>SUM(E25:H25)</f>
        <v>1.1879999999999999</v>
      </c>
      <c r="AE25" s="842">
        <f>SUM(I25:L25)</f>
        <v>87.336000000000013</v>
      </c>
      <c r="AF25" s="841">
        <f>SUM(M25:P25)</f>
        <v>257.50403999999997</v>
      </c>
      <c r="AG25" s="842">
        <f>SUM(Q25:T25)</f>
        <v>938.69603999999981</v>
      </c>
      <c r="AH25" s="842">
        <f>SUM(U25:X25)</f>
        <v>202.5</v>
      </c>
      <c r="AI25" s="841">
        <f>SUM(Y25:AB25)</f>
        <v>216</v>
      </c>
      <c r="AK25" s="676"/>
      <c r="AL25" s="676"/>
    </row>
    <row r="26" spans="1:38" s="566" customFormat="1" ht="15" customHeight="1" x14ac:dyDescent="0.35">
      <c r="A26" s="815"/>
      <c r="B26" s="759" t="s">
        <v>1016</v>
      </c>
      <c r="C26" s="758"/>
      <c r="E26" s="962">
        <f t="shared" ref="E26:AB26" si="13">E144</f>
        <v>0</v>
      </c>
      <c r="F26" s="962">
        <f t="shared" si="13"/>
        <v>3.5880000000000001</v>
      </c>
      <c r="G26" s="962">
        <f t="shared" si="13"/>
        <v>39.576000000000001</v>
      </c>
      <c r="H26" s="962">
        <f t="shared" si="13"/>
        <v>7.6320000000000006</v>
      </c>
      <c r="I26" s="962">
        <f t="shared" si="13"/>
        <v>128.232</v>
      </c>
      <c r="J26" s="962">
        <f t="shared" si="13"/>
        <v>58.202039999999997</v>
      </c>
      <c r="K26" s="962">
        <f t="shared" si="13"/>
        <v>205.16111999999998</v>
      </c>
      <c r="L26" s="962">
        <f t="shared" si="13"/>
        <v>76.722000000000023</v>
      </c>
      <c r="M26" s="962">
        <f t="shared" si="13"/>
        <v>111.25007999999998</v>
      </c>
      <c r="N26" s="712">
        <f t="shared" si="13"/>
        <v>138.53399999999999</v>
      </c>
      <c r="O26" s="712">
        <f t="shared" si="13"/>
        <v>25.779959999999996</v>
      </c>
      <c r="P26" s="712">
        <f t="shared" si="13"/>
        <v>142.95407999999995</v>
      </c>
      <c r="Q26" s="712">
        <f t="shared" si="13"/>
        <v>54.276000000000003</v>
      </c>
      <c r="R26" s="712">
        <f t="shared" si="13"/>
        <v>115.47300000000001</v>
      </c>
      <c r="S26" s="795">
        <f t="shared" si="13"/>
        <v>17.495999999999999</v>
      </c>
      <c r="T26" s="712">
        <f t="shared" si="13"/>
        <v>192</v>
      </c>
      <c r="U26" s="712">
        <f t="shared" si="13"/>
        <v>0</v>
      </c>
      <c r="V26" s="712">
        <f t="shared" si="13"/>
        <v>0</v>
      </c>
      <c r="W26" s="712">
        <f t="shared" si="13"/>
        <v>0</v>
      </c>
      <c r="X26" s="712">
        <f t="shared" si="13"/>
        <v>0</v>
      </c>
      <c r="Y26" s="712">
        <f t="shared" si="13"/>
        <v>0</v>
      </c>
      <c r="Z26" s="712">
        <f t="shared" si="13"/>
        <v>0</v>
      </c>
      <c r="AA26" s="712">
        <f t="shared" si="13"/>
        <v>0</v>
      </c>
      <c r="AB26" s="712">
        <f t="shared" si="13"/>
        <v>0</v>
      </c>
      <c r="AD26" s="712">
        <f>SUM(E26:H26)</f>
        <v>50.795999999999999</v>
      </c>
      <c r="AE26" s="712">
        <f>SUM(I26:L26)</f>
        <v>468.31716</v>
      </c>
      <c r="AF26" s="712">
        <f>SUM(M26:P26)</f>
        <v>418.51811999999995</v>
      </c>
      <c r="AG26" s="967">
        <f>SUM(Q26:T26)</f>
        <v>379.245</v>
      </c>
      <c r="AH26" s="712">
        <f>SUM(U26:X26)</f>
        <v>0</v>
      </c>
      <c r="AI26" s="960">
        <f>SUM(Y26:AB26)</f>
        <v>0</v>
      </c>
      <c r="AK26" s="676"/>
      <c r="AL26" s="676"/>
    </row>
    <row r="27" spans="1:38" s="637" customFormat="1" ht="12.75" customHeight="1" x14ac:dyDescent="0.2">
      <c r="A27" s="959"/>
      <c r="B27" s="958" t="s">
        <v>1049</v>
      </c>
      <c r="C27" s="957"/>
      <c r="D27" s="956"/>
      <c r="E27" s="955">
        <f t="shared" ref="E27:AB27" si="14">SUM(E24:E26)</f>
        <v>204.64259999999993</v>
      </c>
      <c r="F27" s="955">
        <f t="shared" si="14"/>
        <v>334.72247999999928</v>
      </c>
      <c r="G27" s="955">
        <f t="shared" si="14"/>
        <v>411.89735999999931</v>
      </c>
      <c r="H27" s="955">
        <f t="shared" si="14"/>
        <v>281.58599999999922</v>
      </c>
      <c r="I27" s="955">
        <f t="shared" si="14"/>
        <v>456.8177999999989</v>
      </c>
      <c r="J27" s="955">
        <f t="shared" si="14"/>
        <v>915.52811999999949</v>
      </c>
      <c r="K27" s="955">
        <f t="shared" si="14"/>
        <v>597.78911999999843</v>
      </c>
      <c r="L27" s="955">
        <f t="shared" si="14"/>
        <v>548.81591999999841</v>
      </c>
      <c r="M27" s="955">
        <f t="shared" si="14"/>
        <v>659.63519999999801</v>
      </c>
      <c r="N27" s="954">
        <f t="shared" si="14"/>
        <v>738.537039999998</v>
      </c>
      <c r="O27" s="954">
        <f t="shared" si="14"/>
        <v>828.94403999999713</v>
      </c>
      <c r="P27" s="954">
        <f t="shared" si="14"/>
        <v>834.29627999999752</v>
      </c>
      <c r="Q27" s="954">
        <f t="shared" si="14"/>
        <v>843.03395999999691</v>
      </c>
      <c r="R27" s="950">
        <f t="shared" si="14"/>
        <v>1037.5784399999991</v>
      </c>
      <c r="S27" s="953">
        <f t="shared" si="14"/>
        <v>1029.7762799999987</v>
      </c>
      <c r="T27" s="952">
        <f t="shared" si="14"/>
        <v>1474.6349999999998</v>
      </c>
      <c r="U27" s="952">
        <f t="shared" si="14"/>
        <v>564.57000000000005</v>
      </c>
      <c r="V27" s="952">
        <f t="shared" si="14"/>
        <v>608.50800000000004</v>
      </c>
      <c r="W27" s="952">
        <f t="shared" si="14"/>
        <v>646.65000000000009</v>
      </c>
      <c r="X27" s="952">
        <f t="shared" si="14"/>
        <v>728.76600000000008</v>
      </c>
      <c r="Y27" s="952">
        <f t="shared" si="14"/>
        <v>479.53687500000001</v>
      </c>
      <c r="Z27" s="952">
        <f t="shared" si="14"/>
        <v>536.53725000000009</v>
      </c>
      <c r="AA27" s="952">
        <f t="shared" si="14"/>
        <v>610.11562500000002</v>
      </c>
      <c r="AB27" s="952">
        <f t="shared" si="14"/>
        <v>749.25</v>
      </c>
      <c r="AD27" s="950">
        <f t="shared" ref="AD27:AI27" si="15">SUM(AD24:AD26)</f>
        <v>1232.8484399999979</v>
      </c>
      <c r="AE27" s="950">
        <f t="shared" si="15"/>
        <v>2518.9509599999951</v>
      </c>
      <c r="AF27" s="950">
        <f t="shared" si="15"/>
        <v>3061.4125599999907</v>
      </c>
      <c r="AG27" s="951">
        <f t="shared" si="15"/>
        <v>4385.0236799999948</v>
      </c>
      <c r="AH27" s="950">
        <f t="shared" si="15"/>
        <v>2548.4940000000001</v>
      </c>
      <c r="AI27" s="949">
        <f t="shared" si="15"/>
        <v>2375.4397500000005</v>
      </c>
    </row>
    <row r="28" spans="1:38" ht="14.45" customHeight="1" x14ac:dyDescent="0.2">
      <c r="B28" s="948" t="s">
        <v>974</v>
      </c>
      <c r="C28" s="947"/>
      <c r="D28" s="946"/>
      <c r="E28" s="944"/>
      <c r="F28" s="944"/>
      <c r="G28" s="944"/>
      <c r="H28" s="944"/>
      <c r="I28" s="944">
        <f t="shared" ref="I28:AB28" si="16">IFERROR(I27/E27-1,"-")</f>
        <v>1.2322712866236016</v>
      </c>
      <c r="J28" s="944">
        <f t="shared" si="16"/>
        <v>1.735185637964924</v>
      </c>
      <c r="K28" s="944">
        <f t="shared" si="16"/>
        <v>0.451306024394037</v>
      </c>
      <c r="L28" s="944">
        <f t="shared" si="16"/>
        <v>0.94901706760989524</v>
      </c>
      <c r="M28" s="944">
        <f t="shared" si="16"/>
        <v>0.4439787591464246</v>
      </c>
      <c r="N28" s="944">
        <f t="shared" si="16"/>
        <v>-0.19332129306962365</v>
      </c>
      <c r="O28" s="944">
        <f t="shared" si="16"/>
        <v>0.38668304970153899</v>
      </c>
      <c r="P28" s="944">
        <f t="shared" si="16"/>
        <v>0.52017507072316693</v>
      </c>
      <c r="Q28" s="944">
        <f t="shared" si="16"/>
        <v>0.27803058417743554</v>
      </c>
      <c r="R28" s="942">
        <f t="shared" si="16"/>
        <v>0.40491049710926053</v>
      </c>
      <c r="S28" s="941">
        <f t="shared" si="16"/>
        <v>0.24227478612428688</v>
      </c>
      <c r="T28" s="942">
        <f t="shared" si="16"/>
        <v>0.76751956750904382</v>
      </c>
      <c r="U28" s="942">
        <f t="shared" si="16"/>
        <v>-0.33031167570046394</v>
      </c>
      <c r="V28" s="942">
        <f t="shared" si="16"/>
        <v>-0.41353060497286298</v>
      </c>
      <c r="W28" s="942">
        <f t="shared" si="16"/>
        <v>-0.37204807242209836</v>
      </c>
      <c r="X28" s="942">
        <f t="shared" si="16"/>
        <v>-0.50579906214080084</v>
      </c>
      <c r="Y28" s="942">
        <f t="shared" si="16"/>
        <v>-0.15061573409851747</v>
      </c>
      <c r="Z28" s="942">
        <f t="shared" si="16"/>
        <v>-0.11827412293675665</v>
      </c>
      <c r="AA28" s="942">
        <f t="shared" si="16"/>
        <v>-5.6497912317327814E-2</v>
      </c>
      <c r="AB28" s="942">
        <f t="shared" si="16"/>
        <v>2.8107787684935825E-2</v>
      </c>
      <c r="AD28" s="942"/>
      <c r="AE28" s="942">
        <f>IFERROR(AE27/AD27-1,"-")</f>
        <v>1.0431959665699049</v>
      </c>
      <c r="AF28" s="941">
        <f>IFERROR(AF27/AE27-1,"-")</f>
        <v>0.21535218772182718</v>
      </c>
      <c r="AG28" s="942">
        <f>IFERROR(AG27/AF27-1,"-")</f>
        <v>0.43235307037481019</v>
      </c>
      <c r="AH28" s="942">
        <f>IFERROR(AH27/AG27-1,"-")</f>
        <v>-0.41881864592348039</v>
      </c>
      <c r="AI28" s="941">
        <f>IFERROR(AI27/AH27-1,"-")</f>
        <v>-6.7904515372608221E-2</v>
      </c>
    </row>
    <row r="29" spans="1:38" s="736" customFormat="1" ht="14.45" customHeight="1" x14ac:dyDescent="0.2">
      <c r="B29" s="940"/>
      <c r="C29" s="939"/>
      <c r="D29" s="932"/>
      <c r="E29" s="937"/>
      <c r="F29" s="937"/>
      <c r="G29" s="937"/>
      <c r="H29" s="937"/>
      <c r="I29" s="937"/>
      <c r="J29" s="937"/>
      <c r="K29" s="937"/>
      <c r="L29" s="937"/>
      <c r="M29" s="937"/>
      <c r="N29" s="937"/>
      <c r="O29" s="937"/>
      <c r="P29" s="937"/>
      <c r="Q29" s="937"/>
      <c r="R29" s="937"/>
      <c r="S29" s="938"/>
      <c r="T29" s="937"/>
      <c r="U29" s="966"/>
      <c r="V29" s="966"/>
      <c r="W29" s="966"/>
      <c r="X29" s="966"/>
      <c r="Y29" s="966"/>
      <c r="Z29" s="937"/>
      <c r="AA29" s="937"/>
      <c r="AB29" s="937"/>
      <c r="AD29" s="936"/>
      <c r="AE29" s="936"/>
      <c r="AF29" s="935"/>
      <c r="AG29" s="936"/>
      <c r="AH29" s="936"/>
      <c r="AI29" s="935"/>
    </row>
    <row r="30" spans="1:38" s="736" customFormat="1" ht="14.45" customHeight="1" x14ac:dyDescent="0.2">
      <c r="B30" s="934" t="s">
        <v>1048</v>
      </c>
      <c r="C30" s="933"/>
      <c r="D30" s="932"/>
      <c r="E30" s="905">
        <f t="shared" ref="E30:AB30" si="17">IFERROR(E24/E$27,"-")</f>
        <v>1</v>
      </c>
      <c r="F30" s="905">
        <f t="shared" si="17"/>
        <v>0.98928067215563165</v>
      </c>
      <c r="G30" s="905">
        <f t="shared" si="17"/>
        <v>0.90103359730200727</v>
      </c>
      <c r="H30" s="905">
        <f t="shared" si="17"/>
        <v>0.97289637979160881</v>
      </c>
      <c r="I30" s="905">
        <f t="shared" si="17"/>
        <v>0.71929289970749766</v>
      </c>
      <c r="J30" s="905">
        <f t="shared" si="17"/>
        <v>0.89710633901665404</v>
      </c>
      <c r="K30" s="905">
        <f t="shared" si="17"/>
        <v>0.57491845953971088</v>
      </c>
      <c r="L30" s="905">
        <f t="shared" si="17"/>
        <v>0.85585330687928984</v>
      </c>
      <c r="M30" s="905">
        <f t="shared" si="17"/>
        <v>0.79456208522528748</v>
      </c>
      <c r="N30" s="905">
        <f t="shared" si="17"/>
        <v>0.76614578464473426</v>
      </c>
      <c r="O30" s="905">
        <f t="shared" si="17"/>
        <v>0.8134301080203189</v>
      </c>
      <c r="P30" s="905">
        <f t="shared" si="17"/>
        <v>0.74452471488905525</v>
      </c>
      <c r="Q30" s="905">
        <f t="shared" si="17"/>
        <v>0.7330309682898174</v>
      </c>
      <c r="R30" s="905">
        <f t="shared" si="17"/>
        <v>0.86895163318929403</v>
      </c>
      <c r="S30" s="906">
        <f t="shared" si="17"/>
        <v>0.66652550979325298</v>
      </c>
      <c r="T30" s="905">
        <f t="shared" si="17"/>
        <v>0.58396484553804839</v>
      </c>
      <c r="U30" s="905">
        <f t="shared" si="17"/>
        <v>0.96413199426111906</v>
      </c>
      <c r="V30" s="905">
        <f t="shared" si="17"/>
        <v>0.93344376737857182</v>
      </c>
      <c r="W30" s="905">
        <f t="shared" si="17"/>
        <v>0.90605427974947805</v>
      </c>
      <c r="X30" s="905">
        <f t="shared" si="17"/>
        <v>0.88885321214216906</v>
      </c>
      <c r="Y30" s="905">
        <f t="shared" si="17"/>
        <v>0.90991308019847272</v>
      </c>
      <c r="Z30" s="905">
        <f t="shared" si="17"/>
        <v>0.89935461144589668</v>
      </c>
      <c r="AA30" s="905">
        <f t="shared" si="17"/>
        <v>0.91149218641958241</v>
      </c>
      <c r="AB30" s="905">
        <f t="shared" si="17"/>
        <v>0.91351351351351362</v>
      </c>
      <c r="AD30" s="931">
        <f t="shared" ref="AD30:AI32" si="18">IFERROR(AD24/AD$27,"-")</f>
        <v>0.95783423305463222</v>
      </c>
      <c r="AE30" s="931">
        <f t="shared" si="18"/>
        <v>0.77941088618890741</v>
      </c>
      <c r="AF30" s="930">
        <f t="shared" si="18"/>
        <v>0.77917966077724521</v>
      </c>
      <c r="AG30" s="931">
        <f t="shared" si="18"/>
        <v>0.69944494347633679</v>
      </c>
      <c r="AH30" s="931">
        <f t="shared" si="18"/>
        <v>0.92054130792538658</v>
      </c>
      <c r="AI30" s="930">
        <f t="shared" si="18"/>
        <v>0.90906946808480416</v>
      </c>
    </row>
    <row r="31" spans="1:38" s="736" customFormat="1" ht="14.45" customHeight="1" x14ac:dyDescent="0.2">
      <c r="B31" s="934" t="s">
        <v>1047</v>
      </c>
      <c r="C31" s="933"/>
      <c r="D31" s="932"/>
      <c r="E31" s="905">
        <f t="shared" ref="E31:AB31" si="19">IFERROR(E25/E$27,"-")</f>
        <v>0</v>
      </c>
      <c r="F31" s="905">
        <f t="shared" si="19"/>
        <v>0</v>
      </c>
      <c r="G31" s="905">
        <f t="shared" si="19"/>
        <v>2.8842136788640792E-3</v>
      </c>
      <c r="H31" s="905">
        <f t="shared" si="19"/>
        <v>0</v>
      </c>
      <c r="I31" s="905">
        <f t="shared" si="19"/>
        <v>0</v>
      </c>
      <c r="J31" s="905">
        <f t="shared" si="19"/>
        <v>3.9321566660344656E-2</v>
      </c>
      <c r="K31" s="905">
        <f t="shared" si="19"/>
        <v>8.1881717753578595E-2</v>
      </c>
      <c r="L31" s="905">
        <f t="shared" si="19"/>
        <v>4.3511857309095677E-3</v>
      </c>
      <c r="M31" s="905">
        <f t="shared" si="19"/>
        <v>3.6783967865875067E-2</v>
      </c>
      <c r="N31" s="905">
        <f t="shared" si="19"/>
        <v>4.6275268739398766E-2</v>
      </c>
      <c r="O31" s="905">
        <f t="shared" si="19"/>
        <v>0.15547013282102906</v>
      </c>
      <c r="P31" s="905">
        <f t="shared" si="19"/>
        <v>8.4128386620638193E-2</v>
      </c>
      <c r="Q31" s="905">
        <f t="shared" si="19"/>
        <v>0.20258728367241649</v>
      </c>
      <c r="R31" s="905">
        <f t="shared" si="19"/>
        <v>1.975750382785519E-2</v>
      </c>
      <c r="S31" s="906">
        <f t="shared" si="19"/>
        <v>0.31648439212447216</v>
      </c>
      <c r="T31" s="905">
        <f t="shared" si="19"/>
        <v>0.28583344353009393</v>
      </c>
      <c r="U31" s="905">
        <f t="shared" si="19"/>
        <v>3.5868005738880916E-2</v>
      </c>
      <c r="V31" s="905">
        <f t="shared" si="19"/>
        <v>6.6556232621428138E-2</v>
      </c>
      <c r="W31" s="905">
        <f t="shared" si="19"/>
        <v>9.3945720250521905E-2</v>
      </c>
      <c r="X31" s="905">
        <f t="shared" si="19"/>
        <v>0.1111467878578309</v>
      </c>
      <c r="Y31" s="905">
        <f t="shared" si="19"/>
        <v>9.0086919801527263E-2</v>
      </c>
      <c r="Z31" s="905">
        <f t="shared" si="19"/>
        <v>0.10064538855410317</v>
      </c>
      <c r="AA31" s="905">
        <f t="shared" si="19"/>
        <v>8.8507813580417649E-2</v>
      </c>
      <c r="AB31" s="905">
        <f t="shared" si="19"/>
        <v>8.6486486486486477E-2</v>
      </c>
      <c r="AD31" s="931">
        <f t="shared" si="18"/>
        <v>9.6362209778194793E-4</v>
      </c>
      <c r="AE31" s="931">
        <f t="shared" si="18"/>
        <v>3.4671576138981357E-2</v>
      </c>
      <c r="AF31" s="930">
        <f t="shared" si="18"/>
        <v>8.4112818822432989E-2</v>
      </c>
      <c r="AG31" s="931">
        <f t="shared" si="18"/>
        <v>0.21406863645488933</v>
      </c>
      <c r="AH31" s="931">
        <f t="shared" si="18"/>
        <v>7.9458692074613479E-2</v>
      </c>
      <c r="AI31" s="930">
        <f t="shared" si="18"/>
        <v>9.09305319151959E-2</v>
      </c>
    </row>
    <row r="32" spans="1:38" s="736" customFormat="1" ht="14.45" customHeight="1" x14ac:dyDescent="0.2">
      <c r="B32" s="934" t="s">
        <v>1046</v>
      </c>
      <c r="C32" s="933"/>
      <c r="D32" s="932"/>
      <c r="E32" s="905">
        <f t="shared" ref="E32:AB32" si="20">IFERROR(E26/E$27,"-")</f>
        <v>0</v>
      </c>
      <c r="F32" s="905">
        <f t="shared" si="20"/>
        <v>1.071932784436829E-2</v>
      </c>
      <c r="G32" s="905">
        <f t="shared" si="20"/>
        <v>9.6082189019128614E-2</v>
      </c>
      <c r="H32" s="905">
        <f t="shared" si="20"/>
        <v>2.7103620208391119E-2</v>
      </c>
      <c r="I32" s="905">
        <f t="shared" si="20"/>
        <v>0.2807071002925024</v>
      </c>
      <c r="J32" s="905">
        <f t="shared" si="20"/>
        <v>6.3572094323001274E-2</v>
      </c>
      <c r="K32" s="905">
        <f t="shared" si="20"/>
        <v>0.34319982270671057</v>
      </c>
      <c r="L32" s="905">
        <f t="shared" si="20"/>
        <v>0.13979550738980065</v>
      </c>
      <c r="M32" s="905">
        <f t="shared" si="20"/>
        <v>0.16865394690883737</v>
      </c>
      <c r="N32" s="905">
        <f t="shared" si="20"/>
        <v>0.18757894661586691</v>
      </c>
      <c r="O32" s="905">
        <f t="shared" si="20"/>
        <v>3.1099759158652113E-2</v>
      </c>
      <c r="P32" s="905">
        <f t="shared" si="20"/>
        <v>0.17134689849030654</v>
      </c>
      <c r="Q32" s="905">
        <f t="shared" si="20"/>
        <v>6.4381748037766126E-2</v>
      </c>
      <c r="R32" s="905">
        <f t="shared" si="20"/>
        <v>0.11129086298285083</v>
      </c>
      <c r="S32" s="906">
        <f t="shared" si="20"/>
        <v>1.6990098082274745E-2</v>
      </c>
      <c r="T32" s="905">
        <f t="shared" si="20"/>
        <v>0.13020171093185773</v>
      </c>
      <c r="U32" s="905">
        <f t="shared" si="20"/>
        <v>0</v>
      </c>
      <c r="V32" s="905">
        <f t="shared" si="20"/>
        <v>0</v>
      </c>
      <c r="W32" s="905">
        <f t="shared" si="20"/>
        <v>0</v>
      </c>
      <c r="X32" s="905">
        <f t="shared" si="20"/>
        <v>0</v>
      </c>
      <c r="Y32" s="905">
        <f t="shared" si="20"/>
        <v>0</v>
      </c>
      <c r="Z32" s="905">
        <f t="shared" si="20"/>
        <v>0</v>
      </c>
      <c r="AA32" s="905">
        <f t="shared" si="20"/>
        <v>0</v>
      </c>
      <c r="AB32" s="905">
        <f t="shared" si="20"/>
        <v>0</v>
      </c>
      <c r="AD32" s="931">
        <f t="shared" si="18"/>
        <v>4.1202144847585713E-2</v>
      </c>
      <c r="AE32" s="931">
        <f t="shared" si="18"/>
        <v>0.1859175376721113</v>
      </c>
      <c r="AF32" s="930">
        <f t="shared" si="18"/>
        <v>0.13670752040032175</v>
      </c>
      <c r="AG32" s="931">
        <f t="shared" si="18"/>
        <v>8.6486420068773828E-2</v>
      </c>
      <c r="AH32" s="931">
        <f t="shared" si="18"/>
        <v>0</v>
      </c>
      <c r="AI32" s="930">
        <f t="shared" si="18"/>
        <v>0</v>
      </c>
    </row>
    <row r="33" spans="1:39" ht="14.45" customHeight="1" x14ac:dyDescent="0.2">
      <c r="B33" s="965"/>
      <c r="C33" s="816"/>
      <c r="S33" s="780"/>
      <c r="AD33" s="786"/>
      <c r="AE33" s="786"/>
      <c r="AF33" s="785"/>
      <c r="AG33" s="786"/>
      <c r="AH33" s="786"/>
      <c r="AI33" s="785"/>
    </row>
    <row r="34" spans="1:39" ht="14.45" customHeight="1" x14ac:dyDescent="0.2">
      <c r="B34" s="964" t="s">
        <v>1045</v>
      </c>
      <c r="C34" s="963"/>
      <c r="D34" s="862"/>
      <c r="S34" s="780"/>
      <c r="AD34" s="786"/>
      <c r="AE34" s="786"/>
      <c r="AF34" s="785"/>
      <c r="AG34" s="786"/>
      <c r="AH34" s="786"/>
      <c r="AI34" s="785"/>
    </row>
    <row r="35" spans="1:39" ht="14.45" customHeight="1" x14ac:dyDescent="0.2">
      <c r="B35" s="759" t="s">
        <v>1038</v>
      </c>
      <c r="C35" s="758"/>
      <c r="E35" s="762">
        <f t="shared" ref="E35:AB35" si="21">E51</f>
        <v>29.879999999999995</v>
      </c>
      <c r="F35" s="762">
        <f t="shared" si="21"/>
        <v>65.954040000000006</v>
      </c>
      <c r="G35" s="762">
        <f t="shared" si="21"/>
        <v>60.019680000000022</v>
      </c>
      <c r="H35" s="762">
        <f t="shared" si="21"/>
        <v>124.8138000000001</v>
      </c>
      <c r="I35" s="762">
        <f t="shared" si="21"/>
        <v>119.46600000000007</v>
      </c>
      <c r="J35" s="762">
        <f t="shared" si="21"/>
        <v>237.58919999999989</v>
      </c>
      <c r="K35" s="762">
        <f t="shared" si="21"/>
        <v>194.12327999999977</v>
      </c>
      <c r="L35" s="762">
        <f t="shared" si="21"/>
        <v>141.55308000000002</v>
      </c>
      <c r="M35" s="762">
        <f t="shared" si="21"/>
        <v>298.55291999999974</v>
      </c>
      <c r="N35" s="762">
        <f t="shared" si="21"/>
        <v>370.72643999999929</v>
      </c>
      <c r="O35" s="762">
        <f t="shared" si="21"/>
        <v>311.26007999999962</v>
      </c>
      <c r="P35" s="762">
        <f t="shared" si="21"/>
        <v>500.6805599999995</v>
      </c>
      <c r="Q35" s="762">
        <f t="shared" si="21"/>
        <v>727.45632000000319</v>
      </c>
      <c r="R35" s="842">
        <f t="shared" si="21"/>
        <v>724.322280000001</v>
      </c>
      <c r="S35" s="841">
        <f t="shared" si="21"/>
        <v>855.31416000000058</v>
      </c>
      <c r="T35" s="842">
        <f t="shared" si="21"/>
        <v>1098.4341208040003</v>
      </c>
      <c r="U35" s="842">
        <f t="shared" si="21"/>
        <v>965.14602657632031</v>
      </c>
      <c r="V35" s="842">
        <f t="shared" si="21"/>
        <v>1042.4717375064915</v>
      </c>
      <c r="W35" s="842">
        <f t="shared" si="21"/>
        <v>1124.3988883192187</v>
      </c>
      <c r="X35" s="842">
        <f t="shared" si="21"/>
        <v>1210.6248494103911</v>
      </c>
      <c r="Y35" s="842">
        <f t="shared" si="21"/>
        <v>1141.7157492472854</v>
      </c>
      <c r="Z35" s="842">
        <f t="shared" si="21"/>
        <v>1200.8022242284674</v>
      </c>
      <c r="AA35" s="842">
        <f t="shared" si="21"/>
        <v>1264.5998873341791</v>
      </c>
      <c r="AB35" s="842">
        <f t="shared" si="21"/>
        <v>1335.1429782675336</v>
      </c>
      <c r="AC35" s="735"/>
      <c r="AD35" s="842">
        <f>SUM(E35:H35)</f>
        <v>280.66752000000008</v>
      </c>
      <c r="AE35" s="842">
        <f>SUM(I35:L35)</f>
        <v>692.73155999999972</v>
      </c>
      <c r="AF35" s="841">
        <f>SUM(M35:P35)</f>
        <v>1481.2199999999982</v>
      </c>
      <c r="AG35" s="842">
        <f>SUM(Q35:T35)</f>
        <v>3405.5268808040055</v>
      </c>
      <c r="AH35" s="842">
        <f>SUM(U35:X35)</f>
        <v>4342.6415018124217</v>
      </c>
      <c r="AI35" s="841">
        <f>SUM(Y35:AB35)</f>
        <v>4942.2608390774658</v>
      </c>
      <c r="AK35" s="676"/>
      <c r="AL35" s="676"/>
      <c r="AM35" s="676"/>
    </row>
    <row r="36" spans="1:39" ht="14.45" customHeight="1" x14ac:dyDescent="0.2">
      <c r="B36" s="759" t="s">
        <v>1036</v>
      </c>
      <c r="C36" s="758"/>
      <c r="E36" s="762">
        <f t="shared" ref="E36:AB36" si="22">E107+E75</f>
        <v>0</v>
      </c>
      <c r="F36" s="762">
        <f t="shared" si="22"/>
        <v>0</v>
      </c>
      <c r="G36" s="762">
        <f t="shared" si="22"/>
        <v>0</v>
      </c>
      <c r="H36" s="762">
        <f t="shared" si="22"/>
        <v>0</v>
      </c>
      <c r="I36" s="762">
        <f t="shared" si="22"/>
        <v>1.2</v>
      </c>
      <c r="J36" s="762">
        <f t="shared" si="22"/>
        <v>0</v>
      </c>
      <c r="K36" s="762">
        <f t="shared" si="22"/>
        <v>41.495999999999995</v>
      </c>
      <c r="L36" s="762">
        <f t="shared" si="22"/>
        <v>0</v>
      </c>
      <c r="M36" s="762">
        <f t="shared" si="22"/>
        <v>2.3999999999999986</v>
      </c>
      <c r="N36" s="762">
        <f t="shared" si="22"/>
        <v>22.164000000000001</v>
      </c>
      <c r="O36" s="762">
        <f t="shared" si="22"/>
        <v>61.875959999999999</v>
      </c>
      <c r="P36" s="762">
        <f t="shared" si="22"/>
        <v>53.331959999999995</v>
      </c>
      <c r="Q36" s="762">
        <f t="shared" si="22"/>
        <v>82.575960000000009</v>
      </c>
      <c r="R36" s="842">
        <f t="shared" si="22"/>
        <v>31.116</v>
      </c>
      <c r="S36" s="841">
        <f t="shared" si="22"/>
        <v>86.320080000000004</v>
      </c>
      <c r="T36" s="842">
        <f t="shared" si="22"/>
        <v>204.43284734999997</v>
      </c>
      <c r="U36" s="842">
        <f t="shared" si="22"/>
        <v>86.681150493749982</v>
      </c>
      <c r="V36" s="842">
        <f t="shared" si="22"/>
        <v>93.888808461492175</v>
      </c>
      <c r="W36" s="842">
        <f t="shared" si="22"/>
        <v>103.43637297975857</v>
      </c>
      <c r="X36" s="842">
        <f t="shared" si="22"/>
        <v>115.46716332476879</v>
      </c>
      <c r="Y36" s="842">
        <f t="shared" si="22"/>
        <v>69.404414441819128</v>
      </c>
      <c r="Z36" s="842">
        <f t="shared" si="22"/>
        <v>72.952502730655524</v>
      </c>
      <c r="AA36" s="842">
        <f t="shared" si="22"/>
        <v>77.111552785268643</v>
      </c>
      <c r="AB36" s="842">
        <f t="shared" si="22"/>
        <v>81.353783840974017</v>
      </c>
      <c r="AC36" s="735"/>
      <c r="AD36" s="842">
        <f>SUM(E36:H36)</f>
        <v>0</v>
      </c>
      <c r="AE36" s="842">
        <f>SUM(I36:L36)</f>
        <v>42.695999999999998</v>
      </c>
      <c r="AF36" s="841">
        <f>SUM(M36:P36)</f>
        <v>139.77191999999999</v>
      </c>
      <c r="AG36" s="842">
        <f>SUM(Q36:T36)</f>
        <v>404.44488734999999</v>
      </c>
      <c r="AH36" s="842">
        <f>SUM(U36:X36)</f>
        <v>399.47349525976949</v>
      </c>
      <c r="AI36" s="841">
        <f>SUM(Y36:AB36)</f>
        <v>300.82225379871733</v>
      </c>
      <c r="AK36" s="676"/>
      <c r="AL36" s="676"/>
      <c r="AM36" s="676"/>
    </row>
    <row r="37" spans="1:39" s="566" customFormat="1" ht="15" customHeight="1" x14ac:dyDescent="0.35">
      <c r="A37" s="815"/>
      <c r="B37" s="759" t="s">
        <v>1016</v>
      </c>
      <c r="C37" s="758"/>
      <c r="E37" s="962">
        <f t="shared" ref="E37:AB37" si="23">E145</f>
        <v>0</v>
      </c>
      <c r="F37" s="962">
        <f t="shared" si="23"/>
        <v>0</v>
      </c>
      <c r="G37" s="962">
        <f t="shared" si="23"/>
        <v>1.2000000000000002</v>
      </c>
      <c r="H37" s="962">
        <f t="shared" si="23"/>
        <v>0</v>
      </c>
      <c r="I37" s="962">
        <f t="shared" si="23"/>
        <v>4.8000000000000007</v>
      </c>
      <c r="J37" s="962">
        <f t="shared" si="23"/>
        <v>11.411999999999999</v>
      </c>
      <c r="K37" s="962">
        <f t="shared" si="23"/>
        <v>35.024039999999999</v>
      </c>
      <c r="L37" s="962">
        <f t="shared" si="23"/>
        <v>64.61196000000001</v>
      </c>
      <c r="M37" s="962">
        <f t="shared" si="23"/>
        <v>66.893999999999991</v>
      </c>
      <c r="N37" s="712">
        <f t="shared" si="23"/>
        <v>28.630440000000004</v>
      </c>
      <c r="O37" s="712">
        <f t="shared" si="23"/>
        <v>73.649040000000014</v>
      </c>
      <c r="P37" s="712">
        <f t="shared" si="23"/>
        <v>36.830040000000004</v>
      </c>
      <c r="Q37" s="712">
        <f t="shared" si="23"/>
        <v>78.819000000000017</v>
      </c>
      <c r="R37" s="712">
        <f t="shared" si="23"/>
        <v>103.36739999999992</v>
      </c>
      <c r="S37" s="795">
        <f t="shared" si="23"/>
        <v>135.858</v>
      </c>
      <c r="T37" s="712">
        <f t="shared" si="23"/>
        <v>161.51467079999998</v>
      </c>
      <c r="U37" s="712">
        <f t="shared" si="23"/>
        <v>93.53274519</v>
      </c>
      <c r="V37" s="712">
        <f t="shared" si="23"/>
        <v>95.871063819750006</v>
      </c>
      <c r="W37" s="712">
        <f t="shared" si="23"/>
        <v>98.267840415243754</v>
      </c>
      <c r="X37" s="712">
        <f t="shared" si="23"/>
        <v>100.72453642562485</v>
      </c>
      <c r="Y37" s="712">
        <f t="shared" si="23"/>
        <v>0</v>
      </c>
      <c r="Z37" s="712">
        <f t="shared" si="23"/>
        <v>0</v>
      </c>
      <c r="AA37" s="712">
        <f t="shared" si="23"/>
        <v>0</v>
      </c>
      <c r="AB37" s="712">
        <f t="shared" si="23"/>
        <v>0</v>
      </c>
      <c r="AD37" s="712">
        <f>SUM(E37:H37)</f>
        <v>1.2000000000000002</v>
      </c>
      <c r="AE37" s="712">
        <f>SUM(I37:L37)</f>
        <v>115.84800000000001</v>
      </c>
      <c r="AF37" s="712">
        <f>SUM(M37:P37)</f>
        <v>206.00352000000001</v>
      </c>
      <c r="AG37" s="961">
        <f>SUM(Q37:T37)</f>
        <v>479.55907079999992</v>
      </c>
      <c r="AH37" s="712">
        <f>SUM(U37:X37)</f>
        <v>388.39618585061862</v>
      </c>
      <c r="AI37" s="960">
        <f>SUM(Y37:AB37)</f>
        <v>0</v>
      </c>
      <c r="AK37" s="676"/>
      <c r="AL37" s="676"/>
      <c r="AM37" s="676"/>
    </row>
    <row r="38" spans="1:39" s="637" customFormat="1" ht="12.75" customHeight="1" x14ac:dyDescent="0.2">
      <c r="A38" s="959"/>
      <c r="B38" s="958" t="s">
        <v>1044</v>
      </c>
      <c r="C38" s="957"/>
      <c r="D38" s="956"/>
      <c r="E38" s="955">
        <f t="shared" ref="E38:AB38" si="24">SUM(E35:E37)</f>
        <v>29.879999999999995</v>
      </c>
      <c r="F38" s="955">
        <f t="shared" si="24"/>
        <v>65.954040000000006</v>
      </c>
      <c r="G38" s="955">
        <f t="shared" si="24"/>
        <v>61.219680000000025</v>
      </c>
      <c r="H38" s="955">
        <f t="shared" si="24"/>
        <v>124.8138000000001</v>
      </c>
      <c r="I38" s="955">
        <f t="shared" si="24"/>
        <v>125.46600000000007</v>
      </c>
      <c r="J38" s="955">
        <f t="shared" si="24"/>
        <v>249.0011999999999</v>
      </c>
      <c r="K38" s="955">
        <f t="shared" si="24"/>
        <v>270.64331999999979</v>
      </c>
      <c r="L38" s="955">
        <f t="shared" si="24"/>
        <v>206.16504000000003</v>
      </c>
      <c r="M38" s="955">
        <f t="shared" si="24"/>
        <v>367.84691999999973</v>
      </c>
      <c r="N38" s="954">
        <f t="shared" si="24"/>
        <v>421.52087999999929</v>
      </c>
      <c r="O38" s="954">
        <f t="shared" si="24"/>
        <v>446.78507999999965</v>
      </c>
      <c r="P38" s="954">
        <f t="shared" si="24"/>
        <v>590.84255999999959</v>
      </c>
      <c r="Q38" s="954">
        <f t="shared" si="24"/>
        <v>888.85128000000327</v>
      </c>
      <c r="R38" s="950">
        <f t="shared" si="24"/>
        <v>858.80568000000085</v>
      </c>
      <c r="S38" s="953">
        <f t="shared" si="24"/>
        <v>1077.4922400000005</v>
      </c>
      <c r="T38" s="952">
        <f t="shared" si="24"/>
        <v>1464.3816389540002</v>
      </c>
      <c r="U38" s="952">
        <f t="shared" si="24"/>
        <v>1145.3599222600703</v>
      </c>
      <c r="V38" s="952">
        <f t="shared" si="24"/>
        <v>1232.2316097877335</v>
      </c>
      <c r="W38" s="952">
        <f t="shared" si="24"/>
        <v>1326.1031017142209</v>
      </c>
      <c r="X38" s="952">
        <f t="shared" si="24"/>
        <v>1426.8165491607847</v>
      </c>
      <c r="Y38" s="952">
        <f t="shared" si="24"/>
        <v>1211.1201636891046</v>
      </c>
      <c r="Z38" s="952">
        <f t="shared" si="24"/>
        <v>1273.754726959123</v>
      </c>
      <c r="AA38" s="952">
        <f t="shared" si="24"/>
        <v>1341.7114401194478</v>
      </c>
      <c r="AB38" s="952">
        <f t="shared" si="24"/>
        <v>1416.4967621085077</v>
      </c>
      <c r="AD38" s="950">
        <f t="shared" ref="AD38:AI38" si="25">SUM(AD35:AD37)</f>
        <v>281.86752000000007</v>
      </c>
      <c r="AE38" s="950">
        <f t="shared" si="25"/>
        <v>851.27555999999981</v>
      </c>
      <c r="AF38" s="950">
        <f t="shared" si="25"/>
        <v>1826.9954399999981</v>
      </c>
      <c r="AG38" s="951">
        <f t="shared" si="25"/>
        <v>4289.530838954005</v>
      </c>
      <c r="AH38" s="950">
        <f t="shared" si="25"/>
        <v>5130.5111829228099</v>
      </c>
      <c r="AI38" s="949">
        <f t="shared" si="25"/>
        <v>5243.0830928761834</v>
      </c>
    </row>
    <row r="39" spans="1:39" ht="14.45" customHeight="1" x14ac:dyDescent="0.2">
      <c r="B39" s="948" t="s">
        <v>974</v>
      </c>
      <c r="C39" s="947"/>
      <c r="D39" s="946"/>
      <c r="E39" s="944"/>
      <c r="F39" s="944"/>
      <c r="G39" s="944"/>
      <c r="H39" s="944"/>
      <c r="I39" s="944">
        <f t="shared" ref="I39:R39" si="26">IFERROR(I38/E38-1,"-")</f>
        <v>3.1989959839357454</v>
      </c>
      <c r="J39" s="944">
        <f t="shared" si="26"/>
        <v>2.7753744880525875</v>
      </c>
      <c r="K39" s="944">
        <f t="shared" si="26"/>
        <v>3.4208548623579818</v>
      </c>
      <c r="L39" s="944">
        <f t="shared" si="26"/>
        <v>0.65178081269859467</v>
      </c>
      <c r="M39" s="944">
        <f t="shared" si="26"/>
        <v>1.9318454401989347</v>
      </c>
      <c r="N39" s="944">
        <f t="shared" si="26"/>
        <v>0.69284678146129197</v>
      </c>
      <c r="O39" s="944">
        <f t="shared" si="26"/>
        <v>0.65082618702726536</v>
      </c>
      <c r="P39" s="944">
        <f t="shared" si="26"/>
        <v>1.8658717307260217</v>
      </c>
      <c r="Q39" s="944">
        <f t="shared" si="26"/>
        <v>1.4163618931483888</v>
      </c>
      <c r="R39" s="944">
        <f t="shared" si="26"/>
        <v>1.0373977203691602</v>
      </c>
      <c r="S39" s="945">
        <f t="shared" ref="S39:AB39" si="27">IFERROR(S38/O38-1,"na")</f>
        <v>1.4116567187069036</v>
      </c>
      <c r="T39" s="944">
        <f t="shared" si="27"/>
        <v>1.4784633641726845</v>
      </c>
      <c r="U39" s="944">
        <f t="shared" si="27"/>
        <v>0.28858443254991561</v>
      </c>
      <c r="V39" s="944">
        <f t="shared" si="27"/>
        <v>0.43482005124573964</v>
      </c>
      <c r="W39" s="944">
        <f t="shared" si="27"/>
        <v>0.23073099970930677</v>
      </c>
      <c r="X39" s="944">
        <f t="shared" si="27"/>
        <v>-2.5652527178671836E-2</v>
      </c>
      <c r="Y39" s="944">
        <f t="shared" si="27"/>
        <v>5.7414477450261625E-2</v>
      </c>
      <c r="Z39" s="944">
        <f t="shared" si="27"/>
        <v>3.3697493913942278E-2</v>
      </c>
      <c r="AA39" s="944">
        <f t="shared" si="27"/>
        <v>1.1770079102484843E-2</v>
      </c>
      <c r="AB39" s="944">
        <f t="shared" si="27"/>
        <v>-7.2327357419191829E-3</v>
      </c>
      <c r="AD39" s="943"/>
      <c r="AE39" s="942">
        <f>IFERROR(AE38/AD38-1,"-")</f>
        <v>2.0201264764382914</v>
      </c>
      <c r="AF39" s="941">
        <f>IFERROR(AF38/AE38-1,"-")</f>
        <v>1.1461857074811341</v>
      </c>
      <c r="AG39" s="942">
        <f>IFERROR(AG38/AF38-1,"-")</f>
        <v>1.3478607253414983</v>
      </c>
      <c r="AH39" s="942">
        <f>IFERROR(AH38/AG38-1,"-")</f>
        <v>0.19605415499795686</v>
      </c>
      <c r="AI39" s="941">
        <f>IFERROR(AI38/AH38-1,"-")</f>
        <v>2.1941655702471863E-2</v>
      </c>
    </row>
    <row r="40" spans="1:39" s="736" customFormat="1" ht="14.45" customHeight="1" x14ac:dyDescent="0.2">
      <c r="B40" s="940"/>
      <c r="C40" s="939"/>
      <c r="D40" s="932"/>
      <c r="E40" s="937"/>
      <c r="F40" s="937"/>
      <c r="G40" s="937"/>
      <c r="H40" s="937"/>
      <c r="I40" s="937"/>
      <c r="J40" s="937"/>
      <c r="K40" s="937"/>
      <c r="L40" s="937"/>
      <c r="M40" s="937"/>
      <c r="N40" s="937"/>
      <c r="O40" s="937"/>
      <c r="P40" s="937"/>
      <c r="Q40" s="937"/>
      <c r="R40" s="937"/>
      <c r="S40" s="938"/>
      <c r="T40" s="937"/>
      <c r="U40" s="937"/>
      <c r="V40" s="937"/>
      <c r="W40" s="937"/>
      <c r="X40" s="937"/>
      <c r="Y40" s="937"/>
      <c r="Z40" s="937"/>
      <c r="AA40" s="937"/>
      <c r="AB40" s="937"/>
      <c r="AD40" s="936"/>
      <c r="AE40" s="936"/>
      <c r="AF40" s="935"/>
      <c r="AG40" s="936"/>
      <c r="AH40" s="936"/>
      <c r="AI40" s="935"/>
    </row>
    <row r="41" spans="1:39" s="736" customFormat="1" ht="14.45" customHeight="1" x14ac:dyDescent="0.2">
      <c r="B41" s="934" t="s">
        <v>1043</v>
      </c>
      <c r="C41" s="933"/>
      <c r="D41" s="932"/>
      <c r="E41" s="905">
        <f t="shared" ref="E41:AB41" si="28">IFERROR(E35/E$38,"-")</f>
        <v>1</v>
      </c>
      <c r="F41" s="905">
        <f t="shared" si="28"/>
        <v>1</v>
      </c>
      <c r="G41" s="905">
        <f t="shared" si="28"/>
        <v>0.98039846010302567</v>
      </c>
      <c r="H41" s="905">
        <f t="shared" si="28"/>
        <v>1</v>
      </c>
      <c r="I41" s="905">
        <f t="shared" si="28"/>
        <v>0.95217827937449195</v>
      </c>
      <c r="J41" s="905">
        <f t="shared" si="28"/>
        <v>0.95416889557158757</v>
      </c>
      <c r="K41" s="905">
        <f t="shared" si="28"/>
        <v>0.7172661050714273</v>
      </c>
      <c r="L41" s="905">
        <f t="shared" si="28"/>
        <v>0.6866007932285707</v>
      </c>
      <c r="M41" s="905">
        <f t="shared" si="28"/>
        <v>0.81162272610573971</v>
      </c>
      <c r="N41" s="905">
        <f t="shared" si="28"/>
        <v>0.87949721494223465</v>
      </c>
      <c r="O41" s="905">
        <f t="shared" si="28"/>
        <v>0.69666623603456024</v>
      </c>
      <c r="P41" s="905">
        <f t="shared" si="28"/>
        <v>0.84740097260427527</v>
      </c>
      <c r="Q41" s="905">
        <f t="shared" si="28"/>
        <v>0.81842298747660069</v>
      </c>
      <c r="R41" s="905">
        <f t="shared" si="28"/>
        <v>0.84340648515505889</v>
      </c>
      <c r="S41" s="906">
        <f t="shared" si="28"/>
        <v>0.79380076092241758</v>
      </c>
      <c r="T41" s="905">
        <f t="shared" si="28"/>
        <v>0.75010099251763751</v>
      </c>
      <c r="U41" s="905">
        <f t="shared" si="28"/>
        <v>0.84265741084414347</v>
      </c>
      <c r="V41" s="905">
        <f t="shared" si="28"/>
        <v>0.84600308028623739</v>
      </c>
      <c r="W41" s="905">
        <f t="shared" si="28"/>
        <v>0.84789703520468052</v>
      </c>
      <c r="X41" s="905">
        <f t="shared" si="28"/>
        <v>0.84847968025213072</v>
      </c>
      <c r="Y41" s="905">
        <f t="shared" si="28"/>
        <v>0.94269403109398209</v>
      </c>
      <c r="Z41" s="905">
        <f t="shared" si="28"/>
        <v>0.94272641256074663</v>
      </c>
      <c r="AA41" s="905">
        <f t="shared" si="28"/>
        <v>0.94252746866464543</v>
      </c>
      <c r="AB41" s="905">
        <f t="shared" si="28"/>
        <v>0.94256691154035821</v>
      </c>
      <c r="AD41" s="931">
        <f t="shared" ref="AD41:AI43" si="29">IFERROR(AD35/AD$38,"-")</f>
        <v>0.99574268081686035</v>
      </c>
      <c r="AE41" s="931">
        <f t="shared" si="29"/>
        <v>0.81375713405891725</v>
      </c>
      <c r="AF41" s="930">
        <f t="shared" si="29"/>
        <v>0.81074093978034212</v>
      </c>
      <c r="AG41" s="931">
        <f t="shared" si="29"/>
        <v>0.79391593362094526</v>
      </c>
      <c r="AH41" s="931">
        <f t="shared" si="29"/>
        <v>0.84643446763494912</v>
      </c>
      <c r="AI41" s="930">
        <f t="shared" si="29"/>
        <v>0.94262493108159073</v>
      </c>
    </row>
    <row r="42" spans="1:39" s="736" customFormat="1" ht="14.45" customHeight="1" x14ac:dyDescent="0.2">
      <c r="B42" s="934" t="s">
        <v>1042</v>
      </c>
      <c r="C42" s="933"/>
      <c r="D42" s="932"/>
      <c r="E42" s="905">
        <f t="shared" ref="E42:AB42" si="30">IFERROR(E36/E$38,"-")</f>
        <v>0</v>
      </c>
      <c r="F42" s="905">
        <f t="shared" si="30"/>
        <v>0</v>
      </c>
      <c r="G42" s="905">
        <f t="shared" si="30"/>
        <v>0</v>
      </c>
      <c r="H42" s="905">
        <f t="shared" si="30"/>
        <v>0</v>
      </c>
      <c r="I42" s="905">
        <f t="shared" si="30"/>
        <v>9.5643441251016155E-3</v>
      </c>
      <c r="J42" s="905">
        <f t="shared" si="30"/>
        <v>0</v>
      </c>
      <c r="K42" s="905">
        <f t="shared" si="30"/>
        <v>0.15332356992960339</v>
      </c>
      <c r="L42" s="905">
        <f t="shared" si="30"/>
        <v>0</v>
      </c>
      <c r="M42" s="905">
        <f t="shared" si="30"/>
        <v>6.5244531611138683E-3</v>
      </c>
      <c r="N42" s="905">
        <f t="shared" si="30"/>
        <v>5.2581025167721319E-2</v>
      </c>
      <c r="O42" s="905">
        <f t="shared" si="30"/>
        <v>0.1384915539256594</v>
      </c>
      <c r="P42" s="905">
        <f t="shared" si="30"/>
        <v>9.0264249075083611E-2</v>
      </c>
      <c r="Q42" s="905">
        <f t="shared" si="30"/>
        <v>9.2901885678782742E-2</v>
      </c>
      <c r="R42" s="905">
        <f t="shared" si="30"/>
        <v>3.6231711928127873E-2</v>
      </c>
      <c r="S42" s="906">
        <f t="shared" si="30"/>
        <v>8.0112020110696999E-2</v>
      </c>
      <c r="T42" s="905">
        <f t="shared" si="30"/>
        <v>0.13960353087739152</v>
      </c>
      <c r="U42" s="905">
        <f t="shared" si="30"/>
        <v>7.5680272034232915E-2</v>
      </c>
      <c r="V42" s="905">
        <f t="shared" si="30"/>
        <v>7.6194124315367651E-2</v>
      </c>
      <c r="W42" s="905">
        <f t="shared" si="30"/>
        <v>7.8000249638243757E-2</v>
      </c>
      <c r="X42" s="905">
        <f t="shared" si="30"/>
        <v>8.0926425609994135E-2</v>
      </c>
      <c r="Y42" s="905">
        <f t="shared" si="30"/>
        <v>5.7305968906017891E-2</v>
      </c>
      <c r="Z42" s="905">
        <f t="shared" si="30"/>
        <v>5.7273587439253287E-2</v>
      </c>
      <c r="AA42" s="905">
        <f t="shared" si="30"/>
        <v>5.747253133535455E-2</v>
      </c>
      <c r="AB42" s="905">
        <f t="shared" si="30"/>
        <v>5.7433088459641735E-2</v>
      </c>
      <c r="AD42" s="931">
        <f t="shared" si="29"/>
        <v>0</v>
      </c>
      <c r="AE42" s="931">
        <f t="shared" si="29"/>
        <v>5.0155322208475017E-2</v>
      </c>
      <c r="AF42" s="930">
        <f t="shared" si="29"/>
        <v>7.6503704902514777E-2</v>
      </c>
      <c r="AG42" s="931">
        <f t="shared" si="29"/>
        <v>9.4286508836155886E-2</v>
      </c>
      <c r="AH42" s="931">
        <f t="shared" si="29"/>
        <v>7.786231839615497E-2</v>
      </c>
      <c r="AI42" s="930">
        <f t="shared" si="29"/>
        <v>5.7375068918409246E-2</v>
      </c>
    </row>
    <row r="43" spans="1:39" s="736" customFormat="1" ht="14.45" customHeight="1" x14ac:dyDescent="0.2">
      <c r="B43" s="929" t="s">
        <v>1041</v>
      </c>
      <c r="C43" s="928"/>
      <c r="D43" s="927"/>
      <c r="E43" s="925">
        <f t="shared" ref="E43:AB43" si="31">IFERROR(E37/E$38,"-")</f>
        <v>0</v>
      </c>
      <c r="F43" s="925">
        <f t="shared" si="31"/>
        <v>0</v>
      </c>
      <c r="G43" s="925">
        <f t="shared" si="31"/>
        <v>1.9601539896974302E-2</v>
      </c>
      <c r="H43" s="925">
        <f t="shared" si="31"/>
        <v>0</v>
      </c>
      <c r="I43" s="925">
        <f t="shared" si="31"/>
        <v>3.8257376500406469E-2</v>
      </c>
      <c r="J43" s="925">
        <f t="shared" si="31"/>
        <v>4.5831104428412407E-2</v>
      </c>
      <c r="K43" s="925">
        <f t="shared" si="31"/>
        <v>0.12941032499896923</v>
      </c>
      <c r="L43" s="925">
        <f t="shared" si="31"/>
        <v>0.31339920677142935</v>
      </c>
      <c r="M43" s="925">
        <f t="shared" si="31"/>
        <v>0.18185282073314638</v>
      </c>
      <c r="N43" s="925">
        <f t="shared" si="31"/>
        <v>6.7921759890044009E-2</v>
      </c>
      <c r="O43" s="925">
        <f t="shared" si="31"/>
        <v>0.16484221003978036</v>
      </c>
      <c r="P43" s="925">
        <f t="shared" si="31"/>
        <v>6.2334778320641E-2</v>
      </c>
      <c r="Q43" s="925">
        <f t="shared" si="31"/>
        <v>8.8675126844616495E-2</v>
      </c>
      <c r="R43" s="925">
        <f t="shared" si="31"/>
        <v>0.12036180291681328</v>
      </c>
      <c r="S43" s="926">
        <f t="shared" si="31"/>
        <v>0.12608721896688549</v>
      </c>
      <c r="T43" s="925">
        <f t="shared" si="31"/>
        <v>0.11029547660497097</v>
      </c>
      <c r="U43" s="925">
        <f t="shared" si="31"/>
        <v>8.1662317121623584E-2</v>
      </c>
      <c r="V43" s="925">
        <f t="shared" si="31"/>
        <v>7.7802795398395061E-2</v>
      </c>
      <c r="W43" s="925">
        <f t="shared" si="31"/>
        <v>7.4102715157075894E-2</v>
      </c>
      <c r="X43" s="925">
        <f t="shared" si="31"/>
        <v>7.0593894137875202E-2</v>
      </c>
      <c r="Y43" s="925">
        <f t="shared" si="31"/>
        <v>0</v>
      </c>
      <c r="Z43" s="925">
        <f t="shared" si="31"/>
        <v>0</v>
      </c>
      <c r="AA43" s="925">
        <f t="shared" si="31"/>
        <v>0</v>
      </c>
      <c r="AB43" s="925">
        <f t="shared" si="31"/>
        <v>0</v>
      </c>
      <c r="AC43" s="924"/>
      <c r="AD43" s="923">
        <f t="shared" si="29"/>
        <v>4.2573191831396535E-3</v>
      </c>
      <c r="AE43" s="923">
        <f t="shared" si="29"/>
        <v>0.13608754373260762</v>
      </c>
      <c r="AF43" s="922">
        <f t="shared" si="29"/>
        <v>0.11275535531714312</v>
      </c>
      <c r="AG43" s="923">
        <f t="shared" si="29"/>
        <v>0.11179755754289894</v>
      </c>
      <c r="AH43" s="923">
        <f t="shared" si="29"/>
        <v>7.5703213968895885E-2</v>
      </c>
      <c r="AI43" s="922">
        <f t="shared" si="29"/>
        <v>0</v>
      </c>
    </row>
    <row r="44" spans="1:39" s="566" customFormat="1" ht="12.75" customHeight="1" thickBot="1" x14ac:dyDescent="0.25">
      <c r="A44" s="815"/>
      <c r="B44" s="921"/>
      <c r="C44" s="921"/>
      <c r="E44" s="654"/>
      <c r="F44" s="654"/>
      <c r="G44" s="654"/>
      <c r="H44" s="654"/>
      <c r="I44" s="654"/>
      <c r="J44" s="654"/>
      <c r="K44" s="654"/>
      <c r="L44" s="654"/>
      <c r="M44" s="654"/>
      <c r="N44" s="654"/>
      <c r="O44" s="654"/>
      <c r="P44" s="654"/>
      <c r="Q44" s="920"/>
      <c r="R44" s="654"/>
      <c r="S44" s="920"/>
      <c r="T44" s="654"/>
      <c r="U44" s="654"/>
      <c r="V44" s="654"/>
      <c r="W44" s="654"/>
      <c r="X44" s="654"/>
      <c r="Y44" s="654"/>
      <c r="Z44" s="654"/>
      <c r="AA44" s="654"/>
      <c r="AB44" s="654"/>
    </row>
    <row r="45" spans="1:39" s="566" customFormat="1" ht="12.75" customHeight="1" x14ac:dyDescent="0.2">
      <c r="A45" s="815"/>
      <c r="B45" s="919" t="s">
        <v>1040</v>
      </c>
      <c r="C45" s="919"/>
      <c r="D45" s="918"/>
      <c r="E45" s="915"/>
      <c r="F45" s="915"/>
      <c r="G45" s="915"/>
      <c r="H45" s="915"/>
      <c r="I45" s="915"/>
      <c r="J45" s="915"/>
      <c r="K45" s="915"/>
      <c r="L45" s="915"/>
      <c r="M45" s="915"/>
      <c r="N45" s="915"/>
      <c r="O45" s="915"/>
      <c r="P45" s="917"/>
      <c r="Q45" s="915"/>
      <c r="R45" s="917"/>
      <c r="S45" s="915"/>
      <c r="T45" s="915"/>
      <c r="U45" s="915"/>
      <c r="V45" s="915"/>
      <c r="W45" s="915"/>
      <c r="X45" s="915"/>
      <c r="Y45" s="915"/>
      <c r="Z45" s="915"/>
      <c r="AA45" s="915"/>
      <c r="AB45" s="915"/>
      <c r="AC45" s="916"/>
      <c r="AD45" s="915"/>
      <c r="AE45" s="915"/>
      <c r="AF45" s="915"/>
      <c r="AG45" s="915"/>
      <c r="AH45" s="915"/>
      <c r="AI45" s="915"/>
    </row>
    <row r="46" spans="1:39" ht="14.45" customHeight="1" x14ac:dyDescent="0.2">
      <c r="B46" s="816"/>
      <c r="C46" s="816"/>
      <c r="AD46" s="786"/>
      <c r="AE46" s="786"/>
      <c r="AF46" s="786"/>
      <c r="AG46" s="786"/>
      <c r="AH46" s="786"/>
      <c r="AI46" s="786"/>
    </row>
    <row r="47" spans="1:39" s="566" customFormat="1" ht="12.75" customHeight="1" x14ac:dyDescent="0.2">
      <c r="A47" s="815" t="s">
        <v>1018</v>
      </c>
      <c r="B47" s="814" t="s">
        <v>1039</v>
      </c>
      <c r="C47" s="814"/>
      <c r="D47" s="812"/>
      <c r="E47" s="812"/>
      <c r="F47" s="812"/>
      <c r="G47" s="812"/>
      <c r="H47" s="812"/>
      <c r="I47" s="812"/>
      <c r="J47" s="812"/>
      <c r="K47" s="812"/>
      <c r="L47" s="812"/>
      <c r="M47" s="812"/>
      <c r="N47" s="812"/>
      <c r="O47" s="813"/>
      <c r="P47" s="812"/>
      <c r="Q47" s="812"/>
      <c r="R47" s="812"/>
      <c r="S47" s="812"/>
      <c r="T47" s="812"/>
      <c r="U47" s="812"/>
      <c r="V47" s="812"/>
      <c r="W47" s="812"/>
      <c r="X47" s="812"/>
      <c r="Y47" s="812"/>
      <c r="Z47" s="812"/>
      <c r="AA47" s="812"/>
      <c r="AB47" s="812"/>
      <c r="AC47" s="812"/>
      <c r="AD47" s="811"/>
      <c r="AE47" s="811"/>
      <c r="AF47" s="811"/>
      <c r="AG47" s="811"/>
      <c r="AH47" s="811"/>
      <c r="AI47" s="811"/>
    </row>
    <row r="48" spans="1:39" ht="14.45" customHeight="1" x14ac:dyDescent="0.2">
      <c r="B48" s="810"/>
      <c r="C48" s="810"/>
      <c r="D48" s="809"/>
      <c r="E48" s="808"/>
      <c r="F48" s="808"/>
      <c r="G48" s="808"/>
      <c r="H48" s="808"/>
      <c r="I48" s="808"/>
      <c r="J48" s="808"/>
      <c r="K48" s="808"/>
      <c r="L48" s="808"/>
      <c r="M48" s="808"/>
      <c r="N48" s="808"/>
      <c r="O48" s="808"/>
      <c r="P48" s="808"/>
      <c r="Q48" s="808"/>
      <c r="R48" s="808"/>
      <c r="S48" s="808"/>
      <c r="T48" s="808"/>
      <c r="U48" s="808"/>
      <c r="V48" s="808"/>
      <c r="W48" s="808"/>
      <c r="X48" s="808"/>
      <c r="Y48" s="808"/>
      <c r="Z48" s="808"/>
      <c r="AA48" s="808"/>
      <c r="AB48" s="808"/>
      <c r="AD48" s="807"/>
      <c r="AE48" s="807"/>
      <c r="AF48" s="807"/>
      <c r="AG48" s="807"/>
      <c r="AH48" s="807"/>
      <c r="AI48" s="807"/>
    </row>
    <row r="49" spans="2:38" ht="14.45" customHeight="1" x14ac:dyDescent="0.2">
      <c r="B49" s="885" t="s">
        <v>1038</v>
      </c>
      <c r="C49" s="884"/>
      <c r="D49" s="804"/>
      <c r="E49" s="802"/>
      <c r="F49" s="802"/>
      <c r="G49" s="802"/>
      <c r="H49" s="802"/>
      <c r="I49" s="914"/>
      <c r="J49" s="914"/>
      <c r="K49" s="914"/>
      <c r="L49" s="914"/>
      <c r="M49" s="914"/>
      <c r="N49" s="914"/>
      <c r="O49" s="914"/>
      <c r="P49" s="914"/>
      <c r="Q49" s="914"/>
      <c r="R49" s="914"/>
      <c r="S49" s="803"/>
      <c r="T49" s="802"/>
      <c r="U49" s="802"/>
      <c r="V49" s="802"/>
      <c r="W49" s="802"/>
      <c r="X49" s="802"/>
      <c r="Y49" s="802"/>
      <c r="Z49" s="802"/>
      <c r="AA49" s="802"/>
      <c r="AB49" s="802"/>
      <c r="AC49" s="802"/>
      <c r="AD49" s="801"/>
      <c r="AE49" s="801"/>
      <c r="AF49" s="800"/>
      <c r="AG49" s="801"/>
      <c r="AH49" s="801"/>
      <c r="AI49" s="800"/>
    </row>
    <row r="50" spans="2:38" ht="14.45" customHeight="1" x14ac:dyDescent="0.2">
      <c r="B50" s="759" t="s">
        <v>1015</v>
      </c>
      <c r="C50" s="758"/>
      <c r="E50" s="656">
        <v>204.64259999999993</v>
      </c>
      <c r="F50" s="656">
        <v>331.13447999999926</v>
      </c>
      <c r="G50" s="656">
        <v>371.1333599999993</v>
      </c>
      <c r="H50" s="656">
        <v>273.95399999999921</v>
      </c>
      <c r="I50" s="656">
        <v>328.58579999999893</v>
      </c>
      <c r="J50" s="656">
        <v>821.32607999999948</v>
      </c>
      <c r="K50" s="656">
        <v>343.67999999999847</v>
      </c>
      <c r="L50" s="656">
        <v>469.70591999999846</v>
      </c>
      <c r="M50" s="656">
        <v>524.12111999999797</v>
      </c>
      <c r="N50" s="656">
        <v>565.82703999999796</v>
      </c>
      <c r="O50" s="656">
        <v>674.28803999999718</v>
      </c>
      <c r="P50" s="656">
        <v>621.15419999999756</v>
      </c>
      <c r="Q50" s="656">
        <v>617.96999999999696</v>
      </c>
      <c r="R50" s="656">
        <v>901.60547999999915</v>
      </c>
      <c r="S50" s="767">
        <v>686.37215999999876</v>
      </c>
      <c r="T50" s="797">
        <f t="shared" ref="T50:AB50" si="32">T63*T61</f>
        <v>861.13499999999988</v>
      </c>
      <c r="U50" s="797">
        <f t="shared" si="32"/>
        <v>544.32000000000005</v>
      </c>
      <c r="V50" s="797">
        <f t="shared" si="32"/>
        <v>568.00800000000004</v>
      </c>
      <c r="W50" s="797">
        <f t="shared" si="32"/>
        <v>585.90000000000009</v>
      </c>
      <c r="X50" s="797">
        <f t="shared" si="32"/>
        <v>647.76600000000008</v>
      </c>
      <c r="Y50" s="797">
        <f t="shared" si="32"/>
        <v>436.33687500000002</v>
      </c>
      <c r="Z50" s="797">
        <f t="shared" si="32"/>
        <v>482.53725000000003</v>
      </c>
      <c r="AA50" s="797">
        <f t="shared" si="32"/>
        <v>556.11562500000002</v>
      </c>
      <c r="AB50" s="797">
        <f t="shared" si="32"/>
        <v>684.45</v>
      </c>
      <c r="AC50" s="861"/>
      <c r="AD50" s="797">
        <f>SUM(E50:H50)</f>
        <v>1180.8644399999978</v>
      </c>
      <c r="AE50" s="797">
        <f>SUM(I50:L50)</f>
        <v>1963.2977999999953</v>
      </c>
      <c r="AF50" s="798">
        <f>SUM(M50:P50)</f>
        <v>2385.3903999999907</v>
      </c>
      <c r="AG50" s="797">
        <f>SUM(Q50:T50)</f>
        <v>3067.0826399999946</v>
      </c>
      <c r="AH50" s="797">
        <f>SUM(U50:X50)</f>
        <v>2345.9940000000001</v>
      </c>
      <c r="AI50" s="798">
        <f>SUM(Y50:AB50)</f>
        <v>2159.4397500000005</v>
      </c>
      <c r="AK50" s="797"/>
      <c r="AL50" s="797"/>
    </row>
    <row r="51" spans="2:38" ht="14.45" customHeight="1" x14ac:dyDescent="0.35">
      <c r="B51" s="759" t="s">
        <v>1014</v>
      </c>
      <c r="C51" s="758"/>
      <c r="E51" s="580">
        <v>29.879999999999995</v>
      </c>
      <c r="F51" s="580">
        <v>65.954040000000006</v>
      </c>
      <c r="G51" s="580">
        <v>60.019680000000022</v>
      </c>
      <c r="H51" s="580">
        <v>124.8138000000001</v>
      </c>
      <c r="I51" s="580">
        <v>119.46600000000007</v>
      </c>
      <c r="J51" s="580">
        <v>237.58919999999989</v>
      </c>
      <c r="K51" s="580">
        <v>194.12327999999977</v>
      </c>
      <c r="L51" s="580">
        <v>141.55308000000002</v>
      </c>
      <c r="M51" s="580">
        <v>298.55291999999974</v>
      </c>
      <c r="N51" s="580">
        <v>370.72643999999929</v>
      </c>
      <c r="O51" s="580">
        <v>311.26007999999962</v>
      </c>
      <c r="P51" s="580">
        <v>500.6805599999995</v>
      </c>
      <c r="Q51" s="580">
        <v>727.45632000000319</v>
      </c>
      <c r="R51" s="580">
        <v>724.322280000001</v>
      </c>
      <c r="S51" s="796">
        <v>855.31416000000058</v>
      </c>
      <c r="T51" s="712">
        <f t="shared" ref="T51:AB51" si="33">T55*T68</f>
        <v>1098.4341208040003</v>
      </c>
      <c r="U51" s="712">
        <f t="shared" si="33"/>
        <v>965.14602657632031</v>
      </c>
      <c r="V51" s="712">
        <f t="shared" si="33"/>
        <v>1042.4717375064915</v>
      </c>
      <c r="W51" s="712">
        <f t="shared" si="33"/>
        <v>1124.3988883192187</v>
      </c>
      <c r="X51" s="712">
        <f t="shared" si="33"/>
        <v>1210.6248494103911</v>
      </c>
      <c r="Y51" s="712">
        <f t="shared" si="33"/>
        <v>1141.7157492472854</v>
      </c>
      <c r="Z51" s="712">
        <f t="shared" si="33"/>
        <v>1200.8022242284674</v>
      </c>
      <c r="AA51" s="712">
        <f t="shared" si="33"/>
        <v>1264.5998873341791</v>
      </c>
      <c r="AB51" s="712">
        <f t="shared" si="33"/>
        <v>1335.1429782675336</v>
      </c>
      <c r="AC51" s="860"/>
      <c r="AD51" s="712">
        <f>SUM(E51:H51)</f>
        <v>280.66752000000008</v>
      </c>
      <c r="AE51" s="712">
        <f>SUM(I51:L51)</f>
        <v>692.73155999999972</v>
      </c>
      <c r="AF51" s="795">
        <f>SUM(M51:P51)</f>
        <v>1481.2199999999982</v>
      </c>
      <c r="AG51" s="712">
        <f>SUM(Q51:T51)</f>
        <v>3405.5268808040055</v>
      </c>
      <c r="AH51" s="712">
        <f>SUM(U51:X51)</f>
        <v>4342.6415018124217</v>
      </c>
      <c r="AI51" s="795">
        <f>SUM(Y51:AB51)</f>
        <v>4942.2608390774658</v>
      </c>
      <c r="AK51" s="712"/>
      <c r="AL51" s="712"/>
    </row>
    <row r="52" spans="2:38" ht="14.45" customHeight="1" x14ac:dyDescent="0.2">
      <c r="B52" s="859" t="s">
        <v>875</v>
      </c>
      <c r="C52" s="786"/>
      <c r="E52" s="790">
        <f t="shared" ref="E52:AB52" si="34">SUM(E50:E51)</f>
        <v>234.52259999999993</v>
      </c>
      <c r="F52" s="790">
        <f t="shared" si="34"/>
        <v>397.08851999999928</v>
      </c>
      <c r="G52" s="790">
        <f t="shared" si="34"/>
        <v>431.15303999999935</v>
      </c>
      <c r="H52" s="790">
        <f t="shared" si="34"/>
        <v>398.76779999999928</v>
      </c>
      <c r="I52" s="790">
        <f t="shared" si="34"/>
        <v>448.05179999999899</v>
      </c>
      <c r="J52" s="790">
        <f t="shared" si="34"/>
        <v>1058.9152799999993</v>
      </c>
      <c r="K52" s="790">
        <f t="shared" si="34"/>
        <v>537.80327999999827</v>
      </c>
      <c r="L52" s="790">
        <f t="shared" si="34"/>
        <v>611.25899999999842</v>
      </c>
      <c r="M52" s="790">
        <f t="shared" si="34"/>
        <v>822.67403999999772</v>
      </c>
      <c r="N52" s="790">
        <f t="shared" si="34"/>
        <v>936.55347999999731</v>
      </c>
      <c r="O52" s="790">
        <f t="shared" si="34"/>
        <v>985.54811999999674</v>
      </c>
      <c r="P52" s="790">
        <f t="shared" si="34"/>
        <v>1121.834759999997</v>
      </c>
      <c r="Q52" s="790">
        <f t="shared" si="34"/>
        <v>1345.42632</v>
      </c>
      <c r="R52" s="790">
        <f t="shared" si="34"/>
        <v>1625.92776</v>
      </c>
      <c r="S52" s="794">
        <f t="shared" si="34"/>
        <v>1541.6863199999993</v>
      </c>
      <c r="T52" s="790">
        <f t="shared" si="34"/>
        <v>1959.5691208040002</v>
      </c>
      <c r="U52" s="790">
        <f t="shared" si="34"/>
        <v>1509.4660265763205</v>
      </c>
      <c r="V52" s="790">
        <f t="shared" si="34"/>
        <v>1610.4797375064916</v>
      </c>
      <c r="W52" s="790">
        <f t="shared" si="34"/>
        <v>1710.2988883192188</v>
      </c>
      <c r="X52" s="790">
        <f t="shared" si="34"/>
        <v>1858.3908494103912</v>
      </c>
      <c r="Y52" s="790">
        <f t="shared" si="34"/>
        <v>1578.0526242472854</v>
      </c>
      <c r="Z52" s="790">
        <f t="shared" si="34"/>
        <v>1683.3394742284675</v>
      </c>
      <c r="AA52" s="790">
        <f t="shared" si="34"/>
        <v>1820.715512334179</v>
      </c>
      <c r="AB52" s="790">
        <f t="shared" si="34"/>
        <v>2019.5929782675337</v>
      </c>
      <c r="AD52" s="790">
        <f t="shared" ref="AD52:AI52" si="35">SUM(AD50:AD51)</f>
        <v>1461.531959999998</v>
      </c>
      <c r="AE52" s="790">
        <f t="shared" si="35"/>
        <v>2656.029359999995</v>
      </c>
      <c r="AF52" s="794">
        <f t="shared" si="35"/>
        <v>3866.6103999999887</v>
      </c>
      <c r="AG52" s="790">
        <f t="shared" si="35"/>
        <v>6472.6095208040006</v>
      </c>
      <c r="AH52" s="790">
        <f t="shared" si="35"/>
        <v>6688.6355018124214</v>
      </c>
      <c r="AI52" s="794">
        <f t="shared" si="35"/>
        <v>7101.7005890774662</v>
      </c>
    </row>
    <row r="53" spans="2:38" ht="14.45" customHeight="1" x14ac:dyDescent="0.2">
      <c r="B53" s="793" t="s">
        <v>974</v>
      </c>
      <c r="C53" s="786"/>
      <c r="E53" s="790"/>
      <c r="F53" s="790"/>
      <c r="G53" s="790"/>
      <c r="H53" s="790"/>
      <c r="I53" s="791">
        <f t="shared" ref="I53:AB53" si="36">IFERROR(I52/E52-1,"-")</f>
        <v>0.91048453326033019</v>
      </c>
      <c r="J53" s="791">
        <f t="shared" si="36"/>
        <v>1.6666982968936024</v>
      </c>
      <c r="K53" s="791">
        <f t="shared" si="36"/>
        <v>0.24736051959647343</v>
      </c>
      <c r="L53" s="791">
        <f t="shared" si="36"/>
        <v>0.53286950450863757</v>
      </c>
      <c r="M53" s="791">
        <f t="shared" si="36"/>
        <v>0.8361136814984329</v>
      </c>
      <c r="N53" s="791">
        <f t="shared" si="36"/>
        <v>-0.11555390909082175</v>
      </c>
      <c r="O53" s="791">
        <f t="shared" si="36"/>
        <v>0.83254389969507048</v>
      </c>
      <c r="P53" s="791">
        <f t="shared" si="36"/>
        <v>0.83528546818942528</v>
      </c>
      <c r="Q53" s="791">
        <f t="shared" si="36"/>
        <v>0.63543062571903186</v>
      </c>
      <c r="R53" s="791">
        <f t="shared" si="36"/>
        <v>0.73607572308631508</v>
      </c>
      <c r="S53" s="792">
        <f t="shared" si="36"/>
        <v>0.56429329904257175</v>
      </c>
      <c r="T53" s="791">
        <f t="shared" si="36"/>
        <v>0.74675379180085799</v>
      </c>
      <c r="U53" s="791">
        <f t="shared" si="36"/>
        <v>0.12192396130344796</v>
      </c>
      <c r="V53" s="791">
        <f t="shared" si="36"/>
        <v>-9.5010509529085407E-3</v>
      </c>
      <c r="W53" s="791">
        <f t="shared" si="36"/>
        <v>0.10936892033861945</v>
      </c>
      <c r="X53" s="791">
        <f t="shared" si="36"/>
        <v>-5.1632917828433711E-2</v>
      </c>
      <c r="Y53" s="791">
        <f t="shared" si="36"/>
        <v>4.5437655742758931E-2</v>
      </c>
      <c r="Z53" s="791">
        <f t="shared" si="36"/>
        <v>4.5241014230197552E-2</v>
      </c>
      <c r="AA53" s="791">
        <f t="shared" si="36"/>
        <v>6.4559840837802973E-2</v>
      </c>
      <c r="AB53" s="791">
        <f t="shared" si="36"/>
        <v>8.6742855469981839E-2</v>
      </c>
      <c r="AD53" s="790"/>
      <c r="AE53" s="789">
        <f>IFERROR(AE52/AD52-1,"-")</f>
        <v>0.81729133039280155</v>
      </c>
      <c r="AF53" s="788">
        <f>IFERROR(AF52/AE52-1,"-")</f>
        <v>0.45578601585940137</v>
      </c>
      <c r="AG53" s="789">
        <f>IFERROR(AG52/AF52-1,"-")</f>
        <v>0.67397509736280115</v>
      </c>
      <c r="AH53" s="789">
        <f>IFERROR(AH52/AG52-1,"-")</f>
        <v>3.3375407602463714E-2</v>
      </c>
      <c r="AI53" s="788">
        <f>IFERROR(AI52/AH52-1,"-")</f>
        <v>6.1756256138208787E-2</v>
      </c>
    </row>
    <row r="54" spans="2:38" ht="14.45" customHeight="1" x14ac:dyDescent="0.2">
      <c r="B54" s="859"/>
      <c r="C54" s="786"/>
      <c r="S54" s="913"/>
      <c r="T54" s="887"/>
      <c r="U54" s="887"/>
      <c r="V54" s="887"/>
      <c r="W54" s="887"/>
      <c r="X54" s="887"/>
      <c r="Y54" s="887"/>
      <c r="Z54" s="887"/>
      <c r="AA54" s="887"/>
      <c r="AB54" s="887"/>
      <c r="AD54" s="786"/>
      <c r="AE54" s="786"/>
      <c r="AF54" s="785"/>
      <c r="AG54" s="786"/>
      <c r="AH54" s="786"/>
      <c r="AI54" s="785"/>
    </row>
    <row r="55" spans="2:38" ht="14.45" customHeight="1" x14ac:dyDescent="0.2">
      <c r="B55" s="783" t="s">
        <v>1013</v>
      </c>
      <c r="C55" s="786"/>
      <c r="E55" s="656">
        <v>387.45803999999958</v>
      </c>
      <c r="F55" s="656">
        <v>615.42863999999884</v>
      </c>
      <c r="G55" s="656">
        <v>982.45355999999822</v>
      </c>
      <c r="H55" s="656">
        <v>1317.8106000000071</v>
      </c>
      <c r="I55" s="656">
        <v>1627.7646000000202</v>
      </c>
      <c r="J55" s="656">
        <v>2019.164400000019</v>
      </c>
      <c r="K55" s="656">
        <v>2978.3722800000182</v>
      </c>
      <c r="L55" s="656">
        <v>3421.8675600000165</v>
      </c>
      <c r="M55" s="656">
        <v>3869.338800000015</v>
      </c>
      <c r="N55" s="656">
        <v>4437.9298800000124</v>
      </c>
      <c r="O55" s="656">
        <v>4995.5027200000095</v>
      </c>
      <c r="P55" s="656">
        <v>5803.6816000000072</v>
      </c>
      <c r="Q55" s="656">
        <v>6681.2683600000037</v>
      </c>
      <c r="R55" s="656">
        <v>7870.187920000003</v>
      </c>
      <c r="S55" s="767">
        <v>9257.8234000000029</v>
      </c>
      <c r="T55" s="656">
        <f>'Revenue Build'!S45</f>
        <v>10471.249960000003</v>
      </c>
      <c r="U55" s="656">
        <f>'Revenue Build'!T45</f>
        <v>12064.325332204004</v>
      </c>
      <c r="V55" s="656">
        <f>'Revenue Build'!U45</f>
        <v>13030.896718831144</v>
      </c>
      <c r="W55" s="656">
        <f>'Revenue Build'!V45</f>
        <v>14054.986103990233</v>
      </c>
      <c r="X55" s="656">
        <f>'Revenue Build'!W45</f>
        <v>15132.81061762989</v>
      </c>
      <c r="Y55" s="656">
        <f>'Revenue Build'!X45</f>
        <v>16310.224989246932</v>
      </c>
      <c r="Z55" s="656">
        <f>'Revenue Build'!Y45</f>
        <v>17154.317488978104</v>
      </c>
      <c r="AA55" s="656">
        <f>'Revenue Build'!Z45</f>
        <v>18065.712676202558</v>
      </c>
      <c r="AB55" s="656">
        <f>'Revenue Build'!AA45</f>
        <v>19073.47111810762</v>
      </c>
      <c r="AC55" s="858"/>
      <c r="AD55" s="656">
        <f>'Revenue Build'!AC45</f>
        <v>387.45803999999958</v>
      </c>
      <c r="AE55" s="656">
        <f>'Revenue Build'!AD45</f>
        <v>1627.7645999999972</v>
      </c>
      <c r="AF55" s="767">
        <f>'Revenue Build'!AE45</f>
        <v>3869.3387999999923</v>
      </c>
      <c r="AG55" s="656">
        <f>'Revenue Build'!AF45</f>
        <v>6681.2683599999809</v>
      </c>
      <c r="AH55" s="656">
        <f>'Revenue Build'!AG45</f>
        <v>12064.32533220398</v>
      </c>
      <c r="AI55" s="767">
        <f>'Revenue Build'!AH45</f>
        <v>16310.224989246912</v>
      </c>
    </row>
    <row r="56" spans="2:38" ht="14.45" customHeight="1" x14ac:dyDescent="0.2">
      <c r="B56" s="859"/>
      <c r="C56" s="786"/>
      <c r="S56" s="780"/>
      <c r="T56" s="676"/>
      <c r="U56" s="676"/>
      <c r="V56" s="676"/>
      <c r="W56" s="676"/>
      <c r="X56" s="676"/>
      <c r="Y56" s="676"/>
      <c r="Z56" s="676"/>
      <c r="AA56" s="676"/>
      <c r="AB56" s="676"/>
      <c r="AD56" s="786"/>
      <c r="AE56" s="786"/>
      <c r="AF56" s="785"/>
      <c r="AG56" s="786"/>
      <c r="AH56" s="786"/>
      <c r="AI56" s="785"/>
    </row>
    <row r="57" spans="2:38" ht="14.45" customHeight="1" x14ac:dyDescent="0.2">
      <c r="B57" s="783" t="s">
        <v>947</v>
      </c>
      <c r="C57" s="786"/>
      <c r="S57" s="913"/>
      <c r="T57" s="909"/>
      <c r="U57" s="909"/>
      <c r="V57" s="909"/>
      <c r="W57" s="909"/>
      <c r="X57" s="909"/>
      <c r="Y57" s="909"/>
      <c r="Z57" s="909"/>
      <c r="AA57" s="909"/>
      <c r="AD57" s="786"/>
      <c r="AE57" s="786"/>
      <c r="AF57" s="785"/>
      <c r="AG57" s="786"/>
      <c r="AH57" s="786"/>
      <c r="AI57" s="785"/>
    </row>
    <row r="58" spans="2:38" ht="14.45" customHeight="1" x14ac:dyDescent="0.2">
      <c r="B58" s="787" t="s">
        <v>975</v>
      </c>
      <c r="C58" s="786"/>
      <c r="E58" s="903"/>
      <c r="F58" s="903"/>
      <c r="G58" s="903"/>
      <c r="H58" s="903"/>
      <c r="I58" s="903"/>
      <c r="J58" s="903"/>
      <c r="K58" s="909">
        <v>1357</v>
      </c>
      <c r="L58" s="909">
        <v>1465</v>
      </c>
      <c r="M58" s="909">
        <v>1730</v>
      </c>
      <c r="N58" s="909">
        <v>1813</v>
      </c>
      <c r="O58" s="909">
        <v>1712</v>
      </c>
      <c r="P58" s="909">
        <v>1753</v>
      </c>
      <c r="Q58" s="911">
        <v>1923</v>
      </c>
      <c r="R58" s="911">
        <v>1903</v>
      </c>
      <c r="S58" s="912">
        <v>1651</v>
      </c>
      <c r="T58" s="911">
        <v>1700</v>
      </c>
      <c r="U58" s="910">
        <f>AH58*0.24</f>
        <v>1440</v>
      </c>
      <c r="V58" s="910">
        <f>AH58*0.245</f>
        <v>1470</v>
      </c>
      <c r="W58" s="910">
        <f>AH58*0.25</f>
        <v>1500</v>
      </c>
      <c r="X58" s="910">
        <f>AH58*0.265</f>
        <v>1590</v>
      </c>
      <c r="Y58" s="909">
        <f>$AI$58*0.225</f>
        <v>1350</v>
      </c>
      <c r="Z58" s="909">
        <f>$AI$58*0.225</f>
        <v>1350</v>
      </c>
      <c r="AA58" s="909">
        <f>$AI$58*0.25</f>
        <v>1500</v>
      </c>
      <c r="AB58" s="909">
        <f>$AI$58*0.3</f>
        <v>1800</v>
      </c>
      <c r="AD58" s="908"/>
      <c r="AE58" s="797">
        <f>SUM(K58:L58)</f>
        <v>2822</v>
      </c>
      <c r="AF58" s="798">
        <f>SUM(M58:P58)</f>
        <v>7008</v>
      </c>
      <c r="AG58" s="797">
        <f>SUM(Q58:T58)</f>
        <v>7177</v>
      </c>
      <c r="AH58" s="691">
        <v>6000</v>
      </c>
      <c r="AI58" s="691">
        <v>6000</v>
      </c>
    </row>
    <row r="59" spans="2:38" ht="14.45" customHeight="1" x14ac:dyDescent="0.25">
      <c r="B59" s="793" t="s">
        <v>974</v>
      </c>
      <c r="C59" s="786"/>
      <c r="E59" s="903"/>
      <c r="F59" s="903"/>
      <c r="G59" s="903"/>
      <c r="H59" s="903"/>
      <c r="I59" s="903"/>
      <c r="J59" s="903"/>
      <c r="K59" s="907" t="s">
        <v>950</v>
      </c>
      <c r="L59" s="907" t="s">
        <v>950</v>
      </c>
      <c r="M59" s="905" t="str">
        <f t="shared" ref="M59:AB59" si="37">IFERROR(M58/I58-1,"-")</f>
        <v>-</v>
      </c>
      <c r="N59" s="905" t="str">
        <f t="shared" si="37"/>
        <v>-</v>
      </c>
      <c r="O59" s="905">
        <f t="shared" si="37"/>
        <v>0.26160648489314675</v>
      </c>
      <c r="P59" s="905">
        <f t="shared" si="37"/>
        <v>0.19658703071672345</v>
      </c>
      <c r="Q59" s="905">
        <f t="shared" si="37"/>
        <v>0.11156069364161847</v>
      </c>
      <c r="R59" s="905">
        <f t="shared" si="37"/>
        <v>4.9641478212906875E-2</v>
      </c>
      <c r="S59" s="906">
        <f t="shared" si="37"/>
        <v>-3.5630841121495282E-2</v>
      </c>
      <c r="T59" s="905">
        <f t="shared" si="37"/>
        <v>-3.0233884768967489E-2</v>
      </c>
      <c r="U59" s="905">
        <f t="shared" si="37"/>
        <v>-0.25117004680187205</v>
      </c>
      <c r="V59" s="905">
        <f t="shared" si="37"/>
        <v>-0.22753547031003674</v>
      </c>
      <c r="W59" s="905">
        <f t="shared" si="37"/>
        <v>-9.145972138098124E-2</v>
      </c>
      <c r="X59" s="905">
        <f t="shared" si="37"/>
        <v>-6.4705882352941169E-2</v>
      </c>
      <c r="Y59" s="905">
        <f t="shared" si="37"/>
        <v>-6.25E-2</v>
      </c>
      <c r="Z59" s="905">
        <f t="shared" si="37"/>
        <v>-8.1632653061224469E-2</v>
      </c>
      <c r="AA59" s="905">
        <f t="shared" si="37"/>
        <v>0</v>
      </c>
      <c r="AB59" s="905">
        <f t="shared" si="37"/>
        <v>0.13207547169811318</v>
      </c>
      <c r="AD59" s="901"/>
      <c r="AE59" s="904" t="s">
        <v>950</v>
      </c>
      <c r="AF59" s="899">
        <f>(AF58/AE58)-1</f>
        <v>1.4833451452870303</v>
      </c>
      <c r="AG59" s="900">
        <f>(AG58/AF58)-1</f>
        <v>2.4115296803652875E-2</v>
      </c>
      <c r="AH59" s="900">
        <f>(AH58/AG58)-1</f>
        <v>-0.16399609864846032</v>
      </c>
      <c r="AI59" s="900">
        <f>(AI58/AH58)-1</f>
        <v>0</v>
      </c>
      <c r="AJ59" s="840"/>
      <c r="AK59" s="853"/>
    </row>
    <row r="60" spans="2:38" ht="14.45" customHeight="1" x14ac:dyDescent="0.25">
      <c r="B60" s="759" t="s">
        <v>973</v>
      </c>
      <c r="C60" s="786"/>
      <c r="E60" s="903"/>
      <c r="F60" s="903"/>
      <c r="G60" s="903"/>
      <c r="H60" s="903"/>
      <c r="I60" s="903"/>
      <c r="J60" s="903"/>
      <c r="K60" s="850">
        <f t="shared" ref="K60:S60" si="38">K63/K58</f>
        <v>0.12822402358142962</v>
      </c>
      <c r="L60" s="850">
        <f t="shared" si="38"/>
        <v>0.14129692832764504</v>
      </c>
      <c r="M60" s="850">
        <f t="shared" si="38"/>
        <v>0.13294797687861271</v>
      </c>
      <c r="N60" s="850">
        <f t="shared" si="38"/>
        <v>0.12796469939327082</v>
      </c>
      <c r="O60" s="850">
        <f t="shared" si="38"/>
        <v>0.16822429906542055</v>
      </c>
      <c r="P60" s="850">
        <f t="shared" si="38"/>
        <v>0.14546491728465488</v>
      </c>
      <c r="Q60" s="850">
        <f t="shared" si="38"/>
        <v>0.14456578263130526</v>
      </c>
      <c r="R60" s="850">
        <f t="shared" si="38"/>
        <v>0.15291644771413557</v>
      </c>
      <c r="S60" s="852">
        <f t="shared" si="38"/>
        <v>0.13991520290732889</v>
      </c>
      <c r="T60" s="902">
        <v>0.1535</v>
      </c>
      <c r="U60" s="900">
        <f>AH60</f>
        <v>0.14000000000000001</v>
      </c>
      <c r="V60" s="900">
        <f>U60</f>
        <v>0.14000000000000001</v>
      </c>
      <c r="W60" s="900">
        <f>V60</f>
        <v>0.14000000000000001</v>
      </c>
      <c r="X60" s="900">
        <f>W60</f>
        <v>0.14000000000000001</v>
      </c>
      <c r="Y60" s="900">
        <f>AI60*0.975</f>
        <v>0.12675</v>
      </c>
      <c r="Z60" s="900">
        <f>Y60</f>
        <v>0.12675</v>
      </c>
      <c r="AA60" s="900">
        <f>Z60</f>
        <v>0.12675</v>
      </c>
      <c r="AB60" s="900">
        <f>AA60</f>
        <v>0.12675</v>
      </c>
      <c r="AD60" s="901"/>
      <c r="AE60" s="900">
        <f>SUM(K63:L63)/AE58</f>
        <v>0.13501063075832742</v>
      </c>
      <c r="AF60" s="899">
        <f>AF63/AF58</f>
        <v>0.14340753424657535</v>
      </c>
      <c r="AG60" s="898">
        <f>AG63/AG58</f>
        <v>0.147826389856486</v>
      </c>
      <c r="AH60" s="897">
        <v>0.14000000000000001</v>
      </c>
      <c r="AI60" s="743">
        <v>0.13</v>
      </c>
      <c r="AK60" s="853"/>
    </row>
    <row r="61" spans="2:38" ht="14.45" customHeight="1" x14ac:dyDescent="0.25">
      <c r="B61" s="759" t="s">
        <v>937</v>
      </c>
      <c r="C61" s="786"/>
      <c r="E61" s="896">
        <f t="shared" ref="E61:S61" si="39">E50/E63</f>
        <v>2.0261643564356429</v>
      </c>
      <c r="F61" s="896">
        <f t="shared" si="39"/>
        <v>3.5227072340425454</v>
      </c>
      <c r="G61" s="896">
        <f t="shared" si="39"/>
        <v>3.711333599999993</v>
      </c>
      <c r="H61" s="896">
        <f t="shared" si="39"/>
        <v>2.123674418604645</v>
      </c>
      <c r="I61" s="896">
        <f t="shared" si="39"/>
        <v>2.3303957446808434</v>
      </c>
      <c r="J61" s="896">
        <f t="shared" si="39"/>
        <v>4.9181202395209551</v>
      </c>
      <c r="K61" s="896">
        <f t="shared" si="39"/>
        <v>1.9751724137930946</v>
      </c>
      <c r="L61" s="896">
        <f t="shared" si="39"/>
        <v>2.2691107246376738</v>
      </c>
      <c r="M61" s="896">
        <f t="shared" si="39"/>
        <v>2.2787874782608606</v>
      </c>
      <c r="N61" s="896">
        <f t="shared" si="39"/>
        <v>2.438909655172405</v>
      </c>
      <c r="O61" s="896">
        <f t="shared" si="39"/>
        <v>2.3412779166666571</v>
      </c>
      <c r="P61" s="896">
        <f t="shared" si="39"/>
        <v>2.4358988235294023</v>
      </c>
      <c r="Q61" s="896">
        <f t="shared" si="39"/>
        <v>2.2229136690647371</v>
      </c>
      <c r="R61" s="896">
        <f t="shared" si="39"/>
        <v>3.0983006185566979</v>
      </c>
      <c r="S61" s="895">
        <f t="shared" si="39"/>
        <v>2.9713080519480464</v>
      </c>
      <c r="T61" s="894">
        <v>3.3</v>
      </c>
      <c r="U61" s="893">
        <f>AH61*0.9</f>
        <v>2.7</v>
      </c>
      <c r="V61" s="893">
        <f>AH61*0.92</f>
        <v>2.7600000000000002</v>
      </c>
      <c r="W61" s="893">
        <f>AH61*0.93</f>
        <v>2.79</v>
      </c>
      <c r="X61" s="893">
        <f>AH61*0.97</f>
        <v>2.91</v>
      </c>
      <c r="Y61" s="893">
        <f>$AI$61*0.85</f>
        <v>2.5499999999999998</v>
      </c>
      <c r="Z61" s="893">
        <f>$AI$61*0.94</f>
        <v>2.82</v>
      </c>
      <c r="AA61" s="893">
        <f>$AI$61*0.975</f>
        <v>2.9249999999999998</v>
      </c>
      <c r="AB61" s="893">
        <f>$AI$61</f>
        <v>3</v>
      </c>
      <c r="AD61" s="753">
        <f>AD50/AD63</f>
        <v>2.7850576415094288</v>
      </c>
      <c r="AE61" s="753">
        <f>AE50/AE63</f>
        <v>2.8494888243831573</v>
      </c>
      <c r="AF61" s="753">
        <f>AF50/AF63</f>
        <v>2.3735227860696426</v>
      </c>
      <c r="AG61" s="881">
        <f>AG50/AG63</f>
        <v>2.8908833027004048</v>
      </c>
      <c r="AH61" s="856">
        <v>3</v>
      </c>
      <c r="AI61" s="856">
        <v>3</v>
      </c>
      <c r="AK61" s="853"/>
    </row>
    <row r="62" spans="2:38" ht="14.45" customHeight="1" x14ac:dyDescent="0.2">
      <c r="B62" s="759" t="s">
        <v>1011</v>
      </c>
      <c r="C62" s="786"/>
      <c r="E62" s="656">
        <v>111</v>
      </c>
      <c r="F62" s="656">
        <v>208</v>
      </c>
      <c r="G62" s="656">
        <v>287</v>
      </c>
      <c r="H62" s="656">
        <v>369</v>
      </c>
      <c r="I62" s="656">
        <v>463</v>
      </c>
      <c r="J62" s="656">
        <v>575</v>
      </c>
      <c r="K62" s="656">
        <v>696</v>
      </c>
      <c r="L62" s="656">
        <v>829</v>
      </c>
      <c r="M62" s="656">
        <v>982</v>
      </c>
      <c r="N62" s="656">
        <v>1130</v>
      </c>
      <c r="O62" s="656">
        <v>1240</v>
      </c>
      <c r="P62" s="656">
        <v>1463</v>
      </c>
      <c r="Q62" s="656">
        <v>1614</v>
      </c>
      <c r="R62" s="656">
        <v>1821</v>
      </c>
      <c r="S62" s="767">
        <v>2024</v>
      </c>
      <c r="T62" s="892">
        <f t="shared" ref="T62:AB62" si="40">S67</f>
        <v>2148</v>
      </c>
      <c r="U62" s="892">
        <f t="shared" si="40"/>
        <v>2307.9499999999998</v>
      </c>
      <c r="V62" s="892">
        <f t="shared" si="40"/>
        <v>2384.5499999999997</v>
      </c>
      <c r="W62" s="892">
        <f t="shared" si="40"/>
        <v>2465.35</v>
      </c>
      <c r="X62" s="892">
        <f t="shared" si="40"/>
        <v>2550.35</v>
      </c>
      <c r="Y62" s="892">
        <f t="shared" si="40"/>
        <v>2647.95</v>
      </c>
      <c r="Z62" s="892">
        <f t="shared" si="40"/>
        <v>2656.5625</v>
      </c>
      <c r="AA62" s="892">
        <f t="shared" si="40"/>
        <v>2665.1750000000002</v>
      </c>
      <c r="AB62" s="892">
        <f t="shared" si="40"/>
        <v>2692.8</v>
      </c>
      <c r="AD62" s="797">
        <f>E62</f>
        <v>111</v>
      </c>
      <c r="AE62" s="797">
        <f>I62</f>
        <v>463</v>
      </c>
      <c r="AF62" s="798">
        <f>M62</f>
        <v>982</v>
      </c>
      <c r="AG62" s="797">
        <f>Q62</f>
        <v>1614</v>
      </c>
      <c r="AH62" s="797">
        <f>U62</f>
        <v>2307.9499999999998</v>
      </c>
      <c r="AI62" s="891">
        <f>Y62</f>
        <v>2647.95</v>
      </c>
    </row>
    <row r="63" spans="2:38" ht="14.45" customHeight="1" x14ac:dyDescent="0.2">
      <c r="B63" s="759" t="s">
        <v>943</v>
      </c>
      <c r="C63" s="786"/>
      <c r="E63" s="656">
        <v>101</v>
      </c>
      <c r="F63" s="656">
        <v>94</v>
      </c>
      <c r="G63" s="656">
        <v>100</v>
      </c>
      <c r="H63" s="656">
        <v>129</v>
      </c>
      <c r="I63" s="656">
        <v>141</v>
      </c>
      <c r="J63" s="656">
        <v>167</v>
      </c>
      <c r="K63" s="656">
        <v>174</v>
      </c>
      <c r="L63" s="656">
        <v>207</v>
      </c>
      <c r="M63" s="656">
        <v>230</v>
      </c>
      <c r="N63" s="656">
        <v>232</v>
      </c>
      <c r="O63" s="656">
        <v>288</v>
      </c>
      <c r="P63" s="656">
        <v>255</v>
      </c>
      <c r="Q63" s="656">
        <v>278</v>
      </c>
      <c r="R63" s="656">
        <v>291</v>
      </c>
      <c r="S63" s="767">
        <v>231</v>
      </c>
      <c r="T63" s="772">
        <f t="shared" ref="T63:AB63" si="41">T58*T60</f>
        <v>260.95</v>
      </c>
      <c r="U63" s="772">
        <f t="shared" si="41"/>
        <v>201.60000000000002</v>
      </c>
      <c r="V63" s="772">
        <f t="shared" si="41"/>
        <v>205.8</v>
      </c>
      <c r="W63" s="772">
        <f t="shared" si="41"/>
        <v>210.00000000000003</v>
      </c>
      <c r="X63" s="772">
        <f t="shared" si="41"/>
        <v>222.60000000000002</v>
      </c>
      <c r="Y63" s="772">
        <f t="shared" si="41"/>
        <v>171.11250000000001</v>
      </c>
      <c r="Z63" s="772">
        <f t="shared" si="41"/>
        <v>171.11250000000001</v>
      </c>
      <c r="AA63" s="772">
        <f t="shared" si="41"/>
        <v>190.125</v>
      </c>
      <c r="AB63" s="772">
        <f t="shared" si="41"/>
        <v>228.15</v>
      </c>
      <c r="AD63" s="797">
        <f>SUM(E63:H63)</f>
        <v>424</v>
      </c>
      <c r="AE63" s="797">
        <f>SUM(I63:L63)</f>
        <v>689</v>
      </c>
      <c r="AF63" s="798">
        <f>SUM(M63:P63)</f>
        <v>1005</v>
      </c>
      <c r="AG63" s="797">
        <f>SUM(Q63:T63)</f>
        <v>1060.95</v>
      </c>
      <c r="AH63" s="797">
        <f>SUM(U63:X63)</f>
        <v>840.00000000000011</v>
      </c>
      <c r="AI63" s="798">
        <f>SUM(Y63:AB63)</f>
        <v>760.5</v>
      </c>
    </row>
    <row r="64" spans="2:38" ht="14.45" customHeight="1" x14ac:dyDescent="0.2">
      <c r="B64" s="759" t="s">
        <v>1010</v>
      </c>
      <c r="C64" s="786"/>
      <c r="E64" s="656">
        <v>1</v>
      </c>
      <c r="F64" s="656">
        <v>0</v>
      </c>
      <c r="G64" s="656">
        <v>2</v>
      </c>
      <c r="H64" s="656">
        <v>0</v>
      </c>
      <c r="I64" s="656">
        <v>7</v>
      </c>
      <c r="J64" s="656">
        <v>3</v>
      </c>
      <c r="K64" s="656">
        <v>5</v>
      </c>
      <c r="L64" s="656">
        <v>6</v>
      </c>
      <c r="M64" s="656">
        <v>8</v>
      </c>
      <c r="N64" s="656">
        <v>10</v>
      </c>
      <c r="O64" s="656">
        <v>22</v>
      </c>
      <c r="P64" s="656">
        <v>13</v>
      </c>
      <c r="Q64" s="656">
        <v>25</v>
      </c>
      <c r="R64" s="656">
        <v>18</v>
      </c>
      <c r="S64" s="767">
        <v>15</v>
      </c>
      <c r="T64" s="766">
        <v>0</v>
      </c>
      <c r="U64" s="766">
        <v>0</v>
      </c>
      <c r="V64" s="766">
        <v>0</v>
      </c>
      <c r="W64" s="766">
        <v>0</v>
      </c>
      <c r="X64" s="766">
        <v>0</v>
      </c>
      <c r="Y64" s="766">
        <v>0</v>
      </c>
      <c r="Z64" s="766">
        <v>0</v>
      </c>
      <c r="AA64" s="766">
        <v>0</v>
      </c>
      <c r="AB64" s="766">
        <v>0</v>
      </c>
      <c r="AD64" s="797">
        <f>SUM(E64:H64)</f>
        <v>3</v>
      </c>
      <c r="AE64" s="797">
        <f>SUM(I64:L64)</f>
        <v>21</v>
      </c>
      <c r="AF64" s="798">
        <f>SUM(M64:P64)</f>
        <v>53</v>
      </c>
      <c r="AG64" s="797">
        <f>SUM(Q64:T64)</f>
        <v>58</v>
      </c>
      <c r="AH64" s="797">
        <f>SUM(U64:X64)</f>
        <v>0</v>
      </c>
      <c r="AI64" s="797">
        <f>SUM(Y64:AB64)</f>
        <v>0</v>
      </c>
      <c r="AJ64" s="840"/>
    </row>
    <row r="65" spans="1:38" ht="14.45" customHeight="1" x14ac:dyDescent="0.2">
      <c r="B65" s="759" t="s">
        <v>1009</v>
      </c>
      <c r="C65" s="786"/>
      <c r="E65" s="656">
        <v>-3</v>
      </c>
      <c r="F65" s="656">
        <v>-14</v>
      </c>
      <c r="G65" s="656">
        <v>-19</v>
      </c>
      <c r="H65" s="656">
        <v>-27</v>
      </c>
      <c r="I65" s="656">
        <v>-33</v>
      </c>
      <c r="J65" s="656">
        <v>-38</v>
      </c>
      <c r="K65" s="656">
        <v>-38</v>
      </c>
      <c r="L65" s="656">
        <v>-53</v>
      </c>
      <c r="M65" s="656">
        <v>-69</v>
      </c>
      <c r="N65" s="656">
        <v>-102</v>
      </c>
      <c r="O65" s="656">
        <v>-78</v>
      </c>
      <c r="P65" s="656">
        <v>-97</v>
      </c>
      <c r="Q65" s="656">
        <v>-88</v>
      </c>
      <c r="R65" s="656">
        <v>-101</v>
      </c>
      <c r="S65" s="767">
        <v>-122</v>
      </c>
      <c r="T65" s="772">
        <v>-101</v>
      </c>
      <c r="U65" s="772">
        <f>$AH$65/4</f>
        <v>-125</v>
      </c>
      <c r="V65" s="772">
        <f>$AH$65/4</f>
        <v>-125</v>
      </c>
      <c r="W65" s="772">
        <f>$AH$65/4</f>
        <v>-125</v>
      </c>
      <c r="X65" s="772">
        <f>$AH$65/4</f>
        <v>-125</v>
      </c>
      <c r="Y65" s="772">
        <f>$AI$65/4</f>
        <v>-162.5</v>
      </c>
      <c r="Z65" s="772">
        <f>$AI$65/4</f>
        <v>-162.5</v>
      </c>
      <c r="AA65" s="772">
        <f>$AI$65/4</f>
        <v>-162.5</v>
      </c>
      <c r="AB65" s="772">
        <f>$AI$65/4</f>
        <v>-162.5</v>
      </c>
      <c r="AD65" s="797">
        <f>SUM(E65:H65)</f>
        <v>-63</v>
      </c>
      <c r="AE65" s="797">
        <f>SUM(I65:L65)</f>
        <v>-162</v>
      </c>
      <c r="AF65" s="797">
        <f>SUM(M65:P65)</f>
        <v>-346</v>
      </c>
      <c r="AG65" s="768">
        <f>SUM(Q65:T65)</f>
        <v>-412</v>
      </c>
      <c r="AH65" s="691">
        <v>-500</v>
      </c>
      <c r="AI65" s="691">
        <v>-650</v>
      </c>
    </row>
    <row r="66" spans="1:38" ht="14.45" customHeight="1" x14ac:dyDescent="0.2">
      <c r="B66" s="759" t="s">
        <v>1008</v>
      </c>
      <c r="C66" s="786"/>
      <c r="E66" s="656">
        <v>-2</v>
      </c>
      <c r="F66" s="656">
        <v>-1</v>
      </c>
      <c r="G66" s="656">
        <v>-1</v>
      </c>
      <c r="H66" s="656">
        <v>-8</v>
      </c>
      <c r="I66" s="656">
        <v>-3</v>
      </c>
      <c r="J66" s="656">
        <v>-11</v>
      </c>
      <c r="K66" s="656">
        <v>-8</v>
      </c>
      <c r="L66" s="656">
        <v>-7</v>
      </c>
      <c r="M66" s="656">
        <v>-21</v>
      </c>
      <c r="N66" s="656">
        <v>-30</v>
      </c>
      <c r="O66" s="656">
        <v>-9</v>
      </c>
      <c r="P66" s="656">
        <v>-20</v>
      </c>
      <c r="Q66" s="656">
        <v>-8</v>
      </c>
      <c r="R66" s="656">
        <v>-5</v>
      </c>
      <c r="S66" s="767">
        <v>0</v>
      </c>
      <c r="T66" s="766">
        <v>0</v>
      </c>
      <c r="U66" s="766">
        <v>0</v>
      </c>
      <c r="V66" s="766">
        <v>0</v>
      </c>
      <c r="W66" s="766">
        <v>0</v>
      </c>
      <c r="X66" s="766">
        <v>0</v>
      </c>
      <c r="Y66" s="766">
        <v>0</v>
      </c>
      <c r="Z66" s="766">
        <v>0</v>
      </c>
      <c r="AA66" s="766">
        <v>0</v>
      </c>
      <c r="AB66" s="766">
        <v>0</v>
      </c>
      <c r="AD66" s="797">
        <f>SUM(E66:H66)</f>
        <v>-12</v>
      </c>
      <c r="AE66" s="797">
        <f>SUM(I66:L66)</f>
        <v>-29</v>
      </c>
      <c r="AF66" s="798">
        <f>SUM(M66:P66)</f>
        <v>-80</v>
      </c>
      <c r="AG66" s="797">
        <f>SUM(Q66:T66)</f>
        <v>-13</v>
      </c>
      <c r="AH66" s="797">
        <f>SUM(U66:X66)</f>
        <v>0</v>
      </c>
      <c r="AI66" s="891">
        <f>SUM(Y66:AB66)</f>
        <v>0</v>
      </c>
    </row>
    <row r="67" spans="1:38" ht="14.45" customHeight="1" x14ac:dyDescent="0.2">
      <c r="B67" s="759" t="s">
        <v>1007</v>
      </c>
      <c r="C67" s="786"/>
      <c r="E67" s="654">
        <f t="shared" ref="E67:S67" si="42">SUM(E62:E66)</f>
        <v>208</v>
      </c>
      <c r="F67" s="654">
        <f t="shared" si="42"/>
        <v>287</v>
      </c>
      <c r="G67" s="654">
        <f t="shared" si="42"/>
        <v>369</v>
      </c>
      <c r="H67" s="654">
        <f t="shared" si="42"/>
        <v>463</v>
      </c>
      <c r="I67" s="654">
        <f t="shared" si="42"/>
        <v>575</v>
      </c>
      <c r="J67" s="654">
        <f t="shared" si="42"/>
        <v>696</v>
      </c>
      <c r="K67" s="654">
        <f t="shared" si="42"/>
        <v>829</v>
      </c>
      <c r="L67" s="654">
        <f t="shared" si="42"/>
        <v>982</v>
      </c>
      <c r="M67" s="654">
        <f t="shared" si="42"/>
        <v>1130</v>
      </c>
      <c r="N67" s="654">
        <f t="shared" si="42"/>
        <v>1240</v>
      </c>
      <c r="O67" s="654">
        <f t="shared" si="42"/>
        <v>1463</v>
      </c>
      <c r="P67" s="654">
        <f t="shared" si="42"/>
        <v>1614</v>
      </c>
      <c r="Q67" s="654">
        <f t="shared" si="42"/>
        <v>1821</v>
      </c>
      <c r="R67" s="654">
        <f t="shared" si="42"/>
        <v>2024</v>
      </c>
      <c r="S67" s="764">
        <f t="shared" si="42"/>
        <v>2148</v>
      </c>
      <c r="T67" s="654">
        <f t="shared" ref="T67:AB67" si="43">T63+T62+T65</f>
        <v>2307.9499999999998</v>
      </c>
      <c r="U67" s="654">
        <f t="shared" si="43"/>
        <v>2384.5499999999997</v>
      </c>
      <c r="V67" s="654">
        <f t="shared" si="43"/>
        <v>2465.35</v>
      </c>
      <c r="W67" s="654">
        <f t="shared" si="43"/>
        <v>2550.35</v>
      </c>
      <c r="X67" s="654">
        <f t="shared" si="43"/>
        <v>2647.95</v>
      </c>
      <c r="Y67" s="654">
        <f t="shared" si="43"/>
        <v>2656.5625</v>
      </c>
      <c r="Z67" s="654">
        <f t="shared" si="43"/>
        <v>2665.1750000000002</v>
      </c>
      <c r="AA67" s="654">
        <f t="shared" si="43"/>
        <v>2692.8</v>
      </c>
      <c r="AB67" s="654">
        <f t="shared" si="43"/>
        <v>2758.4500000000003</v>
      </c>
      <c r="AD67" s="797">
        <f>H67</f>
        <v>463</v>
      </c>
      <c r="AE67" s="797">
        <f>L67</f>
        <v>982</v>
      </c>
      <c r="AF67" s="798">
        <f>P67</f>
        <v>1614</v>
      </c>
      <c r="AG67" s="797">
        <f>T67</f>
        <v>2307.9499999999998</v>
      </c>
      <c r="AH67" s="797">
        <f>X67</f>
        <v>2647.95</v>
      </c>
      <c r="AI67" s="890">
        <f>AB67</f>
        <v>2758.4500000000003</v>
      </c>
    </row>
    <row r="68" spans="1:38" ht="14.45" customHeight="1" x14ac:dyDescent="0.2">
      <c r="B68" s="750" t="s">
        <v>942</v>
      </c>
      <c r="C68" s="889"/>
      <c r="D68" s="748"/>
      <c r="E68" s="745">
        <f t="shared" ref="E68:S68" si="44">E51/E55</f>
        <v>7.7118028057954424E-2</v>
      </c>
      <c r="F68" s="745">
        <f t="shared" si="44"/>
        <v>0.10716764822644609</v>
      </c>
      <c r="G68" s="745">
        <f t="shared" si="44"/>
        <v>6.1091620452777565E-2</v>
      </c>
      <c r="H68" s="745">
        <f t="shared" si="44"/>
        <v>9.4713003522660558E-2</v>
      </c>
      <c r="I68" s="745">
        <f t="shared" si="44"/>
        <v>7.3392676066305035E-2</v>
      </c>
      <c r="J68" s="745">
        <f t="shared" si="44"/>
        <v>0.1176670904063075</v>
      </c>
      <c r="K68" s="745">
        <f t="shared" si="44"/>
        <v>6.5177641258465702E-2</v>
      </c>
      <c r="L68" s="745">
        <f t="shared" si="44"/>
        <v>4.1367200079479215E-2</v>
      </c>
      <c r="M68" s="745">
        <f t="shared" si="44"/>
        <v>7.715864012735163E-2</v>
      </c>
      <c r="N68" s="745">
        <f t="shared" si="44"/>
        <v>8.3535893992087648E-2</v>
      </c>
      <c r="O68" s="745">
        <f t="shared" si="44"/>
        <v>6.2308059357837571E-2</v>
      </c>
      <c r="P68" s="745">
        <f t="shared" si="44"/>
        <v>8.6269474190313764E-2</v>
      </c>
      <c r="Q68" s="745">
        <f t="shared" si="44"/>
        <v>0.10887997320317228</v>
      </c>
      <c r="R68" s="745">
        <f t="shared" si="44"/>
        <v>9.2033670270988993E-2</v>
      </c>
      <c r="S68" s="744">
        <f t="shared" si="44"/>
        <v>9.238825618557385E-2</v>
      </c>
      <c r="T68" s="747">
        <v>0.10489999999999999</v>
      </c>
      <c r="U68" s="745">
        <v>0.08</v>
      </c>
      <c r="V68" s="745">
        <v>0.08</v>
      </c>
      <c r="W68" s="745">
        <v>0.08</v>
      </c>
      <c r="X68" s="745">
        <v>0.08</v>
      </c>
      <c r="Y68" s="745">
        <v>7.0000000000000007E-2</v>
      </c>
      <c r="Z68" s="745">
        <v>7.0000000000000007E-2</v>
      </c>
      <c r="AA68" s="745">
        <v>7.0000000000000007E-2</v>
      </c>
      <c r="AB68" s="745">
        <v>7.0000000000000007E-2</v>
      </c>
      <c r="AC68" s="748"/>
      <c r="AD68" s="745">
        <f>AD51/AD55</f>
        <v>0.7243817162756524</v>
      </c>
      <c r="AE68" s="745">
        <f>AE51/AE55</f>
        <v>0.42557232169811343</v>
      </c>
      <c r="AF68" s="745">
        <f>AF51/AF55</f>
        <v>0.38280959010361182</v>
      </c>
      <c r="AG68" s="888">
        <f>AG51/AG55</f>
        <v>0.50971263198953665</v>
      </c>
      <c r="AH68" s="743">
        <v>0.35249999999999998</v>
      </c>
      <c r="AI68" s="743">
        <v>0.33350000000000002</v>
      </c>
    </row>
    <row r="69" spans="1:38" ht="14.45" customHeight="1" x14ac:dyDescent="0.2">
      <c r="B69" s="816"/>
      <c r="C69" s="816"/>
      <c r="R69" s="887"/>
      <c r="AD69" s="886"/>
      <c r="AE69" s="886"/>
      <c r="AF69" s="886"/>
      <c r="AG69" s="886"/>
      <c r="AH69" s="886"/>
      <c r="AI69" s="886"/>
    </row>
    <row r="70" spans="1:38" s="566" customFormat="1" ht="12.75" customHeight="1" x14ac:dyDescent="0.2">
      <c r="A70" s="815" t="s">
        <v>1018</v>
      </c>
      <c r="B70" s="814" t="s">
        <v>1037</v>
      </c>
      <c r="C70" s="814"/>
      <c r="D70" s="812"/>
      <c r="E70" s="812"/>
      <c r="F70" s="812"/>
      <c r="G70" s="812"/>
      <c r="H70" s="812"/>
      <c r="I70" s="812"/>
      <c r="J70" s="812"/>
      <c r="K70" s="812"/>
      <c r="L70" s="812"/>
      <c r="M70" s="812"/>
      <c r="N70" s="812"/>
      <c r="O70" s="813"/>
      <c r="P70" s="812"/>
      <c r="Q70" s="812"/>
      <c r="R70" s="812"/>
      <c r="S70" s="812"/>
      <c r="T70" s="812"/>
      <c r="U70" s="812"/>
      <c r="V70" s="812"/>
      <c r="W70" s="812"/>
      <c r="X70" s="812"/>
      <c r="Y70" s="812"/>
      <c r="Z70" s="812"/>
      <c r="AA70" s="812"/>
      <c r="AB70" s="812"/>
      <c r="AC70" s="812"/>
      <c r="AD70" s="811"/>
      <c r="AE70" s="811"/>
      <c r="AF70" s="811"/>
      <c r="AG70" s="811"/>
      <c r="AH70" s="811"/>
      <c r="AI70" s="811"/>
    </row>
    <row r="71" spans="1:38" ht="14.45" customHeight="1" x14ac:dyDescent="0.2">
      <c r="B71" s="810"/>
      <c r="C71" s="810"/>
      <c r="D71" s="809"/>
      <c r="E71" s="808"/>
      <c r="F71" s="808"/>
      <c r="G71" s="808"/>
      <c r="H71" s="808"/>
      <c r="I71" s="808"/>
      <c r="J71" s="808"/>
      <c r="K71" s="808"/>
      <c r="L71" s="808"/>
      <c r="M71" s="808"/>
      <c r="N71" s="808"/>
      <c r="O71" s="808"/>
      <c r="P71" s="808"/>
      <c r="Q71" s="808"/>
      <c r="R71" s="808"/>
      <c r="S71" s="808"/>
      <c r="T71" s="808"/>
      <c r="U71" s="808"/>
      <c r="V71" s="808"/>
      <c r="W71" s="808"/>
      <c r="X71" s="808"/>
      <c r="Y71" s="808"/>
      <c r="Z71" s="808"/>
      <c r="AA71" s="808"/>
      <c r="AB71" s="808"/>
      <c r="AD71" s="807"/>
      <c r="AE71" s="807"/>
      <c r="AF71" s="807"/>
      <c r="AG71" s="807"/>
      <c r="AH71" s="807"/>
      <c r="AI71" s="807"/>
    </row>
    <row r="72" spans="1:38" ht="14.45" customHeight="1" x14ac:dyDescent="0.2">
      <c r="B72" s="885" t="s">
        <v>1036</v>
      </c>
      <c r="C72" s="884"/>
      <c r="D72" s="804"/>
      <c r="E72" s="802"/>
      <c r="F72" s="802"/>
      <c r="G72" s="802"/>
      <c r="H72" s="802"/>
      <c r="I72" s="802"/>
      <c r="J72" s="802"/>
      <c r="K72" s="802"/>
      <c r="L72" s="802"/>
      <c r="M72" s="802"/>
      <c r="N72" s="802"/>
      <c r="O72" s="802"/>
      <c r="P72" s="802"/>
      <c r="Q72" s="802"/>
      <c r="R72" s="802"/>
      <c r="S72" s="803"/>
      <c r="T72" s="802"/>
      <c r="U72" s="802"/>
      <c r="V72" s="802"/>
      <c r="W72" s="802"/>
      <c r="X72" s="802"/>
      <c r="Y72" s="802"/>
      <c r="Z72" s="802"/>
      <c r="AA72" s="802"/>
      <c r="AB72" s="802"/>
      <c r="AC72" s="802"/>
      <c r="AD72" s="801"/>
      <c r="AE72" s="801"/>
      <c r="AF72" s="800"/>
      <c r="AG72" s="801"/>
      <c r="AH72" s="801"/>
      <c r="AI72" s="800"/>
    </row>
    <row r="73" spans="1:38" ht="14.45" customHeight="1" x14ac:dyDescent="0.2">
      <c r="A73" s="733" t="s">
        <v>1018</v>
      </c>
      <c r="B73" s="863" t="s">
        <v>313</v>
      </c>
      <c r="C73" s="862"/>
      <c r="D73" s="862"/>
      <c r="S73" s="780"/>
      <c r="AD73" s="786"/>
      <c r="AE73" s="786"/>
      <c r="AF73" s="785"/>
      <c r="AG73" s="786"/>
      <c r="AH73" s="786"/>
      <c r="AI73" s="785"/>
    </row>
    <row r="74" spans="1:38" ht="14.45" customHeight="1" x14ac:dyDescent="0.2">
      <c r="B74" s="759" t="s">
        <v>1015</v>
      </c>
      <c r="C74" s="862"/>
      <c r="D74" s="862"/>
      <c r="E74" s="656">
        <v>0</v>
      </c>
      <c r="F74" s="656">
        <v>0</v>
      </c>
      <c r="G74" s="656">
        <v>1.1879999999999999</v>
      </c>
      <c r="H74" s="656">
        <v>0</v>
      </c>
      <c r="I74" s="656">
        <v>0</v>
      </c>
      <c r="J74" s="656">
        <v>0</v>
      </c>
      <c r="K74" s="656">
        <v>0</v>
      </c>
      <c r="L74" s="656">
        <v>2.3879999999999999</v>
      </c>
      <c r="M74" s="656">
        <v>0</v>
      </c>
      <c r="N74" s="656">
        <v>7.8</v>
      </c>
      <c r="O74" s="656">
        <v>75.200040000000001</v>
      </c>
      <c r="P74" s="656">
        <v>67.8</v>
      </c>
      <c r="Q74" s="656">
        <v>156.99995999999999</v>
      </c>
      <c r="R74" s="656">
        <v>20.499959999999998</v>
      </c>
      <c r="S74" s="767">
        <v>80.000039999999998</v>
      </c>
      <c r="T74" s="797">
        <f t="shared" ref="T74:AB74" si="45">T82*T84</f>
        <v>337.5</v>
      </c>
      <c r="U74" s="797">
        <f t="shared" si="45"/>
        <v>0</v>
      </c>
      <c r="V74" s="797">
        <f t="shared" si="45"/>
        <v>0</v>
      </c>
      <c r="W74" s="797">
        <f t="shared" si="45"/>
        <v>0</v>
      </c>
      <c r="X74" s="797">
        <f t="shared" si="45"/>
        <v>0</v>
      </c>
      <c r="Y74" s="797">
        <f t="shared" si="45"/>
        <v>0</v>
      </c>
      <c r="Z74" s="797">
        <f t="shared" si="45"/>
        <v>0</v>
      </c>
      <c r="AA74" s="797">
        <f t="shared" si="45"/>
        <v>0</v>
      </c>
      <c r="AB74" s="797">
        <f t="shared" si="45"/>
        <v>0</v>
      </c>
      <c r="AD74" s="797">
        <f>SUM(E74:H74)</f>
        <v>1.1879999999999999</v>
      </c>
      <c r="AE74" s="797">
        <f>SUM(I74:L74)</f>
        <v>2.3879999999999999</v>
      </c>
      <c r="AF74" s="798">
        <f>SUM(M74:P74)</f>
        <v>150.80004</v>
      </c>
      <c r="AG74" s="797">
        <f>SUM(Q74:T74)</f>
        <v>594.99995999999999</v>
      </c>
      <c r="AH74" s="797">
        <f>SUM(U74:X74)</f>
        <v>0</v>
      </c>
      <c r="AI74" s="798">
        <f>SUM(Y74:AB74)</f>
        <v>0</v>
      </c>
      <c r="AK74" s="797"/>
      <c r="AL74" s="797"/>
    </row>
    <row r="75" spans="1:38" ht="14.45" customHeight="1" x14ac:dyDescent="0.35">
      <c r="B75" s="759" t="s">
        <v>1014</v>
      </c>
      <c r="C75" s="862"/>
      <c r="D75" s="862"/>
      <c r="E75" s="580">
        <v>0</v>
      </c>
      <c r="F75" s="580">
        <v>0</v>
      </c>
      <c r="G75" s="580">
        <v>0</v>
      </c>
      <c r="H75" s="580">
        <v>0</v>
      </c>
      <c r="I75" s="580">
        <v>1.2</v>
      </c>
      <c r="J75" s="580">
        <v>0</v>
      </c>
      <c r="K75" s="580">
        <v>0</v>
      </c>
      <c r="L75" s="580">
        <v>0</v>
      </c>
      <c r="M75" s="580">
        <v>0</v>
      </c>
      <c r="N75" s="580">
        <v>2.4000000000000004</v>
      </c>
      <c r="O75" s="580">
        <v>2.4000000000000004</v>
      </c>
      <c r="P75" s="580">
        <v>27.39996</v>
      </c>
      <c r="Q75" s="580">
        <v>5.4000000000000021</v>
      </c>
      <c r="R75" s="580">
        <v>3.0119999999999996</v>
      </c>
      <c r="S75" s="796">
        <v>0</v>
      </c>
      <c r="T75" s="712">
        <f t="shared" ref="T75:AB75" si="46">T79*T90</f>
        <v>86.767822349999989</v>
      </c>
      <c r="U75" s="712">
        <f t="shared" si="46"/>
        <v>0</v>
      </c>
      <c r="V75" s="712">
        <f t="shared" si="46"/>
        <v>0</v>
      </c>
      <c r="W75" s="712">
        <f t="shared" si="46"/>
        <v>0</v>
      </c>
      <c r="X75" s="712">
        <f t="shared" si="46"/>
        <v>0</v>
      </c>
      <c r="Y75" s="712">
        <f t="shared" si="46"/>
        <v>0</v>
      </c>
      <c r="Z75" s="712">
        <f t="shared" si="46"/>
        <v>0</v>
      </c>
      <c r="AA75" s="712">
        <f t="shared" si="46"/>
        <v>0</v>
      </c>
      <c r="AB75" s="712">
        <f t="shared" si="46"/>
        <v>0</v>
      </c>
      <c r="AD75" s="712">
        <f>SUM(E75:H75)</f>
        <v>0</v>
      </c>
      <c r="AE75" s="712">
        <f>SUM(I75:L75)</f>
        <v>1.2</v>
      </c>
      <c r="AF75" s="795">
        <f>SUM(M75:P75)</f>
        <v>32.199960000000004</v>
      </c>
      <c r="AG75" s="712">
        <f>SUM(Q75:T75)</f>
        <v>95.179822349999995</v>
      </c>
      <c r="AH75" s="712">
        <f>SUM(U75:X75)</f>
        <v>0</v>
      </c>
      <c r="AI75" s="795">
        <f>SUM(Y75:AB75)</f>
        <v>0</v>
      </c>
      <c r="AK75" s="712"/>
      <c r="AL75" s="712"/>
    </row>
    <row r="76" spans="1:38" ht="14.45" customHeight="1" x14ac:dyDescent="0.2">
      <c r="B76" s="859" t="s">
        <v>875</v>
      </c>
      <c r="C76" s="862"/>
      <c r="D76" s="862"/>
      <c r="E76" s="790">
        <f t="shared" ref="E76:AB76" si="47">SUM(E74:E75)</f>
        <v>0</v>
      </c>
      <c r="F76" s="790">
        <f t="shared" si="47"/>
        <v>0</v>
      </c>
      <c r="G76" s="790">
        <f t="shared" si="47"/>
        <v>1.1879999999999999</v>
      </c>
      <c r="H76" s="790">
        <f t="shared" si="47"/>
        <v>0</v>
      </c>
      <c r="I76" s="790">
        <f t="shared" si="47"/>
        <v>1.2</v>
      </c>
      <c r="J76" s="790">
        <f t="shared" si="47"/>
        <v>0</v>
      </c>
      <c r="K76" s="790">
        <f t="shared" si="47"/>
        <v>0</v>
      </c>
      <c r="L76" s="790">
        <f t="shared" si="47"/>
        <v>2.3879999999999999</v>
      </c>
      <c r="M76" s="790">
        <f t="shared" si="47"/>
        <v>0</v>
      </c>
      <c r="N76" s="790">
        <f t="shared" si="47"/>
        <v>10.199999999999999</v>
      </c>
      <c r="O76" s="790">
        <f t="shared" si="47"/>
        <v>77.600040000000007</v>
      </c>
      <c r="P76" s="790">
        <f t="shared" si="47"/>
        <v>95.199960000000004</v>
      </c>
      <c r="Q76" s="790">
        <f t="shared" si="47"/>
        <v>162.39995999999999</v>
      </c>
      <c r="R76" s="790">
        <f t="shared" si="47"/>
        <v>23.511959999999998</v>
      </c>
      <c r="S76" s="794">
        <f t="shared" si="47"/>
        <v>80.000039999999998</v>
      </c>
      <c r="T76" s="790">
        <f t="shared" si="47"/>
        <v>424.26782234999996</v>
      </c>
      <c r="U76" s="790">
        <f t="shared" si="47"/>
        <v>0</v>
      </c>
      <c r="V76" s="790">
        <f t="shared" si="47"/>
        <v>0</v>
      </c>
      <c r="W76" s="790">
        <f t="shared" si="47"/>
        <v>0</v>
      </c>
      <c r="X76" s="790">
        <f t="shared" si="47"/>
        <v>0</v>
      </c>
      <c r="Y76" s="790">
        <f t="shared" si="47"/>
        <v>0</v>
      </c>
      <c r="Z76" s="790">
        <f t="shared" si="47"/>
        <v>0</v>
      </c>
      <c r="AA76" s="790">
        <f t="shared" si="47"/>
        <v>0</v>
      </c>
      <c r="AB76" s="790">
        <f t="shared" si="47"/>
        <v>0</v>
      </c>
      <c r="AD76" s="790">
        <f t="shared" ref="AD76:AI76" si="48">SUM(AD74:AD75)</f>
        <v>1.1879999999999999</v>
      </c>
      <c r="AE76" s="790">
        <f t="shared" si="48"/>
        <v>3.5880000000000001</v>
      </c>
      <c r="AF76" s="794">
        <f t="shared" si="48"/>
        <v>183</v>
      </c>
      <c r="AG76" s="790">
        <f t="shared" si="48"/>
        <v>690.17978234999998</v>
      </c>
      <c r="AH76" s="790">
        <f t="shared" si="48"/>
        <v>0</v>
      </c>
      <c r="AI76" s="794">
        <f t="shared" si="48"/>
        <v>0</v>
      </c>
    </row>
    <row r="77" spans="1:38" ht="14.45" customHeight="1" x14ac:dyDescent="0.2">
      <c r="B77" s="793" t="s">
        <v>974</v>
      </c>
      <c r="C77" s="862"/>
      <c r="D77" s="862"/>
      <c r="I77" s="791" t="str">
        <f t="shared" ref="I77:AB77" si="49">IFERROR(I76/E76-1,"-")</f>
        <v>-</v>
      </c>
      <c r="J77" s="791" t="str">
        <f t="shared" si="49"/>
        <v>-</v>
      </c>
      <c r="K77" s="791">
        <f t="shared" si="49"/>
        <v>-1</v>
      </c>
      <c r="L77" s="791" t="str">
        <f t="shared" si="49"/>
        <v>-</v>
      </c>
      <c r="M77" s="791">
        <f t="shared" si="49"/>
        <v>-1</v>
      </c>
      <c r="N77" s="791" t="str">
        <f t="shared" si="49"/>
        <v>-</v>
      </c>
      <c r="O77" s="791" t="str">
        <f t="shared" si="49"/>
        <v>-</v>
      </c>
      <c r="P77" s="791">
        <f t="shared" si="49"/>
        <v>38.865979899497489</v>
      </c>
      <c r="Q77" s="791" t="str">
        <f t="shared" si="49"/>
        <v>-</v>
      </c>
      <c r="R77" s="791">
        <f t="shared" si="49"/>
        <v>1.3050941176470587</v>
      </c>
      <c r="S77" s="792">
        <f t="shared" si="49"/>
        <v>3.092781910937159E-2</v>
      </c>
      <c r="T77" s="791">
        <f t="shared" si="49"/>
        <v>3.4565966451036321</v>
      </c>
      <c r="U77" s="791">
        <f t="shared" si="49"/>
        <v>-1</v>
      </c>
      <c r="V77" s="791">
        <f t="shared" si="49"/>
        <v>-1</v>
      </c>
      <c r="W77" s="791">
        <f t="shared" si="49"/>
        <v>-1</v>
      </c>
      <c r="X77" s="791">
        <f t="shared" si="49"/>
        <v>-1</v>
      </c>
      <c r="Y77" s="791" t="str">
        <f t="shared" si="49"/>
        <v>-</v>
      </c>
      <c r="Z77" s="791" t="str">
        <f t="shared" si="49"/>
        <v>-</v>
      </c>
      <c r="AA77" s="791" t="str">
        <f t="shared" si="49"/>
        <v>-</v>
      </c>
      <c r="AB77" s="791" t="str">
        <f t="shared" si="49"/>
        <v>-</v>
      </c>
      <c r="AD77" s="790"/>
      <c r="AE77" s="789">
        <f>IFERROR(AE76/AD76-1,"-")</f>
        <v>2.0202020202020203</v>
      </c>
      <c r="AF77" s="788">
        <f>IFERROR(AF76/AE76-1,"-")</f>
        <v>50.003344481605353</v>
      </c>
      <c r="AG77" s="789">
        <f>IFERROR(AG76/AF76-1,"-")</f>
        <v>2.771474220491803</v>
      </c>
      <c r="AH77" s="789">
        <f>IFERROR(AH76/AG76-1,"-")</f>
        <v>-1</v>
      </c>
      <c r="AI77" s="788" t="str">
        <f>IFERROR(AI76/AH76-1,"-")</f>
        <v>-</v>
      </c>
    </row>
    <row r="78" spans="1:38" ht="14.45" customHeight="1" x14ac:dyDescent="0.2">
      <c r="B78" s="883"/>
      <c r="C78" s="862"/>
      <c r="D78" s="862"/>
      <c r="S78" s="780"/>
      <c r="AD78" s="790"/>
      <c r="AE78" s="790"/>
      <c r="AF78" s="794"/>
      <c r="AG78" s="790"/>
      <c r="AH78" s="790"/>
      <c r="AI78" s="794"/>
    </row>
    <row r="79" spans="1:38" ht="14.45" customHeight="1" x14ac:dyDescent="0.2">
      <c r="B79" s="783" t="s">
        <v>1013</v>
      </c>
      <c r="C79" s="862"/>
      <c r="D79" s="862"/>
      <c r="E79" s="656">
        <v>0</v>
      </c>
      <c r="F79" s="656">
        <v>0</v>
      </c>
      <c r="G79" s="656">
        <v>0</v>
      </c>
      <c r="H79" s="656">
        <v>1.1879999999999999</v>
      </c>
      <c r="I79" s="656">
        <v>1.1879999999999999</v>
      </c>
      <c r="J79" s="656">
        <v>2.3879999999999999</v>
      </c>
      <c r="K79" s="656">
        <v>2.3879999999999999</v>
      </c>
      <c r="L79" s="656">
        <v>2.3879999999999999</v>
      </c>
      <c r="M79" s="656">
        <v>4.7759999999999998</v>
      </c>
      <c r="N79" s="656">
        <v>4.7759999999999998</v>
      </c>
      <c r="O79" s="656">
        <v>14.976000000000001</v>
      </c>
      <c r="P79" s="656">
        <v>92.576040000000006</v>
      </c>
      <c r="Q79" s="656">
        <v>187.77599999999998</v>
      </c>
      <c r="R79" s="656">
        <v>350.17595999999992</v>
      </c>
      <c r="S79" s="767">
        <v>373.68791999999991</v>
      </c>
      <c r="T79" s="656">
        <f>'Revenue Build'!S65</f>
        <v>453.68795999999992</v>
      </c>
      <c r="U79" s="656">
        <f>'Revenue Build'!T65</f>
        <v>875.68734254999993</v>
      </c>
      <c r="V79" s="656">
        <f>'Revenue Build'!U65</f>
        <v>871.30890583724999</v>
      </c>
      <c r="W79" s="656">
        <f>'Revenue Build'!V65</f>
        <v>866.95236130806381</v>
      </c>
      <c r="X79" s="656">
        <f>'Revenue Build'!W65</f>
        <v>862.6175995015235</v>
      </c>
      <c r="Y79" s="656">
        <f>'Revenue Build'!X65</f>
        <v>858.30451150401586</v>
      </c>
      <c r="Z79" s="656">
        <f>'Revenue Build'!Y65</f>
        <v>854.01298894649574</v>
      </c>
      <c r="AA79" s="656">
        <f>'Revenue Build'!Z65</f>
        <v>849.74292400176319</v>
      </c>
      <c r="AB79" s="656">
        <f>'Revenue Build'!AA65</f>
        <v>845.49420938175433</v>
      </c>
      <c r="AD79" s="656">
        <f>'Revenue Build'!AC65</f>
        <v>0</v>
      </c>
      <c r="AE79" s="656">
        <f>'Revenue Build'!AD65</f>
        <v>1.1879999999999999</v>
      </c>
      <c r="AF79" s="767">
        <f>'Revenue Build'!AE65</f>
        <v>4.7759999999999998</v>
      </c>
      <c r="AG79" s="656">
        <f>'Revenue Build'!AF65</f>
        <v>187.77600000000001</v>
      </c>
      <c r="AH79" s="656">
        <f>'Revenue Build'!AG65</f>
        <v>875.68734254999993</v>
      </c>
      <c r="AI79" s="767">
        <f>'Revenue Build'!AH65</f>
        <v>858.30451150401575</v>
      </c>
    </row>
    <row r="80" spans="1:38" ht="14.45" customHeight="1" x14ac:dyDescent="0.2">
      <c r="B80" s="864"/>
      <c r="C80" s="862"/>
      <c r="D80" s="862"/>
      <c r="S80" s="780"/>
      <c r="AD80" s="786"/>
      <c r="AE80" s="786"/>
      <c r="AF80" s="785"/>
      <c r="AG80" s="786"/>
      <c r="AH80" s="786"/>
      <c r="AI80" s="785"/>
    </row>
    <row r="81" spans="2:35" ht="14.45" customHeight="1" x14ac:dyDescent="0.2">
      <c r="B81" s="783" t="s">
        <v>1035</v>
      </c>
      <c r="C81" s="862"/>
      <c r="D81" s="862"/>
      <c r="S81" s="780"/>
      <c r="AD81" s="786"/>
      <c r="AE81" s="786"/>
      <c r="AF81" s="785"/>
      <c r="AG81" s="786"/>
      <c r="AH81" s="786"/>
      <c r="AI81" s="785"/>
    </row>
    <row r="82" spans="2:35" ht="14.45" customHeight="1" x14ac:dyDescent="0.2">
      <c r="B82" s="759" t="s">
        <v>937</v>
      </c>
      <c r="C82" s="862"/>
      <c r="D82" s="862"/>
      <c r="E82" s="755" t="str">
        <f t="shared" ref="E82:S82" si="50">IFERROR(E74/E84,"-")</f>
        <v>-</v>
      </c>
      <c r="F82" s="755" t="str">
        <f t="shared" si="50"/>
        <v>-</v>
      </c>
      <c r="G82" s="755">
        <f t="shared" si="50"/>
        <v>1.1879999999999999</v>
      </c>
      <c r="H82" s="755" t="str">
        <f t="shared" si="50"/>
        <v>-</v>
      </c>
      <c r="I82" s="755" t="str">
        <f t="shared" si="50"/>
        <v>-</v>
      </c>
      <c r="J82" s="755" t="str">
        <f t="shared" si="50"/>
        <v>-</v>
      </c>
      <c r="K82" s="755" t="str">
        <f t="shared" si="50"/>
        <v>-</v>
      </c>
      <c r="L82" s="755">
        <f t="shared" si="50"/>
        <v>2.3879999999999999</v>
      </c>
      <c r="M82" s="755" t="str">
        <f t="shared" si="50"/>
        <v>-</v>
      </c>
      <c r="N82" s="755">
        <f t="shared" si="50"/>
        <v>7.8</v>
      </c>
      <c r="O82" s="755">
        <f t="shared" si="50"/>
        <v>37.600020000000001</v>
      </c>
      <c r="P82" s="755">
        <f t="shared" si="50"/>
        <v>67.8</v>
      </c>
      <c r="Q82" s="755">
        <f t="shared" si="50"/>
        <v>156.99995999999999</v>
      </c>
      <c r="R82" s="755">
        <f t="shared" si="50"/>
        <v>20.499959999999998</v>
      </c>
      <c r="S82" s="882">
        <f t="shared" si="50"/>
        <v>80.000039999999998</v>
      </c>
      <c r="T82" s="756">
        <v>37.5</v>
      </c>
      <c r="U82" s="755">
        <f>AH82</f>
        <v>45</v>
      </c>
      <c r="V82" s="755">
        <f>U82</f>
        <v>45</v>
      </c>
      <c r="W82" s="755">
        <f>V82</f>
        <v>45</v>
      </c>
      <c r="X82" s="755">
        <f>W82</f>
        <v>45</v>
      </c>
      <c r="Y82" s="755">
        <f>AI82</f>
        <v>50</v>
      </c>
      <c r="Z82" s="755">
        <f>Y82</f>
        <v>50</v>
      </c>
      <c r="AA82" s="755">
        <f>Z82</f>
        <v>50</v>
      </c>
      <c r="AB82" s="755">
        <f>AA82</f>
        <v>50</v>
      </c>
      <c r="AD82" s="753">
        <f>AD74/AD84</f>
        <v>1.1879999999999999</v>
      </c>
      <c r="AE82" s="753">
        <f>AE74/AE84</f>
        <v>2.3879999999999999</v>
      </c>
      <c r="AF82" s="753">
        <f>AF74/AF84</f>
        <v>37.700009999999999</v>
      </c>
      <c r="AG82" s="881">
        <f>AG74/AG84</f>
        <v>49.583329999999997</v>
      </c>
      <c r="AH82" s="856">
        <v>45</v>
      </c>
      <c r="AI82" s="856">
        <v>50</v>
      </c>
    </row>
    <row r="83" spans="2:35" ht="14.45" customHeight="1" x14ac:dyDescent="0.2">
      <c r="B83" s="759" t="s">
        <v>1011</v>
      </c>
      <c r="C83" s="862"/>
      <c r="D83" s="862"/>
      <c r="E83" s="656">
        <v>0</v>
      </c>
      <c r="F83" s="656">
        <v>0</v>
      </c>
      <c r="G83" s="656">
        <v>0</v>
      </c>
      <c r="H83" s="656">
        <v>1</v>
      </c>
      <c r="I83" s="656">
        <v>1</v>
      </c>
      <c r="J83" s="656">
        <v>1</v>
      </c>
      <c r="K83" s="656">
        <v>1</v>
      </c>
      <c r="L83" s="656">
        <v>1</v>
      </c>
      <c r="M83" s="656">
        <v>2</v>
      </c>
      <c r="N83" s="656">
        <v>2</v>
      </c>
      <c r="O83" s="656">
        <v>3</v>
      </c>
      <c r="P83" s="656">
        <v>5</v>
      </c>
      <c r="Q83" s="656">
        <v>6</v>
      </c>
      <c r="R83" s="656">
        <v>7</v>
      </c>
      <c r="S83" s="767">
        <v>8</v>
      </c>
      <c r="T83" s="754">
        <f t="shared" ref="T83:AB83" si="51">S88</f>
        <v>9</v>
      </c>
      <c r="U83" s="754">
        <f t="shared" si="51"/>
        <v>17</v>
      </c>
      <c r="V83" s="754">
        <f t="shared" si="51"/>
        <v>16</v>
      </c>
      <c r="W83" s="754">
        <f t="shared" si="51"/>
        <v>15</v>
      </c>
      <c r="X83" s="754">
        <f t="shared" si="51"/>
        <v>14</v>
      </c>
      <c r="Y83" s="754">
        <f t="shared" si="51"/>
        <v>13</v>
      </c>
      <c r="Z83" s="754">
        <f t="shared" si="51"/>
        <v>12</v>
      </c>
      <c r="AA83" s="754">
        <f t="shared" si="51"/>
        <v>10</v>
      </c>
      <c r="AB83" s="754">
        <f t="shared" si="51"/>
        <v>9</v>
      </c>
      <c r="AD83" s="797">
        <f>E83</f>
        <v>0</v>
      </c>
      <c r="AE83" s="797">
        <f>I83</f>
        <v>1</v>
      </c>
      <c r="AF83" s="798">
        <f>M83</f>
        <v>2</v>
      </c>
      <c r="AG83" s="797">
        <f>Q83</f>
        <v>6</v>
      </c>
      <c r="AH83" s="797">
        <f>U83</f>
        <v>17</v>
      </c>
      <c r="AI83" s="798">
        <f>Y83</f>
        <v>13</v>
      </c>
    </row>
    <row r="84" spans="2:35" ht="14.45" customHeight="1" x14ac:dyDescent="0.2">
      <c r="B84" s="759" t="s">
        <v>943</v>
      </c>
      <c r="C84" s="862"/>
      <c r="D84" s="862"/>
      <c r="E84" s="656">
        <v>0</v>
      </c>
      <c r="F84" s="656">
        <v>0</v>
      </c>
      <c r="G84" s="656">
        <v>1</v>
      </c>
      <c r="H84" s="656">
        <v>0</v>
      </c>
      <c r="I84" s="656">
        <v>0</v>
      </c>
      <c r="J84" s="656">
        <v>0</v>
      </c>
      <c r="K84" s="656">
        <v>0</v>
      </c>
      <c r="L84" s="656">
        <v>1</v>
      </c>
      <c r="M84" s="656">
        <v>0</v>
      </c>
      <c r="N84" s="656">
        <v>1</v>
      </c>
      <c r="O84" s="656">
        <v>2</v>
      </c>
      <c r="P84" s="656">
        <v>1</v>
      </c>
      <c r="Q84" s="656">
        <v>1</v>
      </c>
      <c r="R84" s="656">
        <v>1</v>
      </c>
      <c r="S84" s="767">
        <v>1</v>
      </c>
      <c r="T84" s="766">
        <v>9</v>
      </c>
      <c r="U84" s="754">
        <f>$AH$84*0.2</f>
        <v>0</v>
      </c>
      <c r="V84" s="754">
        <f>$AH$84*0.25</f>
        <v>0</v>
      </c>
      <c r="W84" s="754">
        <f>$AH$84*0.25</f>
        <v>0</v>
      </c>
      <c r="X84" s="754">
        <f>$AH$84*0.3</f>
        <v>0</v>
      </c>
      <c r="Y84" s="754">
        <f>$AI$84*0.2</f>
        <v>0</v>
      </c>
      <c r="Z84" s="754">
        <f>$AI$84*0.25</f>
        <v>0</v>
      </c>
      <c r="AA84" s="754">
        <f>$AI$84*0.25</f>
        <v>0</v>
      </c>
      <c r="AB84" s="754">
        <f>$AI$84*0.3</f>
        <v>0</v>
      </c>
      <c r="AD84" s="797">
        <f>SUM(E84:H84)</f>
        <v>1</v>
      </c>
      <c r="AE84" s="797">
        <f>SUM(I84:L84)</f>
        <v>1</v>
      </c>
      <c r="AF84" s="798">
        <f>SUM(M84:P84)</f>
        <v>4</v>
      </c>
      <c r="AG84" s="797">
        <f>SUM(Q84:T84)</f>
        <v>12</v>
      </c>
      <c r="AH84" s="691"/>
      <c r="AI84" s="691"/>
    </row>
    <row r="85" spans="2:35" ht="14.45" customHeight="1" x14ac:dyDescent="0.2">
      <c r="B85" s="759" t="s">
        <v>1010</v>
      </c>
      <c r="C85" s="862"/>
      <c r="D85" s="862"/>
      <c r="E85" s="656">
        <v>0</v>
      </c>
      <c r="F85" s="656">
        <v>0</v>
      </c>
      <c r="G85" s="656">
        <v>0</v>
      </c>
      <c r="H85" s="656">
        <v>0</v>
      </c>
      <c r="I85" s="656">
        <v>0</v>
      </c>
      <c r="J85" s="656">
        <v>0</v>
      </c>
      <c r="K85" s="656">
        <v>0</v>
      </c>
      <c r="L85" s="656">
        <v>0</v>
      </c>
      <c r="M85" s="656">
        <v>0</v>
      </c>
      <c r="N85" s="656">
        <v>0</v>
      </c>
      <c r="O85" s="656">
        <v>0</v>
      </c>
      <c r="P85" s="656">
        <v>0</v>
      </c>
      <c r="Q85" s="656">
        <v>0</v>
      </c>
      <c r="R85" s="656">
        <v>0</v>
      </c>
      <c r="S85" s="767">
        <v>0</v>
      </c>
      <c r="T85" s="766">
        <v>0</v>
      </c>
      <c r="U85" s="766">
        <v>0</v>
      </c>
      <c r="V85" s="766">
        <v>0</v>
      </c>
      <c r="W85" s="766">
        <v>0</v>
      </c>
      <c r="X85" s="766">
        <v>0</v>
      </c>
      <c r="Y85" s="766">
        <v>0</v>
      </c>
      <c r="Z85" s="766">
        <v>0</v>
      </c>
      <c r="AA85" s="766">
        <v>0</v>
      </c>
      <c r="AB85" s="766">
        <v>0</v>
      </c>
      <c r="AD85" s="797">
        <f>SUM(E85:H85)</f>
        <v>0</v>
      </c>
      <c r="AE85" s="797">
        <f>SUM(I85:L85)</f>
        <v>0</v>
      </c>
      <c r="AF85" s="798">
        <f>SUM(M85:P85)</f>
        <v>0</v>
      </c>
      <c r="AG85" s="797">
        <f>SUM(Q85:T85)</f>
        <v>0</v>
      </c>
      <c r="AH85" s="797">
        <f>SUM(U85:X85)</f>
        <v>0</v>
      </c>
      <c r="AI85" s="798">
        <f>SUM(Y85:AB85)</f>
        <v>0</v>
      </c>
    </row>
    <row r="86" spans="2:35" ht="14.45" customHeight="1" x14ac:dyDescent="0.2">
      <c r="B86" s="759" t="s">
        <v>1009</v>
      </c>
      <c r="C86" s="862"/>
      <c r="D86" s="862"/>
      <c r="E86" s="656">
        <v>0</v>
      </c>
      <c r="F86" s="656">
        <v>0</v>
      </c>
      <c r="G86" s="656">
        <v>0</v>
      </c>
      <c r="H86" s="656">
        <v>0</v>
      </c>
      <c r="I86" s="656">
        <v>0</v>
      </c>
      <c r="J86" s="656">
        <v>0</v>
      </c>
      <c r="K86" s="656">
        <v>0</v>
      </c>
      <c r="L86" s="656">
        <v>0</v>
      </c>
      <c r="M86" s="656">
        <v>0</v>
      </c>
      <c r="N86" s="656">
        <v>0</v>
      </c>
      <c r="O86" s="656">
        <v>0</v>
      </c>
      <c r="P86" s="656">
        <v>0</v>
      </c>
      <c r="Q86" s="656">
        <v>0</v>
      </c>
      <c r="R86" s="656">
        <v>0</v>
      </c>
      <c r="S86" s="767">
        <v>0</v>
      </c>
      <c r="T86" s="766">
        <v>-1</v>
      </c>
      <c r="U86" s="754">
        <f>$AH$86/4</f>
        <v>-1</v>
      </c>
      <c r="V86" s="754">
        <f>$AH$86/4</f>
        <v>-1</v>
      </c>
      <c r="W86" s="754">
        <f>$AH$86/4</f>
        <v>-1</v>
      </c>
      <c r="X86" s="754">
        <f>$AH$86/4</f>
        <v>-1</v>
      </c>
      <c r="Y86" s="754">
        <v>-1</v>
      </c>
      <c r="Z86" s="754">
        <v>-2</v>
      </c>
      <c r="AA86" s="754">
        <v>-1</v>
      </c>
      <c r="AB86" s="754">
        <v>-2</v>
      </c>
      <c r="AD86" s="762">
        <f>SUM(E86:H86)</f>
        <v>0</v>
      </c>
      <c r="AE86" s="762">
        <f>SUM(I86:L86)</f>
        <v>0</v>
      </c>
      <c r="AF86" s="761">
        <f>SUM(M86:P86)</f>
        <v>0</v>
      </c>
      <c r="AG86" s="797">
        <f>SUM(Q86:T86)</f>
        <v>-1</v>
      </c>
      <c r="AH86" s="691">
        <v>-4</v>
      </c>
      <c r="AI86" s="691">
        <v>-6</v>
      </c>
    </row>
    <row r="87" spans="2:35" ht="14.45" customHeight="1" x14ac:dyDescent="0.2">
      <c r="B87" s="759" t="s">
        <v>1008</v>
      </c>
      <c r="C87" s="862"/>
      <c r="D87" s="862"/>
      <c r="E87" s="656">
        <v>0</v>
      </c>
      <c r="F87" s="656">
        <v>0</v>
      </c>
      <c r="G87" s="656">
        <v>0</v>
      </c>
      <c r="H87" s="656">
        <v>0</v>
      </c>
      <c r="I87" s="656">
        <v>0</v>
      </c>
      <c r="J87" s="656">
        <v>0</v>
      </c>
      <c r="K87" s="656">
        <v>0</v>
      </c>
      <c r="L87" s="656">
        <v>0</v>
      </c>
      <c r="M87" s="656">
        <v>0</v>
      </c>
      <c r="N87" s="656">
        <v>0</v>
      </c>
      <c r="O87" s="656">
        <v>0</v>
      </c>
      <c r="P87" s="656">
        <v>0</v>
      </c>
      <c r="Q87" s="656">
        <v>0</v>
      </c>
      <c r="R87" s="656">
        <v>0</v>
      </c>
      <c r="S87" s="767">
        <v>0</v>
      </c>
      <c r="T87" s="766">
        <v>0</v>
      </c>
      <c r="U87" s="766">
        <v>0</v>
      </c>
      <c r="V87" s="766">
        <v>0</v>
      </c>
      <c r="W87" s="766">
        <v>0</v>
      </c>
      <c r="X87" s="766">
        <v>0</v>
      </c>
      <c r="Y87" s="766">
        <v>0</v>
      </c>
      <c r="Z87" s="766">
        <v>0</v>
      </c>
      <c r="AA87" s="766">
        <v>0</v>
      </c>
      <c r="AB87" s="766">
        <v>0</v>
      </c>
      <c r="AD87" s="797">
        <f>SUM(E87:H87)</f>
        <v>0</v>
      </c>
      <c r="AE87" s="797">
        <f>SUM(I87:L87)</f>
        <v>0</v>
      </c>
      <c r="AF87" s="798">
        <f>SUM(M87:P87)</f>
        <v>0</v>
      </c>
      <c r="AG87" s="797">
        <f>SUM(Q87:T87)</f>
        <v>0</v>
      </c>
      <c r="AH87" s="797">
        <f>SUM(U87:X87)</f>
        <v>0</v>
      </c>
      <c r="AI87" s="798">
        <f>SUM(Y87:AB87)</f>
        <v>0</v>
      </c>
    </row>
    <row r="88" spans="2:35" ht="14.45" customHeight="1" x14ac:dyDescent="0.2">
      <c r="B88" s="759" t="s">
        <v>1007</v>
      </c>
      <c r="C88" s="862"/>
      <c r="D88" s="862"/>
      <c r="E88" s="654">
        <f t="shared" ref="E88:AB88" si="52">SUM(E83:E87)</f>
        <v>0</v>
      </c>
      <c r="F88" s="654">
        <f t="shared" si="52"/>
        <v>0</v>
      </c>
      <c r="G88" s="654">
        <f t="shared" si="52"/>
        <v>1</v>
      </c>
      <c r="H88" s="654">
        <f t="shared" si="52"/>
        <v>1</v>
      </c>
      <c r="I88" s="654">
        <f t="shared" si="52"/>
        <v>1</v>
      </c>
      <c r="J88" s="654">
        <f t="shared" si="52"/>
        <v>1</v>
      </c>
      <c r="K88" s="654">
        <f t="shared" si="52"/>
        <v>1</v>
      </c>
      <c r="L88" s="654">
        <f t="shared" si="52"/>
        <v>2</v>
      </c>
      <c r="M88" s="654">
        <f t="shared" si="52"/>
        <v>2</v>
      </c>
      <c r="N88" s="654">
        <f t="shared" si="52"/>
        <v>3</v>
      </c>
      <c r="O88" s="654">
        <f t="shared" si="52"/>
        <v>5</v>
      </c>
      <c r="P88" s="654">
        <f t="shared" si="52"/>
        <v>6</v>
      </c>
      <c r="Q88" s="654">
        <f t="shared" si="52"/>
        <v>7</v>
      </c>
      <c r="R88" s="654">
        <f t="shared" si="52"/>
        <v>8</v>
      </c>
      <c r="S88" s="764">
        <f t="shared" si="52"/>
        <v>9</v>
      </c>
      <c r="T88" s="654">
        <f t="shared" si="52"/>
        <v>17</v>
      </c>
      <c r="U88" s="654">
        <f t="shared" si="52"/>
        <v>16</v>
      </c>
      <c r="V88" s="654">
        <f t="shared" si="52"/>
        <v>15</v>
      </c>
      <c r="W88" s="654">
        <f t="shared" si="52"/>
        <v>14</v>
      </c>
      <c r="X88" s="654">
        <f t="shared" si="52"/>
        <v>13</v>
      </c>
      <c r="Y88" s="654">
        <f t="shared" si="52"/>
        <v>12</v>
      </c>
      <c r="Z88" s="654">
        <f t="shared" si="52"/>
        <v>10</v>
      </c>
      <c r="AA88" s="654">
        <f t="shared" si="52"/>
        <v>9</v>
      </c>
      <c r="AB88" s="654">
        <f t="shared" si="52"/>
        <v>7</v>
      </c>
      <c r="AD88" s="762">
        <f>H88</f>
        <v>1</v>
      </c>
      <c r="AE88" s="762">
        <f>L88</f>
        <v>2</v>
      </c>
      <c r="AF88" s="761">
        <f>P88</f>
        <v>6</v>
      </c>
      <c r="AG88" s="754">
        <f>T88</f>
        <v>17</v>
      </c>
      <c r="AH88" s="754">
        <f>X88</f>
        <v>13</v>
      </c>
      <c r="AI88" s="771">
        <f>AB88</f>
        <v>7</v>
      </c>
    </row>
    <row r="89" spans="2:35" ht="14.45" customHeight="1" x14ac:dyDescent="0.2">
      <c r="B89" s="759" t="s">
        <v>1030</v>
      </c>
      <c r="C89" s="862"/>
      <c r="D89" s="862"/>
      <c r="E89" s="879"/>
      <c r="F89" s="879"/>
      <c r="G89" s="879"/>
      <c r="H89" s="879"/>
      <c r="I89" s="879"/>
      <c r="J89" s="879"/>
      <c r="K89" s="879"/>
      <c r="L89" s="879"/>
      <c r="M89" s="879"/>
      <c r="N89" s="879"/>
      <c r="O89" s="879"/>
      <c r="P89" s="879"/>
      <c r="Q89" s="879"/>
      <c r="R89" s="879"/>
      <c r="S89" s="880"/>
      <c r="T89" s="879"/>
      <c r="U89" s="878"/>
      <c r="V89" s="878"/>
      <c r="W89" s="878"/>
      <c r="X89" s="878"/>
      <c r="Y89" s="878"/>
      <c r="Z89" s="878"/>
      <c r="AA89" s="878"/>
      <c r="AB89" s="878"/>
      <c r="AD89" s="869"/>
      <c r="AE89" s="869"/>
      <c r="AF89" s="868"/>
      <c r="AG89" s="869"/>
      <c r="AH89" s="755" t="e">
        <f>AH84/AH98</f>
        <v>#DIV/0!</v>
      </c>
      <c r="AI89" s="877" t="e">
        <f>AI84/AI98</f>
        <v>#DIV/0!</v>
      </c>
    </row>
    <row r="90" spans="2:35" ht="14.45" customHeight="1" x14ac:dyDescent="0.2">
      <c r="B90" s="759" t="s">
        <v>942</v>
      </c>
      <c r="C90" s="862"/>
      <c r="D90" s="862"/>
      <c r="E90" s="850" t="str">
        <f t="shared" ref="E90:J90" si="53">IFERROR(E75/E79,"n/a")</f>
        <v>n/a</v>
      </c>
      <c r="F90" s="850" t="str">
        <f t="shared" si="53"/>
        <v>n/a</v>
      </c>
      <c r="G90" s="850" t="str">
        <f t="shared" si="53"/>
        <v>n/a</v>
      </c>
      <c r="H90" s="850">
        <f t="shared" si="53"/>
        <v>0</v>
      </c>
      <c r="I90" s="850">
        <f t="shared" si="53"/>
        <v>1.0101010101010102</v>
      </c>
      <c r="J90" s="850">
        <f t="shared" si="53"/>
        <v>0</v>
      </c>
      <c r="K90" s="850">
        <f t="shared" ref="K90:S90" si="54">K75/K79</f>
        <v>0</v>
      </c>
      <c r="L90" s="850">
        <f t="shared" si="54"/>
        <v>0</v>
      </c>
      <c r="M90" s="850">
        <f t="shared" si="54"/>
        <v>0</v>
      </c>
      <c r="N90" s="850">
        <f t="shared" si="54"/>
        <v>0.50251256281407042</v>
      </c>
      <c r="O90" s="850">
        <f t="shared" si="54"/>
        <v>0.16025641025641027</v>
      </c>
      <c r="P90" s="850">
        <f t="shared" si="54"/>
        <v>0.29597247840802005</v>
      </c>
      <c r="Q90" s="850">
        <f t="shared" si="54"/>
        <v>2.8757668711656456E-2</v>
      </c>
      <c r="R90" s="850">
        <f t="shared" si="54"/>
        <v>8.6013899983311253E-3</v>
      </c>
      <c r="S90" s="852">
        <f t="shared" si="54"/>
        <v>0</v>
      </c>
      <c r="T90" s="851">
        <v>0.19125</v>
      </c>
      <c r="U90" s="850"/>
      <c r="V90" s="850"/>
      <c r="W90" s="850"/>
      <c r="X90" s="850"/>
      <c r="Y90" s="850"/>
      <c r="Z90" s="850"/>
      <c r="AA90" s="850"/>
      <c r="AB90" s="850"/>
      <c r="AC90" s="754"/>
      <c r="AD90" s="850" t="str">
        <f>IFERROR(AD75/AD79,"n/a")</f>
        <v>n/a</v>
      </c>
      <c r="AE90" s="850">
        <f>AE75/AE79</f>
        <v>1.0101010101010102</v>
      </c>
      <c r="AF90" s="850">
        <f>AF75/AF79</f>
        <v>6.7420351758793986</v>
      </c>
      <c r="AG90" s="849">
        <f>AG75/AG79</f>
        <v>0.50687959243992842</v>
      </c>
      <c r="AH90" s="848">
        <v>0.85</v>
      </c>
      <c r="AI90" s="848">
        <v>0.62749999999999995</v>
      </c>
    </row>
    <row r="91" spans="2:35" ht="14.45" customHeight="1" x14ac:dyDescent="0.2">
      <c r="B91" s="864"/>
      <c r="C91" s="862"/>
      <c r="D91" s="862"/>
      <c r="E91" s="735"/>
      <c r="S91" s="780"/>
      <c r="AD91" s="786"/>
      <c r="AE91" s="786"/>
      <c r="AF91" s="785"/>
      <c r="AG91" s="876"/>
      <c r="AH91" s="876"/>
      <c r="AI91" s="875"/>
    </row>
    <row r="92" spans="2:35" ht="14.45" customHeight="1" x14ac:dyDescent="0.2">
      <c r="B92" s="783" t="s">
        <v>956</v>
      </c>
      <c r="C92" s="784"/>
      <c r="E92" s="754"/>
      <c r="F92" s="754"/>
      <c r="G92" s="754"/>
      <c r="H92" s="754"/>
      <c r="I92" s="754"/>
      <c r="J92" s="754"/>
      <c r="K92" s="754"/>
      <c r="L92" s="754"/>
      <c r="M92" s="754"/>
      <c r="N92" s="754"/>
      <c r="O92" s="754"/>
      <c r="P92" s="754"/>
      <c r="Q92" s="754"/>
      <c r="R92" s="754"/>
      <c r="S92" s="780"/>
      <c r="AD92" s="786"/>
      <c r="AE92" s="786"/>
      <c r="AF92" s="785"/>
      <c r="AG92" s="786"/>
      <c r="AH92" s="874"/>
      <c r="AI92" s="873"/>
    </row>
    <row r="93" spans="2:35" ht="14.45" customHeight="1" x14ac:dyDescent="0.2">
      <c r="B93" s="840" t="s">
        <v>1034</v>
      </c>
      <c r="E93" s="872"/>
      <c r="F93" s="872"/>
      <c r="G93" s="872"/>
      <c r="H93" s="872"/>
      <c r="I93" s="872"/>
      <c r="J93" s="872"/>
      <c r="K93" s="872"/>
      <c r="L93" s="872"/>
      <c r="M93" s="872"/>
      <c r="N93" s="872"/>
      <c r="O93" s="872"/>
      <c r="P93" s="872"/>
      <c r="Q93" s="872"/>
      <c r="R93" s="872"/>
      <c r="S93" s="838">
        <v>2</v>
      </c>
      <c r="T93" s="756">
        <v>4</v>
      </c>
      <c r="U93" s="756"/>
      <c r="V93" s="756"/>
      <c r="W93" s="756"/>
      <c r="X93" s="756"/>
      <c r="Y93" s="756"/>
      <c r="Z93" s="756"/>
      <c r="AA93" s="756"/>
      <c r="AB93" s="756"/>
      <c r="AD93" s="869"/>
      <c r="AE93" s="869"/>
      <c r="AF93" s="868"/>
      <c r="AG93" s="753">
        <f>T93</f>
        <v>4</v>
      </c>
      <c r="AH93" s="753">
        <f>X93</f>
        <v>0</v>
      </c>
      <c r="AI93" s="752">
        <f>AB93</f>
        <v>0</v>
      </c>
    </row>
    <row r="94" spans="2:35" ht="14.45" customHeight="1" x14ac:dyDescent="0.2">
      <c r="B94" s="759" t="s">
        <v>1033</v>
      </c>
      <c r="C94" s="837">
        <v>0</v>
      </c>
      <c r="E94" s="871"/>
      <c r="F94" s="871"/>
      <c r="G94" s="871"/>
      <c r="H94" s="871"/>
      <c r="I94" s="871"/>
      <c r="J94" s="871"/>
      <c r="K94" s="871"/>
      <c r="L94" s="871"/>
      <c r="M94" s="871"/>
      <c r="N94" s="871"/>
      <c r="O94" s="871"/>
      <c r="P94" s="871"/>
      <c r="Q94" s="871"/>
      <c r="R94" s="871"/>
      <c r="S94" s="836">
        <f>S93-R93</f>
        <v>2</v>
      </c>
      <c r="T94" s="832">
        <f>T93-S93</f>
        <v>2</v>
      </c>
      <c r="U94" s="832"/>
      <c r="V94" s="832">
        <f t="shared" ref="V94:AB94" si="55">V93-U93</f>
        <v>0</v>
      </c>
      <c r="W94" s="832">
        <f t="shared" si="55"/>
        <v>0</v>
      </c>
      <c r="X94" s="832">
        <f t="shared" si="55"/>
        <v>0</v>
      </c>
      <c r="Y94" s="832">
        <f t="shared" si="55"/>
        <v>0</v>
      </c>
      <c r="Z94" s="832">
        <f t="shared" si="55"/>
        <v>0</v>
      </c>
      <c r="AA94" s="832">
        <f t="shared" si="55"/>
        <v>0</v>
      </c>
      <c r="AB94" s="832">
        <f t="shared" si="55"/>
        <v>0</v>
      </c>
      <c r="AD94" s="869"/>
      <c r="AE94" s="869"/>
      <c r="AF94" s="868"/>
      <c r="AG94" s="753">
        <f>SUM(S94:T94)</f>
        <v>4</v>
      </c>
      <c r="AH94" s="753">
        <f>SUM(U94:X94)</f>
        <v>0</v>
      </c>
      <c r="AI94" s="752">
        <f>SUM(Y94:AB94)</f>
        <v>0</v>
      </c>
    </row>
    <row r="95" spans="2:35" ht="14.45" customHeight="1" x14ac:dyDescent="0.2">
      <c r="B95" s="759" t="s">
        <v>1029</v>
      </c>
      <c r="C95" s="837">
        <v>0.3</v>
      </c>
      <c r="E95" s="870"/>
      <c r="F95" s="870"/>
      <c r="G95" s="870"/>
      <c r="H95" s="870"/>
      <c r="I95" s="870"/>
      <c r="J95" s="870"/>
      <c r="K95" s="870"/>
      <c r="L95" s="870"/>
      <c r="M95" s="870"/>
      <c r="N95" s="870"/>
      <c r="O95" s="870"/>
      <c r="P95" s="870"/>
      <c r="Q95" s="870"/>
      <c r="R95" s="870"/>
      <c r="S95" s="836">
        <f>R94</f>
        <v>0</v>
      </c>
      <c r="T95" s="832">
        <f>S94</f>
        <v>2</v>
      </c>
      <c r="U95" s="832"/>
      <c r="V95" s="832">
        <f t="shared" ref="V95:AB96" si="56">U94</f>
        <v>0</v>
      </c>
      <c r="W95" s="832">
        <f t="shared" si="56"/>
        <v>0</v>
      </c>
      <c r="X95" s="832">
        <f t="shared" si="56"/>
        <v>0</v>
      </c>
      <c r="Y95" s="832">
        <f t="shared" si="56"/>
        <v>0</v>
      </c>
      <c r="Z95" s="832">
        <f t="shared" si="56"/>
        <v>0</v>
      </c>
      <c r="AA95" s="832">
        <f t="shared" si="56"/>
        <v>0</v>
      </c>
      <c r="AB95" s="832">
        <f t="shared" si="56"/>
        <v>0</v>
      </c>
      <c r="AD95" s="869"/>
      <c r="AE95" s="869"/>
      <c r="AF95" s="868"/>
      <c r="AG95" s="753">
        <f>SUM(Q95:T95)</f>
        <v>2</v>
      </c>
      <c r="AH95" s="753">
        <f>SUM(U95:X95)</f>
        <v>0</v>
      </c>
      <c r="AI95" s="752">
        <f>SUM(Y95:AB95)</f>
        <v>0</v>
      </c>
    </row>
    <row r="96" spans="2:35" ht="14.45" customHeight="1" x14ac:dyDescent="0.2">
      <c r="B96" s="759" t="s">
        <v>1028</v>
      </c>
      <c r="C96" s="837">
        <v>1</v>
      </c>
      <c r="E96" s="870"/>
      <c r="F96" s="870"/>
      <c r="G96" s="870"/>
      <c r="H96" s="870"/>
      <c r="I96" s="870"/>
      <c r="J96" s="870"/>
      <c r="K96" s="870"/>
      <c r="L96" s="870"/>
      <c r="M96" s="870"/>
      <c r="N96" s="870"/>
      <c r="O96" s="870"/>
      <c r="P96" s="870"/>
      <c r="Q96" s="870"/>
      <c r="R96" s="870"/>
      <c r="S96" s="836">
        <f>R95</f>
        <v>0</v>
      </c>
      <c r="T96" s="832">
        <f>S95</f>
        <v>0</v>
      </c>
      <c r="U96" s="832"/>
      <c r="V96" s="832">
        <f t="shared" si="56"/>
        <v>0</v>
      </c>
      <c r="W96" s="832">
        <f t="shared" si="56"/>
        <v>0</v>
      </c>
      <c r="X96" s="832">
        <f t="shared" si="56"/>
        <v>0</v>
      </c>
      <c r="Y96" s="832">
        <f t="shared" si="56"/>
        <v>0</v>
      </c>
      <c r="Z96" s="832">
        <f t="shared" si="56"/>
        <v>0</v>
      </c>
      <c r="AA96" s="832">
        <f t="shared" si="56"/>
        <v>0</v>
      </c>
      <c r="AB96" s="832">
        <f t="shared" si="56"/>
        <v>0</v>
      </c>
      <c r="AD96" s="869"/>
      <c r="AE96" s="869"/>
      <c r="AF96" s="868"/>
      <c r="AG96" s="753">
        <f>SUM(Q96:T96)</f>
        <v>0</v>
      </c>
      <c r="AH96" s="753">
        <f>SUM(U96:X96)</f>
        <v>0</v>
      </c>
      <c r="AI96" s="752">
        <f>SUM(Y96:AB96)</f>
        <v>0</v>
      </c>
    </row>
    <row r="97" spans="1:38" ht="14.45" customHeight="1" x14ac:dyDescent="0.2">
      <c r="B97" s="783" t="s">
        <v>1027</v>
      </c>
      <c r="C97" s="784"/>
      <c r="D97" s="826"/>
      <c r="E97" s="830"/>
      <c r="F97" s="830"/>
      <c r="G97" s="830"/>
      <c r="H97" s="830"/>
      <c r="I97" s="830"/>
      <c r="J97" s="830"/>
      <c r="K97" s="830"/>
      <c r="L97" s="830"/>
      <c r="M97" s="830"/>
      <c r="N97" s="830"/>
      <c r="O97" s="830"/>
      <c r="P97" s="830"/>
      <c r="Q97" s="830"/>
      <c r="R97" s="830"/>
      <c r="S97" s="833">
        <f t="shared" ref="S97:AB97" si="57">S93-SUM(S94:S96)</f>
        <v>0</v>
      </c>
      <c r="T97" s="834">
        <f t="shared" si="57"/>
        <v>0</v>
      </c>
      <c r="U97" s="834">
        <f t="shared" si="57"/>
        <v>0</v>
      </c>
      <c r="V97" s="834">
        <f t="shared" si="57"/>
        <v>0</v>
      </c>
      <c r="W97" s="834">
        <f t="shared" si="57"/>
        <v>0</v>
      </c>
      <c r="X97" s="834">
        <f t="shared" si="57"/>
        <v>0</v>
      </c>
      <c r="Y97" s="834">
        <f t="shared" si="57"/>
        <v>0</v>
      </c>
      <c r="Z97" s="834">
        <f t="shared" si="57"/>
        <v>0</v>
      </c>
      <c r="AA97" s="834">
        <f t="shared" si="57"/>
        <v>0</v>
      </c>
      <c r="AB97" s="834">
        <f t="shared" si="57"/>
        <v>0</v>
      </c>
      <c r="AD97" s="830"/>
      <c r="AE97" s="830"/>
      <c r="AF97" s="867"/>
      <c r="AG97" s="834">
        <f>T97</f>
        <v>0</v>
      </c>
      <c r="AH97" s="834">
        <f>X97</f>
        <v>0</v>
      </c>
      <c r="AI97" s="833">
        <f>AB97</f>
        <v>0</v>
      </c>
    </row>
    <row r="98" spans="1:38" ht="14.45" customHeight="1" x14ac:dyDescent="0.2">
      <c r="B98" s="783" t="s">
        <v>953</v>
      </c>
      <c r="C98" s="784"/>
      <c r="D98" s="826"/>
      <c r="E98" s="830"/>
      <c r="F98" s="830"/>
      <c r="G98" s="830"/>
      <c r="H98" s="830"/>
      <c r="I98" s="830"/>
      <c r="J98" s="830"/>
      <c r="K98" s="830"/>
      <c r="L98" s="830"/>
      <c r="M98" s="830"/>
      <c r="N98" s="830"/>
      <c r="O98" s="830"/>
      <c r="P98" s="830"/>
      <c r="Q98" s="830"/>
      <c r="R98" s="830"/>
      <c r="S98" s="833">
        <f t="shared" ref="S98:AB98" si="58">SUMPRODUCT($C$126:$C$128,S94:S96)+S97</f>
        <v>0</v>
      </c>
      <c r="T98" s="834">
        <f t="shared" si="58"/>
        <v>0.6</v>
      </c>
      <c r="U98" s="834">
        <f t="shared" si="58"/>
        <v>0</v>
      </c>
      <c r="V98" s="834">
        <f t="shared" si="58"/>
        <v>0</v>
      </c>
      <c r="W98" s="834">
        <f t="shared" si="58"/>
        <v>0</v>
      </c>
      <c r="X98" s="834">
        <f t="shared" si="58"/>
        <v>0</v>
      </c>
      <c r="Y98" s="834">
        <f t="shared" si="58"/>
        <v>0</v>
      </c>
      <c r="Z98" s="834">
        <f t="shared" si="58"/>
        <v>0</v>
      </c>
      <c r="AA98" s="834">
        <f t="shared" si="58"/>
        <v>0</v>
      </c>
      <c r="AB98" s="834">
        <f t="shared" si="58"/>
        <v>0</v>
      </c>
      <c r="AD98" s="830"/>
      <c r="AE98" s="830"/>
      <c r="AF98" s="867"/>
      <c r="AG98" s="834">
        <f>T98</f>
        <v>0.6</v>
      </c>
      <c r="AH98" s="834">
        <f>X98</f>
        <v>0</v>
      </c>
      <c r="AI98" s="833">
        <f>AB98</f>
        <v>0</v>
      </c>
    </row>
    <row r="99" spans="1:38" ht="14.45" customHeight="1" x14ac:dyDescent="0.2">
      <c r="B99" s="783"/>
      <c r="C99" s="784"/>
      <c r="D99" s="826"/>
      <c r="E99" s="830"/>
      <c r="F99" s="830"/>
      <c r="G99" s="830"/>
      <c r="H99" s="830"/>
      <c r="I99" s="830"/>
      <c r="J99" s="830"/>
      <c r="K99" s="830"/>
      <c r="L99" s="830"/>
      <c r="M99" s="830"/>
      <c r="N99" s="830"/>
      <c r="O99" s="830"/>
      <c r="P99" s="830"/>
      <c r="Q99" s="830"/>
      <c r="R99" s="830"/>
      <c r="S99" s="833"/>
      <c r="T99" s="834"/>
      <c r="U99" s="834"/>
      <c r="V99" s="834"/>
      <c r="W99" s="834"/>
      <c r="X99" s="834"/>
      <c r="Y99" s="834"/>
      <c r="Z99" s="834"/>
      <c r="AA99" s="834"/>
      <c r="AB99" s="834"/>
      <c r="AD99" s="830"/>
      <c r="AE99" s="830"/>
      <c r="AF99" s="867"/>
      <c r="AG99" s="834"/>
      <c r="AH99" s="834"/>
      <c r="AI99" s="833"/>
    </row>
    <row r="100" spans="1:38" ht="14.45" customHeight="1" x14ac:dyDescent="0.2">
      <c r="B100" s="783" t="s">
        <v>1026</v>
      </c>
      <c r="C100" s="784"/>
      <c r="D100" s="826"/>
      <c r="E100" s="830"/>
      <c r="F100" s="830"/>
      <c r="G100" s="830"/>
      <c r="H100" s="830"/>
      <c r="I100" s="830"/>
      <c r="J100" s="830"/>
      <c r="K100" s="830"/>
      <c r="L100" s="830"/>
      <c r="M100" s="830"/>
      <c r="N100" s="830"/>
      <c r="O100" s="830"/>
      <c r="P100" s="830"/>
      <c r="Q100" s="830"/>
      <c r="R100" s="830"/>
      <c r="S100" s="833"/>
      <c r="T100" s="834"/>
      <c r="U100" s="834"/>
      <c r="V100" s="834"/>
      <c r="W100" s="834"/>
      <c r="X100" s="834"/>
      <c r="Y100" s="834"/>
      <c r="Z100" s="834"/>
      <c r="AA100" s="834"/>
      <c r="AB100" s="834"/>
      <c r="AD100" s="830"/>
      <c r="AE100" s="830"/>
      <c r="AF100" s="867"/>
      <c r="AG100" s="834"/>
      <c r="AH100" s="834"/>
      <c r="AI100" s="833"/>
    </row>
    <row r="101" spans="1:38" ht="14.45" customHeight="1" x14ac:dyDescent="0.2">
      <c r="B101" s="759" t="s">
        <v>1032</v>
      </c>
      <c r="C101" s="784"/>
      <c r="D101" s="826"/>
      <c r="E101" s="830"/>
      <c r="F101" s="830"/>
      <c r="G101" s="830"/>
      <c r="H101" s="830"/>
      <c r="I101" s="830"/>
      <c r="J101" s="830"/>
      <c r="K101" s="830"/>
      <c r="L101" s="830"/>
      <c r="M101" s="830"/>
      <c r="N101" s="830"/>
      <c r="O101" s="830"/>
      <c r="P101" s="830"/>
      <c r="Q101" s="830"/>
      <c r="R101" s="830"/>
      <c r="S101" s="867"/>
      <c r="T101" s="830"/>
      <c r="U101" s="830"/>
      <c r="V101" s="830"/>
      <c r="W101" s="830"/>
      <c r="X101" s="830"/>
      <c r="Y101" s="830"/>
      <c r="Z101" s="830"/>
      <c r="AA101" s="830"/>
      <c r="AB101" s="867"/>
      <c r="AD101" s="830"/>
      <c r="AE101" s="830"/>
      <c r="AF101" s="867"/>
      <c r="AG101" s="797">
        <v>800</v>
      </c>
      <c r="AH101" s="797">
        <v>800</v>
      </c>
      <c r="AI101" s="798">
        <v>800</v>
      </c>
    </row>
    <row r="102" spans="1:38" ht="14.45" customHeight="1" x14ac:dyDescent="0.2">
      <c r="B102" s="759" t="s">
        <v>1020</v>
      </c>
      <c r="C102" s="784"/>
      <c r="D102" s="826"/>
      <c r="E102" s="830"/>
      <c r="F102" s="830"/>
      <c r="G102" s="830"/>
      <c r="H102" s="830"/>
      <c r="I102" s="830"/>
      <c r="J102" s="830"/>
      <c r="K102" s="830"/>
      <c r="L102" s="830"/>
      <c r="M102" s="830"/>
      <c r="N102" s="830"/>
      <c r="O102" s="830"/>
      <c r="P102" s="830"/>
      <c r="Q102" s="830"/>
      <c r="R102" s="830"/>
      <c r="S102" s="867"/>
      <c r="T102" s="830"/>
      <c r="U102" s="830"/>
      <c r="V102" s="830"/>
      <c r="W102" s="830"/>
      <c r="X102" s="830"/>
      <c r="Y102" s="830"/>
      <c r="Z102" s="830"/>
      <c r="AA102" s="830"/>
      <c r="AB102" s="867"/>
      <c r="AD102" s="830"/>
      <c r="AE102" s="830"/>
      <c r="AF102" s="867"/>
      <c r="AG102" s="797">
        <f>SUM(S76:T76)/AG98</f>
        <v>840.44643725000003</v>
      </c>
      <c r="AH102" s="797" t="e">
        <f>AH76/AH98</f>
        <v>#DIV/0!</v>
      </c>
      <c r="AI102" s="798" t="e">
        <f>AI76/AI98</f>
        <v>#DIV/0!</v>
      </c>
    </row>
    <row r="103" spans="1:38" ht="14.45" customHeight="1" x14ac:dyDescent="0.2">
      <c r="B103" s="759" t="s">
        <v>1019</v>
      </c>
      <c r="C103" s="784"/>
      <c r="D103" s="826"/>
      <c r="E103" s="830"/>
      <c r="F103" s="830"/>
      <c r="G103" s="830"/>
      <c r="H103" s="830"/>
      <c r="I103" s="830"/>
      <c r="J103" s="830"/>
      <c r="K103" s="830"/>
      <c r="L103" s="830"/>
      <c r="M103" s="830"/>
      <c r="N103" s="830"/>
      <c r="O103" s="830"/>
      <c r="P103" s="830"/>
      <c r="Q103" s="830"/>
      <c r="R103" s="830"/>
      <c r="S103" s="867"/>
      <c r="T103" s="830"/>
      <c r="U103" s="830"/>
      <c r="V103" s="830"/>
      <c r="W103" s="830"/>
      <c r="X103" s="830"/>
      <c r="Y103" s="830"/>
      <c r="Z103" s="830"/>
      <c r="AA103" s="830"/>
      <c r="AB103" s="830"/>
      <c r="AD103" s="830"/>
      <c r="AE103" s="830"/>
      <c r="AF103" s="867"/>
      <c r="AG103" s="866">
        <f>AG102/AG101</f>
        <v>1.0505580465625</v>
      </c>
      <c r="AH103" s="866" t="e">
        <f>AH102/AH101</f>
        <v>#DIV/0!</v>
      </c>
      <c r="AI103" s="865" t="e">
        <f>AI102/AI101</f>
        <v>#DIV/0!</v>
      </c>
    </row>
    <row r="104" spans="1:38" ht="14.45" customHeight="1" x14ac:dyDescent="0.2">
      <c r="B104" s="864"/>
      <c r="C104" s="862"/>
      <c r="D104" s="862"/>
      <c r="S104" s="780"/>
      <c r="AD104" s="786"/>
      <c r="AE104" s="786"/>
      <c r="AF104" s="786"/>
      <c r="AG104" s="787"/>
      <c r="AH104" s="786"/>
      <c r="AI104" s="786"/>
      <c r="AJ104" s="840"/>
    </row>
    <row r="105" spans="1:38" ht="14.45" customHeight="1" x14ac:dyDescent="0.2">
      <c r="A105" s="733" t="s">
        <v>1018</v>
      </c>
      <c r="B105" s="863" t="s">
        <v>608</v>
      </c>
      <c r="C105" s="862"/>
      <c r="D105" s="862"/>
      <c r="S105" s="780"/>
      <c r="AD105" s="786"/>
      <c r="AE105" s="786"/>
      <c r="AF105" s="785"/>
      <c r="AG105" s="786"/>
      <c r="AH105" s="842"/>
      <c r="AI105" s="785"/>
    </row>
    <row r="106" spans="1:38" ht="14.45" customHeight="1" x14ac:dyDescent="0.2">
      <c r="B106" s="759" t="s">
        <v>1015</v>
      </c>
      <c r="C106" s="758"/>
      <c r="E106" s="656">
        <v>0</v>
      </c>
      <c r="F106" s="656">
        <v>0</v>
      </c>
      <c r="G106" s="656">
        <v>0</v>
      </c>
      <c r="H106" s="656">
        <v>0</v>
      </c>
      <c r="I106" s="656">
        <v>0</v>
      </c>
      <c r="J106" s="656">
        <v>36</v>
      </c>
      <c r="K106" s="656">
        <v>48.948</v>
      </c>
      <c r="L106" s="656">
        <v>0</v>
      </c>
      <c r="M106" s="656">
        <v>24.263999999999999</v>
      </c>
      <c r="N106" s="656">
        <v>26.376000000000001</v>
      </c>
      <c r="O106" s="656">
        <v>53.675999999999988</v>
      </c>
      <c r="P106" s="656">
        <v>2.3879999999999999</v>
      </c>
      <c r="Q106" s="656">
        <v>13.788</v>
      </c>
      <c r="R106" s="656">
        <v>0</v>
      </c>
      <c r="S106" s="767">
        <v>245.90807999999984</v>
      </c>
      <c r="T106" s="797">
        <f t="shared" ref="T106:AB106" si="59">T114*T116</f>
        <v>84</v>
      </c>
      <c r="U106" s="797">
        <f t="shared" si="59"/>
        <v>20.25</v>
      </c>
      <c r="V106" s="797">
        <f t="shared" si="59"/>
        <v>40.5</v>
      </c>
      <c r="W106" s="797">
        <f t="shared" si="59"/>
        <v>60.75</v>
      </c>
      <c r="X106" s="797">
        <f t="shared" si="59"/>
        <v>81</v>
      </c>
      <c r="Y106" s="797">
        <f t="shared" si="59"/>
        <v>43.2</v>
      </c>
      <c r="Z106" s="797">
        <f t="shared" si="59"/>
        <v>54</v>
      </c>
      <c r="AA106" s="797">
        <f t="shared" si="59"/>
        <v>54</v>
      </c>
      <c r="AB106" s="797">
        <f t="shared" si="59"/>
        <v>64.8</v>
      </c>
      <c r="AC106" s="861"/>
      <c r="AD106" s="797">
        <f>SUM(E106:H106)</f>
        <v>0</v>
      </c>
      <c r="AE106" s="797">
        <f>SUM(I106:L106)</f>
        <v>84.948000000000008</v>
      </c>
      <c r="AF106" s="798">
        <f>SUM(M106:P106)</f>
        <v>106.70399999999999</v>
      </c>
      <c r="AG106" s="797">
        <f>SUM(Q106:T106)</f>
        <v>343.69607999999982</v>
      </c>
      <c r="AH106" s="797">
        <f>SUM(U106:X106)</f>
        <v>202.5</v>
      </c>
      <c r="AI106" s="798">
        <f>SUM(Y106:AB106)</f>
        <v>216</v>
      </c>
      <c r="AK106" s="797"/>
      <c r="AL106" s="797"/>
    </row>
    <row r="107" spans="1:38" ht="14.45" customHeight="1" x14ac:dyDescent="0.35">
      <c r="B107" s="759" t="s">
        <v>1014</v>
      </c>
      <c r="C107" s="758"/>
      <c r="E107" s="580">
        <v>0</v>
      </c>
      <c r="F107" s="580">
        <v>0</v>
      </c>
      <c r="G107" s="580">
        <v>0</v>
      </c>
      <c r="H107" s="580">
        <v>0</v>
      </c>
      <c r="I107" s="580">
        <v>0</v>
      </c>
      <c r="J107" s="580">
        <v>0</v>
      </c>
      <c r="K107" s="580">
        <v>41.495999999999995</v>
      </c>
      <c r="L107" s="580">
        <v>0</v>
      </c>
      <c r="M107" s="580">
        <v>2.3999999999999986</v>
      </c>
      <c r="N107" s="580">
        <v>19.763999999999999</v>
      </c>
      <c r="O107" s="580">
        <v>59.475960000000001</v>
      </c>
      <c r="P107" s="580">
        <v>25.931999999999999</v>
      </c>
      <c r="Q107" s="580">
        <v>77.175960000000003</v>
      </c>
      <c r="R107" s="580">
        <v>28.103999999999999</v>
      </c>
      <c r="S107" s="796">
        <v>86.320080000000004</v>
      </c>
      <c r="T107" s="712">
        <f t="shared" ref="T107:AB107" si="60">T111*T122</f>
        <v>117.66502499999999</v>
      </c>
      <c r="U107" s="712">
        <f t="shared" si="60"/>
        <v>86.681150493749982</v>
      </c>
      <c r="V107" s="712">
        <f t="shared" si="60"/>
        <v>93.888808461492175</v>
      </c>
      <c r="W107" s="712">
        <f t="shared" si="60"/>
        <v>103.43637297975857</v>
      </c>
      <c r="X107" s="712">
        <f t="shared" si="60"/>
        <v>115.46716332476879</v>
      </c>
      <c r="Y107" s="712">
        <f t="shared" si="60"/>
        <v>69.404414441819128</v>
      </c>
      <c r="Z107" s="712">
        <f t="shared" si="60"/>
        <v>72.952502730655524</v>
      </c>
      <c r="AA107" s="712">
        <f t="shared" si="60"/>
        <v>77.111552785268643</v>
      </c>
      <c r="AB107" s="712">
        <f t="shared" si="60"/>
        <v>81.353783840974017</v>
      </c>
      <c r="AC107" s="860"/>
      <c r="AD107" s="712">
        <f>SUM(E107:H107)</f>
        <v>0</v>
      </c>
      <c r="AE107" s="712">
        <f>SUM(I107:L107)</f>
        <v>41.495999999999995</v>
      </c>
      <c r="AF107" s="795">
        <f>SUM(M107:P107)</f>
        <v>107.57196</v>
      </c>
      <c r="AG107" s="712">
        <f>SUM(Q107:T107)</f>
        <v>309.26506499999999</v>
      </c>
      <c r="AH107" s="712">
        <f>SUM(U107:X107)</f>
        <v>399.47349525976949</v>
      </c>
      <c r="AI107" s="795">
        <f>SUM(Y107:AB107)</f>
        <v>300.82225379871733</v>
      </c>
      <c r="AK107" s="712"/>
      <c r="AL107" s="712"/>
    </row>
    <row r="108" spans="1:38" ht="14.45" customHeight="1" x14ac:dyDescent="0.2">
      <c r="B108" s="859" t="s">
        <v>875</v>
      </c>
      <c r="C108" s="786"/>
      <c r="E108" s="790">
        <f t="shared" ref="E108:AB108" si="61">SUM(E106:E107)</f>
        <v>0</v>
      </c>
      <c r="F108" s="790">
        <f t="shared" si="61"/>
        <v>0</v>
      </c>
      <c r="G108" s="790">
        <f t="shared" si="61"/>
        <v>0</v>
      </c>
      <c r="H108" s="790">
        <f t="shared" si="61"/>
        <v>0</v>
      </c>
      <c r="I108" s="790">
        <f t="shared" si="61"/>
        <v>0</v>
      </c>
      <c r="J108" s="790">
        <f t="shared" si="61"/>
        <v>36</v>
      </c>
      <c r="K108" s="790">
        <f t="shared" si="61"/>
        <v>90.443999999999988</v>
      </c>
      <c r="L108" s="790">
        <f t="shared" si="61"/>
        <v>0</v>
      </c>
      <c r="M108" s="790">
        <f t="shared" si="61"/>
        <v>26.663999999999998</v>
      </c>
      <c r="N108" s="790">
        <f t="shared" si="61"/>
        <v>46.14</v>
      </c>
      <c r="O108" s="790">
        <f t="shared" si="61"/>
        <v>113.15195999999999</v>
      </c>
      <c r="P108" s="790">
        <f t="shared" si="61"/>
        <v>28.32</v>
      </c>
      <c r="Q108" s="790">
        <f t="shared" si="61"/>
        <v>90.96396</v>
      </c>
      <c r="R108" s="790">
        <f t="shared" si="61"/>
        <v>28.103999999999999</v>
      </c>
      <c r="S108" s="794">
        <f t="shared" si="61"/>
        <v>332.22815999999983</v>
      </c>
      <c r="T108" s="790">
        <f t="shared" si="61"/>
        <v>201.66502499999999</v>
      </c>
      <c r="U108" s="790">
        <f t="shared" si="61"/>
        <v>106.93115049374998</v>
      </c>
      <c r="V108" s="790">
        <f t="shared" si="61"/>
        <v>134.38880846149218</v>
      </c>
      <c r="W108" s="790">
        <f t="shared" si="61"/>
        <v>164.18637297975857</v>
      </c>
      <c r="X108" s="790">
        <f t="shared" si="61"/>
        <v>196.46716332476879</v>
      </c>
      <c r="Y108" s="790">
        <f t="shared" si="61"/>
        <v>112.60441444181913</v>
      </c>
      <c r="Z108" s="790">
        <f t="shared" si="61"/>
        <v>126.95250273065552</v>
      </c>
      <c r="AA108" s="790">
        <f t="shared" si="61"/>
        <v>131.11155278526866</v>
      </c>
      <c r="AB108" s="790">
        <f t="shared" si="61"/>
        <v>146.15378384097403</v>
      </c>
      <c r="AD108" s="790">
        <f t="shared" ref="AD108:AI108" si="62">SUM(AD106:AD107)</f>
        <v>0</v>
      </c>
      <c r="AE108" s="790">
        <f t="shared" si="62"/>
        <v>126.444</v>
      </c>
      <c r="AF108" s="794">
        <f t="shared" si="62"/>
        <v>214.27596</v>
      </c>
      <c r="AG108" s="790">
        <f t="shared" si="62"/>
        <v>652.96114499999976</v>
      </c>
      <c r="AH108" s="790">
        <f t="shared" si="62"/>
        <v>601.97349525976949</v>
      </c>
      <c r="AI108" s="794">
        <f t="shared" si="62"/>
        <v>516.82225379871738</v>
      </c>
    </row>
    <row r="109" spans="1:38" ht="14.45" customHeight="1" x14ac:dyDescent="0.2">
      <c r="B109" s="793" t="s">
        <v>974</v>
      </c>
      <c r="C109" s="786"/>
      <c r="E109" s="790"/>
      <c r="F109" s="790"/>
      <c r="G109" s="790"/>
      <c r="H109" s="790"/>
      <c r="I109" s="791" t="str">
        <f t="shared" ref="I109:AB109" si="63">IFERROR(I108/E108-1,"-")</f>
        <v>-</v>
      </c>
      <c r="J109" s="791" t="str">
        <f t="shared" si="63"/>
        <v>-</v>
      </c>
      <c r="K109" s="791" t="str">
        <f t="shared" si="63"/>
        <v>-</v>
      </c>
      <c r="L109" s="791" t="str">
        <f t="shared" si="63"/>
        <v>-</v>
      </c>
      <c r="M109" s="791" t="str">
        <f t="shared" si="63"/>
        <v>-</v>
      </c>
      <c r="N109" s="791">
        <f t="shared" si="63"/>
        <v>0.28166666666666673</v>
      </c>
      <c r="O109" s="791">
        <f t="shared" si="63"/>
        <v>0.2510720445800716</v>
      </c>
      <c r="P109" s="791" t="str">
        <f t="shared" si="63"/>
        <v>-</v>
      </c>
      <c r="Q109" s="791">
        <f t="shared" si="63"/>
        <v>2.4114896489648969</v>
      </c>
      <c r="R109" s="791">
        <f t="shared" si="63"/>
        <v>-0.39089726918075429</v>
      </c>
      <c r="S109" s="792">
        <f t="shared" si="63"/>
        <v>1.936123775496243</v>
      </c>
      <c r="T109" s="791">
        <f t="shared" si="63"/>
        <v>6.1209401483050838</v>
      </c>
      <c r="U109" s="791">
        <f t="shared" si="63"/>
        <v>0.17553315064284791</v>
      </c>
      <c r="V109" s="791">
        <f t="shared" si="63"/>
        <v>3.7818391852224655</v>
      </c>
      <c r="W109" s="791">
        <f t="shared" si="63"/>
        <v>-0.50580235889769654</v>
      </c>
      <c r="X109" s="791">
        <f t="shared" si="63"/>
        <v>-2.5774730522713063E-2</v>
      </c>
      <c r="Y109" s="791">
        <f t="shared" si="63"/>
        <v>5.3055297000669022E-2</v>
      </c>
      <c r="Z109" s="791">
        <f t="shared" si="63"/>
        <v>-5.5334263440303122E-2</v>
      </c>
      <c r="AA109" s="791">
        <f t="shared" si="63"/>
        <v>-0.20144680459301878</v>
      </c>
      <c r="AB109" s="791">
        <f t="shared" si="63"/>
        <v>-0.25609052745686844</v>
      </c>
      <c r="AD109" s="790"/>
      <c r="AE109" s="789" t="str">
        <f>IFERROR(AE108/AD108-1,"-")</f>
        <v>-</v>
      </c>
      <c r="AF109" s="788">
        <f>IFERROR(AF108/AE108-1,"-")</f>
        <v>0.6946312992312802</v>
      </c>
      <c r="AG109" s="789">
        <f>IFERROR(AG108/AF108-1,"-")</f>
        <v>2.0472907226736949</v>
      </c>
      <c r="AH109" s="789">
        <f>IFERROR(AH108/AG108-1,"-")</f>
        <v>-7.8086805211403987E-2</v>
      </c>
      <c r="AI109" s="788">
        <f>IFERROR(AI108/AH108-1,"-")</f>
        <v>-0.1414534728382133</v>
      </c>
    </row>
    <row r="110" spans="1:38" ht="14.45" customHeight="1" x14ac:dyDescent="0.2">
      <c r="B110" s="787"/>
      <c r="C110" s="786"/>
      <c r="E110" s="790"/>
      <c r="F110" s="790"/>
      <c r="G110" s="790"/>
      <c r="H110" s="790"/>
      <c r="I110" s="790"/>
      <c r="J110" s="790"/>
      <c r="K110" s="790"/>
      <c r="L110" s="790"/>
      <c r="M110" s="790"/>
      <c r="N110" s="790"/>
      <c r="O110" s="790"/>
      <c r="P110" s="790"/>
      <c r="Q110" s="790"/>
      <c r="R110" s="790"/>
      <c r="S110" s="794"/>
      <c r="T110" s="790"/>
      <c r="U110" s="790"/>
      <c r="V110" s="790"/>
      <c r="W110" s="790"/>
      <c r="X110" s="790"/>
      <c r="Y110" s="790"/>
      <c r="Z110" s="790"/>
      <c r="AA110" s="790"/>
      <c r="AB110" s="790"/>
      <c r="AD110" s="790"/>
      <c r="AE110" s="790"/>
      <c r="AF110" s="794"/>
      <c r="AG110" s="790"/>
      <c r="AH110" s="790"/>
      <c r="AI110" s="794"/>
    </row>
    <row r="111" spans="1:38" ht="14.45" customHeight="1" x14ac:dyDescent="0.2">
      <c r="B111" s="783" t="s">
        <v>1013</v>
      </c>
      <c r="C111" s="786"/>
      <c r="E111" s="656">
        <v>0</v>
      </c>
      <c r="F111" s="656">
        <v>0</v>
      </c>
      <c r="G111" s="656">
        <v>0</v>
      </c>
      <c r="H111" s="656">
        <v>0</v>
      </c>
      <c r="I111" s="656">
        <v>0</v>
      </c>
      <c r="J111" s="656">
        <v>0</v>
      </c>
      <c r="K111" s="656">
        <v>36</v>
      </c>
      <c r="L111" s="656">
        <v>126.444</v>
      </c>
      <c r="M111" s="656">
        <v>126.444</v>
      </c>
      <c r="N111" s="656">
        <v>151.50803999999999</v>
      </c>
      <c r="O111" s="656">
        <v>197.64804000000001</v>
      </c>
      <c r="P111" s="656">
        <v>283.44</v>
      </c>
      <c r="Q111" s="656">
        <v>311.76</v>
      </c>
      <c r="R111" s="656">
        <v>402.72396000000003</v>
      </c>
      <c r="S111" s="767">
        <v>420.82800000000003</v>
      </c>
      <c r="T111" s="656">
        <f>'Revenue Build'!S84</f>
        <v>753.05615999999986</v>
      </c>
      <c r="U111" s="656">
        <f>'Revenue Build'!T84</f>
        <v>924.59893859999988</v>
      </c>
      <c r="V111" s="656">
        <f>'Revenue Build'!U84</f>
        <v>1001.4806235892499</v>
      </c>
      <c r="W111" s="656">
        <f>'Revenue Build'!V84</f>
        <v>1103.3213117840914</v>
      </c>
      <c r="X111" s="656">
        <f>'Revenue Build'!W84</f>
        <v>1231.649742130867</v>
      </c>
      <c r="Y111" s="656">
        <f>'Revenue Build'!X84</f>
        <v>1388.0882888363826</v>
      </c>
      <c r="Z111" s="656">
        <f>'Revenue Build'!Y84</f>
        <v>1459.0500546131104</v>
      </c>
      <c r="AA111" s="656">
        <f>'Revenue Build'!Z84</f>
        <v>1542.2310557053727</v>
      </c>
      <c r="AB111" s="656">
        <f>'Revenue Build'!AA84</f>
        <v>1627.0756768194801</v>
      </c>
      <c r="AC111" s="858"/>
      <c r="AD111" s="656">
        <f>'Revenue Build'!AC84</f>
        <v>0</v>
      </c>
      <c r="AE111" s="656">
        <f>'Revenue Build'!AD84</f>
        <v>0</v>
      </c>
      <c r="AF111" s="767">
        <f>'Revenue Build'!AE84</f>
        <v>126.444</v>
      </c>
      <c r="AG111" s="656">
        <f>'Revenue Build'!AF84</f>
        <v>311.76</v>
      </c>
      <c r="AH111" s="656">
        <f>'Revenue Build'!AG84</f>
        <v>924.59893859999966</v>
      </c>
      <c r="AI111" s="767">
        <f>'Revenue Build'!AH84</f>
        <v>1388.0882888363826</v>
      </c>
    </row>
    <row r="112" spans="1:38" ht="14.45" customHeight="1" x14ac:dyDescent="0.2">
      <c r="B112" s="787"/>
      <c r="C112" s="786"/>
      <c r="S112" s="780"/>
      <c r="AD112" s="786"/>
      <c r="AE112" s="786"/>
      <c r="AF112" s="785"/>
      <c r="AG112" s="786"/>
      <c r="AH112" s="786"/>
      <c r="AI112" s="785"/>
    </row>
    <row r="113" spans="2:37" ht="14.45" customHeight="1" x14ac:dyDescent="0.2">
      <c r="B113" s="783" t="s">
        <v>1031</v>
      </c>
      <c r="C113" s="758"/>
      <c r="E113" s="754"/>
      <c r="F113" s="754"/>
      <c r="G113" s="754"/>
      <c r="H113" s="754"/>
      <c r="I113" s="754"/>
      <c r="J113" s="754"/>
      <c r="K113" s="754"/>
      <c r="L113" s="754"/>
      <c r="M113" s="754"/>
      <c r="N113" s="754"/>
      <c r="O113" s="754"/>
      <c r="P113" s="754"/>
      <c r="Q113" s="754"/>
      <c r="R113" s="754"/>
      <c r="S113" s="844"/>
      <c r="T113" s="843"/>
      <c r="U113" s="843"/>
      <c r="V113" s="843"/>
      <c r="W113" s="843"/>
      <c r="X113" s="843"/>
      <c r="Y113" s="843"/>
      <c r="Z113" s="843"/>
      <c r="AA113" s="843"/>
      <c r="AB113" s="843"/>
      <c r="AC113" s="754"/>
      <c r="AD113" s="842"/>
      <c r="AE113" s="842"/>
      <c r="AF113" s="841"/>
      <c r="AG113" s="776"/>
      <c r="AH113" s="832"/>
      <c r="AI113" s="836"/>
      <c r="AJ113" s="742"/>
    </row>
    <row r="114" spans="2:37" ht="14.45" customHeight="1" x14ac:dyDescent="0.2">
      <c r="B114" s="759" t="s">
        <v>937</v>
      </c>
      <c r="C114" s="758"/>
      <c r="E114" s="755" t="str">
        <f t="shared" ref="E114:S114" si="64">IFERROR(E106/E116,"-")</f>
        <v>-</v>
      </c>
      <c r="F114" s="755" t="str">
        <f t="shared" si="64"/>
        <v>-</v>
      </c>
      <c r="G114" s="755" t="str">
        <f t="shared" si="64"/>
        <v>-</v>
      </c>
      <c r="H114" s="755" t="str">
        <f t="shared" si="64"/>
        <v>-</v>
      </c>
      <c r="I114" s="755" t="str">
        <f t="shared" si="64"/>
        <v>-</v>
      </c>
      <c r="J114" s="755">
        <f t="shared" si="64"/>
        <v>18</v>
      </c>
      <c r="K114" s="755">
        <f t="shared" si="64"/>
        <v>16.315999999999999</v>
      </c>
      <c r="L114" s="755" t="str">
        <f t="shared" si="64"/>
        <v>-</v>
      </c>
      <c r="M114" s="755">
        <f t="shared" si="64"/>
        <v>4.8528000000000002</v>
      </c>
      <c r="N114" s="755">
        <f t="shared" si="64"/>
        <v>6.5940000000000003</v>
      </c>
      <c r="O114" s="755">
        <f t="shared" si="64"/>
        <v>10.735199999999997</v>
      </c>
      <c r="P114" s="755">
        <f t="shared" si="64"/>
        <v>2.3879999999999999</v>
      </c>
      <c r="Q114" s="755">
        <f t="shared" si="64"/>
        <v>6.8940000000000001</v>
      </c>
      <c r="R114" s="755" t="str">
        <f t="shared" si="64"/>
        <v>-</v>
      </c>
      <c r="S114" s="757">
        <f t="shared" si="64"/>
        <v>18.916006153846141</v>
      </c>
      <c r="T114" s="756">
        <v>7</v>
      </c>
      <c r="U114" s="755">
        <f>AH114</f>
        <v>7.5</v>
      </c>
      <c r="V114" s="755">
        <f>U114</f>
        <v>7.5</v>
      </c>
      <c r="W114" s="755">
        <f>V114</f>
        <v>7.5</v>
      </c>
      <c r="X114" s="755">
        <f>W114</f>
        <v>7.5</v>
      </c>
      <c r="Y114" s="755">
        <f>AI114</f>
        <v>8</v>
      </c>
      <c r="Z114" s="755">
        <f>Y114</f>
        <v>8</v>
      </c>
      <c r="AA114" s="755">
        <f>Z114</f>
        <v>8</v>
      </c>
      <c r="AB114" s="755">
        <f>AA114</f>
        <v>8</v>
      </c>
      <c r="AC114" s="754"/>
      <c r="AD114" s="857" t="str">
        <f>IFERROR(AD106/AD116,"-")</f>
        <v>-</v>
      </c>
      <c r="AE114" s="753">
        <f>AE106/AE116</f>
        <v>16.989600000000003</v>
      </c>
      <c r="AF114" s="752">
        <f>AF106/AF116</f>
        <v>7.1135999999999999</v>
      </c>
      <c r="AG114" s="752">
        <f>AG106/AG116</f>
        <v>12.729484444444438</v>
      </c>
      <c r="AH114" s="856">
        <v>7.5</v>
      </c>
      <c r="AI114" s="856">
        <v>8</v>
      </c>
      <c r="AJ114" s="742"/>
    </row>
    <row r="115" spans="2:37" ht="14.45" customHeight="1" x14ac:dyDescent="0.2">
      <c r="B115" s="759" t="s">
        <v>1011</v>
      </c>
      <c r="C115" s="758"/>
      <c r="E115" s="855">
        <v>0</v>
      </c>
      <c r="F115" s="855">
        <v>0</v>
      </c>
      <c r="G115" s="855">
        <v>0</v>
      </c>
      <c r="H115" s="855">
        <v>0</v>
      </c>
      <c r="I115" s="855">
        <v>0</v>
      </c>
      <c r="J115" s="855">
        <v>0</v>
      </c>
      <c r="K115" s="855">
        <v>2</v>
      </c>
      <c r="L115" s="855">
        <v>5</v>
      </c>
      <c r="M115" s="855">
        <v>5</v>
      </c>
      <c r="N115" s="855">
        <v>10</v>
      </c>
      <c r="O115" s="855">
        <v>14</v>
      </c>
      <c r="P115" s="855">
        <v>18</v>
      </c>
      <c r="Q115" s="855">
        <v>19</v>
      </c>
      <c r="R115" s="855">
        <v>21</v>
      </c>
      <c r="S115" s="854">
        <v>20</v>
      </c>
      <c r="T115" s="754">
        <f t="shared" ref="T115:AB115" si="65">S120</f>
        <v>33</v>
      </c>
      <c r="U115" s="754">
        <f t="shared" si="65"/>
        <v>44</v>
      </c>
      <c r="V115" s="754">
        <f t="shared" si="65"/>
        <v>41.7</v>
      </c>
      <c r="W115" s="754">
        <f t="shared" si="65"/>
        <v>42.1</v>
      </c>
      <c r="X115" s="754">
        <f t="shared" si="65"/>
        <v>45.2</v>
      </c>
      <c r="Y115" s="754">
        <f t="shared" si="65"/>
        <v>51</v>
      </c>
      <c r="Z115" s="754">
        <f t="shared" si="65"/>
        <v>49.4</v>
      </c>
      <c r="AA115" s="754">
        <f t="shared" si="65"/>
        <v>49.15</v>
      </c>
      <c r="AB115" s="754">
        <f t="shared" si="65"/>
        <v>48.9</v>
      </c>
      <c r="AC115" s="754"/>
      <c r="AD115" s="797">
        <f>E115</f>
        <v>0</v>
      </c>
      <c r="AE115" s="797">
        <f>I115</f>
        <v>0</v>
      </c>
      <c r="AF115" s="798">
        <f>M115</f>
        <v>5</v>
      </c>
      <c r="AG115" s="797">
        <f>Q115</f>
        <v>19</v>
      </c>
      <c r="AH115" s="797">
        <f>U115</f>
        <v>44</v>
      </c>
      <c r="AI115" s="798">
        <f>Y115</f>
        <v>51</v>
      </c>
      <c r="AJ115" s="742"/>
    </row>
    <row r="116" spans="2:37" ht="14.45" customHeight="1" x14ac:dyDescent="0.25">
      <c r="B116" s="759" t="s">
        <v>943</v>
      </c>
      <c r="C116" s="758"/>
      <c r="E116" s="656">
        <v>0</v>
      </c>
      <c r="F116" s="656">
        <v>0</v>
      </c>
      <c r="G116" s="656">
        <v>0</v>
      </c>
      <c r="H116" s="656">
        <v>0</v>
      </c>
      <c r="I116" s="656">
        <v>0</v>
      </c>
      <c r="J116" s="656">
        <v>2</v>
      </c>
      <c r="K116" s="656">
        <v>3</v>
      </c>
      <c r="L116" s="656">
        <v>0</v>
      </c>
      <c r="M116" s="656">
        <v>5</v>
      </c>
      <c r="N116" s="656">
        <v>4</v>
      </c>
      <c r="O116" s="656">
        <v>5</v>
      </c>
      <c r="P116" s="656">
        <v>1</v>
      </c>
      <c r="Q116" s="656">
        <v>2</v>
      </c>
      <c r="R116" s="656">
        <v>0</v>
      </c>
      <c r="S116" s="767">
        <v>13</v>
      </c>
      <c r="T116" s="766">
        <v>12</v>
      </c>
      <c r="U116" s="754">
        <f>$AH$116*0.1</f>
        <v>2.7</v>
      </c>
      <c r="V116" s="754">
        <f>$AH$116*0.2</f>
        <v>5.4</v>
      </c>
      <c r="W116" s="754">
        <f>$AH$116*0.3</f>
        <v>8.1</v>
      </c>
      <c r="X116" s="754">
        <f>$AH$116*0.4</f>
        <v>10.8</v>
      </c>
      <c r="Y116" s="754">
        <f>$AI$116*0.2</f>
        <v>5.4</v>
      </c>
      <c r="Z116" s="754">
        <f>$AI$116*0.25</f>
        <v>6.75</v>
      </c>
      <c r="AA116" s="754">
        <f>$AI$116*0.25</f>
        <v>6.75</v>
      </c>
      <c r="AB116" s="754">
        <f>$AI$116*0.3</f>
        <v>8.1</v>
      </c>
      <c r="AC116" s="754"/>
      <c r="AD116" s="797">
        <f>SUM(E116:H116)</f>
        <v>0</v>
      </c>
      <c r="AE116" s="797">
        <f>SUM(I116:L116)</f>
        <v>5</v>
      </c>
      <c r="AF116" s="798">
        <f>SUM(M116:P116)</f>
        <v>15</v>
      </c>
      <c r="AG116" s="797">
        <f>SUM(Q116:T116)</f>
        <v>27</v>
      </c>
      <c r="AH116" s="691">
        <v>27</v>
      </c>
      <c r="AI116" s="691">
        <v>27</v>
      </c>
      <c r="AJ116" s="742"/>
      <c r="AK116" s="853"/>
    </row>
    <row r="117" spans="2:37" ht="14.45" customHeight="1" x14ac:dyDescent="0.2">
      <c r="B117" s="759" t="s">
        <v>1010</v>
      </c>
      <c r="C117" s="758"/>
      <c r="E117" s="656">
        <v>0</v>
      </c>
      <c r="F117" s="656">
        <v>0</v>
      </c>
      <c r="G117" s="656">
        <v>0</v>
      </c>
      <c r="H117" s="656">
        <v>0</v>
      </c>
      <c r="I117" s="656">
        <v>0</v>
      </c>
      <c r="J117" s="656">
        <v>0</v>
      </c>
      <c r="K117" s="656">
        <v>0</v>
      </c>
      <c r="L117" s="656">
        <v>0</v>
      </c>
      <c r="M117" s="656">
        <v>0</v>
      </c>
      <c r="N117" s="656">
        <v>0</v>
      </c>
      <c r="O117" s="656">
        <v>0</v>
      </c>
      <c r="P117" s="656">
        <v>0</v>
      </c>
      <c r="Q117" s="656">
        <v>0</v>
      </c>
      <c r="R117" s="656">
        <v>0</v>
      </c>
      <c r="S117" s="767">
        <v>0</v>
      </c>
      <c r="T117" s="766">
        <v>0</v>
      </c>
      <c r="U117" s="766">
        <v>0</v>
      </c>
      <c r="V117" s="766">
        <v>0</v>
      </c>
      <c r="W117" s="766">
        <v>0</v>
      </c>
      <c r="X117" s="766">
        <v>0</v>
      </c>
      <c r="Y117" s="766">
        <v>0</v>
      </c>
      <c r="Z117" s="766">
        <v>0</v>
      </c>
      <c r="AA117" s="766">
        <v>0</v>
      </c>
      <c r="AB117" s="766">
        <v>0</v>
      </c>
      <c r="AC117" s="754"/>
      <c r="AD117" s="797">
        <f>SUM(E117:H117)</f>
        <v>0</v>
      </c>
      <c r="AE117" s="797">
        <f>SUM(I117:L117)</f>
        <v>0</v>
      </c>
      <c r="AF117" s="798">
        <f>SUM(M117:P117)</f>
        <v>0</v>
      </c>
      <c r="AG117" s="797">
        <f>SUM(Q117:T117)</f>
        <v>0</v>
      </c>
      <c r="AH117" s="797">
        <f>SUM(U117:X117)</f>
        <v>0</v>
      </c>
      <c r="AI117" s="798">
        <f>SUM(Y117:AB117)</f>
        <v>0</v>
      </c>
      <c r="AJ117" s="742"/>
    </row>
    <row r="118" spans="2:37" ht="14.45" customHeight="1" x14ac:dyDescent="0.2">
      <c r="B118" s="759" t="s">
        <v>1009</v>
      </c>
      <c r="C118" s="758"/>
      <c r="E118" s="656">
        <v>0</v>
      </c>
      <c r="F118" s="656">
        <v>0</v>
      </c>
      <c r="G118" s="656">
        <v>0</v>
      </c>
      <c r="H118" s="656">
        <v>0</v>
      </c>
      <c r="I118" s="656">
        <v>0</v>
      </c>
      <c r="J118" s="656">
        <v>0</v>
      </c>
      <c r="K118" s="656">
        <v>0</v>
      </c>
      <c r="L118" s="656">
        <v>0</v>
      </c>
      <c r="M118" s="656">
        <v>0</v>
      </c>
      <c r="N118" s="656">
        <v>0</v>
      </c>
      <c r="O118" s="656">
        <v>-1</v>
      </c>
      <c r="P118" s="656">
        <v>0</v>
      </c>
      <c r="Q118" s="656">
        <v>0</v>
      </c>
      <c r="R118" s="656">
        <v>-1</v>
      </c>
      <c r="S118" s="767">
        <v>0</v>
      </c>
      <c r="T118" s="766">
        <v>-1</v>
      </c>
      <c r="U118" s="754">
        <f>$AH$118/4</f>
        <v>-5</v>
      </c>
      <c r="V118" s="754">
        <f>$AH$118/4</f>
        <v>-5</v>
      </c>
      <c r="W118" s="754">
        <f>$AH$118/4</f>
        <v>-5</v>
      </c>
      <c r="X118" s="754">
        <f>$AH$118/4</f>
        <v>-5</v>
      </c>
      <c r="Y118" s="754">
        <f>$AI$118/4</f>
        <v>-7</v>
      </c>
      <c r="Z118" s="754">
        <f>$AI$118/4</f>
        <v>-7</v>
      </c>
      <c r="AA118" s="754">
        <f>$AI$118/4</f>
        <v>-7</v>
      </c>
      <c r="AB118" s="754">
        <f>$AI$118/4</f>
        <v>-7</v>
      </c>
      <c r="AC118" s="754"/>
      <c r="AD118" s="762">
        <f>SUM(E118:H118)</f>
        <v>0</v>
      </c>
      <c r="AE118" s="762">
        <f>SUM(I118:L118)</f>
        <v>0</v>
      </c>
      <c r="AF118" s="762">
        <f>SUM(M118:P118)</f>
        <v>-1</v>
      </c>
      <c r="AG118" s="768">
        <f>SUM(Q118:T118)</f>
        <v>-2</v>
      </c>
      <c r="AH118" s="691">
        <v>-20</v>
      </c>
      <c r="AI118" s="691">
        <v>-28</v>
      </c>
      <c r="AJ118" s="742"/>
    </row>
    <row r="119" spans="2:37" ht="14.45" customHeight="1" x14ac:dyDescent="0.2">
      <c r="B119" s="759" t="s">
        <v>1008</v>
      </c>
      <c r="C119" s="758"/>
      <c r="E119" s="656">
        <v>0</v>
      </c>
      <c r="F119" s="656">
        <v>0</v>
      </c>
      <c r="G119" s="656">
        <v>0</v>
      </c>
      <c r="H119" s="656">
        <v>0</v>
      </c>
      <c r="I119" s="656">
        <v>0</v>
      </c>
      <c r="J119" s="656">
        <v>0</v>
      </c>
      <c r="K119" s="656">
        <v>0</v>
      </c>
      <c r="L119" s="656">
        <v>0</v>
      </c>
      <c r="M119" s="656">
        <v>0</v>
      </c>
      <c r="N119" s="656">
        <v>0</v>
      </c>
      <c r="O119" s="656">
        <v>0</v>
      </c>
      <c r="P119" s="656">
        <v>0</v>
      </c>
      <c r="Q119" s="656">
        <v>0</v>
      </c>
      <c r="R119" s="656">
        <v>0</v>
      </c>
      <c r="S119" s="767">
        <v>0</v>
      </c>
      <c r="T119" s="766">
        <v>0</v>
      </c>
      <c r="U119" s="766">
        <v>0</v>
      </c>
      <c r="V119" s="766">
        <v>0</v>
      </c>
      <c r="W119" s="766">
        <v>0</v>
      </c>
      <c r="X119" s="766">
        <v>0</v>
      </c>
      <c r="Y119" s="766">
        <v>0</v>
      </c>
      <c r="Z119" s="766">
        <v>0</v>
      </c>
      <c r="AA119" s="766">
        <v>0</v>
      </c>
      <c r="AB119" s="766">
        <v>0</v>
      </c>
      <c r="AC119" s="754"/>
      <c r="AD119" s="797">
        <f>SUM(E119:H119)</f>
        <v>0</v>
      </c>
      <c r="AE119" s="797">
        <f>SUM(I119:L119)</f>
        <v>0</v>
      </c>
      <c r="AF119" s="798">
        <f>SUM(M119:P119)</f>
        <v>0</v>
      </c>
      <c r="AG119" s="797">
        <f>SUM(Q119:T119)</f>
        <v>0</v>
      </c>
      <c r="AH119" s="797">
        <f>SUM(U119:X119)</f>
        <v>0</v>
      </c>
      <c r="AI119" s="798">
        <f>SUM(Y119:AB119)</f>
        <v>0</v>
      </c>
      <c r="AJ119" s="742"/>
    </row>
    <row r="120" spans="2:37" ht="14.45" customHeight="1" x14ac:dyDescent="0.2">
      <c r="B120" s="759" t="s">
        <v>1007</v>
      </c>
      <c r="C120" s="758"/>
      <c r="E120" s="654">
        <f t="shared" ref="E120:AB120" si="66">SUM(E115:E119)</f>
        <v>0</v>
      </c>
      <c r="F120" s="654">
        <f t="shared" si="66"/>
        <v>0</v>
      </c>
      <c r="G120" s="654">
        <f t="shared" si="66"/>
        <v>0</v>
      </c>
      <c r="H120" s="654">
        <f t="shared" si="66"/>
        <v>0</v>
      </c>
      <c r="I120" s="654">
        <f t="shared" si="66"/>
        <v>0</v>
      </c>
      <c r="J120" s="654">
        <f t="shared" si="66"/>
        <v>2</v>
      </c>
      <c r="K120" s="654">
        <f t="shared" si="66"/>
        <v>5</v>
      </c>
      <c r="L120" s="654">
        <f t="shared" si="66"/>
        <v>5</v>
      </c>
      <c r="M120" s="654">
        <f t="shared" si="66"/>
        <v>10</v>
      </c>
      <c r="N120" s="654">
        <f t="shared" si="66"/>
        <v>14</v>
      </c>
      <c r="O120" s="654">
        <f t="shared" si="66"/>
        <v>18</v>
      </c>
      <c r="P120" s="654">
        <f t="shared" si="66"/>
        <v>19</v>
      </c>
      <c r="Q120" s="654">
        <f t="shared" si="66"/>
        <v>21</v>
      </c>
      <c r="R120" s="654">
        <f t="shared" si="66"/>
        <v>20</v>
      </c>
      <c r="S120" s="764">
        <f t="shared" si="66"/>
        <v>33</v>
      </c>
      <c r="T120" s="754">
        <f t="shared" si="66"/>
        <v>44</v>
      </c>
      <c r="U120" s="754">
        <f t="shared" si="66"/>
        <v>41.7</v>
      </c>
      <c r="V120" s="754">
        <f t="shared" si="66"/>
        <v>42.1</v>
      </c>
      <c r="W120" s="754">
        <f t="shared" si="66"/>
        <v>45.2</v>
      </c>
      <c r="X120" s="754">
        <f t="shared" si="66"/>
        <v>51</v>
      </c>
      <c r="Y120" s="754">
        <f t="shared" si="66"/>
        <v>49.4</v>
      </c>
      <c r="Z120" s="754">
        <f t="shared" si="66"/>
        <v>49.15</v>
      </c>
      <c r="AA120" s="754">
        <f t="shared" si="66"/>
        <v>48.9</v>
      </c>
      <c r="AB120" s="754">
        <f t="shared" si="66"/>
        <v>50</v>
      </c>
      <c r="AC120" s="754"/>
      <c r="AD120" s="762">
        <f>H120</f>
        <v>0</v>
      </c>
      <c r="AE120" s="762">
        <f>L120</f>
        <v>5</v>
      </c>
      <c r="AF120" s="761">
        <f>P120</f>
        <v>19</v>
      </c>
      <c r="AG120" s="754">
        <f>T120</f>
        <v>44</v>
      </c>
      <c r="AH120" s="754">
        <f>X120</f>
        <v>51</v>
      </c>
      <c r="AI120" s="771">
        <f>AB120</f>
        <v>50</v>
      </c>
      <c r="AJ120" s="742"/>
    </row>
    <row r="121" spans="2:37" ht="14.45" customHeight="1" x14ac:dyDescent="0.2">
      <c r="B121" s="759" t="s">
        <v>1030</v>
      </c>
      <c r="C121" s="758"/>
      <c r="E121" s="755">
        <f t="shared" ref="E121:AB121" si="67">E116/E130</f>
        <v>0</v>
      </c>
      <c r="F121" s="755">
        <f t="shared" si="67"/>
        <v>0</v>
      </c>
      <c r="G121" s="755">
        <f t="shared" si="67"/>
        <v>0</v>
      </c>
      <c r="H121" s="755">
        <f t="shared" si="67"/>
        <v>0</v>
      </c>
      <c r="I121" s="755">
        <f t="shared" si="67"/>
        <v>0</v>
      </c>
      <c r="J121" s="755">
        <f t="shared" si="67"/>
        <v>0.37735849056603776</v>
      </c>
      <c r="K121" s="755">
        <f t="shared" si="67"/>
        <v>0.5357142857142857</v>
      </c>
      <c r="L121" s="755">
        <f t="shared" si="67"/>
        <v>0</v>
      </c>
      <c r="M121" s="755">
        <f t="shared" si="67"/>
        <v>0.45454545454545453</v>
      </c>
      <c r="N121" s="755">
        <f t="shared" si="67"/>
        <v>0.36363636363636365</v>
      </c>
      <c r="O121" s="755">
        <f t="shared" si="67"/>
        <v>0.5</v>
      </c>
      <c r="P121" s="755">
        <f t="shared" si="67"/>
        <v>0.1</v>
      </c>
      <c r="Q121" s="755">
        <f t="shared" si="67"/>
        <v>0.22222222222222221</v>
      </c>
      <c r="R121" s="755">
        <f t="shared" si="67"/>
        <v>0</v>
      </c>
      <c r="S121" s="757">
        <f t="shared" si="67"/>
        <v>1.4444444444444444</v>
      </c>
      <c r="T121" s="755">
        <f t="shared" si="67"/>
        <v>1.3333333333333333</v>
      </c>
      <c r="U121" s="755">
        <f t="shared" si="67"/>
        <v>0.30000000000000004</v>
      </c>
      <c r="V121" s="755">
        <f t="shared" si="67"/>
        <v>0.60000000000000009</v>
      </c>
      <c r="W121" s="755">
        <f t="shared" si="67"/>
        <v>0.89999999999999991</v>
      </c>
      <c r="X121" s="755">
        <f t="shared" si="67"/>
        <v>1.2000000000000002</v>
      </c>
      <c r="Y121" s="755">
        <f t="shared" si="67"/>
        <v>0.60000000000000009</v>
      </c>
      <c r="Z121" s="755">
        <f t="shared" si="67"/>
        <v>0.75</v>
      </c>
      <c r="AA121" s="755">
        <f t="shared" si="67"/>
        <v>0.75</v>
      </c>
      <c r="AB121" s="755">
        <f t="shared" si="67"/>
        <v>0.89999999999999991</v>
      </c>
      <c r="AC121" s="754"/>
      <c r="AD121" s="753">
        <f t="shared" ref="AD121:AI121" si="68">AD116/AD130</f>
        <v>0</v>
      </c>
      <c r="AE121" s="753">
        <f t="shared" si="68"/>
        <v>0.65789473684210531</v>
      </c>
      <c r="AF121" s="752">
        <f t="shared" si="68"/>
        <v>1.5</v>
      </c>
      <c r="AG121" s="753">
        <f t="shared" si="68"/>
        <v>3</v>
      </c>
      <c r="AH121" s="753">
        <f t="shared" si="68"/>
        <v>3</v>
      </c>
      <c r="AI121" s="752">
        <f t="shared" si="68"/>
        <v>3</v>
      </c>
      <c r="AJ121" s="742"/>
    </row>
    <row r="122" spans="2:37" ht="14.45" customHeight="1" x14ac:dyDescent="0.2">
      <c r="B122" s="759" t="s">
        <v>942</v>
      </c>
      <c r="C122" s="758"/>
      <c r="E122" s="850" t="str">
        <f t="shared" ref="E122:J122" si="69">IFERROR(E107/E111,"n/a")</f>
        <v>n/a</v>
      </c>
      <c r="F122" s="850" t="str">
        <f t="shared" si="69"/>
        <v>n/a</v>
      </c>
      <c r="G122" s="850" t="str">
        <f t="shared" si="69"/>
        <v>n/a</v>
      </c>
      <c r="H122" s="850" t="str">
        <f t="shared" si="69"/>
        <v>n/a</v>
      </c>
      <c r="I122" s="850" t="str">
        <f t="shared" si="69"/>
        <v>n/a</v>
      </c>
      <c r="J122" s="850" t="str">
        <f t="shared" si="69"/>
        <v>n/a</v>
      </c>
      <c r="K122" s="850">
        <f>IFERROR(K107/K111,"na")</f>
        <v>1.1526666666666665</v>
      </c>
      <c r="L122" s="850">
        <f t="shared" ref="L122:S122" si="70">L107/L111</f>
        <v>0</v>
      </c>
      <c r="M122" s="850">
        <f t="shared" si="70"/>
        <v>1.8980734554427246E-2</v>
      </c>
      <c r="N122" s="850">
        <f t="shared" si="70"/>
        <v>0.13044852273186294</v>
      </c>
      <c r="O122" s="850">
        <f t="shared" si="70"/>
        <v>0.30091854186866712</v>
      </c>
      <c r="P122" s="850">
        <f t="shared" si="70"/>
        <v>9.1490262489415747E-2</v>
      </c>
      <c r="Q122" s="850">
        <f t="shared" si="70"/>
        <v>0.24754926866820634</v>
      </c>
      <c r="R122" s="850">
        <f t="shared" si="70"/>
        <v>6.978477267654995E-2</v>
      </c>
      <c r="S122" s="852">
        <f t="shared" si="70"/>
        <v>0.20511962131797312</v>
      </c>
      <c r="T122" s="851">
        <v>0.15625</v>
      </c>
      <c r="U122" s="850">
        <f>$AH$122/4</f>
        <v>9.375E-2</v>
      </c>
      <c r="V122" s="850">
        <f>$AH$122/4</f>
        <v>9.375E-2</v>
      </c>
      <c r="W122" s="850">
        <f>$AH$122/4</f>
        <v>9.375E-2</v>
      </c>
      <c r="X122" s="850">
        <f>$AH$122/4</f>
        <v>9.375E-2</v>
      </c>
      <c r="Y122" s="850">
        <v>0.05</v>
      </c>
      <c r="Z122" s="850">
        <v>0.05</v>
      </c>
      <c r="AA122" s="850">
        <v>0.05</v>
      </c>
      <c r="AB122" s="850">
        <v>0.05</v>
      </c>
      <c r="AC122" s="754"/>
      <c r="AD122" s="850" t="str">
        <f>IFERROR(AD107/AD111,"-")</f>
        <v>-</v>
      </c>
      <c r="AE122" s="850" t="str">
        <f>IFERROR(AE107/AE111,"-")</f>
        <v>-</v>
      </c>
      <c r="AF122" s="850">
        <f>AF107/AF111</f>
        <v>0.8507478409414444</v>
      </c>
      <c r="AG122" s="849">
        <f>AG107/AG111</f>
        <v>0.99199725750577372</v>
      </c>
      <c r="AH122" s="848">
        <v>0.375</v>
      </c>
      <c r="AI122" s="848">
        <v>0.375</v>
      </c>
      <c r="AJ122" s="742"/>
    </row>
    <row r="123" spans="2:37" ht="14.45" customHeight="1" x14ac:dyDescent="0.2">
      <c r="B123" s="847"/>
      <c r="C123" s="846"/>
      <c r="E123" s="779"/>
      <c r="F123" s="779"/>
      <c r="G123" s="779"/>
      <c r="H123" s="779"/>
      <c r="I123" s="779"/>
      <c r="J123" s="779"/>
      <c r="K123" s="779"/>
      <c r="L123" s="779"/>
      <c r="M123" s="779"/>
      <c r="N123" s="779"/>
      <c r="O123" s="779"/>
      <c r="P123" s="779"/>
      <c r="Q123" s="779"/>
      <c r="R123" s="779"/>
      <c r="S123" s="844"/>
      <c r="T123" s="843"/>
      <c r="U123" s="843"/>
      <c r="V123" s="843"/>
      <c r="W123" s="843"/>
      <c r="X123" s="843"/>
      <c r="Y123" s="843"/>
      <c r="Z123" s="843"/>
      <c r="AA123" s="843"/>
      <c r="AB123" s="843"/>
      <c r="AC123" s="754"/>
      <c r="AD123" s="842"/>
      <c r="AE123" s="842"/>
      <c r="AF123" s="841"/>
      <c r="AG123" s="842"/>
      <c r="AH123" s="842"/>
      <c r="AI123" s="845"/>
      <c r="AJ123" s="742"/>
    </row>
    <row r="124" spans="2:37" ht="14.45" customHeight="1" x14ac:dyDescent="0.2">
      <c r="B124" s="783" t="s">
        <v>956</v>
      </c>
      <c r="C124" s="784"/>
      <c r="E124" s="754"/>
      <c r="F124" s="754"/>
      <c r="G124" s="754"/>
      <c r="H124" s="754"/>
      <c r="I124" s="754"/>
      <c r="J124" s="754"/>
      <c r="K124" s="754"/>
      <c r="L124" s="754"/>
      <c r="M124" s="754"/>
      <c r="N124" s="754"/>
      <c r="O124" s="754"/>
      <c r="P124" s="754"/>
      <c r="Q124" s="754"/>
      <c r="R124" s="754"/>
      <c r="S124" s="844"/>
      <c r="T124" s="843"/>
      <c r="U124" s="843"/>
      <c r="V124" s="843"/>
      <c r="W124" s="843"/>
      <c r="X124" s="843"/>
      <c r="Y124" s="843"/>
      <c r="Z124" s="843"/>
      <c r="AA124" s="843"/>
      <c r="AB124" s="843"/>
      <c r="AC124" s="754"/>
      <c r="AD124" s="842"/>
      <c r="AE124" s="842"/>
      <c r="AF124" s="841"/>
      <c r="AG124" s="776"/>
      <c r="AH124" s="776"/>
      <c r="AI124" s="823"/>
      <c r="AJ124" s="742"/>
    </row>
    <row r="125" spans="2:37" ht="14.45" customHeight="1" x14ac:dyDescent="0.2">
      <c r="B125" s="840" t="s">
        <v>949</v>
      </c>
      <c r="E125" s="839">
        <v>1</v>
      </c>
      <c r="F125" s="839">
        <v>1</v>
      </c>
      <c r="G125" s="839">
        <v>2</v>
      </c>
      <c r="H125" s="839">
        <v>3</v>
      </c>
      <c r="I125" s="839">
        <v>6</v>
      </c>
      <c r="J125" s="839">
        <v>7</v>
      </c>
      <c r="K125" s="839">
        <v>9</v>
      </c>
      <c r="L125" s="839">
        <v>11</v>
      </c>
      <c r="M125" s="839">
        <v>11</v>
      </c>
      <c r="N125" s="839">
        <v>11</v>
      </c>
      <c r="O125" s="839">
        <v>10</v>
      </c>
      <c r="P125" s="839">
        <v>10</v>
      </c>
      <c r="Q125" s="839">
        <v>9</v>
      </c>
      <c r="R125" s="839">
        <v>11</v>
      </c>
      <c r="S125" s="838">
        <v>9</v>
      </c>
      <c r="T125" s="756">
        <v>9</v>
      </c>
      <c r="U125" s="756">
        <v>9</v>
      </c>
      <c r="V125" s="756">
        <v>9</v>
      </c>
      <c r="W125" s="756">
        <v>9</v>
      </c>
      <c r="X125" s="756">
        <v>9</v>
      </c>
      <c r="Y125" s="756">
        <v>9</v>
      </c>
      <c r="Z125" s="756">
        <v>9</v>
      </c>
      <c r="AA125" s="756">
        <v>9</v>
      </c>
      <c r="AB125" s="756">
        <v>9</v>
      </c>
      <c r="AC125" s="755"/>
      <c r="AD125" s="753">
        <f>H125</f>
        <v>3</v>
      </c>
      <c r="AE125" s="753">
        <f>L125</f>
        <v>11</v>
      </c>
      <c r="AF125" s="752">
        <f>P125</f>
        <v>10</v>
      </c>
      <c r="AG125" s="753">
        <f>T125</f>
        <v>9</v>
      </c>
      <c r="AH125" s="753">
        <f>X125</f>
        <v>9</v>
      </c>
      <c r="AI125" s="752">
        <f>AB125</f>
        <v>9</v>
      </c>
      <c r="AJ125" s="742"/>
    </row>
    <row r="126" spans="2:37" ht="14.45" customHeight="1" x14ac:dyDescent="0.2">
      <c r="B126" s="759" t="s">
        <v>955</v>
      </c>
      <c r="C126" s="837">
        <v>0</v>
      </c>
      <c r="E126" s="832">
        <v>0</v>
      </c>
      <c r="F126" s="832">
        <f t="shared" ref="F126:S126" si="71">IF(F125-E125&lt;0,0,F125-E125)</f>
        <v>0</v>
      </c>
      <c r="G126" s="832">
        <f t="shared" si="71"/>
        <v>1</v>
      </c>
      <c r="H126" s="832">
        <f t="shared" si="71"/>
        <v>1</v>
      </c>
      <c r="I126" s="832">
        <f t="shared" si="71"/>
        <v>3</v>
      </c>
      <c r="J126" s="832">
        <f t="shared" si="71"/>
        <v>1</v>
      </c>
      <c r="K126" s="832">
        <f t="shared" si="71"/>
        <v>2</v>
      </c>
      <c r="L126" s="832">
        <f t="shared" si="71"/>
        <v>2</v>
      </c>
      <c r="M126" s="832">
        <f t="shared" si="71"/>
        <v>0</v>
      </c>
      <c r="N126" s="832">
        <f t="shared" si="71"/>
        <v>0</v>
      </c>
      <c r="O126" s="832">
        <f t="shared" si="71"/>
        <v>0</v>
      </c>
      <c r="P126" s="832">
        <f t="shared" si="71"/>
        <v>0</v>
      </c>
      <c r="Q126" s="832">
        <f t="shared" si="71"/>
        <v>0</v>
      </c>
      <c r="R126" s="832">
        <f t="shared" si="71"/>
        <v>2</v>
      </c>
      <c r="S126" s="836">
        <f t="shared" si="71"/>
        <v>0</v>
      </c>
      <c r="T126" s="832"/>
      <c r="U126" s="832">
        <f t="shared" ref="U126:AB126" si="72">U125-T125</f>
        <v>0</v>
      </c>
      <c r="V126" s="832">
        <f t="shared" si="72"/>
        <v>0</v>
      </c>
      <c r="W126" s="832">
        <f t="shared" si="72"/>
        <v>0</v>
      </c>
      <c r="X126" s="832">
        <f t="shared" si="72"/>
        <v>0</v>
      </c>
      <c r="Y126" s="832">
        <f t="shared" si="72"/>
        <v>0</v>
      </c>
      <c r="Z126" s="832">
        <f t="shared" si="72"/>
        <v>0</v>
      </c>
      <c r="AA126" s="832">
        <f t="shared" si="72"/>
        <v>0</v>
      </c>
      <c r="AB126" s="832">
        <f t="shared" si="72"/>
        <v>0</v>
      </c>
      <c r="AC126" s="755"/>
      <c r="AD126" s="753">
        <f>SUM(E126:H126)</f>
        <v>2</v>
      </c>
      <c r="AE126" s="753">
        <f>SUM(I126:L126)</f>
        <v>8</v>
      </c>
      <c r="AF126" s="752">
        <f>SUM(M126:P126)</f>
        <v>0</v>
      </c>
      <c r="AG126" s="753">
        <f>SUM(Q126:T126)</f>
        <v>2</v>
      </c>
      <c r="AH126" s="753">
        <f>SUM(U126:X126)</f>
        <v>0</v>
      </c>
      <c r="AI126" s="752">
        <f>SUM(Y126:AB126)</f>
        <v>0</v>
      </c>
      <c r="AJ126" s="742"/>
    </row>
    <row r="127" spans="2:37" ht="14.45" customHeight="1" x14ac:dyDescent="0.2">
      <c r="B127" s="759" t="s">
        <v>1029</v>
      </c>
      <c r="C127" s="837">
        <v>0.3</v>
      </c>
      <c r="E127" s="832">
        <f>D126</f>
        <v>0</v>
      </c>
      <c r="F127" s="832">
        <f t="shared" ref="F127:S127" si="73">F126</f>
        <v>0</v>
      </c>
      <c r="G127" s="832">
        <f t="shared" si="73"/>
        <v>1</v>
      </c>
      <c r="H127" s="832">
        <f t="shared" si="73"/>
        <v>1</v>
      </c>
      <c r="I127" s="832">
        <f t="shared" si="73"/>
        <v>3</v>
      </c>
      <c r="J127" s="832">
        <f t="shared" si="73"/>
        <v>1</v>
      </c>
      <c r="K127" s="832">
        <f t="shared" si="73"/>
        <v>2</v>
      </c>
      <c r="L127" s="832">
        <f t="shared" si="73"/>
        <v>2</v>
      </c>
      <c r="M127" s="832">
        <f t="shared" si="73"/>
        <v>0</v>
      </c>
      <c r="N127" s="832">
        <f t="shared" si="73"/>
        <v>0</v>
      </c>
      <c r="O127" s="832">
        <f t="shared" si="73"/>
        <v>0</v>
      </c>
      <c r="P127" s="832">
        <f t="shared" si="73"/>
        <v>0</v>
      </c>
      <c r="Q127" s="832">
        <f t="shared" si="73"/>
        <v>0</v>
      </c>
      <c r="R127" s="832">
        <f t="shared" si="73"/>
        <v>2</v>
      </c>
      <c r="S127" s="836">
        <f t="shared" si="73"/>
        <v>0</v>
      </c>
      <c r="T127" s="832">
        <f t="shared" ref="T127:AB128" si="74">S126</f>
        <v>0</v>
      </c>
      <c r="U127" s="832">
        <f t="shared" si="74"/>
        <v>0</v>
      </c>
      <c r="V127" s="832">
        <f t="shared" si="74"/>
        <v>0</v>
      </c>
      <c r="W127" s="832">
        <f t="shared" si="74"/>
        <v>0</v>
      </c>
      <c r="X127" s="832">
        <f t="shared" si="74"/>
        <v>0</v>
      </c>
      <c r="Y127" s="832">
        <f t="shared" si="74"/>
        <v>0</v>
      </c>
      <c r="Z127" s="832">
        <f t="shared" si="74"/>
        <v>0</v>
      </c>
      <c r="AA127" s="832">
        <f t="shared" si="74"/>
        <v>0</v>
      </c>
      <c r="AB127" s="832">
        <f t="shared" si="74"/>
        <v>0</v>
      </c>
      <c r="AC127" s="755"/>
      <c r="AD127" s="753">
        <f>SUM(E127:H127)</f>
        <v>2</v>
      </c>
      <c r="AE127" s="753">
        <f>SUM(I127:L127)</f>
        <v>8</v>
      </c>
      <c r="AF127" s="752">
        <f>SUM(M127:P127)</f>
        <v>0</v>
      </c>
      <c r="AG127" s="753">
        <f>SUM(Q127:T127)</f>
        <v>2</v>
      </c>
      <c r="AH127" s="753">
        <f>SUM(U127:X127)</f>
        <v>0</v>
      </c>
      <c r="AI127" s="752">
        <f>SUM(Y127:AB127)</f>
        <v>0</v>
      </c>
      <c r="AJ127" s="742"/>
    </row>
    <row r="128" spans="2:37" ht="14.45" customHeight="1" x14ac:dyDescent="0.2">
      <c r="B128" s="759" t="s">
        <v>1028</v>
      </c>
      <c r="C128" s="837">
        <v>1</v>
      </c>
      <c r="E128" s="832">
        <f>D127</f>
        <v>0</v>
      </c>
      <c r="F128" s="832">
        <f t="shared" ref="F128:S128" si="75">E127</f>
        <v>0</v>
      </c>
      <c r="G128" s="832">
        <f t="shared" si="75"/>
        <v>0</v>
      </c>
      <c r="H128" s="832">
        <f t="shared" si="75"/>
        <v>1</v>
      </c>
      <c r="I128" s="832">
        <f t="shared" si="75"/>
        <v>1</v>
      </c>
      <c r="J128" s="832">
        <f t="shared" si="75"/>
        <v>3</v>
      </c>
      <c r="K128" s="832">
        <f t="shared" si="75"/>
        <v>1</v>
      </c>
      <c r="L128" s="832">
        <f t="shared" si="75"/>
        <v>2</v>
      </c>
      <c r="M128" s="832">
        <f t="shared" si="75"/>
        <v>2</v>
      </c>
      <c r="N128" s="832">
        <f t="shared" si="75"/>
        <v>0</v>
      </c>
      <c r="O128" s="832">
        <f t="shared" si="75"/>
        <v>0</v>
      </c>
      <c r="P128" s="832">
        <f t="shared" si="75"/>
        <v>0</v>
      </c>
      <c r="Q128" s="832">
        <f t="shared" si="75"/>
        <v>0</v>
      </c>
      <c r="R128" s="832">
        <f t="shared" si="75"/>
        <v>0</v>
      </c>
      <c r="S128" s="836">
        <f t="shared" si="75"/>
        <v>2</v>
      </c>
      <c r="T128" s="832">
        <f t="shared" si="74"/>
        <v>0</v>
      </c>
      <c r="U128" s="832">
        <f t="shared" si="74"/>
        <v>0</v>
      </c>
      <c r="V128" s="832">
        <f t="shared" si="74"/>
        <v>0</v>
      </c>
      <c r="W128" s="832">
        <f t="shared" si="74"/>
        <v>0</v>
      </c>
      <c r="X128" s="832">
        <f t="shared" si="74"/>
        <v>0</v>
      </c>
      <c r="Y128" s="832">
        <f t="shared" si="74"/>
        <v>0</v>
      </c>
      <c r="Z128" s="832">
        <f t="shared" si="74"/>
        <v>0</v>
      </c>
      <c r="AA128" s="832">
        <f t="shared" si="74"/>
        <v>0</v>
      </c>
      <c r="AB128" s="832">
        <f t="shared" si="74"/>
        <v>0</v>
      </c>
      <c r="AC128" s="755"/>
      <c r="AD128" s="753">
        <f>SUM(E128:H128)</f>
        <v>1</v>
      </c>
      <c r="AE128" s="753">
        <f>SUM(I128:L128)</f>
        <v>7</v>
      </c>
      <c r="AF128" s="752">
        <f>SUM(M128:P128)</f>
        <v>2</v>
      </c>
      <c r="AG128" s="753">
        <f>SUM(Q128:T128)</f>
        <v>2</v>
      </c>
      <c r="AH128" s="753">
        <f>SUM(U128:X128)</f>
        <v>0</v>
      </c>
      <c r="AI128" s="752">
        <f>SUM(Y128:AB128)</f>
        <v>0</v>
      </c>
      <c r="AJ128" s="742"/>
    </row>
    <row r="129" spans="1:38" ht="14.45" customHeight="1" x14ac:dyDescent="0.2">
      <c r="B129" s="783" t="s">
        <v>1027</v>
      </c>
      <c r="C129" s="784"/>
      <c r="D129" s="826"/>
      <c r="E129" s="834">
        <f t="shared" ref="E129:AB129" si="76">E125-SUM(E126:E128)</f>
        <v>1</v>
      </c>
      <c r="F129" s="835">
        <f t="shared" si="76"/>
        <v>1</v>
      </c>
      <c r="G129" s="834">
        <f t="shared" si="76"/>
        <v>0</v>
      </c>
      <c r="H129" s="834">
        <f t="shared" si="76"/>
        <v>0</v>
      </c>
      <c r="I129" s="834">
        <f t="shared" si="76"/>
        <v>-1</v>
      </c>
      <c r="J129" s="834">
        <f t="shared" si="76"/>
        <v>2</v>
      </c>
      <c r="K129" s="834">
        <f t="shared" si="76"/>
        <v>4</v>
      </c>
      <c r="L129" s="834">
        <f t="shared" si="76"/>
        <v>5</v>
      </c>
      <c r="M129" s="834">
        <f t="shared" si="76"/>
        <v>9</v>
      </c>
      <c r="N129" s="834">
        <f t="shared" si="76"/>
        <v>11</v>
      </c>
      <c r="O129" s="834">
        <f t="shared" si="76"/>
        <v>10</v>
      </c>
      <c r="P129" s="834">
        <f t="shared" si="76"/>
        <v>10</v>
      </c>
      <c r="Q129" s="834">
        <f t="shared" si="76"/>
        <v>9</v>
      </c>
      <c r="R129" s="834">
        <f t="shared" si="76"/>
        <v>7</v>
      </c>
      <c r="S129" s="833">
        <f t="shared" si="76"/>
        <v>7</v>
      </c>
      <c r="T129" s="834">
        <f t="shared" si="76"/>
        <v>9</v>
      </c>
      <c r="U129" s="834">
        <f t="shared" si="76"/>
        <v>9</v>
      </c>
      <c r="V129" s="834">
        <f t="shared" si="76"/>
        <v>9</v>
      </c>
      <c r="W129" s="834">
        <f t="shared" si="76"/>
        <v>9</v>
      </c>
      <c r="X129" s="834">
        <f t="shared" si="76"/>
        <v>9</v>
      </c>
      <c r="Y129" s="834">
        <f t="shared" si="76"/>
        <v>9</v>
      </c>
      <c r="Z129" s="834">
        <f t="shared" si="76"/>
        <v>9</v>
      </c>
      <c r="AA129" s="834">
        <f t="shared" si="76"/>
        <v>9</v>
      </c>
      <c r="AB129" s="834">
        <f t="shared" si="76"/>
        <v>9</v>
      </c>
      <c r="AC129" s="755"/>
      <c r="AD129" s="834">
        <f>H129</f>
        <v>0</v>
      </c>
      <c r="AE129" s="834">
        <f>L129</f>
        <v>5</v>
      </c>
      <c r="AF129" s="833">
        <f>P129</f>
        <v>10</v>
      </c>
      <c r="AG129" s="834">
        <f>T129</f>
        <v>9</v>
      </c>
      <c r="AH129" s="834">
        <f>X129</f>
        <v>9</v>
      </c>
      <c r="AI129" s="833">
        <f>AB129</f>
        <v>9</v>
      </c>
      <c r="AJ129" s="742"/>
    </row>
    <row r="130" spans="1:38" ht="14.45" customHeight="1" x14ac:dyDescent="0.2">
      <c r="B130" s="783" t="s">
        <v>953</v>
      </c>
      <c r="C130" s="784"/>
      <c r="D130" s="826"/>
      <c r="E130" s="834">
        <f t="shared" ref="E130:AB130" si="77">SUMPRODUCT($C$126:$C$128,E126:E128)+E129</f>
        <v>1</v>
      </c>
      <c r="F130" s="835">
        <f t="shared" si="77"/>
        <v>1</v>
      </c>
      <c r="G130" s="834">
        <f t="shared" si="77"/>
        <v>0.3</v>
      </c>
      <c r="H130" s="834">
        <f t="shared" si="77"/>
        <v>1.3</v>
      </c>
      <c r="I130" s="834">
        <f t="shared" si="77"/>
        <v>0.89999999999999991</v>
      </c>
      <c r="J130" s="834">
        <f t="shared" si="77"/>
        <v>5.3</v>
      </c>
      <c r="K130" s="834">
        <f t="shared" si="77"/>
        <v>5.6</v>
      </c>
      <c r="L130" s="834">
        <f t="shared" si="77"/>
        <v>7.6</v>
      </c>
      <c r="M130" s="834">
        <f t="shared" si="77"/>
        <v>11</v>
      </c>
      <c r="N130" s="834">
        <f t="shared" si="77"/>
        <v>11</v>
      </c>
      <c r="O130" s="834">
        <f t="shared" si="77"/>
        <v>10</v>
      </c>
      <c r="P130" s="834">
        <f t="shared" si="77"/>
        <v>10</v>
      </c>
      <c r="Q130" s="834">
        <f t="shared" si="77"/>
        <v>9</v>
      </c>
      <c r="R130" s="834">
        <f t="shared" si="77"/>
        <v>7.6</v>
      </c>
      <c r="S130" s="833">
        <f t="shared" si="77"/>
        <v>9</v>
      </c>
      <c r="T130" s="834">
        <f t="shared" si="77"/>
        <v>9</v>
      </c>
      <c r="U130" s="834">
        <f t="shared" si="77"/>
        <v>9</v>
      </c>
      <c r="V130" s="834">
        <f t="shared" si="77"/>
        <v>9</v>
      </c>
      <c r="W130" s="834">
        <f t="shared" si="77"/>
        <v>9</v>
      </c>
      <c r="X130" s="834">
        <f t="shared" si="77"/>
        <v>9</v>
      </c>
      <c r="Y130" s="834">
        <f t="shared" si="77"/>
        <v>9</v>
      </c>
      <c r="Z130" s="834">
        <f t="shared" si="77"/>
        <v>9</v>
      </c>
      <c r="AA130" s="834">
        <f t="shared" si="77"/>
        <v>9</v>
      </c>
      <c r="AB130" s="834">
        <f t="shared" si="77"/>
        <v>9</v>
      </c>
      <c r="AC130" s="754"/>
      <c r="AD130" s="834">
        <f>H130</f>
        <v>1.3</v>
      </c>
      <c r="AE130" s="834">
        <f>L130</f>
        <v>7.6</v>
      </c>
      <c r="AF130" s="833">
        <f>P130</f>
        <v>10</v>
      </c>
      <c r="AG130" s="834">
        <f>T130</f>
        <v>9</v>
      </c>
      <c r="AH130" s="834">
        <f>X130</f>
        <v>9</v>
      </c>
      <c r="AI130" s="833">
        <f>AB130</f>
        <v>9</v>
      </c>
      <c r="AJ130" s="742"/>
    </row>
    <row r="131" spans="1:38" ht="14.45" customHeight="1" x14ac:dyDescent="0.2">
      <c r="B131" s="759"/>
      <c r="C131" s="784"/>
      <c r="D131" s="826"/>
      <c r="E131" s="834"/>
      <c r="F131" s="835"/>
      <c r="G131" s="834"/>
      <c r="H131" s="834"/>
      <c r="I131" s="834"/>
      <c r="J131" s="834"/>
      <c r="K131" s="834"/>
      <c r="L131" s="834"/>
      <c r="M131" s="834"/>
      <c r="N131" s="834"/>
      <c r="O131" s="834"/>
      <c r="P131" s="834"/>
      <c r="Q131" s="834"/>
      <c r="R131" s="834"/>
      <c r="S131" s="833"/>
      <c r="T131" s="834"/>
      <c r="U131" s="834"/>
      <c r="V131" s="834"/>
      <c r="W131" s="834"/>
      <c r="X131" s="834"/>
      <c r="Y131" s="834"/>
      <c r="Z131" s="834"/>
      <c r="AA131" s="834"/>
      <c r="AB131" s="834"/>
      <c r="AC131" s="754"/>
      <c r="AD131" s="834"/>
      <c r="AE131" s="834"/>
      <c r="AF131" s="833"/>
      <c r="AG131" s="797"/>
      <c r="AH131" s="797"/>
      <c r="AI131" s="798"/>
      <c r="AJ131" s="742"/>
    </row>
    <row r="132" spans="1:38" ht="14.45" customHeight="1" x14ac:dyDescent="0.2">
      <c r="B132" s="783" t="s">
        <v>1026</v>
      </c>
      <c r="C132" s="784"/>
      <c r="D132" s="826"/>
      <c r="E132" s="834"/>
      <c r="F132" s="835"/>
      <c r="G132" s="834"/>
      <c r="H132" s="834"/>
      <c r="I132" s="834"/>
      <c r="J132" s="834"/>
      <c r="K132" s="834"/>
      <c r="L132" s="834"/>
      <c r="M132" s="834"/>
      <c r="N132" s="834"/>
      <c r="O132" s="834"/>
      <c r="P132" s="834"/>
      <c r="Q132" s="834"/>
      <c r="R132" s="834"/>
      <c r="S132" s="833"/>
      <c r="T132" s="834"/>
      <c r="U132" s="834"/>
      <c r="V132" s="834"/>
      <c r="W132" s="834"/>
      <c r="X132" s="834"/>
      <c r="Y132" s="834"/>
      <c r="Z132" s="834"/>
      <c r="AA132" s="834"/>
      <c r="AB132" s="834"/>
      <c r="AC132" s="754"/>
      <c r="AD132" s="834"/>
      <c r="AE132" s="834"/>
      <c r="AF132" s="833"/>
      <c r="AG132" s="797"/>
      <c r="AH132" s="797"/>
      <c r="AI132" s="798"/>
      <c r="AJ132" s="742"/>
    </row>
    <row r="133" spans="1:38" ht="14.45" customHeight="1" x14ac:dyDescent="0.2">
      <c r="B133" s="829" t="s">
        <v>1025</v>
      </c>
      <c r="C133" s="784"/>
      <c r="D133" s="826"/>
      <c r="E133" s="776">
        <f t="shared" ref="E133:P133" si="78">E52*0.75</f>
        <v>175.89194999999995</v>
      </c>
      <c r="F133" s="776">
        <f t="shared" si="78"/>
        <v>297.81638999999944</v>
      </c>
      <c r="G133" s="776">
        <f t="shared" si="78"/>
        <v>323.36477999999954</v>
      </c>
      <c r="H133" s="776">
        <f t="shared" si="78"/>
        <v>299.07584999999949</v>
      </c>
      <c r="I133" s="776">
        <f t="shared" si="78"/>
        <v>336.03884999999923</v>
      </c>
      <c r="J133" s="776">
        <f t="shared" si="78"/>
        <v>794.18645999999944</v>
      </c>
      <c r="K133" s="776">
        <f t="shared" si="78"/>
        <v>403.3524599999987</v>
      </c>
      <c r="L133" s="776">
        <f t="shared" si="78"/>
        <v>458.44424999999882</v>
      </c>
      <c r="M133" s="776">
        <f t="shared" si="78"/>
        <v>617.00552999999832</v>
      </c>
      <c r="N133" s="776">
        <f t="shared" si="78"/>
        <v>702.41510999999798</v>
      </c>
      <c r="O133" s="776">
        <f t="shared" si="78"/>
        <v>739.16108999999756</v>
      </c>
      <c r="P133" s="776">
        <f t="shared" si="78"/>
        <v>841.37606999999775</v>
      </c>
      <c r="Q133" s="776">
        <f>Q52*0.6</f>
        <v>807.25579200000004</v>
      </c>
      <c r="R133" s="776">
        <f>R52*0.6</f>
        <v>975.55665599999998</v>
      </c>
      <c r="S133" s="823">
        <f t="shared" ref="S133:AB133" si="79">S52*0.5</f>
        <v>770.84315999999967</v>
      </c>
      <c r="T133" s="776">
        <f t="shared" si="79"/>
        <v>979.78456040200012</v>
      </c>
      <c r="U133" s="776">
        <f t="shared" si="79"/>
        <v>754.73301328816024</v>
      </c>
      <c r="V133" s="776">
        <f t="shared" si="79"/>
        <v>805.23986875324579</v>
      </c>
      <c r="W133" s="776">
        <f t="shared" si="79"/>
        <v>855.1494441596094</v>
      </c>
      <c r="X133" s="776">
        <f t="shared" si="79"/>
        <v>929.19542470519559</v>
      </c>
      <c r="Y133" s="776">
        <f t="shared" si="79"/>
        <v>789.0263121236427</v>
      </c>
      <c r="Z133" s="776">
        <f t="shared" si="79"/>
        <v>841.66973711423373</v>
      </c>
      <c r="AA133" s="776">
        <f t="shared" si="79"/>
        <v>910.35775616708952</v>
      </c>
      <c r="AB133" s="776">
        <f t="shared" si="79"/>
        <v>1009.7964891337668</v>
      </c>
      <c r="AC133" s="754"/>
      <c r="AD133" s="776">
        <f>SUM(E133:H133)</f>
        <v>1096.1489699999984</v>
      </c>
      <c r="AE133" s="776">
        <f>SUM(I133:L133)</f>
        <v>1992.0220199999962</v>
      </c>
      <c r="AF133" s="823">
        <f>SUM(M133:P133)</f>
        <v>2899.957799999991</v>
      </c>
      <c r="AG133" s="797">
        <f>SUM(Q133:T133)</f>
        <v>3533.4401684020004</v>
      </c>
      <c r="AH133" s="797">
        <f>SUM(U133:X133)</f>
        <v>3344.3177509062107</v>
      </c>
      <c r="AI133" s="798">
        <f>SUM(Y133:AB133)</f>
        <v>3550.8502945387327</v>
      </c>
      <c r="AJ133" s="742"/>
    </row>
    <row r="134" spans="1:38" ht="14.45" customHeight="1" x14ac:dyDescent="0.2">
      <c r="B134" s="829" t="s">
        <v>1024</v>
      </c>
      <c r="C134" s="784"/>
      <c r="D134" s="826"/>
      <c r="E134" s="832">
        <f t="shared" ref="E134:S134" si="80">E76</f>
        <v>0</v>
      </c>
      <c r="F134" s="776">
        <f t="shared" si="80"/>
        <v>0</v>
      </c>
      <c r="G134" s="776">
        <f t="shared" si="80"/>
        <v>1.1879999999999999</v>
      </c>
      <c r="H134" s="776">
        <f t="shared" si="80"/>
        <v>0</v>
      </c>
      <c r="I134" s="776">
        <f t="shared" si="80"/>
        <v>1.2</v>
      </c>
      <c r="J134" s="776">
        <f t="shared" si="80"/>
        <v>0</v>
      </c>
      <c r="K134" s="776">
        <f t="shared" si="80"/>
        <v>0</v>
      </c>
      <c r="L134" s="776">
        <f t="shared" si="80"/>
        <v>2.3879999999999999</v>
      </c>
      <c r="M134" s="776">
        <f t="shared" si="80"/>
        <v>0</v>
      </c>
      <c r="N134" s="776">
        <f t="shared" si="80"/>
        <v>10.199999999999999</v>
      </c>
      <c r="O134" s="776">
        <f t="shared" si="80"/>
        <v>77.600040000000007</v>
      </c>
      <c r="P134" s="776">
        <f t="shared" si="80"/>
        <v>95.199960000000004</v>
      </c>
      <c r="Q134" s="776">
        <f t="shared" si="80"/>
        <v>162.39995999999999</v>
      </c>
      <c r="R134" s="776">
        <f t="shared" si="80"/>
        <v>23.511959999999998</v>
      </c>
      <c r="S134" s="823">
        <f t="shared" si="80"/>
        <v>80.000039999999998</v>
      </c>
      <c r="T134" s="830"/>
      <c r="U134" s="830"/>
      <c r="V134" s="830"/>
      <c r="W134" s="830"/>
      <c r="X134" s="830"/>
      <c r="Y134" s="830"/>
      <c r="Z134" s="830"/>
      <c r="AA134" s="830"/>
      <c r="AB134" s="830"/>
      <c r="AC134" s="754"/>
      <c r="AD134" s="776">
        <f>SUM(E134:H134)</f>
        <v>1.1879999999999999</v>
      </c>
      <c r="AE134" s="776">
        <f>SUM(I134:L134)</f>
        <v>3.5880000000000001</v>
      </c>
      <c r="AF134" s="823">
        <f>SUM(M134:P134)</f>
        <v>183</v>
      </c>
      <c r="AG134" s="831">
        <f>SUM(Q134:R134)</f>
        <v>185.91191999999998</v>
      </c>
      <c r="AH134" s="830"/>
      <c r="AI134" s="830"/>
      <c r="AJ134" s="742"/>
    </row>
    <row r="135" spans="1:38" ht="14.45" customHeight="1" x14ac:dyDescent="0.35">
      <c r="B135" s="829" t="s">
        <v>1023</v>
      </c>
      <c r="C135" s="784"/>
      <c r="D135" s="826"/>
      <c r="E135" s="712">
        <f t="shared" ref="E135:AB135" si="81">E108</f>
        <v>0</v>
      </c>
      <c r="F135" s="712">
        <f t="shared" si="81"/>
        <v>0</v>
      </c>
      <c r="G135" s="712">
        <f t="shared" si="81"/>
        <v>0</v>
      </c>
      <c r="H135" s="712">
        <f t="shared" si="81"/>
        <v>0</v>
      </c>
      <c r="I135" s="712">
        <f t="shared" si="81"/>
        <v>0</v>
      </c>
      <c r="J135" s="712">
        <f t="shared" si="81"/>
        <v>36</v>
      </c>
      <c r="K135" s="712">
        <f t="shared" si="81"/>
        <v>90.443999999999988</v>
      </c>
      <c r="L135" s="712">
        <f t="shared" si="81"/>
        <v>0</v>
      </c>
      <c r="M135" s="712">
        <f t="shared" si="81"/>
        <v>26.663999999999998</v>
      </c>
      <c r="N135" s="712">
        <f t="shared" si="81"/>
        <v>46.14</v>
      </c>
      <c r="O135" s="712">
        <f t="shared" si="81"/>
        <v>113.15195999999999</v>
      </c>
      <c r="P135" s="712">
        <f t="shared" si="81"/>
        <v>28.32</v>
      </c>
      <c r="Q135" s="712">
        <f t="shared" si="81"/>
        <v>90.96396</v>
      </c>
      <c r="R135" s="712">
        <f t="shared" si="81"/>
        <v>28.103999999999999</v>
      </c>
      <c r="S135" s="795">
        <f t="shared" si="81"/>
        <v>332.22815999999983</v>
      </c>
      <c r="T135" s="712">
        <f t="shared" si="81"/>
        <v>201.66502499999999</v>
      </c>
      <c r="U135" s="712">
        <f t="shared" si="81"/>
        <v>106.93115049374998</v>
      </c>
      <c r="V135" s="712">
        <f t="shared" si="81"/>
        <v>134.38880846149218</v>
      </c>
      <c r="W135" s="712">
        <f t="shared" si="81"/>
        <v>164.18637297975857</v>
      </c>
      <c r="X135" s="712">
        <f t="shared" si="81"/>
        <v>196.46716332476879</v>
      </c>
      <c r="Y135" s="712">
        <f t="shared" si="81"/>
        <v>112.60441444181913</v>
      </c>
      <c r="Z135" s="712">
        <f t="shared" si="81"/>
        <v>126.95250273065552</v>
      </c>
      <c r="AA135" s="712">
        <f t="shared" si="81"/>
        <v>131.11155278526866</v>
      </c>
      <c r="AB135" s="712">
        <f t="shared" si="81"/>
        <v>146.15378384097403</v>
      </c>
      <c r="AC135" s="754"/>
      <c r="AD135" s="712">
        <f>SUM(E135:H135)</f>
        <v>0</v>
      </c>
      <c r="AE135" s="712">
        <f>SUM(I135:L135)</f>
        <v>126.44399999999999</v>
      </c>
      <c r="AF135" s="795">
        <f>SUM(M135:P135)</f>
        <v>214.27596</v>
      </c>
      <c r="AG135" s="712">
        <f>SUM(Q135:T135)</f>
        <v>652.96114499999987</v>
      </c>
      <c r="AH135" s="712">
        <f>SUM(U135:X135)</f>
        <v>601.97349525976949</v>
      </c>
      <c r="AI135" s="795">
        <f>SUM(Y135:AB135)</f>
        <v>516.82225379871738</v>
      </c>
      <c r="AJ135" s="742"/>
    </row>
    <row r="136" spans="1:38" ht="14.45" customHeight="1" x14ac:dyDescent="0.2">
      <c r="B136" s="829" t="s">
        <v>1022</v>
      </c>
      <c r="C136" s="784"/>
      <c r="D136" s="826"/>
      <c r="E136" s="776">
        <f t="shared" ref="E136:AB136" si="82">SUM(E133:E135)</f>
        <v>175.89194999999995</v>
      </c>
      <c r="F136" s="776">
        <f t="shared" si="82"/>
        <v>297.81638999999944</v>
      </c>
      <c r="G136" s="776">
        <f t="shared" si="82"/>
        <v>324.55277999999953</v>
      </c>
      <c r="H136" s="776">
        <f t="shared" si="82"/>
        <v>299.07584999999949</v>
      </c>
      <c r="I136" s="776">
        <f t="shared" si="82"/>
        <v>337.23884999999922</v>
      </c>
      <c r="J136" s="776">
        <f t="shared" si="82"/>
        <v>830.18645999999944</v>
      </c>
      <c r="K136" s="776">
        <f t="shared" si="82"/>
        <v>493.79645999999866</v>
      </c>
      <c r="L136" s="776">
        <f t="shared" si="82"/>
        <v>460.83224999999879</v>
      </c>
      <c r="M136" s="776">
        <f t="shared" si="82"/>
        <v>643.6695299999983</v>
      </c>
      <c r="N136" s="776">
        <f t="shared" si="82"/>
        <v>758.75510999999801</v>
      </c>
      <c r="O136" s="776">
        <f t="shared" si="82"/>
        <v>929.91308999999762</v>
      </c>
      <c r="P136" s="776">
        <f t="shared" si="82"/>
        <v>964.89602999999784</v>
      </c>
      <c r="Q136" s="776">
        <f t="shared" si="82"/>
        <v>1060.6197119999999</v>
      </c>
      <c r="R136" s="776">
        <f t="shared" si="82"/>
        <v>1027.1726160000001</v>
      </c>
      <c r="S136" s="823">
        <f t="shared" si="82"/>
        <v>1183.0713599999995</v>
      </c>
      <c r="T136" s="776">
        <f t="shared" si="82"/>
        <v>1181.4495854020001</v>
      </c>
      <c r="U136" s="776">
        <f t="shared" si="82"/>
        <v>861.66416378191025</v>
      </c>
      <c r="V136" s="776">
        <f t="shared" si="82"/>
        <v>939.62867721473799</v>
      </c>
      <c r="W136" s="776">
        <f t="shared" si="82"/>
        <v>1019.3358171393679</v>
      </c>
      <c r="X136" s="776">
        <f t="shared" si="82"/>
        <v>1125.6625880299644</v>
      </c>
      <c r="Y136" s="776">
        <f t="shared" si="82"/>
        <v>901.63072656546183</v>
      </c>
      <c r="Z136" s="776">
        <f t="shared" si="82"/>
        <v>968.62223984488924</v>
      </c>
      <c r="AA136" s="776">
        <f t="shared" si="82"/>
        <v>1041.4693089523582</v>
      </c>
      <c r="AB136" s="776">
        <f t="shared" si="82"/>
        <v>1155.950272974741</v>
      </c>
      <c r="AC136" s="754"/>
      <c r="AD136" s="776">
        <f t="shared" ref="AD136:AI136" si="83">SUM(AD133:AD135)</f>
        <v>1097.3369699999985</v>
      </c>
      <c r="AE136" s="776">
        <f t="shared" si="83"/>
        <v>2122.0540199999964</v>
      </c>
      <c r="AF136" s="823">
        <f t="shared" si="83"/>
        <v>3297.233759999991</v>
      </c>
      <c r="AG136" s="797">
        <f t="shared" si="83"/>
        <v>4372.3132334020002</v>
      </c>
      <c r="AH136" s="797">
        <f t="shared" si="83"/>
        <v>3946.2912461659803</v>
      </c>
      <c r="AI136" s="798">
        <f t="shared" si="83"/>
        <v>4067.6725483374503</v>
      </c>
      <c r="AJ136" s="742"/>
    </row>
    <row r="137" spans="1:38" ht="14.45" customHeight="1" x14ac:dyDescent="0.2">
      <c r="B137" s="759" t="s">
        <v>1021</v>
      </c>
      <c r="C137" s="784"/>
      <c r="D137" s="826"/>
      <c r="E137" s="827"/>
      <c r="F137" s="827"/>
      <c r="G137" s="827"/>
      <c r="H137" s="827"/>
      <c r="I137" s="827"/>
      <c r="J137" s="827"/>
      <c r="K137" s="827"/>
      <c r="L137" s="827"/>
      <c r="M137" s="827"/>
      <c r="N137" s="827"/>
      <c r="O137" s="827"/>
      <c r="P137" s="827"/>
      <c r="Q137" s="827"/>
      <c r="R137" s="827"/>
      <c r="S137" s="828"/>
      <c r="T137" s="827"/>
      <c r="U137" s="827"/>
      <c r="V137" s="827"/>
      <c r="W137" s="827"/>
      <c r="X137" s="827"/>
      <c r="Y137" s="827"/>
      <c r="Z137" s="827"/>
      <c r="AA137" s="827"/>
      <c r="AB137" s="827"/>
      <c r="AC137" s="754"/>
      <c r="AD137" s="797">
        <v>480</v>
      </c>
      <c r="AE137" s="797">
        <v>480</v>
      </c>
      <c r="AF137" s="798">
        <v>480</v>
      </c>
      <c r="AG137" s="797">
        <v>540</v>
      </c>
      <c r="AH137" s="797">
        <v>540</v>
      </c>
      <c r="AI137" s="798">
        <v>540</v>
      </c>
      <c r="AJ137" s="742"/>
    </row>
    <row r="138" spans="1:38" ht="14.45" customHeight="1" x14ac:dyDescent="0.2">
      <c r="B138" s="759" t="s">
        <v>1020</v>
      </c>
      <c r="C138" s="784"/>
      <c r="D138" s="826"/>
      <c r="E138" s="824"/>
      <c r="F138" s="824"/>
      <c r="G138" s="824"/>
      <c r="H138" s="824"/>
      <c r="I138" s="824"/>
      <c r="J138" s="824"/>
      <c r="K138" s="824"/>
      <c r="L138" s="824"/>
      <c r="M138" s="824"/>
      <c r="N138" s="824"/>
      <c r="O138" s="824"/>
      <c r="P138" s="824"/>
      <c r="Q138" s="824"/>
      <c r="R138" s="824"/>
      <c r="S138" s="825"/>
      <c r="T138" s="824"/>
      <c r="U138" s="824"/>
      <c r="V138" s="824"/>
      <c r="W138" s="824"/>
      <c r="X138" s="824"/>
      <c r="Y138" s="824"/>
      <c r="Z138" s="824"/>
      <c r="AA138" s="824"/>
      <c r="AB138" s="824"/>
      <c r="AC138" s="754"/>
      <c r="AD138" s="776">
        <f t="shared" ref="AD138:AI138" si="84">AD136/AD130</f>
        <v>844.10536153846033</v>
      </c>
      <c r="AE138" s="776">
        <f t="shared" si="84"/>
        <v>279.21763421052583</v>
      </c>
      <c r="AF138" s="823">
        <f t="shared" si="84"/>
        <v>329.72337599999912</v>
      </c>
      <c r="AG138" s="776">
        <f t="shared" si="84"/>
        <v>485.81258148911115</v>
      </c>
      <c r="AH138" s="776">
        <f t="shared" si="84"/>
        <v>438.47680512955338</v>
      </c>
      <c r="AI138" s="823">
        <f t="shared" si="84"/>
        <v>451.96361648193891</v>
      </c>
      <c r="AJ138" s="742"/>
    </row>
    <row r="139" spans="1:38" ht="14.45" customHeight="1" x14ac:dyDescent="0.2">
      <c r="B139" s="750" t="s">
        <v>1019</v>
      </c>
      <c r="C139" s="822"/>
      <c r="D139" s="821"/>
      <c r="E139" s="819"/>
      <c r="F139" s="819"/>
      <c r="G139" s="819"/>
      <c r="H139" s="819"/>
      <c r="I139" s="819"/>
      <c r="J139" s="819"/>
      <c r="K139" s="819"/>
      <c r="L139" s="819"/>
      <c r="M139" s="819"/>
      <c r="N139" s="819"/>
      <c r="O139" s="819"/>
      <c r="P139" s="819"/>
      <c r="Q139" s="819"/>
      <c r="R139" s="819"/>
      <c r="S139" s="820"/>
      <c r="T139" s="819"/>
      <c r="U139" s="819"/>
      <c r="V139" s="819"/>
      <c r="W139" s="819"/>
      <c r="X139" s="819"/>
      <c r="Y139" s="819"/>
      <c r="Z139" s="819"/>
      <c r="AA139" s="819"/>
      <c r="AB139" s="819"/>
      <c r="AC139" s="746"/>
      <c r="AD139" s="818">
        <f t="shared" ref="AD139:AI139" si="85">AD138/AD137</f>
        <v>1.7585528365384591</v>
      </c>
      <c r="AE139" s="818">
        <f t="shared" si="85"/>
        <v>0.58170340460526215</v>
      </c>
      <c r="AF139" s="817">
        <f t="shared" si="85"/>
        <v>0.68692369999999814</v>
      </c>
      <c r="AG139" s="818">
        <f t="shared" si="85"/>
        <v>0.89965292868353919</v>
      </c>
      <c r="AH139" s="818">
        <f t="shared" si="85"/>
        <v>0.81199408357324698</v>
      </c>
      <c r="AI139" s="817">
        <f t="shared" si="85"/>
        <v>0.83696966015173868</v>
      </c>
      <c r="AJ139" s="742"/>
    </row>
    <row r="140" spans="1:38" ht="14.45" customHeight="1" x14ac:dyDescent="0.2">
      <c r="B140" s="816"/>
      <c r="C140" s="816"/>
      <c r="AD140" s="786"/>
      <c r="AE140" s="786"/>
      <c r="AF140" s="786"/>
      <c r="AG140" s="786"/>
      <c r="AH140" s="786"/>
      <c r="AI140" s="786"/>
    </row>
    <row r="141" spans="1:38" s="566" customFormat="1" ht="12.75" customHeight="1" x14ac:dyDescent="0.2">
      <c r="A141" s="815" t="s">
        <v>1018</v>
      </c>
      <c r="B141" s="814" t="s">
        <v>1017</v>
      </c>
      <c r="C141" s="814"/>
      <c r="D141" s="812"/>
      <c r="E141" s="812"/>
      <c r="F141" s="812"/>
      <c r="G141" s="812"/>
      <c r="H141" s="812"/>
      <c r="I141" s="812"/>
      <c r="J141" s="812"/>
      <c r="K141" s="812"/>
      <c r="L141" s="812"/>
      <c r="M141" s="812"/>
      <c r="N141" s="812"/>
      <c r="O141" s="813"/>
      <c r="P141" s="812"/>
      <c r="Q141" s="812"/>
      <c r="R141" s="812"/>
      <c r="S141" s="812"/>
      <c r="T141" s="812"/>
      <c r="U141" s="812"/>
      <c r="V141" s="812"/>
      <c r="W141" s="812"/>
      <c r="X141" s="812"/>
      <c r="Y141" s="812"/>
      <c r="Z141" s="812"/>
      <c r="AA141" s="812"/>
      <c r="AB141" s="812"/>
      <c r="AC141" s="812"/>
      <c r="AD141" s="811"/>
      <c r="AE141" s="811"/>
      <c r="AF141" s="811"/>
      <c r="AG141" s="811"/>
      <c r="AH141" s="811"/>
      <c r="AI141" s="811"/>
    </row>
    <row r="142" spans="1:38" ht="14.45" customHeight="1" x14ac:dyDescent="0.2">
      <c r="B142" s="810"/>
      <c r="C142" s="810"/>
      <c r="D142" s="809"/>
      <c r="E142" s="808"/>
      <c r="F142" s="808"/>
      <c r="G142" s="808"/>
      <c r="H142" s="808"/>
      <c r="I142" s="808"/>
      <c r="J142" s="808"/>
      <c r="K142" s="808"/>
      <c r="L142" s="808"/>
      <c r="M142" s="808"/>
      <c r="N142" s="808"/>
      <c r="O142" s="808"/>
      <c r="P142" s="808"/>
      <c r="Q142" s="808"/>
      <c r="R142" s="808"/>
      <c r="S142" s="808"/>
      <c r="T142" s="808"/>
      <c r="U142" s="808"/>
      <c r="V142" s="808"/>
      <c r="W142" s="808"/>
      <c r="X142" s="808"/>
      <c r="Y142" s="808"/>
      <c r="Z142" s="808"/>
      <c r="AA142" s="808"/>
      <c r="AB142" s="808"/>
      <c r="AD142" s="807"/>
      <c r="AE142" s="807"/>
      <c r="AF142" s="807"/>
      <c r="AG142" s="807"/>
      <c r="AH142" s="807"/>
      <c r="AI142" s="807"/>
    </row>
    <row r="143" spans="1:38" ht="14.45" customHeight="1" x14ac:dyDescent="0.2">
      <c r="B143" s="806" t="s">
        <v>1016</v>
      </c>
      <c r="C143" s="805"/>
      <c r="D143" s="804"/>
      <c r="E143" s="802"/>
      <c r="F143" s="802"/>
      <c r="G143" s="802"/>
      <c r="H143" s="802"/>
      <c r="I143" s="802"/>
      <c r="J143" s="802"/>
      <c r="K143" s="802"/>
      <c r="L143" s="802"/>
      <c r="M143" s="802"/>
      <c r="N143" s="802"/>
      <c r="O143" s="802"/>
      <c r="P143" s="802"/>
      <c r="Q143" s="802"/>
      <c r="R143" s="802"/>
      <c r="S143" s="803"/>
      <c r="T143" s="802"/>
      <c r="U143" s="802"/>
      <c r="V143" s="802"/>
      <c r="W143" s="802"/>
      <c r="X143" s="802"/>
      <c r="Y143" s="802"/>
      <c r="Z143" s="802"/>
      <c r="AA143" s="802"/>
      <c r="AB143" s="802"/>
      <c r="AC143" s="802"/>
      <c r="AD143" s="801"/>
      <c r="AE143" s="801"/>
      <c r="AF143" s="800"/>
      <c r="AG143" s="801"/>
      <c r="AH143" s="801"/>
      <c r="AI143" s="800"/>
    </row>
    <row r="144" spans="1:38" ht="14.45" customHeight="1" x14ac:dyDescent="0.2">
      <c r="B144" s="759" t="s">
        <v>1015</v>
      </c>
      <c r="C144" s="758"/>
      <c r="E144" s="656">
        <v>0</v>
      </c>
      <c r="F144" s="656">
        <v>3.5880000000000001</v>
      </c>
      <c r="G144" s="656">
        <v>39.576000000000001</v>
      </c>
      <c r="H144" s="656">
        <v>7.6320000000000006</v>
      </c>
      <c r="I144" s="656">
        <v>128.232</v>
      </c>
      <c r="J144" s="656">
        <v>58.202039999999997</v>
      </c>
      <c r="K144" s="656">
        <v>205.16111999999998</v>
      </c>
      <c r="L144" s="656">
        <v>76.722000000000023</v>
      </c>
      <c r="M144" s="656">
        <v>111.25007999999998</v>
      </c>
      <c r="N144" s="656">
        <v>138.53399999999999</v>
      </c>
      <c r="O144" s="656">
        <v>25.779959999999996</v>
      </c>
      <c r="P144" s="656">
        <v>142.95407999999995</v>
      </c>
      <c r="Q144" s="656">
        <v>54.276000000000003</v>
      </c>
      <c r="R144" s="656">
        <v>115.47300000000001</v>
      </c>
      <c r="S144" s="767">
        <v>17.495999999999999</v>
      </c>
      <c r="T144" s="797">
        <f t="shared" ref="T144:AB144" si="86">T155*T160</f>
        <v>192</v>
      </c>
      <c r="U144" s="797">
        <f t="shared" si="86"/>
        <v>0</v>
      </c>
      <c r="V144" s="797">
        <f t="shared" si="86"/>
        <v>0</v>
      </c>
      <c r="W144" s="797">
        <f t="shared" si="86"/>
        <v>0</v>
      </c>
      <c r="X144" s="797">
        <f t="shared" si="86"/>
        <v>0</v>
      </c>
      <c r="Y144" s="797">
        <f t="shared" si="86"/>
        <v>0</v>
      </c>
      <c r="Z144" s="797">
        <f t="shared" si="86"/>
        <v>0</v>
      </c>
      <c r="AA144" s="797">
        <f t="shared" si="86"/>
        <v>0</v>
      </c>
      <c r="AB144" s="797">
        <f t="shared" si="86"/>
        <v>0</v>
      </c>
      <c r="AC144" s="799"/>
      <c r="AD144" s="797">
        <f>SUM(E144:H144)</f>
        <v>50.795999999999999</v>
      </c>
      <c r="AE144" s="797">
        <f>SUM(I144:L144)</f>
        <v>468.31716</v>
      </c>
      <c r="AF144" s="798">
        <f>SUM(M144:P144)</f>
        <v>418.51811999999995</v>
      </c>
      <c r="AG144" s="797">
        <f>SUM(Q144:T144)</f>
        <v>379.245</v>
      </c>
      <c r="AH144" s="797">
        <f>SUM(U144:X144)</f>
        <v>0</v>
      </c>
      <c r="AI144" s="798">
        <f>SUM(Y144:AB144)</f>
        <v>0</v>
      </c>
      <c r="AK144" s="797"/>
      <c r="AL144" s="797"/>
    </row>
    <row r="145" spans="2:38" ht="14.45" customHeight="1" x14ac:dyDescent="0.35">
      <c r="B145" s="759" t="s">
        <v>1014</v>
      </c>
      <c r="C145" s="758"/>
      <c r="E145" s="580">
        <v>0</v>
      </c>
      <c r="F145" s="580">
        <v>0</v>
      </c>
      <c r="G145" s="580">
        <v>1.2000000000000002</v>
      </c>
      <c r="H145" s="580">
        <v>0</v>
      </c>
      <c r="I145" s="580">
        <v>4.8000000000000007</v>
      </c>
      <c r="J145" s="580">
        <v>11.411999999999999</v>
      </c>
      <c r="K145" s="580">
        <v>35.024039999999999</v>
      </c>
      <c r="L145" s="580">
        <v>64.61196000000001</v>
      </c>
      <c r="M145" s="580">
        <v>66.893999999999991</v>
      </c>
      <c r="N145" s="580">
        <v>28.630440000000004</v>
      </c>
      <c r="O145" s="580">
        <v>73.649040000000014</v>
      </c>
      <c r="P145" s="580">
        <v>36.830040000000004</v>
      </c>
      <c r="Q145" s="580">
        <v>78.819000000000017</v>
      </c>
      <c r="R145" s="580">
        <v>103.36739999999992</v>
      </c>
      <c r="S145" s="796">
        <v>135.858</v>
      </c>
      <c r="T145" s="712">
        <f t="shared" ref="T145:AB145" si="87">T149*T161</f>
        <v>161.51467079999998</v>
      </c>
      <c r="U145" s="712">
        <f t="shared" si="87"/>
        <v>93.53274519</v>
      </c>
      <c r="V145" s="712">
        <f t="shared" si="87"/>
        <v>95.871063819750006</v>
      </c>
      <c r="W145" s="712">
        <f t="shared" si="87"/>
        <v>98.267840415243754</v>
      </c>
      <c r="X145" s="712">
        <f t="shared" si="87"/>
        <v>100.72453642562485</v>
      </c>
      <c r="Y145" s="712">
        <f t="shared" si="87"/>
        <v>0</v>
      </c>
      <c r="Z145" s="712">
        <f t="shared" si="87"/>
        <v>0</v>
      </c>
      <c r="AA145" s="712">
        <f t="shared" si="87"/>
        <v>0</v>
      </c>
      <c r="AB145" s="712">
        <f t="shared" si="87"/>
        <v>0</v>
      </c>
      <c r="AC145" s="735"/>
      <c r="AD145" s="712">
        <f>SUM(E145:H145)</f>
        <v>1.2000000000000002</v>
      </c>
      <c r="AE145" s="712">
        <f>SUM(I145:L145)</f>
        <v>115.84800000000001</v>
      </c>
      <c r="AF145" s="795">
        <f>SUM(M145:P145)</f>
        <v>206.00352000000001</v>
      </c>
      <c r="AG145" s="712">
        <f>SUM(Q145:T145)</f>
        <v>479.55907079999992</v>
      </c>
      <c r="AH145" s="712">
        <f>SUM(U145:X145)</f>
        <v>388.39618585061862</v>
      </c>
      <c r="AI145" s="795">
        <f>SUM(Y145:AB145)</f>
        <v>0</v>
      </c>
      <c r="AK145" s="712"/>
      <c r="AL145" s="712"/>
    </row>
    <row r="146" spans="2:38" ht="14.45" customHeight="1" x14ac:dyDescent="0.2">
      <c r="B146" s="783" t="s">
        <v>875</v>
      </c>
      <c r="C146" s="784"/>
      <c r="E146" s="790">
        <f t="shared" ref="E146:AB146" si="88">SUM(E144:E145)</f>
        <v>0</v>
      </c>
      <c r="F146" s="790">
        <f t="shared" si="88"/>
        <v>3.5880000000000001</v>
      </c>
      <c r="G146" s="790">
        <f t="shared" si="88"/>
        <v>40.776000000000003</v>
      </c>
      <c r="H146" s="790">
        <f t="shared" si="88"/>
        <v>7.6320000000000006</v>
      </c>
      <c r="I146" s="790">
        <f t="shared" si="88"/>
        <v>133.03200000000001</v>
      </c>
      <c r="J146" s="790">
        <f t="shared" si="88"/>
        <v>69.614039999999989</v>
      </c>
      <c r="K146" s="790">
        <f t="shared" si="88"/>
        <v>240.18516</v>
      </c>
      <c r="L146" s="790">
        <f t="shared" si="88"/>
        <v>141.33396000000005</v>
      </c>
      <c r="M146" s="790">
        <f t="shared" si="88"/>
        <v>178.14407999999997</v>
      </c>
      <c r="N146" s="790">
        <f t="shared" si="88"/>
        <v>167.16443999999998</v>
      </c>
      <c r="O146" s="790">
        <f t="shared" si="88"/>
        <v>99.429000000000002</v>
      </c>
      <c r="P146" s="790">
        <f t="shared" si="88"/>
        <v>179.78411999999994</v>
      </c>
      <c r="Q146" s="790">
        <f t="shared" si="88"/>
        <v>133.09500000000003</v>
      </c>
      <c r="R146" s="790">
        <f t="shared" si="88"/>
        <v>218.84039999999993</v>
      </c>
      <c r="S146" s="794">
        <f t="shared" si="88"/>
        <v>153.35400000000001</v>
      </c>
      <c r="T146" s="790">
        <f t="shared" si="88"/>
        <v>353.51467079999998</v>
      </c>
      <c r="U146" s="790">
        <f t="shared" si="88"/>
        <v>93.53274519</v>
      </c>
      <c r="V146" s="790">
        <f t="shared" si="88"/>
        <v>95.871063819750006</v>
      </c>
      <c r="W146" s="790">
        <f t="shared" si="88"/>
        <v>98.267840415243754</v>
      </c>
      <c r="X146" s="790">
        <f t="shared" si="88"/>
        <v>100.72453642562485</v>
      </c>
      <c r="Y146" s="790">
        <f t="shared" si="88"/>
        <v>0</v>
      </c>
      <c r="Z146" s="790">
        <f t="shared" si="88"/>
        <v>0</v>
      </c>
      <c r="AA146" s="790">
        <f t="shared" si="88"/>
        <v>0</v>
      </c>
      <c r="AB146" s="790">
        <f t="shared" si="88"/>
        <v>0</v>
      </c>
      <c r="AC146" s="735"/>
      <c r="AD146" s="790">
        <f t="shared" ref="AD146:AI146" si="89">SUM(AD144:AD145)</f>
        <v>51.996000000000002</v>
      </c>
      <c r="AE146" s="790">
        <f t="shared" si="89"/>
        <v>584.16516000000001</v>
      </c>
      <c r="AF146" s="794">
        <f t="shared" si="89"/>
        <v>624.52163999999993</v>
      </c>
      <c r="AG146" s="790">
        <f t="shared" si="89"/>
        <v>858.80407079999986</v>
      </c>
      <c r="AH146" s="790">
        <f t="shared" si="89"/>
        <v>388.39618585061862</v>
      </c>
      <c r="AI146" s="794">
        <f t="shared" si="89"/>
        <v>0</v>
      </c>
    </row>
    <row r="147" spans="2:38" ht="14.45" customHeight="1" x14ac:dyDescent="0.2">
      <c r="B147" s="793" t="s">
        <v>974</v>
      </c>
      <c r="C147" s="786"/>
      <c r="E147" s="790"/>
      <c r="F147" s="790"/>
      <c r="G147" s="790"/>
      <c r="H147" s="790"/>
      <c r="I147" s="791" t="str">
        <f t="shared" ref="I147:AB147" si="90">IFERROR(I146/E146-1,"-")</f>
        <v>-</v>
      </c>
      <c r="J147" s="791">
        <f t="shared" si="90"/>
        <v>18.401906354515045</v>
      </c>
      <c r="K147" s="791">
        <f t="shared" si="90"/>
        <v>4.8903560918187159</v>
      </c>
      <c r="L147" s="791">
        <f t="shared" si="90"/>
        <v>17.518600628930823</v>
      </c>
      <c r="M147" s="791">
        <f t="shared" si="90"/>
        <v>0.33910698177881993</v>
      </c>
      <c r="N147" s="791">
        <f t="shared" si="90"/>
        <v>1.4013035301499528</v>
      </c>
      <c r="O147" s="791">
        <f t="shared" si="90"/>
        <v>-0.58603187640735177</v>
      </c>
      <c r="P147" s="791">
        <f t="shared" si="90"/>
        <v>0.27205181260045275</v>
      </c>
      <c r="Q147" s="791">
        <f t="shared" si="90"/>
        <v>-0.25288002834559509</v>
      </c>
      <c r="R147" s="791">
        <f t="shared" si="90"/>
        <v>0.30913249253250252</v>
      </c>
      <c r="S147" s="792">
        <f t="shared" si="90"/>
        <v>0.54234680022930948</v>
      </c>
      <c r="T147" s="791">
        <f t="shared" si="90"/>
        <v>0.96632867685978097</v>
      </c>
      <c r="U147" s="791">
        <f t="shared" si="90"/>
        <v>-0.29724824230812597</v>
      </c>
      <c r="V147" s="791">
        <f t="shared" si="90"/>
        <v>-0.56191332212996303</v>
      </c>
      <c r="W147" s="791">
        <f t="shared" si="90"/>
        <v>-0.35920914736333098</v>
      </c>
      <c r="X147" s="791">
        <f t="shared" si="90"/>
        <v>-0.71507678536314701</v>
      </c>
      <c r="Y147" s="791">
        <f t="shared" si="90"/>
        <v>-1</v>
      </c>
      <c r="Z147" s="791">
        <f t="shared" si="90"/>
        <v>-1</v>
      </c>
      <c r="AA147" s="791">
        <f t="shared" si="90"/>
        <v>-1</v>
      </c>
      <c r="AB147" s="791">
        <f t="shared" si="90"/>
        <v>-1</v>
      </c>
      <c r="AD147" s="790"/>
      <c r="AE147" s="789">
        <f>IFERROR(AE146/AD146-1,"-")</f>
        <v>10.234809600738519</v>
      </c>
      <c r="AF147" s="788">
        <f>IFERROR(AF146/AE146-1,"-")</f>
        <v>6.9084024114002052E-2</v>
      </c>
      <c r="AG147" s="789">
        <f>IFERROR(AG146/AF146-1,"-")</f>
        <v>0.37513901167620056</v>
      </c>
      <c r="AH147" s="789">
        <f>IFERROR(AH146/AG146-1,"-")</f>
        <v>-0.54774761897807867</v>
      </c>
      <c r="AI147" s="788">
        <f>IFERROR(AI146/AH146-1,"-")</f>
        <v>-1</v>
      </c>
    </row>
    <row r="148" spans="2:38" ht="14.45" customHeight="1" x14ac:dyDescent="0.2">
      <c r="B148" s="787"/>
      <c r="C148" s="786"/>
      <c r="F148" s="781"/>
      <c r="I148" s="781"/>
      <c r="J148" s="781"/>
      <c r="S148" s="780"/>
      <c r="AD148" s="786"/>
      <c r="AE148" s="786"/>
      <c r="AF148" s="785"/>
      <c r="AG148" s="786"/>
      <c r="AH148" s="786"/>
      <c r="AI148" s="785"/>
    </row>
    <row r="149" spans="2:38" ht="14.45" customHeight="1" x14ac:dyDescent="0.2">
      <c r="B149" s="783" t="s">
        <v>1013</v>
      </c>
      <c r="C149" s="784"/>
      <c r="E149" s="656">
        <v>7.1639999999999997</v>
      </c>
      <c r="F149" s="656">
        <v>2.3759999999999999</v>
      </c>
      <c r="G149" s="656">
        <v>4.7759999999999998</v>
      </c>
      <c r="H149" s="656">
        <v>50.339999999999996</v>
      </c>
      <c r="I149" s="656">
        <v>57.972000000000001</v>
      </c>
      <c r="J149" s="656">
        <v>191.00400000000002</v>
      </c>
      <c r="K149" s="656">
        <v>260.25984</v>
      </c>
      <c r="L149" s="656">
        <v>493.30500000000001</v>
      </c>
      <c r="M149" s="656">
        <v>622.65096000000005</v>
      </c>
      <c r="N149" s="656">
        <v>795.82908000000009</v>
      </c>
      <c r="O149" s="656">
        <v>946.26552000000004</v>
      </c>
      <c r="P149" s="656">
        <v>1006.64808</v>
      </c>
      <c r="Q149" s="656">
        <v>1165.1861999999999</v>
      </c>
      <c r="R149" s="656">
        <v>1266.3171599999998</v>
      </c>
      <c r="S149" s="767">
        <v>1450.6215599999998</v>
      </c>
      <c r="T149" s="656">
        <f>'Revenue Build'!S122</f>
        <v>1568.1035999999999</v>
      </c>
      <c r="U149" s="656">
        <f>'Revenue Build'!T122</f>
        <v>1870.6549037999998</v>
      </c>
      <c r="V149" s="656">
        <f>'Revenue Build'!U122</f>
        <v>1917.4212763949999</v>
      </c>
      <c r="W149" s="656">
        <f>'Revenue Build'!V122</f>
        <v>1965.3568083048749</v>
      </c>
      <c r="X149" s="656">
        <f>'Revenue Build'!W122</f>
        <v>2014.4907285124968</v>
      </c>
      <c r="Y149" s="656">
        <f>'Revenue Build'!X122</f>
        <v>2064.8529967253098</v>
      </c>
      <c r="Z149" s="656">
        <f>'Revenue Build'!Y122</f>
        <v>2013.231671807177</v>
      </c>
      <c r="AA149" s="656">
        <f>'Revenue Build'!Z122</f>
        <v>1962.9008800119975</v>
      </c>
      <c r="AB149" s="656">
        <f>'Revenue Build'!AA122</f>
        <v>1913.8283580116974</v>
      </c>
      <c r="AD149" s="656">
        <f>'Revenue Build'!AC122</f>
        <v>7.1639999999999997</v>
      </c>
      <c r="AE149" s="656">
        <f>'Revenue Build'!AD122</f>
        <v>57.972000000000001</v>
      </c>
      <c r="AF149" s="767">
        <f>'Revenue Build'!AE122</f>
        <v>622.65096000000005</v>
      </c>
      <c r="AG149" s="656">
        <f>'Revenue Build'!AF122</f>
        <v>1165.1862000000001</v>
      </c>
      <c r="AH149" s="656">
        <f>'Revenue Build'!AG122</f>
        <v>1870.6549038000001</v>
      </c>
      <c r="AI149" s="767">
        <f>'Revenue Build'!AH122</f>
        <v>2064.8529967253094</v>
      </c>
    </row>
    <row r="150" spans="2:38" ht="14.45" customHeight="1" x14ac:dyDescent="0.2">
      <c r="B150" s="783"/>
      <c r="C150" s="784"/>
      <c r="F150" s="781"/>
      <c r="I150" s="781"/>
      <c r="J150" s="781"/>
      <c r="S150" s="780"/>
      <c r="AF150" s="780"/>
      <c r="AI150" s="780"/>
    </row>
    <row r="151" spans="2:38" ht="14.45" customHeight="1" x14ac:dyDescent="0.2">
      <c r="B151" s="783" t="s">
        <v>947</v>
      </c>
      <c r="C151" s="782"/>
      <c r="F151" s="781"/>
      <c r="I151" s="781"/>
      <c r="J151" s="781"/>
      <c r="S151" s="780"/>
      <c r="AF151" s="780"/>
      <c r="AI151" s="780"/>
    </row>
    <row r="152" spans="2:38" ht="14.45" customHeight="1" x14ac:dyDescent="0.2">
      <c r="B152" s="759" t="s">
        <v>940</v>
      </c>
      <c r="C152" s="758"/>
      <c r="E152" s="779">
        <v>0</v>
      </c>
      <c r="F152" s="779">
        <v>2</v>
      </c>
      <c r="G152" s="779">
        <v>3</v>
      </c>
      <c r="H152" s="779">
        <v>5</v>
      </c>
      <c r="I152" s="779">
        <v>4</v>
      </c>
      <c r="J152" s="779">
        <v>7</v>
      </c>
      <c r="K152" s="779">
        <v>5</v>
      </c>
      <c r="L152" s="779">
        <v>6</v>
      </c>
      <c r="M152" s="779">
        <v>2</v>
      </c>
      <c r="N152" s="778">
        <v>0</v>
      </c>
      <c r="O152" s="778">
        <v>0</v>
      </c>
      <c r="P152" s="778">
        <v>0</v>
      </c>
      <c r="Q152" s="778">
        <v>0</v>
      </c>
      <c r="R152" s="778">
        <v>0</v>
      </c>
      <c r="S152" s="777">
        <v>2</v>
      </c>
      <c r="T152" s="766">
        <v>3</v>
      </c>
      <c r="U152" s="776">
        <f>AH152*0.2</f>
        <v>0</v>
      </c>
      <c r="V152" s="776">
        <f>AH152*0.25</f>
        <v>0</v>
      </c>
      <c r="W152" s="776">
        <f>AH152*0.25</f>
        <v>0</v>
      </c>
      <c r="X152" s="776">
        <f>AH152*0.3</f>
        <v>0</v>
      </c>
      <c r="Y152" s="776">
        <f>AI152/4</f>
        <v>0</v>
      </c>
      <c r="Z152" s="776">
        <f>Y152</f>
        <v>0</v>
      </c>
      <c r="AA152" s="776">
        <f>Z152</f>
        <v>0</v>
      </c>
      <c r="AB152" s="776">
        <f>AA152</f>
        <v>0</v>
      </c>
      <c r="AC152" s="742"/>
      <c r="AD152" s="753">
        <f>SUM(E152:H152)</f>
        <v>10</v>
      </c>
      <c r="AE152" s="753">
        <f>SUM(I152:L152)</f>
        <v>22</v>
      </c>
      <c r="AF152" s="752">
        <f>SUM(M152:P152)</f>
        <v>2</v>
      </c>
      <c r="AG152" s="754">
        <f>SUM(S152:T152)</f>
        <v>5</v>
      </c>
      <c r="AH152" s="691"/>
      <c r="AI152" s="691"/>
      <c r="AJ152" s="742"/>
    </row>
    <row r="153" spans="2:38" ht="14.45" customHeight="1" x14ac:dyDescent="0.2">
      <c r="B153" s="759" t="s">
        <v>1012</v>
      </c>
      <c r="C153" s="758"/>
      <c r="E153" s="754"/>
      <c r="F153" s="754"/>
      <c r="G153" s="754"/>
      <c r="H153" s="754"/>
      <c r="I153" s="754"/>
      <c r="J153" s="754"/>
      <c r="K153" s="754"/>
      <c r="L153" s="754"/>
      <c r="M153" s="754"/>
      <c r="N153" s="754"/>
      <c r="O153" s="754"/>
      <c r="P153" s="754"/>
      <c r="Q153" s="754"/>
      <c r="R153" s="754"/>
      <c r="S153" s="775"/>
      <c r="T153" s="774">
        <v>8</v>
      </c>
      <c r="U153" s="772">
        <f>$AH$153*0.15</f>
        <v>4.3499999999999996</v>
      </c>
      <c r="V153" s="772">
        <f>$AH$153*0.25</f>
        <v>7.25</v>
      </c>
      <c r="W153" s="772">
        <f>$AH$153*0.2</f>
        <v>5.8000000000000007</v>
      </c>
      <c r="X153" s="772">
        <f>$AH$153*0.3</f>
        <v>8.6999999999999993</v>
      </c>
      <c r="Y153" s="772">
        <f>$AI$153*0.15</f>
        <v>4.95</v>
      </c>
      <c r="Z153" s="772">
        <f>$AI$153*0.25</f>
        <v>8.25</v>
      </c>
      <c r="AA153" s="772">
        <f>$AI$153*0.2</f>
        <v>6.6000000000000005</v>
      </c>
      <c r="AB153" s="772">
        <f>$AI$153*0.3</f>
        <v>9.9</v>
      </c>
      <c r="AC153" s="754"/>
      <c r="AD153" s="773">
        <f>IFERROR(AD155/AD152,"-")</f>
        <v>1</v>
      </c>
      <c r="AE153" s="773">
        <f>IFERROR(AE155/AE152,"-")</f>
        <v>3.7272727272727271</v>
      </c>
      <c r="AF153" s="773">
        <f>IFERROR(AF155/AF152,"-")</f>
        <v>21</v>
      </c>
      <c r="AG153" s="768">
        <f>IFERROR(AG155/AG152,"-")</f>
        <v>8.1999999999999993</v>
      </c>
      <c r="AH153" s="691">
        <v>29</v>
      </c>
      <c r="AI153" s="691">
        <v>33</v>
      </c>
      <c r="AJ153" s="742"/>
    </row>
    <row r="154" spans="2:38" ht="14.45" customHeight="1" x14ac:dyDescent="0.2">
      <c r="B154" s="759" t="s">
        <v>1011</v>
      </c>
      <c r="C154" s="758"/>
      <c r="E154" s="656">
        <v>3</v>
      </c>
      <c r="F154" s="656">
        <v>2</v>
      </c>
      <c r="G154" s="656">
        <v>2</v>
      </c>
      <c r="H154" s="656">
        <v>8</v>
      </c>
      <c r="I154" s="656">
        <v>12</v>
      </c>
      <c r="J154" s="656">
        <v>30</v>
      </c>
      <c r="K154" s="656">
        <v>53</v>
      </c>
      <c r="L154" s="656">
        <v>70</v>
      </c>
      <c r="M154" s="656">
        <v>87</v>
      </c>
      <c r="N154" s="656">
        <v>100</v>
      </c>
      <c r="O154" s="656">
        <v>106</v>
      </c>
      <c r="P154" s="656">
        <v>109</v>
      </c>
      <c r="Q154" s="656">
        <v>114</v>
      </c>
      <c r="R154" s="656">
        <v>115</v>
      </c>
      <c r="S154" s="767">
        <v>121</v>
      </c>
      <c r="T154" s="772">
        <f t="shared" ref="T154:AB154" si="91">S159</f>
        <v>119</v>
      </c>
      <c r="U154" s="772">
        <f t="shared" si="91"/>
        <v>136.75</v>
      </c>
      <c r="V154" s="772">
        <f t="shared" si="91"/>
        <v>128</v>
      </c>
      <c r="W154" s="772">
        <f t="shared" si="91"/>
        <v>119.25</v>
      </c>
      <c r="X154" s="772">
        <f t="shared" si="91"/>
        <v>110.5</v>
      </c>
      <c r="Y154" s="772">
        <f t="shared" si="91"/>
        <v>101.75</v>
      </c>
      <c r="Z154" s="772">
        <f t="shared" si="91"/>
        <v>89.25</v>
      </c>
      <c r="AA154" s="772">
        <f t="shared" si="91"/>
        <v>76.75</v>
      </c>
      <c r="AB154" s="772">
        <f t="shared" si="91"/>
        <v>64.25</v>
      </c>
      <c r="AC154" s="754"/>
      <c r="AD154" s="762">
        <f>E154</f>
        <v>3</v>
      </c>
      <c r="AE154" s="762">
        <f>I154</f>
        <v>12</v>
      </c>
      <c r="AF154" s="761">
        <f>M154</f>
        <v>87</v>
      </c>
      <c r="AG154" s="754">
        <f>Q154</f>
        <v>114</v>
      </c>
      <c r="AH154" s="754">
        <f>U154</f>
        <v>136.75</v>
      </c>
      <c r="AI154" s="771">
        <f>Y154</f>
        <v>101.75</v>
      </c>
      <c r="AJ154" s="742"/>
    </row>
    <row r="155" spans="2:38" ht="14.45" customHeight="1" x14ac:dyDescent="0.2">
      <c r="B155" s="759" t="s">
        <v>943</v>
      </c>
      <c r="C155" s="758"/>
      <c r="E155" s="656">
        <v>0</v>
      </c>
      <c r="F155" s="656">
        <v>1</v>
      </c>
      <c r="G155" s="656">
        <v>5</v>
      </c>
      <c r="H155" s="656">
        <v>4</v>
      </c>
      <c r="I155" s="656">
        <v>18</v>
      </c>
      <c r="J155" s="656">
        <v>23</v>
      </c>
      <c r="K155" s="656">
        <v>22</v>
      </c>
      <c r="L155" s="656">
        <v>19</v>
      </c>
      <c r="M155" s="656">
        <v>14</v>
      </c>
      <c r="N155" s="656">
        <v>12</v>
      </c>
      <c r="O155" s="656">
        <v>7</v>
      </c>
      <c r="P155" s="656">
        <v>9</v>
      </c>
      <c r="Q155" s="656">
        <v>5</v>
      </c>
      <c r="R155" s="656">
        <v>9</v>
      </c>
      <c r="S155" s="767">
        <v>3</v>
      </c>
      <c r="T155" s="772">
        <f t="shared" ref="T155:AB155" si="92">T152*T153</f>
        <v>24</v>
      </c>
      <c r="U155" s="772">
        <f t="shared" si="92"/>
        <v>0</v>
      </c>
      <c r="V155" s="772">
        <f t="shared" si="92"/>
        <v>0</v>
      </c>
      <c r="W155" s="772">
        <f t="shared" si="92"/>
        <v>0</v>
      </c>
      <c r="X155" s="772">
        <f t="shared" si="92"/>
        <v>0</v>
      </c>
      <c r="Y155" s="772">
        <f t="shared" si="92"/>
        <v>0</v>
      </c>
      <c r="Z155" s="772">
        <f t="shared" si="92"/>
        <v>0</v>
      </c>
      <c r="AA155" s="772">
        <f t="shared" si="92"/>
        <v>0</v>
      </c>
      <c r="AB155" s="772">
        <f t="shared" si="92"/>
        <v>0</v>
      </c>
      <c r="AC155" s="754"/>
      <c r="AD155" s="762">
        <f>SUM(E155:H155)</f>
        <v>10</v>
      </c>
      <c r="AE155" s="762">
        <f>SUM(I155:L155)</f>
        <v>82</v>
      </c>
      <c r="AF155" s="761">
        <f>SUM(M155:P155)</f>
        <v>42</v>
      </c>
      <c r="AG155" s="754">
        <f>SUM(Q155:T155)</f>
        <v>41</v>
      </c>
      <c r="AH155" s="754">
        <f>SUM(U155:X155)</f>
        <v>0</v>
      </c>
      <c r="AI155" s="771">
        <f>SUM(Y155:AB155)</f>
        <v>0</v>
      </c>
      <c r="AJ155" s="742"/>
    </row>
    <row r="156" spans="2:38" ht="14.45" customHeight="1" x14ac:dyDescent="0.2">
      <c r="B156" s="759" t="s">
        <v>1010</v>
      </c>
      <c r="C156" s="758"/>
      <c r="E156" s="656">
        <v>0</v>
      </c>
      <c r="F156" s="656">
        <v>0</v>
      </c>
      <c r="G156" s="656">
        <v>1</v>
      </c>
      <c r="H156" s="656">
        <v>0</v>
      </c>
      <c r="I156" s="656">
        <v>0</v>
      </c>
      <c r="J156" s="656">
        <v>0</v>
      </c>
      <c r="K156" s="656">
        <v>0</v>
      </c>
      <c r="L156" s="656">
        <v>0</v>
      </c>
      <c r="M156" s="656">
        <v>1</v>
      </c>
      <c r="N156" s="656">
        <v>0</v>
      </c>
      <c r="O156" s="656">
        <v>0</v>
      </c>
      <c r="P156" s="656">
        <v>1</v>
      </c>
      <c r="Q156" s="656">
        <v>1</v>
      </c>
      <c r="R156" s="656">
        <v>0</v>
      </c>
      <c r="S156" s="767">
        <v>0</v>
      </c>
      <c r="T156" s="766">
        <v>0</v>
      </c>
      <c r="U156" s="766">
        <v>0</v>
      </c>
      <c r="V156" s="766">
        <v>0</v>
      </c>
      <c r="W156" s="766">
        <v>0</v>
      </c>
      <c r="X156" s="766">
        <v>0</v>
      </c>
      <c r="Y156" s="766">
        <v>0</v>
      </c>
      <c r="Z156" s="766">
        <v>0</v>
      </c>
      <c r="AA156" s="766">
        <v>0</v>
      </c>
      <c r="AB156" s="766">
        <v>0</v>
      </c>
      <c r="AC156" s="754"/>
      <c r="AD156" s="762">
        <f>SUM(E156:H156)</f>
        <v>1</v>
      </c>
      <c r="AE156" s="762">
        <f>SUM(I156:L156)</f>
        <v>0</v>
      </c>
      <c r="AF156" s="761">
        <f>SUM(M156:P156)</f>
        <v>2</v>
      </c>
      <c r="AG156" s="754">
        <f>SUM(Q156:T156)</f>
        <v>1</v>
      </c>
      <c r="AH156" s="754">
        <f>SUM(U156:X156)</f>
        <v>0</v>
      </c>
      <c r="AI156" s="754">
        <f>SUM(Y156:AB156)</f>
        <v>0</v>
      </c>
      <c r="AJ156" s="770"/>
    </row>
    <row r="157" spans="2:38" ht="14.45" customHeight="1" x14ac:dyDescent="0.2">
      <c r="B157" s="759" t="s">
        <v>1009</v>
      </c>
      <c r="C157" s="758"/>
      <c r="E157" s="656">
        <v>-1</v>
      </c>
      <c r="F157" s="656">
        <v>0</v>
      </c>
      <c r="G157" s="656">
        <v>0</v>
      </c>
      <c r="H157" s="656">
        <v>0</v>
      </c>
      <c r="I157" s="656">
        <v>0</v>
      </c>
      <c r="J157" s="656">
        <v>0</v>
      </c>
      <c r="K157" s="656">
        <v>-4</v>
      </c>
      <c r="L157" s="656">
        <v>-2</v>
      </c>
      <c r="M157" s="656">
        <v>-2</v>
      </c>
      <c r="N157" s="656">
        <v>-5</v>
      </c>
      <c r="O157" s="656">
        <v>-3</v>
      </c>
      <c r="P157" s="656">
        <v>-5</v>
      </c>
      <c r="Q157" s="656">
        <v>-5</v>
      </c>
      <c r="R157" s="656">
        <v>-3</v>
      </c>
      <c r="S157" s="767">
        <v>-5</v>
      </c>
      <c r="T157" s="769">
        <v>-6.25</v>
      </c>
      <c r="U157" s="763">
        <f>$AH$157/4</f>
        <v>-8.75</v>
      </c>
      <c r="V157" s="763">
        <f>$AH$157/4</f>
        <v>-8.75</v>
      </c>
      <c r="W157" s="763">
        <f>$AH$157/4</f>
        <v>-8.75</v>
      </c>
      <c r="X157" s="763">
        <f>$AH$157/4</f>
        <v>-8.75</v>
      </c>
      <c r="Y157" s="763">
        <f>$AI$157/4</f>
        <v>-12.5</v>
      </c>
      <c r="Z157" s="763">
        <f>$AI$157/4</f>
        <v>-12.5</v>
      </c>
      <c r="AA157" s="763">
        <f>$AI$157/4</f>
        <v>-12.5</v>
      </c>
      <c r="AB157" s="763">
        <f>$AI$157/4</f>
        <v>-12.5</v>
      </c>
      <c r="AC157" s="754"/>
      <c r="AD157" s="762">
        <f>SUM(E157:H157)</f>
        <v>-1</v>
      </c>
      <c r="AE157" s="762">
        <f>SUM(I157:L157)</f>
        <v>-6</v>
      </c>
      <c r="AF157" s="762">
        <f>SUM(M157:P157)</f>
        <v>-15</v>
      </c>
      <c r="AG157" s="768">
        <f>SUM(Q157:T157)</f>
        <v>-19.25</v>
      </c>
      <c r="AH157" s="691">
        <v>-35</v>
      </c>
      <c r="AI157" s="691">
        <v>-50</v>
      </c>
      <c r="AJ157" s="742"/>
    </row>
    <row r="158" spans="2:38" ht="14.45" customHeight="1" x14ac:dyDescent="0.2">
      <c r="B158" s="759" t="s">
        <v>1008</v>
      </c>
      <c r="C158" s="758"/>
      <c r="E158" s="656">
        <v>0</v>
      </c>
      <c r="F158" s="656">
        <v>-1</v>
      </c>
      <c r="G158" s="656">
        <v>0</v>
      </c>
      <c r="H158" s="656">
        <v>0</v>
      </c>
      <c r="I158" s="656">
        <v>0</v>
      </c>
      <c r="J158" s="656">
        <v>0</v>
      </c>
      <c r="K158" s="656">
        <v>-1</v>
      </c>
      <c r="L158" s="656">
        <v>0</v>
      </c>
      <c r="M158" s="656">
        <v>0</v>
      </c>
      <c r="N158" s="656">
        <v>-1</v>
      </c>
      <c r="O158" s="656">
        <v>-1</v>
      </c>
      <c r="P158" s="656">
        <v>0</v>
      </c>
      <c r="Q158" s="656">
        <v>0</v>
      </c>
      <c r="R158" s="656">
        <v>0</v>
      </c>
      <c r="S158" s="767">
        <v>0</v>
      </c>
      <c r="T158" s="766">
        <v>0</v>
      </c>
      <c r="U158" s="766">
        <v>0</v>
      </c>
      <c r="V158" s="766">
        <v>0</v>
      </c>
      <c r="W158" s="766">
        <v>0</v>
      </c>
      <c r="X158" s="766">
        <v>0</v>
      </c>
      <c r="Y158" s="766">
        <v>0</v>
      </c>
      <c r="Z158" s="766">
        <v>0</v>
      </c>
      <c r="AA158" s="766">
        <v>0</v>
      </c>
      <c r="AB158" s="766">
        <v>0</v>
      </c>
      <c r="AC158" s="754"/>
      <c r="AD158" s="762">
        <f>SUM(E158:H158)</f>
        <v>-1</v>
      </c>
      <c r="AE158" s="762">
        <f>SUM(I158:L158)</f>
        <v>-1</v>
      </c>
      <c r="AF158" s="761">
        <f>SUM(M158:P158)</f>
        <v>-2</v>
      </c>
      <c r="AG158" s="754">
        <f>SUM(Q158:T158)</f>
        <v>0</v>
      </c>
      <c r="AH158" s="754">
        <f>SUM(U158:X158)</f>
        <v>0</v>
      </c>
      <c r="AI158" s="765">
        <f>SUM(Y158:AB158)</f>
        <v>0</v>
      </c>
      <c r="AJ158" s="742"/>
    </row>
    <row r="159" spans="2:38" ht="14.45" customHeight="1" x14ac:dyDescent="0.2">
      <c r="B159" s="759" t="s">
        <v>1007</v>
      </c>
      <c r="C159" s="758"/>
      <c r="E159" s="654">
        <f t="shared" ref="E159:S159" si="93">SUM(E154:E158)</f>
        <v>2</v>
      </c>
      <c r="F159" s="654">
        <f t="shared" si="93"/>
        <v>2</v>
      </c>
      <c r="G159" s="654">
        <f t="shared" si="93"/>
        <v>8</v>
      </c>
      <c r="H159" s="654">
        <f t="shared" si="93"/>
        <v>12</v>
      </c>
      <c r="I159" s="654">
        <f t="shared" si="93"/>
        <v>30</v>
      </c>
      <c r="J159" s="654">
        <f t="shared" si="93"/>
        <v>53</v>
      </c>
      <c r="K159" s="654">
        <f t="shared" si="93"/>
        <v>70</v>
      </c>
      <c r="L159" s="654">
        <f t="shared" si="93"/>
        <v>87</v>
      </c>
      <c r="M159" s="654">
        <f t="shared" si="93"/>
        <v>100</v>
      </c>
      <c r="N159" s="654">
        <f t="shared" si="93"/>
        <v>106</v>
      </c>
      <c r="O159" s="654">
        <f t="shared" si="93"/>
        <v>109</v>
      </c>
      <c r="P159" s="654">
        <f t="shared" si="93"/>
        <v>114</v>
      </c>
      <c r="Q159" s="654">
        <f t="shared" si="93"/>
        <v>115</v>
      </c>
      <c r="R159" s="654">
        <f t="shared" si="93"/>
        <v>121</v>
      </c>
      <c r="S159" s="764">
        <f t="shared" si="93"/>
        <v>119</v>
      </c>
      <c r="T159" s="763">
        <f t="shared" ref="T159:AB159" si="94">SUM(T154:T157)</f>
        <v>136.75</v>
      </c>
      <c r="U159" s="763">
        <f t="shared" si="94"/>
        <v>128</v>
      </c>
      <c r="V159" s="763">
        <f t="shared" si="94"/>
        <v>119.25</v>
      </c>
      <c r="W159" s="763">
        <f t="shared" si="94"/>
        <v>110.5</v>
      </c>
      <c r="X159" s="763">
        <f t="shared" si="94"/>
        <v>101.75</v>
      </c>
      <c r="Y159" s="763">
        <f t="shared" si="94"/>
        <v>89.25</v>
      </c>
      <c r="Z159" s="763">
        <f t="shared" si="94"/>
        <v>76.75</v>
      </c>
      <c r="AA159" s="763">
        <f t="shared" si="94"/>
        <v>64.25</v>
      </c>
      <c r="AB159" s="763">
        <f t="shared" si="94"/>
        <v>51.75</v>
      </c>
      <c r="AC159" s="754"/>
      <c r="AD159" s="762">
        <f>H159</f>
        <v>12</v>
      </c>
      <c r="AE159" s="762">
        <f>L159</f>
        <v>87</v>
      </c>
      <c r="AF159" s="761">
        <f>P159</f>
        <v>114</v>
      </c>
      <c r="AG159" s="754">
        <f>T159</f>
        <v>136.75</v>
      </c>
      <c r="AH159" s="754">
        <f>X159</f>
        <v>101.75</v>
      </c>
      <c r="AI159" s="760">
        <f>AB159</f>
        <v>51.75</v>
      </c>
      <c r="AJ159" s="742"/>
    </row>
    <row r="160" spans="2:38" ht="14.45" customHeight="1" x14ac:dyDescent="0.2">
      <c r="B160" s="759" t="s">
        <v>937</v>
      </c>
      <c r="C160" s="758"/>
      <c r="E160" s="755" t="str">
        <f>IFERROR(E144/E155,"n/a")</f>
        <v>n/a</v>
      </c>
      <c r="F160" s="755">
        <f>IFERROR(F144/F155,"n/a")</f>
        <v>3.5880000000000001</v>
      </c>
      <c r="G160" s="755">
        <f>IFERROR(G144/G155,"n/a")</f>
        <v>7.9152000000000005</v>
      </c>
      <c r="H160" s="755">
        <f>IFERROR(H144/H155,"n/a")</f>
        <v>1.9080000000000001</v>
      </c>
      <c r="I160" s="755">
        <f t="shared" ref="I160:S160" si="95">I144/I155</f>
        <v>7.1239999999999997</v>
      </c>
      <c r="J160" s="755">
        <f t="shared" si="95"/>
        <v>2.5305234782608692</v>
      </c>
      <c r="K160" s="755">
        <f t="shared" si="95"/>
        <v>9.3255054545454534</v>
      </c>
      <c r="L160" s="755">
        <f t="shared" si="95"/>
        <v>4.0380000000000011</v>
      </c>
      <c r="M160" s="755">
        <f t="shared" si="95"/>
        <v>7.9464342857142842</v>
      </c>
      <c r="N160" s="755">
        <f t="shared" si="95"/>
        <v>11.544499999999999</v>
      </c>
      <c r="O160" s="755">
        <f t="shared" si="95"/>
        <v>3.682851428571428</v>
      </c>
      <c r="P160" s="755">
        <f t="shared" si="95"/>
        <v>15.88378666666666</v>
      </c>
      <c r="Q160" s="755">
        <f t="shared" si="95"/>
        <v>10.8552</v>
      </c>
      <c r="R160" s="755">
        <f t="shared" si="95"/>
        <v>12.830333333333336</v>
      </c>
      <c r="S160" s="757">
        <f t="shared" si="95"/>
        <v>5.8319999999999999</v>
      </c>
      <c r="T160" s="756">
        <v>8</v>
      </c>
      <c r="U160" s="755">
        <f>AH160</f>
        <v>9.5</v>
      </c>
      <c r="V160" s="755">
        <f>U160</f>
        <v>9.5</v>
      </c>
      <c r="W160" s="755">
        <f>V160</f>
        <v>9.5</v>
      </c>
      <c r="X160" s="755">
        <f>W160</f>
        <v>9.5</v>
      </c>
      <c r="Y160" s="755">
        <f>AI160</f>
        <v>10</v>
      </c>
      <c r="Z160" s="755">
        <f t="shared" ref="Z160:AB161" si="96">Y160</f>
        <v>10</v>
      </c>
      <c r="AA160" s="755">
        <f t="shared" si="96"/>
        <v>10</v>
      </c>
      <c r="AB160" s="755">
        <f t="shared" si="96"/>
        <v>10</v>
      </c>
      <c r="AC160" s="754"/>
      <c r="AD160" s="753">
        <f>AD144/AD155</f>
        <v>5.0796000000000001</v>
      </c>
      <c r="AE160" s="753">
        <f>AE144/AE155</f>
        <v>5.7111848780487806</v>
      </c>
      <c r="AF160" s="752">
        <f>AF144/AF155</f>
        <v>9.9647171428571415</v>
      </c>
      <c r="AG160" s="752">
        <f>AG144/AG155</f>
        <v>9.2498780487804879</v>
      </c>
      <c r="AH160" s="751">
        <v>9.5</v>
      </c>
      <c r="AI160" s="751">
        <v>10</v>
      </c>
      <c r="AJ160" s="742"/>
      <c r="AK160" s="736"/>
      <c r="AL160" s="736"/>
    </row>
    <row r="161" spans="2:36" ht="14.45" customHeight="1" x14ac:dyDescent="0.2">
      <c r="B161" s="750" t="s">
        <v>942</v>
      </c>
      <c r="C161" s="749"/>
      <c r="D161" s="748"/>
      <c r="E161" s="745">
        <f t="shared" ref="E161:S161" si="97">E145/E149</f>
        <v>0</v>
      </c>
      <c r="F161" s="745">
        <f t="shared" si="97"/>
        <v>0</v>
      </c>
      <c r="G161" s="745">
        <f t="shared" si="97"/>
        <v>0.25125628140703521</v>
      </c>
      <c r="H161" s="745">
        <f t="shared" si="97"/>
        <v>0</v>
      </c>
      <c r="I161" s="745">
        <f t="shared" si="97"/>
        <v>8.2798592423928799E-2</v>
      </c>
      <c r="J161" s="745">
        <f t="shared" si="97"/>
        <v>5.9747439844191737E-2</v>
      </c>
      <c r="K161" s="745">
        <f t="shared" si="97"/>
        <v>0.13457335561260622</v>
      </c>
      <c r="L161" s="745">
        <f t="shared" si="97"/>
        <v>0.13097771155775839</v>
      </c>
      <c r="M161" s="745">
        <f t="shared" si="97"/>
        <v>0.1074341875261864</v>
      </c>
      <c r="N161" s="745">
        <f t="shared" si="97"/>
        <v>3.5975614261293393E-2</v>
      </c>
      <c r="O161" s="745">
        <f t="shared" si="97"/>
        <v>7.7831262413534857E-2</v>
      </c>
      <c r="P161" s="745">
        <f t="shared" si="97"/>
        <v>3.6586807973646565E-2</v>
      </c>
      <c r="Q161" s="745">
        <f t="shared" si="97"/>
        <v>6.7644982407103704E-2</v>
      </c>
      <c r="R161" s="745">
        <f t="shared" si="97"/>
        <v>8.1628365519424789E-2</v>
      </c>
      <c r="S161" s="744">
        <f t="shared" si="97"/>
        <v>9.3655026056554694E-2</v>
      </c>
      <c r="T161" s="747">
        <v>0.10299999999999999</v>
      </c>
      <c r="U161" s="745">
        <v>0.05</v>
      </c>
      <c r="V161" s="745">
        <v>0.05</v>
      </c>
      <c r="W161" s="745">
        <f>V161</f>
        <v>0.05</v>
      </c>
      <c r="X161" s="745">
        <f>W161</f>
        <v>0.05</v>
      </c>
      <c r="Y161" s="745">
        <v>0</v>
      </c>
      <c r="Z161" s="745">
        <f t="shared" si="96"/>
        <v>0</v>
      </c>
      <c r="AA161" s="745">
        <f t="shared" si="96"/>
        <v>0</v>
      </c>
      <c r="AB161" s="745">
        <f t="shared" si="96"/>
        <v>0</v>
      </c>
      <c r="AC161" s="746"/>
      <c r="AD161" s="745">
        <f>AD145/AD149</f>
        <v>0.16750418760469016</v>
      </c>
      <c r="AE161" s="745">
        <f>AE145/AE149</f>
        <v>1.9983440281515217</v>
      </c>
      <c r="AF161" s="744">
        <f>AF145/AF149</f>
        <v>0.33084911649377363</v>
      </c>
      <c r="AG161" s="744">
        <f>AG145/AG149</f>
        <v>0.41157290637324734</v>
      </c>
      <c r="AH161" s="743">
        <v>0.35</v>
      </c>
      <c r="AI161" s="743">
        <v>0.33</v>
      </c>
      <c r="AJ161" s="742"/>
    </row>
    <row r="162" spans="2:36" s="736" customFormat="1" ht="14.45" customHeight="1" x14ac:dyDescent="0.2">
      <c r="B162" s="741"/>
      <c r="C162" s="741"/>
      <c r="E162" s="740"/>
      <c r="F162" s="739"/>
      <c r="G162" s="739"/>
      <c r="H162" s="739"/>
      <c r="I162" s="739"/>
      <c r="J162" s="739"/>
      <c r="K162" s="739"/>
      <c r="L162" s="739"/>
      <c r="M162" s="739"/>
      <c r="N162" s="739"/>
      <c r="O162" s="739"/>
      <c r="P162" s="739"/>
      <c r="Q162" s="739"/>
      <c r="R162" s="738"/>
      <c r="S162" s="738"/>
      <c r="T162" s="738"/>
      <c r="U162" s="739"/>
      <c r="V162" s="738"/>
      <c r="W162" s="738"/>
      <c r="X162" s="738"/>
      <c r="Y162" s="739"/>
      <c r="Z162" s="738"/>
      <c r="AA162" s="738"/>
      <c r="AB162" s="738"/>
      <c r="AD162" s="737"/>
      <c r="AE162" s="737"/>
      <c r="AF162" s="737"/>
      <c r="AG162" s="737"/>
      <c r="AH162" s="737"/>
      <c r="AI162" s="737"/>
    </row>
    <row r="164" spans="2:36" x14ac:dyDescent="0.2">
      <c r="E164" s="735"/>
      <c r="F164" s="735"/>
      <c r="G164" s="735"/>
      <c r="H164" s="735"/>
      <c r="I164" s="735"/>
      <c r="J164" s="735"/>
      <c r="K164" s="735"/>
      <c r="L164" s="735"/>
      <c r="M164" s="735"/>
      <c r="N164" s="735"/>
      <c r="O164" s="735"/>
      <c r="P164" s="735"/>
      <c r="Q164" s="735"/>
      <c r="R164" s="735"/>
    </row>
    <row r="165" spans="2:36" x14ac:dyDescent="0.2">
      <c r="G165" s="734"/>
      <c r="K165" s="734"/>
    </row>
    <row r="166" spans="2:36" x14ac:dyDescent="0.2">
      <c r="G166" s="734"/>
      <c r="K166" s="734"/>
    </row>
    <row r="167" spans="2:36" x14ac:dyDescent="0.2">
      <c r="G167" s="734"/>
      <c r="K167" s="734"/>
    </row>
  </sheetData>
  <pageMargins left="0.7" right="0.7" top="0.75" bottom="0.75" header="0.3" footer="0.3"/>
  <pageSetup scale="30"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D1E0D-8A9C-493F-932A-DD504777D999}">
  <sheetPr>
    <tabColor theme="8" tint="0.79998168889431442"/>
    <pageSetUpPr fitToPage="1"/>
  </sheetPr>
  <dimension ref="A1:AK140"/>
  <sheetViews>
    <sheetView showGridLines="0" zoomScale="70" zoomScaleNormal="70" zoomScaleSheetLayoutView="85" workbookViewId="0">
      <pane xSplit="3" ySplit="8" topLeftCell="Q27" activePane="bottomRight" state="frozenSplit"/>
      <selection activeCell="R36" sqref="R36"/>
      <selection pane="topRight" activeCell="R36" sqref="R36"/>
      <selection pane="bottomLeft" activeCell="R36" sqref="R36"/>
      <selection pane="bottomRight" activeCell="X55" sqref="X55"/>
    </sheetView>
  </sheetViews>
  <sheetFormatPr defaultColWidth="8" defaultRowHeight="12.75" outlineLevelCol="1" x14ac:dyDescent="0.2"/>
  <cols>
    <col min="1" max="1" width="1.5703125" style="978" customWidth="1"/>
    <col min="2" max="2" width="43.85546875" style="978" customWidth="1"/>
    <col min="3" max="3" width="1.5703125" style="978" customWidth="1"/>
    <col min="4" max="27" width="9.85546875" style="978" customWidth="1" outlineLevel="1"/>
    <col min="28" max="28" width="2.5703125" style="978" customWidth="1"/>
    <col min="29" max="34" width="10.7109375" style="978" customWidth="1"/>
    <col min="35" max="35" width="1.5703125" style="978" customWidth="1"/>
    <col min="36" max="16384" width="8" style="978"/>
  </cols>
  <sheetData>
    <row r="1" spans="1:35" s="572" customFormat="1" ht="12" customHeight="1" x14ac:dyDescent="0.2">
      <c r="A1" s="733"/>
      <c r="T1" s="979"/>
      <c r="U1" s="979"/>
      <c r="V1" s="979"/>
      <c r="W1" s="979"/>
    </row>
    <row r="2" spans="1:35" s="566" customFormat="1" ht="12" customHeight="1" thickBot="1" x14ac:dyDescent="0.3">
      <c r="A2" s="815"/>
      <c r="B2" s="571" t="s">
        <v>806</v>
      </c>
      <c r="C2" s="731"/>
      <c r="D2" s="731"/>
      <c r="E2" s="731"/>
      <c r="F2" s="731"/>
      <c r="G2" s="731"/>
      <c r="H2" s="731"/>
      <c r="I2" s="731"/>
      <c r="J2" s="731"/>
      <c r="K2" s="731"/>
      <c r="L2" s="731"/>
      <c r="M2" s="731"/>
      <c r="N2" s="731"/>
      <c r="O2" s="731"/>
      <c r="P2" s="731"/>
      <c r="Q2" s="731"/>
      <c r="R2" s="1050"/>
      <c r="S2" s="731"/>
      <c r="T2" s="1049"/>
      <c r="U2" s="1049"/>
      <c r="V2" s="1049"/>
      <c r="W2" s="1049"/>
      <c r="X2" s="731"/>
      <c r="Y2" s="731"/>
      <c r="Z2" s="731"/>
      <c r="AA2" s="731"/>
      <c r="AB2" s="731"/>
      <c r="AC2" s="731"/>
      <c r="AD2" s="731"/>
      <c r="AE2" s="731"/>
      <c r="AF2" s="731"/>
      <c r="AG2" s="731"/>
      <c r="AH2" s="731"/>
      <c r="AI2" s="731"/>
    </row>
    <row r="3" spans="1:35" s="566" customFormat="1" ht="12" customHeight="1" x14ac:dyDescent="0.2">
      <c r="A3" s="815"/>
      <c r="B3" s="568" t="s">
        <v>1078</v>
      </c>
      <c r="R3" s="720"/>
      <c r="T3" s="1048"/>
      <c r="U3" s="1048"/>
      <c r="V3" s="1048"/>
      <c r="W3" s="1048"/>
    </row>
    <row r="4" spans="1:35" s="566" customFormat="1" ht="12" customHeight="1" x14ac:dyDescent="0.2">
      <c r="A4" s="815"/>
      <c r="B4" s="568" t="s">
        <v>987</v>
      </c>
      <c r="R4" s="720"/>
    </row>
    <row r="5" spans="1:35" s="566" customFormat="1" ht="12" customHeight="1" x14ac:dyDescent="0.2">
      <c r="A5" s="815"/>
      <c r="B5" s="568" t="s">
        <v>983</v>
      </c>
      <c r="R5" s="720"/>
    </row>
    <row r="6" spans="1:35" s="988" customFormat="1" ht="12.75" customHeight="1" x14ac:dyDescent="0.2">
      <c r="A6" s="733"/>
      <c r="N6" s="1545">
        <f t="shared" ref="N6:U6" si="0">+N31/J31-1</f>
        <v>0.77703699720852404</v>
      </c>
      <c r="O6" s="1545">
        <f t="shared" si="0"/>
        <v>0.80523726874983415</v>
      </c>
      <c r="P6" s="1545">
        <f t="shared" si="0"/>
        <v>0.83475437951051212</v>
      </c>
      <c r="Q6" s="1545">
        <f t="shared" si="0"/>
        <v>0.86906527186791305</v>
      </c>
      <c r="R6" s="1545">
        <f t="shared" si="0"/>
        <v>0.84323134401053967</v>
      </c>
      <c r="S6" s="1545">
        <f t="shared" si="0"/>
        <v>0.88536835789974777</v>
      </c>
      <c r="T6" s="1545">
        <f t="shared" si="0"/>
        <v>0.70092210043502501</v>
      </c>
      <c r="U6" s="1545">
        <f t="shared" si="0"/>
        <v>0.56399876284611494</v>
      </c>
    </row>
    <row r="7" spans="1:35" ht="15" x14ac:dyDescent="0.35">
      <c r="D7" s="638" t="s">
        <v>1005</v>
      </c>
      <c r="E7" s="638"/>
      <c r="F7" s="638"/>
      <c r="G7" s="638"/>
      <c r="H7" s="638" t="s">
        <v>1004</v>
      </c>
      <c r="I7" s="638"/>
      <c r="J7" s="638"/>
      <c r="K7" s="638"/>
      <c r="L7" s="638" t="s">
        <v>1003</v>
      </c>
      <c r="M7" s="638"/>
      <c r="N7" s="638"/>
      <c r="O7" s="638"/>
      <c r="P7" s="638" t="s">
        <v>1002</v>
      </c>
      <c r="Q7" s="638"/>
      <c r="R7" s="638"/>
      <c r="S7" s="638"/>
      <c r="T7" s="638" t="s">
        <v>1001</v>
      </c>
      <c r="U7" s="638"/>
      <c r="V7" s="638"/>
      <c r="W7" s="638"/>
      <c r="X7" s="638" t="s">
        <v>1000</v>
      </c>
      <c r="Y7" s="638"/>
      <c r="Z7" s="638"/>
      <c r="AA7" s="638"/>
      <c r="AC7" s="638" t="s">
        <v>983</v>
      </c>
      <c r="AD7" s="638"/>
      <c r="AE7" s="638"/>
      <c r="AF7" s="638"/>
      <c r="AG7" s="638"/>
      <c r="AH7" s="638"/>
    </row>
    <row r="8" spans="1:35" ht="15" x14ac:dyDescent="0.2">
      <c r="D8" s="726" t="s">
        <v>996</v>
      </c>
      <c r="E8" s="726" t="s">
        <v>995</v>
      </c>
      <c r="F8" s="726" t="s">
        <v>997</v>
      </c>
      <c r="G8" s="726" t="s">
        <v>998</v>
      </c>
      <c r="H8" s="726" t="s">
        <v>996</v>
      </c>
      <c r="I8" s="726" t="s">
        <v>995</v>
      </c>
      <c r="J8" s="726" t="s">
        <v>997</v>
      </c>
      <c r="K8" s="726" t="s">
        <v>998</v>
      </c>
      <c r="L8" s="726" t="s">
        <v>996</v>
      </c>
      <c r="M8" s="726" t="s">
        <v>995</v>
      </c>
      <c r="N8" s="727" t="s">
        <v>997</v>
      </c>
      <c r="O8" s="726" t="s">
        <v>998</v>
      </c>
      <c r="P8" s="726" t="s">
        <v>996</v>
      </c>
      <c r="Q8" s="726" t="s">
        <v>995</v>
      </c>
      <c r="R8" s="1047" t="s">
        <v>997</v>
      </c>
      <c r="S8" s="1047" t="s">
        <v>993</v>
      </c>
      <c r="T8" s="726" t="s">
        <v>1058</v>
      </c>
      <c r="U8" s="726" t="s">
        <v>1057</v>
      </c>
      <c r="V8" s="727" t="s">
        <v>994</v>
      </c>
      <c r="W8" s="726" t="s">
        <v>993</v>
      </c>
      <c r="X8" s="726" t="s">
        <v>1058</v>
      </c>
      <c r="Y8" s="726" t="s">
        <v>1057</v>
      </c>
      <c r="Z8" s="727" t="s">
        <v>994</v>
      </c>
      <c r="AA8" s="726" t="s">
        <v>993</v>
      </c>
      <c r="AC8" s="636" t="s">
        <v>982</v>
      </c>
      <c r="AD8" s="636" t="s">
        <v>981</v>
      </c>
      <c r="AE8" s="636" t="s">
        <v>980</v>
      </c>
      <c r="AF8" s="636" t="s">
        <v>979</v>
      </c>
      <c r="AG8" s="636" t="s">
        <v>978</v>
      </c>
      <c r="AH8" s="636" t="s">
        <v>977</v>
      </c>
    </row>
    <row r="9" spans="1:35" s="566" customFormat="1" ht="5.0999999999999996" customHeight="1" x14ac:dyDescent="0.2">
      <c r="A9" s="815"/>
      <c r="O9" s="720"/>
      <c r="R9" s="720"/>
    </row>
    <row r="10" spans="1:35" s="566" customFormat="1" ht="12.75" customHeight="1" x14ac:dyDescent="0.2">
      <c r="A10" s="815" t="s">
        <v>1018</v>
      </c>
      <c r="B10" s="814" t="s">
        <v>1077</v>
      </c>
      <c r="C10" s="812"/>
      <c r="D10" s="812"/>
      <c r="E10" s="812"/>
      <c r="F10" s="812"/>
      <c r="G10" s="812"/>
      <c r="H10" s="812"/>
      <c r="I10" s="812"/>
      <c r="J10" s="812"/>
      <c r="K10" s="812"/>
      <c r="L10" s="812"/>
      <c r="M10" s="812"/>
      <c r="N10" s="812"/>
      <c r="O10" s="812"/>
      <c r="P10" s="812"/>
      <c r="Q10" s="812"/>
      <c r="R10" s="813"/>
      <c r="S10" s="812"/>
      <c r="T10" s="812"/>
      <c r="U10" s="812"/>
      <c r="V10" s="812"/>
      <c r="W10" s="812"/>
      <c r="X10" s="812"/>
      <c r="Y10" s="812"/>
      <c r="Z10" s="812"/>
      <c r="AA10" s="812"/>
      <c r="AB10" s="812"/>
      <c r="AC10" s="812"/>
      <c r="AD10" s="812"/>
      <c r="AE10" s="812"/>
      <c r="AF10" s="812"/>
      <c r="AG10" s="812"/>
      <c r="AH10" s="812"/>
    </row>
    <row r="11" spans="1:35" s="566" customFormat="1" ht="12.75" customHeight="1" x14ac:dyDescent="0.2">
      <c r="A11" s="815"/>
      <c r="H11" s="644"/>
      <c r="I11" s="644"/>
      <c r="J11" s="644"/>
      <c r="K11" s="644"/>
      <c r="L11" s="644"/>
      <c r="M11" s="644"/>
      <c r="N11" s="644"/>
      <c r="O11" s="1046"/>
      <c r="P11" s="644"/>
      <c r="Q11" s="644"/>
      <c r="R11" s="1046"/>
      <c r="S11" s="644"/>
      <c r="T11" s="644"/>
      <c r="U11" s="644"/>
      <c r="V11" s="644"/>
      <c r="W11" s="644"/>
      <c r="X11" s="644"/>
      <c r="Y11" s="644"/>
      <c r="Z11" s="644"/>
      <c r="AA11" s="644"/>
      <c r="AB11" s="644"/>
      <c r="AC11" s="644"/>
      <c r="AD11" s="644"/>
      <c r="AE11" s="644"/>
      <c r="AF11" s="644"/>
      <c r="AG11" s="644"/>
      <c r="AH11" s="644"/>
    </row>
    <row r="12" spans="1:35" ht="12.75" customHeight="1" x14ac:dyDescent="0.2">
      <c r="A12" s="862"/>
      <c r="B12" s="1045" t="s">
        <v>31</v>
      </c>
      <c r="C12" s="1044"/>
      <c r="D12" s="1044"/>
      <c r="E12" s="1044"/>
      <c r="F12" s="1044"/>
      <c r="G12" s="1044"/>
      <c r="H12" s="987"/>
      <c r="I12" s="987"/>
      <c r="J12" s="987"/>
      <c r="K12" s="987"/>
      <c r="L12" s="987"/>
      <c r="M12" s="987"/>
      <c r="N12" s="987"/>
      <c r="O12" s="987"/>
      <c r="P12" s="987"/>
      <c r="Q12" s="987"/>
      <c r="R12" s="986"/>
      <c r="S12" s="987"/>
      <c r="T12" s="987"/>
      <c r="U12" s="987"/>
      <c r="V12" s="987"/>
      <c r="W12" s="987"/>
      <c r="X12" s="987"/>
      <c r="Y12" s="987"/>
      <c r="Z12" s="987"/>
      <c r="AA12" s="987"/>
      <c r="AB12" s="987"/>
      <c r="AC12" s="987"/>
      <c r="AD12" s="987"/>
      <c r="AE12" s="986"/>
      <c r="AF12" s="987"/>
      <c r="AG12" s="987"/>
      <c r="AH12" s="986"/>
    </row>
    <row r="13" spans="1:35" ht="12.75" customHeight="1" x14ac:dyDescent="0.2">
      <c r="B13" s="1024" t="s">
        <v>1038</v>
      </c>
      <c r="D13" s="1546">
        <f t="shared" ref="D13:AA13" si="1">D55</f>
        <v>83.783779999999965</v>
      </c>
      <c r="E13" s="1546">
        <f t="shared" si="1"/>
        <v>176.8705699999999</v>
      </c>
      <c r="F13" s="1546">
        <f t="shared" si="1"/>
        <v>234.03129000000004</v>
      </c>
      <c r="G13" s="1546">
        <f t="shared" si="1"/>
        <v>312.64349000000021</v>
      </c>
      <c r="H13" s="1546">
        <f t="shared" si="1"/>
        <v>557.28596999999991</v>
      </c>
      <c r="I13" s="1546">
        <f t="shared" si="1"/>
        <v>760.03988999999967</v>
      </c>
      <c r="J13" s="1546">
        <f t="shared" si="1"/>
        <v>742.36001999999917</v>
      </c>
      <c r="K13" s="1546">
        <f t="shared" si="1"/>
        <v>839.28493999999966</v>
      </c>
      <c r="L13" s="1546">
        <f t="shared" si="1"/>
        <v>1016.0387499999993</v>
      </c>
      <c r="M13" s="1546">
        <f t="shared" si="1"/>
        <v>1102.1872199999996</v>
      </c>
      <c r="N13" s="1546">
        <f t="shared" si="1"/>
        <v>1272.1659800000004</v>
      </c>
      <c r="O13" s="1546">
        <f t="shared" si="1"/>
        <v>1584.5590499999994</v>
      </c>
      <c r="P13" s="1546">
        <f t="shared" si="1"/>
        <v>1802.2549200000028</v>
      </c>
      <c r="Q13" s="1546">
        <f t="shared" si="1"/>
        <v>1992.0349300000007</v>
      </c>
      <c r="R13" s="1547">
        <f t="shared" si="1"/>
        <v>2257.1210599999977</v>
      </c>
      <c r="S13" s="1546">
        <f t="shared" si="1"/>
        <v>2816.9469115255006</v>
      </c>
      <c r="T13" s="1546">
        <f t="shared" si="1"/>
        <v>3136.9027563793934</v>
      </c>
      <c r="U13" s="1546">
        <f t="shared" si="1"/>
        <v>3385.7353528526719</v>
      </c>
      <c r="V13" s="1546">
        <f t="shared" si="1"/>
        <v>3648.4745902025152</v>
      </c>
      <c r="W13" s="1546">
        <f t="shared" si="1"/>
        <v>3930.3794508596029</v>
      </c>
      <c r="X13" s="1546">
        <f t="shared" si="1"/>
        <v>4183.0678097781292</v>
      </c>
      <c r="Y13" s="1546">
        <f t="shared" si="1"/>
        <v>4402.5037706475832</v>
      </c>
      <c r="Z13" s="1546">
        <f t="shared" si="1"/>
        <v>4642.3979742887723</v>
      </c>
      <c r="AA13" s="1546">
        <f t="shared" si="1"/>
        <v>4913.5286267709907</v>
      </c>
      <c r="AB13" s="1012"/>
      <c r="AC13" s="1548">
        <f>SUM(D13:G13)</f>
        <v>807.32913000000008</v>
      </c>
      <c r="AD13" s="1546">
        <f>SUM(H13:K13)</f>
        <v>2898.9708199999982</v>
      </c>
      <c r="AE13" s="1547">
        <f>SUM(L13:O13)</f>
        <v>4974.9509999999991</v>
      </c>
      <c r="AF13" s="1546">
        <f>SUM(P13:S13)</f>
        <v>8868.357821525502</v>
      </c>
      <c r="AG13" s="1546">
        <f>SUM(T13:W13)</f>
        <v>14101.492150294183</v>
      </c>
      <c r="AH13" s="1547">
        <f>SUM(X13:AA13)</f>
        <v>18141.498181485476</v>
      </c>
    </row>
    <row r="14" spans="1:35" ht="12.75" customHeight="1" x14ac:dyDescent="0.2">
      <c r="B14" s="1024" t="s">
        <v>1036</v>
      </c>
      <c r="D14" s="1546">
        <f t="shared" ref="D14:AA14" si="2">D113</f>
        <v>0</v>
      </c>
      <c r="E14" s="1546">
        <f t="shared" si="2"/>
        <v>0</v>
      </c>
      <c r="F14" s="1546">
        <f t="shared" si="2"/>
        <v>0.10972</v>
      </c>
      <c r="G14" s="1546">
        <f t="shared" si="2"/>
        <v>0.29985000000000001</v>
      </c>
      <c r="H14" s="1546">
        <f t="shared" si="2"/>
        <v>0.46143000000000006</v>
      </c>
      <c r="I14" s="1546">
        <f t="shared" si="2"/>
        <v>11.35961</v>
      </c>
      <c r="J14" s="1546">
        <f t="shared" si="2"/>
        <v>17.400650000000002</v>
      </c>
      <c r="K14" s="1546">
        <f t="shared" si="2"/>
        <v>33.865599999999993</v>
      </c>
      <c r="L14" s="1546">
        <f t="shared" si="2"/>
        <v>46.3643</v>
      </c>
      <c r="M14" s="1546">
        <f t="shared" si="2"/>
        <v>43.17445</v>
      </c>
      <c r="N14" s="1546">
        <f t="shared" si="2"/>
        <v>69.704669999999993</v>
      </c>
      <c r="O14" s="1546">
        <f t="shared" si="2"/>
        <v>151.48852999999997</v>
      </c>
      <c r="P14" s="1546">
        <f t="shared" si="2"/>
        <v>143.30967999999999</v>
      </c>
      <c r="Q14" s="1546">
        <f t="shared" si="2"/>
        <v>175.98322000000002</v>
      </c>
      <c r="R14" s="1547">
        <f t="shared" si="2"/>
        <v>233.37579999999997</v>
      </c>
      <c r="S14" s="1546">
        <f t="shared" si="2"/>
        <v>375.87880014374991</v>
      </c>
      <c r="T14" s="1546">
        <f t="shared" si="2"/>
        <v>459.13447632206248</v>
      </c>
      <c r="U14" s="1546">
        <f t="shared" si="2"/>
        <v>480.38290031483194</v>
      </c>
      <c r="V14" s="1546">
        <f t="shared" si="2"/>
        <v>508.06762684056821</v>
      </c>
      <c r="W14" s="1546">
        <f t="shared" si="2"/>
        <v>542.58251774659868</v>
      </c>
      <c r="X14" s="1546">
        <f t="shared" si="2"/>
        <v>569.9319804875006</v>
      </c>
      <c r="Y14" s="1546">
        <f t="shared" si="2"/>
        <v>588.12962790834274</v>
      </c>
      <c r="Z14" s="1546">
        <f t="shared" si="2"/>
        <v>608.06798323854628</v>
      </c>
      <c r="AA14" s="1546">
        <f t="shared" si="2"/>
        <v>629.78172686149367</v>
      </c>
      <c r="AB14" s="1012"/>
      <c r="AC14" s="1548">
        <f>SUM(D14:G14)</f>
        <v>0.40956999999999999</v>
      </c>
      <c r="AD14" s="1546">
        <f>SUM(H14:K14)</f>
        <v>63.087289999999996</v>
      </c>
      <c r="AE14" s="1547">
        <f>SUM(L14:O14)</f>
        <v>310.73194999999998</v>
      </c>
      <c r="AF14" s="1546">
        <f>SUM(P14:S14)</f>
        <v>928.54750014374986</v>
      </c>
      <c r="AG14" s="1546">
        <f>SUM(T14:W14)</f>
        <v>1990.1675212240611</v>
      </c>
      <c r="AH14" s="1547">
        <f>SUM(X14:AA14)</f>
        <v>2395.9113184958833</v>
      </c>
    </row>
    <row r="15" spans="1:35" s="1000" customFormat="1" ht="15" customHeight="1" x14ac:dyDescent="0.2">
      <c r="B15" s="1022" t="s">
        <v>1016</v>
      </c>
      <c r="D15" s="1546">
        <f t="shared" ref="D15:AA15" si="3">D132</f>
        <v>1.5504100000000001</v>
      </c>
      <c r="E15" s="1546">
        <f t="shared" si="3"/>
        <v>1.2281199999999999</v>
      </c>
      <c r="F15" s="1546">
        <f t="shared" si="3"/>
        <v>6.8387500000000001</v>
      </c>
      <c r="G15" s="1546">
        <f t="shared" si="3"/>
        <v>20.572569999999999</v>
      </c>
      <c r="H15" s="1546">
        <f t="shared" si="3"/>
        <v>47.649799999999999</v>
      </c>
      <c r="I15" s="1546">
        <f t="shared" si="3"/>
        <v>57.83799999999998</v>
      </c>
      <c r="J15" s="1546">
        <f t="shared" si="3"/>
        <v>138.56028000000003</v>
      </c>
      <c r="K15" s="1546">
        <f t="shared" si="3"/>
        <v>141.56274000000005</v>
      </c>
      <c r="L15" s="1546">
        <f t="shared" si="3"/>
        <v>163.96729000000005</v>
      </c>
      <c r="M15" s="1546">
        <f t="shared" si="3"/>
        <v>274.39141999999998</v>
      </c>
      <c r="N15" s="1546">
        <f t="shared" si="3"/>
        <v>302.94562000000008</v>
      </c>
      <c r="O15" s="1546">
        <f t="shared" si="3"/>
        <v>272.34902999999986</v>
      </c>
      <c r="P15" s="1546">
        <f t="shared" si="3"/>
        <v>286.27648999999985</v>
      </c>
      <c r="Q15" s="1546">
        <f t="shared" si="3"/>
        <v>364.58931000000007</v>
      </c>
      <c r="R15" s="1547">
        <f t="shared" si="3"/>
        <v>352.55419000000001</v>
      </c>
      <c r="S15" s="1546">
        <f t="shared" si="3"/>
        <v>429.84481297499997</v>
      </c>
      <c r="T15" s="1546">
        <f t="shared" si="3"/>
        <v>473.50952252437497</v>
      </c>
      <c r="U15" s="1546">
        <f t="shared" si="3"/>
        <v>485.34726058748436</v>
      </c>
      <c r="V15" s="1546">
        <f t="shared" si="3"/>
        <v>497.48094210217147</v>
      </c>
      <c r="W15" s="1546">
        <f t="shared" si="3"/>
        <v>509.91796565472583</v>
      </c>
      <c r="X15" s="1546">
        <f t="shared" si="3"/>
        <v>509.76058356656085</v>
      </c>
      <c r="Y15" s="1546">
        <f t="shared" si="3"/>
        <v>497.01656897739679</v>
      </c>
      <c r="Z15" s="1546">
        <f t="shared" si="3"/>
        <v>484.59115475296187</v>
      </c>
      <c r="AA15" s="1546">
        <f t="shared" si="3"/>
        <v>472.47637588413778</v>
      </c>
      <c r="AB15" s="1012"/>
      <c r="AC15" s="1548">
        <f>SUM(D15:G15)</f>
        <v>30.18985</v>
      </c>
      <c r="AD15" s="1546">
        <f>SUM(H15:K15)</f>
        <v>385.6108200000001</v>
      </c>
      <c r="AE15" s="1547">
        <f>SUM(L15:O15)</f>
        <v>1013.65336</v>
      </c>
      <c r="AF15" s="1546">
        <f>SUM(P15:S15)</f>
        <v>1433.2648029749998</v>
      </c>
      <c r="AG15" s="1546">
        <f>SUM(T15:W15)</f>
        <v>1966.2556908687566</v>
      </c>
      <c r="AH15" s="1547">
        <f>SUM(X15:AA15)</f>
        <v>1963.8446831810572</v>
      </c>
    </row>
    <row r="16" spans="1:35" s="1000" customFormat="1" ht="15" customHeight="1" x14ac:dyDescent="0.35">
      <c r="B16" s="1022" t="s">
        <v>1076</v>
      </c>
      <c r="D16" s="1025">
        <f t="shared" ref="D16:AA16" si="4">D140</f>
        <v>22.587489999999992</v>
      </c>
      <c r="E16" s="1025">
        <f t="shared" si="4"/>
        <v>47.018440000000062</v>
      </c>
      <c r="F16" s="1025">
        <f t="shared" si="4"/>
        <v>71.545659999999941</v>
      </c>
      <c r="G16" s="1025">
        <f t="shared" si="4"/>
        <v>15.502899999999965</v>
      </c>
      <c r="H16" s="1025">
        <f t="shared" si="4"/>
        <v>101.5801399999999</v>
      </c>
      <c r="I16" s="1025">
        <f t="shared" si="4"/>
        <v>9.1924499999999529</v>
      </c>
      <c r="J16" s="1025">
        <f t="shared" si="4"/>
        <v>14.45969000000041</v>
      </c>
      <c r="K16" s="1025">
        <f t="shared" si="4"/>
        <v>-4.0670099999991942</v>
      </c>
      <c r="L16" s="1025">
        <f t="shared" si="4"/>
        <v>153.73129000000026</v>
      </c>
      <c r="M16" s="1025">
        <f t="shared" si="4"/>
        <v>137.16494999999995</v>
      </c>
      <c r="N16" s="1025">
        <f t="shared" si="4"/>
        <v>28.643910000000147</v>
      </c>
      <c r="O16" s="1025">
        <f t="shared" si="4"/>
        <v>51.802050000000747</v>
      </c>
      <c r="P16" s="1025">
        <f t="shared" si="4"/>
        <v>118.08491999999713</v>
      </c>
      <c r="Q16" s="1025">
        <f t="shared" si="4"/>
        <v>88.155430000000635</v>
      </c>
      <c r="R16" s="1153">
        <f t="shared" si="4"/>
        <v>-2.5636899999976159</v>
      </c>
      <c r="S16" s="1025">
        <f t="shared" si="4"/>
        <v>0</v>
      </c>
      <c r="T16" s="1025">
        <f t="shared" si="4"/>
        <v>0</v>
      </c>
      <c r="U16" s="1025">
        <f t="shared" si="4"/>
        <v>0</v>
      </c>
      <c r="V16" s="1025">
        <f t="shared" si="4"/>
        <v>0</v>
      </c>
      <c r="W16" s="1025">
        <f t="shared" si="4"/>
        <v>0</v>
      </c>
      <c r="X16" s="1025">
        <f t="shared" si="4"/>
        <v>0</v>
      </c>
      <c r="Y16" s="1025">
        <f t="shared" si="4"/>
        <v>0</v>
      </c>
      <c r="Z16" s="1025">
        <f t="shared" si="4"/>
        <v>0</v>
      </c>
      <c r="AA16" s="1025">
        <f t="shared" si="4"/>
        <v>0</v>
      </c>
      <c r="AB16" s="1011"/>
      <c r="AC16" s="1025">
        <f>SUM(D16:G16)</f>
        <v>156.65448999999995</v>
      </c>
      <c r="AD16" s="1025">
        <f>SUM(H16:K16)</f>
        <v>121.16527000000106</v>
      </c>
      <c r="AE16" s="1153">
        <f>SUM(L16:O16)</f>
        <v>371.34220000000113</v>
      </c>
      <c r="AF16" s="1025">
        <f>SUM(P16:S16)</f>
        <v>203.67666000000014</v>
      </c>
      <c r="AG16" s="1025">
        <f>SUM(T16:W16)</f>
        <v>0</v>
      </c>
      <c r="AH16" s="1153">
        <f>SUM(X16:AA16)</f>
        <v>0</v>
      </c>
    </row>
    <row r="17" spans="1:37" ht="12.75" customHeight="1" x14ac:dyDescent="0.2">
      <c r="B17" s="958" t="s">
        <v>954</v>
      </c>
      <c r="C17" s="1043"/>
      <c r="D17" s="1549">
        <f t="shared" ref="D17:AA17" si="5">SUM(D13:D16)</f>
        <v>107.92167999999995</v>
      </c>
      <c r="E17" s="1549">
        <f t="shared" si="5"/>
        <v>225.11712999999995</v>
      </c>
      <c r="F17" s="1549">
        <f t="shared" si="5"/>
        <v>312.52542</v>
      </c>
      <c r="G17" s="1549">
        <f t="shared" si="5"/>
        <v>349.01881000000014</v>
      </c>
      <c r="H17" s="1549">
        <f t="shared" si="5"/>
        <v>706.9773399999998</v>
      </c>
      <c r="I17" s="1549">
        <f t="shared" si="5"/>
        <v>838.42994999999962</v>
      </c>
      <c r="J17" s="1549">
        <f t="shared" si="5"/>
        <v>912.78063999999961</v>
      </c>
      <c r="K17" s="1549">
        <f t="shared" si="5"/>
        <v>1010.6462700000005</v>
      </c>
      <c r="L17" s="1549">
        <f t="shared" si="5"/>
        <v>1380.1016299999994</v>
      </c>
      <c r="M17" s="1549">
        <f t="shared" si="5"/>
        <v>1556.9180399999993</v>
      </c>
      <c r="N17" s="1549">
        <f t="shared" si="5"/>
        <v>1673.4601800000009</v>
      </c>
      <c r="O17" s="1549">
        <f t="shared" si="5"/>
        <v>2060.19866</v>
      </c>
      <c r="P17" s="1549">
        <f t="shared" si="5"/>
        <v>2349.9260099999997</v>
      </c>
      <c r="Q17" s="1549">
        <f t="shared" si="5"/>
        <v>2620.7628900000018</v>
      </c>
      <c r="R17" s="1550">
        <f t="shared" si="5"/>
        <v>2840.4873599999996</v>
      </c>
      <c r="S17" s="1549">
        <f t="shared" si="5"/>
        <v>3622.6705246442502</v>
      </c>
      <c r="T17" s="1549">
        <f t="shared" si="5"/>
        <v>4069.5467552258306</v>
      </c>
      <c r="U17" s="1549">
        <f t="shared" si="5"/>
        <v>4351.465513754988</v>
      </c>
      <c r="V17" s="1549">
        <f t="shared" si="5"/>
        <v>4654.0231591452548</v>
      </c>
      <c r="W17" s="1549">
        <f t="shared" si="5"/>
        <v>4982.8799342609273</v>
      </c>
      <c r="X17" s="1549">
        <f t="shared" si="5"/>
        <v>5262.7603738321905</v>
      </c>
      <c r="Y17" s="1549">
        <f t="shared" si="5"/>
        <v>5487.6499675333225</v>
      </c>
      <c r="Z17" s="1549">
        <f t="shared" si="5"/>
        <v>5735.0571122802803</v>
      </c>
      <c r="AA17" s="1549">
        <f t="shared" si="5"/>
        <v>6015.7867295166225</v>
      </c>
      <c r="AC17" s="1549">
        <f t="shared" ref="AC17:AH17" si="6">SUM(AC13:AC16)</f>
        <v>994.58303999999998</v>
      </c>
      <c r="AD17" s="1549">
        <f t="shared" si="6"/>
        <v>3468.8341999999989</v>
      </c>
      <c r="AE17" s="1550">
        <f t="shared" si="6"/>
        <v>6670.6785100000006</v>
      </c>
      <c r="AF17" s="1549">
        <f t="shared" si="6"/>
        <v>11433.846784644253</v>
      </c>
      <c r="AG17" s="1549">
        <f t="shared" si="6"/>
        <v>18057.915362387001</v>
      </c>
      <c r="AH17" s="1550">
        <f t="shared" si="6"/>
        <v>22501.254183162418</v>
      </c>
    </row>
    <row r="18" spans="1:37" s="988" customFormat="1" ht="12.75" customHeight="1" x14ac:dyDescent="0.2">
      <c r="B18" s="1042" t="s">
        <v>1075</v>
      </c>
      <c r="C18" s="1041"/>
      <c r="D18" s="1041"/>
      <c r="E18" s="1041"/>
      <c r="F18" s="1041"/>
      <c r="G18" s="1041"/>
      <c r="H18" s="1551">
        <f t="shared" ref="H18:AA18" si="7">IFERROR(H17/D17-1,"-")</f>
        <v>5.5508370514617651</v>
      </c>
      <c r="I18" s="1551">
        <f t="shared" si="7"/>
        <v>2.7244164848761168</v>
      </c>
      <c r="J18" s="1551">
        <f t="shared" si="7"/>
        <v>1.9206604697947438</v>
      </c>
      <c r="K18" s="1551">
        <f t="shared" si="7"/>
        <v>1.8956785165819574</v>
      </c>
      <c r="L18" s="1551">
        <f t="shared" si="7"/>
        <v>0.95211579199978291</v>
      </c>
      <c r="M18" s="1551">
        <f t="shared" si="7"/>
        <v>0.85694468571882476</v>
      </c>
      <c r="N18" s="1551">
        <f t="shared" si="7"/>
        <v>0.83336511168773431</v>
      </c>
      <c r="O18" s="1551">
        <f t="shared" si="7"/>
        <v>1.0384962782279885</v>
      </c>
      <c r="P18" s="1551">
        <f t="shared" si="7"/>
        <v>0.70271953812560928</v>
      </c>
      <c r="Q18" s="1551">
        <f t="shared" si="7"/>
        <v>0.68330176840908274</v>
      </c>
      <c r="R18" s="1552">
        <f t="shared" si="7"/>
        <v>0.69737373733027708</v>
      </c>
      <c r="S18" s="1551">
        <f t="shared" si="7"/>
        <v>0.75840834914641198</v>
      </c>
      <c r="T18" s="1551">
        <f t="shared" si="7"/>
        <v>0.73177654866922004</v>
      </c>
      <c r="U18" s="1551">
        <f t="shared" si="7"/>
        <v>0.66038123111358038</v>
      </c>
      <c r="V18" s="1551">
        <f t="shared" si="7"/>
        <v>0.63845938013442005</v>
      </c>
      <c r="W18" s="1551">
        <f t="shared" si="7"/>
        <v>0.37547146514248664</v>
      </c>
      <c r="X18" s="1551">
        <f t="shared" si="7"/>
        <v>0.29320553132215954</v>
      </c>
      <c r="Y18" s="1551">
        <f t="shared" si="7"/>
        <v>0.26110386263819718</v>
      </c>
      <c r="Z18" s="1551">
        <f t="shared" si="7"/>
        <v>0.23227945288814711</v>
      </c>
      <c r="AA18" s="1551">
        <f t="shared" si="7"/>
        <v>0.20729112659402227</v>
      </c>
      <c r="AB18" s="991"/>
      <c r="AC18" s="1040"/>
      <c r="AD18" s="1553">
        <f>IFERROR(AD17/AC17-1,"-")</f>
        <v>2.4877270780728362</v>
      </c>
      <c r="AE18" s="1554">
        <f>IFERROR(AE17/AD17-1,"-")</f>
        <v>0.92303180993776035</v>
      </c>
      <c r="AF18" s="1551">
        <f>IFERROR(AF17/AE17-1,"-")</f>
        <v>0.71404554536750586</v>
      </c>
      <c r="AG18" s="1551">
        <f>IFERROR(AG17/AF17-1,"-")</f>
        <v>0.57933858153836071</v>
      </c>
      <c r="AH18" s="1552">
        <f>IFERROR(AH17/AG17-1,"-")</f>
        <v>0.24606045225078921</v>
      </c>
    </row>
    <row r="19" spans="1:37" ht="12.75" customHeight="1" x14ac:dyDescent="0.2">
      <c r="D19" s="1039"/>
      <c r="E19" s="1039"/>
      <c r="F19" s="1039"/>
      <c r="G19" s="1039"/>
      <c r="H19" s="1039"/>
      <c r="I19" s="1039"/>
      <c r="J19" s="1039"/>
      <c r="K19" s="1039"/>
      <c r="L19" s="1039"/>
      <c r="M19" s="1039"/>
      <c r="T19" s="1039"/>
      <c r="U19" s="1039"/>
      <c r="X19" s="1039"/>
      <c r="Y19" s="1039"/>
      <c r="AC19" s="1038"/>
      <c r="AD19" s="1038"/>
      <c r="AE19" s="1038"/>
      <c r="AF19" s="1000"/>
      <c r="AG19" s="1000"/>
      <c r="AH19" s="1000"/>
    </row>
    <row r="20" spans="1:37" s="566" customFormat="1" ht="12.75" customHeight="1" x14ac:dyDescent="0.2">
      <c r="A20" s="815" t="s">
        <v>1018</v>
      </c>
      <c r="B20" s="814" t="s">
        <v>1074</v>
      </c>
      <c r="C20" s="812"/>
      <c r="D20" s="812"/>
      <c r="E20" s="812"/>
      <c r="F20" s="812"/>
      <c r="G20" s="812"/>
      <c r="H20" s="812"/>
      <c r="I20" s="812"/>
      <c r="J20" s="812"/>
      <c r="K20" s="812"/>
      <c r="L20" s="812"/>
      <c r="M20" s="812"/>
      <c r="N20" s="812"/>
      <c r="O20" s="812"/>
      <c r="P20" s="812"/>
      <c r="Q20" s="812"/>
      <c r="R20" s="813"/>
      <c r="S20" s="812"/>
      <c r="T20" s="812"/>
      <c r="U20" s="812"/>
      <c r="V20" s="812"/>
      <c r="W20" s="812"/>
      <c r="X20" s="812"/>
      <c r="Y20" s="812"/>
      <c r="Z20" s="812"/>
      <c r="AA20" s="812"/>
      <c r="AB20" s="812"/>
      <c r="AC20" s="811"/>
      <c r="AD20" s="811"/>
      <c r="AE20" s="811"/>
      <c r="AF20" s="811"/>
      <c r="AG20" s="811"/>
      <c r="AH20" s="811"/>
    </row>
    <row r="21" spans="1:37" ht="6.75" customHeight="1" x14ac:dyDescent="0.2">
      <c r="AC21" s="1000"/>
      <c r="AD21" s="1000"/>
      <c r="AE21" s="1000"/>
      <c r="AF21" s="1000"/>
      <c r="AG21" s="1000"/>
      <c r="AH21" s="1000"/>
    </row>
    <row r="22" spans="1:37" ht="12.75" customHeight="1" x14ac:dyDescent="0.2">
      <c r="B22" s="806" t="s">
        <v>1073</v>
      </c>
      <c r="C22" s="987"/>
      <c r="D22" s="987"/>
      <c r="E22" s="987"/>
      <c r="F22" s="987"/>
      <c r="G22" s="987"/>
      <c r="H22" s="987"/>
      <c r="I22" s="987"/>
      <c r="J22" s="987"/>
      <c r="K22" s="987"/>
      <c r="L22" s="987"/>
      <c r="M22" s="987"/>
      <c r="N22" s="987"/>
      <c r="O22" s="987"/>
      <c r="P22" s="987"/>
      <c r="Q22" s="987"/>
      <c r="R22" s="986"/>
      <c r="S22" s="987"/>
      <c r="T22" s="987"/>
      <c r="U22" s="987"/>
      <c r="V22" s="987"/>
      <c r="W22" s="987"/>
      <c r="X22" s="987"/>
      <c r="Y22" s="987"/>
      <c r="Z22" s="987"/>
      <c r="AA22" s="987"/>
      <c r="AB22" s="987"/>
      <c r="AC22" s="1017"/>
      <c r="AD22" s="1017"/>
      <c r="AE22" s="1016"/>
      <c r="AF22" s="1017"/>
      <c r="AG22" s="1017"/>
      <c r="AH22" s="1016"/>
    </row>
    <row r="23" spans="1:37" ht="12.75" customHeight="1" x14ac:dyDescent="0.2">
      <c r="A23" s="1004" t="s">
        <v>1018</v>
      </c>
      <c r="B23" s="864" t="s">
        <v>1069</v>
      </c>
      <c r="C23" s="862"/>
      <c r="D23" s="862"/>
      <c r="E23" s="862"/>
      <c r="F23" s="862"/>
      <c r="G23" s="862"/>
      <c r="R23" s="1004"/>
      <c r="AC23" s="1000"/>
      <c r="AD23" s="1000"/>
      <c r="AE23" s="1015"/>
      <c r="AF23" s="1000"/>
      <c r="AG23" s="1000"/>
      <c r="AH23" s="1015"/>
    </row>
    <row r="24" spans="1:37" ht="12.75" customHeight="1" x14ac:dyDescent="0.2">
      <c r="A24" s="1004"/>
      <c r="B24" s="1024" t="s">
        <v>1068</v>
      </c>
      <c r="D24" s="1546">
        <f t="shared" ref="D24:AA24" si="8">SUM(D45,D103,D122)</f>
        <v>394.62203999999957</v>
      </c>
      <c r="E24" s="1546">
        <f t="shared" si="8"/>
        <v>617.80463999999881</v>
      </c>
      <c r="F24" s="1546">
        <f t="shared" si="8"/>
        <v>987.22955999999817</v>
      </c>
      <c r="G24" s="1546">
        <f t="shared" si="8"/>
        <v>1369.3386000000071</v>
      </c>
      <c r="H24" s="1546">
        <f t="shared" si="8"/>
        <v>1686.9246000000203</v>
      </c>
      <c r="I24" s="1546">
        <f t="shared" si="8"/>
        <v>2212.556400000019</v>
      </c>
      <c r="J24" s="1546">
        <f t="shared" si="8"/>
        <v>3277.0201200000183</v>
      </c>
      <c r="K24" s="1546">
        <f t="shared" si="8"/>
        <v>4044.0045600000162</v>
      </c>
      <c r="L24" s="1546">
        <f t="shared" si="8"/>
        <v>4623.2097600000152</v>
      </c>
      <c r="M24" s="1546">
        <f t="shared" si="8"/>
        <v>5390.0430000000133</v>
      </c>
      <c r="N24" s="1546">
        <f t="shared" si="8"/>
        <v>6154.3922800000091</v>
      </c>
      <c r="O24" s="1546">
        <f t="shared" si="8"/>
        <v>7186.3457200000075</v>
      </c>
      <c r="P24" s="1546">
        <f t="shared" si="8"/>
        <v>8345.9905600000038</v>
      </c>
      <c r="Q24" s="1546">
        <f t="shared" si="8"/>
        <v>9889.4050000000043</v>
      </c>
      <c r="R24" s="1547">
        <f t="shared" si="8"/>
        <v>11502.960880000002</v>
      </c>
      <c r="S24" s="1555">
        <f t="shared" si="8"/>
        <v>13246.097680000003</v>
      </c>
      <c r="T24" s="1546">
        <f t="shared" si="8"/>
        <v>15735.266517154003</v>
      </c>
      <c r="U24" s="1546">
        <f t="shared" si="8"/>
        <v>16821.107524652645</v>
      </c>
      <c r="V24" s="1546">
        <f t="shared" si="8"/>
        <v>17990.616585387263</v>
      </c>
      <c r="W24" s="1546">
        <f t="shared" si="8"/>
        <v>19241.568687774776</v>
      </c>
      <c r="X24" s="1546">
        <f t="shared" si="8"/>
        <v>20621.470786312639</v>
      </c>
      <c r="Y24" s="1546">
        <f t="shared" si="8"/>
        <v>21480.612204344889</v>
      </c>
      <c r="Z24" s="1546">
        <f t="shared" si="8"/>
        <v>22420.587535921695</v>
      </c>
      <c r="AA24" s="1546">
        <f t="shared" si="8"/>
        <v>23459.869362320555</v>
      </c>
      <c r="AB24" s="1012"/>
      <c r="AC24" s="1546">
        <f>D24</f>
        <v>394.62203999999957</v>
      </c>
      <c r="AD24" s="1546">
        <f>AC31</f>
        <v>1686.9245999999976</v>
      </c>
      <c r="AE24" s="1547">
        <f>AD31</f>
        <v>4623.2097599999934</v>
      </c>
      <c r="AF24" s="1546">
        <f>AE31</f>
        <v>8345.990559999982</v>
      </c>
      <c r="AG24" s="1546">
        <f>AF31</f>
        <v>15735.266517153981</v>
      </c>
      <c r="AH24" s="1547">
        <f>AG31</f>
        <v>20621.470786312617</v>
      </c>
    </row>
    <row r="25" spans="1:37" ht="12.75" customHeight="1" x14ac:dyDescent="0.2">
      <c r="A25" s="1004"/>
      <c r="B25" s="1010" t="s">
        <v>968</v>
      </c>
      <c r="D25" s="1546">
        <f t="shared" ref="D25:AA25" si="9">SUM(D46,D104,D123)</f>
        <v>204.64259999999993</v>
      </c>
      <c r="E25" s="1546">
        <f t="shared" si="9"/>
        <v>334.72247999999928</v>
      </c>
      <c r="F25" s="1546">
        <f t="shared" si="9"/>
        <v>411.89735999999931</v>
      </c>
      <c r="G25" s="1546">
        <f t="shared" si="9"/>
        <v>281.58599999999922</v>
      </c>
      <c r="H25" s="1546">
        <f t="shared" si="9"/>
        <v>456.8177999999989</v>
      </c>
      <c r="I25" s="1546">
        <f t="shared" si="9"/>
        <v>915.52811999999949</v>
      </c>
      <c r="J25" s="1546">
        <f t="shared" si="9"/>
        <v>597.78911999999843</v>
      </c>
      <c r="K25" s="1546">
        <f t="shared" si="9"/>
        <v>548.81591999999841</v>
      </c>
      <c r="L25" s="1546">
        <f t="shared" si="9"/>
        <v>659.63519999999801</v>
      </c>
      <c r="M25" s="1546">
        <f t="shared" si="9"/>
        <v>738.537039999998</v>
      </c>
      <c r="N25" s="1546">
        <f t="shared" si="9"/>
        <v>828.94403999999713</v>
      </c>
      <c r="O25" s="1546">
        <f t="shared" si="9"/>
        <v>834.29627999999752</v>
      </c>
      <c r="P25" s="1546">
        <f t="shared" si="9"/>
        <v>843.03395999999691</v>
      </c>
      <c r="Q25" s="1546">
        <f t="shared" si="9"/>
        <v>1037.5784399999991</v>
      </c>
      <c r="R25" s="1547">
        <f t="shared" si="9"/>
        <v>1029.7762799999987</v>
      </c>
      <c r="S25" s="1555">
        <f t="shared" si="9"/>
        <v>1474.6349999999998</v>
      </c>
      <c r="T25" s="1546">
        <f t="shared" si="9"/>
        <v>564.57000000000005</v>
      </c>
      <c r="U25" s="1546">
        <f t="shared" si="9"/>
        <v>608.50800000000004</v>
      </c>
      <c r="V25" s="1546">
        <f t="shared" si="9"/>
        <v>646.65000000000009</v>
      </c>
      <c r="W25" s="1546">
        <f t="shared" si="9"/>
        <v>728.76600000000008</v>
      </c>
      <c r="X25" s="1546">
        <f t="shared" si="9"/>
        <v>479.53687500000001</v>
      </c>
      <c r="Y25" s="1546">
        <f t="shared" si="9"/>
        <v>536.53725000000009</v>
      </c>
      <c r="Z25" s="1546">
        <f t="shared" si="9"/>
        <v>610.11562500000002</v>
      </c>
      <c r="AA25" s="1546">
        <f t="shared" si="9"/>
        <v>749.25</v>
      </c>
      <c r="AB25" s="1012"/>
      <c r="AC25" s="1546">
        <f t="shared" ref="AC25:AC30" si="10">SUM(D25:G25)</f>
        <v>1232.8484399999979</v>
      </c>
      <c r="AD25" s="1546">
        <f t="shared" ref="AD25:AD30" si="11">SUM(H25:K25)</f>
        <v>2518.9509599999956</v>
      </c>
      <c r="AE25" s="1547">
        <f t="shared" ref="AE25:AE30" si="12">SUM(L25:O25)</f>
        <v>3061.4125599999907</v>
      </c>
      <c r="AF25" s="1546">
        <f t="shared" ref="AF25:AF30" si="13">SUM(P25:S25)</f>
        <v>4385.0236799999948</v>
      </c>
      <c r="AG25" s="1546">
        <f t="shared" ref="AG25:AG30" si="14">SUM(T25:W25)</f>
        <v>2548.4940000000001</v>
      </c>
      <c r="AH25" s="1547">
        <f t="shared" ref="AH25:AH30" si="15">SUM(X25:AA25)</f>
        <v>2375.43975</v>
      </c>
    </row>
    <row r="26" spans="1:37" ht="12.75" customHeight="1" x14ac:dyDescent="0.2">
      <c r="A26" s="1004"/>
      <c r="B26" s="1010" t="s">
        <v>967</v>
      </c>
      <c r="D26" s="1546">
        <f t="shared" ref="D26:AA26" si="16">SUM(D47,D105,D124)</f>
        <v>1.1879999999999999</v>
      </c>
      <c r="E26" s="1546">
        <f t="shared" si="16"/>
        <v>0</v>
      </c>
      <c r="F26" s="1546">
        <f t="shared" si="16"/>
        <v>10.763999999999999</v>
      </c>
      <c r="G26" s="1546">
        <f t="shared" si="16"/>
        <v>0</v>
      </c>
      <c r="H26" s="1546">
        <f t="shared" si="16"/>
        <v>14.316000000000001</v>
      </c>
      <c r="I26" s="1546">
        <f t="shared" si="16"/>
        <v>4.7639999999999993</v>
      </c>
      <c r="J26" s="1546">
        <f t="shared" si="16"/>
        <v>8.34</v>
      </c>
      <c r="K26" s="1546">
        <f t="shared" si="16"/>
        <v>7.1279999999999992</v>
      </c>
      <c r="L26" s="1546">
        <f t="shared" si="16"/>
        <v>11.892000000000001</v>
      </c>
      <c r="M26" s="1546">
        <f t="shared" si="16"/>
        <v>22.991999999999994</v>
      </c>
      <c r="N26" s="1546">
        <f t="shared" si="16"/>
        <v>37.535999999999994</v>
      </c>
      <c r="O26" s="1546">
        <f t="shared" si="16"/>
        <v>24.431999999999995</v>
      </c>
      <c r="P26" s="1546">
        <f t="shared" si="16"/>
        <v>61.548000000000009</v>
      </c>
      <c r="Q26" s="1546">
        <f t="shared" si="16"/>
        <v>50.808000000000021</v>
      </c>
      <c r="R26" s="1547">
        <f t="shared" si="16"/>
        <v>27.632039999999996</v>
      </c>
      <c r="S26" s="1555">
        <f t="shared" si="16"/>
        <v>0</v>
      </c>
      <c r="T26" s="1546">
        <f t="shared" si="16"/>
        <v>0</v>
      </c>
      <c r="U26" s="1546">
        <f t="shared" si="16"/>
        <v>0</v>
      </c>
      <c r="V26" s="1546">
        <f t="shared" si="16"/>
        <v>0</v>
      </c>
      <c r="W26" s="1546">
        <f t="shared" si="16"/>
        <v>0</v>
      </c>
      <c r="X26" s="1546">
        <f t="shared" si="16"/>
        <v>0</v>
      </c>
      <c r="Y26" s="1546">
        <f t="shared" si="16"/>
        <v>0</v>
      </c>
      <c r="Z26" s="1546">
        <f t="shared" si="16"/>
        <v>0</v>
      </c>
      <c r="AA26" s="1546">
        <f t="shared" si="16"/>
        <v>0</v>
      </c>
      <c r="AB26" s="1012"/>
      <c r="AC26" s="1546">
        <f t="shared" si="10"/>
        <v>11.952</v>
      </c>
      <c r="AD26" s="1546">
        <f t="shared" si="11"/>
        <v>34.547999999999995</v>
      </c>
      <c r="AE26" s="1547">
        <f t="shared" si="12"/>
        <v>96.851999999999975</v>
      </c>
      <c r="AF26" s="1546">
        <f t="shared" si="13"/>
        <v>139.98804000000001</v>
      </c>
      <c r="AG26" s="1546">
        <f t="shared" si="14"/>
        <v>0</v>
      </c>
      <c r="AH26" s="1547">
        <f t="shared" si="15"/>
        <v>0</v>
      </c>
    </row>
    <row r="27" spans="1:37" ht="12.75" customHeight="1" x14ac:dyDescent="0.2">
      <c r="A27" s="1004"/>
      <c r="B27" s="1010" t="s">
        <v>965</v>
      </c>
      <c r="D27" s="1546">
        <f t="shared" ref="D27:AA27" si="17">SUM(D48,D106,D125)</f>
        <v>29.879999999999995</v>
      </c>
      <c r="E27" s="1546">
        <f t="shared" si="17"/>
        <v>65.954040000000006</v>
      </c>
      <c r="F27" s="1546">
        <f t="shared" si="17"/>
        <v>61.219680000000025</v>
      </c>
      <c r="G27" s="1546">
        <f t="shared" si="17"/>
        <v>124.8138000000001</v>
      </c>
      <c r="H27" s="1546">
        <f t="shared" si="17"/>
        <v>125.46600000000007</v>
      </c>
      <c r="I27" s="1546">
        <f t="shared" si="17"/>
        <v>249.0011999999999</v>
      </c>
      <c r="J27" s="1546">
        <f t="shared" si="17"/>
        <v>270.64331999999979</v>
      </c>
      <c r="K27" s="1546">
        <f t="shared" si="17"/>
        <v>206.16504000000003</v>
      </c>
      <c r="L27" s="1546">
        <f t="shared" si="17"/>
        <v>367.84691999999973</v>
      </c>
      <c r="M27" s="1546">
        <f t="shared" si="17"/>
        <v>421.52087999999929</v>
      </c>
      <c r="N27" s="1546">
        <f t="shared" si="17"/>
        <v>446.78507999999965</v>
      </c>
      <c r="O27" s="1546">
        <f t="shared" si="17"/>
        <v>590.84255999999959</v>
      </c>
      <c r="P27" s="1546">
        <f t="shared" si="17"/>
        <v>888.85128000000327</v>
      </c>
      <c r="Q27" s="1546">
        <f t="shared" si="17"/>
        <v>858.80568000000085</v>
      </c>
      <c r="R27" s="1556">
        <f t="shared" si="17"/>
        <v>1077.4922400000005</v>
      </c>
      <c r="S27" s="1555">
        <f t="shared" si="17"/>
        <v>1464.3816389540002</v>
      </c>
      <c r="T27" s="1546">
        <f t="shared" si="17"/>
        <v>1145.3599222600703</v>
      </c>
      <c r="U27" s="1546">
        <f t="shared" si="17"/>
        <v>1232.2316097877335</v>
      </c>
      <c r="V27" s="1546">
        <f t="shared" si="17"/>
        <v>1326.1031017142209</v>
      </c>
      <c r="W27" s="1546">
        <f t="shared" si="17"/>
        <v>1426.8165491607847</v>
      </c>
      <c r="X27" s="1546">
        <f t="shared" si="17"/>
        <v>1211.1201636891046</v>
      </c>
      <c r="Y27" s="1546">
        <f t="shared" si="17"/>
        <v>1273.754726959123</v>
      </c>
      <c r="Z27" s="1546">
        <f t="shared" si="17"/>
        <v>1341.7114401194478</v>
      </c>
      <c r="AA27" s="1546">
        <f t="shared" si="17"/>
        <v>1416.4967621085077</v>
      </c>
      <c r="AB27" s="1012"/>
      <c r="AC27" s="1546">
        <f t="shared" si="10"/>
        <v>281.86752000000013</v>
      </c>
      <c r="AD27" s="1546">
        <f t="shared" si="11"/>
        <v>851.27555999999981</v>
      </c>
      <c r="AE27" s="1547">
        <f t="shared" si="12"/>
        <v>1826.9954399999983</v>
      </c>
      <c r="AF27" s="1546">
        <f t="shared" si="13"/>
        <v>4289.5308389540041</v>
      </c>
      <c r="AG27" s="1546">
        <f t="shared" si="14"/>
        <v>5130.5111829228099</v>
      </c>
      <c r="AH27" s="1547">
        <f t="shared" si="15"/>
        <v>5243.0830928761834</v>
      </c>
    </row>
    <row r="28" spans="1:37" ht="12.75" customHeight="1" x14ac:dyDescent="0.2">
      <c r="A28" s="1004"/>
      <c r="B28" s="1010" t="s">
        <v>964</v>
      </c>
      <c r="D28" s="1546">
        <f t="shared" ref="D28:AA28" si="18">SUM(D49,D107,D126)</f>
        <v>-5.9519999999999991</v>
      </c>
      <c r="E28" s="1546">
        <f t="shared" si="18"/>
        <v>-24.075599999999994</v>
      </c>
      <c r="F28" s="1546">
        <f t="shared" si="18"/>
        <v>-38.771999999999998</v>
      </c>
      <c r="G28" s="1546">
        <f t="shared" si="18"/>
        <v>-55.309799999999989</v>
      </c>
      <c r="H28" s="1546">
        <f t="shared" si="18"/>
        <v>-57.804000000000009</v>
      </c>
      <c r="I28" s="1546">
        <f t="shared" si="18"/>
        <v>-61.825200000000009</v>
      </c>
      <c r="J28" s="1546">
        <f t="shared" si="18"/>
        <v>-90.696000000000026</v>
      </c>
      <c r="K28" s="1546">
        <f t="shared" si="18"/>
        <v>-116.48580000000005</v>
      </c>
      <c r="L28" s="1546">
        <f t="shared" si="18"/>
        <v>-164.38800000000001</v>
      </c>
      <c r="M28" s="1546">
        <f t="shared" si="18"/>
        <v>-257.86799999999982</v>
      </c>
      <c r="N28" s="1546">
        <f t="shared" si="18"/>
        <v>-183.92520000000005</v>
      </c>
      <c r="O28" s="1546">
        <f t="shared" si="18"/>
        <v>-199.91604000000001</v>
      </c>
      <c r="P28" s="1546">
        <f t="shared" si="18"/>
        <v>-190.09487999999993</v>
      </c>
      <c r="Q28" s="1546">
        <f t="shared" si="18"/>
        <v>-264.96575999999959</v>
      </c>
      <c r="R28" s="1556">
        <f t="shared" si="18"/>
        <v>-349.41995999999938</v>
      </c>
      <c r="S28" s="1555">
        <f t="shared" si="18"/>
        <v>-388.67179230000033</v>
      </c>
      <c r="T28" s="1546">
        <f t="shared" si="18"/>
        <v>-518.99710304324969</v>
      </c>
      <c r="U28" s="1546">
        <f t="shared" si="18"/>
        <v>-558.13959798373878</v>
      </c>
      <c r="V28" s="1546">
        <f t="shared" si="18"/>
        <v>-600.06751463655428</v>
      </c>
      <c r="W28" s="1546">
        <f t="shared" si="18"/>
        <v>-644.67653358031259</v>
      </c>
      <c r="X28" s="1546">
        <f t="shared" si="18"/>
        <v>-691.47037730065756</v>
      </c>
      <c r="Y28" s="1546">
        <f t="shared" si="18"/>
        <v>-723.54827715350109</v>
      </c>
      <c r="Z28" s="1546">
        <f t="shared" si="18"/>
        <v>-758.45405122124066</v>
      </c>
      <c r="AA28" s="1546">
        <f t="shared" si="18"/>
        <v>-797.03924323619106</v>
      </c>
      <c r="AB28" s="1012"/>
      <c r="AC28" s="1546">
        <f t="shared" si="10"/>
        <v>-124.10939999999999</v>
      </c>
      <c r="AD28" s="1546">
        <f t="shared" si="11"/>
        <v>-326.81100000000009</v>
      </c>
      <c r="AE28" s="1547">
        <f t="shared" si="12"/>
        <v>-806.09723999999983</v>
      </c>
      <c r="AF28" s="1546">
        <f t="shared" si="13"/>
        <v>-1193.1523922999993</v>
      </c>
      <c r="AG28" s="1546">
        <f t="shared" si="14"/>
        <v>-2321.8807492438555</v>
      </c>
      <c r="AH28" s="1547">
        <f t="shared" si="15"/>
        <v>-2970.51194891159</v>
      </c>
    </row>
    <row r="29" spans="1:37" ht="12.75" customHeight="1" x14ac:dyDescent="0.2">
      <c r="A29" s="1004"/>
      <c r="B29" s="1010" t="s">
        <v>963</v>
      </c>
      <c r="D29" s="1546">
        <f t="shared" ref="D29:AA29" si="19">SUM(D50,D108,D127)</f>
        <v>-1.7759999999999998</v>
      </c>
      <c r="E29" s="1546">
        <f t="shared" si="19"/>
        <v>-5.976</v>
      </c>
      <c r="F29" s="1546">
        <f t="shared" si="19"/>
        <v>-1.1879999999999999</v>
      </c>
      <c r="G29" s="1546">
        <f t="shared" si="19"/>
        <v>-13.103999999999999</v>
      </c>
      <c r="H29" s="1546">
        <f t="shared" si="19"/>
        <v>-4.7639999999999993</v>
      </c>
      <c r="I29" s="1546">
        <f t="shared" si="19"/>
        <v>-17.268000000000004</v>
      </c>
      <c r="J29" s="1546">
        <f t="shared" si="19"/>
        <v>-14.292000000000003</v>
      </c>
      <c r="K29" s="1546">
        <f t="shared" si="19"/>
        <v>-8.3279999999999994</v>
      </c>
      <c r="L29" s="1546">
        <f t="shared" si="19"/>
        <v>-60.411960000000008</v>
      </c>
      <c r="M29" s="1546">
        <f t="shared" si="19"/>
        <v>-77.252040000000036</v>
      </c>
      <c r="N29" s="1546">
        <f t="shared" si="19"/>
        <v>-21.09203999999999</v>
      </c>
      <c r="O29" s="1546">
        <f t="shared" si="19"/>
        <v>-42.983999999999995</v>
      </c>
      <c r="P29" s="1546">
        <f t="shared" si="19"/>
        <v>-11.904</v>
      </c>
      <c r="Q29" s="1546">
        <f t="shared" si="19"/>
        <v>-10.740000000000002</v>
      </c>
      <c r="R29" s="1556">
        <f t="shared" si="19"/>
        <v>0</v>
      </c>
      <c r="S29" s="1555">
        <f t="shared" si="19"/>
        <v>0</v>
      </c>
      <c r="T29" s="1546">
        <f t="shared" si="19"/>
        <v>0</v>
      </c>
      <c r="U29" s="1546">
        <f t="shared" si="19"/>
        <v>0</v>
      </c>
      <c r="V29" s="1546">
        <f t="shared" si="19"/>
        <v>0</v>
      </c>
      <c r="W29" s="1546">
        <f t="shared" si="19"/>
        <v>0</v>
      </c>
      <c r="X29" s="1546">
        <f t="shared" si="19"/>
        <v>0</v>
      </c>
      <c r="Y29" s="1546">
        <f t="shared" si="19"/>
        <v>0</v>
      </c>
      <c r="Z29" s="1546">
        <f t="shared" si="19"/>
        <v>0</v>
      </c>
      <c r="AA29" s="1546">
        <f t="shared" si="19"/>
        <v>0</v>
      </c>
      <c r="AB29" s="1012"/>
      <c r="AC29" s="1546">
        <f t="shared" si="10"/>
        <v>-22.043999999999997</v>
      </c>
      <c r="AD29" s="1546">
        <f t="shared" si="11"/>
        <v>-44.652000000000001</v>
      </c>
      <c r="AE29" s="1547">
        <f t="shared" si="12"/>
        <v>-201.74004000000002</v>
      </c>
      <c r="AF29" s="1546">
        <f t="shared" si="13"/>
        <v>-22.644000000000002</v>
      </c>
      <c r="AG29" s="1546">
        <f t="shared" si="14"/>
        <v>0</v>
      </c>
      <c r="AH29" s="1547">
        <f t="shared" si="15"/>
        <v>0</v>
      </c>
    </row>
    <row r="30" spans="1:37" ht="15" customHeight="1" x14ac:dyDescent="0.35">
      <c r="A30" s="1004"/>
      <c r="B30" s="1010" t="s">
        <v>962</v>
      </c>
      <c r="C30" s="566"/>
      <c r="D30" s="1025">
        <f t="shared" ref="D30:AA30" si="20">SUM(D51,D109,D128)</f>
        <v>-4.8000000000000007</v>
      </c>
      <c r="E30" s="1025">
        <f t="shared" si="20"/>
        <v>-1.2</v>
      </c>
      <c r="F30" s="1025">
        <f t="shared" si="20"/>
        <v>-61.812000000000005</v>
      </c>
      <c r="G30" s="1025">
        <f t="shared" si="20"/>
        <v>-20.400000000000006</v>
      </c>
      <c r="H30" s="1025">
        <f t="shared" si="20"/>
        <v>-8.4</v>
      </c>
      <c r="I30" s="1025">
        <f t="shared" si="20"/>
        <v>-25.7364</v>
      </c>
      <c r="J30" s="1025">
        <f t="shared" si="20"/>
        <v>-4.8000000000000007</v>
      </c>
      <c r="K30" s="1025">
        <f t="shared" si="20"/>
        <v>-58.089960000000005</v>
      </c>
      <c r="L30" s="1025">
        <f t="shared" si="20"/>
        <v>-47.74092000000001</v>
      </c>
      <c r="M30" s="1025">
        <f t="shared" si="20"/>
        <v>-83.580600000000018</v>
      </c>
      <c r="N30" s="1025">
        <f t="shared" si="20"/>
        <v>-76.294440000000009</v>
      </c>
      <c r="O30" s="1025">
        <f t="shared" si="20"/>
        <v>-47.025960000000012</v>
      </c>
      <c r="P30" s="1025">
        <f t="shared" si="20"/>
        <v>-48.019920000000013</v>
      </c>
      <c r="Q30" s="1025">
        <f t="shared" si="20"/>
        <v>-57.930480000000031</v>
      </c>
      <c r="R30" s="1167">
        <f t="shared" si="20"/>
        <v>-42.343799999999973</v>
      </c>
      <c r="S30" s="1168">
        <f t="shared" si="20"/>
        <v>-61.176009500000006</v>
      </c>
      <c r="T30" s="1025">
        <f t="shared" si="20"/>
        <v>-105.09181171818091</v>
      </c>
      <c r="U30" s="1025">
        <f t="shared" si="20"/>
        <v>-113.09095106937514</v>
      </c>
      <c r="V30" s="1025">
        <f t="shared" si="20"/>
        <v>-121.73348469015188</v>
      </c>
      <c r="W30" s="1025">
        <f t="shared" si="20"/>
        <v>-131.00391704260639</v>
      </c>
      <c r="X30" s="1025">
        <f t="shared" si="20"/>
        <v>-140.04524335619942</v>
      </c>
      <c r="Y30" s="1025">
        <f t="shared" si="20"/>
        <v>-146.76836822881955</v>
      </c>
      <c r="Z30" s="1025">
        <f t="shared" si="20"/>
        <v>-154.09118749934524</v>
      </c>
      <c r="AA30" s="1025">
        <f t="shared" si="20"/>
        <v>-162.15240738043829</v>
      </c>
      <c r="AB30" s="566"/>
      <c r="AC30" s="1025">
        <f t="shared" si="10"/>
        <v>-88.212000000000018</v>
      </c>
      <c r="AD30" s="1025">
        <f t="shared" si="11"/>
        <v>-97.026360000000011</v>
      </c>
      <c r="AE30" s="1153">
        <f t="shared" si="12"/>
        <v>-254.64192000000003</v>
      </c>
      <c r="AF30" s="1025">
        <f t="shared" si="13"/>
        <v>-209.47020950000001</v>
      </c>
      <c r="AG30" s="1025">
        <f t="shared" si="14"/>
        <v>-470.9201645203143</v>
      </c>
      <c r="AH30" s="1153">
        <f t="shared" si="15"/>
        <v>-603.05720646480245</v>
      </c>
    </row>
    <row r="31" spans="1:37" ht="12.75" customHeight="1" x14ac:dyDescent="0.2">
      <c r="A31" s="1004"/>
      <c r="B31" s="1009" t="s">
        <v>1067</v>
      </c>
      <c r="C31" s="1007"/>
      <c r="D31" s="698">
        <f t="shared" ref="D31:AA31" si="21">SUM(D52,D110,D129)</f>
        <v>617.80463999999949</v>
      </c>
      <c r="E31" s="698">
        <f t="shared" si="21"/>
        <v>987.22955999999795</v>
      </c>
      <c r="F31" s="698">
        <f t="shared" si="21"/>
        <v>1369.3385999999978</v>
      </c>
      <c r="G31" s="698">
        <f t="shared" si="21"/>
        <v>1686.9246000000064</v>
      </c>
      <c r="H31" s="698">
        <f t="shared" si="21"/>
        <v>2212.556400000019</v>
      </c>
      <c r="I31" s="698">
        <f t="shared" si="21"/>
        <v>3277.0201200000183</v>
      </c>
      <c r="J31" s="698">
        <f t="shared" si="21"/>
        <v>4044.0045600000162</v>
      </c>
      <c r="K31" s="698">
        <f t="shared" si="21"/>
        <v>4623.2097600000152</v>
      </c>
      <c r="L31" s="698">
        <f t="shared" si="21"/>
        <v>5390.0430000000133</v>
      </c>
      <c r="M31" s="698">
        <f t="shared" si="21"/>
        <v>6154.3922800000091</v>
      </c>
      <c r="N31" s="698">
        <f t="shared" si="21"/>
        <v>7186.3457200000075</v>
      </c>
      <c r="O31" s="698">
        <f t="shared" si="21"/>
        <v>8345.9905600000038</v>
      </c>
      <c r="P31" s="698">
        <f t="shared" si="21"/>
        <v>9889.4050000000043</v>
      </c>
      <c r="Q31" s="698">
        <f t="shared" si="21"/>
        <v>11502.960880000002</v>
      </c>
      <c r="R31" s="1008">
        <f t="shared" si="21"/>
        <v>13246.097680000003</v>
      </c>
      <c r="S31" s="698">
        <f t="shared" si="21"/>
        <v>15735.266517154003</v>
      </c>
      <c r="T31" s="698">
        <f t="shared" si="21"/>
        <v>16821.107524652645</v>
      </c>
      <c r="U31" s="698">
        <f t="shared" si="21"/>
        <v>17990.616585387263</v>
      </c>
      <c r="V31" s="698">
        <f t="shared" si="21"/>
        <v>19241.568687774776</v>
      </c>
      <c r="W31" s="698">
        <f t="shared" si="21"/>
        <v>20621.470786312639</v>
      </c>
      <c r="X31" s="698">
        <f t="shared" si="21"/>
        <v>21480.612204344889</v>
      </c>
      <c r="Y31" s="698">
        <f t="shared" si="21"/>
        <v>22420.587535921695</v>
      </c>
      <c r="Z31" s="698">
        <f t="shared" si="21"/>
        <v>23459.869362320555</v>
      </c>
      <c r="AA31" s="698">
        <f t="shared" si="21"/>
        <v>24666.424473812429</v>
      </c>
      <c r="AB31" s="698"/>
      <c r="AC31" s="698">
        <f t="shared" ref="AC31:AH31" si="22">SUM(AC24:AC30)</f>
        <v>1686.9245999999976</v>
      </c>
      <c r="AD31" s="698">
        <f t="shared" si="22"/>
        <v>4623.2097599999934</v>
      </c>
      <c r="AE31" s="1008">
        <f t="shared" si="22"/>
        <v>8345.990559999982</v>
      </c>
      <c r="AF31" s="698">
        <f t="shared" si="22"/>
        <v>15735.266517153981</v>
      </c>
      <c r="AG31" s="698">
        <f t="shared" si="22"/>
        <v>20621.470786312617</v>
      </c>
      <c r="AH31" s="1008">
        <f t="shared" si="22"/>
        <v>24666.424473812407</v>
      </c>
      <c r="AJ31" s="1035"/>
      <c r="AK31" s="1035"/>
    </row>
    <row r="32" spans="1:37" ht="12.75" customHeight="1" x14ac:dyDescent="0.2">
      <c r="A32" s="1004"/>
      <c r="B32" s="1010" t="s">
        <v>1072</v>
      </c>
      <c r="C32" s="1007"/>
      <c r="D32" s="1557">
        <v>14.388</v>
      </c>
      <c r="E32" s="1558">
        <v>1.5504E-2</v>
      </c>
      <c r="F32" s="1558">
        <v>46.904040000000002</v>
      </c>
      <c r="G32" s="1558">
        <v>35.504040000000003</v>
      </c>
      <c r="H32" s="1558">
        <v>318.89208000000002</v>
      </c>
      <c r="I32" s="1558">
        <v>306.89208000000002</v>
      </c>
      <c r="J32" s="1558">
        <v>289.33404000000002</v>
      </c>
      <c r="K32" s="1558">
        <v>26.334</v>
      </c>
      <c r="L32" s="1558">
        <v>36.503999999999998</v>
      </c>
      <c r="M32" s="1558">
        <v>7.8</v>
      </c>
      <c r="N32" s="1558">
        <v>31.2</v>
      </c>
      <c r="O32" s="1558">
        <v>15</v>
      </c>
      <c r="P32" s="1558">
        <v>21.012</v>
      </c>
      <c r="Q32" s="1558">
        <v>21.012</v>
      </c>
      <c r="R32" s="1559">
        <v>21.012</v>
      </c>
      <c r="S32" s="1558">
        <v>0</v>
      </c>
      <c r="T32" s="1558">
        <v>0</v>
      </c>
      <c r="U32" s="1558">
        <v>0</v>
      </c>
      <c r="V32" s="1558">
        <v>0</v>
      </c>
      <c r="W32" s="1558">
        <v>0</v>
      </c>
      <c r="X32" s="1558">
        <v>0</v>
      </c>
      <c r="Y32" s="1558">
        <v>0</v>
      </c>
      <c r="Z32" s="1558">
        <v>0</v>
      </c>
      <c r="AA32" s="1558">
        <v>0</v>
      </c>
      <c r="AB32" s="698"/>
      <c r="AC32" s="1546">
        <f>G32</f>
        <v>35.504040000000003</v>
      </c>
      <c r="AD32" s="1546">
        <f>K32</f>
        <v>26.334</v>
      </c>
      <c r="AE32" s="1547">
        <f>O32</f>
        <v>15</v>
      </c>
      <c r="AF32" s="1546">
        <f>S32</f>
        <v>0</v>
      </c>
      <c r="AG32" s="1546">
        <f>W32</f>
        <v>0</v>
      </c>
      <c r="AH32" s="1547">
        <f>AA32</f>
        <v>0</v>
      </c>
    </row>
    <row r="33" spans="1:34" ht="12.75" customHeight="1" x14ac:dyDescent="0.2">
      <c r="A33" s="1004"/>
      <c r="B33" s="1009" t="s">
        <v>1071</v>
      </c>
      <c r="C33" s="1007"/>
      <c r="D33" s="698">
        <f t="shared" ref="D33:AA33" si="23">D31+D32</f>
        <v>632.19263999999953</v>
      </c>
      <c r="E33" s="698">
        <f t="shared" si="23"/>
        <v>987.24506399999791</v>
      </c>
      <c r="F33" s="698">
        <f t="shared" si="23"/>
        <v>1416.2426399999977</v>
      </c>
      <c r="G33" s="698">
        <f t="shared" si="23"/>
        <v>1722.4286400000065</v>
      </c>
      <c r="H33" s="698">
        <f t="shared" si="23"/>
        <v>2531.4484800000191</v>
      </c>
      <c r="I33" s="698">
        <f t="shared" si="23"/>
        <v>3583.9122000000184</v>
      </c>
      <c r="J33" s="698">
        <f t="shared" si="23"/>
        <v>4333.3386000000164</v>
      </c>
      <c r="K33" s="698">
        <f t="shared" si="23"/>
        <v>4649.543760000015</v>
      </c>
      <c r="L33" s="698">
        <f t="shared" si="23"/>
        <v>5426.5470000000132</v>
      </c>
      <c r="M33" s="698">
        <f t="shared" si="23"/>
        <v>6162.1922800000093</v>
      </c>
      <c r="N33" s="698">
        <f t="shared" si="23"/>
        <v>7217.5457200000073</v>
      </c>
      <c r="O33" s="698">
        <f t="shared" si="23"/>
        <v>8360.9905600000038</v>
      </c>
      <c r="P33" s="698">
        <f t="shared" si="23"/>
        <v>9910.4170000000049</v>
      </c>
      <c r="Q33" s="698">
        <f t="shared" si="23"/>
        <v>11523.972880000003</v>
      </c>
      <c r="R33" s="1008">
        <f t="shared" si="23"/>
        <v>13267.109680000003</v>
      </c>
      <c r="S33" s="698">
        <f t="shared" si="23"/>
        <v>15735.266517154003</v>
      </c>
      <c r="T33" s="698">
        <f t="shared" si="23"/>
        <v>16821.107524652645</v>
      </c>
      <c r="U33" s="698">
        <f t="shared" si="23"/>
        <v>17990.616585387263</v>
      </c>
      <c r="V33" s="698">
        <f t="shared" si="23"/>
        <v>19241.568687774776</v>
      </c>
      <c r="W33" s="698">
        <f t="shared" si="23"/>
        <v>20621.470786312639</v>
      </c>
      <c r="X33" s="698">
        <f t="shared" si="23"/>
        <v>21480.612204344889</v>
      </c>
      <c r="Y33" s="698">
        <f t="shared" si="23"/>
        <v>22420.587535921695</v>
      </c>
      <c r="Z33" s="698">
        <f t="shared" si="23"/>
        <v>23459.869362320555</v>
      </c>
      <c r="AA33" s="698">
        <f t="shared" si="23"/>
        <v>24666.424473812429</v>
      </c>
      <c r="AB33" s="698"/>
      <c r="AC33" s="698">
        <f t="shared" ref="AC33:AH33" si="24">AC31+AC32</f>
        <v>1722.4286399999976</v>
      </c>
      <c r="AD33" s="698">
        <f t="shared" si="24"/>
        <v>4649.5437599999932</v>
      </c>
      <c r="AE33" s="1008">
        <f t="shared" si="24"/>
        <v>8360.990559999982</v>
      </c>
      <c r="AF33" s="698">
        <f t="shared" si="24"/>
        <v>15735.266517153981</v>
      </c>
      <c r="AG33" s="698">
        <f t="shared" si="24"/>
        <v>20621.470786312617</v>
      </c>
      <c r="AH33" s="1008">
        <f t="shared" si="24"/>
        <v>24666.424473812407</v>
      </c>
    </row>
    <row r="34" spans="1:34" ht="12.75" customHeight="1" x14ac:dyDescent="0.2">
      <c r="A34" s="1004"/>
      <c r="B34" s="793" t="s">
        <v>974</v>
      </c>
      <c r="C34" s="1007"/>
      <c r="D34" s="790"/>
      <c r="E34" s="790"/>
      <c r="F34" s="790"/>
      <c r="G34" s="790"/>
      <c r="H34" s="791">
        <f t="shared" ref="H34:AA34" si="25">IFERROR(H33/D33-1,"-")</f>
        <v>3.0042359240373644</v>
      </c>
      <c r="I34" s="791">
        <f t="shared" si="25"/>
        <v>2.6302153646422548</v>
      </c>
      <c r="J34" s="791">
        <f t="shared" si="25"/>
        <v>2.0597430677556945</v>
      </c>
      <c r="K34" s="791">
        <f t="shared" si="25"/>
        <v>1.6994115471744582</v>
      </c>
      <c r="L34" s="791">
        <f t="shared" si="25"/>
        <v>1.1436529492395486</v>
      </c>
      <c r="M34" s="791">
        <f t="shared" si="25"/>
        <v>0.71940380682316318</v>
      </c>
      <c r="N34" s="791">
        <f t="shared" si="25"/>
        <v>0.66558544951921839</v>
      </c>
      <c r="O34" s="791">
        <f t="shared" si="25"/>
        <v>0.79823892226362814</v>
      </c>
      <c r="P34" s="791">
        <f t="shared" si="25"/>
        <v>0.82628419140200582</v>
      </c>
      <c r="Q34" s="791">
        <f t="shared" si="25"/>
        <v>0.87010926572385139</v>
      </c>
      <c r="R34" s="792">
        <f t="shared" si="25"/>
        <v>0.83817466417102104</v>
      </c>
      <c r="S34" s="791">
        <f t="shared" si="25"/>
        <v>0.88198592071535553</v>
      </c>
      <c r="T34" s="791">
        <f t="shared" si="25"/>
        <v>0.69731581674642307</v>
      </c>
      <c r="U34" s="791">
        <f t="shared" si="25"/>
        <v>0.56114707772440187</v>
      </c>
      <c r="V34" s="791">
        <f t="shared" si="25"/>
        <v>0.4503210685580743</v>
      </c>
      <c r="W34" s="791">
        <f t="shared" si="25"/>
        <v>0.3105256758016699</v>
      </c>
      <c r="X34" s="791">
        <f t="shared" si="25"/>
        <v>0.27700344182827297</v>
      </c>
      <c r="Y34" s="791">
        <f t="shared" si="25"/>
        <v>0.24623786124888247</v>
      </c>
      <c r="Z34" s="791">
        <f t="shared" si="25"/>
        <v>0.21922852252820202</v>
      </c>
      <c r="AA34" s="791">
        <f t="shared" si="25"/>
        <v>0.19615253099136853</v>
      </c>
      <c r="AB34" s="733"/>
      <c r="AC34" s="790"/>
      <c r="AD34" s="791">
        <f>IFERROR(AD33/AC33-1,"-")</f>
        <v>1.6994115471744591</v>
      </c>
      <c r="AE34" s="792">
        <f>IFERROR(AE33/AD33-1,"-")</f>
        <v>0.79823892226363169</v>
      </c>
      <c r="AF34" s="791">
        <f>IFERROR(AF33/AE33-1,"-")</f>
        <v>0.88198592071535775</v>
      </c>
      <c r="AG34" s="791">
        <f>IFERROR(AG33/AF33-1,"-")</f>
        <v>0.31052567580167034</v>
      </c>
      <c r="AH34" s="792">
        <f>IFERROR(AH33/AG33-1,"-")</f>
        <v>0.19615253099136876</v>
      </c>
    </row>
    <row r="35" spans="1:34" ht="12.75" customHeight="1" x14ac:dyDescent="0.2">
      <c r="A35" s="1004"/>
      <c r="B35" s="1024"/>
      <c r="E35" s="1034"/>
      <c r="F35" s="1034"/>
      <c r="G35" s="1034"/>
      <c r="H35" s="1034"/>
      <c r="I35" s="1034"/>
      <c r="J35" s="1034"/>
      <c r="K35" s="1034"/>
      <c r="L35" s="1032"/>
      <c r="M35" s="1032"/>
      <c r="N35" s="1032"/>
      <c r="O35" s="1032"/>
      <c r="P35" s="1032"/>
      <c r="Q35" s="1032"/>
      <c r="R35" s="1033"/>
      <c r="S35" s="1032"/>
      <c r="T35" s="1006"/>
      <c r="U35" s="1006"/>
      <c r="V35" s="1006"/>
      <c r="W35" s="1006"/>
      <c r="X35" s="1006"/>
      <c r="Y35" s="1006"/>
      <c r="Z35" s="1006"/>
      <c r="AA35" s="1006"/>
      <c r="AC35" s="1031"/>
      <c r="AD35" s="1031"/>
      <c r="AE35" s="1030"/>
      <c r="AF35" s="1031"/>
      <c r="AG35" s="1031"/>
      <c r="AH35" s="1030"/>
    </row>
    <row r="36" spans="1:34" ht="12.75" customHeight="1" x14ac:dyDescent="0.2">
      <c r="A36" s="1004"/>
      <c r="B36" s="1005" t="s">
        <v>1066</v>
      </c>
      <c r="C36" s="956"/>
      <c r="D36" s="1560">
        <f t="shared" ref="D36:R36" si="26">D55+D113+D132</f>
        <v>85.334189999999964</v>
      </c>
      <c r="E36" s="1560">
        <f t="shared" si="26"/>
        <v>178.09868999999989</v>
      </c>
      <c r="F36" s="1560">
        <f t="shared" si="26"/>
        <v>240.97976000000006</v>
      </c>
      <c r="G36" s="1560">
        <f t="shared" si="26"/>
        <v>333.51591000000019</v>
      </c>
      <c r="H36" s="1560">
        <f t="shared" si="26"/>
        <v>605.39719999999988</v>
      </c>
      <c r="I36" s="1560">
        <f t="shared" si="26"/>
        <v>829.23749999999961</v>
      </c>
      <c r="J36" s="1560">
        <f t="shared" si="26"/>
        <v>898.32094999999924</v>
      </c>
      <c r="K36" s="1560">
        <f t="shared" si="26"/>
        <v>1014.7132799999997</v>
      </c>
      <c r="L36" s="1560">
        <f t="shared" si="26"/>
        <v>1226.3703399999993</v>
      </c>
      <c r="M36" s="1560">
        <f t="shared" si="26"/>
        <v>1419.7530899999995</v>
      </c>
      <c r="N36" s="1560">
        <f t="shared" si="26"/>
        <v>1644.8162700000007</v>
      </c>
      <c r="O36" s="1560">
        <f t="shared" si="26"/>
        <v>2008.3966099999993</v>
      </c>
      <c r="P36" s="1560">
        <f t="shared" si="26"/>
        <v>2231.8410900000026</v>
      </c>
      <c r="Q36" s="1560">
        <f t="shared" si="26"/>
        <v>2532.6074600000011</v>
      </c>
      <c r="R36" s="1019">
        <f t="shared" si="26"/>
        <v>2843.0510499999973</v>
      </c>
      <c r="S36" s="954">
        <f t="shared" ref="S36:AA36" si="27">AVERAGE(R31:S31)/4</f>
        <v>3622.6705246442507</v>
      </c>
      <c r="T36" s="954">
        <f t="shared" si="27"/>
        <v>4069.546755225831</v>
      </c>
      <c r="U36" s="954">
        <f t="shared" si="27"/>
        <v>4351.4655137549889</v>
      </c>
      <c r="V36" s="954">
        <f t="shared" si="27"/>
        <v>4654.0231591452548</v>
      </c>
      <c r="W36" s="954">
        <f t="shared" si="27"/>
        <v>4982.8799342609273</v>
      </c>
      <c r="X36" s="954">
        <f t="shared" si="27"/>
        <v>5262.7603738321905</v>
      </c>
      <c r="Y36" s="954">
        <f t="shared" si="27"/>
        <v>5487.6499675333234</v>
      </c>
      <c r="Z36" s="954">
        <f t="shared" si="27"/>
        <v>5735.0571122802812</v>
      </c>
      <c r="AA36" s="954">
        <f t="shared" si="27"/>
        <v>6015.7867295166234</v>
      </c>
      <c r="AB36" s="698"/>
      <c r="AC36" s="954">
        <f>SUM(D36:G36)</f>
        <v>837.92855000000009</v>
      </c>
      <c r="AD36" s="954">
        <f>SUM(H36:K36)</f>
        <v>3347.6689299999989</v>
      </c>
      <c r="AE36" s="954">
        <f>SUM(L36:O36)</f>
        <v>6299.3363099999988</v>
      </c>
      <c r="AF36" s="1056">
        <f>SUM(P36:S36)</f>
        <v>11230.170124644252</v>
      </c>
      <c r="AG36" s="954">
        <f>SUM(T36:W36)</f>
        <v>18057.915362387001</v>
      </c>
      <c r="AH36" s="1055">
        <f>SUM(X36:AA36)</f>
        <v>22501.254183162418</v>
      </c>
    </row>
    <row r="37" spans="1:34" ht="12.75" customHeight="1" x14ac:dyDescent="0.2">
      <c r="A37" s="1004"/>
      <c r="B37" s="1024"/>
      <c r="H37" s="1002"/>
      <c r="I37" s="1002"/>
      <c r="J37" s="1002"/>
      <c r="K37" s="1002"/>
      <c r="L37" s="1002"/>
      <c r="M37" s="1002"/>
      <c r="N37" s="1002"/>
      <c r="O37" s="1002"/>
      <c r="P37" s="1002"/>
      <c r="Q37" s="1002"/>
      <c r="R37" s="1003"/>
      <c r="S37" s="1002"/>
      <c r="T37" s="1002"/>
      <c r="U37" s="1002"/>
      <c r="V37" s="1002"/>
      <c r="W37" s="1002"/>
      <c r="X37" s="1002"/>
      <c r="Y37" s="1002"/>
      <c r="Z37" s="1002"/>
      <c r="AA37" s="1002"/>
      <c r="AC37" s="1029"/>
      <c r="AD37" s="1029"/>
      <c r="AE37" s="1028"/>
      <c r="AF37" s="1029"/>
      <c r="AG37" s="1029"/>
      <c r="AH37" s="1028"/>
    </row>
    <row r="38" spans="1:34" s="988" customFormat="1" ht="12.75" customHeight="1" x14ac:dyDescent="0.2">
      <c r="A38" s="995"/>
      <c r="B38" s="1023" t="s">
        <v>1065</v>
      </c>
      <c r="D38" s="1561">
        <f t="shared" ref="D38:AA38" si="28">IFERROR(D27/D24,"-")</f>
        <v>7.5718021223548551E-2</v>
      </c>
      <c r="E38" s="1561">
        <f t="shared" si="28"/>
        <v>0.10675549474668908</v>
      </c>
      <c r="F38" s="1561">
        <f t="shared" si="28"/>
        <v>6.2011595357821477E-2</v>
      </c>
      <c r="G38" s="1561">
        <f t="shared" si="28"/>
        <v>9.1148967830162284E-2</v>
      </c>
      <c r="H38" s="1561">
        <f t="shared" si="28"/>
        <v>7.4375582643111948E-2</v>
      </c>
      <c r="I38" s="1561">
        <f t="shared" si="28"/>
        <v>0.11254004643678134</v>
      </c>
      <c r="J38" s="1561">
        <f t="shared" si="28"/>
        <v>8.2588238731960625E-2</v>
      </c>
      <c r="K38" s="1561">
        <f t="shared" si="28"/>
        <v>5.098041729211087E-2</v>
      </c>
      <c r="L38" s="1561">
        <f t="shared" si="28"/>
        <v>7.9565267226810524E-2</v>
      </c>
      <c r="M38" s="1561">
        <f t="shared" si="28"/>
        <v>7.8203621010073249E-2</v>
      </c>
      <c r="N38" s="1561">
        <f t="shared" si="28"/>
        <v>7.25961329198858E-2</v>
      </c>
      <c r="O38" s="1561">
        <f t="shared" si="28"/>
        <v>8.2217386001295661E-2</v>
      </c>
      <c r="P38" s="1561">
        <f t="shared" si="28"/>
        <v>0.10650039364530541</v>
      </c>
      <c r="Q38" s="1561">
        <f t="shared" si="28"/>
        <v>8.6840985883377256E-2</v>
      </c>
      <c r="R38" s="1562">
        <f t="shared" si="28"/>
        <v>9.367086015857165E-2</v>
      </c>
      <c r="S38" s="1561">
        <f t="shared" si="28"/>
        <v>0.11055192814749044</v>
      </c>
      <c r="T38" s="1561">
        <f t="shared" si="28"/>
        <v>7.2789356380550757E-2</v>
      </c>
      <c r="U38" s="1561">
        <f t="shared" si="28"/>
        <v>7.325508192500417E-2</v>
      </c>
      <c r="V38" s="1561">
        <f t="shared" si="28"/>
        <v>7.3710820050010839E-2</v>
      </c>
      <c r="W38" s="1561">
        <f t="shared" si="28"/>
        <v>7.4152818427289643E-2</v>
      </c>
      <c r="X38" s="1561">
        <f t="shared" si="28"/>
        <v>5.8731027298643386E-2</v>
      </c>
      <c r="Y38" s="1561">
        <f t="shared" si="28"/>
        <v>5.9297878237449878E-2</v>
      </c>
      <c r="Z38" s="1561">
        <f t="shared" si="28"/>
        <v>5.9842831414198751E-2</v>
      </c>
      <c r="AA38" s="1561">
        <f t="shared" si="28"/>
        <v>6.0379567346763502E-2</v>
      </c>
      <c r="AC38" s="1561">
        <f t="shared" ref="AC38:AH38" si="29">IFERROR(AC27/AC24,"-")</f>
        <v>0.71427211718838723</v>
      </c>
      <c r="AD38" s="1561">
        <f t="shared" si="29"/>
        <v>0.50463165929289377</v>
      </c>
      <c r="AE38" s="1562">
        <f t="shared" si="29"/>
        <v>0.39517900654371368</v>
      </c>
      <c r="AF38" s="1561">
        <f t="shared" si="29"/>
        <v>0.51396305904209094</v>
      </c>
      <c r="AG38" s="1561">
        <f t="shared" si="29"/>
        <v>0.32605174989122199</v>
      </c>
      <c r="AH38" s="1562">
        <f t="shared" si="29"/>
        <v>0.25425359554645588</v>
      </c>
    </row>
    <row r="39" spans="1:34" s="988" customFormat="1" ht="12.75" customHeight="1" x14ac:dyDescent="0.2">
      <c r="A39" s="995"/>
      <c r="B39" s="988" t="s">
        <v>1064</v>
      </c>
      <c r="D39" s="1561">
        <f t="shared" ref="D39:AA39" si="30">IFERROR(D28/D24+1,"-")</f>
        <v>0.98491721344302008</v>
      </c>
      <c r="E39" s="1561">
        <f t="shared" si="30"/>
        <v>0.96103039951270031</v>
      </c>
      <c r="F39" s="1561">
        <f t="shared" si="30"/>
        <v>0.96072645960884717</v>
      </c>
      <c r="G39" s="1561">
        <f t="shared" si="30"/>
        <v>0.95960838320047381</v>
      </c>
      <c r="H39" s="1561">
        <f t="shared" si="30"/>
        <v>0.96573409386525078</v>
      </c>
      <c r="I39" s="1561">
        <f t="shared" si="30"/>
        <v>0.97205711908632053</v>
      </c>
      <c r="J39" s="1561">
        <f t="shared" si="30"/>
        <v>0.97232363651157583</v>
      </c>
      <c r="K39" s="1561">
        <f t="shared" si="30"/>
        <v>0.97119543307339906</v>
      </c>
      <c r="L39" s="1561">
        <f t="shared" si="30"/>
        <v>0.96444288523910726</v>
      </c>
      <c r="M39" s="1561">
        <f t="shared" si="30"/>
        <v>0.9521584521681925</v>
      </c>
      <c r="N39" s="1561">
        <f t="shared" si="30"/>
        <v>0.97011480717637977</v>
      </c>
      <c r="O39" s="1561">
        <f t="shared" si="30"/>
        <v>0.97218112684954439</v>
      </c>
      <c r="P39" s="1561">
        <f t="shared" si="30"/>
        <v>0.97722320932028472</v>
      </c>
      <c r="Q39" s="1561">
        <f t="shared" si="30"/>
        <v>0.97320710801104826</v>
      </c>
      <c r="R39" s="1562">
        <f t="shared" si="30"/>
        <v>0.96962347662961024</v>
      </c>
      <c r="S39" s="1561">
        <f t="shared" si="30"/>
        <v>0.97065763806899541</v>
      </c>
      <c r="T39" s="1561">
        <f t="shared" si="30"/>
        <v>0.96701694868164711</v>
      </c>
      <c r="U39" s="1561">
        <f t="shared" si="30"/>
        <v>0.96681909338218419</v>
      </c>
      <c r="V39" s="1561">
        <f t="shared" si="30"/>
        <v>0.9666455281402665</v>
      </c>
      <c r="W39" s="1561">
        <f t="shared" si="30"/>
        <v>0.96649563535898653</v>
      </c>
      <c r="X39" s="1561">
        <f t="shared" si="30"/>
        <v>0.96646842582345693</v>
      </c>
      <c r="Y39" s="1561">
        <f t="shared" si="30"/>
        <v>0.96631621714174665</v>
      </c>
      <c r="Z39" s="1561">
        <f t="shared" si="30"/>
        <v>0.96617153542448142</v>
      </c>
      <c r="AA39" s="1561">
        <f t="shared" si="30"/>
        <v>0.96602541851676571</v>
      </c>
      <c r="AC39" s="1561">
        <f t="shared" ref="AC39:AH39" si="31">IFERROR(AC28/AC24+1,"-")</f>
        <v>0.68549805276968279</v>
      </c>
      <c r="AD39" s="1561">
        <f t="shared" si="31"/>
        <v>0.80626816397128798</v>
      </c>
      <c r="AE39" s="1562">
        <f t="shared" si="31"/>
        <v>0.82564121425457426</v>
      </c>
      <c r="AF39" s="1561">
        <f t="shared" si="31"/>
        <v>0.8570388519226888</v>
      </c>
      <c r="AG39" s="1561">
        <f t="shared" si="31"/>
        <v>0.8524409645866099</v>
      </c>
      <c r="AH39" s="1562">
        <f t="shared" si="31"/>
        <v>0.85595052944122441</v>
      </c>
    </row>
    <row r="40" spans="1:34" s="988" customFormat="1" ht="12.75" customHeight="1" x14ac:dyDescent="0.2">
      <c r="A40" s="995"/>
      <c r="B40" s="988" t="s">
        <v>1063</v>
      </c>
      <c r="D40" s="1561">
        <f t="shared" ref="D40:AA40" si="32">IFERROR(SUM(D28,D30)/D24+1,"-")</f>
        <v>0.97275367589706851</v>
      </c>
      <c r="E40" s="1561">
        <f t="shared" si="32"/>
        <v>0.95908803792732922</v>
      </c>
      <c r="F40" s="1561">
        <f t="shared" si="32"/>
        <v>0.89811488221645208</v>
      </c>
      <c r="G40" s="1561">
        <f t="shared" si="32"/>
        <v>0.94471068003195147</v>
      </c>
      <c r="H40" s="1561">
        <f t="shared" si="32"/>
        <v>0.9607546181969252</v>
      </c>
      <c r="I40" s="1561">
        <f t="shared" si="32"/>
        <v>0.96042514441665794</v>
      </c>
      <c r="J40" s="1561">
        <f t="shared" si="32"/>
        <v>0.97085889115627422</v>
      </c>
      <c r="K40" s="1561">
        <f t="shared" si="32"/>
        <v>0.95683096855855188</v>
      </c>
      <c r="L40" s="1561">
        <f t="shared" si="32"/>
        <v>0.95411652704245908</v>
      </c>
      <c r="M40" s="1561">
        <f t="shared" si="32"/>
        <v>0.93665197105106601</v>
      </c>
      <c r="N40" s="1561">
        <f t="shared" si="32"/>
        <v>0.95771806083183253</v>
      </c>
      <c r="O40" s="1561">
        <f t="shared" si="32"/>
        <v>0.96563733368508187</v>
      </c>
      <c r="P40" s="1561">
        <f t="shared" si="32"/>
        <v>0.97146955795262724</v>
      </c>
      <c r="Q40" s="1561">
        <f t="shared" si="32"/>
        <v>0.96734927531029424</v>
      </c>
      <c r="R40" s="1562">
        <f t="shared" si="32"/>
        <v>0.96594235483481894</v>
      </c>
      <c r="S40" s="1561">
        <f t="shared" si="32"/>
        <v>0.96603922055631408</v>
      </c>
      <c r="T40" s="1561">
        <f t="shared" si="32"/>
        <v>0.96033820500713651</v>
      </c>
      <c r="U40" s="1561">
        <f t="shared" si="32"/>
        <v>0.96009593612849964</v>
      </c>
      <c r="V40" s="1561">
        <f t="shared" si="32"/>
        <v>0.9598790293872983</v>
      </c>
      <c r="W40" s="1561">
        <f t="shared" si="32"/>
        <v>0.95968725506690356</v>
      </c>
      <c r="X40" s="1561">
        <f t="shared" si="32"/>
        <v>0.95967719134714824</v>
      </c>
      <c r="Y40" s="1561">
        <f t="shared" si="32"/>
        <v>0.9594836200615231</v>
      </c>
      <c r="Z40" s="1561">
        <f t="shared" si="32"/>
        <v>0.95929878120907719</v>
      </c>
      <c r="AA40" s="1561">
        <f t="shared" si="32"/>
        <v>0.95911351270535161</v>
      </c>
      <c r="AC40" s="1561">
        <f t="shared" ref="AC40:AH40" si="33">IFERROR(SUM(AC28,AC30)/AC24+1,"-")</f>
        <v>0.46196264151895761</v>
      </c>
      <c r="AD40" s="1561">
        <f t="shared" si="33"/>
        <v>0.74875144982769193</v>
      </c>
      <c r="AE40" s="1562">
        <f t="shared" si="33"/>
        <v>0.77056218188983894</v>
      </c>
      <c r="AF40" s="1561">
        <f t="shared" si="33"/>
        <v>0.83194054777363635</v>
      </c>
      <c r="AG40" s="1561">
        <f t="shared" si="33"/>
        <v>0.82251327546822506</v>
      </c>
      <c r="AH40" s="1562">
        <f t="shared" si="33"/>
        <v>0.82670638809389252</v>
      </c>
    </row>
    <row r="41" spans="1:34" s="988" customFormat="1" ht="12.75" customHeight="1" x14ac:dyDescent="0.2">
      <c r="A41" s="995"/>
      <c r="B41" s="994" t="s">
        <v>1062</v>
      </c>
      <c r="C41" s="991"/>
      <c r="D41" s="1563">
        <f t="shared" ref="D41:AA41" si="34">IFERROR(1+(SUM(D30,D27:D28)/D24),"-")</f>
        <v>1.0484716971206169</v>
      </c>
      <c r="E41" s="1563">
        <f t="shared" si="34"/>
        <v>1.0658435326740183</v>
      </c>
      <c r="F41" s="1563">
        <f t="shared" si="34"/>
        <v>0.96012647757427361</v>
      </c>
      <c r="G41" s="1563">
        <f t="shared" si="34"/>
        <v>1.0358596478621138</v>
      </c>
      <c r="H41" s="1563">
        <f t="shared" si="34"/>
        <v>1.0351302008400372</v>
      </c>
      <c r="I41" s="1563">
        <f t="shared" si="34"/>
        <v>1.0729651908534392</v>
      </c>
      <c r="J41" s="1563">
        <f t="shared" si="34"/>
        <v>1.0534471298882349</v>
      </c>
      <c r="K41" s="1563">
        <f t="shared" si="34"/>
        <v>1.0078113858506628</v>
      </c>
      <c r="L41" s="1563">
        <f t="shared" si="34"/>
        <v>1.0336817942692695</v>
      </c>
      <c r="M41" s="1563">
        <f t="shared" si="34"/>
        <v>1.0148555920611393</v>
      </c>
      <c r="N41" s="1563">
        <f t="shared" si="34"/>
        <v>1.0303141937517184</v>
      </c>
      <c r="O41" s="1563">
        <f t="shared" si="34"/>
        <v>1.0478547196863777</v>
      </c>
      <c r="P41" s="1563">
        <f t="shared" si="34"/>
        <v>1.0779699515979326</v>
      </c>
      <c r="Q41" s="1563">
        <f t="shared" si="34"/>
        <v>1.0541902611936715</v>
      </c>
      <c r="R41" s="1564">
        <f t="shared" si="34"/>
        <v>1.0596132149933906</v>
      </c>
      <c r="S41" s="1563">
        <f t="shared" si="34"/>
        <v>1.0765911487038045</v>
      </c>
      <c r="T41" s="1563">
        <f t="shared" si="34"/>
        <v>1.0331275613876874</v>
      </c>
      <c r="U41" s="1563">
        <f t="shared" si="34"/>
        <v>1.0333510180535039</v>
      </c>
      <c r="V41" s="1563">
        <f t="shared" si="34"/>
        <v>1.033589849437309</v>
      </c>
      <c r="W41" s="1563">
        <f t="shared" si="34"/>
        <v>1.0338400734941933</v>
      </c>
      <c r="X41" s="1563">
        <f t="shared" si="34"/>
        <v>1.0184082186457917</v>
      </c>
      <c r="Y41" s="1563">
        <f t="shared" si="34"/>
        <v>1.0187814982989729</v>
      </c>
      <c r="Z41" s="1563">
        <f t="shared" si="34"/>
        <v>1.019141612623276</v>
      </c>
      <c r="AA41" s="1563">
        <f t="shared" si="34"/>
        <v>1.0194930800521151</v>
      </c>
      <c r="AB41" s="991"/>
      <c r="AC41" s="1563">
        <f t="shared" ref="AC41:AH41" si="35">IFERROR(1+(SUM(AC30,AC27:AC28)/AC24),"-")</f>
        <v>1.176234758707345</v>
      </c>
      <c r="AD41" s="1563">
        <f t="shared" si="35"/>
        <v>1.2533831091205856</v>
      </c>
      <c r="AE41" s="1562">
        <f t="shared" si="35"/>
        <v>1.1657411884335527</v>
      </c>
      <c r="AF41" s="1563">
        <f t="shared" si="35"/>
        <v>1.3459036068157273</v>
      </c>
      <c r="AG41" s="1563">
        <f t="shared" si="35"/>
        <v>1.148565025359447</v>
      </c>
      <c r="AH41" s="1564">
        <f t="shared" si="35"/>
        <v>1.0809599836403483</v>
      </c>
    </row>
    <row r="42" spans="1:34" ht="12.75" customHeight="1" x14ac:dyDescent="0.2">
      <c r="B42" s="987"/>
      <c r="AC42" s="1000"/>
      <c r="AD42" s="1000"/>
      <c r="AE42" s="1017"/>
      <c r="AF42" s="1000"/>
      <c r="AG42" s="1000"/>
      <c r="AH42" s="1000"/>
    </row>
    <row r="43" spans="1:34" ht="12.75" customHeight="1" x14ac:dyDescent="0.2">
      <c r="B43" s="806" t="s">
        <v>1038</v>
      </c>
      <c r="C43" s="987"/>
      <c r="D43" s="987"/>
      <c r="E43" s="987"/>
      <c r="F43" s="987"/>
      <c r="G43" s="987"/>
      <c r="H43" s="987"/>
      <c r="I43" s="987"/>
      <c r="J43" s="987"/>
      <c r="K43" s="987"/>
      <c r="L43" s="987"/>
      <c r="M43" s="987"/>
      <c r="N43" s="987"/>
      <c r="O43" s="987"/>
      <c r="P43" s="987"/>
      <c r="Q43" s="987"/>
      <c r="R43" s="986"/>
      <c r="S43" s="987"/>
      <c r="T43" s="987"/>
      <c r="U43" s="987"/>
      <c r="V43" s="987"/>
      <c r="W43" s="987"/>
      <c r="X43" s="987"/>
      <c r="Y43" s="987"/>
      <c r="Z43" s="987"/>
      <c r="AA43" s="987"/>
      <c r="AB43" s="987"/>
      <c r="AC43" s="1017"/>
      <c r="AD43" s="1017"/>
      <c r="AE43" s="1016"/>
      <c r="AF43" s="1017"/>
      <c r="AG43" s="1017"/>
      <c r="AH43" s="1016"/>
    </row>
    <row r="44" spans="1:34" ht="12.75" customHeight="1" x14ac:dyDescent="0.2">
      <c r="A44" s="1004" t="s">
        <v>1018</v>
      </c>
      <c r="B44" s="862" t="s">
        <v>1069</v>
      </c>
      <c r="C44" s="862"/>
      <c r="D44" s="862"/>
      <c r="E44" s="862"/>
      <c r="F44" s="862"/>
      <c r="G44" s="862"/>
      <c r="R44" s="1004"/>
      <c r="AC44" s="1000"/>
      <c r="AD44" s="1000"/>
      <c r="AE44" s="1015"/>
      <c r="AF44" s="1000"/>
      <c r="AG44" s="1000"/>
      <c r="AH44" s="1015"/>
    </row>
    <row r="45" spans="1:34" ht="12.75" customHeight="1" x14ac:dyDescent="0.2">
      <c r="A45" s="1004"/>
      <c r="B45" s="978" t="s">
        <v>1068</v>
      </c>
      <c r="D45" s="1565">
        <v>387.45803999999958</v>
      </c>
      <c r="E45" s="1565">
        <v>615.42863999999884</v>
      </c>
      <c r="F45" s="1565">
        <v>982.45355999999822</v>
      </c>
      <c r="G45" s="1565">
        <v>1317.8106000000071</v>
      </c>
      <c r="H45" s="1565">
        <v>1627.7646000000202</v>
      </c>
      <c r="I45" s="1565">
        <v>2019.164400000019</v>
      </c>
      <c r="J45" s="1565">
        <v>2978.3722800000182</v>
      </c>
      <c r="K45" s="1565">
        <v>3421.8675600000165</v>
      </c>
      <c r="L45" s="1565">
        <v>3869.338800000015</v>
      </c>
      <c r="M45" s="1565">
        <v>4437.9298800000124</v>
      </c>
      <c r="N45" s="1565">
        <v>4995.5027200000095</v>
      </c>
      <c r="O45" s="1565">
        <v>5803.6816000000072</v>
      </c>
      <c r="P45" s="1565">
        <v>6681.2683600000037</v>
      </c>
      <c r="Q45" s="1565">
        <v>7870.187920000003</v>
      </c>
      <c r="R45" s="1566">
        <v>9257.8234000000029</v>
      </c>
      <c r="S45" s="1548">
        <f t="shared" ref="S45:AA45" si="36">R52</f>
        <v>10471.249960000003</v>
      </c>
      <c r="T45" s="1546">
        <f t="shared" si="36"/>
        <v>12064.325332204004</v>
      </c>
      <c r="U45" s="1546">
        <f t="shared" si="36"/>
        <v>13030.896718831144</v>
      </c>
      <c r="V45" s="1546">
        <f t="shared" si="36"/>
        <v>14054.986103990233</v>
      </c>
      <c r="W45" s="1546">
        <f t="shared" si="36"/>
        <v>15132.81061762989</v>
      </c>
      <c r="X45" s="1546">
        <f t="shared" si="36"/>
        <v>16310.224989246932</v>
      </c>
      <c r="Y45" s="1546">
        <f t="shared" si="36"/>
        <v>17154.317488978104</v>
      </c>
      <c r="Z45" s="1546">
        <f t="shared" si="36"/>
        <v>18065.712676202558</v>
      </c>
      <c r="AA45" s="1546">
        <f t="shared" si="36"/>
        <v>19073.47111810762</v>
      </c>
      <c r="AB45" s="1014"/>
      <c r="AC45" s="1548">
        <f>D45</f>
        <v>387.45803999999958</v>
      </c>
      <c r="AD45" s="1546">
        <f>AC52</f>
        <v>1627.7645999999972</v>
      </c>
      <c r="AE45" s="1547">
        <f>AD52</f>
        <v>3869.3387999999923</v>
      </c>
      <c r="AF45" s="1546">
        <f>AE52</f>
        <v>6681.2683599999809</v>
      </c>
      <c r="AG45" s="1546">
        <f>AF52</f>
        <v>12064.32533220398</v>
      </c>
      <c r="AH45" s="1547">
        <f>AG52</f>
        <v>16310.224989246912</v>
      </c>
    </row>
    <row r="46" spans="1:34" ht="12.75" customHeight="1" x14ac:dyDescent="0.2">
      <c r="A46" s="1004"/>
      <c r="B46" s="1010" t="s">
        <v>968</v>
      </c>
      <c r="D46" s="1565">
        <v>204.64259999999993</v>
      </c>
      <c r="E46" s="1565">
        <v>331.13447999999926</v>
      </c>
      <c r="F46" s="1565">
        <v>371.1333599999993</v>
      </c>
      <c r="G46" s="1565">
        <v>273.95399999999921</v>
      </c>
      <c r="H46" s="1565">
        <v>328.58579999999893</v>
      </c>
      <c r="I46" s="1565">
        <v>821.32607999999948</v>
      </c>
      <c r="J46" s="1565">
        <v>343.67999999999847</v>
      </c>
      <c r="K46" s="1565">
        <v>469.70591999999846</v>
      </c>
      <c r="L46" s="1565">
        <v>524.12111999999797</v>
      </c>
      <c r="M46" s="1565">
        <v>565.82703999999796</v>
      </c>
      <c r="N46" s="1565">
        <v>674.28803999999718</v>
      </c>
      <c r="O46" s="1565">
        <v>621.15419999999756</v>
      </c>
      <c r="P46" s="1565">
        <v>617.96999999999696</v>
      </c>
      <c r="Q46" s="1565">
        <v>901.60547999999915</v>
      </c>
      <c r="R46" s="1566">
        <v>686.37215999999876</v>
      </c>
      <c r="S46" s="1014">
        <f>'Bookings Build'!T50</f>
        <v>861.13499999999988</v>
      </c>
      <c r="T46" s="1013">
        <f>'Bookings Build'!U50</f>
        <v>544.32000000000005</v>
      </c>
      <c r="U46" s="1013">
        <f>'Bookings Build'!V50</f>
        <v>568.00800000000004</v>
      </c>
      <c r="V46" s="1013">
        <f>'Bookings Build'!W50</f>
        <v>585.90000000000009</v>
      </c>
      <c r="W46" s="1013">
        <f>'Bookings Build'!X50</f>
        <v>647.76600000000008</v>
      </c>
      <c r="X46" s="1013">
        <f>'Bookings Build'!Y50</f>
        <v>436.33687500000002</v>
      </c>
      <c r="Y46" s="1013">
        <f>'Bookings Build'!Z50</f>
        <v>482.53725000000003</v>
      </c>
      <c r="Z46" s="1013">
        <f>'Bookings Build'!AA50</f>
        <v>556.11562500000002</v>
      </c>
      <c r="AA46" s="1013">
        <f>'Bookings Build'!AB50</f>
        <v>684.45</v>
      </c>
      <c r="AB46" s="1014"/>
      <c r="AC46" s="1548">
        <f t="shared" ref="AC46:AC51" si="37">SUM(D46:G46)</f>
        <v>1180.8644399999978</v>
      </c>
      <c r="AD46" s="1546">
        <f t="shared" ref="AD46:AD51" si="38">SUM(H46:K46)</f>
        <v>1963.2977999999953</v>
      </c>
      <c r="AE46" s="1547">
        <f t="shared" ref="AE46:AE51" si="39">SUM(L46:O46)</f>
        <v>2385.3903999999907</v>
      </c>
      <c r="AF46" s="1546">
        <f t="shared" ref="AF46:AF51" si="40">SUM(P46:S46)</f>
        <v>3067.0826399999946</v>
      </c>
      <c r="AG46" s="1546">
        <f t="shared" ref="AG46:AG51" si="41">SUM(T46:W46)</f>
        <v>2345.9940000000001</v>
      </c>
      <c r="AH46" s="1547">
        <f t="shared" ref="AH46:AH51" si="42">SUM(X46:AA46)</f>
        <v>2159.4397500000005</v>
      </c>
    </row>
    <row r="47" spans="1:34" ht="12.75" customHeight="1" x14ac:dyDescent="0.2">
      <c r="A47" s="1004"/>
      <c r="B47" s="1010" t="s">
        <v>967</v>
      </c>
      <c r="D47" s="1565">
        <v>1.1879999999999999</v>
      </c>
      <c r="E47" s="1565">
        <v>0</v>
      </c>
      <c r="F47" s="1565">
        <v>5.976</v>
      </c>
      <c r="G47" s="1565">
        <v>0</v>
      </c>
      <c r="H47" s="1565">
        <v>14.316000000000001</v>
      </c>
      <c r="I47" s="1565">
        <v>4.7639999999999993</v>
      </c>
      <c r="J47" s="1565">
        <v>8.34</v>
      </c>
      <c r="K47" s="1565">
        <v>7.1279999999999992</v>
      </c>
      <c r="L47" s="1565">
        <v>10.704000000000001</v>
      </c>
      <c r="M47" s="1565">
        <v>22.991999999999994</v>
      </c>
      <c r="N47" s="1565">
        <v>37.535999999999994</v>
      </c>
      <c r="O47" s="1565">
        <v>22.043999999999997</v>
      </c>
      <c r="P47" s="1565">
        <v>59.160000000000011</v>
      </c>
      <c r="Q47" s="1565">
        <v>50.808000000000021</v>
      </c>
      <c r="R47" s="1566">
        <v>27.632039999999996</v>
      </c>
      <c r="S47" s="1567">
        <v>0</v>
      </c>
      <c r="T47" s="1567">
        <v>0</v>
      </c>
      <c r="U47" s="1567">
        <v>0</v>
      </c>
      <c r="V47" s="1567">
        <v>0</v>
      </c>
      <c r="W47" s="1567">
        <v>0</v>
      </c>
      <c r="X47" s="1567">
        <v>0</v>
      </c>
      <c r="Y47" s="1567">
        <v>0</v>
      </c>
      <c r="Z47" s="1567">
        <v>0</v>
      </c>
      <c r="AA47" s="1567">
        <v>0</v>
      </c>
      <c r="AB47" s="1014"/>
      <c r="AC47" s="1548">
        <f t="shared" si="37"/>
        <v>7.1639999999999997</v>
      </c>
      <c r="AD47" s="1546">
        <f t="shared" si="38"/>
        <v>34.547999999999995</v>
      </c>
      <c r="AE47" s="1547">
        <f t="shared" si="39"/>
        <v>93.275999999999996</v>
      </c>
      <c r="AF47" s="1546">
        <f t="shared" si="40"/>
        <v>137.60004000000004</v>
      </c>
      <c r="AG47" s="1546">
        <f t="shared" si="41"/>
        <v>0</v>
      </c>
      <c r="AH47" s="1547">
        <f t="shared" si="42"/>
        <v>0</v>
      </c>
    </row>
    <row r="48" spans="1:34" ht="12.75" customHeight="1" x14ac:dyDescent="0.2">
      <c r="A48" s="1004"/>
      <c r="B48" s="1010" t="s">
        <v>965</v>
      </c>
      <c r="D48" s="1565">
        <v>29.879999999999995</v>
      </c>
      <c r="E48" s="1565">
        <v>65.954040000000006</v>
      </c>
      <c r="F48" s="1565">
        <v>60.019680000000022</v>
      </c>
      <c r="G48" s="1565">
        <v>124.8138000000001</v>
      </c>
      <c r="H48" s="1565">
        <v>119.46600000000007</v>
      </c>
      <c r="I48" s="1565">
        <v>237.58919999999989</v>
      </c>
      <c r="J48" s="1565">
        <v>194.12327999999977</v>
      </c>
      <c r="K48" s="1565">
        <v>141.55308000000002</v>
      </c>
      <c r="L48" s="1565">
        <v>298.55291999999974</v>
      </c>
      <c r="M48" s="1565">
        <v>370.72643999999929</v>
      </c>
      <c r="N48" s="1565">
        <v>311.26007999999962</v>
      </c>
      <c r="O48" s="1565">
        <v>500.6805599999995</v>
      </c>
      <c r="P48" s="1565">
        <v>727.45632000000319</v>
      </c>
      <c r="Q48" s="1565">
        <v>724.322280000001</v>
      </c>
      <c r="R48" s="1566">
        <v>855.31416000000058</v>
      </c>
      <c r="S48" s="1014">
        <f>'Bookings Build'!T51</f>
        <v>1098.4341208040003</v>
      </c>
      <c r="T48" s="1013">
        <f>'Bookings Build'!U51</f>
        <v>965.14602657632031</v>
      </c>
      <c r="U48" s="1013">
        <f>'Bookings Build'!V51</f>
        <v>1042.4717375064915</v>
      </c>
      <c r="V48" s="1013">
        <f>'Bookings Build'!W51</f>
        <v>1124.3988883192187</v>
      </c>
      <c r="W48" s="1013">
        <f>'Bookings Build'!X51</f>
        <v>1210.6248494103911</v>
      </c>
      <c r="X48" s="1013">
        <f>'Bookings Build'!Y51</f>
        <v>1141.7157492472854</v>
      </c>
      <c r="Y48" s="1013">
        <f>'Bookings Build'!Z51</f>
        <v>1200.8022242284674</v>
      </c>
      <c r="Z48" s="1013">
        <f>'Bookings Build'!AA51</f>
        <v>1264.5998873341791</v>
      </c>
      <c r="AA48" s="1013">
        <f>'Bookings Build'!AB51</f>
        <v>1335.1429782675336</v>
      </c>
      <c r="AB48" s="1014"/>
      <c r="AC48" s="1548">
        <f t="shared" si="37"/>
        <v>280.66752000000008</v>
      </c>
      <c r="AD48" s="1546">
        <f t="shared" si="38"/>
        <v>692.73155999999972</v>
      </c>
      <c r="AE48" s="1547">
        <f t="shared" si="39"/>
        <v>1481.2199999999982</v>
      </c>
      <c r="AF48" s="1546">
        <f t="shared" si="40"/>
        <v>3405.5268808040055</v>
      </c>
      <c r="AG48" s="1546">
        <f t="shared" si="41"/>
        <v>4342.6415018124217</v>
      </c>
      <c r="AH48" s="1547">
        <f t="shared" si="42"/>
        <v>4942.2608390774658</v>
      </c>
    </row>
    <row r="49" spans="1:34" ht="12.75" customHeight="1" x14ac:dyDescent="0.2">
      <c r="A49" s="1004"/>
      <c r="B49" s="1010" t="s">
        <v>964</v>
      </c>
      <c r="D49" s="1565">
        <v>-4.7639999999999993</v>
      </c>
      <c r="E49" s="1565">
        <v>-24.075599999999994</v>
      </c>
      <c r="F49" s="1565">
        <v>-38.771999999999998</v>
      </c>
      <c r="G49" s="1565">
        <v>-55.309799999999989</v>
      </c>
      <c r="H49" s="1565">
        <v>-57.804000000000009</v>
      </c>
      <c r="I49" s="1565">
        <v>-61.825200000000009</v>
      </c>
      <c r="J49" s="1565">
        <v>-84.744000000000028</v>
      </c>
      <c r="K49" s="1565">
        <v>-114.10980000000005</v>
      </c>
      <c r="L49" s="1565">
        <v>-160.81200000000001</v>
      </c>
      <c r="M49" s="1565">
        <v>-249.52799999999982</v>
      </c>
      <c r="N49" s="1565">
        <v>-133.18920000000006</v>
      </c>
      <c r="O49" s="1565">
        <v>-179.88204000000002</v>
      </c>
      <c r="P49" s="1565">
        <v>-155.74283999999994</v>
      </c>
      <c r="Q49" s="1565">
        <v>-224.0297999999996</v>
      </c>
      <c r="R49" s="1566">
        <v>-322.46795999999938</v>
      </c>
      <c r="S49" s="1548">
        <f t="shared" ref="S49:AA49" si="43">-S45*(1-S58)</f>
        <v>-314.13749880000034</v>
      </c>
      <c r="T49" s="1546">
        <f t="shared" si="43"/>
        <v>-452.41219995764988</v>
      </c>
      <c r="U49" s="1546">
        <f t="shared" si="43"/>
        <v>-488.65862695616761</v>
      </c>
      <c r="V49" s="1546">
        <f t="shared" si="43"/>
        <v>-527.06197889963346</v>
      </c>
      <c r="W49" s="1546">
        <f t="shared" si="43"/>
        <v>-567.48039816112055</v>
      </c>
      <c r="X49" s="1546">
        <f t="shared" si="43"/>
        <v>-611.63343709675962</v>
      </c>
      <c r="Y49" s="1546">
        <f t="shared" si="43"/>
        <v>-643.28690583667856</v>
      </c>
      <c r="Z49" s="1546">
        <f t="shared" si="43"/>
        <v>-677.46422535759552</v>
      </c>
      <c r="AA49" s="1546">
        <f t="shared" si="43"/>
        <v>-715.25516692903534</v>
      </c>
      <c r="AB49" s="1014"/>
      <c r="AC49" s="1548">
        <f t="shared" si="37"/>
        <v>-122.92139999999998</v>
      </c>
      <c r="AD49" s="1546">
        <f t="shared" si="38"/>
        <v>-318.48300000000012</v>
      </c>
      <c r="AE49" s="1547">
        <f t="shared" si="39"/>
        <v>-723.41123999999991</v>
      </c>
      <c r="AF49" s="1546">
        <f t="shared" si="40"/>
        <v>-1016.3780987999993</v>
      </c>
      <c r="AG49" s="1546">
        <f t="shared" si="41"/>
        <v>-2035.6132039745714</v>
      </c>
      <c r="AH49" s="1547">
        <f t="shared" si="42"/>
        <v>-2647.6397352200693</v>
      </c>
    </row>
    <row r="50" spans="1:34" ht="12.75" customHeight="1" x14ac:dyDescent="0.2">
      <c r="A50" s="1004"/>
      <c r="B50" s="1010" t="s">
        <v>963</v>
      </c>
      <c r="D50" s="1565">
        <v>-1.7759999999999998</v>
      </c>
      <c r="E50" s="1565">
        <v>-4.7880000000000003</v>
      </c>
      <c r="F50" s="1565">
        <v>-1.1879999999999999</v>
      </c>
      <c r="G50" s="1565">
        <v>-13.103999999999999</v>
      </c>
      <c r="H50" s="1565">
        <v>-4.7639999999999993</v>
      </c>
      <c r="I50" s="1565">
        <v>-17.268000000000004</v>
      </c>
      <c r="J50" s="1565">
        <v>-13.104000000000003</v>
      </c>
      <c r="K50" s="1565">
        <v>-8.3279999999999994</v>
      </c>
      <c r="L50" s="1565">
        <v>-60.411960000000008</v>
      </c>
      <c r="M50" s="1565">
        <v>-74.864040000000031</v>
      </c>
      <c r="N50" s="1565">
        <v>-11.892000000000001</v>
      </c>
      <c r="O50" s="1565">
        <v>-42.983999999999995</v>
      </c>
      <c r="P50" s="1565">
        <v>-11.904</v>
      </c>
      <c r="Q50" s="1565">
        <v>-10.740000000000002</v>
      </c>
      <c r="R50" s="1566">
        <v>0</v>
      </c>
      <c r="S50" s="1567">
        <v>0</v>
      </c>
      <c r="T50" s="1567">
        <v>0</v>
      </c>
      <c r="U50" s="1567">
        <v>0</v>
      </c>
      <c r="V50" s="1567">
        <v>0</v>
      </c>
      <c r="W50" s="1567">
        <v>0</v>
      </c>
      <c r="X50" s="1567">
        <v>0</v>
      </c>
      <c r="Y50" s="1567">
        <v>0</v>
      </c>
      <c r="Z50" s="1567">
        <v>0</v>
      </c>
      <c r="AA50" s="1567">
        <v>0</v>
      </c>
      <c r="AB50" s="1014"/>
      <c r="AC50" s="1548">
        <f t="shared" si="37"/>
        <v>-20.855999999999998</v>
      </c>
      <c r="AD50" s="1546">
        <f t="shared" si="38"/>
        <v>-43.464000000000013</v>
      </c>
      <c r="AE50" s="1547">
        <f t="shared" si="39"/>
        <v>-190.15200000000004</v>
      </c>
      <c r="AF50" s="1546">
        <f t="shared" si="40"/>
        <v>-22.644000000000002</v>
      </c>
      <c r="AG50" s="1546">
        <f t="shared" si="41"/>
        <v>0</v>
      </c>
      <c r="AH50" s="1547">
        <f t="shared" si="42"/>
        <v>0</v>
      </c>
    </row>
    <row r="51" spans="1:34" ht="15" customHeight="1" x14ac:dyDescent="0.35">
      <c r="A51" s="1004"/>
      <c r="B51" s="1010" t="s">
        <v>962</v>
      </c>
      <c r="C51" s="566"/>
      <c r="D51" s="1568">
        <v>-1.2</v>
      </c>
      <c r="E51" s="1568">
        <v>-1.2</v>
      </c>
      <c r="F51" s="1568">
        <v>-61.812000000000005</v>
      </c>
      <c r="G51" s="1568">
        <v>-20.400000000000006</v>
      </c>
      <c r="H51" s="1568">
        <v>-8.4</v>
      </c>
      <c r="I51" s="1568">
        <v>-25.3782</v>
      </c>
      <c r="J51" s="1568">
        <v>-4.8000000000000007</v>
      </c>
      <c r="K51" s="1568">
        <v>-48.477960000000003</v>
      </c>
      <c r="L51" s="1568">
        <v>-43.563000000000009</v>
      </c>
      <c r="M51" s="1568">
        <v>-77.580600000000018</v>
      </c>
      <c r="N51" s="1568">
        <v>-69.824040000000011</v>
      </c>
      <c r="O51" s="1568">
        <v>-43.425960000000011</v>
      </c>
      <c r="P51" s="1568">
        <v>-48.019920000000013</v>
      </c>
      <c r="Q51" s="1568">
        <v>-54.33048000000003</v>
      </c>
      <c r="R51" s="1569">
        <v>-33.423839999999977</v>
      </c>
      <c r="S51" s="1025">
        <f t="shared" ref="S51:AA51" si="44">-(1-S59)*S45-S49</f>
        <v>-52.356249800000057</v>
      </c>
      <c r="T51" s="1025">
        <f t="shared" si="44"/>
        <v>-90.482439991530725</v>
      </c>
      <c r="U51" s="1025">
        <f t="shared" si="44"/>
        <v>-97.731725391234363</v>
      </c>
      <c r="V51" s="1025">
        <f t="shared" si="44"/>
        <v>-105.41239577992758</v>
      </c>
      <c r="W51" s="1025">
        <f t="shared" si="44"/>
        <v>-113.49607963222513</v>
      </c>
      <c r="X51" s="1025">
        <f t="shared" si="44"/>
        <v>-122.32668741935299</v>
      </c>
      <c r="Y51" s="1025">
        <f t="shared" si="44"/>
        <v>-128.65738116733678</v>
      </c>
      <c r="Z51" s="1025">
        <f t="shared" si="44"/>
        <v>-135.49284507152026</v>
      </c>
      <c r="AA51" s="1025">
        <f t="shared" si="44"/>
        <v>-143.0510333858083</v>
      </c>
      <c r="AB51" s="1014"/>
      <c r="AC51" s="1025">
        <f t="shared" si="37"/>
        <v>-84.612000000000009</v>
      </c>
      <c r="AD51" s="1025">
        <f t="shared" si="38"/>
        <v>-87.056160000000006</v>
      </c>
      <c r="AE51" s="1153">
        <f t="shared" si="39"/>
        <v>-234.39360000000002</v>
      </c>
      <c r="AF51" s="1025">
        <f t="shared" si="40"/>
        <v>-188.13048980000008</v>
      </c>
      <c r="AG51" s="1025">
        <f t="shared" si="41"/>
        <v>-407.1226407949178</v>
      </c>
      <c r="AH51" s="1153">
        <f t="shared" si="42"/>
        <v>-529.52794704401833</v>
      </c>
    </row>
    <row r="52" spans="1:34" ht="12.75" customHeight="1" x14ac:dyDescent="0.2">
      <c r="A52" s="1004"/>
      <c r="B52" s="1009" t="s">
        <v>1067</v>
      </c>
      <c r="C52" s="1007"/>
      <c r="D52" s="698">
        <f t="shared" ref="D52:AA52" si="45">SUM(D45:D51)</f>
        <v>615.42863999999952</v>
      </c>
      <c r="E52" s="698">
        <f t="shared" si="45"/>
        <v>982.45355999999799</v>
      </c>
      <c r="F52" s="698">
        <f t="shared" si="45"/>
        <v>1317.8105999999977</v>
      </c>
      <c r="G52" s="698">
        <f t="shared" si="45"/>
        <v>1627.7646000000063</v>
      </c>
      <c r="H52" s="698">
        <f t="shared" si="45"/>
        <v>2019.164400000019</v>
      </c>
      <c r="I52" s="698">
        <f t="shared" si="45"/>
        <v>2978.3722800000182</v>
      </c>
      <c r="J52" s="698">
        <f t="shared" si="45"/>
        <v>3421.8675600000165</v>
      </c>
      <c r="K52" s="698">
        <f t="shared" si="45"/>
        <v>3869.338800000015</v>
      </c>
      <c r="L52" s="698">
        <f t="shared" si="45"/>
        <v>4437.9298800000124</v>
      </c>
      <c r="M52" s="698">
        <f t="shared" si="45"/>
        <v>4995.5027200000095</v>
      </c>
      <c r="N52" s="698">
        <f t="shared" si="45"/>
        <v>5803.6816000000072</v>
      </c>
      <c r="O52" s="698">
        <f t="shared" si="45"/>
        <v>6681.2683600000037</v>
      </c>
      <c r="P52" s="698">
        <f t="shared" si="45"/>
        <v>7870.187920000003</v>
      </c>
      <c r="Q52" s="698">
        <f t="shared" si="45"/>
        <v>9257.8234000000029</v>
      </c>
      <c r="R52" s="1008">
        <f t="shared" si="45"/>
        <v>10471.249960000003</v>
      </c>
      <c r="S52" s="698">
        <f t="shared" si="45"/>
        <v>12064.325332204004</v>
      </c>
      <c r="T52" s="698">
        <f t="shared" si="45"/>
        <v>13030.896718831144</v>
      </c>
      <c r="U52" s="698">
        <f t="shared" si="45"/>
        <v>14054.986103990233</v>
      </c>
      <c r="V52" s="698">
        <f t="shared" si="45"/>
        <v>15132.81061762989</v>
      </c>
      <c r="W52" s="698">
        <f t="shared" si="45"/>
        <v>16310.224989246932</v>
      </c>
      <c r="X52" s="698">
        <f t="shared" si="45"/>
        <v>17154.317488978104</v>
      </c>
      <c r="Y52" s="698">
        <f t="shared" si="45"/>
        <v>18065.712676202558</v>
      </c>
      <c r="Z52" s="698">
        <f t="shared" si="45"/>
        <v>19073.47111810762</v>
      </c>
      <c r="AA52" s="698">
        <f t="shared" si="45"/>
        <v>20234.75789606031</v>
      </c>
      <c r="AB52" s="698"/>
      <c r="AC52" s="698">
        <f t="shared" ref="AC52:AH52" si="46">SUM(AC45:AC51)</f>
        <v>1627.7645999999972</v>
      </c>
      <c r="AD52" s="698">
        <f t="shared" si="46"/>
        <v>3869.3387999999923</v>
      </c>
      <c r="AE52" s="1008">
        <f t="shared" si="46"/>
        <v>6681.2683599999809</v>
      </c>
      <c r="AF52" s="698">
        <f t="shared" si="46"/>
        <v>12064.32533220398</v>
      </c>
      <c r="AG52" s="698">
        <f t="shared" si="46"/>
        <v>16310.224989246912</v>
      </c>
      <c r="AH52" s="1008">
        <f t="shared" si="46"/>
        <v>20234.757896060291</v>
      </c>
    </row>
    <row r="53" spans="1:34" ht="12.75" customHeight="1" x14ac:dyDescent="0.2">
      <c r="A53" s="1004"/>
      <c r="B53" s="793" t="s">
        <v>974</v>
      </c>
      <c r="C53" s="1007"/>
      <c r="D53" s="790"/>
      <c r="E53" s="790"/>
      <c r="F53" s="790"/>
      <c r="G53" s="790"/>
      <c r="H53" s="791">
        <f t="shared" ref="H53:AA53" si="47">IFERROR(H52/D52-1,"-")</f>
        <v>2.2809074338822133</v>
      </c>
      <c r="I53" s="791">
        <f t="shared" si="47"/>
        <v>2.0315654614758833</v>
      </c>
      <c r="J53" s="791">
        <f t="shared" si="47"/>
        <v>1.5966307753178053</v>
      </c>
      <c r="K53" s="791">
        <f t="shared" si="47"/>
        <v>1.3770874486396867</v>
      </c>
      <c r="L53" s="791">
        <f t="shared" si="47"/>
        <v>1.1979041825420311</v>
      </c>
      <c r="M53" s="791">
        <f t="shared" si="47"/>
        <v>0.67725933844642783</v>
      </c>
      <c r="N53" s="791">
        <f t="shared" si="47"/>
        <v>0.69605675796522615</v>
      </c>
      <c r="O53" s="791">
        <f t="shared" si="47"/>
        <v>0.72672094777536089</v>
      </c>
      <c r="P53" s="791">
        <f t="shared" si="47"/>
        <v>0.7733916787346764</v>
      </c>
      <c r="Q53" s="791">
        <f t="shared" si="47"/>
        <v>0.85323158026425516</v>
      </c>
      <c r="R53" s="792">
        <f t="shared" si="47"/>
        <v>0.80424266555215396</v>
      </c>
      <c r="S53" s="791">
        <f t="shared" si="47"/>
        <v>0.80569387160553996</v>
      </c>
      <c r="T53" s="791">
        <f t="shared" si="47"/>
        <v>0.65572878961588232</v>
      </c>
      <c r="U53" s="791">
        <f t="shared" si="47"/>
        <v>0.51817392671264706</v>
      </c>
      <c r="V53" s="791">
        <f t="shared" si="47"/>
        <v>0.44517709685443174</v>
      </c>
      <c r="W53" s="791">
        <f t="shared" si="47"/>
        <v>0.3519384250778701</v>
      </c>
      <c r="X53" s="791">
        <f t="shared" si="47"/>
        <v>0.31643415331411107</v>
      </c>
      <c r="Y53" s="791">
        <f t="shared" si="47"/>
        <v>0.28535969673236972</v>
      </c>
      <c r="Z53" s="791">
        <f t="shared" si="47"/>
        <v>0.26040506288282073</v>
      </c>
      <c r="AA53" s="791">
        <f t="shared" si="47"/>
        <v>0.24061795035940703</v>
      </c>
      <c r="AB53" s="733"/>
      <c r="AC53" s="790"/>
      <c r="AD53" s="791">
        <f>IFERROR(AD52/AC52-1,"-")</f>
        <v>1.3770874486396858</v>
      </c>
      <c r="AE53" s="792">
        <f>IFERROR(AE52/AD52-1,"-")</f>
        <v>0.72672094777536511</v>
      </c>
      <c r="AF53" s="791">
        <f>IFERROR(AF52/AE52-1,"-")</f>
        <v>0.80569387160554262</v>
      </c>
      <c r="AG53" s="791">
        <f>IFERROR(AG52/AF52-1,"-")</f>
        <v>0.35193842507787099</v>
      </c>
      <c r="AH53" s="792">
        <f>IFERROR(AH52/AG52-1,"-")</f>
        <v>0.24061795035940747</v>
      </c>
    </row>
    <row r="54" spans="1:34" ht="12.75" customHeight="1" x14ac:dyDescent="0.2">
      <c r="A54" s="1004"/>
      <c r="D54" s="1001"/>
      <c r="E54" s="1001"/>
      <c r="F54" s="1001"/>
      <c r="G54" s="1001"/>
      <c r="H54" s="1001"/>
      <c r="I54" s="1001"/>
      <c r="J54" s="1001"/>
      <c r="K54" s="1001"/>
      <c r="L54" s="1001"/>
      <c r="M54" s="1001"/>
      <c r="N54" s="1001"/>
      <c r="O54" s="1001"/>
      <c r="P54" s="1001"/>
      <c r="Q54" s="1006"/>
      <c r="R54" s="1021"/>
      <c r="S54" s="1002"/>
      <c r="T54" s="1001"/>
      <c r="U54" s="1001"/>
      <c r="V54" s="1001"/>
      <c r="W54" s="1001"/>
      <c r="X54" s="1001"/>
      <c r="Y54" s="1001"/>
      <c r="Z54" s="1001"/>
      <c r="AA54" s="1001"/>
      <c r="AC54" s="1000"/>
      <c r="AD54" s="999"/>
      <c r="AE54" s="998"/>
      <c r="AF54" s="999"/>
      <c r="AG54" s="999"/>
      <c r="AH54" s="998"/>
    </row>
    <row r="55" spans="1:34" ht="12.75" customHeight="1" x14ac:dyDescent="0.2">
      <c r="A55" s="1004"/>
      <c r="B55" s="1005" t="s">
        <v>1066</v>
      </c>
      <c r="C55" s="956"/>
      <c r="D55" s="1570">
        <v>83.783779999999965</v>
      </c>
      <c r="E55" s="1570">
        <v>176.8705699999999</v>
      </c>
      <c r="F55" s="1570">
        <v>234.03129000000004</v>
      </c>
      <c r="G55" s="1570">
        <v>312.64349000000021</v>
      </c>
      <c r="H55" s="1570">
        <v>557.28596999999991</v>
      </c>
      <c r="I55" s="1570">
        <v>760.03988999999967</v>
      </c>
      <c r="J55" s="1570">
        <v>742.36001999999917</v>
      </c>
      <c r="K55" s="1570">
        <v>839.28493999999966</v>
      </c>
      <c r="L55" s="1570">
        <v>1016.0387499999993</v>
      </c>
      <c r="M55" s="1570">
        <v>1102.1872199999996</v>
      </c>
      <c r="N55" s="1570">
        <v>1272.1659800000004</v>
      </c>
      <c r="O55" s="1570">
        <v>1584.5590499999994</v>
      </c>
      <c r="P55" s="1570">
        <v>1802.2549200000028</v>
      </c>
      <c r="Q55" s="1570">
        <v>1992.0349300000007</v>
      </c>
      <c r="R55" s="1571">
        <v>2257.1210599999977</v>
      </c>
      <c r="S55" s="954">
        <f t="shared" ref="S55:AA55" si="48">AVERAGE(R52:S52)/4</f>
        <v>2816.9469115255006</v>
      </c>
      <c r="T55" s="954">
        <f t="shared" si="48"/>
        <v>3136.9027563793934</v>
      </c>
      <c r="U55" s="954">
        <f t="shared" si="48"/>
        <v>3385.7353528526719</v>
      </c>
      <c r="V55" s="954">
        <f t="shared" si="48"/>
        <v>3648.4745902025152</v>
      </c>
      <c r="W55" s="954">
        <f t="shared" si="48"/>
        <v>3930.3794508596029</v>
      </c>
      <c r="X55" s="954">
        <f t="shared" si="48"/>
        <v>4183.0678097781292</v>
      </c>
      <c r="Y55" s="954">
        <f t="shared" si="48"/>
        <v>4402.5037706475832</v>
      </c>
      <c r="Z55" s="954">
        <f t="shared" si="48"/>
        <v>4642.3979742887723</v>
      </c>
      <c r="AA55" s="954">
        <f t="shared" si="48"/>
        <v>4913.5286267709907</v>
      </c>
      <c r="AB55" s="698"/>
      <c r="AC55" s="954">
        <f>SUM(D55:G55)</f>
        <v>807.32913000000008</v>
      </c>
      <c r="AD55" s="954">
        <f>SUM(H55:K55)</f>
        <v>2898.9708199999982</v>
      </c>
      <c r="AE55" s="954">
        <f>SUM(L55:O55)</f>
        <v>4974.9509999999991</v>
      </c>
      <c r="AF55" s="1056">
        <f>SUM(P55:S55)</f>
        <v>8868.357821525502</v>
      </c>
      <c r="AG55" s="954">
        <f>SUM(T55:W55)</f>
        <v>14101.492150294183</v>
      </c>
      <c r="AH55" s="1055">
        <f>SUM(X55:AA55)</f>
        <v>18141.498181485476</v>
      </c>
    </row>
    <row r="56" spans="1:34" ht="12.75" customHeight="1" x14ac:dyDescent="0.2">
      <c r="A56" s="1004"/>
      <c r="H56" s="1001"/>
      <c r="I56" s="1001"/>
      <c r="J56" s="1001"/>
      <c r="K56" s="1001"/>
      <c r="L56" s="1001"/>
      <c r="M56" s="1001"/>
      <c r="N56" s="1001"/>
      <c r="O56" s="1001"/>
      <c r="P56" s="1001"/>
      <c r="Q56" s="1006"/>
      <c r="R56" s="1021"/>
      <c r="S56" s="1002"/>
      <c r="T56" s="1001"/>
      <c r="U56" s="1001"/>
      <c r="V56" s="1001"/>
      <c r="W56" s="1001"/>
      <c r="X56" s="1001"/>
      <c r="Y56" s="1001"/>
      <c r="Z56" s="1001"/>
      <c r="AA56" s="1001"/>
      <c r="AC56" s="1000"/>
      <c r="AD56" s="999"/>
      <c r="AE56" s="998"/>
      <c r="AF56" s="999"/>
      <c r="AG56" s="999"/>
      <c r="AH56" s="998"/>
    </row>
    <row r="57" spans="1:34" s="988" customFormat="1" ht="12.75" customHeight="1" x14ac:dyDescent="0.2">
      <c r="A57" s="995"/>
      <c r="B57" s="988" t="s">
        <v>1065</v>
      </c>
      <c r="D57" s="1561">
        <f t="shared" ref="D57:AA57" si="49">IFERROR(D48/D45,"-")</f>
        <v>7.7118028057954424E-2</v>
      </c>
      <c r="E57" s="1561">
        <f t="shared" si="49"/>
        <v>0.10716764822644609</v>
      </c>
      <c r="F57" s="1561">
        <f t="shared" si="49"/>
        <v>6.1091620452777565E-2</v>
      </c>
      <c r="G57" s="1561">
        <f t="shared" si="49"/>
        <v>9.4713003522660558E-2</v>
      </c>
      <c r="H57" s="1561">
        <f t="shared" si="49"/>
        <v>7.3392676066305035E-2</v>
      </c>
      <c r="I57" s="1561">
        <f t="shared" si="49"/>
        <v>0.1176670904063075</v>
      </c>
      <c r="J57" s="1561">
        <f t="shared" si="49"/>
        <v>6.5177641258465702E-2</v>
      </c>
      <c r="K57" s="1561">
        <f t="shared" si="49"/>
        <v>4.1367200079479215E-2</v>
      </c>
      <c r="L57" s="1561">
        <f t="shared" si="49"/>
        <v>7.715864012735163E-2</v>
      </c>
      <c r="M57" s="1561">
        <f t="shared" si="49"/>
        <v>8.3535893992087648E-2</v>
      </c>
      <c r="N57" s="1561">
        <f t="shared" si="49"/>
        <v>6.2308059357837571E-2</v>
      </c>
      <c r="O57" s="1561">
        <f t="shared" si="49"/>
        <v>8.6269474190313764E-2</v>
      </c>
      <c r="P57" s="1561">
        <f t="shared" si="49"/>
        <v>0.10887997320317228</v>
      </c>
      <c r="Q57" s="1561">
        <f t="shared" si="49"/>
        <v>9.2033670270988993E-2</v>
      </c>
      <c r="R57" s="1562">
        <f t="shared" si="49"/>
        <v>9.238825618557385E-2</v>
      </c>
      <c r="S57" s="1561">
        <f t="shared" si="49"/>
        <v>0.10489999999999999</v>
      </c>
      <c r="T57" s="1561">
        <f t="shared" si="49"/>
        <v>0.08</v>
      </c>
      <c r="U57" s="1561">
        <f t="shared" si="49"/>
        <v>0.08</v>
      </c>
      <c r="V57" s="1561">
        <f t="shared" si="49"/>
        <v>0.08</v>
      </c>
      <c r="W57" s="1561">
        <f t="shared" si="49"/>
        <v>0.08</v>
      </c>
      <c r="X57" s="1561">
        <f t="shared" si="49"/>
        <v>7.0000000000000007E-2</v>
      </c>
      <c r="Y57" s="1561">
        <f t="shared" si="49"/>
        <v>7.0000000000000007E-2</v>
      </c>
      <c r="Z57" s="1561">
        <f t="shared" si="49"/>
        <v>7.0000000000000007E-2</v>
      </c>
      <c r="AA57" s="1561">
        <f t="shared" si="49"/>
        <v>7.0000000000000007E-2</v>
      </c>
      <c r="AC57" s="1561">
        <f t="shared" ref="AC57:AH57" si="50">IFERROR(AC48/AC45,"-")</f>
        <v>0.7243817162756524</v>
      </c>
      <c r="AD57" s="1561">
        <f t="shared" si="50"/>
        <v>0.42557232169811343</v>
      </c>
      <c r="AE57" s="1562">
        <f t="shared" si="50"/>
        <v>0.38280959010361182</v>
      </c>
      <c r="AF57" s="1561">
        <f t="shared" si="50"/>
        <v>0.50971263198953665</v>
      </c>
      <c r="AG57" s="1561">
        <f t="shared" si="50"/>
        <v>0.35995726095187147</v>
      </c>
      <c r="AH57" s="1562">
        <f t="shared" si="50"/>
        <v>0.30301610445814359</v>
      </c>
    </row>
    <row r="58" spans="1:34" s="988" customFormat="1" ht="12.75" customHeight="1" x14ac:dyDescent="0.2">
      <c r="A58" s="995"/>
      <c r="B58" s="988" t="s">
        <v>1064</v>
      </c>
      <c r="D58" s="1561">
        <f t="shared" ref="D58:R58" si="51">IFERROR(D49/D45+1,"-")</f>
        <v>0.98770447504457515</v>
      </c>
      <c r="E58" s="1561">
        <f t="shared" si="51"/>
        <v>0.96087994864847359</v>
      </c>
      <c r="F58" s="1561">
        <f t="shared" si="51"/>
        <v>0.96053553920655543</v>
      </c>
      <c r="G58" s="1561">
        <f t="shared" si="51"/>
        <v>0.95802902177293181</v>
      </c>
      <c r="H58" s="1561">
        <f t="shared" si="51"/>
        <v>0.96448872275512121</v>
      </c>
      <c r="I58" s="1561">
        <f t="shared" si="51"/>
        <v>0.96938079930490084</v>
      </c>
      <c r="J58" s="1561">
        <f t="shared" si="51"/>
        <v>0.97154687459017064</v>
      </c>
      <c r="K58" s="1561">
        <f t="shared" si="51"/>
        <v>0.96665277133051886</v>
      </c>
      <c r="L58" s="1561">
        <f t="shared" si="51"/>
        <v>0.95843941088849616</v>
      </c>
      <c r="M58" s="1561">
        <f t="shared" si="51"/>
        <v>0.94377378490712005</v>
      </c>
      <c r="N58" s="1561">
        <f t="shared" si="51"/>
        <v>0.97333817886500928</v>
      </c>
      <c r="O58" s="1561">
        <f t="shared" si="51"/>
        <v>0.96900552917996052</v>
      </c>
      <c r="P58" s="1561">
        <f t="shared" si="51"/>
        <v>0.97668962963194017</v>
      </c>
      <c r="Q58" s="1561">
        <f t="shared" si="51"/>
        <v>0.9715343772884143</v>
      </c>
      <c r="R58" s="1562">
        <f t="shared" si="51"/>
        <v>0.96516805883335388</v>
      </c>
      <c r="S58" s="1572">
        <v>0.97</v>
      </c>
      <c r="T58" s="1561">
        <f t="shared" ref="T58:W59" si="52">1-((1-$AG58)/4)</f>
        <v>0.96250000000000002</v>
      </c>
      <c r="U58" s="1561">
        <f t="shared" si="52"/>
        <v>0.96250000000000002</v>
      </c>
      <c r="V58" s="1561">
        <f t="shared" si="52"/>
        <v>0.96250000000000002</v>
      </c>
      <c r="W58" s="1561">
        <f t="shared" si="52"/>
        <v>0.96250000000000002</v>
      </c>
      <c r="X58" s="1561">
        <f t="shared" ref="X58:AA59" si="53">1-((1-$AH58)/4)</f>
        <v>0.96250000000000002</v>
      </c>
      <c r="Y58" s="1561">
        <f t="shared" si="53"/>
        <v>0.96250000000000002</v>
      </c>
      <c r="Z58" s="1561">
        <f t="shared" si="53"/>
        <v>0.96250000000000002</v>
      </c>
      <c r="AA58" s="1561">
        <f t="shared" si="53"/>
        <v>0.96250000000000002</v>
      </c>
      <c r="AC58" s="1561">
        <f>IFERROR(AC49/AC45+1,"-")</f>
        <v>0.68274913071877386</v>
      </c>
      <c r="AD58" s="1561">
        <f>IFERROR(AD49/AD45+1,"-")</f>
        <v>0.80434333072484765</v>
      </c>
      <c r="AE58" s="1561">
        <f>IFERROR(AE49/AE45+1,"-")</f>
        <v>0.81304008839959907</v>
      </c>
      <c r="AF58" s="1573">
        <f>IFERROR(AF49/AF45+1,"-")</f>
        <v>0.84787647434056934</v>
      </c>
      <c r="AG58" s="1574">
        <v>0.85</v>
      </c>
      <c r="AH58" s="1575">
        <f>+AG58</f>
        <v>0.85</v>
      </c>
    </row>
    <row r="59" spans="1:34" s="988" customFormat="1" ht="12.75" customHeight="1" x14ac:dyDescent="0.2">
      <c r="A59" s="995"/>
      <c r="B59" s="988" t="s">
        <v>1063</v>
      </c>
      <c r="D59" s="1561">
        <f t="shared" ref="D59:R59" si="54">IFERROR(SUM(D49,D51)/D45+1,"-")</f>
        <v>0.98460736548401473</v>
      </c>
      <c r="E59" s="1561">
        <f t="shared" si="54"/>
        <v>0.95893008814149427</v>
      </c>
      <c r="F59" s="1561">
        <f t="shared" si="54"/>
        <v>0.89761958824801835</v>
      </c>
      <c r="G59" s="1561">
        <f t="shared" si="54"/>
        <v>0.94254880026006804</v>
      </c>
      <c r="H59" s="1561">
        <f t="shared" si="54"/>
        <v>0.95932827142204768</v>
      </c>
      <c r="I59" s="1561">
        <f t="shared" si="54"/>
        <v>0.95681213476228122</v>
      </c>
      <c r="J59" s="1561">
        <f t="shared" si="54"/>
        <v>0.96993525604529218</v>
      </c>
      <c r="K59" s="1561">
        <f t="shared" si="54"/>
        <v>0.9524856654592444</v>
      </c>
      <c r="L59" s="1561">
        <f t="shared" si="54"/>
        <v>0.94718089819376916</v>
      </c>
      <c r="M59" s="1561">
        <f t="shared" si="54"/>
        <v>0.92629252628029379</v>
      </c>
      <c r="N59" s="1561">
        <f t="shared" si="54"/>
        <v>0.95936079882666947</v>
      </c>
      <c r="O59" s="1561">
        <f t="shared" si="54"/>
        <v>0.96152304426900337</v>
      </c>
      <c r="P59" s="1561">
        <f t="shared" si="54"/>
        <v>0.96950238352647167</v>
      </c>
      <c r="Q59" s="1561">
        <f t="shared" si="54"/>
        <v>0.9646310503853891</v>
      </c>
      <c r="R59" s="1562">
        <f t="shared" si="54"/>
        <v>0.96155772424866093</v>
      </c>
      <c r="S59" s="1572">
        <v>0.96499999999999997</v>
      </c>
      <c r="T59" s="1561">
        <f t="shared" si="52"/>
        <v>0.95499999999999996</v>
      </c>
      <c r="U59" s="1561">
        <f t="shared" si="52"/>
        <v>0.95499999999999996</v>
      </c>
      <c r="V59" s="1561">
        <f t="shared" si="52"/>
        <v>0.95499999999999996</v>
      </c>
      <c r="W59" s="1561">
        <f t="shared" si="52"/>
        <v>0.95499999999999996</v>
      </c>
      <c r="X59" s="1561">
        <f t="shared" si="53"/>
        <v>0.95499999999999996</v>
      </c>
      <c r="Y59" s="1561">
        <f t="shared" si="53"/>
        <v>0.95499999999999996</v>
      </c>
      <c r="Z59" s="1561">
        <f t="shared" si="53"/>
        <v>0.95499999999999996</v>
      </c>
      <c r="AA59" s="1561">
        <f t="shared" si="53"/>
        <v>0.95499999999999996</v>
      </c>
      <c r="AC59" s="1561">
        <f>IFERROR(SUM(AC49,AC51)/AC45+1,"-")</f>
        <v>0.46437193560365864</v>
      </c>
      <c r="AD59" s="1561">
        <f>IFERROR(SUM(AD49,AD51)/AD45+1,"-")</f>
        <v>0.75086129775767274</v>
      </c>
      <c r="AE59" s="1561">
        <f>IFERROR(SUM(AE49,AE51)/AE45+1,"-")</f>
        <v>0.75246291692006873</v>
      </c>
      <c r="AF59" s="1573">
        <f>IFERROR(SUM(AF49,AF51)/AF45+1,"-")</f>
        <v>0.81971857382480551</v>
      </c>
      <c r="AG59" s="1574">
        <v>0.82</v>
      </c>
      <c r="AH59" s="1575">
        <f>+AG59</f>
        <v>0.82</v>
      </c>
    </row>
    <row r="60" spans="1:34" s="988" customFormat="1" ht="12.75" customHeight="1" x14ac:dyDescent="0.2">
      <c r="A60" s="995"/>
      <c r="B60" s="994" t="s">
        <v>1062</v>
      </c>
      <c r="C60" s="991"/>
      <c r="D60" s="1563">
        <f t="shared" ref="D60:AA60" si="55">IFERROR(1+(SUM(D51,D48:D49)/D45),"-")</f>
        <v>1.061725393541969</v>
      </c>
      <c r="E60" s="1563">
        <f t="shared" si="55"/>
        <v>1.0660977363679405</v>
      </c>
      <c r="F60" s="1563">
        <f t="shared" si="55"/>
        <v>0.95871120870079596</v>
      </c>
      <c r="G60" s="1563">
        <f t="shared" si="55"/>
        <v>1.0372618037827286</v>
      </c>
      <c r="H60" s="1563">
        <f t="shared" si="55"/>
        <v>1.0327209474883527</v>
      </c>
      <c r="I60" s="1563">
        <f t="shared" si="55"/>
        <v>1.0744792251685888</v>
      </c>
      <c r="J60" s="1563">
        <f t="shared" si="55"/>
        <v>1.0351128973037578</v>
      </c>
      <c r="K60" s="1563">
        <f t="shared" si="55"/>
        <v>0.99385286553872354</v>
      </c>
      <c r="L60" s="1563">
        <f t="shared" si="55"/>
        <v>1.0243395383211207</v>
      </c>
      <c r="M60" s="1563">
        <f t="shared" si="55"/>
        <v>1.0098284202723815</v>
      </c>
      <c r="N60" s="1563">
        <f t="shared" si="55"/>
        <v>1.021668858184507</v>
      </c>
      <c r="O60" s="1563">
        <f t="shared" si="55"/>
        <v>1.0477925184593171</v>
      </c>
      <c r="P60" s="1563">
        <f t="shared" si="55"/>
        <v>1.078382356729644</v>
      </c>
      <c r="Q60" s="1563">
        <f t="shared" si="55"/>
        <v>1.0566647206563782</v>
      </c>
      <c r="R60" s="1564">
        <f t="shared" si="55"/>
        <v>1.0539459804342348</v>
      </c>
      <c r="S60" s="1563">
        <f t="shared" si="55"/>
        <v>1.0699000000000001</v>
      </c>
      <c r="T60" s="1563">
        <f t="shared" si="55"/>
        <v>1.0349999999999999</v>
      </c>
      <c r="U60" s="1563">
        <f t="shared" si="55"/>
        <v>1.0349999999999999</v>
      </c>
      <c r="V60" s="1563">
        <f t="shared" si="55"/>
        <v>1.0349999999999999</v>
      </c>
      <c r="W60" s="1563">
        <f t="shared" si="55"/>
        <v>1.0349999999999999</v>
      </c>
      <c r="X60" s="1563">
        <f t="shared" si="55"/>
        <v>1.0249999999999999</v>
      </c>
      <c r="Y60" s="1563">
        <f t="shared" si="55"/>
        <v>1.0249999999999999</v>
      </c>
      <c r="Z60" s="1563">
        <f t="shared" si="55"/>
        <v>1.0249999999999999</v>
      </c>
      <c r="AA60" s="1563">
        <f t="shared" si="55"/>
        <v>1.0249999999999999</v>
      </c>
      <c r="AB60" s="991"/>
      <c r="AC60" s="1563">
        <f t="shared" ref="AC60:AH60" si="56">IFERROR(1+(SUM(AC51,AC48:AC49)/AC45),"-")</f>
        <v>1.1887536518793109</v>
      </c>
      <c r="AD60" s="1563">
        <f t="shared" si="56"/>
        <v>1.1764336194557863</v>
      </c>
      <c r="AE60" s="1562">
        <f t="shared" si="56"/>
        <v>1.1352725070236804</v>
      </c>
      <c r="AF60" s="1563">
        <f t="shared" si="56"/>
        <v>1.3294312058143423</v>
      </c>
      <c r="AG60" s="1563">
        <f t="shared" si="56"/>
        <v>1.1574813016664436</v>
      </c>
      <c r="AH60" s="1564">
        <f t="shared" si="56"/>
        <v>1.1082200373064797</v>
      </c>
    </row>
    <row r="61" spans="1:34" ht="12.75" customHeight="1" x14ac:dyDescent="0.2">
      <c r="AC61" s="1000"/>
      <c r="AD61" s="1000"/>
      <c r="AE61" s="1027"/>
      <c r="AF61" s="1026"/>
      <c r="AG61" s="1000"/>
      <c r="AH61" s="1000"/>
    </row>
    <row r="62" spans="1:34" ht="12.75" customHeight="1" x14ac:dyDescent="0.2">
      <c r="B62" s="806" t="s">
        <v>1036</v>
      </c>
      <c r="C62" s="987"/>
      <c r="D62" s="987"/>
      <c r="E62" s="987"/>
      <c r="F62" s="987"/>
      <c r="G62" s="987"/>
      <c r="H62" s="987"/>
      <c r="I62" s="987"/>
      <c r="J62" s="987"/>
      <c r="K62" s="987"/>
      <c r="L62" s="987"/>
      <c r="M62" s="987"/>
      <c r="N62" s="987"/>
      <c r="O62" s="987"/>
      <c r="P62" s="987"/>
      <c r="Q62" s="987"/>
      <c r="R62" s="986"/>
      <c r="S62" s="987"/>
      <c r="T62" s="987"/>
      <c r="U62" s="987"/>
      <c r="V62" s="987"/>
      <c r="W62" s="987"/>
      <c r="X62" s="987"/>
      <c r="Y62" s="987"/>
      <c r="Z62" s="987"/>
      <c r="AA62" s="987"/>
      <c r="AB62" s="987"/>
      <c r="AC62" s="1017"/>
      <c r="AD62" s="1017"/>
      <c r="AE62" s="1015"/>
      <c r="AF62" s="1017"/>
      <c r="AG62" s="1017"/>
      <c r="AH62" s="1016"/>
    </row>
    <row r="63" spans="1:34" ht="12.75" customHeight="1" x14ac:dyDescent="0.2">
      <c r="B63" s="863" t="s">
        <v>313</v>
      </c>
      <c r="R63" s="1004"/>
      <c r="AC63" s="1000"/>
      <c r="AD63" s="1000"/>
      <c r="AE63" s="1015"/>
      <c r="AF63" s="1000"/>
      <c r="AG63" s="1000"/>
      <c r="AH63" s="1015"/>
    </row>
    <row r="64" spans="1:34" ht="12.75" customHeight="1" x14ac:dyDescent="0.2">
      <c r="A64" s="1004" t="s">
        <v>1018</v>
      </c>
      <c r="B64" s="864" t="s">
        <v>1069</v>
      </c>
      <c r="C64" s="862"/>
      <c r="D64" s="862"/>
      <c r="E64" s="862"/>
      <c r="F64" s="862"/>
      <c r="G64" s="862"/>
      <c r="R64" s="1004"/>
      <c r="AC64" s="1000"/>
      <c r="AD64" s="1000"/>
      <c r="AE64" s="1015"/>
      <c r="AF64" s="1000"/>
      <c r="AG64" s="1000"/>
      <c r="AH64" s="1015"/>
    </row>
    <row r="65" spans="1:35" ht="12.75" customHeight="1" x14ac:dyDescent="0.2">
      <c r="A65" s="1004"/>
      <c r="B65" s="978" t="s">
        <v>1068</v>
      </c>
      <c r="D65" s="1565">
        <v>0</v>
      </c>
      <c r="E65" s="1565">
        <v>0</v>
      </c>
      <c r="F65" s="1565">
        <v>0</v>
      </c>
      <c r="G65" s="1565">
        <v>1.1879999999999999</v>
      </c>
      <c r="H65" s="1565">
        <v>1.1879999999999999</v>
      </c>
      <c r="I65" s="1565">
        <v>2.3879999999999999</v>
      </c>
      <c r="J65" s="1565">
        <v>2.3879999999999999</v>
      </c>
      <c r="K65" s="1565">
        <v>2.3879999999999999</v>
      </c>
      <c r="L65" s="1565">
        <v>4.7759999999999998</v>
      </c>
      <c r="M65" s="1565">
        <v>4.7759999999999998</v>
      </c>
      <c r="N65" s="1565">
        <v>14.976000000000001</v>
      </c>
      <c r="O65" s="1565">
        <v>92.576040000000006</v>
      </c>
      <c r="P65" s="1565">
        <v>187.77599999999998</v>
      </c>
      <c r="Q65" s="1565">
        <v>350.17595999999992</v>
      </c>
      <c r="R65" s="1566">
        <v>373.68791999999991</v>
      </c>
      <c r="S65" s="1548">
        <f t="shared" ref="S65:AA65" si="57">R72</f>
        <v>453.68795999999992</v>
      </c>
      <c r="T65" s="1546">
        <f t="shared" si="57"/>
        <v>875.68734254999993</v>
      </c>
      <c r="U65" s="1546">
        <f t="shared" si="57"/>
        <v>871.30890583724999</v>
      </c>
      <c r="V65" s="1546">
        <f t="shared" si="57"/>
        <v>866.95236130806381</v>
      </c>
      <c r="W65" s="1546">
        <f t="shared" si="57"/>
        <v>862.6175995015235</v>
      </c>
      <c r="X65" s="1546">
        <f t="shared" si="57"/>
        <v>858.30451150401586</v>
      </c>
      <c r="Y65" s="1546">
        <f t="shared" si="57"/>
        <v>854.01298894649574</v>
      </c>
      <c r="Z65" s="1546">
        <f t="shared" si="57"/>
        <v>849.74292400176319</v>
      </c>
      <c r="AA65" s="1546">
        <f t="shared" si="57"/>
        <v>845.49420938175433</v>
      </c>
      <c r="AB65" s="1012"/>
      <c r="AC65" s="1548">
        <f>D65</f>
        <v>0</v>
      </c>
      <c r="AD65" s="1546">
        <f>AC72</f>
        <v>1.1879999999999999</v>
      </c>
      <c r="AE65" s="1547">
        <f>AD72</f>
        <v>4.7759999999999998</v>
      </c>
      <c r="AF65" s="1546">
        <f>AE72</f>
        <v>187.77600000000001</v>
      </c>
      <c r="AG65" s="1546">
        <f>AF72</f>
        <v>875.68734254999993</v>
      </c>
      <c r="AH65" s="1547">
        <f>AG72</f>
        <v>858.30451150401575</v>
      </c>
    </row>
    <row r="66" spans="1:35" ht="12.75" customHeight="1" x14ac:dyDescent="0.2">
      <c r="B66" s="1010" t="s">
        <v>968</v>
      </c>
      <c r="D66" s="1565">
        <v>0</v>
      </c>
      <c r="E66" s="1565">
        <v>0</v>
      </c>
      <c r="F66" s="1565">
        <v>1.1879999999999999</v>
      </c>
      <c r="G66" s="1565">
        <v>0</v>
      </c>
      <c r="H66" s="1565">
        <v>0</v>
      </c>
      <c r="I66" s="1565">
        <v>0</v>
      </c>
      <c r="J66" s="1565">
        <v>0</v>
      </c>
      <c r="K66" s="1565">
        <v>2.3879999999999999</v>
      </c>
      <c r="L66" s="1565">
        <v>0</v>
      </c>
      <c r="M66" s="1565">
        <v>7.8</v>
      </c>
      <c r="N66" s="1565">
        <v>75.200040000000001</v>
      </c>
      <c r="O66" s="1565">
        <v>67.8</v>
      </c>
      <c r="P66" s="1565">
        <v>156.99995999999999</v>
      </c>
      <c r="Q66" s="1565">
        <v>20.499959999999998</v>
      </c>
      <c r="R66" s="1566">
        <v>80.000039999999998</v>
      </c>
      <c r="S66" s="1014">
        <f>'Bookings Build'!T74</f>
        <v>337.5</v>
      </c>
      <c r="T66" s="1013">
        <f>'Bookings Build'!U74</f>
        <v>0</v>
      </c>
      <c r="U66" s="1013">
        <f>'Bookings Build'!V74</f>
        <v>0</v>
      </c>
      <c r="V66" s="1013">
        <f>'Bookings Build'!W74</f>
        <v>0</v>
      </c>
      <c r="W66" s="1013">
        <f>'Bookings Build'!X74</f>
        <v>0</v>
      </c>
      <c r="X66" s="1013">
        <f>'Bookings Build'!Y74</f>
        <v>0</v>
      </c>
      <c r="Y66" s="1013">
        <f>'Bookings Build'!Z74</f>
        <v>0</v>
      </c>
      <c r="Z66" s="1013">
        <f>'Bookings Build'!AA74</f>
        <v>0</v>
      </c>
      <c r="AA66" s="1013">
        <f>'Bookings Build'!AB74</f>
        <v>0</v>
      </c>
      <c r="AB66" s="1012"/>
      <c r="AC66" s="1548">
        <f t="shared" ref="AC66:AC71" si="58">SUM(D66:G66)</f>
        <v>1.1879999999999999</v>
      </c>
      <c r="AD66" s="1546">
        <f t="shared" ref="AD66:AD71" si="59">SUM(H66:K66)</f>
        <v>2.3879999999999999</v>
      </c>
      <c r="AE66" s="1547">
        <f t="shared" ref="AE66:AE71" si="60">SUM(L66:O66)</f>
        <v>150.80004</v>
      </c>
      <c r="AF66" s="1546">
        <f t="shared" ref="AF66:AF71" si="61">SUM(P66:S66)</f>
        <v>594.99995999999999</v>
      </c>
      <c r="AG66" s="1546">
        <f t="shared" ref="AG66:AG71" si="62">SUM(T66:W66)</f>
        <v>0</v>
      </c>
      <c r="AH66" s="1547">
        <f t="shared" ref="AH66:AH71" si="63">SUM(X66:AA66)</f>
        <v>0</v>
      </c>
    </row>
    <row r="67" spans="1:35" ht="12.75" customHeight="1" x14ac:dyDescent="0.2">
      <c r="B67" s="1010" t="s">
        <v>967</v>
      </c>
      <c r="D67" s="1565">
        <v>0</v>
      </c>
      <c r="E67" s="1565">
        <v>0</v>
      </c>
      <c r="F67" s="1565">
        <v>0</v>
      </c>
      <c r="G67" s="1565">
        <v>0</v>
      </c>
      <c r="H67" s="1565">
        <v>0</v>
      </c>
      <c r="I67" s="1565">
        <v>0</v>
      </c>
      <c r="J67" s="1565">
        <v>0</v>
      </c>
      <c r="K67" s="1565">
        <v>0</v>
      </c>
      <c r="L67" s="1565">
        <v>0</v>
      </c>
      <c r="M67" s="1565">
        <v>0</v>
      </c>
      <c r="N67" s="1565">
        <v>0</v>
      </c>
      <c r="O67" s="1565">
        <v>0</v>
      </c>
      <c r="P67" s="1565">
        <v>0</v>
      </c>
      <c r="Q67" s="1565">
        <v>0</v>
      </c>
      <c r="R67" s="1566">
        <v>0</v>
      </c>
      <c r="S67" s="1567">
        <v>0</v>
      </c>
      <c r="T67" s="1567">
        <v>0</v>
      </c>
      <c r="U67" s="1567">
        <v>0</v>
      </c>
      <c r="V67" s="1567">
        <v>0</v>
      </c>
      <c r="W67" s="1567">
        <v>0</v>
      </c>
      <c r="X67" s="1567">
        <v>0</v>
      </c>
      <c r="Y67" s="1567">
        <v>0</v>
      </c>
      <c r="Z67" s="1567">
        <v>0</v>
      </c>
      <c r="AA67" s="1567">
        <v>0</v>
      </c>
      <c r="AB67" s="1012"/>
      <c r="AC67" s="1548">
        <f t="shared" si="58"/>
        <v>0</v>
      </c>
      <c r="AD67" s="1546">
        <f t="shared" si="59"/>
        <v>0</v>
      </c>
      <c r="AE67" s="1547">
        <f t="shared" si="60"/>
        <v>0</v>
      </c>
      <c r="AF67" s="1546">
        <f t="shared" si="61"/>
        <v>0</v>
      </c>
      <c r="AG67" s="1546">
        <f t="shared" si="62"/>
        <v>0</v>
      </c>
      <c r="AH67" s="1547">
        <f t="shared" si="63"/>
        <v>0</v>
      </c>
    </row>
    <row r="68" spans="1:35" ht="12.75" customHeight="1" x14ac:dyDescent="0.2">
      <c r="B68" s="1010" t="s">
        <v>965</v>
      </c>
      <c r="D68" s="1565">
        <v>0</v>
      </c>
      <c r="E68" s="1565">
        <v>0</v>
      </c>
      <c r="F68" s="1565">
        <v>0</v>
      </c>
      <c r="G68" s="1565">
        <v>0</v>
      </c>
      <c r="H68" s="1565">
        <v>1.2</v>
      </c>
      <c r="I68" s="1565">
        <v>0</v>
      </c>
      <c r="J68" s="1565">
        <v>0</v>
      </c>
      <c r="K68" s="1565">
        <v>0</v>
      </c>
      <c r="L68" s="1565">
        <v>0</v>
      </c>
      <c r="M68" s="1565">
        <v>2.4000000000000004</v>
      </c>
      <c r="N68" s="1565">
        <v>2.4000000000000004</v>
      </c>
      <c r="O68" s="1565">
        <v>27.39996</v>
      </c>
      <c r="P68" s="1565">
        <v>5.4000000000000021</v>
      </c>
      <c r="Q68" s="1565">
        <v>3.0119999999999996</v>
      </c>
      <c r="R68" s="1566">
        <v>0</v>
      </c>
      <c r="S68" s="1014">
        <f>'Bookings Build'!T75</f>
        <v>86.767822349999989</v>
      </c>
      <c r="T68" s="1013">
        <f>'Bookings Build'!U75</f>
        <v>0</v>
      </c>
      <c r="U68" s="1013">
        <f>'Bookings Build'!V75</f>
        <v>0</v>
      </c>
      <c r="V68" s="1013">
        <f>'Bookings Build'!W75</f>
        <v>0</v>
      </c>
      <c r="W68" s="1013">
        <f>'Bookings Build'!X75</f>
        <v>0</v>
      </c>
      <c r="X68" s="1013">
        <f>'Bookings Build'!Y75</f>
        <v>0</v>
      </c>
      <c r="Y68" s="1013">
        <f>'Bookings Build'!Z75</f>
        <v>0</v>
      </c>
      <c r="Z68" s="1013">
        <f>'Bookings Build'!AA75</f>
        <v>0</v>
      </c>
      <c r="AA68" s="1013">
        <f>'Bookings Build'!AB75</f>
        <v>0</v>
      </c>
      <c r="AB68" s="1012"/>
      <c r="AC68" s="1548">
        <f t="shared" si="58"/>
        <v>0</v>
      </c>
      <c r="AD68" s="1546">
        <f t="shared" si="59"/>
        <v>1.2</v>
      </c>
      <c r="AE68" s="1547">
        <f t="shared" si="60"/>
        <v>32.199960000000004</v>
      </c>
      <c r="AF68" s="1546">
        <f t="shared" si="61"/>
        <v>95.179822349999995</v>
      </c>
      <c r="AG68" s="1546">
        <f t="shared" si="62"/>
        <v>0</v>
      </c>
      <c r="AH68" s="1547">
        <f t="shared" si="63"/>
        <v>0</v>
      </c>
    </row>
    <row r="69" spans="1:35" ht="12.75" customHeight="1" x14ac:dyDescent="0.2">
      <c r="B69" s="1010" t="s">
        <v>964</v>
      </c>
      <c r="D69" s="1565">
        <v>0</v>
      </c>
      <c r="E69" s="1565">
        <v>0</v>
      </c>
      <c r="F69" s="1565">
        <v>0</v>
      </c>
      <c r="G69" s="1565">
        <v>0</v>
      </c>
      <c r="H69" s="1565">
        <v>0</v>
      </c>
      <c r="I69" s="1565">
        <v>0</v>
      </c>
      <c r="J69" s="1565">
        <v>0</v>
      </c>
      <c r="K69" s="1565">
        <v>0</v>
      </c>
      <c r="L69" s="1565">
        <v>0</v>
      </c>
      <c r="M69" s="1565">
        <v>0</v>
      </c>
      <c r="N69" s="1565">
        <v>0</v>
      </c>
      <c r="O69" s="1565">
        <v>0</v>
      </c>
      <c r="P69" s="1565">
        <v>0</v>
      </c>
      <c r="Q69" s="1565">
        <v>0</v>
      </c>
      <c r="R69" s="1566">
        <v>0</v>
      </c>
      <c r="S69" s="1548">
        <f t="shared" ref="S69:AA69" si="64">-S65*(1-S78)</f>
        <v>-1.1342198999999755</v>
      </c>
      <c r="T69" s="1546">
        <f t="shared" si="64"/>
        <v>-2.189218356374953</v>
      </c>
      <c r="U69" s="1546">
        <f t="shared" si="64"/>
        <v>-2.1782722645930788</v>
      </c>
      <c r="V69" s="1546">
        <f t="shared" si="64"/>
        <v>-2.1673809032701135</v>
      </c>
      <c r="W69" s="1546">
        <f t="shared" si="64"/>
        <v>-2.1565439987537629</v>
      </c>
      <c r="X69" s="1546">
        <f t="shared" si="64"/>
        <v>-2.145761278759994</v>
      </c>
      <c r="Y69" s="1546">
        <f t="shared" si="64"/>
        <v>-2.135032472366194</v>
      </c>
      <c r="Z69" s="1546">
        <f t="shared" si="64"/>
        <v>-2.1243573100043629</v>
      </c>
      <c r="AA69" s="1546">
        <f t="shared" si="64"/>
        <v>-2.1137355234543409</v>
      </c>
      <c r="AB69" s="1012"/>
      <c r="AC69" s="1548">
        <f t="shared" si="58"/>
        <v>0</v>
      </c>
      <c r="AD69" s="1546">
        <f t="shared" si="59"/>
        <v>0</v>
      </c>
      <c r="AE69" s="1547">
        <f t="shared" si="60"/>
        <v>0</v>
      </c>
      <c r="AF69" s="1546">
        <f t="shared" si="61"/>
        <v>-1.1342198999999755</v>
      </c>
      <c r="AG69" s="1546">
        <f t="shared" si="62"/>
        <v>-8.6914155229919086</v>
      </c>
      <c r="AH69" s="1547">
        <f t="shared" si="63"/>
        <v>-8.5188865845848927</v>
      </c>
    </row>
    <row r="70" spans="1:35" ht="12.75" customHeight="1" x14ac:dyDescent="0.2">
      <c r="B70" s="1010" t="s">
        <v>963</v>
      </c>
      <c r="D70" s="1565">
        <v>0</v>
      </c>
      <c r="E70" s="1565">
        <v>0</v>
      </c>
      <c r="F70" s="1565">
        <v>0</v>
      </c>
      <c r="G70" s="1565">
        <v>0</v>
      </c>
      <c r="H70" s="1565">
        <v>0</v>
      </c>
      <c r="I70" s="1565">
        <v>0</v>
      </c>
      <c r="J70" s="1565">
        <v>0</v>
      </c>
      <c r="K70" s="1565">
        <v>0</v>
      </c>
      <c r="L70" s="1565">
        <v>0</v>
      </c>
      <c r="M70" s="1565">
        <v>0</v>
      </c>
      <c r="N70" s="1565">
        <v>0</v>
      </c>
      <c r="O70" s="1565">
        <v>0</v>
      </c>
      <c r="P70" s="1565">
        <v>0</v>
      </c>
      <c r="Q70" s="1565">
        <v>0</v>
      </c>
      <c r="R70" s="1566">
        <v>0</v>
      </c>
      <c r="S70" s="1567">
        <v>0</v>
      </c>
      <c r="T70" s="1567">
        <v>0</v>
      </c>
      <c r="U70" s="1567">
        <v>0</v>
      </c>
      <c r="V70" s="1567">
        <v>0</v>
      </c>
      <c r="W70" s="1567">
        <v>0</v>
      </c>
      <c r="X70" s="1567">
        <v>0</v>
      </c>
      <c r="Y70" s="1567">
        <v>0</v>
      </c>
      <c r="Z70" s="1567">
        <v>0</v>
      </c>
      <c r="AA70" s="1567">
        <v>0</v>
      </c>
      <c r="AB70" s="1012"/>
      <c r="AC70" s="1548">
        <f t="shared" si="58"/>
        <v>0</v>
      </c>
      <c r="AD70" s="1546">
        <f t="shared" si="59"/>
        <v>0</v>
      </c>
      <c r="AE70" s="1547">
        <f t="shared" si="60"/>
        <v>0</v>
      </c>
      <c r="AF70" s="1546">
        <f t="shared" si="61"/>
        <v>0</v>
      </c>
      <c r="AG70" s="1546">
        <f t="shared" si="62"/>
        <v>0</v>
      </c>
      <c r="AH70" s="1547">
        <f t="shared" si="63"/>
        <v>0</v>
      </c>
    </row>
    <row r="71" spans="1:35" ht="15" customHeight="1" x14ac:dyDescent="0.35">
      <c r="A71" s="1004"/>
      <c r="B71" s="1010" t="s">
        <v>962</v>
      </c>
      <c r="C71" s="566"/>
      <c r="D71" s="1568">
        <v>0</v>
      </c>
      <c r="E71" s="1568">
        <v>0</v>
      </c>
      <c r="F71" s="1568">
        <v>0</v>
      </c>
      <c r="G71" s="1568">
        <v>0</v>
      </c>
      <c r="H71" s="1568">
        <v>0</v>
      </c>
      <c r="I71" s="1568">
        <v>0</v>
      </c>
      <c r="J71" s="1568">
        <v>0</v>
      </c>
      <c r="K71" s="1568">
        <v>0</v>
      </c>
      <c r="L71" s="1568">
        <v>0</v>
      </c>
      <c r="M71" s="1568">
        <v>0</v>
      </c>
      <c r="N71" s="1568">
        <v>0</v>
      </c>
      <c r="O71" s="1568">
        <v>0</v>
      </c>
      <c r="P71" s="1568">
        <v>0</v>
      </c>
      <c r="Q71" s="1568">
        <v>0</v>
      </c>
      <c r="R71" s="1569">
        <v>0</v>
      </c>
      <c r="S71" s="1025">
        <f t="shared" ref="S71:AA71" si="65">-(1-S79)*S65-S69</f>
        <v>-1.1342199000000261</v>
      </c>
      <c r="T71" s="1025">
        <f t="shared" si="65"/>
        <v>-2.1892183563750507</v>
      </c>
      <c r="U71" s="1025">
        <f t="shared" si="65"/>
        <v>-2.1782722645931747</v>
      </c>
      <c r="V71" s="1025">
        <f t="shared" si="65"/>
        <v>-2.1673809032702094</v>
      </c>
      <c r="W71" s="1025">
        <f t="shared" si="65"/>
        <v>-2.1565439987538588</v>
      </c>
      <c r="X71" s="1025">
        <f t="shared" si="65"/>
        <v>-2.145761278760089</v>
      </c>
      <c r="Y71" s="1025">
        <f t="shared" si="65"/>
        <v>-2.1350324723662881</v>
      </c>
      <c r="Z71" s="1025">
        <f t="shared" si="65"/>
        <v>-2.124357310004457</v>
      </c>
      <c r="AA71" s="1025">
        <f t="shared" si="65"/>
        <v>-2.1137355234544342</v>
      </c>
      <c r="AB71" s="1014"/>
      <c r="AC71" s="1025">
        <f t="shared" si="58"/>
        <v>0</v>
      </c>
      <c r="AD71" s="1025">
        <f t="shared" si="59"/>
        <v>0</v>
      </c>
      <c r="AE71" s="1153">
        <f t="shared" si="60"/>
        <v>0</v>
      </c>
      <c r="AF71" s="1025">
        <f t="shared" si="61"/>
        <v>-1.1342199000000261</v>
      </c>
      <c r="AG71" s="1025">
        <f t="shared" si="62"/>
        <v>-8.691415522992294</v>
      </c>
      <c r="AH71" s="1153">
        <f t="shared" si="63"/>
        <v>-8.5188865845852675</v>
      </c>
    </row>
    <row r="72" spans="1:35" ht="12.75" customHeight="1" x14ac:dyDescent="0.2">
      <c r="B72" s="1009" t="s">
        <v>1067</v>
      </c>
      <c r="C72" s="1007"/>
      <c r="D72" s="698">
        <f t="shared" ref="D72:AA72" si="66">SUM(D65:D71)</f>
        <v>0</v>
      </c>
      <c r="E72" s="698">
        <f t="shared" si="66"/>
        <v>0</v>
      </c>
      <c r="F72" s="698">
        <f t="shared" si="66"/>
        <v>1.1879999999999999</v>
      </c>
      <c r="G72" s="698">
        <f t="shared" si="66"/>
        <v>1.1879999999999999</v>
      </c>
      <c r="H72" s="698">
        <f t="shared" si="66"/>
        <v>2.3879999999999999</v>
      </c>
      <c r="I72" s="698">
        <f t="shared" si="66"/>
        <v>2.3879999999999999</v>
      </c>
      <c r="J72" s="698">
        <f t="shared" si="66"/>
        <v>2.3879999999999999</v>
      </c>
      <c r="K72" s="698">
        <f t="shared" si="66"/>
        <v>4.7759999999999998</v>
      </c>
      <c r="L72" s="698">
        <f t="shared" si="66"/>
        <v>4.7759999999999998</v>
      </c>
      <c r="M72" s="698">
        <f t="shared" si="66"/>
        <v>14.976000000000001</v>
      </c>
      <c r="N72" s="698">
        <f t="shared" si="66"/>
        <v>92.576040000000006</v>
      </c>
      <c r="O72" s="698">
        <f t="shared" si="66"/>
        <v>187.77599999999998</v>
      </c>
      <c r="P72" s="698">
        <f t="shared" si="66"/>
        <v>350.17595999999992</v>
      </c>
      <c r="Q72" s="698">
        <f t="shared" si="66"/>
        <v>373.68791999999991</v>
      </c>
      <c r="R72" s="1008">
        <f t="shared" si="66"/>
        <v>453.68795999999992</v>
      </c>
      <c r="S72" s="698">
        <f t="shared" si="66"/>
        <v>875.68734254999993</v>
      </c>
      <c r="T72" s="698">
        <f t="shared" si="66"/>
        <v>871.30890583724999</v>
      </c>
      <c r="U72" s="698">
        <f t="shared" si="66"/>
        <v>866.95236130806381</v>
      </c>
      <c r="V72" s="698">
        <f t="shared" si="66"/>
        <v>862.6175995015235</v>
      </c>
      <c r="W72" s="698">
        <f t="shared" si="66"/>
        <v>858.30451150401586</v>
      </c>
      <c r="X72" s="698">
        <f t="shared" si="66"/>
        <v>854.01298894649574</v>
      </c>
      <c r="Y72" s="698">
        <f t="shared" si="66"/>
        <v>849.74292400176319</v>
      </c>
      <c r="Z72" s="698">
        <f t="shared" si="66"/>
        <v>845.49420938175433</v>
      </c>
      <c r="AA72" s="698">
        <f t="shared" si="66"/>
        <v>841.26673833484551</v>
      </c>
      <c r="AB72" s="698"/>
      <c r="AC72" s="698">
        <f t="shared" ref="AC72:AH72" si="67">SUM(AC65:AC71)</f>
        <v>1.1879999999999999</v>
      </c>
      <c r="AD72" s="698">
        <f t="shared" si="67"/>
        <v>4.7759999999999998</v>
      </c>
      <c r="AE72" s="1008">
        <f t="shared" si="67"/>
        <v>187.77600000000001</v>
      </c>
      <c r="AF72" s="698">
        <f t="shared" si="67"/>
        <v>875.68734254999993</v>
      </c>
      <c r="AG72" s="698">
        <f t="shared" si="67"/>
        <v>858.30451150401575</v>
      </c>
      <c r="AH72" s="1008">
        <f t="shared" si="67"/>
        <v>841.26673833484551</v>
      </c>
    </row>
    <row r="73" spans="1:35" ht="12.75" customHeight="1" x14ac:dyDescent="0.2">
      <c r="B73" s="793" t="s">
        <v>974</v>
      </c>
      <c r="C73" s="1007"/>
      <c r="D73" s="790"/>
      <c r="E73" s="790"/>
      <c r="F73" s="790"/>
      <c r="G73" s="790"/>
      <c r="H73" s="791" t="str">
        <f t="shared" ref="H73:AA73" si="68">IFERROR(H72/D72-1,"-")</f>
        <v>-</v>
      </c>
      <c r="I73" s="791" t="str">
        <f t="shared" si="68"/>
        <v>-</v>
      </c>
      <c r="J73" s="791">
        <f t="shared" si="68"/>
        <v>1.0101010101010099</v>
      </c>
      <c r="K73" s="791">
        <f t="shared" si="68"/>
        <v>3.0202020202020199</v>
      </c>
      <c r="L73" s="791">
        <f t="shared" si="68"/>
        <v>1</v>
      </c>
      <c r="M73" s="791">
        <f t="shared" si="68"/>
        <v>5.2713567839195985</v>
      </c>
      <c r="N73" s="791">
        <f t="shared" si="68"/>
        <v>37.767185929648242</v>
      </c>
      <c r="O73" s="791">
        <f t="shared" si="68"/>
        <v>38.316582914572862</v>
      </c>
      <c r="P73" s="791">
        <f t="shared" si="68"/>
        <v>72.319924623115568</v>
      </c>
      <c r="Q73" s="791">
        <f t="shared" si="68"/>
        <v>23.952451923076914</v>
      </c>
      <c r="R73" s="792">
        <f t="shared" si="68"/>
        <v>3.9007060574204715</v>
      </c>
      <c r="S73" s="791">
        <f t="shared" si="68"/>
        <v>3.6634678688969835</v>
      </c>
      <c r="T73" s="791">
        <f t="shared" si="68"/>
        <v>1.4882030903470649</v>
      </c>
      <c r="U73" s="791">
        <f t="shared" si="68"/>
        <v>1.319990331258404</v>
      </c>
      <c r="V73" s="791">
        <f t="shared" si="68"/>
        <v>0.90134558453242541</v>
      </c>
      <c r="W73" s="791">
        <f t="shared" si="68"/>
        <v>-1.985049937499983E-2</v>
      </c>
      <c r="X73" s="791">
        <f t="shared" si="68"/>
        <v>-1.9850499374999941E-2</v>
      </c>
      <c r="Y73" s="791">
        <f t="shared" si="68"/>
        <v>-1.9850499375000163E-2</v>
      </c>
      <c r="Z73" s="791">
        <f t="shared" si="68"/>
        <v>-1.9850499375000163E-2</v>
      </c>
      <c r="AA73" s="791">
        <f t="shared" si="68"/>
        <v>-1.9850499375000275E-2</v>
      </c>
      <c r="AB73" s="733"/>
      <c r="AC73" s="790"/>
      <c r="AD73" s="791">
        <f>IFERROR(AD72/AC72-1,"-")</f>
        <v>3.0202020202020199</v>
      </c>
      <c r="AE73" s="792">
        <f>IFERROR(AE72/AD72-1,"-")</f>
        <v>38.316582914572869</v>
      </c>
      <c r="AF73" s="791">
        <f>IFERROR(AF72/AE72-1,"-")</f>
        <v>3.6634678688969826</v>
      </c>
      <c r="AG73" s="791">
        <f>IFERROR(AG72/AF72-1,"-")</f>
        <v>-1.9850499374999941E-2</v>
      </c>
      <c r="AH73" s="792">
        <f>IFERROR(AH72/AG72-1,"-")</f>
        <v>-1.9850499375000052E-2</v>
      </c>
    </row>
    <row r="74" spans="1:35" ht="12.75" customHeight="1" x14ac:dyDescent="0.2">
      <c r="B74" s="1024"/>
      <c r="D74" s="1001"/>
      <c r="E74" s="1001"/>
      <c r="F74" s="1001"/>
      <c r="G74" s="1001"/>
      <c r="H74" s="1001"/>
      <c r="I74" s="1001"/>
      <c r="J74" s="1001"/>
      <c r="K74" s="1001"/>
      <c r="L74" s="1001"/>
      <c r="M74" s="1001"/>
      <c r="N74" s="1001"/>
      <c r="O74" s="1001"/>
      <c r="P74" s="1001"/>
      <c r="Q74" s="1006"/>
      <c r="R74" s="1021"/>
      <c r="S74" s="1002"/>
      <c r="T74" s="1001"/>
      <c r="U74" s="1001"/>
      <c r="V74" s="1001"/>
      <c r="W74" s="1001"/>
      <c r="X74" s="1001"/>
      <c r="Y74" s="1001"/>
      <c r="Z74" s="1001"/>
      <c r="AA74" s="1001"/>
      <c r="AC74" s="1000"/>
      <c r="AD74" s="999"/>
      <c r="AE74" s="998"/>
      <c r="AF74" s="999"/>
      <c r="AG74" s="999"/>
      <c r="AH74" s="998"/>
    </row>
    <row r="75" spans="1:35" ht="12.75" customHeight="1" x14ac:dyDescent="0.2">
      <c r="B75" s="1005" t="s">
        <v>1066</v>
      </c>
      <c r="C75" s="956"/>
      <c r="D75" s="1570">
        <v>0</v>
      </c>
      <c r="E75" s="1570">
        <v>0</v>
      </c>
      <c r="F75" s="1570">
        <v>0.10972</v>
      </c>
      <c r="G75" s="1570">
        <v>0.29985000000000001</v>
      </c>
      <c r="H75" s="1570">
        <v>0.46143000000000006</v>
      </c>
      <c r="I75" s="1570">
        <v>0.59128000000000003</v>
      </c>
      <c r="J75" s="1570">
        <v>0.59699999999999998</v>
      </c>
      <c r="K75" s="1570">
        <v>1.0165799999999998</v>
      </c>
      <c r="L75" s="1570">
        <v>1.1907399999999999</v>
      </c>
      <c r="M75" s="1570">
        <v>3.7969200000000001</v>
      </c>
      <c r="N75" s="1570">
        <v>15.738430000000001</v>
      </c>
      <c r="O75" s="1570">
        <v>82.152289999999994</v>
      </c>
      <c r="P75" s="1570">
        <v>42.683619999999998</v>
      </c>
      <c r="Q75" s="1570">
        <v>77.883430000000004</v>
      </c>
      <c r="R75" s="1571">
        <v>82.785309999999996</v>
      </c>
      <c r="S75" s="954">
        <f t="shared" ref="S75:AA75" si="69">AVERAGE(R72:S72)/4</f>
        <v>166.17191281874997</v>
      </c>
      <c r="T75" s="954">
        <f t="shared" si="69"/>
        <v>218.37453104840625</v>
      </c>
      <c r="U75" s="954">
        <f t="shared" si="69"/>
        <v>217.28265839316424</v>
      </c>
      <c r="V75" s="954">
        <f t="shared" si="69"/>
        <v>216.19624510119843</v>
      </c>
      <c r="W75" s="954">
        <f t="shared" si="69"/>
        <v>215.11526387569242</v>
      </c>
      <c r="X75" s="954">
        <f t="shared" si="69"/>
        <v>214.03968755631394</v>
      </c>
      <c r="Y75" s="954">
        <f t="shared" si="69"/>
        <v>212.96948911853235</v>
      </c>
      <c r="Z75" s="954">
        <f t="shared" si="69"/>
        <v>211.9046416729397</v>
      </c>
      <c r="AA75" s="954">
        <f t="shared" si="69"/>
        <v>210.84511846457497</v>
      </c>
      <c r="AB75" s="698"/>
      <c r="AC75" s="954">
        <f>SUM(D75:G75)</f>
        <v>0.40956999999999999</v>
      </c>
      <c r="AD75" s="954">
        <f>SUM(H75:K75)</f>
        <v>2.66629</v>
      </c>
      <c r="AE75" s="954">
        <f>SUM(I75:L75)</f>
        <v>3.3956</v>
      </c>
      <c r="AF75" s="1056">
        <f>SUM(P75:S75)</f>
        <v>369.52427281874998</v>
      </c>
      <c r="AG75" s="954">
        <f>SUM(T75:W75)</f>
        <v>866.96869841846137</v>
      </c>
      <c r="AH75" s="1055">
        <f>SUM(X75:AA75)</f>
        <v>849.75893681236096</v>
      </c>
    </row>
    <row r="76" spans="1:35" ht="12.75" customHeight="1" x14ac:dyDescent="0.2">
      <c r="B76" s="1024"/>
      <c r="D76" s="1002"/>
      <c r="E76" s="1002"/>
      <c r="F76" s="1002"/>
      <c r="G76" s="1002"/>
      <c r="H76" s="1002"/>
      <c r="I76" s="1002"/>
      <c r="J76" s="1002"/>
      <c r="K76" s="1002"/>
      <c r="L76" s="1002"/>
      <c r="M76" s="1001"/>
      <c r="N76" s="1001"/>
      <c r="O76" s="1001"/>
      <c r="P76" s="1002"/>
      <c r="Q76" s="1002"/>
      <c r="R76" s="1003"/>
      <c r="S76" s="1002"/>
      <c r="T76" s="1002"/>
      <c r="U76" s="1001"/>
      <c r="V76" s="1001"/>
      <c r="W76" s="1001"/>
      <c r="X76" s="1002"/>
      <c r="Y76" s="1001"/>
      <c r="Z76" s="1001"/>
      <c r="AA76" s="1001"/>
      <c r="AC76" s="1000"/>
      <c r="AD76" s="999"/>
      <c r="AE76" s="998"/>
      <c r="AF76" s="999"/>
      <c r="AG76" s="999"/>
      <c r="AH76" s="998"/>
    </row>
    <row r="77" spans="1:35" s="988" customFormat="1" ht="12.75" customHeight="1" x14ac:dyDescent="0.2">
      <c r="B77" s="1023" t="s">
        <v>1065</v>
      </c>
      <c r="D77" s="992" t="str">
        <f t="shared" ref="D77:AA77" si="70">IFERROR(D68/D65,"-")</f>
        <v>-</v>
      </c>
      <c r="E77" s="992" t="str">
        <f t="shared" si="70"/>
        <v>-</v>
      </c>
      <c r="F77" s="992" t="str">
        <f t="shared" si="70"/>
        <v>-</v>
      </c>
      <c r="G77" s="1561">
        <f t="shared" si="70"/>
        <v>0</v>
      </c>
      <c r="H77" s="1561">
        <f t="shared" si="70"/>
        <v>1.0101010101010102</v>
      </c>
      <c r="I77" s="1561">
        <f t="shared" si="70"/>
        <v>0</v>
      </c>
      <c r="J77" s="1561">
        <f t="shared" si="70"/>
        <v>0</v>
      </c>
      <c r="K77" s="1561">
        <f t="shared" si="70"/>
        <v>0</v>
      </c>
      <c r="L77" s="1561">
        <f t="shared" si="70"/>
        <v>0</v>
      </c>
      <c r="M77" s="1561">
        <f t="shared" si="70"/>
        <v>0.50251256281407042</v>
      </c>
      <c r="N77" s="1561">
        <f t="shared" si="70"/>
        <v>0.16025641025641027</v>
      </c>
      <c r="O77" s="1561">
        <f t="shared" si="70"/>
        <v>0.29597247840802005</v>
      </c>
      <c r="P77" s="1561">
        <f t="shared" si="70"/>
        <v>2.8757668711656456E-2</v>
      </c>
      <c r="Q77" s="1561">
        <f t="shared" si="70"/>
        <v>8.6013899983311253E-3</v>
      </c>
      <c r="R77" s="1562">
        <f t="shared" si="70"/>
        <v>0</v>
      </c>
      <c r="S77" s="1561">
        <f t="shared" si="70"/>
        <v>0.19125</v>
      </c>
      <c r="T77" s="1561">
        <f t="shared" si="70"/>
        <v>0</v>
      </c>
      <c r="U77" s="1561">
        <f t="shared" si="70"/>
        <v>0</v>
      </c>
      <c r="V77" s="1561">
        <f t="shared" si="70"/>
        <v>0</v>
      </c>
      <c r="W77" s="1561">
        <f t="shared" si="70"/>
        <v>0</v>
      </c>
      <c r="X77" s="1561">
        <f t="shared" si="70"/>
        <v>0</v>
      </c>
      <c r="Y77" s="1561">
        <f t="shared" si="70"/>
        <v>0</v>
      </c>
      <c r="Z77" s="1561">
        <f t="shared" si="70"/>
        <v>0</v>
      </c>
      <c r="AA77" s="1561">
        <f t="shared" si="70"/>
        <v>0</v>
      </c>
      <c r="AC77" s="989" t="str">
        <f t="shared" ref="AC77:AH77" si="71">IFERROR(AC68/AC65,"-")</f>
        <v>-</v>
      </c>
      <c r="AD77" s="1561">
        <f t="shared" si="71"/>
        <v>1.0101010101010102</v>
      </c>
      <c r="AE77" s="1562">
        <f t="shared" si="71"/>
        <v>6.7420351758793986</v>
      </c>
      <c r="AF77" s="1561">
        <f t="shared" si="71"/>
        <v>0.50687959243992842</v>
      </c>
      <c r="AG77" s="1561">
        <f t="shared" si="71"/>
        <v>0</v>
      </c>
      <c r="AH77" s="1562">
        <f t="shared" si="71"/>
        <v>0</v>
      </c>
    </row>
    <row r="78" spans="1:35" s="988" customFormat="1" ht="12.75" customHeight="1" x14ac:dyDescent="0.2">
      <c r="B78" s="1023" t="s">
        <v>1064</v>
      </c>
      <c r="D78" s="992" t="str">
        <f t="shared" ref="D78:R78" si="72">IFERROR(D69/D65+1,"-")</f>
        <v>-</v>
      </c>
      <c r="E78" s="992" t="str">
        <f t="shared" si="72"/>
        <v>-</v>
      </c>
      <c r="F78" s="992" t="str">
        <f t="shared" si="72"/>
        <v>-</v>
      </c>
      <c r="G78" s="1561">
        <f t="shared" si="72"/>
        <v>1</v>
      </c>
      <c r="H78" s="1561">
        <f t="shared" si="72"/>
        <v>1</v>
      </c>
      <c r="I78" s="1561">
        <f t="shared" si="72"/>
        <v>1</v>
      </c>
      <c r="J78" s="1561">
        <f t="shared" si="72"/>
        <v>1</v>
      </c>
      <c r="K78" s="1561">
        <f t="shared" si="72"/>
        <v>1</v>
      </c>
      <c r="L78" s="1561">
        <f t="shared" si="72"/>
        <v>1</v>
      </c>
      <c r="M78" s="1561">
        <f t="shared" si="72"/>
        <v>1</v>
      </c>
      <c r="N78" s="1561">
        <f t="shared" si="72"/>
        <v>1</v>
      </c>
      <c r="O78" s="1561">
        <f t="shared" si="72"/>
        <v>1</v>
      </c>
      <c r="P78" s="1561">
        <f t="shared" si="72"/>
        <v>1</v>
      </c>
      <c r="Q78" s="1561">
        <f t="shared" si="72"/>
        <v>1</v>
      </c>
      <c r="R78" s="1562">
        <f t="shared" si="72"/>
        <v>1</v>
      </c>
      <c r="S78" s="1572">
        <v>0.99750000000000005</v>
      </c>
      <c r="T78" s="1561">
        <f t="shared" ref="T78:W79" si="73">1-((1-$AG78)/4)</f>
        <v>0.99750000000000005</v>
      </c>
      <c r="U78" s="1561">
        <f t="shared" si="73"/>
        <v>0.99750000000000005</v>
      </c>
      <c r="V78" s="1561">
        <f t="shared" si="73"/>
        <v>0.99750000000000005</v>
      </c>
      <c r="W78" s="1561">
        <f t="shared" si="73"/>
        <v>0.99750000000000005</v>
      </c>
      <c r="X78" s="1561">
        <f t="shared" ref="X78:AA79" si="74">1-((1-$AH78)/4)</f>
        <v>0.99750000000000005</v>
      </c>
      <c r="Y78" s="1561">
        <f t="shared" si="74"/>
        <v>0.99750000000000005</v>
      </c>
      <c r="Z78" s="1561">
        <f t="shared" si="74"/>
        <v>0.99750000000000005</v>
      </c>
      <c r="AA78" s="1561">
        <f t="shared" si="74"/>
        <v>0.99750000000000005</v>
      </c>
      <c r="AC78" s="989" t="str">
        <f>IFERROR(AC69/AC65+1,"-")</f>
        <v>-</v>
      </c>
      <c r="AD78" s="1561">
        <f>IFERROR(AD69/AD65+1,"-")</f>
        <v>1</v>
      </c>
      <c r="AE78" s="1562">
        <f>IFERROR(AE69/AE65+1,"-")</f>
        <v>1</v>
      </c>
      <c r="AF78" s="1562">
        <f>IFERROR(AF69/AF65+1,"-")</f>
        <v>0.99395971849437637</v>
      </c>
      <c r="AG78" s="1574">
        <v>0.99</v>
      </c>
      <c r="AH78" s="1574">
        <v>0.99</v>
      </c>
    </row>
    <row r="79" spans="1:35" s="988" customFormat="1" ht="12.75" customHeight="1" x14ac:dyDescent="0.2">
      <c r="B79" s="1023" t="s">
        <v>1063</v>
      </c>
      <c r="D79" s="992" t="str">
        <f t="shared" ref="D79:R79" si="75">IFERROR(SUM(D69,D71)/D65+1,"-")</f>
        <v>-</v>
      </c>
      <c r="E79" s="992" t="str">
        <f t="shared" si="75"/>
        <v>-</v>
      </c>
      <c r="F79" s="992" t="str">
        <f t="shared" si="75"/>
        <v>-</v>
      </c>
      <c r="G79" s="1561">
        <f t="shared" si="75"/>
        <v>1</v>
      </c>
      <c r="H79" s="1561">
        <f t="shared" si="75"/>
        <v>1</v>
      </c>
      <c r="I79" s="1561">
        <f t="shared" si="75"/>
        <v>1</v>
      </c>
      <c r="J79" s="1561">
        <f t="shared" si="75"/>
        <v>1</v>
      </c>
      <c r="K79" s="1561">
        <f t="shared" si="75"/>
        <v>1</v>
      </c>
      <c r="L79" s="1561">
        <f t="shared" si="75"/>
        <v>1</v>
      </c>
      <c r="M79" s="1561">
        <f t="shared" si="75"/>
        <v>1</v>
      </c>
      <c r="N79" s="1561">
        <f t="shared" si="75"/>
        <v>1</v>
      </c>
      <c r="O79" s="1561">
        <f t="shared" si="75"/>
        <v>1</v>
      </c>
      <c r="P79" s="1561">
        <f t="shared" si="75"/>
        <v>1</v>
      </c>
      <c r="Q79" s="1561">
        <f t="shared" si="75"/>
        <v>1</v>
      </c>
      <c r="R79" s="1562">
        <f t="shared" si="75"/>
        <v>1</v>
      </c>
      <c r="S79" s="1572">
        <v>0.995</v>
      </c>
      <c r="T79" s="1561">
        <f t="shared" si="73"/>
        <v>0.995</v>
      </c>
      <c r="U79" s="1561">
        <f t="shared" si="73"/>
        <v>0.995</v>
      </c>
      <c r="V79" s="1561">
        <f t="shared" si="73"/>
        <v>0.995</v>
      </c>
      <c r="W79" s="1561">
        <f t="shared" si="73"/>
        <v>0.995</v>
      </c>
      <c r="X79" s="1561">
        <f t="shared" si="74"/>
        <v>0.995</v>
      </c>
      <c r="Y79" s="1561">
        <f t="shared" si="74"/>
        <v>0.995</v>
      </c>
      <c r="Z79" s="1561">
        <f t="shared" si="74"/>
        <v>0.995</v>
      </c>
      <c r="AA79" s="1561">
        <f t="shared" si="74"/>
        <v>0.995</v>
      </c>
      <c r="AC79" s="989" t="str">
        <f>IFERROR(SUM(AC69,AC71)/AC65+1,"-")</f>
        <v>-</v>
      </c>
      <c r="AD79" s="1561">
        <f>IFERROR(SUM(AD69,AD71)/AD65+1,"-")</f>
        <v>1</v>
      </c>
      <c r="AE79" s="1562">
        <f>IFERROR(SUM(AE69,AE71)/AE65+1,"-")</f>
        <v>1</v>
      </c>
      <c r="AF79" s="1562">
        <f>IFERROR(SUM(AF69,AF71)/AF65+1,"-")</f>
        <v>0.98791943698875251</v>
      </c>
      <c r="AG79" s="1574">
        <v>0.98</v>
      </c>
      <c r="AH79" s="1574">
        <v>0.98</v>
      </c>
    </row>
    <row r="80" spans="1:35" s="988" customFormat="1" ht="12.75" customHeight="1" x14ac:dyDescent="0.2">
      <c r="B80" s="1023" t="s">
        <v>1062</v>
      </c>
      <c r="D80" s="992" t="str">
        <f t="shared" ref="D80:AA80" si="76">IFERROR(1+(SUM(D71,D68:D69)/D65),"-")</f>
        <v>-</v>
      </c>
      <c r="E80" s="992" t="str">
        <f t="shared" si="76"/>
        <v>-</v>
      </c>
      <c r="F80" s="992" t="str">
        <f t="shared" si="76"/>
        <v>-</v>
      </c>
      <c r="G80" s="1561">
        <f t="shared" si="76"/>
        <v>1</v>
      </c>
      <c r="H80" s="1561">
        <f t="shared" si="76"/>
        <v>2.0101010101010104</v>
      </c>
      <c r="I80" s="1561">
        <f t="shared" si="76"/>
        <v>1</v>
      </c>
      <c r="J80" s="1561">
        <f t="shared" si="76"/>
        <v>1</v>
      </c>
      <c r="K80" s="1561">
        <f t="shared" si="76"/>
        <v>1</v>
      </c>
      <c r="L80" s="1561">
        <f t="shared" si="76"/>
        <v>1</v>
      </c>
      <c r="M80" s="1561">
        <f t="shared" si="76"/>
        <v>1.5025125628140703</v>
      </c>
      <c r="N80" s="1561">
        <f t="shared" si="76"/>
        <v>1.1602564102564104</v>
      </c>
      <c r="O80" s="1561">
        <f t="shared" si="76"/>
        <v>1.29597247840802</v>
      </c>
      <c r="P80" s="1561">
        <f t="shared" si="76"/>
        <v>1.0287576687116564</v>
      </c>
      <c r="Q80" s="1561">
        <f t="shared" si="76"/>
        <v>1.008601389998331</v>
      </c>
      <c r="R80" s="1562">
        <f t="shared" si="76"/>
        <v>1</v>
      </c>
      <c r="S80" s="1561">
        <f t="shared" si="76"/>
        <v>1.18625</v>
      </c>
      <c r="T80" s="1561">
        <f t="shared" si="76"/>
        <v>0.995</v>
      </c>
      <c r="U80" s="1561">
        <f t="shared" si="76"/>
        <v>0.995</v>
      </c>
      <c r="V80" s="1561">
        <f t="shared" si="76"/>
        <v>0.995</v>
      </c>
      <c r="W80" s="1561">
        <f t="shared" si="76"/>
        <v>0.995</v>
      </c>
      <c r="X80" s="1561">
        <f t="shared" si="76"/>
        <v>0.995</v>
      </c>
      <c r="Y80" s="1561">
        <f t="shared" si="76"/>
        <v>0.995</v>
      </c>
      <c r="Z80" s="1561">
        <f t="shared" si="76"/>
        <v>0.995</v>
      </c>
      <c r="AA80" s="1561">
        <f t="shared" si="76"/>
        <v>0.995</v>
      </c>
      <c r="AC80" s="989" t="str">
        <f t="shared" ref="AC80:AH80" si="77">IFERROR(1+(SUM(AC71,AC68:AC69)/AC65),"-")</f>
        <v>-</v>
      </c>
      <c r="AD80" s="1561">
        <f t="shared" si="77"/>
        <v>2.0101010101010104</v>
      </c>
      <c r="AE80" s="1561">
        <f t="shared" si="77"/>
        <v>7.7420351758793986</v>
      </c>
      <c r="AF80" s="1576">
        <f t="shared" si="77"/>
        <v>1.4947990294286808</v>
      </c>
      <c r="AG80" s="1561">
        <f t="shared" si="77"/>
        <v>0.98014950062499995</v>
      </c>
      <c r="AH80" s="1577">
        <f t="shared" si="77"/>
        <v>0.98014950062499995</v>
      </c>
      <c r="AI80" s="1023"/>
    </row>
    <row r="81" spans="1:34" s="988" customFormat="1" ht="12.75" customHeight="1" x14ac:dyDescent="0.2">
      <c r="B81" s="1023"/>
      <c r="D81" s="992"/>
      <c r="E81" s="992"/>
      <c r="F81" s="992"/>
      <c r="G81" s="992"/>
      <c r="H81" s="992"/>
      <c r="I81" s="992"/>
      <c r="J81" s="992"/>
      <c r="K81" s="992"/>
      <c r="L81" s="992"/>
      <c r="M81" s="992"/>
      <c r="N81" s="992"/>
      <c r="O81" s="992"/>
      <c r="P81" s="992"/>
      <c r="Q81" s="992"/>
      <c r="R81" s="997"/>
      <c r="S81" s="992"/>
      <c r="T81" s="992"/>
      <c r="U81" s="992"/>
      <c r="V81" s="992"/>
      <c r="W81" s="992"/>
      <c r="X81" s="992"/>
      <c r="Y81" s="992"/>
      <c r="Z81" s="992"/>
      <c r="AA81" s="992"/>
      <c r="AC81" s="989"/>
      <c r="AD81" s="989"/>
      <c r="AE81" s="989"/>
      <c r="AF81" s="1018"/>
      <c r="AG81" s="989"/>
      <c r="AH81" s="996"/>
    </row>
    <row r="82" spans="1:34" ht="12.75" customHeight="1" x14ac:dyDescent="0.2">
      <c r="B82" s="863" t="s">
        <v>608</v>
      </c>
      <c r="R82" s="1004"/>
      <c r="AC82" s="1000"/>
      <c r="AD82" s="1000"/>
      <c r="AE82" s="1000"/>
      <c r="AF82" s="1022"/>
      <c r="AG82" s="1000"/>
      <c r="AH82" s="1015"/>
    </row>
    <row r="83" spans="1:34" ht="12.75" customHeight="1" x14ac:dyDescent="0.2">
      <c r="A83" s="1004" t="s">
        <v>1018</v>
      </c>
      <c r="B83" s="864" t="s">
        <v>1069</v>
      </c>
      <c r="C83" s="862"/>
      <c r="D83" s="862"/>
      <c r="E83" s="862"/>
      <c r="F83" s="862"/>
      <c r="G83" s="862"/>
      <c r="R83" s="1004"/>
      <c r="AC83" s="1000"/>
      <c r="AD83" s="1000"/>
      <c r="AE83" s="1015"/>
      <c r="AF83" s="1000"/>
      <c r="AG83" s="1000"/>
      <c r="AH83" s="1015"/>
    </row>
    <row r="84" spans="1:34" ht="12.75" customHeight="1" x14ac:dyDescent="0.2">
      <c r="A84" s="1004"/>
      <c r="B84" s="978" t="s">
        <v>1068</v>
      </c>
      <c r="D84" s="1565">
        <v>0</v>
      </c>
      <c r="E84" s="1565">
        <v>0</v>
      </c>
      <c r="F84" s="1565">
        <v>0</v>
      </c>
      <c r="G84" s="1565">
        <v>0</v>
      </c>
      <c r="H84" s="1565">
        <v>0</v>
      </c>
      <c r="I84" s="1565">
        <v>0</v>
      </c>
      <c r="J84" s="1565">
        <v>36</v>
      </c>
      <c r="K84" s="1565">
        <v>126.444</v>
      </c>
      <c r="L84" s="1565">
        <v>126.444</v>
      </c>
      <c r="M84" s="1565">
        <v>151.50803999999999</v>
      </c>
      <c r="N84" s="1565">
        <v>197.64804000000001</v>
      </c>
      <c r="O84" s="1565">
        <v>283.44</v>
      </c>
      <c r="P84" s="1565">
        <v>311.76</v>
      </c>
      <c r="Q84" s="1565">
        <v>402.72396000000003</v>
      </c>
      <c r="R84" s="1566">
        <v>420.82800000000003</v>
      </c>
      <c r="S84" s="1548">
        <f t="shared" ref="S84:AA84" si="78">R91</f>
        <v>753.05615999999986</v>
      </c>
      <c r="T84" s="1546">
        <f t="shared" si="78"/>
        <v>924.59893859999988</v>
      </c>
      <c r="U84" s="1546">
        <f t="shared" si="78"/>
        <v>1001.4806235892499</v>
      </c>
      <c r="V84" s="1546">
        <f t="shared" si="78"/>
        <v>1103.3213117840914</v>
      </c>
      <c r="W84" s="1546">
        <f t="shared" si="78"/>
        <v>1231.649742130867</v>
      </c>
      <c r="X84" s="1546">
        <f t="shared" si="78"/>
        <v>1388.0882888363826</v>
      </c>
      <c r="Y84" s="1546">
        <f t="shared" si="78"/>
        <v>1459.0500546131104</v>
      </c>
      <c r="Z84" s="1546">
        <f t="shared" si="78"/>
        <v>1542.2310557053727</v>
      </c>
      <c r="AA84" s="1546">
        <f t="shared" si="78"/>
        <v>1627.0756768194801</v>
      </c>
      <c r="AB84" s="1012"/>
      <c r="AC84" s="1548">
        <f>D84</f>
        <v>0</v>
      </c>
      <c r="AD84" s="1546">
        <f>AC91</f>
        <v>0</v>
      </c>
      <c r="AE84" s="1547">
        <f>AD91</f>
        <v>126.444</v>
      </c>
      <c r="AF84" s="1546">
        <f>AE91</f>
        <v>311.76</v>
      </c>
      <c r="AG84" s="1546">
        <f>AF91</f>
        <v>924.59893859999966</v>
      </c>
      <c r="AH84" s="1547">
        <f>AG91</f>
        <v>1388.0882888363826</v>
      </c>
    </row>
    <row r="85" spans="1:34" ht="12.75" customHeight="1" x14ac:dyDescent="0.2">
      <c r="A85" s="1004"/>
      <c r="B85" s="1010" t="s">
        <v>968</v>
      </c>
      <c r="D85" s="1565">
        <v>0</v>
      </c>
      <c r="E85" s="1565">
        <v>0</v>
      </c>
      <c r="F85" s="1565">
        <v>0</v>
      </c>
      <c r="G85" s="1565">
        <v>0</v>
      </c>
      <c r="H85" s="1565">
        <v>0</v>
      </c>
      <c r="I85" s="1565">
        <v>36</v>
      </c>
      <c r="J85" s="1565">
        <v>48.948</v>
      </c>
      <c r="K85" s="1565">
        <v>0</v>
      </c>
      <c r="L85" s="1565">
        <v>24.263999999999999</v>
      </c>
      <c r="M85" s="1565">
        <v>26.376000000000001</v>
      </c>
      <c r="N85" s="1565">
        <v>53.675999999999988</v>
      </c>
      <c r="O85" s="1565">
        <v>2.3879999999999999</v>
      </c>
      <c r="P85" s="1565">
        <v>13.788</v>
      </c>
      <c r="Q85" s="1565">
        <v>0</v>
      </c>
      <c r="R85" s="1566">
        <v>245.90807999999984</v>
      </c>
      <c r="S85" s="1014">
        <f>'Bookings Build'!T106</f>
        <v>84</v>
      </c>
      <c r="T85" s="1013">
        <f>'Bookings Build'!U106</f>
        <v>20.25</v>
      </c>
      <c r="U85" s="1013">
        <f>'Bookings Build'!V106</f>
        <v>40.5</v>
      </c>
      <c r="V85" s="1013">
        <f>'Bookings Build'!W106</f>
        <v>60.75</v>
      </c>
      <c r="W85" s="1013">
        <f>'Bookings Build'!X106</f>
        <v>81</v>
      </c>
      <c r="X85" s="1013">
        <f>'Bookings Build'!Y106</f>
        <v>43.2</v>
      </c>
      <c r="Y85" s="1013">
        <f>'Bookings Build'!Z106</f>
        <v>54</v>
      </c>
      <c r="Z85" s="1013">
        <f>'Bookings Build'!AA106</f>
        <v>54</v>
      </c>
      <c r="AA85" s="1013">
        <f>'Bookings Build'!AB106</f>
        <v>64.8</v>
      </c>
      <c r="AB85" s="1012"/>
      <c r="AC85" s="1548">
        <f t="shared" ref="AC85:AC90" si="79">SUM(D85:G85)</f>
        <v>0</v>
      </c>
      <c r="AD85" s="1546">
        <f t="shared" ref="AD85:AD90" si="80">SUM(H85:K85)</f>
        <v>84.948000000000008</v>
      </c>
      <c r="AE85" s="1547">
        <f t="shared" ref="AE85:AE90" si="81">SUM(L85:O85)</f>
        <v>106.70399999999999</v>
      </c>
      <c r="AF85" s="1546">
        <f t="shared" ref="AF85:AF90" si="82">SUM(P85:S85)</f>
        <v>343.69607999999982</v>
      </c>
      <c r="AG85" s="1546">
        <f t="shared" ref="AG85:AG90" si="83">SUM(T85:W85)</f>
        <v>202.5</v>
      </c>
      <c r="AH85" s="1547">
        <f t="shared" ref="AH85:AH90" si="84">SUM(X85:AA85)</f>
        <v>216</v>
      </c>
    </row>
    <row r="86" spans="1:34" ht="12.75" customHeight="1" x14ac:dyDescent="0.2">
      <c r="A86" s="1004"/>
      <c r="B86" s="1010" t="s">
        <v>967</v>
      </c>
      <c r="D86" s="1565">
        <v>0</v>
      </c>
      <c r="E86" s="1565">
        <v>0</v>
      </c>
      <c r="F86" s="1565">
        <v>0</v>
      </c>
      <c r="G86" s="1565">
        <v>0</v>
      </c>
      <c r="H86" s="1565">
        <v>0</v>
      </c>
      <c r="I86" s="1565">
        <v>0</v>
      </c>
      <c r="J86" s="1565">
        <v>0</v>
      </c>
      <c r="K86" s="1565">
        <v>0</v>
      </c>
      <c r="L86" s="1565">
        <v>0</v>
      </c>
      <c r="M86" s="1565">
        <v>0</v>
      </c>
      <c r="N86" s="1565">
        <v>0</v>
      </c>
      <c r="O86" s="1565">
        <v>0</v>
      </c>
      <c r="P86" s="1565">
        <v>0</v>
      </c>
      <c r="Q86" s="1565">
        <v>0</v>
      </c>
      <c r="R86" s="1566">
        <v>0</v>
      </c>
      <c r="S86" s="1567">
        <v>0</v>
      </c>
      <c r="T86" s="1567">
        <v>0</v>
      </c>
      <c r="U86" s="1567">
        <v>0</v>
      </c>
      <c r="V86" s="1567">
        <v>0</v>
      </c>
      <c r="W86" s="1567">
        <v>0</v>
      </c>
      <c r="X86" s="1567">
        <v>0</v>
      </c>
      <c r="Y86" s="1567">
        <v>0</v>
      </c>
      <c r="Z86" s="1567">
        <v>0</v>
      </c>
      <c r="AA86" s="1567">
        <v>0</v>
      </c>
      <c r="AB86" s="1012"/>
      <c r="AC86" s="1548">
        <f t="shared" si="79"/>
        <v>0</v>
      </c>
      <c r="AD86" s="1546">
        <f t="shared" si="80"/>
        <v>0</v>
      </c>
      <c r="AE86" s="1547">
        <f t="shared" si="81"/>
        <v>0</v>
      </c>
      <c r="AF86" s="1546">
        <f t="shared" si="82"/>
        <v>0</v>
      </c>
      <c r="AG86" s="1546">
        <f t="shared" si="83"/>
        <v>0</v>
      </c>
      <c r="AH86" s="1547">
        <f t="shared" si="84"/>
        <v>0</v>
      </c>
    </row>
    <row r="87" spans="1:34" ht="12.75" customHeight="1" x14ac:dyDescent="0.2">
      <c r="A87" s="1004"/>
      <c r="B87" s="1010" t="s">
        <v>965</v>
      </c>
      <c r="D87" s="1565">
        <v>0</v>
      </c>
      <c r="E87" s="1565">
        <v>0</v>
      </c>
      <c r="F87" s="1565">
        <v>0</v>
      </c>
      <c r="G87" s="1565">
        <v>0</v>
      </c>
      <c r="H87" s="1565">
        <v>0</v>
      </c>
      <c r="I87" s="1565">
        <v>0</v>
      </c>
      <c r="J87" s="1565">
        <v>41.495999999999995</v>
      </c>
      <c r="K87" s="1565">
        <v>0</v>
      </c>
      <c r="L87" s="1565">
        <v>2.3999999999999986</v>
      </c>
      <c r="M87" s="1565">
        <v>19.763999999999999</v>
      </c>
      <c r="N87" s="1565">
        <v>59.475960000000001</v>
      </c>
      <c r="O87" s="1565">
        <v>25.931999999999999</v>
      </c>
      <c r="P87" s="1565">
        <v>77.175960000000003</v>
      </c>
      <c r="Q87" s="1565">
        <v>28.103999999999999</v>
      </c>
      <c r="R87" s="1566">
        <v>86.320080000000004</v>
      </c>
      <c r="S87" s="1014">
        <f>'Bookings Build'!T107</f>
        <v>117.66502499999999</v>
      </c>
      <c r="T87" s="1013">
        <f>'Bookings Build'!U107</f>
        <v>86.681150493749982</v>
      </c>
      <c r="U87" s="1013">
        <f>'Bookings Build'!V107</f>
        <v>93.888808461492175</v>
      </c>
      <c r="V87" s="1013">
        <f>'Bookings Build'!W107</f>
        <v>103.43637297975857</v>
      </c>
      <c r="W87" s="1013">
        <f>'Bookings Build'!X107</f>
        <v>115.46716332476879</v>
      </c>
      <c r="X87" s="1013">
        <f>'Bookings Build'!Y107</f>
        <v>69.404414441819128</v>
      </c>
      <c r="Y87" s="1013">
        <f>'Bookings Build'!Z107</f>
        <v>72.952502730655524</v>
      </c>
      <c r="Z87" s="1013">
        <f>'Bookings Build'!AA107</f>
        <v>77.111552785268643</v>
      </c>
      <c r="AA87" s="1013">
        <f>'Bookings Build'!AB107</f>
        <v>81.353783840974017</v>
      </c>
      <c r="AB87" s="1012"/>
      <c r="AC87" s="1548">
        <f t="shared" si="79"/>
        <v>0</v>
      </c>
      <c r="AD87" s="1546">
        <f t="shared" si="80"/>
        <v>41.495999999999995</v>
      </c>
      <c r="AE87" s="1547">
        <f t="shared" si="81"/>
        <v>107.57196</v>
      </c>
      <c r="AF87" s="1546">
        <f t="shared" si="82"/>
        <v>309.26506499999999</v>
      </c>
      <c r="AG87" s="1546">
        <f t="shared" si="83"/>
        <v>399.47349525976949</v>
      </c>
      <c r="AH87" s="1547">
        <f t="shared" si="84"/>
        <v>300.82225379871733</v>
      </c>
    </row>
    <row r="88" spans="1:34" ht="12.75" customHeight="1" x14ac:dyDescent="0.2">
      <c r="A88" s="1004"/>
      <c r="B88" s="1010" t="s">
        <v>964</v>
      </c>
      <c r="D88" s="1565">
        <v>0</v>
      </c>
      <c r="E88" s="1565">
        <v>0</v>
      </c>
      <c r="F88" s="1565">
        <v>0</v>
      </c>
      <c r="G88" s="1565">
        <v>0</v>
      </c>
      <c r="H88" s="1565">
        <v>0</v>
      </c>
      <c r="I88" s="1565">
        <v>0</v>
      </c>
      <c r="J88" s="1565">
        <v>0</v>
      </c>
      <c r="K88" s="1565">
        <v>0</v>
      </c>
      <c r="L88" s="1565">
        <v>0</v>
      </c>
      <c r="M88" s="1565">
        <v>0</v>
      </c>
      <c r="N88" s="1565">
        <v>-27.36</v>
      </c>
      <c r="O88" s="1565">
        <v>0</v>
      </c>
      <c r="P88" s="1565">
        <v>0</v>
      </c>
      <c r="Q88" s="1565">
        <v>-9.9999599999999997</v>
      </c>
      <c r="R88" s="1566">
        <v>0</v>
      </c>
      <c r="S88" s="1548">
        <f t="shared" ref="S88:AA88" si="85">-S84*(1-S97)</f>
        <v>-26.35696560000002</v>
      </c>
      <c r="T88" s="1548">
        <f t="shared" si="85"/>
        <v>-22.305949393724951</v>
      </c>
      <c r="U88" s="1548">
        <f t="shared" si="85"/>
        <v>-24.160720044090606</v>
      </c>
      <c r="V88" s="1548">
        <f t="shared" si="85"/>
        <v>-26.617626646791152</v>
      </c>
      <c r="W88" s="1548">
        <f t="shared" si="85"/>
        <v>-29.713550028907108</v>
      </c>
      <c r="X88" s="1548">
        <f t="shared" si="85"/>
        <v>-31.231986498818561</v>
      </c>
      <c r="Y88" s="1548">
        <f t="shared" si="85"/>
        <v>-32.828626228794931</v>
      </c>
      <c r="Z88" s="1548">
        <f t="shared" si="85"/>
        <v>-34.700198753370827</v>
      </c>
      <c r="AA88" s="1548">
        <f t="shared" si="85"/>
        <v>-36.609202728438248</v>
      </c>
      <c r="AB88" s="1012"/>
      <c r="AC88" s="1548">
        <f t="shared" si="79"/>
        <v>0</v>
      </c>
      <c r="AD88" s="1546">
        <f t="shared" si="80"/>
        <v>0</v>
      </c>
      <c r="AE88" s="1547">
        <f t="shared" si="81"/>
        <v>-27.36</v>
      </c>
      <c r="AF88" s="1546">
        <f t="shared" si="82"/>
        <v>-36.356925600000018</v>
      </c>
      <c r="AG88" s="1546">
        <f t="shared" si="83"/>
        <v>-102.79784611351381</v>
      </c>
      <c r="AH88" s="1547">
        <f t="shared" si="84"/>
        <v>-135.37001420942255</v>
      </c>
    </row>
    <row r="89" spans="1:34" ht="12.75" customHeight="1" x14ac:dyDescent="0.2">
      <c r="A89" s="1004"/>
      <c r="B89" s="1010" t="s">
        <v>963</v>
      </c>
      <c r="D89" s="1565">
        <v>0</v>
      </c>
      <c r="E89" s="1565">
        <v>0</v>
      </c>
      <c r="F89" s="1565">
        <v>0</v>
      </c>
      <c r="G89" s="1565">
        <v>0</v>
      </c>
      <c r="H89" s="1565">
        <v>0</v>
      </c>
      <c r="I89" s="1565">
        <v>0</v>
      </c>
      <c r="J89" s="1565">
        <v>0</v>
      </c>
      <c r="K89" s="1565">
        <v>0</v>
      </c>
      <c r="L89" s="1565">
        <v>0</v>
      </c>
      <c r="M89" s="1565">
        <v>0</v>
      </c>
      <c r="N89" s="1565">
        <v>0</v>
      </c>
      <c r="O89" s="1565">
        <v>0</v>
      </c>
      <c r="P89" s="1565">
        <v>0</v>
      </c>
      <c r="Q89" s="1565">
        <v>0</v>
      </c>
      <c r="R89" s="1566">
        <v>0</v>
      </c>
      <c r="S89" s="1567">
        <v>0</v>
      </c>
      <c r="T89" s="1567">
        <v>0</v>
      </c>
      <c r="U89" s="1567">
        <v>0</v>
      </c>
      <c r="V89" s="1567">
        <v>0</v>
      </c>
      <c r="W89" s="1567">
        <v>0</v>
      </c>
      <c r="X89" s="1567">
        <v>0</v>
      </c>
      <c r="Y89" s="1567">
        <v>0</v>
      </c>
      <c r="Z89" s="1567">
        <v>0</v>
      </c>
      <c r="AA89" s="1567">
        <v>0</v>
      </c>
      <c r="AB89" s="1012"/>
      <c r="AC89" s="1548">
        <f t="shared" si="79"/>
        <v>0</v>
      </c>
      <c r="AD89" s="1546">
        <f t="shared" si="80"/>
        <v>0</v>
      </c>
      <c r="AE89" s="1547">
        <f t="shared" si="81"/>
        <v>0</v>
      </c>
      <c r="AF89" s="1546">
        <f t="shared" si="82"/>
        <v>0</v>
      </c>
      <c r="AG89" s="1546">
        <f t="shared" si="83"/>
        <v>0</v>
      </c>
      <c r="AH89" s="1547">
        <f t="shared" si="84"/>
        <v>0</v>
      </c>
    </row>
    <row r="90" spans="1:34" ht="15" customHeight="1" x14ac:dyDescent="0.35">
      <c r="A90" s="1004"/>
      <c r="B90" s="1010" t="s">
        <v>962</v>
      </c>
      <c r="C90" s="566"/>
      <c r="D90" s="1568">
        <v>0</v>
      </c>
      <c r="E90" s="1568">
        <v>0</v>
      </c>
      <c r="F90" s="1568">
        <v>0</v>
      </c>
      <c r="G90" s="1568">
        <v>0</v>
      </c>
      <c r="H90" s="1568">
        <v>0</v>
      </c>
      <c r="I90" s="1568">
        <v>0</v>
      </c>
      <c r="J90" s="1568">
        <v>0</v>
      </c>
      <c r="K90" s="1568">
        <v>0</v>
      </c>
      <c r="L90" s="1568">
        <v>-1.5999599999999994</v>
      </c>
      <c r="M90" s="1568">
        <v>0</v>
      </c>
      <c r="N90" s="1568">
        <v>0</v>
      </c>
      <c r="O90" s="1568">
        <v>0</v>
      </c>
      <c r="P90" s="1568">
        <v>0</v>
      </c>
      <c r="Q90" s="1568">
        <v>0</v>
      </c>
      <c r="R90" s="1569">
        <v>0</v>
      </c>
      <c r="S90" s="1025">
        <f t="shared" ref="S90:AA90" si="86">-(1-S98)*S84-S88</f>
        <v>-3.7652808000000029</v>
      </c>
      <c r="T90" s="1025">
        <f t="shared" si="86"/>
        <v>-7.743516110775019</v>
      </c>
      <c r="U90" s="1025">
        <f t="shared" si="86"/>
        <v>-8.3874002225599931</v>
      </c>
      <c r="V90" s="1025">
        <f t="shared" si="86"/>
        <v>-9.2403159861917885</v>
      </c>
      <c r="W90" s="1025">
        <f t="shared" si="86"/>
        <v>-10.315066590346035</v>
      </c>
      <c r="X90" s="1025">
        <f t="shared" si="86"/>
        <v>-10.410662166272953</v>
      </c>
      <c r="Y90" s="1025">
        <f t="shared" si="86"/>
        <v>-10.942875409598422</v>
      </c>
      <c r="Z90" s="1025">
        <f t="shared" si="86"/>
        <v>-11.566732917790397</v>
      </c>
      <c r="AA90" s="1025">
        <f t="shared" si="86"/>
        <v>-12.203067576146196</v>
      </c>
      <c r="AB90" s="566"/>
      <c r="AC90" s="1025">
        <f t="shared" si="79"/>
        <v>0</v>
      </c>
      <c r="AD90" s="1025">
        <f t="shared" si="80"/>
        <v>0</v>
      </c>
      <c r="AE90" s="1153">
        <f t="shared" si="81"/>
        <v>-1.5999599999999994</v>
      </c>
      <c r="AF90" s="1025">
        <f t="shared" si="82"/>
        <v>-3.7652808000000029</v>
      </c>
      <c r="AG90" s="1025">
        <f t="shared" si="83"/>
        <v>-35.686298909872832</v>
      </c>
      <c r="AH90" s="1153">
        <f t="shared" si="84"/>
        <v>-45.123338069807971</v>
      </c>
    </row>
    <row r="91" spans="1:34" ht="12.75" customHeight="1" x14ac:dyDescent="0.2">
      <c r="A91" s="1004"/>
      <c r="B91" s="1009" t="s">
        <v>1067</v>
      </c>
      <c r="C91" s="1007"/>
      <c r="D91" s="698">
        <f t="shared" ref="D91:AA91" si="87">SUM(D84:D90)</f>
        <v>0</v>
      </c>
      <c r="E91" s="698">
        <f t="shared" si="87"/>
        <v>0</v>
      </c>
      <c r="F91" s="698">
        <f t="shared" si="87"/>
        <v>0</v>
      </c>
      <c r="G91" s="698">
        <f t="shared" si="87"/>
        <v>0</v>
      </c>
      <c r="H91" s="698">
        <f t="shared" si="87"/>
        <v>0</v>
      </c>
      <c r="I91" s="698">
        <f t="shared" si="87"/>
        <v>36</v>
      </c>
      <c r="J91" s="698">
        <f t="shared" si="87"/>
        <v>126.444</v>
      </c>
      <c r="K91" s="698">
        <f t="shared" si="87"/>
        <v>126.444</v>
      </c>
      <c r="L91" s="698">
        <f t="shared" si="87"/>
        <v>151.50803999999999</v>
      </c>
      <c r="M91" s="698">
        <f t="shared" si="87"/>
        <v>197.64804000000001</v>
      </c>
      <c r="N91" s="698">
        <f t="shared" si="87"/>
        <v>283.44</v>
      </c>
      <c r="O91" s="698">
        <f t="shared" si="87"/>
        <v>311.76</v>
      </c>
      <c r="P91" s="698">
        <f t="shared" si="87"/>
        <v>402.72396000000003</v>
      </c>
      <c r="Q91" s="698">
        <f t="shared" si="87"/>
        <v>420.82800000000003</v>
      </c>
      <c r="R91" s="1008">
        <f t="shared" si="87"/>
        <v>753.05615999999986</v>
      </c>
      <c r="S91" s="698">
        <f t="shared" si="87"/>
        <v>924.59893859999988</v>
      </c>
      <c r="T91" s="698">
        <f t="shared" si="87"/>
        <v>1001.4806235892499</v>
      </c>
      <c r="U91" s="698">
        <f t="shared" si="87"/>
        <v>1103.3213117840914</v>
      </c>
      <c r="V91" s="698">
        <f t="shared" si="87"/>
        <v>1231.649742130867</v>
      </c>
      <c r="W91" s="698">
        <f t="shared" si="87"/>
        <v>1388.0882888363826</v>
      </c>
      <c r="X91" s="698">
        <f t="shared" si="87"/>
        <v>1459.0500546131104</v>
      </c>
      <c r="Y91" s="698">
        <f t="shared" si="87"/>
        <v>1542.2310557053727</v>
      </c>
      <c r="Z91" s="698">
        <f t="shared" si="87"/>
        <v>1627.0756768194801</v>
      </c>
      <c r="AA91" s="698">
        <f t="shared" si="87"/>
        <v>1724.4171903558697</v>
      </c>
      <c r="AB91" s="698"/>
      <c r="AC91" s="698">
        <f t="shared" ref="AC91:AH91" si="88">SUM(AC84:AC90)</f>
        <v>0</v>
      </c>
      <c r="AD91" s="698">
        <f t="shared" si="88"/>
        <v>126.444</v>
      </c>
      <c r="AE91" s="1008">
        <f t="shared" si="88"/>
        <v>311.76</v>
      </c>
      <c r="AF91" s="698">
        <f t="shared" si="88"/>
        <v>924.59893859999966</v>
      </c>
      <c r="AG91" s="698">
        <f t="shared" si="88"/>
        <v>1388.0882888363826</v>
      </c>
      <c r="AH91" s="1008">
        <f t="shared" si="88"/>
        <v>1724.4171903558695</v>
      </c>
    </row>
    <row r="92" spans="1:34" ht="12.75" customHeight="1" x14ac:dyDescent="0.2">
      <c r="A92" s="1004"/>
      <c r="B92" s="793" t="s">
        <v>974</v>
      </c>
      <c r="C92" s="1007"/>
      <c r="D92" s="790"/>
      <c r="E92" s="790"/>
      <c r="F92" s="790"/>
      <c r="G92" s="790"/>
      <c r="H92" s="791" t="str">
        <f t="shared" ref="H92:AA92" si="89">IFERROR(H91/D91-1,"-")</f>
        <v>-</v>
      </c>
      <c r="I92" s="791" t="str">
        <f t="shared" si="89"/>
        <v>-</v>
      </c>
      <c r="J92" s="791" t="str">
        <f t="shared" si="89"/>
        <v>-</v>
      </c>
      <c r="K92" s="791" t="str">
        <f t="shared" si="89"/>
        <v>-</v>
      </c>
      <c r="L92" s="791" t="str">
        <f t="shared" si="89"/>
        <v>-</v>
      </c>
      <c r="M92" s="791">
        <f t="shared" si="89"/>
        <v>4.4902233333333337</v>
      </c>
      <c r="N92" s="791">
        <f t="shared" si="89"/>
        <v>1.2416247508778588</v>
      </c>
      <c r="O92" s="791">
        <f t="shared" si="89"/>
        <v>1.4655974186201006</v>
      </c>
      <c r="P92" s="791">
        <f t="shared" si="89"/>
        <v>1.6581028967175606</v>
      </c>
      <c r="Q92" s="791">
        <f t="shared" si="89"/>
        <v>1.1291787158628033</v>
      </c>
      <c r="R92" s="792">
        <f t="shared" si="89"/>
        <v>1.6568450465707025</v>
      </c>
      <c r="S92" s="791">
        <f t="shared" si="89"/>
        <v>1.9657394745958428</v>
      </c>
      <c r="T92" s="791">
        <f t="shared" si="89"/>
        <v>1.4867669248913074</v>
      </c>
      <c r="U92" s="791">
        <f t="shared" si="89"/>
        <v>1.6217868387656984</v>
      </c>
      <c r="V92" s="791">
        <f t="shared" si="89"/>
        <v>0.63553504712167452</v>
      </c>
      <c r="W92" s="791">
        <f t="shared" si="89"/>
        <v>0.50128691574985407</v>
      </c>
      <c r="X92" s="791">
        <f t="shared" si="89"/>
        <v>0.45689294455239438</v>
      </c>
      <c r="Y92" s="791">
        <f t="shared" si="89"/>
        <v>0.39780772766145156</v>
      </c>
      <c r="Z92" s="791">
        <f t="shared" si="89"/>
        <v>0.32105388501481746</v>
      </c>
      <c r="AA92" s="791">
        <f t="shared" si="89"/>
        <v>0.24229647654575892</v>
      </c>
      <c r="AB92" s="733"/>
      <c r="AC92" s="790"/>
      <c r="AD92" s="789" t="str">
        <f>IFERROR(AD91/AC91-1,"-")</f>
        <v>-</v>
      </c>
      <c r="AE92" s="792">
        <f>IFERROR(AE91/AD91-1,"-")</f>
        <v>1.4655974186201006</v>
      </c>
      <c r="AF92" s="791">
        <f>IFERROR(AF91/AE91-1,"-")</f>
        <v>1.9657394745958419</v>
      </c>
      <c r="AG92" s="791">
        <f>IFERROR(AG91/AF91-1,"-")</f>
        <v>0.50128691574985451</v>
      </c>
      <c r="AH92" s="792">
        <f>IFERROR(AH91/AG91-1,"-")</f>
        <v>0.2422964765457587</v>
      </c>
    </row>
    <row r="93" spans="1:34" ht="12.75" customHeight="1" x14ac:dyDescent="0.2">
      <c r="A93" s="1004"/>
      <c r="D93" s="1001"/>
      <c r="E93" s="1001"/>
      <c r="F93" s="1001"/>
      <c r="G93" s="1001"/>
      <c r="H93" s="1001"/>
      <c r="I93" s="1001"/>
      <c r="J93" s="1001"/>
      <c r="K93" s="1001"/>
      <c r="L93" s="1001"/>
      <c r="M93" s="1001"/>
      <c r="N93" s="1001"/>
      <c r="O93" s="1001"/>
      <c r="P93" s="1001"/>
      <c r="Q93" s="1006"/>
      <c r="R93" s="1021"/>
      <c r="S93" s="1002"/>
      <c r="T93" s="1001"/>
      <c r="U93" s="1001"/>
      <c r="V93" s="1001"/>
      <c r="W93" s="1001"/>
      <c r="X93" s="1001"/>
      <c r="Y93" s="1001"/>
      <c r="Z93" s="1001"/>
      <c r="AA93" s="1001"/>
      <c r="AC93" s="1000"/>
      <c r="AD93" s="999"/>
      <c r="AE93" s="998"/>
      <c r="AF93" s="999"/>
      <c r="AG93" s="999"/>
      <c r="AH93" s="998"/>
    </row>
    <row r="94" spans="1:34" ht="12.75" customHeight="1" x14ac:dyDescent="0.2">
      <c r="A94" s="1004"/>
      <c r="B94" s="1005" t="s">
        <v>1066</v>
      </c>
      <c r="C94" s="956"/>
      <c r="D94" s="1570">
        <v>0</v>
      </c>
      <c r="E94" s="1570">
        <v>0</v>
      </c>
      <c r="F94" s="1570">
        <v>0</v>
      </c>
      <c r="G94" s="1570">
        <v>0</v>
      </c>
      <c r="H94" s="1570">
        <v>0</v>
      </c>
      <c r="I94" s="1570">
        <v>10.768330000000001</v>
      </c>
      <c r="J94" s="1570">
        <v>16.803650000000001</v>
      </c>
      <c r="K94" s="1570">
        <v>32.849019999999996</v>
      </c>
      <c r="L94" s="1570">
        <v>45.173560000000002</v>
      </c>
      <c r="M94" s="1570">
        <v>39.37753</v>
      </c>
      <c r="N94" s="1570">
        <v>53.966239999999999</v>
      </c>
      <c r="O94" s="1570">
        <v>69.336239999999989</v>
      </c>
      <c r="P94" s="1570">
        <v>100.62606</v>
      </c>
      <c r="Q94" s="1570">
        <v>98.099789999999999</v>
      </c>
      <c r="R94" s="1571">
        <v>150.59048999999999</v>
      </c>
      <c r="S94" s="954">
        <f t="shared" ref="S94:AA94" si="90">AVERAGE(R91:S91)/4</f>
        <v>209.70688732499997</v>
      </c>
      <c r="T94" s="954">
        <f t="shared" si="90"/>
        <v>240.75994527365623</v>
      </c>
      <c r="U94" s="954">
        <f t="shared" si="90"/>
        <v>263.1002419216677</v>
      </c>
      <c r="V94" s="954">
        <f t="shared" si="90"/>
        <v>291.87138173936978</v>
      </c>
      <c r="W94" s="954">
        <f t="shared" si="90"/>
        <v>327.46725387090623</v>
      </c>
      <c r="X94" s="954">
        <f t="shared" si="90"/>
        <v>355.8922929311866</v>
      </c>
      <c r="Y94" s="954">
        <f t="shared" si="90"/>
        <v>375.16013878981039</v>
      </c>
      <c r="Z94" s="954">
        <f t="shared" si="90"/>
        <v>396.16334156560663</v>
      </c>
      <c r="AA94" s="954">
        <f t="shared" si="90"/>
        <v>418.9366083969187</v>
      </c>
      <c r="AB94" s="698"/>
      <c r="AC94" s="954">
        <f>SUM(D94:G94)</f>
        <v>0</v>
      </c>
      <c r="AD94" s="954">
        <f>SUM(H94:K94)</f>
        <v>60.420999999999999</v>
      </c>
      <c r="AE94" s="954">
        <f>SUM(I94:L94)</f>
        <v>105.59456</v>
      </c>
      <c r="AF94" s="1056">
        <f>SUM(P94:S94)</f>
        <v>559.02322732499988</v>
      </c>
      <c r="AG94" s="954">
        <f>SUM(T94:W94)</f>
        <v>1123.1988228056</v>
      </c>
      <c r="AH94" s="1055">
        <f>SUM(X94:AA94)</f>
        <v>1546.1523816835222</v>
      </c>
    </row>
    <row r="95" spans="1:34" ht="12.75" customHeight="1" x14ac:dyDescent="0.2">
      <c r="A95" s="1004"/>
      <c r="D95" s="1002"/>
      <c r="E95" s="1002"/>
      <c r="F95" s="1002"/>
      <c r="G95" s="1002"/>
      <c r="H95" s="1002"/>
      <c r="I95" s="1002"/>
      <c r="J95" s="1002"/>
      <c r="K95" s="1002"/>
      <c r="L95" s="1002"/>
      <c r="M95" s="1001"/>
      <c r="N95" s="1001"/>
      <c r="O95" s="1001"/>
      <c r="P95" s="1002"/>
      <c r="Q95" s="1002"/>
      <c r="R95" s="1003"/>
      <c r="S95" s="1002"/>
      <c r="T95" s="1002"/>
      <c r="U95" s="1001"/>
      <c r="V95" s="1001"/>
      <c r="W95" s="1001"/>
      <c r="X95" s="1002"/>
      <c r="Y95" s="1001"/>
      <c r="Z95" s="1001"/>
      <c r="AA95" s="1001"/>
      <c r="AC95" s="1000"/>
      <c r="AD95" s="999"/>
      <c r="AE95" s="998"/>
      <c r="AF95" s="999"/>
      <c r="AG95" s="999"/>
      <c r="AH95" s="998"/>
    </row>
    <row r="96" spans="1:34" s="988" customFormat="1" ht="12.75" customHeight="1" x14ac:dyDescent="0.2">
      <c r="A96" s="995"/>
      <c r="B96" s="988" t="s">
        <v>1065</v>
      </c>
      <c r="D96" s="992" t="str">
        <f t="shared" ref="D96:AA96" si="91">IFERROR(D87/D84,"-")</f>
        <v>-</v>
      </c>
      <c r="E96" s="992" t="str">
        <f t="shared" si="91"/>
        <v>-</v>
      </c>
      <c r="F96" s="992" t="str">
        <f t="shared" si="91"/>
        <v>-</v>
      </c>
      <c r="G96" s="992" t="str">
        <f t="shared" si="91"/>
        <v>-</v>
      </c>
      <c r="H96" s="992" t="str">
        <f t="shared" si="91"/>
        <v>-</v>
      </c>
      <c r="I96" s="992" t="str">
        <f t="shared" si="91"/>
        <v>-</v>
      </c>
      <c r="J96" s="1561">
        <f t="shared" si="91"/>
        <v>1.1526666666666665</v>
      </c>
      <c r="K96" s="1561">
        <f t="shared" si="91"/>
        <v>0</v>
      </c>
      <c r="L96" s="1561">
        <f t="shared" si="91"/>
        <v>1.8980734554427246E-2</v>
      </c>
      <c r="M96" s="1561">
        <f t="shared" si="91"/>
        <v>0.13044852273186294</v>
      </c>
      <c r="N96" s="1561">
        <f t="shared" si="91"/>
        <v>0.30091854186866712</v>
      </c>
      <c r="O96" s="1561">
        <f t="shared" si="91"/>
        <v>9.1490262489415747E-2</v>
      </c>
      <c r="P96" s="1561">
        <f t="shared" si="91"/>
        <v>0.24754926866820634</v>
      </c>
      <c r="Q96" s="1561">
        <f t="shared" si="91"/>
        <v>6.978477267654995E-2</v>
      </c>
      <c r="R96" s="1562">
        <f t="shared" si="91"/>
        <v>0.20511962131797312</v>
      </c>
      <c r="S96" s="1561">
        <f t="shared" si="91"/>
        <v>0.15625</v>
      </c>
      <c r="T96" s="1561">
        <f t="shared" si="91"/>
        <v>9.3749999999999986E-2</v>
      </c>
      <c r="U96" s="1561">
        <f t="shared" si="91"/>
        <v>9.3749999999999986E-2</v>
      </c>
      <c r="V96" s="1561">
        <f t="shared" si="91"/>
        <v>9.375E-2</v>
      </c>
      <c r="W96" s="1561">
        <f t="shared" si="91"/>
        <v>9.375E-2</v>
      </c>
      <c r="X96" s="1561">
        <f t="shared" si="91"/>
        <v>4.9999999999999996E-2</v>
      </c>
      <c r="Y96" s="1561">
        <f t="shared" si="91"/>
        <v>0.05</v>
      </c>
      <c r="Z96" s="1561">
        <f t="shared" si="91"/>
        <v>0.05</v>
      </c>
      <c r="AA96" s="1561">
        <f t="shared" si="91"/>
        <v>5.000000000000001E-2</v>
      </c>
      <c r="AC96" s="989" t="str">
        <f t="shared" ref="AC96:AH96" si="92">IFERROR(AC87/AC84,"-")</f>
        <v>-</v>
      </c>
      <c r="AD96" s="989" t="str">
        <f t="shared" si="92"/>
        <v>-</v>
      </c>
      <c r="AE96" s="1562">
        <f t="shared" si="92"/>
        <v>0.8507478409414444</v>
      </c>
      <c r="AF96" s="1561">
        <f t="shared" si="92"/>
        <v>0.99199725750577372</v>
      </c>
      <c r="AG96" s="1561">
        <f t="shared" si="92"/>
        <v>0.43205056655660934</v>
      </c>
      <c r="AH96" s="1562">
        <f t="shared" si="92"/>
        <v>0.21671694532549723</v>
      </c>
    </row>
    <row r="97" spans="1:35" s="988" customFormat="1" ht="12.75" customHeight="1" x14ac:dyDescent="0.2">
      <c r="A97" s="995"/>
      <c r="B97" s="988" t="s">
        <v>1064</v>
      </c>
      <c r="D97" s="992" t="str">
        <f t="shared" ref="D97:R97" si="93">IFERROR(D88/D84+1,"-")</f>
        <v>-</v>
      </c>
      <c r="E97" s="992" t="str">
        <f t="shared" si="93"/>
        <v>-</v>
      </c>
      <c r="F97" s="992" t="str">
        <f t="shared" si="93"/>
        <v>-</v>
      </c>
      <c r="G97" s="992" t="str">
        <f t="shared" si="93"/>
        <v>-</v>
      </c>
      <c r="H97" s="992" t="str">
        <f t="shared" si="93"/>
        <v>-</v>
      </c>
      <c r="I97" s="992" t="str">
        <f t="shared" si="93"/>
        <v>-</v>
      </c>
      <c r="J97" s="1561">
        <f t="shared" si="93"/>
        <v>1</v>
      </c>
      <c r="K97" s="1561">
        <f t="shared" si="93"/>
        <v>1</v>
      </c>
      <c r="L97" s="1561">
        <f t="shared" si="93"/>
        <v>1</v>
      </c>
      <c r="M97" s="1561">
        <f t="shared" si="93"/>
        <v>1</v>
      </c>
      <c r="N97" s="1561">
        <f t="shared" si="93"/>
        <v>0.86157211576699677</v>
      </c>
      <c r="O97" s="1561">
        <f t="shared" si="93"/>
        <v>1</v>
      </c>
      <c r="P97" s="1561">
        <f t="shared" si="93"/>
        <v>1</v>
      </c>
      <c r="Q97" s="1561">
        <f t="shared" si="93"/>
        <v>0.97516919529694734</v>
      </c>
      <c r="R97" s="1562">
        <f t="shared" si="93"/>
        <v>1</v>
      </c>
      <c r="S97" s="1572">
        <v>0.96499999999999997</v>
      </c>
      <c r="T97" s="1561">
        <f t="shared" ref="T97:W98" si="94">1-((1-$AG97)/4)</f>
        <v>0.97587500000000005</v>
      </c>
      <c r="U97" s="1561">
        <f t="shared" si="94"/>
        <v>0.97587500000000005</v>
      </c>
      <c r="V97" s="1561">
        <f t="shared" si="94"/>
        <v>0.97587500000000005</v>
      </c>
      <c r="W97" s="1561">
        <f t="shared" si="94"/>
        <v>0.97587500000000005</v>
      </c>
      <c r="X97" s="1561">
        <f t="shared" ref="X97:AA98" si="95">1-((1-$AH97)/4)</f>
        <v>0.97750000000000004</v>
      </c>
      <c r="Y97" s="1561">
        <f t="shared" si="95"/>
        <v>0.97750000000000004</v>
      </c>
      <c r="Z97" s="1561">
        <f t="shared" si="95"/>
        <v>0.97750000000000004</v>
      </c>
      <c r="AA97" s="1561">
        <f t="shared" si="95"/>
        <v>0.97750000000000004</v>
      </c>
      <c r="AC97" s="989" t="str">
        <f>IFERROR(AC88/AC84+1,"-")</f>
        <v>-</v>
      </c>
      <c r="AD97" s="989" t="str">
        <f>IFERROR(AD88/AD84+1,"-")</f>
        <v>-</v>
      </c>
      <c r="AE97" s="1562">
        <f>IFERROR(AE88/AE84+1,"-")</f>
        <v>0.78361962607952929</v>
      </c>
      <c r="AF97" s="1562">
        <f>IFERROR(AF88/AF84+1,"-")</f>
        <v>0.88338168591224009</v>
      </c>
      <c r="AG97" s="1574">
        <v>0.90349999999999997</v>
      </c>
      <c r="AH97" s="1574">
        <v>0.91</v>
      </c>
    </row>
    <row r="98" spans="1:35" s="988" customFormat="1" ht="12.75" customHeight="1" x14ac:dyDescent="0.2">
      <c r="B98" s="1023" t="s">
        <v>1063</v>
      </c>
      <c r="D98" s="992" t="str">
        <f t="shared" ref="D98:R98" si="96">IFERROR(SUM(D88,D90)/D84+1,"-")</f>
        <v>-</v>
      </c>
      <c r="E98" s="992" t="str">
        <f t="shared" si="96"/>
        <v>-</v>
      </c>
      <c r="F98" s="992" t="str">
        <f t="shared" si="96"/>
        <v>-</v>
      </c>
      <c r="G98" s="992" t="str">
        <f t="shared" si="96"/>
        <v>-</v>
      </c>
      <c r="H98" s="992" t="str">
        <f t="shared" si="96"/>
        <v>-</v>
      </c>
      <c r="I98" s="992" t="str">
        <f t="shared" si="96"/>
        <v>-</v>
      </c>
      <c r="J98" s="1561">
        <f t="shared" si="96"/>
        <v>1</v>
      </c>
      <c r="K98" s="1561">
        <f t="shared" si="96"/>
        <v>1</v>
      </c>
      <c r="L98" s="1561">
        <f t="shared" si="96"/>
        <v>0.98734649330929103</v>
      </c>
      <c r="M98" s="1561">
        <f t="shared" si="96"/>
        <v>1</v>
      </c>
      <c r="N98" s="1561">
        <f t="shared" si="96"/>
        <v>0.86157211576699677</v>
      </c>
      <c r="O98" s="1561">
        <f t="shared" si="96"/>
        <v>1</v>
      </c>
      <c r="P98" s="1561">
        <f t="shared" si="96"/>
        <v>1</v>
      </c>
      <c r="Q98" s="1561">
        <f t="shared" si="96"/>
        <v>0.97516919529694734</v>
      </c>
      <c r="R98" s="1562">
        <f t="shared" si="96"/>
        <v>1</v>
      </c>
      <c r="S98" s="1572">
        <v>0.96</v>
      </c>
      <c r="T98" s="1561">
        <f t="shared" si="94"/>
        <v>0.96750000000000003</v>
      </c>
      <c r="U98" s="1561">
        <f t="shared" si="94"/>
        <v>0.96750000000000003</v>
      </c>
      <c r="V98" s="1561">
        <f t="shared" si="94"/>
        <v>0.96750000000000003</v>
      </c>
      <c r="W98" s="1561">
        <f t="shared" si="94"/>
        <v>0.96750000000000003</v>
      </c>
      <c r="X98" s="1561">
        <f t="shared" si="95"/>
        <v>0.97</v>
      </c>
      <c r="Y98" s="1561">
        <f t="shared" si="95"/>
        <v>0.97</v>
      </c>
      <c r="Z98" s="1561">
        <f t="shared" si="95"/>
        <v>0.97</v>
      </c>
      <c r="AA98" s="1561">
        <f t="shared" si="95"/>
        <v>0.97</v>
      </c>
      <c r="AC98" s="989" t="str">
        <f>IFERROR(SUM(AC88,AC90)/AC84+1,"-")</f>
        <v>-</v>
      </c>
      <c r="AD98" s="989" t="str">
        <f>IFERROR(SUM(AD88,AD90)/AD84+1,"-")</f>
        <v>-</v>
      </c>
      <c r="AE98" s="1562">
        <f>IFERROR(SUM(AE88,AE90)/AE84+1,"-")</f>
        <v>0.77096611938882043</v>
      </c>
      <c r="AF98" s="1562">
        <f>IFERROR(SUM(AF88,AF90)/AF84+1,"-")</f>
        <v>0.87130418783679742</v>
      </c>
      <c r="AG98" s="1574">
        <v>0.87</v>
      </c>
      <c r="AH98" s="1574">
        <v>0.88</v>
      </c>
    </row>
    <row r="99" spans="1:35" s="988" customFormat="1" ht="12.75" customHeight="1" x14ac:dyDescent="0.2">
      <c r="B99" s="1023" t="s">
        <v>1062</v>
      </c>
      <c r="D99" s="992" t="str">
        <f t="shared" ref="D99:AA99" si="97">IFERROR(1+(SUM(D90,D87:D88)/D84),"-")</f>
        <v>-</v>
      </c>
      <c r="E99" s="992" t="str">
        <f t="shared" si="97"/>
        <v>-</v>
      </c>
      <c r="F99" s="992" t="str">
        <f t="shared" si="97"/>
        <v>-</v>
      </c>
      <c r="G99" s="992" t="str">
        <f t="shared" si="97"/>
        <v>-</v>
      </c>
      <c r="H99" s="992" t="str">
        <f t="shared" si="97"/>
        <v>-</v>
      </c>
      <c r="I99" s="992" t="str">
        <f t="shared" si="97"/>
        <v>-</v>
      </c>
      <c r="J99" s="1561">
        <f t="shared" si="97"/>
        <v>2.1526666666666667</v>
      </c>
      <c r="K99" s="1561">
        <f t="shared" si="97"/>
        <v>1</v>
      </c>
      <c r="L99" s="1561">
        <f t="shared" si="97"/>
        <v>1.0063272278637183</v>
      </c>
      <c r="M99" s="1561">
        <f t="shared" si="97"/>
        <v>1.130448522731863</v>
      </c>
      <c r="N99" s="1561">
        <f t="shared" si="97"/>
        <v>1.1624906576356639</v>
      </c>
      <c r="O99" s="1561">
        <f t="shared" si="97"/>
        <v>1.0914902624894158</v>
      </c>
      <c r="P99" s="1561">
        <f t="shared" si="97"/>
        <v>1.2475492686682064</v>
      </c>
      <c r="Q99" s="1561">
        <f t="shared" si="97"/>
        <v>1.0449539679734974</v>
      </c>
      <c r="R99" s="1562">
        <f t="shared" si="97"/>
        <v>1.2051196213179731</v>
      </c>
      <c r="S99" s="1561">
        <f t="shared" si="97"/>
        <v>1.11625</v>
      </c>
      <c r="T99" s="1561">
        <f t="shared" si="97"/>
        <v>1.06125</v>
      </c>
      <c r="U99" s="1561">
        <f t="shared" si="97"/>
        <v>1.06125</v>
      </c>
      <c r="V99" s="1561">
        <f t="shared" si="97"/>
        <v>1.06125</v>
      </c>
      <c r="W99" s="1561">
        <f t="shared" si="97"/>
        <v>1.06125</v>
      </c>
      <c r="X99" s="1561">
        <f t="shared" si="97"/>
        <v>1.02</v>
      </c>
      <c r="Y99" s="1561">
        <f t="shared" si="97"/>
        <v>1.02</v>
      </c>
      <c r="Z99" s="1561">
        <f t="shared" si="97"/>
        <v>1.02</v>
      </c>
      <c r="AA99" s="1561">
        <f t="shared" si="97"/>
        <v>1.02</v>
      </c>
      <c r="AC99" s="989" t="str">
        <f t="shared" ref="AC99:AH99" si="98">IFERROR(1+(SUM(AC90,AC87:AC88)/AC84),"-")</f>
        <v>-</v>
      </c>
      <c r="AD99" s="989" t="str">
        <f t="shared" si="98"/>
        <v>-</v>
      </c>
      <c r="AE99" s="1561">
        <f t="shared" si="98"/>
        <v>1.6217139603302648</v>
      </c>
      <c r="AF99" s="1576">
        <f t="shared" si="98"/>
        <v>1.8633014453425711</v>
      </c>
      <c r="AG99" s="1561">
        <f t="shared" si="98"/>
        <v>1.282273036816985</v>
      </c>
      <c r="AH99" s="1561">
        <f t="shared" si="98"/>
        <v>1.0866867781301988</v>
      </c>
      <c r="AI99" s="1023"/>
    </row>
    <row r="100" spans="1:35" s="988" customFormat="1" ht="12.75" customHeight="1" x14ac:dyDescent="0.2">
      <c r="B100" s="1023"/>
      <c r="D100" s="992"/>
      <c r="E100" s="992"/>
      <c r="F100" s="992"/>
      <c r="G100" s="992"/>
      <c r="H100" s="992"/>
      <c r="I100" s="992"/>
      <c r="J100" s="992"/>
      <c r="K100" s="992"/>
      <c r="L100" s="992"/>
      <c r="M100" s="992"/>
      <c r="N100" s="992"/>
      <c r="O100" s="992"/>
      <c r="P100" s="992"/>
      <c r="Q100" s="992"/>
      <c r="R100" s="997"/>
      <c r="S100" s="992"/>
      <c r="T100" s="992"/>
      <c r="U100" s="992"/>
      <c r="V100" s="992"/>
      <c r="W100" s="992"/>
      <c r="X100" s="992"/>
      <c r="Y100" s="992"/>
      <c r="Z100" s="992"/>
      <c r="AA100" s="992"/>
      <c r="AC100" s="989"/>
      <c r="AD100" s="989"/>
      <c r="AE100" s="989"/>
      <c r="AF100" s="1018"/>
      <c r="AG100" s="989"/>
      <c r="AH100" s="996"/>
    </row>
    <row r="101" spans="1:35" s="988" customFormat="1" ht="12.75" customHeight="1" x14ac:dyDescent="0.2">
      <c r="B101" s="863" t="s">
        <v>1070</v>
      </c>
      <c r="D101" s="992"/>
      <c r="E101" s="992"/>
      <c r="F101" s="992"/>
      <c r="G101" s="992"/>
      <c r="H101" s="992"/>
      <c r="I101" s="992"/>
      <c r="J101" s="992"/>
      <c r="K101" s="992"/>
      <c r="L101" s="992"/>
      <c r="M101" s="992"/>
      <c r="N101" s="992"/>
      <c r="O101" s="992"/>
      <c r="P101" s="992"/>
      <c r="Q101" s="992"/>
      <c r="R101" s="997"/>
      <c r="S101" s="992"/>
      <c r="T101" s="992"/>
      <c r="U101" s="992"/>
      <c r="V101" s="992"/>
      <c r="W101" s="992"/>
      <c r="X101" s="992"/>
      <c r="Y101" s="992"/>
      <c r="Z101" s="992"/>
      <c r="AA101" s="992"/>
      <c r="AC101" s="989"/>
      <c r="AD101" s="989"/>
      <c r="AE101" s="989"/>
      <c r="AF101" s="1018"/>
      <c r="AG101" s="989"/>
      <c r="AH101" s="996"/>
    </row>
    <row r="102" spans="1:35" ht="12.75" customHeight="1" x14ac:dyDescent="0.2">
      <c r="A102" s="1004" t="s">
        <v>1018</v>
      </c>
      <c r="B102" s="864" t="s">
        <v>1069</v>
      </c>
      <c r="C102" s="862"/>
      <c r="D102" s="862"/>
      <c r="E102" s="862"/>
      <c r="F102" s="862"/>
      <c r="G102" s="862"/>
      <c r="R102" s="1004"/>
      <c r="AC102" s="1000"/>
      <c r="AD102" s="1000"/>
      <c r="AE102" s="1000"/>
      <c r="AF102" s="1022"/>
      <c r="AG102" s="1000"/>
      <c r="AH102" s="1015"/>
    </row>
    <row r="103" spans="1:35" ht="12.75" customHeight="1" x14ac:dyDescent="0.2">
      <c r="A103" s="1004"/>
      <c r="B103" s="978" t="s">
        <v>1068</v>
      </c>
      <c r="D103" s="1129">
        <f t="shared" ref="D103:R103" si="99">SUM(D65,D84)</f>
        <v>0</v>
      </c>
      <c r="E103" s="1129">
        <f t="shared" si="99"/>
        <v>0</v>
      </c>
      <c r="F103" s="1129">
        <f t="shared" si="99"/>
        <v>0</v>
      </c>
      <c r="G103" s="1129">
        <f t="shared" si="99"/>
        <v>1.1879999999999999</v>
      </c>
      <c r="H103" s="1129">
        <f t="shared" si="99"/>
        <v>1.1879999999999999</v>
      </c>
      <c r="I103" s="1129">
        <f t="shared" si="99"/>
        <v>2.3879999999999999</v>
      </c>
      <c r="J103" s="1129">
        <f t="shared" si="99"/>
        <v>38.387999999999998</v>
      </c>
      <c r="K103" s="1129">
        <f t="shared" si="99"/>
        <v>128.83199999999999</v>
      </c>
      <c r="L103" s="1129">
        <f t="shared" si="99"/>
        <v>131.22</v>
      </c>
      <c r="M103" s="1129">
        <f t="shared" si="99"/>
        <v>156.28404</v>
      </c>
      <c r="N103" s="1129">
        <f t="shared" si="99"/>
        <v>212.62404000000001</v>
      </c>
      <c r="O103" s="1129">
        <f t="shared" si="99"/>
        <v>376.01603999999998</v>
      </c>
      <c r="P103" s="1129">
        <f t="shared" si="99"/>
        <v>499.53599999999994</v>
      </c>
      <c r="Q103" s="1129">
        <f t="shared" si="99"/>
        <v>752.89991999999995</v>
      </c>
      <c r="R103" s="1578">
        <f t="shared" si="99"/>
        <v>794.51591999999994</v>
      </c>
      <c r="S103" s="1548">
        <f t="shared" ref="S103:AA103" si="100">S84+S65</f>
        <v>1206.7441199999998</v>
      </c>
      <c r="T103" s="1546">
        <f t="shared" si="100"/>
        <v>1800.2862811499999</v>
      </c>
      <c r="U103" s="1546">
        <f t="shared" si="100"/>
        <v>1872.7895294264999</v>
      </c>
      <c r="V103" s="1546">
        <f t="shared" si="100"/>
        <v>1970.2736730921551</v>
      </c>
      <c r="W103" s="1546">
        <f t="shared" si="100"/>
        <v>2094.2673416323905</v>
      </c>
      <c r="X103" s="1546">
        <f t="shared" si="100"/>
        <v>2246.3928003403985</v>
      </c>
      <c r="Y103" s="1546">
        <f t="shared" si="100"/>
        <v>2313.0630435596063</v>
      </c>
      <c r="Z103" s="1546">
        <f t="shared" si="100"/>
        <v>2391.9739797071361</v>
      </c>
      <c r="AA103" s="1546">
        <f t="shared" si="100"/>
        <v>2472.5698862012346</v>
      </c>
      <c r="AB103" s="1012"/>
      <c r="AC103" s="1548">
        <f t="shared" ref="AC103:AH109" si="101">AC84+AC65</f>
        <v>0</v>
      </c>
      <c r="AD103" s="1546">
        <f t="shared" si="101"/>
        <v>1.1879999999999999</v>
      </c>
      <c r="AE103" s="1547">
        <f t="shared" si="101"/>
        <v>131.22</v>
      </c>
      <c r="AF103" s="1546">
        <f t="shared" si="101"/>
        <v>499.536</v>
      </c>
      <c r="AG103" s="1546">
        <f t="shared" si="101"/>
        <v>1800.2862811499995</v>
      </c>
      <c r="AH103" s="1547">
        <f t="shared" si="101"/>
        <v>2246.3928003403985</v>
      </c>
    </row>
    <row r="104" spans="1:35" ht="12.75" customHeight="1" x14ac:dyDescent="0.2">
      <c r="A104" s="1004"/>
      <c r="B104" s="1010" t="s">
        <v>968</v>
      </c>
      <c r="D104" s="1129">
        <f t="shared" ref="D104:R104" si="102">SUM(D66,D85)</f>
        <v>0</v>
      </c>
      <c r="E104" s="1129">
        <f t="shared" si="102"/>
        <v>0</v>
      </c>
      <c r="F104" s="1129">
        <f t="shared" si="102"/>
        <v>1.1879999999999999</v>
      </c>
      <c r="G104" s="1129">
        <f t="shared" si="102"/>
        <v>0</v>
      </c>
      <c r="H104" s="1129">
        <f t="shared" si="102"/>
        <v>0</v>
      </c>
      <c r="I104" s="1129">
        <f t="shared" si="102"/>
        <v>36</v>
      </c>
      <c r="J104" s="1129">
        <f t="shared" si="102"/>
        <v>48.948</v>
      </c>
      <c r="K104" s="1129">
        <f t="shared" si="102"/>
        <v>2.3879999999999999</v>
      </c>
      <c r="L104" s="1129">
        <f t="shared" si="102"/>
        <v>24.263999999999999</v>
      </c>
      <c r="M104" s="1129">
        <f t="shared" si="102"/>
        <v>34.176000000000002</v>
      </c>
      <c r="N104" s="1129">
        <f t="shared" si="102"/>
        <v>128.87603999999999</v>
      </c>
      <c r="O104" s="1129">
        <f t="shared" si="102"/>
        <v>70.188000000000002</v>
      </c>
      <c r="P104" s="1129">
        <f t="shared" si="102"/>
        <v>170.78796</v>
      </c>
      <c r="Q104" s="1129">
        <f t="shared" si="102"/>
        <v>20.499959999999998</v>
      </c>
      <c r="R104" s="1578">
        <f t="shared" si="102"/>
        <v>325.90811999999983</v>
      </c>
      <c r="S104" s="1548">
        <f t="shared" ref="S104:AA104" si="103">S85+S66</f>
        <v>421.5</v>
      </c>
      <c r="T104" s="1546">
        <f t="shared" si="103"/>
        <v>20.25</v>
      </c>
      <c r="U104" s="1546">
        <f t="shared" si="103"/>
        <v>40.5</v>
      </c>
      <c r="V104" s="1546">
        <f t="shared" si="103"/>
        <v>60.75</v>
      </c>
      <c r="W104" s="1546">
        <f t="shared" si="103"/>
        <v>81</v>
      </c>
      <c r="X104" s="1546">
        <f t="shared" si="103"/>
        <v>43.2</v>
      </c>
      <c r="Y104" s="1546">
        <f t="shared" si="103"/>
        <v>54</v>
      </c>
      <c r="Z104" s="1546">
        <f t="shared" si="103"/>
        <v>54</v>
      </c>
      <c r="AA104" s="1546">
        <f t="shared" si="103"/>
        <v>64.8</v>
      </c>
      <c r="AB104" s="1012"/>
      <c r="AC104" s="1548">
        <f t="shared" si="101"/>
        <v>1.1879999999999999</v>
      </c>
      <c r="AD104" s="1546">
        <f t="shared" si="101"/>
        <v>87.336000000000013</v>
      </c>
      <c r="AE104" s="1547">
        <f t="shared" si="101"/>
        <v>257.50403999999997</v>
      </c>
      <c r="AF104" s="1546">
        <f t="shared" si="101"/>
        <v>938.69603999999981</v>
      </c>
      <c r="AG104" s="1546">
        <f t="shared" si="101"/>
        <v>202.5</v>
      </c>
      <c r="AH104" s="1547">
        <f t="shared" si="101"/>
        <v>216</v>
      </c>
    </row>
    <row r="105" spans="1:35" ht="12.75" customHeight="1" x14ac:dyDescent="0.2">
      <c r="A105" s="1004"/>
      <c r="B105" s="1010" t="s">
        <v>967</v>
      </c>
      <c r="D105" s="1129">
        <f t="shared" ref="D105:R105" si="104">SUM(D67,D86)</f>
        <v>0</v>
      </c>
      <c r="E105" s="1129">
        <f t="shared" si="104"/>
        <v>0</v>
      </c>
      <c r="F105" s="1129">
        <f t="shared" si="104"/>
        <v>0</v>
      </c>
      <c r="G105" s="1129">
        <f t="shared" si="104"/>
        <v>0</v>
      </c>
      <c r="H105" s="1129">
        <f t="shared" si="104"/>
        <v>0</v>
      </c>
      <c r="I105" s="1129">
        <f t="shared" si="104"/>
        <v>0</v>
      </c>
      <c r="J105" s="1129">
        <f t="shared" si="104"/>
        <v>0</v>
      </c>
      <c r="K105" s="1129">
        <f t="shared" si="104"/>
        <v>0</v>
      </c>
      <c r="L105" s="1129">
        <f t="shared" si="104"/>
        <v>0</v>
      </c>
      <c r="M105" s="1129">
        <f t="shared" si="104"/>
        <v>0</v>
      </c>
      <c r="N105" s="1129">
        <f t="shared" si="104"/>
        <v>0</v>
      </c>
      <c r="O105" s="1129">
        <f t="shared" si="104"/>
        <v>0</v>
      </c>
      <c r="P105" s="1129">
        <f t="shared" si="104"/>
        <v>0</v>
      </c>
      <c r="Q105" s="1129">
        <f t="shared" si="104"/>
        <v>0</v>
      </c>
      <c r="R105" s="1578">
        <f t="shared" si="104"/>
        <v>0</v>
      </c>
      <c r="S105" s="1548">
        <f t="shared" ref="S105:AA105" si="105">S86+S67</f>
        <v>0</v>
      </c>
      <c r="T105" s="1546">
        <f t="shared" si="105"/>
        <v>0</v>
      </c>
      <c r="U105" s="1546">
        <f t="shared" si="105"/>
        <v>0</v>
      </c>
      <c r="V105" s="1546">
        <f t="shared" si="105"/>
        <v>0</v>
      </c>
      <c r="W105" s="1546">
        <f t="shared" si="105"/>
        <v>0</v>
      </c>
      <c r="X105" s="1546">
        <f t="shared" si="105"/>
        <v>0</v>
      </c>
      <c r="Y105" s="1546">
        <f t="shared" si="105"/>
        <v>0</v>
      </c>
      <c r="Z105" s="1546">
        <f t="shared" si="105"/>
        <v>0</v>
      </c>
      <c r="AA105" s="1546">
        <f t="shared" si="105"/>
        <v>0</v>
      </c>
      <c r="AB105" s="1012"/>
      <c r="AC105" s="1548">
        <f t="shared" si="101"/>
        <v>0</v>
      </c>
      <c r="AD105" s="1546">
        <f t="shared" si="101"/>
        <v>0</v>
      </c>
      <c r="AE105" s="1547">
        <f t="shared" si="101"/>
        <v>0</v>
      </c>
      <c r="AF105" s="1546">
        <f t="shared" si="101"/>
        <v>0</v>
      </c>
      <c r="AG105" s="1546">
        <f t="shared" si="101"/>
        <v>0</v>
      </c>
      <c r="AH105" s="1547">
        <f t="shared" si="101"/>
        <v>0</v>
      </c>
    </row>
    <row r="106" spans="1:35" ht="12.75" customHeight="1" x14ac:dyDescent="0.2">
      <c r="A106" s="1004"/>
      <c r="B106" s="1010" t="s">
        <v>965</v>
      </c>
      <c r="D106" s="1129">
        <f t="shared" ref="D106:R106" si="106">SUM(D68,D87)</f>
        <v>0</v>
      </c>
      <c r="E106" s="1129">
        <f t="shared" si="106"/>
        <v>0</v>
      </c>
      <c r="F106" s="1129">
        <f t="shared" si="106"/>
        <v>0</v>
      </c>
      <c r="G106" s="1129">
        <f t="shared" si="106"/>
        <v>0</v>
      </c>
      <c r="H106" s="1129">
        <f t="shared" si="106"/>
        <v>1.2</v>
      </c>
      <c r="I106" s="1129">
        <f t="shared" si="106"/>
        <v>0</v>
      </c>
      <c r="J106" s="1129">
        <f t="shared" si="106"/>
        <v>41.495999999999995</v>
      </c>
      <c r="K106" s="1129">
        <f t="shared" si="106"/>
        <v>0</v>
      </c>
      <c r="L106" s="1129">
        <f t="shared" si="106"/>
        <v>2.3999999999999986</v>
      </c>
      <c r="M106" s="1129">
        <f t="shared" si="106"/>
        <v>22.164000000000001</v>
      </c>
      <c r="N106" s="1129">
        <f t="shared" si="106"/>
        <v>61.875959999999999</v>
      </c>
      <c r="O106" s="1129">
        <f t="shared" si="106"/>
        <v>53.331959999999995</v>
      </c>
      <c r="P106" s="1129">
        <f t="shared" si="106"/>
        <v>82.575960000000009</v>
      </c>
      <c r="Q106" s="1129">
        <f t="shared" si="106"/>
        <v>31.116</v>
      </c>
      <c r="R106" s="1578">
        <f t="shared" si="106"/>
        <v>86.320080000000004</v>
      </c>
      <c r="S106" s="1548">
        <f t="shared" ref="S106:AA106" si="107">S87+S68</f>
        <v>204.43284734999997</v>
      </c>
      <c r="T106" s="1546">
        <f t="shared" si="107"/>
        <v>86.681150493749982</v>
      </c>
      <c r="U106" s="1546">
        <f t="shared" si="107"/>
        <v>93.888808461492175</v>
      </c>
      <c r="V106" s="1546">
        <f t="shared" si="107"/>
        <v>103.43637297975857</v>
      </c>
      <c r="W106" s="1546">
        <f t="shared" si="107"/>
        <v>115.46716332476879</v>
      </c>
      <c r="X106" s="1546">
        <f t="shared" si="107"/>
        <v>69.404414441819128</v>
      </c>
      <c r="Y106" s="1546">
        <f t="shared" si="107"/>
        <v>72.952502730655524</v>
      </c>
      <c r="Z106" s="1546">
        <f t="shared" si="107"/>
        <v>77.111552785268643</v>
      </c>
      <c r="AA106" s="1546">
        <f t="shared" si="107"/>
        <v>81.353783840974017</v>
      </c>
      <c r="AB106" s="1012"/>
      <c r="AC106" s="1548">
        <f t="shared" si="101"/>
        <v>0</v>
      </c>
      <c r="AD106" s="1546">
        <f t="shared" si="101"/>
        <v>42.695999999999998</v>
      </c>
      <c r="AE106" s="1547">
        <f t="shared" si="101"/>
        <v>139.77192000000002</v>
      </c>
      <c r="AF106" s="1546">
        <f t="shared" si="101"/>
        <v>404.44488734999999</v>
      </c>
      <c r="AG106" s="1546">
        <f t="shared" si="101"/>
        <v>399.47349525976949</v>
      </c>
      <c r="AH106" s="1547">
        <f t="shared" si="101"/>
        <v>300.82225379871733</v>
      </c>
    </row>
    <row r="107" spans="1:35" ht="12.75" customHeight="1" x14ac:dyDescent="0.2">
      <c r="A107" s="1004"/>
      <c r="B107" s="1010" t="s">
        <v>964</v>
      </c>
      <c r="D107" s="1129">
        <f t="shared" ref="D107:R107" si="108">SUM(D69,D88)</f>
        <v>0</v>
      </c>
      <c r="E107" s="1129">
        <f t="shared" si="108"/>
        <v>0</v>
      </c>
      <c r="F107" s="1129">
        <f t="shared" si="108"/>
        <v>0</v>
      </c>
      <c r="G107" s="1129">
        <f t="shared" si="108"/>
        <v>0</v>
      </c>
      <c r="H107" s="1129">
        <f t="shared" si="108"/>
        <v>0</v>
      </c>
      <c r="I107" s="1129">
        <f t="shared" si="108"/>
        <v>0</v>
      </c>
      <c r="J107" s="1129">
        <f t="shared" si="108"/>
        <v>0</v>
      </c>
      <c r="K107" s="1129">
        <f t="shared" si="108"/>
        <v>0</v>
      </c>
      <c r="L107" s="1129">
        <f t="shared" si="108"/>
        <v>0</v>
      </c>
      <c r="M107" s="1129">
        <f t="shared" si="108"/>
        <v>0</v>
      </c>
      <c r="N107" s="1129">
        <f t="shared" si="108"/>
        <v>-27.36</v>
      </c>
      <c r="O107" s="1129">
        <f t="shared" si="108"/>
        <v>0</v>
      </c>
      <c r="P107" s="1129">
        <f t="shared" si="108"/>
        <v>0</v>
      </c>
      <c r="Q107" s="1129">
        <f t="shared" si="108"/>
        <v>-9.9999599999999997</v>
      </c>
      <c r="R107" s="1578">
        <f t="shared" si="108"/>
        <v>0</v>
      </c>
      <c r="S107" s="1548">
        <f t="shared" ref="S107:AA107" si="109">S88+S69</f>
        <v>-27.491185499999997</v>
      </c>
      <c r="T107" s="1548">
        <f t="shared" si="109"/>
        <v>-24.495167750099903</v>
      </c>
      <c r="U107" s="1548">
        <f t="shared" si="109"/>
        <v>-26.338992308683686</v>
      </c>
      <c r="V107" s="1548">
        <f t="shared" si="109"/>
        <v>-28.785007550061266</v>
      </c>
      <c r="W107" s="1548">
        <f t="shared" si="109"/>
        <v>-31.870094027660869</v>
      </c>
      <c r="X107" s="1548">
        <f t="shared" si="109"/>
        <v>-33.377747777578556</v>
      </c>
      <c r="Y107" s="1548">
        <f t="shared" si="109"/>
        <v>-34.963658701161123</v>
      </c>
      <c r="Z107" s="1548">
        <f t="shared" si="109"/>
        <v>-36.824556063375191</v>
      </c>
      <c r="AA107" s="1548">
        <f t="shared" si="109"/>
        <v>-38.722938251892586</v>
      </c>
      <c r="AB107" s="1012"/>
      <c r="AC107" s="1548">
        <f t="shared" si="101"/>
        <v>0</v>
      </c>
      <c r="AD107" s="1546">
        <f t="shared" si="101"/>
        <v>0</v>
      </c>
      <c r="AE107" s="1547">
        <f t="shared" si="101"/>
        <v>-27.36</v>
      </c>
      <c r="AF107" s="1546">
        <f t="shared" si="101"/>
        <v>-37.491145499999995</v>
      </c>
      <c r="AG107" s="1546">
        <f t="shared" si="101"/>
        <v>-111.48926163650572</v>
      </c>
      <c r="AH107" s="1547">
        <f t="shared" si="101"/>
        <v>-143.88890079400744</v>
      </c>
    </row>
    <row r="108" spans="1:35" ht="12.75" customHeight="1" x14ac:dyDescent="0.2">
      <c r="A108" s="1004"/>
      <c r="B108" s="1010" t="s">
        <v>963</v>
      </c>
      <c r="D108" s="1129">
        <f t="shared" ref="D108:R108" si="110">SUM(D70,D89)</f>
        <v>0</v>
      </c>
      <c r="E108" s="1129">
        <f t="shared" si="110"/>
        <v>0</v>
      </c>
      <c r="F108" s="1129">
        <f t="shared" si="110"/>
        <v>0</v>
      </c>
      <c r="G108" s="1129">
        <f t="shared" si="110"/>
        <v>0</v>
      </c>
      <c r="H108" s="1129">
        <f t="shared" si="110"/>
        <v>0</v>
      </c>
      <c r="I108" s="1129">
        <f t="shared" si="110"/>
        <v>0</v>
      </c>
      <c r="J108" s="1129">
        <f t="shared" si="110"/>
        <v>0</v>
      </c>
      <c r="K108" s="1129">
        <f t="shared" si="110"/>
        <v>0</v>
      </c>
      <c r="L108" s="1129">
        <f t="shared" si="110"/>
        <v>0</v>
      </c>
      <c r="M108" s="1129">
        <f t="shared" si="110"/>
        <v>0</v>
      </c>
      <c r="N108" s="1129">
        <f t="shared" si="110"/>
        <v>0</v>
      </c>
      <c r="O108" s="1129">
        <f t="shared" si="110"/>
        <v>0</v>
      </c>
      <c r="P108" s="1129">
        <f t="shared" si="110"/>
        <v>0</v>
      </c>
      <c r="Q108" s="1129">
        <f t="shared" si="110"/>
        <v>0</v>
      </c>
      <c r="R108" s="1578">
        <f t="shared" si="110"/>
        <v>0</v>
      </c>
      <c r="S108" s="1548">
        <f t="shared" ref="S108:AA108" si="111">S89+S70</f>
        <v>0</v>
      </c>
      <c r="T108" s="1548">
        <f t="shared" si="111"/>
        <v>0</v>
      </c>
      <c r="U108" s="1548">
        <f t="shared" si="111"/>
        <v>0</v>
      </c>
      <c r="V108" s="1548">
        <f t="shared" si="111"/>
        <v>0</v>
      </c>
      <c r="W108" s="1548">
        <f t="shared" si="111"/>
        <v>0</v>
      </c>
      <c r="X108" s="1548">
        <f t="shared" si="111"/>
        <v>0</v>
      </c>
      <c r="Y108" s="1548">
        <f t="shared" si="111"/>
        <v>0</v>
      </c>
      <c r="Z108" s="1548">
        <f t="shared" si="111"/>
        <v>0</v>
      </c>
      <c r="AA108" s="1548">
        <f t="shared" si="111"/>
        <v>0</v>
      </c>
      <c r="AB108" s="1012"/>
      <c r="AC108" s="1548">
        <f t="shared" si="101"/>
        <v>0</v>
      </c>
      <c r="AD108" s="1546">
        <f t="shared" si="101"/>
        <v>0</v>
      </c>
      <c r="AE108" s="1547">
        <f t="shared" si="101"/>
        <v>0</v>
      </c>
      <c r="AF108" s="1546">
        <f t="shared" si="101"/>
        <v>0</v>
      </c>
      <c r="AG108" s="1546">
        <f t="shared" si="101"/>
        <v>0</v>
      </c>
      <c r="AH108" s="1547">
        <f t="shared" si="101"/>
        <v>0</v>
      </c>
    </row>
    <row r="109" spans="1:35" ht="15" customHeight="1" x14ac:dyDescent="0.35">
      <c r="A109" s="1004"/>
      <c r="B109" s="1010" t="s">
        <v>962</v>
      </c>
      <c r="C109" s="566"/>
      <c r="D109" s="1025">
        <f t="shared" ref="D109:R109" si="112">SUM(D71,D90)</f>
        <v>0</v>
      </c>
      <c r="E109" s="1025">
        <f t="shared" si="112"/>
        <v>0</v>
      </c>
      <c r="F109" s="1025">
        <f t="shared" si="112"/>
        <v>0</v>
      </c>
      <c r="G109" s="1025">
        <f t="shared" si="112"/>
        <v>0</v>
      </c>
      <c r="H109" s="1025">
        <f t="shared" si="112"/>
        <v>0</v>
      </c>
      <c r="I109" s="1025">
        <f t="shared" si="112"/>
        <v>0</v>
      </c>
      <c r="J109" s="1025">
        <f t="shared" si="112"/>
        <v>0</v>
      </c>
      <c r="K109" s="1025">
        <f t="shared" si="112"/>
        <v>0</v>
      </c>
      <c r="L109" s="1025">
        <f t="shared" si="112"/>
        <v>-1.5999599999999994</v>
      </c>
      <c r="M109" s="1025">
        <f t="shared" si="112"/>
        <v>0</v>
      </c>
      <c r="N109" s="1025">
        <f t="shared" si="112"/>
        <v>0</v>
      </c>
      <c r="O109" s="1025">
        <f t="shared" si="112"/>
        <v>0</v>
      </c>
      <c r="P109" s="1025">
        <f t="shared" si="112"/>
        <v>0</v>
      </c>
      <c r="Q109" s="1025">
        <f t="shared" si="112"/>
        <v>0</v>
      </c>
      <c r="R109" s="1153">
        <f t="shared" si="112"/>
        <v>0</v>
      </c>
      <c r="S109" s="1025">
        <f t="shared" ref="S109:AA109" si="113">S90+S71</f>
        <v>-4.8995007000000292</v>
      </c>
      <c r="T109" s="1025">
        <f t="shared" si="113"/>
        <v>-9.9327344671500697</v>
      </c>
      <c r="U109" s="1025">
        <f t="shared" si="113"/>
        <v>-10.565672487153169</v>
      </c>
      <c r="V109" s="1025">
        <f t="shared" si="113"/>
        <v>-11.407696889461999</v>
      </c>
      <c r="W109" s="1025">
        <f t="shared" si="113"/>
        <v>-12.471610589099894</v>
      </c>
      <c r="X109" s="1025">
        <f t="shared" si="113"/>
        <v>-12.556423445033042</v>
      </c>
      <c r="Y109" s="1025">
        <f t="shared" si="113"/>
        <v>-13.077907881964709</v>
      </c>
      <c r="Z109" s="1025">
        <f t="shared" si="113"/>
        <v>-13.691090227794854</v>
      </c>
      <c r="AA109" s="1025">
        <f t="shared" si="113"/>
        <v>-14.31680309960063</v>
      </c>
      <c r="AB109" s="566"/>
      <c r="AC109" s="1025">
        <f t="shared" si="101"/>
        <v>0</v>
      </c>
      <c r="AD109" s="1025">
        <f t="shared" si="101"/>
        <v>0</v>
      </c>
      <c r="AE109" s="1153">
        <f t="shared" si="101"/>
        <v>-1.5999599999999994</v>
      </c>
      <c r="AF109" s="1025">
        <f t="shared" si="101"/>
        <v>-4.8995007000000292</v>
      </c>
      <c r="AG109" s="1025">
        <f t="shared" si="101"/>
        <v>-44.377714432865126</v>
      </c>
      <c r="AH109" s="1153">
        <f t="shared" si="101"/>
        <v>-53.642224654393239</v>
      </c>
    </row>
    <row r="110" spans="1:35" ht="12.75" customHeight="1" x14ac:dyDescent="0.2">
      <c r="A110" s="1004"/>
      <c r="B110" s="1009" t="s">
        <v>1067</v>
      </c>
      <c r="C110" s="1007"/>
      <c r="D110" s="698">
        <f t="shared" ref="D110:AA110" si="114">SUM(D103:D109)</f>
        <v>0</v>
      </c>
      <c r="E110" s="698">
        <f t="shared" si="114"/>
        <v>0</v>
      </c>
      <c r="F110" s="698">
        <f t="shared" si="114"/>
        <v>1.1879999999999999</v>
      </c>
      <c r="G110" s="698">
        <f t="shared" si="114"/>
        <v>1.1879999999999999</v>
      </c>
      <c r="H110" s="698">
        <f t="shared" si="114"/>
        <v>2.3879999999999999</v>
      </c>
      <c r="I110" s="698">
        <f t="shared" si="114"/>
        <v>38.387999999999998</v>
      </c>
      <c r="J110" s="698">
        <f t="shared" si="114"/>
        <v>128.83199999999999</v>
      </c>
      <c r="K110" s="698">
        <f t="shared" si="114"/>
        <v>131.22</v>
      </c>
      <c r="L110" s="698">
        <f t="shared" si="114"/>
        <v>156.28404</v>
      </c>
      <c r="M110" s="698">
        <f t="shared" si="114"/>
        <v>212.62403999999998</v>
      </c>
      <c r="N110" s="698">
        <f t="shared" si="114"/>
        <v>376.01604000000003</v>
      </c>
      <c r="O110" s="698">
        <f t="shared" si="114"/>
        <v>499.53599999999994</v>
      </c>
      <c r="P110" s="698">
        <f t="shared" si="114"/>
        <v>752.89991999999995</v>
      </c>
      <c r="Q110" s="698">
        <f t="shared" si="114"/>
        <v>794.51591999999994</v>
      </c>
      <c r="R110" s="1008">
        <f t="shared" si="114"/>
        <v>1206.7441199999998</v>
      </c>
      <c r="S110" s="698">
        <f t="shared" si="114"/>
        <v>1800.2862811499997</v>
      </c>
      <c r="T110" s="698">
        <f t="shared" si="114"/>
        <v>1872.7895294264999</v>
      </c>
      <c r="U110" s="698">
        <f t="shared" si="114"/>
        <v>1970.2736730921551</v>
      </c>
      <c r="V110" s="698">
        <f t="shared" si="114"/>
        <v>2094.2673416323905</v>
      </c>
      <c r="W110" s="698">
        <f t="shared" si="114"/>
        <v>2246.3928003403989</v>
      </c>
      <c r="X110" s="698">
        <f t="shared" si="114"/>
        <v>2313.0630435596058</v>
      </c>
      <c r="Y110" s="698">
        <f t="shared" si="114"/>
        <v>2391.9739797071361</v>
      </c>
      <c r="Z110" s="698">
        <f t="shared" si="114"/>
        <v>2472.5698862012346</v>
      </c>
      <c r="AA110" s="698">
        <f t="shared" si="114"/>
        <v>2565.6839286907152</v>
      </c>
      <c r="AB110" s="698"/>
      <c r="AC110" s="698">
        <f t="shared" ref="AC110:AH110" si="115">SUM(AC103:AC109)</f>
        <v>1.1879999999999999</v>
      </c>
      <c r="AD110" s="698">
        <f t="shared" si="115"/>
        <v>131.22000000000003</v>
      </c>
      <c r="AE110" s="1008">
        <f t="shared" si="115"/>
        <v>499.53599999999994</v>
      </c>
      <c r="AF110" s="698">
        <f t="shared" si="115"/>
        <v>1800.2862811499999</v>
      </c>
      <c r="AG110" s="698">
        <f t="shared" si="115"/>
        <v>2246.392800340398</v>
      </c>
      <c r="AH110" s="1008">
        <f t="shared" si="115"/>
        <v>2565.6839286907148</v>
      </c>
    </row>
    <row r="111" spans="1:35" ht="12.75" customHeight="1" x14ac:dyDescent="0.2">
      <c r="A111" s="1004"/>
      <c r="B111" s="793" t="s">
        <v>974</v>
      </c>
      <c r="C111" s="1007"/>
      <c r="D111" s="790"/>
      <c r="E111" s="790"/>
      <c r="F111" s="790"/>
      <c r="G111" s="790"/>
      <c r="H111" s="791" t="str">
        <f t="shared" ref="H111:AA111" si="116">IFERROR(H110/D110-1,"-")</f>
        <v>-</v>
      </c>
      <c r="I111" s="791" t="str">
        <f t="shared" si="116"/>
        <v>-</v>
      </c>
      <c r="J111" s="791">
        <f t="shared" si="116"/>
        <v>107.44444444444444</v>
      </c>
      <c r="K111" s="791">
        <f t="shared" si="116"/>
        <v>109.45454545454545</v>
      </c>
      <c r="L111" s="791">
        <f t="shared" si="116"/>
        <v>64.445577889447236</v>
      </c>
      <c r="M111" s="791">
        <f t="shared" si="116"/>
        <v>4.5388152547671146</v>
      </c>
      <c r="N111" s="791">
        <f t="shared" si="116"/>
        <v>1.9186540611028322</v>
      </c>
      <c r="O111" s="791">
        <f t="shared" si="116"/>
        <v>2.8068587105624139</v>
      </c>
      <c r="P111" s="791">
        <f t="shared" si="116"/>
        <v>3.8175099645491626</v>
      </c>
      <c r="Q111" s="791">
        <f t="shared" si="116"/>
        <v>2.7367172592525284</v>
      </c>
      <c r="R111" s="792">
        <f t="shared" si="116"/>
        <v>2.2092889441631258</v>
      </c>
      <c r="S111" s="791">
        <f t="shared" si="116"/>
        <v>2.6039169972734695</v>
      </c>
      <c r="T111" s="791">
        <f t="shared" si="116"/>
        <v>1.4874348896550553</v>
      </c>
      <c r="U111" s="791">
        <f t="shared" si="116"/>
        <v>1.4798416538867532</v>
      </c>
      <c r="V111" s="791">
        <f t="shared" si="116"/>
        <v>0.73546927382781924</v>
      </c>
      <c r="W111" s="791">
        <f t="shared" si="116"/>
        <v>0.24779754412472221</v>
      </c>
      <c r="X111" s="791">
        <f t="shared" si="116"/>
        <v>0.23508969225598442</v>
      </c>
      <c r="Y111" s="791">
        <f t="shared" si="116"/>
        <v>0.21403133603930402</v>
      </c>
      <c r="Z111" s="791">
        <f t="shared" si="116"/>
        <v>0.18063717895441833</v>
      </c>
      <c r="AA111" s="791">
        <f t="shared" si="116"/>
        <v>0.14213503902876368</v>
      </c>
      <c r="AB111" s="733"/>
      <c r="AC111" s="790"/>
      <c r="AD111" s="791">
        <f>IFERROR(AD110/AC110-1,"-")</f>
        <v>109.45454545454548</v>
      </c>
      <c r="AE111" s="792">
        <f>IFERROR(AE110/AD110-1,"-")</f>
        <v>2.806858710562413</v>
      </c>
      <c r="AF111" s="791">
        <f>IFERROR(AF110/AE110-1,"-")</f>
        <v>2.6039169972734699</v>
      </c>
      <c r="AG111" s="791">
        <f>IFERROR(AG110/AF110-1,"-")</f>
        <v>0.24779754412472155</v>
      </c>
      <c r="AH111" s="792">
        <f>IFERROR(AH110/AG110-1,"-")</f>
        <v>0.1421350390287639</v>
      </c>
    </row>
    <row r="112" spans="1:35" ht="12.75" customHeight="1" x14ac:dyDescent="0.2">
      <c r="A112" s="1004"/>
      <c r="D112" s="1001"/>
      <c r="E112" s="1001"/>
      <c r="F112" s="1001"/>
      <c r="G112" s="1001"/>
      <c r="H112" s="1001"/>
      <c r="I112" s="1001"/>
      <c r="J112" s="1001"/>
      <c r="K112" s="1001"/>
      <c r="L112" s="1001"/>
      <c r="M112" s="1001"/>
      <c r="N112" s="1001"/>
      <c r="O112" s="1001"/>
      <c r="P112" s="1001"/>
      <c r="Q112" s="1006"/>
      <c r="R112" s="1021"/>
      <c r="S112" s="1002"/>
      <c r="T112" s="1001"/>
      <c r="U112" s="1001"/>
      <c r="V112" s="1001"/>
      <c r="W112" s="1001"/>
      <c r="X112" s="1001"/>
      <c r="Y112" s="1001"/>
      <c r="Z112" s="1001"/>
      <c r="AA112" s="1001"/>
      <c r="AC112" s="1000"/>
      <c r="AD112" s="999"/>
      <c r="AE112" s="998"/>
      <c r="AF112" s="999"/>
      <c r="AG112" s="999"/>
      <c r="AH112" s="1020"/>
    </row>
    <row r="113" spans="1:34" ht="12.75" customHeight="1" x14ac:dyDescent="0.2">
      <c r="A113" s="1004"/>
      <c r="B113" s="1005" t="s">
        <v>1066</v>
      </c>
      <c r="C113" s="956"/>
      <c r="D113" s="954">
        <f t="shared" ref="D113:AA113" si="117">D94+D75</f>
        <v>0</v>
      </c>
      <c r="E113" s="954">
        <f t="shared" si="117"/>
        <v>0</v>
      </c>
      <c r="F113" s="954">
        <f t="shared" si="117"/>
        <v>0.10972</v>
      </c>
      <c r="G113" s="954">
        <f t="shared" si="117"/>
        <v>0.29985000000000001</v>
      </c>
      <c r="H113" s="954">
        <f t="shared" si="117"/>
        <v>0.46143000000000006</v>
      </c>
      <c r="I113" s="954">
        <f t="shared" si="117"/>
        <v>11.35961</v>
      </c>
      <c r="J113" s="954">
        <f t="shared" si="117"/>
        <v>17.400650000000002</v>
      </c>
      <c r="K113" s="954">
        <f t="shared" si="117"/>
        <v>33.865599999999993</v>
      </c>
      <c r="L113" s="954">
        <f t="shared" si="117"/>
        <v>46.3643</v>
      </c>
      <c r="M113" s="954">
        <f t="shared" si="117"/>
        <v>43.17445</v>
      </c>
      <c r="N113" s="954">
        <f t="shared" si="117"/>
        <v>69.704669999999993</v>
      </c>
      <c r="O113" s="954">
        <f t="shared" si="117"/>
        <v>151.48852999999997</v>
      </c>
      <c r="P113" s="954">
        <f t="shared" si="117"/>
        <v>143.30967999999999</v>
      </c>
      <c r="Q113" s="954">
        <f t="shared" si="117"/>
        <v>175.98322000000002</v>
      </c>
      <c r="R113" s="1019">
        <f t="shared" si="117"/>
        <v>233.37579999999997</v>
      </c>
      <c r="S113" s="954">
        <f t="shared" si="117"/>
        <v>375.87880014374991</v>
      </c>
      <c r="T113" s="954">
        <f t="shared" si="117"/>
        <v>459.13447632206248</v>
      </c>
      <c r="U113" s="954">
        <f t="shared" si="117"/>
        <v>480.38290031483194</v>
      </c>
      <c r="V113" s="954">
        <f t="shared" si="117"/>
        <v>508.06762684056821</v>
      </c>
      <c r="W113" s="954">
        <f t="shared" si="117"/>
        <v>542.58251774659868</v>
      </c>
      <c r="X113" s="954">
        <f t="shared" si="117"/>
        <v>569.9319804875006</v>
      </c>
      <c r="Y113" s="954">
        <f t="shared" si="117"/>
        <v>588.12962790834274</v>
      </c>
      <c r="Z113" s="954">
        <f t="shared" si="117"/>
        <v>608.06798323854628</v>
      </c>
      <c r="AA113" s="954">
        <f t="shared" si="117"/>
        <v>629.78172686149367</v>
      </c>
      <c r="AB113" s="698"/>
      <c r="AC113" s="954">
        <f>SUM(D113:G113)</f>
        <v>0.40956999999999999</v>
      </c>
      <c r="AD113" s="954">
        <f>SUM(H113:K113)</f>
        <v>63.087289999999996</v>
      </c>
      <c r="AE113" s="954">
        <f>SUM(L113:O113)</f>
        <v>310.73194999999998</v>
      </c>
      <c r="AF113" s="1056">
        <f>AF94+AF75</f>
        <v>928.54750014374986</v>
      </c>
      <c r="AG113" s="954">
        <f>AG94+AG75</f>
        <v>1990.1675212240614</v>
      </c>
      <c r="AH113" s="1055">
        <f>AH94+AH75</f>
        <v>2395.9113184958833</v>
      </c>
    </row>
    <row r="114" spans="1:34" ht="12.75" customHeight="1" x14ac:dyDescent="0.2">
      <c r="A114" s="1004"/>
      <c r="D114" s="1002"/>
      <c r="E114" s="1002"/>
      <c r="F114" s="1002"/>
      <c r="G114" s="1002"/>
      <c r="H114" s="1002"/>
      <c r="I114" s="1002"/>
      <c r="J114" s="1002"/>
      <c r="K114" s="1002"/>
      <c r="L114" s="1002"/>
      <c r="M114" s="1001"/>
      <c r="N114" s="1001"/>
      <c r="O114" s="1001"/>
      <c r="P114" s="1002"/>
      <c r="Q114" s="1002"/>
      <c r="R114" s="1003"/>
      <c r="S114" s="1002"/>
      <c r="T114" s="1002"/>
      <c r="U114" s="1001"/>
      <c r="V114" s="1001"/>
      <c r="W114" s="1001"/>
      <c r="X114" s="1002"/>
      <c r="Y114" s="1001"/>
      <c r="Z114" s="1001"/>
      <c r="AA114" s="1001"/>
      <c r="AC114" s="1000"/>
      <c r="AD114" s="999"/>
      <c r="AE114" s="998"/>
      <c r="AF114" s="999"/>
      <c r="AG114" s="999"/>
      <c r="AH114" s="998"/>
    </row>
    <row r="115" spans="1:34" s="988" customFormat="1" ht="12.75" customHeight="1" x14ac:dyDescent="0.2">
      <c r="A115" s="995"/>
      <c r="B115" s="988" t="s">
        <v>1065</v>
      </c>
      <c r="D115" s="992" t="str">
        <f t="shared" ref="D115:AA115" si="118">IFERROR(D106/D103,"-")</f>
        <v>-</v>
      </c>
      <c r="E115" s="992" t="str">
        <f t="shared" si="118"/>
        <v>-</v>
      </c>
      <c r="F115" s="992" t="str">
        <f t="shared" si="118"/>
        <v>-</v>
      </c>
      <c r="G115" s="1561">
        <f t="shared" si="118"/>
        <v>0</v>
      </c>
      <c r="H115" s="1561">
        <f t="shared" si="118"/>
        <v>1.0101010101010102</v>
      </c>
      <c r="I115" s="1561">
        <f t="shared" si="118"/>
        <v>0</v>
      </c>
      <c r="J115" s="1561">
        <f t="shared" si="118"/>
        <v>1.0809628008752734</v>
      </c>
      <c r="K115" s="1561">
        <f t="shared" si="118"/>
        <v>0</v>
      </c>
      <c r="L115" s="1561">
        <f t="shared" si="118"/>
        <v>1.8289894833104697E-2</v>
      </c>
      <c r="M115" s="1561">
        <f t="shared" si="118"/>
        <v>0.14181870394443349</v>
      </c>
      <c r="N115" s="1561">
        <f t="shared" si="118"/>
        <v>0.29101111990911283</v>
      </c>
      <c r="O115" s="1561">
        <f t="shared" si="118"/>
        <v>0.14183426855939443</v>
      </c>
      <c r="P115" s="1561">
        <f t="shared" si="118"/>
        <v>0.16530532334005962</v>
      </c>
      <c r="Q115" s="1561">
        <f t="shared" si="118"/>
        <v>4.132820202716983E-2</v>
      </c>
      <c r="R115" s="1562">
        <f t="shared" si="118"/>
        <v>0.10864487145833404</v>
      </c>
      <c r="S115" s="1561">
        <f t="shared" si="118"/>
        <v>0.16940861278031336</v>
      </c>
      <c r="T115" s="1561">
        <f t="shared" si="118"/>
        <v>4.8148536930681475E-2</v>
      </c>
      <c r="U115" s="1561">
        <f t="shared" si="118"/>
        <v>5.0133134015461697E-2</v>
      </c>
      <c r="V115" s="1561">
        <f t="shared" si="118"/>
        <v>5.2498479978887971E-2</v>
      </c>
      <c r="W115" s="1561">
        <f t="shared" si="118"/>
        <v>5.5134872721057257E-2</v>
      </c>
      <c r="X115" s="1561">
        <f t="shared" si="118"/>
        <v>3.0895938782968944E-2</v>
      </c>
      <c r="Y115" s="1561">
        <f t="shared" si="118"/>
        <v>3.1539349060883293E-2</v>
      </c>
      <c r="Z115" s="1561">
        <f t="shared" si="118"/>
        <v>3.2237621913725784E-2</v>
      </c>
      <c r="AA115" s="1561">
        <f t="shared" si="118"/>
        <v>3.2902521499994071E-2</v>
      </c>
      <c r="AC115" s="989" t="str">
        <f t="shared" ref="AC115:AH115" si="119">IFERROR(AC106/AC103,"-")</f>
        <v>-</v>
      </c>
      <c r="AD115" s="1561">
        <f t="shared" si="119"/>
        <v>35.939393939393938</v>
      </c>
      <c r="AE115" s="1561">
        <f t="shared" si="119"/>
        <v>1.0651723822588022</v>
      </c>
      <c r="AF115" s="1576">
        <f t="shared" si="119"/>
        <v>0.8096411216609013</v>
      </c>
      <c r="AG115" s="1561">
        <f t="shared" si="119"/>
        <v>0.22189442837090945</v>
      </c>
      <c r="AH115" s="1562">
        <f t="shared" si="119"/>
        <v>0.1339134695201718</v>
      </c>
    </row>
    <row r="116" spans="1:34" s="988" customFormat="1" ht="12.75" customHeight="1" x14ac:dyDescent="0.2">
      <c r="A116" s="995"/>
      <c r="B116" s="988" t="s">
        <v>1064</v>
      </c>
      <c r="D116" s="992" t="str">
        <f t="shared" ref="D116:AA116" si="120">IFERROR(D107/D103+1,"-")</f>
        <v>-</v>
      </c>
      <c r="E116" s="992" t="str">
        <f t="shared" si="120"/>
        <v>-</v>
      </c>
      <c r="F116" s="992" t="str">
        <f t="shared" si="120"/>
        <v>-</v>
      </c>
      <c r="G116" s="1561">
        <f t="shared" si="120"/>
        <v>1</v>
      </c>
      <c r="H116" s="1561">
        <f t="shared" si="120"/>
        <v>1</v>
      </c>
      <c r="I116" s="1561">
        <f t="shared" si="120"/>
        <v>1</v>
      </c>
      <c r="J116" s="1561">
        <f t="shared" si="120"/>
        <v>1</v>
      </c>
      <c r="K116" s="1561">
        <f t="shared" si="120"/>
        <v>1</v>
      </c>
      <c r="L116" s="1561">
        <f t="shared" si="120"/>
        <v>1</v>
      </c>
      <c r="M116" s="1561">
        <f t="shared" si="120"/>
        <v>1</v>
      </c>
      <c r="N116" s="1561">
        <f t="shared" si="120"/>
        <v>0.87132217034348514</v>
      </c>
      <c r="O116" s="1561">
        <f t="shared" si="120"/>
        <v>1</v>
      </c>
      <c r="P116" s="1561">
        <f t="shared" si="120"/>
        <v>1</v>
      </c>
      <c r="Q116" s="1561">
        <f t="shared" si="120"/>
        <v>0.98671807535854172</v>
      </c>
      <c r="R116" s="1562">
        <f t="shared" si="120"/>
        <v>1</v>
      </c>
      <c r="S116" s="1561">
        <f t="shared" si="120"/>
        <v>0.97721871186743381</v>
      </c>
      <c r="T116" s="1561">
        <f t="shared" si="120"/>
        <v>0.98639373748132286</v>
      </c>
      <c r="U116" s="1561">
        <f t="shared" si="120"/>
        <v>0.98593595708710025</v>
      </c>
      <c r="V116" s="1561">
        <f t="shared" si="120"/>
        <v>0.98539035061820324</v>
      </c>
      <c r="W116" s="1561">
        <f t="shared" si="120"/>
        <v>0.98478222269234283</v>
      </c>
      <c r="X116" s="1561">
        <f t="shared" si="120"/>
        <v>0.98514162448681242</v>
      </c>
      <c r="Y116" s="1561">
        <f t="shared" si="120"/>
        <v>0.98488426037564669</v>
      </c>
      <c r="Z116" s="1561">
        <f t="shared" si="120"/>
        <v>0.98460495123450975</v>
      </c>
      <c r="AA116" s="1561">
        <f t="shared" si="120"/>
        <v>0.98433899140000236</v>
      </c>
      <c r="AC116" s="989" t="str">
        <f t="shared" ref="AC116:AH116" si="121">IFERROR(AC107/AC103+1,"-")</f>
        <v>-</v>
      </c>
      <c r="AD116" s="1561">
        <f t="shared" si="121"/>
        <v>1</v>
      </c>
      <c r="AE116" s="1561">
        <f t="shared" si="121"/>
        <v>0.79149519890260633</v>
      </c>
      <c r="AF116" s="1576">
        <f t="shared" si="121"/>
        <v>0.9249480608004228</v>
      </c>
      <c r="AG116" s="1561">
        <f t="shared" si="121"/>
        <v>0.93807137075705105</v>
      </c>
      <c r="AH116" s="1562">
        <f t="shared" si="121"/>
        <v>0.93594668716343654</v>
      </c>
    </row>
    <row r="117" spans="1:34" s="988" customFormat="1" ht="12.75" customHeight="1" x14ac:dyDescent="0.2">
      <c r="A117" s="995"/>
      <c r="B117" s="988" t="s">
        <v>1063</v>
      </c>
      <c r="D117" s="992" t="str">
        <f t="shared" ref="D117:AA117" si="122">IFERROR(SUM(D107,D109)/D103+1,"-")</f>
        <v>-</v>
      </c>
      <c r="E117" s="992" t="str">
        <f t="shared" si="122"/>
        <v>-</v>
      </c>
      <c r="F117" s="992" t="str">
        <f t="shared" si="122"/>
        <v>-</v>
      </c>
      <c r="G117" s="1561">
        <f t="shared" si="122"/>
        <v>1</v>
      </c>
      <c r="H117" s="1561">
        <f t="shared" si="122"/>
        <v>1</v>
      </c>
      <c r="I117" s="1561">
        <f t="shared" si="122"/>
        <v>1</v>
      </c>
      <c r="J117" s="1561">
        <f t="shared" si="122"/>
        <v>1</v>
      </c>
      <c r="K117" s="1561">
        <f t="shared" si="122"/>
        <v>1</v>
      </c>
      <c r="L117" s="1561">
        <f t="shared" si="122"/>
        <v>0.98780704160951072</v>
      </c>
      <c r="M117" s="1561">
        <f t="shared" si="122"/>
        <v>1</v>
      </c>
      <c r="N117" s="1561">
        <f t="shared" si="122"/>
        <v>0.87132217034348514</v>
      </c>
      <c r="O117" s="1561">
        <f t="shared" si="122"/>
        <v>1</v>
      </c>
      <c r="P117" s="1561">
        <f t="shared" si="122"/>
        <v>1</v>
      </c>
      <c r="Q117" s="1561">
        <f t="shared" si="122"/>
        <v>0.98671807535854172</v>
      </c>
      <c r="R117" s="1562">
        <f t="shared" si="122"/>
        <v>1</v>
      </c>
      <c r="S117" s="1561">
        <f t="shared" si="122"/>
        <v>0.97315861278031335</v>
      </c>
      <c r="T117" s="1561">
        <f t="shared" si="122"/>
        <v>0.98087642916700013</v>
      </c>
      <c r="U117" s="1561">
        <f t="shared" si="122"/>
        <v>0.98029428068879787</v>
      </c>
      <c r="V117" s="1561">
        <f t="shared" si="122"/>
        <v>0.97960044587285955</v>
      </c>
      <c r="W117" s="1561">
        <f t="shared" si="122"/>
        <v>0.97882710400182327</v>
      </c>
      <c r="X117" s="1561">
        <f t="shared" si="122"/>
        <v>0.97955203060851548</v>
      </c>
      <c r="Y117" s="1561">
        <f t="shared" si="122"/>
        <v>0.97923032546955835</v>
      </c>
      <c r="Z117" s="1561">
        <f t="shared" si="122"/>
        <v>0.97888118904313703</v>
      </c>
      <c r="AA117" s="1561">
        <f t="shared" si="122"/>
        <v>0.97854873925000296</v>
      </c>
      <c r="AC117" s="989" t="str">
        <f t="shared" ref="AC117:AH117" si="123">IFERROR(SUM(AC107,AC109)/AC103+1,"-")</f>
        <v>-</v>
      </c>
      <c r="AD117" s="1561">
        <f t="shared" si="123"/>
        <v>1</v>
      </c>
      <c r="AE117" s="1561">
        <f t="shared" si="123"/>
        <v>0.77930224051211705</v>
      </c>
      <c r="AF117" s="1576">
        <f t="shared" si="123"/>
        <v>0.91513995748054189</v>
      </c>
      <c r="AG117" s="1561">
        <f t="shared" si="123"/>
        <v>0.91342100548041449</v>
      </c>
      <c r="AH117" s="1562">
        <f t="shared" si="123"/>
        <v>0.91206741518292411</v>
      </c>
    </row>
    <row r="118" spans="1:34" s="988" customFormat="1" ht="12.75" customHeight="1" x14ac:dyDescent="0.2">
      <c r="B118" s="994" t="s">
        <v>1062</v>
      </c>
      <c r="C118" s="991"/>
      <c r="D118" s="993" t="str">
        <f t="shared" ref="D118:AA118" si="124">IFERROR(1+(SUM(D109,D106:D107)/D103),"-")</f>
        <v>-</v>
      </c>
      <c r="E118" s="993" t="str">
        <f t="shared" si="124"/>
        <v>-</v>
      </c>
      <c r="F118" s="993" t="str">
        <f t="shared" si="124"/>
        <v>-</v>
      </c>
      <c r="G118" s="1563">
        <f t="shared" si="124"/>
        <v>1</v>
      </c>
      <c r="H118" s="1563">
        <f t="shared" si="124"/>
        <v>2.0101010101010104</v>
      </c>
      <c r="I118" s="1563">
        <f t="shared" si="124"/>
        <v>1</v>
      </c>
      <c r="J118" s="1563">
        <f t="shared" si="124"/>
        <v>2.0809628008752732</v>
      </c>
      <c r="K118" s="1563">
        <f t="shared" si="124"/>
        <v>1</v>
      </c>
      <c r="L118" s="1563">
        <f t="shared" si="124"/>
        <v>1.0060969364426156</v>
      </c>
      <c r="M118" s="1563">
        <f t="shared" si="124"/>
        <v>1.1418187039444334</v>
      </c>
      <c r="N118" s="1563">
        <f t="shared" si="124"/>
        <v>1.162333290252598</v>
      </c>
      <c r="O118" s="1563">
        <f t="shared" si="124"/>
        <v>1.1418342685593945</v>
      </c>
      <c r="P118" s="1563">
        <f t="shared" si="124"/>
        <v>1.1653053233400597</v>
      </c>
      <c r="Q118" s="1563">
        <f t="shared" si="124"/>
        <v>1.0280462773857115</v>
      </c>
      <c r="R118" s="1564">
        <f t="shared" si="124"/>
        <v>1.1086448714583341</v>
      </c>
      <c r="S118" s="1563">
        <f t="shared" si="124"/>
        <v>1.1425672255606267</v>
      </c>
      <c r="T118" s="1563">
        <f t="shared" si="124"/>
        <v>1.0290249660976816</v>
      </c>
      <c r="U118" s="1563">
        <f t="shared" si="124"/>
        <v>1.0304274147042596</v>
      </c>
      <c r="V118" s="1563">
        <f t="shared" si="124"/>
        <v>1.0320989258517475</v>
      </c>
      <c r="W118" s="1563">
        <f t="shared" si="124"/>
        <v>1.0339619767228805</v>
      </c>
      <c r="X118" s="1563">
        <f t="shared" si="124"/>
        <v>1.0104479693914845</v>
      </c>
      <c r="Y118" s="1563">
        <f t="shared" si="124"/>
        <v>1.0107696745304415</v>
      </c>
      <c r="Z118" s="1563">
        <f t="shared" si="124"/>
        <v>1.011118810956863</v>
      </c>
      <c r="AA118" s="1563">
        <f t="shared" si="124"/>
        <v>1.011451260749997</v>
      </c>
      <c r="AB118" s="991"/>
      <c r="AC118" s="990" t="str">
        <f t="shared" ref="AC118:AH118" si="125">IFERROR(1+(SUM(AC109,AC106:AC107)/AC103),"-")</f>
        <v>-</v>
      </c>
      <c r="AD118" s="1563">
        <f t="shared" si="125"/>
        <v>36.939393939393938</v>
      </c>
      <c r="AE118" s="1561">
        <f t="shared" si="125"/>
        <v>1.8444746227709192</v>
      </c>
      <c r="AF118" s="1579">
        <f t="shared" si="125"/>
        <v>1.7247810791414433</v>
      </c>
      <c r="AG118" s="1563">
        <f t="shared" si="125"/>
        <v>1.1353154338513238</v>
      </c>
      <c r="AH118" s="1564">
        <f t="shared" si="125"/>
        <v>1.045980884703096</v>
      </c>
    </row>
    <row r="119" spans="1:34" ht="12.75" customHeight="1" x14ac:dyDescent="0.2">
      <c r="AC119" s="1000"/>
      <c r="AD119" s="1000"/>
      <c r="AE119" s="1017"/>
      <c r="AF119" s="1000"/>
      <c r="AG119" s="1000"/>
      <c r="AH119" s="1000"/>
    </row>
    <row r="120" spans="1:34" ht="12.75" customHeight="1" x14ac:dyDescent="0.2">
      <c r="B120" s="806" t="s">
        <v>1016</v>
      </c>
      <c r="C120" s="987"/>
      <c r="D120" s="987"/>
      <c r="E120" s="987"/>
      <c r="F120" s="987"/>
      <c r="G120" s="987"/>
      <c r="H120" s="987"/>
      <c r="I120" s="987"/>
      <c r="J120" s="987"/>
      <c r="K120" s="987"/>
      <c r="L120" s="987"/>
      <c r="M120" s="987"/>
      <c r="N120" s="987"/>
      <c r="O120" s="987"/>
      <c r="P120" s="987"/>
      <c r="Q120" s="987"/>
      <c r="R120" s="986"/>
      <c r="S120" s="987"/>
      <c r="T120" s="987"/>
      <c r="U120" s="987"/>
      <c r="V120" s="987"/>
      <c r="W120" s="987"/>
      <c r="X120" s="987"/>
      <c r="Y120" s="987"/>
      <c r="Z120" s="987"/>
      <c r="AA120" s="987"/>
      <c r="AB120" s="987"/>
      <c r="AC120" s="1017"/>
      <c r="AD120" s="1017"/>
      <c r="AE120" s="1016"/>
      <c r="AF120" s="1017"/>
      <c r="AG120" s="1017"/>
      <c r="AH120" s="1016"/>
    </row>
    <row r="121" spans="1:34" ht="12.75" customHeight="1" x14ac:dyDescent="0.2">
      <c r="A121" s="978" t="s">
        <v>1018</v>
      </c>
      <c r="B121" s="864" t="s">
        <v>1069</v>
      </c>
      <c r="C121" s="862"/>
      <c r="D121" s="862"/>
      <c r="E121" s="862"/>
      <c r="F121" s="862"/>
      <c r="G121" s="862"/>
      <c r="R121" s="1004"/>
      <c r="AC121" s="1000"/>
      <c r="AD121" s="1000"/>
      <c r="AE121" s="1015"/>
      <c r="AF121" s="1000"/>
      <c r="AG121" s="1000"/>
      <c r="AH121" s="1015"/>
    </row>
    <row r="122" spans="1:34" ht="12.75" customHeight="1" x14ac:dyDescent="0.2">
      <c r="A122" s="1004"/>
      <c r="B122" s="978" t="s">
        <v>1068</v>
      </c>
      <c r="D122" s="1565">
        <v>7.1639999999999997</v>
      </c>
      <c r="E122" s="1565">
        <v>2.3759999999999999</v>
      </c>
      <c r="F122" s="1565">
        <v>4.7759999999999998</v>
      </c>
      <c r="G122" s="1565">
        <v>50.339999999999996</v>
      </c>
      <c r="H122" s="1565">
        <v>57.972000000000001</v>
      </c>
      <c r="I122" s="1565">
        <v>191.00400000000002</v>
      </c>
      <c r="J122" s="1565">
        <v>260.25984</v>
      </c>
      <c r="K122" s="1565">
        <v>493.30500000000001</v>
      </c>
      <c r="L122" s="1565">
        <v>622.65096000000005</v>
      </c>
      <c r="M122" s="1565">
        <v>795.82908000000009</v>
      </c>
      <c r="N122" s="1565">
        <v>946.26552000000004</v>
      </c>
      <c r="O122" s="1565">
        <v>1006.64808</v>
      </c>
      <c r="P122" s="1565">
        <v>1165.1861999999999</v>
      </c>
      <c r="Q122" s="1565">
        <v>1266.3171599999998</v>
      </c>
      <c r="R122" s="1566">
        <v>1450.6215599999998</v>
      </c>
      <c r="S122" s="1548">
        <f t="shared" ref="S122:AA122" si="126">R129</f>
        <v>1568.1035999999999</v>
      </c>
      <c r="T122" s="1546">
        <f t="shared" si="126"/>
        <v>1870.6549037999998</v>
      </c>
      <c r="U122" s="1546">
        <f t="shared" si="126"/>
        <v>1917.4212763949999</v>
      </c>
      <c r="V122" s="1546">
        <f t="shared" si="126"/>
        <v>1965.3568083048749</v>
      </c>
      <c r="W122" s="1546">
        <f t="shared" si="126"/>
        <v>2014.4907285124968</v>
      </c>
      <c r="X122" s="1546">
        <f t="shared" si="126"/>
        <v>2064.8529967253098</v>
      </c>
      <c r="Y122" s="1546">
        <f t="shared" si="126"/>
        <v>2013.231671807177</v>
      </c>
      <c r="Z122" s="1546">
        <f t="shared" si="126"/>
        <v>1962.9008800119975</v>
      </c>
      <c r="AA122" s="1546">
        <f t="shared" si="126"/>
        <v>1913.8283580116974</v>
      </c>
      <c r="AB122" s="1012"/>
      <c r="AC122" s="1548">
        <f>D122</f>
        <v>7.1639999999999997</v>
      </c>
      <c r="AD122" s="1546">
        <f>AC129</f>
        <v>57.972000000000001</v>
      </c>
      <c r="AE122" s="1547">
        <f>AD129</f>
        <v>622.65096000000005</v>
      </c>
      <c r="AF122" s="1546">
        <f>AE129</f>
        <v>1165.1862000000001</v>
      </c>
      <c r="AG122" s="1546">
        <f>AF129</f>
        <v>1870.6549038000001</v>
      </c>
      <c r="AH122" s="1547">
        <f>AG129</f>
        <v>2064.8529967253094</v>
      </c>
    </row>
    <row r="123" spans="1:34" ht="12.75" customHeight="1" x14ac:dyDescent="0.2">
      <c r="A123" s="1004"/>
      <c r="B123" s="1010" t="s">
        <v>968</v>
      </c>
      <c r="D123" s="1565">
        <v>0</v>
      </c>
      <c r="E123" s="1565">
        <v>3.5880000000000001</v>
      </c>
      <c r="F123" s="1565">
        <v>39.576000000000001</v>
      </c>
      <c r="G123" s="1565">
        <v>7.6320000000000006</v>
      </c>
      <c r="H123" s="1565">
        <v>128.232</v>
      </c>
      <c r="I123" s="1565">
        <v>58.202039999999997</v>
      </c>
      <c r="J123" s="1565">
        <v>205.16111999999998</v>
      </c>
      <c r="K123" s="1565">
        <v>76.722000000000023</v>
      </c>
      <c r="L123" s="1565">
        <v>111.25007999999998</v>
      </c>
      <c r="M123" s="1565">
        <v>138.53399999999999</v>
      </c>
      <c r="N123" s="1565">
        <v>25.779959999999996</v>
      </c>
      <c r="O123" s="1565">
        <v>142.95407999999995</v>
      </c>
      <c r="P123" s="1565">
        <v>54.276000000000003</v>
      </c>
      <c r="Q123" s="1565">
        <v>115.47300000000001</v>
      </c>
      <c r="R123" s="1566">
        <v>17.495999999999999</v>
      </c>
      <c r="S123" s="1014">
        <f>'Bookings Build'!T144</f>
        <v>192</v>
      </c>
      <c r="T123" s="1013">
        <f>'Bookings Build'!U144</f>
        <v>0</v>
      </c>
      <c r="U123" s="1013">
        <f>'Bookings Build'!V144</f>
        <v>0</v>
      </c>
      <c r="V123" s="1013">
        <f>'Bookings Build'!W144</f>
        <v>0</v>
      </c>
      <c r="W123" s="1013">
        <f>'Bookings Build'!X144</f>
        <v>0</v>
      </c>
      <c r="X123" s="1013">
        <f>'Bookings Build'!Y144</f>
        <v>0</v>
      </c>
      <c r="Y123" s="1013">
        <f>'Bookings Build'!Z144</f>
        <v>0</v>
      </c>
      <c r="Z123" s="1013">
        <f>'Bookings Build'!AA144</f>
        <v>0</v>
      </c>
      <c r="AA123" s="1013">
        <f>'Bookings Build'!AB144</f>
        <v>0</v>
      </c>
      <c r="AB123" s="1012"/>
      <c r="AC123" s="1548">
        <f t="shared" ref="AC123:AC128" si="127">SUM(D123:G123)</f>
        <v>50.795999999999999</v>
      </c>
      <c r="AD123" s="1546">
        <f t="shared" ref="AD123:AD128" si="128">SUM(H123:K123)</f>
        <v>468.31716</v>
      </c>
      <c r="AE123" s="1547">
        <f t="shared" ref="AE123:AE128" si="129">SUM(L123:O123)</f>
        <v>418.51811999999995</v>
      </c>
      <c r="AF123" s="1546">
        <f t="shared" ref="AF123:AF128" si="130">SUM(P123:S123)</f>
        <v>379.245</v>
      </c>
      <c r="AG123" s="1546">
        <f t="shared" ref="AG123:AG128" si="131">SUM(T123:W123)</f>
        <v>0</v>
      </c>
      <c r="AH123" s="1547">
        <f t="shared" ref="AH123:AH128" si="132">SUM(X123:AA123)</f>
        <v>0</v>
      </c>
    </row>
    <row r="124" spans="1:34" ht="12.75" customHeight="1" x14ac:dyDescent="0.2">
      <c r="A124" s="1004"/>
      <c r="B124" s="1010" t="s">
        <v>967</v>
      </c>
      <c r="D124" s="1565">
        <v>0</v>
      </c>
      <c r="E124" s="1565">
        <v>0</v>
      </c>
      <c r="F124" s="1565">
        <v>4.7880000000000003</v>
      </c>
      <c r="G124" s="1565">
        <v>0</v>
      </c>
      <c r="H124" s="1565">
        <v>0</v>
      </c>
      <c r="I124" s="1565">
        <v>0</v>
      </c>
      <c r="J124" s="1565">
        <v>0</v>
      </c>
      <c r="K124" s="1565">
        <v>0</v>
      </c>
      <c r="L124" s="1565">
        <v>1.1879999999999999</v>
      </c>
      <c r="M124" s="1565">
        <v>0</v>
      </c>
      <c r="N124" s="1565">
        <v>0</v>
      </c>
      <c r="O124" s="1565">
        <v>2.3879999999999999</v>
      </c>
      <c r="P124" s="1565">
        <v>2.3879999999999999</v>
      </c>
      <c r="Q124" s="1565">
        <v>0</v>
      </c>
      <c r="R124" s="1566">
        <v>0</v>
      </c>
      <c r="S124" s="1567">
        <v>0</v>
      </c>
      <c r="T124" s="1567">
        <v>0</v>
      </c>
      <c r="U124" s="1567">
        <v>0</v>
      </c>
      <c r="V124" s="1567">
        <v>0</v>
      </c>
      <c r="W124" s="1567">
        <v>0</v>
      </c>
      <c r="X124" s="1567">
        <v>0</v>
      </c>
      <c r="Y124" s="1567">
        <v>0</v>
      </c>
      <c r="Z124" s="1567">
        <v>0</v>
      </c>
      <c r="AA124" s="1567">
        <v>0</v>
      </c>
      <c r="AB124" s="1012"/>
      <c r="AC124" s="1548">
        <f t="shared" si="127"/>
        <v>4.7880000000000003</v>
      </c>
      <c r="AD124" s="1546">
        <f t="shared" si="128"/>
        <v>0</v>
      </c>
      <c r="AE124" s="1547">
        <f t="shared" si="129"/>
        <v>3.5759999999999996</v>
      </c>
      <c r="AF124" s="1546">
        <f t="shared" si="130"/>
        <v>2.3879999999999999</v>
      </c>
      <c r="AG124" s="1546">
        <f t="shared" si="131"/>
        <v>0</v>
      </c>
      <c r="AH124" s="1547">
        <f t="shared" si="132"/>
        <v>0</v>
      </c>
    </row>
    <row r="125" spans="1:34" ht="12.75" customHeight="1" x14ac:dyDescent="0.2">
      <c r="A125" s="1004"/>
      <c r="B125" s="1010" t="s">
        <v>965</v>
      </c>
      <c r="D125" s="1565">
        <v>0</v>
      </c>
      <c r="E125" s="1565">
        <v>0</v>
      </c>
      <c r="F125" s="1565">
        <v>1.2000000000000002</v>
      </c>
      <c r="G125" s="1565">
        <v>0</v>
      </c>
      <c r="H125" s="1565">
        <v>4.8000000000000007</v>
      </c>
      <c r="I125" s="1565">
        <v>11.411999999999999</v>
      </c>
      <c r="J125" s="1565">
        <v>35.024039999999999</v>
      </c>
      <c r="K125" s="1565">
        <v>64.61196000000001</v>
      </c>
      <c r="L125" s="1565">
        <v>66.893999999999991</v>
      </c>
      <c r="M125" s="1565">
        <v>28.630440000000004</v>
      </c>
      <c r="N125" s="1565">
        <v>73.649040000000014</v>
      </c>
      <c r="O125" s="1565">
        <v>36.830040000000004</v>
      </c>
      <c r="P125" s="1565">
        <v>78.819000000000017</v>
      </c>
      <c r="Q125" s="1565">
        <v>103.36739999999992</v>
      </c>
      <c r="R125" s="1566">
        <v>135.858</v>
      </c>
      <c r="S125" s="1014">
        <f>'Bookings Build'!T145</f>
        <v>161.51467079999998</v>
      </c>
      <c r="T125" s="1013">
        <f>'Bookings Build'!U145</f>
        <v>93.53274519</v>
      </c>
      <c r="U125" s="1013">
        <f>'Bookings Build'!V145</f>
        <v>95.871063819750006</v>
      </c>
      <c r="V125" s="1013">
        <f>'Bookings Build'!W145</f>
        <v>98.267840415243754</v>
      </c>
      <c r="W125" s="1013">
        <f>'Bookings Build'!X145</f>
        <v>100.72453642562485</v>
      </c>
      <c r="X125" s="1013">
        <f>'Bookings Build'!Y145</f>
        <v>0</v>
      </c>
      <c r="Y125" s="1013">
        <f>'Bookings Build'!Z145</f>
        <v>0</v>
      </c>
      <c r="Z125" s="1013">
        <f>'Bookings Build'!AA145</f>
        <v>0</v>
      </c>
      <c r="AA125" s="1013">
        <f>'Bookings Build'!AB145</f>
        <v>0</v>
      </c>
      <c r="AB125" s="1012"/>
      <c r="AC125" s="1548">
        <f t="shared" si="127"/>
        <v>1.2000000000000002</v>
      </c>
      <c r="AD125" s="1546">
        <f t="shared" si="128"/>
        <v>115.84800000000001</v>
      </c>
      <c r="AE125" s="1547">
        <f t="shared" si="129"/>
        <v>206.00352000000001</v>
      </c>
      <c r="AF125" s="1546">
        <f t="shared" si="130"/>
        <v>479.55907079999992</v>
      </c>
      <c r="AG125" s="1546">
        <f t="shared" si="131"/>
        <v>388.39618585061862</v>
      </c>
      <c r="AH125" s="1547">
        <f t="shared" si="132"/>
        <v>0</v>
      </c>
    </row>
    <row r="126" spans="1:34" ht="12.75" customHeight="1" x14ac:dyDescent="0.2">
      <c r="A126" s="1004"/>
      <c r="B126" s="1010" t="s">
        <v>964</v>
      </c>
      <c r="D126" s="1565">
        <v>-1.1879999999999999</v>
      </c>
      <c r="E126" s="1565">
        <v>0</v>
      </c>
      <c r="F126" s="1565">
        <v>0</v>
      </c>
      <c r="G126" s="1565">
        <v>0</v>
      </c>
      <c r="H126" s="1565">
        <v>0</v>
      </c>
      <c r="I126" s="1565">
        <v>0</v>
      </c>
      <c r="J126" s="1565">
        <v>-5.9519999999999991</v>
      </c>
      <c r="K126" s="1565">
        <v>-2.3759999999999999</v>
      </c>
      <c r="L126" s="1565">
        <v>-3.5759999999999996</v>
      </c>
      <c r="M126" s="1565">
        <v>-8.34</v>
      </c>
      <c r="N126" s="1565">
        <v>-23.375999999999998</v>
      </c>
      <c r="O126" s="1565">
        <v>-20.033999999999999</v>
      </c>
      <c r="P126" s="1565">
        <v>-34.352040000000002</v>
      </c>
      <c r="Q126" s="1565">
        <v>-30.936</v>
      </c>
      <c r="R126" s="1566">
        <v>-26.951999999999998</v>
      </c>
      <c r="S126" s="1548">
        <f t="shared" ref="S126:AA126" si="133">-S122*(1-S135)</f>
        <v>-47.043108000000039</v>
      </c>
      <c r="T126" s="1546">
        <f t="shared" si="133"/>
        <v>-42.089735335499931</v>
      </c>
      <c r="U126" s="1546">
        <f t="shared" si="133"/>
        <v>-43.14197871888743</v>
      </c>
      <c r="V126" s="1546">
        <f t="shared" si="133"/>
        <v>-44.220528186859617</v>
      </c>
      <c r="W126" s="1546">
        <f t="shared" si="133"/>
        <v>-45.326041391531106</v>
      </c>
      <c r="X126" s="1546">
        <f t="shared" si="133"/>
        <v>-46.459192426319397</v>
      </c>
      <c r="Y126" s="1546">
        <f t="shared" si="133"/>
        <v>-45.29771261566141</v>
      </c>
      <c r="Z126" s="1546">
        <f t="shared" si="133"/>
        <v>-44.165269800269876</v>
      </c>
      <c r="AA126" s="1546">
        <f t="shared" si="133"/>
        <v>-43.061138055263122</v>
      </c>
      <c r="AB126" s="1012"/>
      <c r="AC126" s="1548">
        <f t="shared" si="127"/>
        <v>-1.1879999999999999</v>
      </c>
      <c r="AD126" s="1546">
        <f t="shared" si="128"/>
        <v>-8.3279999999999994</v>
      </c>
      <c r="AE126" s="1547">
        <f t="shared" si="129"/>
        <v>-55.326000000000001</v>
      </c>
      <c r="AF126" s="1546">
        <f t="shared" si="130"/>
        <v>-139.28314800000004</v>
      </c>
      <c r="AG126" s="1546">
        <f t="shared" si="131"/>
        <v>-174.77828363277808</v>
      </c>
      <c r="AH126" s="1547">
        <f t="shared" si="132"/>
        <v>-178.9833128975138</v>
      </c>
    </row>
    <row r="127" spans="1:34" ht="12.75" customHeight="1" x14ac:dyDescent="0.2">
      <c r="A127" s="1004"/>
      <c r="B127" s="1010" t="s">
        <v>963</v>
      </c>
      <c r="D127" s="1565">
        <v>0</v>
      </c>
      <c r="E127" s="1565">
        <v>-1.1879999999999999</v>
      </c>
      <c r="F127" s="1565">
        <v>0</v>
      </c>
      <c r="G127" s="1565">
        <v>0</v>
      </c>
      <c r="H127" s="1565">
        <v>0</v>
      </c>
      <c r="I127" s="1565">
        <v>0</v>
      </c>
      <c r="J127" s="1565">
        <v>-1.1879999999999999</v>
      </c>
      <c r="K127" s="1565">
        <v>0</v>
      </c>
      <c r="L127" s="1565">
        <v>0</v>
      </c>
      <c r="M127" s="1565">
        <v>-2.3879999999999999</v>
      </c>
      <c r="N127" s="1565">
        <v>-9.2000399999999907</v>
      </c>
      <c r="O127" s="1565">
        <v>0</v>
      </c>
      <c r="P127" s="1565">
        <v>0</v>
      </c>
      <c r="Q127" s="1565">
        <v>0</v>
      </c>
      <c r="R127" s="1566">
        <v>0</v>
      </c>
      <c r="S127" s="1567">
        <v>0</v>
      </c>
      <c r="T127" s="1567">
        <v>0</v>
      </c>
      <c r="U127" s="1567">
        <v>0</v>
      </c>
      <c r="V127" s="1567">
        <v>0</v>
      </c>
      <c r="W127" s="1567">
        <v>0</v>
      </c>
      <c r="X127" s="1567">
        <v>0</v>
      </c>
      <c r="Y127" s="1567">
        <v>0</v>
      </c>
      <c r="Z127" s="1567">
        <v>0</v>
      </c>
      <c r="AA127" s="1567">
        <v>0</v>
      </c>
      <c r="AB127" s="1012"/>
      <c r="AC127" s="1548">
        <f t="shared" si="127"/>
        <v>-1.1879999999999999</v>
      </c>
      <c r="AD127" s="1546">
        <f t="shared" si="128"/>
        <v>-1.1879999999999999</v>
      </c>
      <c r="AE127" s="1547">
        <f t="shared" si="129"/>
        <v>-11.588039999999991</v>
      </c>
      <c r="AF127" s="1546">
        <f t="shared" si="130"/>
        <v>0</v>
      </c>
      <c r="AG127" s="1546">
        <f t="shared" si="131"/>
        <v>0</v>
      </c>
      <c r="AH127" s="1547">
        <f t="shared" si="132"/>
        <v>0</v>
      </c>
    </row>
    <row r="128" spans="1:34" ht="15" customHeight="1" x14ac:dyDescent="0.35">
      <c r="A128" s="1004"/>
      <c r="B128" s="1010" t="s">
        <v>962</v>
      </c>
      <c r="C128" s="566"/>
      <c r="D128" s="1568">
        <v>-3.6000000000000005</v>
      </c>
      <c r="E128" s="1568">
        <v>0</v>
      </c>
      <c r="F128" s="1568">
        <v>0</v>
      </c>
      <c r="G128" s="1568">
        <v>0</v>
      </c>
      <c r="H128" s="1568">
        <v>0</v>
      </c>
      <c r="I128" s="1568">
        <v>-0.35820000000000007</v>
      </c>
      <c r="J128" s="1568">
        <v>0</v>
      </c>
      <c r="K128" s="1568">
        <v>-9.6120000000000001</v>
      </c>
      <c r="L128" s="1568">
        <v>-2.57796</v>
      </c>
      <c r="M128" s="1568">
        <v>-6.0000000000000009</v>
      </c>
      <c r="N128" s="1568">
        <v>-6.4704000000000041</v>
      </c>
      <c r="O128" s="1568">
        <v>-3.6000000000000005</v>
      </c>
      <c r="P128" s="1568">
        <v>0</v>
      </c>
      <c r="Q128" s="1568">
        <v>-3.6000000000000005</v>
      </c>
      <c r="R128" s="1569">
        <v>-8.9199599999999997</v>
      </c>
      <c r="S128" s="1025">
        <f t="shared" ref="S128:AA128" si="134">-(1-S136)*S122-S126</f>
        <v>-3.9202589999999162</v>
      </c>
      <c r="T128" s="1025">
        <f t="shared" si="134"/>
        <v>-4.6766372595001044</v>
      </c>
      <c r="U128" s="1025">
        <f t="shared" si="134"/>
        <v>-4.793553190987609</v>
      </c>
      <c r="V128" s="1025">
        <f t="shared" si="134"/>
        <v>-4.9133920207623021</v>
      </c>
      <c r="W128" s="1025">
        <f t="shared" si="134"/>
        <v>-5.0362268212813603</v>
      </c>
      <c r="X128" s="1025">
        <f t="shared" si="134"/>
        <v>-5.1621324918133951</v>
      </c>
      <c r="Y128" s="1025">
        <f t="shared" si="134"/>
        <v>-5.0330791795180616</v>
      </c>
      <c r="Z128" s="1025">
        <f t="shared" si="134"/>
        <v>-4.9072522000301078</v>
      </c>
      <c r="AA128" s="1025">
        <f t="shared" si="134"/>
        <v>-4.7845708950293542</v>
      </c>
      <c r="AB128" s="566"/>
      <c r="AC128" s="1025">
        <f t="shared" si="127"/>
        <v>-3.6000000000000005</v>
      </c>
      <c r="AD128" s="1025">
        <f t="shared" si="128"/>
        <v>-9.9702000000000002</v>
      </c>
      <c r="AE128" s="1153">
        <f t="shared" si="129"/>
        <v>-18.648360000000007</v>
      </c>
      <c r="AF128" s="1025">
        <f t="shared" si="130"/>
        <v>-16.440218999999917</v>
      </c>
      <c r="AG128" s="1025">
        <f t="shared" si="131"/>
        <v>-19.419809292531376</v>
      </c>
      <c r="AH128" s="1153">
        <f t="shared" si="132"/>
        <v>-19.887034766390919</v>
      </c>
    </row>
    <row r="129" spans="1:34" ht="12.75" customHeight="1" x14ac:dyDescent="0.2">
      <c r="A129" s="1004"/>
      <c r="B129" s="1009" t="s">
        <v>1067</v>
      </c>
      <c r="C129" s="1007"/>
      <c r="D129" s="698">
        <f t="shared" ref="D129:AA129" si="135">SUM(D122:D128)</f>
        <v>2.3759999999999994</v>
      </c>
      <c r="E129" s="698">
        <f t="shared" si="135"/>
        <v>4.7760000000000007</v>
      </c>
      <c r="F129" s="698">
        <f t="shared" si="135"/>
        <v>50.34</v>
      </c>
      <c r="G129" s="698">
        <f t="shared" si="135"/>
        <v>57.971999999999994</v>
      </c>
      <c r="H129" s="698">
        <f t="shared" si="135"/>
        <v>191.00400000000002</v>
      </c>
      <c r="I129" s="698">
        <f t="shared" si="135"/>
        <v>260.25984</v>
      </c>
      <c r="J129" s="698">
        <f t="shared" si="135"/>
        <v>493.30500000000001</v>
      </c>
      <c r="K129" s="698">
        <f t="shared" si="135"/>
        <v>622.65096000000005</v>
      </c>
      <c r="L129" s="698">
        <f t="shared" si="135"/>
        <v>795.82908000000009</v>
      </c>
      <c r="M129" s="698">
        <f t="shared" si="135"/>
        <v>946.26552000000004</v>
      </c>
      <c r="N129" s="698">
        <f t="shared" si="135"/>
        <v>1006.64808</v>
      </c>
      <c r="O129" s="698">
        <f t="shared" si="135"/>
        <v>1165.1861999999999</v>
      </c>
      <c r="P129" s="698">
        <f t="shared" si="135"/>
        <v>1266.3171599999998</v>
      </c>
      <c r="Q129" s="698">
        <f t="shared" si="135"/>
        <v>1450.6215599999998</v>
      </c>
      <c r="R129" s="1008">
        <f t="shared" si="135"/>
        <v>1568.1035999999999</v>
      </c>
      <c r="S129" s="698">
        <f t="shared" si="135"/>
        <v>1870.6549037999998</v>
      </c>
      <c r="T129" s="698">
        <f t="shared" si="135"/>
        <v>1917.4212763949999</v>
      </c>
      <c r="U129" s="698">
        <f t="shared" si="135"/>
        <v>1965.3568083048749</v>
      </c>
      <c r="V129" s="698">
        <f t="shared" si="135"/>
        <v>2014.4907285124968</v>
      </c>
      <c r="W129" s="698">
        <f t="shared" si="135"/>
        <v>2064.8529967253098</v>
      </c>
      <c r="X129" s="698">
        <f t="shared" si="135"/>
        <v>2013.231671807177</v>
      </c>
      <c r="Y129" s="698">
        <f t="shared" si="135"/>
        <v>1962.9008800119975</v>
      </c>
      <c r="Z129" s="698">
        <f t="shared" si="135"/>
        <v>1913.8283580116974</v>
      </c>
      <c r="AA129" s="698">
        <f t="shared" si="135"/>
        <v>1865.9826490614048</v>
      </c>
      <c r="AB129" s="698"/>
      <c r="AC129" s="698">
        <f t="shared" ref="AC129:AH129" si="136">SUM(AC122:AC128)</f>
        <v>57.972000000000001</v>
      </c>
      <c r="AD129" s="698">
        <f t="shared" si="136"/>
        <v>622.65096000000005</v>
      </c>
      <c r="AE129" s="1008">
        <f t="shared" si="136"/>
        <v>1165.1862000000001</v>
      </c>
      <c r="AF129" s="698">
        <f t="shared" si="136"/>
        <v>1870.6549038000001</v>
      </c>
      <c r="AG129" s="698">
        <f t="shared" si="136"/>
        <v>2064.8529967253094</v>
      </c>
      <c r="AH129" s="1008">
        <f t="shared" si="136"/>
        <v>1865.9826490614046</v>
      </c>
    </row>
    <row r="130" spans="1:34" ht="12.75" customHeight="1" x14ac:dyDescent="0.2">
      <c r="A130" s="1004"/>
      <c r="B130" s="793" t="s">
        <v>974</v>
      </c>
      <c r="C130" s="1007"/>
      <c r="D130" s="790"/>
      <c r="E130" s="790"/>
      <c r="F130" s="790"/>
      <c r="G130" s="790"/>
      <c r="H130" s="791">
        <f t="shared" ref="H130:AA130" si="137">IFERROR(H129/D129-1,"-")</f>
        <v>79.388888888888914</v>
      </c>
      <c r="I130" s="791">
        <f t="shared" si="137"/>
        <v>53.493266331658283</v>
      </c>
      <c r="J130" s="791">
        <f t="shared" si="137"/>
        <v>8.7994636471990457</v>
      </c>
      <c r="K130" s="791">
        <f t="shared" si="137"/>
        <v>9.7405464707099991</v>
      </c>
      <c r="L130" s="791">
        <f t="shared" si="137"/>
        <v>3.1665571401646035</v>
      </c>
      <c r="M130" s="791">
        <f t="shared" si="137"/>
        <v>2.6358491575188858</v>
      </c>
      <c r="N130" s="791">
        <f t="shared" si="137"/>
        <v>1.0406200626387325</v>
      </c>
      <c r="O130" s="791">
        <f t="shared" si="137"/>
        <v>0.8713312511394824</v>
      </c>
      <c r="P130" s="791">
        <f t="shared" si="137"/>
        <v>0.5911923701003734</v>
      </c>
      <c r="Q130" s="791">
        <f t="shared" si="137"/>
        <v>0.53299632010262799</v>
      </c>
      <c r="R130" s="792">
        <f t="shared" si="137"/>
        <v>0.55774756953790616</v>
      </c>
      <c r="S130" s="791">
        <f t="shared" si="137"/>
        <v>0.60545576646891286</v>
      </c>
      <c r="T130" s="791">
        <f t="shared" si="137"/>
        <v>0.51417143900584916</v>
      </c>
      <c r="U130" s="791">
        <f t="shared" si="137"/>
        <v>0.35483772094554777</v>
      </c>
      <c r="V130" s="791">
        <f t="shared" si="137"/>
        <v>0.28466686034806443</v>
      </c>
      <c r="W130" s="791">
        <f t="shared" si="137"/>
        <v>0.10381289062500043</v>
      </c>
      <c r="X130" s="791">
        <f t="shared" si="137"/>
        <v>4.9968359375000215E-2</v>
      </c>
      <c r="Y130" s="791">
        <f t="shared" si="137"/>
        <v>-1.2496093749997383E-3</v>
      </c>
      <c r="Z130" s="791">
        <f t="shared" si="137"/>
        <v>-4.9969140624999908E-2</v>
      </c>
      <c r="AA130" s="791">
        <f t="shared" si="137"/>
        <v>-9.6312109375000232E-2</v>
      </c>
      <c r="AB130" s="733"/>
      <c r="AC130" s="790"/>
      <c r="AD130" s="791">
        <f>IFERROR(AD129/AC129-1,"-")</f>
        <v>9.7405464707099991</v>
      </c>
      <c r="AE130" s="792">
        <f>IFERROR(AE129/AD129-1,"-")</f>
        <v>0.87133125113948262</v>
      </c>
      <c r="AF130" s="791">
        <f>IFERROR(AF129/AE129-1,"-")</f>
        <v>0.60545576646891286</v>
      </c>
      <c r="AG130" s="791">
        <f>IFERROR(AG129/AF129-1,"-")</f>
        <v>0.10381289062499999</v>
      </c>
      <c r="AH130" s="792">
        <f>IFERROR(AH129/AG129-1,"-")</f>
        <v>-9.6312109375000121E-2</v>
      </c>
    </row>
    <row r="131" spans="1:34" ht="12.75" customHeight="1" x14ac:dyDescent="0.2">
      <c r="A131" s="1004"/>
      <c r="D131" s="1002"/>
      <c r="E131" s="1002"/>
      <c r="F131" s="1002"/>
      <c r="G131" s="1002"/>
      <c r="H131" s="1002"/>
      <c r="I131" s="1002"/>
      <c r="J131" s="1002"/>
      <c r="K131" s="1002"/>
      <c r="L131" s="1002"/>
      <c r="M131" s="1001"/>
      <c r="N131" s="1001"/>
      <c r="O131" s="1001"/>
      <c r="P131" s="1001"/>
      <c r="Q131" s="1006"/>
      <c r="R131" s="1003"/>
      <c r="S131" s="1002"/>
      <c r="T131" s="1002"/>
      <c r="U131" s="1001"/>
      <c r="V131" s="1001"/>
      <c r="W131" s="1001"/>
      <c r="X131" s="1002"/>
      <c r="Y131" s="1001"/>
      <c r="Z131" s="1001"/>
      <c r="AA131" s="1001"/>
      <c r="AC131" s="1000"/>
      <c r="AD131" s="999"/>
      <c r="AE131" s="998"/>
      <c r="AF131" s="999"/>
      <c r="AG131" s="999"/>
      <c r="AH131" s="998"/>
    </row>
    <row r="132" spans="1:34" ht="12.75" customHeight="1" x14ac:dyDescent="0.2">
      <c r="A132" s="1004"/>
      <c r="B132" s="1005" t="s">
        <v>1066</v>
      </c>
      <c r="C132" s="956"/>
      <c r="D132" s="1570">
        <v>1.5504100000000001</v>
      </c>
      <c r="E132" s="1570">
        <v>1.2281199999999999</v>
      </c>
      <c r="F132" s="1570">
        <v>6.8387500000000001</v>
      </c>
      <c r="G132" s="1570">
        <v>20.572569999999999</v>
      </c>
      <c r="H132" s="1570">
        <v>47.649799999999999</v>
      </c>
      <c r="I132" s="1570">
        <v>57.83799999999998</v>
      </c>
      <c r="J132" s="1570">
        <v>138.56028000000003</v>
      </c>
      <c r="K132" s="1570">
        <v>141.56274000000005</v>
      </c>
      <c r="L132" s="1570">
        <v>163.96729000000005</v>
      </c>
      <c r="M132" s="1570">
        <v>274.39141999999998</v>
      </c>
      <c r="N132" s="1570">
        <v>302.94562000000008</v>
      </c>
      <c r="O132" s="1570">
        <v>272.34902999999986</v>
      </c>
      <c r="P132" s="1570">
        <v>286.27648999999985</v>
      </c>
      <c r="Q132" s="1570">
        <v>364.58931000000007</v>
      </c>
      <c r="R132" s="1571">
        <v>352.55419000000001</v>
      </c>
      <c r="S132" s="954">
        <f t="shared" ref="S132:AA132" si="138">AVERAGE(R129:S129)/4</f>
        <v>429.84481297499997</v>
      </c>
      <c r="T132" s="954">
        <f t="shared" si="138"/>
        <v>473.50952252437497</v>
      </c>
      <c r="U132" s="954">
        <f t="shared" si="138"/>
        <v>485.34726058748436</v>
      </c>
      <c r="V132" s="954">
        <f t="shared" si="138"/>
        <v>497.48094210217147</v>
      </c>
      <c r="W132" s="954">
        <f t="shared" si="138"/>
        <v>509.91796565472583</v>
      </c>
      <c r="X132" s="954">
        <f t="shared" si="138"/>
        <v>509.76058356656085</v>
      </c>
      <c r="Y132" s="954">
        <f t="shared" si="138"/>
        <v>497.01656897739679</v>
      </c>
      <c r="Z132" s="954">
        <f t="shared" si="138"/>
        <v>484.59115475296187</v>
      </c>
      <c r="AA132" s="954">
        <f t="shared" si="138"/>
        <v>472.47637588413778</v>
      </c>
      <c r="AB132" s="698"/>
      <c r="AC132" s="954">
        <f>SUM(D132:G132)</f>
        <v>30.18985</v>
      </c>
      <c r="AD132" s="954">
        <f>SUM(H132:K132)</f>
        <v>385.6108200000001</v>
      </c>
      <c r="AE132" s="954">
        <f>SUM(I132:L132)</f>
        <v>501.92831000000012</v>
      </c>
      <c r="AF132" s="1056">
        <f>SUM(P132:S132)</f>
        <v>1433.2648029749998</v>
      </c>
      <c r="AG132" s="954">
        <f>SUM(T132:W132)</f>
        <v>1966.2556908687566</v>
      </c>
      <c r="AH132" s="1055">
        <f>SUM(X132:AA132)</f>
        <v>1963.8446831810572</v>
      </c>
    </row>
    <row r="133" spans="1:34" ht="12.75" customHeight="1" x14ac:dyDescent="0.2">
      <c r="A133" s="1004"/>
      <c r="D133" s="1002"/>
      <c r="E133" s="1002"/>
      <c r="F133" s="1002"/>
      <c r="G133" s="1002"/>
      <c r="H133" s="1002"/>
      <c r="I133" s="1002"/>
      <c r="J133" s="1002"/>
      <c r="K133" s="1002"/>
      <c r="L133" s="1002"/>
      <c r="M133" s="1001"/>
      <c r="N133" s="1001"/>
      <c r="O133" s="1001"/>
      <c r="P133" s="1002"/>
      <c r="Q133" s="1002"/>
      <c r="R133" s="1003"/>
      <c r="S133" s="1002"/>
      <c r="T133" s="1002"/>
      <c r="U133" s="1001"/>
      <c r="V133" s="1001"/>
      <c r="W133" s="1001"/>
      <c r="X133" s="1002"/>
      <c r="Y133" s="1001"/>
      <c r="Z133" s="1001"/>
      <c r="AA133" s="1001"/>
      <c r="AC133" s="1000"/>
      <c r="AD133" s="999"/>
      <c r="AE133" s="998"/>
      <c r="AF133" s="999"/>
      <c r="AG133" s="999"/>
      <c r="AH133" s="998"/>
    </row>
    <row r="134" spans="1:34" s="988" customFormat="1" ht="12.75" customHeight="1" x14ac:dyDescent="0.2">
      <c r="A134" s="995"/>
      <c r="B134" s="988" t="s">
        <v>1065</v>
      </c>
      <c r="D134" s="1561">
        <f t="shared" ref="D134:AA134" si="139">IFERROR(D125/D122,"-")</f>
        <v>0</v>
      </c>
      <c r="E134" s="1561">
        <f t="shared" si="139"/>
        <v>0</v>
      </c>
      <c r="F134" s="1561">
        <f t="shared" si="139"/>
        <v>0.25125628140703521</v>
      </c>
      <c r="G134" s="1561">
        <f t="shared" si="139"/>
        <v>0</v>
      </c>
      <c r="H134" s="1561">
        <f t="shared" si="139"/>
        <v>8.2798592423928799E-2</v>
      </c>
      <c r="I134" s="1561">
        <f t="shared" si="139"/>
        <v>5.9747439844191737E-2</v>
      </c>
      <c r="J134" s="1561">
        <f t="shared" si="139"/>
        <v>0.13457335561260622</v>
      </c>
      <c r="K134" s="1561">
        <f t="shared" si="139"/>
        <v>0.13097771155775839</v>
      </c>
      <c r="L134" s="1561">
        <f t="shared" si="139"/>
        <v>0.1074341875261864</v>
      </c>
      <c r="M134" s="1561">
        <f t="shared" si="139"/>
        <v>3.5975614261293393E-2</v>
      </c>
      <c r="N134" s="1561">
        <f t="shared" si="139"/>
        <v>7.7831262413534857E-2</v>
      </c>
      <c r="O134" s="1561">
        <f t="shared" si="139"/>
        <v>3.6586807973646565E-2</v>
      </c>
      <c r="P134" s="1561">
        <f t="shared" si="139"/>
        <v>6.7644982407103704E-2</v>
      </c>
      <c r="Q134" s="1561">
        <f t="shared" si="139"/>
        <v>8.1628365519424789E-2</v>
      </c>
      <c r="R134" s="1562">
        <f t="shared" si="139"/>
        <v>9.3655026056554694E-2</v>
      </c>
      <c r="S134" s="1561">
        <f t="shared" si="139"/>
        <v>0.10299999999999999</v>
      </c>
      <c r="T134" s="1561">
        <f t="shared" si="139"/>
        <v>0.05</v>
      </c>
      <c r="U134" s="1561">
        <f t="shared" si="139"/>
        <v>0.05</v>
      </c>
      <c r="V134" s="1561">
        <f t="shared" si="139"/>
        <v>0.05</v>
      </c>
      <c r="W134" s="1561">
        <f t="shared" si="139"/>
        <v>0.05</v>
      </c>
      <c r="X134" s="1561">
        <f t="shared" si="139"/>
        <v>0</v>
      </c>
      <c r="Y134" s="1561">
        <f t="shared" si="139"/>
        <v>0</v>
      </c>
      <c r="Z134" s="1561">
        <f t="shared" si="139"/>
        <v>0</v>
      </c>
      <c r="AA134" s="1561">
        <f t="shared" si="139"/>
        <v>0</v>
      </c>
      <c r="AC134" s="1561">
        <f t="shared" ref="AC134:AH134" si="140">IFERROR(AC125/AC122,"-")</f>
        <v>0.16750418760469016</v>
      </c>
      <c r="AD134" s="1561">
        <f t="shared" si="140"/>
        <v>1.9983440281515217</v>
      </c>
      <c r="AE134" s="1562">
        <f t="shared" si="140"/>
        <v>0.33084911649377363</v>
      </c>
      <c r="AF134" s="1561">
        <f t="shared" si="140"/>
        <v>0.41157290637324734</v>
      </c>
      <c r="AG134" s="1561">
        <f t="shared" si="140"/>
        <v>0.20762578125</v>
      </c>
      <c r="AH134" s="1562">
        <f t="shared" si="140"/>
        <v>0</v>
      </c>
    </row>
    <row r="135" spans="1:34" s="988" customFormat="1" ht="12.75" customHeight="1" x14ac:dyDescent="0.2">
      <c r="A135" s="995"/>
      <c r="B135" s="988" t="s">
        <v>1064</v>
      </c>
      <c r="D135" s="1561">
        <f t="shared" ref="D135:R135" si="141">IFERROR(D126/D122+1,"-")</f>
        <v>0.83417085427135684</v>
      </c>
      <c r="E135" s="1561">
        <f t="shared" si="141"/>
        <v>1</v>
      </c>
      <c r="F135" s="1561">
        <f t="shared" si="141"/>
        <v>1</v>
      </c>
      <c r="G135" s="1561">
        <f t="shared" si="141"/>
        <v>1</v>
      </c>
      <c r="H135" s="1561">
        <f t="shared" si="141"/>
        <v>1</v>
      </c>
      <c r="I135" s="1561">
        <f t="shared" si="141"/>
        <v>1</v>
      </c>
      <c r="J135" s="1561">
        <f t="shared" si="141"/>
        <v>0.97713054768649665</v>
      </c>
      <c r="K135" s="1561">
        <f t="shared" si="141"/>
        <v>0.99518350716088422</v>
      </c>
      <c r="L135" s="1561">
        <f t="shared" si="141"/>
        <v>0.99425681444384184</v>
      </c>
      <c r="M135" s="1561">
        <f t="shared" si="141"/>
        <v>0.98952036283971934</v>
      </c>
      <c r="N135" s="1561">
        <f t="shared" si="141"/>
        <v>0.9752965742638493</v>
      </c>
      <c r="O135" s="1561">
        <f t="shared" si="141"/>
        <v>0.98009830804028353</v>
      </c>
      <c r="P135" s="1561">
        <f t="shared" si="141"/>
        <v>0.97051798244778387</v>
      </c>
      <c r="Q135" s="1561">
        <f t="shared" si="141"/>
        <v>0.9755701012533069</v>
      </c>
      <c r="R135" s="1562">
        <f t="shared" si="141"/>
        <v>0.98142037817223671</v>
      </c>
      <c r="S135" s="1572">
        <v>0.97</v>
      </c>
      <c r="T135" s="1561">
        <f t="shared" ref="T135:W136" si="142">1-((1-$AG135)/4)</f>
        <v>0.97750000000000004</v>
      </c>
      <c r="U135" s="1561">
        <f t="shared" si="142"/>
        <v>0.97750000000000004</v>
      </c>
      <c r="V135" s="1561">
        <f t="shared" si="142"/>
        <v>0.97750000000000004</v>
      </c>
      <c r="W135" s="1561">
        <f t="shared" si="142"/>
        <v>0.97750000000000004</v>
      </c>
      <c r="X135" s="1561">
        <f t="shared" ref="X135:AA136" si="143">1-((1-$AH135)/4)</f>
        <v>0.97750000000000004</v>
      </c>
      <c r="Y135" s="1561">
        <f t="shared" si="143"/>
        <v>0.97750000000000004</v>
      </c>
      <c r="Z135" s="1561">
        <f t="shared" si="143"/>
        <v>0.97750000000000004</v>
      </c>
      <c r="AA135" s="1561">
        <f t="shared" si="143"/>
        <v>0.97750000000000004</v>
      </c>
      <c r="AC135" s="1561">
        <f>IFERROR(AC126/AC122+1,"-")</f>
        <v>0.83417085427135684</v>
      </c>
      <c r="AD135" s="1561">
        <f>IFERROR(AD126/AD122+1,"-")</f>
        <v>0.85634444214448358</v>
      </c>
      <c r="AE135" s="1562">
        <f>IFERROR(AE126/AE122+1,"-")</f>
        <v>0.91114443957494262</v>
      </c>
      <c r="AF135" s="1562">
        <f>IFERROR(AF126/AF122+1,"-")</f>
        <v>0.88046275522315653</v>
      </c>
      <c r="AG135" s="1574">
        <v>0.91</v>
      </c>
      <c r="AH135" s="1580">
        <v>0.91</v>
      </c>
    </row>
    <row r="136" spans="1:34" s="988" customFormat="1" ht="12.75" customHeight="1" x14ac:dyDescent="0.2">
      <c r="A136" s="995"/>
      <c r="B136" s="988" t="s">
        <v>1063</v>
      </c>
      <c r="D136" s="1561">
        <f t="shared" ref="D136:R136" si="144">IFERROR(SUM(D126,D128)/D122+1,"-")</f>
        <v>0.33165829145728631</v>
      </c>
      <c r="E136" s="1561">
        <f t="shared" si="144"/>
        <v>1</v>
      </c>
      <c r="F136" s="1561">
        <f t="shared" si="144"/>
        <v>1</v>
      </c>
      <c r="G136" s="1561">
        <f t="shared" si="144"/>
        <v>1</v>
      </c>
      <c r="H136" s="1561">
        <f t="shared" si="144"/>
        <v>1</v>
      </c>
      <c r="I136" s="1561">
        <f t="shared" si="144"/>
        <v>0.99812464660425959</v>
      </c>
      <c r="J136" s="1561">
        <f t="shared" si="144"/>
        <v>0.97713054768649665</v>
      </c>
      <c r="K136" s="1561">
        <f t="shared" si="144"/>
        <v>0.97569860431173416</v>
      </c>
      <c r="L136" s="1561">
        <f t="shared" si="144"/>
        <v>0.9901165172860249</v>
      </c>
      <c r="M136" s="1561">
        <f t="shared" si="144"/>
        <v>0.98198105553016479</v>
      </c>
      <c r="N136" s="1561">
        <f t="shared" si="144"/>
        <v>0.96845874718123515</v>
      </c>
      <c r="O136" s="1561">
        <f t="shared" si="144"/>
        <v>0.97652208306998411</v>
      </c>
      <c r="P136" s="1561">
        <f t="shared" si="144"/>
        <v>0.97051798244778387</v>
      </c>
      <c r="Q136" s="1561">
        <f t="shared" si="144"/>
        <v>0.97272721156207032</v>
      </c>
      <c r="R136" s="1562">
        <f t="shared" si="144"/>
        <v>0.97527131748958706</v>
      </c>
      <c r="S136" s="1572">
        <v>0.96750000000000003</v>
      </c>
      <c r="T136" s="1561">
        <f t="shared" si="142"/>
        <v>0.97499999999999998</v>
      </c>
      <c r="U136" s="1561">
        <f t="shared" si="142"/>
        <v>0.97499999999999998</v>
      </c>
      <c r="V136" s="1561">
        <f t="shared" si="142"/>
        <v>0.97499999999999998</v>
      </c>
      <c r="W136" s="1561">
        <f t="shared" si="142"/>
        <v>0.97499999999999998</v>
      </c>
      <c r="X136" s="1561">
        <f t="shared" si="143"/>
        <v>0.97499999999999998</v>
      </c>
      <c r="Y136" s="1561">
        <f t="shared" si="143"/>
        <v>0.97499999999999998</v>
      </c>
      <c r="Z136" s="1561">
        <f t="shared" si="143"/>
        <v>0.97499999999999998</v>
      </c>
      <c r="AA136" s="1561">
        <f t="shared" si="143"/>
        <v>0.97499999999999998</v>
      </c>
      <c r="AC136" s="1561">
        <f>IFERROR(SUM(AC126,AC128)/AC122+1,"-")</f>
        <v>0.33165829145728631</v>
      </c>
      <c r="AD136" s="1561">
        <f>IFERROR(SUM(AD126,AD128)/AD122+1,"-")</f>
        <v>0.68436141585593036</v>
      </c>
      <c r="AE136" s="1562">
        <f>IFERROR(SUM(AE126,AE128)/AE122+1,"-")</f>
        <v>0.88119449779696801</v>
      </c>
      <c r="AF136" s="1562">
        <f>IFERROR(SUM(AF126,AF128)/AF122+1,"-")</f>
        <v>0.86635323435859446</v>
      </c>
      <c r="AG136" s="1574">
        <v>0.9</v>
      </c>
      <c r="AH136" s="1574">
        <v>0.9</v>
      </c>
    </row>
    <row r="137" spans="1:34" s="988" customFormat="1" ht="12.75" customHeight="1" x14ac:dyDescent="0.2">
      <c r="A137" s="995"/>
      <c r="B137" s="994" t="s">
        <v>1062</v>
      </c>
      <c r="D137" s="1561">
        <f t="shared" ref="D137:AA137" si="145">IFERROR(1+(SUM(D128,D125:D126)/D122),"-")</f>
        <v>0.33165829145728631</v>
      </c>
      <c r="E137" s="1561">
        <f t="shared" si="145"/>
        <v>1</v>
      </c>
      <c r="F137" s="1561">
        <f t="shared" si="145"/>
        <v>1.2512562814070352</v>
      </c>
      <c r="G137" s="1561">
        <f t="shared" si="145"/>
        <v>1</v>
      </c>
      <c r="H137" s="1561">
        <f t="shared" si="145"/>
        <v>1.0827985924239287</v>
      </c>
      <c r="I137" s="1561">
        <f t="shared" si="145"/>
        <v>1.0578720864484514</v>
      </c>
      <c r="J137" s="1561">
        <f t="shared" si="145"/>
        <v>1.111703903299103</v>
      </c>
      <c r="K137" s="1561">
        <f t="shared" si="145"/>
        <v>1.1066763158694926</v>
      </c>
      <c r="L137" s="1561">
        <f t="shared" si="145"/>
        <v>1.0975507048122113</v>
      </c>
      <c r="M137" s="1561">
        <f t="shared" si="145"/>
        <v>1.0179566697914582</v>
      </c>
      <c r="N137" s="1561">
        <f t="shared" si="145"/>
        <v>1.04629000959477</v>
      </c>
      <c r="O137" s="1561">
        <f t="shared" si="145"/>
        <v>1.0131088910436306</v>
      </c>
      <c r="P137" s="1561">
        <f t="shared" si="145"/>
        <v>1.0381629648548876</v>
      </c>
      <c r="Q137" s="1563">
        <f t="shared" si="145"/>
        <v>1.054355577081495</v>
      </c>
      <c r="R137" s="1564">
        <f t="shared" si="145"/>
        <v>1.0689263435461418</v>
      </c>
      <c r="S137" s="1561">
        <f t="shared" si="145"/>
        <v>1.0705</v>
      </c>
      <c r="T137" s="1561">
        <f t="shared" si="145"/>
        <v>1.0249999999999999</v>
      </c>
      <c r="U137" s="1561">
        <f t="shared" si="145"/>
        <v>1.0249999999999999</v>
      </c>
      <c r="V137" s="1561">
        <f t="shared" si="145"/>
        <v>1.0249999999999999</v>
      </c>
      <c r="W137" s="1561">
        <f t="shared" si="145"/>
        <v>1.0249999999999999</v>
      </c>
      <c r="X137" s="1561">
        <f t="shared" si="145"/>
        <v>0.97499999999999998</v>
      </c>
      <c r="Y137" s="1561">
        <f t="shared" si="145"/>
        <v>0.97499999999999998</v>
      </c>
      <c r="Z137" s="1561">
        <f t="shared" si="145"/>
        <v>0.97499999999999998</v>
      </c>
      <c r="AA137" s="1561">
        <f t="shared" si="145"/>
        <v>0.97499999999999998</v>
      </c>
      <c r="AB137" s="991"/>
      <c r="AC137" s="1563">
        <f t="shared" ref="AC137:AH137" si="146">IFERROR(1+(SUM(AC128,AC125:AC126)/AC122),"-")</f>
        <v>0.49916247906197653</v>
      </c>
      <c r="AD137" s="1561">
        <f t="shared" si="146"/>
        <v>2.6827054440074516</v>
      </c>
      <c r="AE137" s="1564">
        <f t="shared" si="146"/>
        <v>1.2120436142907416</v>
      </c>
      <c r="AF137" s="1561">
        <f t="shared" si="146"/>
        <v>1.2779261407318419</v>
      </c>
      <c r="AG137" s="1561">
        <f t="shared" si="146"/>
        <v>1.103812890625</v>
      </c>
      <c r="AH137" s="1564">
        <f t="shared" si="146"/>
        <v>0.90368789062499988</v>
      </c>
    </row>
    <row r="138" spans="1:34" ht="12.75" customHeight="1" x14ac:dyDescent="0.2">
      <c r="B138" s="987"/>
      <c r="C138" s="987"/>
      <c r="D138" s="987"/>
      <c r="E138" s="987"/>
      <c r="F138" s="987"/>
      <c r="G138" s="987"/>
      <c r="H138" s="987"/>
      <c r="I138" s="987"/>
      <c r="J138" s="987"/>
      <c r="K138" s="987"/>
      <c r="L138" s="987"/>
      <c r="M138" s="987"/>
      <c r="N138" s="987"/>
      <c r="O138" s="987"/>
      <c r="P138" s="987"/>
      <c r="S138" s="987"/>
      <c r="T138" s="987"/>
      <c r="U138" s="987"/>
      <c r="V138" s="987"/>
      <c r="W138" s="987"/>
      <c r="X138" s="987"/>
      <c r="Y138" s="987"/>
      <c r="Z138" s="987"/>
      <c r="AA138" s="987"/>
      <c r="AD138" s="987"/>
      <c r="AE138" s="987"/>
      <c r="AF138" s="987"/>
      <c r="AG138" s="987"/>
      <c r="AH138" s="987"/>
    </row>
    <row r="139" spans="1:34" x14ac:dyDescent="0.2">
      <c r="B139" s="806" t="s">
        <v>1061</v>
      </c>
      <c r="C139" s="987"/>
      <c r="D139" s="987"/>
      <c r="E139" s="987"/>
      <c r="F139" s="987"/>
      <c r="G139" s="987"/>
      <c r="H139" s="987"/>
      <c r="I139" s="987"/>
      <c r="J139" s="987"/>
      <c r="K139" s="987"/>
      <c r="L139" s="987"/>
      <c r="M139" s="987"/>
      <c r="N139" s="987"/>
      <c r="O139" s="987"/>
      <c r="P139" s="987"/>
      <c r="Q139" s="987"/>
      <c r="R139" s="986"/>
      <c r="S139" s="987"/>
      <c r="T139" s="987"/>
      <c r="U139" s="987"/>
      <c r="V139" s="987"/>
      <c r="W139" s="987"/>
      <c r="X139" s="987"/>
      <c r="Y139" s="987"/>
      <c r="Z139" s="987"/>
      <c r="AA139" s="987"/>
      <c r="AB139" s="987"/>
      <c r="AC139" s="987"/>
      <c r="AD139" s="987"/>
      <c r="AE139" s="986"/>
      <c r="AF139" s="987"/>
      <c r="AG139" s="987"/>
      <c r="AH139" s="986"/>
    </row>
    <row r="140" spans="1:34" ht="15" x14ac:dyDescent="0.25">
      <c r="B140" s="985" t="s">
        <v>1060</v>
      </c>
      <c r="C140" s="982"/>
      <c r="D140" s="1581">
        <v>22.587489999999992</v>
      </c>
      <c r="E140" s="1581">
        <v>47.018440000000062</v>
      </c>
      <c r="F140" s="1581">
        <v>71.545659999999941</v>
      </c>
      <c r="G140" s="1581">
        <v>15.502899999999965</v>
      </c>
      <c r="H140" s="1581">
        <v>101.5801399999999</v>
      </c>
      <c r="I140" s="1581">
        <v>9.1924499999999529</v>
      </c>
      <c r="J140" s="1581">
        <v>14.45969000000041</v>
      </c>
      <c r="K140" s="1581">
        <v>-4.0670099999991942</v>
      </c>
      <c r="L140" s="1581">
        <v>153.73129000000026</v>
      </c>
      <c r="M140" s="1581">
        <v>137.16494999999995</v>
      </c>
      <c r="N140" s="1581">
        <v>28.643910000000147</v>
      </c>
      <c r="O140" s="1581">
        <v>51.802050000000747</v>
      </c>
      <c r="P140" s="1581">
        <v>118.08491999999713</v>
      </c>
      <c r="Q140" s="1581">
        <v>88.155430000000635</v>
      </c>
      <c r="R140" s="1582">
        <v>-2.5636899999976159</v>
      </c>
      <c r="S140" s="983"/>
      <c r="T140" s="983"/>
      <c r="U140" s="983"/>
      <c r="V140" s="983"/>
      <c r="W140" s="983"/>
      <c r="X140" s="983"/>
      <c r="Y140" s="983"/>
      <c r="Z140" s="983"/>
      <c r="AA140" s="983"/>
      <c r="AB140" s="982"/>
      <c r="AC140" s="1583">
        <f>SUM(D140:G140)</f>
        <v>156.65448999999995</v>
      </c>
      <c r="AD140" s="1584">
        <f>SUM(H140:K140)</f>
        <v>121.16527000000106</v>
      </c>
      <c r="AE140" s="1585">
        <f>SUM(L140:O140)</f>
        <v>371.34220000000113</v>
      </c>
      <c r="AF140" s="1584">
        <f>SUM(P140:S140)</f>
        <v>203.67666000000014</v>
      </c>
      <c r="AG140" s="1584">
        <f>SUM(T140:W140)</f>
        <v>0</v>
      </c>
      <c r="AH140" s="1585">
        <f>SUM(X140:AA140)</f>
        <v>0</v>
      </c>
    </row>
  </sheetData>
  <pageMargins left="0.7" right="0.7" top="0.75" bottom="0.75" header="0.3" footer="0.3"/>
  <pageSetup scale="40"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93F49-AD66-4C62-BDC2-2FBA5A05AACE}">
  <sheetPr>
    <tabColor theme="8" tint="0.79998168889431442"/>
    <pageSetUpPr fitToPage="1"/>
  </sheetPr>
  <dimension ref="A1:AK116"/>
  <sheetViews>
    <sheetView showGridLines="0" zoomScale="90" zoomScaleNormal="90" zoomScaleSheetLayoutView="85" workbookViewId="0">
      <pane xSplit="3" ySplit="8" topLeftCell="V38" activePane="bottomRight" state="frozenSplit"/>
      <selection activeCell="R36" sqref="R36"/>
      <selection pane="topRight" activeCell="R36" sqref="R36"/>
      <selection pane="bottomLeft" activeCell="R36" sqref="R36"/>
      <selection pane="bottomRight" activeCell="AF38" sqref="AF38"/>
    </sheetView>
  </sheetViews>
  <sheetFormatPr defaultColWidth="9.28515625" defaultRowHeight="12.75" outlineLevelCol="1" x14ac:dyDescent="0.2"/>
  <cols>
    <col min="1" max="1" width="1.5703125" style="815" customWidth="1"/>
    <col min="2" max="2" width="43.85546875" style="566" customWidth="1"/>
    <col min="3" max="3" width="1.5703125" style="566" customWidth="1"/>
    <col min="4" max="27" width="9.85546875" style="566" customWidth="1" outlineLevel="1"/>
    <col min="28" max="28" width="2.5703125" style="566" customWidth="1"/>
    <col min="29" max="34" width="10.7109375" style="566" customWidth="1"/>
    <col min="35" max="35" width="1.5703125" style="566" customWidth="1"/>
    <col min="36" max="16384" width="9.28515625" style="566"/>
  </cols>
  <sheetData>
    <row r="1" spans="1:35" ht="12" customHeight="1" x14ac:dyDescent="0.2">
      <c r="B1" s="572"/>
      <c r="C1" s="572"/>
      <c r="D1" s="572"/>
      <c r="R1" s="720"/>
    </row>
    <row r="2" spans="1:35" ht="12" customHeight="1" thickBot="1" x14ac:dyDescent="0.3">
      <c r="B2" s="571" t="s">
        <v>806</v>
      </c>
      <c r="C2" s="731"/>
      <c r="D2" s="731"/>
      <c r="E2" s="731"/>
      <c r="F2" s="731"/>
      <c r="G2" s="731"/>
      <c r="H2" s="731"/>
      <c r="I2" s="731"/>
      <c r="J2" s="731"/>
      <c r="K2" s="731"/>
      <c r="L2" s="731"/>
      <c r="M2" s="731"/>
      <c r="N2" s="731"/>
      <c r="O2" s="731"/>
      <c r="P2" s="731"/>
      <c r="Q2" s="731"/>
      <c r="R2" s="1050"/>
      <c r="S2" s="731"/>
      <c r="T2" s="731"/>
      <c r="U2" s="731"/>
      <c r="V2" s="731"/>
      <c r="W2" s="731"/>
      <c r="X2" s="731"/>
      <c r="Y2" s="731"/>
      <c r="Z2" s="731"/>
      <c r="AA2" s="731"/>
      <c r="AB2" s="731"/>
      <c r="AC2" s="731"/>
      <c r="AD2" s="731"/>
      <c r="AE2" s="731"/>
      <c r="AF2" s="731"/>
      <c r="AG2" s="731"/>
      <c r="AH2" s="731"/>
      <c r="AI2" s="731"/>
    </row>
    <row r="3" spans="1:35" ht="12" customHeight="1" x14ac:dyDescent="0.2">
      <c r="B3" s="568" t="s">
        <v>1094</v>
      </c>
      <c r="R3" s="720"/>
    </row>
    <row r="4" spans="1:35" ht="12" customHeight="1" x14ac:dyDescent="0.2">
      <c r="B4" s="568" t="s">
        <v>987</v>
      </c>
      <c r="R4" s="720"/>
    </row>
    <row r="5" spans="1:35" ht="12" customHeight="1" x14ac:dyDescent="0.2">
      <c r="B5" s="568" t="s">
        <v>983</v>
      </c>
      <c r="D5" s="729"/>
      <c r="R5" s="720"/>
    </row>
    <row r="6" spans="1:35" ht="12" customHeight="1" x14ac:dyDescent="0.2">
      <c r="A6" s="1195"/>
      <c r="D6" s="729"/>
      <c r="E6" s="729"/>
      <c r="F6" s="729"/>
      <c r="G6" s="729"/>
      <c r="H6" s="729"/>
      <c r="I6" s="729"/>
      <c r="J6" s="729"/>
      <c r="K6" s="729"/>
      <c r="L6" s="729"/>
      <c r="M6" s="729"/>
      <c r="N6" s="729"/>
      <c r="O6" s="729"/>
      <c r="P6" s="729"/>
      <c r="Q6" s="729"/>
      <c r="R6" s="1196"/>
      <c r="S6" s="729"/>
      <c r="T6" s="729"/>
      <c r="U6" s="729"/>
      <c r="V6" s="729"/>
      <c r="W6" s="729"/>
      <c r="X6" s="729"/>
      <c r="Y6" s="729"/>
      <c r="Z6" s="729"/>
      <c r="AA6" s="729"/>
    </row>
    <row r="7" spans="1:35" ht="15" x14ac:dyDescent="0.35">
      <c r="A7" s="1195"/>
      <c r="B7" s="572"/>
      <c r="C7" s="572"/>
      <c r="D7" s="638" t="s">
        <v>1005</v>
      </c>
      <c r="E7" s="638"/>
      <c r="F7" s="638"/>
      <c r="G7" s="638"/>
      <c r="H7" s="638" t="s">
        <v>1004</v>
      </c>
      <c r="I7" s="638"/>
      <c r="J7" s="638"/>
      <c r="K7" s="638"/>
      <c r="L7" s="638" t="s">
        <v>1003</v>
      </c>
      <c r="M7" s="638"/>
      <c r="N7" s="638"/>
      <c r="O7" s="638"/>
      <c r="P7" s="638" t="s">
        <v>1002</v>
      </c>
      <c r="Q7" s="638"/>
      <c r="R7" s="638"/>
      <c r="S7" s="638"/>
      <c r="T7" s="638" t="s">
        <v>1001</v>
      </c>
      <c r="U7" s="638"/>
      <c r="V7" s="638"/>
      <c r="W7" s="638"/>
      <c r="X7" s="638" t="s">
        <v>1000</v>
      </c>
      <c r="Y7" s="638"/>
      <c r="Z7" s="638"/>
      <c r="AA7" s="638"/>
      <c r="AB7" s="572"/>
      <c r="AC7" s="638" t="s">
        <v>983</v>
      </c>
      <c r="AD7" s="638"/>
      <c r="AE7" s="638"/>
      <c r="AF7" s="638"/>
      <c r="AG7" s="638"/>
      <c r="AH7" s="638"/>
    </row>
    <row r="8" spans="1:35" ht="15" x14ac:dyDescent="0.2">
      <c r="B8" s="578"/>
      <c r="C8" s="572"/>
      <c r="D8" s="726" t="s">
        <v>996</v>
      </c>
      <c r="E8" s="726" t="s">
        <v>995</v>
      </c>
      <c r="F8" s="726" t="s">
        <v>997</v>
      </c>
      <c r="G8" s="726" t="s">
        <v>998</v>
      </c>
      <c r="H8" s="726" t="s">
        <v>996</v>
      </c>
      <c r="I8" s="726" t="s">
        <v>995</v>
      </c>
      <c r="J8" s="726" t="s">
        <v>997</v>
      </c>
      <c r="K8" s="726" t="s">
        <v>998</v>
      </c>
      <c r="L8" s="726" t="s">
        <v>996</v>
      </c>
      <c r="M8" s="726" t="s">
        <v>995</v>
      </c>
      <c r="N8" s="727" t="s">
        <v>997</v>
      </c>
      <c r="O8" s="726" t="s">
        <v>998</v>
      </c>
      <c r="P8" s="726" t="s">
        <v>996</v>
      </c>
      <c r="Q8" s="726" t="s">
        <v>995</v>
      </c>
      <c r="R8" s="726" t="s">
        <v>997</v>
      </c>
      <c r="S8" s="726" t="s">
        <v>993</v>
      </c>
      <c r="T8" s="726" t="s">
        <v>1058</v>
      </c>
      <c r="U8" s="726" t="s">
        <v>1057</v>
      </c>
      <c r="V8" s="726" t="s">
        <v>994</v>
      </c>
      <c r="W8" s="726" t="s">
        <v>993</v>
      </c>
      <c r="X8" s="726" t="s">
        <v>1058</v>
      </c>
      <c r="Y8" s="726" t="s">
        <v>1057</v>
      </c>
      <c r="Z8" s="726" t="s">
        <v>994</v>
      </c>
      <c r="AA8" s="726" t="s">
        <v>993</v>
      </c>
      <c r="AB8" s="572"/>
      <c r="AC8" s="636" t="s">
        <v>982</v>
      </c>
      <c r="AD8" s="636" t="s">
        <v>981</v>
      </c>
      <c r="AE8" s="636" t="s">
        <v>980</v>
      </c>
      <c r="AF8" s="636" t="s">
        <v>979</v>
      </c>
      <c r="AG8" s="636" t="s">
        <v>978</v>
      </c>
      <c r="AH8" s="636" t="s">
        <v>977</v>
      </c>
    </row>
    <row r="9" spans="1:35" ht="5.0999999999999996" customHeight="1" x14ac:dyDescent="0.2">
      <c r="O9" s="720"/>
      <c r="R9" s="720"/>
    </row>
    <row r="10" spans="1:35" ht="12.75" customHeight="1" x14ac:dyDescent="0.2">
      <c r="A10" s="815" t="s">
        <v>1018</v>
      </c>
      <c r="B10" s="812" t="s">
        <v>1093</v>
      </c>
      <c r="C10" s="812"/>
      <c r="D10" s="812"/>
      <c r="E10" s="812"/>
      <c r="F10" s="812"/>
      <c r="G10" s="812"/>
      <c r="H10" s="812"/>
      <c r="I10" s="812"/>
      <c r="J10" s="812"/>
      <c r="K10" s="812"/>
      <c r="L10" s="812"/>
      <c r="M10" s="812"/>
      <c r="N10" s="812"/>
      <c r="O10" s="812"/>
      <c r="P10" s="812"/>
      <c r="Q10" s="812"/>
      <c r="R10" s="813"/>
      <c r="S10" s="812"/>
      <c r="T10" s="812"/>
      <c r="U10" s="812"/>
      <c r="V10" s="812"/>
      <c r="W10" s="812"/>
      <c r="X10" s="812"/>
      <c r="Y10" s="812"/>
      <c r="Z10" s="812"/>
      <c r="AA10" s="812"/>
      <c r="AB10" s="812"/>
      <c r="AC10" s="812"/>
      <c r="AD10" s="812"/>
      <c r="AE10" s="812"/>
      <c r="AF10" s="812"/>
      <c r="AG10" s="812"/>
      <c r="AH10" s="812"/>
    </row>
    <row r="11" spans="1:35" ht="12.75" customHeight="1" x14ac:dyDescent="0.2">
      <c r="D11" s="644"/>
      <c r="E11" s="644"/>
      <c r="F11" s="644"/>
      <c r="G11" s="644"/>
      <c r="H11" s="644"/>
      <c r="I11" s="644"/>
      <c r="J11" s="644"/>
      <c r="K11" s="644"/>
      <c r="L11" s="644"/>
      <c r="M11" s="644"/>
      <c r="N11" s="644"/>
      <c r="O11" s="1046"/>
      <c r="P11" s="644"/>
      <c r="Q11" s="644"/>
      <c r="R11" s="1046"/>
      <c r="S11" s="644"/>
      <c r="T11" s="644"/>
      <c r="U11" s="644"/>
      <c r="V11" s="644"/>
      <c r="W11" s="644"/>
      <c r="X11" s="644"/>
      <c r="Y11" s="644"/>
      <c r="Z11" s="644"/>
      <c r="AA11" s="644"/>
      <c r="AB11" s="644"/>
      <c r="AC11" s="644"/>
      <c r="AD11" s="644"/>
      <c r="AE11" s="644"/>
      <c r="AF11" s="644"/>
      <c r="AG11" s="644"/>
      <c r="AH11" s="644"/>
    </row>
    <row r="12" spans="1:35" s="664" customFormat="1" ht="12.75" customHeight="1" x14ac:dyDescent="0.2">
      <c r="A12" s="1063"/>
      <c r="B12" s="1045" t="s">
        <v>1092</v>
      </c>
      <c r="C12" s="1121"/>
      <c r="D12" s="1121"/>
      <c r="E12" s="1121"/>
      <c r="F12" s="1121"/>
      <c r="G12" s="1121"/>
      <c r="H12" s="1121"/>
      <c r="I12" s="1121"/>
      <c r="J12" s="1121"/>
      <c r="K12" s="1121"/>
      <c r="L12" s="1121"/>
      <c r="M12" s="1121"/>
      <c r="N12" s="1121"/>
      <c r="O12" s="1194"/>
      <c r="P12" s="1121"/>
      <c r="Q12" s="1121"/>
      <c r="R12" s="1125"/>
      <c r="S12" s="1101"/>
      <c r="T12" s="1101"/>
      <c r="U12" s="1101"/>
      <c r="V12" s="1101"/>
      <c r="W12" s="1101"/>
      <c r="X12" s="1101"/>
      <c r="Y12" s="1101"/>
      <c r="Z12" s="1101"/>
      <c r="AA12" s="1101"/>
      <c r="AB12" s="1101"/>
      <c r="AC12" s="1193"/>
      <c r="AD12" s="1101"/>
      <c r="AE12" s="1192"/>
      <c r="AF12" s="1101"/>
      <c r="AG12" s="1101"/>
      <c r="AH12" s="1192"/>
    </row>
    <row r="13" spans="1:35" s="664" customFormat="1" ht="12.75" customHeight="1" x14ac:dyDescent="0.2">
      <c r="A13" s="1063"/>
      <c r="B13" s="1010" t="s">
        <v>945</v>
      </c>
      <c r="C13" s="566"/>
      <c r="D13" s="654">
        <f t="shared" ref="D13:AA13" si="0">D30</f>
        <v>74.928169999999994</v>
      </c>
      <c r="E13" s="654">
        <f t="shared" si="0"/>
        <v>71.873609999999999</v>
      </c>
      <c r="F13" s="654">
        <f t="shared" si="0"/>
        <v>67.337949999999992</v>
      </c>
      <c r="G13" s="654">
        <f t="shared" si="0"/>
        <v>93.489899999999992</v>
      </c>
      <c r="H13" s="654">
        <f t="shared" si="0"/>
        <v>127.13394</v>
      </c>
      <c r="I13" s="654">
        <f t="shared" si="0"/>
        <v>175.86039000000002</v>
      </c>
      <c r="J13" s="654">
        <f t="shared" si="0"/>
        <v>262.73609999999996</v>
      </c>
      <c r="K13" s="654">
        <f t="shared" si="0"/>
        <v>381.26291000000003</v>
      </c>
      <c r="L13" s="654">
        <f t="shared" si="0"/>
        <v>386.89888999999999</v>
      </c>
      <c r="M13" s="654">
        <f t="shared" si="0"/>
        <v>360.17987000000005</v>
      </c>
      <c r="N13" s="654">
        <f t="shared" si="0"/>
        <v>371.02886000000001</v>
      </c>
      <c r="O13" s="654">
        <f t="shared" si="0"/>
        <v>474.74921999999998</v>
      </c>
      <c r="P13" s="702">
        <f t="shared" si="0"/>
        <v>508.56038999999998</v>
      </c>
      <c r="Q13" s="654">
        <f t="shared" si="0"/>
        <v>571.60895000000005</v>
      </c>
      <c r="R13" s="764">
        <f t="shared" si="0"/>
        <v>625.20029</v>
      </c>
      <c r="S13" s="654">
        <f t="shared" si="0"/>
        <v>780.47653961610627</v>
      </c>
      <c r="T13" s="654">
        <f t="shared" si="0"/>
        <v>772.86197101491871</v>
      </c>
      <c r="U13" s="654">
        <f t="shared" si="0"/>
        <v>855.36197101491871</v>
      </c>
      <c r="V13" s="654">
        <f t="shared" si="0"/>
        <v>1020.3619710149189</v>
      </c>
      <c r="W13" s="654">
        <f t="shared" si="0"/>
        <v>1102.8619710149187</v>
      </c>
      <c r="X13" s="654">
        <f t="shared" si="0"/>
        <v>940.63283864476512</v>
      </c>
      <c r="Y13" s="654">
        <f t="shared" si="0"/>
        <v>1040.6328386447651</v>
      </c>
      <c r="Z13" s="654">
        <f t="shared" si="0"/>
        <v>1240.6328386447651</v>
      </c>
      <c r="AA13" s="654">
        <f t="shared" si="0"/>
        <v>1340.6328386447651</v>
      </c>
      <c r="AB13" s="566"/>
      <c r="AC13" s="654">
        <f t="shared" ref="AC13:AH13" si="1">AC30</f>
        <v>307.62962999999996</v>
      </c>
      <c r="AD13" s="654">
        <f t="shared" si="1"/>
        <v>946.99333999999999</v>
      </c>
      <c r="AE13" s="764">
        <f t="shared" si="1"/>
        <v>1592.8568400000001</v>
      </c>
      <c r="AF13" s="654">
        <f t="shared" si="1"/>
        <v>2485.8461696161062</v>
      </c>
      <c r="AG13" s="654">
        <f t="shared" si="1"/>
        <v>3751.4478840596748</v>
      </c>
      <c r="AH13" s="764">
        <f t="shared" si="1"/>
        <v>4562.5313545790605</v>
      </c>
    </row>
    <row r="14" spans="1:35" s="664" customFormat="1" ht="12.75" customHeight="1" x14ac:dyDescent="0.2">
      <c r="A14" s="1063"/>
      <c r="B14" s="1010" t="s">
        <v>10</v>
      </c>
      <c r="C14" s="566"/>
      <c r="D14" s="654">
        <f t="shared" ref="D14:AA14" si="2">SUM(D22,D31)</f>
        <v>4.4458899999999986</v>
      </c>
      <c r="E14" s="654">
        <f t="shared" si="2"/>
        <v>23.63242111111111</v>
      </c>
      <c r="F14" s="654">
        <f t="shared" si="2"/>
        <v>44.273562500000004</v>
      </c>
      <c r="G14" s="654">
        <f t="shared" si="2"/>
        <v>99.58131625</v>
      </c>
      <c r="H14" s="654">
        <f t="shared" si="2"/>
        <v>205.73666826086952</v>
      </c>
      <c r="I14" s="654">
        <f t="shared" si="2"/>
        <v>320.32913470588238</v>
      </c>
      <c r="J14" s="654">
        <f t="shared" si="2"/>
        <v>409.84210565217387</v>
      </c>
      <c r="K14" s="654">
        <f t="shared" si="2"/>
        <v>466.68133388888884</v>
      </c>
      <c r="L14" s="654">
        <f t="shared" si="2"/>
        <v>537.45610999999997</v>
      </c>
      <c r="M14" s="654">
        <f t="shared" si="2"/>
        <v>587.29259740340558</v>
      </c>
      <c r="N14" s="654">
        <f t="shared" si="2"/>
        <v>595.44314616438942</v>
      </c>
      <c r="O14" s="1129">
        <f t="shared" si="2"/>
        <v>685.7441559308611</v>
      </c>
      <c r="P14" s="702">
        <f t="shared" si="2"/>
        <v>861.22504000000004</v>
      </c>
      <c r="Q14" s="654">
        <f t="shared" si="2"/>
        <v>1127.3510200000001</v>
      </c>
      <c r="R14" s="1141">
        <f t="shared" si="2"/>
        <v>1141.15129</v>
      </c>
      <c r="S14" s="654">
        <f t="shared" si="2"/>
        <v>1242.4496799999999</v>
      </c>
      <c r="T14" s="654">
        <f t="shared" si="2"/>
        <v>1783.4060008653569</v>
      </c>
      <c r="U14" s="654">
        <f t="shared" si="2"/>
        <v>1582.6677507571872</v>
      </c>
      <c r="V14" s="654">
        <f t="shared" si="2"/>
        <v>1582.6677507571872</v>
      </c>
      <c r="W14" s="654">
        <f t="shared" si="2"/>
        <v>1582.6677507571872</v>
      </c>
      <c r="X14" s="654">
        <f t="shared" si="2"/>
        <v>1838.184525832906</v>
      </c>
      <c r="Y14" s="654">
        <f t="shared" si="2"/>
        <v>1838.184525832906</v>
      </c>
      <c r="Z14" s="654">
        <f t="shared" si="2"/>
        <v>1838.184525832906</v>
      </c>
      <c r="AA14" s="654">
        <f t="shared" si="2"/>
        <v>1838.184525832906</v>
      </c>
      <c r="AB14" s="566"/>
      <c r="AC14" s="654">
        <f t="shared" ref="AC14:AH18" si="3">SUM(AC22,AC31)</f>
        <v>171.93318986111112</v>
      </c>
      <c r="AD14" s="654">
        <f t="shared" si="3"/>
        <v>1402.5892425078146</v>
      </c>
      <c r="AE14" s="764">
        <f t="shared" si="3"/>
        <v>2405.9360094986559</v>
      </c>
      <c r="AF14" s="654">
        <f t="shared" si="3"/>
        <v>4372.1770299999998</v>
      </c>
      <c r="AG14" s="654">
        <f t="shared" si="3"/>
        <v>6531.4092531369188</v>
      </c>
      <c r="AH14" s="764">
        <f t="shared" si="3"/>
        <v>7352.7381033316242</v>
      </c>
    </row>
    <row r="15" spans="1:35" s="664" customFormat="1" ht="12.75" customHeight="1" x14ac:dyDescent="0.2">
      <c r="A15" s="1063"/>
      <c r="B15" s="1010" t="s">
        <v>11</v>
      </c>
      <c r="C15" s="566"/>
      <c r="D15" s="654">
        <f t="shared" ref="D15:AA15" si="4">SUM(D23,D32)</f>
        <v>42.303539999999998</v>
      </c>
      <c r="E15" s="654">
        <f t="shared" si="4"/>
        <v>120.44160111111111</v>
      </c>
      <c r="F15" s="654">
        <f t="shared" si="4"/>
        <v>142.76155499999999</v>
      </c>
      <c r="G15" s="654">
        <f t="shared" si="4"/>
        <v>429.59022374999995</v>
      </c>
      <c r="H15" s="654">
        <f t="shared" si="4"/>
        <v>387.21718130434778</v>
      </c>
      <c r="I15" s="654">
        <f t="shared" si="4"/>
        <v>488.67911058823529</v>
      </c>
      <c r="J15" s="654">
        <f t="shared" si="4"/>
        <v>618.32928869565217</v>
      </c>
      <c r="K15" s="654">
        <f t="shared" si="4"/>
        <v>915.24192518518521</v>
      </c>
      <c r="L15" s="654">
        <f t="shared" si="4"/>
        <v>631.01990000000001</v>
      </c>
      <c r="M15" s="654">
        <f t="shared" si="4"/>
        <v>598.79628716145271</v>
      </c>
      <c r="N15" s="654">
        <f t="shared" si="4"/>
        <v>621.93295248619086</v>
      </c>
      <c r="O15" s="1129">
        <f t="shared" si="4"/>
        <v>755.43710489343653</v>
      </c>
      <c r="P15" s="702">
        <f t="shared" si="4"/>
        <v>796.31130999999993</v>
      </c>
      <c r="Q15" s="654">
        <f t="shared" si="4"/>
        <v>956.93245999999999</v>
      </c>
      <c r="R15" s="1141">
        <f t="shared" si="4"/>
        <v>1148.85968</v>
      </c>
      <c r="S15" s="654">
        <f t="shared" si="4"/>
        <v>1392.2775300000001</v>
      </c>
      <c r="T15" s="654">
        <f t="shared" si="4"/>
        <v>1420.8320436608374</v>
      </c>
      <c r="U15" s="654">
        <f t="shared" si="4"/>
        <v>1401.3876322849185</v>
      </c>
      <c r="V15" s="654">
        <f t="shared" si="4"/>
        <v>1401.3876322849185</v>
      </c>
      <c r="W15" s="654">
        <f t="shared" si="4"/>
        <v>1401.3876322849185</v>
      </c>
      <c r="X15" s="654">
        <f t="shared" si="4"/>
        <v>1516.5263955134103</v>
      </c>
      <c r="Y15" s="654">
        <f t="shared" si="4"/>
        <v>1516.5263955134103</v>
      </c>
      <c r="Z15" s="654">
        <f t="shared" si="4"/>
        <v>1691.5263955134103</v>
      </c>
      <c r="AA15" s="654">
        <f t="shared" si="4"/>
        <v>1691.5263955134103</v>
      </c>
      <c r="AB15" s="566"/>
      <c r="AC15" s="654">
        <f t="shared" si="3"/>
        <v>735.09691986111113</v>
      </c>
      <c r="AD15" s="654">
        <f t="shared" si="3"/>
        <v>2409.4675057734203</v>
      </c>
      <c r="AE15" s="764">
        <f t="shared" si="3"/>
        <v>2607.1862445410802</v>
      </c>
      <c r="AF15" s="654">
        <f t="shared" si="3"/>
        <v>4294.3809799999999</v>
      </c>
      <c r="AG15" s="654">
        <f t="shared" si="3"/>
        <v>5624.994940515593</v>
      </c>
      <c r="AH15" s="764">
        <f t="shared" si="3"/>
        <v>6416.1055820536412</v>
      </c>
    </row>
    <row r="16" spans="1:35" s="664" customFormat="1" ht="12.75" customHeight="1" x14ac:dyDescent="0.2">
      <c r="A16" s="1063"/>
      <c r="B16" s="1170" t="s">
        <v>385</v>
      </c>
      <c r="C16" s="566"/>
      <c r="D16" s="654">
        <f t="shared" ref="D16:AA16" si="5">SUM(D24,D33)</f>
        <v>2.3110999999999997</v>
      </c>
      <c r="E16" s="654">
        <f t="shared" si="5"/>
        <v>2.7928199999999999</v>
      </c>
      <c r="F16" s="654">
        <f t="shared" si="5"/>
        <v>3.3035999999999999</v>
      </c>
      <c r="G16" s="654">
        <f t="shared" si="5"/>
        <v>3.8150999999999993</v>
      </c>
      <c r="H16" s="654">
        <f t="shared" si="5"/>
        <v>4.8380999999999998</v>
      </c>
      <c r="I16" s="654">
        <f t="shared" si="5"/>
        <v>31.587133529411766</v>
      </c>
      <c r="J16" s="654">
        <f t="shared" si="5"/>
        <v>73.314862608695648</v>
      </c>
      <c r="K16" s="654">
        <f t="shared" si="5"/>
        <v>93.829444074074061</v>
      </c>
      <c r="L16" s="654">
        <f t="shared" si="5"/>
        <v>104.61113999999998</v>
      </c>
      <c r="M16" s="654">
        <f t="shared" si="5"/>
        <v>96.524901459128088</v>
      </c>
      <c r="N16" s="654">
        <f t="shared" si="5"/>
        <v>122.85053160397042</v>
      </c>
      <c r="O16" s="1129">
        <f t="shared" si="5"/>
        <v>155.00900458159919</v>
      </c>
      <c r="P16" s="702">
        <f t="shared" si="5"/>
        <v>186.8734</v>
      </c>
      <c r="Q16" s="654">
        <f t="shared" si="5"/>
        <v>184.37065000000001</v>
      </c>
      <c r="R16" s="1141">
        <f t="shared" si="5"/>
        <v>239.58409</v>
      </c>
      <c r="S16" s="654">
        <f t="shared" si="5"/>
        <v>282.18348000000003</v>
      </c>
      <c r="T16" s="654">
        <f t="shared" si="5"/>
        <v>395.05299208482143</v>
      </c>
      <c r="U16" s="654">
        <f t="shared" si="5"/>
        <v>432.82172809374998</v>
      </c>
      <c r="V16" s="654">
        <f t="shared" si="5"/>
        <v>470.59046410267854</v>
      </c>
      <c r="W16" s="654">
        <f t="shared" si="5"/>
        <v>508.35920011160715</v>
      </c>
      <c r="X16" s="654">
        <f t="shared" si="5"/>
        <v>607.11572973258933</v>
      </c>
      <c r="Y16" s="654">
        <f t="shared" si="5"/>
        <v>648.66133934241077</v>
      </c>
      <c r="Z16" s="654">
        <f t="shared" si="5"/>
        <v>690.20694895223221</v>
      </c>
      <c r="AA16" s="654">
        <f t="shared" si="5"/>
        <v>731.75255856205365</v>
      </c>
      <c r="AB16" s="566"/>
      <c r="AC16" s="654">
        <f t="shared" si="3"/>
        <v>12.222619999999999</v>
      </c>
      <c r="AD16" s="654">
        <f t="shared" si="3"/>
        <v>203.56954021218147</v>
      </c>
      <c r="AE16" s="764">
        <f t="shared" si="3"/>
        <v>478.99557764469773</v>
      </c>
      <c r="AF16" s="654">
        <f t="shared" si="3"/>
        <v>893.01161999999999</v>
      </c>
      <c r="AG16" s="654">
        <f t="shared" si="3"/>
        <v>1806.8243843928572</v>
      </c>
      <c r="AH16" s="764">
        <f t="shared" si="3"/>
        <v>2677.736576589286</v>
      </c>
    </row>
    <row r="17" spans="1:34" s="664" customFormat="1" ht="12.75" customHeight="1" x14ac:dyDescent="0.2">
      <c r="A17" s="1063"/>
      <c r="B17" s="1010" t="s">
        <v>13</v>
      </c>
      <c r="C17" s="566"/>
      <c r="D17" s="654">
        <f t="shared" ref="D17:AA17" si="6">SUM(D25,D34)</f>
        <v>83.355120000000014</v>
      </c>
      <c r="E17" s="654">
        <f t="shared" si="6"/>
        <v>132.46609444444442</v>
      </c>
      <c r="F17" s="654">
        <f t="shared" si="6"/>
        <v>130.76859999999999</v>
      </c>
      <c r="G17" s="654">
        <f t="shared" si="6"/>
        <v>166.96580625000004</v>
      </c>
      <c r="H17" s="654">
        <f t="shared" si="6"/>
        <v>219.33144695652175</v>
      </c>
      <c r="I17" s="654">
        <f t="shared" si="6"/>
        <v>312.20110411764705</v>
      </c>
      <c r="J17" s="654">
        <f t="shared" si="6"/>
        <v>386.7963895652174</v>
      </c>
      <c r="K17" s="654">
        <f t="shared" si="6"/>
        <v>466.95031574074079</v>
      </c>
      <c r="L17" s="654">
        <f t="shared" si="6"/>
        <v>594.54301999999984</v>
      </c>
      <c r="M17" s="654">
        <f t="shared" si="6"/>
        <v>623.93677806041717</v>
      </c>
      <c r="N17" s="654">
        <f t="shared" si="6"/>
        <v>647.73311826228439</v>
      </c>
      <c r="O17" s="1129">
        <f t="shared" si="6"/>
        <v>862.75927907613357</v>
      </c>
      <c r="P17" s="702">
        <f t="shared" si="6"/>
        <v>900.36407999999983</v>
      </c>
      <c r="Q17" s="654">
        <f t="shared" si="6"/>
        <v>1022.2579500000001</v>
      </c>
      <c r="R17" s="1141">
        <f t="shared" si="6"/>
        <v>1121.9842699999999</v>
      </c>
      <c r="S17" s="654">
        <f t="shared" si="6"/>
        <v>1371.0568600000001</v>
      </c>
      <c r="T17" s="654">
        <f t="shared" si="6"/>
        <v>1839.7454914205623</v>
      </c>
      <c r="U17" s="654">
        <f t="shared" si="6"/>
        <v>1971.2685766877937</v>
      </c>
      <c r="V17" s="654">
        <f t="shared" si="6"/>
        <v>2155.4008960619176</v>
      </c>
      <c r="W17" s="654">
        <f t="shared" si="6"/>
        <v>2260.619364275703</v>
      </c>
      <c r="X17" s="654">
        <f t="shared" si="6"/>
        <v>2508.5563007032733</v>
      </c>
      <c r="Y17" s="654">
        <f t="shared" si="6"/>
        <v>2508.5563007032733</v>
      </c>
      <c r="Z17" s="654">
        <f t="shared" si="6"/>
        <v>2508.5563007032733</v>
      </c>
      <c r="AA17" s="654">
        <f t="shared" si="6"/>
        <v>2508.5563007032733</v>
      </c>
      <c r="AB17" s="566"/>
      <c r="AC17" s="654">
        <f t="shared" si="3"/>
        <v>513.55562069444454</v>
      </c>
      <c r="AD17" s="654">
        <f t="shared" si="3"/>
        <v>1385.279256380127</v>
      </c>
      <c r="AE17" s="764">
        <f t="shared" si="3"/>
        <v>2728.9721953988351</v>
      </c>
      <c r="AF17" s="654">
        <f t="shared" si="3"/>
        <v>4415.6631600000001</v>
      </c>
      <c r="AG17" s="654">
        <f t="shared" si="3"/>
        <v>8227.0343284459759</v>
      </c>
      <c r="AH17" s="764">
        <f t="shared" si="3"/>
        <v>10034.225202813093</v>
      </c>
    </row>
    <row r="18" spans="1:34" s="664" customFormat="1" ht="15" x14ac:dyDescent="0.35">
      <c r="A18" s="1063"/>
      <c r="B18" s="1010" t="s">
        <v>14</v>
      </c>
      <c r="C18" s="566"/>
      <c r="D18" s="712">
        <f t="shared" ref="D18:AA18" si="7">SUM(D26,D35)</f>
        <v>92.878419999999977</v>
      </c>
      <c r="E18" s="712">
        <f t="shared" si="7"/>
        <v>192.55827333333332</v>
      </c>
      <c r="F18" s="712">
        <f t="shared" si="7"/>
        <v>181.52698250000003</v>
      </c>
      <c r="G18" s="712">
        <f t="shared" si="7"/>
        <v>167.14962375000005</v>
      </c>
      <c r="H18" s="712">
        <f t="shared" si="7"/>
        <v>248.39205347826086</v>
      </c>
      <c r="I18" s="712">
        <f t="shared" si="7"/>
        <v>428.62487705882359</v>
      </c>
      <c r="J18" s="712">
        <f t="shared" si="7"/>
        <v>445.42763347826076</v>
      </c>
      <c r="K18" s="712">
        <f t="shared" si="7"/>
        <v>590.95073111111128</v>
      </c>
      <c r="L18" s="712">
        <f t="shared" si="7"/>
        <v>680.39957000000004</v>
      </c>
      <c r="M18" s="712">
        <f t="shared" si="7"/>
        <v>450.66517591559648</v>
      </c>
      <c r="N18" s="712">
        <f t="shared" si="7"/>
        <v>602.03070148316499</v>
      </c>
      <c r="O18" s="1025">
        <f t="shared" si="7"/>
        <v>555.6143555179691</v>
      </c>
      <c r="P18" s="1036">
        <f t="shared" si="7"/>
        <v>633.04985999999997</v>
      </c>
      <c r="Q18" s="712">
        <f t="shared" si="7"/>
        <v>870.74126999999999</v>
      </c>
      <c r="R18" s="1153">
        <f t="shared" si="7"/>
        <v>939.03379999999981</v>
      </c>
      <c r="S18" s="712">
        <f t="shared" si="7"/>
        <v>1030.0691499999998</v>
      </c>
      <c r="T18" s="712">
        <f t="shared" si="7"/>
        <v>1461.0458973673271</v>
      </c>
      <c r="U18" s="712">
        <f t="shared" si="7"/>
        <v>1527.4262549239627</v>
      </c>
      <c r="V18" s="712">
        <f t="shared" si="7"/>
        <v>1593.8066124805982</v>
      </c>
      <c r="W18" s="712">
        <f t="shared" si="7"/>
        <v>1660.1869700372336</v>
      </c>
      <c r="X18" s="712">
        <f t="shared" si="7"/>
        <v>1938.9648636971067</v>
      </c>
      <c r="Y18" s="712">
        <f t="shared" si="7"/>
        <v>1938.9648636971067</v>
      </c>
      <c r="Z18" s="712">
        <f t="shared" si="7"/>
        <v>1938.9648636971067</v>
      </c>
      <c r="AA18" s="712">
        <f t="shared" si="7"/>
        <v>1938.9648636971067</v>
      </c>
      <c r="AB18" s="566"/>
      <c r="AC18" s="712">
        <f t="shared" si="3"/>
        <v>634.1132995833334</v>
      </c>
      <c r="AD18" s="712">
        <f t="shared" si="3"/>
        <v>1713.3952951264564</v>
      </c>
      <c r="AE18" s="795">
        <f t="shared" si="3"/>
        <v>2288.7098029167305</v>
      </c>
      <c r="AF18" s="712">
        <f t="shared" si="3"/>
        <v>3472.8940799999996</v>
      </c>
      <c r="AG18" s="712">
        <f t="shared" si="3"/>
        <v>6242.4657348091214</v>
      </c>
      <c r="AH18" s="795">
        <f t="shared" si="3"/>
        <v>7755.8594547884268</v>
      </c>
    </row>
    <row r="19" spans="1:34" s="664" customFormat="1" ht="12.75" customHeight="1" x14ac:dyDescent="0.2">
      <c r="A19" s="1063"/>
      <c r="B19" s="1009" t="s">
        <v>60</v>
      </c>
      <c r="C19" s="1007"/>
      <c r="D19" s="698">
        <f t="shared" ref="D19:AA19" si="8">SUM(D13:D18)</f>
        <v>300.22223999999994</v>
      </c>
      <c r="E19" s="698">
        <f t="shared" si="8"/>
        <v>543.76481999999999</v>
      </c>
      <c r="F19" s="698">
        <f t="shared" si="8"/>
        <v>569.97225000000003</v>
      </c>
      <c r="G19" s="698">
        <f t="shared" si="8"/>
        <v>960.59197000000006</v>
      </c>
      <c r="H19" s="698">
        <f t="shared" si="8"/>
        <v>1192.6493899999998</v>
      </c>
      <c r="I19" s="698">
        <f t="shared" si="8"/>
        <v>1757.2817500000001</v>
      </c>
      <c r="J19" s="698">
        <f t="shared" si="8"/>
        <v>2196.4463799999999</v>
      </c>
      <c r="K19" s="698">
        <f t="shared" si="8"/>
        <v>2914.9166599999999</v>
      </c>
      <c r="L19" s="698">
        <f t="shared" si="8"/>
        <v>2934.9286299999999</v>
      </c>
      <c r="M19" s="698">
        <f t="shared" si="8"/>
        <v>2717.39561</v>
      </c>
      <c r="N19" s="698">
        <f t="shared" si="8"/>
        <v>2961.0193100000001</v>
      </c>
      <c r="O19" s="698">
        <f t="shared" si="8"/>
        <v>3489.3131199999998</v>
      </c>
      <c r="P19" s="698">
        <f t="shared" si="8"/>
        <v>3886.3840799999998</v>
      </c>
      <c r="Q19" s="698">
        <f t="shared" si="8"/>
        <v>4733.2623000000003</v>
      </c>
      <c r="R19" s="1008">
        <f t="shared" si="8"/>
        <v>5215.8134199999995</v>
      </c>
      <c r="S19" s="698">
        <f t="shared" si="8"/>
        <v>6098.5132396161061</v>
      </c>
      <c r="T19" s="698">
        <f t="shared" si="8"/>
        <v>7672.9443964138227</v>
      </c>
      <c r="U19" s="698">
        <f t="shared" si="8"/>
        <v>7770.9339137625311</v>
      </c>
      <c r="V19" s="698">
        <f t="shared" si="8"/>
        <v>8224.2153267022186</v>
      </c>
      <c r="W19" s="698">
        <f t="shared" si="8"/>
        <v>8516.0828884815674</v>
      </c>
      <c r="X19" s="698">
        <f t="shared" si="8"/>
        <v>9349.9806541240505</v>
      </c>
      <c r="Y19" s="698">
        <f t="shared" si="8"/>
        <v>9491.526263733871</v>
      </c>
      <c r="Z19" s="698">
        <f t="shared" si="8"/>
        <v>9908.0718733436934</v>
      </c>
      <c r="AA19" s="698">
        <f t="shared" si="8"/>
        <v>10049.617482953514</v>
      </c>
      <c r="AB19" s="698"/>
      <c r="AC19" s="698">
        <f t="shared" ref="AC19:AH19" si="9">SUM(AC13:AC18)</f>
        <v>2374.5512800000001</v>
      </c>
      <c r="AD19" s="698">
        <f t="shared" si="9"/>
        <v>8061.2941799999999</v>
      </c>
      <c r="AE19" s="1008">
        <f t="shared" si="9"/>
        <v>12102.656669999998</v>
      </c>
      <c r="AF19" s="698">
        <f t="shared" si="9"/>
        <v>19933.973039616103</v>
      </c>
      <c r="AG19" s="698">
        <f t="shared" si="9"/>
        <v>32184.176525360141</v>
      </c>
      <c r="AH19" s="1008">
        <f t="shared" si="9"/>
        <v>38799.196274155132</v>
      </c>
    </row>
    <row r="20" spans="1:34" s="664" customFormat="1" ht="12.75" customHeight="1" x14ac:dyDescent="0.2">
      <c r="A20" s="1063"/>
      <c r="B20" s="1191"/>
      <c r="D20" s="1190"/>
      <c r="E20" s="1190"/>
      <c r="F20" s="1190"/>
      <c r="G20" s="1190"/>
      <c r="H20" s="1190"/>
      <c r="I20" s="1190"/>
      <c r="J20" s="1190"/>
      <c r="K20" s="1190"/>
      <c r="L20" s="1189"/>
      <c r="O20" s="1178"/>
      <c r="P20" s="1188"/>
      <c r="Q20" s="1175"/>
      <c r="R20" s="1187"/>
      <c r="S20" s="1175"/>
      <c r="T20" s="1175"/>
      <c r="U20" s="1175"/>
      <c r="V20" s="1175"/>
      <c r="W20" s="1175"/>
      <c r="X20" s="1175"/>
      <c r="Y20" s="1175"/>
      <c r="Z20" s="1175"/>
      <c r="AA20" s="1175"/>
      <c r="AC20" s="665"/>
      <c r="AD20" s="665"/>
      <c r="AE20" s="1174"/>
      <c r="AF20" s="665"/>
      <c r="AG20" s="665"/>
      <c r="AH20" s="1174"/>
    </row>
    <row r="21" spans="1:34" s="664" customFormat="1" ht="12.75" customHeight="1" x14ac:dyDescent="0.2">
      <c r="A21" s="1063"/>
      <c r="B21" s="1173" t="s">
        <v>1091</v>
      </c>
      <c r="C21" s="566"/>
      <c r="D21" s="1184"/>
      <c r="E21" s="1184"/>
      <c r="F21" s="1184"/>
      <c r="G21" s="1184"/>
      <c r="H21" s="1184"/>
      <c r="I21" s="1184"/>
      <c r="J21" s="1184"/>
      <c r="K21" s="1184"/>
      <c r="L21" s="1184"/>
      <c r="M21" s="1184"/>
      <c r="N21" s="1184"/>
      <c r="O21" s="1184"/>
      <c r="P21" s="1186"/>
      <c r="Q21" s="1184"/>
      <c r="R21" s="1185"/>
      <c r="S21" s="1184"/>
      <c r="T21" s="1184"/>
      <c r="U21" s="1184"/>
      <c r="V21" s="1184"/>
      <c r="W21" s="1184"/>
      <c r="X21" s="1184"/>
      <c r="Y21" s="1184"/>
      <c r="Z21" s="1184"/>
      <c r="AA21" s="1184"/>
      <c r="AB21" s="566"/>
      <c r="AC21" s="1184"/>
      <c r="AD21" s="1184"/>
      <c r="AE21" s="1183"/>
      <c r="AF21" s="1026"/>
      <c r="AG21" s="1026"/>
      <c r="AH21" s="1020"/>
    </row>
    <row r="22" spans="1:34" s="664" customFormat="1" ht="12.75" customHeight="1" x14ac:dyDescent="0.2">
      <c r="A22" s="1063"/>
      <c r="B22" s="1010" t="s">
        <v>10</v>
      </c>
      <c r="C22" s="566"/>
      <c r="D22" s="656">
        <v>14.504474952441344</v>
      </c>
      <c r="E22" s="656">
        <v>21.053055294863682</v>
      </c>
      <c r="F22" s="656">
        <v>45.642318954633907</v>
      </c>
      <c r="G22" s="656">
        <v>94.446401318491553</v>
      </c>
      <c r="H22" s="656">
        <v>201.46832558104259</v>
      </c>
      <c r="I22" s="656">
        <v>273.76159660222709</v>
      </c>
      <c r="J22" s="656">
        <v>332.50683355028991</v>
      </c>
      <c r="K22" s="656">
        <v>426.36328464929773</v>
      </c>
      <c r="L22" s="656">
        <v>499.70113999999995</v>
      </c>
      <c r="M22" s="656">
        <v>535.50709740340562</v>
      </c>
      <c r="N22" s="656">
        <v>564.58409616438939</v>
      </c>
      <c r="O22" s="656">
        <v>632.17789593086115</v>
      </c>
      <c r="P22" s="680">
        <v>800.05759</v>
      </c>
      <c r="Q22" s="656">
        <v>1042.44065</v>
      </c>
      <c r="R22" s="767">
        <v>1039.6787899999999</v>
      </c>
      <c r="S22" s="654">
        <f t="shared" ref="S22:AA22" si="10">S41*S61</f>
        <v>1120</v>
      </c>
      <c r="T22" s="654">
        <f t="shared" si="10"/>
        <v>1605.9060008653569</v>
      </c>
      <c r="U22" s="654">
        <f t="shared" si="10"/>
        <v>1405.1677507571872</v>
      </c>
      <c r="V22" s="654">
        <f t="shared" si="10"/>
        <v>1405.1677507571872</v>
      </c>
      <c r="W22" s="654">
        <f t="shared" si="10"/>
        <v>1405.1677507571872</v>
      </c>
      <c r="X22" s="654">
        <f t="shared" si="10"/>
        <v>1545.684525832906</v>
      </c>
      <c r="Y22" s="654">
        <f t="shared" si="10"/>
        <v>1545.684525832906</v>
      </c>
      <c r="Z22" s="654">
        <f t="shared" si="10"/>
        <v>1545.684525832906</v>
      </c>
      <c r="AA22" s="654">
        <f t="shared" si="10"/>
        <v>1545.684525832906</v>
      </c>
      <c r="AB22" s="566"/>
      <c r="AC22" s="654">
        <f>SUM(D22:G22)</f>
        <v>175.6462505204305</v>
      </c>
      <c r="AD22" s="654">
        <f>SUM(H22:K22)</f>
        <v>1234.1000403828573</v>
      </c>
      <c r="AE22" s="764">
        <f>SUM(L22:O22)</f>
        <v>2231.970229498656</v>
      </c>
      <c r="AF22" s="654">
        <f>SUM(P22:S22)</f>
        <v>4002.1770299999998</v>
      </c>
      <c r="AG22" s="1182">
        <f>SUM(T22:W22)</f>
        <v>5821.4092531369188</v>
      </c>
      <c r="AH22" s="1181">
        <f>SUM(X22:AA22)</f>
        <v>6182.7381033316242</v>
      </c>
    </row>
    <row r="23" spans="1:34" s="664" customFormat="1" ht="12.75" customHeight="1" x14ac:dyDescent="0.2">
      <c r="A23" s="1063"/>
      <c r="B23" s="1010" t="s">
        <v>11</v>
      </c>
      <c r="C23" s="566"/>
      <c r="D23" s="656">
        <v>14.711681737476219</v>
      </c>
      <c r="E23" s="656">
        <v>21.35381322764745</v>
      </c>
      <c r="F23" s="656">
        <v>30.472243013993488</v>
      </c>
      <c r="G23" s="656">
        <v>70.191183526364199</v>
      </c>
      <c r="H23" s="656">
        <v>98.509587529669332</v>
      </c>
      <c r="I23" s="656">
        <v>144.44757126793428</v>
      </c>
      <c r="J23" s="656">
        <v>206.99557923096404</v>
      </c>
      <c r="K23" s="656">
        <v>241.46555754147761</v>
      </c>
      <c r="L23" s="656">
        <v>332.15689999999995</v>
      </c>
      <c r="M23" s="656">
        <v>320.93203716145274</v>
      </c>
      <c r="N23" s="656">
        <v>383.70482248619089</v>
      </c>
      <c r="O23" s="656">
        <v>443.06248489343665</v>
      </c>
      <c r="P23" s="680">
        <v>424.03023999999999</v>
      </c>
      <c r="Q23" s="656">
        <v>536.47523000000001</v>
      </c>
      <c r="R23" s="767">
        <v>532.87550999999985</v>
      </c>
      <c r="S23" s="654">
        <f t="shared" ref="S23:AA23" si="11">S42*S62</f>
        <v>546</v>
      </c>
      <c r="T23" s="654">
        <f t="shared" si="11"/>
        <v>758.33204366083737</v>
      </c>
      <c r="U23" s="654">
        <f t="shared" si="11"/>
        <v>738.88763228491848</v>
      </c>
      <c r="V23" s="654">
        <f t="shared" si="11"/>
        <v>738.88763228491848</v>
      </c>
      <c r="W23" s="654">
        <f t="shared" si="11"/>
        <v>738.88763228491848</v>
      </c>
      <c r="X23" s="654">
        <f t="shared" si="11"/>
        <v>812.77639551341031</v>
      </c>
      <c r="Y23" s="654">
        <f t="shared" si="11"/>
        <v>812.77639551341031</v>
      </c>
      <c r="Z23" s="654">
        <f t="shared" si="11"/>
        <v>812.77639551341031</v>
      </c>
      <c r="AA23" s="654">
        <f t="shared" si="11"/>
        <v>812.77639551341031</v>
      </c>
      <c r="AB23" s="566"/>
      <c r="AC23" s="654">
        <f>SUM(D23:G23)</f>
        <v>136.72892150548137</v>
      </c>
      <c r="AD23" s="654">
        <f>SUM(H23:K23)</f>
        <v>691.4182955700453</v>
      </c>
      <c r="AE23" s="764">
        <f>SUM(L23:O23)</f>
        <v>1479.8562445410803</v>
      </c>
      <c r="AF23" s="654">
        <f>SUM(P23:S23)</f>
        <v>2039.3809799999999</v>
      </c>
      <c r="AG23" s="654">
        <f>SUM(T23:W23)</f>
        <v>2974.994940515593</v>
      </c>
      <c r="AH23" s="764">
        <f>SUM(X23:AA23)</f>
        <v>3251.1055820536412</v>
      </c>
    </row>
    <row r="24" spans="1:34" s="664" customFormat="1" ht="12.75" customHeight="1" x14ac:dyDescent="0.2">
      <c r="A24" s="1063"/>
      <c r="B24" s="1170" t="s">
        <v>385</v>
      </c>
      <c r="C24" s="566"/>
      <c r="D24" s="656">
        <v>0</v>
      </c>
      <c r="E24" s="656">
        <v>0</v>
      </c>
      <c r="F24" s="656">
        <v>0</v>
      </c>
      <c r="G24" s="656">
        <v>0</v>
      </c>
      <c r="H24" s="656">
        <v>0</v>
      </c>
      <c r="I24" s="656">
        <v>43.913556595038244</v>
      </c>
      <c r="J24" s="656">
        <v>67.437473776603667</v>
      </c>
      <c r="K24" s="656">
        <v>97.750914767006421</v>
      </c>
      <c r="L24" s="656">
        <v>93.65725999999998</v>
      </c>
      <c r="M24" s="656">
        <v>88.751971459128086</v>
      </c>
      <c r="N24" s="656">
        <v>109.45231160397043</v>
      </c>
      <c r="O24" s="656">
        <v>142.27075458159919</v>
      </c>
      <c r="P24" s="680">
        <v>173.20224999999999</v>
      </c>
      <c r="Q24" s="656">
        <v>167.90287000000001</v>
      </c>
      <c r="R24" s="767">
        <v>225.40649999999999</v>
      </c>
      <c r="S24" s="654">
        <f t="shared" ref="S24:AA24" si="12">S43*S63</f>
        <v>246.5</v>
      </c>
      <c r="T24" s="654">
        <f t="shared" si="12"/>
        <v>358.80299208482143</v>
      </c>
      <c r="U24" s="654">
        <f t="shared" si="12"/>
        <v>396.57172809374998</v>
      </c>
      <c r="V24" s="654">
        <f t="shared" si="12"/>
        <v>434.34046410267854</v>
      </c>
      <c r="W24" s="654">
        <f t="shared" si="12"/>
        <v>472.10920011160715</v>
      </c>
      <c r="X24" s="654">
        <f t="shared" si="12"/>
        <v>560.86572973258933</v>
      </c>
      <c r="Y24" s="654">
        <f t="shared" si="12"/>
        <v>602.41133934241077</v>
      </c>
      <c r="Z24" s="654">
        <f t="shared" si="12"/>
        <v>643.95694895223221</v>
      </c>
      <c r="AA24" s="654">
        <f t="shared" si="12"/>
        <v>685.50255856205365</v>
      </c>
      <c r="AB24" s="566"/>
      <c r="AC24" s="654">
        <f>SUM(D24:G24)</f>
        <v>0</v>
      </c>
      <c r="AD24" s="654">
        <f>SUM(H24:K24)</f>
        <v>209.10194513864832</v>
      </c>
      <c r="AE24" s="764">
        <f>SUM(L24:O24)</f>
        <v>434.1322976446977</v>
      </c>
      <c r="AF24" s="654">
        <f>SUM(P24:S24)</f>
        <v>813.01161999999999</v>
      </c>
      <c r="AG24" s="654">
        <f>SUM(T24:W24)</f>
        <v>1661.8243843928572</v>
      </c>
      <c r="AH24" s="764">
        <f>SUM(X24:AA24)</f>
        <v>2492.736576589286</v>
      </c>
    </row>
    <row r="25" spans="1:34" s="664" customFormat="1" ht="12.75" customHeight="1" x14ac:dyDescent="0.2">
      <c r="A25" s="1063"/>
      <c r="B25" s="1010" t="s">
        <v>13</v>
      </c>
      <c r="C25" s="566"/>
      <c r="D25" s="656">
        <v>73.558408687381103</v>
      </c>
      <c r="E25" s="656">
        <v>106.76906613823724</v>
      </c>
      <c r="F25" s="656">
        <v>95.309658766235117</v>
      </c>
      <c r="G25" s="656">
        <v>128.63426642013781</v>
      </c>
      <c r="H25" s="656">
        <v>174.14173185487473</v>
      </c>
      <c r="I25" s="656">
        <v>241.05889070660467</v>
      </c>
      <c r="J25" s="656">
        <v>325.94928853077948</v>
      </c>
      <c r="K25" s="656">
        <v>421.16252002235359</v>
      </c>
      <c r="L25" s="656">
        <v>548.28390999999988</v>
      </c>
      <c r="M25" s="656">
        <v>588.12264806041719</v>
      </c>
      <c r="N25" s="656">
        <v>599.01133826228443</v>
      </c>
      <c r="O25" s="656">
        <v>810.41088907613357</v>
      </c>
      <c r="P25" s="680">
        <v>848.01301999999987</v>
      </c>
      <c r="Q25" s="656">
        <v>947.88163000000009</v>
      </c>
      <c r="R25" s="767">
        <v>993.76850999999999</v>
      </c>
      <c r="S25" s="654">
        <f t="shared" ref="S25:AA25" si="13">S44*S64</f>
        <v>1218</v>
      </c>
      <c r="T25" s="654">
        <f t="shared" si="13"/>
        <v>1683.4954914205623</v>
      </c>
      <c r="U25" s="654">
        <f t="shared" si="13"/>
        <v>1815.0185766877937</v>
      </c>
      <c r="V25" s="654">
        <f t="shared" si="13"/>
        <v>1999.1508960619178</v>
      </c>
      <c r="W25" s="654">
        <f t="shared" si="13"/>
        <v>2104.369364275703</v>
      </c>
      <c r="X25" s="654">
        <f t="shared" si="13"/>
        <v>2314.8063007032733</v>
      </c>
      <c r="Y25" s="654">
        <f t="shared" si="13"/>
        <v>2314.8063007032733</v>
      </c>
      <c r="Z25" s="654">
        <f t="shared" si="13"/>
        <v>2314.8063007032733</v>
      </c>
      <c r="AA25" s="654">
        <f t="shared" si="13"/>
        <v>2314.8063007032733</v>
      </c>
      <c r="AB25" s="566"/>
      <c r="AC25" s="654">
        <f>SUM(D25:G25)</f>
        <v>404.27140001199126</v>
      </c>
      <c r="AD25" s="654">
        <f>SUM(H25:K25)</f>
        <v>1162.3124311146125</v>
      </c>
      <c r="AE25" s="764">
        <f>SUM(L25:O25)</f>
        <v>2545.828785398835</v>
      </c>
      <c r="AF25" s="654">
        <f>SUM(P25:S25)</f>
        <v>4007.6631600000001</v>
      </c>
      <c r="AG25" s="654">
        <f>SUM(T25:W25)</f>
        <v>7602.0343284459759</v>
      </c>
      <c r="AH25" s="764">
        <f>SUM(X25:AA25)</f>
        <v>9259.2252028130933</v>
      </c>
    </row>
    <row r="26" spans="1:34" s="664" customFormat="1" ht="14.1" customHeight="1" x14ac:dyDescent="0.35">
      <c r="A26" s="1063"/>
      <c r="B26" s="1010" t="s">
        <v>14</v>
      </c>
      <c r="C26" s="566"/>
      <c r="D26" s="580">
        <v>60.607984622701323</v>
      </c>
      <c r="E26" s="580">
        <v>87.971695339251823</v>
      </c>
      <c r="F26" s="580">
        <v>78.529789265137396</v>
      </c>
      <c r="G26" s="580">
        <v>86.995428735006485</v>
      </c>
      <c r="H26" s="580">
        <v>99.875405034413433</v>
      </c>
      <c r="I26" s="580">
        <v>127.06901482819575</v>
      </c>
      <c r="J26" s="580">
        <v>127.38189491136248</v>
      </c>
      <c r="K26" s="580">
        <v>205.90086301986463</v>
      </c>
      <c r="L26" s="580">
        <v>265.78107999999997</v>
      </c>
      <c r="M26" s="580">
        <v>176.63119591559641</v>
      </c>
      <c r="N26" s="580">
        <v>194.92810148316508</v>
      </c>
      <c r="O26" s="580">
        <v>167.42498551796919</v>
      </c>
      <c r="P26" s="1061">
        <v>286.43903999999998</v>
      </c>
      <c r="Q26" s="580">
        <v>354.94781999999998</v>
      </c>
      <c r="R26" s="796">
        <v>346.93925000000002</v>
      </c>
      <c r="S26" s="712">
        <f t="shared" ref="S26:AA26" si="14">S45*S65</f>
        <v>402.5</v>
      </c>
      <c r="T26" s="712">
        <f t="shared" si="14"/>
        <v>723.54589736732714</v>
      </c>
      <c r="U26" s="712">
        <f t="shared" si="14"/>
        <v>789.92625492396269</v>
      </c>
      <c r="V26" s="712">
        <f t="shared" si="14"/>
        <v>856.30661248059812</v>
      </c>
      <c r="W26" s="712">
        <f t="shared" si="14"/>
        <v>922.68697003723366</v>
      </c>
      <c r="X26" s="712">
        <f t="shared" si="14"/>
        <v>1051.4648636971067</v>
      </c>
      <c r="Y26" s="712">
        <f t="shared" si="14"/>
        <v>1051.4648636971067</v>
      </c>
      <c r="Z26" s="712">
        <f t="shared" si="14"/>
        <v>1051.4648636971067</v>
      </c>
      <c r="AA26" s="712">
        <f t="shared" si="14"/>
        <v>1051.4648636971067</v>
      </c>
      <c r="AB26" s="566"/>
      <c r="AC26" s="712">
        <f>SUM(D26:G26)</f>
        <v>314.10489796209703</v>
      </c>
      <c r="AD26" s="712">
        <f>SUM(H26:K26)</f>
        <v>560.22717779383629</v>
      </c>
      <c r="AE26" s="1153">
        <f>SUM(L26:O26)</f>
        <v>804.76536291673062</v>
      </c>
      <c r="AF26" s="712">
        <f>SUM(P26:S26)</f>
        <v>1390.82611</v>
      </c>
      <c r="AG26" s="712">
        <f>SUM(T26:W26)</f>
        <v>3292.4657348091214</v>
      </c>
      <c r="AH26" s="795">
        <f>SUM(X26:AA26)</f>
        <v>4205.8594547884268</v>
      </c>
    </row>
    <row r="27" spans="1:34" s="664" customFormat="1" ht="12.75" customHeight="1" x14ac:dyDescent="0.2">
      <c r="A27" s="1063"/>
      <c r="B27" s="1009" t="s">
        <v>1091</v>
      </c>
      <c r="C27" s="1007"/>
      <c r="D27" s="698">
        <f t="shared" ref="D27:AA27" si="15">SUM(D22:D26)</f>
        <v>163.38254999999998</v>
      </c>
      <c r="E27" s="698">
        <f t="shared" si="15"/>
        <v>237.14763000000019</v>
      </c>
      <c r="F27" s="698">
        <f t="shared" si="15"/>
        <v>249.9540099999999</v>
      </c>
      <c r="G27" s="698">
        <f t="shared" si="15"/>
        <v>380.26728000000003</v>
      </c>
      <c r="H27" s="698">
        <f t="shared" si="15"/>
        <v>573.99505000000011</v>
      </c>
      <c r="I27" s="698">
        <f t="shared" si="15"/>
        <v>830.25063</v>
      </c>
      <c r="J27" s="698">
        <f t="shared" si="15"/>
        <v>1060.2710699999996</v>
      </c>
      <c r="K27" s="698">
        <f t="shared" si="15"/>
        <v>1392.6431399999999</v>
      </c>
      <c r="L27" s="698">
        <f t="shared" si="15"/>
        <v>1739.5802899999996</v>
      </c>
      <c r="M27" s="698">
        <f t="shared" si="15"/>
        <v>1709.9449500000001</v>
      </c>
      <c r="N27" s="698">
        <f t="shared" si="15"/>
        <v>1851.6806700000004</v>
      </c>
      <c r="O27" s="698">
        <f t="shared" si="15"/>
        <v>2195.34701</v>
      </c>
      <c r="P27" s="698">
        <f t="shared" si="15"/>
        <v>2531.7421400000003</v>
      </c>
      <c r="Q27" s="698">
        <f t="shared" si="15"/>
        <v>3049.6482000000001</v>
      </c>
      <c r="R27" s="1008">
        <f t="shared" si="15"/>
        <v>3138.6685599999996</v>
      </c>
      <c r="S27" s="698">
        <f t="shared" si="15"/>
        <v>3533</v>
      </c>
      <c r="T27" s="698">
        <f t="shared" si="15"/>
        <v>5130.0824253989049</v>
      </c>
      <c r="U27" s="698">
        <f t="shared" si="15"/>
        <v>5145.5719427476124</v>
      </c>
      <c r="V27" s="698">
        <f t="shared" si="15"/>
        <v>5433.8533556873008</v>
      </c>
      <c r="W27" s="698">
        <f t="shared" si="15"/>
        <v>5643.2209174666496</v>
      </c>
      <c r="X27" s="698">
        <f t="shared" si="15"/>
        <v>6285.5978154792865</v>
      </c>
      <c r="Y27" s="698">
        <f t="shared" si="15"/>
        <v>6327.143425089107</v>
      </c>
      <c r="Z27" s="698">
        <f t="shared" si="15"/>
        <v>6368.6890346989294</v>
      </c>
      <c r="AA27" s="698">
        <f t="shared" si="15"/>
        <v>6410.2346443087499</v>
      </c>
      <c r="AB27" s="698"/>
      <c r="AC27" s="698">
        <f t="shared" ref="AC27:AH27" si="16">SUM(AC22:AC26)</f>
        <v>1030.7514700000002</v>
      </c>
      <c r="AD27" s="698">
        <f t="shared" si="16"/>
        <v>3857.1598899999999</v>
      </c>
      <c r="AE27" s="1008">
        <f t="shared" si="16"/>
        <v>7496.5529200000001</v>
      </c>
      <c r="AF27" s="698">
        <f t="shared" si="16"/>
        <v>12253.0589</v>
      </c>
      <c r="AG27" s="698">
        <f t="shared" si="16"/>
        <v>21352.728641300466</v>
      </c>
      <c r="AH27" s="1008">
        <f t="shared" si="16"/>
        <v>25391.664919576073</v>
      </c>
    </row>
    <row r="28" spans="1:34" s="664" customFormat="1" ht="14.1" customHeight="1" x14ac:dyDescent="0.2">
      <c r="A28" s="1063"/>
      <c r="B28" s="1180"/>
      <c r="K28" s="1179"/>
      <c r="O28" s="1178"/>
      <c r="P28" s="1177"/>
      <c r="Q28" s="1175"/>
      <c r="R28" s="1176"/>
      <c r="S28" s="1175"/>
      <c r="T28" s="1175"/>
      <c r="U28" s="1175"/>
      <c r="V28" s="1175"/>
      <c r="W28" s="1175"/>
      <c r="X28" s="1175"/>
      <c r="Y28" s="1175"/>
      <c r="Z28" s="1175"/>
      <c r="AA28" s="1175"/>
      <c r="AC28" s="665"/>
      <c r="AD28" s="665"/>
      <c r="AE28" s="1174"/>
      <c r="AF28" s="665"/>
      <c r="AG28" s="665"/>
      <c r="AH28" s="1174"/>
    </row>
    <row r="29" spans="1:34" ht="12.75" customHeight="1" x14ac:dyDescent="0.2">
      <c r="B29" s="1173" t="s">
        <v>1090</v>
      </c>
      <c r="L29" s="654"/>
      <c r="M29" s="654"/>
      <c r="N29" s="654"/>
      <c r="O29" s="654"/>
      <c r="P29" s="654"/>
      <c r="Q29" s="654"/>
      <c r="R29" s="764"/>
      <c r="S29" s="654"/>
      <c r="T29" s="654"/>
      <c r="U29" s="654"/>
      <c r="V29" s="654"/>
      <c r="W29" s="654"/>
      <c r="X29" s="654"/>
      <c r="Y29" s="654"/>
      <c r="Z29" s="654"/>
      <c r="AA29" s="654"/>
      <c r="AE29" s="764"/>
      <c r="AH29" s="1172"/>
    </row>
    <row r="30" spans="1:34" ht="12.75" customHeight="1" x14ac:dyDescent="0.2">
      <c r="B30" s="1010" t="s">
        <v>945</v>
      </c>
      <c r="D30" s="1169">
        <f t="shared" ref="D30:AA30" si="17">D73</f>
        <v>74.928169999999994</v>
      </c>
      <c r="E30" s="1169">
        <f t="shared" si="17"/>
        <v>71.873609999999999</v>
      </c>
      <c r="F30" s="1169">
        <f t="shared" si="17"/>
        <v>67.337949999999992</v>
      </c>
      <c r="G30" s="1169">
        <f t="shared" si="17"/>
        <v>93.489899999999992</v>
      </c>
      <c r="H30" s="1169">
        <f t="shared" si="17"/>
        <v>127.13394</v>
      </c>
      <c r="I30" s="1169">
        <f t="shared" si="17"/>
        <v>175.86039000000002</v>
      </c>
      <c r="J30" s="1169">
        <f t="shared" si="17"/>
        <v>262.73609999999996</v>
      </c>
      <c r="K30" s="1169">
        <f t="shared" si="17"/>
        <v>381.26291000000003</v>
      </c>
      <c r="L30" s="1129">
        <f t="shared" si="17"/>
        <v>386.89888999999999</v>
      </c>
      <c r="M30" s="1129">
        <f t="shared" si="17"/>
        <v>360.17987000000005</v>
      </c>
      <c r="N30" s="1129">
        <f t="shared" si="17"/>
        <v>371.02886000000001</v>
      </c>
      <c r="O30" s="1129">
        <f t="shared" si="17"/>
        <v>474.74921999999998</v>
      </c>
      <c r="P30" s="1169">
        <f t="shared" si="17"/>
        <v>508.56038999999998</v>
      </c>
      <c r="Q30" s="1129">
        <f t="shared" si="17"/>
        <v>571.60895000000005</v>
      </c>
      <c r="R30" s="1141">
        <f t="shared" si="17"/>
        <v>625.20029</v>
      </c>
      <c r="S30" s="1129">
        <f t="shared" si="17"/>
        <v>780.47653961610627</v>
      </c>
      <c r="T30" s="1129">
        <f t="shared" si="17"/>
        <v>772.86197101491871</v>
      </c>
      <c r="U30" s="1129">
        <f t="shared" si="17"/>
        <v>855.36197101491871</v>
      </c>
      <c r="V30" s="1129">
        <f t="shared" si="17"/>
        <v>1020.3619710149189</v>
      </c>
      <c r="W30" s="1129">
        <f t="shared" si="17"/>
        <v>1102.8619710149187</v>
      </c>
      <c r="X30" s="1129">
        <f t="shared" si="17"/>
        <v>940.63283864476512</v>
      </c>
      <c r="Y30" s="1129">
        <f t="shared" si="17"/>
        <v>1040.6328386447651</v>
      </c>
      <c r="Z30" s="1129">
        <f t="shared" si="17"/>
        <v>1240.6328386447651</v>
      </c>
      <c r="AA30" s="1129">
        <f t="shared" si="17"/>
        <v>1340.6328386447651</v>
      </c>
      <c r="AC30" s="1129">
        <f t="shared" ref="AC30:AC35" si="18">SUM(D30:G30)</f>
        <v>307.62962999999996</v>
      </c>
      <c r="AD30" s="1129">
        <f t="shared" ref="AD30:AD35" si="19">SUM(H30:K30)</f>
        <v>946.99333999999999</v>
      </c>
      <c r="AE30" s="1141">
        <f t="shared" ref="AE30:AE35" si="20">SUM(L30:O30)</f>
        <v>1592.8568400000001</v>
      </c>
      <c r="AF30" s="1129">
        <f t="shared" ref="AF30:AF35" si="21">SUM(P30:S30)</f>
        <v>2485.8461696161062</v>
      </c>
      <c r="AG30" s="1129">
        <f t="shared" ref="AG30:AG35" si="22">SUM(T30:W30)</f>
        <v>3751.4478840596748</v>
      </c>
      <c r="AH30" s="1141">
        <f t="shared" ref="AH30:AH35" si="23">SUM(X30:AA30)</f>
        <v>4562.5313545790605</v>
      </c>
    </row>
    <row r="31" spans="1:34" ht="12.75" customHeight="1" x14ac:dyDescent="0.2">
      <c r="B31" s="1010" t="s">
        <v>10</v>
      </c>
      <c r="D31" s="1129">
        <f t="shared" ref="D31:AA31" si="24">D81</f>
        <v>-10.058584952441345</v>
      </c>
      <c r="E31" s="1129">
        <f t="shared" si="24"/>
        <v>2.5793658162474276</v>
      </c>
      <c r="F31" s="1129">
        <f t="shared" si="24"/>
        <v>-1.3687564546339053</v>
      </c>
      <c r="G31" s="1129">
        <f t="shared" si="24"/>
        <v>5.1349149315084501</v>
      </c>
      <c r="H31" s="1129">
        <f t="shared" si="24"/>
        <v>4.2683426798269215</v>
      </c>
      <c r="I31" s="1129">
        <f t="shared" si="24"/>
        <v>46.567538103655274</v>
      </c>
      <c r="J31" s="1129">
        <f t="shared" si="24"/>
        <v>77.335272101883945</v>
      </c>
      <c r="K31" s="1129">
        <f t="shared" si="24"/>
        <v>40.318049239591112</v>
      </c>
      <c r="L31" s="1129">
        <f t="shared" si="24"/>
        <v>37.75497</v>
      </c>
      <c r="M31" s="1129">
        <f t="shared" si="24"/>
        <v>51.785499999999999</v>
      </c>
      <c r="N31" s="1129">
        <f t="shared" si="24"/>
        <v>30.85905</v>
      </c>
      <c r="O31" s="1129">
        <f t="shared" si="24"/>
        <v>53.56626</v>
      </c>
      <c r="P31" s="1169">
        <f t="shared" si="24"/>
        <v>61.167449999999995</v>
      </c>
      <c r="Q31" s="1129">
        <f t="shared" si="24"/>
        <v>84.910369999999986</v>
      </c>
      <c r="R31" s="1141">
        <f t="shared" si="24"/>
        <v>101.47250000000001</v>
      </c>
      <c r="S31" s="1129">
        <f t="shared" si="24"/>
        <v>122.44967999999999</v>
      </c>
      <c r="T31" s="1129">
        <f t="shared" si="24"/>
        <v>177.5</v>
      </c>
      <c r="U31" s="1129">
        <f t="shared" si="24"/>
        <v>177.5</v>
      </c>
      <c r="V31" s="1129">
        <f t="shared" si="24"/>
        <v>177.5</v>
      </c>
      <c r="W31" s="1129">
        <f t="shared" si="24"/>
        <v>177.5</v>
      </c>
      <c r="X31" s="1129">
        <f t="shared" si="24"/>
        <v>292.5</v>
      </c>
      <c r="Y31" s="1129">
        <f t="shared" si="24"/>
        <v>292.5</v>
      </c>
      <c r="Z31" s="1129">
        <f t="shared" si="24"/>
        <v>292.5</v>
      </c>
      <c r="AA31" s="1129">
        <f t="shared" si="24"/>
        <v>292.5</v>
      </c>
      <c r="AC31" s="1129">
        <f t="shared" si="18"/>
        <v>-3.713060659319372</v>
      </c>
      <c r="AD31" s="1129">
        <f t="shared" si="19"/>
        <v>168.48920212495727</v>
      </c>
      <c r="AE31" s="1141">
        <f t="shared" si="20"/>
        <v>173.96578</v>
      </c>
      <c r="AF31" s="1129">
        <f t="shared" si="21"/>
        <v>370</v>
      </c>
      <c r="AG31" s="1169">
        <f t="shared" si="22"/>
        <v>710</v>
      </c>
      <c r="AH31" s="1171">
        <f t="shared" si="23"/>
        <v>1170</v>
      </c>
    </row>
    <row r="32" spans="1:34" ht="12.75" customHeight="1" x14ac:dyDescent="0.2">
      <c r="B32" s="1010" t="s">
        <v>11</v>
      </c>
      <c r="D32" s="1129">
        <f t="shared" ref="D32:AA32" si="25">D90</f>
        <v>27.591858262523782</v>
      </c>
      <c r="E32" s="1129">
        <f t="shared" si="25"/>
        <v>99.087787883463662</v>
      </c>
      <c r="F32" s="1129">
        <f t="shared" si="25"/>
        <v>112.28931198600651</v>
      </c>
      <c r="G32" s="1129">
        <f t="shared" si="25"/>
        <v>359.39904022363578</v>
      </c>
      <c r="H32" s="1129">
        <f t="shared" si="25"/>
        <v>288.70759377467846</v>
      </c>
      <c r="I32" s="1129">
        <f t="shared" si="25"/>
        <v>344.23153932030101</v>
      </c>
      <c r="J32" s="1129">
        <f t="shared" si="25"/>
        <v>411.33370946468818</v>
      </c>
      <c r="K32" s="1129">
        <f t="shared" si="25"/>
        <v>673.77636764370754</v>
      </c>
      <c r="L32" s="1129">
        <f t="shared" si="25"/>
        <v>298.86300000000006</v>
      </c>
      <c r="M32" s="1129">
        <f t="shared" si="25"/>
        <v>277.86425000000003</v>
      </c>
      <c r="N32" s="1129">
        <f t="shared" si="25"/>
        <v>238.22812999999999</v>
      </c>
      <c r="O32" s="1129">
        <f t="shared" si="25"/>
        <v>312.37461999999994</v>
      </c>
      <c r="P32" s="1169">
        <f t="shared" si="25"/>
        <v>372.28106999999994</v>
      </c>
      <c r="Q32" s="1129">
        <f t="shared" si="25"/>
        <v>420.45722999999998</v>
      </c>
      <c r="R32" s="1141">
        <f t="shared" si="25"/>
        <v>615.98417000000006</v>
      </c>
      <c r="S32" s="1129">
        <f t="shared" si="25"/>
        <v>846.27753000000007</v>
      </c>
      <c r="T32" s="1129">
        <f t="shared" si="25"/>
        <v>662.5</v>
      </c>
      <c r="U32" s="1129">
        <f t="shared" si="25"/>
        <v>662.5</v>
      </c>
      <c r="V32" s="1129">
        <f t="shared" si="25"/>
        <v>662.5</v>
      </c>
      <c r="W32" s="1129">
        <f t="shared" si="25"/>
        <v>662.5</v>
      </c>
      <c r="X32" s="1129">
        <f t="shared" si="25"/>
        <v>703.75</v>
      </c>
      <c r="Y32" s="1129">
        <f t="shared" si="25"/>
        <v>703.75</v>
      </c>
      <c r="Z32" s="1129">
        <f t="shared" si="25"/>
        <v>878.75</v>
      </c>
      <c r="AA32" s="1129">
        <f t="shared" si="25"/>
        <v>878.75</v>
      </c>
      <c r="AC32" s="1129">
        <f t="shared" si="18"/>
        <v>598.36799835562977</v>
      </c>
      <c r="AD32" s="1129">
        <f t="shared" si="19"/>
        <v>1718.0492102033752</v>
      </c>
      <c r="AE32" s="1141">
        <f t="shared" si="20"/>
        <v>1127.33</v>
      </c>
      <c r="AF32" s="1129">
        <f t="shared" si="21"/>
        <v>2255</v>
      </c>
      <c r="AG32" s="1169">
        <f t="shared" si="22"/>
        <v>2650</v>
      </c>
      <c r="AH32" s="1171">
        <f t="shared" si="23"/>
        <v>3165</v>
      </c>
    </row>
    <row r="33" spans="1:34" ht="12.75" customHeight="1" x14ac:dyDescent="0.2">
      <c r="B33" s="1170" t="s">
        <v>385</v>
      </c>
      <c r="D33" s="1129">
        <f t="shared" ref="D33:AA33" si="26">D97</f>
        <v>2.3110999999999997</v>
      </c>
      <c r="E33" s="1129">
        <f t="shared" si="26"/>
        <v>2.7928199999999999</v>
      </c>
      <c r="F33" s="1129">
        <f t="shared" si="26"/>
        <v>3.3035999999999999</v>
      </c>
      <c r="G33" s="1129">
        <f t="shared" si="26"/>
        <v>3.8150999999999993</v>
      </c>
      <c r="H33" s="1129">
        <f t="shared" si="26"/>
        <v>4.8380999999999998</v>
      </c>
      <c r="I33" s="1129">
        <f t="shared" si="26"/>
        <v>-12.32642306562648</v>
      </c>
      <c r="J33" s="1129">
        <f t="shared" si="26"/>
        <v>5.8773888320919792</v>
      </c>
      <c r="K33" s="1129">
        <f t="shared" si="26"/>
        <v>-3.9214706929323584</v>
      </c>
      <c r="L33" s="1129">
        <f t="shared" si="26"/>
        <v>10.95388</v>
      </c>
      <c r="M33" s="1129">
        <f t="shared" si="26"/>
        <v>7.7729300000000006</v>
      </c>
      <c r="N33" s="1129">
        <f t="shared" si="26"/>
        <v>13.39822</v>
      </c>
      <c r="O33" s="1129">
        <f t="shared" si="26"/>
        <v>12.738249999999999</v>
      </c>
      <c r="P33" s="1169">
        <f t="shared" si="26"/>
        <v>13.671149999999997</v>
      </c>
      <c r="Q33" s="1129">
        <f t="shared" si="26"/>
        <v>16.467780000000001</v>
      </c>
      <c r="R33" s="1141">
        <f t="shared" si="26"/>
        <v>14.17759</v>
      </c>
      <c r="S33" s="1129">
        <f t="shared" si="26"/>
        <v>35.683480000000003</v>
      </c>
      <c r="T33" s="1129">
        <f t="shared" si="26"/>
        <v>36.25</v>
      </c>
      <c r="U33" s="1129">
        <f t="shared" si="26"/>
        <v>36.25</v>
      </c>
      <c r="V33" s="1129">
        <f t="shared" si="26"/>
        <v>36.25</v>
      </c>
      <c r="W33" s="1129">
        <f t="shared" si="26"/>
        <v>36.25</v>
      </c>
      <c r="X33" s="1129">
        <f t="shared" si="26"/>
        <v>46.25</v>
      </c>
      <c r="Y33" s="1129">
        <f t="shared" si="26"/>
        <v>46.25</v>
      </c>
      <c r="Z33" s="1129">
        <f t="shared" si="26"/>
        <v>46.25</v>
      </c>
      <c r="AA33" s="1129">
        <f t="shared" si="26"/>
        <v>46.25</v>
      </c>
      <c r="AC33" s="1129">
        <f t="shared" si="18"/>
        <v>12.222619999999999</v>
      </c>
      <c r="AD33" s="1129">
        <f t="shared" si="19"/>
        <v>-5.5324049264668602</v>
      </c>
      <c r="AE33" s="1141">
        <f t="shared" si="20"/>
        <v>44.863280000000003</v>
      </c>
      <c r="AF33" s="1129">
        <f t="shared" si="21"/>
        <v>80</v>
      </c>
      <c r="AG33" s="1129">
        <f t="shared" si="22"/>
        <v>145</v>
      </c>
      <c r="AH33" s="1141">
        <f t="shared" si="23"/>
        <v>185</v>
      </c>
    </row>
    <row r="34" spans="1:34" ht="12.75" customHeight="1" x14ac:dyDescent="0.2">
      <c r="B34" s="1010" t="s">
        <v>13</v>
      </c>
      <c r="D34" s="1129">
        <f t="shared" ref="D34:AA34" si="27">D106</f>
        <v>9.7967113126189069</v>
      </c>
      <c r="E34" s="1129">
        <f t="shared" si="27"/>
        <v>25.697028306207198</v>
      </c>
      <c r="F34" s="1129">
        <f t="shared" si="27"/>
        <v>35.458941233764882</v>
      </c>
      <c r="G34" s="1129">
        <f t="shared" si="27"/>
        <v>38.33153982986223</v>
      </c>
      <c r="H34" s="1129">
        <f t="shared" si="27"/>
        <v>45.189715101647018</v>
      </c>
      <c r="I34" s="1129">
        <f t="shared" si="27"/>
        <v>71.142213411042377</v>
      </c>
      <c r="J34" s="1129">
        <f t="shared" si="27"/>
        <v>60.847101034437891</v>
      </c>
      <c r="K34" s="1129">
        <f t="shared" si="27"/>
        <v>45.78779571838718</v>
      </c>
      <c r="L34" s="1129">
        <f t="shared" si="27"/>
        <v>46.259109999999993</v>
      </c>
      <c r="M34" s="1129">
        <f t="shared" si="27"/>
        <v>35.814129999999999</v>
      </c>
      <c r="N34" s="1129">
        <f t="shared" si="27"/>
        <v>48.721780000000003</v>
      </c>
      <c r="O34" s="1129">
        <f t="shared" si="27"/>
        <v>52.348390000000002</v>
      </c>
      <c r="P34" s="1169">
        <f t="shared" si="27"/>
        <v>52.351059999999997</v>
      </c>
      <c r="Q34" s="1129">
        <f t="shared" si="27"/>
        <v>74.376319999999993</v>
      </c>
      <c r="R34" s="1141">
        <f t="shared" si="27"/>
        <v>128.21576000000002</v>
      </c>
      <c r="S34" s="1129">
        <f t="shared" si="27"/>
        <v>153.05686000000003</v>
      </c>
      <c r="T34" s="1129">
        <f t="shared" si="27"/>
        <v>156.25</v>
      </c>
      <c r="U34" s="1129">
        <f t="shared" si="27"/>
        <v>156.25</v>
      </c>
      <c r="V34" s="1129">
        <f t="shared" si="27"/>
        <v>156.25</v>
      </c>
      <c r="W34" s="1129">
        <f t="shared" si="27"/>
        <v>156.25</v>
      </c>
      <c r="X34" s="1129">
        <f t="shared" si="27"/>
        <v>193.75</v>
      </c>
      <c r="Y34" s="1129">
        <f t="shared" si="27"/>
        <v>193.75</v>
      </c>
      <c r="Z34" s="1129">
        <f t="shared" si="27"/>
        <v>193.75</v>
      </c>
      <c r="AA34" s="1129">
        <f t="shared" si="27"/>
        <v>193.75</v>
      </c>
      <c r="AC34" s="1129">
        <f t="shared" si="18"/>
        <v>109.28422068245322</v>
      </c>
      <c r="AD34" s="1129">
        <f t="shared" si="19"/>
        <v>222.96682526551444</v>
      </c>
      <c r="AE34" s="1141">
        <f t="shared" si="20"/>
        <v>183.14340999999999</v>
      </c>
      <c r="AF34" s="1129">
        <f t="shared" si="21"/>
        <v>408</v>
      </c>
      <c r="AG34" s="1129">
        <f t="shared" si="22"/>
        <v>625</v>
      </c>
      <c r="AH34" s="1141">
        <f t="shared" si="23"/>
        <v>775</v>
      </c>
    </row>
    <row r="35" spans="1:34" ht="15.6" customHeight="1" x14ac:dyDescent="0.35">
      <c r="B35" s="1010" t="s">
        <v>14</v>
      </c>
      <c r="D35" s="1025">
        <f t="shared" ref="D35:AA35" si="28">D115</f>
        <v>32.270435377298661</v>
      </c>
      <c r="E35" s="1025">
        <f t="shared" si="28"/>
        <v>104.58657799408149</v>
      </c>
      <c r="F35" s="1025">
        <f t="shared" si="28"/>
        <v>102.99719323486262</v>
      </c>
      <c r="G35" s="1025">
        <f t="shared" si="28"/>
        <v>80.154195014993547</v>
      </c>
      <c r="H35" s="1025">
        <f t="shared" si="28"/>
        <v>148.51664844384743</v>
      </c>
      <c r="I35" s="1025">
        <f t="shared" si="28"/>
        <v>301.55586223062784</v>
      </c>
      <c r="J35" s="1025">
        <f t="shared" si="28"/>
        <v>318.04573856689831</v>
      </c>
      <c r="K35" s="1025">
        <f t="shared" si="28"/>
        <v>385.04986809124659</v>
      </c>
      <c r="L35" s="1025">
        <f t="shared" si="28"/>
        <v>414.61849000000001</v>
      </c>
      <c r="M35" s="1025">
        <f t="shared" si="28"/>
        <v>274.03398000000004</v>
      </c>
      <c r="N35" s="1025">
        <f t="shared" si="28"/>
        <v>407.10259999999994</v>
      </c>
      <c r="O35" s="1025">
        <f t="shared" si="28"/>
        <v>388.18936999999994</v>
      </c>
      <c r="P35" s="1168">
        <f t="shared" si="28"/>
        <v>346.61081999999999</v>
      </c>
      <c r="Q35" s="1025">
        <f t="shared" si="28"/>
        <v>515.79345000000001</v>
      </c>
      <c r="R35" s="1153">
        <f t="shared" si="28"/>
        <v>592.0945499999998</v>
      </c>
      <c r="S35" s="1025">
        <f t="shared" si="28"/>
        <v>627.56914999999992</v>
      </c>
      <c r="T35" s="1025">
        <f t="shared" si="28"/>
        <v>737.5</v>
      </c>
      <c r="U35" s="1025">
        <f t="shared" si="28"/>
        <v>737.5</v>
      </c>
      <c r="V35" s="1025">
        <f t="shared" si="28"/>
        <v>737.5</v>
      </c>
      <c r="W35" s="1025">
        <f t="shared" si="28"/>
        <v>737.5</v>
      </c>
      <c r="X35" s="1025">
        <f t="shared" si="28"/>
        <v>887.5</v>
      </c>
      <c r="Y35" s="1025">
        <f t="shared" si="28"/>
        <v>887.5</v>
      </c>
      <c r="Z35" s="1025">
        <f t="shared" si="28"/>
        <v>887.5</v>
      </c>
      <c r="AA35" s="1025">
        <f t="shared" si="28"/>
        <v>887.5</v>
      </c>
      <c r="AC35" s="1025">
        <f t="shared" si="18"/>
        <v>320.00840162123632</v>
      </c>
      <c r="AD35" s="1025">
        <f t="shared" si="19"/>
        <v>1153.1681173326201</v>
      </c>
      <c r="AE35" s="1153">
        <f t="shared" si="20"/>
        <v>1483.9444399999998</v>
      </c>
      <c r="AF35" s="1025">
        <f t="shared" si="21"/>
        <v>2082.0679699999996</v>
      </c>
      <c r="AG35" s="1168">
        <f t="shared" si="22"/>
        <v>2950</v>
      </c>
      <c r="AH35" s="1167">
        <f t="shared" si="23"/>
        <v>3550</v>
      </c>
    </row>
    <row r="36" spans="1:34" s="637" customFormat="1" ht="12.75" customHeight="1" x14ac:dyDescent="0.2">
      <c r="A36" s="959"/>
      <c r="B36" s="1166" t="s">
        <v>1089</v>
      </c>
      <c r="C36" s="1109"/>
      <c r="D36" s="1162">
        <f t="shared" ref="D36:AA36" si="29">SUM(D30:D35)</f>
        <v>136.83968999999999</v>
      </c>
      <c r="E36" s="1162">
        <f t="shared" si="29"/>
        <v>306.61718999999977</v>
      </c>
      <c r="F36" s="1162">
        <f t="shared" si="29"/>
        <v>320.01824000000005</v>
      </c>
      <c r="G36" s="1162">
        <f t="shared" si="29"/>
        <v>580.32468999999992</v>
      </c>
      <c r="H36" s="1162">
        <f t="shared" si="29"/>
        <v>618.65433999999982</v>
      </c>
      <c r="I36" s="1162">
        <f t="shared" si="29"/>
        <v>927.0311200000001</v>
      </c>
      <c r="J36" s="1162">
        <f t="shared" si="29"/>
        <v>1136.1753100000001</v>
      </c>
      <c r="K36" s="1162">
        <f t="shared" si="29"/>
        <v>1522.2735200000002</v>
      </c>
      <c r="L36" s="1162">
        <f t="shared" si="29"/>
        <v>1195.34834</v>
      </c>
      <c r="M36" s="1162">
        <f t="shared" si="29"/>
        <v>1007.4506600000001</v>
      </c>
      <c r="N36" s="1162">
        <f t="shared" si="29"/>
        <v>1109.3386399999999</v>
      </c>
      <c r="O36" s="1162">
        <f t="shared" si="29"/>
        <v>1293.9661099999998</v>
      </c>
      <c r="P36" s="1162">
        <f t="shared" si="29"/>
        <v>1354.64194</v>
      </c>
      <c r="Q36" s="1162">
        <f t="shared" si="29"/>
        <v>1683.6140999999998</v>
      </c>
      <c r="R36" s="1165">
        <f t="shared" si="29"/>
        <v>2077.1448599999999</v>
      </c>
      <c r="S36" s="721">
        <f t="shared" si="29"/>
        <v>2565.5132396161061</v>
      </c>
      <c r="T36" s="721">
        <f t="shared" si="29"/>
        <v>2542.8619710149187</v>
      </c>
      <c r="U36" s="721">
        <f t="shared" si="29"/>
        <v>2625.3619710149187</v>
      </c>
      <c r="V36" s="721">
        <f t="shared" si="29"/>
        <v>2790.3619710149187</v>
      </c>
      <c r="W36" s="721">
        <f t="shared" si="29"/>
        <v>2872.8619710149187</v>
      </c>
      <c r="X36" s="721">
        <f t="shared" si="29"/>
        <v>3064.3828386447649</v>
      </c>
      <c r="Y36" s="721">
        <f t="shared" si="29"/>
        <v>3164.3828386447649</v>
      </c>
      <c r="Z36" s="721">
        <f t="shared" si="29"/>
        <v>3539.3828386447649</v>
      </c>
      <c r="AA36" s="721">
        <f t="shared" si="29"/>
        <v>3639.3828386447649</v>
      </c>
      <c r="AB36" s="1164"/>
      <c r="AC36" s="1162">
        <f t="shared" ref="AC36:AH36" si="30">SUM(AC30:AC35)</f>
        <v>1343.79981</v>
      </c>
      <c r="AD36" s="1162">
        <f t="shared" si="30"/>
        <v>4204.13429</v>
      </c>
      <c r="AE36" s="1161">
        <f t="shared" si="30"/>
        <v>4606.1037500000002</v>
      </c>
      <c r="AF36" s="1163">
        <f t="shared" si="30"/>
        <v>7680.9141396161067</v>
      </c>
      <c r="AG36" s="1162">
        <f t="shared" si="30"/>
        <v>10831.447884059675</v>
      </c>
      <c r="AH36" s="1161">
        <f t="shared" si="30"/>
        <v>13407.53135457906</v>
      </c>
    </row>
    <row r="37" spans="1:34" ht="14.1" customHeight="1" x14ac:dyDescent="0.2">
      <c r="D37" s="654"/>
      <c r="E37" s="654"/>
      <c r="F37" s="654"/>
      <c r="G37" s="654"/>
      <c r="H37" s="654"/>
      <c r="I37" s="654"/>
      <c r="J37" s="654"/>
      <c r="K37" s="654"/>
      <c r="L37" s="654"/>
      <c r="M37" s="654"/>
      <c r="N37" s="654"/>
      <c r="O37" s="1129"/>
      <c r="P37" s="1129"/>
      <c r="Q37" s="1129"/>
      <c r="R37" s="1129"/>
      <c r="S37" s="1160"/>
      <c r="T37" s="1160"/>
      <c r="U37" s="1160"/>
      <c r="V37" s="1160"/>
      <c r="W37" s="1160"/>
      <c r="X37" s="1160"/>
      <c r="Y37" s="1160"/>
      <c r="Z37" s="1160"/>
      <c r="AA37" s="1160"/>
      <c r="AB37" s="1101"/>
      <c r="AC37" s="665"/>
      <c r="AD37" s="665"/>
      <c r="AE37" s="665"/>
      <c r="AF37" s="665"/>
      <c r="AG37" s="665"/>
      <c r="AH37" s="665"/>
    </row>
    <row r="38" spans="1:34" ht="12.75" customHeight="1" x14ac:dyDescent="0.2">
      <c r="A38" s="815" t="s">
        <v>1018</v>
      </c>
      <c r="B38" s="812" t="s">
        <v>1088</v>
      </c>
      <c r="C38" s="812"/>
      <c r="D38" s="812"/>
      <c r="E38" s="812"/>
      <c r="F38" s="812"/>
      <c r="G38" s="812"/>
      <c r="H38" s="812"/>
      <c r="I38" s="812"/>
      <c r="J38" s="812"/>
      <c r="K38" s="812"/>
      <c r="L38" s="812"/>
      <c r="M38" s="812"/>
      <c r="N38" s="812"/>
      <c r="O38" s="812"/>
      <c r="P38" s="812"/>
      <c r="Q38" s="812"/>
      <c r="R38" s="813"/>
      <c r="S38" s="812"/>
      <c r="T38" s="812"/>
      <c r="U38" s="812"/>
      <c r="V38" s="812"/>
      <c r="W38" s="812"/>
      <c r="X38" s="812"/>
      <c r="Y38" s="812"/>
      <c r="Z38" s="812"/>
      <c r="AA38" s="812"/>
      <c r="AB38" s="812"/>
      <c r="AC38" s="812"/>
      <c r="AD38" s="812"/>
      <c r="AE38" s="812"/>
      <c r="AF38" s="812"/>
      <c r="AG38" s="812"/>
      <c r="AH38" s="812"/>
    </row>
    <row r="39" spans="1:34" ht="12.75" customHeight="1" x14ac:dyDescent="0.2">
      <c r="D39" s="644"/>
      <c r="E39" s="644"/>
      <c r="F39" s="644"/>
      <c r="G39" s="644"/>
      <c r="H39" s="644"/>
      <c r="I39" s="644"/>
      <c r="J39" s="644"/>
      <c r="K39" s="644"/>
      <c r="L39" s="644"/>
      <c r="M39" s="644"/>
      <c r="N39" s="644"/>
      <c r="O39" s="1046"/>
      <c r="P39" s="644"/>
      <c r="Q39" s="644"/>
      <c r="R39" s="1046"/>
      <c r="S39" s="644"/>
      <c r="T39" s="644"/>
      <c r="U39" s="644"/>
      <c r="V39" s="644"/>
      <c r="W39" s="644"/>
      <c r="X39" s="644"/>
      <c r="Y39" s="644"/>
      <c r="Z39" s="644"/>
      <c r="AA39" s="644"/>
      <c r="AB39" s="644"/>
      <c r="AC39" s="644"/>
      <c r="AD39" s="644"/>
      <c r="AE39" s="644"/>
      <c r="AF39" s="644"/>
      <c r="AG39" s="644"/>
      <c r="AH39" s="644"/>
    </row>
    <row r="40" spans="1:34" ht="12.75" customHeight="1" x14ac:dyDescent="0.2">
      <c r="B40" s="1127" t="s">
        <v>1087</v>
      </c>
      <c r="C40" s="1121"/>
      <c r="D40" s="1157"/>
      <c r="E40" s="1157"/>
      <c r="F40" s="1157"/>
      <c r="G40" s="1157"/>
      <c r="H40" s="1157"/>
      <c r="I40" s="1157"/>
      <c r="J40" s="1157"/>
      <c r="K40" s="1157"/>
      <c r="L40" s="1157"/>
      <c r="M40" s="1157"/>
      <c r="N40" s="1157"/>
      <c r="O40" s="1126"/>
      <c r="P40" s="1157"/>
      <c r="Q40" s="1157"/>
      <c r="R40" s="1159"/>
      <c r="S40" s="1157"/>
      <c r="T40" s="1157"/>
      <c r="U40" s="1157"/>
      <c r="V40" s="1157"/>
      <c r="W40" s="1157"/>
      <c r="X40" s="1157"/>
      <c r="Y40" s="1157"/>
      <c r="Z40" s="1157"/>
      <c r="AA40" s="1157"/>
      <c r="AB40" s="1157"/>
      <c r="AC40" s="1157"/>
      <c r="AD40" s="1157"/>
      <c r="AE40" s="1157"/>
      <c r="AF40" s="1158"/>
      <c r="AG40" s="1157"/>
      <c r="AH40" s="1156"/>
    </row>
    <row r="41" spans="1:34" ht="12.75" customHeight="1" x14ac:dyDescent="0.2">
      <c r="B41" s="1010" t="s">
        <v>10</v>
      </c>
      <c r="D41" s="656"/>
      <c r="E41" s="1129">
        <f t="shared" ref="E41:AA41" si="31">AVERAGE(D49:E49)</f>
        <v>1</v>
      </c>
      <c r="F41" s="1129">
        <f t="shared" si="31"/>
        <v>2</v>
      </c>
      <c r="G41" s="1129">
        <f t="shared" si="31"/>
        <v>5</v>
      </c>
      <c r="H41" s="1129">
        <f t="shared" si="31"/>
        <v>9</v>
      </c>
      <c r="I41" s="1129">
        <f t="shared" si="31"/>
        <v>12.5</v>
      </c>
      <c r="J41" s="1129">
        <f t="shared" si="31"/>
        <v>16</v>
      </c>
      <c r="K41" s="1129">
        <f t="shared" si="31"/>
        <v>19.5</v>
      </c>
      <c r="L41" s="1129">
        <f t="shared" si="31"/>
        <v>22.5</v>
      </c>
      <c r="M41" s="1129">
        <f t="shared" si="31"/>
        <v>21.5</v>
      </c>
      <c r="N41" s="1129">
        <f t="shared" si="31"/>
        <v>20.5</v>
      </c>
      <c r="O41" s="1129">
        <f t="shared" si="31"/>
        <v>24.5</v>
      </c>
      <c r="P41" s="1129">
        <f t="shared" si="31"/>
        <v>27.5</v>
      </c>
      <c r="Q41" s="1129">
        <f t="shared" si="31"/>
        <v>32</v>
      </c>
      <c r="R41" s="1141">
        <f t="shared" si="31"/>
        <v>35.5</v>
      </c>
      <c r="S41" s="1129">
        <f t="shared" si="31"/>
        <v>40</v>
      </c>
      <c r="T41" s="1129">
        <f t="shared" si="31"/>
        <v>40</v>
      </c>
      <c r="U41" s="1129">
        <f t="shared" si="31"/>
        <v>35</v>
      </c>
      <c r="V41" s="1129">
        <f t="shared" si="31"/>
        <v>35</v>
      </c>
      <c r="W41" s="1129">
        <f t="shared" si="31"/>
        <v>35</v>
      </c>
      <c r="X41" s="1129">
        <f t="shared" si="31"/>
        <v>35</v>
      </c>
      <c r="Y41" s="1129">
        <f t="shared" si="31"/>
        <v>35</v>
      </c>
      <c r="Z41" s="1129">
        <f t="shared" si="31"/>
        <v>35</v>
      </c>
      <c r="AA41" s="1129">
        <f t="shared" si="31"/>
        <v>35</v>
      </c>
      <c r="AB41" s="644"/>
      <c r="AC41" s="702">
        <f>G41</f>
        <v>5</v>
      </c>
      <c r="AD41" s="702">
        <f>K41</f>
        <v>19.5</v>
      </c>
      <c r="AE41" s="702">
        <f>O41</f>
        <v>24.5</v>
      </c>
      <c r="AF41" s="1155">
        <f>S41</f>
        <v>40</v>
      </c>
      <c r="AG41" s="702">
        <f>W41</f>
        <v>35</v>
      </c>
      <c r="AH41" s="1154">
        <f>AA41</f>
        <v>35</v>
      </c>
    </row>
    <row r="42" spans="1:34" ht="12.75" customHeight="1" x14ac:dyDescent="0.2">
      <c r="B42" s="1010" t="s">
        <v>11</v>
      </c>
      <c r="D42" s="656"/>
      <c r="E42" s="1129">
        <f t="shared" ref="E42:AA42" si="32">AVERAGE(D50:E50)</f>
        <v>1</v>
      </c>
      <c r="F42" s="1129">
        <f t="shared" si="32"/>
        <v>1.5</v>
      </c>
      <c r="G42" s="1129">
        <f t="shared" si="32"/>
        <v>2.5</v>
      </c>
      <c r="H42" s="1129">
        <f t="shared" si="32"/>
        <v>3.5</v>
      </c>
      <c r="I42" s="1129">
        <f t="shared" si="32"/>
        <v>5</v>
      </c>
      <c r="J42" s="1129">
        <f t="shared" si="32"/>
        <v>8</v>
      </c>
      <c r="K42" s="1129">
        <f t="shared" si="32"/>
        <v>10</v>
      </c>
      <c r="L42" s="1129">
        <f t="shared" si="32"/>
        <v>11</v>
      </c>
      <c r="M42" s="1129">
        <f t="shared" si="32"/>
        <v>12</v>
      </c>
      <c r="N42" s="1129">
        <f t="shared" si="32"/>
        <v>12.5</v>
      </c>
      <c r="O42" s="1129">
        <f t="shared" si="32"/>
        <v>13.5</v>
      </c>
      <c r="P42" s="1129">
        <f t="shared" si="32"/>
        <v>14.5</v>
      </c>
      <c r="Q42" s="1129">
        <f t="shared" si="32"/>
        <v>17.5</v>
      </c>
      <c r="R42" s="1141">
        <f t="shared" si="32"/>
        <v>19.5</v>
      </c>
      <c r="S42" s="1129">
        <f t="shared" si="32"/>
        <v>19.5</v>
      </c>
      <c r="T42" s="1129">
        <f t="shared" si="32"/>
        <v>19.5</v>
      </c>
      <c r="U42" s="1129">
        <f t="shared" si="32"/>
        <v>19</v>
      </c>
      <c r="V42" s="1129">
        <f t="shared" si="32"/>
        <v>19</v>
      </c>
      <c r="W42" s="1129">
        <f t="shared" si="32"/>
        <v>19</v>
      </c>
      <c r="X42" s="1129">
        <f t="shared" si="32"/>
        <v>19</v>
      </c>
      <c r="Y42" s="1129">
        <f t="shared" si="32"/>
        <v>19</v>
      </c>
      <c r="Z42" s="1129">
        <f t="shared" si="32"/>
        <v>19</v>
      </c>
      <c r="AA42" s="1129">
        <f t="shared" si="32"/>
        <v>19</v>
      </c>
      <c r="AB42" s="644"/>
      <c r="AC42" s="702">
        <f>G42</f>
        <v>2.5</v>
      </c>
      <c r="AD42" s="702">
        <f>K42</f>
        <v>10</v>
      </c>
      <c r="AE42" s="702">
        <f>O42</f>
        <v>13.5</v>
      </c>
      <c r="AF42" s="1155">
        <f>S42</f>
        <v>19.5</v>
      </c>
      <c r="AG42" s="702">
        <f>W42</f>
        <v>19</v>
      </c>
      <c r="AH42" s="1154">
        <f>AA42</f>
        <v>19</v>
      </c>
    </row>
    <row r="43" spans="1:34" ht="12.75" customHeight="1" x14ac:dyDescent="0.2">
      <c r="B43" s="1010" t="s">
        <v>385</v>
      </c>
      <c r="D43" s="656"/>
      <c r="E43" s="1129">
        <f t="shared" ref="E43:AA43" si="33">AVERAGE(D51:E51)</f>
        <v>0</v>
      </c>
      <c r="F43" s="1129">
        <f t="shared" si="33"/>
        <v>0</v>
      </c>
      <c r="G43" s="1129">
        <f t="shared" si="33"/>
        <v>0</v>
      </c>
      <c r="H43" s="1129">
        <f t="shared" si="33"/>
        <v>0</v>
      </c>
      <c r="I43" s="1129">
        <f t="shared" si="33"/>
        <v>1</v>
      </c>
      <c r="J43" s="1129">
        <f t="shared" si="33"/>
        <v>2.5</v>
      </c>
      <c r="K43" s="1129">
        <f t="shared" si="33"/>
        <v>3.5</v>
      </c>
      <c r="L43" s="1129">
        <f t="shared" si="33"/>
        <v>4</v>
      </c>
      <c r="M43" s="1129">
        <f t="shared" si="33"/>
        <v>4</v>
      </c>
      <c r="N43" s="1129">
        <f t="shared" si="33"/>
        <v>4</v>
      </c>
      <c r="O43" s="1129">
        <f t="shared" si="33"/>
        <v>4.5</v>
      </c>
      <c r="P43" s="1129">
        <f t="shared" si="33"/>
        <v>6</v>
      </c>
      <c r="Q43" s="1129">
        <f t="shared" si="33"/>
        <v>7</v>
      </c>
      <c r="R43" s="1141">
        <f t="shared" si="33"/>
        <v>7.5</v>
      </c>
      <c r="S43" s="1129">
        <f t="shared" si="33"/>
        <v>8.5</v>
      </c>
      <c r="T43" s="1129">
        <f t="shared" si="33"/>
        <v>9.5</v>
      </c>
      <c r="U43" s="1129">
        <f t="shared" si="33"/>
        <v>10.5</v>
      </c>
      <c r="V43" s="1129">
        <f t="shared" si="33"/>
        <v>11.5</v>
      </c>
      <c r="W43" s="1129">
        <f t="shared" si="33"/>
        <v>12.5</v>
      </c>
      <c r="X43" s="1129">
        <f t="shared" si="33"/>
        <v>13.5</v>
      </c>
      <c r="Y43" s="1129">
        <f t="shared" si="33"/>
        <v>14.5</v>
      </c>
      <c r="Z43" s="1129">
        <f t="shared" si="33"/>
        <v>15.5</v>
      </c>
      <c r="AA43" s="1129">
        <f t="shared" si="33"/>
        <v>16.5</v>
      </c>
      <c r="AB43" s="644"/>
      <c r="AC43" s="702">
        <f>G43</f>
        <v>0</v>
      </c>
      <c r="AD43" s="702">
        <f>K43</f>
        <v>3.5</v>
      </c>
      <c r="AE43" s="702">
        <f>O43</f>
        <v>4.5</v>
      </c>
      <c r="AF43" s="1155">
        <f>S43</f>
        <v>8.5</v>
      </c>
      <c r="AG43" s="702">
        <f>W43</f>
        <v>12.5</v>
      </c>
      <c r="AH43" s="1154">
        <f>AA43</f>
        <v>16.5</v>
      </c>
    </row>
    <row r="44" spans="1:34" ht="12.75" customHeight="1" x14ac:dyDescent="0.2">
      <c r="B44" s="1010" t="s">
        <v>13</v>
      </c>
      <c r="D44" s="656"/>
      <c r="E44" s="1129">
        <f t="shared" ref="E44:AA44" si="34">AVERAGE(D52:E52)</f>
        <v>5</v>
      </c>
      <c r="F44" s="1129">
        <f t="shared" si="34"/>
        <v>5</v>
      </c>
      <c r="G44" s="1129">
        <f t="shared" si="34"/>
        <v>5.5</v>
      </c>
      <c r="H44" s="1129">
        <f t="shared" si="34"/>
        <v>6.5</v>
      </c>
      <c r="I44" s="1129">
        <f t="shared" si="34"/>
        <v>8</v>
      </c>
      <c r="J44" s="1129">
        <f t="shared" si="34"/>
        <v>10</v>
      </c>
      <c r="K44" s="1129">
        <f t="shared" si="34"/>
        <v>12</v>
      </c>
      <c r="L44" s="1129">
        <f t="shared" si="34"/>
        <v>14.5</v>
      </c>
      <c r="M44" s="1129">
        <f t="shared" si="34"/>
        <v>15.5</v>
      </c>
      <c r="N44" s="1129">
        <f t="shared" si="34"/>
        <v>16.5</v>
      </c>
      <c r="O44" s="1129">
        <f t="shared" si="34"/>
        <v>20</v>
      </c>
      <c r="P44" s="1129">
        <f t="shared" si="34"/>
        <v>22.5</v>
      </c>
      <c r="Q44" s="1129">
        <f t="shared" si="34"/>
        <v>24.5</v>
      </c>
      <c r="R44" s="1141">
        <f t="shared" si="34"/>
        <v>26.5</v>
      </c>
      <c r="S44" s="1129">
        <f t="shared" si="34"/>
        <v>29</v>
      </c>
      <c r="T44" s="1129">
        <f t="shared" si="34"/>
        <v>32</v>
      </c>
      <c r="U44" s="1129">
        <f t="shared" si="34"/>
        <v>34.5</v>
      </c>
      <c r="V44" s="1129">
        <f t="shared" si="34"/>
        <v>38</v>
      </c>
      <c r="W44" s="1129">
        <f t="shared" si="34"/>
        <v>40</v>
      </c>
      <c r="X44" s="1129">
        <f t="shared" si="34"/>
        <v>40</v>
      </c>
      <c r="Y44" s="1129">
        <f t="shared" si="34"/>
        <v>40</v>
      </c>
      <c r="Z44" s="1129">
        <f t="shared" si="34"/>
        <v>40</v>
      </c>
      <c r="AA44" s="1129">
        <f t="shared" si="34"/>
        <v>40</v>
      </c>
      <c r="AB44" s="644"/>
      <c r="AC44" s="702">
        <f>G44</f>
        <v>5.5</v>
      </c>
      <c r="AD44" s="702">
        <f>K44</f>
        <v>12</v>
      </c>
      <c r="AE44" s="702">
        <f>O44</f>
        <v>20</v>
      </c>
      <c r="AF44" s="1155">
        <f>S44</f>
        <v>29</v>
      </c>
      <c r="AG44" s="702">
        <f>W44</f>
        <v>40</v>
      </c>
      <c r="AH44" s="1154">
        <f>AA44</f>
        <v>40</v>
      </c>
    </row>
    <row r="45" spans="1:34" ht="15" x14ac:dyDescent="0.35">
      <c r="B45" s="1010" t="s">
        <v>14</v>
      </c>
      <c r="D45" s="580"/>
      <c r="E45" s="1025">
        <f t="shared" ref="E45:AA45" si="35">AVERAGE(D53:E53)</f>
        <v>2</v>
      </c>
      <c r="F45" s="1025">
        <f t="shared" si="35"/>
        <v>2</v>
      </c>
      <c r="G45" s="1025">
        <f t="shared" si="35"/>
        <v>2</v>
      </c>
      <c r="H45" s="1025">
        <f t="shared" si="35"/>
        <v>2</v>
      </c>
      <c r="I45" s="1025">
        <f t="shared" si="35"/>
        <v>2.5</v>
      </c>
      <c r="J45" s="1025">
        <f t="shared" si="35"/>
        <v>3</v>
      </c>
      <c r="K45" s="1025">
        <f t="shared" si="35"/>
        <v>4</v>
      </c>
      <c r="L45" s="1025">
        <f t="shared" si="35"/>
        <v>5</v>
      </c>
      <c r="M45" s="1025">
        <f t="shared" si="35"/>
        <v>4.5</v>
      </c>
      <c r="N45" s="1025">
        <f t="shared" si="35"/>
        <v>4.5</v>
      </c>
      <c r="O45" s="1025">
        <f t="shared" si="35"/>
        <v>5</v>
      </c>
      <c r="P45" s="1025">
        <f t="shared" si="35"/>
        <v>6.5</v>
      </c>
      <c r="Q45" s="1025">
        <f t="shared" si="35"/>
        <v>8.5</v>
      </c>
      <c r="R45" s="1153">
        <f t="shared" si="35"/>
        <v>9.5</v>
      </c>
      <c r="S45" s="1025">
        <f t="shared" si="35"/>
        <v>11.5</v>
      </c>
      <c r="T45" s="1025">
        <f t="shared" si="35"/>
        <v>13.625</v>
      </c>
      <c r="U45" s="1025">
        <f t="shared" si="35"/>
        <v>14.875</v>
      </c>
      <c r="V45" s="1025">
        <f t="shared" si="35"/>
        <v>16.125</v>
      </c>
      <c r="W45" s="1025">
        <f t="shared" si="35"/>
        <v>17.375</v>
      </c>
      <c r="X45" s="1025">
        <f t="shared" si="35"/>
        <v>18</v>
      </c>
      <c r="Y45" s="1025">
        <f t="shared" si="35"/>
        <v>18</v>
      </c>
      <c r="Z45" s="1025">
        <f t="shared" si="35"/>
        <v>18</v>
      </c>
      <c r="AA45" s="1025">
        <f t="shared" si="35"/>
        <v>18</v>
      </c>
      <c r="AB45" s="644"/>
      <c r="AC45" s="1036">
        <f>G45</f>
        <v>2</v>
      </c>
      <c r="AD45" s="1036">
        <f>K45</f>
        <v>4</v>
      </c>
      <c r="AE45" s="1036">
        <f>O45</f>
        <v>5</v>
      </c>
      <c r="AF45" s="1152">
        <f>S45</f>
        <v>11.5</v>
      </c>
      <c r="AG45" s="1036">
        <f>W45</f>
        <v>17.375</v>
      </c>
      <c r="AH45" s="1037">
        <f>AA45</f>
        <v>18</v>
      </c>
    </row>
    <row r="46" spans="1:34" ht="12.75" customHeight="1" x14ac:dyDescent="0.2">
      <c r="B46" s="1146" t="s">
        <v>1086</v>
      </c>
      <c r="D46" s="1151"/>
      <c r="E46" s="577">
        <f t="shared" ref="E46:AA46" si="36">AVERAGE(D54:E54)</f>
        <v>9</v>
      </c>
      <c r="F46" s="577">
        <f t="shared" si="36"/>
        <v>10.5</v>
      </c>
      <c r="G46" s="577">
        <f t="shared" si="36"/>
        <v>15</v>
      </c>
      <c r="H46" s="577">
        <f t="shared" si="36"/>
        <v>21</v>
      </c>
      <c r="I46" s="577">
        <f t="shared" si="36"/>
        <v>29</v>
      </c>
      <c r="J46" s="577">
        <f t="shared" si="36"/>
        <v>39.5</v>
      </c>
      <c r="K46" s="577">
        <f t="shared" si="36"/>
        <v>49</v>
      </c>
      <c r="L46" s="577">
        <f t="shared" si="36"/>
        <v>57</v>
      </c>
      <c r="M46" s="577">
        <f t="shared" si="36"/>
        <v>57.5</v>
      </c>
      <c r="N46" s="577">
        <f t="shared" si="36"/>
        <v>58</v>
      </c>
      <c r="O46" s="577">
        <f t="shared" si="36"/>
        <v>67.5</v>
      </c>
      <c r="P46" s="577">
        <f t="shared" si="36"/>
        <v>77</v>
      </c>
      <c r="Q46" s="577">
        <f t="shared" si="36"/>
        <v>89.5</v>
      </c>
      <c r="R46" s="1150">
        <f t="shared" si="36"/>
        <v>98.5</v>
      </c>
      <c r="S46" s="577">
        <f t="shared" si="36"/>
        <v>108.5</v>
      </c>
      <c r="T46" s="577">
        <f t="shared" si="36"/>
        <v>114.625</v>
      </c>
      <c r="U46" s="577">
        <f t="shared" si="36"/>
        <v>113.875</v>
      </c>
      <c r="V46" s="577">
        <f t="shared" si="36"/>
        <v>119.625</v>
      </c>
      <c r="W46" s="577">
        <f t="shared" si="36"/>
        <v>123.875</v>
      </c>
      <c r="X46" s="577">
        <f t="shared" si="36"/>
        <v>125.5</v>
      </c>
      <c r="Y46" s="577">
        <f t="shared" si="36"/>
        <v>126.5</v>
      </c>
      <c r="Z46" s="577">
        <f t="shared" si="36"/>
        <v>127.5</v>
      </c>
      <c r="AA46" s="577">
        <f t="shared" si="36"/>
        <v>128.5</v>
      </c>
      <c r="AB46" s="644"/>
      <c r="AC46" s="1148">
        <f t="shared" ref="AC46:AH46" si="37">SUM(AC41:AC45)</f>
        <v>15</v>
      </c>
      <c r="AD46" s="1148">
        <f t="shared" si="37"/>
        <v>49</v>
      </c>
      <c r="AE46" s="1148">
        <f t="shared" si="37"/>
        <v>67.5</v>
      </c>
      <c r="AF46" s="1149">
        <f t="shared" si="37"/>
        <v>108.5</v>
      </c>
      <c r="AG46" s="1148">
        <f t="shared" si="37"/>
        <v>123.875</v>
      </c>
      <c r="AH46" s="1147">
        <f t="shared" si="37"/>
        <v>128.5</v>
      </c>
    </row>
    <row r="47" spans="1:34" ht="12.75" customHeight="1" x14ac:dyDescent="0.2">
      <c r="B47" s="1146"/>
      <c r="D47" s="644"/>
      <c r="E47" s="644"/>
      <c r="F47" s="644"/>
      <c r="G47" s="644"/>
      <c r="H47" s="644"/>
      <c r="I47" s="644"/>
      <c r="J47" s="644"/>
      <c r="K47" s="644"/>
      <c r="L47" s="644"/>
      <c r="M47" s="644"/>
      <c r="N47" s="644"/>
      <c r="O47" s="1046"/>
      <c r="P47" s="644"/>
      <c r="Q47" s="644"/>
      <c r="R47" s="1145">
        <f t="shared" ref="R47:AA47" si="38">+R54-R48</f>
        <v>-9</v>
      </c>
      <c r="S47" s="1145">
        <f t="shared" si="38"/>
        <v>-9</v>
      </c>
      <c r="T47" s="1145">
        <f t="shared" si="38"/>
        <v>-40.25</v>
      </c>
      <c r="U47" s="1145">
        <f t="shared" si="38"/>
        <v>-59.5</v>
      </c>
      <c r="V47" s="1145">
        <f t="shared" si="38"/>
        <v>-77.75</v>
      </c>
      <c r="W47" s="1145">
        <f t="shared" si="38"/>
        <v>-100</v>
      </c>
      <c r="X47" s="1145">
        <f t="shared" si="38"/>
        <v>-136</v>
      </c>
      <c r="Y47" s="1145">
        <f t="shared" si="38"/>
        <v>-172</v>
      </c>
      <c r="Z47" s="1145">
        <f t="shared" si="38"/>
        <v>-208</v>
      </c>
      <c r="AA47" s="1145">
        <f t="shared" si="38"/>
        <v>-244</v>
      </c>
      <c r="AB47" s="644"/>
      <c r="AC47" s="644"/>
      <c r="AD47" s="644"/>
      <c r="AE47" s="644"/>
      <c r="AF47" s="1144"/>
      <c r="AG47" s="644"/>
      <c r="AH47" s="1143"/>
    </row>
    <row r="48" spans="1:34" s="664" customFormat="1" ht="12.75" customHeight="1" x14ac:dyDescent="0.2">
      <c r="A48" s="1063"/>
      <c r="B48" s="1142" t="s">
        <v>1085</v>
      </c>
      <c r="C48" s="720"/>
      <c r="D48" s="1129"/>
      <c r="E48" s="654"/>
      <c r="F48" s="654"/>
      <c r="G48" s="654"/>
      <c r="H48" s="654"/>
      <c r="I48" s="654"/>
      <c r="J48" s="654"/>
      <c r="K48" s="654"/>
      <c r="L48" s="654"/>
      <c r="M48" s="654"/>
      <c r="N48" s="654"/>
      <c r="O48" s="1129"/>
      <c r="P48" s="654"/>
      <c r="Q48" s="654"/>
      <c r="R48" s="1141">
        <v>108</v>
      </c>
      <c r="S48" s="654">
        <v>127</v>
      </c>
      <c r="T48" s="654">
        <v>151.5</v>
      </c>
      <c r="U48" s="654">
        <v>176</v>
      </c>
      <c r="V48" s="654">
        <v>200.5</v>
      </c>
      <c r="W48" s="654">
        <v>225</v>
      </c>
      <c r="X48" s="654">
        <v>262</v>
      </c>
      <c r="Y48" s="654">
        <v>299</v>
      </c>
      <c r="Z48" s="654">
        <v>336</v>
      </c>
      <c r="AA48" s="654">
        <v>373</v>
      </c>
      <c r="AB48" s="654"/>
      <c r="AC48" s="654"/>
      <c r="AD48" s="654"/>
      <c r="AE48" s="654"/>
      <c r="AF48" s="1140"/>
      <c r="AG48" s="654"/>
      <c r="AH48" s="764"/>
    </row>
    <row r="49" spans="1:36" s="664" customFormat="1" ht="12.75" customHeight="1" x14ac:dyDescent="0.2">
      <c r="A49" s="1063"/>
      <c r="B49" s="1010" t="s">
        <v>10</v>
      </c>
      <c r="C49" s="720"/>
      <c r="D49" s="656">
        <v>1</v>
      </c>
      <c r="E49" s="656">
        <v>1</v>
      </c>
      <c r="F49" s="656">
        <v>3</v>
      </c>
      <c r="G49" s="656">
        <v>7</v>
      </c>
      <c r="H49" s="656">
        <v>11</v>
      </c>
      <c r="I49" s="656">
        <v>14</v>
      </c>
      <c r="J49" s="656">
        <v>18</v>
      </c>
      <c r="K49" s="656">
        <v>21</v>
      </c>
      <c r="L49" s="656">
        <v>24</v>
      </c>
      <c r="M49" s="656">
        <v>19</v>
      </c>
      <c r="N49" s="656">
        <v>22</v>
      </c>
      <c r="O49" s="656">
        <v>27</v>
      </c>
      <c r="P49" s="656">
        <v>28</v>
      </c>
      <c r="Q49" s="656">
        <v>36</v>
      </c>
      <c r="R49" s="767">
        <v>35</v>
      </c>
      <c r="S49" s="690">
        <v>45</v>
      </c>
      <c r="T49" s="654">
        <f>+AG49</f>
        <v>35</v>
      </c>
      <c r="U49" s="654">
        <f t="shared" ref="U49:W50" si="39">+T49</f>
        <v>35</v>
      </c>
      <c r="V49" s="654">
        <f t="shared" si="39"/>
        <v>35</v>
      </c>
      <c r="W49" s="654">
        <f t="shared" si="39"/>
        <v>35</v>
      </c>
      <c r="X49" s="654">
        <f t="shared" ref="X49:AA53" si="40">W49+(($AH49-$AG49)/4)</f>
        <v>35</v>
      </c>
      <c r="Y49" s="654">
        <f t="shared" si="40"/>
        <v>35</v>
      </c>
      <c r="Z49" s="654">
        <f t="shared" si="40"/>
        <v>35</v>
      </c>
      <c r="AA49" s="654">
        <f t="shared" si="40"/>
        <v>35</v>
      </c>
      <c r="AB49" s="654"/>
      <c r="AC49" s="654">
        <f>G49</f>
        <v>7</v>
      </c>
      <c r="AD49" s="654">
        <f>K49</f>
        <v>21</v>
      </c>
      <c r="AE49" s="764">
        <f>O49</f>
        <v>27</v>
      </c>
      <c r="AF49" s="654">
        <f>S49</f>
        <v>45</v>
      </c>
      <c r="AG49" s="1139">
        <v>35</v>
      </c>
      <c r="AH49" s="691">
        <f>+AG49</f>
        <v>35</v>
      </c>
      <c r="AJ49" s="1130"/>
    </row>
    <row r="50" spans="1:36" s="664" customFormat="1" ht="12.75" customHeight="1" x14ac:dyDescent="0.2">
      <c r="A50" s="1063"/>
      <c r="B50" s="1010" t="s">
        <v>11</v>
      </c>
      <c r="C50" s="720"/>
      <c r="D50" s="656">
        <v>1</v>
      </c>
      <c r="E50" s="656">
        <v>1</v>
      </c>
      <c r="F50" s="656">
        <v>2</v>
      </c>
      <c r="G50" s="656">
        <v>3</v>
      </c>
      <c r="H50" s="656">
        <v>4</v>
      </c>
      <c r="I50" s="656">
        <v>6</v>
      </c>
      <c r="J50" s="656">
        <v>10</v>
      </c>
      <c r="K50" s="656">
        <v>10</v>
      </c>
      <c r="L50" s="656">
        <v>12</v>
      </c>
      <c r="M50" s="656">
        <v>12</v>
      </c>
      <c r="N50" s="656">
        <v>13</v>
      </c>
      <c r="O50" s="656">
        <v>14</v>
      </c>
      <c r="P50" s="656">
        <v>15</v>
      </c>
      <c r="Q50" s="656">
        <v>20</v>
      </c>
      <c r="R50" s="767">
        <v>19</v>
      </c>
      <c r="S50" s="690">
        <v>20</v>
      </c>
      <c r="T50" s="654">
        <f>+AG50</f>
        <v>19</v>
      </c>
      <c r="U50" s="654">
        <f t="shared" si="39"/>
        <v>19</v>
      </c>
      <c r="V50" s="654">
        <f t="shared" si="39"/>
        <v>19</v>
      </c>
      <c r="W50" s="654">
        <f t="shared" si="39"/>
        <v>19</v>
      </c>
      <c r="X50" s="654">
        <f t="shared" si="40"/>
        <v>19</v>
      </c>
      <c r="Y50" s="654">
        <f t="shared" si="40"/>
        <v>19</v>
      </c>
      <c r="Z50" s="654">
        <f t="shared" si="40"/>
        <v>19</v>
      </c>
      <c r="AA50" s="654">
        <f t="shared" si="40"/>
        <v>19</v>
      </c>
      <c r="AB50" s="654"/>
      <c r="AC50" s="654">
        <f>G50</f>
        <v>3</v>
      </c>
      <c r="AD50" s="654">
        <f>K50</f>
        <v>10</v>
      </c>
      <c r="AE50" s="764">
        <f>O50</f>
        <v>14</v>
      </c>
      <c r="AF50" s="654">
        <f>S50</f>
        <v>20</v>
      </c>
      <c r="AG50" s="1139">
        <v>19</v>
      </c>
      <c r="AH50" s="691">
        <f>+AG50</f>
        <v>19</v>
      </c>
      <c r="AJ50" s="1130"/>
    </row>
    <row r="51" spans="1:36" s="664" customFormat="1" ht="12.75" customHeight="1" x14ac:dyDescent="0.2">
      <c r="A51" s="1063"/>
      <c r="B51" s="1010" t="s">
        <v>385</v>
      </c>
      <c r="C51" s="720"/>
      <c r="D51" s="656">
        <v>0</v>
      </c>
      <c r="E51" s="656">
        <v>0</v>
      </c>
      <c r="F51" s="656">
        <v>0</v>
      </c>
      <c r="G51" s="656">
        <v>0</v>
      </c>
      <c r="H51" s="656">
        <v>0</v>
      </c>
      <c r="I51" s="656">
        <v>2</v>
      </c>
      <c r="J51" s="656">
        <v>3</v>
      </c>
      <c r="K51" s="656">
        <v>4</v>
      </c>
      <c r="L51" s="656">
        <v>4</v>
      </c>
      <c r="M51" s="656">
        <v>4</v>
      </c>
      <c r="N51" s="656">
        <v>4</v>
      </c>
      <c r="O51" s="656">
        <v>5</v>
      </c>
      <c r="P51" s="656">
        <v>7</v>
      </c>
      <c r="Q51" s="656">
        <v>7</v>
      </c>
      <c r="R51" s="767">
        <v>8</v>
      </c>
      <c r="S51" s="690">
        <v>9</v>
      </c>
      <c r="T51" s="654">
        <f>S51+(($AG51-$AF51)/4)</f>
        <v>10</v>
      </c>
      <c r="U51" s="654">
        <f>T51+(($AG51-$AF51)/4)</f>
        <v>11</v>
      </c>
      <c r="V51" s="654">
        <f>U51+(($AG51-$AF51)/4)</f>
        <v>12</v>
      </c>
      <c r="W51" s="654">
        <f>V51+(($AG51-$AF51)/4)</f>
        <v>13</v>
      </c>
      <c r="X51" s="654">
        <f t="shared" si="40"/>
        <v>14</v>
      </c>
      <c r="Y51" s="654">
        <f t="shared" si="40"/>
        <v>15</v>
      </c>
      <c r="Z51" s="654">
        <f t="shared" si="40"/>
        <v>16</v>
      </c>
      <c r="AA51" s="654">
        <f t="shared" si="40"/>
        <v>17</v>
      </c>
      <c r="AB51" s="654"/>
      <c r="AC51" s="654">
        <f>G51</f>
        <v>0</v>
      </c>
      <c r="AD51" s="654">
        <f>K51</f>
        <v>4</v>
      </c>
      <c r="AE51" s="764">
        <f>O51</f>
        <v>5</v>
      </c>
      <c r="AF51" s="654">
        <f>S51</f>
        <v>9</v>
      </c>
      <c r="AG51" s="691">
        <v>13</v>
      </c>
      <c r="AH51" s="691">
        <v>17</v>
      </c>
      <c r="AJ51" s="1130"/>
    </row>
    <row r="52" spans="1:36" s="664" customFormat="1" ht="12.75" customHeight="1" x14ac:dyDescent="0.2">
      <c r="A52" s="1063"/>
      <c r="B52" s="1010" t="s">
        <v>13</v>
      </c>
      <c r="C52" s="720"/>
      <c r="D52" s="656">
        <v>5</v>
      </c>
      <c r="E52" s="656">
        <v>5</v>
      </c>
      <c r="F52" s="656">
        <v>5</v>
      </c>
      <c r="G52" s="656">
        <v>6</v>
      </c>
      <c r="H52" s="656">
        <v>7</v>
      </c>
      <c r="I52" s="656">
        <v>9</v>
      </c>
      <c r="J52" s="656">
        <v>11</v>
      </c>
      <c r="K52" s="656">
        <v>13</v>
      </c>
      <c r="L52" s="656">
        <v>16</v>
      </c>
      <c r="M52" s="656">
        <v>15</v>
      </c>
      <c r="N52" s="656">
        <v>18</v>
      </c>
      <c r="O52" s="656">
        <v>22</v>
      </c>
      <c r="P52" s="656">
        <v>23</v>
      </c>
      <c r="Q52" s="656">
        <v>26</v>
      </c>
      <c r="R52" s="767">
        <v>27</v>
      </c>
      <c r="S52" s="690">
        <v>31</v>
      </c>
      <c r="T52" s="654">
        <v>33</v>
      </c>
      <c r="U52" s="654">
        <v>36</v>
      </c>
      <c r="V52" s="654">
        <v>40</v>
      </c>
      <c r="W52" s="654">
        <v>40</v>
      </c>
      <c r="X52" s="654">
        <f t="shared" si="40"/>
        <v>40</v>
      </c>
      <c r="Y52" s="654">
        <f t="shared" si="40"/>
        <v>40</v>
      </c>
      <c r="Z52" s="654">
        <f t="shared" si="40"/>
        <v>40</v>
      </c>
      <c r="AA52" s="654">
        <f t="shared" si="40"/>
        <v>40</v>
      </c>
      <c r="AB52" s="654"/>
      <c r="AC52" s="654">
        <f>G52</f>
        <v>6</v>
      </c>
      <c r="AD52" s="654">
        <f>K52</f>
        <v>13</v>
      </c>
      <c r="AE52" s="764">
        <f>O52</f>
        <v>22</v>
      </c>
      <c r="AF52" s="654">
        <f>S52</f>
        <v>31</v>
      </c>
      <c r="AG52" s="691">
        <v>50</v>
      </c>
      <c r="AH52" s="691">
        <v>50</v>
      </c>
      <c r="AJ52" s="1130"/>
    </row>
    <row r="53" spans="1:36" s="664" customFormat="1" ht="15" x14ac:dyDescent="0.35">
      <c r="A53" s="1063"/>
      <c r="B53" s="1010" t="s">
        <v>14</v>
      </c>
      <c r="C53" s="720"/>
      <c r="D53" s="580">
        <v>2</v>
      </c>
      <c r="E53" s="580">
        <v>2</v>
      </c>
      <c r="F53" s="580">
        <v>2</v>
      </c>
      <c r="G53" s="580">
        <v>2</v>
      </c>
      <c r="H53" s="580">
        <v>2</v>
      </c>
      <c r="I53" s="580">
        <v>3</v>
      </c>
      <c r="J53" s="580">
        <v>3</v>
      </c>
      <c r="K53" s="580">
        <v>5</v>
      </c>
      <c r="L53" s="580">
        <v>5</v>
      </c>
      <c r="M53" s="580">
        <v>4</v>
      </c>
      <c r="N53" s="580">
        <v>5</v>
      </c>
      <c r="O53" s="580">
        <v>5</v>
      </c>
      <c r="P53" s="580">
        <v>8</v>
      </c>
      <c r="Q53" s="580">
        <v>9</v>
      </c>
      <c r="R53" s="796">
        <v>10</v>
      </c>
      <c r="S53" s="1138">
        <v>13</v>
      </c>
      <c r="T53" s="712">
        <f>S53+(($AG53-$AF53)/4)</f>
        <v>14.25</v>
      </c>
      <c r="U53" s="712">
        <f>T53+(($AG53-$AF53)/4)</f>
        <v>15.5</v>
      </c>
      <c r="V53" s="712">
        <f>U53+(($AG53-$AF53)/4)</f>
        <v>16.75</v>
      </c>
      <c r="W53" s="712">
        <f>V53+(($AG53-$AF53)/4)</f>
        <v>18</v>
      </c>
      <c r="X53" s="712">
        <f t="shared" si="40"/>
        <v>18</v>
      </c>
      <c r="Y53" s="712">
        <f t="shared" si="40"/>
        <v>18</v>
      </c>
      <c r="Z53" s="712">
        <f t="shared" si="40"/>
        <v>18</v>
      </c>
      <c r="AA53" s="712">
        <f t="shared" si="40"/>
        <v>18</v>
      </c>
      <c r="AB53" s="654"/>
      <c r="AC53" s="712">
        <f>G53</f>
        <v>2</v>
      </c>
      <c r="AD53" s="712">
        <f>K53</f>
        <v>5</v>
      </c>
      <c r="AE53" s="795">
        <f>O53</f>
        <v>5</v>
      </c>
      <c r="AF53" s="712">
        <f>S53</f>
        <v>13</v>
      </c>
      <c r="AG53" s="691">
        <v>18</v>
      </c>
      <c r="AH53" s="691">
        <f>+AG53</f>
        <v>18</v>
      </c>
      <c r="AJ53" s="1130"/>
    </row>
    <row r="54" spans="1:36" s="664" customFormat="1" ht="12.75" customHeight="1" x14ac:dyDescent="0.2">
      <c r="A54" s="1063"/>
      <c r="B54" s="1137" t="s">
        <v>550</v>
      </c>
      <c r="C54" s="1136"/>
      <c r="D54" s="1134">
        <f t="shared" ref="D54:AA54" si="41">SUM(D49:D53)</f>
        <v>9</v>
      </c>
      <c r="E54" s="1134">
        <f t="shared" si="41"/>
        <v>9</v>
      </c>
      <c r="F54" s="1134">
        <f t="shared" si="41"/>
        <v>12</v>
      </c>
      <c r="G54" s="1134">
        <f t="shared" si="41"/>
        <v>18</v>
      </c>
      <c r="H54" s="1134">
        <f t="shared" si="41"/>
        <v>24</v>
      </c>
      <c r="I54" s="1134">
        <f t="shared" si="41"/>
        <v>34</v>
      </c>
      <c r="J54" s="1134">
        <f t="shared" si="41"/>
        <v>45</v>
      </c>
      <c r="K54" s="1134">
        <f t="shared" si="41"/>
        <v>53</v>
      </c>
      <c r="L54" s="1134">
        <f t="shared" si="41"/>
        <v>61</v>
      </c>
      <c r="M54" s="1134">
        <f t="shared" si="41"/>
        <v>54</v>
      </c>
      <c r="N54" s="1134">
        <f t="shared" si="41"/>
        <v>62</v>
      </c>
      <c r="O54" s="1134">
        <f t="shared" si="41"/>
        <v>73</v>
      </c>
      <c r="P54" s="1134">
        <f t="shared" si="41"/>
        <v>81</v>
      </c>
      <c r="Q54" s="1134">
        <f t="shared" si="41"/>
        <v>98</v>
      </c>
      <c r="R54" s="1135">
        <f t="shared" si="41"/>
        <v>99</v>
      </c>
      <c r="S54" s="1134">
        <f t="shared" si="41"/>
        <v>118</v>
      </c>
      <c r="T54" s="1134">
        <f t="shared" si="41"/>
        <v>111.25</v>
      </c>
      <c r="U54" s="1134">
        <f t="shared" si="41"/>
        <v>116.5</v>
      </c>
      <c r="V54" s="1134">
        <f t="shared" si="41"/>
        <v>122.75</v>
      </c>
      <c r="W54" s="1134">
        <f t="shared" si="41"/>
        <v>125</v>
      </c>
      <c r="X54" s="1134">
        <f t="shared" si="41"/>
        <v>126</v>
      </c>
      <c r="Y54" s="1134">
        <f t="shared" si="41"/>
        <v>127</v>
      </c>
      <c r="Z54" s="1134">
        <f t="shared" si="41"/>
        <v>128</v>
      </c>
      <c r="AA54" s="1134">
        <f t="shared" si="41"/>
        <v>129</v>
      </c>
      <c r="AB54" s="1132"/>
      <c r="AC54" s="1132">
        <f t="shared" ref="AC54:AH54" si="42">SUM(AC49:AC53)</f>
        <v>18</v>
      </c>
      <c r="AD54" s="1132">
        <f t="shared" si="42"/>
        <v>53</v>
      </c>
      <c r="AE54" s="1132">
        <f t="shared" si="42"/>
        <v>73</v>
      </c>
      <c r="AF54" s="1133">
        <f t="shared" si="42"/>
        <v>118</v>
      </c>
      <c r="AG54" s="1132">
        <f t="shared" si="42"/>
        <v>135</v>
      </c>
      <c r="AH54" s="1131">
        <f t="shared" si="42"/>
        <v>139</v>
      </c>
      <c r="AI54" s="1007"/>
      <c r="AJ54" s="1130"/>
    </row>
    <row r="55" spans="1:36" ht="12.75" customHeight="1" thickBot="1" x14ac:dyDescent="0.25">
      <c r="B55" s="921"/>
      <c r="D55" s="654"/>
      <c r="E55" s="654"/>
      <c r="F55" s="654"/>
      <c r="G55" s="654"/>
      <c r="H55" s="654"/>
      <c r="I55" s="654"/>
      <c r="J55" s="654"/>
      <c r="K55" s="654"/>
      <c r="L55" s="654"/>
      <c r="M55" s="654"/>
      <c r="N55" s="654"/>
      <c r="O55" s="654"/>
      <c r="P55" s="920"/>
      <c r="Q55" s="920"/>
      <c r="R55" s="920"/>
      <c r="S55" s="654"/>
      <c r="T55" s="654"/>
      <c r="U55" s="654"/>
      <c r="V55" s="654"/>
      <c r="W55" s="654"/>
      <c r="X55" s="654"/>
      <c r="Y55" s="654"/>
      <c r="Z55" s="654"/>
      <c r="AA55" s="654"/>
    </row>
    <row r="56" spans="1:36" ht="12.75" customHeight="1" x14ac:dyDescent="0.2">
      <c r="B56" s="919" t="s">
        <v>1040</v>
      </c>
      <c r="C56" s="918"/>
      <c r="D56" s="915"/>
      <c r="E56" s="915"/>
      <c r="F56" s="915"/>
      <c r="G56" s="915"/>
      <c r="H56" s="915"/>
      <c r="I56" s="915"/>
      <c r="J56" s="915"/>
      <c r="K56" s="915"/>
      <c r="L56" s="915"/>
      <c r="M56" s="915"/>
      <c r="N56" s="915"/>
      <c r="O56" s="917"/>
      <c r="P56" s="915"/>
      <c r="Q56" s="915"/>
      <c r="R56" s="915"/>
      <c r="S56" s="915"/>
      <c r="T56" s="915"/>
      <c r="U56" s="915"/>
      <c r="V56" s="915"/>
      <c r="W56" s="915"/>
      <c r="X56" s="915"/>
      <c r="Y56" s="915"/>
      <c r="Z56" s="915"/>
      <c r="AA56" s="915"/>
      <c r="AB56" s="916"/>
      <c r="AC56" s="915"/>
      <c r="AD56" s="915"/>
      <c r="AE56" s="915"/>
      <c r="AF56" s="915"/>
      <c r="AG56" s="915"/>
      <c r="AH56" s="915"/>
    </row>
    <row r="57" spans="1:36" ht="12.75" customHeight="1" x14ac:dyDescent="0.2">
      <c r="D57" s="654"/>
      <c r="E57" s="654"/>
      <c r="F57" s="654"/>
      <c r="G57" s="654"/>
      <c r="H57" s="654"/>
      <c r="I57" s="654"/>
      <c r="J57" s="654"/>
      <c r="K57" s="654"/>
      <c r="L57" s="654"/>
      <c r="M57" s="654"/>
      <c r="N57" s="654"/>
      <c r="O57" s="1129"/>
      <c r="P57" s="654"/>
      <c r="Q57" s="654"/>
      <c r="R57" s="1129"/>
      <c r="S57" s="654"/>
      <c r="T57" s="654"/>
      <c r="U57" s="654"/>
      <c r="V57" s="654"/>
      <c r="W57" s="654"/>
      <c r="X57" s="654"/>
      <c r="Y57" s="654"/>
      <c r="Z57" s="654"/>
      <c r="AA57" s="654"/>
      <c r="AB57" s="654"/>
      <c r="AC57" s="654"/>
      <c r="AD57" s="654"/>
      <c r="AE57" s="654"/>
      <c r="AF57" s="654"/>
      <c r="AG57" s="654"/>
      <c r="AH57" s="654"/>
    </row>
    <row r="58" spans="1:36" ht="12.75" customHeight="1" x14ac:dyDescent="0.2">
      <c r="A58" s="815" t="s">
        <v>1018</v>
      </c>
      <c r="B58" s="812" t="s">
        <v>969</v>
      </c>
      <c r="C58" s="812"/>
      <c r="D58" s="812"/>
      <c r="E58" s="812"/>
      <c r="F58" s="812"/>
      <c r="G58" s="812"/>
      <c r="H58" s="812"/>
      <c r="I58" s="812"/>
      <c r="J58" s="812"/>
      <c r="K58" s="812"/>
      <c r="L58" s="812"/>
      <c r="M58" s="812"/>
      <c r="N58" s="812"/>
      <c r="O58" s="812"/>
      <c r="P58" s="812"/>
      <c r="Q58" s="812"/>
      <c r="R58" s="813"/>
      <c r="S58" s="812"/>
      <c r="T58" s="812"/>
      <c r="U58" s="812"/>
      <c r="V58" s="812"/>
      <c r="W58" s="812"/>
      <c r="X58" s="812"/>
      <c r="Y58" s="812"/>
      <c r="Z58" s="812"/>
      <c r="AA58" s="812"/>
      <c r="AB58" s="812"/>
      <c r="AC58" s="812"/>
      <c r="AD58" s="812"/>
      <c r="AE58" s="812"/>
      <c r="AF58" s="812"/>
      <c r="AG58" s="812"/>
      <c r="AH58" s="812"/>
    </row>
    <row r="59" spans="1:36" ht="12.75" customHeight="1" x14ac:dyDescent="0.2">
      <c r="A59" s="959"/>
      <c r="B59" s="637"/>
      <c r="D59" s="654"/>
      <c r="E59" s="654"/>
      <c r="F59" s="654"/>
      <c r="G59" s="654"/>
      <c r="H59" s="654"/>
      <c r="I59" s="654"/>
      <c r="J59" s="654"/>
      <c r="K59" s="654"/>
      <c r="L59" s="654"/>
      <c r="M59" s="654"/>
      <c r="N59" s="654"/>
      <c r="O59" s="1129"/>
      <c r="P59" s="654"/>
      <c r="Q59" s="654"/>
      <c r="R59" s="1129"/>
      <c r="S59" s="654"/>
      <c r="T59" s="654"/>
      <c r="U59" s="654"/>
      <c r="V59" s="654"/>
      <c r="W59" s="654"/>
      <c r="X59" s="654"/>
      <c r="Y59" s="654"/>
      <c r="Z59" s="654"/>
      <c r="AA59" s="654"/>
      <c r="AB59" s="654"/>
      <c r="AC59" s="654"/>
      <c r="AD59" s="654"/>
      <c r="AE59" s="654"/>
      <c r="AF59" s="654"/>
      <c r="AG59" s="1128">
        <v>0.35</v>
      </c>
      <c r="AH59" s="654"/>
    </row>
    <row r="60" spans="1:36" ht="12.75" customHeight="1" x14ac:dyDescent="0.2">
      <c r="B60" s="1127" t="s">
        <v>1084</v>
      </c>
      <c r="C60" s="1121"/>
      <c r="D60" s="1121"/>
      <c r="E60" s="1121"/>
      <c r="F60" s="1121"/>
      <c r="G60" s="1121"/>
      <c r="H60" s="1121"/>
      <c r="I60" s="1121"/>
      <c r="J60" s="1121"/>
      <c r="K60" s="1121"/>
      <c r="L60" s="1121"/>
      <c r="M60" s="1121"/>
      <c r="N60" s="1121"/>
      <c r="O60" s="1126"/>
      <c r="P60" s="1121"/>
      <c r="Q60" s="1121"/>
      <c r="R60" s="1125"/>
      <c r="S60" s="1121"/>
      <c r="T60" s="1121"/>
      <c r="U60" s="1121"/>
      <c r="V60" s="1121"/>
      <c r="W60" s="1121"/>
      <c r="X60" s="1121"/>
      <c r="Y60" s="1121"/>
      <c r="Z60" s="1121"/>
      <c r="AA60" s="1121"/>
      <c r="AB60" s="1121"/>
      <c r="AC60" s="1124"/>
      <c r="AD60" s="1123"/>
      <c r="AE60" s="1122"/>
      <c r="AF60" s="1121"/>
      <c r="AG60" s="1121"/>
      <c r="AH60" s="1120"/>
    </row>
    <row r="61" spans="1:36" s="664" customFormat="1" ht="12.75" customHeight="1" x14ac:dyDescent="0.2">
      <c r="A61" s="1063"/>
      <c r="B61" s="1010" t="s">
        <v>10</v>
      </c>
      <c r="C61" s="720"/>
      <c r="D61" s="1105" t="str">
        <f t="shared" ref="D61:G65" si="43">IFERROR($G22/D41,"-")</f>
        <v>-</v>
      </c>
      <c r="E61" s="1105">
        <f t="shared" si="43"/>
        <v>94.446401318491553</v>
      </c>
      <c r="F61" s="1105">
        <f t="shared" si="43"/>
        <v>47.223200659245776</v>
      </c>
      <c r="G61" s="1105">
        <f t="shared" si="43"/>
        <v>18.889280263698311</v>
      </c>
      <c r="H61" s="1105">
        <f t="shared" ref="H61:K65" si="44">IFERROR($K22/H41,"-")</f>
        <v>47.373698294366413</v>
      </c>
      <c r="I61" s="1105">
        <f t="shared" si="44"/>
        <v>34.109062771943819</v>
      </c>
      <c r="J61" s="1105">
        <f t="shared" si="44"/>
        <v>26.647705290581108</v>
      </c>
      <c r="K61" s="1105">
        <f t="shared" si="44"/>
        <v>21.864783828169113</v>
      </c>
      <c r="L61" s="1105">
        <f t="shared" ref="L61:O65" si="45">IFERROR($O22/L41,"-")</f>
        <v>28.096795374704939</v>
      </c>
      <c r="M61" s="1105">
        <f t="shared" si="45"/>
        <v>29.403623066551681</v>
      </c>
      <c r="N61" s="1105">
        <f t="shared" si="45"/>
        <v>30.837946142968836</v>
      </c>
      <c r="O61" s="1105">
        <f t="shared" si="45"/>
        <v>25.803179425749434</v>
      </c>
      <c r="P61" s="1105">
        <f t="shared" ref="P61:R66" si="46">IFERROR(P22/P41,"-")</f>
        <v>29.093003272727273</v>
      </c>
      <c r="Q61" s="1105">
        <f t="shared" si="46"/>
        <v>32.5762703125</v>
      </c>
      <c r="R61" s="1119">
        <f t="shared" si="46"/>
        <v>29.286726478873238</v>
      </c>
      <c r="S61" s="1118">
        <v>28</v>
      </c>
      <c r="T61" s="1105">
        <f>AG61/4</f>
        <v>40.147650021633922</v>
      </c>
      <c r="U61" s="1105">
        <f>T61</f>
        <v>40.147650021633922</v>
      </c>
      <c r="V61" s="1105">
        <f>U61</f>
        <v>40.147650021633922</v>
      </c>
      <c r="W61" s="1105">
        <f>V61</f>
        <v>40.147650021633922</v>
      </c>
      <c r="X61" s="1105">
        <f>AH61/4</f>
        <v>44.162415023797315</v>
      </c>
      <c r="Y61" s="1105">
        <f>X61</f>
        <v>44.162415023797315</v>
      </c>
      <c r="Z61" s="1105">
        <f>Y61</f>
        <v>44.162415023797315</v>
      </c>
      <c r="AA61" s="1105">
        <f>Z61</f>
        <v>44.162415023797315</v>
      </c>
      <c r="AB61" s="654"/>
      <c r="AC61" s="1105">
        <f>AVERAGE(D61:G61)*4</f>
        <v>214.07850965524753</v>
      </c>
      <c r="AD61" s="1105">
        <f t="shared" ref="AD61:AD66" si="47">AVERAGE(H61:K61)*4</f>
        <v>129.99525018506046</v>
      </c>
      <c r="AE61" s="1117">
        <f t="shared" ref="AE61:AE66" si="48">AVERAGE(L61:O61)*4</f>
        <v>114.14154400997489</v>
      </c>
      <c r="AF61" s="1105">
        <f t="shared" ref="AF61:AF66" si="49">AVERAGE(P61:S61)*4</f>
        <v>118.95600006410051</v>
      </c>
      <c r="AG61" s="691">
        <f>+AF61*(1+AG$59)</f>
        <v>160.59060008653569</v>
      </c>
      <c r="AH61" s="691">
        <f>+AG61*1.1</f>
        <v>176.64966009518926</v>
      </c>
    </row>
    <row r="62" spans="1:36" s="664" customFormat="1" ht="12.75" customHeight="1" x14ac:dyDescent="0.2">
      <c r="A62" s="1063"/>
      <c r="B62" s="1010" t="s">
        <v>11</v>
      </c>
      <c r="C62" s="720"/>
      <c r="D62" s="1105" t="str">
        <f t="shared" si="43"/>
        <v>-</v>
      </c>
      <c r="E62" s="1105">
        <f t="shared" si="43"/>
        <v>70.191183526364199</v>
      </c>
      <c r="F62" s="1105">
        <f t="shared" si="43"/>
        <v>46.794122350909468</v>
      </c>
      <c r="G62" s="1105">
        <f t="shared" si="43"/>
        <v>28.076473410545681</v>
      </c>
      <c r="H62" s="1105">
        <f t="shared" si="44"/>
        <v>68.990159297565029</v>
      </c>
      <c r="I62" s="1105">
        <f t="shared" si="44"/>
        <v>48.293111508295524</v>
      </c>
      <c r="J62" s="1105">
        <f t="shared" si="44"/>
        <v>30.183194692684701</v>
      </c>
      <c r="K62" s="1105">
        <f t="shared" si="44"/>
        <v>24.146555754147762</v>
      </c>
      <c r="L62" s="1105">
        <f t="shared" si="45"/>
        <v>40.278407717585146</v>
      </c>
      <c r="M62" s="1105">
        <f t="shared" si="45"/>
        <v>36.921873741119718</v>
      </c>
      <c r="N62" s="1105">
        <f t="shared" si="45"/>
        <v>35.44499879147493</v>
      </c>
      <c r="O62" s="1105">
        <f t="shared" si="45"/>
        <v>32.81944332543975</v>
      </c>
      <c r="P62" s="1105">
        <f t="shared" si="46"/>
        <v>29.243464827586205</v>
      </c>
      <c r="Q62" s="1105">
        <f t="shared" si="46"/>
        <v>30.655727428571428</v>
      </c>
      <c r="R62" s="1119">
        <f t="shared" si="46"/>
        <v>27.326949230769223</v>
      </c>
      <c r="S62" s="1118">
        <v>28</v>
      </c>
      <c r="T62" s="1105">
        <f>$AG$62/4</f>
        <v>38.888822751837814</v>
      </c>
      <c r="U62" s="1105">
        <f>$AG$62/4</f>
        <v>38.888822751837814</v>
      </c>
      <c r="V62" s="1105">
        <f>$AG$62/4</f>
        <v>38.888822751837814</v>
      </c>
      <c r="W62" s="1105">
        <f>$AG$62/4</f>
        <v>38.888822751837814</v>
      </c>
      <c r="X62" s="1105">
        <f>$AH$62/4</f>
        <v>42.777705027021597</v>
      </c>
      <c r="Y62" s="1105">
        <f>$AH$62/4</f>
        <v>42.777705027021597</v>
      </c>
      <c r="Z62" s="1105">
        <f>$AH$62/4</f>
        <v>42.777705027021597</v>
      </c>
      <c r="AA62" s="1105">
        <f>$AH$62/4</f>
        <v>42.777705027021597</v>
      </c>
      <c r="AB62" s="654"/>
      <c r="AC62" s="1105">
        <f>AVERAGE(D62:G62)*4</f>
        <v>193.41570571709246</v>
      </c>
      <c r="AD62" s="1105">
        <f t="shared" si="47"/>
        <v>171.61302125269302</v>
      </c>
      <c r="AE62" s="1117">
        <f t="shared" si="48"/>
        <v>145.46472357561953</v>
      </c>
      <c r="AF62" s="1105">
        <f t="shared" si="49"/>
        <v>115.22614148692685</v>
      </c>
      <c r="AG62" s="691">
        <f>+AF62*(1+AG$59)</f>
        <v>155.55529100735126</v>
      </c>
      <c r="AH62" s="691">
        <f>+AG62*1.1</f>
        <v>171.11082010808639</v>
      </c>
    </row>
    <row r="63" spans="1:36" s="664" customFormat="1" ht="12.75" customHeight="1" x14ac:dyDescent="0.2">
      <c r="A63" s="1063"/>
      <c r="B63" s="1010" t="s">
        <v>385</v>
      </c>
      <c r="C63" s="720"/>
      <c r="D63" s="1105" t="str">
        <f t="shared" si="43"/>
        <v>-</v>
      </c>
      <c r="E63" s="1105" t="str">
        <f t="shared" si="43"/>
        <v>-</v>
      </c>
      <c r="F63" s="1105" t="str">
        <f t="shared" si="43"/>
        <v>-</v>
      </c>
      <c r="G63" s="1105" t="str">
        <f t="shared" si="43"/>
        <v>-</v>
      </c>
      <c r="H63" s="1105" t="str">
        <f t="shared" si="44"/>
        <v>-</v>
      </c>
      <c r="I63" s="1105">
        <f t="shared" si="44"/>
        <v>97.750914767006421</v>
      </c>
      <c r="J63" s="1105">
        <f t="shared" si="44"/>
        <v>39.100365906802566</v>
      </c>
      <c r="K63" s="1105">
        <f t="shared" si="44"/>
        <v>27.928832790573264</v>
      </c>
      <c r="L63" s="1105">
        <f t="shared" si="45"/>
        <v>35.567688645399798</v>
      </c>
      <c r="M63" s="1105">
        <f t="shared" si="45"/>
        <v>35.567688645399798</v>
      </c>
      <c r="N63" s="1105">
        <f t="shared" si="45"/>
        <v>35.567688645399798</v>
      </c>
      <c r="O63" s="1105">
        <f t="shared" si="45"/>
        <v>31.615723240355376</v>
      </c>
      <c r="P63" s="1105">
        <f t="shared" si="46"/>
        <v>28.867041666666665</v>
      </c>
      <c r="Q63" s="1105">
        <f t="shared" si="46"/>
        <v>23.986124285714286</v>
      </c>
      <c r="R63" s="1119">
        <f t="shared" si="46"/>
        <v>30.054199999999998</v>
      </c>
      <c r="S63" s="1118">
        <v>29</v>
      </c>
      <c r="T63" s="1105">
        <f>$AG$63/4</f>
        <v>37.76873600892857</v>
      </c>
      <c r="U63" s="1105">
        <f>$AG$63/4</f>
        <v>37.76873600892857</v>
      </c>
      <c r="V63" s="1105">
        <f>$AG$63/4</f>
        <v>37.76873600892857</v>
      </c>
      <c r="W63" s="1105">
        <f>$AG$63/4</f>
        <v>37.76873600892857</v>
      </c>
      <c r="X63" s="1105">
        <f>$AH$63/4</f>
        <v>41.545609609821433</v>
      </c>
      <c r="Y63" s="1105">
        <f>$AH$63/4</f>
        <v>41.545609609821433</v>
      </c>
      <c r="Z63" s="1105">
        <f>$AH$63/4</f>
        <v>41.545609609821433</v>
      </c>
      <c r="AA63" s="1105">
        <f>$AH$63/4</f>
        <v>41.545609609821433</v>
      </c>
      <c r="AB63" s="654"/>
      <c r="AC63" s="1105" t="str">
        <f>IFERROR(AVERAGE(D63:G63)*4,"-")</f>
        <v>-</v>
      </c>
      <c r="AD63" s="1105">
        <f t="shared" si="47"/>
        <v>219.70681795250968</v>
      </c>
      <c r="AE63" s="1117">
        <f t="shared" si="48"/>
        <v>138.31878917655476</v>
      </c>
      <c r="AF63" s="1105">
        <f t="shared" si="49"/>
        <v>111.90736595238094</v>
      </c>
      <c r="AG63" s="691">
        <f>+AF63*(1+AG$59)</f>
        <v>151.07494403571428</v>
      </c>
      <c r="AH63" s="691">
        <f>+AG63*1.1</f>
        <v>166.18243843928573</v>
      </c>
    </row>
    <row r="64" spans="1:36" s="664" customFormat="1" ht="12.75" customHeight="1" x14ac:dyDescent="0.2">
      <c r="A64" s="1063"/>
      <c r="B64" s="1010" t="s">
        <v>13</v>
      </c>
      <c r="C64" s="720"/>
      <c r="D64" s="1105" t="str">
        <f t="shared" si="43"/>
        <v>-</v>
      </c>
      <c r="E64" s="1105">
        <f t="shared" si="43"/>
        <v>25.726853284027563</v>
      </c>
      <c r="F64" s="1105">
        <f t="shared" si="43"/>
        <v>25.726853284027563</v>
      </c>
      <c r="G64" s="1105">
        <f t="shared" si="43"/>
        <v>23.388048440025056</v>
      </c>
      <c r="H64" s="1105">
        <f t="shared" si="44"/>
        <v>64.794233849592857</v>
      </c>
      <c r="I64" s="1105">
        <f t="shared" si="44"/>
        <v>52.645315002794199</v>
      </c>
      <c r="J64" s="1105">
        <f t="shared" si="44"/>
        <v>42.116252002235356</v>
      </c>
      <c r="K64" s="1105">
        <f t="shared" si="44"/>
        <v>35.096876668529468</v>
      </c>
      <c r="L64" s="1105">
        <f t="shared" si="45"/>
        <v>55.890406143181629</v>
      </c>
      <c r="M64" s="1105">
        <f t="shared" si="45"/>
        <v>52.284573488782812</v>
      </c>
      <c r="N64" s="1105">
        <f t="shared" si="45"/>
        <v>49.115811459159609</v>
      </c>
      <c r="O64" s="1105">
        <f t="shared" si="45"/>
        <v>40.520544453806679</v>
      </c>
      <c r="P64" s="1105">
        <f t="shared" si="46"/>
        <v>37.689467555555552</v>
      </c>
      <c r="Q64" s="1105">
        <f t="shared" si="46"/>
        <v>38.689046122448985</v>
      </c>
      <c r="R64" s="1119">
        <f t="shared" si="46"/>
        <v>37.500698490566037</v>
      </c>
      <c r="S64" s="1118">
        <v>42</v>
      </c>
      <c r="T64" s="1105">
        <f>$AG$64/4</f>
        <v>52.609234106892572</v>
      </c>
      <c r="U64" s="1105">
        <f>$AG$64/4</f>
        <v>52.609234106892572</v>
      </c>
      <c r="V64" s="1105">
        <f>$AG$64/4</f>
        <v>52.609234106892572</v>
      </c>
      <c r="W64" s="1105">
        <f>$AG$64/4</f>
        <v>52.609234106892572</v>
      </c>
      <c r="X64" s="1105">
        <f>$AH$64/4</f>
        <v>57.870157517581831</v>
      </c>
      <c r="Y64" s="1105">
        <f>$AH$64/4</f>
        <v>57.870157517581831</v>
      </c>
      <c r="Z64" s="1105">
        <f>$AH$64/4</f>
        <v>57.870157517581831</v>
      </c>
      <c r="AA64" s="1105">
        <f>$AH$64/4</f>
        <v>57.870157517581831</v>
      </c>
      <c r="AB64" s="654"/>
      <c r="AC64" s="1105">
        <f>AVERAGE(D64:G64)*4</f>
        <v>99.789006677440241</v>
      </c>
      <c r="AD64" s="1105">
        <f t="shared" si="47"/>
        <v>194.65267752315188</v>
      </c>
      <c r="AE64" s="1117">
        <f t="shared" si="48"/>
        <v>197.81133554493073</v>
      </c>
      <c r="AF64" s="1105">
        <f t="shared" si="49"/>
        <v>155.87921216857058</v>
      </c>
      <c r="AG64" s="691">
        <f>+AF64*(1+AG$59)</f>
        <v>210.43693642757029</v>
      </c>
      <c r="AH64" s="691">
        <f>+AG64*1.1</f>
        <v>231.48063007032732</v>
      </c>
      <c r="AJ64" s="665"/>
    </row>
    <row r="65" spans="1:37" s="664" customFormat="1" ht="15" x14ac:dyDescent="0.35">
      <c r="A65" s="1063"/>
      <c r="B65" s="1010" t="s">
        <v>14</v>
      </c>
      <c r="C65" s="720"/>
      <c r="D65" s="1113" t="str">
        <f t="shared" si="43"/>
        <v>-</v>
      </c>
      <c r="E65" s="1113">
        <f t="shared" si="43"/>
        <v>43.497714367503242</v>
      </c>
      <c r="F65" s="1113">
        <f t="shared" si="43"/>
        <v>43.497714367503242</v>
      </c>
      <c r="G65" s="1113">
        <f t="shared" si="43"/>
        <v>43.497714367503242</v>
      </c>
      <c r="H65" s="1113">
        <f t="shared" si="44"/>
        <v>102.95043150993232</v>
      </c>
      <c r="I65" s="1113">
        <f t="shared" si="44"/>
        <v>82.360345207945855</v>
      </c>
      <c r="J65" s="1113">
        <f t="shared" si="44"/>
        <v>68.633621006621539</v>
      </c>
      <c r="K65" s="1113">
        <f t="shared" si="44"/>
        <v>51.475215754966158</v>
      </c>
      <c r="L65" s="1113">
        <f t="shared" si="45"/>
        <v>33.484997103593841</v>
      </c>
      <c r="M65" s="1113">
        <f t="shared" si="45"/>
        <v>37.205552337326488</v>
      </c>
      <c r="N65" s="1113">
        <f t="shared" si="45"/>
        <v>37.205552337326488</v>
      </c>
      <c r="O65" s="1113">
        <f t="shared" si="45"/>
        <v>33.484997103593841</v>
      </c>
      <c r="P65" s="1113">
        <f t="shared" si="46"/>
        <v>44.067544615384612</v>
      </c>
      <c r="Q65" s="1113">
        <f t="shared" si="46"/>
        <v>41.75856705882353</v>
      </c>
      <c r="R65" s="1116">
        <f t="shared" si="46"/>
        <v>36.519921052631581</v>
      </c>
      <c r="S65" s="1115">
        <v>35</v>
      </c>
      <c r="T65" s="1113">
        <f>$AG$65/4</f>
        <v>53.104286045308413</v>
      </c>
      <c r="U65" s="1113">
        <f>$AG$65/4</f>
        <v>53.104286045308413</v>
      </c>
      <c r="V65" s="1113">
        <f>$AG$65/4</f>
        <v>53.104286045308413</v>
      </c>
      <c r="W65" s="1113">
        <f>$AG$65/4</f>
        <v>53.104286045308413</v>
      </c>
      <c r="X65" s="1113">
        <f>$AH$65/4</f>
        <v>58.414714649839262</v>
      </c>
      <c r="Y65" s="1113">
        <f>$AH$65/4</f>
        <v>58.414714649839262</v>
      </c>
      <c r="Z65" s="1113">
        <f>$AH$65/4</f>
        <v>58.414714649839262</v>
      </c>
      <c r="AA65" s="1113">
        <f>$AH$65/4</f>
        <v>58.414714649839262</v>
      </c>
      <c r="AB65" s="654"/>
      <c r="AC65" s="1113">
        <f>AVERAGE(D65:G65)*4</f>
        <v>173.99085747001297</v>
      </c>
      <c r="AD65" s="1113">
        <f t="shared" si="47"/>
        <v>305.41961347946585</v>
      </c>
      <c r="AE65" s="1114">
        <f t="shared" si="48"/>
        <v>141.38109888184067</v>
      </c>
      <c r="AF65" s="1113">
        <f t="shared" si="49"/>
        <v>157.34603272683972</v>
      </c>
      <c r="AG65" s="691">
        <f>+AF65*(1+AG$59)</f>
        <v>212.41714418123365</v>
      </c>
      <c r="AH65" s="691">
        <f>+AG65*1.1</f>
        <v>233.65885859935705</v>
      </c>
    </row>
    <row r="66" spans="1:37" s="637" customFormat="1" ht="12.75" customHeight="1" x14ac:dyDescent="0.2">
      <c r="A66" s="959"/>
      <c r="B66" s="1112" t="s">
        <v>1083</v>
      </c>
      <c r="C66" s="1109"/>
      <c r="D66" s="1108">
        <f t="shared" ref="D66:K66" si="50">IFERROR(D27/D54,"-")</f>
        <v>18.153616666666665</v>
      </c>
      <c r="E66" s="1108">
        <f t="shared" si="50"/>
        <v>26.349736666666686</v>
      </c>
      <c r="F66" s="1108">
        <f t="shared" si="50"/>
        <v>20.829500833333324</v>
      </c>
      <c r="G66" s="1108">
        <f t="shared" si="50"/>
        <v>21.125960000000003</v>
      </c>
      <c r="H66" s="1108">
        <f t="shared" si="50"/>
        <v>23.91646041666667</v>
      </c>
      <c r="I66" s="1108">
        <f t="shared" si="50"/>
        <v>24.419136176470587</v>
      </c>
      <c r="J66" s="1108">
        <f t="shared" si="50"/>
        <v>23.561579333333324</v>
      </c>
      <c r="K66" s="1108">
        <f t="shared" si="50"/>
        <v>26.276285660377358</v>
      </c>
      <c r="L66" s="1108">
        <f>IFERROR(L27/L46,"-")</f>
        <v>30.518952456140344</v>
      </c>
      <c r="M66" s="1108">
        <f>IFERROR(M27/M46,"-")</f>
        <v>29.738173043478263</v>
      </c>
      <c r="N66" s="1108">
        <f>IFERROR(N27/N46,"-")</f>
        <v>31.925528793103457</v>
      </c>
      <c r="O66" s="1108">
        <f>IFERROR(O27/O46,"-")</f>
        <v>32.523659407407408</v>
      </c>
      <c r="P66" s="1108">
        <f t="shared" si="46"/>
        <v>32.879768051948055</v>
      </c>
      <c r="Q66" s="1108">
        <f t="shared" si="46"/>
        <v>34.074281564245808</v>
      </c>
      <c r="R66" s="1111">
        <f t="shared" si="46"/>
        <v>31.864655431472077</v>
      </c>
      <c r="S66" s="1110">
        <f t="shared" ref="S66:AA66" si="51">IFERROR(S27/S46,"-")</f>
        <v>32.562211981566819</v>
      </c>
      <c r="T66" s="1110">
        <f t="shared" si="51"/>
        <v>44.755353765748353</v>
      </c>
      <c r="U66" s="1110">
        <f t="shared" si="51"/>
        <v>45.186142197564102</v>
      </c>
      <c r="V66" s="1110">
        <f t="shared" si="51"/>
        <v>45.424061489549011</v>
      </c>
      <c r="W66" s="1110">
        <f t="shared" si="51"/>
        <v>45.555769263101105</v>
      </c>
      <c r="X66" s="1110">
        <f t="shared" si="51"/>
        <v>50.084444744854871</v>
      </c>
      <c r="Y66" s="1110">
        <f t="shared" si="51"/>
        <v>50.016944071850645</v>
      </c>
      <c r="Z66" s="1110">
        <f t="shared" si="51"/>
        <v>49.950502232932777</v>
      </c>
      <c r="AA66" s="1110">
        <f t="shared" si="51"/>
        <v>49.885094508239298</v>
      </c>
      <c r="AB66" s="1109"/>
      <c r="AC66" s="1108">
        <f>AVERAGE(D66:G66)*4</f>
        <v>86.458814166666684</v>
      </c>
      <c r="AD66" s="1108">
        <f t="shared" si="47"/>
        <v>98.173461586847935</v>
      </c>
      <c r="AE66" s="1107">
        <f t="shared" si="48"/>
        <v>124.70631370012947</v>
      </c>
      <c r="AF66" s="1108">
        <f t="shared" si="49"/>
        <v>131.38091702923276</v>
      </c>
      <c r="AG66" s="1108">
        <f>AVERAGE(T66:W66)*4</f>
        <v>180.92132671596258</v>
      </c>
      <c r="AH66" s="1107">
        <f>AVERAGE(X66:AA66)*4</f>
        <v>199.93698555787759</v>
      </c>
    </row>
    <row r="67" spans="1:37" ht="12.75" customHeight="1" x14ac:dyDescent="0.2">
      <c r="B67" s="1106"/>
      <c r="D67" s="1104"/>
      <c r="E67" s="1104"/>
      <c r="F67" s="1104"/>
      <c r="G67" s="1104"/>
      <c r="H67" s="1104"/>
      <c r="I67" s="1104"/>
      <c r="J67" s="1104"/>
      <c r="K67" s="1104"/>
      <c r="L67" s="1105"/>
      <c r="M67" s="1105"/>
      <c r="N67" s="1105"/>
      <c r="O67" s="1105"/>
      <c r="P67" s="1104"/>
      <c r="Q67" s="1104"/>
      <c r="R67" s="1105"/>
      <c r="S67" s="1104"/>
      <c r="T67" s="1104"/>
      <c r="U67" s="1104"/>
      <c r="V67" s="1104"/>
      <c r="W67" s="1104"/>
      <c r="X67" s="1104"/>
      <c r="Y67" s="1104"/>
      <c r="Z67" s="1104"/>
      <c r="AA67" s="1104"/>
      <c r="AB67" s="654"/>
      <c r="AC67" s="1104"/>
      <c r="AD67" s="1104"/>
      <c r="AE67" s="1104"/>
      <c r="AF67" s="1104"/>
      <c r="AG67" s="1104"/>
      <c r="AH67" s="1104"/>
    </row>
    <row r="68" spans="1:37" ht="12.75" customHeight="1" x14ac:dyDescent="0.2">
      <c r="A68" s="815" t="s">
        <v>1018</v>
      </c>
      <c r="B68" s="812" t="s">
        <v>952</v>
      </c>
      <c r="C68" s="812"/>
      <c r="D68" s="812"/>
      <c r="E68" s="812"/>
      <c r="F68" s="812"/>
      <c r="G68" s="812"/>
      <c r="H68" s="812"/>
      <c r="I68" s="812"/>
      <c r="J68" s="812"/>
      <c r="K68" s="812"/>
      <c r="L68" s="812"/>
      <c r="M68" s="812"/>
      <c r="N68" s="812"/>
      <c r="O68" s="812"/>
      <c r="P68" s="812"/>
      <c r="Q68" s="812"/>
      <c r="R68" s="813"/>
      <c r="S68" s="812"/>
      <c r="T68" s="812"/>
      <c r="U68" s="812"/>
      <c r="V68" s="812"/>
      <c r="W68" s="812"/>
      <c r="X68" s="812"/>
      <c r="Y68" s="812"/>
      <c r="Z68" s="812"/>
      <c r="AA68" s="812"/>
      <c r="AB68" s="812"/>
      <c r="AC68" s="812"/>
      <c r="AD68" s="812"/>
      <c r="AE68" s="812"/>
      <c r="AF68" s="812"/>
      <c r="AG68" s="812"/>
      <c r="AH68" s="812"/>
    </row>
    <row r="69" spans="1:37" ht="12.75" customHeight="1" x14ac:dyDescent="0.2">
      <c r="B69" s="718"/>
      <c r="D69" s="1093"/>
      <c r="E69" s="1093"/>
      <c r="F69" s="1093"/>
      <c r="G69" s="1093"/>
      <c r="H69" s="1093"/>
      <c r="I69" s="1093"/>
      <c r="J69" s="1093"/>
      <c r="K69" s="1093"/>
      <c r="L69" s="1093"/>
      <c r="M69" s="1093"/>
      <c r="N69" s="1093"/>
      <c r="O69" s="1103"/>
      <c r="P69" s="1093"/>
      <c r="Q69" s="1093"/>
      <c r="R69" s="1103"/>
      <c r="S69" s="1093"/>
      <c r="T69" s="1093"/>
      <c r="U69" s="1093"/>
      <c r="V69" s="1093"/>
      <c r="W69" s="1093"/>
      <c r="X69" s="1093"/>
      <c r="Y69" s="1093"/>
      <c r="Z69" s="1093"/>
      <c r="AA69" s="1093"/>
      <c r="AB69" s="1093"/>
      <c r="AC69" s="1093"/>
      <c r="AD69" s="1093"/>
      <c r="AE69" s="1093"/>
      <c r="AF69" s="1093"/>
      <c r="AG69" s="1093"/>
      <c r="AH69" s="1093"/>
    </row>
    <row r="70" spans="1:37" ht="12.75" customHeight="1" x14ac:dyDescent="0.2">
      <c r="B70" s="1102" t="s">
        <v>945</v>
      </c>
      <c r="C70" s="1101"/>
      <c r="D70" s="1096"/>
      <c r="E70" s="1096"/>
      <c r="F70" s="1096"/>
      <c r="G70" s="1096"/>
      <c r="H70" s="1096"/>
      <c r="I70" s="1096"/>
      <c r="J70" s="1096"/>
      <c r="K70" s="1096"/>
      <c r="L70" s="1096"/>
      <c r="M70" s="1096"/>
      <c r="N70" s="1096"/>
      <c r="O70" s="1100"/>
      <c r="P70" s="1099"/>
      <c r="Q70" s="1099"/>
      <c r="R70" s="1098"/>
      <c r="S70" s="1096"/>
      <c r="T70" s="1096"/>
      <c r="U70" s="1096"/>
      <c r="V70" s="1096"/>
      <c r="W70" s="1096"/>
      <c r="X70" s="1096"/>
      <c r="Y70" s="1096"/>
      <c r="Z70" s="1096"/>
      <c r="AA70" s="1096"/>
      <c r="AB70" s="1096"/>
      <c r="AC70" s="1096"/>
      <c r="AD70" s="1096"/>
      <c r="AE70" s="1096"/>
      <c r="AF70" s="1097"/>
      <c r="AG70" s="1096"/>
      <c r="AH70" s="1095"/>
    </row>
    <row r="71" spans="1:37" ht="12.75" customHeight="1" x14ac:dyDescent="0.2">
      <c r="B71" s="1066" t="s">
        <v>946</v>
      </c>
      <c r="D71" s="656">
        <v>3.2290900000000002</v>
      </c>
      <c r="E71" s="656">
        <v>4.7477200000000002</v>
      </c>
      <c r="F71" s="656">
        <v>6.989469999999999</v>
      </c>
      <c r="G71" s="656">
        <v>10.492569999999999</v>
      </c>
      <c r="H71" s="656">
        <v>10.910609999999998</v>
      </c>
      <c r="I71" s="656">
        <v>20.685370000000002</v>
      </c>
      <c r="J71" s="656">
        <v>18.848309999999998</v>
      </c>
      <c r="K71" s="656">
        <v>21.226380000000002</v>
      </c>
      <c r="L71" s="656">
        <v>24.888080000000002</v>
      </c>
      <c r="M71" s="656">
        <v>32.59581</v>
      </c>
      <c r="N71" s="656">
        <v>35.621589999999998</v>
      </c>
      <c r="O71" s="656">
        <v>42.492249999999999</v>
      </c>
      <c r="P71" s="656">
        <v>49.834620000000001</v>
      </c>
      <c r="Q71" s="656">
        <v>60.565049999999999</v>
      </c>
      <c r="R71" s="767">
        <v>70.376179999999991</v>
      </c>
      <c r="S71" s="654">
        <f>AF71-SUM(P71:R71)</f>
        <v>105.07031961610636</v>
      </c>
      <c r="T71" s="654">
        <f>$AG71/4</f>
        <v>112.86197101491877</v>
      </c>
      <c r="U71" s="654">
        <f>$AG71/4</f>
        <v>112.86197101491877</v>
      </c>
      <c r="V71" s="654">
        <f>$AG71/4</f>
        <v>112.86197101491877</v>
      </c>
      <c r="W71" s="654">
        <f>$AG71/4</f>
        <v>112.86197101491877</v>
      </c>
      <c r="X71" s="654">
        <f>$AH71/4</f>
        <v>140.63283864476512</v>
      </c>
      <c r="Y71" s="654">
        <f>$AH71/4</f>
        <v>140.63283864476512</v>
      </c>
      <c r="Z71" s="654">
        <f>$AH71/4</f>
        <v>140.63283864476512</v>
      </c>
      <c r="AA71" s="654">
        <f>$AH71/4</f>
        <v>140.63283864476512</v>
      </c>
      <c r="AB71" s="1093"/>
      <c r="AC71" s="654">
        <f>SUM(D71:G71)</f>
        <v>25.458849999999998</v>
      </c>
      <c r="AD71" s="654">
        <f>SUM(H71:K71)</f>
        <v>71.670670000000001</v>
      </c>
      <c r="AE71" s="654">
        <f>SUM(L71:O71)</f>
        <v>135.59773000000001</v>
      </c>
      <c r="AF71" s="1094">
        <f>'Revenue Build'!AF17*0.025</f>
        <v>285.84616961610635</v>
      </c>
      <c r="AG71" s="1094">
        <f>'Revenue Build'!AG17*0.025</f>
        <v>451.44788405967506</v>
      </c>
      <c r="AH71" s="1094">
        <f>'Revenue Build'!AH17*0.025</f>
        <v>562.53135457906046</v>
      </c>
    </row>
    <row r="72" spans="1:37" ht="15" x14ac:dyDescent="0.35">
      <c r="B72" s="1066" t="s">
        <v>944</v>
      </c>
      <c r="D72" s="580">
        <v>71.699079999999995</v>
      </c>
      <c r="E72" s="580">
        <v>67.125889999999998</v>
      </c>
      <c r="F72" s="580">
        <v>60.348479999999995</v>
      </c>
      <c r="G72" s="580">
        <v>82.997329999999991</v>
      </c>
      <c r="H72" s="580">
        <v>116.22332999999999</v>
      </c>
      <c r="I72" s="580">
        <v>155.17502000000002</v>
      </c>
      <c r="J72" s="580">
        <v>243.88778999999997</v>
      </c>
      <c r="K72" s="580">
        <v>360.03653000000003</v>
      </c>
      <c r="L72" s="580">
        <v>362.01080999999999</v>
      </c>
      <c r="M72" s="580">
        <v>327.58406000000002</v>
      </c>
      <c r="N72" s="580">
        <v>335.40727000000004</v>
      </c>
      <c r="O72" s="580">
        <v>432.25696999999997</v>
      </c>
      <c r="P72" s="580">
        <v>458.72577000000001</v>
      </c>
      <c r="Q72" s="580">
        <v>511.04390000000001</v>
      </c>
      <c r="R72" s="796">
        <v>554.82411000000002</v>
      </c>
      <c r="S72" s="712">
        <f>AF72-SUM(P72:R72)</f>
        <v>675.40621999999985</v>
      </c>
      <c r="T72" s="712">
        <f>$AG$72*0.2</f>
        <v>660</v>
      </c>
      <c r="U72" s="712">
        <f>$AG$72*0.225</f>
        <v>742.5</v>
      </c>
      <c r="V72" s="712">
        <f>$AG$72*0.275</f>
        <v>907.50000000000011</v>
      </c>
      <c r="W72" s="712">
        <f>$AG$72*0.3</f>
        <v>990</v>
      </c>
      <c r="X72" s="712">
        <f>$AH$72*0.2</f>
        <v>800</v>
      </c>
      <c r="Y72" s="712">
        <f>$AH$72*0.225</f>
        <v>900</v>
      </c>
      <c r="Z72" s="712">
        <f>$AH$72*0.275</f>
        <v>1100</v>
      </c>
      <c r="AA72" s="712">
        <f>$AH$72*0.3</f>
        <v>1200</v>
      </c>
      <c r="AB72" s="1093"/>
      <c r="AC72" s="712">
        <f>SUM(D72:G72)</f>
        <v>282.17077999999998</v>
      </c>
      <c r="AD72" s="712">
        <f>SUM(H72:K72)</f>
        <v>875.32267000000002</v>
      </c>
      <c r="AE72" s="712">
        <f>SUM(L72:O72)</f>
        <v>1457.25911</v>
      </c>
      <c r="AF72" s="691">
        <v>2200</v>
      </c>
      <c r="AG72" s="691">
        <v>3300</v>
      </c>
      <c r="AH72" s="691">
        <v>4000</v>
      </c>
    </row>
    <row r="73" spans="1:37" s="637" customFormat="1" ht="12.75" customHeight="1" x14ac:dyDescent="0.2">
      <c r="A73" s="959"/>
      <c r="B73" s="958" t="s">
        <v>1082</v>
      </c>
      <c r="C73" s="956"/>
      <c r="D73" s="954">
        <f t="shared" ref="D73:AA73" si="52">SUM(D71:D72)</f>
        <v>74.928169999999994</v>
      </c>
      <c r="E73" s="954">
        <f t="shared" si="52"/>
        <v>71.873609999999999</v>
      </c>
      <c r="F73" s="954">
        <f t="shared" si="52"/>
        <v>67.337949999999992</v>
      </c>
      <c r="G73" s="954">
        <f t="shared" si="52"/>
        <v>93.489899999999992</v>
      </c>
      <c r="H73" s="954">
        <f t="shared" si="52"/>
        <v>127.13394</v>
      </c>
      <c r="I73" s="954">
        <f t="shared" si="52"/>
        <v>175.86039000000002</v>
      </c>
      <c r="J73" s="954">
        <f t="shared" si="52"/>
        <v>262.73609999999996</v>
      </c>
      <c r="K73" s="954">
        <f t="shared" si="52"/>
        <v>381.26291000000003</v>
      </c>
      <c r="L73" s="954">
        <f t="shared" si="52"/>
        <v>386.89888999999999</v>
      </c>
      <c r="M73" s="954">
        <f t="shared" si="52"/>
        <v>360.17987000000005</v>
      </c>
      <c r="N73" s="954">
        <f t="shared" si="52"/>
        <v>371.02886000000001</v>
      </c>
      <c r="O73" s="954">
        <f t="shared" si="52"/>
        <v>474.74921999999998</v>
      </c>
      <c r="P73" s="954">
        <f t="shared" si="52"/>
        <v>508.56038999999998</v>
      </c>
      <c r="Q73" s="954">
        <f t="shared" si="52"/>
        <v>571.60895000000005</v>
      </c>
      <c r="R73" s="1019">
        <f t="shared" si="52"/>
        <v>625.20029</v>
      </c>
      <c r="S73" s="954">
        <f t="shared" si="52"/>
        <v>780.47653961610627</v>
      </c>
      <c r="T73" s="954">
        <f t="shared" si="52"/>
        <v>772.86197101491871</v>
      </c>
      <c r="U73" s="954">
        <f t="shared" si="52"/>
        <v>855.36197101491871</v>
      </c>
      <c r="V73" s="954">
        <f t="shared" si="52"/>
        <v>1020.3619710149189</v>
      </c>
      <c r="W73" s="954">
        <f t="shared" si="52"/>
        <v>1102.8619710149187</v>
      </c>
      <c r="X73" s="954">
        <f t="shared" si="52"/>
        <v>940.63283864476512</v>
      </c>
      <c r="Y73" s="954">
        <f t="shared" si="52"/>
        <v>1040.6328386447651</v>
      </c>
      <c r="Z73" s="954">
        <f t="shared" si="52"/>
        <v>1240.6328386447651</v>
      </c>
      <c r="AA73" s="954">
        <f t="shared" si="52"/>
        <v>1340.6328386447651</v>
      </c>
      <c r="AB73" s="698"/>
      <c r="AC73" s="954">
        <f t="shared" ref="AC73:AH73" si="53">SUM(AC71:AC72)</f>
        <v>307.62962999999996</v>
      </c>
      <c r="AD73" s="954">
        <f t="shared" si="53"/>
        <v>946.99333999999999</v>
      </c>
      <c r="AE73" s="954">
        <f t="shared" si="53"/>
        <v>1592.8568399999999</v>
      </c>
      <c r="AF73" s="1056">
        <f t="shared" si="53"/>
        <v>2485.8461696161062</v>
      </c>
      <c r="AG73" s="954">
        <f t="shared" si="53"/>
        <v>3751.4478840596748</v>
      </c>
      <c r="AH73" s="1055">
        <f t="shared" si="53"/>
        <v>4562.5313545790605</v>
      </c>
    </row>
    <row r="74" spans="1:37" s="568" customFormat="1" ht="12.75" customHeight="1" x14ac:dyDescent="0.2">
      <c r="A74" s="1078"/>
      <c r="B74" s="1081" t="s">
        <v>936</v>
      </c>
      <c r="C74" s="1076"/>
      <c r="D74" s="1075">
        <f>D73/'Revenue Build'!D$17</f>
        <v>0.69428283547846947</v>
      </c>
      <c r="E74" s="1075">
        <f>E73/'Revenue Build'!E$17</f>
        <v>0.31927206072678704</v>
      </c>
      <c r="F74" s="1075">
        <f>F73/'Revenue Build'!F$17</f>
        <v>0.21546391330343623</v>
      </c>
      <c r="G74" s="1075">
        <f>G73/'Revenue Build'!G$17</f>
        <v>0.2678649325519159</v>
      </c>
      <c r="H74" s="1075">
        <f>H73/'Revenue Build'!H$17</f>
        <v>0.17982746094804117</v>
      </c>
      <c r="I74" s="1075">
        <f>I73/'Revenue Build'!I$17</f>
        <v>0.20974965171508975</v>
      </c>
      <c r="J74" s="1075">
        <f>J73/'Revenue Build'!J$17</f>
        <v>0.28784144676863443</v>
      </c>
      <c r="K74" s="1075">
        <f>K73/'Revenue Build'!K$17</f>
        <v>0.37724664040960626</v>
      </c>
      <c r="L74" s="1075">
        <f>L73/'Revenue Build'!L$17</f>
        <v>0.28034086880978482</v>
      </c>
      <c r="M74" s="1075">
        <f>M73/'Revenue Build'!M$17</f>
        <v>0.23134157402402519</v>
      </c>
      <c r="N74" s="1075">
        <f>N73/'Revenue Build'!N$17</f>
        <v>0.22171358747239495</v>
      </c>
      <c r="O74" s="1075">
        <f>O73/'Revenue Build'!O$17</f>
        <v>0.23043856362861628</v>
      </c>
      <c r="P74" s="1075">
        <f>P73/'Revenue Build'!P$17</f>
        <v>0.21641549046048478</v>
      </c>
      <c r="Q74" s="1075">
        <f>Q73/'Revenue Build'!Q$17</f>
        <v>0.21810784645229758</v>
      </c>
      <c r="R74" s="1074">
        <f>R73/'Revenue Build'!R$17</f>
        <v>0.22010317623803827</v>
      </c>
      <c r="S74" s="1075">
        <f>S73/'Revenue Build'!S$17</f>
        <v>0.21544231922464155</v>
      </c>
      <c r="T74" s="1075">
        <f>T73/'Revenue Build'!T$17</f>
        <v>0.18991352538767683</v>
      </c>
      <c r="U74" s="1075">
        <f>U73/'Revenue Build'!U$17</f>
        <v>0.19656871192271166</v>
      </c>
      <c r="V74" s="1075">
        <f>V73/'Revenue Build'!V$17</f>
        <v>0.21924299388366511</v>
      </c>
      <c r="W74" s="1075">
        <f>W73/'Revenue Build'!W$17</f>
        <v>0.22133023182676745</v>
      </c>
      <c r="X74" s="1075">
        <f>X73/'Revenue Build'!X$17</f>
        <v>0.17873373891804681</v>
      </c>
      <c r="Y74" s="1075">
        <f>Y73/'Revenue Build'!Y$17</f>
        <v>0.18963178132743141</v>
      </c>
      <c r="Z74" s="1075">
        <f>Z73/'Revenue Build'!Z$17</f>
        <v>0.21632440869476971</v>
      </c>
      <c r="AA74" s="1075">
        <f>AA73/'Revenue Build'!AA$17</f>
        <v>0.22285245453714531</v>
      </c>
      <c r="AB74" s="1075"/>
      <c r="AC74" s="1075">
        <f>AC73/'Revenue Build'!AC$17</f>
        <v>0.30930512348169537</v>
      </c>
      <c r="AD74" s="1075">
        <f>AD73/'Revenue Build'!AD$17</f>
        <v>0.2730004622302214</v>
      </c>
      <c r="AE74" s="1074">
        <f>AE73/'Revenue Build'!AE$17</f>
        <v>0.23878483090020775</v>
      </c>
      <c r="AF74" s="1075">
        <f>AF73/'Revenue Build'!AF$17</f>
        <v>0.21741118421794994</v>
      </c>
      <c r="AG74" s="1075">
        <f>AG73/'Revenue Build'!AG$17</f>
        <v>0.20774534650182272</v>
      </c>
      <c r="AH74" s="1074">
        <f>AH73/'Revenue Build'!AH$17</f>
        <v>0.20276786873476507</v>
      </c>
    </row>
    <row r="75" spans="1:37" ht="12.75" customHeight="1" x14ac:dyDescent="0.2">
      <c r="B75" s="1080"/>
      <c r="C75" s="1071"/>
      <c r="D75" s="1068"/>
      <c r="E75" s="1068"/>
      <c r="F75" s="1068"/>
      <c r="G75" s="1068"/>
      <c r="H75" s="1068"/>
      <c r="I75" s="1068"/>
      <c r="J75" s="1068"/>
      <c r="K75" s="1068"/>
      <c r="L75" s="1068"/>
      <c r="M75" s="1068"/>
      <c r="N75" s="1068"/>
      <c r="O75" s="1068"/>
      <c r="P75" s="1068"/>
      <c r="Q75" s="1007"/>
      <c r="R75" s="1092"/>
      <c r="S75" s="1007"/>
      <c r="T75" s="1007"/>
      <c r="U75" s="1007"/>
      <c r="V75" s="1007"/>
      <c r="W75" s="1007"/>
      <c r="X75" s="1007"/>
      <c r="Y75" s="1007"/>
      <c r="Z75" s="1007"/>
      <c r="AA75" s="1007"/>
      <c r="AC75" s="1068"/>
      <c r="AD75" s="1085"/>
      <c r="AE75" s="1085"/>
      <c r="AF75" s="1091"/>
      <c r="AG75" s="1090"/>
      <c r="AH75" s="1089"/>
    </row>
    <row r="76" spans="1:37" ht="12.75" customHeight="1" x14ac:dyDescent="0.2">
      <c r="B76" s="1079" t="s">
        <v>10</v>
      </c>
      <c r="C76" s="1071"/>
      <c r="D76" s="1068"/>
      <c r="E76" s="1068"/>
      <c r="F76" s="1068"/>
      <c r="G76" s="1068"/>
      <c r="H76" s="1068"/>
      <c r="I76" s="1068"/>
      <c r="J76" s="1068"/>
      <c r="K76" s="1068"/>
      <c r="L76" s="1068"/>
      <c r="M76" s="1068"/>
      <c r="N76" s="1068"/>
      <c r="O76" s="1068"/>
      <c r="P76" s="1068"/>
      <c r="Q76" s="1068"/>
      <c r="R76" s="1088"/>
      <c r="S76" s="1068"/>
      <c r="T76" s="1068"/>
      <c r="U76" s="1068"/>
      <c r="V76" s="1068"/>
      <c r="W76" s="1068"/>
      <c r="X76" s="1068"/>
      <c r="Y76" s="1068"/>
      <c r="Z76" s="1068"/>
      <c r="AA76" s="1068"/>
      <c r="AC76" s="1068"/>
      <c r="AD76" s="1068"/>
      <c r="AE76" s="1068"/>
      <c r="AF76" s="1069"/>
      <c r="AG76" s="1068"/>
      <c r="AH76" s="1067"/>
    </row>
    <row r="77" spans="1:37" ht="12.75" customHeight="1" x14ac:dyDescent="0.2">
      <c r="B77" s="1066" t="s">
        <v>924</v>
      </c>
      <c r="D77" s="1065"/>
      <c r="E77" s="1065"/>
      <c r="F77" s="1065"/>
      <c r="G77" s="1065"/>
      <c r="H77" s="1065"/>
      <c r="I77" s="1065"/>
      <c r="J77" s="1065"/>
      <c r="K77" s="1065"/>
      <c r="L77" s="656">
        <v>31.661330000000003</v>
      </c>
      <c r="M77" s="656">
        <v>50.120460000000001</v>
      </c>
      <c r="N77" s="656">
        <v>25.426770000000001</v>
      </c>
      <c r="O77" s="656">
        <v>47.197089999999996</v>
      </c>
      <c r="P77" s="656">
        <v>53.863529999999997</v>
      </c>
      <c r="Q77" s="656">
        <v>71.170169999999999</v>
      </c>
      <c r="R77" s="767">
        <v>78.99248</v>
      </c>
      <c r="S77" s="654">
        <f>AF77-SUM(P77:R77)</f>
        <v>95.973819999999989</v>
      </c>
      <c r="T77" s="654">
        <f>AG77/4</f>
        <v>87.5</v>
      </c>
      <c r="U77" s="654">
        <f t="shared" ref="U77:W78" si="54">T77</f>
        <v>87.5</v>
      </c>
      <c r="V77" s="654">
        <f t="shared" si="54"/>
        <v>87.5</v>
      </c>
      <c r="W77" s="654">
        <f t="shared" si="54"/>
        <v>87.5</v>
      </c>
      <c r="X77" s="654">
        <f>AH77/4</f>
        <v>100</v>
      </c>
      <c r="Y77" s="654">
        <f t="shared" ref="Y77:AA78" si="55">X77</f>
        <v>100</v>
      </c>
      <c r="Z77" s="654">
        <f t="shared" si="55"/>
        <v>100</v>
      </c>
      <c r="AA77" s="654">
        <f t="shared" si="55"/>
        <v>100</v>
      </c>
      <c r="AC77" s="1064"/>
      <c r="AD77" s="1064"/>
      <c r="AE77" s="654">
        <f>SUM(L77:O77)</f>
        <v>154.40565000000001</v>
      </c>
      <c r="AF77" s="691">
        <v>300</v>
      </c>
      <c r="AG77" s="691">
        <v>350</v>
      </c>
      <c r="AH77" s="691">
        <v>400</v>
      </c>
    </row>
    <row r="78" spans="1:37" ht="12.75" customHeight="1" x14ac:dyDescent="0.2">
      <c r="B78" s="1066" t="s">
        <v>397</v>
      </c>
      <c r="D78" s="1065"/>
      <c r="E78" s="1065"/>
      <c r="F78" s="1065"/>
      <c r="G78" s="1065"/>
      <c r="H78" s="1065"/>
      <c r="I78" s="1065"/>
      <c r="J78" s="1065"/>
      <c r="K78" s="1065"/>
      <c r="L78" s="656">
        <v>0</v>
      </c>
      <c r="M78" s="656">
        <v>0</v>
      </c>
      <c r="N78" s="656">
        <v>0</v>
      </c>
      <c r="O78" s="656">
        <v>0</v>
      </c>
      <c r="P78" s="702">
        <v>0</v>
      </c>
      <c r="Q78" s="656">
        <v>0</v>
      </c>
      <c r="R78" s="767">
        <v>0</v>
      </c>
      <c r="S78" s="654">
        <v>0</v>
      </c>
      <c r="T78" s="654">
        <f>AG78/4</f>
        <v>62.5</v>
      </c>
      <c r="U78" s="654">
        <f t="shared" si="54"/>
        <v>62.5</v>
      </c>
      <c r="V78" s="654">
        <f t="shared" si="54"/>
        <v>62.5</v>
      </c>
      <c r="W78" s="654">
        <f t="shared" si="54"/>
        <v>62.5</v>
      </c>
      <c r="X78" s="654">
        <f>AH78/4</f>
        <v>150</v>
      </c>
      <c r="Y78" s="654">
        <f t="shared" si="55"/>
        <v>150</v>
      </c>
      <c r="Z78" s="654">
        <f t="shared" si="55"/>
        <v>150</v>
      </c>
      <c r="AA78" s="654">
        <f t="shared" si="55"/>
        <v>150</v>
      </c>
      <c r="AC78" s="1064"/>
      <c r="AD78" s="1064"/>
      <c r="AE78" s="654">
        <f>SUM(L78:O78)</f>
        <v>0</v>
      </c>
      <c r="AF78" s="691">
        <v>0</v>
      </c>
      <c r="AG78" s="691">
        <v>250</v>
      </c>
      <c r="AH78" s="691">
        <v>600</v>
      </c>
    </row>
    <row r="79" spans="1:37" ht="12.75" customHeight="1" x14ac:dyDescent="0.2">
      <c r="B79" s="1066" t="s">
        <v>928</v>
      </c>
      <c r="D79" s="1065"/>
      <c r="E79" s="1065"/>
      <c r="F79" s="1065"/>
      <c r="G79" s="1065"/>
      <c r="H79" s="1065"/>
      <c r="I79" s="1065"/>
      <c r="J79" s="1065"/>
      <c r="K79" s="1065"/>
      <c r="L79" s="656">
        <v>2.2302900000000001</v>
      </c>
      <c r="M79" s="656">
        <v>1.3193199999999998</v>
      </c>
      <c r="N79" s="656">
        <v>5.0309600000000003</v>
      </c>
      <c r="O79" s="656">
        <v>5.2960500000000001</v>
      </c>
      <c r="P79" s="656">
        <v>3.9022800000000002</v>
      </c>
      <c r="Q79" s="656">
        <v>7.4030500000000004</v>
      </c>
      <c r="R79" s="767">
        <v>4.25047</v>
      </c>
      <c r="S79" s="654">
        <f>AF79-SUM(P79:R79)</f>
        <v>9.4441999999999986</v>
      </c>
      <c r="T79" s="654">
        <f>$AG79/4</f>
        <v>12.5</v>
      </c>
      <c r="U79" s="654">
        <f>$AG$79/4</f>
        <v>12.5</v>
      </c>
      <c r="V79" s="654">
        <f>$AG$79/4</f>
        <v>12.5</v>
      </c>
      <c r="W79" s="654">
        <f>$AG$79/4</f>
        <v>12.5</v>
      </c>
      <c r="X79" s="654">
        <f>$AH79/4</f>
        <v>25</v>
      </c>
      <c r="Y79" s="654">
        <f>$AH$79/4</f>
        <v>25</v>
      </c>
      <c r="Z79" s="654">
        <f>$AH$79/4</f>
        <v>25</v>
      </c>
      <c r="AA79" s="654">
        <f>$AH$79/4</f>
        <v>25</v>
      </c>
      <c r="AC79" s="1064"/>
      <c r="AD79" s="1064"/>
      <c r="AE79" s="764">
        <f>SUM(L79:O79)</f>
        <v>13.876619999999999</v>
      </c>
      <c r="AF79" s="691">
        <v>25</v>
      </c>
      <c r="AG79" s="691">
        <v>50</v>
      </c>
      <c r="AH79" s="691">
        <v>100</v>
      </c>
      <c r="AJ79" s="689"/>
      <c r="AK79" s="689"/>
    </row>
    <row r="80" spans="1:37" ht="15" x14ac:dyDescent="0.35">
      <c r="B80" s="1066" t="s">
        <v>2</v>
      </c>
      <c r="D80" s="581"/>
      <c r="E80" s="581"/>
      <c r="F80" s="581"/>
      <c r="G80" s="581"/>
      <c r="H80" s="581"/>
      <c r="I80" s="581"/>
      <c r="J80" s="581"/>
      <c r="K80" s="581"/>
      <c r="L80" s="580">
        <v>3.8633500000000005</v>
      </c>
      <c r="M80" s="580">
        <v>0.34572000000000003</v>
      </c>
      <c r="N80" s="580">
        <v>0.40132000000000001</v>
      </c>
      <c r="O80" s="580">
        <v>1.0731199999999999</v>
      </c>
      <c r="P80" s="1061">
        <v>3.40164</v>
      </c>
      <c r="Q80" s="580">
        <v>6.3371499999999994</v>
      </c>
      <c r="R80" s="796">
        <v>18.22955</v>
      </c>
      <c r="S80" s="712">
        <f>AF80-SUM(P80:R80)</f>
        <v>17.031660000000002</v>
      </c>
      <c r="T80" s="712">
        <f>$AG80/4</f>
        <v>15</v>
      </c>
      <c r="U80" s="712">
        <f>$AG80/4</f>
        <v>15</v>
      </c>
      <c r="V80" s="712">
        <f>$AG80/4</f>
        <v>15</v>
      </c>
      <c r="W80" s="712">
        <f>$AG80/4</f>
        <v>15</v>
      </c>
      <c r="X80" s="712">
        <f>$AH80/4</f>
        <v>17.5</v>
      </c>
      <c r="Y80" s="712">
        <f>$AH80/4</f>
        <v>17.5</v>
      </c>
      <c r="Z80" s="712">
        <f>$AH80/4</f>
        <v>17.5</v>
      </c>
      <c r="AA80" s="712">
        <f>$AH80/4</f>
        <v>17.5</v>
      </c>
      <c r="AC80" s="1060"/>
      <c r="AD80" s="1060"/>
      <c r="AE80" s="712">
        <f>SUM(L80:O80)</f>
        <v>5.6835100000000001</v>
      </c>
      <c r="AF80" s="691">
        <v>45</v>
      </c>
      <c r="AG80" s="691">
        <v>60</v>
      </c>
      <c r="AH80" s="691">
        <v>70</v>
      </c>
    </row>
    <row r="81" spans="1:37" s="637" customFormat="1" ht="12.75" customHeight="1" x14ac:dyDescent="0.2">
      <c r="A81" s="959"/>
      <c r="B81" s="958" t="s">
        <v>1081</v>
      </c>
      <c r="C81" s="956"/>
      <c r="D81" s="954">
        <v>-10.058584952441345</v>
      </c>
      <c r="E81" s="954">
        <v>2.5793658162474276</v>
      </c>
      <c r="F81" s="954">
        <v>-1.3687564546339053</v>
      </c>
      <c r="G81" s="954">
        <v>5.1349149315084501</v>
      </c>
      <c r="H81" s="954">
        <v>4.2683426798269215</v>
      </c>
      <c r="I81" s="954">
        <v>46.567538103655274</v>
      </c>
      <c r="J81" s="954">
        <v>77.335272101883945</v>
      </c>
      <c r="K81" s="954">
        <v>40.318049239591112</v>
      </c>
      <c r="L81" s="954">
        <f t="shared" ref="L81:AA81" si="56">SUM(L77:L80)</f>
        <v>37.75497</v>
      </c>
      <c r="M81" s="954">
        <f t="shared" si="56"/>
        <v>51.785499999999999</v>
      </c>
      <c r="N81" s="954">
        <f t="shared" si="56"/>
        <v>30.85905</v>
      </c>
      <c r="O81" s="954">
        <f t="shared" si="56"/>
        <v>53.56626</v>
      </c>
      <c r="P81" s="954">
        <f t="shared" si="56"/>
        <v>61.167449999999995</v>
      </c>
      <c r="Q81" s="954">
        <f t="shared" si="56"/>
        <v>84.910369999999986</v>
      </c>
      <c r="R81" s="1058">
        <f t="shared" si="56"/>
        <v>101.47250000000001</v>
      </c>
      <c r="S81" s="1057">
        <f t="shared" si="56"/>
        <v>122.44967999999999</v>
      </c>
      <c r="T81" s="1057">
        <f t="shared" si="56"/>
        <v>177.5</v>
      </c>
      <c r="U81" s="1057">
        <f t="shared" si="56"/>
        <v>177.5</v>
      </c>
      <c r="V81" s="1057">
        <f t="shared" si="56"/>
        <v>177.5</v>
      </c>
      <c r="W81" s="1057">
        <f t="shared" si="56"/>
        <v>177.5</v>
      </c>
      <c r="X81" s="1057">
        <f t="shared" si="56"/>
        <v>292.5</v>
      </c>
      <c r="Y81" s="1057">
        <f t="shared" si="56"/>
        <v>292.5</v>
      </c>
      <c r="Z81" s="1057">
        <f t="shared" si="56"/>
        <v>292.5</v>
      </c>
      <c r="AA81" s="1057">
        <f t="shared" si="56"/>
        <v>292.5</v>
      </c>
      <c r="AC81" s="954">
        <f>SUM(D81:G81)</f>
        <v>-3.713060659319372</v>
      </c>
      <c r="AD81" s="954">
        <f>SUM(H81:K81)</f>
        <v>168.48920212495727</v>
      </c>
      <c r="AE81" s="954">
        <f>SUM(AE77:AE80)</f>
        <v>173.96578000000002</v>
      </c>
      <c r="AF81" s="1056">
        <f>SUM(AF77:AF80)</f>
        <v>370</v>
      </c>
      <c r="AG81" s="954">
        <f>SUM(AG77:AG80)</f>
        <v>710</v>
      </c>
      <c r="AH81" s="1055">
        <f>SUM(AH77:AH80)</f>
        <v>1170</v>
      </c>
    </row>
    <row r="82" spans="1:37" s="568" customFormat="1" ht="12.75" customHeight="1" x14ac:dyDescent="0.2">
      <c r="A82" s="1078"/>
      <c r="B82" s="1081" t="s">
        <v>936</v>
      </c>
      <c r="C82" s="1076"/>
      <c r="D82" s="791">
        <f>D81/'Revenue Build'!D$17</f>
        <v>-9.3202635026079561E-2</v>
      </c>
      <c r="E82" s="791">
        <f>E81/'Revenue Build'!E$17</f>
        <v>1.1457883352756977E-2</v>
      </c>
      <c r="F82" s="791">
        <f>F81/'Revenue Build'!F$17</f>
        <v>-4.3796643954079166E-3</v>
      </c>
      <c r="G82" s="791">
        <f>G81/'Revenue Build'!G$17</f>
        <v>1.4712430345827057E-2</v>
      </c>
      <c r="H82" s="791">
        <f>H81/'Revenue Build'!H$17</f>
        <v>6.0374533076646029E-3</v>
      </c>
      <c r="I82" s="791">
        <f>I81/'Revenue Build'!I$17</f>
        <v>5.5541358110663026E-2</v>
      </c>
      <c r="J82" s="791">
        <f>J81/'Revenue Build'!J$17</f>
        <v>8.4724925916355956E-2</v>
      </c>
      <c r="K82" s="791">
        <f>K81/'Revenue Build'!K$17</f>
        <v>3.9893334034262144E-2</v>
      </c>
      <c r="L82" s="791">
        <f>L81/'Revenue Build'!L$17</f>
        <v>2.7356659233856578E-2</v>
      </c>
      <c r="M82" s="791">
        <f>M81/'Revenue Build'!M$17</f>
        <v>3.3261545354050889E-2</v>
      </c>
      <c r="N82" s="791">
        <f>N81/'Revenue Build'!N$17</f>
        <v>1.844026548632904E-2</v>
      </c>
      <c r="O82" s="791">
        <f>O81/'Revenue Build'!O$17</f>
        <v>2.600053142447923E-2</v>
      </c>
      <c r="P82" s="791">
        <f>P81/'Revenue Build'!P$17</f>
        <v>2.602952166991845E-2</v>
      </c>
      <c r="Q82" s="791">
        <f>Q81/'Revenue Build'!Q$17</f>
        <v>3.2399104216558838E-2</v>
      </c>
      <c r="R82" s="792">
        <f>R81/'Revenue Build'!R$17</f>
        <v>3.5723623146135045E-2</v>
      </c>
      <c r="S82" s="791">
        <f>S81/'Revenue Build'!S$17</f>
        <v>3.3800943024490104E-2</v>
      </c>
      <c r="T82" s="791">
        <f>T81/'Revenue Build'!T$17</f>
        <v>4.3616650864636654E-2</v>
      </c>
      <c r="U82" s="791">
        <f>U81/'Revenue Build'!U$17</f>
        <v>4.079085527368246E-2</v>
      </c>
      <c r="V82" s="791">
        <f>V81/'Revenue Build'!V$17</f>
        <v>3.8139045279826062E-2</v>
      </c>
      <c r="W82" s="791">
        <f>W81/'Revenue Build'!W$17</f>
        <v>3.5621970093952751E-2</v>
      </c>
      <c r="X82" s="791">
        <f>X81/'Revenue Build'!X$17</f>
        <v>5.5579197839670955E-2</v>
      </c>
      <c r="Y82" s="791">
        <f>Y81/'Revenue Build'!Y$17</f>
        <v>5.330150460224737E-2</v>
      </c>
      <c r="Z82" s="791">
        <f>Z81/'Revenue Build'!Z$17</f>
        <v>5.10021076117411E-2</v>
      </c>
      <c r="AA82" s="791">
        <f>AA81/'Revenue Build'!AA$17</f>
        <v>4.8622069423578586E-2</v>
      </c>
      <c r="AB82" s="791"/>
      <c r="AC82" s="791">
        <f>AC81/'Revenue Build'!AC$17</f>
        <v>-3.733283707833357E-3</v>
      </c>
      <c r="AD82" s="791">
        <f>AD81/'Revenue Build'!AD$17</f>
        <v>4.8572284638152302E-2</v>
      </c>
      <c r="AE82" s="792">
        <f>AE81/'Revenue Build'!AE$17</f>
        <v>2.6079173166449001E-2</v>
      </c>
      <c r="AF82" s="791">
        <f>AF81/'Revenue Build'!AF$17</f>
        <v>3.2360062800291585E-2</v>
      </c>
      <c r="AG82" s="791">
        <f>AG81/'Revenue Build'!AG$17</f>
        <v>3.9317938186755795E-2</v>
      </c>
      <c r="AH82" s="792">
        <f>AH81/'Revenue Build'!AH$17</f>
        <v>5.1997101604918779E-2</v>
      </c>
    </row>
    <row r="83" spans="1:37" ht="12.75" customHeight="1" x14ac:dyDescent="0.2">
      <c r="B83" s="1080"/>
      <c r="C83" s="1071"/>
      <c r="L83" s="1068"/>
      <c r="M83" s="1068"/>
      <c r="N83" s="1068"/>
      <c r="O83" s="1068"/>
      <c r="P83" s="1068"/>
      <c r="Q83" s="1068"/>
      <c r="R83" s="1070"/>
      <c r="S83" s="1068"/>
      <c r="T83" s="1068"/>
      <c r="U83" s="1068"/>
      <c r="V83" s="1068"/>
      <c r="W83" s="1068"/>
      <c r="X83" s="1068"/>
      <c r="Y83" s="1068"/>
      <c r="Z83" s="1068"/>
      <c r="AA83" s="1068"/>
      <c r="AC83" s="1068"/>
      <c r="AD83" s="1068"/>
      <c r="AE83" s="1068"/>
      <c r="AF83" s="1069"/>
      <c r="AG83" s="1068"/>
      <c r="AH83" s="1070"/>
    </row>
    <row r="84" spans="1:37" ht="12.75" customHeight="1" x14ac:dyDescent="0.2">
      <c r="B84" s="1079" t="s">
        <v>11</v>
      </c>
      <c r="C84" s="1071"/>
      <c r="L84" s="1068"/>
      <c r="M84" s="1087"/>
      <c r="N84" s="1087"/>
      <c r="O84" s="1068"/>
      <c r="P84" s="1068"/>
      <c r="Q84" s="1068"/>
      <c r="R84" s="1070"/>
      <c r="S84" s="1068"/>
      <c r="T84" s="1068"/>
      <c r="U84" s="1068"/>
      <c r="V84" s="1068"/>
      <c r="W84" s="1068"/>
      <c r="X84" s="1068"/>
      <c r="Y84" s="1068"/>
      <c r="Z84" s="1068"/>
      <c r="AA84" s="1068"/>
      <c r="AC84" s="1068"/>
      <c r="AD84" s="1068"/>
      <c r="AE84" s="1086"/>
      <c r="AF84" s="1085"/>
      <c r="AG84" s="1085"/>
      <c r="AH84" s="1084"/>
    </row>
    <row r="85" spans="1:37" ht="12.75" customHeight="1" x14ac:dyDescent="0.2">
      <c r="B85" s="1066" t="s">
        <v>938</v>
      </c>
      <c r="D85" s="1083"/>
      <c r="E85" s="1083"/>
      <c r="F85" s="1083"/>
      <c r="G85" s="1083"/>
      <c r="H85" s="1083"/>
      <c r="I85" s="1083"/>
      <c r="J85" s="1083"/>
      <c r="K85" s="1083"/>
      <c r="L85" s="656">
        <v>184.75513999999998</v>
      </c>
      <c r="M85" s="656">
        <v>148.20392999999999</v>
      </c>
      <c r="N85" s="656">
        <v>119.96785000000001</v>
      </c>
      <c r="O85" s="656">
        <v>163.91416000000001</v>
      </c>
      <c r="P85" s="680">
        <v>178.16192999999998</v>
      </c>
      <c r="Q85" s="656">
        <v>215.93332999999998</v>
      </c>
      <c r="R85" s="767">
        <v>349.14083999999997</v>
      </c>
      <c r="S85" s="654">
        <f>AF85-SUM(P85:R85)</f>
        <v>506.76390000000015</v>
      </c>
      <c r="T85" s="654">
        <f>$AG85/4</f>
        <v>375</v>
      </c>
      <c r="U85" s="654">
        <f>$AG85/4</f>
        <v>375</v>
      </c>
      <c r="V85" s="654">
        <f>$AG85/4</f>
        <v>375</v>
      </c>
      <c r="W85" s="654">
        <f>$AG85/4</f>
        <v>375</v>
      </c>
      <c r="X85" s="654">
        <f>$AH85*0.2</f>
        <v>350</v>
      </c>
      <c r="Y85" s="654">
        <f>$AH85*0.2</f>
        <v>350</v>
      </c>
      <c r="Z85" s="654">
        <f>$AH85*0.3</f>
        <v>525</v>
      </c>
      <c r="AA85" s="654">
        <f>$AH85*0.3</f>
        <v>525</v>
      </c>
      <c r="AC85" s="1064"/>
      <c r="AD85" s="1064"/>
      <c r="AE85" s="654">
        <f>SUM(L85:O85)</f>
        <v>616.84108000000003</v>
      </c>
      <c r="AF85" s="691">
        <v>1250</v>
      </c>
      <c r="AG85" s="691">
        <v>1500</v>
      </c>
      <c r="AH85" s="691">
        <v>1750</v>
      </c>
    </row>
    <row r="86" spans="1:37" ht="12.75" customHeight="1" x14ac:dyDescent="0.2">
      <c r="B86" s="1066" t="s">
        <v>350</v>
      </c>
      <c r="D86" s="1083"/>
      <c r="E86" s="1083"/>
      <c r="F86" s="1083"/>
      <c r="G86" s="1083"/>
      <c r="H86" s="1083"/>
      <c r="I86" s="1083"/>
      <c r="J86" s="1083"/>
      <c r="K86" s="1083"/>
      <c r="L86" s="656">
        <v>86.223740000000006</v>
      </c>
      <c r="M86" s="656">
        <v>91.090990000000005</v>
      </c>
      <c r="N86" s="656">
        <v>76.805979999999991</v>
      </c>
      <c r="O86" s="656">
        <v>111.02088000000001</v>
      </c>
      <c r="P86" s="680">
        <v>124.35975999999999</v>
      </c>
      <c r="Q86" s="656">
        <v>139.23023999999998</v>
      </c>
      <c r="R86" s="767">
        <v>188.33384000000001</v>
      </c>
      <c r="S86" s="654">
        <f>AF86-SUM(P86:R86)</f>
        <v>248.07616000000002</v>
      </c>
      <c r="T86" s="654">
        <f>AG86/4</f>
        <v>200</v>
      </c>
      <c r="U86" s="654">
        <f t="shared" ref="U86:W89" si="57">$AG86/4</f>
        <v>200</v>
      </c>
      <c r="V86" s="654">
        <f t="shared" si="57"/>
        <v>200</v>
      </c>
      <c r="W86" s="654">
        <f t="shared" si="57"/>
        <v>200</v>
      </c>
      <c r="X86" s="654">
        <f t="shared" ref="X86:AA89" si="58">$AH86/4</f>
        <v>250</v>
      </c>
      <c r="Y86" s="654">
        <f t="shared" si="58"/>
        <v>250</v>
      </c>
      <c r="Z86" s="654">
        <f t="shared" si="58"/>
        <v>250</v>
      </c>
      <c r="AA86" s="654">
        <f t="shared" si="58"/>
        <v>250</v>
      </c>
      <c r="AC86" s="1064"/>
      <c r="AD86" s="1064"/>
      <c r="AE86" s="654">
        <f>SUM(L86:O86)</f>
        <v>365.14158999999995</v>
      </c>
      <c r="AF86" s="691">
        <v>700</v>
      </c>
      <c r="AG86" s="691">
        <v>800</v>
      </c>
      <c r="AH86" s="691">
        <v>1000</v>
      </c>
    </row>
    <row r="87" spans="1:37" ht="12.75" customHeight="1" x14ac:dyDescent="0.2">
      <c r="B87" s="1066" t="s">
        <v>924</v>
      </c>
      <c r="D87" s="1083"/>
      <c r="E87" s="1083"/>
      <c r="F87" s="1083"/>
      <c r="G87" s="1083"/>
      <c r="H87" s="1083"/>
      <c r="I87" s="1083"/>
      <c r="J87" s="1083"/>
      <c r="K87" s="1083"/>
      <c r="L87" s="656">
        <v>25.923169999999999</v>
      </c>
      <c r="M87" s="656">
        <v>37.887059999999998</v>
      </c>
      <c r="N87" s="656">
        <v>40.46134</v>
      </c>
      <c r="O87" s="656">
        <v>36.506879999999995</v>
      </c>
      <c r="P87" s="680">
        <v>66.092490000000012</v>
      </c>
      <c r="Q87" s="656">
        <v>60.200189999999999</v>
      </c>
      <c r="R87" s="767">
        <v>68.922850000000011</v>
      </c>
      <c r="S87" s="654">
        <f>AF87-SUM(P87:R87)</f>
        <v>79.78446999999997</v>
      </c>
      <c r="T87" s="654">
        <f>AG87/4</f>
        <v>75</v>
      </c>
      <c r="U87" s="654">
        <f t="shared" si="57"/>
        <v>75</v>
      </c>
      <c r="V87" s="654">
        <f t="shared" si="57"/>
        <v>75</v>
      </c>
      <c r="W87" s="654">
        <f t="shared" si="57"/>
        <v>75</v>
      </c>
      <c r="X87" s="654">
        <f t="shared" si="58"/>
        <v>81.25</v>
      </c>
      <c r="Y87" s="654">
        <f t="shared" si="58"/>
        <v>81.25</v>
      </c>
      <c r="Z87" s="654">
        <f t="shared" si="58"/>
        <v>81.25</v>
      </c>
      <c r="AA87" s="654">
        <f t="shared" si="58"/>
        <v>81.25</v>
      </c>
      <c r="AC87" s="1064"/>
      <c r="AD87" s="1064"/>
      <c r="AE87" s="654">
        <f>SUM(L87:O87)</f>
        <v>140.77844999999999</v>
      </c>
      <c r="AF87" s="691">
        <v>275</v>
      </c>
      <c r="AG87" s="691">
        <v>300</v>
      </c>
      <c r="AH87" s="691">
        <v>325</v>
      </c>
    </row>
    <row r="88" spans="1:37" ht="12.75" customHeight="1" x14ac:dyDescent="0.2">
      <c r="B88" s="1066" t="s">
        <v>928</v>
      </c>
      <c r="D88" s="1083"/>
      <c r="E88" s="1083"/>
      <c r="F88" s="1083"/>
      <c r="G88" s="1083"/>
      <c r="H88" s="1083"/>
      <c r="I88" s="1083"/>
      <c r="J88" s="1083"/>
      <c r="K88" s="1083"/>
      <c r="L88" s="656">
        <v>0.54601</v>
      </c>
      <c r="M88" s="656">
        <v>0.434</v>
      </c>
      <c r="N88" s="656">
        <v>0.67396</v>
      </c>
      <c r="O88" s="656">
        <v>0.51793</v>
      </c>
      <c r="P88" s="680">
        <v>1.33752</v>
      </c>
      <c r="Q88" s="656">
        <v>3.5042300000000002</v>
      </c>
      <c r="R88" s="767">
        <v>4.7164999999999999</v>
      </c>
      <c r="S88" s="654">
        <f>AF88-SUM(P88:R88)</f>
        <v>5.441749999999999</v>
      </c>
      <c r="T88" s="654">
        <f>AG88/4</f>
        <v>6.25</v>
      </c>
      <c r="U88" s="654">
        <f t="shared" si="57"/>
        <v>6.25</v>
      </c>
      <c r="V88" s="654">
        <f t="shared" si="57"/>
        <v>6.25</v>
      </c>
      <c r="W88" s="654">
        <f t="shared" si="57"/>
        <v>6.25</v>
      </c>
      <c r="X88" s="654">
        <f t="shared" si="58"/>
        <v>10</v>
      </c>
      <c r="Y88" s="654">
        <f t="shared" si="58"/>
        <v>10</v>
      </c>
      <c r="Z88" s="654">
        <f t="shared" si="58"/>
        <v>10</v>
      </c>
      <c r="AA88" s="654">
        <f t="shared" si="58"/>
        <v>10</v>
      </c>
      <c r="AC88" s="1064"/>
      <c r="AD88" s="1064"/>
      <c r="AE88" s="654">
        <f>SUM(L88:O88)</f>
        <v>2.1718999999999999</v>
      </c>
      <c r="AF88" s="691">
        <v>15</v>
      </c>
      <c r="AG88" s="691">
        <v>25</v>
      </c>
      <c r="AH88" s="691">
        <v>40</v>
      </c>
      <c r="AJ88" s="689"/>
      <c r="AK88" s="689"/>
    </row>
    <row r="89" spans="1:37" ht="15" x14ac:dyDescent="0.35">
      <c r="B89" s="1066" t="s">
        <v>2</v>
      </c>
      <c r="D89" s="1082"/>
      <c r="E89" s="1082"/>
      <c r="F89" s="1082"/>
      <c r="G89" s="1082"/>
      <c r="H89" s="1082"/>
      <c r="I89" s="1082"/>
      <c r="J89" s="1082"/>
      <c r="K89" s="1082"/>
      <c r="L89" s="580">
        <v>1.4149400000000001</v>
      </c>
      <c r="M89" s="580">
        <v>0.24827000000000002</v>
      </c>
      <c r="N89" s="580">
        <v>0.31900000000000001</v>
      </c>
      <c r="O89" s="580">
        <v>0.41476999999999997</v>
      </c>
      <c r="P89" s="1061">
        <v>2.3293699999999999</v>
      </c>
      <c r="Q89" s="1061">
        <v>1.58924</v>
      </c>
      <c r="R89" s="796">
        <v>4.8701400000000001</v>
      </c>
      <c r="S89" s="712">
        <f>AF89-SUM(P89:R89)</f>
        <v>6.2112499999999997</v>
      </c>
      <c r="T89" s="712">
        <f>AG89/4</f>
        <v>6.25</v>
      </c>
      <c r="U89" s="712">
        <f t="shared" si="57"/>
        <v>6.25</v>
      </c>
      <c r="V89" s="712">
        <f t="shared" si="57"/>
        <v>6.25</v>
      </c>
      <c r="W89" s="712">
        <f t="shared" si="57"/>
        <v>6.25</v>
      </c>
      <c r="X89" s="712">
        <f t="shared" si="58"/>
        <v>12.5</v>
      </c>
      <c r="Y89" s="712">
        <f t="shared" si="58"/>
        <v>12.5</v>
      </c>
      <c r="Z89" s="712">
        <f t="shared" si="58"/>
        <v>12.5</v>
      </c>
      <c r="AA89" s="712">
        <f t="shared" si="58"/>
        <v>12.5</v>
      </c>
      <c r="AC89" s="1060"/>
      <c r="AD89" s="1060"/>
      <c r="AE89" s="712">
        <f>SUM(L89:O89)</f>
        <v>2.3969800000000001</v>
      </c>
      <c r="AF89" s="691">
        <v>15</v>
      </c>
      <c r="AG89" s="691">
        <v>25</v>
      </c>
      <c r="AH89" s="691">
        <v>50</v>
      </c>
    </row>
    <row r="90" spans="1:37" s="637" customFormat="1" ht="12.75" customHeight="1" x14ac:dyDescent="0.2">
      <c r="A90" s="959"/>
      <c r="B90" s="958" t="s">
        <v>1080</v>
      </c>
      <c r="C90" s="956"/>
      <c r="D90" s="955">
        <v>27.591858262523782</v>
      </c>
      <c r="E90" s="955">
        <v>99.087787883463662</v>
      </c>
      <c r="F90" s="955">
        <v>112.28931198600651</v>
      </c>
      <c r="G90" s="955">
        <v>359.39904022363578</v>
      </c>
      <c r="H90" s="955">
        <v>288.70759377467846</v>
      </c>
      <c r="I90" s="955">
        <v>344.23153932030101</v>
      </c>
      <c r="J90" s="955">
        <v>411.33370946468818</v>
      </c>
      <c r="K90" s="955">
        <v>673.77636764370754</v>
      </c>
      <c r="L90" s="954">
        <f t="shared" ref="L90:AA90" si="59">SUM(L85:L89)</f>
        <v>298.86300000000006</v>
      </c>
      <c r="M90" s="954">
        <f t="shared" si="59"/>
        <v>277.86425000000003</v>
      </c>
      <c r="N90" s="954">
        <f t="shared" si="59"/>
        <v>238.22812999999999</v>
      </c>
      <c r="O90" s="954">
        <f t="shared" si="59"/>
        <v>312.37461999999994</v>
      </c>
      <c r="P90" s="954">
        <f t="shared" si="59"/>
        <v>372.28106999999994</v>
      </c>
      <c r="Q90" s="954">
        <f t="shared" si="59"/>
        <v>420.45722999999998</v>
      </c>
      <c r="R90" s="1058">
        <f t="shared" si="59"/>
        <v>615.98417000000006</v>
      </c>
      <c r="S90" s="1057">
        <f t="shared" si="59"/>
        <v>846.27753000000007</v>
      </c>
      <c r="T90" s="1057">
        <f t="shared" si="59"/>
        <v>662.5</v>
      </c>
      <c r="U90" s="1057">
        <f t="shared" si="59"/>
        <v>662.5</v>
      </c>
      <c r="V90" s="1057">
        <f t="shared" si="59"/>
        <v>662.5</v>
      </c>
      <c r="W90" s="1057">
        <f t="shared" si="59"/>
        <v>662.5</v>
      </c>
      <c r="X90" s="1057">
        <f t="shared" si="59"/>
        <v>703.75</v>
      </c>
      <c r="Y90" s="1057">
        <f t="shared" si="59"/>
        <v>703.75</v>
      </c>
      <c r="Z90" s="1057">
        <f t="shared" si="59"/>
        <v>878.75</v>
      </c>
      <c r="AA90" s="1057">
        <f t="shared" si="59"/>
        <v>878.75</v>
      </c>
      <c r="AC90" s="954">
        <f>SUM(D90:G90)</f>
        <v>598.36799835562977</v>
      </c>
      <c r="AD90" s="954">
        <f>SUM(H90:K90)</f>
        <v>1718.0492102033752</v>
      </c>
      <c r="AE90" s="954">
        <f>SUM(AE85:AE89)</f>
        <v>1127.33</v>
      </c>
      <c r="AF90" s="1056">
        <f>SUM(AF85:AF89)</f>
        <v>2255</v>
      </c>
      <c r="AG90" s="954">
        <f>SUM(AG85:AG89)</f>
        <v>2650</v>
      </c>
      <c r="AH90" s="1055">
        <f>SUM(AH85:AH89)</f>
        <v>3165</v>
      </c>
    </row>
    <row r="91" spans="1:37" s="568" customFormat="1" ht="12.75" customHeight="1" x14ac:dyDescent="0.2">
      <c r="A91" s="1078"/>
      <c r="B91" s="1081" t="s">
        <v>936</v>
      </c>
      <c r="C91" s="1076"/>
      <c r="D91" s="1075">
        <f>D90/'Revenue Build'!D$17</f>
        <v>0.25566557398405765</v>
      </c>
      <c r="E91" s="1075">
        <f>E90/'Revenue Build'!E$17</f>
        <v>0.44016103031992138</v>
      </c>
      <c r="F91" s="1075">
        <f>F90/'Revenue Build'!F$17</f>
        <v>0.35929657173488966</v>
      </c>
      <c r="G91" s="1075">
        <f>G90/'Revenue Build'!G$17</f>
        <v>1.0297411770547142</v>
      </c>
      <c r="H91" s="1075">
        <f>H90/'Revenue Build'!H$17</f>
        <v>0.40836894966771997</v>
      </c>
      <c r="I91" s="1075">
        <f>I90/'Revenue Build'!I$17</f>
        <v>0.41056684499438645</v>
      </c>
      <c r="J91" s="1075">
        <f>J90/'Revenue Build'!J$17</f>
        <v>0.45063807385823645</v>
      </c>
      <c r="K91" s="1075">
        <f>K90/'Revenue Build'!K$17</f>
        <v>0.66667872592426147</v>
      </c>
      <c r="L91" s="1075">
        <f>L90/'Revenue Build'!L$17</f>
        <v>0.21655144338899171</v>
      </c>
      <c r="M91" s="1075">
        <f>M90/'Revenue Build'!M$17</f>
        <v>0.17847069843188415</v>
      </c>
      <c r="N91" s="1075">
        <f>N90/'Revenue Build'!N$17</f>
        <v>0.14235661705437166</v>
      </c>
      <c r="O91" s="1075">
        <f>O90/'Revenue Build'!O$17</f>
        <v>0.15162354294512545</v>
      </c>
      <c r="P91" s="1075">
        <f>P90/'Revenue Build'!P$17</f>
        <v>0.1584224645438943</v>
      </c>
      <c r="Q91" s="1075">
        <f>Q90/'Revenue Build'!Q$17</f>
        <v>0.16043314395374383</v>
      </c>
      <c r="R91" s="1074">
        <f>R90/'Revenue Build'!R$17</f>
        <v>0.21685862034605222</v>
      </c>
      <c r="S91" s="1075">
        <f>S90/'Revenue Build'!S$17</f>
        <v>0.23360598879830655</v>
      </c>
      <c r="T91" s="1075">
        <f>T90/'Revenue Build'!T$17</f>
        <v>0.16279454195955934</v>
      </c>
      <c r="U91" s="1075">
        <f>U90/'Revenue Build'!U$17</f>
        <v>0.15224755841585705</v>
      </c>
      <c r="V91" s="1075">
        <f>V90/'Revenue Build'!V$17</f>
        <v>0.14234995773456205</v>
      </c>
      <c r="W91" s="1075">
        <f>W90/'Revenue Build'!W$17</f>
        <v>0.13295524049151378</v>
      </c>
      <c r="X91" s="1075">
        <f>X90/'Revenue Build'!X$17</f>
        <v>0.13372259993049038</v>
      </c>
      <c r="Y91" s="1075">
        <f>Y90/'Revenue Build'!Y$17</f>
        <v>0.12824250893617636</v>
      </c>
      <c r="Z91" s="1075">
        <f>Z90/'Revenue Build'!Z$17</f>
        <v>0.15322428056005979</v>
      </c>
      <c r="AA91" s="1075">
        <f>AA90/'Revenue Build'!AA$17</f>
        <v>0.14607399489220405</v>
      </c>
      <c r="AB91" s="1075"/>
      <c r="AC91" s="1075">
        <f>AC90/'Revenue Build'!AC$17</f>
        <v>0.60162698768282818</v>
      </c>
      <c r="AD91" s="1075">
        <f>AD90/'Revenue Build'!AD$17</f>
        <v>0.49528144360528265</v>
      </c>
      <c r="AE91" s="1074">
        <f>AE90/'Revenue Build'!AE$17</f>
        <v>0.16899780109474949</v>
      </c>
      <c r="AF91" s="1075">
        <f>AF90/'Revenue Build'!AF$17</f>
        <v>0.1972214638233987</v>
      </c>
      <c r="AG91" s="1075">
        <f>AG90/'Revenue Build'!AG$17</f>
        <v>0.14675005097873642</v>
      </c>
      <c r="AH91" s="1074">
        <f>AH90/'Revenue Build'!AH$17</f>
        <v>0.14065882613638286</v>
      </c>
    </row>
    <row r="92" spans="1:37" ht="12.75" customHeight="1" x14ac:dyDescent="0.2">
      <c r="B92" s="1080"/>
      <c r="C92" s="1071"/>
      <c r="L92" s="1068"/>
      <c r="M92" s="1068"/>
      <c r="N92" s="1068"/>
      <c r="O92" s="1068"/>
      <c r="P92" s="1068"/>
      <c r="Q92" s="1068"/>
      <c r="R92" s="1070"/>
      <c r="S92" s="1068"/>
      <c r="T92" s="1068"/>
      <c r="U92" s="1068"/>
      <c r="V92" s="1068"/>
      <c r="W92" s="1068"/>
      <c r="X92" s="1068"/>
      <c r="Y92" s="1068"/>
      <c r="Z92" s="1068"/>
      <c r="AA92" s="1068"/>
      <c r="AC92" s="1068"/>
      <c r="AD92" s="1068"/>
      <c r="AE92" s="1068"/>
      <c r="AF92" s="1069"/>
      <c r="AG92" s="1068"/>
      <c r="AH92" s="1067"/>
    </row>
    <row r="93" spans="1:37" ht="12.75" customHeight="1" x14ac:dyDescent="0.2">
      <c r="B93" s="1079" t="s">
        <v>385</v>
      </c>
      <c r="C93" s="1071"/>
      <c r="L93" s="1068"/>
      <c r="M93" s="1068"/>
      <c r="N93" s="1068"/>
      <c r="O93" s="1068"/>
      <c r="P93" s="1068"/>
      <c r="Q93" s="1068"/>
      <c r="R93" s="1070"/>
      <c r="S93" s="1068"/>
      <c r="T93" s="1068"/>
      <c r="U93" s="1068"/>
      <c r="V93" s="1068"/>
      <c r="W93" s="1068"/>
      <c r="X93" s="1068"/>
      <c r="Y93" s="1068"/>
      <c r="Z93" s="1068"/>
      <c r="AA93" s="1068"/>
      <c r="AC93" s="1068"/>
      <c r="AD93" s="1068"/>
      <c r="AE93" s="1068"/>
      <c r="AF93" s="1069"/>
      <c r="AG93" s="1068"/>
      <c r="AH93" s="1067"/>
    </row>
    <row r="94" spans="1:37" ht="12.75" customHeight="1" x14ac:dyDescent="0.35">
      <c r="B94" s="1066" t="s">
        <v>924</v>
      </c>
      <c r="C94" s="1071"/>
      <c r="D94" s="1060"/>
      <c r="E94" s="1060"/>
      <c r="F94" s="1060"/>
      <c r="G94" s="1060"/>
      <c r="H94" s="1060"/>
      <c r="I94" s="1060"/>
      <c r="J94" s="1060"/>
      <c r="K94" s="1060"/>
      <c r="L94" s="656">
        <v>8.8651</v>
      </c>
      <c r="M94" s="656">
        <v>7.7273000000000005</v>
      </c>
      <c r="N94" s="656">
        <v>13.017469999999999</v>
      </c>
      <c r="O94" s="656">
        <v>11.314159999999999</v>
      </c>
      <c r="P94" s="656">
        <v>12.515849999999999</v>
      </c>
      <c r="Q94" s="656">
        <v>15.831910000000001</v>
      </c>
      <c r="R94" s="767">
        <v>13.8399</v>
      </c>
      <c r="S94" s="654">
        <f>AF94-SUM(P94:R94)</f>
        <v>17.812339999999999</v>
      </c>
      <c r="T94" s="654">
        <f t="shared" ref="T94:W96" si="60">$AG94/4</f>
        <v>25</v>
      </c>
      <c r="U94" s="654">
        <f t="shared" si="60"/>
        <v>25</v>
      </c>
      <c r="V94" s="654">
        <f t="shared" si="60"/>
        <v>25</v>
      </c>
      <c r="W94" s="654">
        <f t="shared" si="60"/>
        <v>25</v>
      </c>
      <c r="X94" s="654">
        <f t="shared" ref="X94:AA96" si="61">$AH94/4</f>
        <v>31.25</v>
      </c>
      <c r="Y94" s="654">
        <f t="shared" si="61"/>
        <v>31.25</v>
      </c>
      <c r="Z94" s="654">
        <f t="shared" si="61"/>
        <v>31.25</v>
      </c>
      <c r="AA94" s="654">
        <f t="shared" si="61"/>
        <v>31.25</v>
      </c>
      <c r="AC94" s="1060"/>
      <c r="AD94" s="1060"/>
      <c r="AE94" s="654">
        <f>SUM(L94:O94)</f>
        <v>40.924030000000002</v>
      </c>
      <c r="AF94" s="691">
        <v>60</v>
      </c>
      <c r="AG94" s="691">
        <v>100</v>
      </c>
      <c r="AH94" s="691">
        <v>125</v>
      </c>
    </row>
    <row r="95" spans="1:37" ht="12.75" customHeight="1" x14ac:dyDescent="0.35">
      <c r="B95" s="1066" t="s">
        <v>928</v>
      </c>
      <c r="C95" s="1071"/>
      <c r="D95" s="1060"/>
      <c r="E95" s="1060"/>
      <c r="F95" s="1060"/>
      <c r="G95" s="1060"/>
      <c r="H95" s="1060"/>
      <c r="I95" s="1060"/>
      <c r="J95" s="1060"/>
      <c r="K95" s="1060"/>
      <c r="L95" s="656">
        <v>0.29982999999999999</v>
      </c>
      <c r="M95" s="656">
        <v>0</v>
      </c>
      <c r="N95" s="656">
        <v>0.32342000000000004</v>
      </c>
      <c r="O95" s="656">
        <v>0.46006999999999998</v>
      </c>
      <c r="P95" s="656">
        <v>0.19961999999999999</v>
      </c>
      <c r="Q95" s="656">
        <v>0.34026999999999996</v>
      </c>
      <c r="R95" s="767">
        <v>0.21246000000000001</v>
      </c>
      <c r="S95" s="654">
        <f>AF95-SUM(P95:R95)</f>
        <v>9.2476500000000001</v>
      </c>
      <c r="T95" s="654">
        <f t="shared" si="60"/>
        <v>7.5</v>
      </c>
      <c r="U95" s="654">
        <f t="shared" si="60"/>
        <v>7.5</v>
      </c>
      <c r="V95" s="654">
        <f t="shared" si="60"/>
        <v>7.5</v>
      </c>
      <c r="W95" s="654">
        <f t="shared" si="60"/>
        <v>7.5</v>
      </c>
      <c r="X95" s="654">
        <f t="shared" si="61"/>
        <v>10</v>
      </c>
      <c r="Y95" s="654">
        <f t="shared" si="61"/>
        <v>10</v>
      </c>
      <c r="Z95" s="654">
        <f t="shared" si="61"/>
        <v>10</v>
      </c>
      <c r="AA95" s="654">
        <f t="shared" si="61"/>
        <v>10</v>
      </c>
      <c r="AC95" s="1060"/>
      <c r="AD95" s="1060"/>
      <c r="AE95" s="654">
        <f>SUM(L95:O95)</f>
        <v>1.0833200000000001</v>
      </c>
      <c r="AF95" s="691">
        <v>10</v>
      </c>
      <c r="AG95" s="691">
        <v>30</v>
      </c>
      <c r="AH95" s="691">
        <v>40</v>
      </c>
      <c r="AJ95" s="689"/>
      <c r="AK95" s="689"/>
    </row>
    <row r="96" spans="1:37" ht="15" x14ac:dyDescent="0.35">
      <c r="B96" s="1066" t="s">
        <v>2</v>
      </c>
      <c r="D96" s="581"/>
      <c r="E96" s="581"/>
      <c r="F96" s="581"/>
      <c r="G96" s="581"/>
      <c r="H96" s="581"/>
      <c r="I96" s="581"/>
      <c r="J96" s="581"/>
      <c r="K96" s="581"/>
      <c r="L96" s="1061">
        <v>1.78895</v>
      </c>
      <c r="M96" s="1061">
        <v>4.5630000000000004E-2</v>
      </c>
      <c r="N96" s="1061">
        <v>5.7329999999999999E-2</v>
      </c>
      <c r="O96" s="1061">
        <v>0.96401999999999999</v>
      </c>
      <c r="P96" s="1061">
        <v>0.95568000000000008</v>
      </c>
      <c r="Q96" s="580">
        <v>0.29560000000000003</v>
      </c>
      <c r="R96" s="796">
        <v>0.12523000000000001</v>
      </c>
      <c r="S96" s="712">
        <f>AF96-SUM(P96:R96)</f>
        <v>8.6234900000000003</v>
      </c>
      <c r="T96" s="712">
        <f t="shared" si="60"/>
        <v>3.75</v>
      </c>
      <c r="U96" s="712">
        <f t="shared" si="60"/>
        <v>3.75</v>
      </c>
      <c r="V96" s="712">
        <f t="shared" si="60"/>
        <v>3.75</v>
      </c>
      <c r="W96" s="712">
        <f t="shared" si="60"/>
        <v>3.75</v>
      </c>
      <c r="X96" s="712">
        <f t="shared" si="61"/>
        <v>5</v>
      </c>
      <c r="Y96" s="712">
        <f t="shared" si="61"/>
        <v>5</v>
      </c>
      <c r="Z96" s="712">
        <f t="shared" si="61"/>
        <v>5</v>
      </c>
      <c r="AA96" s="712">
        <f t="shared" si="61"/>
        <v>5</v>
      </c>
      <c r="AC96" s="1060"/>
      <c r="AD96" s="1060"/>
      <c r="AE96" s="712">
        <f>SUM(L96:O96)</f>
        <v>2.8559300000000003</v>
      </c>
      <c r="AF96" s="691">
        <v>10</v>
      </c>
      <c r="AG96" s="691">
        <v>15</v>
      </c>
      <c r="AH96" s="691">
        <v>20</v>
      </c>
    </row>
    <row r="97" spans="1:37" s="637" customFormat="1" ht="12.75" customHeight="1" x14ac:dyDescent="0.2">
      <c r="A97" s="959"/>
      <c r="B97" s="958" t="s">
        <v>1079</v>
      </c>
      <c r="C97" s="956"/>
      <c r="D97" s="954">
        <v>2.3110999999999997</v>
      </c>
      <c r="E97" s="954">
        <v>2.7928199999999999</v>
      </c>
      <c r="F97" s="954">
        <v>3.3035999999999999</v>
      </c>
      <c r="G97" s="954">
        <v>3.8150999999999993</v>
      </c>
      <c r="H97" s="954">
        <v>4.8380999999999998</v>
      </c>
      <c r="I97" s="954">
        <v>-12.32642306562648</v>
      </c>
      <c r="J97" s="954">
        <v>5.8773888320919792</v>
      </c>
      <c r="K97" s="954">
        <v>-3.9214706929323584</v>
      </c>
      <c r="L97" s="954">
        <f t="shared" ref="L97:AA97" si="62">SUM(L94:L96)</f>
        <v>10.95388</v>
      </c>
      <c r="M97" s="954">
        <f t="shared" si="62"/>
        <v>7.7729300000000006</v>
      </c>
      <c r="N97" s="954">
        <f t="shared" si="62"/>
        <v>13.39822</v>
      </c>
      <c r="O97" s="954">
        <f t="shared" si="62"/>
        <v>12.738249999999999</v>
      </c>
      <c r="P97" s="954">
        <f t="shared" si="62"/>
        <v>13.671149999999997</v>
      </c>
      <c r="Q97" s="954">
        <f t="shared" si="62"/>
        <v>16.467780000000001</v>
      </c>
      <c r="R97" s="1019">
        <f t="shared" si="62"/>
        <v>14.17759</v>
      </c>
      <c r="S97" s="954">
        <f t="shared" si="62"/>
        <v>35.683480000000003</v>
      </c>
      <c r="T97" s="954">
        <f t="shared" si="62"/>
        <v>36.25</v>
      </c>
      <c r="U97" s="954">
        <f t="shared" si="62"/>
        <v>36.25</v>
      </c>
      <c r="V97" s="954">
        <f t="shared" si="62"/>
        <v>36.25</v>
      </c>
      <c r="W97" s="954">
        <f t="shared" si="62"/>
        <v>36.25</v>
      </c>
      <c r="X97" s="954">
        <f t="shared" si="62"/>
        <v>46.25</v>
      </c>
      <c r="Y97" s="954">
        <f t="shared" si="62"/>
        <v>46.25</v>
      </c>
      <c r="Z97" s="954">
        <f t="shared" si="62"/>
        <v>46.25</v>
      </c>
      <c r="AA97" s="954">
        <f t="shared" si="62"/>
        <v>46.25</v>
      </c>
      <c r="AC97" s="954">
        <f>SUM(D97:G97)</f>
        <v>12.222619999999999</v>
      </c>
      <c r="AD97" s="954">
        <f>SUM(H97:K97)</f>
        <v>-5.5324049264668602</v>
      </c>
      <c r="AE97" s="954">
        <f>SUM(AE94:AE96)</f>
        <v>44.863280000000003</v>
      </c>
      <c r="AF97" s="1056">
        <f>SUM(AF94:AF96)</f>
        <v>80</v>
      </c>
      <c r="AG97" s="954">
        <f>SUM(AG94:AG96)</f>
        <v>145</v>
      </c>
      <c r="AH97" s="1055">
        <f>SUM(AH94:AH96)</f>
        <v>185</v>
      </c>
    </row>
    <row r="98" spans="1:37" s="568" customFormat="1" ht="12.75" customHeight="1" x14ac:dyDescent="0.2">
      <c r="A98" s="1078"/>
      <c r="B98" s="1081" t="s">
        <v>936</v>
      </c>
      <c r="C98" s="1076"/>
      <c r="D98" s="791">
        <f>D97/'Revenue Build'!D$17</f>
        <v>2.1414603627371263E-2</v>
      </c>
      <c r="E98" s="791">
        <f>E97/'Revenue Build'!E$17</f>
        <v>1.2406075006375573E-2</v>
      </c>
      <c r="F98" s="791">
        <f>F97/'Revenue Build'!F$17</f>
        <v>1.0570660140221554E-2</v>
      </c>
      <c r="G98" s="791">
        <f>G97/'Revenue Build'!G$17</f>
        <v>1.0930929481995534E-2</v>
      </c>
      <c r="H98" s="791">
        <f>H97/'Revenue Build'!H$17</f>
        <v>6.8433593642478006E-3</v>
      </c>
      <c r="I98" s="791">
        <f>I97/'Revenue Build'!I$17</f>
        <v>-1.4701792398549797E-2</v>
      </c>
      <c r="J98" s="791">
        <f>J97/'Revenue Build'!J$17</f>
        <v>6.4389937456298171E-3</v>
      </c>
      <c r="K98" s="791">
        <f>K97/'Revenue Build'!K$17</f>
        <v>-3.8801614465290178E-3</v>
      </c>
      <c r="L98" s="791">
        <f>L97/'Revenue Build'!L$17</f>
        <v>7.9370096823956401E-3</v>
      </c>
      <c r="M98" s="791">
        <f>M97/'Revenue Build'!M$17</f>
        <v>4.9925107168775585E-3</v>
      </c>
      <c r="N98" s="791">
        <f>N97/'Revenue Build'!N$17</f>
        <v>8.0062974668450096E-3</v>
      </c>
      <c r="O98" s="791">
        <f>O97/'Revenue Build'!O$17</f>
        <v>6.1830202335924241E-3</v>
      </c>
      <c r="P98" s="791">
        <f>P97/'Revenue Build'!P$17</f>
        <v>5.817693809006352E-3</v>
      </c>
      <c r="Q98" s="791">
        <f>Q97/'Revenue Build'!Q$17</f>
        <v>6.2835825640067686E-3</v>
      </c>
      <c r="R98" s="792">
        <f>R97/'Revenue Build'!R$17</f>
        <v>4.9912526278589045E-3</v>
      </c>
      <c r="S98" s="791">
        <f>S97/'Revenue Build'!S$17</f>
        <v>9.8500483986200087E-3</v>
      </c>
      <c r="T98" s="791">
        <f>T97/'Revenue Build'!T$17</f>
        <v>8.9076258808060763E-3</v>
      </c>
      <c r="U98" s="791">
        <f>U97/'Revenue Build'!U$17</f>
        <v>8.3305267812450092E-3</v>
      </c>
      <c r="V98" s="791">
        <f>V97/'Revenue Build'!V$17</f>
        <v>7.788959951513773E-3</v>
      </c>
      <c r="W98" s="791">
        <f>W97/'Revenue Build'!W$17</f>
        <v>7.2749093853847167E-3</v>
      </c>
      <c r="X98" s="791">
        <f>X97/'Revenue Build'!X$17</f>
        <v>8.7881637609736121E-3</v>
      </c>
      <c r="Y98" s="791">
        <f>Y97/'Revenue Build'!Y$17</f>
        <v>8.4280156849707369E-3</v>
      </c>
      <c r="Z98" s="791">
        <f>Z97/'Revenue Build'!Z$17</f>
        <v>8.064435818950515E-3</v>
      </c>
      <c r="AA98" s="791">
        <f>AA97/'Revenue Build'!AA$17</f>
        <v>7.6881049943265285E-3</v>
      </c>
      <c r="AB98" s="791"/>
      <c r="AC98" s="791">
        <f>AC97/'Revenue Build'!AC$17</f>
        <v>1.228919005093833E-2</v>
      </c>
      <c r="AD98" s="791">
        <f>AD97/'Revenue Build'!AD$17</f>
        <v>-1.5948888322384685E-3</v>
      </c>
      <c r="AE98" s="792">
        <f>AE97/'Revenue Build'!AE$17</f>
        <v>6.7254447853761128E-3</v>
      </c>
      <c r="AF98" s="791">
        <f>AF97/'Revenue Build'!AF$17</f>
        <v>6.9967703351981802E-3</v>
      </c>
      <c r="AG98" s="791">
        <f>AG97/'Revenue Build'!AG$17</f>
        <v>8.0297197705346338E-3</v>
      </c>
      <c r="AH98" s="792">
        <f>AH97/'Revenue Build'!AH$17</f>
        <v>8.2217639289828837E-3</v>
      </c>
    </row>
    <row r="99" spans="1:37" ht="12.75" customHeight="1" x14ac:dyDescent="0.2">
      <c r="B99" s="1080"/>
      <c r="C99" s="1071"/>
      <c r="L99" s="1068"/>
      <c r="M99" s="1068"/>
      <c r="N99" s="1068"/>
      <c r="O99" s="1068"/>
      <c r="P99" s="1068"/>
      <c r="Q99" s="1068"/>
      <c r="R99" s="1070"/>
      <c r="S99" s="1068"/>
      <c r="T99" s="1068"/>
      <c r="U99" s="1068"/>
      <c r="V99" s="1068"/>
      <c r="W99" s="1068"/>
      <c r="X99" s="1068"/>
      <c r="Y99" s="1068"/>
      <c r="Z99" s="1068"/>
      <c r="AA99" s="1068"/>
      <c r="AC99" s="1068"/>
      <c r="AD99" s="1068"/>
      <c r="AE99" s="1068"/>
      <c r="AF99" s="1069"/>
      <c r="AG99" s="1068"/>
      <c r="AH99" s="1067"/>
    </row>
    <row r="100" spans="1:37" ht="12.75" customHeight="1" x14ac:dyDescent="0.2">
      <c r="B100" s="1079" t="s">
        <v>13</v>
      </c>
      <c r="C100" s="1071"/>
      <c r="L100" s="1068"/>
      <c r="M100" s="1068"/>
      <c r="N100" s="1068"/>
      <c r="O100" s="1068"/>
      <c r="P100" s="1068"/>
      <c r="Q100" s="1068"/>
      <c r="R100" s="1070"/>
      <c r="S100" s="1068"/>
      <c r="T100" s="1068"/>
      <c r="U100" s="1068"/>
      <c r="V100" s="1068"/>
      <c r="W100" s="1068"/>
      <c r="X100" s="1068"/>
      <c r="Y100" s="1068"/>
      <c r="Z100" s="1068"/>
      <c r="AA100" s="1068"/>
      <c r="AC100" s="1068"/>
      <c r="AD100" s="1068"/>
      <c r="AE100" s="1068"/>
      <c r="AF100" s="1069"/>
      <c r="AG100" s="1068"/>
      <c r="AH100" s="1067"/>
    </row>
    <row r="101" spans="1:37" ht="12.75" customHeight="1" x14ac:dyDescent="0.2">
      <c r="B101" s="1066" t="s">
        <v>933</v>
      </c>
      <c r="D101" s="1065"/>
      <c r="E101" s="1065"/>
      <c r="F101" s="1065"/>
      <c r="G101" s="1065"/>
      <c r="H101" s="1065"/>
      <c r="I101" s="1065"/>
      <c r="J101" s="1065"/>
      <c r="K101" s="1065"/>
      <c r="L101" s="656">
        <v>34.418129999999998</v>
      </c>
      <c r="M101" s="656">
        <v>26.706250000000001</v>
      </c>
      <c r="N101" s="656">
        <v>32.492290000000004</v>
      </c>
      <c r="O101" s="656">
        <v>36.782449999999997</v>
      </c>
      <c r="P101" s="680">
        <v>36.853870000000001</v>
      </c>
      <c r="Q101" s="656">
        <v>40.998899999999999</v>
      </c>
      <c r="R101" s="767">
        <v>50.334220000000002</v>
      </c>
      <c r="S101" s="654">
        <f>AF101-SUM(P101:R101)</f>
        <v>54.81301000000002</v>
      </c>
      <c r="T101" s="654">
        <f t="shared" ref="T101:W105" si="63">$AG101/4</f>
        <v>56.25</v>
      </c>
      <c r="U101" s="654">
        <f t="shared" si="63"/>
        <v>56.25</v>
      </c>
      <c r="V101" s="654">
        <f t="shared" si="63"/>
        <v>56.25</v>
      </c>
      <c r="W101" s="654">
        <f t="shared" si="63"/>
        <v>56.25</v>
      </c>
      <c r="X101" s="654">
        <f t="shared" ref="X101:AA105" si="64">$AH101/4</f>
        <v>62.5</v>
      </c>
      <c r="Y101" s="654">
        <f t="shared" si="64"/>
        <v>62.5</v>
      </c>
      <c r="Z101" s="654">
        <f t="shared" si="64"/>
        <v>62.5</v>
      </c>
      <c r="AA101" s="654">
        <f t="shared" si="64"/>
        <v>62.5</v>
      </c>
      <c r="AC101" s="1064"/>
      <c r="AD101" s="1064"/>
      <c r="AE101" s="654">
        <f>SUM(L101:O101)</f>
        <v>130.39911999999998</v>
      </c>
      <c r="AF101" s="691">
        <v>183</v>
      </c>
      <c r="AG101" s="691">
        <v>225</v>
      </c>
      <c r="AH101" s="691">
        <v>250</v>
      </c>
    </row>
    <row r="102" spans="1:37" ht="12.75" customHeight="1" x14ac:dyDescent="0.2">
      <c r="B102" s="1066" t="s">
        <v>350</v>
      </c>
      <c r="D102" s="1065"/>
      <c r="E102" s="1065"/>
      <c r="F102" s="1065"/>
      <c r="G102" s="1065"/>
      <c r="H102" s="1065"/>
      <c r="I102" s="1065"/>
      <c r="J102" s="1065"/>
      <c r="K102" s="1065"/>
      <c r="L102" s="656">
        <v>2.1937500000000001</v>
      </c>
      <c r="M102" s="656">
        <v>0</v>
      </c>
      <c r="N102" s="656">
        <v>6.0519999999999996</v>
      </c>
      <c r="O102" s="656">
        <v>0</v>
      </c>
      <c r="P102" s="680">
        <v>0</v>
      </c>
      <c r="Q102" s="656">
        <v>3.5</v>
      </c>
      <c r="R102" s="767">
        <v>45.472540000000002</v>
      </c>
      <c r="S102" s="654">
        <f>AF102-SUM(P102:R102)</f>
        <v>55.027459999999998</v>
      </c>
      <c r="T102" s="654">
        <f t="shared" si="63"/>
        <v>55</v>
      </c>
      <c r="U102" s="654">
        <f t="shared" si="63"/>
        <v>55</v>
      </c>
      <c r="V102" s="654">
        <f t="shared" si="63"/>
        <v>55</v>
      </c>
      <c r="W102" s="654">
        <f t="shared" si="63"/>
        <v>55</v>
      </c>
      <c r="X102" s="654">
        <f t="shared" si="64"/>
        <v>60</v>
      </c>
      <c r="Y102" s="654">
        <f t="shared" si="64"/>
        <v>60</v>
      </c>
      <c r="Z102" s="654">
        <f t="shared" si="64"/>
        <v>60</v>
      </c>
      <c r="AA102" s="654">
        <f t="shared" si="64"/>
        <v>60</v>
      </c>
      <c r="AC102" s="1064"/>
      <c r="AD102" s="1064"/>
      <c r="AE102" s="654">
        <f>SUM(L102:O102)</f>
        <v>8.2457499999999992</v>
      </c>
      <c r="AF102" s="691">
        <v>104</v>
      </c>
      <c r="AG102" s="691">
        <v>220</v>
      </c>
      <c r="AH102" s="691">
        <v>240</v>
      </c>
    </row>
    <row r="103" spans="1:37" ht="12.75" customHeight="1" x14ac:dyDescent="0.2">
      <c r="B103" s="1066" t="s">
        <v>924</v>
      </c>
      <c r="D103" s="1065"/>
      <c r="E103" s="1065"/>
      <c r="F103" s="1065"/>
      <c r="G103" s="1065"/>
      <c r="H103" s="1065"/>
      <c r="I103" s="1065"/>
      <c r="J103" s="1065"/>
      <c r="K103" s="1065"/>
      <c r="L103" s="656">
        <v>7.9159100000000002</v>
      </c>
      <c r="M103" s="656">
        <v>9.0922599999999996</v>
      </c>
      <c r="N103" s="656">
        <v>9.6056100000000004</v>
      </c>
      <c r="O103" s="656">
        <v>12.791870000000001</v>
      </c>
      <c r="P103" s="680">
        <v>12.258659999999999</v>
      </c>
      <c r="Q103" s="656">
        <v>18.504619999999999</v>
      </c>
      <c r="R103" s="767">
        <v>30.01623</v>
      </c>
      <c r="S103" s="654">
        <f>AF103-SUM(P103:R103)</f>
        <v>20.220489999999998</v>
      </c>
      <c r="T103" s="654">
        <f t="shared" si="63"/>
        <v>25</v>
      </c>
      <c r="U103" s="654">
        <f t="shared" si="63"/>
        <v>25</v>
      </c>
      <c r="V103" s="654">
        <f t="shared" si="63"/>
        <v>25</v>
      </c>
      <c r="W103" s="654">
        <f t="shared" si="63"/>
        <v>25</v>
      </c>
      <c r="X103" s="654">
        <f t="shared" si="64"/>
        <v>31.25</v>
      </c>
      <c r="Y103" s="654">
        <f t="shared" si="64"/>
        <v>31.25</v>
      </c>
      <c r="Z103" s="654">
        <f t="shared" si="64"/>
        <v>31.25</v>
      </c>
      <c r="AA103" s="654">
        <f t="shared" si="64"/>
        <v>31.25</v>
      </c>
      <c r="AC103" s="1064"/>
      <c r="AD103" s="1064"/>
      <c r="AE103" s="654">
        <f>SUM(L103:O103)</f>
        <v>39.405650000000001</v>
      </c>
      <c r="AF103" s="691">
        <v>81</v>
      </c>
      <c r="AG103" s="691">
        <v>100</v>
      </c>
      <c r="AH103" s="691">
        <v>125</v>
      </c>
    </row>
    <row r="104" spans="1:37" ht="12.75" customHeight="1" x14ac:dyDescent="0.2">
      <c r="B104" s="1066" t="s">
        <v>928</v>
      </c>
      <c r="D104" s="1065"/>
      <c r="E104" s="1065"/>
      <c r="F104" s="1065"/>
      <c r="G104" s="1065"/>
      <c r="H104" s="1065"/>
      <c r="I104" s="1065"/>
      <c r="J104" s="1065"/>
      <c r="K104" s="1065"/>
      <c r="L104" s="656">
        <v>0.76090000000000002</v>
      </c>
      <c r="M104" s="656">
        <v>1.5619999999999998E-2</v>
      </c>
      <c r="N104" s="656">
        <v>0.55076000000000003</v>
      </c>
      <c r="O104" s="656">
        <v>2.77407</v>
      </c>
      <c r="P104" s="680">
        <v>1.1587499999999999</v>
      </c>
      <c r="Q104" s="656">
        <v>1.0787800000000001</v>
      </c>
      <c r="R104" s="767">
        <v>0.35060000000000002</v>
      </c>
      <c r="S104" s="654">
        <f>AF104-SUM(P104:R104)</f>
        <v>17.41187</v>
      </c>
      <c r="T104" s="654">
        <f t="shared" si="63"/>
        <v>12.5</v>
      </c>
      <c r="U104" s="654">
        <f t="shared" si="63"/>
        <v>12.5</v>
      </c>
      <c r="V104" s="654">
        <f t="shared" si="63"/>
        <v>12.5</v>
      </c>
      <c r="W104" s="654">
        <f t="shared" si="63"/>
        <v>12.5</v>
      </c>
      <c r="X104" s="654">
        <f t="shared" si="64"/>
        <v>25</v>
      </c>
      <c r="Y104" s="654">
        <f t="shared" si="64"/>
        <v>25</v>
      </c>
      <c r="Z104" s="654">
        <f t="shared" si="64"/>
        <v>25</v>
      </c>
      <c r="AA104" s="654">
        <f t="shared" si="64"/>
        <v>25</v>
      </c>
      <c r="AC104" s="1064"/>
      <c r="AD104" s="1064"/>
      <c r="AE104" s="654">
        <f>SUM(L104:O104)</f>
        <v>4.1013500000000001</v>
      </c>
      <c r="AF104" s="691">
        <v>20</v>
      </c>
      <c r="AG104" s="691">
        <v>50</v>
      </c>
      <c r="AH104" s="691">
        <v>100</v>
      </c>
      <c r="AJ104" s="689"/>
      <c r="AK104" s="689"/>
    </row>
    <row r="105" spans="1:37" ht="15" x14ac:dyDescent="0.35">
      <c r="B105" s="1066" t="s">
        <v>2</v>
      </c>
      <c r="D105" s="581"/>
      <c r="E105" s="581"/>
      <c r="F105" s="581"/>
      <c r="G105" s="581"/>
      <c r="H105" s="581"/>
      <c r="I105" s="581"/>
      <c r="J105" s="581"/>
      <c r="K105" s="581"/>
      <c r="L105" s="1061">
        <v>0.97042000000000006</v>
      </c>
      <c r="M105" s="1061">
        <v>0</v>
      </c>
      <c r="N105" s="1061">
        <v>2.112E-2</v>
      </c>
      <c r="O105" s="1061">
        <v>0</v>
      </c>
      <c r="P105" s="1061">
        <v>2.07978</v>
      </c>
      <c r="Q105" s="580">
        <v>10.29402</v>
      </c>
      <c r="R105" s="796">
        <v>2.04217</v>
      </c>
      <c r="S105" s="712">
        <f>AF105-SUM(P105:R105)</f>
        <v>5.5840300000000003</v>
      </c>
      <c r="T105" s="712">
        <f t="shared" si="63"/>
        <v>7.5</v>
      </c>
      <c r="U105" s="712">
        <f t="shared" si="63"/>
        <v>7.5</v>
      </c>
      <c r="V105" s="712">
        <f t="shared" si="63"/>
        <v>7.5</v>
      </c>
      <c r="W105" s="712">
        <f t="shared" si="63"/>
        <v>7.5</v>
      </c>
      <c r="X105" s="712">
        <f t="shared" si="64"/>
        <v>15</v>
      </c>
      <c r="Y105" s="712">
        <f t="shared" si="64"/>
        <v>15</v>
      </c>
      <c r="Z105" s="712">
        <f t="shared" si="64"/>
        <v>15</v>
      </c>
      <c r="AA105" s="712">
        <f t="shared" si="64"/>
        <v>15</v>
      </c>
      <c r="AC105" s="1060"/>
      <c r="AD105" s="1060"/>
      <c r="AE105" s="712">
        <f>SUM(L105:O105)</f>
        <v>0.99154000000000009</v>
      </c>
      <c r="AF105" s="691">
        <v>20</v>
      </c>
      <c r="AG105" s="691">
        <v>30</v>
      </c>
      <c r="AH105" s="691">
        <v>60</v>
      </c>
    </row>
    <row r="106" spans="1:37" s="637" customFormat="1" ht="12.75" customHeight="1" x14ac:dyDescent="0.2">
      <c r="A106" s="959"/>
      <c r="B106" s="958" t="s">
        <v>502</v>
      </c>
      <c r="C106" s="956"/>
      <c r="D106" s="954">
        <v>9.7967113126189069</v>
      </c>
      <c r="E106" s="954">
        <v>25.697028306207198</v>
      </c>
      <c r="F106" s="954">
        <v>35.458941233764882</v>
      </c>
      <c r="G106" s="954">
        <v>38.33153982986223</v>
      </c>
      <c r="H106" s="954">
        <v>45.189715101647018</v>
      </c>
      <c r="I106" s="954">
        <v>71.142213411042377</v>
      </c>
      <c r="J106" s="954">
        <v>60.847101034437891</v>
      </c>
      <c r="K106" s="954">
        <v>45.78779571838718</v>
      </c>
      <c r="L106" s="954">
        <f t="shared" ref="L106:AA106" si="65">SUM(L101:L105)</f>
        <v>46.259109999999993</v>
      </c>
      <c r="M106" s="954">
        <f t="shared" si="65"/>
        <v>35.814129999999999</v>
      </c>
      <c r="N106" s="954">
        <f t="shared" si="65"/>
        <v>48.721780000000003</v>
      </c>
      <c r="O106" s="954">
        <f t="shared" si="65"/>
        <v>52.348390000000002</v>
      </c>
      <c r="P106" s="954">
        <f t="shared" si="65"/>
        <v>52.351059999999997</v>
      </c>
      <c r="Q106" s="954">
        <f t="shared" si="65"/>
        <v>74.376319999999993</v>
      </c>
      <c r="R106" s="1058">
        <f t="shared" si="65"/>
        <v>128.21576000000002</v>
      </c>
      <c r="S106" s="1057">
        <f t="shared" si="65"/>
        <v>153.05686000000003</v>
      </c>
      <c r="T106" s="1057">
        <f t="shared" si="65"/>
        <v>156.25</v>
      </c>
      <c r="U106" s="1057">
        <f t="shared" si="65"/>
        <v>156.25</v>
      </c>
      <c r="V106" s="1057">
        <f t="shared" si="65"/>
        <v>156.25</v>
      </c>
      <c r="W106" s="1057">
        <f t="shared" si="65"/>
        <v>156.25</v>
      </c>
      <c r="X106" s="1057">
        <f t="shared" si="65"/>
        <v>193.75</v>
      </c>
      <c r="Y106" s="1057">
        <f t="shared" si="65"/>
        <v>193.75</v>
      </c>
      <c r="Z106" s="1057">
        <f t="shared" si="65"/>
        <v>193.75</v>
      </c>
      <c r="AA106" s="1057">
        <f t="shared" si="65"/>
        <v>193.75</v>
      </c>
      <c r="AC106" s="954">
        <f>SUM(D106:G106)</f>
        <v>109.28422068245322</v>
      </c>
      <c r="AD106" s="954">
        <f>SUM(H106:K106)</f>
        <v>222.96682526551444</v>
      </c>
      <c r="AE106" s="954">
        <f>SUM(AE101:AE105)</f>
        <v>183.14340999999996</v>
      </c>
      <c r="AF106" s="1056">
        <f>SUM(AF101:AF105)</f>
        <v>408</v>
      </c>
      <c r="AG106" s="954">
        <f>SUM(AG101:AG105)</f>
        <v>625</v>
      </c>
      <c r="AH106" s="1055">
        <f>SUM(AH101:AH105)</f>
        <v>775</v>
      </c>
    </row>
    <row r="107" spans="1:37" s="568" customFormat="1" ht="12.75" customHeight="1" x14ac:dyDescent="0.2">
      <c r="A107" s="1078"/>
      <c r="B107" s="1077" t="s">
        <v>936</v>
      </c>
      <c r="C107" s="1076"/>
      <c r="D107" s="1075">
        <f>D106/'Revenue Build'!D$17</f>
        <v>9.0776119428634838E-2</v>
      </c>
      <c r="E107" s="1075">
        <f>E106/'Revenue Build'!E$17</f>
        <v>0.11414959095386124</v>
      </c>
      <c r="F107" s="1075">
        <f>F106/'Revenue Build'!F$17</f>
        <v>0.11345938270802063</v>
      </c>
      <c r="G107" s="1075">
        <f>G106/'Revenue Build'!G$17</f>
        <v>0.10982657304304663</v>
      </c>
      <c r="H107" s="1075">
        <f>H106/'Revenue Build'!H$17</f>
        <v>6.3919608939159253E-2</v>
      </c>
      <c r="I107" s="1075">
        <f>I106/'Revenue Build'!I$17</f>
        <v>8.4851708137385129E-2</v>
      </c>
      <c r="J107" s="1075">
        <f>J106/'Revenue Build'!J$17</f>
        <v>6.6661252844317467E-2</v>
      </c>
      <c r="K107" s="1075">
        <f>K106/'Revenue Build'!K$17</f>
        <v>4.5305461542332864E-2</v>
      </c>
      <c r="L107" s="1075">
        <f>L106/'Revenue Build'!L$17</f>
        <v>3.3518625726135842E-2</v>
      </c>
      <c r="M107" s="1075">
        <f>M106/'Revenue Build'!M$17</f>
        <v>2.3003221158642374E-2</v>
      </c>
      <c r="N107" s="1075">
        <f>N106/'Revenue Build'!N$17</f>
        <v>2.9114394583323742E-2</v>
      </c>
      <c r="O107" s="1075">
        <f>O106/'Revenue Build'!O$17</f>
        <v>2.5409389403252988E-2</v>
      </c>
      <c r="P107" s="1075">
        <f>P106/'Revenue Build'!P$17</f>
        <v>2.2277748225783503E-2</v>
      </c>
      <c r="Q107" s="1075">
        <f>Q106/'Revenue Build'!Q$17</f>
        <v>2.8379644829296228E-2</v>
      </c>
      <c r="R107" s="1074">
        <f>R106/'Revenue Build'!R$17</f>
        <v>4.5138648319843266E-2</v>
      </c>
      <c r="S107" s="1075">
        <f>S106/'Revenue Build'!S$17</f>
        <v>4.2249732333864497E-2</v>
      </c>
      <c r="T107" s="1075">
        <f>T106/'Revenue Build'!T$17</f>
        <v>3.8394939141405501E-2</v>
      </c>
      <c r="U107" s="1075">
        <f>U106/'Revenue Build'!U$17</f>
        <v>3.5907443022607795E-2</v>
      </c>
      <c r="V107" s="1075">
        <f>V106/'Revenue Build'!V$17</f>
        <v>3.3573103239283503E-2</v>
      </c>
      <c r="W107" s="1075">
        <f>W106/'Revenue Build'!W$17</f>
        <v>3.1357368040451368E-2</v>
      </c>
      <c r="X107" s="1075">
        <f>X106/'Revenue Build'!X$17</f>
        <v>3.6815280620294863E-2</v>
      </c>
      <c r="Y107" s="1075">
        <f>Y106/'Revenue Build'!Y$17</f>
        <v>3.5306552193796331E-2</v>
      </c>
      <c r="Z107" s="1075">
        <f>Z106/'Revenue Build'!Z$17</f>
        <v>3.3783447349657561E-2</v>
      </c>
      <c r="AA107" s="1075">
        <f>AA106/'Revenue Build'!AA$17</f>
        <v>3.2206926327584109E-2</v>
      </c>
      <c r="AB107" s="1075"/>
      <c r="AC107" s="1075">
        <f>AC106/'Revenue Build'!AC$17</f>
        <v>0.10987943317679459</v>
      </c>
      <c r="AD107" s="1075">
        <f>AD106/'Revenue Build'!AD$17</f>
        <v>6.4277164145093615E-2</v>
      </c>
      <c r="AE107" s="1074">
        <f>AE106/'Revenue Build'!AE$17</f>
        <v>2.7454989732371309E-2</v>
      </c>
      <c r="AF107" s="1075">
        <f>AF106/'Revenue Build'!AF$17</f>
        <v>3.568352870951072E-2</v>
      </c>
      <c r="AG107" s="1075">
        <f>AG106/'Revenue Build'!AG$17</f>
        <v>3.4610861079890663E-2</v>
      </c>
      <c r="AH107" s="1074">
        <f>AH106/'Revenue Build'!AH$17</f>
        <v>3.444252456736073E-2</v>
      </c>
    </row>
    <row r="108" spans="1:37" ht="12.75" customHeight="1" x14ac:dyDescent="0.2">
      <c r="B108" s="1073"/>
      <c r="C108" s="1071"/>
      <c r="L108" s="1068"/>
      <c r="M108" s="1068"/>
      <c r="N108" s="1068"/>
      <c r="O108" s="1068"/>
      <c r="P108" s="1068"/>
      <c r="Q108" s="1068"/>
      <c r="R108" s="1070"/>
      <c r="S108" s="1068"/>
      <c r="T108" s="1068"/>
      <c r="U108" s="1068"/>
      <c r="V108" s="1068"/>
      <c r="W108" s="1068"/>
      <c r="X108" s="1068"/>
      <c r="Y108" s="1068"/>
      <c r="Z108" s="1068"/>
      <c r="AA108" s="1068"/>
      <c r="AC108" s="1068"/>
      <c r="AD108" s="1068"/>
      <c r="AE108" s="1068"/>
      <c r="AF108" s="1069"/>
      <c r="AG108" s="1068"/>
      <c r="AH108" s="1067"/>
    </row>
    <row r="109" spans="1:37" ht="12.75" customHeight="1" x14ac:dyDescent="0.2">
      <c r="B109" s="1072" t="s">
        <v>14</v>
      </c>
      <c r="C109" s="1071"/>
      <c r="L109" s="1068"/>
      <c r="M109" s="1068"/>
      <c r="N109" s="1068"/>
      <c r="O109" s="1068"/>
      <c r="P109" s="1068"/>
      <c r="Q109" s="1068"/>
      <c r="R109" s="1070"/>
      <c r="S109" s="1068"/>
      <c r="T109" s="1068"/>
      <c r="U109" s="1068"/>
      <c r="V109" s="1068"/>
      <c r="W109" s="1068"/>
      <c r="X109" s="1068"/>
      <c r="Y109" s="1068"/>
      <c r="Z109" s="1068"/>
      <c r="AA109" s="1068"/>
      <c r="AC109" s="1068"/>
      <c r="AD109" s="1068"/>
      <c r="AE109" s="1068"/>
      <c r="AF109" s="1069"/>
      <c r="AG109" s="1068"/>
      <c r="AH109" s="1067"/>
    </row>
    <row r="110" spans="1:37" ht="12.75" customHeight="1" x14ac:dyDescent="0.2">
      <c r="B110" s="1066" t="s">
        <v>928</v>
      </c>
      <c r="D110" s="1065"/>
      <c r="E110" s="1065"/>
      <c r="F110" s="1065"/>
      <c r="G110" s="1065"/>
      <c r="H110" s="1065"/>
      <c r="I110" s="1065"/>
      <c r="J110" s="1065"/>
      <c r="K110" s="1065"/>
      <c r="L110" s="656">
        <v>26.358270000000001</v>
      </c>
      <c r="M110" s="656">
        <v>0.10624000000000001</v>
      </c>
      <c r="N110" s="656">
        <v>24.335459999999998</v>
      </c>
      <c r="O110" s="656">
        <v>24.892109999999992</v>
      </c>
      <c r="P110" s="680">
        <v>10.712729999999999</v>
      </c>
      <c r="Q110" s="656">
        <v>45.633739999999996</v>
      </c>
      <c r="R110" s="767">
        <v>26.572479999999999</v>
      </c>
      <c r="S110" s="654">
        <f>AF110-SUM(P110:R110)</f>
        <v>32.081050000000005</v>
      </c>
      <c r="T110" s="654">
        <f t="shared" ref="T110:W112" si="66">$AG110/4</f>
        <v>25</v>
      </c>
      <c r="U110" s="654">
        <f t="shared" si="66"/>
        <v>25</v>
      </c>
      <c r="V110" s="654">
        <f t="shared" si="66"/>
        <v>25</v>
      </c>
      <c r="W110" s="654">
        <f t="shared" si="66"/>
        <v>25</v>
      </c>
      <c r="X110" s="654">
        <f t="shared" ref="X110:AA112" si="67">$AH110/4</f>
        <v>25</v>
      </c>
      <c r="Y110" s="654">
        <f t="shared" si="67"/>
        <v>25</v>
      </c>
      <c r="Z110" s="654">
        <f t="shared" si="67"/>
        <v>25</v>
      </c>
      <c r="AA110" s="654">
        <f t="shared" si="67"/>
        <v>25</v>
      </c>
      <c r="AC110" s="1064"/>
      <c r="AD110" s="1064"/>
      <c r="AE110" s="654">
        <f>SUM(L110:O110)</f>
        <v>75.69207999999999</v>
      </c>
      <c r="AF110" s="691">
        <v>115</v>
      </c>
      <c r="AG110" s="691">
        <v>100</v>
      </c>
      <c r="AH110" s="691">
        <v>100</v>
      </c>
    </row>
    <row r="111" spans="1:37" ht="12.75" customHeight="1" x14ac:dyDescent="0.2">
      <c r="B111" s="1062" t="s">
        <v>926</v>
      </c>
      <c r="D111" s="1065"/>
      <c r="E111" s="1065"/>
      <c r="F111" s="1065"/>
      <c r="G111" s="1065"/>
      <c r="H111" s="1065"/>
      <c r="I111" s="1065"/>
      <c r="J111" s="1065"/>
      <c r="K111" s="1065"/>
      <c r="L111" s="656">
        <v>126.06366</v>
      </c>
      <c r="M111" s="656">
        <v>118.09371</v>
      </c>
      <c r="N111" s="656">
        <v>118.96689000000001</v>
      </c>
      <c r="O111" s="656">
        <v>118.87530000000001</v>
      </c>
      <c r="P111" s="680">
        <v>118.87530000000001</v>
      </c>
      <c r="Q111" s="656">
        <v>124.60514000000001</v>
      </c>
      <c r="R111" s="767">
        <v>120.48329999999999</v>
      </c>
      <c r="S111" s="654">
        <f>AF111-SUM(P111:R111)</f>
        <v>120.03625999999997</v>
      </c>
      <c r="T111" s="654">
        <f t="shared" si="66"/>
        <v>300</v>
      </c>
      <c r="U111" s="654">
        <f t="shared" si="66"/>
        <v>300</v>
      </c>
      <c r="V111" s="654">
        <f t="shared" si="66"/>
        <v>300</v>
      </c>
      <c r="W111" s="654">
        <f t="shared" si="66"/>
        <v>300</v>
      </c>
      <c r="X111" s="654">
        <f t="shared" si="67"/>
        <v>300</v>
      </c>
      <c r="Y111" s="654">
        <f t="shared" si="67"/>
        <v>300</v>
      </c>
      <c r="Z111" s="654">
        <f t="shared" si="67"/>
        <v>300</v>
      </c>
      <c r="AA111" s="654">
        <f t="shared" si="67"/>
        <v>300</v>
      </c>
      <c r="AC111" s="1064"/>
      <c r="AD111" s="1064"/>
      <c r="AE111" s="654">
        <f>SUM(L111:O111)</f>
        <v>481.99956000000009</v>
      </c>
      <c r="AF111" s="691">
        <v>484</v>
      </c>
      <c r="AG111" s="691">
        <v>1200</v>
      </c>
      <c r="AH111" s="691">
        <v>1200</v>
      </c>
    </row>
    <row r="112" spans="1:37" ht="12.75" customHeight="1" x14ac:dyDescent="0.2">
      <c r="B112" s="1062" t="s">
        <v>924</v>
      </c>
      <c r="D112" s="1065"/>
      <c r="E112" s="1065"/>
      <c r="F112" s="1065"/>
      <c r="G112" s="1065"/>
      <c r="H112" s="1065"/>
      <c r="I112" s="1065"/>
      <c r="J112" s="1065"/>
      <c r="K112" s="1065"/>
      <c r="L112" s="656">
        <v>38.350619999999999</v>
      </c>
      <c r="M112" s="656">
        <v>27.230060000000002</v>
      </c>
      <c r="N112" s="656">
        <v>59.28443</v>
      </c>
      <c r="O112" s="656">
        <v>53.639089999999996</v>
      </c>
      <c r="P112" s="680">
        <v>59.061150000000005</v>
      </c>
      <c r="Q112" s="656">
        <v>64.540909999999997</v>
      </c>
      <c r="R112" s="767">
        <v>84.357579999999999</v>
      </c>
      <c r="S112" s="654">
        <f>AF112-SUM(P112:R112)</f>
        <v>92.040360000000021</v>
      </c>
      <c r="T112" s="654">
        <f t="shared" si="66"/>
        <v>81.25</v>
      </c>
      <c r="U112" s="654">
        <f t="shared" si="66"/>
        <v>81.25</v>
      </c>
      <c r="V112" s="654">
        <f t="shared" si="66"/>
        <v>81.25</v>
      </c>
      <c r="W112" s="654">
        <f t="shared" si="66"/>
        <v>81.25</v>
      </c>
      <c r="X112" s="654">
        <f t="shared" si="67"/>
        <v>87.5</v>
      </c>
      <c r="Y112" s="654">
        <f t="shared" si="67"/>
        <v>87.5</v>
      </c>
      <c r="Z112" s="654">
        <f t="shared" si="67"/>
        <v>87.5</v>
      </c>
      <c r="AA112" s="654">
        <f t="shared" si="67"/>
        <v>87.5</v>
      </c>
      <c r="AC112" s="1064"/>
      <c r="AD112" s="1064"/>
      <c r="AE112" s="654">
        <f>SUM(L112:O112)</f>
        <v>178.5042</v>
      </c>
      <c r="AF112" s="691">
        <v>300</v>
      </c>
      <c r="AG112" s="691">
        <v>325</v>
      </c>
      <c r="AH112" s="691">
        <v>350</v>
      </c>
    </row>
    <row r="113" spans="1:34" ht="12.75" customHeight="1" x14ac:dyDescent="0.2">
      <c r="B113" s="1062" t="s">
        <v>350</v>
      </c>
      <c r="D113" s="1065"/>
      <c r="E113" s="1065"/>
      <c r="F113" s="1065"/>
      <c r="G113" s="1065"/>
      <c r="H113" s="1065"/>
      <c r="I113" s="1065"/>
      <c r="J113" s="1065"/>
      <c r="K113" s="1065"/>
      <c r="L113" s="656">
        <v>12.141389999999999</v>
      </c>
      <c r="M113" s="656">
        <v>33.217970000000001</v>
      </c>
      <c r="N113" s="656">
        <v>17.966150000000003</v>
      </c>
      <c r="O113" s="656">
        <v>13.964049999999999</v>
      </c>
      <c r="P113" s="680">
        <v>30.763360000000002</v>
      </c>
      <c r="Q113" s="656">
        <v>79.748170000000002</v>
      </c>
      <c r="R113" s="767">
        <v>70.879089999999991</v>
      </c>
      <c r="S113" s="654">
        <f>AF113-SUM(P113:R113)</f>
        <v>93.609379999999987</v>
      </c>
      <c r="T113" s="654">
        <f>$AG$113/4</f>
        <v>81.25</v>
      </c>
      <c r="U113" s="654">
        <f>$AG$113/4</f>
        <v>81.25</v>
      </c>
      <c r="V113" s="654">
        <f>$AG$113/4</f>
        <v>81.25</v>
      </c>
      <c r="W113" s="654">
        <f>$AG$113/4</f>
        <v>81.25</v>
      </c>
      <c r="X113" s="654">
        <f>$AH$113/4</f>
        <v>100</v>
      </c>
      <c r="Y113" s="654">
        <f>$AH$113/4</f>
        <v>100</v>
      </c>
      <c r="Z113" s="654">
        <f>$AH$113/4</f>
        <v>100</v>
      </c>
      <c r="AA113" s="654">
        <f>$AH$113/4</f>
        <v>100</v>
      </c>
      <c r="AC113" s="1064"/>
      <c r="AD113" s="1064"/>
      <c r="AE113" s="764">
        <f>SUM(L113:O113)</f>
        <v>77.289560000000009</v>
      </c>
      <c r="AF113" s="691">
        <v>275</v>
      </c>
      <c r="AG113" s="691">
        <v>325</v>
      </c>
      <c r="AH113" s="691">
        <v>400</v>
      </c>
    </row>
    <row r="114" spans="1:34" s="664" customFormat="1" ht="15" x14ac:dyDescent="0.35">
      <c r="A114" s="1063"/>
      <c r="B114" s="1062" t="s">
        <v>2</v>
      </c>
      <c r="D114" s="581"/>
      <c r="E114" s="581"/>
      <c r="F114" s="581"/>
      <c r="G114" s="581"/>
      <c r="H114" s="581"/>
      <c r="I114" s="581"/>
      <c r="J114" s="581"/>
      <c r="K114" s="581"/>
      <c r="L114" s="1061">
        <v>211.70455000000001</v>
      </c>
      <c r="M114" s="1061">
        <v>95.38600000000001</v>
      </c>
      <c r="N114" s="1061">
        <v>186.54966999999999</v>
      </c>
      <c r="O114" s="1061">
        <v>176.81881999999999</v>
      </c>
      <c r="P114" s="1061">
        <v>127.19828</v>
      </c>
      <c r="Q114" s="1061">
        <v>201.26549000000003</v>
      </c>
      <c r="R114" s="796">
        <v>289.80209999999994</v>
      </c>
      <c r="S114" s="712">
        <f>R114</f>
        <v>289.80209999999994</v>
      </c>
      <c r="T114" s="712">
        <f>AG114/4</f>
        <v>250</v>
      </c>
      <c r="U114" s="712">
        <f>T114</f>
        <v>250</v>
      </c>
      <c r="V114" s="712">
        <f>U114</f>
        <v>250</v>
      </c>
      <c r="W114" s="712">
        <f>V114</f>
        <v>250</v>
      </c>
      <c r="X114" s="712">
        <f>AH114/4</f>
        <v>375</v>
      </c>
      <c r="Y114" s="712">
        <f>X114</f>
        <v>375</v>
      </c>
      <c r="Z114" s="712">
        <f>Y114</f>
        <v>375</v>
      </c>
      <c r="AA114" s="712">
        <f>Z114</f>
        <v>375</v>
      </c>
      <c r="AC114" s="1060"/>
      <c r="AD114" s="1060"/>
      <c r="AE114" s="712">
        <f>SUM(L114:O114)</f>
        <v>670.45903999999996</v>
      </c>
      <c r="AF114" s="691">
        <v>850</v>
      </c>
      <c r="AG114" s="691">
        <v>1000</v>
      </c>
      <c r="AH114" s="691">
        <v>1500</v>
      </c>
    </row>
    <row r="115" spans="1:34" s="637" customFormat="1" ht="12.75" customHeight="1" x14ac:dyDescent="0.2">
      <c r="A115" s="959"/>
      <c r="B115" s="1059" t="s">
        <v>510</v>
      </c>
      <c r="C115" s="956"/>
      <c r="D115" s="954">
        <v>32.270435377298661</v>
      </c>
      <c r="E115" s="954">
        <v>104.58657799408149</v>
      </c>
      <c r="F115" s="954">
        <v>102.99719323486262</v>
      </c>
      <c r="G115" s="954">
        <v>80.154195014993547</v>
      </c>
      <c r="H115" s="954">
        <v>148.51664844384743</v>
      </c>
      <c r="I115" s="954">
        <v>301.55586223062784</v>
      </c>
      <c r="J115" s="954">
        <v>318.04573856689831</v>
      </c>
      <c r="K115" s="954">
        <v>385.04986809124659</v>
      </c>
      <c r="L115" s="954">
        <f t="shared" ref="L115:AA115" si="68">SUM(L110:L114)</f>
        <v>414.61849000000001</v>
      </c>
      <c r="M115" s="954">
        <f t="shared" si="68"/>
        <v>274.03398000000004</v>
      </c>
      <c r="N115" s="954">
        <f t="shared" si="68"/>
        <v>407.10259999999994</v>
      </c>
      <c r="O115" s="954">
        <f t="shared" si="68"/>
        <v>388.18936999999994</v>
      </c>
      <c r="P115" s="954">
        <f t="shared" si="68"/>
        <v>346.61081999999999</v>
      </c>
      <c r="Q115" s="954">
        <f t="shared" si="68"/>
        <v>515.79345000000001</v>
      </c>
      <c r="R115" s="1058">
        <f t="shared" si="68"/>
        <v>592.0945499999998</v>
      </c>
      <c r="S115" s="1057">
        <f t="shared" si="68"/>
        <v>627.56914999999992</v>
      </c>
      <c r="T115" s="1057">
        <f t="shared" si="68"/>
        <v>737.5</v>
      </c>
      <c r="U115" s="1057">
        <f t="shared" si="68"/>
        <v>737.5</v>
      </c>
      <c r="V115" s="1057">
        <f t="shared" si="68"/>
        <v>737.5</v>
      </c>
      <c r="W115" s="1057">
        <f t="shared" si="68"/>
        <v>737.5</v>
      </c>
      <c r="X115" s="1057">
        <f t="shared" si="68"/>
        <v>887.5</v>
      </c>
      <c r="Y115" s="1057">
        <f t="shared" si="68"/>
        <v>887.5</v>
      </c>
      <c r="Z115" s="1057">
        <f t="shared" si="68"/>
        <v>887.5</v>
      </c>
      <c r="AA115" s="1057">
        <f t="shared" si="68"/>
        <v>887.5</v>
      </c>
      <c r="AB115" s="568"/>
      <c r="AC115" s="954">
        <f>SUM(D115:G115)</f>
        <v>320.00840162123632</v>
      </c>
      <c r="AD115" s="954">
        <f>SUM(H115:K115)</f>
        <v>1153.1681173326201</v>
      </c>
      <c r="AE115" s="954">
        <f>SUM(AE110:AE114)</f>
        <v>1483.9444400000002</v>
      </c>
      <c r="AF115" s="1056">
        <f>SUM(AF110:AF114)</f>
        <v>2024</v>
      </c>
      <c r="AG115" s="954">
        <f>SUM(AG110:AG114)</f>
        <v>2950</v>
      </c>
      <c r="AH115" s="1055">
        <f>SUM(AH110:AH114)</f>
        <v>3550</v>
      </c>
    </row>
    <row r="116" spans="1:34" x14ac:dyDescent="0.2">
      <c r="B116" s="1054" t="s">
        <v>936</v>
      </c>
      <c r="C116" s="1053"/>
      <c r="D116" s="1052">
        <f>D115/'Revenue Build'!D$17</f>
        <v>0.29901717038966291</v>
      </c>
      <c r="E116" s="1052">
        <f>E115/'Revenue Build'!E$17</f>
        <v>0.46458738166252173</v>
      </c>
      <c r="F116" s="1052">
        <f>F115/'Revenue Build'!F$17</f>
        <v>0.32956421028043936</v>
      </c>
      <c r="G116" s="1052">
        <f>G115/'Revenue Build'!G$17</f>
        <v>0.22965580283479137</v>
      </c>
      <c r="H116" s="1052">
        <f>H115/'Revenue Build'!H$17</f>
        <v>0.21007271384942475</v>
      </c>
      <c r="I116" s="1052">
        <f>I115/'Revenue Build'!I$17</f>
        <v>0.35966733086124603</v>
      </c>
      <c r="J116" s="1052">
        <f>J115/'Revenue Build'!J$17</f>
        <v>0.34843611337648273</v>
      </c>
      <c r="K116" s="1052">
        <f>K115/'Revenue Build'!K$17</f>
        <v>0.38099370622645884</v>
      </c>
      <c r="L116" s="1052">
        <f>L115/'Revenue Build'!L$17</f>
        <v>0.30042605630427388</v>
      </c>
      <c r="M116" s="1052">
        <f>M115/'Revenue Build'!M$17</f>
        <v>0.17601053681669726</v>
      </c>
      <c r="N116" s="1052">
        <f>N115/'Revenue Build'!N$17</f>
        <v>0.24326996534808476</v>
      </c>
      <c r="O116" s="1052">
        <f>O115/'Revenue Build'!O$17</f>
        <v>0.18842327079273022</v>
      </c>
      <c r="P116" s="1052">
        <f>P115/'Revenue Build'!P$17</f>
        <v>0.14749860996687297</v>
      </c>
      <c r="Q116" s="1052">
        <f>Q115/'Revenue Build'!Q$17</f>
        <v>0.19681042186918316</v>
      </c>
      <c r="R116" s="1051">
        <f>R115/'Revenue Build'!R$17</f>
        <v>0.20844822558900591</v>
      </c>
      <c r="S116" s="1052">
        <f>S115/'Revenue Build'!S$17</f>
        <v>0.17323384661419847</v>
      </c>
      <c r="T116" s="1052">
        <f>T115/'Revenue Build'!T$17</f>
        <v>0.18122411274743397</v>
      </c>
      <c r="U116" s="1052">
        <f>U115/'Revenue Build'!U$17</f>
        <v>0.16948313106670881</v>
      </c>
      <c r="V116" s="1052">
        <f>V115/'Revenue Build'!V$17</f>
        <v>0.15846504728941813</v>
      </c>
      <c r="W116" s="1052">
        <f>W115/'Revenue Build'!W$17</f>
        <v>0.14800677715093044</v>
      </c>
      <c r="X116" s="1052">
        <f>X115/'Revenue Build'!X$17</f>
        <v>0.16863773703489907</v>
      </c>
      <c r="Y116" s="1052">
        <f>Y115/'Revenue Build'!Y$17</f>
        <v>0.16172678746835739</v>
      </c>
      <c r="Z116" s="1052">
        <f>Z115/'Revenue Build'!Z$17</f>
        <v>0.15474998463391529</v>
      </c>
      <c r="AA116" s="1052">
        <f>AA115/'Revenue Build'!AA$17</f>
        <v>0.14752850124248204</v>
      </c>
      <c r="AB116" s="1052"/>
      <c r="AC116" s="1052">
        <f>AC115/'Revenue Build'!AC$17</f>
        <v>0.32175131562794024</v>
      </c>
      <c r="AD116" s="1052">
        <f>AD115/'Revenue Build'!AD$17</f>
        <v>0.33243679312566177</v>
      </c>
      <c r="AE116" s="1051">
        <f>AE115/'Revenue Build'!AE$17</f>
        <v>0.22245779612604957</v>
      </c>
      <c r="AF116" s="1052">
        <f>AF115/'Revenue Build'!AF$17</f>
        <v>0.17701828948051396</v>
      </c>
      <c r="AG116" s="1052">
        <f>AG115/'Revenue Build'!AG$17</f>
        <v>0.16336326429708395</v>
      </c>
      <c r="AH116" s="1051">
        <f>AH115/'Revenue Build'!AH$17</f>
        <v>0.157768983502104</v>
      </c>
    </row>
  </sheetData>
  <pageMargins left="0.7" right="0.7" top="0.75" bottom="0.75" header="0.3" footer="0.3"/>
  <pageSetup scale="34"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39F7E2-6EFB-4CC0-8247-9C0F15910DF9}">
  <sheetPr>
    <tabColor theme="8" tint="0.79998168889431442"/>
    <pageSetUpPr fitToPage="1"/>
  </sheetPr>
  <dimension ref="A1:AI18"/>
  <sheetViews>
    <sheetView showGridLines="0" zoomScale="80" zoomScaleNormal="80" zoomScaleSheetLayoutView="85" workbookViewId="0">
      <pane xSplit="3" ySplit="8" topLeftCell="D9" activePane="bottomRight" state="frozenSplit"/>
      <selection activeCell="R36" sqref="R36"/>
      <selection pane="topRight" activeCell="R36" sqref="R36"/>
      <selection pane="bottomLeft" activeCell="R36" sqref="R36"/>
      <selection pane="bottomRight" activeCell="AA14" sqref="AA14"/>
    </sheetView>
  </sheetViews>
  <sheetFormatPr defaultColWidth="9.28515625" defaultRowHeight="12.75" outlineLevelCol="1" x14ac:dyDescent="0.2"/>
  <cols>
    <col min="1" max="1" width="1.5703125" style="815" customWidth="1"/>
    <col min="2" max="2" width="43.85546875" style="566" customWidth="1"/>
    <col min="3" max="3" width="1.5703125" style="566" customWidth="1"/>
    <col min="4" max="27" width="9.85546875" style="566" customWidth="1" outlineLevel="1"/>
    <col min="28" max="28" width="2.5703125" style="566" customWidth="1"/>
    <col min="29" max="34" width="10.7109375" style="566" customWidth="1"/>
    <col min="35" max="35" width="1.5703125" style="566" customWidth="1"/>
    <col min="36" max="16384" width="9.28515625" style="566"/>
  </cols>
  <sheetData>
    <row r="1" spans="1:35" ht="12" customHeight="1" x14ac:dyDescent="0.2">
      <c r="B1" s="572"/>
      <c r="C1" s="572"/>
      <c r="D1" s="572"/>
      <c r="R1" s="720"/>
    </row>
    <row r="2" spans="1:35" ht="12" customHeight="1" thickBot="1" x14ac:dyDescent="0.3">
      <c r="B2" s="571" t="s">
        <v>806</v>
      </c>
      <c r="C2" s="731"/>
      <c r="D2" s="731"/>
      <c r="E2" s="731"/>
      <c r="F2" s="731"/>
      <c r="G2" s="731"/>
      <c r="H2" s="731"/>
      <c r="I2" s="731"/>
      <c r="J2" s="731"/>
      <c r="K2" s="731"/>
      <c r="L2" s="731"/>
      <c r="M2" s="731"/>
      <c r="N2" s="731"/>
      <c r="O2" s="731"/>
      <c r="P2" s="731"/>
      <c r="Q2" s="731"/>
      <c r="R2" s="1050"/>
      <c r="S2" s="731"/>
      <c r="T2" s="731"/>
      <c r="U2" s="731"/>
      <c r="V2" s="731"/>
      <c r="W2" s="731"/>
      <c r="X2" s="731"/>
      <c r="Y2" s="731"/>
      <c r="Z2" s="731"/>
      <c r="AA2" s="731"/>
      <c r="AB2" s="731"/>
      <c r="AC2" s="731"/>
      <c r="AD2" s="731"/>
      <c r="AE2" s="731"/>
      <c r="AF2" s="731"/>
      <c r="AG2" s="731"/>
      <c r="AH2" s="731"/>
      <c r="AI2" s="731"/>
    </row>
    <row r="3" spans="1:35" ht="12" customHeight="1" x14ac:dyDescent="0.2">
      <c r="B3" s="568" t="s">
        <v>1099</v>
      </c>
      <c r="R3" s="720"/>
    </row>
    <row r="4" spans="1:35" ht="12" customHeight="1" x14ac:dyDescent="0.2">
      <c r="B4" s="568" t="s">
        <v>987</v>
      </c>
      <c r="R4" s="720"/>
    </row>
    <row r="5" spans="1:35" ht="12" customHeight="1" x14ac:dyDescent="0.2">
      <c r="B5" s="568" t="s">
        <v>983</v>
      </c>
      <c r="D5" s="729"/>
      <c r="R5" s="720"/>
    </row>
    <row r="6" spans="1:35" ht="12" customHeight="1" x14ac:dyDescent="0.2">
      <c r="A6" s="1195"/>
      <c r="D6" s="729"/>
      <c r="E6" s="729"/>
      <c r="F6" s="729"/>
      <c r="G6" s="729"/>
      <c r="H6" s="729"/>
      <c r="I6" s="729"/>
      <c r="J6" s="729"/>
      <c r="K6" s="729"/>
      <c r="L6" s="729"/>
      <c r="M6" s="729"/>
      <c r="N6" s="729"/>
      <c r="O6" s="729"/>
      <c r="P6" s="729"/>
      <c r="Q6" s="729"/>
      <c r="R6" s="1196"/>
      <c r="S6" s="729"/>
      <c r="T6" s="729"/>
      <c r="U6" s="729"/>
      <c r="V6" s="729"/>
      <c r="W6" s="729"/>
      <c r="X6" s="729"/>
      <c r="Y6" s="729"/>
      <c r="Z6" s="729"/>
      <c r="AA6" s="729"/>
    </row>
    <row r="7" spans="1:35" ht="15" x14ac:dyDescent="0.35">
      <c r="A7" s="1195"/>
      <c r="B7" s="572"/>
      <c r="C7" s="572"/>
      <c r="D7" s="638" t="s">
        <v>1005</v>
      </c>
      <c r="E7" s="638"/>
      <c r="F7" s="638"/>
      <c r="G7" s="638"/>
      <c r="H7" s="638" t="s">
        <v>1004</v>
      </c>
      <c r="I7" s="638"/>
      <c r="J7" s="638"/>
      <c r="K7" s="638"/>
      <c r="L7" s="638" t="s">
        <v>1003</v>
      </c>
      <c r="M7" s="638"/>
      <c r="N7" s="638"/>
      <c r="O7" s="638"/>
      <c r="P7" s="638" t="s">
        <v>1002</v>
      </c>
      <c r="Q7" s="638"/>
      <c r="R7" s="638"/>
      <c r="S7" s="638"/>
      <c r="T7" s="638" t="s">
        <v>1001</v>
      </c>
      <c r="U7" s="638"/>
      <c r="V7" s="638"/>
      <c r="W7" s="638"/>
      <c r="X7" s="638" t="s">
        <v>1000</v>
      </c>
      <c r="Y7" s="638"/>
      <c r="Z7" s="638"/>
      <c r="AA7" s="638"/>
      <c r="AB7" s="572"/>
      <c r="AC7" s="638" t="s">
        <v>983</v>
      </c>
      <c r="AD7" s="638"/>
      <c r="AE7" s="638"/>
      <c r="AF7" s="638"/>
      <c r="AG7" s="638"/>
      <c r="AH7" s="638"/>
    </row>
    <row r="8" spans="1:35" ht="15" x14ac:dyDescent="0.2">
      <c r="B8" s="578"/>
      <c r="C8" s="572"/>
      <c r="D8" s="726" t="s">
        <v>996</v>
      </c>
      <c r="E8" s="726" t="s">
        <v>995</v>
      </c>
      <c r="F8" s="726" t="s">
        <v>997</v>
      </c>
      <c r="G8" s="726" t="s">
        <v>998</v>
      </c>
      <c r="H8" s="726" t="s">
        <v>996</v>
      </c>
      <c r="I8" s="726" t="s">
        <v>995</v>
      </c>
      <c r="J8" s="726" t="s">
        <v>997</v>
      </c>
      <c r="K8" s="726" t="s">
        <v>998</v>
      </c>
      <c r="L8" s="726" t="s">
        <v>996</v>
      </c>
      <c r="M8" s="726" t="s">
        <v>995</v>
      </c>
      <c r="N8" s="727" t="s">
        <v>997</v>
      </c>
      <c r="O8" s="726" t="s">
        <v>998</v>
      </c>
      <c r="P8" s="726" t="s">
        <v>996</v>
      </c>
      <c r="Q8" s="726" t="s">
        <v>995</v>
      </c>
      <c r="R8" s="726" t="s">
        <v>997</v>
      </c>
      <c r="S8" s="726" t="s">
        <v>993</v>
      </c>
      <c r="T8" s="726" t="s">
        <v>1058</v>
      </c>
      <c r="U8" s="726" t="s">
        <v>1057</v>
      </c>
      <c r="V8" s="726" t="s">
        <v>994</v>
      </c>
      <c r="W8" s="726" t="s">
        <v>993</v>
      </c>
      <c r="X8" s="726" t="s">
        <v>1058</v>
      </c>
      <c r="Y8" s="726" t="s">
        <v>1057</v>
      </c>
      <c r="Z8" s="726" t="s">
        <v>994</v>
      </c>
      <c r="AA8" s="726" t="s">
        <v>993</v>
      </c>
      <c r="AB8" s="572"/>
      <c r="AC8" s="636" t="s">
        <v>982</v>
      </c>
      <c r="AD8" s="636" t="s">
        <v>981</v>
      </c>
      <c r="AE8" s="636" t="s">
        <v>980</v>
      </c>
      <c r="AF8" s="636" t="s">
        <v>979</v>
      </c>
      <c r="AG8" s="636" t="s">
        <v>978</v>
      </c>
      <c r="AH8" s="636" t="s">
        <v>977</v>
      </c>
    </row>
    <row r="9" spans="1:35" ht="5.0999999999999996" customHeight="1" x14ac:dyDescent="0.2">
      <c r="O9" s="720"/>
      <c r="R9" s="720"/>
    </row>
    <row r="10" spans="1:35" ht="12.75" customHeight="1" x14ac:dyDescent="0.2">
      <c r="A10" s="815" t="s">
        <v>1018</v>
      </c>
      <c r="B10" s="812" t="s">
        <v>1099</v>
      </c>
      <c r="C10" s="812"/>
      <c r="D10" s="812"/>
      <c r="E10" s="812"/>
      <c r="F10" s="812"/>
      <c r="G10" s="812"/>
      <c r="H10" s="812"/>
      <c r="I10" s="812"/>
      <c r="J10" s="812"/>
      <c r="K10" s="812"/>
      <c r="L10" s="812"/>
      <c r="M10" s="812"/>
      <c r="N10" s="812"/>
      <c r="O10" s="812"/>
      <c r="P10" s="812"/>
      <c r="Q10" s="812"/>
      <c r="R10" s="813"/>
      <c r="S10" s="812"/>
      <c r="T10" s="812"/>
      <c r="U10" s="812"/>
      <c r="V10" s="812"/>
      <c r="W10" s="812"/>
      <c r="X10" s="812"/>
      <c r="Y10" s="812"/>
      <c r="Z10" s="812"/>
      <c r="AA10" s="812"/>
      <c r="AB10" s="812"/>
      <c r="AC10" s="812"/>
      <c r="AD10" s="812"/>
      <c r="AE10" s="812"/>
      <c r="AF10" s="812"/>
      <c r="AG10" s="812"/>
      <c r="AH10" s="812"/>
    </row>
    <row r="11" spans="1:35" ht="12.75" customHeight="1" x14ac:dyDescent="0.2">
      <c r="D11" s="644"/>
      <c r="E11" s="644"/>
      <c r="F11" s="644"/>
      <c r="G11" s="644"/>
      <c r="H11" s="644"/>
      <c r="I11" s="644"/>
      <c r="J11" s="644"/>
      <c r="K11" s="644"/>
      <c r="L11" s="644"/>
      <c r="M11" s="644"/>
      <c r="N11" s="644"/>
      <c r="O11" s="1046"/>
      <c r="P11" s="644"/>
      <c r="Q11" s="644"/>
      <c r="R11" s="1046"/>
      <c r="S11" s="644"/>
      <c r="T11" s="644"/>
      <c r="U11" s="644"/>
      <c r="V11" s="644"/>
      <c r="W11" s="644"/>
      <c r="X11" s="644"/>
      <c r="Y11" s="644"/>
      <c r="Z11" s="644"/>
      <c r="AA11" s="644"/>
      <c r="AB11" s="644"/>
      <c r="AC11" s="644"/>
      <c r="AD11" s="644"/>
      <c r="AE11" s="644"/>
      <c r="AF11" s="644"/>
      <c r="AG11" s="644"/>
      <c r="AH11" s="644"/>
    </row>
    <row r="12" spans="1:35" s="664" customFormat="1" ht="12.75" customHeight="1" x14ac:dyDescent="0.2">
      <c r="A12" s="1063"/>
      <c r="B12" s="1045" t="s">
        <v>1098</v>
      </c>
      <c r="C12" s="1121"/>
      <c r="D12" s="1121"/>
      <c r="E12" s="1121"/>
      <c r="F12" s="1121"/>
      <c r="G12" s="1121"/>
      <c r="H12" s="1121"/>
      <c r="I12" s="1121"/>
      <c r="J12" s="1121"/>
      <c r="K12" s="1121"/>
      <c r="L12" s="1121"/>
      <c r="M12" s="1121"/>
      <c r="N12" s="1121"/>
      <c r="O12" s="1194"/>
      <c r="P12" s="1121"/>
      <c r="Q12" s="1121"/>
      <c r="R12" s="1125"/>
      <c r="S12" s="1121"/>
      <c r="T12" s="1121"/>
      <c r="U12" s="1121"/>
      <c r="V12" s="1121"/>
      <c r="W12" s="1121"/>
      <c r="X12" s="1121"/>
      <c r="Y12" s="1121"/>
      <c r="Z12" s="1121"/>
      <c r="AA12" s="1121"/>
      <c r="AB12" s="1121"/>
      <c r="AC12" s="1212"/>
      <c r="AD12" s="1121"/>
      <c r="AE12" s="1192"/>
      <c r="AF12" s="1121"/>
      <c r="AG12" s="1121"/>
      <c r="AH12" s="1192"/>
    </row>
    <row r="13" spans="1:35" s="664" customFormat="1" ht="12.75" customHeight="1" x14ac:dyDescent="0.2">
      <c r="A13" s="1063"/>
      <c r="B13" s="1208" t="s">
        <v>1097</v>
      </c>
      <c r="C13" s="566"/>
      <c r="D13" s="1210"/>
      <c r="E13" s="1064"/>
      <c r="F13" s="1064"/>
      <c r="G13" s="1064"/>
      <c r="H13" s="1064"/>
      <c r="I13" s="1064"/>
      <c r="J13" s="1064"/>
      <c r="K13" s="1064"/>
      <c r="L13" s="1064"/>
      <c r="M13" s="1064"/>
      <c r="N13" s="1064"/>
      <c r="O13" s="1064"/>
      <c r="P13" s="1064"/>
      <c r="Q13" s="1064"/>
      <c r="R13" s="1211">
        <v>13229.356619999999</v>
      </c>
      <c r="S13" s="654">
        <f t="shared" ref="S13:AA13" si="0">R15</f>
        <v>11326.72092</v>
      </c>
      <c r="T13" s="654">
        <f t="shared" si="0"/>
        <v>9564.1632206202485</v>
      </c>
      <c r="U13" s="654">
        <f t="shared" si="0"/>
        <v>6302.7515638842697</v>
      </c>
      <c r="V13" s="654">
        <f t="shared" si="0"/>
        <v>3288.2458780300281</v>
      </c>
      <c r="W13" s="654">
        <f t="shared" si="0"/>
        <v>250.69704793590381</v>
      </c>
      <c r="X13" s="654">
        <f t="shared" si="0"/>
        <v>-2381.4961885868547</v>
      </c>
      <c r="Y13" s="654">
        <f t="shared" si="0"/>
        <v>-6164.398201914677</v>
      </c>
      <c r="Z13" s="654">
        <f t="shared" si="0"/>
        <v>-9751.9073434146285</v>
      </c>
      <c r="AA13" s="654">
        <f t="shared" si="0"/>
        <v>-13436.965338198179</v>
      </c>
      <c r="AB13" s="566"/>
      <c r="AC13" s="1210"/>
      <c r="AD13" s="1064"/>
      <c r="AE13" s="1209"/>
      <c r="AF13" s="654">
        <f>R13</f>
        <v>13229.356619999999</v>
      </c>
      <c r="AG13" s="654">
        <f>AF15</f>
        <v>9564.1632206202485</v>
      </c>
      <c r="AH13" s="764">
        <f>AG15</f>
        <v>-2381.4961885868543</v>
      </c>
    </row>
    <row r="14" spans="1:35" s="664" customFormat="1" ht="15" x14ac:dyDescent="0.35">
      <c r="A14" s="1063"/>
      <c r="B14" s="1208" t="s">
        <v>1096</v>
      </c>
      <c r="C14" s="566"/>
      <c r="D14" s="581"/>
      <c r="E14" s="581"/>
      <c r="F14" s="581"/>
      <c r="G14" s="581"/>
      <c r="H14" s="581"/>
      <c r="I14" s="581"/>
      <c r="J14" s="581"/>
      <c r="K14" s="581"/>
      <c r="L14" s="581"/>
      <c r="M14" s="581"/>
      <c r="N14" s="581"/>
      <c r="O14" s="581"/>
      <c r="P14" s="581"/>
      <c r="Q14" s="581"/>
      <c r="R14" s="1207">
        <f>R15-R13</f>
        <v>-1902.6356999999989</v>
      </c>
      <c r="S14" s="580">
        <f>'Functional P&amp;L'!S45</f>
        <v>-1762.5576993797506</v>
      </c>
      <c r="T14" s="580">
        <f>'Functional P&amp;L'!T45</f>
        <v>-3261.4116567359788</v>
      </c>
      <c r="U14" s="580">
        <f>'Functional P&amp;L'!U45</f>
        <v>-3014.5056858542416</v>
      </c>
      <c r="V14" s="580">
        <f>'Functional P&amp;L'!V45</f>
        <v>-3037.5488300941242</v>
      </c>
      <c r="W14" s="580">
        <f>'Functional P&amp;L'!W45</f>
        <v>-2632.1932365227585</v>
      </c>
      <c r="X14" s="580">
        <f>'Functional P&amp;L'!X45</f>
        <v>-3782.9020133278223</v>
      </c>
      <c r="Y14" s="580">
        <f>'Functional P&amp;L'!Y45</f>
        <v>-3587.5091414999511</v>
      </c>
      <c r="Z14" s="580">
        <f>'Functional P&amp;L'!Z45</f>
        <v>-3685.0579947835504</v>
      </c>
      <c r="AA14" s="580">
        <f>'Functional P&amp;L'!AA45</f>
        <v>-3345.7365952886803</v>
      </c>
      <c r="AB14" s="566"/>
      <c r="AC14" s="1060"/>
      <c r="AD14" s="1060"/>
      <c r="AE14" s="1206"/>
      <c r="AF14" s="712">
        <f>SUM(P14:S14)</f>
        <v>-3665.1933993797493</v>
      </c>
      <c r="AG14" s="712">
        <f>SUM(T14:W14)</f>
        <v>-11945.659409207103</v>
      </c>
      <c r="AH14" s="795">
        <f>SUM(X14:AA14)</f>
        <v>-14401.205744900002</v>
      </c>
    </row>
    <row r="15" spans="1:35" s="664" customFormat="1" ht="12.75" customHeight="1" x14ac:dyDescent="0.2">
      <c r="A15" s="1063"/>
      <c r="B15" s="1205" t="s">
        <v>1095</v>
      </c>
      <c r="C15" s="1053"/>
      <c r="D15" s="1204"/>
      <c r="E15" s="1204"/>
      <c r="F15" s="1204"/>
      <c r="G15" s="1204"/>
      <c r="H15" s="1204"/>
      <c r="I15" s="1204"/>
      <c r="J15" s="1204"/>
      <c r="K15" s="1204"/>
      <c r="L15" s="1204"/>
      <c r="M15" s="1204"/>
      <c r="N15" s="1204"/>
      <c r="O15" s="1204"/>
      <c r="P15" s="1204"/>
      <c r="Q15" s="1204"/>
      <c r="R15" s="984">
        <v>11326.72092</v>
      </c>
      <c r="S15" s="1203">
        <f t="shared" ref="S15:AA15" si="1">SUM(S13:S14)</f>
        <v>9564.1632206202485</v>
      </c>
      <c r="T15" s="1203">
        <f t="shared" si="1"/>
        <v>6302.7515638842697</v>
      </c>
      <c r="U15" s="1203">
        <f t="shared" si="1"/>
        <v>3288.2458780300281</v>
      </c>
      <c r="V15" s="1203">
        <f t="shared" si="1"/>
        <v>250.69704793590381</v>
      </c>
      <c r="W15" s="1203">
        <f t="shared" si="1"/>
        <v>-2381.4961885868547</v>
      </c>
      <c r="X15" s="1203">
        <f t="shared" si="1"/>
        <v>-6164.398201914677</v>
      </c>
      <c r="Y15" s="1203">
        <f t="shared" si="1"/>
        <v>-9751.9073434146285</v>
      </c>
      <c r="Z15" s="1203">
        <f t="shared" si="1"/>
        <v>-13436.965338198179</v>
      </c>
      <c r="AA15" s="1203">
        <f t="shared" si="1"/>
        <v>-16782.70193348686</v>
      </c>
      <c r="AB15" s="1053"/>
      <c r="AC15" s="1202"/>
      <c r="AD15" s="1202"/>
      <c r="AE15" s="1201"/>
      <c r="AF15" s="1200">
        <f>SUM(AF13:AF14)</f>
        <v>9564.1632206202485</v>
      </c>
      <c r="AG15" s="1200">
        <f>SUM(AG13:AG14)</f>
        <v>-2381.4961885868543</v>
      </c>
      <c r="AH15" s="1199">
        <f>SUM(AH13:AH14)</f>
        <v>-16782.701933486856</v>
      </c>
    </row>
    <row r="16" spans="1:35" s="664" customFormat="1" ht="12.75" customHeight="1" x14ac:dyDescent="0.2">
      <c r="A16" s="1063"/>
      <c r="B16" s="1198"/>
      <c r="O16" s="1178"/>
      <c r="Q16" s="1175"/>
      <c r="R16" s="1175"/>
      <c r="S16" s="1175"/>
      <c r="T16" s="1175"/>
      <c r="U16" s="1175"/>
      <c r="V16" s="1175"/>
      <c r="W16" s="1175"/>
      <c r="X16" s="1175"/>
      <c r="Y16" s="1175"/>
      <c r="Z16" s="1175"/>
      <c r="AA16" s="1175"/>
      <c r="AE16" s="1175"/>
      <c r="AH16" s="1175"/>
    </row>
    <row r="17" spans="18:27" x14ac:dyDescent="0.2">
      <c r="R17" s="1048">
        <v>-1439.8019771952845</v>
      </c>
      <c r="S17" s="1048">
        <v>-1395.4004019761683</v>
      </c>
      <c r="T17" s="1048">
        <v>-2415.2807958846515</v>
      </c>
      <c r="U17" s="1048">
        <v>-2350.1590015447509</v>
      </c>
      <c r="V17" s="1048">
        <v>-2107.7482713128602</v>
      </c>
      <c r="W17" s="1048">
        <v>-994.33762387858064</v>
      </c>
      <c r="X17" s="1048">
        <v>-3488.4185613193122</v>
      </c>
      <c r="Y17" s="1048">
        <v>-2814.9515843094714</v>
      </c>
      <c r="Z17" s="1048">
        <v>-2838.5524776052898</v>
      </c>
      <c r="AA17" s="1048">
        <v>-1519.4435705394694</v>
      </c>
    </row>
    <row r="18" spans="18:27" x14ac:dyDescent="0.2">
      <c r="R18" s="1197">
        <f t="shared" ref="R18:AA18" si="2">+R14-R17</f>
        <v>-462.8337228047144</v>
      </c>
      <c r="S18" s="1197">
        <f t="shared" si="2"/>
        <v>-367.15729740358233</v>
      </c>
      <c r="T18" s="1197">
        <f t="shared" si="2"/>
        <v>-846.13086085132727</v>
      </c>
      <c r="U18" s="1197">
        <f t="shared" si="2"/>
        <v>-664.34668430949068</v>
      </c>
      <c r="V18" s="1197">
        <f t="shared" si="2"/>
        <v>-929.80055878126404</v>
      </c>
      <c r="W18" s="1197">
        <f t="shared" si="2"/>
        <v>-1637.8556126441779</v>
      </c>
      <c r="X18" s="1197">
        <f t="shared" si="2"/>
        <v>-294.48345200851008</v>
      </c>
      <c r="Y18" s="1197">
        <f t="shared" si="2"/>
        <v>-772.55755719047966</v>
      </c>
      <c r="Z18" s="1197">
        <f t="shared" si="2"/>
        <v>-846.50551717826056</v>
      </c>
      <c r="AA18" s="1197">
        <f t="shared" si="2"/>
        <v>-1826.2930247492109</v>
      </c>
    </row>
  </sheetData>
  <pageMargins left="0.7" right="0.7" top="0.75" bottom="0.75" header="0.3" footer="0.3"/>
  <pageSetup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E2955-9C9B-429A-B35B-67FB4D6673BD}">
  <sheetPr>
    <tabColor theme="9"/>
  </sheetPr>
  <dimension ref="A1"/>
  <sheetViews>
    <sheetView workbookViewId="0">
      <selection activeCell="R36" sqref="R36"/>
    </sheetView>
  </sheetViews>
  <sheetFormatPr defaultRowHeight="15" x14ac:dyDescent="0.25"/>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0C24A8-FFC8-4C6E-AAEB-3E4AC18E9B41}">
  <sheetPr>
    <tabColor theme="9"/>
  </sheetPr>
  <dimension ref="B3:AB107"/>
  <sheetViews>
    <sheetView showGridLines="0" zoomScale="80" zoomScaleNormal="80" workbookViewId="0">
      <selection activeCell="J35" sqref="J35"/>
    </sheetView>
  </sheetViews>
  <sheetFormatPr defaultColWidth="9.140625" defaultRowHeight="15" outlineLevelRow="1" x14ac:dyDescent="0.25"/>
  <cols>
    <col min="2" max="2" width="17.5703125" customWidth="1"/>
    <col min="3" max="3" width="12.28515625" bestFit="1" customWidth="1"/>
    <col min="8" max="8" width="6.140625" customWidth="1"/>
  </cols>
  <sheetData>
    <row r="3" spans="2:28" x14ac:dyDescent="0.25">
      <c r="C3" s="515"/>
      <c r="D3" s="515"/>
      <c r="E3" s="515"/>
      <c r="F3" s="515"/>
      <c r="G3" s="515"/>
      <c r="I3" s="515" t="s">
        <v>40</v>
      </c>
      <c r="J3" s="515"/>
      <c r="K3" s="515"/>
      <c r="L3" s="517"/>
      <c r="M3" s="515" t="s">
        <v>41</v>
      </c>
      <c r="N3" s="515"/>
      <c r="O3" s="515"/>
      <c r="P3" s="515"/>
      <c r="Q3" s="516" t="s">
        <v>233</v>
      </c>
      <c r="R3" s="515"/>
      <c r="S3" s="515"/>
      <c r="T3" s="515"/>
      <c r="U3" s="516" t="s">
        <v>234</v>
      </c>
      <c r="V3" s="515"/>
      <c r="W3" s="515"/>
      <c r="X3" s="515"/>
      <c r="Y3" s="516" t="s">
        <v>235</v>
      </c>
      <c r="Z3" s="515"/>
      <c r="AA3" s="515"/>
      <c r="AB3" s="515"/>
    </row>
    <row r="4" spans="2:28" x14ac:dyDescent="0.25">
      <c r="C4" s="514" t="s">
        <v>40</v>
      </c>
      <c r="D4" s="514" t="s">
        <v>41</v>
      </c>
      <c r="E4" s="514" t="s">
        <v>233</v>
      </c>
      <c r="F4" s="514" t="s">
        <v>234</v>
      </c>
      <c r="G4" s="513" t="s">
        <v>235</v>
      </c>
      <c r="I4" s="514" t="s">
        <v>210</v>
      </c>
      <c r="J4" s="514" t="s">
        <v>211</v>
      </c>
      <c r="K4" s="514" t="s">
        <v>212</v>
      </c>
      <c r="L4" s="514" t="s">
        <v>213</v>
      </c>
      <c r="M4" s="514" t="s">
        <v>214</v>
      </c>
      <c r="N4" s="514" t="s">
        <v>215</v>
      </c>
      <c r="O4" s="514" t="s">
        <v>216</v>
      </c>
      <c r="P4" s="514" t="s">
        <v>217</v>
      </c>
      <c r="Q4" s="514" t="s">
        <v>236</v>
      </c>
      <c r="R4" s="514" t="s">
        <v>237</v>
      </c>
      <c r="S4" s="514" t="s">
        <v>238</v>
      </c>
      <c r="T4" s="514" t="s">
        <v>239</v>
      </c>
      <c r="U4" s="514" t="s">
        <v>240</v>
      </c>
      <c r="V4" s="514" t="s">
        <v>241</v>
      </c>
      <c r="W4" s="514" t="s">
        <v>242</v>
      </c>
      <c r="X4" s="514" t="s">
        <v>243</v>
      </c>
      <c r="Y4" s="514" t="s">
        <v>244</v>
      </c>
      <c r="Z4" s="514" t="s">
        <v>245</v>
      </c>
      <c r="AA4" s="514" t="s">
        <v>246</v>
      </c>
      <c r="AB4" s="513" t="s">
        <v>247</v>
      </c>
    </row>
    <row r="5" spans="2:28" x14ac:dyDescent="0.25">
      <c r="C5" s="16"/>
      <c r="D5" s="16"/>
      <c r="E5" s="16"/>
      <c r="F5" s="16"/>
      <c r="G5" s="16"/>
      <c r="H5" s="16"/>
    </row>
    <row r="6" spans="2:28" x14ac:dyDescent="0.25">
      <c r="B6" s="3" t="s">
        <v>865</v>
      </c>
      <c r="C6" s="365"/>
      <c r="D6" s="365"/>
      <c r="E6" s="365"/>
      <c r="F6" s="365"/>
      <c r="G6" s="365"/>
      <c r="H6" s="365"/>
      <c r="I6" s="3"/>
      <c r="J6" s="3"/>
      <c r="K6" s="3"/>
      <c r="L6" s="3"/>
      <c r="M6" s="3"/>
      <c r="N6" s="3"/>
      <c r="O6" s="3"/>
      <c r="P6" s="3"/>
      <c r="Q6" s="3"/>
      <c r="R6" s="3"/>
      <c r="S6" s="3"/>
      <c r="T6" s="3"/>
      <c r="U6" s="3"/>
      <c r="V6" s="3"/>
      <c r="W6" s="3"/>
      <c r="X6" s="3"/>
      <c r="Y6" s="3"/>
      <c r="Z6" s="3"/>
      <c r="AA6" s="3"/>
      <c r="AB6" s="3"/>
    </row>
    <row r="8" spans="2:28" x14ac:dyDescent="0.25">
      <c r="B8" t="s">
        <v>872</v>
      </c>
      <c r="C8" s="1451">
        <f>Model!H30/1000000</f>
        <v>0</v>
      </c>
      <c r="D8" s="1451">
        <f>Model!I30/1000000</f>
        <v>0.13303423248396229</v>
      </c>
      <c r="E8" s="1451">
        <f>Model!J30/1000000</f>
        <v>4.116576358802746</v>
      </c>
      <c r="F8" s="1451">
        <f>Model!K30/1000000</f>
        <v>23.775352786932459</v>
      </c>
      <c r="G8" s="1451">
        <f>Model!L30/1000000</f>
        <v>56.905564678244708</v>
      </c>
      <c r="I8" s="1451">
        <f>Model!AD30/1000000</f>
        <v>0</v>
      </c>
      <c r="J8" s="1451">
        <f>Model!AE30/1000000</f>
        <v>8.8073765613888595E-3</v>
      </c>
      <c r="K8" s="1451">
        <f>Model!AF30/1000000</f>
        <v>2.0525642691879727E-2</v>
      </c>
      <c r="L8" s="1451">
        <f>Model!AG30/1000000</f>
        <v>3.2078476948866057E-2</v>
      </c>
      <c r="M8" s="1451">
        <f>Model!AH30/1000000</f>
        <v>0.13303423248396226</v>
      </c>
      <c r="N8" s="1451">
        <f>Model!AI30/1000000</f>
        <v>0.66463650351020032</v>
      </c>
      <c r="O8" s="1451">
        <f>Model!AJ30/1000000</f>
        <v>1.3867531601555778</v>
      </c>
      <c r="P8" s="1451">
        <f>Model!AK30/1000000</f>
        <v>2.3864242233562272</v>
      </c>
      <c r="Q8" s="1451">
        <f>Model!AL30/1000000</f>
        <v>4.1165763588027451</v>
      </c>
      <c r="R8" s="1451">
        <f>Model!AM30/1000000</f>
        <v>7.6938492479088545</v>
      </c>
      <c r="S8" s="1451">
        <f>Model!AN30/1000000</f>
        <v>12.564069685574264</v>
      </c>
      <c r="T8" s="1451">
        <f>Model!AO30/1000000</f>
        <v>17.134408172987801</v>
      </c>
      <c r="U8" s="1451">
        <f>Model!AP30/1000000</f>
        <v>23.775352786932459</v>
      </c>
      <c r="V8" s="1451">
        <f>Model!AQ30/1000000</f>
        <v>29.773721967021093</v>
      </c>
      <c r="W8" s="1451">
        <f>Model!AR30/1000000</f>
        <v>38.001659038068262</v>
      </c>
      <c r="X8" s="1451">
        <f>Model!AS30/1000000</f>
        <v>45.729423377185299</v>
      </c>
      <c r="Y8" s="1451">
        <f>Model!AT30/1000000</f>
        <v>56.905564678244708</v>
      </c>
      <c r="Z8" s="1451">
        <f>Model!AU30/1000000</f>
        <v>66.555883571028971</v>
      </c>
      <c r="AA8" s="1451">
        <f>Model!AV30/1000000</f>
        <v>79.85377800828212</v>
      </c>
      <c r="AB8" s="1451">
        <f>Model!AW30/1000000</f>
        <v>92.349610175124866</v>
      </c>
    </row>
    <row r="9" spans="2:28" x14ac:dyDescent="0.25">
      <c r="B9" s="258" t="s">
        <v>585</v>
      </c>
      <c r="C9" s="1451">
        <f>Model!H31/1000000</f>
        <v>8.326777000527634E-2</v>
      </c>
      <c r="D9" s="1451">
        <f>Model!I31/1000000</f>
        <v>1.3819755183095295</v>
      </c>
      <c r="E9" s="1451">
        <f>Model!J31/1000000</f>
        <v>3.8041317983896947</v>
      </c>
      <c r="F9" s="1451">
        <f>Model!K31/1000000</f>
        <v>6.6176509830734158</v>
      </c>
      <c r="G9" s="1451">
        <f>Model!L31/1000000</f>
        <v>12.957844374738718</v>
      </c>
      <c r="I9" s="487">
        <f>Model!AD31/1000000</f>
        <v>0</v>
      </c>
      <c r="J9" s="487">
        <f>Model!AE31/1000000</f>
        <v>0</v>
      </c>
      <c r="K9" s="487">
        <f>Model!AF31/1000000</f>
        <v>0</v>
      </c>
      <c r="L9" s="487">
        <f>Model!AG31/1000000</f>
        <v>8.326777000527634E-2</v>
      </c>
      <c r="M9" s="487">
        <f>Model!AH31/1000000</f>
        <v>5.752867883261769E-2</v>
      </c>
      <c r="N9" s="487">
        <f>Model!AI31/1000000</f>
        <v>7.8061187955704395E-2</v>
      </c>
      <c r="O9" s="487">
        <f>Model!AJ31/1000000</f>
        <v>0.39541623579183072</v>
      </c>
      <c r="P9" s="487">
        <f>Model!AK31/1000000</f>
        <v>0.85096941572937645</v>
      </c>
      <c r="Q9" s="487">
        <f>Model!AL31/1000000</f>
        <v>0.69377523944694086</v>
      </c>
      <c r="R9" s="487">
        <f>Model!AM31/1000000</f>
        <v>0.94138993740936605</v>
      </c>
      <c r="S9" s="487">
        <f>Model!AN31/1000000</f>
        <v>0.88309479857745143</v>
      </c>
      <c r="T9" s="487">
        <f>Model!AO31/1000000</f>
        <v>1.2858718229559361</v>
      </c>
      <c r="U9" s="487">
        <f>Model!AP31/1000000</f>
        <v>1.2068883620965767</v>
      </c>
      <c r="V9" s="487">
        <f>Model!AQ31/1000000</f>
        <v>1.6376378040817645</v>
      </c>
      <c r="W9" s="487">
        <f>Model!AR31/1000000</f>
        <v>1.5362278363822433</v>
      </c>
      <c r="X9" s="487">
        <f>Model!AS31/1000000</f>
        <v>2.236896980512832</v>
      </c>
      <c r="Y9" s="487">
        <f>Model!AT31/1000000</f>
        <v>2.3631756364503422</v>
      </c>
      <c r="Z9" s="487">
        <f>Model!AU31/1000000</f>
        <v>3.2066145316151289</v>
      </c>
      <c r="AA9" s="487">
        <f>Model!AV31/1000000</f>
        <v>3.0080464017970479</v>
      </c>
      <c r="AB9" s="487">
        <f>Model!AW31/1000000</f>
        <v>4.3800078048762003</v>
      </c>
    </row>
    <row r="10" spans="2:28" x14ac:dyDescent="0.25">
      <c r="B10" s="258" t="s">
        <v>584</v>
      </c>
      <c r="C10" s="1451">
        <f>Model!H32/1000000</f>
        <v>4.9766462478685942E-2</v>
      </c>
      <c r="D10" s="1451">
        <f>Model!I32/1000000</f>
        <v>2.6180244816904708</v>
      </c>
      <c r="E10" s="1451">
        <f>Model!J32/1000000</f>
        <v>16.195868201610306</v>
      </c>
      <c r="F10" s="1451">
        <f>Model!K32/1000000</f>
        <v>28.382349016926586</v>
      </c>
      <c r="G10" s="1451">
        <f>Model!L32/1000000</f>
        <v>44.792155625261266</v>
      </c>
      <c r="I10" s="487">
        <f>Model!AD32/1000000</f>
        <v>8.8073765613888595E-3</v>
      </c>
      <c r="J10" s="487">
        <f>Model!AE32/1000000</f>
        <v>1.1718266130490868E-2</v>
      </c>
      <c r="K10" s="487">
        <f>Model!AF32/1000000</f>
        <v>1.1552834256986328E-2</v>
      </c>
      <c r="L10" s="487">
        <f>Model!AG32/1000000</f>
        <v>1.7687985529819886E-2</v>
      </c>
      <c r="M10" s="487">
        <f>Model!AH32/1000000</f>
        <v>0.47745994563900646</v>
      </c>
      <c r="N10" s="487">
        <f>Model!AI32/1000000</f>
        <v>0.64786974625801563</v>
      </c>
      <c r="O10" s="487">
        <f>Model!AJ32/1000000</f>
        <v>0.60775071024299088</v>
      </c>
      <c r="P10" s="487">
        <f>Model!AK32/1000000</f>
        <v>0.88494407955045762</v>
      </c>
      <c r="Q10" s="487">
        <f>Model!AL32/1000000</f>
        <v>2.9537074252736604</v>
      </c>
      <c r="R10" s="487">
        <f>Model!AM32/1000000</f>
        <v>4.0079124911124877</v>
      </c>
      <c r="S10" s="487">
        <f>Model!AN32/1000000</f>
        <v>3.7597243537519671</v>
      </c>
      <c r="T10" s="487">
        <f>Model!AO32/1000000</f>
        <v>5.4745239314721896</v>
      </c>
      <c r="U10" s="487">
        <f>Model!AP32/1000000</f>
        <v>5.176206301164477</v>
      </c>
      <c r="V10" s="487">
        <f>Model!AQ32/1000000</f>
        <v>7.0236414458314806</v>
      </c>
      <c r="W10" s="487">
        <f>Model!AR32/1000000</f>
        <v>6.5887056801942423</v>
      </c>
      <c r="X10" s="487">
        <f>Model!AS32/1000000</f>
        <v>9.5937955897363896</v>
      </c>
      <c r="Y10" s="487">
        <f>Model!AT32/1000000</f>
        <v>8.168930557930393</v>
      </c>
      <c r="Z10" s="487">
        <f>Model!AU32/1000000</f>
        <v>11.084496230741721</v>
      </c>
      <c r="AA10" s="487">
        <f>Model!AV32/1000000</f>
        <v>10.398093900554148</v>
      </c>
      <c r="AB10" s="487">
        <f>Model!AW32/1000000</f>
        <v>15.140634936035012</v>
      </c>
    </row>
    <row r="11" spans="2:28" x14ac:dyDescent="0.25">
      <c r="B11" s="258" t="s">
        <v>22</v>
      </c>
      <c r="C11" s="1452">
        <f>Model!H33/1000000</f>
        <v>0</v>
      </c>
      <c r="D11" s="1452">
        <f>Model!I33/1000000</f>
        <v>-1.6457873681216938E-2</v>
      </c>
      <c r="E11" s="1452">
        <f>Model!J33/1000000</f>
        <v>-0.34122357187028624</v>
      </c>
      <c r="F11" s="1452">
        <f>Model!K33/1000000</f>
        <v>-1.8697881086877539</v>
      </c>
      <c r="G11" s="1452">
        <f>Model!L33/1000000</f>
        <v>-4.2855373065528388</v>
      </c>
      <c r="I11" s="484">
        <f>Model!AD33/1000000</f>
        <v>0</v>
      </c>
      <c r="J11" s="484">
        <f>Model!AE33/1000000</f>
        <v>0</v>
      </c>
      <c r="K11" s="484">
        <f>Model!AF33/1000000</f>
        <v>0</v>
      </c>
      <c r="L11" s="484">
        <f>Model!AG33/1000000</f>
        <v>0</v>
      </c>
      <c r="M11" s="484">
        <f>Model!AH33/1000000</f>
        <v>-3.3863534453861359E-3</v>
      </c>
      <c r="N11" s="484">
        <f>Model!AI33/1000000</f>
        <v>-3.8142775683424365E-3</v>
      </c>
      <c r="O11" s="484">
        <f>Model!AJ33/1000000</f>
        <v>-3.4958828341720601E-3</v>
      </c>
      <c r="P11" s="484">
        <f>Model!AK33/1000000</f>
        <v>-5.7613598333163081E-3</v>
      </c>
      <c r="Q11" s="484">
        <f>Model!AL33/1000000</f>
        <v>-7.0209775614492764E-2</v>
      </c>
      <c r="R11" s="484">
        <f>Model!AM33/1000000</f>
        <v>-7.9081990856444462E-2</v>
      </c>
      <c r="S11" s="484">
        <f>Model!AN33/1000000</f>
        <v>-7.2480664915882703E-2</v>
      </c>
      <c r="T11" s="484">
        <f>Model!AO33/1000000</f>
        <v>-0.11945114048346632</v>
      </c>
      <c r="U11" s="484">
        <f>Model!AP33/1000000</f>
        <v>-0.38472548317241756</v>
      </c>
      <c r="V11" s="484">
        <f>Model!AQ33/1000000</f>
        <v>-0.43334217886607196</v>
      </c>
      <c r="W11" s="484">
        <f>Model!AR33/1000000</f>
        <v>-0.39716917745945601</v>
      </c>
      <c r="X11" s="484">
        <f>Model!AS33/1000000</f>
        <v>-0.65455126918980844</v>
      </c>
      <c r="Y11" s="484">
        <f>Model!AT33/1000000</f>
        <v>-0.88178730159648067</v>
      </c>
      <c r="Z11" s="484">
        <f>Model!AU33/1000000</f>
        <v>-0.99321632510369762</v>
      </c>
      <c r="AA11" s="484">
        <f>Model!AV33/1000000</f>
        <v>-0.91030813550844092</v>
      </c>
      <c r="AB11" s="484">
        <f>Model!AW33/1000000</f>
        <v>-1.500225544344219</v>
      </c>
    </row>
    <row r="12" spans="2:28" x14ac:dyDescent="0.25">
      <c r="B12" s="512" t="s">
        <v>24</v>
      </c>
      <c r="C12" s="1453">
        <f>Model!H34/1000000</f>
        <v>0.13303423248396229</v>
      </c>
      <c r="D12" s="1453">
        <f>Model!I34/1000000</f>
        <v>4.116576358802746</v>
      </c>
      <c r="E12" s="1453">
        <f>Model!J34/1000000</f>
        <v>23.775352786932459</v>
      </c>
      <c r="F12" s="1453">
        <f>Model!K34/1000000</f>
        <v>56.905564678244708</v>
      </c>
      <c r="G12" s="1453">
        <f>Model!L34/1000000</f>
        <v>110.37002737169186</v>
      </c>
      <c r="I12" s="1453">
        <f>Model!AD34/1000000</f>
        <v>8.8073765613888595E-3</v>
      </c>
      <c r="J12" s="1453">
        <f>Model!AE34/1000000</f>
        <v>2.0525642691879727E-2</v>
      </c>
      <c r="K12" s="1453">
        <f>Model!AF34/1000000</f>
        <v>3.207847694886605E-2</v>
      </c>
      <c r="L12" s="1453">
        <f>Model!AG34/1000000</f>
        <v>0.13303423248396229</v>
      </c>
      <c r="M12" s="1453">
        <f>Model!AH34/1000000</f>
        <v>0.66463650351020032</v>
      </c>
      <c r="N12" s="1453">
        <f>Model!AI34/1000000</f>
        <v>1.3867531601555778</v>
      </c>
      <c r="O12" s="1453">
        <f>Model!AJ34/1000000</f>
        <v>2.3864242233562272</v>
      </c>
      <c r="P12" s="1453">
        <f>Model!AK34/1000000</f>
        <v>4.1165763588027451</v>
      </c>
      <c r="Q12" s="1453">
        <f>Model!AL34/1000000</f>
        <v>7.6938492479088536</v>
      </c>
      <c r="R12" s="1453">
        <f>Model!AM34/1000000</f>
        <v>12.564069685574264</v>
      </c>
      <c r="S12" s="1453">
        <f>Model!AN34/1000000</f>
        <v>17.134408172987801</v>
      </c>
      <c r="T12" s="1453">
        <f>Model!AO34/1000000</f>
        <v>23.775352786932462</v>
      </c>
      <c r="U12" s="1453">
        <f>Model!AP34/1000000</f>
        <v>29.773721967021096</v>
      </c>
      <c r="V12" s="1453">
        <f>Model!AQ34/1000000</f>
        <v>38.001659038068262</v>
      </c>
      <c r="W12" s="1453">
        <f>Model!AR34/1000000</f>
        <v>45.729423377185292</v>
      </c>
      <c r="X12" s="1453">
        <f>Model!AS34/1000000</f>
        <v>56.905564678244716</v>
      </c>
      <c r="Y12" s="1453">
        <f>Model!AT34/1000000</f>
        <v>66.555883571028957</v>
      </c>
      <c r="Z12" s="1453">
        <f>Model!AU34/1000000</f>
        <v>79.85377800828212</v>
      </c>
      <c r="AA12" s="1453">
        <f>Model!AV34/1000000</f>
        <v>92.349610175124866</v>
      </c>
      <c r="AB12" s="1453">
        <f>Model!AW34/1000000</f>
        <v>110.37002737169185</v>
      </c>
    </row>
    <row r="13" spans="2:28" x14ac:dyDescent="0.25">
      <c r="B13" s="511" t="s">
        <v>871</v>
      </c>
      <c r="C13" s="19" t="str">
        <f>IFERROR(SUM(C11)/C8+1,"")</f>
        <v/>
      </c>
      <c r="D13" s="1454">
        <f>IFERROR(SUM(D11)/D8+1,"")</f>
        <v>0.87628843062479433</v>
      </c>
      <c r="E13" s="1454">
        <f>IFERROR(SUM(E11)/E8+1,"")</f>
        <v>0.91710986457456922</v>
      </c>
      <c r="F13" s="1454">
        <f>IFERROR(SUM(F11)/F8+1,"")</f>
        <v>0.92135603095170737</v>
      </c>
      <c r="G13" s="1454">
        <f>IFERROR(SUM(G11)/G8+1,"")</f>
        <v>0.92469036497952151</v>
      </c>
      <c r="I13" s="509"/>
      <c r="J13" s="509"/>
      <c r="K13" s="509"/>
      <c r="L13" s="509"/>
      <c r="M13" s="509"/>
      <c r="N13" s="509"/>
      <c r="O13" s="509"/>
      <c r="P13" s="509"/>
      <c r="Q13" s="509"/>
      <c r="R13" s="509"/>
      <c r="S13" s="509"/>
      <c r="T13" s="509"/>
      <c r="U13" s="509"/>
      <c r="V13" s="509"/>
      <c r="W13" s="509"/>
      <c r="X13" s="509"/>
      <c r="Y13" s="509"/>
      <c r="Z13" s="509"/>
      <c r="AA13" s="509"/>
      <c r="AB13" s="509"/>
    </row>
    <row r="15" spans="2:28" x14ac:dyDescent="0.25">
      <c r="B15" s="2" t="s">
        <v>31</v>
      </c>
      <c r="C15" s="1455">
        <f>SUM(I15:L15)</f>
        <v>3.2200534892837723E-2</v>
      </c>
      <c r="D15" s="1455">
        <f>SUM(M15:P15)</f>
        <v>1.604808913238293</v>
      </c>
      <c r="E15" s="1455">
        <f>SUM(Q15:T15)</f>
        <v>12.403268208546585</v>
      </c>
      <c r="F15" s="1455">
        <f>SUM(U15:X15)</f>
        <v>36.842349965139285</v>
      </c>
      <c r="G15" s="1455">
        <f>SUM(Y15:AB15)</f>
        <v>77.006476982233295</v>
      </c>
      <c r="H15" s="510"/>
      <c r="I15" s="1451">
        <f>Model!AD37/1000000</f>
        <v>1.081876640557112E-3</v>
      </c>
      <c r="J15" s="1451">
        <f>Model!AE37/1000000</f>
        <v>3.6492919249387005E-3</v>
      </c>
      <c r="K15" s="1451">
        <f>Model!AF37/1000000</f>
        <v>6.3606598964423685E-3</v>
      </c>
      <c r="L15" s="1451">
        <f>Model!AG37/1000000</f>
        <v>2.1108706430899543E-2</v>
      </c>
      <c r="M15" s="1451">
        <f>Model!AH37/1000000</f>
        <v>9.7346243062171919E-2</v>
      </c>
      <c r="N15" s="1451">
        <f>Model!AI37/1000000</f>
        <v>0.25459268412244512</v>
      </c>
      <c r="O15" s="1451">
        <f>Model!AJ37/1000000</f>
        <v>0.45803966632901782</v>
      </c>
      <c r="P15" s="1451">
        <f>Model!AK37/1000000</f>
        <v>0.79483031972465812</v>
      </c>
      <c r="Q15" s="1451">
        <f>Model!AL37/1000000</f>
        <v>1.4180079678292645</v>
      </c>
      <c r="R15" s="1451">
        <f>Model!AM37/1000000</f>
        <v>2.4775382709458333</v>
      </c>
      <c r="S15" s="1451">
        <f>Model!AN37/1000000</f>
        <v>3.567934511318315</v>
      </c>
      <c r="T15" s="1451">
        <f>Model!AO37/1000000</f>
        <v>4.9397874584531714</v>
      </c>
      <c r="U15" s="1451">
        <f>Model!AP37/1000000</f>
        <v>6.3736174244156443</v>
      </c>
      <c r="V15" s="1451">
        <f>Model!AQ37/1000000</f>
        <v>8.1580246792790287</v>
      </c>
      <c r="W15" s="1451">
        <f>Model!AR37/1000000</f>
        <v>9.9983369680708396</v>
      </c>
      <c r="X15" s="1451">
        <f>Model!AS37/1000000</f>
        <v>12.312370893373773</v>
      </c>
      <c r="Y15" s="1451">
        <f>Model!AT37/1000000</f>
        <v>14.672435382876209</v>
      </c>
      <c r="Z15" s="1451">
        <f>Model!AU37/1000000</f>
        <v>17.550898109933154</v>
      </c>
      <c r="AA15" s="1451">
        <f>Model!AV37/1000000</f>
        <v>20.523386494153865</v>
      </c>
      <c r="AB15" s="1451">
        <f>Model!AW37/1000000</f>
        <v>24.25975699527007</v>
      </c>
    </row>
    <row r="16" spans="2:28" x14ac:dyDescent="0.25">
      <c r="B16" s="2" t="s">
        <v>3</v>
      </c>
      <c r="C16" s="1456">
        <f>SUM(I16:L16)</f>
        <v>8.1494045298095372E-3</v>
      </c>
      <c r="D16" s="1456">
        <f>SUM(M16:P16)</f>
        <v>0.39442713706766752</v>
      </c>
      <c r="E16" s="1456">
        <f>SUM(Q16:T16)</f>
        <v>2.9192167660404298</v>
      </c>
      <c r="F16" s="1456">
        <f>SUM(U16:X16)</f>
        <v>8.30770016027442</v>
      </c>
      <c r="G16" s="1456">
        <f>SUM(Y16:AB16)</f>
        <v>16.201016186809412</v>
      </c>
      <c r="H16" s="16"/>
      <c r="I16" s="1456">
        <f t="shared" ref="I16:AB16" si="0">I15*I82</f>
        <v>2.9044709034657711E-4</v>
      </c>
      <c r="J16" s="1456">
        <f t="shared" si="0"/>
        <v>9.5429560757264093E-4</v>
      </c>
      <c r="K16" s="1456">
        <f t="shared" si="0"/>
        <v>1.6487569273516737E-3</v>
      </c>
      <c r="L16" s="1456">
        <f t="shared" si="0"/>
        <v>5.255904904538645E-3</v>
      </c>
      <c r="M16" s="1456">
        <f t="shared" si="0"/>
        <v>2.4557437176309968E-2</v>
      </c>
      <c r="N16" s="1456">
        <f t="shared" si="0"/>
        <v>6.322532850906093E-2</v>
      </c>
      <c r="O16" s="1456">
        <f t="shared" si="0"/>
        <v>0.11394413127736967</v>
      </c>
      <c r="P16" s="1456">
        <f t="shared" si="0"/>
        <v>0.19270024010492698</v>
      </c>
      <c r="Q16" s="1456">
        <f t="shared" si="0"/>
        <v>0.34568632170415248</v>
      </c>
      <c r="R16" s="1456">
        <f t="shared" si="0"/>
        <v>0.58999334610318965</v>
      </c>
      <c r="S16" s="1456">
        <f t="shared" si="0"/>
        <v>0.84689291569107561</v>
      </c>
      <c r="T16" s="1456">
        <f t="shared" si="0"/>
        <v>1.1366441825420122</v>
      </c>
      <c r="U16" s="1456">
        <f t="shared" si="0"/>
        <v>1.4748329744516377</v>
      </c>
      <c r="V16" s="1456">
        <f t="shared" si="0"/>
        <v>1.8519905138502322</v>
      </c>
      <c r="W16" s="1456">
        <f t="shared" si="0"/>
        <v>2.2664967747013214</v>
      </c>
      <c r="X16" s="1456">
        <f t="shared" si="0"/>
        <v>2.714379897271229</v>
      </c>
      <c r="Y16" s="1456">
        <f t="shared" si="0"/>
        <v>3.231540718296801</v>
      </c>
      <c r="Z16" s="1456">
        <f t="shared" si="0"/>
        <v>3.7383673998305564</v>
      </c>
      <c r="AA16" s="1456">
        <f t="shared" si="0"/>
        <v>4.3175687519102279</v>
      </c>
      <c r="AB16" s="1456">
        <f t="shared" si="0"/>
        <v>4.9135393167718258</v>
      </c>
    </row>
    <row r="17" spans="2:28" x14ac:dyDescent="0.25">
      <c r="B17" s="1" t="s">
        <v>6</v>
      </c>
      <c r="C17" s="495">
        <f>SUM(I17:L17)</f>
        <v>2.4051130363028188E-2</v>
      </c>
      <c r="D17" s="495">
        <f>SUM(M17:P17)</f>
        <v>1.2103817761706255</v>
      </c>
      <c r="E17" s="495">
        <f>SUM(Q17:T17)</f>
        <v>9.4840514425061535</v>
      </c>
      <c r="F17" s="495">
        <f>SUM(U17:X17)</f>
        <v>28.534649804864863</v>
      </c>
      <c r="G17" s="495">
        <f>SUM(Y17:AB17)</f>
        <v>60.805460795423897</v>
      </c>
      <c r="H17" s="16"/>
      <c r="I17" s="495">
        <f t="shared" ref="I17:AB17" si="1">I15-I16</f>
        <v>7.9142955021053486E-4</v>
      </c>
      <c r="J17" s="495">
        <f t="shared" si="1"/>
        <v>2.6949963173660595E-3</v>
      </c>
      <c r="K17" s="495">
        <f t="shared" si="1"/>
        <v>4.7119029690906953E-3</v>
      </c>
      <c r="L17" s="495">
        <f t="shared" si="1"/>
        <v>1.5852801526360899E-2</v>
      </c>
      <c r="M17" s="495">
        <f t="shared" si="1"/>
        <v>7.2788805885861951E-2</v>
      </c>
      <c r="N17" s="495">
        <f t="shared" si="1"/>
        <v>0.19136735561338419</v>
      </c>
      <c r="O17" s="495">
        <f t="shared" si="1"/>
        <v>0.34409553505164814</v>
      </c>
      <c r="P17" s="495">
        <f t="shared" si="1"/>
        <v>0.60213007961973108</v>
      </c>
      <c r="Q17" s="495">
        <f t="shared" si="1"/>
        <v>1.0723216461251122</v>
      </c>
      <c r="R17" s="495">
        <f t="shared" si="1"/>
        <v>1.8875449248426437</v>
      </c>
      <c r="S17" s="495">
        <f t="shared" si="1"/>
        <v>2.7210415956272396</v>
      </c>
      <c r="T17" s="495">
        <f t="shared" si="1"/>
        <v>3.8031432759111592</v>
      </c>
      <c r="U17" s="495">
        <f t="shared" si="1"/>
        <v>4.8987844499640065</v>
      </c>
      <c r="V17" s="495">
        <f t="shared" si="1"/>
        <v>6.3060341654287964</v>
      </c>
      <c r="W17" s="495">
        <f t="shared" si="1"/>
        <v>7.7318401933695178</v>
      </c>
      <c r="X17" s="495">
        <f t="shared" si="1"/>
        <v>9.5979909961025438</v>
      </c>
      <c r="Y17" s="495">
        <f t="shared" si="1"/>
        <v>11.440894664579409</v>
      </c>
      <c r="Z17" s="495">
        <f t="shared" si="1"/>
        <v>13.812530710102598</v>
      </c>
      <c r="AA17" s="495">
        <f t="shared" si="1"/>
        <v>16.205817742243639</v>
      </c>
      <c r="AB17" s="495">
        <f t="shared" si="1"/>
        <v>19.346217678498245</v>
      </c>
    </row>
    <row r="18" spans="2:28" x14ac:dyDescent="0.25">
      <c r="B18" s="508" t="s">
        <v>863</v>
      </c>
      <c r="C18" s="1335">
        <f>C17/C15</f>
        <v>0.74691710690737045</v>
      </c>
      <c r="D18" s="1335">
        <f>D17/D15</f>
        <v>0.75422174327797975</v>
      </c>
      <c r="E18" s="1335">
        <f>E17/E15</f>
        <v>0.76464132541865715</v>
      </c>
      <c r="F18" s="1335">
        <f>F17/F15</f>
        <v>0.7745067790698672</v>
      </c>
      <c r="G18" s="1335">
        <f>G17/G15</f>
        <v>0.78961488927032397</v>
      </c>
      <c r="H18" s="16"/>
      <c r="I18" s="1335">
        <f t="shared" ref="I18:AB18" si="2">I17/I15</f>
        <v>0.73153400354682629</v>
      </c>
      <c r="J18" s="1335">
        <f t="shared" si="2"/>
        <v>0.73849841909025382</v>
      </c>
      <c r="K18" s="1335">
        <f t="shared" si="2"/>
        <v>0.74078838450805196</v>
      </c>
      <c r="L18" s="1335">
        <f t="shared" si="2"/>
        <v>0.7510077217784934</v>
      </c>
      <c r="M18" s="1335">
        <f t="shared" si="2"/>
        <v>0.74773102275117165</v>
      </c>
      <c r="N18" s="1335">
        <f t="shared" si="2"/>
        <v>0.75166085888527334</v>
      </c>
      <c r="O18" s="1335">
        <f t="shared" si="2"/>
        <v>0.75123523211301613</v>
      </c>
      <c r="P18" s="1335">
        <f t="shared" si="2"/>
        <v>0.75755801543695334</v>
      </c>
      <c r="Q18" s="1335">
        <f t="shared" si="2"/>
        <v>0.75621693985729788</v>
      </c>
      <c r="R18" s="1335">
        <f t="shared" si="2"/>
        <v>0.76186307472136372</v>
      </c>
      <c r="S18" s="1335">
        <f t="shared" si="2"/>
        <v>0.76263776338816347</v>
      </c>
      <c r="T18" s="1335">
        <f t="shared" si="2"/>
        <v>0.76990018455208253</v>
      </c>
      <c r="U18" s="1335">
        <f t="shared" si="2"/>
        <v>0.76860346703554216</v>
      </c>
      <c r="V18" s="1335">
        <f t="shared" si="2"/>
        <v>0.77298542396492198</v>
      </c>
      <c r="W18" s="1335">
        <f t="shared" si="2"/>
        <v>0.77331262369539455</v>
      </c>
      <c r="X18" s="1335">
        <f t="shared" si="2"/>
        <v>0.77954043776150017</v>
      </c>
      <c r="Y18" s="1335">
        <f t="shared" si="2"/>
        <v>0.77975430567796256</v>
      </c>
      <c r="Z18" s="1335">
        <f t="shared" si="2"/>
        <v>0.78699851275902633</v>
      </c>
      <c r="AA18" s="1335">
        <f t="shared" si="2"/>
        <v>0.78962688476679543</v>
      </c>
      <c r="AB18" s="1335">
        <f t="shared" si="2"/>
        <v>0.79746131349420279</v>
      </c>
    </row>
    <row r="19" spans="2:28" x14ac:dyDescent="0.25">
      <c r="C19" s="16"/>
      <c r="D19" s="16"/>
      <c r="E19" s="16"/>
      <c r="F19" s="16"/>
      <c r="G19" s="16"/>
      <c r="H19" s="16"/>
    </row>
    <row r="20" spans="2:28" x14ac:dyDescent="0.25">
      <c r="B20" s="258" t="s">
        <v>10</v>
      </c>
      <c r="C20" s="1455">
        <f>SUM(I20:L20)</f>
        <v>6.6703900860400787E-3</v>
      </c>
      <c r="D20" s="1455">
        <f>SUM(M20:P20)</f>
        <v>0.32514851839203107</v>
      </c>
      <c r="E20" s="1455">
        <f>SUM(Q20:T20)</f>
        <v>2.6198133559825472</v>
      </c>
      <c r="F20" s="1455">
        <f>SUM(U20:X20)</f>
        <v>6.9929331847971516</v>
      </c>
      <c r="G20" s="1455">
        <f>SUM(Y20:AB20)</f>
        <v>17.398531835621537</v>
      </c>
      <c r="H20" s="16"/>
      <c r="I20" s="1455">
        <f t="shared" ref="I20:AB20" si="3">I83*I$15</f>
        <v>2.7590578397368161E-4</v>
      </c>
      <c r="J20" s="1455">
        <f t="shared" si="3"/>
        <v>8.582794158535328E-4</v>
      </c>
      <c r="K20" s="1455">
        <f t="shared" si="3"/>
        <v>1.3927298823362935E-3</v>
      </c>
      <c r="L20" s="1455">
        <f t="shared" si="3"/>
        <v>4.1434750038765707E-3</v>
      </c>
      <c r="M20" s="1455">
        <f t="shared" si="3"/>
        <v>2.0426959946554551E-2</v>
      </c>
      <c r="N20" s="1455">
        <f t="shared" si="3"/>
        <v>5.321940638860044E-2</v>
      </c>
      <c r="O20" s="1455">
        <f t="shared" si="3"/>
        <v>9.3901205769826926E-2</v>
      </c>
      <c r="P20" s="1455">
        <f t="shared" si="3"/>
        <v>0.15760094628704915</v>
      </c>
      <c r="Q20" s="1455">
        <f t="shared" si="3"/>
        <v>0.34685985636905109</v>
      </c>
      <c r="R20" s="1455">
        <f t="shared" si="3"/>
        <v>0.56010153096062321</v>
      </c>
      <c r="S20" s="1455">
        <f t="shared" si="3"/>
        <v>0.75710430996387368</v>
      </c>
      <c r="T20" s="1455">
        <f t="shared" si="3"/>
        <v>0.95574765868899914</v>
      </c>
      <c r="U20" s="1455">
        <f t="shared" si="3"/>
        <v>1.2882613802730019</v>
      </c>
      <c r="V20" s="1455">
        <f t="shared" si="3"/>
        <v>1.5983400186990306</v>
      </c>
      <c r="W20" s="1455">
        <f t="shared" si="3"/>
        <v>1.8933800498855518</v>
      </c>
      <c r="X20" s="1455">
        <f t="shared" si="3"/>
        <v>2.2129517359395674</v>
      </c>
      <c r="Y20" s="1455">
        <f t="shared" si="3"/>
        <v>3.3560999369850375</v>
      </c>
      <c r="Z20" s="1455">
        <f t="shared" si="3"/>
        <v>4.0323086430521373</v>
      </c>
      <c r="AA20" s="1455">
        <f t="shared" si="3"/>
        <v>4.6473258527441255</v>
      </c>
      <c r="AB20" s="1455">
        <f t="shared" si="3"/>
        <v>5.3627974028402372</v>
      </c>
    </row>
    <row r="21" spans="2:28" x14ac:dyDescent="0.25">
      <c r="B21" s="258" t="s">
        <v>11</v>
      </c>
      <c r="C21" s="1457">
        <f>SUM(I21:L21)</f>
        <v>4.4049848388054589E-3</v>
      </c>
      <c r="D21" s="1457">
        <f>SUM(M21:P21)</f>
        <v>0.21740523307483267</v>
      </c>
      <c r="E21" s="1457">
        <f>SUM(Q21:T21)</f>
        <v>1.5332356035373331</v>
      </c>
      <c r="F21" s="1457">
        <f>SUM(U21:X21)</f>
        <v>4.2509206489191351</v>
      </c>
      <c r="G21" s="1457">
        <f>SUM(Y21:AB21)</f>
        <v>8.7752545837738296</v>
      </c>
      <c r="H21" s="16"/>
      <c r="I21" s="1457">
        <f t="shared" ref="I21:AB21" si="4">I84*I$15</f>
        <v>1.675350251618494E-4</v>
      </c>
      <c r="J21" s="1457">
        <f t="shared" si="4"/>
        <v>4.8999678644136497E-4</v>
      </c>
      <c r="K21" s="1457">
        <f t="shared" si="4"/>
        <v>9.7662109770376522E-4</v>
      </c>
      <c r="L21" s="1457">
        <f t="shared" si="4"/>
        <v>2.7708319294984791E-3</v>
      </c>
      <c r="M21" s="1457">
        <f t="shared" si="4"/>
        <v>1.2898324141303243E-2</v>
      </c>
      <c r="N21" s="1457">
        <f t="shared" si="4"/>
        <v>3.1127974485558308E-2</v>
      </c>
      <c r="O21" s="1457">
        <f t="shared" si="4"/>
        <v>6.7227825665368557E-2</v>
      </c>
      <c r="P21" s="1457">
        <f t="shared" si="4"/>
        <v>0.10615110878260257</v>
      </c>
      <c r="Q21" s="1457">
        <f t="shared" si="4"/>
        <v>0.18542119341649874</v>
      </c>
      <c r="R21" s="1457">
        <f t="shared" si="4"/>
        <v>0.28367885964700912</v>
      </c>
      <c r="S21" s="1457">
        <f t="shared" si="4"/>
        <v>0.48096880623327587</v>
      </c>
      <c r="T21" s="1457">
        <f t="shared" si="4"/>
        <v>0.58316674424054937</v>
      </c>
      <c r="U21" s="1457">
        <f t="shared" si="4"/>
        <v>0.73549392075950859</v>
      </c>
      <c r="V21" s="1457">
        <f t="shared" si="4"/>
        <v>0.85094812352310312</v>
      </c>
      <c r="W21" s="1457">
        <f t="shared" si="4"/>
        <v>1.2650658016154683</v>
      </c>
      <c r="X21" s="1457">
        <f t="shared" si="4"/>
        <v>1.3994128030210551</v>
      </c>
      <c r="Y21" s="1457">
        <f t="shared" si="4"/>
        <v>1.6477790819249718</v>
      </c>
      <c r="Z21" s="1457">
        <f t="shared" si="4"/>
        <v>1.806223637720531</v>
      </c>
      <c r="AA21" s="1457">
        <f t="shared" si="4"/>
        <v>2.5655273162249319</v>
      </c>
      <c r="AB21" s="1457">
        <f t="shared" si="4"/>
        <v>2.7557245479033954</v>
      </c>
    </row>
    <row r="22" spans="2:28" x14ac:dyDescent="0.25">
      <c r="B22" s="258" t="s">
        <v>566</v>
      </c>
      <c r="C22" s="1457">
        <f>SUM(I22:L22)</f>
        <v>7.0510287467975927E-4</v>
      </c>
      <c r="D22" s="1457">
        <f>SUM(M22:P22)</f>
        <v>3.5543902640094535E-2</v>
      </c>
      <c r="E22" s="1457">
        <f>SUM(Q22:T22)</f>
        <v>0.27684450509524772</v>
      </c>
      <c r="F22" s="1457">
        <f>SUM(U22:X22)</f>
        <v>0.82796887893922866</v>
      </c>
      <c r="G22" s="1457">
        <f>SUM(Y22:AB22)</f>
        <v>1.7236152236695323</v>
      </c>
      <c r="H22" s="16"/>
      <c r="I22" s="1457">
        <f t="shared" ref="I22:AB22" si="5">I85*I$15</f>
        <v>2.507543783068623E-5</v>
      </c>
      <c r="J22" s="1457">
        <f t="shared" si="5"/>
        <v>8.2228215820405275E-5</v>
      </c>
      <c r="K22" s="1457">
        <f t="shared" si="5"/>
        <v>1.427480280352171E-4</v>
      </c>
      <c r="L22" s="1457">
        <f t="shared" si="5"/>
        <v>4.5505119299345069E-4</v>
      </c>
      <c r="M22" s="1457">
        <f t="shared" si="5"/>
        <v>2.2499016467576547E-3</v>
      </c>
      <c r="N22" s="1457">
        <f t="shared" si="5"/>
        <v>5.7191501948941296E-3</v>
      </c>
      <c r="O22" s="1457">
        <f t="shared" si="5"/>
        <v>1.0298469585977663E-2</v>
      </c>
      <c r="P22" s="1457">
        <f t="shared" si="5"/>
        <v>1.7276381212465088E-2</v>
      </c>
      <c r="Q22" s="1457">
        <f t="shared" si="5"/>
        <v>3.2874504038436086E-2</v>
      </c>
      <c r="R22" s="1457">
        <f t="shared" si="5"/>
        <v>5.5843561802669597E-2</v>
      </c>
      <c r="S22" s="1457">
        <f t="shared" si="5"/>
        <v>8.0431573569955367E-2</v>
      </c>
      <c r="T22" s="1457">
        <f t="shared" si="5"/>
        <v>0.10769486568418669</v>
      </c>
      <c r="U22" s="1457">
        <f t="shared" si="5"/>
        <v>0.14821631495736254</v>
      </c>
      <c r="V22" s="1457">
        <f t="shared" si="5"/>
        <v>0.18450647363300496</v>
      </c>
      <c r="W22" s="1457">
        <f t="shared" si="5"/>
        <v>0.22599115202453321</v>
      </c>
      <c r="X22" s="1457">
        <f t="shared" si="5"/>
        <v>0.2692549383243279</v>
      </c>
      <c r="Y22" s="1457">
        <f t="shared" si="5"/>
        <v>0.34251697840343609</v>
      </c>
      <c r="Z22" s="1457">
        <f t="shared" si="5"/>
        <v>0.39664999447122695</v>
      </c>
      <c r="AA22" s="1457">
        <f t="shared" si="5"/>
        <v>0.46014284334188776</v>
      </c>
      <c r="AB22" s="1457">
        <f t="shared" si="5"/>
        <v>0.5243054074529816</v>
      </c>
    </row>
    <row r="23" spans="2:28" x14ac:dyDescent="0.25">
      <c r="B23" s="258" t="s">
        <v>482</v>
      </c>
      <c r="C23" s="1456">
        <f>SUM(I23:L23)</f>
        <v>-2.1448411462494628E-3</v>
      </c>
      <c r="D23" s="1456">
        <f>SUM(M23:P23)</f>
        <v>-9.835083229461819E-2</v>
      </c>
      <c r="E23" s="1456">
        <f>SUM(Q23:T23)</f>
        <v>-0.82031951822602478</v>
      </c>
      <c r="F23" s="1456">
        <f>SUM(U23:X23)</f>
        <v>-2.1134475115900337</v>
      </c>
      <c r="G23" s="1456">
        <f>SUM(Y23:AB23)</f>
        <v>-4.7123581518463649</v>
      </c>
      <c r="H23" s="16"/>
      <c r="I23" s="1456">
        <f t="shared" ref="I23:AB23" si="6">I86*I$15</f>
        <v>-4.0300346361663922E-5</v>
      </c>
      <c r="J23" s="1456">
        <f t="shared" si="6"/>
        <v>-1.9979673884785057E-4</v>
      </c>
      <c r="K23" s="1456">
        <f t="shared" si="6"/>
        <v>-2.9510543268400862E-4</v>
      </c>
      <c r="L23" s="1456">
        <f t="shared" si="6"/>
        <v>-1.6096386283559396E-3</v>
      </c>
      <c r="M23" s="1456">
        <f t="shared" si="6"/>
        <v>-4.1756076251885993E-3</v>
      </c>
      <c r="N23" s="1456">
        <f t="shared" si="6"/>
        <v>-1.5354148404970789E-2</v>
      </c>
      <c r="O23" s="1456">
        <f t="shared" si="6"/>
        <v>-2.1799308612546808E-2</v>
      </c>
      <c r="P23" s="1456">
        <f t="shared" si="6"/>
        <v>-5.7021767651911991E-2</v>
      </c>
      <c r="Q23" s="1456">
        <f t="shared" si="6"/>
        <v>-7.2137909921819968E-2</v>
      </c>
      <c r="R23" s="1456">
        <f t="shared" si="6"/>
        <v>-0.17128984854392823</v>
      </c>
      <c r="S23" s="1456">
        <f t="shared" si="6"/>
        <v>-0.1872117102502065</v>
      </c>
      <c r="T23" s="1456">
        <f t="shared" si="6"/>
        <v>-0.38968004951007007</v>
      </c>
      <c r="U23" s="1456">
        <f t="shared" si="6"/>
        <v>-0.27194047057166332</v>
      </c>
      <c r="V23" s="1456">
        <f t="shared" si="6"/>
        <v>-0.49834500975568491</v>
      </c>
      <c r="W23" s="1456">
        <f t="shared" si="6"/>
        <v>-0.45638676371056441</v>
      </c>
      <c r="X23" s="1456">
        <f t="shared" si="6"/>
        <v>-0.88677526755212088</v>
      </c>
      <c r="Y23" s="1456">
        <f t="shared" si="6"/>
        <v>-0.62311587546594072</v>
      </c>
      <c r="Z23" s="1456">
        <f t="shared" si="6"/>
        <v>-1.1373675663080649</v>
      </c>
      <c r="AA23" s="1456">
        <f t="shared" si="6"/>
        <v>-1.001107966377508</v>
      </c>
      <c r="AB23" s="1456">
        <f t="shared" si="6"/>
        <v>-1.950766743694851</v>
      </c>
    </row>
    <row r="24" spans="2:28" x14ac:dyDescent="0.25">
      <c r="B24" s="259" t="s">
        <v>870</v>
      </c>
      <c r="C24" s="1458">
        <f>SUM(I24:L24)</f>
        <v>9.635636653275834E-3</v>
      </c>
      <c r="D24" s="1458">
        <f>SUM(M24:P24)</f>
        <v>0.47974682181234007</v>
      </c>
      <c r="E24" s="1458">
        <f>SUM(Q24:T24)</f>
        <v>3.6095739463891032</v>
      </c>
      <c r="F24" s="1458">
        <f>SUM(U24:X24)</f>
        <v>9.9583752010654827</v>
      </c>
      <c r="G24" s="1458">
        <f>SUM(Y24:AB24)</f>
        <v>23.185043491218536</v>
      </c>
      <c r="H24" s="18"/>
      <c r="I24" s="1458">
        <f t="shared" ref="I24:AB24" si="7">SUM(I20:I23)</f>
        <v>4.282159006045533E-4</v>
      </c>
      <c r="J24" s="1458">
        <f t="shared" si="7"/>
        <v>1.2307076792674523E-3</v>
      </c>
      <c r="K24" s="1458">
        <f t="shared" si="7"/>
        <v>2.2169935753912672E-3</v>
      </c>
      <c r="L24" s="1458">
        <f t="shared" si="7"/>
        <v>5.7597194980125608E-3</v>
      </c>
      <c r="M24" s="1458">
        <f t="shared" si="7"/>
        <v>3.1399578109426847E-2</v>
      </c>
      <c r="N24" s="1458">
        <f t="shared" si="7"/>
        <v>7.4712382664082089E-2</v>
      </c>
      <c r="O24" s="1458">
        <f t="shared" si="7"/>
        <v>0.14962819240862632</v>
      </c>
      <c r="P24" s="1458">
        <f t="shared" si="7"/>
        <v>0.22400666863020482</v>
      </c>
      <c r="Q24" s="1458">
        <f t="shared" si="7"/>
        <v>0.4930176439021659</v>
      </c>
      <c r="R24" s="1458">
        <f t="shared" si="7"/>
        <v>0.72833410386637365</v>
      </c>
      <c r="S24" s="1458">
        <f t="shared" si="7"/>
        <v>1.1312929795168987</v>
      </c>
      <c r="T24" s="1458">
        <f t="shared" si="7"/>
        <v>1.2569292191036652</v>
      </c>
      <c r="U24" s="1458">
        <f t="shared" si="7"/>
        <v>1.9000311454182097</v>
      </c>
      <c r="V24" s="1458">
        <f t="shared" si="7"/>
        <v>2.1354496060994541</v>
      </c>
      <c r="W24" s="1458">
        <f t="shared" si="7"/>
        <v>2.928050239814989</v>
      </c>
      <c r="X24" s="1458">
        <f t="shared" si="7"/>
        <v>2.9948442097328289</v>
      </c>
      <c r="Y24" s="1458">
        <f t="shared" si="7"/>
        <v>4.7232801218475045</v>
      </c>
      <c r="Z24" s="1458">
        <f t="shared" si="7"/>
        <v>5.0978147089358306</v>
      </c>
      <c r="AA24" s="1458">
        <f t="shared" si="7"/>
        <v>6.6718880459334375</v>
      </c>
      <c r="AB24" s="1458">
        <f t="shared" si="7"/>
        <v>6.6920606145017629</v>
      </c>
    </row>
    <row r="25" spans="2:28" x14ac:dyDescent="0.25">
      <c r="C25" s="16"/>
      <c r="D25" s="16"/>
      <c r="E25" s="16"/>
      <c r="F25" s="16"/>
      <c r="G25" s="16"/>
      <c r="H25" s="16"/>
    </row>
    <row r="26" spans="2:28" x14ac:dyDescent="0.25">
      <c r="B26" s="259" t="s">
        <v>869</v>
      </c>
      <c r="C26" s="495">
        <f>SUM(I26:L26)</f>
        <v>0</v>
      </c>
      <c r="D26" s="495">
        <f>SUM(M26:P26)</f>
        <v>0</v>
      </c>
      <c r="E26" s="495">
        <f>SUM(Q26:T26)</f>
        <v>0</v>
      </c>
      <c r="F26" s="495">
        <f>SUM(U26:X26)</f>
        <v>0</v>
      </c>
      <c r="G26" s="495">
        <f>SUM(Y26:AB26)</f>
        <v>0</v>
      </c>
      <c r="H26" s="18"/>
      <c r="I26" s="495">
        <f t="shared" ref="I26:AB26" si="8">I87*I$15</f>
        <v>0</v>
      </c>
      <c r="J26" s="495">
        <f t="shared" si="8"/>
        <v>0</v>
      </c>
      <c r="K26" s="495">
        <f t="shared" si="8"/>
        <v>0</v>
      </c>
      <c r="L26" s="495">
        <f t="shared" si="8"/>
        <v>0</v>
      </c>
      <c r="M26" s="495">
        <f t="shared" si="8"/>
        <v>0</v>
      </c>
      <c r="N26" s="495">
        <f t="shared" si="8"/>
        <v>0</v>
      </c>
      <c r="O26" s="495">
        <f t="shared" si="8"/>
        <v>0</v>
      </c>
      <c r="P26" s="495">
        <f t="shared" si="8"/>
        <v>0</v>
      </c>
      <c r="Q26" s="495">
        <f t="shared" si="8"/>
        <v>0</v>
      </c>
      <c r="R26" s="495">
        <f t="shared" si="8"/>
        <v>0</v>
      </c>
      <c r="S26" s="495">
        <f t="shared" si="8"/>
        <v>0</v>
      </c>
      <c r="T26" s="495">
        <f t="shared" si="8"/>
        <v>0</v>
      </c>
      <c r="U26" s="495">
        <f t="shared" si="8"/>
        <v>0</v>
      </c>
      <c r="V26" s="495">
        <f t="shared" si="8"/>
        <v>0</v>
      </c>
      <c r="W26" s="495">
        <f t="shared" si="8"/>
        <v>0</v>
      </c>
      <c r="X26" s="495">
        <f t="shared" si="8"/>
        <v>0</v>
      </c>
      <c r="Y26" s="495">
        <f t="shared" si="8"/>
        <v>0</v>
      </c>
      <c r="Z26" s="495">
        <f t="shared" si="8"/>
        <v>0</v>
      </c>
      <c r="AA26" s="495">
        <f t="shared" si="8"/>
        <v>0</v>
      </c>
      <c r="AB26" s="495">
        <f t="shared" si="8"/>
        <v>0</v>
      </c>
    </row>
    <row r="27" spans="2:28" x14ac:dyDescent="0.25">
      <c r="B27" s="259" t="s">
        <v>868</v>
      </c>
      <c r="C27" s="495">
        <f>SUM(I27:L27)</f>
        <v>4.2106978709617205E-3</v>
      </c>
      <c r="D27" s="495">
        <f>SUM(M27:P27)</f>
        <v>0.17522578135107553</v>
      </c>
      <c r="E27" s="495">
        <f>SUM(Q27:T27)</f>
        <v>1.3651788255100352</v>
      </c>
      <c r="F27" s="495">
        <f>SUM(U27:X27)</f>
        <v>3.4333100578005769</v>
      </c>
      <c r="G27" s="495">
        <f>SUM(Y27:AB27)</f>
        <v>7.2273699197121246</v>
      </c>
      <c r="H27" s="18"/>
      <c r="I27" s="495">
        <f t="shared" ref="I27:AB27" si="9">I88*I$15</f>
        <v>1.7479975773308245E-4</v>
      </c>
      <c r="J27" s="495">
        <f t="shared" si="9"/>
        <v>5.2791568997467646E-4</v>
      </c>
      <c r="K27" s="495">
        <f t="shared" si="9"/>
        <v>8.510524170982685E-4</v>
      </c>
      <c r="L27" s="495">
        <f t="shared" si="9"/>
        <v>2.6569300061556936E-3</v>
      </c>
      <c r="M27" s="495">
        <f t="shared" si="9"/>
        <v>1.1991960364132009E-2</v>
      </c>
      <c r="N27" s="495">
        <f t="shared" si="9"/>
        <v>2.8383019608970297E-2</v>
      </c>
      <c r="O27" s="495">
        <f t="shared" si="9"/>
        <v>5.0142313421867958E-2</v>
      </c>
      <c r="P27" s="495">
        <f t="shared" si="9"/>
        <v>8.4708487956105263E-2</v>
      </c>
      <c r="Q27" s="495">
        <f t="shared" si="9"/>
        <v>0.1790362710312712</v>
      </c>
      <c r="R27" s="495">
        <f t="shared" si="9"/>
        <v>0.28136815165627621</v>
      </c>
      <c r="S27" s="495">
        <f t="shared" si="9"/>
        <v>0.38945926980300299</v>
      </c>
      <c r="T27" s="495">
        <f t="shared" si="9"/>
        <v>0.51531513301948473</v>
      </c>
      <c r="U27" s="495">
        <f t="shared" si="9"/>
        <v>0.66446931225991013</v>
      </c>
      <c r="V27" s="495">
        <f t="shared" si="9"/>
        <v>0.7700582324960511</v>
      </c>
      <c r="W27" s="495">
        <f t="shared" si="9"/>
        <v>0.9109489226471118</v>
      </c>
      <c r="X27" s="495">
        <f t="shared" si="9"/>
        <v>1.0878335903975036</v>
      </c>
      <c r="Y27" s="495">
        <f t="shared" si="9"/>
        <v>1.5265620300461082</v>
      </c>
      <c r="Z27" s="495">
        <f t="shared" si="9"/>
        <v>1.6639406541218384</v>
      </c>
      <c r="AA27" s="495">
        <f t="shared" si="9"/>
        <v>1.8758491979962364</v>
      </c>
      <c r="AB27" s="495">
        <f t="shared" si="9"/>
        <v>2.1610180375479424</v>
      </c>
    </row>
    <row r="28" spans="2:28" x14ac:dyDescent="0.25">
      <c r="C28" s="16"/>
      <c r="D28" s="16"/>
      <c r="E28" s="16"/>
      <c r="F28" s="16"/>
      <c r="G28" s="16"/>
      <c r="H28" s="16"/>
    </row>
    <row r="29" spans="2:28" x14ac:dyDescent="0.25">
      <c r="B29" s="1" t="s">
        <v>861</v>
      </c>
      <c r="C29" s="1459">
        <f>SUM(I29:L29)</f>
        <v>1.3846334524237554E-2</v>
      </c>
      <c r="D29" s="1459">
        <f>SUM(M29:P29)</f>
        <v>0.65497260316341555</v>
      </c>
      <c r="E29" s="1459">
        <f>SUM(Q29:T29)</f>
        <v>4.9747527718991389</v>
      </c>
      <c r="F29" s="1459">
        <f>SUM(U29:X29)</f>
        <v>13.391685258866058</v>
      </c>
      <c r="G29" s="1459">
        <f>SUM(Y29:AB29)</f>
        <v>30.412413410930661</v>
      </c>
      <c r="H29" s="16"/>
      <c r="I29" s="1459">
        <f t="shared" ref="I29:AB29" si="10">SUM(I24:I27)</f>
        <v>6.0301565833763575E-4</v>
      </c>
      <c r="J29" s="1459">
        <f t="shared" si="10"/>
        <v>1.7586233692421288E-3</v>
      </c>
      <c r="K29" s="1459">
        <f t="shared" si="10"/>
        <v>3.0680459924895356E-3</v>
      </c>
      <c r="L29" s="1459">
        <f t="shared" si="10"/>
        <v>8.416649504168254E-3</v>
      </c>
      <c r="M29" s="1459">
        <f t="shared" si="10"/>
        <v>4.3391538473558852E-2</v>
      </c>
      <c r="N29" s="1459">
        <f t="shared" si="10"/>
        <v>0.10309540227305239</v>
      </c>
      <c r="O29" s="1459">
        <f t="shared" si="10"/>
        <v>0.19977050583049427</v>
      </c>
      <c r="P29" s="1459">
        <f t="shared" si="10"/>
        <v>0.3087151565863101</v>
      </c>
      <c r="Q29" s="1459">
        <f t="shared" si="10"/>
        <v>0.67205391493343714</v>
      </c>
      <c r="R29" s="1459">
        <f t="shared" si="10"/>
        <v>1.0097022555226498</v>
      </c>
      <c r="S29" s="1459">
        <f t="shared" si="10"/>
        <v>1.5207522493199017</v>
      </c>
      <c r="T29" s="1459">
        <f t="shared" si="10"/>
        <v>1.7722443521231499</v>
      </c>
      <c r="U29" s="1459">
        <f t="shared" si="10"/>
        <v>2.5645004576781201</v>
      </c>
      <c r="V29" s="1459">
        <f t="shared" si="10"/>
        <v>2.9055078385955051</v>
      </c>
      <c r="W29" s="1459">
        <f t="shared" si="10"/>
        <v>3.8389991624621009</v>
      </c>
      <c r="X29" s="1459">
        <f t="shared" si="10"/>
        <v>4.0826778001303321</v>
      </c>
      <c r="Y29" s="1459">
        <f t="shared" si="10"/>
        <v>6.2498421518936125</v>
      </c>
      <c r="Z29" s="1459">
        <f t="shared" si="10"/>
        <v>6.7617553630576692</v>
      </c>
      <c r="AA29" s="1459">
        <f t="shared" si="10"/>
        <v>8.5477372439296744</v>
      </c>
      <c r="AB29" s="1459">
        <f t="shared" si="10"/>
        <v>8.8530786520497049</v>
      </c>
    </row>
    <row r="30" spans="2:28" x14ac:dyDescent="0.25">
      <c r="B30" s="1"/>
      <c r="C30" s="16"/>
      <c r="D30" s="16"/>
      <c r="E30" s="16"/>
      <c r="F30" s="16"/>
      <c r="G30" s="16"/>
      <c r="H30" s="16"/>
    </row>
    <row r="31" spans="2:28" ht="15.75" thickBot="1" x14ac:dyDescent="0.3">
      <c r="B31" s="1" t="s">
        <v>867</v>
      </c>
      <c r="C31" s="1460">
        <f>C17-C29</f>
        <v>1.0204795838790633E-2</v>
      </c>
      <c r="D31" s="1460">
        <f>D17-D29</f>
        <v>0.55540917300720993</v>
      </c>
      <c r="E31" s="1460">
        <f>E17-E29</f>
        <v>4.5092986706070146</v>
      </c>
      <c r="F31" s="1460">
        <f>F17-F29</f>
        <v>15.142964545998804</v>
      </c>
      <c r="G31" s="1460">
        <f>G17-G29</f>
        <v>30.393047384493237</v>
      </c>
      <c r="H31" s="16"/>
      <c r="I31" s="1460">
        <f t="shared" ref="I31:AB31" si="11">I17-I29</f>
        <v>1.8841389187289911E-4</v>
      </c>
      <c r="J31" s="1460">
        <f t="shared" si="11"/>
        <v>9.363729481239307E-4</v>
      </c>
      <c r="K31" s="1460">
        <f t="shared" si="11"/>
        <v>1.6438569766011597E-3</v>
      </c>
      <c r="L31" s="1460">
        <f t="shared" si="11"/>
        <v>7.436152022192645E-3</v>
      </c>
      <c r="M31" s="1460">
        <f t="shared" si="11"/>
        <v>2.9397267412303099E-2</v>
      </c>
      <c r="N31" s="1460">
        <f t="shared" si="11"/>
        <v>8.8271953340331805E-2</v>
      </c>
      <c r="O31" s="1460">
        <f t="shared" si="11"/>
        <v>0.14432502922115387</v>
      </c>
      <c r="P31" s="1460">
        <f t="shared" si="11"/>
        <v>0.29341492303342098</v>
      </c>
      <c r="Q31" s="1460">
        <f t="shared" si="11"/>
        <v>0.40026773119167502</v>
      </c>
      <c r="R31" s="1460">
        <f t="shared" si="11"/>
        <v>0.87784266931999388</v>
      </c>
      <c r="S31" s="1460">
        <f t="shared" si="11"/>
        <v>1.2002893463073379</v>
      </c>
      <c r="T31" s="1460">
        <f t="shared" si="11"/>
        <v>2.0308989237880093</v>
      </c>
      <c r="U31" s="1460">
        <f t="shared" si="11"/>
        <v>2.3342839922858865</v>
      </c>
      <c r="V31" s="1460">
        <f t="shared" si="11"/>
        <v>3.4005263268332913</v>
      </c>
      <c r="W31" s="1460">
        <f t="shared" si="11"/>
        <v>3.8928410309074168</v>
      </c>
      <c r="X31" s="1460">
        <f t="shared" si="11"/>
        <v>5.5153131959722117</v>
      </c>
      <c r="Y31" s="1460">
        <f t="shared" si="11"/>
        <v>5.191052512685796</v>
      </c>
      <c r="Z31" s="1460">
        <f t="shared" si="11"/>
        <v>7.0507753470449286</v>
      </c>
      <c r="AA31" s="1460">
        <f t="shared" si="11"/>
        <v>7.6580804983139643</v>
      </c>
      <c r="AB31" s="1460">
        <f t="shared" si="11"/>
        <v>10.49313902644854</v>
      </c>
    </row>
    <row r="32" spans="2:28" ht="15.75" thickTop="1" x14ac:dyDescent="0.25">
      <c r="C32" s="16"/>
      <c r="D32" s="16"/>
      <c r="E32" s="16"/>
      <c r="F32" s="16"/>
      <c r="G32" s="16"/>
      <c r="H32" s="16"/>
    </row>
    <row r="33" spans="2:28" x14ac:dyDescent="0.25">
      <c r="B33" t="s">
        <v>858</v>
      </c>
      <c r="C33" s="475">
        <f>SUM(I33:L33)</f>
        <v>3.8640641871405271E-2</v>
      </c>
      <c r="D33" s="475">
        <f>SUM(M33:P33)</f>
        <v>1.9257706958859515</v>
      </c>
      <c r="E33" s="475">
        <f>SUM(Q33:T33)</f>
        <v>14.883921850255899</v>
      </c>
      <c r="F33" s="475">
        <f>SUM(U33:X33)</f>
        <v>44.210819958167143</v>
      </c>
      <c r="G33" s="475">
        <f>SUM(Y33:AB33)</f>
        <v>92.407772378679951</v>
      </c>
      <c r="H33" s="16"/>
      <c r="I33" s="475">
        <f t="shared" ref="I33:AB33" si="12">I15*I94</f>
        <v>1.2982519686685343E-3</v>
      </c>
      <c r="J33" s="475">
        <f t="shared" si="12"/>
        <v>4.3791503099264405E-3</v>
      </c>
      <c r="K33" s="475">
        <f t="shared" si="12"/>
        <v>7.6327918757308419E-3</v>
      </c>
      <c r="L33" s="475">
        <f t="shared" si="12"/>
        <v>2.533044771707945E-2</v>
      </c>
      <c r="M33" s="475">
        <f t="shared" si="12"/>
        <v>0.11681549167460629</v>
      </c>
      <c r="N33" s="475">
        <f t="shared" si="12"/>
        <v>0.30551122094693411</v>
      </c>
      <c r="O33" s="475">
        <f t="shared" si="12"/>
        <v>0.54964759959482135</v>
      </c>
      <c r="P33" s="475">
        <f t="shared" si="12"/>
        <v>0.95379638366958974</v>
      </c>
      <c r="Q33" s="475">
        <f t="shared" si="12"/>
        <v>1.7016095613951174</v>
      </c>
      <c r="R33" s="475">
        <f t="shared" si="12"/>
        <v>2.9730459251350001</v>
      </c>
      <c r="S33" s="475">
        <f t="shared" si="12"/>
        <v>4.2815214135819781</v>
      </c>
      <c r="T33" s="475">
        <f t="shared" si="12"/>
        <v>5.9277449501438051</v>
      </c>
      <c r="U33" s="475">
        <f t="shared" si="12"/>
        <v>7.6483409092987724</v>
      </c>
      <c r="V33" s="475">
        <f t="shared" si="12"/>
        <v>9.7896296151348334</v>
      </c>
      <c r="W33" s="475">
        <f t="shared" si="12"/>
        <v>11.998004361685007</v>
      </c>
      <c r="X33" s="475">
        <f t="shared" si="12"/>
        <v>14.774845072048526</v>
      </c>
      <c r="Y33" s="475">
        <f t="shared" si="12"/>
        <v>17.60692245945145</v>
      </c>
      <c r="Z33" s="475">
        <f t="shared" si="12"/>
        <v>21.061077731919784</v>
      </c>
      <c r="AA33" s="475">
        <f t="shared" si="12"/>
        <v>24.628063792984637</v>
      </c>
      <c r="AB33" s="475">
        <f t="shared" si="12"/>
        <v>29.111708394324083</v>
      </c>
    </row>
    <row r="34" spans="2:28" x14ac:dyDescent="0.25">
      <c r="B34" t="s">
        <v>857</v>
      </c>
      <c r="C34" s="1456">
        <f>SUM(I34:L34)</f>
        <v>-2.3899174398293588E-2</v>
      </c>
      <c r="D34" s="1456">
        <f>SUM(M34:P34)</f>
        <v>-1.1362730668004444</v>
      </c>
      <c r="E34" s="1456">
        <f>SUM(Q34:T34)</f>
        <v>-8.6271461656039392</v>
      </c>
      <c r="F34" s="1456">
        <f>SUM(U34:X34)</f>
        <v>-23.574704601423207</v>
      </c>
      <c r="G34" s="1456">
        <f>SUM(Y34:AB34)</f>
        <v>-50.812529872090572</v>
      </c>
      <c r="H34" s="16"/>
      <c r="I34" s="1456">
        <f t="shared" ref="I34:AB34" si="13">-(I29+I16-I23)*I95</f>
        <v>-9.2442546409541801E-4</v>
      </c>
      <c r="J34" s="1456">
        <f t="shared" si="13"/>
        <v>-2.8835885585059939E-3</v>
      </c>
      <c r="K34" s="1456">
        <f t="shared" si="13"/>
        <v>-4.9617892689999658E-3</v>
      </c>
      <c r="L34" s="1456">
        <f t="shared" si="13"/>
        <v>-1.512937110669221E-2</v>
      </c>
      <c r="M34" s="1456">
        <f t="shared" si="13"/>
        <v>-7.1403337442306841E-2</v>
      </c>
      <c r="N34" s="1456">
        <f t="shared" si="13"/>
        <v>-0.17985813039521326</v>
      </c>
      <c r="O34" s="1456">
        <f t="shared" si="13"/>
        <v>-0.33215880626320665</v>
      </c>
      <c r="P34" s="1456">
        <f t="shared" si="13"/>
        <v>-0.55285279269971765</v>
      </c>
      <c r="Q34" s="1456">
        <f t="shared" si="13"/>
        <v>-1.0789793650938155</v>
      </c>
      <c r="R34" s="1456">
        <f t="shared" si="13"/>
        <v>-1.7532755956680701</v>
      </c>
      <c r="S34" s="1456">
        <f t="shared" si="13"/>
        <v>-2.5293083065085722</v>
      </c>
      <c r="T34" s="1456">
        <f t="shared" si="13"/>
        <v>-3.2655828983334798</v>
      </c>
      <c r="U34" s="1456">
        <f t="shared" si="13"/>
        <v>-4.2681611636744066</v>
      </c>
      <c r="V34" s="1456">
        <f t="shared" si="13"/>
        <v>-5.2032849285794081</v>
      </c>
      <c r="W34" s="1456">
        <f t="shared" si="13"/>
        <v>-6.4962638738652458</v>
      </c>
      <c r="X34" s="1456">
        <f t="shared" si="13"/>
        <v>-7.6069946353041455</v>
      </c>
      <c r="Y34" s="1456">
        <f t="shared" si="13"/>
        <v>-10.00345375819979</v>
      </c>
      <c r="Z34" s="1456">
        <f t="shared" si="13"/>
        <v>-11.521115425904327</v>
      </c>
      <c r="AA34" s="1456">
        <f t="shared" si="13"/>
        <v>-13.727749822595237</v>
      </c>
      <c r="AB34" s="1456">
        <f t="shared" si="13"/>
        <v>-15.56021086539122</v>
      </c>
    </row>
    <row r="35" spans="2:28" x14ac:dyDescent="0.25">
      <c r="B35" t="s">
        <v>866</v>
      </c>
      <c r="C35" s="475">
        <f>SUM(I35:L35)</f>
        <v>1.4741467473111679E-2</v>
      </c>
      <c r="D35" s="475">
        <f>SUM(M35:P35)</f>
        <v>0.78949762908550714</v>
      </c>
      <c r="E35" s="475">
        <f>SUM(Q35:T35)</f>
        <v>6.2567756846519629</v>
      </c>
      <c r="F35" s="475">
        <f>SUM(U35:X35)</f>
        <v>20.636115356743932</v>
      </c>
      <c r="G35" s="475">
        <f>SUM(Y35:AB35)</f>
        <v>41.595242506589379</v>
      </c>
      <c r="H35" s="16"/>
      <c r="I35" s="475">
        <f t="shared" ref="I35:AB35" si="14">SUM(I33:I34)</f>
        <v>3.7382650457311632E-4</v>
      </c>
      <c r="J35" s="475">
        <f t="shared" si="14"/>
        <v>1.4955617514204466E-3</v>
      </c>
      <c r="K35" s="475">
        <f t="shared" si="14"/>
        <v>2.6710026067308761E-3</v>
      </c>
      <c r="L35" s="475">
        <f t="shared" si="14"/>
        <v>1.0201076610387241E-2</v>
      </c>
      <c r="M35" s="475">
        <f t="shared" si="14"/>
        <v>4.5412154232299454E-2</v>
      </c>
      <c r="N35" s="475">
        <f t="shared" si="14"/>
        <v>0.12565309055172086</v>
      </c>
      <c r="O35" s="475">
        <f t="shared" si="14"/>
        <v>0.21748879333161469</v>
      </c>
      <c r="P35" s="475">
        <f t="shared" si="14"/>
        <v>0.40094359096987209</v>
      </c>
      <c r="Q35" s="475">
        <f t="shared" si="14"/>
        <v>0.6226301963013019</v>
      </c>
      <c r="R35" s="475">
        <f t="shared" si="14"/>
        <v>1.21977032946693</v>
      </c>
      <c r="S35" s="475">
        <f t="shared" si="14"/>
        <v>1.7522131070734059</v>
      </c>
      <c r="T35" s="475">
        <f t="shared" si="14"/>
        <v>2.6621620518103253</v>
      </c>
      <c r="U35" s="475">
        <f t="shared" si="14"/>
        <v>3.3801797456243659</v>
      </c>
      <c r="V35" s="475">
        <f t="shared" si="14"/>
        <v>4.5863446865554254</v>
      </c>
      <c r="W35" s="475">
        <f t="shared" si="14"/>
        <v>5.5017404878197613</v>
      </c>
      <c r="X35" s="475">
        <f t="shared" si="14"/>
        <v>7.1678504367443807</v>
      </c>
      <c r="Y35" s="475">
        <f t="shared" si="14"/>
        <v>7.6034687012516606</v>
      </c>
      <c r="Z35" s="475">
        <f t="shared" si="14"/>
        <v>9.5399623060154575</v>
      </c>
      <c r="AA35" s="475">
        <f t="shared" si="14"/>
        <v>10.9003139703894</v>
      </c>
      <c r="AB35" s="475">
        <f t="shared" si="14"/>
        <v>13.551497528932863</v>
      </c>
    </row>
    <row r="36" spans="2:28" x14ac:dyDescent="0.25">
      <c r="C36" s="16"/>
      <c r="D36" s="16"/>
      <c r="E36" s="16"/>
      <c r="F36" s="16"/>
      <c r="G36" s="16"/>
      <c r="H36" s="16"/>
    </row>
    <row r="37" spans="2:28" x14ac:dyDescent="0.25">
      <c r="C37" s="16"/>
      <c r="D37" s="16"/>
      <c r="E37" s="16"/>
      <c r="F37" s="16"/>
      <c r="G37" s="16"/>
      <c r="H37" s="16"/>
    </row>
    <row r="38" spans="2:28" x14ac:dyDescent="0.25">
      <c r="B38" s="3" t="s">
        <v>865</v>
      </c>
      <c r="C38" s="365"/>
      <c r="D38" s="365"/>
      <c r="E38" s="365"/>
      <c r="F38" s="365"/>
      <c r="G38" s="365"/>
      <c r="H38" s="365"/>
      <c r="I38" s="3"/>
      <c r="J38" s="3"/>
      <c r="K38" s="3"/>
      <c r="L38" s="3"/>
      <c r="M38" s="3"/>
      <c r="N38" s="3"/>
      <c r="O38" s="3"/>
      <c r="P38" s="3"/>
      <c r="Q38" s="3"/>
      <c r="R38" s="3"/>
      <c r="S38" s="3"/>
      <c r="T38" s="3"/>
      <c r="U38" s="3"/>
      <c r="V38" s="3"/>
      <c r="W38" s="3"/>
      <c r="X38" s="3"/>
      <c r="Y38" s="3"/>
      <c r="Z38" s="3"/>
      <c r="AA38" s="3"/>
      <c r="AB38" s="3"/>
    </row>
    <row r="39" spans="2:28" x14ac:dyDescent="0.25">
      <c r="C39" s="16"/>
      <c r="D39" s="16"/>
      <c r="E39" s="16"/>
      <c r="F39" s="16"/>
      <c r="G39" s="16"/>
      <c r="H39" s="16"/>
    </row>
    <row r="40" spans="2:28" x14ac:dyDescent="0.25">
      <c r="B40" s="7" t="s">
        <v>864</v>
      </c>
      <c r="C40" s="491"/>
      <c r="D40" s="491"/>
      <c r="E40" s="491"/>
      <c r="F40" s="491"/>
      <c r="G40" s="491"/>
      <c r="H40" s="491"/>
    </row>
    <row r="41" spans="2:28" x14ac:dyDescent="0.25">
      <c r="B41" s="7"/>
      <c r="C41" s="491"/>
      <c r="D41" s="491"/>
      <c r="E41" s="491"/>
      <c r="F41" s="491"/>
      <c r="G41" s="491"/>
      <c r="H41" s="491"/>
    </row>
    <row r="42" spans="2:28" x14ac:dyDescent="0.25">
      <c r="B42" t="s">
        <v>31</v>
      </c>
      <c r="C42" s="90">
        <v>175.63701622970058</v>
      </c>
      <c r="D42" s="90">
        <v>269.64747086129938</v>
      </c>
      <c r="E42" s="90">
        <v>404.95309108935436</v>
      </c>
      <c r="F42" s="90">
        <v>598.73127690134743</v>
      </c>
      <c r="G42" s="90">
        <v>866.42829906337829</v>
      </c>
      <c r="H42" s="16"/>
      <c r="I42" s="90">
        <v>36.636574517324256</v>
      </c>
      <c r="J42" s="90">
        <v>41.230698006518288</v>
      </c>
      <c r="K42" s="90">
        <v>45.364273723724814</v>
      </c>
      <c r="L42" s="90">
        <v>52.405469982133177</v>
      </c>
      <c r="M42" s="90">
        <v>56.661163556531442</v>
      </c>
      <c r="N42" s="90">
        <v>63.800734933778656</v>
      </c>
      <c r="O42" s="90">
        <v>69.760908336570139</v>
      </c>
      <c r="P42" s="90">
        <v>79.424664034419095</v>
      </c>
      <c r="Q42" s="90">
        <v>85.65469377572127</v>
      </c>
      <c r="R42" s="90">
        <v>96.003877989843218</v>
      </c>
      <c r="S42" s="90">
        <v>104.6430216536822</v>
      </c>
      <c r="T42" s="90">
        <v>118.65149767010769</v>
      </c>
      <c r="U42" s="90">
        <v>127.47887775473946</v>
      </c>
      <c r="V42" s="90">
        <v>142.22474687432029</v>
      </c>
      <c r="W42" s="90">
        <v>154.5338547498134</v>
      </c>
      <c r="X42" s="90">
        <v>174.49379752247424</v>
      </c>
      <c r="Y42" s="90">
        <v>185.86270243795951</v>
      </c>
      <c r="Z42" s="90">
        <v>206.17865585044083</v>
      </c>
      <c r="AA42" s="90">
        <v>223.48845440171178</v>
      </c>
      <c r="AB42" s="90">
        <v>250.89848637326622</v>
      </c>
    </row>
    <row r="43" spans="2:28" x14ac:dyDescent="0.25">
      <c r="B43" t="s">
        <v>3</v>
      </c>
      <c r="C43" s="88">
        <v>50.472301372007792</v>
      </c>
      <c r="D43" s="88">
        <v>74.164447597519484</v>
      </c>
      <c r="E43" s="88">
        <v>106.53691229511963</v>
      </c>
      <c r="F43" s="88">
        <v>150.31662361180784</v>
      </c>
      <c r="G43" s="88">
        <v>202.98270280887061</v>
      </c>
      <c r="H43" s="16"/>
      <c r="I43" s="88">
        <v>10.928527204916008</v>
      </c>
      <c r="J43" s="88">
        <v>11.979880789685392</v>
      </c>
      <c r="K43" s="88">
        <v>13.065496308384047</v>
      </c>
      <c r="L43" s="88">
        <v>14.498397069022353</v>
      </c>
      <c r="M43" s="88">
        <v>15.882059755705304</v>
      </c>
      <c r="N43" s="88">
        <v>17.604688573269922</v>
      </c>
      <c r="O43" s="88">
        <v>19.282284633257813</v>
      </c>
      <c r="P43" s="88">
        <v>21.395414635286443</v>
      </c>
      <c r="Q43" s="88">
        <v>23.201292626923774</v>
      </c>
      <c r="R43" s="88">
        <v>25.402298132585123</v>
      </c>
      <c r="S43" s="88">
        <v>27.598112961709841</v>
      </c>
      <c r="T43" s="88">
        <v>30.335208573900886</v>
      </c>
      <c r="U43" s="88">
        <v>32.775744820718515</v>
      </c>
      <c r="V43" s="88">
        <v>35.87454512596679</v>
      </c>
      <c r="W43" s="88">
        <v>38.923193426080196</v>
      </c>
      <c r="X43" s="88">
        <v>42.743140239042333</v>
      </c>
      <c r="Y43" s="88">
        <v>45.483844385576276</v>
      </c>
      <c r="Z43" s="88">
        <v>48.795955926098642</v>
      </c>
      <c r="AA43" s="88">
        <v>52.239958190157921</v>
      </c>
      <c r="AB43" s="88">
        <v>56.462944307037773</v>
      </c>
    </row>
    <row r="44" spans="2:28" x14ac:dyDescent="0.25">
      <c r="B44" s="1" t="s">
        <v>6</v>
      </c>
      <c r="C44" s="1461">
        <f>C42-C43</f>
        <v>125.16471485769279</v>
      </c>
      <c r="D44" s="1461">
        <f>D42-D43</f>
        <v>195.4830232637799</v>
      </c>
      <c r="E44" s="1461">
        <f>E42-E43</f>
        <v>298.41617879423472</v>
      </c>
      <c r="F44" s="1461">
        <f>F42-F43</f>
        <v>448.41465328953961</v>
      </c>
      <c r="G44" s="1461">
        <f>G42-G43</f>
        <v>663.44559625450768</v>
      </c>
      <c r="H44" s="16"/>
      <c r="I44" s="1461">
        <f t="shared" ref="I44:AB44" si="15">I42-I43</f>
        <v>25.708047312408247</v>
      </c>
      <c r="J44" s="1461">
        <f t="shared" si="15"/>
        <v>29.250817216832896</v>
      </c>
      <c r="K44" s="1461">
        <f t="shared" si="15"/>
        <v>32.298777415340766</v>
      </c>
      <c r="L44" s="1461">
        <f t="shared" si="15"/>
        <v>37.907072913110824</v>
      </c>
      <c r="M44" s="1461">
        <f t="shared" si="15"/>
        <v>40.779103800826135</v>
      </c>
      <c r="N44" s="1461">
        <f t="shared" si="15"/>
        <v>46.196046360508731</v>
      </c>
      <c r="O44" s="1461">
        <f t="shared" si="15"/>
        <v>50.478623703312323</v>
      </c>
      <c r="P44" s="1461">
        <f t="shared" si="15"/>
        <v>58.029249399132652</v>
      </c>
      <c r="Q44" s="1461">
        <f t="shared" si="15"/>
        <v>62.453401148797496</v>
      </c>
      <c r="R44" s="1461">
        <f t="shared" si="15"/>
        <v>70.601579857258088</v>
      </c>
      <c r="S44" s="1461">
        <f t="shared" si="15"/>
        <v>77.044908691972353</v>
      </c>
      <c r="T44" s="1461">
        <f t="shared" si="15"/>
        <v>88.316289096206802</v>
      </c>
      <c r="U44" s="1461">
        <f t="shared" si="15"/>
        <v>94.703132934020942</v>
      </c>
      <c r="V44" s="1461">
        <f t="shared" si="15"/>
        <v>106.3502017483535</v>
      </c>
      <c r="W44" s="1461">
        <f t="shared" si="15"/>
        <v>115.61066132373321</v>
      </c>
      <c r="X44" s="1461">
        <f t="shared" si="15"/>
        <v>131.75065728343191</v>
      </c>
      <c r="Y44" s="1461">
        <f t="shared" si="15"/>
        <v>140.37885805238324</v>
      </c>
      <c r="Z44" s="1461">
        <f t="shared" si="15"/>
        <v>157.38269992434221</v>
      </c>
      <c r="AA44" s="1461">
        <f t="shared" si="15"/>
        <v>171.24849621155386</v>
      </c>
      <c r="AB44" s="1461">
        <f t="shared" si="15"/>
        <v>194.43554206622844</v>
      </c>
    </row>
    <row r="45" spans="2:28" x14ac:dyDescent="0.25">
      <c r="B45" s="508" t="s">
        <v>863</v>
      </c>
      <c r="C45" s="1335">
        <f>C44/C42</f>
        <v>0.71263289222586546</v>
      </c>
      <c r="D45" s="1335">
        <f>D44/D42</f>
        <v>0.72495774812711666</v>
      </c>
      <c r="E45" s="1335">
        <f>E44/E42</f>
        <v>0.73691542393582599</v>
      </c>
      <c r="F45" s="1335">
        <f>F44/F42</f>
        <v>0.74894142094972704</v>
      </c>
      <c r="G45" s="1335">
        <f>G44/G42</f>
        <v>0.76572475411029639</v>
      </c>
      <c r="H45" s="16"/>
      <c r="I45" s="1335">
        <f t="shared" ref="I45:AB45" si="16">I44/I42</f>
        <v>0.7017044483853625</v>
      </c>
      <c r="J45" s="1335">
        <f t="shared" si="16"/>
        <v>0.70944268787805975</v>
      </c>
      <c r="K45" s="1335">
        <f t="shared" si="16"/>
        <v>0.71198709389783543</v>
      </c>
      <c r="L45" s="1335">
        <f t="shared" si="16"/>
        <v>0.72334191308721485</v>
      </c>
      <c r="M45" s="1335">
        <f t="shared" si="16"/>
        <v>0.71970113639019062</v>
      </c>
      <c r="N45" s="1335">
        <f t="shared" si="16"/>
        <v>0.72406762098363697</v>
      </c>
      <c r="O45" s="1335">
        <f t="shared" si="16"/>
        <v>0.72359470234779555</v>
      </c>
      <c r="P45" s="1335">
        <f t="shared" si="16"/>
        <v>0.7306200171521704</v>
      </c>
      <c r="Q45" s="1335">
        <f t="shared" si="16"/>
        <v>0.72912993317477537</v>
      </c>
      <c r="R45" s="1335">
        <f t="shared" si="16"/>
        <v>0.73540341635707074</v>
      </c>
      <c r="S45" s="1335">
        <f t="shared" si="16"/>
        <v>0.7362641815424037</v>
      </c>
      <c r="T45" s="1335">
        <f t="shared" si="16"/>
        <v>0.74433353839120275</v>
      </c>
      <c r="U45" s="1335">
        <f t="shared" si="16"/>
        <v>0.74289274115060233</v>
      </c>
      <c r="V45" s="1335">
        <f t="shared" si="16"/>
        <v>0.74776158218324662</v>
      </c>
      <c r="W45" s="1335">
        <f t="shared" si="16"/>
        <v>0.7481251374393274</v>
      </c>
      <c r="X45" s="1335">
        <f t="shared" si="16"/>
        <v>0.75504493084611124</v>
      </c>
      <c r="Y45" s="1335">
        <f t="shared" si="16"/>
        <v>0.75528256186440279</v>
      </c>
      <c r="Z45" s="1335">
        <f t="shared" si="16"/>
        <v>0.76333168084336267</v>
      </c>
      <c r="AA45" s="1335">
        <f t="shared" si="16"/>
        <v>0.76625209418532814</v>
      </c>
      <c r="AB45" s="1335">
        <f t="shared" si="16"/>
        <v>0.77495701499355862</v>
      </c>
    </row>
    <row r="46" spans="2:28" x14ac:dyDescent="0.25">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row>
    <row r="47" spans="2:28" x14ac:dyDescent="0.25">
      <c r="B47" t="s">
        <v>10</v>
      </c>
      <c r="C47" s="90">
        <v>78.52014163809659</v>
      </c>
      <c r="D47" s="90">
        <v>110.5527903290928</v>
      </c>
      <c r="E47" s="90">
        <v>146.36228110960332</v>
      </c>
      <c r="F47" s="90">
        <v>190.43005487847307</v>
      </c>
      <c r="G47" s="90">
        <v>279.93218067135535</v>
      </c>
      <c r="H47" s="16"/>
      <c r="I47" s="90">
        <v>18.68649795249728</v>
      </c>
      <c r="J47" s="90">
        <v>19.394151045267424</v>
      </c>
      <c r="K47" s="90">
        <v>19.865919773780856</v>
      </c>
      <c r="L47" s="90">
        <v>20.573572866551004</v>
      </c>
      <c r="M47" s="90">
        <v>23.779352588989802</v>
      </c>
      <c r="N47" s="90">
        <v>26.673486333952347</v>
      </c>
      <c r="O47" s="90">
        <v>28.602908830594046</v>
      </c>
      <c r="P47" s="90">
        <v>31.497042575556595</v>
      </c>
      <c r="Q47" s="90">
        <v>34.920084435847819</v>
      </c>
      <c r="R47" s="90">
        <v>36.172948817012575</v>
      </c>
      <c r="S47" s="90">
        <v>37.008191737789069</v>
      </c>
      <c r="T47" s="90">
        <v>38.261056118953832</v>
      </c>
      <c r="U47" s="90">
        <v>42.944245545412215</v>
      </c>
      <c r="V47" s="90">
        <v>46.441696676066741</v>
      </c>
      <c r="W47" s="90">
        <v>48.773330763169788</v>
      </c>
      <c r="X47" s="90">
        <v>52.270781893824321</v>
      </c>
      <c r="Y47" s="90">
        <v>60.733300978776036</v>
      </c>
      <c r="Z47" s="90">
        <v>67.670609120573147</v>
      </c>
      <c r="AA47" s="90">
        <v>72.295481215104545</v>
      </c>
      <c r="AB47" s="90">
        <v>79.232789356901677</v>
      </c>
    </row>
    <row r="48" spans="2:28" x14ac:dyDescent="0.25">
      <c r="B48" t="s">
        <v>11</v>
      </c>
      <c r="C48" s="90">
        <v>25.053775841302432</v>
      </c>
      <c r="D48" s="90">
        <v>36.154549167470137</v>
      </c>
      <c r="E48" s="90">
        <v>50.306443897802851</v>
      </c>
      <c r="F48" s="90">
        <v>68.931432644750046</v>
      </c>
      <c r="G48" s="90">
        <v>98.529114386220058</v>
      </c>
      <c r="H48" s="16"/>
      <c r="I48" s="90">
        <v>5.6733912199483072</v>
      </c>
      <c r="J48" s="90">
        <v>5.5361176747370555</v>
      </c>
      <c r="K48" s="90">
        <v>6.9652689377996859</v>
      </c>
      <c r="L48" s="90">
        <v>6.8789980088173861</v>
      </c>
      <c r="M48" s="90">
        <v>7.5075732846595908</v>
      </c>
      <c r="N48" s="90">
        <v>7.8006469668365623</v>
      </c>
      <c r="O48" s="90">
        <v>10.239013187429656</v>
      </c>
      <c r="P48" s="90">
        <v>10.607315728544329</v>
      </c>
      <c r="Q48" s="90">
        <v>11.200357051541816</v>
      </c>
      <c r="R48" s="90">
        <v>10.992472225041462</v>
      </c>
      <c r="S48" s="90">
        <v>14.106208801130137</v>
      </c>
      <c r="T48" s="90">
        <v>14.007405820089451</v>
      </c>
      <c r="U48" s="90">
        <v>14.71063187048</v>
      </c>
      <c r="V48" s="90">
        <v>14.835194330638741</v>
      </c>
      <c r="W48" s="90">
        <v>19.552801176846266</v>
      </c>
      <c r="X48" s="90">
        <v>19.832805266785034</v>
      </c>
      <c r="Y48" s="90">
        <v>20.873199656053245</v>
      </c>
      <c r="Z48" s="90">
        <v>21.218558700408924</v>
      </c>
      <c r="AA48" s="90">
        <v>27.937189351855082</v>
      </c>
      <c r="AB48" s="90">
        <v>28.500166677902797</v>
      </c>
    </row>
    <row r="49" spans="2:28" x14ac:dyDescent="0.25">
      <c r="B49" t="s">
        <v>566</v>
      </c>
      <c r="C49" s="90">
        <v>3.9260008154522592</v>
      </c>
      <c r="D49" s="90">
        <v>6.0376474223935235</v>
      </c>
      <c r="E49" s="90">
        <v>9.0954436234370544</v>
      </c>
      <c r="F49" s="90">
        <v>13.489966162327022</v>
      </c>
      <c r="G49" s="90">
        <v>19.431617783553676</v>
      </c>
      <c r="H49" s="16"/>
      <c r="I49" s="90">
        <v>0.84915240074450149</v>
      </c>
      <c r="J49" s="90">
        <v>0.92903686628547499</v>
      </c>
      <c r="K49" s="90">
        <v>1.0180799984186366</v>
      </c>
      <c r="L49" s="90">
        <v>1.1297315500036507</v>
      </c>
      <c r="M49" s="90">
        <v>1.3095733454410379</v>
      </c>
      <c r="N49" s="90">
        <v>1.4332147323425002</v>
      </c>
      <c r="O49" s="90">
        <v>1.5684899051478263</v>
      </c>
      <c r="P49" s="90">
        <v>1.7263694394621625</v>
      </c>
      <c r="Q49" s="90">
        <v>1.9857826192271431</v>
      </c>
      <c r="R49" s="90">
        <v>2.163921565488089</v>
      </c>
      <c r="S49" s="90">
        <v>2.3589566647092757</v>
      </c>
      <c r="T49" s="90">
        <v>2.5867827740125375</v>
      </c>
      <c r="U49" s="90">
        <v>2.964478135027047</v>
      </c>
      <c r="V49" s="90">
        <v>3.2166348522797898</v>
      </c>
      <c r="W49" s="90">
        <v>3.4929092681340781</v>
      </c>
      <c r="X49" s="90">
        <v>3.8159439068861118</v>
      </c>
      <c r="Y49" s="90">
        <v>4.3388251217820306</v>
      </c>
      <c r="Z49" s="90">
        <v>4.6596340649301302</v>
      </c>
      <c r="AA49" s="90">
        <v>5.0107039056045037</v>
      </c>
      <c r="AB49" s="90">
        <v>5.4224546912369949</v>
      </c>
    </row>
    <row r="50" spans="2:28" x14ac:dyDescent="0.25">
      <c r="B50" t="s">
        <v>482</v>
      </c>
      <c r="C50" s="90">
        <v>-19.445888886340402</v>
      </c>
      <c r="D50" s="90">
        <v>-30.592555907168016</v>
      </c>
      <c r="E50" s="90">
        <v>-43.075904345728731</v>
      </c>
      <c r="F50" s="90">
        <v>-56.247628513418945</v>
      </c>
      <c r="G50" s="90">
        <v>-74.758817524629833</v>
      </c>
      <c r="H50" s="16"/>
      <c r="I50" s="90">
        <v>-2.7294547034360068</v>
      </c>
      <c r="J50" s="90">
        <v>-4.5147163732379685</v>
      </c>
      <c r="K50" s="90">
        <v>-4.2093882847354696</v>
      </c>
      <c r="L50" s="90">
        <v>-7.9923295249309581</v>
      </c>
      <c r="M50" s="90">
        <v>-4.8608919904100576</v>
      </c>
      <c r="N50" s="90">
        <v>-7.6954760573426766</v>
      </c>
      <c r="O50" s="90">
        <v>-6.6402090548555606</v>
      </c>
      <c r="P50" s="90">
        <v>-11.395978804559723</v>
      </c>
      <c r="Q50" s="90">
        <v>-7.2624775085396793</v>
      </c>
      <c r="R50" s="90">
        <v>-11.062385267232829</v>
      </c>
      <c r="S50" s="90">
        <v>-9.1511391195615435</v>
      </c>
      <c r="T50" s="90">
        <v>-15.599902450394682</v>
      </c>
      <c r="U50" s="90">
        <v>-9.0651466548579229</v>
      </c>
      <c r="V50" s="90">
        <v>-14.480015210995653</v>
      </c>
      <c r="W50" s="90">
        <v>-11.756489450564075</v>
      </c>
      <c r="X50" s="90">
        <v>-20.945977197001294</v>
      </c>
      <c r="Y50" s="90">
        <v>-11.276149316138564</v>
      </c>
      <c r="Z50" s="90">
        <v>-19.087416866927427</v>
      </c>
      <c r="AA50" s="90">
        <v>-15.573597477525864</v>
      </c>
      <c r="AB50" s="90">
        <v>-28.821653864037977</v>
      </c>
    </row>
    <row r="51" spans="2:28" x14ac:dyDescent="0.25">
      <c r="B51" t="s">
        <v>13</v>
      </c>
      <c r="C51" s="90">
        <v>64.849449862995655</v>
      </c>
      <c r="D51" s="90">
        <v>91.582075091912628</v>
      </c>
      <c r="E51" s="90">
        <v>122.78429496101052</v>
      </c>
      <c r="F51" s="90">
        <v>159.59375296896457</v>
      </c>
      <c r="G51" s="90">
        <v>204.27971431497389</v>
      </c>
      <c r="H51" s="16"/>
      <c r="I51" s="90">
        <v>14.450121402541447</v>
      </c>
      <c r="J51" s="90">
        <v>15.001501287402686</v>
      </c>
      <c r="K51" s="90">
        <v>16.661484517079376</v>
      </c>
      <c r="L51" s="90">
        <v>18.736342655972138</v>
      </c>
      <c r="M51" s="90">
        <v>20.683087497624896</v>
      </c>
      <c r="N51" s="90">
        <v>21.271760842431167</v>
      </c>
      <c r="O51" s="90">
        <v>23.475452272902203</v>
      </c>
      <c r="P51" s="90">
        <v>26.151774478954337</v>
      </c>
      <c r="Q51" s="90">
        <v>28.740882554903077</v>
      </c>
      <c r="R51" s="90">
        <v>28.863153324514698</v>
      </c>
      <c r="S51" s="90">
        <v>30.892917703407939</v>
      </c>
      <c r="T51" s="90">
        <v>34.287341378184777</v>
      </c>
      <c r="U51" s="90">
        <v>37.627040487792343</v>
      </c>
      <c r="V51" s="90">
        <v>37.68453303222276</v>
      </c>
      <c r="W51" s="90">
        <v>40.02515175692254</v>
      </c>
      <c r="X51" s="90">
        <v>44.257027692026938</v>
      </c>
      <c r="Y51" s="90">
        <v>48.49618459130653</v>
      </c>
      <c r="Z51" s="90">
        <v>48.49618459130653</v>
      </c>
      <c r="AA51" s="90">
        <v>51.05167553413704</v>
      </c>
      <c r="AB51" s="90">
        <v>56.235669598223758</v>
      </c>
    </row>
    <row r="52" spans="2:28" x14ac:dyDescent="0.25">
      <c r="B52" t="s">
        <v>14</v>
      </c>
      <c r="C52" s="88">
        <v>49.099742379827887</v>
      </c>
      <c r="D52" s="88">
        <v>60.388487041385069</v>
      </c>
      <c r="E52" s="88">
        <v>75.862664803885693</v>
      </c>
      <c r="F52" s="88">
        <v>93.686112431114978</v>
      </c>
      <c r="G52" s="88">
        <v>116.65909010749698</v>
      </c>
      <c r="H52" s="16"/>
      <c r="I52" s="88">
        <v>11.838806957696271</v>
      </c>
      <c r="J52" s="88">
        <v>11.929071630307703</v>
      </c>
      <c r="K52" s="88">
        <v>12.139424346230891</v>
      </c>
      <c r="L52" s="88">
        <v>13.192439445593022</v>
      </c>
      <c r="M52" s="88">
        <v>13.960033919779832</v>
      </c>
      <c r="N52" s="88">
        <v>14.225526683408017</v>
      </c>
      <c r="O52" s="88">
        <v>15.273669891698184</v>
      </c>
      <c r="P52" s="88">
        <v>16.92925654649904</v>
      </c>
      <c r="Q52" s="88">
        <v>18.024460273198574</v>
      </c>
      <c r="R52" s="88">
        <v>18.171554952088581</v>
      </c>
      <c r="S52" s="88">
        <v>19.037249083440834</v>
      </c>
      <c r="T52" s="88">
        <v>20.629400495157714</v>
      </c>
      <c r="U52" s="88">
        <v>22.150111568999876</v>
      </c>
      <c r="V52" s="88">
        <v>22.374970555763749</v>
      </c>
      <c r="W52" s="88">
        <v>23.465977216410614</v>
      </c>
      <c r="X52" s="88">
        <v>25.695053089940746</v>
      </c>
      <c r="Y52" s="88">
        <v>27.625265330105389</v>
      </c>
      <c r="Z52" s="88">
        <v>27.92441937670738</v>
      </c>
      <c r="AA52" s="88">
        <v>29.181388341002268</v>
      </c>
      <c r="AB52" s="88">
        <v>31.928017059681952</v>
      </c>
    </row>
    <row r="53" spans="2:28" x14ac:dyDescent="0.25">
      <c r="B53" t="s">
        <v>861</v>
      </c>
      <c r="C53" s="1462">
        <f>SUM(C47:C52)</f>
        <v>202.00322165133443</v>
      </c>
      <c r="D53" s="1462">
        <f>SUM(D47:D52)</f>
        <v>274.12299314508613</v>
      </c>
      <c r="E53" s="1462">
        <f>SUM(E47:E52)</f>
        <v>361.33522405001071</v>
      </c>
      <c r="F53" s="1462">
        <f>SUM(F47:F52)</f>
        <v>469.88369057221075</v>
      </c>
      <c r="G53" s="1462">
        <f>SUM(G47:G52)</f>
        <v>644.07289973897014</v>
      </c>
      <c r="H53" s="16"/>
      <c r="I53" s="1462">
        <f t="shared" ref="I53:AB53" si="17">SUM(I47:I52)</f>
        <v>48.768515229991799</v>
      </c>
      <c r="J53" s="1462">
        <f t="shared" si="17"/>
        <v>48.275162130762382</v>
      </c>
      <c r="K53" s="1462">
        <f t="shared" si="17"/>
        <v>52.440789288573974</v>
      </c>
      <c r="L53" s="1462">
        <f t="shared" si="17"/>
        <v>52.518755002006245</v>
      </c>
      <c r="M53" s="1462">
        <f t="shared" si="17"/>
        <v>62.378728646085108</v>
      </c>
      <c r="N53" s="1462">
        <f t="shared" si="17"/>
        <v>63.709159501627909</v>
      </c>
      <c r="O53" s="1462">
        <f t="shared" si="17"/>
        <v>72.519325032916356</v>
      </c>
      <c r="P53" s="1462">
        <f t="shared" si="17"/>
        <v>75.51577996445674</v>
      </c>
      <c r="Q53" s="1462">
        <f t="shared" si="17"/>
        <v>87.609089426178741</v>
      </c>
      <c r="R53" s="1462">
        <f t="shared" si="17"/>
        <v>85.301665616912587</v>
      </c>
      <c r="S53" s="1462">
        <f t="shared" si="17"/>
        <v>94.252384870915705</v>
      </c>
      <c r="T53" s="1462">
        <f t="shared" si="17"/>
        <v>94.172084136003633</v>
      </c>
      <c r="U53" s="1462">
        <f t="shared" si="17"/>
        <v>111.33136095285356</v>
      </c>
      <c r="V53" s="1462">
        <f t="shared" si="17"/>
        <v>110.07301423597613</v>
      </c>
      <c r="W53" s="1462">
        <f t="shared" si="17"/>
        <v>123.55368073091921</v>
      </c>
      <c r="X53" s="1462">
        <f t="shared" si="17"/>
        <v>124.92563465246184</v>
      </c>
      <c r="Y53" s="1462">
        <f t="shared" si="17"/>
        <v>150.79062636188465</v>
      </c>
      <c r="Z53" s="1462">
        <f t="shared" si="17"/>
        <v>150.88198898699869</v>
      </c>
      <c r="AA53" s="1462">
        <f t="shared" si="17"/>
        <v>169.90284087017758</v>
      </c>
      <c r="AB53" s="1462">
        <f t="shared" si="17"/>
        <v>172.49744351990921</v>
      </c>
    </row>
    <row r="54" spans="2:28" hidden="1" outlineLevel="1" x14ac:dyDescent="0.25">
      <c r="B54" s="28" t="s">
        <v>51</v>
      </c>
      <c r="C54" s="90">
        <v>0</v>
      </c>
      <c r="D54" s="90">
        <v>0</v>
      </c>
      <c r="E54" s="90">
        <v>0</v>
      </c>
      <c r="F54" s="90">
        <v>0</v>
      </c>
      <c r="G54" s="90">
        <v>0</v>
      </c>
      <c r="H54" s="16"/>
    </row>
    <row r="55" spans="2:28" collapsed="1" x14ac:dyDescent="0.25">
      <c r="C55" s="16"/>
      <c r="D55" s="16"/>
      <c r="E55" s="16"/>
      <c r="F55" s="16"/>
      <c r="G55" s="16"/>
      <c r="H55" s="16"/>
    </row>
    <row r="56" spans="2:28" x14ac:dyDescent="0.25">
      <c r="C56" s="16"/>
      <c r="D56" s="16"/>
      <c r="E56" s="16"/>
      <c r="F56" s="16"/>
      <c r="G56" s="16"/>
      <c r="H56" s="16"/>
    </row>
    <row r="57" spans="2:28" x14ac:dyDescent="0.25">
      <c r="B57" s="7" t="s">
        <v>862</v>
      </c>
      <c r="C57" s="16"/>
      <c r="D57" s="16"/>
      <c r="E57" s="16"/>
      <c r="F57" s="16"/>
      <c r="G57" s="16"/>
      <c r="H57" s="16"/>
    </row>
    <row r="58" spans="2:28" x14ac:dyDescent="0.25">
      <c r="C58" s="16"/>
      <c r="D58" s="16"/>
      <c r="E58" s="16"/>
      <c r="F58" s="16"/>
      <c r="G58" s="16"/>
      <c r="H58" s="16"/>
    </row>
    <row r="59" spans="2:28" x14ac:dyDescent="0.25">
      <c r="B59" t="s">
        <v>31</v>
      </c>
      <c r="C59" s="1454">
        <f t="shared" ref="C59:G61" si="18">C42/C$42</f>
        <v>1</v>
      </c>
      <c r="D59" s="1454">
        <f t="shared" si="18"/>
        <v>1</v>
      </c>
      <c r="E59" s="1454">
        <f t="shared" si="18"/>
        <v>1</v>
      </c>
      <c r="F59" s="1454">
        <f t="shared" si="18"/>
        <v>1</v>
      </c>
      <c r="G59" s="1454">
        <f t="shared" si="18"/>
        <v>1</v>
      </c>
      <c r="H59" s="16"/>
      <c r="I59" s="1454">
        <f t="shared" ref="I59:AB59" si="19">I42/I$42</f>
        <v>1</v>
      </c>
      <c r="J59" s="1454">
        <f t="shared" si="19"/>
        <v>1</v>
      </c>
      <c r="K59" s="1454">
        <f t="shared" si="19"/>
        <v>1</v>
      </c>
      <c r="L59" s="1454">
        <f t="shared" si="19"/>
        <v>1</v>
      </c>
      <c r="M59" s="1454">
        <f t="shared" si="19"/>
        <v>1</v>
      </c>
      <c r="N59" s="1454">
        <f t="shared" si="19"/>
        <v>1</v>
      </c>
      <c r="O59" s="1454">
        <f t="shared" si="19"/>
        <v>1</v>
      </c>
      <c r="P59" s="1454">
        <f t="shared" si="19"/>
        <v>1</v>
      </c>
      <c r="Q59" s="1454">
        <f t="shared" si="19"/>
        <v>1</v>
      </c>
      <c r="R59" s="1454">
        <f t="shared" si="19"/>
        <v>1</v>
      </c>
      <c r="S59" s="1454">
        <f t="shared" si="19"/>
        <v>1</v>
      </c>
      <c r="T59" s="1454">
        <f t="shared" si="19"/>
        <v>1</v>
      </c>
      <c r="U59" s="1454">
        <f t="shared" si="19"/>
        <v>1</v>
      </c>
      <c r="V59" s="1454">
        <f t="shared" si="19"/>
        <v>1</v>
      </c>
      <c r="W59" s="1454">
        <f t="shared" si="19"/>
        <v>1</v>
      </c>
      <c r="X59" s="1454">
        <f t="shared" si="19"/>
        <v>1</v>
      </c>
      <c r="Y59" s="1454">
        <f t="shared" si="19"/>
        <v>1</v>
      </c>
      <c r="Z59" s="1454">
        <f t="shared" si="19"/>
        <v>1</v>
      </c>
      <c r="AA59" s="1454">
        <f t="shared" si="19"/>
        <v>1</v>
      </c>
      <c r="AB59" s="1454">
        <f t="shared" si="19"/>
        <v>1</v>
      </c>
    </row>
    <row r="60" spans="2:28" x14ac:dyDescent="0.25">
      <c r="B60" t="s">
        <v>3</v>
      </c>
      <c r="C60" s="1463">
        <f t="shared" si="18"/>
        <v>0.2873671077741346</v>
      </c>
      <c r="D60" s="1463">
        <f t="shared" si="18"/>
        <v>0.27504225187288339</v>
      </c>
      <c r="E60" s="1463">
        <f t="shared" si="18"/>
        <v>0.26308457606417401</v>
      </c>
      <c r="F60" s="1463">
        <f t="shared" si="18"/>
        <v>0.25105857905027301</v>
      </c>
      <c r="G60" s="1463">
        <f t="shared" si="18"/>
        <v>0.23427524588970361</v>
      </c>
      <c r="H60" s="16"/>
      <c r="I60" s="1463">
        <f t="shared" ref="I60:AB60" si="20">I43/I$42</f>
        <v>0.29829555161463744</v>
      </c>
      <c r="J60" s="1463">
        <f t="shared" si="20"/>
        <v>0.29055731212194019</v>
      </c>
      <c r="K60" s="1463">
        <f t="shared" si="20"/>
        <v>0.28801290610216457</v>
      </c>
      <c r="L60" s="1463">
        <f t="shared" si="20"/>
        <v>0.27665808691278515</v>
      </c>
      <c r="M60" s="1463">
        <f t="shared" si="20"/>
        <v>0.28029886360980932</v>
      </c>
      <c r="N60" s="1463">
        <f t="shared" si="20"/>
        <v>0.27593237901636297</v>
      </c>
      <c r="O60" s="1463">
        <f t="shared" si="20"/>
        <v>0.27640529765220434</v>
      </c>
      <c r="P60" s="1463">
        <f t="shared" si="20"/>
        <v>0.2693799828478296</v>
      </c>
      <c r="Q60" s="1463">
        <f t="shared" si="20"/>
        <v>0.27087006682522463</v>
      </c>
      <c r="R60" s="1463">
        <f t="shared" si="20"/>
        <v>0.26459658364292921</v>
      </c>
      <c r="S60" s="1463">
        <f t="shared" si="20"/>
        <v>0.26373581845759625</v>
      </c>
      <c r="T60" s="1463">
        <f t="shared" si="20"/>
        <v>0.25566646160879725</v>
      </c>
      <c r="U60" s="1463">
        <f t="shared" si="20"/>
        <v>0.25710725884939761</v>
      </c>
      <c r="V60" s="1463">
        <f t="shared" si="20"/>
        <v>0.25223841781675338</v>
      </c>
      <c r="W60" s="1463">
        <f t="shared" si="20"/>
        <v>0.2518748625606726</v>
      </c>
      <c r="X60" s="1463">
        <f t="shared" si="20"/>
        <v>0.2449550691538887</v>
      </c>
      <c r="Y60" s="1463">
        <f t="shared" si="20"/>
        <v>0.24471743813559724</v>
      </c>
      <c r="Z60" s="1463">
        <f t="shared" si="20"/>
        <v>0.23666831915663744</v>
      </c>
      <c r="AA60" s="1463">
        <f t="shared" si="20"/>
        <v>0.23374790581467189</v>
      </c>
      <c r="AB60" s="1463">
        <f t="shared" si="20"/>
        <v>0.22504298500644132</v>
      </c>
    </row>
    <row r="61" spans="2:28" x14ac:dyDescent="0.25">
      <c r="B61" s="1" t="s">
        <v>6</v>
      </c>
      <c r="C61" s="1454">
        <f t="shared" si="18"/>
        <v>0.71263289222586546</v>
      </c>
      <c r="D61" s="1454">
        <f t="shared" si="18"/>
        <v>0.72495774812711666</v>
      </c>
      <c r="E61" s="1454">
        <f t="shared" si="18"/>
        <v>0.73691542393582599</v>
      </c>
      <c r="F61" s="1454">
        <f t="shared" si="18"/>
        <v>0.74894142094972704</v>
      </c>
      <c r="G61" s="1454">
        <f t="shared" si="18"/>
        <v>0.76572475411029639</v>
      </c>
      <c r="H61" s="16"/>
      <c r="I61" s="1454">
        <f t="shared" ref="I61:AB61" si="21">I44/I$42</f>
        <v>0.7017044483853625</v>
      </c>
      <c r="J61" s="1454">
        <f t="shared" si="21"/>
        <v>0.70944268787805975</v>
      </c>
      <c r="K61" s="1454">
        <f t="shared" si="21"/>
        <v>0.71198709389783543</v>
      </c>
      <c r="L61" s="1454">
        <f t="shared" si="21"/>
        <v>0.72334191308721485</v>
      </c>
      <c r="M61" s="1454">
        <f t="shared" si="21"/>
        <v>0.71970113639019062</v>
      </c>
      <c r="N61" s="1454">
        <f t="shared" si="21"/>
        <v>0.72406762098363697</v>
      </c>
      <c r="O61" s="1454">
        <f t="shared" si="21"/>
        <v>0.72359470234779555</v>
      </c>
      <c r="P61" s="1454">
        <f t="shared" si="21"/>
        <v>0.7306200171521704</v>
      </c>
      <c r="Q61" s="1454">
        <f t="shared" si="21"/>
        <v>0.72912993317477537</v>
      </c>
      <c r="R61" s="1454">
        <f t="shared" si="21"/>
        <v>0.73540341635707074</v>
      </c>
      <c r="S61" s="1454">
        <f t="shared" si="21"/>
        <v>0.7362641815424037</v>
      </c>
      <c r="T61" s="1454">
        <f t="shared" si="21"/>
        <v>0.74433353839120275</v>
      </c>
      <c r="U61" s="1454">
        <f t="shared" si="21"/>
        <v>0.74289274115060233</v>
      </c>
      <c r="V61" s="1454">
        <f t="shared" si="21"/>
        <v>0.74776158218324662</v>
      </c>
      <c r="W61" s="1454">
        <f t="shared" si="21"/>
        <v>0.7481251374393274</v>
      </c>
      <c r="X61" s="1454">
        <f t="shared" si="21"/>
        <v>0.75504493084611124</v>
      </c>
      <c r="Y61" s="1454">
        <f t="shared" si="21"/>
        <v>0.75528256186440279</v>
      </c>
      <c r="Z61" s="1454">
        <f t="shared" si="21"/>
        <v>0.76333168084336267</v>
      </c>
      <c r="AA61" s="1454">
        <f t="shared" si="21"/>
        <v>0.76625209418532814</v>
      </c>
      <c r="AB61" s="1454">
        <f t="shared" si="21"/>
        <v>0.77495701499355862</v>
      </c>
    </row>
    <row r="62" spans="2:28" x14ac:dyDescent="0.25">
      <c r="C62" s="16"/>
      <c r="D62" s="16"/>
      <c r="E62" s="16"/>
      <c r="F62" s="16"/>
      <c r="G62" s="16"/>
      <c r="H62" s="16"/>
    </row>
    <row r="63" spans="2:28" x14ac:dyDescent="0.25">
      <c r="B63" t="s">
        <v>10</v>
      </c>
      <c r="C63" s="1464">
        <f t="shared" ref="C63:G69" si="22">C47/C$42</f>
        <v>0.44705918674573036</v>
      </c>
      <c r="D63" s="1464">
        <f t="shared" si="22"/>
        <v>0.4099900880804429</v>
      </c>
      <c r="E63" s="1464">
        <f t="shared" si="22"/>
        <v>0.36143021088165483</v>
      </c>
      <c r="F63" s="1464">
        <f t="shared" si="22"/>
        <v>0.31805596638281203</v>
      </c>
      <c r="G63" s="1464">
        <f t="shared" si="22"/>
        <v>0.32308753185227923</v>
      </c>
      <c r="H63" s="16"/>
      <c r="I63" s="1464">
        <f t="shared" ref="I63:AB63" si="23">I47/I$42</f>
        <v>0.51005035811033694</v>
      </c>
      <c r="J63" s="1464">
        <f t="shared" si="23"/>
        <v>0.47038134164503698</v>
      </c>
      <c r="K63" s="1464">
        <f t="shared" si="23"/>
        <v>0.4379199344128657</v>
      </c>
      <c r="L63" s="1464">
        <f t="shared" si="23"/>
        <v>0.39258445489688848</v>
      </c>
      <c r="M63" s="1464">
        <f t="shared" si="23"/>
        <v>0.41967639025387982</v>
      </c>
      <c r="N63" s="1464">
        <f t="shared" si="23"/>
        <v>0.41807490715644308</v>
      </c>
      <c r="O63" s="1464">
        <f t="shared" si="23"/>
        <v>0.41001342317097955</v>
      </c>
      <c r="P63" s="1464">
        <f t="shared" si="23"/>
        <v>0.39656500859616084</v>
      </c>
      <c r="Q63" s="1464">
        <f t="shared" si="23"/>
        <v>0.40768442331114702</v>
      </c>
      <c r="R63" s="1464">
        <f t="shared" si="23"/>
        <v>0.37678632961930464</v>
      </c>
      <c r="S63" s="1464">
        <f t="shared" si="23"/>
        <v>0.35366134456885512</v>
      </c>
      <c r="T63" s="1464">
        <f t="shared" si="23"/>
        <v>0.32246585058144683</v>
      </c>
      <c r="U63" s="1464">
        <f t="shared" si="23"/>
        <v>0.33687342014442562</v>
      </c>
      <c r="V63" s="1464">
        <f t="shared" si="23"/>
        <v>0.32653738323827614</v>
      </c>
      <c r="W63" s="1464">
        <f t="shared" si="23"/>
        <v>0.31561582956778395</v>
      </c>
      <c r="X63" s="1464">
        <f t="shared" si="23"/>
        <v>0.29955667557233379</v>
      </c>
      <c r="Y63" s="1464">
        <f t="shared" si="23"/>
        <v>0.32676432755005624</v>
      </c>
      <c r="Z63" s="1464">
        <f t="shared" si="23"/>
        <v>0.32821345566274562</v>
      </c>
      <c r="AA63" s="1464">
        <f t="shared" si="23"/>
        <v>0.32348642532180316</v>
      </c>
      <c r="AB63" s="1464">
        <f t="shared" si="23"/>
        <v>0.3157962030867959</v>
      </c>
    </row>
    <row r="64" spans="2:28" x14ac:dyDescent="0.25">
      <c r="B64" t="s">
        <v>11</v>
      </c>
      <c r="C64" s="1464">
        <f t="shared" si="22"/>
        <v>0.14264519165217854</v>
      </c>
      <c r="D64" s="1464">
        <f t="shared" si="22"/>
        <v>0.13408080206347356</v>
      </c>
      <c r="E64" s="1464">
        <f t="shared" si="22"/>
        <v>0.12422783034566973</v>
      </c>
      <c r="F64" s="1464">
        <f t="shared" si="22"/>
        <v>0.11512916612857664</v>
      </c>
      <c r="G64" s="1464">
        <f t="shared" si="22"/>
        <v>0.11371871682022791</v>
      </c>
      <c r="H64" s="16"/>
      <c r="I64" s="1464">
        <f t="shared" ref="I64:AB64" si="24">I48/I$42</f>
        <v>0.15485594094681376</v>
      </c>
      <c r="J64" s="1464">
        <f t="shared" si="24"/>
        <v>0.13427174271611492</v>
      </c>
      <c r="K64" s="1464">
        <f t="shared" si="24"/>
        <v>0.15354084538461282</v>
      </c>
      <c r="L64" s="1464">
        <f t="shared" si="24"/>
        <v>0.13126488534808814</v>
      </c>
      <c r="M64" s="1464">
        <f t="shared" si="24"/>
        <v>0.13249945488975365</v>
      </c>
      <c r="N64" s="1464">
        <f t="shared" si="24"/>
        <v>0.1222657854166283</v>
      </c>
      <c r="O64" s="1464">
        <f t="shared" si="24"/>
        <v>0.14677293389057192</v>
      </c>
      <c r="P64" s="1464">
        <f t="shared" si="24"/>
        <v>0.13355191183367918</v>
      </c>
      <c r="Q64" s="1464">
        <f t="shared" si="24"/>
        <v>0.130761742968446</v>
      </c>
      <c r="R64" s="1464">
        <f t="shared" si="24"/>
        <v>0.11450029368818222</v>
      </c>
      <c r="S64" s="1464">
        <f t="shared" si="24"/>
        <v>0.13480314863053999</v>
      </c>
      <c r="T64" s="1464">
        <f t="shared" si="24"/>
        <v>0.11805502749771349</v>
      </c>
      <c r="U64" s="1464">
        <f t="shared" si="24"/>
        <v>0.1153966220096653</v>
      </c>
      <c r="V64" s="1464">
        <f t="shared" si="24"/>
        <v>0.10430810851608091</v>
      </c>
      <c r="W64" s="1464">
        <f t="shared" si="24"/>
        <v>0.12652762210909566</v>
      </c>
      <c r="X64" s="1464">
        <f t="shared" si="24"/>
        <v>0.11365908443955225</v>
      </c>
      <c r="Y64" s="1464">
        <f t="shared" si="24"/>
        <v>0.11230440202504138</v>
      </c>
      <c r="Z64" s="1464">
        <f t="shared" si="24"/>
        <v>0.10291345926612586</v>
      </c>
      <c r="AA64" s="1464">
        <f t="shared" si="24"/>
        <v>0.12500506760693361</v>
      </c>
      <c r="AB64" s="1464">
        <f t="shared" si="24"/>
        <v>0.11359242173945434</v>
      </c>
    </row>
    <row r="65" spans="2:28" x14ac:dyDescent="0.25">
      <c r="B65" t="s">
        <v>566</v>
      </c>
      <c r="C65" s="1464">
        <f t="shared" si="22"/>
        <v>2.2352923658858902E-2</v>
      </c>
      <c r="D65" s="1464">
        <f t="shared" si="22"/>
        <v>2.2390892089987947E-2</v>
      </c>
      <c r="E65" s="1464">
        <f t="shared" si="22"/>
        <v>2.2460486963982975E-2</v>
      </c>
      <c r="F65" s="1464">
        <f t="shared" si="22"/>
        <v>2.2530919433744155E-2</v>
      </c>
      <c r="G65" s="1464">
        <f t="shared" si="22"/>
        <v>2.2427265827489176E-2</v>
      </c>
      <c r="H65" s="16"/>
      <c r="I65" s="1464">
        <f t="shared" ref="I65:AB65" si="25">I49/I$42</f>
        <v>2.3177723680006292E-2</v>
      </c>
      <c r="J65" s="1464">
        <f t="shared" si="25"/>
        <v>2.2532649487006035E-2</v>
      </c>
      <c r="K65" s="1464">
        <f t="shared" si="25"/>
        <v>2.2442329940492282E-2</v>
      </c>
      <c r="L65" s="1464">
        <f t="shared" si="25"/>
        <v>2.1557512038129129E-2</v>
      </c>
      <c r="M65" s="1464">
        <f t="shared" si="25"/>
        <v>2.311236238794254E-2</v>
      </c>
      <c r="N65" s="1464">
        <f t="shared" si="25"/>
        <v>2.2463921988204232E-2</v>
      </c>
      <c r="O65" s="1464">
        <f t="shared" si="25"/>
        <v>2.2483794184279433E-2</v>
      </c>
      <c r="P65" s="1464">
        <f t="shared" si="25"/>
        <v>2.1735936317137348E-2</v>
      </c>
      <c r="Q65" s="1464">
        <f t="shared" si="25"/>
        <v>2.3183582027935648E-2</v>
      </c>
      <c r="R65" s="1464">
        <f t="shared" si="25"/>
        <v>2.2539939123261483E-2</v>
      </c>
      <c r="S65" s="1464">
        <f t="shared" si="25"/>
        <v>2.2542895144181535E-2</v>
      </c>
      <c r="T65" s="1464">
        <f t="shared" si="25"/>
        <v>2.1801518099709882E-2</v>
      </c>
      <c r="U65" s="1464">
        <f t="shared" si="25"/>
        <v>2.3254661377946063E-2</v>
      </c>
      <c r="V65" s="1464">
        <f t="shared" si="25"/>
        <v>2.2616562328089309E-2</v>
      </c>
      <c r="W65" s="1464">
        <f t="shared" si="25"/>
        <v>2.2602874132590649E-2</v>
      </c>
      <c r="X65" s="1464">
        <f t="shared" si="25"/>
        <v>2.1868650697424535E-2</v>
      </c>
      <c r="Y65" s="1464">
        <f t="shared" si="25"/>
        <v>2.3344248549438364E-2</v>
      </c>
      <c r="Z65" s="1464">
        <f t="shared" si="25"/>
        <v>2.2599982746565991E-2</v>
      </c>
      <c r="AA65" s="1464">
        <f t="shared" si="25"/>
        <v>2.2420415045682669E-2</v>
      </c>
      <c r="AB65" s="1464">
        <f t="shared" si="25"/>
        <v>2.1612145890628893E-2</v>
      </c>
    </row>
    <row r="66" spans="2:28" x14ac:dyDescent="0.25">
      <c r="B66" t="s">
        <v>482</v>
      </c>
      <c r="C66" s="1464">
        <f t="shared" si="22"/>
        <v>-0.11071634729269594</v>
      </c>
      <c r="D66" s="1464">
        <f t="shared" si="22"/>
        <v>-0.11345389522642377</v>
      </c>
      <c r="E66" s="1464">
        <f t="shared" si="22"/>
        <v>-0.10637257819134384</v>
      </c>
      <c r="F66" s="1464">
        <f t="shared" si="22"/>
        <v>-9.3944697201256838E-2</v>
      </c>
      <c r="G66" s="1464">
        <f t="shared" si="22"/>
        <v>-8.6283905552767853E-2</v>
      </c>
      <c r="H66" s="16"/>
      <c r="I66" s="1464">
        <f t="shared" ref="I66:AB66" si="26">I50/I$42</f>
        <v>-7.4500816176068421E-2</v>
      </c>
      <c r="J66" s="1464">
        <f t="shared" si="26"/>
        <v>-0.10949890716194577</v>
      </c>
      <c r="K66" s="1464">
        <f t="shared" si="26"/>
        <v>-9.2790822804113895E-2</v>
      </c>
      <c r="L66" s="1464">
        <f t="shared" si="26"/>
        <v>-0.1525094523082384</v>
      </c>
      <c r="M66" s="1464">
        <f t="shared" si="26"/>
        <v>-8.5788778155963821E-2</v>
      </c>
      <c r="N66" s="1464">
        <f t="shared" si="26"/>
        <v>-0.12061735754815552</v>
      </c>
      <c r="O66" s="1464">
        <f t="shared" si="26"/>
        <v>-9.5185243615508133E-2</v>
      </c>
      <c r="P66" s="1464">
        <f t="shared" si="26"/>
        <v>-0.14348161170214352</v>
      </c>
      <c r="Q66" s="1464">
        <f t="shared" si="26"/>
        <v>-8.4787852111826947E-2</v>
      </c>
      <c r="R66" s="1464">
        <f t="shared" si="26"/>
        <v>-0.11522852512690351</v>
      </c>
      <c r="S66" s="1464">
        <f t="shared" si="26"/>
        <v>-8.7451021338502521E-2</v>
      </c>
      <c r="T66" s="1464">
        <f t="shared" si="26"/>
        <v>-0.13147665859025076</v>
      </c>
      <c r="U66" s="1464">
        <f t="shared" si="26"/>
        <v>-7.1110970025156942E-2</v>
      </c>
      <c r="V66" s="1464">
        <f t="shared" si="26"/>
        <v>-0.10181079966196885</v>
      </c>
      <c r="W66" s="1464">
        <f t="shared" si="26"/>
        <v>-7.6077112485141513E-2</v>
      </c>
      <c r="X66" s="1464">
        <f t="shared" si="26"/>
        <v>-0.12003851996116664</v>
      </c>
      <c r="Y66" s="1464">
        <f t="shared" si="26"/>
        <v>-6.0669242232192951E-2</v>
      </c>
      <c r="Z66" s="1464">
        <f t="shared" si="26"/>
        <v>-9.2577074907177481E-2</v>
      </c>
      <c r="AA66" s="1464">
        <f t="shared" si="26"/>
        <v>-6.9684125380065187E-2</v>
      </c>
      <c r="AB66" s="1464">
        <f t="shared" si="26"/>
        <v>-0.11487376540470427</v>
      </c>
    </row>
    <row r="67" spans="2:28" x14ac:dyDescent="0.25">
      <c r="B67" t="s">
        <v>13</v>
      </c>
      <c r="C67" s="1464">
        <f t="shared" si="22"/>
        <v>0.3692242743305581</v>
      </c>
      <c r="D67" s="1464">
        <f t="shared" si="22"/>
        <v>0.33963632145105638</v>
      </c>
      <c r="E67" s="1464">
        <f t="shared" si="22"/>
        <v>0.30320621736881054</v>
      </c>
      <c r="F67" s="1464">
        <f t="shared" si="22"/>
        <v>0.26655322533828602</v>
      </c>
      <c r="G67" s="1464">
        <f t="shared" si="22"/>
        <v>0.23577220935166043</v>
      </c>
      <c r="H67" s="16"/>
      <c r="I67" s="1464">
        <f t="shared" ref="I67:AB67" si="27">I51/I$42</f>
        <v>0.39441791687452793</v>
      </c>
      <c r="J67" s="1464">
        <f t="shared" si="27"/>
        <v>0.36384301049259588</v>
      </c>
      <c r="K67" s="1464">
        <f t="shared" si="27"/>
        <v>0.36728207352222364</v>
      </c>
      <c r="L67" s="1464">
        <f t="shared" si="27"/>
        <v>0.35752646932390836</v>
      </c>
      <c r="M67" s="1464">
        <f t="shared" si="27"/>
        <v>0.36503111124763898</v>
      </c>
      <c r="N67" s="1464">
        <f t="shared" si="27"/>
        <v>0.33340933869351164</v>
      </c>
      <c r="O67" s="1464">
        <f t="shared" si="27"/>
        <v>0.33651299606997626</v>
      </c>
      <c r="P67" s="1464">
        <f t="shared" si="27"/>
        <v>0.32926515707540582</v>
      </c>
      <c r="Q67" s="1464">
        <f t="shared" si="27"/>
        <v>0.33554357955161646</v>
      </c>
      <c r="R67" s="1464">
        <f t="shared" si="27"/>
        <v>0.30064570232848603</v>
      </c>
      <c r="S67" s="1464">
        <f t="shared" si="27"/>
        <v>0.29522195761556425</v>
      </c>
      <c r="T67" s="1464">
        <f t="shared" si="27"/>
        <v>0.28897520934388438</v>
      </c>
      <c r="U67" s="1464">
        <f t="shared" si="27"/>
        <v>0.29516294111236346</v>
      </c>
      <c r="V67" s="1464">
        <f t="shared" si="27"/>
        <v>0.26496466937306939</v>
      </c>
      <c r="W67" s="1464">
        <f t="shared" si="27"/>
        <v>0.25900571639607578</v>
      </c>
      <c r="X67" s="1464">
        <f t="shared" si="27"/>
        <v>0.25363095032834493</v>
      </c>
      <c r="Y67" s="1464">
        <f t="shared" si="27"/>
        <v>0.26092477917937534</v>
      </c>
      <c r="Z67" s="1464">
        <f t="shared" si="27"/>
        <v>0.23521437944810833</v>
      </c>
      <c r="AA67" s="1464">
        <f t="shared" si="27"/>
        <v>0.22843093022771388</v>
      </c>
      <c r="AB67" s="1464">
        <f t="shared" si="27"/>
        <v>0.22413714172257274</v>
      </c>
    </row>
    <row r="68" spans="2:28" x14ac:dyDescent="0.25">
      <c r="B68" t="s">
        <v>14</v>
      </c>
      <c r="C68" s="1464">
        <f t="shared" si="22"/>
        <v>0.27955235993997157</v>
      </c>
      <c r="D68" s="1464">
        <f t="shared" si="22"/>
        <v>0.22395347098377777</v>
      </c>
      <c r="E68" s="1464">
        <f t="shared" si="22"/>
        <v>0.18733691993758933</v>
      </c>
      <c r="F68" s="1464">
        <f t="shared" si="22"/>
        <v>0.15647439184399178</v>
      </c>
      <c r="G68" s="1464">
        <f t="shared" si="22"/>
        <v>0.13464367476640268</v>
      </c>
      <c r="H68" s="16"/>
      <c r="I68" s="1464">
        <f t="shared" ref="I68:AB68" si="28">I52/I$42</f>
        <v>0.32314175420789082</v>
      </c>
      <c r="J68" s="1464">
        <f t="shared" si="28"/>
        <v>0.28932499829185038</v>
      </c>
      <c r="K68" s="1464">
        <f t="shared" si="28"/>
        <v>0.26759878092972</v>
      </c>
      <c r="L68" s="1464">
        <f t="shared" si="28"/>
        <v>0.25173783290352664</v>
      </c>
      <c r="M68" s="1464">
        <f t="shared" si="28"/>
        <v>0.24637746639021557</v>
      </c>
      <c r="N68" s="1464">
        <f t="shared" si="28"/>
        <v>0.22296806922636961</v>
      </c>
      <c r="O68" s="1464">
        <f t="shared" si="28"/>
        <v>0.21894310518447485</v>
      </c>
      <c r="P68" s="1464">
        <f t="shared" si="28"/>
        <v>0.21314860758067114</v>
      </c>
      <c r="Q68" s="1464">
        <f t="shared" si="28"/>
        <v>0.2104316702175589</v>
      </c>
      <c r="R68" s="1464">
        <f t="shared" si="28"/>
        <v>0.18927938467247177</v>
      </c>
      <c r="S68" s="1464">
        <f t="shared" si="28"/>
        <v>0.18192564379921025</v>
      </c>
      <c r="T68" s="1464">
        <f t="shared" si="28"/>
        <v>0.1738654875854547</v>
      </c>
      <c r="U68" s="1464">
        <f t="shared" si="28"/>
        <v>0.17375515033647501</v>
      </c>
      <c r="V68" s="1464">
        <f t="shared" si="28"/>
        <v>0.15732121903887678</v>
      </c>
      <c r="W68" s="1464">
        <f t="shared" si="28"/>
        <v>0.15185007359326841</v>
      </c>
      <c r="X68" s="1464">
        <f t="shared" si="28"/>
        <v>0.14725482197515535</v>
      </c>
      <c r="Y68" s="1464">
        <f t="shared" si="28"/>
        <v>0.14863264639836296</v>
      </c>
      <c r="Z68" s="1464">
        <f t="shared" si="28"/>
        <v>0.13543797373945132</v>
      </c>
      <c r="AA68" s="1464">
        <f t="shared" si="28"/>
        <v>0.13057224105434037</v>
      </c>
      <c r="AB68" s="1464">
        <f t="shared" si="28"/>
        <v>0.12725472170518423</v>
      </c>
    </row>
    <row r="69" spans="2:28" x14ac:dyDescent="0.25">
      <c r="B69" t="s">
        <v>861</v>
      </c>
      <c r="C69" s="1464">
        <f t="shared" si="22"/>
        <v>1.1501175890346016</v>
      </c>
      <c r="D69" s="1464">
        <f t="shared" si="22"/>
        <v>1.0165976794423146</v>
      </c>
      <c r="E69" s="1464">
        <f t="shared" si="22"/>
        <v>0.89228908730636358</v>
      </c>
      <c r="F69" s="1464">
        <f t="shared" si="22"/>
        <v>0.78479897192615378</v>
      </c>
      <c r="G69" s="1464">
        <f t="shared" si="22"/>
        <v>0.74336549306529165</v>
      </c>
      <c r="H69" s="16"/>
      <c r="I69" s="1464">
        <f t="shared" ref="I69:AB69" si="29">I53/I$42</f>
        <v>1.3311428776435072</v>
      </c>
      <c r="J69" s="1464">
        <f t="shared" si="29"/>
        <v>1.1708548354706585</v>
      </c>
      <c r="K69" s="1464">
        <f t="shared" si="29"/>
        <v>1.1559931413858004</v>
      </c>
      <c r="L69" s="1464">
        <f t="shared" si="29"/>
        <v>1.0021617022023024</v>
      </c>
      <c r="M69" s="1464">
        <f t="shared" si="29"/>
        <v>1.1009080070134669</v>
      </c>
      <c r="N69" s="1464">
        <f t="shared" si="29"/>
        <v>0.99856466493300122</v>
      </c>
      <c r="O69" s="1464">
        <f t="shared" si="29"/>
        <v>1.0395410088847739</v>
      </c>
      <c r="P69" s="1464">
        <f t="shared" si="29"/>
        <v>0.95078500970091084</v>
      </c>
      <c r="Q69" s="1464">
        <f t="shared" si="29"/>
        <v>1.0228171459648769</v>
      </c>
      <c r="R69" s="1464">
        <f t="shared" si="29"/>
        <v>0.88852312430480285</v>
      </c>
      <c r="S69" s="1464">
        <f t="shared" si="29"/>
        <v>0.90070396841984857</v>
      </c>
      <c r="T69" s="1464">
        <f t="shared" si="29"/>
        <v>0.79368643451795851</v>
      </c>
      <c r="U69" s="1464">
        <f t="shared" si="29"/>
        <v>0.87333182495571848</v>
      </c>
      <c r="V69" s="1464">
        <f t="shared" si="29"/>
        <v>0.77393714283242376</v>
      </c>
      <c r="W69" s="1464">
        <f t="shared" si="29"/>
        <v>0.79952500331367293</v>
      </c>
      <c r="X69" s="1464">
        <f t="shared" si="29"/>
        <v>0.71593166305164413</v>
      </c>
      <c r="Y69" s="1464">
        <f t="shared" si="29"/>
        <v>0.81130116147008124</v>
      </c>
      <c r="Z69" s="1464">
        <f t="shared" si="29"/>
        <v>0.73180217595581964</v>
      </c>
      <c r="AA69" s="1464">
        <f t="shared" si="29"/>
        <v>0.7602309538764086</v>
      </c>
      <c r="AB69" s="1464">
        <f t="shared" si="29"/>
        <v>0.68751886873993184</v>
      </c>
    </row>
    <row r="72" spans="2:28" x14ac:dyDescent="0.25">
      <c r="B72" s="7" t="s">
        <v>860</v>
      </c>
      <c r="C72" s="16"/>
      <c r="D72" s="16"/>
      <c r="E72" s="16"/>
      <c r="F72" s="16"/>
      <c r="G72" s="16"/>
      <c r="H72" s="16"/>
    </row>
    <row r="74" spans="2:28" x14ac:dyDescent="0.25">
      <c r="B74" t="s">
        <v>3</v>
      </c>
      <c r="C74" s="507">
        <v>0.9</v>
      </c>
      <c r="D74" s="507">
        <v>0.9</v>
      </c>
      <c r="E74" s="507">
        <v>0.9</v>
      </c>
      <c r="F74" s="507">
        <v>0.9</v>
      </c>
      <c r="G74" s="507">
        <v>0.9</v>
      </c>
      <c r="H74" s="507"/>
      <c r="I74" s="1465">
        <f t="shared" ref="I74:L80" si="30">$C74</f>
        <v>0.9</v>
      </c>
      <c r="J74" s="1465">
        <f t="shared" si="30"/>
        <v>0.9</v>
      </c>
      <c r="K74" s="1465">
        <f t="shared" si="30"/>
        <v>0.9</v>
      </c>
      <c r="L74" s="1465">
        <f t="shared" si="30"/>
        <v>0.9</v>
      </c>
      <c r="M74" s="1465">
        <f t="shared" ref="M74:P80" si="31">$D74</f>
        <v>0.9</v>
      </c>
      <c r="N74" s="1465">
        <f t="shared" si="31"/>
        <v>0.9</v>
      </c>
      <c r="O74" s="1465">
        <f t="shared" si="31"/>
        <v>0.9</v>
      </c>
      <c r="P74" s="1465">
        <f t="shared" si="31"/>
        <v>0.9</v>
      </c>
      <c r="Q74" s="1465">
        <f t="shared" ref="Q74:T80" si="32">$E74</f>
        <v>0.9</v>
      </c>
      <c r="R74" s="1465">
        <f t="shared" si="32"/>
        <v>0.9</v>
      </c>
      <c r="S74" s="1465">
        <f t="shared" si="32"/>
        <v>0.9</v>
      </c>
      <c r="T74" s="1465">
        <f t="shared" si="32"/>
        <v>0.9</v>
      </c>
      <c r="U74" s="1465">
        <f t="shared" ref="U74:X80" si="33">$F74</f>
        <v>0.9</v>
      </c>
      <c r="V74" s="1465">
        <f t="shared" si="33"/>
        <v>0.9</v>
      </c>
      <c r="W74" s="1465">
        <f t="shared" si="33"/>
        <v>0.9</v>
      </c>
      <c r="X74" s="1465">
        <f t="shared" si="33"/>
        <v>0.9</v>
      </c>
      <c r="Y74" s="1465">
        <f t="shared" ref="Y74:AB80" si="34">$G74</f>
        <v>0.9</v>
      </c>
      <c r="Z74" s="1465">
        <f t="shared" si="34"/>
        <v>0.9</v>
      </c>
      <c r="AA74" s="1465">
        <f t="shared" si="34"/>
        <v>0.9</v>
      </c>
      <c r="AB74" s="1465">
        <f t="shared" si="34"/>
        <v>0.9</v>
      </c>
    </row>
    <row r="75" spans="2:28" x14ac:dyDescent="0.25">
      <c r="B75" t="s">
        <v>10</v>
      </c>
      <c r="C75" s="507">
        <v>0.5</v>
      </c>
      <c r="D75" s="507">
        <v>0.5</v>
      </c>
      <c r="E75" s="507">
        <v>0.6</v>
      </c>
      <c r="F75" s="507">
        <v>0.6</v>
      </c>
      <c r="G75" s="507">
        <v>0.7</v>
      </c>
      <c r="H75" s="507"/>
      <c r="I75" s="1465">
        <f t="shared" si="30"/>
        <v>0.5</v>
      </c>
      <c r="J75" s="1465">
        <f t="shared" si="30"/>
        <v>0.5</v>
      </c>
      <c r="K75" s="1465">
        <f t="shared" si="30"/>
        <v>0.5</v>
      </c>
      <c r="L75" s="1465">
        <f t="shared" si="30"/>
        <v>0.5</v>
      </c>
      <c r="M75" s="1465">
        <f t="shared" si="31"/>
        <v>0.5</v>
      </c>
      <c r="N75" s="1465">
        <f t="shared" si="31"/>
        <v>0.5</v>
      </c>
      <c r="O75" s="1465">
        <f t="shared" si="31"/>
        <v>0.5</v>
      </c>
      <c r="P75" s="1465">
        <f t="shared" si="31"/>
        <v>0.5</v>
      </c>
      <c r="Q75" s="1465">
        <f t="shared" si="32"/>
        <v>0.6</v>
      </c>
      <c r="R75" s="1465">
        <f t="shared" si="32"/>
        <v>0.6</v>
      </c>
      <c r="S75" s="1465">
        <f t="shared" si="32"/>
        <v>0.6</v>
      </c>
      <c r="T75" s="1465">
        <f t="shared" si="32"/>
        <v>0.6</v>
      </c>
      <c r="U75" s="1465">
        <f t="shared" si="33"/>
        <v>0.6</v>
      </c>
      <c r="V75" s="1465">
        <f t="shared" si="33"/>
        <v>0.6</v>
      </c>
      <c r="W75" s="1465">
        <f t="shared" si="33"/>
        <v>0.6</v>
      </c>
      <c r="X75" s="1465">
        <f t="shared" si="33"/>
        <v>0.6</v>
      </c>
      <c r="Y75" s="1465">
        <f t="shared" si="34"/>
        <v>0.7</v>
      </c>
      <c r="Z75" s="1465">
        <f t="shared" si="34"/>
        <v>0.7</v>
      </c>
      <c r="AA75" s="1465">
        <f t="shared" si="34"/>
        <v>0.7</v>
      </c>
      <c r="AB75" s="1465">
        <f t="shared" si="34"/>
        <v>0.7</v>
      </c>
    </row>
    <row r="76" spans="2:28" x14ac:dyDescent="0.25">
      <c r="B76" t="s">
        <v>11</v>
      </c>
      <c r="C76" s="507">
        <v>1</v>
      </c>
      <c r="D76" s="507">
        <v>1</v>
      </c>
      <c r="E76" s="507">
        <v>1</v>
      </c>
      <c r="F76" s="507">
        <v>1</v>
      </c>
      <c r="G76" s="507">
        <v>1</v>
      </c>
      <c r="H76" s="507"/>
      <c r="I76" s="1465">
        <f t="shared" si="30"/>
        <v>1</v>
      </c>
      <c r="J76" s="1465">
        <f t="shared" si="30"/>
        <v>1</v>
      </c>
      <c r="K76" s="1465">
        <f t="shared" si="30"/>
        <v>1</v>
      </c>
      <c r="L76" s="1465">
        <f t="shared" si="30"/>
        <v>1</v>
      </c>
      <c r="M76" s="1465">
        <f t="shared" si="31"/>
        <v>1</v>
      </c>
      <c r="N76" s="1465">
        <f t="shared" si="31"/>
        <v>1</v>
      </c>
      <c r="O76" s="1465">
        <f t="shared" si="31"/>
        <v>1</v>
      </c>
      <c r="P76" s="1465">
        <f t="shared" si="31"/>
        <v>1</v>
      </c>
      <c r="Q76" s="1465">
        <f t="shared" si="32"/>
        <v>1</v>
      </c>
      <c r="R76" s="1465">
        <f t="shared" si="32"/>
        <v>1</v>
      </c>
      <c r="S76" s="1465">
        <f t="shared" si="32"/>
        <v>1</v>
      </c>
      <c r="T76" s="1465">
        <f t="shared" si="32"/>
        <v>1</v>
      </c>
      <c r="U76" s="1465">
        <f t="shared" si="33"/>
        <v>1</v>
      </c>
      <c r="V76" s="1465">
        <f t="shared" si="33"/>
        <v>1</v>
      </c>
      <c r="W76" s="1465">
        <f t="shared" si="33"/>
        <v>1</v>
      </c>
      <c r="X76" s="1465">
        <f t="shared" si="33"/>
        <v>1</v>
      </c>
      <c r="Y76" s="1465">
        <f t="shared" si="34"/>
        <v>1</v>
      </c>
      <c r="Z76" s="1465">
        <f t="shared" si="34"/>
        <v>1</v>
      </c>
      <c r="AA76" s="1465">
        <f t="shared" si="34"/>
        <v>1</v>
      </c>
      <c r="AB76" s="1465">
        <f t="shared" si="34"/>
        <v>1</v>
      </c>
    </row>
    <row r="77" spans="2:28" x14ac:dyDescent="0.25">
      <c r="B77" t="s">
        <v>566</v>
      </c>
      <c r="C77" s="507">
        <v>1</v>
      </c>
      <c r="D77" s="507">
        <v>1</v>
      </c>
      <c r="E77" s="507">
        <v>1</v>
      </c>
      <c r="F77" s="507">
        <v>1</v>
      </c>
      <c r="G77" s="507">
        <v>1</v>
      </c>
      <c r="H77" s="507"/>
      <c r="I77" s="1465">
        <f t="shared" si="30"/>
        <v>1</v>
      </c>
      <c r="J77" s="1465">
        <f t="shared" si="30"/>
        <v>1</v>
      </c>
      <c r="K77" s="1465">
        <f t="shared" si="30"/>
        <v>1</v>
      </c>
      <c r="L77" s="1465">
        <f t="shared" si="30"/>
        <v>1</v>
      </c>
      <c r="M77" s="1465">
        <f t="shared" si="31"/>
        <v>1</v>
      </c>
      <c r="N77" s="1465">
        <f t="shared" si="31"/>
        <v>1</v>
      </c>
      <c r="O77" s="1465">
        <f t="shared" si="31"/>
        <v>1</v>
      </c>
      <c r="P77" s="1465">
        <f t="shared" si="31"/>
        <v>1</v>
      </c>
      <c r="Q77" s="1465">
        <f t="shared" si="32"/>
        <v>1</v>
      </c>
      <c r="R77" s="1465">
        <f t="shared" si="32"/>
        <v>1</v>
      </c>
      <c r="S77" s="1465">
        <f t="shared" si="32"/>
        <v>1</v>
      </c>
      <c r="T77" s="1465">
        <f t="shared" si="32"/>
        <v>1</v>
      </c>
      <c r="U77" s="1465">
        <f t="shared" si="33"/>
        <v>1</v>
      </c>
      <c r="V77" s="1465">
        <f t="shared" si="33"/>
        <v>1</v>
      </c>
      <c r="W77" s="1465">
        <f t="shared" si="33"/>
        <v>1</v>
      </c>
      <c r="X77" s="1465">
        <f t="shared" si="33"/>
        <v>1</v>
      </c>
      <c r="Y77" s="1465">
        <f t="shared" si="34"/>
        <v>1</v>
      </c>
      <c r="Z77" s="1465">
        <f t="shared" si="34"/>
        <v>1</v>
      </c>
      <c r="AA77" s="1465">
        <f t="shared" si="34"/>
        <v>1</v>
      </c>
      <c r="AB77" s="1465">
        <f t="shared" si="34"/>
        <v>1</v>
      </c>
    </row>
    <row r="78" spans="2:28" x14ac:dyDescent="0.25">
      <c r="B78" t="s">
        <v>482</v>
      </c>
      <c r="C78" s="1465">
        <f>C75</f>
        <v>0.5</v>
      </c>
      <c r="D78" s="1465">
        <f>D75</f>
        <v>0.5</v>
      </c>
      <c r="E78" s="1465">
        <f>E75</f>
        <v>0.6</v>
      </c>
      <c r="F78" s="1465">
        <f>F75</f>
        <v>0.6</v>
      </c>
      <c r="G78" s="1465">
        <f>G75</f>
        <v>0.7</v>
      </c>
      <c r="H78" s="507"/>
      <c r="I78" s="1465">
        <f t="shared" si="30"/>
        <v>0.5</v>
      </c>
      <c r="J78" s="1465">
        <f t="shared" si="30"/>
        <v>0.5</v>
      </c>
      <c r="K78" s="1465">
        <f t="shared" si="30"/>
        <v>0.5</v>
      </c>
      <c r="L78" s="1465">
        <f t="shared" si="30"/>
        <v>0.5</v>
      </c>
      <c r="M78" s="1465">
        <f t="shared" si="31"/>
        <v>0.5</v>
      </c>
      <c r="N78" s="1465">
        <f t="shared" si="31"/>
        <v>0.5</v>
      </c>
      <c r="O78" s="1465">
        <f t="shared" si="31"/>
        <v>0.5</v>
      </c>
      <c r="P78" s="1465">
        <f t="shared" si="31"/>
        <v>0.5</v>
      </c>
      <c r="Q78" s="1465">
        <f t="shared" si="32"/>
        <v>0.6</v>
      </c>
      <c r="R78" s="1465">
        <f t="shared" si="32"/>
        <v>0.6</v>
      </c>
      <c r="S78" s="1465">
        <f t="shared" si="32"/>
        <v>0.6</v>
      </c>
      <c r="T78" s="1465">
        <f t="shared" si="32"/>
        <v>0.6</v>
      </c>
      <c r="U78" s="1465">
        <f t="shared" si="33"/>
        <v>0.6</v>
      </c>
      <c r="V78" s="1465">
        <f t="shared" si="33"/>
        <v>0.6</v>
      </c>
      <c r="W78" s="1465">
        <f t="shared" si="33"/>
        <v>0.6</v>
      </c>
      <c r="X78" s="1465">
        <f t="shared" si="33"/>
        <v>0.6</v>
      </c>
      <c r="Y78" s="1465">
        <f t="shared" si="34"/>
        <v>0.7</v>
      </c>
      <c r="Z78" s="1465">
        <f t="shared" si="34"/>
        <v>0.7</v>
      </c>
      <c r="AA78" s="1465">
        <f t="shared" si="34"/>
        <v>0.7</v>
      </c>
      <c r="AB78" s="1465">
        <f t="shared" si="34"/>
        <v>0.7</v>
      </c>
    </row>
    <row r="79" spans="2:28" x14ac:dyDescent="0.25">
      <c r="B79" t="s">
        <v>13</v>
      </c>
      <c r="C79" s="507">
        <v>0</v>
      </c>
      <c r="D79" s="507">
        <v>0</v>
      </c>
      <c r="E79" s="507">
        <v>0</v>
      </c>
      <c r="F79" s="507">
        <v>0</v>
      </c>
      <c r="G79" s="507">
        <v>0</v>
      </c>
      <c r="H79" s="507"/>
      <c r="I79" s="1465">
        <f t="shared" si="30"/>
        <v>0</v>
      </c>
      <c r="J79" s="1465">
        <f t="shared" si="30"/>
        <v>0</v>
      </c>
      <c r="K79" s="1465">
        <f t="shared" si="30"/>
        <v>0</v>
      </c>
      <c r="L79" s="1465">
        <f t="shared" si="30"/>
        <v>0</v>
      </c>
      <c r="M79" s="1465">
        <f t="shared" si="31"/>
        <v>0</v>
      </c>
      <c r="N79" s="1465">
        <f t="shared" si="31"/>
        <v>0</v>
      </c>
      <c r="O79" s="1465">
        <f t="shared" si="31"/>
        <v>0</v>
      </c>
      <c r="P79" s="1465">
        <f t="shared" si="31"/>
        <v>0</v>
      </c>
      <c r="Q79" s="1465">
        <f t="shared" si="32"/>
        <v>0</v>
      </c>
      <c r="R79" s="1465">
        <f t="shared" si="32"/>
        <v>0</v>
      </c>
      <c r="S79" s="1465">
        <f t="shared" si="32"/>
        <v>0</v>
      </c>
      <c r="T79" s="1465">
        <f t="shared" si="32"/>
        <v>0</v>
      </c>
      <c r="U79" s="1465">
        <f t="shared" si="33"/>
        <v>0</v>
      </c>
      <c r="V79" s="1465">
        <f t="shared" si="33"/>
        <v>0</v>
      </c>
      <c r="W79" s="1465">
        <f t="shared" si="33"/>
        <v>0</v>
      </c>
      <c r="X79" s="1465">
        <f t="shared" si="33"/>
        <v>0</v>
      </c>
      <c r="Y79" s="1465">
        <f t="shared" si="34"/>
        <v>0</v>
      </c>
      <c r="Z79" s="1465">
        <f t="shared" si="34"/>
        <v>0</v>
      </c>
      <c r="AA79" s="1465">
        <f t="shared" si="34"/>
        <v>0</v>
      </c>
      <c r="AB79" s="1465">
        <f t="shared" si="34"/>
        <v>0</v>
      </c>
    </row>
    <row r="80" spans="2:28" x14ac:dyDescent="0.25">
      <c r="B80" t="s">
        <v>14</v>
      </c>
      <c r="C80" s="507">
        <v>0.5</v>
      </c>
      <c r="D80" s="507">
        <v>0.5</v>
      </c>
      <c r="E80" s="507">
        <v>0.6</v>
      </c>
      <c r="F80" s="507">
        <v>0.6</v>
      </c>
      <c r="G80" s="507">
        <v>0.7</v>
      </c>
      <c r="H80" s="507"/>
      <c r="I80" s="1465">
        <f t="shared" si="30"/>
        <v>0.5</v>
      </c>
      <c r="J80" s="1465">
        <f t="shared" si="30"/>
        <v>0.5</v>
      </c>
      <c r="K80" s="1465">
        <f t="shared" si="30"/>
        <v>0.5</v>
      </c>
      <c r="L80" s="1465">
        <f t="shared" si="30"/>
        <v>0.5</v>
      </c>
      <c r="M80" s="1465">
        <f t="shared" si="31"/>
        <v>0.5</v>
      </c>
      <c r="N80" s="1465">
        <f t="shared" si="31"/>
        <v>0.5</v>
      </c>
      <c r="O80" s="1465">
        <f t="shared" si="31"/>
        <v>0.5</v>
      </c>
      <c r="P80" s="1465">
        <f t="shared" si="31"/>
        <v>0.5</v>
      </c>
      <c r="Q80" s="1465">
        <f t="shared" si="32"/>
        <v>0.6</v>
      </c>
      <c r="R80" s="1465">
        <f t="shared" si="32"/>
        <v>0.6</v>
      </c>
      <c r="S80" s="1465">
        <f t="shared" si="32"/>
        <v>0.6</v>
      </c>
      <c r="T80" s="1465">
        <f t="shared" si="32"/>
        <v>0.6</v>
      </c>
      <c r="U80" s="1465">
        <f t="shared" si="33"/>
        <v>0.6</v>
      </c>
      <c r="V80" s="1465">
        <f t="shared" si="33"/>
        <v>0.6</v>
      </c>
      <c r="W80" s="1465">
        <f t="shared" si="33"/>
        <v>0.6</v>
      </c>
      <c r="X80" s="1465">
        <f t="shared" si="33"/>
        <v>0.6</v>
      </c>
      <c r="Y80" s="1465">
        <f t="shared" si="34"/>
        <v>0.7</v>
      </c>
      <c r="Z80" s="1465">
        <f t="shared" si="34"/>
        <v>0.7</v>
      </c>
      <c r="AA80" s="1465">
        <f t="shared" si="34"/>
        <v>0.7</v>
      </c>
      <c r="AB80" s="1465">
        <f t="shared" si="34"/>
        <v>0.7</v>
      </c>
    </row>
    <row r="82" spans="2:28" x14ac:dyDescent="0.25">
      <c r="B82" t="s">
        <v>3</v>
      </c>
      <c r="C82" s="1464">
        <f>C74*C60</f>
        <v>0.25863039699672113</v>
      </c>
      <c r="D82" s="1464">
        <f>D74*D60</f>
        <v>0.24753802668559505</v>
      </c>
      <c r="E82" s="1464">
        <f>E74*E60</f>
        <v>0.23677611845775662</v>
      </c>
      <c r="F82" s="1464">
        <f>F74*F60</f>
        <v>0.22595272114524573</v>
      </c>
      <c r="G82" s="1464">
        <f>G74*G60</f>
        <v>0.21084772130073326</v>
      </c>
      <c r="I82" s="1464">
        <f t="shared" ref="I82:AB82" si="35">I74*I60</f>
        <v>0.26846599645317371</v>
      </c>
      <c r="J82" s="1464">
        <f t="shared" si="35"/>
        <v>0.26150158090974618</v>
      </c>
      <c r="K82" s="1464">
        <f t="shared" si="35"/>
        <v>0.2592116154919481</v>
      </c>
      <c r="L82" s="1464">
        <f t="shared" si="35"/>
        <v>0.24899227822150663</v>
      </c>
      <c r="M82" s="1464">
        <f t="shared" si="35"/>
        <v>0.25226897724882841</v>
      </c>
      <c r="N82" s="1464">
        <f t="shared" si="35"/>
        <v>0.24833914111472669</v>
      </c>
      <c r="O82" s="1464">
        <f t="shared" si="35"/>
        <v>0.2487647678869839</v>
      </c>
      <c r="P82" s="1464">
        <f t="shared" si="35"/>
        <v>0.24244198456304664</v>
      </c>
      <c r="Q82" s="1464">
        <f t="shared" si="35"/>
        <v>0.24378306014270218</v>
      </c>
      <c r="R82" s="1464">
        <f t="shared" si="35"/>
        <v>0.23813692527863628</v>
      </c>
      <c r="S82" s="1464">
        <f t="shared" si="35"/>
        <v>0.23736223661183664</v>
      </c>
      <c r="T82" s="1464">
        <f t="shared" si="35"/>
        <v>0.23009981544791752</v>
      </c>
      <c r="U82" s="1464">
        <f t="shared" si="35"/>
        <v>0.23139653296445786</v>
      </c>
      <c r="V82" s="1464">
        <f t="shared" si="35"/>
        <v>0.22701457603507805</v>
      </c>
      <c r="W82" s="1464">
        <f t="shared" si="35"/>
        <v>0.22668737630460534</v>
      </c>
      <c r="X82" s="1464">
        <f t="shared" si="35"/>
        <v>0.22045956223849983</v>
      </c>
      <c r="Y82" s="1464">
        <f t="shared" si="35"/>
        <v>0.22024569432203753</v>
      </c>
      <c r="Z82" s="1464">
        <f t="shared" si="35"/>
        <v>0.2130014872409737</v>
      </c>
      <c r="AA82" s="1464">
        <f t="shared" si="35"/>
        <v>0.2103731152332047</v>
      </c>
      <c r="AB82" s="1464">
        <f t="shared" si="35"/>
        <v>0.20253868650579721</v>
      </c>
    </row>
    <row r="83" spans="2:28" x14ac:dyDescent="0.25">
      <c r="B83" t="s">
        <v>10</v>
      </c>
      <c r="C83" s="1464">
        <f t="shared" ref="C83:G88" si="36">C75*C63</f>
        <v>0.22352959337286518</v>
      </c>
      <c r="D83" s="1464">
        <f t="shared" si="36"/>
        <v>0.20499504404022145</v>
      </c>
      <c r="E83" s="1464">
        <f t="shared" si="36"/>
        <v>0.21685812652899289</v>
      </c>
      <c r="F83" s="1464">
        <f t="shared" si="36"/>
        <v>0.19083357982968721</v>
      </c>
      <c r="G83" s="1464">
        <f t="shared" si="36"/>
        <v>0.22616127229659544</v>
      </c>
      <c r="I83" s="1464">
        <f t="shared" ref="I83:AB83" si="37">I75*I63</f>
        <v>0.25502517905516847</v>
      </c>
      <c r="J83" s="1464">
        <f t="shared" si="37"/>
        <v>0.23519067082251849</v>
      </c>
      <c r="K83" s="1464">
        <f t="shared" si="37"/>
        <v>0.21895996720643285</v>
      </c>
      <c r="L83" s="1464">
        <f t="shared" si="37"/>
        <v>0.19629222744844424</v>
      </c>
      <c r="M83" s="1464">
        <f t="shared" si="37"/>
        <v>0.20983819512693991</v>
      </c>
      <c r="N83" s="1464">
        <f t="shared" si="37"/>
        <v>0.20903745357822154</v>
      </c>
      <c r="O83" s="1464">
        <f t="shared" si="37"/>
        <v>0.20500671158548978</v>
      </c>
      <c r="P83" s="1464">
        <f t="shared" si="37"/>
        <v>0.19828250429808042</v>
      </c>
      <c r="Q83" s="1464">
        <f t="shared" si="37"/>
        <v>0.24461065398668819</v>
      </c>
      <c r="R83" s="1464">
        <f t="shared" si="37"/>
        <v>0.22607179777158276</v>
      </c>
      <c r="S83" s="1464">
        <f t="shared" si="37"/>
        <v>0.21219680674131305</v>
      </c>
      <c r="T83" s="1464">
        <f t="shared" si="37"/>
        <v>0.19347951034886809</v>
      </c>
      <c r="U83" s="1464">
        <f t="shared" si="37"/>
        <v>0.20212405208665538</v>
      </c>
      <c r="V83" s="1464">
        <f t="shared" si="37"/>
        <v>0.19592242994296569</v>
      </c>
      <c r="W83" s="1464">
        <f t="shared" si="37"/>
        <v>0.18936949774067036</v>
      </c>
      <c r="X83" s="1464">
        <f t="shared" si="37"/>
        <v>0.17973400534340025</v>
      </c>
      <c r="Y83" s="1464">
        <f t="shared" si="37"/>
        <v>0.22873502928503936</v>
      </c>
      <c r="Z83" s="1464">
        <f t="shared" si="37"/>
        <v>0.22974941896392193</v>
      </c>
      <c r="AA83" s="1464">
        <f t="shared" si="37"/>
        <v>0.2264404977252622</v>
      </c>
      <c r="AB83" s="1464">
        <f t="shared" si="37"/>
        <v>0.22105734216075712</v>
      </c>
    </row>
    <row r="84" spans="2:28" x14ac:dyDescent="0.25">
      <c r="B84" t="s">
        <v>11</v>
      </c>
      <c r="C84" s="1464">
        <f t="shared" si="36"/>
        <v>0.14264519165217854</v>
      </c>
      <c r="D84" s="1464">
        <f t="shared" si="36"/>
        <v>0.13408080206347356</v>
      </c>
      <c r="E84" s="1464">
        <f t="shared" si="36"/>
        <v>0.12422783034566973</v>
      </c>
      <c r="F84" s="1464">
        <f t="shared" si="36"/>
        <v>0.11512916612857664</v>
      </c>
      <c r="G84" s="1464">
        <f t="shared" si="36"/>
        <v>0.11371871682022791</v>
      </c>
      <c r="I84" s="1464">
        <f t="shared" ref="I84:AB84" si="38">I76*I64</f>
        <v>0.15485594094681376</v>
      </c>
      <c r="J84" s="1464">
        <f t="shared" si="38"/>
        <v>0.13427174271611492</v>
      </c>
      <c r="K84" s="1464">
        <f t="shared" si="38"/>
        <v>0.15354084538461282</v>
      </c>
      <c r="L84" s="1464">
        <f t="shared" si="38"/>
        <v>0.13126488534808814</v>
      </c>
      <c r="M84" s="1464">
        <f t="shared" si="38"/>
        <v>0.13249945488975365</v>
      </c>
      <c r="N84" s="1464">
        <f t="shared" si="38"/>
        <v>0.1222657854166283</v>
      </c>
      <c r="O84" s="1464">
        <f t="shared" si="38"/>
        <v>0.14677293389057192</v>
      </c>
      <c r="P84" s="1464">
        <f t="shared" si="38"/>
        <v>0.13355191183367918</v>
      </c>
      <c r="Q84" s="1464">
        <f t="shared" si="38"/>
        <v>0.130761742968446</v>
      </c>
      <c r="R84" s="1464">
        <f t="shared" si="38"/>
        <v>0.11450029368818222</v>
      </c>
      <c r="S84" s="1464">
        <f t="shared" si="38"/>
        <v>0.13480314863053999</v>
      </c>
      <c r="T84" s="1464">
        <f t="shared" si="38"/>
        <v>0.11805502749771349</v>
      </c>
      <c r="U84" s="1464">
        <f t="shared" si="38"/>
        <v>0.1153966220096653</v>
      </c>
      <c r="V84" s="1464">
        <f t="shared" si="38"/>
        <v>0.10430810851608091</v>
      </c>
      <c r="W84" s="1464">
        <f t="shared" si="38"/>
        <v>0.12652762210909566</v>
      </c>
      <c r="X84" s="1464">
        <f t="shared" si="38"/>
        <v>0.11365908443955225</v>
      </c>
      <c r="Y84" s="1464">
        <f t="shared" si="38"/>
        <v>0.11230440202504138</v>
      </c>
      <c r="Z84" s="1464">
        <f t="shared" si="38"/>
        <v>0.10291345926612586</v>
      </c>
      <c r="AA84" s="1464">
        <f t="shared" si="38"/>
        <v>0.12500506760693361</v>
      </c>
      <c r="AB84" s="1464">
        <f t="shared" si="38"/>
        <v>0.11359242173945434</v>
      </c>
    </row>
    <row r="85" spans="2:28" x14ac:dyDescent="0.25">
      <c r="B85" t="s">
        <v>566</v>
      </c>
      <c r="C85" s="1464">
        <f t="shared" si="36"/>
        <v>2.2352923658858902E-2</v>
      </c>
      <c r="D85" s="1464">
        <f t="shared" si="36"/>
        <v>2.2390892089987947E-2</v>
      </c>
      <c r="E85" s="1464">
        <f t="shared" si="36"/>
        <v>2.2460486963982975E-2</v>
      </c>
      <c r="F85" s="1464">
        <f t="shared" si="36"/>
        <v>2.2530919433744155E-2</v>
      </c>
      <c r="G85" s="1464">
        <f t="shared" si="36"/>
        <v>2.2427265827489176E-2</v>
      </c>
      <c r="I85" s="1464">
        <f t="shared" ref="I85:AB85" si="39">I77*I65</f>
        <v>2.3177723680006292E-2</v>
      </c>
      <c r="J85" s="1464">
        <f t="shared" si="39"/>
        <v>2.2532649487006035E-2</v>
      </c>
      <c r="K85" s="1464">
        <f t="shared" si="39"/>
        <v>2.2442329940492282E-2</v>
      </c>
      <c r="L85" s="1464">
        <f t="shared" si="39"/>
        <v>2.1557512038129129E-2</v>
      </c>
      <c r="M85" s="1464">
        <f t="shared" si="39"/>
        <v>2.311236238794254E-2</v>
      </c>
      <c r="N85" s="1464">
        <f t="shared" si="39"/>
        <v>2.2463921988204232E-2</v>
      </c>
      <c r="O85" s="1464">
        <f t="shared" si="39"/>
        <v>2.2483794184279433E-2</v>
      </c>
      <c r="P85" s="1464">
        <f t="shared" si="39"/>
        <v>2.1735936317137348E-2</v>
      </c>
      <c r="Q85" s="1464">
        <f t="shared" si="39"/>
        <v>2.3183582027935648E-2</v>
      </c>
      <c r="R85" s="1464">
        <f t="shared" si="39"/>
        <v>2.2539939123261483E-2</v>
      </c>
      <c r="S85" s="1464">
        <f t="shared" si="39"/>
        <v>2.2542895144181535E-2</v>
      </c>
      <c r="T85" s="1464">
        <f t="shared" si="39"/>
        <v>2.1801518099709882E-2</v>
      </c>
      <c r="U85" s="1464">
        <f t="shared" si="39"/>
        <v>2.3254661377946063E-2</v>
      </c>
      <c r="V85" s="1464">
        <f t="shared" si="39"/>
        <v>2.2616562328089309E-2</v>
      </c>
      <c r="W85" s="1464">
        <f t="shared" si="39"/>
        <v>2.2602874132590649E-2</v>
      </c>
      <c r="X85" s="1464">
        <f t="shared" si="39"/>
        <v>2.1868650697424535E-2</v>
      </c>
      <c r="Y85" s="1464">
        <f t="shared" si="39"/>
        <v>2.3344248549438364E-2</v>
      </c>
      <c r="Z85" s="1464">
        <f t="shared" si="39"/>
        <v>2.2599982746565991E-2</v>
      </c>
      <c r="AA85" s="1464">
        <f t="shared" si="39"/>
        <v>2.2420415045682669E-2</v>
      </c>
      <c r="AB85" s="1464">
        <f t="shared" si="39"/>
        <v>2.1612145890628893E-2</v>
      </c>
    </row>
    <row r="86" spans="2:28" x14ac:dyDescent="0.25">
      <c r="B86" t="s">
        <v>482</v>
      </c>
      <c r="C86" s="1464">
        <f t="shared" si="36"/>
        <v>-5.5358173646347972E-2</v>
      </c>
      <c r="D86" s="1464">
        <f t="shared" si="36"/>
        <v>-5.6726947613211884E-2</v>
      </c>
      <c r="E86" s="1464">
        <f t="shared" si="36"/>
        <v>-6.3823546914806295E-2</v>
      </c>
      <c r="F86" s="1464">
        <f t="shared" si="36"/>
        <v>-5.6366818320754103E-2</v>
      </c>
      <c r="G86" s="1464">
        <f t="shared" si="36"/>
        <v>-6.0398733886937492E-2</v>
      </c>
      <c r="I86" s="1464">
        <f t="shared" ref="I86:AB86" si="40">I78*I66</f>
        <v>-3.7250408088034211E-2</v>
      </c>
      <c r="J86" s="1464">
        <f t="shared" si="40"/>
        <v>-5.4749453580972884E-2</v>
      </c>
      <c r="K86" s="1464">
        <f t="shared" si="40"/>
        <v>-4.6395411402056948E-2</v>
      </c>
      <c r="L86" s="1464">
        <f t="shared" si="40"/>
        <v>-7.6254726154119198E-2</v>
      </c>
      <c r="M86" s="1464">
        <f t="shared" si="40"/>
        <v>-4.2894389077981911E-2</v>
      </c>
      <c r="N86" s="1464">
        <f t="shared" si="40"/>
        <v>-6.0308678774077758E-2</v>
      </c>
      <c r="O86" s="1464">
        <f t="shared" si="40"/>
        <v>-4.7592621807754067E-2</v>
      </c>
      <c r="P86" s="1464">
        <f t="shared" si="40"/>
        <v>-7.1740805851071759E-2</v>
      </c>
      <c r="Q86" s="1464">
        <f t="shared" si="40"/>
        <v>-5.0872711267096166E-2</v>
      </c>
      <c r="R86" s="1464">
        <f t="shared" si="40"/>
        <v>-6.9137115076142105E-2</v>
      </c>
      <c r="S86" s="1464">
        <f t="shared" si="40"/>
        <v>-5.2470612803101509E-2</v>
      </c>
      <c r="T86" s="1464">
        <f t="shared" si="40"/>
        <v>-7.8885995154150457E-2</v>
      </c>
      <c r="U86" s="1464">
        <f t="shared" si="40"/>
        <v>-4.2666582015094164E-2</v>
      </c>
      <c r="V86" s="1464">
        <f t="shared" si="40"/>
        <v>-6.1086479797181306E-2</v>
      </c>
      <c r="W86" s="1464">
        <f t="shared" si="40"/>
        <v>-4.5646267491084906E-2</v>
      </c>
      <c r="X86" s="1464">
        <f t="shared" si="40"/>
        <v>-7.2023111976699986E-2</v>
      </c>
      <c r="Y86" s="1464">
        <f t="shared" si="40"/>
        <v>-4.2468469562535062E-2</v>
      </c>
      <c r="Z86" s="1464">
        <f t="shared" si="40"/>
        <v>-6.4803952435024237E-2</v>
      </c>
      <c r="AA86" s="1464">
        <f t="shared" si="40"/>
        <v>-4.877888776604563E-2</v>
      </c>
      <c r="AB86" s="1464">
        <f t="shared" si="40"/>
        <v>-8.0411635783292981E-2</v>
      </c>
    </row>
    <row r="87" spans="2:28" x14ac:dyDescent="0.25">
      <c r="B87" t="s">
        <v>13</v>
      </c>
      <c r="C87" s="1464">
        <f t="shared" si="36"/>
        <v>0</v>
      </c>
      <c r="D87" s="1464">
        <f t="shared" si="36"/>
        <v>0</v>
      </c>
      <c r="E87" s="1464">
        <f t="shared" si="36"/>
        <v>0</v>
      </c>
      <c r="F87" s="1464">
        <f t="shared" si="36"/>
        <v>0</v>
      </c>
      <c r="G87" s="1464">
        <f t="shared" si="36"/>
        <v>0</v>
      </c>
      <c r="I87" s="1464">
        <f t="shared" ref="I87:AB87" si="41">I79*I67</f>
        <v>0</v>
      </c>
      <c r="J87" s="1464">
        <f t="shared" si="41"/>
        <v>0</v>
      </c>
      <c r="K87" s="1464">
        <f t="shared" si="41"/>
        <v>0</v>
      </c>
      <c r="L87" s="1464">
        <f t="shared" si="41"/>
        <v>0</v>
      </c>
      <c r="M87" s="1464">
        <f t="shared" si="41"/>
        <v>0</v>
      </c>
      <c r="N87" s="1464">
        <f t="shared" si="41"/>
        <v>0</v>
      </c>
      <c r="O87" s="1464">
        <f t="shared" si="41"/>
        <v>0</v>
      </c>
      <c r="P87" s="1464">
        <f t="shared" si="41"/>
        <v>0</v>
      </c>
      <c r="Q87" s="1464">
        <f t="shared" si="41"/>
        <v>0</v>
      </c>
      <c r="R87" s="1464">
        <f t="shared" si="41"/>
        <v>0</v>
      </c>
      <c r="S87" s="1464">
        <f t="shared" si="41"/>
        <v>0</v>
      </c>
      <c r="T87" s="1464">
        <f t="shared" si="41"/>
        <v>0</v>
      </c>
      <c r="U87" s="1464">
        <f t="shared" si="41"/>
        <v>0</v>
      </c>
      <c r="V87" s="1464">
        <f t="shared" si="41"/>
        <v>0</v>
      </c>
      <c r="W87" s="1464">
        <f t="shared" si="41"/>
        <v>0</v>
      </c>
      <c r="X87" s="1464">
        <f t="shared" si="41"/>
        <v>0</v>
      </c>
      <c r="Y87" s="1464">
        <f t="shared" si="41"/>
        <v>0</v>
      </c>
      <c r="Z87" s="1464">
        <f t="shared" si="41"/>
        <v>0</v>
      </c>
      <c r="AA87" s="1464">
        <f t="shared" si="41"/>
        <v>0</v>
      </c>
      <c r="AB87" s="1464">
        <f t="shared" si="41"/>
        <v>0</v>
      </c>
    </row>
    <row r="88" spans="2:28" x14ac:dyDescent="0.25">
      <c r="B88" t="s">
        <v>14</v>
      </c>
      <c r="C88" s="1464">
        <f t="shared" si="36"/>
        <v>0.13977617996998579</v>
      </c>
      <c r="D88" s="1464">
        <f t="shared" si="36"/>
        <v>0.11197673549188888</v>
      </c>
      <c r="E88" s="1464">
        <f t="shared" si="36"/>
        <v>0.1124021519625536</v>
      </c>
      <c r="F88" s="1464">
        <f t="shared" si="36"/>
        <v>9.3884635106395067E-2</v>
      </c>
      <c r="G88" s="1464">
        <f t="shared" si="36"/>
        <v>9.4250572336481875E-2</v>
      </c>
      <c r="I88" s="1464">
        <f t="shared" ref="I88:AB88" si="42">I80*I68</f>
        <v>0.16157087710394541</v>
      </c>
      <c r="J88" s="1464">
        <f t="shared" si="42"/>
        <v>0.14466249914592519</v>
      </c>
      <c r="K88" s="1464">
        <f t="shared" si="42"/>
        <v>0.13379939046486</v>
      </c>
      <c r="L88" s="1464">
        <f t="shared" si="42"/>
        <v>0.12586891645176332</v>
      </c>
      <c r="M88" s="1464">
        <f t="shared" si="42"/>
        <v>0.12318873319510779</v>
      </c>
      <c r="N88" s="1464">
        <f t="shared" si="42"/>
        <v>0.1114840346131848</v>
      </c>
      <c r="O88" s="1464">
        <f t="shared" si="42"/>
        <v>0.10947155259223743</v>
      </c>
      <c r="P88" s="1464">
        <f t="shared" si="42"/>
        <v>0.10657430379033557</v>
      </c>
      <c r="Q88" s="1464">
        <f t="shared" si="42"/>
        <v>0.12625900213053534</v>
      </c>
      <c r="R88" s="1464">
        <f t="shared" si="42"/>
        <v>0.11356763080348306</v>
      </c>
      <c r="S88" s="1464">
        <f t="shared" si="42"/>
        <v>0.10915538627952615</v>
      </c>
      <c r="T88" s="1464">
        <f t="shared" si="42"/>
        <v>0.10431929255127281</v>
      </c>
      <c r="U88" s="1464">
        <f t="shared" si="42"/>
        <v>0.104253090201885</v>
      </c>
      <c r="V88" s="1464">
        <f t="shared" si="42"/>
        <v>9.4392731423326062E-2</v>
      </c>
      <c r="W88" s="1464">
        <f t="shared" si="42"/>
        <v>9.1110044155961037E-2</v>
      </c>
      <c r="X88" s="1464">
        <f t="shared" si="42"/>
        <v>8.8352893185093206E-2</v>
      </c>
      <c r="Y88" s="1464">
        <f t="shared" si="42"/>
        <v>0.10404285247885407</v>
      </c>
      <c r="Z88" s="1464">
        <f t="shared" si="42"/>
        <v>9.4806581617615918E-2</v>
      </c>
      <c r="AA88" s="1464">
        <f t="shared" si="42"/>
        <v>9.1400568738038257E-2</v>
      </c>
      <c r="AB88" s="1464">
        <f t="shared" si="42"/>
        <v>8.9078305193628957E-2</v>
      </c>
    </row>
    <row r="91" spans="2:28" x14ac:dyDescent="0.25">
      <c r="B91" s="7" t="s">
        <v>859</v>
      </c>
    </row>
    <row r="93" spans="2:28" x14ac:dyDescent="0.25">
      <c r="B93" s="7" t="s">
        <v>807</v>
      </c>
    </row>
    <row r="94" spans="2:28" x14ac:dyDescent="0.25">
      <c r="B94" t="s">
        <v>858</v>
      </c>
      <c r="C94" s="507">
        <v>1.2</v>
      </c>
      <c r="D94" s="507">
        <v>1.2</v>
      </c>
      <c r="E94" s="507">
        <v>1.2</v>
      </c>
      <c r="F94" s="507">
        <v>1.2</v>
      </c>
      <c r="G94" s="507">
        <v>1.2</v>
      </c>
      <c r="I94" s="1465">
        <f t="shared" ref="I94:L95" si="43">$C94</f>
        <v>1.2</v>
      </c>
      <c r="J94" s="1465">
        <f t="shared" si="43"/>
        <v>1.2</v>
      </c>
      <c r="K94" s="1465">
        <f t="shared" si="43"/>
        <v>1.2</v>
      </c>
      <c r="L94" s="1465">
        <f t="shared" si="43"/>
        <v>1.2</v>
      </c>
      <c r="M94" s="1465">
        <f t="shared" ref="M94:P95" si="44">$D94</f>
        <v>1.2</v>
      </c>
      <c r="N94" s="1465">
        <f t="shared" si="44"/>
        <v>1.2</v>
      </c>
      <c r="O94" s="1465">
        <f t="shared" si="44"/>
        <v>1.2</v>
      </c>
      <c r="P94" s="1465">
        <f t="shared" si="44"/>
        <v>1.2</v>
      </c>
      <c r="Q94" s="1465">
        <f t="shared" ref="Q94:T95" si="45">$E94</f>
        <v>1.2</v>
      </c>
      <c r="R94" s="1465">
        <f t="shared" si="45"/>
        <v>1.2</v>
      </c>
      <c r="S94" s="1465">
        <f t="shared" si="45"/>
        <v>1.2</v>
      </c>
      <c r="T94" s="1465">
        <f t="shared" si="45"/>
        <v>1.2</v>
      </c>
      <c r="U94" s="1465">
        <f t="shared" ref="U94:X95" si="46">$F94</f>
        <v>1.2</v>
      </c>
      <c r="V94" s="1465">
        <f t="shared" si="46"/>
        <v>1.2</v>
      </c>
      <c r="W94" s="1465">
        <f t="shared" si="46"/>
        <v>1.2</v>
      </c>
      <c r="X94" s="1465">
        <f t="shared" si="46"/>
        <v>1.2</v>
      </c>
      <c r="Y94" s="1465">
        <f t="shared" ref="Y94:AB95" si="47">$G94</f>
        <v>1.2</v>
      </c>
      <c r="Z94" s="1465">
        <f t="shared" si="47"/>
        <v>1.2</v>
      </c>
      <c r="AA94" s="1465">
        <f t="shared" si="47"/>
        <v>1.2</v>
      </c>
      <c r="AB94" s="1465">
        <f t="shared" si="47"/>
        <v>1.2</v>
      </c>
    </row>
    <row r="95" spans="2:28" x14ac:dyDescent="0.25">
      <c r="B95" t="s">
        <v>857</v>
      </c>
      <c r="C95" s="507">
        <v>0.99</v>
      </c>
      <c r="D95" s="507">
        <v>0.99</v>
      </c>
      <c r="E95" s="507">
        <v>0.99</v>
      </c>
      <c r="F95" s="507">
        <v>0.99</v>
      </c>
      <c r="G95" s="507">
        <v>0.99</v>
      </c>
      <c r="I95" s="1465">
        <f t="shared" si="43"/>
        <v>0.99</v>
      </c>
      <c r="J95" s="1465">
        <f t="shared" si="43"/>
        <v>0.99</v>
      </c>
      <c r="K95" s="1465">
        <f t="shared" si="43"/>
        <v>0.99</v>
      </c>
      <c r="L95" s="1465">
        <f t="shared" si="43"/>
        <v>0.99</v>
      </c>
      <c r="M95" s="1465">
        <f t="shared" si="44"/>
        <v>0.99</v>
      </c>
      <c r="N95" s="1465">
        <f t="shared" si="44"/>
        <v>0.99</v>
      </c>
      <c r="O95" s="1465">
        <f t="shared" si="44"/>
        <v>0.99</v>
      </c>
      <c r="P95" s="1465">
        <f t="shared" si="44"/>
        <v>0.99</v>
      </c>
      <c r="Q95" s="1465">
        <f t="shared" si="45"/>
        <v>0.99</v>
      </c>
      <c r="R95" s="1465">
        <f t="shared" si="45"/>
        <v>0.99</v>
      </c>
      <c r="S95" s="1465">
        <f t="shared" si="45"/>
        <v>0.99</v>
      </c>
      <c r="T95" s="1465">
        <f t="shared" si="45"/>
        <v>0.99</v>
      </c>
      <c r="U95" s="1465">
        <f t="shared" si="46"/>
        <v>0.99</v>
      </c>
      <c r="V95" s="1465">
        <f t="shared" si="46"/>
        <v>0.99</v>
      </c>
      <c r="W95" s="1465">
        <f t="shared" si="46"/>
        <v>0.99</v>
      </c>
      <c r="X95" s="1465">
        <f t="shared" si="46"/>
        <v>0.99</v>
      </c>
      <c r="Y95" s="1465">
        <f t="shared" si="47"/>
        <v>0.99</v>
      </c>
      <c r="Z95" s="1465">
        <f t="shared" si="47"/>
        <v>0.99</v>
      </c>
      <c r="AA95" s="1465">
        <f t="shared" si="47"/>
        <v>0.99</v>
      </c>
      <c r="AB95" s="1465">
        <f t="shared" si="47"/>
        <v>0.99</v>
      </c>
    </row>
    <row r="97" spans="2:4" x14ac:dyDescent="0.25">
      <c r="B97" s="1"/>
    </row>
    <row r="101" spans="2:4" x14ac:dyDescent="0.25">
      <c r="D101" s="302"/>
    </row>
    <row r="102" spans="2:4" x14ac:dyDescent="0.25">
      <c r="D102" s="302"/>
    </row>
    <row r="103" spans="2:4" x14ac:dyDescent="0.25">
      <c r="D103" s="302"/>
    </row>
    <row r="104" spans="2:4" x14ac:dyDescent="0.25">
      <c r="D104" s="302"/>
    </row>
    <row r="107" spans="2:4" x14ac:dyDescent="0.25">
      <c r="D107" s="302"/>
    </row>
  </sheetData>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2648C7-F7E8-4760-A19C-7EA7807A6888}">
  <sheetPr>
    <tabColor theme="9"/>
  </sheetPr>
  <dimension ref="A1:FB174"/>
  <sheetViews>
    <sheetView showGridLines="0" topLeftCell="A3" zoomScale="90" zoomScaleNormal="90" workbookViewId="0">
      <pane xSplit="3" ySplit="3" topLeftCell="BM72" activePane="bottomRight" state="frozen"/>
      <selection activeCell="R36" sqref="R36"/>
      <selection pane="topRight" activeCell="R36" sqref="R36"/>
      <selection pane="bottomLeft" activeCell="R36" sqref="R36"/>
      <selection pane="bottomRight" activeCell="CI93" sqref="CI93"/>
    </sheetView>
  </sheetViews>
  <sheetFormatPr defaultRowHeight="15" outlineLevelRow="1" outlineLevelCol="1" x14ac:dyDescent="0.25"/>
  <cols>
    <col min="2" max="2" width="5" customWidth="1"/>
    <col min="3" max="3" width="33.85546875" bestFit="1" customWidth="1"/>
    <col min="4" max="6" width="11.85546875" hidden="1" customWidth="1" outlineLevel="1"/>
    <col min="7" max="7" width="12.7109375" customWidth="1" collapsed="1"/>
    <col min="8" max="8" width="12.7109375" customWidth="1"/>
    <col min="9" max="11" width="13.7109375" bestFit="1" customWidth="1"/>
    <col min="12" max="12" width="15.5703125" bestFit="1" customWidth="1"/>
    <col min="13" max="13" width="14" bestFit="1" customWidth="1"/>
    <col min="14" max="16" width="11.5703125" customWidth="1" outlineLevel="1"/>
    <col min="17" max="34" width="12.7109375" customWidth="1" outlineLevel="1"/>
    <col min="35" max="48" width="13.7109375" customWidth="1" outlineLevel="1"/>
    <col min="49" max="49" width="15.5703125" bestFit="1" customWidth="1" outlineLevel="1"/>
    <col min="50" max="50" width="31.140625" customWidth="1" outlineLevel="1"/>
    <col min="51" max="61" width="11.140625" bestFit="1" customWidth="1"/>
    <col min="62" max="98" width="12.28515625" bestFit="1" customWidth="1"/>
    <col min="99" max="115" width="12.42578125" bestFit="1" customWidth="1"/>
    <col min="116" max="122" width="13.42578125" bestFit="1" customWidth="1"/>
    <col min="123" max="134" width="13.85546875" bestFit="1" customWidth="1"/>
    <col min="135" max="158" width="15.140625" bestFit="1" customWidth="1"/>
  </cols>
  <sheetData>
    <row r="1" spans="3:158" ht="14.45" hidden="1" customHeight="1" outlineLevel="1" x14ac:dyDescent="0.25">
      <c r="AY1" s="290"/>
      <c r="AZ1" s="290"/>
    </row>
    <row r="2" spans="3:158" ht="14.45" hidden="1" customHeight="1" outlineLevel="1" x14ac:dyDescent="0.25">
      <c r="D2" s="66" t="s">
        <v>36</v>
      </c>
      <c r="E2" s="66" t="s">
        <v>37</v>
      </c>
      <c r="F2" s="66" t="s">
        <v>38</v>
      </c>
      <c r="G2" s="66" t="s">
        <v>39</v>
      </c>
      <c r="H2" s="66" t="s">
        <v>40</v>
      </c>
      <c r="I2" s="66" t="s">
        <v>41</v>
      </c>
      <c r="J2" t="s">
        <v>233</v>
      </c>
      <c r="K2" s="66" t="s">
        <v>234</v>
      </c>
      <c r="L2" s="66" t="s">
        <v>235</v>
      </c>
      <c r="N2" s="1466">
        <v>2019</v>
      </c>
      <c r="O2" s="1466">
        <v>2019</v>
      </c>
      <c r="P2" s="1466">
        <v>2019</v>
      </c>
      <c r="Q2" s="1466">
        <v>2019</v>
      </c>
      <c r="R2" s="211">
        <f>Q2+1</f>
        <v>2020</v>
      </c>
      <c r="S2" s="211">
        <f>R2</f>
        <v>2020</v>
      </c>
      <c r="T2" s="211">
        <f>S2</f>
        <v>2020</v>
      </c>
      <c r="U2" s="211">
        <f>T2</f>
        <v>2020</v>
      </c>
      <c r="AY2" s="66" t="s">
        <v>36</v>
      </c>
      <c r="AZ2" s="66" t="s">
        <v>36</v>
      </c>
      <c r="BA2" s="66" t="s">
        <v>36</v>
      </c>
      <c r="BB2" s="66" t="s">
        <v>36</v>
      </c>
      <c r="BC2" s="66" t="s">
        <v>36</v>
      </c>
      <c r="BD2" s="66" t="s">
        <v>36</v>
      </c>
      <c r="BE2" s="66" t="s">
        <v>36</v>
      </c>
      <c r="BF2" s="66" t="s">
        <v>36</v>
      </c>
      <c r="BG2" s="66" t="s">
        <v>36</v>
      </c>
      <c r="BH2" s="66" t="s">
        <v>36</v>
      </c>
      <c r="BI2" s="66" t="s">
        <v>36</v>
      </c>
      <c r="BJ2" s="66" t="s">
        <v>36</v>
      </c>
      <c r="BK2" s="66" t="s">
        <v>37</v>
      </c>
      <c r="BL2" s="66" t="s">
        <v>37</v>
      </c>
      <c r="BM2" s="66" t="s">
        <v>37</v>
      </c>
      <c r="BN2" s="66" t="s">
        <v>37</v>
      </c>
      <c r="BO2" s="66" t="s">
        <v>37</v>
      </c>
      <c r="BP2" s="66" t="s">
        <v>37</v>
      </c>
      <c r="BQ2" s="66" t="s">
        <v>37</v>
      </c>
      <c r="BR2" s="66" t="s">
        <v>37</v>
      </c>
      <c r="BS2" s="66" t="s">
        <v>37</v>
      </c>
      <c r="BT2" s="66" t="s">
        <v>37</v>
      </c>
      <c r="BU2" s="66" t="s">
        <v>37</v>
      </c>
      <c r="BV2" s="66" t="s">
        <v>37</v>
      </c>
      <c r="BW2" s="66" t="s">
        <v>38</v>
      </c>
      <c r="BX2" s="66" t="s">
        <v>38</v>
      </c>
      <c r="BY2" s="66" t="s">
        <v>38</v>
      </c>
      <c r="BZ2" s="66" t="s">
        <v>38</v>
      </c>
      <c r="CA2" s="66" t="s">
        <v>38</v>
      </c>
      <c r="CB2" s="66" t="s">
        <v>38</v>
      </c>
      <c r="CC2" s="66" t="s">
        <v>38</v>
      </c>
      <c r="CD2" s="66" t="s">
        <v>38</v>
      </c>
      <c r="CE2" s="66" t="s">
        <v>38</v>
      </c>
      <c r="CF2" s="66" t="s">
        <v>38</v>
      </c>
      <c r="CG2" s="66" t="s">
        <v>38</v>
      </c>
      <c r="CH2" s="66" t="s">
        <v>38</v>
      </c>
      <c r="CI2" s="66" t="s">
        <v>39</v>
      </c>
      <c r="CJ2" s="66" t="s">
        <v>39</v>
      </c>
      <c r="CK2" s="66" t="s">
        <v>39</v>
      </c>
      <c r="CL2" s="66" t="s">
        <v>39</v>
      </c>
      <c r="CM2" s="66" t="s">
        <v>39</v>
      </c>
      <c r="CN2" s="66" t="s">
        <v>39</v>
      </c>
      <c r="CO2" s="66" t="s">
        <v>39</v>
      </c>
      <c r="CP2" s="66" t="s">
        <v>39</v>
      </c>
      <c r="CQ2" s="66" t="s">
        <v>39</v>
      </c>
      <c r="CR2" s="66" t="s">
        <v>39</v>
      </c>
      <c r="CS2" s="66" t="s">
        <v>39</v>
      </c>
      <c r="CT2" s="66" t="s">
        <v>39</v>
      </c>
      <c r="CU2" s="66" t="s">
        <v>40</v>
      </c>
      <c r="CV2" s="66" t="s">
        <v>40</v>
      </c>
      <c r="CW2" s="66" t="s">
        <v>40</v>
      </c>
      <c r="CX2" s="66" t="s">
        <v>40</v>
      </c>
      <c r="CY2" s="66" t="s">
        <v>40</v>
      </c>
      <c r="CZ2" s="66" t="s">
        <v>40</v>
      </c>
      <c r="DA2" s="66" t="s">
        <v>40</v>
      </c>
      <c r="DB2" s="66" t="s">
        <v>40</v>
      </c>
      <c r="DC2" s="66" t="s">
        <v>40</v>
      </c>
      <c r="DD2" s="66" t="s">
        <v>40</v>
      </c>
      <c r="DE2" s="66" t="s">
        <v>40</v>
      </c>
      <c r="DF2" s="66" t="s">
        <v>40</v>
      </c>
      <c r="DG2" s="66" t="s">
        <v>41</v>
      </c>
      <c r="DH2" s="66" t="s">
        <v>41</v>
      </c>
      <c r="DI2" s="66" t="s">
        <v>41</v>
      </c>
      <c r="DJ2" s="66" t="s">
        <v>41</v>
      </c>
      <c r="DK2" s="66" t="s">
        <v>41</v>
      </c>
      <c r="DL2" s="66" t="s">
        <v>41</v>
      </c>
      <c r="DM2" s="66" t="s">
        <v>41</v>
      </c>
      <c r="DN2" s="66" t="s">
        <v>41</v>
      </c>
      <c r="DO2" s="66" t="s">
        <v>41</v>
      </c>
      <c r="DP2" s="66" t="s">
        <v>41</v>
      </c>
      <c r="DQ2" s="66" t="s">
        <v>41</v>
      </c>
      <c r="DR2" s="66" t="s">
        <v>41</v>
      </c>
      <c r="DS2" s="66" t="s">
        <v>233</v>
      </c>
      <c r="DT2" s="66" t="s">
        <v>233</v>
      </c>
      <c r="DU2" s="66" t="s">
        <v>233</v>
      </c>
      <c r="DV2" s="66" t="s">
        <v>233</v>
      </c>
      <c r="DW2" s="66" t="s">
        <v>233</v>
      </c>
      <c r="DX2" s="66" t="s">
        <v>233</v>
      </c>
      <c r="DY2" s="66" t="s">
        <v>233</v>
      </c>
      <c r="DZ2" s="66" t="s">
        <v>233</v>
      </c>
      <c r="EA2" s="66" t="s">
        <v>233</v>
      </c>
      <c r="EB2" s="66" t="s">
        <v>233</v>
      </c>
      <c r="EC2" s="66" t="s">
        <v>233</v>
      </c>
      <c r="ED2" s="66" t="s">
        <v>233</v>
      </c>
      <c r="EE2" s="66" t="s">
        <v>234</v>
      </c>
      <c r="EF2" s="66" t="s">
        <v>234</v>
      </c>
      <c r="EG2" s="66" t="s">
        <v>234</v>
      </c>
      <c r="EH2" s="66" t="s">
        <v>234</v>
      </c>
      <c r="EI2" s="66" t="s">
        <v>234</v>
      </c>
      <c r="EJ2" s="66" t="s">
        <v>234</v>
      </c>
      <c r="EK2" s="66" t="s">
        <v>234</v>
      </c>
      <c r="EL2" s="66" t="s">
        <v>234</v>
      </c>
      <c r="EM2" s="66" t="s">
        <v>234</v>
      </c>
      <c r="EN2" s="66" t="s">
        <v>234</v>
      </c>
      <c r="EO2" s="66" t="s">
        <v>234</v>
      </c>
      <c r="EP2" s="66" t="s">
        <v>234</v>
      </c>
      <c r="EQ2" s="66" t="s">
        <v>235</v>
      </c>
      <c r="ER2" s="66" t="s">
        <v>235</v>
      </c>
      <c r="ES2" s="66" t="s">
        <v>235</v>
      </c>
      <c r="ET2" s="66" t="s">
        <v>235</v>
      </c>
      <c r="EU2" s="66" t="s">
        <v>235</v>
      </c>
      <c r="EV2" s="66" t="s">
        <v>235</v>
      </c>
      <c r="EW2" s="66" t="s">
        <v>235</v>
      </c>
      <c r="EX2" s="66" t="s">
        <v>235</v>
      </c>
      <c r="EY2" s="66" t="s">
        <v>235</v>
      </c>
      <c r="EZ2" s="66" t="s">
        <v>235</v>
      </c>
      <c r="FA2" s="66" t="s">
        <v>235</v>
      </c>
      <c r="FB2" s="66" t="s">
        <v>235</v>
      </c>
    </row>
    <row r="3" spans="3:158" ht="14.45" customHeight="1" collapsed="1" x14ac:dyDescent="0.25"/>
    <row r="4" spans="3:158" x14ac:dyDescent="0.25">
      <c r="D4" s="25" t="s">
        <v>53</v>
      </c>
      <c r="E4" s="25"/>
      <c r="F4" s="25"/>
      <c r="G4" s="94" t="s">
        <v>54</v>
      </c>
      <c r="H4" s="94"/>
      <c r="I4" s="94"/>
      <c r="J4" s="94"/>
      <c r="K4" s="94"/>
      <c r="L4" s="94"/>
      <c r="M4" s="1"/>
      <c r="N4" s="71" t="s">
        <v>36</v>
      </c>
      <c r="O4" s="71"/>
      <c r="P4" s="71"/>
      <c r="Q4" s="71"/>
      <c r="R4" s="69" t="s">
        <v>37</v>
      </c>
      <c r="S4" s="69"/>
      <c r="T4" s="69"/>
      <c r="U4" s="69"/>
      <c r="V4" s="71" t="s">
        <v>38</v>
      </c>
      <c r="W4" s="71"/>
      <c r="X4" s="71"/>
      <c r="Y4" s="71"/>
      <c r="Z4" s="69" t="s">
        <v>39</v>
      </c>
      <c r="AA4" s="69"/>
      <c r="AB4" s="69"/>
      <c r="AC4" s="69"/>
      <c r="AD4" s="71" t="s">
        <v>40</v>
      </c>
      <c r="AE4" s="71"/>
      <c r="AF4" s="71"/>
      <c r="AG4" s="71"/>
      <c r="AH4" s="69" t="s">
        <v>41</v>
      </c>
      <c r="AI4" s="69"/>
      <c r="AJ4" s="69"/>
      <c r="AK4" s="69"/>
      <c r="AL4" s="71" t="s">
        <v>233</v>
      </c>
      <c r="AM4" s="71"/>
      <c r="AN4" s="71"/>
      <c r="AO4" s="71"/>
      <c r="AP4" s="69" t="s">
        <v>234</v>
      </c>
      <c r="AQ4" s="69"/>
      <c r="AR4" s="69"/>
      <c r="AS4" s="69"/>
      <c r="AT4" s="71" t="s">
        <v>235</v>
      </c>
      <c r="AU4" s="71"/>
      <c r="AV4" s="71"/>
      <c r="AW4" s="71"/>
      <c r="AX4" s="1"/>
      <c r="AY4" s="71" t="s">
        <v>36</v>
      </c>
      <c r="AZ4" s="71"/>
      <c r="BA4" s="71"/>
      <c r="BB4" s="71"/>
      <c r="BC4" s="71"/>
      <c r="BD4" s="71"/>
      <c r="BE4" s="71"/>
      <c r="BF4" s="71"/>
      <c r="BG4" s="71"/>
      <c r="BH4" s="71"/>
      <c r="BI4" s="71"/>
      <c r="BJ4" s="71"/>
      <c r="BK4" s="69" t="s">
        <v>37</v>
      </c>
      <c r="BL4" s="69"/>
      <c r="BM4" s="69"/>
      <c r="BN4" s="69"/>
      <c r="BO4" s="69"/>
      <c r="BP4" s="69"/>
      <c r="BQ4" s="69"/>
      <c r="BR4" s="69"/>
      <c r="BS4" s="69"/>
      <c r="BT4" s="69"/>
      <c r="BU4" s="69"/>
      <c r="BV4" s="69"/>
      <c r="BW4" s="71" t="s">
        <v>38</v>
      </c>
      <c r="BX4" s="71"/>
      <c r="BY4" s="71"/>
      <c r="BZ4" s="71"/>
      <c r="CA4" s="71"/>
      <c r="CB4" s="71"/>
      <c r="CC4" s="71"/>
      <c r="CD4" s="71"/>
      <c r="CE4" s="71"/>
      <c r="CF4" s="71"/>
      <c r="CG4" s="71"/>
      <c r="CH4" s="71"/>
      <c r="CI4" s="69" t="s">
        <v>39</v>
      </c>
      <c r="CJ4" s="69"/>
      <c r="CK4" s="69"/>
      <c r="CL4" s="69"/>
      <c r="CM4" s="69"/>
      <c r="CN4" s="69"/>
      <c r="CO4" s="69"/>
      <c r="CP4" s="69"/>
      <c r="CQ4" s="69"/>
      <c r="CR4" s="69"/>
      <c r="CS4" s="69"/>
      <c r="CT4" s="69"/>
      <c r="CU4" s="71" t="s">
        <v>40</v>
      </c>
      <c r="CV4" s="71"/>
      <c r="CW4" s="71"/>
      <c r="CX4" s="71"/>
      <c r="CY4" s="71"/>
      <c r="CZ4" s="71"/>
      <c r="DA4" s="71"/>
      <c r="DB4" s="71"/>
      <c r="DC4" s="71"/>
      <c r="DD4" s="71"/>
      <c r="DE4" s="71"/>
      <c r="DF4" s="71"/>
      <c r="DG4" s="69" t="s">
        <v>41</v>
      </c>
      <c r="DH4" s="69"/>
      <c r="DI4" s="69"/>
      <c r="DJ4" s="69"/>
      <c r="DK4" s="69"/>
      <c r="DL4" s="69"/>
      <c r="DM4" s="69"/>
      <c r="DN4" s="69"/>
      <c r="DO4" s="69"/>
      <c r="DP4" s="69"/>
      <c r="DQ4" s="69"/>
      <c r="DR4" s="69"/>
      <c r="DS4" s="71" t="s">
        <v>233</v>
      </c>
      <c r="DT4" s="71"/>
      <c r="DU4" s="71"/>
      <c r="DV4" s="71"/>
      <c r="DW4" s="71"/>
      <c r="DX4" s="71"/>
      <c r="DY4" s="71"/>
      <c r="DZ4" s="71"/>
      <c r="EA4" s="71"/>
      <c r="EB4" s="71"/>
      <c r="EC4" s="71"/>
      <c r="ED4" s="71"/>
      <c r="EE4" s="69" t="s">
        <v>234</v>
      </c>
      <c r="EF4" s="69"/>
      <c r="EG4" s="69"/>
      <c r="EH4" s="69"/>
      <c r="EI4" s="69"/>
      <c r="EJ4" s="69"/>
      <c r="EK4" s="69"/>
      <c r="EL4" s="69"/>
      <c r="EM4" s="69"/>
      <c r="EN4" s="69"/>
      <c r="EO4" s="69"/>
      <c r="EP4" s="69"/>
      <c r="EQ4" s="71" t="s">
        <v>235</v>
      </c>
      <c r="ER4" s="71"/>
      <c r="ES4" s="71"/>
      <c r="ET4" s="71"/>
      <c r="EU4" s="71"/>
      <c r="EV4" s="71"/>
      <c r="EW4" s="71"/>
      <c r="EX4" s="71"/>
      <c r="EY4" s="71"/>
      <c r="EZ4" s="71"/>
      <c r="FA4" s="71"/>
      <c r="FB4" s="71"/>
    </row>
    <row r="5" spans="3:158" x14ac:dyDescent="0.25">
      <c r="D5" s="26" t="s">
        <v>36</v>
      </c>
      <c r="E5" s="26" t="s">
        <v>37</v>
      </c>
      <c r="F5" s="26" t="s">
        <v>38</v>
      </c>
      <c r="G5" s="95" t="s">
        <v>39</v>
      </c>
      <c r="H5" s="95" t="s">
        <v>40</v>
      </c>
      <c r="I5" s="95" t="s">
        <v>41</v>
      </c>
      <c r="J5" s="95" t="s">
        <v>233</v>
      </c>
      <c r="K5" s="95" t="s">
        <v>234</v>
      </c>
      <c r="L5" s="532" t="s">
        <v>235</v>
      </c>
      <c r="N5" s="72" t="s">
        <v>194</v>
      </c>
      <c r="O5" s="72" t="s">
        <v>195</v>
      </c>
      <c r="P5" s="72" t="s">
        <v>196</v>
      </c>
      <c r="Q5" s="72" t="s">
        <v>197</v>
      </c>
      <c r="R5" s="70" t="s">
        <v>198</v>
      </c>
      <c r="S5" s="70" t="s">
        <v>199</v>
      </c>
      <c r="T5" s="70" t="s">
        <v>200</v>
      </c>
      <c r="U5" s="70" t="s">
        <v>201</v>
      </c>
      <c r="V5" s="72" t="s">
        <v>202</v>
      </c>
      <c r="W5" s="72" t="s">
        <v>203</v>
      </c>
      <c r="X5" s="72" t="s">
        <v>204</v>
      </c>
      <c r="Y5" s="72" t="s">
        <v>205</v>
      </c>
      <c r="Z5" s="70" t="s">
        <v>206</v>
      </c>
      <c r="AA5" s="70" t="s">
        <v>207</v>
      </c>
      <c r="AB5" s="70" t="s">
        <v>208</v>
      </c>
      <c r="AC5" s="70" t="s">
        <v>209</v>
      </c>
      <c r="AD5" s="72" t="s">
        <v>210</v>
      </c>
      <c r="AE5" s="72" t="s">
        <v>211</v>
      </c>
      <c r="AF5" s="72" t="s">
        <v>212</v>
      </c>
      <c r="AG5" s="72" t="s">
        <v>213</v>
      </c>
      <c r="AH5" s="70" t="s">
        <v>214</v>
      </c>
      <c r="AI5" s="70" t="s">
        <v>215</v>
      </c>
      <c r="AJ5" s="70" t="s">
        <v>216</v>
      </c>
      <c r="AK5" s="70" t="s">
        <v>217</v>
      </c>
      <c r="AL5" s="72" t="s">
        <v>236</v>
      </c>
      <c r="AM5" s="72" t="s">
        <v>237</v>
      </c>
      <c r="AN5" s="72" t="s">
        <v>238</v>
      </c>
      <c r="AO5" s="72" t="s">
        <v>239</v>
      </c>
      <c r="AP5" s="70" t="s">
        <v>240</v>
      </c>
      <c r="AQ5" s="70" t="s">
        <v>241</v>
      </c>
      <c r="AR5" s="70" t="s">
        <v>242</v>
      </c>
      <c r="AS5" s="70" t="s">
        <v>243</v>
      </c>
      <c r="AT5" s="72" t="s">
        <v>244</v>
      </c>
      <c r="AU5" s="72" t="s">
        <v>245</v>
      </c>
      <c r="AV5" s="72" t="s">
        <v>246</v>
      </c>
      <c r="AW5" s="72" t="s">
        <v>247</v>
      </c>
      <c r="AY5" s="1467">
        <v>43132</v>
      </c>
      <c r="AZ5" s="1467">
        <v>43160</v>
      </c>
      <c r="BA5" s="1468">
        <v>43191</v>
      </c>
      <c r="BB5" s="1468">
        <v>43221</v>
      </c>
      <c r="BC5" s="1468">
        <v>43252</v>
      </c>
      <c r="BD5" s="1468">
        <v>43282</v>
      </c>
      <c r="BE5" s="1468">
        <v>43313</v>
      </c>
      <c r="BF5" s="1468">
        <v>43344</v>
      </c>
      <c r="BG5" s="1469">
        <v>43374</v>
      </c>
      <c r="BH5" s="1468">
        <v>43405</v>
      </c>
      <c r="BI5" s="1468">
        <v>43435</v>
      </c>
      <c r="BJ5" s="1468">
        <v>43466</v>
      </c>
      <c r="BK5" s="75">
        <v>43497</v>
      </c>
      <c r="BL5" s="75">
        <v>43525</v>
      </c>
      <c r="BM5" s="75">
        <v>43556</v>
      </c>
      <c r="BN5" s="75">
        <v>43586</v>
      </c>
      <c r="BO5" s="75">
        <v>43617</v>
      </c>
      <c r="BP5" s="75">
        <v>43647</v>
      </c>
      <c r="BQ5" s="75">
        <v>43678</v>
      </c>
      <c r="BR5" s="75">
        <v>43709</v>
      </c>
      <c r="BS5" s="75">
        <v>43739</v>
      </c>
      <c r="BT5" s="75">
        <v>43770</v>
      </c>
      <c r="BU5" s="75">
        <v>43800</v>
      </c>
      <c r="BV5" s="75">
        <v>43831</v>
      </c>
      <c r="BW5" s="1468">
        <v>43862</v>
      </c>
      <c r="BX5" s="1468">
        <v>43891</v>
      </c>
      <c r="BY5" s="1468">
        <v>43922</v>
      </c>
      <c r="BZ5" s="1468">
        <v>43952</v>
      </c>
      <c r="CA5" s="1468">
        <v>43983</v>
      </c>
      <c r="CB5" s="1468">
        <v>44013</v>
      </c>
      <c r="CC5" s="1468">
        <v>44044</v>
      </c>
      <c r="CD5" s="1468">
        <v>44075</v>
      </c>
      <c r="CE5" s="1468">
        <v>44105</v>
      </c>
      <c r="CF5" s="1468">
        <v>44136</v>
      </c>
      <c r="CG5" s="1468">
        <v>44166</v>
      </c>
      <c r="CH5" s="1468">
        <v>44197</v>
      </c>
      <c r="CI5" s="75">
        <v>44228</v>
      </c>
      <c r="CJ5" s="75">
        <v>44256</v>
      </c>
      <c r="CK5" s="75">
        <v>44287</v>
      </c>
      <c r="CL5" s="75">
        <v>44317</v>
      </c>
      <c r="CM5" s="75">
        <v>44348</v>
      </c>
      <c r="CN5" s="75">
        <v>44378</v>
      </c>
      <c r="CO5" s="75">
        <v>44409</v>
      </c>
      <c r="CP5" s="75">
        <v>44440</v>
      </c>
      <c r="CQ5" s="75">
        <v>44470</v>
      </c>
      <c r="CR5" s="75">
        <v>44501</v>
      </c>
      <c r="CS5" s="75">
        <v>44531</v>
      </c>
      <c r="CT5" s="75">
        <v>44562</v>
      </c>
      <c r="CU5" s="1468">
        <v>44593</v>
      </c>
      <c r="CV5" s="1468">
        <v>44621</v>
      </c>
      <c r="CW5" s="1468">
        <v>44652</v>
      </c>
      <c r="CX5" s="1468">
        <v>44682</v>
      </c>
      <c r="CY5" s="1468">
        <v>44713</v>
      </c>
      <c r="CZ5" s="1468">
        <v>44743</v>
      </c>
      <c r="DA5" s="1468">
        <v>44774</v>
      </c>
      <c r="DB5" s="1468">
        <v>44805</v>
      </c>
      <c r="DC5" s="1468">
        <v>44835</v>
      </c>
      <c r="DD5" s="1468">
        <v>44866</v>
      </c>
      <c r="DE5" s="1468">
        <v>44896</v>
      </c>
      <c r="DF5" s="1468">
        <v>44927</v>
      </c>
      <c r="DG5" s="75">
        <v>44958</v>
      </c>
      <c r="DH5" s="75">
        <v>44986</v>
      </c>
      <c r="DI5" s="75">
        <v>45017</v>
      </c>
      <c r="DJ5" s="75">
        <v>45047</v>
      </c>
      <c r="DK5" s="75">
        <v>45078</v>
      </c>
      <c r="DL5" s="75">
        <v>45108</v>
      </c>
      <c r="DM5" s="75">
        <v>45139</v>
      </c>
      <c r="DN5" s="75">
        <v>45170</v>
      </c>
      <c r="DO5" s="75">
        <v>45200</v>
      </c>
      <c r="DP5" s="75">
        <v>45231</v>
      </c>
      <c r="DQ5" s="75">
        <v>45261</v>
      </c>
      <c r="DR5" s="75">
        <v>45292</v>
      </c>
      <c r="DS5" s="1468">
        <v>45323</v>
      </c>
      <c r="DT5" s="1468">
        <v>45352</v>
      </c>
      <c r="DU5" s="1468">
        <v>45383</v>
      </c>
      <c r="DV5" s="1468">
        <v>45413</v>
      </c>
      <c r="DW5" s="1468">
        <v>45444</v>
      </c>
      <c r="DX5" s="1468">
        <v>45474</v>
      </c>
      <c r="DY5" s="1468">
        <v>45505</v>
      </c>
      <c r="DZ5" s="1468">
        <v>45536</v>
      </c>
      <c r="EA5" s="1468">
        <v>45566</v>
      </c>
      <c r="EB5" s="1468">
        <v>45597</v>
      </c>
      <c r="EC5" s="1468">
        <v>45627</v>
      </c>
      <c r="ED5" s="1468">
        <v>45658</v>
      </c>
      <c r="EE5" s="75">
        <v>45689</v>
      </c>
      <c r="EF5" s="75">
        <v>45717</v>
      </c>
      <c r="EG5" s="75">
        <v>45748</v>
      </c>
      <c r="EH5" s="75">
        <v>45778</v>
      </c>
      <c r="EI5" s="75">
        <v>45809</v>
      </c>
      <c r="EJ5" s="75">
        <v>45839</v>
      </c>
      <c r="EK5" s="75">
        <v>45870</v>
      </c>
      <c r="EL5" s="75">
        <v>45901</v>
      </c>
      <c r="EM5" s="75">
        <v>45931</v>
      </c>
      <c r="EN5" s="75">
        <v>45962</v>
      </c>
      <c r="EO5" s="75">
        <v>45992</v>
      </c>
      <c r="EP5" s="75">
        <v>46023</v>
      </c>
      <c r="EQ5" s="1468">
        <v>46054</v>
      </c>
      <c r="ER5" s="1468">
        <v>46082</v>
      </c>
      <c r="ES5" s="1468">
        <v>46113</v>
      </c>
      <c r="ET5" s="1468">
        <v>46143</v>
      </c>
      <c r="EU5" s="1468">
        <v>46174</v>
      </c>
      <c r="EV5" s="1468">
        <v>46204</v>
      </c>
      <c r="EW5" s="1468">
        <v>46235</v>
      </c>
      <c r="EX5" s="1468">
        <v>46266</v>
      </c>
      <c r="EY5" s="1468">
        <v>46296</v>
      </c>
      <c r="EZ5" s="1468">
        <v>46327</v>
      </c>
      <c r="FA5" s="1468">
        <v>46357</v>
      </c>
      <c r="FB5" s="1468">
        <v>46388</v>
      </c>
    </row>
    <row r="7" spans="3:158" x14ac:dyDescent="0.25">
      <c r="C7" s="3" t="s">
        <v>912</v>
      </c>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4"/>
      <c r="BE7" s="4"/>
      <c r="BF7" s="4"/>
      <c r="BG7" s="4"/>
      <c r="BH7" s="4"/>
      <c r="BI7" s="4"/>
      <c r="BJ7" s="4"/>
      <c r="BK7" s="4"/>
      <c r="BL7" s="4"/>
      <c r="BM7" s="4"/>
      <c r="BN7" s="4"/>
      <c r="BO7" s="4"/>
      <c r="BP7" s="4"/>
      <c r="BQ7" s="4"/>
      <c r="BR7" s="4"/>
      <c r="BS7" s="4"/>
      <c r="BT7" s="4"/>
      <c r="BU7" s="4"/>
      <c r="BV7" s="4"/>
      <c r="BW7" s="4"/>
      <c r="BX7" s="4"/>
      <c r="BY7" s="4"/>
      <c r="BZ7" s="4"/>
      <c r="CA7" s="4"/>
      <c r="CB7" s="4"/>
      <c r="CC7" s="4"/>
      <c r="CD7" s="4"/>
      <c r="CE7" s="4"/>
      <c r="CF7" s="4"/>
      <c r="CG7" s="4"/>
      <c r="CH7" s="4"/>
      <c r="CI7" s="4"/>
      <c r="CJ7" s="4"/>
      <c r="CK7" s="4"/>
      <c r="CL7" s="4"/>
      <c r="CM7" s="4"/>
      <c r="CN7" s="4"/>
      <c r="CO7" s="4"/>
      <c r="CP7" s="4"/>
      <c r="CQ7" s="4"/>
      <c r="CR7" s="4"/>
      <c r="CS7" s="4"/>
      <c r="CT7" s="4"/>
      <c r="CU7" s="4"/>
      <c r="CV7" s="4"/>
      <c r="CW7" s="4"/>
      <c r="CX7" s="4"/>
      <c r="CY7" s="4"/>
      <c r="CZ7" s="4"/>
      <c r="DA7" s="4"/>
      <c r="DB7" s="4"/>
      <c r="DC7" s="4"/>
      <c r="DD7" s="4"/>
      <c r="DE7" s="4"/>
      <c r="DF7" s="4"/>
      <c r="DG7" s="4"/>
      <c r="DH7" s="4"/>
      <c r="DI7" s="4"/>
      <c r="DJ7" s="4"/>
      <c r="DK7" s="4"/>
      <c r="DL7" s="4"/>
      <c r="DM7" s="4"/>
      <c r="DN7" s="4"/>
      <c r="DO7" s="4"/>
      <c r="DP7" s="4"/>
      <c r="DQ7" s="4"/>
      <c r="DR7" s="4"/>
      <c r="DS7" s="4"/>
      <c r="DT7" s="4"/>
      <c r="DU7" s="4"/>
      <c r="DV7" s="4"/>
      <c r="DW7" s="4"/>
      <c r="DX7" s="4"/>
      <c r="DY7" s="4"/>
      <c r="DZ7" s="4"/>
      <c r="EA7" s="4"/>
      <c r="EB7" s="4"/>
      <c r="EC7" s="4"/>
      <c r="ED7" s="4"/>
      <c r="EE7" s="4"/>
      <c r="EF7" s="4"/>
      <c r="EG7" s="4"/>
      <c r="EH7" s="4"/>
      <c r="EI7" s="4"/>
      <c r="EJ7" s="4"/>
      <c r="EK7" s="4"/>
      <c r="EL7" s="4"/>
      <c r="EM7" s="4"/>
      <c r="EN7" s="4"/>
      <c r="EO7" s="4"/>
      <c r="EP7" s="4"/>
      <c r="EQ7" s="4"/>
      <c r="ER7" s="4"/>
      <c r="ES7" s="4"/>
      <c r="ET7" s="4"/>
      <c r="EU7" s="4"/>
      <c r="EV7" s="4"/>
      <c r="EW7" s="4"/>
      <c r="EX7" s="4"/>
      <c r="EY7" s="4"/>
      <c r="EZ7" s="4"/>
      <c r="FA7" s="4"/>
      <c r="FB7" s="4"/>
    </row>
    <row r="9" spans="3:158" x14ac:dyDescent="0.25">
      <c r="C9" t="s">
        <v>911</v>
      </c>
      <c r="D9" s="1470">
        <f>AY9</f>
        <v>0</v>
      </c>
      <c r="E9" s="1470">
        <f t="shared" ref="E9:L9" si="0">D13</f>
        <v>0</v>
      </c>
      <c r="F9" s="1470">
        <f t="shared" si="0"/>
        <v>0</v>
      </c>
      <c r="G9" s="1470">
        <f t="shared" si="0"/>
        <v>0</v>
      </c>
      <c r="H9" s="1470">
        <f t="shared" si="0"/>
        <v>0</v>
      </c>
      <c r="I9" s="1470">
        <f t="shared" si="0"/>
        <v>99749.300881192263</v>
      </c>
      <c r="J9" s="1470">
        <f t="shared" si="0"/>
        <v>1273293.3851224387</v>
      </c>
      <c r="K9" s="1470">
        <f t="shared" si="0"/>
        <v>6772788.4278136091</v>
      </c>
      <c r="L9" s="1470">
        <f t="shared" si="0"/>
        <v>15139506.14503959</v>
      </c>
      <c r="N9" s="1470">
        <f>AY9</f>
        <v>0</v>
      </c>
      <c r="O9" s="1470">
        <f>BB9</f>
        <v>0</v>
      </c>
      <c r="P9" s="1470">
        <f>BE9</f>
        <v>0</v>
      </c>
      <c r="Q9" s="1470">
        <f>BH9</f>
        <v>0</v>
      </c>
      <c r="R9" s="1470">
        <f>BK9</f>
        <v>0</v>
      </c>
      <c r="S9" s="1470">
        <f>BN9</f>
        <v>0</v>
      </c>
      <c r="T9" s="1470">
        <f>BQ9</f>
        <v>0</v>
      </c>
      <c r="U9" s="1470">
        <f>BT9</f>
        <v>0</v>
      </c>
      <c r="V9" s="1470">
        <f>BW9</f>
        <v>0</v>
      </c>
      <c r="W9" s="1470">
        <f>BZ9</f>
        <v>0</v>
      </c>
      <c r="X9" s="1470">
        <f>CC9</f>
        <v>0</v>
      </c>
      <c r="Y9" s="1470">
        <f>CF9</f>
        <v>0</v>
      </c>
      <c r="Z9" s="1470">
        <f>CI9</f>
        <v>0</v>
      </c>
      <c r="AA9" s="1470">
        <f>CL9</f>
        <v>0</v>
      </c>
      <c r="AB9" s="1470">
        <f>CO9</f>
        <v>0</v>
      </c>
      <c r="AC9" s="1470">
        <f>CR9</f>
        <v>0</v>
      </c>
      <c r="AD9" s="1470">
        <f>CU9</f>
        <v>0</v>
      </c>
      <c r="AE9" s="1470">
        <f>CX9</f>
        <v>8807.376561388859</v>
      </c>
      <c r="AF9" s="1470">
        <f>DA9</f>
        <v>20525.642691879726</v>
      </c>
      <c r="AG9" s="1470">
        <f>DD9</f>
        <v>32078.476948866057</v>
      </c>
      <c r="AH9" s="1470">
        <f>DG9</f>
        <v>99749.300881192263</v>
      </c>
      <c r="AI9" s="1470">
        <f>DJ9</f>
        <v>264476.444502128</v>
      </c>
      <c r="AJ9" s="1470">
        <f>DM9</f>
        <v>488658.64465344069</v>
      </c>
      <c r="AK9" s="1470">
        <f>DP9</f>
        <v>777385.21457181976</v>
      </c>
      <c r="AL9" s="1470">
        <f>DS9</f>
        <v>1273293.3851224389</v>
      </c>
      <c r="AM9" s="1470">
        <f>DV9</f>
        <v>2272090.438977038</v>
      </c>
      <c r="AN9" s="1470">
        <f>DY9</f>
        <v>3635823.2510352395</v>
      </c>
      <c r="AO9" s="1470">
        <f>EB9</f>
        <v>4915997.8447169978</v>
      </c>
      <c r="AP9" s="1470">
        <f>EE9</f>
        <v>6772788.4278136073</v>
      </c>
      <c r="AQ9" s="1470">
        <f>EH9</f>
        <v>8276488.1397296432</v>
      </c>
      <c r="AR9" s="1470">
        <f>EK9</f>
        <v>10361850.356596574</v>
      </c>
      <c r="AS9" s="1470">
        <f>EN9</f>
        <v>12322813.127902625</v>
      </c>
      <c r="AT9" s="1470">
        <f>EQ9</f>
        <v>15139506.145039584</v>
      </c>
      <c r="AU9" s="1470">
        <f>ET9</f>
        <v>17352138.04096945</v>
      </c>
      <c r="AV9" s="1470">
        <f>EW9</f>
        <v>20455020.537439574</v>
      </c>
      <c r="AW9" s="1470">
        <f>EZ9</f>
        <v>23376344.266384378</v>
      </c>
      <c r="AY9" s="1471">
        <v>0</v>
      </c>
      <c r="AZ9" s="1470">
        <f t="shared" ref="AZ9:CE9" si="1">AY13</f>
        <v>0</v>
      </c>
      <c r="BA9" s="1470">
        <f t="shared" si="1"/>
        <v>0</v>
      </c>
      <c r="BB9" s="1470">
        <f t="shared" si="1"/>
        <v>0</v>
      </c>
      <c r="BC9" s="1470">
        <f t="shared" si="1"/>
        <v>0</v>
      </c>
      <c r="BD9" s="1470">
        <f t="shared" si="1"/>
        <v>0</v>
      </c>
      <c r="BE9" s="1470">
        <f t="shared" si="1"/>
        <v>0</v>
      </c>
      <c r="BF9" s="1470">
        <f t="shared" si="1"/>
        <v>0</v>
      </c>
      <c r="BG9" s="1470">
        <f t="shared" si="1"/>
        <v>0</v>
      </c>
      <c r="BH9" s="1470">
        <f t="shared" si="1"/>
        <v>0</v>
      </c>
      <c r="BI9" s="1470">
        <f t="shared" si="1"/>
        <v>0</v>
      </c>
      <c r="BJ9" s="1470">
        <f t="shared" si="1"/>
        <v>0</v>
      </c>
      <c r="BK9" s="1470">
        <f t="shared" si="1"/>
        <v>0</v>
      </c>
      <c r="BL9" s="1470">
        <f t="shared" si="1"/>
        <v>0</v>
      </c>
      <c r="BM9" s="1470">
        <f t="shared" si="1"/>
        <v>0</v>
      </c>
      <c r="BN9" s="1470">
        <f t="shared" si="1"/>
        <v>0</v>
      </c>
      <c r="BO9" s="1470">
        <f t="shared" si="1"/>
        <v>0</v>
      </c>
      <c r="BP9" s="1470">
        <f t="shared" si="1"/>
        <v>0</v>
      </c>
      <c r="BQ9" s="1470">
        <f t="shared" si="1"/>
        <v>0</v>
      </c>
      <c r="BR9" s="1470">
        <f t="shared" si="1"/>
        <v>0</v>
      </c>
      <c r="BS9" s="1470">
        <f t="shared" si="1"/>
        <v>0</v>
      </c>
      <c r="BT9" s="1470">
        <f t="shared" si="1"/>
        <v>0</v>
      </c>
      <c r="BU9" s="1470">
        <f t="shared" si="1"/>
        <v>0</v>
      </c>
      <c r="BV9" s="1470">
        <f t="shared" si="1"/>
        <v>0</v>
      </c>
      <c r="BW9" s="1470">
        <f t="shared" si="1"/>
        <v>0</v>
      </c>
      <c r="BX9" s="1470">
        <f t="shared" si="1"/>
        <v>0</v>
      </c>
      <c r="BY9" s="1470">
        <f t="shared" si="1"/>
        <v>0</v>
      </c>
      <c r="BZ9" s="1470">
        <f t="shared" si="1"/>
        <v>0</v>
      </c>
      <c r="CA9" s="1470">
        <f t="shared" si="1"/>
        <v>0</v>
      </c>
      <c r="CB9" s="1470">
        <f t="shared" si="1"/>
        <v>0</v>
      </c>
      <c r="CC9" s="1470">
        <f t="shared" si="1"/>
        <v>0</v>
      </c>
      <c r="CD9" s="1470">
        <f t="shared" si="1"/>
        <v>0</v>
      </c>
      <c r="CE9" s="1470">
        <f t="shared" si="1"/>
        <v>0</v>
      </c>
      <c r="CF9" s="1470">
        <f t="shared" ref="CF9:DK9" si="2">CE13</f>
        <v>0</v>
      </c>
      <c r="CG9" s="1470">
        <f t="shared" si="2"/>
        <v>0</v>
      </c>
      <c r="CH9" s="1470">
        <f t="shared" si="2"/>
        <v>0</v>
      </c>
      <c r="CI9" s="1470">
        <f t="shared" si="2"/>
        <v>0</v>
      </c>
      <c r="CJ9" s="1470">
        <f t="shared" si="2"/>
        <v>0</v>
      </c>
      <c r="CK9" s="1470">
        <f t="shared" si="2"/>
        <v>0</v>
      </c>
      <c r="CL9" s="1470">
        <f t="shared" si="2"/>
        <v>0</v>
      </c>
      <c r="CM9" s="1470">
        <f t="shared" si="2"/>
        <v>0</v>
      </c>
      <c r="CN9" s="1470">
        <f t="shared" si="2"/>
        <v>0</v>
      </c>
      <c r="CO9" s="1470">
        <f t="shared" si="2"/>
        <v>0</v>
      </c>
      <c r="CP9" s="1470">
        <f t="shared" si="2"/>
        <v>0</v>
      </c>
      <c r="CQ9" s="1470">
        <f t="shared" si="2"/>
        <v>0</v>
      </c>
      <c r="CR9" s="1470">
        <f t="shared" si="2"/>
        <v>0</v>
      </c>
      <c r="CS9" s="1470">
        <f t="shared" si="2"/>
        <v>0</v>
      </c>
      <c r="CT9" s="1470">
        <f t="shared" si="2"/>
        <v>0</v>
      </c>
      <c r="CU9" s="1470">
        <f t="shared" si="2"/>
        <v>0</v>
      </c>
      <c r="CV9" s="1470">
        <f t="shared" si="2"/>
        <v>1164.2477487910176</v>
      </c>
      <c r="CW9" s="1470">
        <f t="shared" si="2"/>
        <v>3723.0167095304023</v>
      </c>
      <c r="CX9" s="1470">
        <f t="shared" si="2"/>
        <v>8807.376561388859</v>
      </c>
      <c r="CY9" s="1470">
        <f t="shared" si="2"/>
        <v>10840.304887071376</v>
      </c>
      <c r="CZ9" s="1470">
        <f t="shared" si="2"/>
        <v>14827.621091159026</v>
      </c>
      <c r="DA9" s="1470">
        <f t="shared" si="2"/>
        <v>20525.642691879726</v>
      </c>
      <c r="DB9" s="1470">
        <f t="shared" si="2"/>
        <v>22477.724787295807</v>
      </c>
      <c r="DC9" s="1470">
        <f t="shared" si="2"/>
        <v>25958.480497285829</v>
      </c>
      <c r="DD9" s="1470">
        <f t="shared" si="2"/>
        <v>32078.476948866057</v>
      </c>
      <c r="DE9" s="1470">
        <f t="shared" si="2"/>
        <v>42132.457434991295</v>
      </c>
      <c r="DF9" s="1470">
        <f t="shared" si="2"/>
        <v>68950.735827264449</v>
      </c>
      <c r="DG9" s="1470">
        <f t="shared" si="2"/>
        <v>99749.300881192263</v>
      </c>
      <c r="DH9" s="1470">
        <f t="shared" si="2"/>
        <v>122280.67995882515</v>
      </c>
      <c r="DI9" s="1470">
        <f t="shared" si="2"/>
        <v>170398.76552321669</v>
      </c>
      <c r="DJ9" s="1470">
        <f t="shared" si="2"/>
        <v>264476.444502128</v>
      </c>
      <c r="DK9" s="1470">
        <f t="shared" si="2"/>
        <v>304721.39924432384</v>
      </c>
      <c r="DL9" s="1470">
        <f t="shared" ref="DL9:EQ9" si="3">DK13</f>
        <v>381231.83567610104</v>
      </c>
      <c r="DM9" s="1470">
        <f t="shared" si="3"/>
        <v>488658.64465344069</v>
      </c>
      <c r="DN9" s="1470">
        <f t="shared" si="3"/>
        <v>536966.36865680816</v>
      </c>
      <c r="DO9" s="1470">
        <f t="shared" si="3"/>
        <v>624082.12683127658</v>
      </c>
      <c r="DP9" s="1470">
        <f t="shared" si="3"/>
        <v>777385.21457181976</v>
      </c>
      <c r="DQ9" s="1470">
        <f t="shared" si="3"/>
        <v>846063.48376877001</v>
      </c>
      <c r="DR9" s="1470">
        <f t="shared" si="3"/>
        <v>1044130.952865957</v>
      </c>
      <c r="DS9" s="1470">
        <f t="shared" si="3"/>
        <v>1273293.3851224389</v>
      </c>
      <c r="DT9" s="1470">
        <f t="shared" si="3"/>
        <v>1408401.0791653085</v>
      </c>
      <c r="DU9" s="1470">
        <f t="shared" si="3"/>
        <v>1700504.8349004462</v>
      </c>
      <c r="DV9" s="1470">
        <f t="shared" si="3"/>
        <v>2272090.438977038</v>
      </c>
      <c r="DW9" s="1470">
        <f t="shared" si="3"/>
        <v>2514335.6683819951</v>
      </c>
      <c r="DX9" s="1470">
        <f t="shared" si="3"/>
        <v>2981793.8595414413</v>
      </c>
      <c r="DY9" s="1470">
        <f t="shared" si="3"/>
        <v>3635823.2510352395</v>
      </c>
      <c r="DZ9" s="1470">
        <f t="shared" si="3"/>
        <v>3846027.6137096803</v>
      </c>
      <c r="EA9" s="1470">
        <f t="shared" si="3"/>
        <v>4233330.7713950817</v>
      </c>
      <c r="EB9" s="1470">
        <f t="shared" si="3"/>
        <v>4915997.8447169978</v>
      </c>
      <c r="EC9" s="1470">
        <f t="shared" si="3"/>
        <v>5170589.6108118659</v>
      </c>
      <c r="ED9" s="1470">
        <f t="shared" si="3"/>
        <v>5911559.0052280696</v>
      </c>
      <c r="EE9" s="1470">
        <f t="shared" si="3"/>
        <v>6772788.4278136073</v>
      </c>
      <c r="EF9" s="1470">
        <f t="shared" si="3"/>
        <v>6965242.0828131987</v>
      </c>
      <c r="EG9" s="1470">
        <f t="shared" si="3"/>
        <v>7407530.4585342985</v>
      </c>
      <c r="EH9" s="1470">
        <f t="shared" si="3"/>
        <v>8276488.1397296432</v>
      </c>
      <c r="EI9" s="1470">
        <f t="shared" si="3"/>
        <v>8628306.742649002</v>
      </c>
      <c r="EJ9" s="1470">
        <f t="shared" si="3"/>
        <v>9357851.658859292</v>
      </c>
      <c r="EK9" s="1470">
        <f t="shared" si="3"/>
        <v>10361850.356596574</v>
      </c>
      <c r="EL9" s="1470">
        <f t="shared" si="3"/>
        <v>10660711.948264014</v>
      </c>
      <c r="EM9" s="1470">
        <f t="shared" si="3"/>
        <v>11260036.608968366</v>
      </c>
      <c r="EN9" s="1470">
        <f t="shared" si="3"/>
        <v>12322813.127902625</v>
      </c>
      <c r="EO9" s="1470">
        <f t="shared" si="3"/>
        <v>12695274.393715905</v>
      </c>
      <c r="EP9" s="1470">
        <f t="shared" si="3"/>
        <v>13815862.072501313</v>
      </c>
      <c r="EQ9" s="1470">
        <f t="shared" si="3"/>
        <v>15139506.145039584</v>
      </c>
      <c r="ER9" s="1470">
        <f t="shared" ref="ER9:FB9" si="4">EQ13</f>
        <v>15411024.504220966</v>
      </c>
      <c r="ES9" s="1470">
        <f t="shared" si="4"/>
        <v>16064521.696608143</v>
      </c>
      <c r="ET9" s="1470">
        <f t="shared" si="4"/>
        <v>17352138.04096945</v>
      </c>
      <c r="EU9" s="1470">
        <f t="shared" si="4"/>
        <v>17856097.134307668</v>
      </c>
      <c r="EV9" s="1470">
        <f t="shared" si="4"/>
        <v>18957061.177699909</v>
      </c>
      <c r="EW9" s="1470">
        <f t="shared" si="4"/>
        <v>20455020.537439574</v>
      </c>
      <c r="EX9" s="1470">
        <f t="shared" si="4"/>
        <v>20876027.587846067</v>
      </c>
      <c r="EY9" s="1470">
        <f t="shared" si="4"/>
        <v>21775207.173510779</v>
      </c>
      <c r="EZ9" s="1470">
        <f t="shared" si="4"/>
        <v>23376344.266384378</v>
      </c>
      <c r="FA9" s="1470">
        <f t="shared" si="4"/>
        <v>23912867.483460244</v>
      </c>
      <c r="FB9" s="1470">
        <f t="shared" si="4"/>
        <v>25567146.682907037</v>
      </c>
    </row>
    <row r="10" spans="3:158" x14ac:dyDescent="0.25">
      <c r="C10" s="258" t="s">
        <v>585</v>
      </c>
      <c r="D10" s="1472">
        <f t="shared" ref="D10:L11" si="5">SUMIF($AY$2:$FB$2,D$2,$AY10:$FB10)</f>
        <v>0</v>
      </c>
      <c r="E10" s="1472">
        <f t="shared" si="5"/>
        <v>0</v>
      </c>
      <c r="F10" s="1472">
        <f t="shared" si="5"/>
        <v>0</v>
      </c>
      <c r="G10" s="1472">
        <f t="shared" si="5"/>
        <v>0</v>
      </c>
      <c r="H10" s="1472">
        <f t="shared" si="5"/>
        <v>49982.838402506328</v>
      </c>
      <c r="I10" s="1472">
        <f t="shared" si="5"/>
        <v>456038.58509364759</v>
      </c>
      <c r="J10" s="1472">
        <f t="shared" si="5"/>
        <v>1464989.7078527929</v>
      </c>
      <c r="K10" s="1472">
        <f t="shared" si="5"/>
        <v>2480013.2738908115</v>
      </c>
      <c r="L10" s="1472">
        <f t="shared" si="5"/>
        <v>4597627.6953837657</v>
      </c>
      <c r="M10" s="244"/>
      <c r="N10" s="1472">
        <f>SUM(AY10:BA10)</f>
        <v>0</v>
      </c>
      <c r="O10" s="1472">
        <f>SUM(BB10:BD10)</f>
        <v>0</v>
      </c>
      <c r="P10" s="1472">
        <f>SUM(BE10:BG10)</f>
        <v>0</v>
      </c>
      <c r="Q10" s="1472">
        <f>SUM(BH10:BJ10)</f>
        <v>0</v>
      </c>
      <c r="R10" s="1472">
        <f>SUM(BK10:BM10)</f>
        <v>0</v>
      </c>
      <c r="S10" s="1472">
        <f>SUM(BN10:BP10)</f>
        <v>0</v>
      </c>
      <c r="T10" s="1472">
        <f>SUM(BQ10:BS10)</f>
        <v>0</v>
      </c>
      <c r="U10" s="1472">
        <f>SUM(BT10:BV10)</f>
        <v>0</v>
      </c>
      <c r="V10" s="1472">
        <f>SUM(BW10:BY10)</f>
        <v>0</v>
      </c>
      <c r="W10" s="1472">
        <f>SUM(BZ10:CB10)</f>
        <v>0</v>
      </c>
      <c r="X10" s="1472">
        <f>SUM(CC10:CE10)</f>
        <v>0</v>
      </c>
      <c r="Y10" s="1472">
        <f>SUM(CF10:CH10)</f>
        <v>0</v>
      </c>
      <c r="Z10" s="1472">
        <f>SUM(CI10:CK10)</f>
        <v>0</v>
      </c>
      <c r="AA10" s="1472">
        <f>SUM(CL10:CN10)</f>
        <v>0</v>
      </c>
      <c r="AB10" s="1472">
        <f>SUM(CO10:CQ10)</f>
        <v>0</v>
      </c>
      <c r="AC10" s="1472">
        <f>SUM(CR10:CT10)</f>
        <v>0</v>
      </c>
      <c r="AD10" s="1472">
        <f>SUM(CU10:CW10)</f>
        <v>0</v>
      </c>
      <c r="AE10" s="1472">
        <f>SUM(CX10:CZ10)</f>
        <v>0</v>
      </c>
      <c r="AF10" s="1472">
        <f>SUM(DA10:DC10)</f>
        <v>0</v>
      </c>
      <c r="AG10" s="1472">
        <f>SUM(DD10:DF10)</f>
        <v>49982.838402506328</v>
      </c>
      <c r="AH10" s="1472">
        <f>SUM(DG10:DI10)</f>
        <v>34199.265642980281</v>
      </c>
      <c r="AI10" s="1472">
        <f>SUM(DJ10:DL10)</f>
        <v>46405.294845570381</v>
      </c>
      <c r="AJ10" s="1472">
        <f>SUM(DM10:DO10)</f>
        <v>121888.67126472836</v>
      </c>
      <c r="AK10" s="1472">
        <f>SUM(DP10:DR10)</f>
        <v>253545.3533403686</v>
      </c>
      <c r="AL10" s="1472">
        <f>SUM(DS10:DU10)</f>
        <v>267176.22816935804</v>
      </c>
      <c r="AM10" s="1472">
        <f>SUM(DV10:DX10)</f>
        <v>362533.85594176746</v>
      </c>
      <c r="AN10" s="1472">
        <f>SUM(DY10:EA10)</f>
        <v>340084.11367922137</v>
      </c>
      <c r="AO10" s="1472">
        <f>SUM(EB10:ED10)</f>
        <v>495195.510062446</v>
      </c>
      <c r="AP10" s="1472">
        <f>SUM(EE10:EG10)</f>
        <v>452290.27123968618</v>
      </c>
      <c r="AQ10" s="1472">
        <f>SUM(EH10:EJ10)</f>
        <v>613716.78596171131</v>
      </c>
      <c r="AR10" s="1472">
        <f>SUM(EK10:EM10)</f>
        <v>575712.65630257223</v>
      </c>
      <c r="AS10" s="1472">
        <f>SUM(EN10:EP10)</f>
        <v>838293.560386842</v>
      </c>
      <c r="AT10" s="1472">
        <f>SUM(EQ10:ES10)</f>
        <v>838488.36588758091</v>
      </c>
      <c r="AU10" s="1472">
        <f>SUM(ET10:EV10)</f>
        <v>1137752.4959101102</v>
      </c>
      <c r="AV10" s="1472">
        <f>SUM(EW10:EY10)</f>
        <v>1067297.6959703956</v>
      </c>
      <c r="AW10" s="1472">
        <f>SUM(EZ10:FB10)</f>
        <v>1554089.1376156788</v>
      </c>
      <c r="AY10" s="1472">
        <f t="shared" ref="AY10:CD10" si="6">AY58</f>
        <v>0</v>
      </c>
      <c r="AZ10" s="1472">
        <f t="shared" si="6"/>
        <v>0</v>
      </c>
      <c r="BA10" s="1472">
        <f t="shared" si="6"/>
        <v>0</v>
      </c>
      <c r="BB10" s="1472">
        <f t="shared" si="6"/>
        <v>0</v>
      </c>
      <c r="BC10" s="1472">
        <f t="shared" si="6"/>
        <v>0</v>
      </c>
      <c r="BD10" s="1472">
        <f t="shared" si="6"/>
        <v>0</v>
      </c>
      <c r="BE10" s="1472">
        <f t="shared" si="6"/>
        <v>0</v>
      </c>
      <c r="BF10" s="1472">
        <f t="shared" si="6"/>
        <v>0</v>
      </c>
      <c r="BG10" s="1472">
        <f t="shared" si="6"/>
        <v>0</v>
      </c>
      <c r="BH10" s="1472">
        <f t="shared" si="6"/>
        <v>0</v>
      </c>
      <c r="BI10" s="1472">
        <f t="shared" si="6"/>
        <v>0</v>
      </c>
      <c r="BJ10" s="1472">
        <f t="shared" si="6"/>
        <v>0</v>
      </c>
      <c r="BK10" s="1472">
        <f t="shared" si="6"/>
        <v>0</v>
      </c>
      <c r="BL10" s="1472">
        <f t="shared" si="6"/>
        <v>0</v>
      </c>
      <c r="BM10" s="1472">
        <f t="shared" si="6"/>
        <v>0</v>
      </c>
      <c r="BN10" s="1472">
        <f t="shared" si="6"/>
        <v>0</v>
      </c>
      <c r="BO10" s="1472">
        <f t="shared" si="6"/>
        <v>0</v>
      </c>
      <c r="BP10" s="1472">
        <f t="shared" si="6"/>
        <v>0</v>
      </c>
      <c r="BQ10" s="1472">
        <f t="shared" si="6"/>
        <v>0</v>
      </c>
      <c r="BR10" s="1472">
        <f t="shared" si="6"/>
        <v>0</v>
      </c>
      <c r="BS10" s="1472">
        <f t="shared" si="6"/>
        <v>0</v>
      </c>
      <c r="BT10" s="1472">
        <f t="shared" si="6"/>
        <v>0</v>
      </c>
      <c r="BU10" s="1472">
        <f t="shared" si="6"/>
        <v>0</v>
      </c>
      <c r="BV10" s="1472">
        <f t="shared" si="6"/>
        <v>0</v>
      </c>
      <c r="BW10" s="1472">
        <f t="shared" si="6"/>
        <v>0</v>
      </c>
      <c r="BX10" s="1472">
        <f t="shared" si="6"/>
        <v>0</v>
      </c>
      <c r="BY10" s="1472">
        <f t="shared" si="6"/>
        <v>0</v>
      </c>
      <c r="BZ10" s="1472">
        <f t="shared" si="6"/>
        <v>0</v>
      </c>
      <c r="CA10" s="1472">
        <f t="shared" si="6"/>
        <v>0</v>
      </c>
      <c r="CB10" s="1472">
        <f t="shared" si="6"/>
        <v>0</v>
      </c>
      <c r="CC10" s="1472">
        <f t="shared" si="6"/>
        <v>0</v>
      </c>
      <c r="CD10" s="1472">
        <f t="shared" si="6"/>
        <v>0</v>
      </c>
      <c r="CE10" s="1472">
        <f t="shared" ref="CE10:DJ10" si="7">CE58</f>
        <v>0</v>
      </c>
      <c r="CF10" s="1472">
        <f t="shared" si="7"/>
        <v>0</v>
      </c>
      <c r="CG10" s="1472">
        <f t="shared" si="7"/>
        <v>0</v>
      </c>
      <c r="CH10" s="1472">
        <f t="shared" si="7"/>
        <v>0</v>
      </c>
      <c r="CI10" s="1472">
        <f t="shared" si="7"/>
        <v>0</v>
      </c>
      <c r="CJ10" s="1472">
        <f t="shared" si="7"/>
        <v>0</v>
      </c>
      <c r="CK10" s="1472">
        <f t="shared" si="7"/>
        <v>0</v>
      </c>
      <c r="CL10" s="1472">
        <f t="shared" si="7"/>
        <v>0</v>
      </c>
      <c r="CM10" s="1472">
        <f t="shared" si="7"/>
        <v>0</v>
      </c>
      <c r="CN10" s="1472">
        <f t="shared" si="7"/>
        <v>0</v>
      </c>
      <c r="CO10" s="1472">
        <f t="shared" si="7"/>
        <v>0</v>
      </c>
      <c r="CP10" s="1472">
        <f t="shared" si="7"/>
        <v>0</v>
      </c>
      <c r="CQ10" s="1472">
        <f t="shared" si="7"/>
        <v>0</v>
      </c>
      <c r="CR10" s="1472">
        <f t="shared" si="7"/>
        <v>0</v>
      </c>
      <c r="CS10" s="1472">
        <f t="shared" si="7"/>
        <v>0</v>
      </c>
      <c r="CT10" s="1472">
        <f t="shared" si="7"/>
        <v>0</v>
      </c>
      <c r="CU10" s="1472">
        <f t="shared" si="7"/>
        <v>0</v>
      </c>
      <c r="CV10" s="1472">
        <f t="shared" si="7"/>
        <v>0</v>
      </c>
      <c r="CW10" s="1472">
        <f t="shared" si="7"/>
        <v>0</v>
      </c>
      <c r="CX10" s="1472">
        <f t="shared" si="7"/>
        <v>0</v>
      </c>
      <c r="CY10" s="1472">
        <f t="shared" si="7"/>
        <v>0</v>
      </c>
      <c r="CZ10" s="1472">
        <f t="shared" si="7"/>
        <v>0</v>
      </c>
      <c r="DA10" s="1472">
        <f t="shared" si="7"/>
        <v>0</v>
      </c>
      <c r="DB10" s="1472">
        <f t="shared" si="7"/>
        <v>0</v>
      </c>
      <c r="DC10" s="1472">
        <f t="shared" si="7"/>
        <v>0</v>
      </c>
      <c r="DD10" s="1472">
        <f t="shared" si="7"/>
        <v>7426.0434961232077</v>
      </c>
      <c r="DE10" s="1472">
        <f t="shared" si="7"/>
        <v>19808.443243648533</v>
      </c>
      <c r="DF10" s="1472">
        <f t="shared" si="7"/>
        <v>22748.351662734585</v>
      </c>
      <c r="DG10" s="1472">
        <f t="shared" si="7"/>
        <v>4724.4854780301685</v>
      </c>
      <c r="DH10" s="1472">
        <f t="shared" si="7"/>
        <v>9979.112481049413</v>
      </c>
      <c r="DI10" s="1472">
        <f t="shared" si="7"/>
        <v>19495.667683900698</v>
      </c>
      <c r="DJ10" s="1472">
        <f t="shared" si="7"/>
        <v>8410.2678146349263</v>
      </c>
      <c r="DK10" s="1472">
        <f t="shared" ref="DK10:EP10" si="8">DK58</f>
        <v>15774.500952324443</v>
      </c>
      <c r="DL10" s="1472">
        <f t="shared" si="8"/>
        <v>22220.526078611012</v>
      </c>
      <c r="DM10" s="1472">
        <f t="shared" si="8"/>
        <v>20595.525523621676</v>
      </c>
      <c r="DN10" s="1472">
        <f t="shared" si="8"/>
        <v>36723.86178579813</v>
      </c>
      <c r="DO10" s="1472">
        <f t="shared" si="8"/>
        <v>64569.283955308558</v>
      </c>
      <c r="DP10" s="1472">
        <f t="shared" si="8"/>
        <v>35258.278521928922</v>
      </c>
      <c r="DQ10" s="1472">
        <f t="shared" si="8"/>
        <v>101303.14092056884</v>
      </c>
      <c r="DR10" s="1472">
        <f t="shared" si="8"/>
        <v>116983.93389787081</v>
      </c>
      <c r="DS10" s="1472">
        <f t="shared" si="8"/>
        <v>36909.278206097959</v>
      </c>
      <c r="DT10" s="1472">
        <f t="shared" si="8"/>
        <v>77960.201280281151</v>
      </c>
      <c r="DU10" s="1472">
        <f t="shared" si="8"/>
        <v>152306.74868297894</v>
      </c>
      <c r="DV10" s="1472">
        <f t="shared" si="8"/>
        <v>65703.856219191439</v>
      </c>
      <c r="DW10" s="1472">
        <f t="shared" si="8"/>
        <v>123235.73581063346</v>
      </c>
      <c r="DX10" s="1472">
        <f t="shared" si="8"/>
        <v>173594.26391194251</v>
      </c>
      <c r="DY10" s="1472">
        <f t="shared" si="8"/>
        <v>57464.003592641573</v>
      </c>
      <c r="DZ10" s="1472">
        <f t="shared" si="8"/>
        <v>102464.00963036387</v>
      </c>
      <c r="EA10" s="1472">
        <f t="shared" si="8"/>
        <v>180156.10045621588</v>
      </c>
      <c r="EB10" s="1472">
        <f t="shared" si="8"/>
        <v>68862.398724979925</v>
      </c>
      <c r="EC10" s="1472">
        <f t="shared" si="8"/>
        <v>197853.59849109827</v>
      </c>
      <c r="ED10" s="1472">
        <f t="shared" si="8"/>
        <v>228479.51284636778</v>
      </c>
      <c r="EE10" s="1472">
        <f t="shared" si="8"/>
        <v>62482.008842924653</v>
      </c>
      <c r="EF10" s="1472">
        <f t="shared" si="8"/>
        <v>131975.2165997636</v>
      </c>
      <c r="EG10" s="1472">
        <f t="shared" si="8"/>
        <v>257833.04579699787</v>
      </c>
      <c r="EH10" s="1472">
        <f t="shared" si="8"/>
        <v>111227.01729299901</v>
      </c>
      <c r="EI10" s="1472">
        <f t="shared" si="8"/>
        <v>208620.07356763122</v>
      </c>
      <c r="EJ10" s="1472">
        <f t="shared" si="8"/>
        <v>293869.6951010811</v>
      </c>
      <c r="EK10" s="1472">
        <f t="shared" si="8"/>
        <v>97278.152137694386</v>
      </c>
      <c r="EL10" s="1472">
        <f t="shared" si="8"/>
        <v>173456.57967237569</v>
      </c>
      <c r="EM10" s="1472">
        <f t="shared" si="8"/>
        <v>304977.92449250218</v>
      </c>
      <c r="EN10" s="1472">
        <f t="shared" si="8"/>
        <v>116573.96771764384</v>
      </c>
      <c r="EO10" s="1472">
        <f t="shared" si="8"/>
        <v>334937.19984160597</v>
      </c>
      <c r="EP10" s="1472">
        <f t="shared" si="8"/>
        <v>386782.39282759221</v>
      </c>
      <c r="EQ10" s="1472">
        <f t="shared" ref="EQ10:FB10" si="9">EQ58</f>
        <v>115833.65998229386</v>
      </c>
      <c r="ER10" s="1472">
        <f t="shared" si="9"/>
        <v>244665.18680821345</v>
      </c>
      <c r="ES10" s="1472">
        <f t="shared" si="9"/>
        <v>477989.51909707353</v>
      </c>
      <c r="ET10" s="1472">
        <f t="shared" si="9"/>
        <v>206200.67665159437</v>
      </c>
      <c r="EU10" s="1472">
        <f t="shared" si="9"/>
        <v>386754.95738083264</v>
      </c>
      <c r="EV10" s="1472">
        <f t="shared" si="9"/>
        <v>544796.8618776832</v>
      </c>
      <c r="EW10" s="1472">
        <f t="shared" si="9"/>
        <v>180341.26314265458</v>
      </c>
      <c r="EX10" s="1472">
        <f t="shared" si="9"/>
        <v>321566.33314994362</v>
      </c>
      <c r="EY10" s="1472">
        <f t="shared" si="9"/>
        <v>565390.09967779752</v>
      </c>
      <c r="EZ10" s="1472">
        <f t="shared" si="9"/>
        <v>216113.23946607605</v>
      </c>
      <c r="FA10" s="1472">
        <f t="shared" si="9"/>
        <v>620930.76775759738</v>
      </c>
      <c r="FB10" s="1472">
        <f t="shared" si="9"/>
        <v>717045.13039200532</v>
      </c>
    </row>
    <row r="11" spans="3:158" x14ac:dyDescent="0.25">
      <c r="C11" s="258" t="s">
        <v>584</v>
      </c>
      <c r="D11" s="1472">
        <f t="shared" si="5"/>
        <v>0</v>
      </c>
      <c r="E11" s="1472">
        <f t="shared" si="5"/>
        <v>0</v>
      </c>
      <c r="F11" s="1472">
        <f t="shared" si="5"/>
        <v>0</v>
      </c>
      <c r="G11" s="1472">
        <f t="shared" si="5"/>
        <v>0</v>
      </c>
      <c r="H11" s="1472">
        <f t="shared" si="5"/>
        <v>49766.462478685942</v>
      </c>
      <c r="I11" s="1472">
        <f t="shared" si="5"/>
        <v>731470.40127096581</v>
      </c>
      <c r="J11" s="1472">
        <f t="shared" si="5"/>
        <v>4212766.4087555185</v>
      </c>
      <c r="K11" s="1472">
        <f t="shared" si="5"/>
        <v>6834894.8232290735</v>
      </c>
      <c r="L11" s="1472">
        <f t="shared" si="5"/>
        <v>9926055.667880578</v>
      </c>
      <c r="M11" s="244"/>
      <c r="N11" s="1472">
        <f>SUM(AY11:BA11)</f>
        <v>0</v>
      </c>
      <c r="O11" s="1472">
        <f>SUM(BB11:BD11)</f>
        <v>0</v>
      </c>
      <c r="P11" s="1472">
        <f>SUM(BE11:BG11)</f>
        <v>0</v>
      </c>
      <c r="Q11" s="1472">
        <f>SUM(BH11:BJ11)</f>
        <v>0</v>
      </c>
      <c r="R11" s="1472">
        <f>SUM(BK11:BM11)</f>
        <v>0</v>
      </c>
      <c r="S11" s="1472">
        <f>SUM(BN11:BP11)</f>
        <v>0</v>
      </c>
      <c r="T11" s="1472">
        <f>SUM(BQ11:BS11)</f>
        <v>0</v>
      </c>
      <c r="U11" s="1472">
        <f>SUM(BT11:BV11)</f>
        <v>0</v>
      </c>
      <c r="V11" s="1472">
        <f>SUM(BW11:BY11)</f>
        <v>0</v>
      </c>
      <c r="W11" s="1472">
        <f>SUM(BZ11:CB11)</f>
        <v>0</v>
      </c>
      <c r="X11" s="1472">
        <f>SUM(CC11:CE11)</f>
        <v>0</v>
      </c>
      <c r="Y11" s="1472">
        <f>SUM(CF11:CH11)</f>
        <v>0</v>
      </c>
      <c r="Z11" s="1472">
        <f>SUM(CI11:CK11)</f>
        <v>0</v>
      </c>
      <c r="AA11" s="1472">
        <f>SUM(CL11:CN11)</f>
        <v>0</v>
      </c>
      <c r="AB11" s="1472">
        <f>SUM(CO11:CQ11)</f>
        <v>0</v>
      </c>
      <c r="AC11" s="1472">
        <f>SUM(CR11:CT11)</f>
        <v>0</v>
      </c>
      <c r="AD11" s="1472">
        <f>SUM(CU11:CW11)</f>
        <v>8807.376561388859</v>
      </c>
      <c r="AE11" s="1472">
        <f>SUM(CX11:CZ11)</f>
        <v>11718.266130490867</v>
      </c>
      <c r="AF11" s="1472">
        <f>SUM(DA11:DC11)</f>
        <v>11552.834256986327</v>
      </c>
      <c r="AG11" s="1472">
        <f>SUM(DD11:DF11)</f>
        <v>17687.985529819885</v>
      </c>
      <c r="AH11" s="1472">
        <f>SUM(DG11:DI11)</f>
        <v>133401.28041960351</v>
      </c>
      <c r="AI11" s="1472">
        <f>SUM(DJ11:DL11)</f>
        <v>181013.41167011228</v>
      </c>
      <c r="AJ11" s="1472">
        <f>SUM(DM11:DO11)</f>
        <v>169804.23941914627</v>
      </c>
      <c r="AK11" s="1472">
        <f>SUM(DP11:DR11)</f>
        <v>247251.46976210375</v>
      </c>
      <c r="AL11" s="1472">
        <f>SUM(DS11:DU11)</f>
        <v>768299.62232265109</v>
      </c>
      <c r="AM11" s="1472">
        <f>SUM(DV11:DX11)</f>
        <v>1042512.7508824486</v>
      </c>
      <c r="AN11" s="1472">
        <f>SUM(DY11:EA11)</f>
        <v>977955.62834300741</v>
      </c>
      <c r="AO11" s="1472">
        <f>SUM(EB11:ED11)</f>
        <v>1423998.4072074117</v>
      </c>
      <c r="AP11" s="1472">
        <f>SUM(EE11:EG11)</f>
        <v>1246508.0191458315</v>
      </c>
      <c r="AQ11" s="1472">
        <f>SUM(EH11:EJ11)</f>
        <v>1691398.0773649551</v>
      </c>
      <c r="AR11" s="1472">
        <f>SUM(EK11:EM11)</f>
        <v>1586659.0294722575</v>
      </c>
      <c r="AS11" s="1472">
        <f>SUM(EN11:EP11)</f>
        <v>2310329.6972460304</v>
      </c>
      <c r="AT11" s="1472">
        <f>SUM(EQ11:ES11)</f>
        <v>1810255.7988823042</v>
      </c>
      <c r="AU11" s="1472">
        <f>SUM(ET11:EV11)</f>
        <v>2456352.5711342227</v>
      </c>
      <c r="AV11" s="1472">
        <f>SUM(EW11:EY11)</f>
        <v>2304244.0680961963</v>
      </c>
      <c r="AW11" s="1472">
        <f>SUM(EZ11:FB11)</f>
        <v>3355203.2297678548</v>
      </c>
      <c r="AY11" s="1472">
        <f t="shared" ref="AY11:CD11" si="10">AY78</f>
        <v>0</v>
      </c>
      <c r="AZ11" s="1472">
        <f t="shared" si="10"/>
        <v>0</v>
      </c>
      <c r="BA11" s="1472">
        <f t="shared" si="10"/>
        <v>0</v>
      </c>
      <c r="BB11" s="1472">
        <f t="shared" si="10"/>
        <v>0</v>
      </c>
      <c r="BC11" s="1472">
        <f t="shared" si="10"/>
        <v>0</v>
      </c>
      <c r="BD11" s="1472">
        <f t="shared" si="10"/>
        <v>0</v>
      </c>
      <c r="BE11" s="1472">
        <f t="shared" si="10"/>
        <v>0</v>
      </c>
      <c r="BF11" s="1472">
        <f t="shared" si="10"/>
        <v>0</v>
      </c>
      <c r="BG11" s="1472">
        <f t="shared" si="10"/>
        <v>0</v>
      </c>
      <c r="BH11" s="1472">
        <f t="shared" si="10"/>
        <v>0</v>
      </c>
      <c r="BI11" s="1472">
        <f t="shared" si="10"/>
        <v>0</v>
      </c>
      <c r="BJ11" s="1472">
        <f t="shared" si="10"/>
        <v>0</v>
      </c>
      <c r="BK11" s="1472">
        <f t="shared" si="10"/>
        <v>0</v>
      </c>
      <c r="BL11" s="1472">
        <f t="shared" si="10"/>
        <v>0</v>
      </c>
      <c r="BM11" s="1472">
        <f t="shared" si="10"/>
        <v>0</v>
      </c>
      <c r="BN11" s="1472">
        <f t="shared" si="10"/>
        <v>0</v>
      </c>
      <c r="BO11" s="1472">
        <f t="shared" si="10"/>
        <v>0</v>
      </c>
      <c r="BP11" s="1472">
        <f t="shared" si="10"/>
        <v>0</v>
      </c>
      <c r="BQ11" s="1472">
        <f t="shared" si="10"/>
        <v>0</v>
      </c>
      <c r="BR11" s="1472">
        <f t="shared" si="10"/>
        <v>0</v>
      </c>
      <c r="BS11" s="1472">
        <f t="shared" si="10"/>
        <v>0</v>
      </c>
      <c r="BT11" s="1472">
        <f t="shared" si="10"/>
        <v>0</v>
      </c>
      <c r="BU11" s="1472">
        <f t="shared" si="10"/>
        <v>0</v>
      </c>
      <c r="BV11" s="1472">
        <f t="shared" si="10"/>
        <v>0</v>
      </c>
      <c r="BW11" s="1472">
        <f t="shared" si="10"/>
        <v>0</v>
      </c>
      <c r="BX11" s="1472">
        <f t="shared" si="10"/>
        <v>0</v>
      </c>
      <c r="BY11" s="1472">
        <f t="shared" si="10"/>
        <v>0</v>
      </c>
      <c r="BZ11" s="1472">
        <f t="shared" si="10"/>
        <v>0</v>
      </c>
      <c r="CA11" s="1472">
        <f t="shared" si="10"/>
        <v>0</v>
      </c>
      <c r="CB11" s="1472">
        <f t="shared" si="10"/>
        <v>0</v>
      </c>
      <c r="CC11" s="1472">
        <f t="shared" si="10"/>
        <v>0</v>
      </c>
      <c r="CD11" s="1472">
        <f t="shared" si="10"/>
        <v>0</v>
      </c>
      <c r="CE11" s="1472">
        <f t="shared" ref="CE11:DJ11" si="11">CE78</f>
        <v>0</v>
      </c>
      <c r="CF11" s="1472">
        <f t="shared" si="11"/>
        <v>0</v>
      </c>
      <c r="CG11" s="1472">
        <f t="shared" si="11"/>
        <v>0</v>
      </c>
      <c r="CH11" s="1472">
        <f t="shared" si="11"/>
        <v>0</v>
      </c>
      <c r="CI11" s="1472">
        <f t="shared" si="11"/>
        <v>0</v>
      </c>
      <c r="CJ11" s="1472">
        <f t="shared" si="11"/>
        <v>0</v>
      </c>
      <c r="CK11" s="1472">
        <f t="shared" si="11"/>
        <v>0</v>
      </c>
      <c r="CL11" s="1472">
        <f t="shared" si="11"/>
        <v>0</v>
      </c>
      <c r="CM11" s="1472">
        <f t="shared" si="11"/>
        <v>0</v>
      </c>
      <c r="CN11" s="1472">
        <f t="shared" si="11"/>
        <v>0</v>
      </c>
      <c r="CO11" s="1472">
        <f t="shared" si="11"/>
        <v>0</v>
      </c>
      <c r="CP11" s="1472">
        <f t="shared" si="11"/>
        <v>0</v>
      </c>
      <c r="CQ11" s="1472">
        <f t="shared" si="11"/>
        <v>0</v>
      </c>
      <c r="CR11" s="1472">
        <f t="shared" si="11"/>
        <v>0</v>
      </c>
      <c r="CS11" s="1472">
        <f t="shared" si="11"/>
        <v>0</v>
      </c>
      <c r="CT11" s="1472">
        <f t="shared" si="11"/>
        <v>0</v>
      </c>
      <c r="CU11" s="1472">
        <f t="shared" si="11"/>
        <v>1164.2477487910176</v>
      </c>
      <c r="CV11" s="1472">
        <f t="shared" si="11"/>
        <v>2558.7689607393845</v>
      </c>
      <c r="CW11" s="1472">
        <f t="shared" si="11"/>
        <v>5084.3598518584568</v>
      </c>
      <c r="CX11" s="1472">
        <f t="shared" si="11"/>
        <v>2032.928325682517</v>
      </c>
      <c r="CY11" s="1472">
        <f t="shared" si="11"/>
        <v>3987.3162040876505</v>
      </c>
      <c r="CZ11" s="1472">
        <f t="shared" si="11"/>
        <v>5698.0216007207</v>
      </c>
      <c r="DA11" s="1472">
        <f t="shared" si="11"/>
        <v>1952.0820954160799</v>
      </c>
      <c r="DB11" s="1472">
        <f t="shared" si="11"/>
        <v>3480.7557099900209</v>
      </c>
      <c r="DC11" s="1472">
        <f t="shared" si="11"/>
        <v>6119.9964515802267</v>
      </c>
      <c r="DD11" s="1472">
        <f t="shared" si="11"/>
        <v>2627.9369900020315</v>
      </c>
      <c r="DE11" s="1472">
        <f t="shared" si="11"/>
        <v>7009.8351486246283</v>
      </c>
      <c r="DF11" s="1472">
        <f t="shared" si="11"/>
        <v>8050.213391193226</v>
      </c>
      <c r="DG11" s="1472">
        <f t="shared" si="11"/>
        <v>18428.828813826069</v>
      </c>
      <c r="DH11" s="1472">
        <f t="shared" si="11"/>
        <v>38925.583850847535</v>
      </c>
      <c r="DI11" s="1472">
        <f t="shared" si="11"/>
        <v>76046.867754929903</v>
      </c>
      <c r="DJ11" s="1472">
        <f t="shared" si="11"/>
        <v>32805.982059862421</v>
      </c>
      <c r="DK11" s="1472">
        <f t="shared" ref="DK11:EP11" si="12">DK78</f>
        <v>61531.690387400798</v>
      </c>
      <c r="DL11" s="1472">
        <f t="shared" si="12"/>
        <v>86675.739222849064</v>
      </c>
      <c r="DM11" s="1472">
        <f t="shared" si="12"/>
        <v>28691.817793145477</v>
      </c>
      <c r="DN11" s="1472">
        <f t="shared" si="12"/>
        <v>51160.352757703855</v>
      </c>
      <c r="DO11" s="1472">
        <f t="shared" si="12"/>
        <v>89952.068868296948</v>
      </c>
      <c r="DP11" s="1472">
        <f t="shared" si="12"/>
        <v>34383.044575562119</v>
      </c>
      <c r="DQ11" s="1472">
        <f t="shared" si="12"/>
        <v>98788.44220230561</v>
      </c>
      <c r="DR11" s="1472">
        <f t="shared" si="12"/>
        <v>114079.98298423603</v>
      </c>
      <c r="DS11" s="1472">
        <f t="shared" si="12"/>
        <v>106137.37868913813</v>
      </c>
      <c r="DT11" s="1472">
        <f t="shared" si="12"/>
        <v>224184.59011207541</v>
      </c>
      <c r="DU11" s="1472">
        <f t="shared" si="12"/>
        <v>437977.65352143755</v>
      </c>
      <c r="DV11" s="1472">
        <f t="shared" si="12"/>
        <v>188939.89283488219</v>
      </c>
      <c r="DW11" s="1472">
        <f t="shared" si="12"/>
        <v>354380.21536836179</v>
      </c>
      <c r="DX11" s="1472">
        <f t="shared" si="12"/>
        <v>499192.64267920476</v>
      </c>
      <c r="DY11" s="1472">
        <f t="shared" si="12"/>
        <v>165245.13636515744</v>
      </c>
      <c r="DZ11" s="1472">
        <f t="shared" si="12"/>
        <v>294648.44398795819</v>
      </c>
      <c r="EA11" s="1472">
        <f t="shared" si="12"/>
        <v>518062.04798989178</v>
      </c>
      <c r="EB11" s="1472">
        <f t="shared" si="12"/>
        <v>198022.68822770094</v>
      </c>
      <c r="EC11" s="1472">
        <f t="shared" si="12"/>
        <v>568953.48076974647</v>
      </c>
      <c r="ED11" s="1472">
        <f t="shared" si="12"/>
        <v>657022.23820996424</v>
      </c>
      <c r="EE11" s="1472">
        <f t="shared" si="12"/>
        <v>172199.86815452069</v>
      </c>
      <c r="EF11" s="1472">
        <f t="shared" si="12"/>
        <v>363722.53899959335</v>
      </c>
      <c r="EG11" s="1472">
        <f t="shared" si="12"/>
        <v>710585.61199171748</v>
      </c>
      <c r="EH11" s="1472">
        <f t="shared" si="12"/>
        <v>306540.68375466292</v>
      </c>
      <c r="EI11" s="1472">
        <f t="shared" si="12"/>
        <v>574955.09232175571</v>
      </c>
      <c r="EJ11" s="1472">
        <f t="shared" si="12"/>
        <v>809902.30128853652</v>
      </c>
      <c r="EK11" s="1472">
        <f t="shared" si="12"/>
        <v>268097.73377385986</v>
      </c>
      <c r="EL11" s="1472">
        <f t="shared" si="12"/>
        <v>478044.81167060853</v>
      </c>
      <c r="EM11" s="1472">
        <f t="shared" si="12"/>
        <v>840516.48402778897</v>
      </c>
      <c r="EN11" s="1472">
        <f t="shared" si="12"/>
        <v>321276.83221088944</v>
      </c>
      <c r="EO11" s="1472">
        <f t="shared" si="12"/>
        <v>923083.98402750853</v>
      </c>
      <c r="EP11" s="1472">
        <f t="shared" si="12"/>
        <v>1065968.8810076325</v>
      </c>
      <c r="EQ11" s="1472">
        <f t="shared" ref="EQ11:FB11" si="13">EQ78</f>
        <v>250079.26552056932</v>
      </c>
      <c r="ER11" s="1472">
        <f t="shared" si="13"/>
        <v>528220.29645617376</v>
      </c>
      <c r="ES11" s="1472">
        <f t="shared" si="13"/>
        <v>1031956.2369055612</v>
      </c>
      <c r="ET11" s="1472">
        <f t="shared" si="13"/>
        <v>445177.28072097077</v>
      </c>
      <c r="EU11" s="1472">
        <f t="shared" si="13"/>
        <v>834985.23393823579</v>
      </c>
      <c r="EV11" s="1472">
        <f t="shared" si="13"/>
        <v>1176190.0564750163</v>
      </c>
      <c r="EW11" s="1472">
        <f t="shared" si="13"/>
        <v>389348.05855794088</v>
      </c>
      <c r="EX11" s="1472">
        <f t="shared" si="13"/>
        <v>694246.14937120199</v>
      </c>
      <c r="EY11" s="1472">
        <f t="shared" si="13"/>
        <v>1220649.8601670538</v>
      </c>
      <c r="EZ11" s="1472">
        <f t="shared" si="13"/>
        <v>466578.02406665293</v>
      </c>
      <c r="FA11" s="1472">
        <f t="shared" si="13"/>
        <v>1340559.4743676346</v>
      </c>
      <c r="FB11" s="1472">
        <f t="shared" si="13"/>
        <v>1548065.7313335673</v>
      </c>
    </row>
    <row r="12" spans="3:158" x14ac:dyDescent="0.25">
      <c r="C12" s="258" t="s">
        <v>22</v>
      </c>
      <c r="D12" s="1473">
        <f t="shared" ref="D12:L12" si="14">-D9*(1-D14)</f>
        <v>0</v>
      </c>
      <c r="E12" s="1473">
        <f t="shared" si="14"/>
        <v>0</v>
      </c>
      <c r="F12" s="1473">
        <f t="shared" si="14"/>
        <v>0</v>
      </c>
      <c r="G12" s="1473">
        <f t="shared" si="14"/>
        <v>0</v>
      </c>
      <c r="H12" s="1473">
        <f t="shared" si="14"/>
        <v>0</v>
      </c>
      <c r="I12" s="1473">
        <f t="shared" si="14"/>
        <v>-13964.902123366917</v>
      </c>
      <c r="J12" s="1473">
        <f t="shared" si="14"/>
        <v>-178261.07391714142</v>
      </c>
      <c r="K12" s="1473">
        <f t="shared" si="14"/>
        <v>-948190.37989390537</v>
      </c>
      <c r="L12" s="1473">
        <f t="shared" si="14"/>
        <v>-2119530.8603055426</v>
      </c>
      <c r="M12" s="244"/>
      <c r="N12" s="1473">
        <f>SUM(AY12:BA12)</f>
        <v>0</v>
      </c>
      <c r="O12" s="1473">
        <f>SUM(BB12:BD12)</f>
        <v>0</v>
      </c>
      <c r="P12" s="1473">
        <f>SUM(BE12:BG12)</f>
        <v>0</v>
      </c>
      <c r="Q12" s="1473">
        <f>SUM(BH12:BJ12)</f>
        <v>0</v>
      </c>
      <c r="R12" s="1473">
        <f>SUM(BK12:BM12)</f>
        <v>0</v>
      </c>
      <c r="S12" s="1473">
        <f>SUM(BN12:BP12)</f>
        <v>0</v>
      </c>
      <c r="T12" s="1473">
        <f>SUM(BQ12:BS12)</f>
        <v>0</v>
      </c>
      <c r="U12" s="1473">
        <f>SUM(BT12:BV12)</f>
        <v>0</v>
      </c>
      <c r="V12" s="1473">
        <f>SUM(BW12:BY12)</f>
        <v>0</v>
      </c>
      <c r="W12" s="1473">
        <f>SUM(BZ12:CB12)</f>
        <v>0</v>
      </c>
      <c r="X12" s="1473">
        <f>SUM(CC12:CE12)</f>
        <v>0</v>
      </c>
      <c r="Y12" s="1473">
        <f>SUM(CF12:CH12)</f>
        <v>0</v>
      </c>
      <c r="Z12" s="1473">
        <f>SUM(CI12:CK12)</f>
        <v>0</v>
      </c>
      <c r="AA12" s="1473">
        <f>SUM(CL12:CN12)</f>
        <v>0</v>
      </c>
      <c r="AB12" s="1473">
        <f>SUM(CO12:CQ12)</f>
        <v>0</v>
      </c>
      <c r="AC12" s="1473">
        <f>SUM(CR12:CT12)</f>
        <v>0</v>
      </c>
      <c r="AD12" s="1473">
        <f>SUM(CU12:CW12)</f>
        <v>0</v>
      </c>
      <c r="AE12" s="1473">
        <f>SUM(CX12:CZ12)</f>
        <v>0</v>
      </c>
      <c r="AF12" s="1473">
        <f>SUM(DA12:DC12)</f>
        <v>0</v>
      </c>
      <c r="AG12" s="1473">
        <f>SUM(DD12:DF12)</f>
        <v>0</v>
      </c>
      <c r="AH12" s="1473">
        <f>SUM(DG12:DI12)</f>
        <v>-2873.4024416480365</v>
      </c>
      <c r="AI12" s="1473">
        <f>SUM(DJ12:DL12)</f>
        <v>-3236.5063643699964</v>
      </c>
      <c r="AJ12" s="1473">
        <f>SUM(DM12:DO12)</f>
        <v>-2966.3407654956245</v>
      </c>
      <c r="AK12" s="1473">
        <f>SUM(DP12:DR12)</f>
        <v>-4888.652551853258</v>
      </c>
      <c r="AL12" s="1473">
        <f>SUM(DS12:DU12)</f>
        <v>-36678.796637410356</v>
      </c>
      <c r="AM12" s="1473">
        <f>SUM(DV12:DX12)</f>
        <v>-41313.794766014325</v>
      </c>
      <c r="AN12" s="1473">
        <f>SUM(DY12:EA12)</f>
        <v>-37865.1483404709</v>
      </c>
      <c r="AO12" s="1473">
        <f>SUM(EB12:ED12)</f>
        <v>-62403.334173245807</v>
      </c>
      <c r="AP12" s="1473">
        <f>SUM(EE12:EG12)</f>
        <v>-195098.57846948135</v>
      </c>
      <c r="AQ12" s="1473">
        <f>SUM(EH12:EJ12)</f>
        <v>-219752.64645973331</v>
      </c>
      <c r="AR12" s="1473">
        <f>SUM(EK12:EM12)</f>
        <v>-201408.91446877876</v>
      </c>
      <c r="AS12" s="1473">
        <f>SUM(EN12:EP12)</f>
        <v>-331930.24049591186</v>
      </c>
      <c r="AT12" s="1473">
        <f>SUM(EQ12:ES12)</f>
        <v>-436112.26884001645</v>
      </c>
      <c r="AU12" s="1473">
        <f>SUM(ET12:EV12)</f>
        <v>-491222.57057420729</v>
      </c>
      <c r="AV12" s="1473">
        <f>SUM(EW12:EY12)</f>
        <v>-450218.03512178827</v>
      </c>
      <c r="AW12" s="1473">
        <f>SUM(EZ12:FB12)</f>
        <v>-741977.98576953029</v>
      </c>
      <c r="AY12" s="1473">
        <f t="shared" ref="AY12:CD12" si="15">INDEX($D$12:$L$12,MATCH(AY2,$D$2:$L$2,0))*AY15</f>
        <v>0</v>
      </c>
      <c r="AZ12" s="1473">
        <f t="shared" si="15"/>
        <v>0</v>
      </c>
      <c r="BA12" s="1473">
        <f t="shared" si="15"/>
        <v>0</v>
      </c>
      <c r="BB12" s="1473">
        <f t="shared" si="15"/>
        <v>0</v>
      </c>
      <c r="BC12" s="1473">
        <f t="shared" si="15"/>
        <v>0</v>
      </c>
      <c r="BD12" s="1473">
        <f t="shared" si="15"/>
        <v>0</v>
      </c>
      <c r="BE12" s="1473">
        <f t="shared" si="15"/>
        <v>0</v>
      </c>
      <c r="BF12" s="1473">
        <f t="shared" si="15"/>
        <v>0</v>
      </c>
      <c r="BG12" s="1473">
        <f t="shared" si="15"/>
        <v>0</v>
      </c>
      <c r="BH12" s="1473">
        <f t="shared" si="15"/>
        <v>0</v>
      </c>
      <c r="BI12" s="1473">
        <f t="shared" si="15"/>
        <v>0</v>
      </c>
      <c r="BJ12" s="1473">
        <f t="shared" si="15"/>
        <v>0</v>
      </c>
      <c r="BK12" s="1473">
        <f t="shared" si="15"/>
        <v>0</v>
      </c>
      <c r="BL12" s="1473">
        <f t="shared" si="15"/>
        <v>0</v>
      </c>
      <c r="BM12" s="1473">
        <f t="shared" si="15"/>
        <v>0</v>
      </c>
      <c r="BN12" s="1473">
        <f t="shared" si="15"/>
        <v>0</v>
      </c>
      <c r="BO12" s="1473">
        <f t="shared" si="15"/>
        <v>0</v>
      </c>
      <c r="BP12" s="1473">
        <f t="shared" si="15"/>
        <v>0</v>
      </c>
      <c r="BQ12" s="1473">
        <f t="shared" si="15"/>
        <v>0</v>
      </c>
      <c r="BR12" s="1473">
        <f t="shared" si="15"/>
        <v>0</v>
      </c>
      <c r="BS12" s="1473">
        <f t="shared" si="15"/>
        <v>0</v>
      </c>
      <c r="BT12" s="1473">
        <f t="shared" si="15"/>
        <v>0</v>
      </c>
      <c r="BU12" s="1473">
        <f t="shared" si="15"/>
        <v>0</v>
      </c>
      <c r="BV12" s="1473">
        <f t="shared" si="15"/>
        <v>0</v>
      </c>
      <c r="BW12" s="1473">
        <f t="shared" si="15"/>
        <v>0</v>
      </c>
      <c r="BX12" s="1473">
        <f t="shared" si="15"/>
        <v>0</v>
      </c>
      <c r="BY12" s="1473">
        <f t="shared" si="15"/>
        <v>0</v>
      </c>
      <c r="BZ12" s="1473">
        <f t="shared" si="15"/>
        <v>0</v>
      </c>
      <c r="CA12" s="1473">
        <f t="shared" si="15"/>
        <v>0</v>
      </c>
      <c r="CB12" s="1473">
        <f t="shared" si="15"/>
        <v>0</v>
      </c>
      <c r="CC12" s="1473">
        <f t="shared" si="15"/>
        <v>0</v>
      </c>
      <c r="CD12" s="1473">
        <f t="shared" si="15"/>
        <v>0</v>
      </c>
      <c r="CE12" s="1473">
        <f t="shared" ref="CE12:DJ12" si="16">INDEX($D$12:$L$12,MATCH(CE2,$D$2:$L$2,0))*CE15</f>
        <v>0</v>
      </c>
      <c r="CF12" s="1473">
        <f t="shared" si="16"/>
        <v>0</v>
      </c>
      <c r="CG12" s="1473">
        <f t="shared" si="16"/>
        <v>0</v>
      </c>
      <c r="CH12" s="1473">
        <f t="shared" si="16"/>
        <v>0</v>
      </c>
      <c r="CI12" s="1473">
        <f t="shared" si="16"/>
        <v>0</v>
      </c>
      <c r="CJ12" s="1473">
        <f t="shared" si="16"/>
        <v>0</v>
      </c>
      <c r="CK12" s="1473">
        <f t="shared" si="16"/>
        <v>0</v>
      </c>
      <c r="CL12" s="1473">
        <f t="shared" si="16"/>
        <v>0</v>
      </c>
      <c r="CM12" s="1473">
        <f t="shared" si="16"/>
        <v>0</v>
      </c>
      <c r="CN12" s="1473">
        <f t="shared" si="16"/>
        <v>0</v>
      </c>
      <c r="CO12" s="1473">
        <f t="shared" si="16"/>
        <v>0</v>
      </c>
      <c r="CP12" s="1473">
        <f t="shared" si="16"/>
        <v>0</v>
      </c>
      <c r="CQ12" s="1473">
        <f t="shared" si="16"/>
        <v>0</v>
      </c>
      <c r="CR12" s="1473">
        <f t="shared" si="16"/>
        <v>0</v>
      </c>
      <c r="CS12" s="1473">
        <f t="shared" si="16"/>
        <v>0</v>
      </c>
      <c r="CT12" s="1473">
        <f t="shared" si="16"/>
        <v>0</v>
      </c>
      <c r="CU12" s="1473">
        <f t="shared" si="16"/>
        <v>0</v>
      </c>
      <c r="CV12" s="1473">
        <f t="shared" si="16"/>
        <v>0</v>
      </c>
      <c r="CW12" s="1473">
        <f t="shared" si="16"/>
        <v>0</v>
      </c>
      <c r="CX12" s="1473">
        <f t="shared" si="16"/>
        <v>0</v>
      </c>
      <c r="CY12" s="1473">
        <f t="shared" si="16"/>
        <v>0</v>
      </c>
      <c r="CZ12" s="1473">
        <f t="shared" si="16"/>
        <v>0</v>
      </c>
      <c r="DA12" s="1473">
        <f t="shared" si="16"/>
        <v>0</v>
      </c>
      <c r="DB12" s="1473">
        <f t="shared" si="16"/>
        <v>0</v>
      </c>
      <c r="DC12" s="1473">
        <f t="shared" si="16"/>
        <v>0</v>
      </c>
      <c r="DD12" s="1473">
        <f t="shared" si="16"/>
        <v>0</v>
      </c>
      <c r="DE12" s="1473">
        <f t="shared" si="16"/>
        <v>0</v>
      </c>
      <c r="DF12" s="1473">
        <f t="shared" si="16"/>
        <v>0</v>
      </c>
      <c r="DG12" s="1473">
        <f t="shared" si="16"/>
        <v>-621.93521422335436</v>
      </c>
      <c r="DH12" s="1473">
        <f t="shared" si="16"/>
        <v>-786.61076750539269</v>
      </c>
      <c r="DI12" s="1473">
        <f t="shared" si="16"/>
        <v>-1464.8564599192896</v>
      </c>
      <c r="DJ12" s="1473">
        <f t="shared" si="16"/>
        <v>-971.29513230150212</v>
      </c>
      <c r="DK12" s="1473">
        <f t="shared" ref="DK12:EP12" si="17">INDEX($D$12:$L$12,MATCH(DK2,$D$2:$L$2,0))*DK15</f>
        <v>-795.75490794800714</v>
      </c>
      <c r="DL12" s="1473">
        <f t="shared" si="17"/>
        <v>-1469.4563241204871</v>
      </c>
      <c r="DM12" s="1473">
        <f t="shared" si="17"/>
        <v>-979.61931339971056</v>
      </c>
      <c r="DN12" s="1473">
        <f t="shared" si="17"/>
        <v>-768.45636903351021</v>
      </c>
      <c r="DO12" s="1473">
        <f t="shared" si="17"/>
        <v>-1218.2650830624041</v>
      </c>
      <c r="DP12" s="1473">
        <f t="shared" si="17"/>
        <v>-963.05390054079282</v>
      </c>
      <c r="DQ12" s="1473">
        <f t="shared" si="17"/>
        <v>-2024.1140256874828</v>
      </c>
      <c r="DR12" s="1473">
        <f t="shared" si="17"/>
        <v>-1901.4846256249825</v>
      </c>
      <c r="DS12" s="1473">
        <f t="shared" si="17"/>
        <v>-7938.9628523663951</v>
      </c>
      <c r="DT12" s="1473">
        <f t="shared" si="17"/>
        <v>-10041.035657218828</v>
      </c>
      <c r="DU12" s="1473">
        <f t="shared" si="17"/>
        <v>-18698.798127825135</v>
      </c>
      <c r="DV12" s="1473">
        <f t="shared" si="17"/>
        <v>-12398.519649116804</v>
      </c>
      <c r="DW12" s="1473">
        <f t="shared" si="17"/>
        <v>-10157.760019548739</v>
      </c>
      <c r="DX12" s="1473">
        <f t="shared" si="17"/>
        <v>-18757.515097348787</v>
      </c>
      <c r="DY12" s="1473">
        <f t="shared" si="17"/>
        <v>-12504.777283358617</v>
      </c>
      <c r="DZ12" s="1473">
        <f t="shared" si="17"/>
        <v>-9809.295932920837</v>
      </c>
      <c r="EA12" s="1473">
        <f t="shared" si="17"/>
        <v>-15551.07512419145</v>
      </c>
      <c r="EB12" s="1473">
        <f t="shared" si="17"/>
        <v>-12293.320857812287</v>
      </c>
      <c r="EC12" s="1473">
        <f t="shared" si="17"/>
        <v>-25837.684844640051</v>
      </c>
      <c r="ED12" s="1473">
        <f t="shared" si="17"/>
        <v>-24272.328470793469</v>
      </c>
      <c r="EE12" s="1473">
        <f t="shared" si="17"/>
        <v>-42228.221997853921</v>
      </c>
      <c r="EF12" s="1473">
        <f t="shared" si="17"/>
        <v>-53409.379878256521</v>
      </c>
      <c r="EG12" s="1473">
        <f t="shared" si="17"/>
        <v>-99460.976593370899</v>
      </c>
      <c r="EH12" s="1473">
        <f t="shared" si="17"/>
        <v>-65949.098128302328</v>
      </c>
      <c r="EI12" s="1473">
        <f t="shared" si="17"/>
        <v>-54030.249679096589</v>
      </c>
      <c r="EJ12" s="1473">
        <f t="shared" si="17"/>
        <v>-99773.298652334415</v>
      </c>
      <c r="EK12" s="1473">
        <f t="shared" si="17"/>
        <v>-66514.294244113917</v>
      </c>
      <c r="EL12" s="1473">
        <f t="shared" si="17"/>
        <v>-52176.730638631961</v>
      </c>
      <c r="EM12" s="1473">
        <f t="shared" si="17"/>
        <v>-82717.889586032892</v>
      </c>
      <c r="EN12" s="1473">
        <f t="shared" si="17"/>
        <v>-65389.534115253831</v>
      </c>
      <c r="EO12" s="1473">
        <f t="shared" si="17"/>
        <v>-137433.50508370547</v>
      </c>
      <c r="EP12" s="1473">
        <f t="shared" si="17"/>
        <v>-129107.20129695255</v>
      </c>
      <c r="EQ12" s="1473">
        <f t="shared" ref="EQ12:FB12" si="18">INDEX($D$12:$L$12,MATCH(EQ2,$D$2:$L$2,0))*EQ15</f>
        <v>-94394.566321480204</v>
      </c>
      <c r="ER12" s="1473">
        <f t="shared" si="18"/>
        <v>-119388.29087721079</v>
      </c>
      <c r="ES12" s="1473">
        <f t="shared" si="18"/>
        <v>-222329.41164132548</v>
      </c>
      <c r="ET12" s="1473">
        <f t="shared" si="18"/>
        <v>-147418.8640343468</v>
      </c>
      <c r="EU12" s="1473">
        <f t="shared" si="18"/>
        <v>-120776.14792682516</v>
      </c>
      <c r="EV12" s="1473">
        <f t="shared" si="18"/>
        <v>-223027.5586130353</v>
      </c>
      <c r="EW12" s="1473">
        <f t="shared" si="18"/>
        <v>-148682.27129410146</v>
      </c>
      <c r="EX12" s="1473">
        <f t="shared" si="18"/>
        <v>-116632.8968564354</v>
      </c>
      <c r="EY12" s="1473">
        <f t="shared" si="18"/>
        <v>-184902.86697125147</v>
      </c>
      <c r="EZ12" s="1473">
        <f t="shared" si="18"/>
        <v>-146168.04645686262</v>
      </c>
      <c r="FA12" s="1473">
        <f t="shared" si="18"/>
        <v>-307211.04267843958</v>
      </c>
      <c r="FB12" s="1473">
        <f t="shared" si="18"/>
        <v>-288598.89663422812</v>
      </c>
    </row>
    <row r="13" spans="3:158" x14ac:dyDescent="0.25">
      <c r="C13" s="512" t="s">
        <v>24</v>
      </c>
      <c r="D13" s="1474">
        <f t="shared" ref="D13:L13" si="19">SUM(D9:D12)</f>
        <v>0</v>
      </c>
      <c r="E13" s="1474">
        <f t="shared" si="19"/>
        <v>0</v>
      </c>
      <c r="F13" s="1474">
        <f t="shared" si="19"/>
        <v>0</v>
      </c>
      <c r="G13" s="1474">
        <f t="shared" si="19"/>
        <v>0</v>
      </c>
      <c r="H13" s="1474">
        <f t="shared" si="19"/>
        <v>99749.300881192263</v>
      </c>
      <c r="I13" s="1474">
        <f t="shared" si="19"/>
        <v>1273293.3851224387</v>
      </c>
      <c r="J13" s="1474">
        <f t="shared" si="19"/>
        <v>6772788.4278136091</v>
      </c>
      <c r="K13" s="1474">
        <f t="shared" si="19"/>
        <v>15139506.14503959</v>
      </c>
      <c r="L13" s="1474">
        <f t="shared" si="19"/>
        <v>27543658.647998389</v>
      </c>
      <c r="N13" s="1474">
        <f t="shared" ref="N13:AW13" si="20">SUM(N9:N12)</f>
        <v>0</v>
      </c>
      <c r="O13" s="1474">
        <f t="shared" si="20"/>
        <v>0</v>
      </c>
      <c r="P13" s="1474">
        <f t="shared" si="20"/>
        <v>0</v>
      </c>
      <c r="Q13" s="1474">
        <f t="shared" si="20"/>
        <v>0</v>
      </c>
      <c r="R13" s="1474">
        <f t="shared" si="20"/>
        <v>0</v>
      </c>
      <c r="S13" s="1474">
        <f t="shared" si="20"/>
        <v>0</v>
      </c>
      <c r="T13" s="1474">
        <f t="shared" si="20"/>
        <v>0</v>
      </c>
      <c r="U13" s="1474">
        <f t="shared" si="20"/>
        <v>0</v>
      </c>
      <c r="V13" s="1474">
        <f t="shared" si="20"/>
        <v>0</v>
      </c>
      <c r="W13" s="1474">
        <f t="shared" si="20"/>
        <v>0</v>
      </c>
      <c r="X13" s="1474">
        <f t="shared" si="20"/>
        <v>0</v>
      </c>
      <c r="Y13" s="1474">
        <f t="shared" si="20"/>
        <v>0</v>
      </c>
      <c r="Z13" s="1474">
        <f t="shared" si="20"/>
        <v>0</v>
      </c>
      <c r="AA13" s="1474">
        <f t="shared" si="20"/>
        <v>0</v>
      </c>
      <c r="AB13" s="1474">
        <f t="shared" si="20"/>
        <v>0</v>
      </c>
      <c r="AC13" s="1474">
        <f t="shared" si="20"/>
        <v>0</v>
      </c>
      <c r="AD13" s="1474">
        <f t="shared" si="20"/>
        <v>8807.376561388859</v>
      </c>
      <c r="AE13" s="1474">
        <f t="shared" si="20"/>
        <v>20525.642691879726</v>
      </c>
      <c r="AF13" s="1474">
        <f t="shared" si="20"/>
        <v>32078.476948866053</v>
      </c>
      <c r="AG13" s="1474">
        <f t="shared" si="20"/>
        <v>99749.300881192263</v>
      </c>
      <c r="AH13" s="1474">
        <f t="shared" si="20"/>
        <v>264476.44450212806</v>
      </c>
      <c r="AI13" s="1474">
        <f t="shared" si="20"/>
        <v>488658.64465344069</v>
      </c>
      <c r="AJ13" s="1474">
        <f t="shared" si="20"/>
        <v>777385.21457181952</v>
      </c>
      <c r="AK13" s="1474">
        <f t="shared" si="20"/>
        <v>1273293.3851224387</v>
      </c>
      <c r="AL13" s="1474">
        <f t="shared" si="20"/>
        <v>2272090.4389770376</v>
      </c>
      <c r="AM13" s="1474">
        <f t="shared" si="20"/>
        <v>3635823.2510352395</v>
      </c>
      <c r="AN13" s="1474">
        <f t="shared" si="20"/>
        <v>4915997.8447169969</v>
      </c>
      <c r="AO13" s="1474">
        <f t="shared" si="20"/>
        <v>6772788.4278136101</v>
      </c>
      <c r="AP13" s="1474">
        <f t="shared" si="20"/>
        <v>8276488.1397296432</v>
      </c>
      <c r="AQ13" s="1474">
        <f t="shared" si="20"/>
        <v>10361850.356596576</v>
      </c>
      <c r="AR13" s="1474">
        <f t="shared" si="20"/>
        <v>12322813.127902625</v>
      </c>
      <c r="AS13" s="1474">
        <f t="shared" si="20"/>
        <v>15139506.145039584</v>
      </c>
      <c r="AT13" s="1474">
        <f t="shared" si="20"/>
        <v>17352138.040969454</v>
      </c>
      <c r="AU13" s="1474">
        <f t="shared" si="20"/>
        <v>20455020.537439577</v>
      </c>
      <c r="AV13" s="1474">
        <f t="shared" si="20"/>
        <v>23376344.266384382</v>
      </c>
      <c r="AW13" s="1474">
        <f t="shared" si="20"/>
        <v>27543658.647998385</v>
      </c>
      <c r="AY13" s="1474">
        <f t="shared" ref="AY13:CD13" si="21">SUM(AY9:AY12)</f>
        <v>0</v>
      </c>
      <c r="AZ13" s="1474">
        <f t="shared" si="21"/>
        <v>0</v>
      </c>
      <c r="BA13" s="1474">
        <f t="shared" si="21"/>
        <v>0</v>
      </c>
      <c r="BB13" s="1474">
        <f t="shared" si="21"/>
        <v>0</v>
      </c>
      <c r="BC13" s="1474">
        <f t="shared" si="21"/>
        <v>0</v>
      </c>
      <c r="BD13" s="1474">
        <f t="shared" si="21"/>
        <v>0</v>
      </c>
      <c r="BE13" s="1474">
        <f t="shared" si="21"/>
        <v>0</v>
      </c>
      <c r="BF13" s="1474">
        <f t="shared" si="21"/>
        <v>0</v>
      </c>
      <c r="BG13" s="1474">
        <f t="shared" si="21"/>
        <v>0</v>
      </c>
      <c r="BH13" s="1474">
        <f t="shared" si="21"/>
        <v>0</v>
      </c>
      <c r="BI13" s="1474">
        <f t="shared" si="21"/>
        <v>0</v>
      </c>
      <c r="BJ13" s="1474">
        <f t="shared" si="21"/>
        <v>0</v>
      </c>
      <c r="BK13" s="1474">
        <f t="shared" si="21"/>
        <v>0</v>
      </c>
      <c r="BL13" s="1474">
        <f t="shared" si="21"/>
        <v>0</v>
      </c>
      <c r="BM13" s="1474">
        <f t="shared" si="21"/>
        <v>0</v>
      </c>
      <c r="BN13" s="1474">
        <f t="shared" si="21"/>
        <v>0</v>
      </c>
      <c r="BO13" s="1474">
        <f t="shared" si="21"/>
        <v>0</v>
      </c>
      <c r="BP13" s="1474">
        <f t="shared" si="21"/>
        <v>0</v>
      </c>
      <c r="BQ13" s="1474">
        <f t="shared" si="21"/>
        <v>0</v>
      </c>
      <c r="BR13" s="1474">
        <f t="shared" si="21"/>
        <v>0</v>
      </c>
      <c r="BS13" s="1474">
        <f t="shared" si="21"/>
        <v>0</v>
      </c>
      <c r="BT13" s="1474">
        <f t="shared" si="21"/>
        <v>0</v>
      </c>
      <c r="BU13" s="1474">
        <f t="shared" si="21"/>
        <v>0</v>
      </c>
      <c r="BV13" s="1474">
        <f t="shared" si="21"/>
        <v>0</v>
      </c>
      <c r="BW13" s="1474">
        <f t="shared" si="21"/>
        <v>0</v>
      </c>
      <c r="BX13" s="1474">
        <f t="shared" si="21"/>
        <v>0</v>
      </c>
      <c r="BY13" s="1474">
        <f t="shared" si="21"/>
        <v>0</v>
      </c>
      <c r="BZ13" s="1474">
        <f t="shared" si="21"/>
        <v>0</v>
      </c>
      <c r="CA13" s="1474">
        <f t="shared" si="21"/>
        <v>0</v>
      </c>
      <c r="CB13" s="1474">
        <f t="shared" si="21"/>
        <v>0</v>
      </c>
      <c r="CC13" s="1474">
        <f t="shared" si="21"/>
        <v>0</v>
      </c>
      <c r="CD13" s="1474">
        <f t="shared" si="21"/>
        <v>0</v>
      </c>
      <c r="CE13" s="1474">
        <f t="shared" ref="CE13:DJ13" si="22">SUM(CE9:CE12)</f>
        <v>0</v>
      </c>
      <c r="CF13" s="1474">
        <f t="shared" si="22"/>
        <v>0</v>
      </c>
      <c r="CG13" s="1474">
        <f t="shared" si="22"/>
        <v>0</v>
      </c>
      <c r="CH13" s="1474">
        <f t="shared" si="22"/>
        <v>0</v>
      </c>
      <c r="CI13" s="1474">
        <f t="shared" si="22"/>
        <v>0</v>
      </c>
      <c r="CJ13" s="1474">
        <f t="shared" si="22"/>
        <v>0</v>
      </c>
      <c r="CK13" s="1474">
        <f t="shared" si="22"/>
        <v>0</v>
      </c>
      <c r="CL13" s="1474">
        <f t="shared" si="22"/>
        <v>0</v>
      </c>
      <c r="CM13" s="1474">
        <f t="shared" si="22"/>
        <v>0</v>
      </c>
      <c r="CN13" s="1474">
        <f t="shared" si="22"/>
        <v>0</v>
      </c>
      <c r="CO13" s="1474">
        <f t="shared" si="22"/>
        <v>0</v>
      </c>
      <c r="CP13" s="1474">
        <f t="shared" si="22"/>
        <v>0</v>
      </c>
      <c r="CQ13" s="1474">
        <f t="shared" si="22"/>
        <v>0</v>
      </c>
      <c r="CR13" s="1474">
        <f t="shared" si="22"/>
        <v>0</v>
      </c>
      <c r="CS13" s="1474">
        <f t="shared" si="22"/>
        <v>0</v>
      </c>
      <c r="CT13" s="1474">
        <f t="shared" si="22"/>
        <v>0</v>
      </c>
      <c r="CU13" s="1474">
        <f t="shared" si="22"/>
        <v>1164.2477487910176</v>
      </c>
      <c r="CV13" s="1474">
        <f t="shared" si="22"/>
        <v>3723.0167095304023</v>
      </c>
      <c r="CW13" s="1474">
        <f t="shared" si="22"/>
        <v>8807.376561388859</v>
      </c>
      <c r="CX13" s="1474">
        <f t="shared" si="22"/>
        <v>10840.304887071376</v>
      </c>
      <c r="CY13" s="1474">
        <f t="shared" si="22"/>
        <v>14827.621091159026</v>
      </c>
      <c r="CZ13" s="1474">
        <f t="shared" si="22"/>
        <v>20525.642691879726</v>
      </c>
      <c r="DA13" s="1474">
        <f t="shared" si="22"/>
        <v>22477.724787295807</v>
      </c>
      <c r="DB13" s="1474">
        <f t="shared" si="22"/>
        <v>25958.480497285829</v>
      </c>
      <c r="DC13" s="1474">
        <f t="shared" si="22"/>
        <v>32078.476948866057</v>
      </c>
      <c r="DD13" s="1474">
        <f t="shared" si="22"/>
        <v>42132.457434991295</v>
      </c>
      <c r="DE13" s="1474">
        <f t="shared" si="22"/>
        <v>68950.735827264449</v>
      </c>
      <c r="DF13" s="1474">
        <f t="shared" si="22"/>
        <v>99749.300881192263</v>
      </c>
      <c r="DG13" s="1474">
        <f t="shared" si="22"/>
        <v>122280.67995882515</v>
      </c>
      <c r="DH13" s="1474">
        <f t="shared" si="22"/>
        <v>170398.76552321669</v>
      </c>
      <c r="DI13" s="1474">
        <f t="shared" si="22"/>
        <v>264476.444502128</v>
      </c>
      <c r="DJ13" s="1474">
        <f t="shared" si="22"/>
        <v>304721.39924432384</v>
      </c>
      <c r="DK13" s="1474">
        <f t="shared" ref="DK13:EP13" si="23">SUM(DK9:DK12)</f>
        <v>381231.83567610104</v>
      </c>
      <c r="DL13" s="1474">
        <f t="shared" si="23"/>
        <v>488658.64465344069</v>
      </c>
      <c r="DM13" s="1474">
        <f t="shared" si="23"/>
        <v>536966.36865680816</v>
      </c>
      <c r="DN13" s="1474">
        <f t="shared" si="23"/>
        <v>624082.12683127658</v>
      </c>
      <c r="DO13" s="1474">
        <f t="shared" si="23"/>
        <v>777385.21457181976</v>
      </c>
      <c r="DP13" s="1474">
        <f t="shared" si="23"/>
        <v>846063.48376877001</v>
      </c>
      <c r="DQ13" s="1474">
        <f t="shared" si="23"/>
        <v>1044130.952865957</v>
      </c>
      <c r="DR13" s="1474">
        <f t="shared" si="23"/>
        <v>1273293.3851224389</v>
      </c>
      <c r="DS13" s="1474">
        <f t="shared" si="23"/>
        <v>1408401.0791653085</v>
      </c>
      <c r="DT13" s="1474">
        <f t="shared" si="23"/>
        <v>1700504.8349004462</v>
      </c>
      <c r="DU13" s="1474">
        <f t="shared" si="23"/>
        <v>2272090.438977038</v>
      </c>
      <c r="DV13" s="1474">
        <f t="shared" si="23"/>
        <v>2514335.6683819951</v>
      </c>
      <c r="DW13" s="1474">
        <f t="shared" si="23"/>
        <v>2981793.8595414413</v>
      </c>
      <c r="DX13" s="1474">
        <f t="shared" si="23"/>
        <v>3635823.2510352395</v>
      </c>
      <c r="DY13" s="1474">
        <f t="shared" si="23"/>
        <v>3846027.6137096803</v>
      </c>
      <c r="DZ13" s="1474">
        <f t="shared" si="23"/>
        <v>4233330.7713950817</v>
      </c>
      <c r="EA13" s="1474">
        <f t="shared" si="23"/>
        <v>4915997.8447169978</v>
      </c>
      <c r="EB13" s="1474">
        <f t="shared" si="23"/>
        <v>5170589.6108118659</v>
      </c>
      <c r="EC13" s="1474">
        <f t="shared" si="23"/>
        <v>5911559.0052280696</v>
      </c>
      <c r="ED13" s="1474">
        <f t="shared" si="23"/>
        <v>6772788.4278136073</v>
      </c>
      <c r="EE13" s="1474">
        <f t="shared" si="23"/>
        <v>6965242.0828131987</v>
      </c>
      <c r="EF13" s="1474">
        <f t="shared" si="23"/>
        <v>7407530.4585342985</v>
      </c>
      <c r="EG13" s="1474">
        <f t="shared" si="23"/>
        <v>8276488.1397296432</v>
      </c>
      <c r="EH13" s="1474">
        <f t="shared" si="23"/>
        <v>8628306.742649002</v>
      </c>
      <c r="EI13" s="1474">
        <f t="shared" si="23"/>
        <v>9357851.658859292</v>
      </c>
      <c r="EJ13" s="1474">
        <f t="shared" si="23"/>
        <v>10361850.356596574</v>
      </c>
      <c r="EK13" s="1474">
        <f t="shared" si="23"/>
        <v>10660711.948264014</v>
      </c>
      <c r="EL13" s="1474">
        <f t="shared" si="23"/>
        <v>11260036.608968366</v>
      </c>
      <c r="EM13" s="1474">
        <f t="shared" si="23"/>
        <v>12322813.127902625</v>
      </c>
      <c r="EN13" s="1474">
        <f t="shared" si="23"/>
        <v>12695274.393715905</v>
      </c>
      <c r="EO13" s="1474">
        <f t="shared" si="23"/>
        <v>13815862.072501313</v>
      </c>
      <c r="EP13" s="1474">
        <f t="shared" si="23"/>
        <v>15139506.145039584</v>
      </c>
      <c r="EQ13" s="1474">
        <f t="shared" ref="EQ13:FB13" si="24">SUM(EQ9:EQ12)</f>
        <v>15411024.504220966</v>
      </c>
      <c r="ER13" s="1474">
        <f t="shared" si="24"/>
        <v>16064521.696608143</v>
      </c>
      <c r="ES13" s="1474">
        <f t="shared" si="24"/>
        <v>17352138.04096945</v>
      </c>
      <c r="ET13" s="1474">
        <f t="shared" si="24"/>
        <v>17856097.134307668</v>
      </c>
      <c r="EU13" s="1474">
        <f t="shared" si="24"/>
        <v>18957061.177699909</v>
      </c>
      <c r="EV13" s="1474">
        <f t="shared" si="24"/>
        <v>20455020.537439574</v>
      </c>
      <c r="EW13" s="1474">
        <f t="shared" si="24"/>
        <v>20876027.587846067</v>
      </c>
      <c r="EX13" s="1474">
        <f t="shared" si="24"/>
        <v>21775207.173510779</v>
      </c>
      <c r="EY13" s="1474">
        <f t="shared" si="24"/>
        <v>23376344.266384378</v>
      </c>
      <c r="EZ13" s="1474">
        <f t="shared" si="24"/>
        <v>23912867.483460244</v>
      </c>
      <c r="FA13" s="1474">
        <f t="shared" si="24"/>
        <v>25567146.682907037</v>
      </c>
      <c r="FB13" s="1474">
        <f t="shared" si="24"/>
        <v>27543658.647998381</v>
      </c>
    </row>
    <row r="14" spans="3:158" x14ac:dyDescent="0.25">
      <c r="C14" s="511" t="s">
        <v>871</v>
      </c>
      <c r="D14" s="308"/>
      <c r="E14" s="308"/>
      <c r="F14" s="308"/>
      <c r="G14" s="308"/>
      <c r="H14" s="308"/>
      <c r="I14" s="1454">
        <f>I98</f>
        <v>0.86</v>
      </c>
      <c r="J14" s="1454">
        <f>J98</f>
        <v>0.86</v>
      </c>
      <c r="K14" s="1454">
        <f>K98</f>
        <v>0.86</v>
      </c>
      <c r="L14" s="1454">
        <f>L98</f>
        <v>0.86</v>
      </c>
      <c r="M14" s="244"/>
      <c r="N14" s="413"/>
      <c r="O14" s="413"/>
      <c r="P14" s="413"/>
      <c r="Q14" s="308" t="str">
        <f t="shared" ref="Q14:AW14" si="25">IFERROR(SUM(N12:Q12)/N9+1,"")</f>
        <v/>
      </c>
      <c r="R14" s="308" t="str">
        <f t="shared" si="25"/>
        <v/>
      </c>
      <c r="S14" s="308" t="str">
        <f t="shared" si="25"/>
        <v/>
      </c>
      <c r="T14" s="308" t="str">
        <f t="shared" si="25"/>
        <v/>
      </c>
      <c r="U14" s="308" t="str">
        <f t="shared" si="25"/>
        <v/>
      </c>
      <c r="V14" s="308" t="str">
        <f t="shared" si="25"/>
        <v/>
      </c>
      <c r="W14" s="308" t="str">
        <f t="shared" si="25"/>
        <v/>
      </c>
      <c r="X14" s="308" t="str">
        <f t="shared" si="25"/>
        <v/>
      </c>
      <c r="Y14" s="308" t="str">
        <f t="shared" si="25"/>
        <v/>
      </c>
      <c r="Z14" s="308" t="str">
        <f t="shared" si="25"/>
        <v/>
      </c>
      <c r="AA14" s="308" t="str">
        <f t="shared" si="25"/>
        <v/>
      </c>
      <c r="AB14" s="308" t="str">
        <f t="shared" si="25"/>
        <v/>
      </c>
      <c r="AC14" s="308" t="str">
        <f t="shared" si="25"/>
        <v/>
      </c>
      <c r="AD14" s="308" t="str">
        <f t="shared" si="25"/>
        <v/>
      </c>
      <c r="AE14" s="308" t="str">
        <f t="shared" si="25"/>
        <v/>
      </c>
      <c r="AF14" s="308" t="str">
        <f t="shared" si="25"/>
        <v/>
      </c>
      <c r="AG14" s="308" t="str">
        <f t="shared" si="25"/>
        <v/>
      </c>
      <c r="AH14" s="1454">
        <f t="shared" si="25"/>
        <v>0.67375047250223141</v>
      </c>
      <c r="AI14" s="1454">
        <f t="shared" si="25"/>
        <v>0.70232801487696117</v>
      </c>
      <c r="AJ14" s="1454">
        <f t="shared" si="25"/>
        <v>0.71706108160990811</v>
      </c>
      <c r="AK14" s="1454">
        <f t="shared" si="25"/>
        <v>0.86</v>
      </c>
      <c r="AL14" s="1454">
        <f t="shared" si="25"/>
        <v>0.81937787915647486</v>
      </c>
      <c r="AM14" s="1454">
        <f t="shared" si="25"/>
        <v>0.82431993036436069</v>
      </c>
      <c r="AN14" s="1454">
        <f t="shared" si="25"/>
        <v>0.84467624282993936</v>
      </c>
      <c r="AO14" s="1454">
        <f t="shared" si="25"/>
        <v>0.8600000000000001</v>
      </c>
      <c r="AP14" s="1454">
        <f t="shared" si="25"/>
        <v>0.85181890211166245</v>
      </c>
      <c r="AQ14" s="1454">
        <f t="shared" si="25"/>
        <v>0.85832102611251537</v>
      </c>
      <c r="AR14" s="1454">
        <f t="shared" si="25"/>
        <v>0.86194797170210957</v>
      </c>
      <c r="AS14" s="1454">
        <f t="shared" si="25"/>
        <v>0.86</v>
      </c>
      <c r="AT14" s="1454">
        <f t="shared" si="25"/>
        <v>0.85631537794926549</v>
      </c>
      <c r="AU14" s="1454">
        <f t="shared" si="25"/>
        <v>0.85903347914602746</v>
      </c>
      <c r="AV14" s="1454">
        <f t="shared" si="25"/>
        <v>0.86127492989720578</v>
      </c>
      <c r="AW14" s="1454">
        <f t="shared" si="25"/>
        <v>0.86</v>
      </c>
      <c r="AY14" s="302"/>
      <c r="AZ14" s="302"/>
      <c r="BA14" s="302"/>
      <c r="BB14" s="302"/>
      <c r="BC14" s="302"/>
      <c r="BD14" s="302"/>
      <c r="BE14" s="302"/>
      <c r="BF14" s="302"/>
      <c r="BG14" s="302"/>
      <c r="BH14" s="302"/>
      <c r="BI14" s="302"/>
      <c r="BJ14" s="302"/>
      <c r="BK14" s="302"/>
      <c r="BL14" s="302"/>
      <c r="BM14" s="302"/>
      <c r="BN14" s="302"/>
      <c r="BO14" s="302"/>
      <c r="BP14" s="302"/>
      <c r="BQ14" s="302"/>
      <c r="BR14" s="302"/>
      <c r="BS14" s="302"/>
      <c r="BT14" s="302"/>
      <c r="BU14" s="302"/>
      <c r="BV14" s="302"/>
      <c r="BW14" s="302"/>
      <c r="BX14" s="302"/>
      <c r="BY14" s="302"/>
      <c r="BZ14" s="302"/>
      <c r="CA14" s="302"/>
      <c r="CB14" s="302"/>
      <c r="CC14" s="302"/>
      <c r="CD14" s="302"/>
      <c r="CE14" s="302"/>
      <c r="CF14" s="302"/>
      <c r="CG14" s="302"/>
      <c r="CH14" s="302"/>
      <c r="CI14" s="302"/>
      <c r="CJ14" s="302"/>
      <c r="CK14" s="302"/>
      <c r="CL14" s="302"/>
      <c r="CM14" s="302"/>
      <c r="CN14" s="302"/>
      <c r="CO14" s="302"/>
      <c r="CP14" s="302"/>
      <c r="CQ14" s="302"/>
      <c r="CR14" s="302"/>
      <c r="CS14" s="302"/>
      <c r="CT14" s="302"/>
      <c r="CU14" s="302"/>
      <c r="CV14" s="302"/>
      <c r="CW14" s="302"/>
      <c r="CX14" s="302"/>
      <c r="CY14" s="302"/>
      <c r="CZ14" s="302"/>
      <c r="DA14" s="302"/>
      <c r="DB14" s="302"/>
      <c r="DC14" s="302"/>
      <c r="DD14" s="302"/>
      <c r="DE14" s="302"/>
      <c r="DF14" s="302"/>
      <c r="DG14" s="302"/>
      <c r="DH14" s="302"/>
      <c r="DI14" s="302"/>
      <c r="DJ14" s="302"/>
      <c r="DK14" s="302"/>
      <c r="DL14" s="302"/>
      <c r="DM14" s="302"/>
      <c r="DN14" s="302"/>
      <c r="DO14" s="302"/>
      <c r="DP14" s="302"/>
      <c r="DQ14" s="302"/>
      <c r="DR14" s="302"/>
      <c r="DS14" s="302"/>
      <c r="DT14" s="302"/>
      <c r="DU14" s="302"/>
      <c r="DV14" s="302"/>
      <c r="DW14" s="302"/>
      <c r="DX14" s="302"/>
      <c r="DY14" s="302"/>
      <c r="DZ14" s="302"/>
      <c r="EA14" s="302"/>
      <c r="EB14" s="302"/>
      <c r="EC14" s="302"/>
      <c r="ED14" s="302"/>
      <c r="EE14" s="302"/>
      <c r="EF14" s="302"/>
      <c r="EG14" s="302"/>
      <c r="EH14" s="302"/>
      <c r="EI14" s="302"/>
      <c r="EJ14" s="302"/>
      <c r="EK14" s="302"/>
      <c r="EL14" s="302"/>
      <c r="EM14" s="302"/>
      <c r="EN14" s="302"/>
      <c r="EO14" s="302"/>
      <c r="EP14" s="302"/>
      <c r="EQ14" s="302"/>
      <c r="ER14" s="302"/>
      <c r="ES14" s="302"/>
      <c r="ET14" s="302"/>
      <c r="EU14" s="302"/>
      <c r="EV14" s="302"/>
      <c r="EW14" s="302"/>
      <c r="EX14" s="302"/>
      <c r="EY14" s="302"/>
      <c r="EZ14" s="302"/>
      <c r="FA14" s="302"/>
      <c r="FB14" s="302"/>
    </row>
    <row r="15" spans="3:158" x14ac:dyDescent="0.25">
      <c r="C15" s="511"/>
      <c r="D15" s="308"/>
      <c r="E15" s="308"/>
      <c r="F15" s="308"/>
      <c r="G15" s="308"/>
      <c r="H15" s="308"/>
      <c r="I15" s="308"/>
      <c r="J15" s="308"/>
      <c r="K15" s="308"/>
      <c r="L15" s="308"/>
      <c r="M15" s="244"/>
      <c r="N15" s="308"/>
      <c r="O15" s="308"/>
      <c r="P15" s="308"/>
      <c r="Q15" s="308"/>
      <c r="R15" s="308"/>
      <c r="S15" s="308"/>
      <c r="T15" s="308"/>
      <c r="U15" s="308"/>
      <c r="V15" s="308"/>
      <c r="W15" s="308"/>
      <c r="X15" s="308"/>
      <c r="Y15" s="308"/>
      <c r="Z15" s="308"/>
      <c r="AA15" s="308"/>
      <c r="AB15" s="308"/>
      <c r="AC15" s="308"/>
      <c r="AD15" s="308"/>
      <c r="AE15" s="308"/>
      <c r="AF15" s="308"/>
      <c r="AG15" s="308"/>
      <c r="AH15" s="308"/>
      <c r="AI15" s="308"/>
      <c r="AJ15" s="308"/>
      <c r="AK15" s="308"/>
      <c r="AL15" s="308"/>
      <c r="AM15" s="308"/>
      <c r="AN15" s="308"/>
      <c r="AO15" s="308"/>
      <c r="AP15" s="308"/>
      <c r="AQ15" s="308"/>
      <c r="AR15" s="308"/>
      <c r="AS15" s="308"/>
      <c r="AT15" s="308"/>
      <c r="AU15" s="308"/>
      <c r="AV15" s="308"/>
      <c r="AW15" s="308"/>
      <c r="AY15" s="507">
        <v>4.4535594215350409E-2</v>
      </c>
      <c r="AZ15" s="507">
        <v>5.6327696431841656E-2</v>
      </c>
      <c r="BA15" s="507">
        <v>0.10489557656606868</v>
      </c>
      <c r="BB15" s="507">
        <v>6.9552591469744171E-2</v>
      </c>
      <c r="BC15" s="507">
        <v>5.6982490884522709E-2</v>
      </c>
      <c r="BD15" s="507">
        <v>0.10522496406628616</v>
      </c>
      <c r="BE15" s="507">
        <v>7.014867019802111E-2</v>
      </c>
      <c r="BF15" s="507">
        <v>5.5027694590689798E-2</v>
      </c>
      <c r="BG15" s="507">
        <v>8.7237638495434158E-2</v>
      </c>
      <c r="BH15" s="507">
        <v>6.8962452585281844E-2</v>
      </c>
      <c r="BI15" s="507">
        <v>0.14494294394663984</v>
      </c>
      <c r="BJ15" s="507">
        <v>0.13616168655011937</v>
      </c>
      <c r="BK15" s="507">
        <v>4.4535594215350409E-2</v>
      </c>
      <c r="BL15" s="507">
        <v>5.6327696431841656E-2</v>
      </c>
      <c r="BM15" s="507">
        <v>0.10489557656606868</v>
      </c>
      <c r="BN15" s="507">
        <v>6.9552591469744171E-2</v>
      </c>
      <c r="BO15" s="507">
        <v>5.6982490884522709E-2</v>
      </c>
      <c r="BP15" s="507">
        <v>0.10522496406628616</v>
      </c>
      <c r="BQ15" s="507">
        <v>7.014867019802111E-2</v>
      </c>
      <c r="BR15" s="507">
        <v>5.5027694590689798E-2</v>
      </c>
      <c r="BS15" s="507">
        <v>8.7237638495434158E-2</v>
      </c>
      <c r="BT15" s="507">
        <v>6.8962452585281844E-2</v>
      </c>
      <c r="BU15" s="507">
        <v>0.14494294394663984</v>
      </c>
      <c r="BV15" s="507">
        <v>0.13616168655011937</v>
      </c>
      <c r="BW15" s="507">
        <v>4.4535594215350409E-2</v>
      </c>
      <c r="BX15" s="507">
        <v>5.6327696431841656E-2</v>
      </c>
      <c r="BY15" s="507">
        <v>0.10489557656606868</v>
      </c>
      <c r="BZ15" s="507">
        <v>6.9552591469744171E-2</v>
      </c>
      <c r="CA15" s="507">
        <v>5.6982490884522709E-2</v>
      </c>
      <c r="CB15" s="507">
        <v>0.10522496406628616</v>
      </c>
      <c r="CC15" s="507">
        <v>7.014867019802111E-2</v>
      </c>
      <c r="CD15" s="507">
        <v>5.5027694590689798E-2</v>
      </c>
      <c r="CE15" s="507">
        <v>8.7237638495434158E-2</v>
      </c>
      <c r="CF15" s="507">
        <v>6.8962452585281844E-2</v>
      </c>
      <c r="CG15" s="507">
        <v>0.14494294394663984</v>
      </c>
      <c r="CH15" s="507">
        <v>0.13616168655011937</v>
      </c>
      <c r="CI15" s="507">
        <v>4.4535594215350409E-2</v>
      </c>
      <c r="CJ15" s="507">
        <v>5.6327696431841656E-2</v>
      </c>
      <c r="CK15" s="507">
        <v>0.10489557656606868</v>
      </c>
      <c r="CL15" s="507">
        <v>6.9552591469744171E-2</v>
      </c>
      <c r="CM15" s="507">
        <v>5.6982490884522709E-2</v>
      </c>
      <c r="CN15" s="507">
        <v>0.10522496406628616</v>
      </c>
      <c r="CO15" s="507">
        <v>7.014867019802111E-2</v>
      </c>
      <c r="CP15" s="507">
        <v>5.5027694590689798E-2</v>
      </c>
      <c r="CQ15" s="507">
        <v>8.7237638495434158E-2</v>
      </c>
      <c r="CR15" s="507">
        <v>6.8962452585281844E-2</v>
      </c>
      <c r="CS15" s="507">
        <v>0.14494294394663984</v>
      </c>
      <c r="CT15" s="507">
        <v>0.13616168655011937</v>
      </c>
      <c r="CU15" s="507">
        <v>4.4535594215350409E-2</v>
      </c>
      <c r="CV15" s="507">
        <v>5.6327696431841656E-2</v>
      </c>
      <c r="CW15" s="507">
        <v>0.10489557656606868</v>
      </c>
      <c r="CX15" s="507">
        <v>6.9552591469744171E-2</v>
      </c>
      <c r="CY15" s="507">
        <v>5.6982490884522709E-2</v>
      </c>
      <c r="CZ15" s="507">
        <v>0.10522496406628616</v>
      </c>
      <c r="DA15" s="507">
        <v>7.014867019802111E-2</v>
      </c>
      <c r="DB15" s="507">
        <v>5.5027694590689798E-2</v>
      </c>
      <c r="DC15" s="507">
        <v>8.7237638495434158E-2</v>
      </c>
      <c r="DD15" s="507">
        <v>6.8962452585281844E-2</v>
      </c>
      <c r="DE15" s="507">
        <v>0.14494294394663984</v>
      </c>
      <c r="DF15" s="507">
        <v>0.13616168655011937</v>
      </c>
      <c r="DG15" s="507">
        <v>4.4535594215350409E-2</v>
      </c>
      <c r="DH15" s="507">
        <v>5.6327696431841656E-2</v>
      </c>
      <c r="DI15" s="507">
        <v>0.10489557656606868</v>
      </c>
      <c r="DJ15" s="507">
        <v>6.9552591469744171E-2</v>
      </c>
      <c r="DK15" s="507">
        <v>5.6982490884522709E-2</v>
      </c>
      <c r="DL15" s="507">
        <v>0.10522496406628616</v>
      </c>
      <c r="DM15" s="507">
        <v>7.014867019802111E-2</v>
      </c>
      <c r="DN15" s="507">
        <v>5.5027694590689798E-2</v>
      </c>
      <c r="DO15" s="507">
        <v>8.7237638495434158E-2</v>
      </c>
      <c r="DP15" s="507">
        <v>6.8962452585281844E-2</v>
      </c>
      <c r="DQ15" s="507">
        <v>0.14494294394663984</v>
      </c>
      <c r="DR15" s="507">
        <v>0.13616168655011937</v>
      </c>
      <c r="DS15" s="507">
        <v>4.4535594215350409E-2</v>
      </c>
      <c r="DT15" s="507">
        <v>5.6327696431841656E-2</v>
      </c>
      <c r="DU15" s="507">
        <v>0.10489557656606868</v>
      </c>
      <c r="DV15" s="507">
        <v>6.9552591469744171E-2</v>
      </c>
      <c r="DW15" s="507">
        <v>5.6982490884522709E-2</v>
      </c>
      <c r="DX15" s="507">
        <v>0.10522496406628616</v>
      </c>
      <c r="DY15" s="507">
        <v>7.014867019802111E-2</v>
      </c>
      <c r="DZ15" s="507">
        <v>5.5027694590689798E-2</v>
      </c>
      <c r="EA15" s="507">
        <v>8.7237638495434158E-2</v>
      </c>
      <c r="EB15" s="507">
        <v>6.8962452585281844E-2</v>
      </c>
      <c r="EC15" s="507">
        <v>0.14494294394663984</v>
      </c>
      <c r="ED15" s="507">
        <v>0.13616168655011937</v>
      </c>
      <c r="EE15" s="507">
        <v>4.4535594215350409E-2</v>
      </c>
      <c r="EF15" s="507">
        <v>5.6327696431841656E-2</v>
      </c>
      <c r="EG15" s="507">
        <v>0.10489557656606868</v>
      </c>
      <c r="EH15" s="507">
        <v>6.9552591469744171E-2</v>
      </c>
      <c r="EI15" s="507">
        <v>5.6982490884522709E-2</v>
      </c>
      <c r="EJ15" s="507">
        <v>0.10522496406628616</v>
      </c>
      <c r="EK15" s="507">
        <v>7.014867019802111E-2</v>
      </c>
      <c r="EL15" s="507">
        <v>5.5027694590689798E-2</v>
      </c>
      <c r="EM15" s="507">
        <v>8.7237638495434158E-2</v>
      </c>
      <c r="EN15" s="507">
        <v>6.8962452585281844E-2</v>
      </c>
      <c r="EO15" s="507">
        <v>0.14494294394663984</v>
      </c>
      <c r="EP15" s="507">
        <v>0.13616168655011937</v>
      </c>
      <c r="EQ15" s="507">
        <v>4.4535594215350409E-2</v>
      </c>
      <c r="ER15" s="507">
        <v>5.6327696431841656E-2</v>
      </c>
      <c r="ES15" s="507">
        <v>0.10489557656606868</v>
      </c>
      <c r="ET15" s="507">
        <v>6.9552591469744171E-2</v>
      </c>
      <c r="EU15" s="507">
        <v>5.6982490884522709E-2</v>
      </c>
      <c r="EV15" s="507">
        <v>0.10522496406628616</v>
      </c>
      <c r="EW15" s="507">
        <v>7.014867019802111E-2</v>
      </c>
      <c r="EX15" s="507">
        <v>5.5027694590689798E-2</v>
      </c>
      <c r="EY15" s="507">
        <v>8.7237638495434158E-2</v>
      </c>
      <c r="EZ15" s="507">
        <v>6.8962452585281844E-2</v>
      </c>
      <c r="FA15" s="507">
        <v>0.14494294394663984</v>
      </c>
      <c r="FB15" s="507">
        <v>0.13616168655011937</v>
      </c>
    </row>
    <row r="16" spans="3:158" x14ac:dyDescent="0.25">
      <c r="C16" t="s">
        <v>910</v>
      </c>
      <c r="D16" s="1470">
        <f>AY16</f>
        <v>0</v>
      </c>
      <c r="E16" s="1470">
        <f t="shared" ref="E16:L16" si="26">D20</f>
        <v>0</v>
      </c>
      <c r="F16" s="1470">
        <f t="shared" si="26"/>
        <v>0</v>
      </c>
      <c r="G16" s="1470">
        <f t="shared" si="26"/>
        <v>0</v>
      </c>
      <c r="H16" s="1470">
        <f t="shared" si="26"/>
        <v>0</v>
      </c>
      <c r="I16" s="1470">
        <f t="shared" si="26"/>
        <v>33284.931602770004</v>
      </c>
      <c r="J16" s="1470">
        <f t="shared" si="26"/>
        <v>1496554.1725452952</v>
      </c>
      <c r="K16" s="1470">
        <f t="shared" si="26"/>
        <v>8104388.97640792</v>
      </c>
      <c r="L16" s="1470">
        <f t="shared" si="26"/>
        <v>18737058.11235312</v>
      </c>
      <c r="N16" s="1470">
        <f>AY16</f>
        <v>0</v>
      </c>
      <c r="O16" s="1470">
        <f>BB16</f>
        <v>0</v>
      </c>
      <c r="P16" s="1470">
        <f>BE16</f>
        <v>0</v>
      </c>
      <c r="Q16" s="1470">
        <f>BH16</f>
        <v>0</v>
      </c>
      <c r="R16" s="1470">
        <f>BK16</f>
        <v>0</v>
      </c>
      <c r="S16" s="1470">
        <f>BN16</f>
        <v>0</v>
      </c>
      <c r="T16" s="1470">
        <f>BQ16</f>
        <v>0</v>
      </c>
      <c r="U16" s="1470">
        <f>BT16</f>
        <v>0</v>
      </c>
      <c r="V16" s="1470">
        <f>BW16</f>
        <v>0</v>
      </c>
      <c r="W16" s="1470">
        <f>BZ16</f>
        <v>0</v>
      </c>
      <c r="X16" s="1470">
        <f>CC16</f>
        <v>0</v>
      </c>
      <c r="Y16" s="1470">
        <f>CF16</f>
        <v>0</v>
      </c>
      <c r="Z16" s="1470">
        <f>CI16</f>
        <v>0</v>
      </c>
      <c r="AA16" s="1470">
        <f>CL16</f>
        <v>0</v>
      </c>
      <c r="AB16" s="1470">
        <f>CO16</f>
        <v>0</v>
      </c>
      <c r="AC16" s="1470">
        <f>CR16</f>
        <v>0</v>
      </c>
      <c r="AD16" s="1470">
        <f>CU16</f>
        <v>0</v>
      </c>
      <c r="AE16" s="1470">
        <f>CX16</f>
        <v>0</v>
      </c>
      <c r="AF16" s="1470">
        <f>DA16</f>
        <v>0</v>
      </c>
      <c r="AG16" s="1470">
        <f>DD16</f>
        <v>0</v>
      </c>
      <c r="AH16" s="1470">
        <f>DG16</f>
        <v>33284.931602770004</v>
      </c>
      <c r="AI16" s="1470">
        <f>DJ16</f>
        <v>221420.38386234816</v>
      </c>
      <c r="AJ16" s="1470">
        <f>DM16</f>
        <v>476821.34819526441</v>
      </c>
      <c r="AK16" s="1470">
        <f>DP16</f>
        <v>845100.18101107061</v>
      </c>
      <c r="AL16" s="1470">
        <f>DS16</f>
        <v>1496554.1725452954</v>
      </c>
      <c r="AM16" s="1470">
        <f>DV16</f>
        <v>2699101.1444800538</v>
      </c>
      <c r="AN16" s="1470">
        <f>DY16</f>
        <v>4336023.1421041489</v>
      </c>
      <c r="AO16" s="1470">
        <f>EB16</f>
        <v>5872124.3663464254</v>
      </c>
      <c r="AP16" s="1470">
        <f>EE16</f>
        <v>8104388.9764079209</v>
      </c>
      <c r="AQ16" s="1470">
        <f>EH16</f>
        <v>10030076.29590003</v>
      </c>
      <c r="AR16" s="1470">
        <f>EK16</f>
        <v>12670314.942330271</v>
      </c>
      <c r="AS16" s="1470">
        <f>EN16</f>
        <v>15149927.733416727</v>
      </c>
      <c r="AT16" s="1470">
        <f>EQ16</f>
        <v>18737058.112353124</v>
      </c>
      <c r="AU16" s="1470">
        <f>ET16</f>
        <v>21642496.226476204</v>
      </c>
      <c r="AV16" s="1470">
        <f>EW16</f>
        <v>25646148.912651498</v>
      </c>
      <c r="AW16" s="1470">
        <f>EZ16</f>
        <v>29408324.750097897</v>
      </c>
      <c r="AY16" s="1471">
        <v>0</v>
      </c>
      <c r="AZ16" s="1470">
        <f t="shared" ref="AZ16:CE16" si="27">AY20</f>
        <v>0</v>
      </c>
      <c r="BA16" s="1470">
        <f t="shared" si="27"/>
        <v>0</v>
      </c>
      <c r="BB16" s="1470">
        <f t="shared" si="27"/>
        <v>0</v>
      </c>
      <c r="BC16" s="1470">
        <f t="shared" si="27"/>
        <v>0</v>
      </c>
      <c r="BD16" s="1470">
        <f t="shared" si="27"/>
        <v>0</v>
      </c>
      <c r="BE16" s="1470">
        <f t="shared" si="27"/>
        <v>0</v>
      </c>
      <c r="BF16" s="1470">
        <f t="shared" si="27"/>
        <v>0</v>
      </c>
      <c r="BG16" s="1470">
        <f t="shared" si="27"/>
        <v>0</v>
      </c>
      <c r="BH16" s="1470">
        <f t="shared" si="27"/>
        <v>0</v>
      </c>
      <c r="BI16" s="1470">
        <f t="shared" si="27"/>
        <v>0</v>
      </c>
      <c r="BJ16" s="1470">
        <f t="shared" si="27"/>
        <v>0</v>
      </c>
      <c r="BK16" s="1470">
        <f t="shared" si="27"/>
        <v>0</v>
      </c>
      <c r="BL16" s="1470">
        <f t="shared" si="27"/>
        <v>0</v>
      </c>
      <c r="BM16" s="1470">
        <f t="shared" si="27"/>
        <v>0</v>
      </c>
      <c r="BN16" s="1470">
        <f t="shared" si="27"/>
        <v>0</v>
      </c>
      <c r="BO16" s="1470">
        <f t="shared" si="27"/>
        <v>0</v>
      </c>
      <c r="BP16" s="1470">
        <f t="shared" si="27"/>
        <v>0</v>
      </c>
      <c r="BQ16" s="1470">
        <f t="shared" si="27"/>
        <v>0</v>
      </c>
      <c r="BR16" s="1470">
        <f t="shared" si="27"/>
        <v>0</v>
      </c>
      <c r="BS16" s="1470">
        <f t="shared" si="27"/>
        <v>0</v>
      </c>
      <c r="BT16" s="1470">
        <f t="shared" si="27"/>
        <v>0</v>
      </c>
      <c r="BU16" s="1470">
        <f t="shared" si="27"/>
        <v>0</v>
      </c>
      <c r="BV16" s="1470">
        <f t="shared" si="27"/>
        <v>0</v>
      </c>
      <c r="BW16" s="1470">
        <f t="shared" si="27"/>
        <v>0</v>
      </c>
      <c r="BX16" s="1470">
        <f t="shared" si="27"/>
        <v>0</v>
      </c>
      <c r="BY16" s="1470">
        <f t="shared" si="27"/>
        <v>0</v>
      </c>
      <c r="BZ16" s="1470">
        <f t="shared" si="27"/>
        <v>0</v>
      </c>
      <c r="CA16" s="1470">
        <f t="shared" si="27"/>
        <v>0</v>
      </c>
      <c r="CB16" s="1470">
        <f t="shared" si="27"/>
        <v>0</v>
      </c>
      <c r="CC16" s="1470">
        <f t="shared" si="27"/>
        <v>0</v>
      </c>
      <c r="CD16" s="1470">
        <f t="shared" si="27"/>
        <v>0</v>
      </c>
      <c r="CE16" s="1470">
        <f t="shared" si="27"/>
        <v>0</v>
      </c>
      <c r="CF16" s="1470">
        <f t="shared" ref="CF16:DK16" si="28">CE20</f>
        <v>0</v>
      </c>
      <c r="CG16" s="1470">
        <f t="shared" si="28"/>
        <v>0</v>
      </c>
      <c r="CH16" s="1470">
        <f t="shared" si="28"/>
        <v>0</v>
      </c>
      <c r="CI16" s="1470">
        <f t="shared" si="28"/>
        <v>0</v>
      </c>
      <c r="CJ16" s="1470">
        <f t="shared" si="28"/>
        <v>0</v>
      </c>
      <c r="CK16" s="1470">
        <f t="shared" si="28"/>
        <v>0</v>
      </c>
      <c r="CL16" s="1470">
        <f t="shared" si="28"/>
        <v>0</v>
      </c>
      <c r="CM16" s="1470">
        <f t="shared" si="28"/>
        <v>0</v>
      </c>
      <c r="CN16" s="1470">
        <f t="shared" si="28"/>
        <v>0</v>
      </c>
      <c r="CO16" s="1470">
        <f t="shared" si="28"/>
        <v>0</v>
      </c>
      <c r="CP16" s="1470">
        <f t="shared" si="28"/>
        <v>0</v>
      </c>
      <c r="CQ16" s="1470">
        <f t="shared" si="28"/>
        <v>0</v>
      </c>
      <c r="CR16" s="1470">
        <f t="shared" si="28"/>
        <v>0</v>
      </c>
      <c r="CS16" s="1470">
        <f t="shared" si="28"/>
        <v>0</v>
      </c>
      <c r="CT16" s="1470">
        <f t="shared" si="28"/>
        <v>0</v>
      </c>
      <c r="CU16" s="1470">
        <f t="shared" si="28"/>
        <v>0</v>
      </c>
      <c r="CV16" s="1470">
        <f t="shared" si="28"/>
        <v>0</v>
      </c>
      <c r="CW16" s="1470">
        <f t="shared" si="28"/>
        <v>0</v>
      </c>
      <c r="CX16" s="1470">
        <f t="shared" si="28"/>
        <v>0</v>
      </c>
      <c r="CY16" s="1470">
        <f t="shared" si="28"/>
        <v>0</v>
      </c>
      <c r="CZ16" s="1470">
        <f t="shared" si="28"/>
        <v>0</v>
      </c>
      <c r="DA16" s="1470">
        <f t="shared" si="28"/>
        <v>0</v>
      </c>
      <c r="DB16" s="1470">
        <f t="shared" si="28"/>
        <v>0</v>
      </c>
      <c r="DC16" s="1470">
        <f t="shared" si="28"/>
        <v>0</v>
      </c>
      <c r="DD16" s="1470">
        <f t="shared" si="28"/>
        <v>0</v>
      </c>
      <c r="DE16" s="1470">
        <f t="shared" si="28"/>
        <v>4945.2043490843798</v>
      </c>
      <c r="DF16" s="1470">
        <f t="shared" si="28"/>
        <v>18136.185485704507</v>
      </c>
      <c r="DG16" s="1470">
        <f t="shared" si="28"/>
        <v>33284.931602770004</v>
      </c>
      <c r="DH16" s="1470">
        <f t="shared" si="28"/>
        <v>59234.893344786309</v>
      </c>
      <c r="DI16" s="1470">
        <f t="shared" si="28"/>
        <v>114140.78751968248</v>
      </c>
      <c r="DJ16" s="1470">
        <f t="shared" si="28"/>
        <v>221420.38386234816</v>
      </c>
      <c r="DK16" s="1470">
        <f t="shared" si="28"/>
        <v>267639.32055110473</v>
      </c>
      <c r="DL16" s="1470">
        <f t="shared" ref="DL16:EQ16" si="29">DK20</f>
        <v>354511.83548555616</v>
      </c>
      <c r="DM16" s="1470">
        <f t="shared" si="29"/>
        <v>476821.34819526441</v>
      </c>
      <c r="DN16" s="1470">
        <f t="shared" si="29"/>
        <v>538964.01079588814</v>
      </c>
      <c r="DO16" s="1470">
        <f t="shared" si="29"/>
        <v>649945.17626793077</v>
      </c>
      <c r="DP16" s="1470">
        <f t="shared" si="29"/>
        <v>845100.18101107061</v>
      </c>
      <c r="DQ16" s="1470">
        <f t="shared" si="29"/>
        <v>935641.4835877209</v>
      </c>
      <c r="DR16" s="1470">
        <f t="shared" si="29"/>
        <v>1195914.9490432318</v>
      </c>
      <c r="DS16" s="1470">
        <f t="shared" si="29"/>
        <v>1496554.1725452954</v>
      </c>
      <c r="DT16" s="1470">
        <f t="shared" si="29"/>
        <v>1660923.380214449</v>
      </c>
      <c r="DU16" s="1470">
        <f t="shared" si="29"/>
        <v>2012223.2762895171</v>
      </c>
      <c r="DV16" s="1470">
        <f t="shared" si="29"/>
        <v>2699101.1444800538</v>
      </c>
      <c r="DW16" s="1470">
        <f t="shared" si="29"/>
        <v>2992763.3159078024</v>
      </c>
      <c r="DX16" s="1470">
        <f t="shared" si="29"/>
        <v>3551578.6393218911</v>
      </c>
      <c r="DY16" s="1470">
        <f t="shared" si="29"/>
        <v>4336023.1421041489</v>
      </c>
      <c r="DZ16" s="1470">
        <f t="shared" si="29"/>
        <v>4591840.8259388283</v>
      </c>
      <c r="EA16" s="1470">
        <f t="shared" si="29"/>
        <v>5055631.7159248553</v>
      </c>
      <c r="EB16" s="1470">
        <f t="shared" si="29"/>
        <v>5872124.3663464254</v>
      </c>
      <c r="EC16" s="1470">
        <f t="shared" si="29"/>
        <v>6180332.7346740756</v>
      </c>
      <c r="ED16" s="1470">
        <f t="shared" si="29"/>
        <v>7071672.443241979</v>
      </c>
      <c r="EE16" s="1470">
        <f t="shared" si="29"/>
        <v>8104388.9764079209</v>
      </c>
      <c r="EF16" s="1470">
        <f t="shared" si="29"/>
        <v>8361157.574038838</v>
      </c>
      <c r="EG16" s="1470">
        <f t="shared" si="29"/>
        <v>8925192.4769525938</v>
      </c>
      <c r="EH16" s="1470">
        <f t="shared" si="29"/>
        <v>10030076.29590003</v>
      </c>
      <c r="EI16" s="1470">
        <f t="shared" si="29"/>
        <v>10492750.657207135</v>
      </c>
      <c r="EJ16" s="1470">
        <f t="shared" si="29"/>
        <v>11402769.700482303</v>
      </c>
      <c r="EK16" s="1470">
        <f t="shared" si="29"/>
        <v>12670314.942330271</v>
      </c>
      <c r="EL16" s="1470">
        <f t="shared" si="29"/>
        <v>13069611.472150261</v>
      </c>
      <c r="EM16" s="1470">
        <f t="shared" si="29"/>
        <v>13821848.841811473</v>
      </c>
      <c r="EN16" s="1470">
        <f t="shared" si="29"/>
        <v>15149927.733416727</v>
      </c>
      <c r="EO16" s="1470">
        <f t="shared" si="29"/>
        <v>15637104.206259027</v>
      </c>
      <c r="EP16" s="1470">
        <f t="shared" si="29"/>
        <v>17067413.393484131</v>
      </c>
      <c r="EQ16" s="1470">
        <f t="shared" si="29"/>
        <v>18737058.112353124</v>
      </c>
      <c r="ER16" s="1470">
        <f t="shared" ref="ER16:FB16" si="30">EQ20</f>
        <v>19117634.005364232</v>
      </c>
      <c r="ES16" s="1470">
        <f t="shared" si="30"/>
        <v>19970212.161676984</v>
      </c>
      <c r="ET16" s="1470">
        <f t="shared" si="30"/>
        <v>21642496.226476204</v>
      </c>
      <c r="EU16" s="1470">
        <f t="shared" si="30"/>
        <v>22332533.672295898</v>
      </c>
      <c r="EV16" s="1470">
        <f t="shared" si="30"/>
        <v>23721632.802148156</v>
      </c>
      <c r="EW16" s="1470">
        <f t="shared" si="30"/>
        <v>25646148.912651498</v>
      </c>
      <c r="EX16" s="1470">
        <f t="shared" si="30"/>
        <v>26237619.689124841</v>
      </c>
      <c r="EY16" s="1470">
        <f t="shared" si="30"/>
        <v>27382706.882204734</v>
      </c>
      <c r="EZ16" s="1470">
        <f t="shared" si="30"/>
        <v>29408324.750097897</v>
      </c>
      <c r="FA16" s="1470">
        <f t="shared" si="30"/>
        <v>30136612.142319169</v>
      </c>
      <c r="FB16" s="1470">
        <f t="shared" si="30"/>
        <v>32297783.761807609</v>
      </c>
    </row>
    <row r="17" spans="3:158" x14ac:dyDescent="0.25">
      <c r="C17" s="258" t="s">
        <v>585</v>
      </c>
      <c r="D17" s="1472">
        <f t="shared" ref="D17:L18" si="31">SUMIF($AY$2:$FB$2,D$2,$AY17:$FB17)</f>
        <v>0</v>
      </c>
      <c r="E17" s="1472">
        <f t="shared" si="31"/>
        <v>0</v>
      </c>
      <c r="F17" s="1472">
        <f t="shared" si="31"/>
        <v>0</v>
      </c>
      <c r="G17" s="1472">
        <f t="shared" si="31"/>
        <v>0</v>
      </c>
      <c r="H17" s="1472">
        <f t="shared" si="31"/>
        <v>33284.931602770004</v>
      </c>
      <c r="I17" s="1472">
        <f t="shared" si="31"/>
        <v>559279.54886670271</v>
      </c>
      <c r="J17" s="1472">
        <f t="shared" si="31"/>
        <v>1290306.0673579401</v>
      </c>
      <c r="K17" s="1472">
        <f t="shared" si="31"/>
        <v>2109393.3085200796</v>
      </c>
      <c r="L17" s="1472">
        <f t="shared" si="31"/>
        <v>3764892.4457761515</v>
      </c>
      <c r="M17" s="244"/>
      <c r="N17" s="1472">
        <f>SUM(AY17:BA17)</f>
        <v>0</v>
      </c>
      <c r="O17" s="1472">
        <f>SUM(BB17:BD17)</f>
        <v>0</v>
      </c>
      <c r="P17" s="1472">
        <f>SUM(BE17:BG17)</f>
        <v>0</v>
      </c>
      <c r="Q17" s="1472">
        <f>SUM(BH17:BJ17)</f>
        <v>0</v>
      </c>
      <c r="R17" s="1472">
        <f>SUM(BK17:BM17)</f>
        <v>0</v>
      </c>
      <c r="S17" s="1472">
        <f>SUM(BN17:BP17)</f>
        <v>0</v>
      </c>
      <c r="T17" s="1472">
        <f>SUM(BQ17:BS17)</f>
        <v>0</v>
      </c>
      <c r="U17" s="1472">
        <f>SUM(BT17:BV17)</f>
        <v>0</v>
      </c>
      <c r="V17" s="1472">
        <f>SUM(BW17:BY17)</f>
        <v>0</v>
      </c>
      <c r="W17" s="1472">
        <f>SUM(BZ17:CB17)</f>
        <v>0</v>
      </c>
      <c r="X17" s="1472">
        <f>SUM(CC17:CE17)</f>
        <v>0</v>
      </c>
      <c r="Y17" s="1472">
        <f>SUM(CF17:CH17)</f>
        <v>0</v>
      </c>
      <c r="Z17" s="1472">
        <f>SUM(CI17:CK17)</f>
        <v>0</v>
      </c>
      <c r="AA17" s="1472">
        <f>SUM(CL17:CN17)</f>
        <v>0</v>
      </c>
      <c r="AB17" s="1472">
        <f>SUM(CO17:CQ17)</f>
        <v>0</v>
      </c>
      <c r="AC17" s="1472">
        <f>SUM(CR17:CT17)</f>
        <v>0</v>
      </c>
      <c r="AD17" s="1472">
        <f>SUM(CU17:CW17)</f>
        <v>0</v>
      </c>
      <c r="AE17" s="1472">
        <f>SUM(CX17:CZ17)</f>
        <v>0</v>
      </c>
      <c r="AF17" s="1472">
        <f>SUM(DA17:DC17)</f>
        <v>0</v>
      </c>
      <c r="AG17" s="1472">
        <f>SUM(DD17:DF17)</f>
        <v>33284.931602770004</v>
      </c>
      <c r="AH17" s="1472">
        <f>SUM(DG17:DI17)</f>
        <v>23329.413189637413</v>
      </c>
      <c r="AI17" s="1472">
        <f>SUM(DJ17:DL17)</f>
        <v>31655.893110134024</v>
      </c>
      <c r="AJ17" s="1472">
        <f>SUM(DM17:DO17)</f>
        <v>158376.62128583255</v>
      </c>
      <c r="AK17" s="1472">
        <f>SUM(DP17:DR17)</f>
        <v>345917.62128109881</v>
      </c>
      <c r="AL17" s="1472">
        <f>SUM(DS17:DU17)</f>
        <v>235318.45064359496</v>
      </c>
      <c r="AM17" s="1472">
        <f>SUM(DV17:DX17)</f>
        <v>319305.74763555673</v>
      </c>
      <c r="AN17" s="1472">
        <f>SUM(DY17:EA17)</f>
        <v>299532.88609481486</v>
      </c>
      <c r="AO17" s="1472">
        <f>SUM(EB17:ED17)</f>
        <v>436148.98298397346</v>
      </c>
      <c r="AP17" s="1472">
        <f>SUM(EE17:EG17)</f>
        <v>384698.77629523131</v>
      </c>
      <c r="AQ17" s="1472">
        <f>SUM(EH17:EJ17)</f>
        <v>522001.27122830891</v>
      </c>
      <c r="AR17" s="1472">
        <f>SUM(EK17:EM17)</f>
        <v>489676.58262962726</v>
      </c>
      <c r="AS17" s="1472">
        <f>SUM(EN17:EP17)</f>
        <v>713016.67836691206</v>
      </c>
      <c r="AT17" s="1472">
        <f>SUM(EQ17:ES17)</f>
        <v>686618.99652530299</v>
      </c>
      <c r="AU17" s="1472">
        <f>SUM(ET17:EV17)</f>
        <v>931679.56625017431</v>
      </c>
      <c r="AV17" s="1472">
        <f>SUM(EW17:EY17)</f>
        <v>873985.73768549331</v>
      </c>
      <c r="AW17" s="1472">
        <f>SUM(EZ17:FB17)</f>
        <v>1272608.145315181</v>
      </c>
      <c r="AY17" s="1472">
        <f t="shared" ref="AY17:CD17" si="32">AY63</f>
        <v>0</v>
      </c>
      <c r="AZ17" s="1472">
        <f t="shared" si="32"/>
        <v>0</v>
      </c>
      <c r="BA17" s="1472">
        <f t="shared" si="32"/>
        <v>0</v>
      </c>
      <c r="BB17" s="1472">
        <f t="shared" si="32"/>
        <v>0</v>
      </c>
      <c r="BC17" s="1472">
        <f t="shared" si="32"/>
        <v>0</v>
      </c>
      <c r="BD17" s="1472">
        <f t="shared" si="32"/>
        <v>0</v>
      </c>
      <c r="BE17" s="1472">
        <f t="shared" si="32"/>
        <v>0</v>
      </c>
      <c r="BF17" s="1472">
        <f t="shared" si="32"/>
        <v>0</v>
      </c>
      <c r="BG17" s="1472">
        <f t="shared" si="32"/>
        <v>0</v>
      </c>
      <c r="BH17" s="1472">
        <f t="shared" si="32"/>
        <v>0</v>
      </c>
      <c r="BI17" s="1472">
        <f t="shared" si="32"/>
        <v>0</v>
      </c>
      <c r="BJ17" s="1472">
        <f t="shared" si="32"/>
        <v>0</v>
      </c>
      <c r="BK17" s="1472">
        <f t="shared" si="32"/>
        <v>0</v>
      </c>
      <c r="BL17" s="1472">
        <f t="shared" si="32"/>
        <v>0</v>
      </c>
      <c r="BM17" s="1472">
        <f t="shared" si="32"/>
        <v>0</v>
      </c>
      <c r="BN17" s="1472">
        <f t="shared" si="32"/>
        <v>0</v>
      </c>
      <c r="BO17" s="1472">
        <f t="shared" si="32"/>
        <v>0</v>
      </c>
      <c r="BP17" s="1472">
        <f t="shared" si="32"/>
        <v>0</v>
      </c>
      <c r="BQ17" s="1472">
        <f t="shared" si="32"/>
        <v>0</v>
      </c>
      <c r="BR17" s="1472">
        <f t="shared" si="32"/>
        <v>0</v>
      </c>
      <c r="BS17" s="1472">
        <f t="shared" si="32"/>
        <v>0</v>
      </c>
      <c r="BT17" s="1472">
        <f t="shared" si="32"/>
        <v>0</v>
      </c>
      <c r="BU17" s="1472">
        <f t="shared" si="32"/>
        <v>0</v>
      </c>
      <c r="BV17" s="1472">
        <f t="shared" si="32"/>
        <v>0</v>
      </c>
      <c r="BW17" s="1472">
        <f t="shared" si="32"/>
        <v>0</v>
      </c>
      <c r="BX17" s="1472">
        <f t="shared" si="32"/>
        <v>0</v>
      </c>
      <c r="BY17" s="1472">
        <f t="shared" si="32"/>
        <v>0</v>
      </c>
      <c r="BZ17" s="1472">
        <f t="shared" si="32"/>
        <v>0</v>
      </c>
      <c r="CA17" s="1472">
        <f t="shared" si="32"/>
        <v>0</v>
      </c>
      <c r="CB17" s="1472">
        <f t="shared" si="32"/>
        <v>0</v>
      </c>
      <c r="CC17" s="1472">
        <f t="shared" si="32"/>
        <v>0</v>
      </c>
      <c r="CD17" s="1472">
        <f t="shared" si="32"/>
        <v>0</v>
      </c>
      <c r="CE17" s="1472">
        <f t="shared" ref="CE17:DJ17" si="33">CE63</f>
        <v>0</v>
      </c>
      <c r="CF17" s="1472">
        <f t="shared" si="33"/>
        <v>0</v>
      </c>
      <c r="CG17" s="1472">
        <f t="shared" si="33"/>
        <v>0</v>
      </c>
      <c r="CH17" s="1472">
        <f t="shared" si="33"/>
        <v>0</v>
      </c>
      <c r="CI17" s="1472">
        <f t="shared" si="33"/>
        <v>0</v>
      </c>
      <c r="CJ17" s="1472">
        <f t="shared" si="33"/>
        <v>0</v>
      </c>
      <c r="CK17" s="1472">
        <f t="shared" si="33"/>
        <v>0</v>
      </c>
      <c r="CL17" s="1472">
        <f t="shared" si="33"/>
        <v>0</v>
      </c>
      <c r="CM17" s="1472">
        <f t="shared" si="33"/>
        <v>0</v>
      </c>
      <c r="CN17" s="1472">
        <f t="shared" si="33"/>
        <v>0</v>
      </c>
      <c r="CO17" s="1472">
        <f t="shared" si="33"/>
        <v>0</v>
      </c>
      <c r="CP17" s="1472">
        <f t="shared" si="33"/>
        <v>0</v>
      </c>
      <c r="CQ17" s="1472">
        <f t="shared" si="33"/>
        <v>0</v>
      </c>
      <c r="CR17" s="1472">
        <f t="shared" si="33"/>
        <v>0</v>
      </c>
      <c r="CS17" s="1472">
        <f t="shared" si="33"/>
        <v>0</v>
      </c>
      <c r="CT17" s="1472">
        <f t="shared" si="33"/>
        <v>0</v>
      </c>
      <c r="CU17" s="1472">
        <f t="shared" si="33"/>
        <v>0</v>
      </c>
      <c r="CV17" s="1472">
        <f t="shared" si="33"/>
        <v>0</v>
      </c>
      <c r="CW17" s="1472">
        <f t="shared" si="33"/>
        <v>0</v>
      </c>
      <c r="CX17" s="1472">
        <f t="shared" si="33"/>
        <v>0</v>
      </c>
      <c r="CY17" s="1472">
        <f t="shared" si="33"/>
        <v>0</v>
      </c>
      <c r="CZ17" s="1472">
        <f t="shared" si="33"/>
        <v>0</v>
      </c>
      <c r="DA17" s="1472">
        <f t="shared" si="33"/>
        <v>0</v>
      </c>
      <c r="DB17" s="1472">
        <f t="shared" si="33"/>
        <v>0</v>
      </c>
      <c r="DC17" s="1472">
        <f t="shared" si="33"/>
        <v>0</v>
      </c>
      <c r="DD17" s="1472">
        <f t="shared" si="33"/>
        <v>4945.2043490843798</v>
      </c>
      <c r="DE17" s="1472">
        <f t="shared" si="33"/>
        <v>13190.981136620128</v>
      </c>
      <c r="DF17" s="1472">
        <f t="shared" si="33"/>
        <v>15148.746117065499</v>
      </c>
      <c r="DG17" s="1472">
        <f t="shared" si="33"/>
        <v>3222.8608349674028</v>
      </c>
      <c r="DH17" s="1472">
        <f t="shared" si="33"/>
        <v>6807.3636658351834</v>
      </c>
      <c r="DI17" s="1472">
        <f t="shared" si="33"/>
        <v>13299.188688834827</v>
      </c>
      <c r="DJ17" s="1472">
        <f t="shared" si="33"/>
        <v>5737.1586551420678</v>
      </c>
      <c r="DK17" s="1472">
        <f t="shared" ref="DK17:EP17" si="34">DK63</f>
        <v>10760.753006187524</v>
      </c>
      <c r="DL17" s="1472">
        <f t="shared" si="34"/>
        <v>15157.981448804432</v>
      </c>
      <c r="DM17" s="1472">
        <f t="shared" si="34"/>
        <v>26760.893462797383</v>
      </c>
      <c r="DN17" s="1472">
        <f t="shared" si="34"/>
        <v>47717.323438291322</v>
      </c>
      <c r="DO17" s="1472">
        <f t="shared" si="34"/>
        <v>83898.404384743844</v>
      </c>
      <c r="DP17" s="1472">
        <f t="shared" si="34"/>
        <v>48103.661440007279</v>
      </c>
      <c r="DQ17" s="1472">
        <f t="shared" si="34"/>
        <v>138210.15086206183</v>
      </c>
      <c r="DR17" s="1472">
        <f t="shared" si="34"/>
        <v>159603.80897902968</v>
      </c>
      <c r="DS17" s="1472">
        <f t="shared" si="34"/>
        <v>32508.259515988248</v>
      </c>
      <c r="DT17" s="1472">
        <f t="shared" si="34"/>
        <v>68664.319063257804</v>
      </c>
      <c r="DU17" s="1472">
        <f t="shared" si="34"/>
        <v>134145.87206434892</v>
      </c>
      <c r="DV17" s="1472">
        <f t="shared" si="34"/>
        <v>57869.406094800521</v>
      </c>
      <c r="DW17" s="1472">
        <f t="shared" si="34"/>
        <v>108541.25239203291</v>
      </c>
      <c r="DX17" s="1472">
        <f t="shared" si="34"/>
        <v>152895.08914872332</v>
      </c>
      <c r="DY17" s="1472">
        <f t="shared" si="34"/>
        <v>50612.063752269278</v>
      </c>
      <c r="DZ17" s="1472">
        <f t="shared" si="34"/>
        <v>90246.322280078311</v>
      </c>
      <c r="EA17" s="1472">
        <f t="shared" si="34"/>
        <v>158674.5000624673</v>
      </c>
      <c r="EB17" s="1472">
        <f t="shared" si="34"/>
        <v>60651.327727001059</v>
      </c>
      <c r="EC17" s="1472">
        <f t="shared" si="34"/>
        <v>174261.76935798547</v>
      </c>
      <c r="ED17" s="1472">
        <f t="shared" si="34"/>
        <v>201235.88589898695</v>
      </c>
      <c r="EE17" s="1472">
        <f t="shared" si="34"/>
        <v>53144.526581255894</v>
      </c>
      <c r="EF17" s="1472">
        <f t="shared" si="34"/>
        <v>112252.47933825618</v>
      </c>
      <c r="EG17" s="1472">
        <f t="shared" si="34"/>
        <v>219301.77037571921</v>
      </c>
      <c r="EH17" s="1472">
        <f t="shared" si="34"/>
        <v>94604.947672884504</v>
      </c>
      <c r="EI17" s="1472">
        <f t="shared" si="34"/>
        <v>177443.31929164616</v>
      </c>
      <c r="EJ17" s="1472">
        <f t="shared" si="34"/>
        <v>249953.00426377819</v>
      </c>
      <c r="EK17" s="1472">
        <f t="shared" si="34"/>
        <v>82740.639070258898</v>
      </c>
      <c r="EL17" s="1472">
        <f t="shared" si="34"/>
        <v>147534.75408043255</v>
      </c>
      <c r="EM17" s="1472">
        <f t="shared" si="34"/>
        <v>259401.18947893579</v>
      </c>
      <c r="EN17" s="1472">
        <f t="shared" si="34"/>
        <v>99152.835204566712</v>
      </c>
      <c r="EO17" s="1472">
        <f t="shared" si="34"/>
        <v>284883.26879473071</v>
      </c>
      <c r="EP17" s="1472">
        <f t="shared" si="34"/>
        <v>328980.5743676147</v>
      </c>
      <c r="EQ17" s="1472">
        <f t="shared" ref="EQ17:FB17" si="35">EQ63</f>
        <v>94853.541941164061</v>
      </c>
      <c r="ER17" s="1472">
        <f t="shared" si="35"/>
        <v>200350.74055333354</v>
      </c>
      <c r="ES17" s="1472">
        <f t="shared" si="35"/>
        <v>391414.71403080545</v>
      </c>
      <c r="ET17" s="1472">
        <f t="shared" si="35"/>
        <v>168853.03057900572</v>
      </c>
      <c r="EU17" s="1472">
        <f t="shared" si="35"/>
        <v>316704.81254312041</v>
      </c>
      <c r="EV17" s="1472">
        <f t="shared" si="35"/>
        <v>446121.72312804824</v>
      </c>
      <c r="EW17" s="1472">
        <f t="shared" si="35"/>
        <v>147677.3467214891</v>
      </c>
      <c r="EX17" s="1472">
        <f t="shared" si="35"/>
        <v>263323.33514253941</v>
      </c>
      <c r="EY17" s="1472">
        <f t="shared" si="35"/>
        <v>462985.0558214648</v>
      </c>
      <c r="EZ17" s="1472">
        <f t="shared" si="35"/>
        <v>176970.20215772977</v>
      </c>
      <c r="FA17" s="1472">
        <f t="shared" si="35"/>
        <v>508466.04200417607</v>
      </c>
      <c r="FB17" s="1472">
        <f t="shared" si="35"/>
        <v>587171.90115327504</v>
      </c>
    </row>
    <row r="18" spans="3:158" x14ac:dyDescent="0.25">
      <c r="C18" s="258" t="s">
        <v>584</v>
      </c>
      <c r="D18" s="1472">
        <f t="shared" si="31"/>
        <v>0</v>
      </c>
      <c r="E18" s="1472">
        <f t="shared" si="31"/>
        <v>0</v>
      </c>
      <c r="F18" s="1472">
        <f t="shared" si="31"/>
        <v>0</v>
      </c>
      <c r="G18" s="1472">
        <f t="shared" si="31"/>
        <v>0</v>
      </c>
      <c r="H18" s="1472">
        <f t="shared" si="31"/>
        <v>0</v>
      </c>
      <c r="I18" s="1472">
        <f t="shared" si="31"/>
        <v>906482.6636336724</v>
      </c>
      <c r="J18" s="1472">
        <f t="shared" si="31"/>
        <v>5426624.396478611</v>
      </c>
      <c r="K18" s="1472">
        <f t="shared" si="31"/>
        <v>9097860.0059096143</v>
      </c>
      <c r="L18" s="1472">
        <f t="shared" si="31"/>
        <v>13622777.796004945</v>
      </c>
      <c r="M18" s="244"/>
      <c r="N18" s="1472">
        <f>SUM(AY18:BA18)</f>
        <v>0</v>
      </c>
      <c r="O18" s="1472">
        <f>SUM(BB18:BD18)</f>
        <v>0</v>
      </c>
      <c r="P18" s="1472">
        <f>SUM(BE18:BG18)</f>
        <v>0</v>
      </c>
      <c r="Q18" s="1472">
        <f>SUM(BH18:BJ18)</f>
        <v>0</v>
      </c>
      <c r="R18" s="1472">
        <f>SUM(BK18:BM18)</f>
        <v>0</v>
      </c>
      <c r="S18" s="1472">
        <f>SUM(BN18:BP18)</f>
        <v>0</v>
      </c>
      <c r="T18" s="1472">
        <f>SUM(BQ18:BS18)</f>
        <v>0</v>
      </c>
      <c r="U18" s="1472">
        <f>SUM(BT18:BV18)</f>
        <v>0</v>
      </c>
      <c r="V18" s="1472">
        <f>SUM(BW18:BY18)</f>
        <v>0</v>
      </c>
      <c r="W18" s="1472">
        <f>SUM(BZ18:CB18)</f>
        <v>0</v>
      </c>
      <c r="X18" s="1472">
        <f>SUM(CC18:CE18)</f>
        <v>0</v>
      </c>
      <c r="Y18" s="1472">
        <f>SUM(CF18:CH18)</f>
        <v>0</v>
      </c>
      <c r="Z18" s="1472">
        <f>SUM(CI18:CK18)</f>
        <v>0</v>
      </c>
      <c r="AA18" s="1472">
        <f>SUM(CL18:CN18)</f>
        <v>0</v>
      </c>
      <c r="AB18" s="1472">
        <f>SUM(CO18:CQ18)</f>
        <v>0</v>
      </c>
      <c r="AC18" s="1472">
        <f>SUM(CR18:CT18)</f>
        <v>0</v>
      </c>
      <c r="AD18" s="1472">
        <f>SUM(CU18:CW18)</f>
        <v>0</v>
      </c>
      <c r="AE18" s="1472">
        <f>SUM(CX18:CZ18)</f>
        <v>0</v>
      </c>
      <c r="AF18" s="1472">
        <f>SUM(DA18:DC18)</f>
        <v>0</v>
      </c>
      <c r="AG18" s="1472">
        <f>SUM(DD18:DF18)</f>
        <v>0</v>
      </c>
      <c r="AH18" s="1472">
        <f>SUM(DG18:DI18)</f>
        <v>165318.99007367884</v>
      </c>
      <c r="AI18" s="1472">
        <f>SUM(DJ18:DL18)</f>
        <v>224322.84242675465</v>
      </c>
      <c r="AJ18" s="1472">
        <f>SUM(DM18:DO18)</f>
        <v>210431.75359865007</v>
      </c>
      <c r="AK18" s="1472">
        <f>SUM(DP18:DR18)</f>
        <v>306409.07753458887</v>
      </c>
      <c r="AL18" s="1472">
        <f>SUM(DS18:DU18)</f>
        <v>989675.92070528143</v>
      </c>
      <c r="AM18" s="1472">
        <f>SUM(DV18:DX18)</f>
        <v>1342900.2652083761</v>
      </c>
      <c r="AN18" s="1472">
        <f>SUM(DY18:EA18)</f>
        <v>1259741.7840234484</v>
      </c>
      <c r="AO18" s="1472">
        <f>SUM(EB18:ED18)</f>
        <v>1834306.4265415045</v>
      </c>
      <c r="AP18" s="1472">
        <f>SUM(EE18:EG18)</f>
        <v>1659214.3328805096</v>
      </c>
      <c r="AQ18" s="1472">
        <f>SUM(EH18:EJ18)</f>
        <v>2251403.031080015</v>
      </c>
      <c r="AR18" s="1472">
        <f>SUM(EK18:EM18)</f>
        <v>2111985.9340324504</v>
      </c>
      <c r="AS18" s="1472">
        <f>SUM(EN18:EP18)</f>
        <v>3075256.7079166397</v>
      </c>
      <c r="AT18" s="1472">
        <f>SUM(EQ18:ES18)</f>
        <v>2484442.2928134385</v>
      </c>
      <c r="AU18" s="1472">
        <f>SUM(ET18:EV18)</f>
        <v>3371162.3614490433</v>
      </c>
      <c r="AV18" s="1472">
        <f>SUM(EW18:EY18)</f>
        <v>3162404.6829609862</v>
      </c>
      <c r="AW18" s="1472">
        <f>SUM(EZ18:FB18)</f>
        <v>4604768.4587814789</v>
      </c>
      <c r="AY18" s="1472">
        <f t="shared" ref="AY18:CD18" si="36">AY79</f>
        <v>0</v>
      </c>
      <c r="AZ18" s="1472">
        <f t="shared" si="36"/>
        <v>0</v>
      </c>
      <c r="BA18" s="1472">
        <f t="shared" si="36"/>
        <v>0</v>
      </c>
      <c r="BB18" s="1472">
        <f t="shared" si="36"/>
        <v>0</v>
      </c>
      <c r="BC18" s="1472">
        <f t="shared" si="36"/>
        <v>0</v>
      </c>
      <c r="BD18" s="1472">
        <f t="shared" si="36"/>
        <v>0</v>
      </c>
      <c r="BE18" s="1472">
        <f t="shared" si="36"/>
        <v>0</v>
      </c>
      <c r="BF18" s="1472">
        <f t="shared" si="36"/>
        <v>0</v>
      </c>
      <c r="BG18" s="1472">
        <f t="shared" si="36"/>
        <v>0</v>
      </c>
      <c r="BH18" s="1472">
        <f t="shared" si="36"/>
        <v>0</v>
      </c>
      <c r="BI18" s="1472">
        <f t="shared" si="36"/>
        <v>0</v>
      </c>
      <c r="BJ18" s="1472">
        <f t="shared" si="36"/>
        <v>0</v>
      </c>
      <c r="BK18" s="1472">
        <f t="shared" si="36"/>
        <v>0</v>
      </c>
      <c r="BL18" s="1472">
        <f t="shared" si="36"/>
        <v>0</v>
      </c>
      <c r="BM18" s="1472">
        <f t="shared" si="36"/>
        <v>0</v>
      </c>
      <c r="BN18" s="1472">
        <f t="shared" si="36"/>
        <v>0</v>
      </c>
      <c r="BO18" s="1472">
        <f t="shared" si="36"/>
        <v>0</v>
      </c>
      <c r="BP18" s="1472">
        <f t="shared" si="36"/>
        <v>0</v>
      </c>
      <c r="BQ18" s="1472">
        <f t="shared" si="36"/>
        <v>0</v>
      </c>
      <c r="BR18" s="1472">
        <f t="shared" si="36"/>
        <v>0</v>
      </c>
      <c r="BS18" s="1472">
        <f t="shared" si="36"/>
        <v>0</v>
      </c>
      <c r="BT18" s="1472">
        <f t="shared" si="36"/>
        <v>0</v>
      </c>
      <c r="BU18" s="1472">
        <f t="shared" si="36"/>
        <v>0</v>
      </c>
      <c r="BV18" s="1472">
        <f t="shared" si="36"/>
        <v>0</v>
      </c>
      <c r="BW18" s="1472">
        <f t="shared" si="36"/>
        <v>0</v>
      </c>
      <c r="BX18" s="1472">
        <f t="shared" si="36"/>
        <v>0</v>
      </c>
      <c r="BY18" s="1472">
        <f t="shared" si="36"/>
        <v>0</v>
      </c>
      <c r="BZ18" s="1472">
        <f t="shared" si="36"/>
        <v>0</v>
      </c>
      <c r="CA18" s="1472">
        <f t="shared" si="36"/>
        <v>0</v>
      </c>
      <c r="CB18" s="1472">
        <f t="shared" si="36"/>
        <v>0</v>
      </c>
      <c r="CC18" s="1472">
        <f t="shared" si="36"/>
        <v>0</v>
      </c>
      <c r="CD18" s="1472">
        <f t="shared" si="36"/>
        <v>0</v>
      </c>
      <c r="CE18" s="1472">
        <f t="shared" ref="CE18:DJ18" si="37">CE79</f>
        <v>0</v>
      </c>
      <c r="CF18" s="1472">
        <f t="shared" si="37"/>
        <v>0</v>
      </c>
      <c r="CG18" s="1472">
        <f t="shared" si="37"/>
        <v>0</v>
      </c>
      <c r="CH18" s="1472">
        <f t="shared" si="37"/>
        <v>0</v>
      </c>
      <c r="CI18" s="1472">
        <f t="shared" si="37"/>
        <v>0</v>
      </c>
      <c r="CJ18" s="1472">
        <f t="shared" si="37"/>
        <v>0</v>
      </c>
      <c r="CK18" s="1472">
        <f t="shared" si="37"/>
        <v>0</v>
      </c>
      <c r="CL18" s="1472">
        <f t="shared" si="37"/>
        <v>0</v>
      </c>
      <c r="CM18" s="1472">
        <f t="shared" si="37"/>
        <v>0</v>
      </c>
      <c r="CN18" s="1472">
        <f t="shared" si="37"/>
        <v>0</v>
      </c>
      <c r="CO18" s="1472">
        <f t="shared" si="37"/>
        <v>0</v>
      </c>
      <c r="CP18" s="1472">
        <f t="shared" si="37"/>
        <v>0</v>
      </c>
      <c r="CQ18" s="1472">
        <f t="shared" si="37"/>
        <v>0</v>
      </c>
      <c r="CR18" s="1472">
        <f t="shared" si="37"/>
        <v>0</v>
      </c>
      <c r="CS18" s="1472">
        <f t="shared" si="37"/>
        <v>0</v>
      </c>
      <c r="CT18" s="1472">
        <f t="shared" si="37"/>
        <v>0</v>
      </c>
      <c r="CU18" s="1472">
        <f t="shared" si="37"/>
        <v>0</v>
      </c>
      <c r="CV18" s="1472">
        <f t="shared" si="37"/>
        <v>0</v>
      </c>
      <c r="CW18" s="1472">
        <f t="shared" si="37"/>
        <v>0</v>
      </c>
      <c r="CX18" s="1472">
        <f t="shared" si="37"/>
        <v>0</v>
      </c>
      <c r="CY18" s="1472">
        <f t="shared" si="37"/>
        <v>0</v>
      </c>
      <c r="CZ18" s="1472">
        <f t="shared" si="37"/>
        <v>0</v>
      </c>
      <c r="DA18" s="1472">
        <f t="shared" si="37"/>
        <v>0</v>
      </c>
      <c r="DB18" s="1472">
        <f t="shared" si="37"/>
        <v>0</v>
      </c>
      <c r="DC18" s="1472">
        <f t="shared" si="37"/>
        <v>0</v>
      </c>
      <c r="DD18" s="1472">
        <f t="shared" si="37"/>
        <v>0</v>
      </c>
      <c r="DE18" s="1472">
        <f t="shared" si="37"/>
        <v>0</v>
      </c>
      <c r="DF18" s="1472">
        <f t="shared" si="37"/>
        <v>0</v>
      </c>
      <c r="DG18" s="1472">
        <f t="shared" si="37"/>
        <v>22838.12687673972</v>
      </c>
      <c r="DH18" s="1472">
        <f t="shared" si="37"/>
        <v>48238.953854184772</v>
      </c>
      <c r="DI18" s="1472">
        <f t="shared" si="37"/>
        <v>94241.909342754341</v>
      </c>
      <c r="DJ18" s="1472">
        <f t="shared" si="37"/>
        <v>40655.170665923353</v>
      </c>
      <c r="DK18" s="1472">
        <f t="shared" ref="DK18:EP18" si="38">DK79</f>
        <v>76253.817657334483</v>
      </c>
      <c r="DL18" s="1472">
        <f t="shared" si="38"/>
        <v>107413.85410349684</v>
      </c>
      <c r="DM18" s="1472">
        <f t="shared" si="38"/>
        <v>35556.647777451042</v>
      </c>
      <c r="DN18" s="1472">
        <f t="shared" si="38"/>
        <v>63401.024511259988</v>
      </c>
      <c r="DO18" s="1472">
        <f t="shared" si="38"/>
        <v>111474.08130993904</v>
      </c>
      <c r="DP18" s="1472">
        <f t="shared" si="38"/>
        <v>42609.562569497757</v>
      </c>
      <c r="DQ18" s="1472">
        <f t="shared" si="38"/>
        <v>122424.65323021893</v>
      </c>
      <c r="DR18" s="1472">
        <f t="shared" si="38"/>
        <v>141374.86173487219</v>
      </c>
      <c r="DS18" s="1472">
        <f t="shared" si="38"/>
        <v>136719.58819642002</v>
      </c>
      <c r="DT18" s="1472">
        <f t="shared" si="38"/>
        <v>288780.6842288528</v>
      </c>
      <c r="DU18" s="1472">
        <f t="shared" si="38"/>
        <v>564175.64828000858</v>
      </c>
      <c r="DV18" s="1472">
        <f t="shared" si="38"/>
        <v>243380.65120223665</v>
      </c>
      <c r="DW18" s="1472">
        <f t="shared" si="38"/>
        <v>456490.61347206065</v>
      </c>
      <c r="DX18" s="1472">
        <f t="shared" si="38"/>
        <v>643029.00053407892</v>
      </c>
      <c r="DY18" s="1472">
        <f t="shared" si="38"/>
        <v>212858.53555395597</v>
      </c>
      <c r="DZ18" s="1472">
        <f t="shared" si="38"/>
        <v>379547.85036416381</v>
      </c>
      <c r="EA18" s="1472">
        <f t="shared" si="38"/>
        <v>667335.39810532844</v>
      </c>
      <c r="EB18" s="1472">
        <f t="shared" si="38"/>
        <v>255080.54487886088</v>
      </c>
      <c r="EC18" s="1472">
        <f t="shared" si="38"/>
        <v>732890.58533834026</v>
      </c>
      <c r="ED18" s="1472">
        <f t="shared" si="38"/>
        <v>846335.29632430326</v>
      </c>
      <c r="EE18" s="1472">
        <f t="shared" si="38"/>
        <v>229213.51886520686</v>
      </c>
      <c r="EF18" s="1472">
        <f t="shared" si="38"/>
        <v>484147.42675571295</v>
      </c>
      <c r="EG18" s="1472">
        <f t="shared" si="38"/>
        <v>945853.38725958962</v>
      </c>
      <c r="EH18" s="1472">
        <f t="shared" si="38"/>
        <v>408033.23226533056</v>
      </c>
      <c r="EI18" s="1472">
        <f t="shared" si="38"/>
        <v>765316.96169640636</v>
      </c>
      <c r="EJ18" s="1472">
        <f t="shared" si="38"/>
        <v>1078052.8371182778</v>
      </c>
      <c r="EK18" s="1472">
        <f t="shared" si="38"/>
        <v>356862.20678723906</v>
      </c>
      <c r="EL18" s="1472">
        <f t="shared" si="38"/>
        <v>636320.65827106545</v>
      </c>
      <c r="EM18" s="1472">
        <f t="shared" si="38"/>
        <v>1118803.0689741457</v>
      </c>
      <c r="EN18" s="1472">
        <f t="shared" si="38"/>
        <v>427648.37180272455</v>
      </c>
      <c r="EO18" s="1472">
        <f t="shared" si="38"/>
        <v>1228707.8408050744</v>
      </c>
      <c r="EP18" s="1472">
        <f t="shared" si="38"/>
        <v>1418900.4953088406</v>
      </c>
      <c r="EQ18" s="1472">
        <f t="shared" ref="EQ18:FB18" si="39">EQ79</f>
        <v>343215.30923896731</v>
      </c>
      <c r="ER18" s="1472">
        <f t="shared" si="39"/>
        <v>724943.31754022639</v>
      </c>
      <c r="ES18" s="1472">
        <f t="shared" si="39"/>
        <v>1416283.6660342447</v>
      </c>
      <c r="ET18" s="1472">
        <f t="shared" si="39"/>
        <v>610972.91593030235</v>
      </c>
      <c r="EU18" s="1472">
        <f t="shared" si="39"/>
        <v>1145955.5220603107</v>
      </c>
      <c r="EV18" s="1472">
        <f t="shared" si="39"/>
        <v>1614233.92345843</v>
      </c>
      <c r="EW18" s="1472">
        <f t="shared" si="39"/>
        <v>534351.43469966727</v>
      </c>
      <c r="EX18" s="1472">
        <f t="shared" si="39"/>
        <v>952801.5301404543</v>
      </c>
      <c r="EY18" s="1472">
        <f t="shared" si="39"/>
        <v>1675251.7181208644</v>
      </c>
      <c r="EZ18" s="1472">
        <f t="shared" si="39"/>
        <v>640343.85450068908</v>
      </c>
      <c r="FA18" s="1472">
        <f t="shared" si="39"/>
        <v>1839818.8014130718</v>
      </c>
      <c r="FB18" s="1472">
        <f t="shared" si="39"/>
        <v>2124605.802867718</v>
      </c>
    </row>
    <row r="19" spans="3:158" x14ac:dyDescent="0.25">
      <c r="C19" s="258" t="s">
        <v>22</v>
      </c>
      <c r="D19" s="1473">
        <f t="shared" ref="D19:L19" si="40">-D16*(1-D21)</f>
        <v>0</v>
      </c>
      <c r="E19" s="1473">
        <f t="shared" si="40"/>
        <v>0</v>
      </c>
      <c r="F19" s="1473">
        <f t="shared" si="40"/>
        <v>0</v>
      </c>
      <c r="G19" s="1473">
        <f t="shared" si="40"/>
        <v>0</v>
      </c>
      <c r="H19" s="1473">
        <f t="shared" si="40"/>
        <v>0</v>
      </c>
      <c r="I19" s="1473">
        <f t="shared" si="40"/>
        <v>-2492.9715578500245</v>
      </c>
      <c r="J19" s="1473">
        <f t="shared" si="40"/>
        <v>-109095.65997392594</v>
      </c>
      <c r="K19" s="1473">
        <f t="shared" si="40"/>
        <v>-574584.17848449748</v>
      </c>
      <c r="L19" s="1473">
        <f t="shared" si="40"/>
        <v>-1290944.0006799554</v>
      </c>
      <c r="M19" s="244"/>
      <c r="N19" s="1473">
        <f>SUM(AY19:BA19)</f>
        <v>0</v>
      </c>
      <c r="O19" s="1473">
        <f>SUM(BB19:BD19)</f>
        <v>0</v>
      </c>
      <c r="P19" s="1473">
        <f>SUM(BE19:BG19)</f>
        <v>0</v>
      </c>
      <c r="Q19" s="1473">
        <f>SUM(BH19:BJ19)</f>
        <v>0</v>
      </c>
      <c r="R19" s="1473">
        <f>SUM(BK19:BM19)</f>
        <v>0</v>
      </c>
      <c r="S19" s="1473">
        <f>SUM(BN19:BP19)</f>
        <v>0</v>
      </c>
      <c r="T19" s="1473">
        <f>SUM(BQ19:BS19)</f>
        <v>0</v>
      </c>
      <c r="U19" s="1473">
        <f>SUM(BT19:BV19)</f>
        <v>0</v>
      </c>
      <c r="V19" s="1473">
        <f>SUM(BW19:BY19)</f>
        <v>0</v>
      </c>
      <c r="W19" s="1473">
        <f>SUM(BZ19:CB19)</f>
        <v>0</v>
      </c>
      <c r="X19" s="1473">
        <f>SUM(CC19:CE19)</f>
        <v>0</v>
      </c>
      <c r="Y19" s="1473">
        <f>SUM(CF19:CH19)</f>
        <v>0</v>
      </c>
      <c r="Z19" s="1473">
        <f>SUM(CI19:CK19)</f>
        <v>0</v>
      </c>
      <c r="AA19" s="1473">
        <f>SUM(CL19:CN19)</f>
        <v>0</v>
      </c>
      <c r="AB19" s="1473">
        <f>SUM(CO19:CQ19)</f>
        <v>0</v>
      </c>
      <c r="AC19" s="1473">
        <f>SUM(CR19:CT19)</f>
        <v>0</v>
      </c>
      <c r="AD19" s="1473">
        <f>SUM(CU19:CW19)</f>
        <v>0</v>
      </c>
      <c r="AE19" s="1473">
        <f>SUM(CX19:CZ19)</f>
        <v>0</v>
      </c>
      <c r="AF19" s="1473">
        <f>SUM(DA19:DC19)</f>
        <v>0</v>
      </c>
      <c r="AG19" s="1473">
        <f>SUM(DD19:DF19)</f>
        <v>0</v>
      </c>
      <c r="AH19" s="1473">
        <f>SUM(DG19:DI19)</f>
        <v>-512.95100373809896</v>
      </c>
      <c r="AI19" s="1473">
        <f>SUM(DJ19:DL19)</f>
        <v>-577.77120397244016</v>
      </c>
      <c r="AJ19" s="1473">
        <f>SUM(DM19:DO19)</f>
        <v>-529.54206867643529</v>
      </c>
      <c r="AK19" s="1473">
        <f>SUM(DP19:DR19)</f>
        <v>-872.70728146304987</v>
      </c>
      <c r="AL19" s="1473">
        <f>SUM(DS19:DU19)</f>
        <v>-22447.399414118074</v>
      </c>
      <c r="AM19" s="1473">
        <f>SUM(DV19:DX19)</f>
        <v>-25284.015219837947</v>
      </c>
      <c r="AN19" s="1473">
        <f>SUM(DY19:EA19)</f>
        <v>-23173.445875987476</v>
      </c>
      <c r="AO19" s="1473">
        <f>SUM(EB19:ED19)</f>
        <v>-38190.799463982432</v>
      </c>
      <c r="AP19" s="1473">
        <f>SUM(EE19:EG19)</f>
        <v>-118225.78968363223</v>
      </c>
      <c r="AQ19" s="1473">
        <f>SUM(EH19:EJ19)</f>
        <v>-133165.65587808247</v>
      </c>
      <c r="AR19" s="1473">
        <f>SUM(EK19:EM19)</f>
        <v>-122049.72557562383</v>
      </c>
      <c r="AS19" s="1473">
        <f>SUM(EN19:EP19)</f>
        <v>-201143.00734715888</v>
      </c>
      <c r="AT19" s="1473">
        <f>SUM(EQ19:ES19)</f>
        <v>-265623.17521566252</v>
      </c>
      <c r="AU19" s="1473">
        <f>SUM(ET19:EV19)</f>
        <v>-299189.24152392091</v>
      </c>
      <c r="AV19" s="1473">
        <f>SUM(EW19:EY19)</f>
        <v>-274214.58320007939</v>
      </c>
      <c r="AW19" s="1473">
        <f>SUM(EZ19:FB19)</f>
        <v>-451917.00074029242</v>
      </c>
      <c r="AY19" s="1473">
        <f t="shared" ref="AY19:CD19" si="41">INDEX($D19:$L19,MATCH(AY$2,$D$2:$L$2,0))*AY22</f>
        <v>0</v>
      </c>
      <c r="AZ19" s="1473">
        <f t="shared" si="41"/>
        <v>0</v>
      </c>
      <c r="BA19" s="1473">
        <f t="shared" si="41"/>
        <v>0</v>
      </c>
      <c r="BB19" s="1473">
        <f t="shared" si="41"/>
        <v>0</v>
      </c>
      <c r="BC19" s="1473">
        <f t="shared" si="41"/>
        <v>0</v>
      </c>
      <c r="BD19" s="1473">
        <f t="shared" si="41"/>
        <v>0</v>
      </c>
      <c r="BE19" s="1473">
        <f t="shared" si="41"/>
        <v>0</v>
      </c>
      <c r="BF19" s="1473">
        <f t="shared" si="41"/>
        <v>0</v>
      </c>
      <c r="BG19" s="1473">
        <f t="shared" si="41"/>
        <v>0</v>
      </c>
      <c r="BH19" s="1473">
        <f t="shared" si="41"/>
        <v>0</v>
      </c>
      <c r="BI19" s="1473">
        <f t="shared" si="41"/>
        <v>0</v>
      </c>
      <c r="BJ19" s="1473">
        <f t="shared" si="41"/>
        <v>0</v>
      </c>
      <c r="BK19" s="1473">
        <f t="shared" si="41"/>
        <v>0</v>
      </c>
      <c r="BL19" s="1473">
        <f t="shared" si="41"/>
        <v>0</v>
      </c>
      <c r="BM19" s="1473">
        <f t="shared" si="41"/>
        <v>0</v>
      </c>
      <c r="BN19" s="1473">
        <f t="shared" si="41"/>
        <v>0</v>
      </c>
      <c r="BO19" s="1473">
        <f t="shared" si="41"/>
        <v>0</v>
      </c>
      <c r="BP19" s="1473">
        <f t="shared" si="41"/>
        <v>0</v>
      </c>
      <c r="BQ19" s="1473">
        <f t="shared" si="41"/>
        <v>0</v>
      </c>
      <c r="BR19" s="1473">
        <f t="shared" si="41"/>
        <v>0</v>
      </c>
      <c r="BS19" s="1473">
        <f t="shared" si="41"/>
        <v>0</v>
      </c>
      <c r="BT19" s="1473">
        <f t="shared" si="41"/>
        <v>0</v>
      </c>
      <c r="BU19" s="1473">
        <f t="shared" si="41"/>
        <v>0</v>
      </c>
      <c r="BV19" s="1473">
        <f t="shared" si="41"/>
        <v>0</v>
      </c>
      <c r="BW19" s="1473">
        <f t="shared" si="41"/>
        <v>0</v>
      </c>
      <c r="BX19" s="1473">
        <f t="shared" si="41"/>
        <v>0</v>
      </c>
      <c r="BY19" s="1473">
        <f t="shared" si="41"/>
        <v>0</v>
      </c>
      <c r="BZ19" s="1473">
        <f t="shared" si="41"/>
        <v>0</v>
      </c>
      <c r="CA19" s="1473">
        <f t="shared" si="41"/>
        <v>0</v>
      </c>
      <c r="CB19" s="1473">
        <f t="shared" si="41"/>
        <v>0</v>
      </c>
      <c r="CC19" s="1473">
        <f t="shared" si="41"/>
        <v>0</v>
      </c>
      <c r="CD19" s="1473">
        <f t="shared" si="41"/>
        <v>0</v>
      </c>
      <c r="CE19" s="1473">
        <f t="shared" ref="CE19:DJ19" si="42">INDEX($D19:$L19,MATCH(CE$2,$D$2:$L$2,0))*CE22</f>
        <v>0</v>
      </c>
      <c r="CF19" s="1473">
        <f t="shared" si="42"/>
        <v>0</v>
      </c>
      <c r="CG19" s="1473">
        <f t="shared" si="42"/>
        <v>0</v>
      </c>
      <c r="CH19" s="1473">
        <f t="shared" si="42"/>
        <v>0</v>
      </c>
      <c r="CI19" s="1473">
        <f t="shared" si="42"/>
        <v>0</v>
      </c>
      <c r="CJ19" s="1473">
        <f t="shared" si="42"/>
        <v>0</v>
      </c>
      <c r="CK19" s="1473">
        <f t="shared" si="42"/>
        <v>0</v>
      </c>
      <c r="CL19" s="1473">
        <f t="shared" si="42"/>
        <v>0</v>
      </c>
      <c r="CM19" s="1473">
        <f t="shared" si="42"/>
        <v>0</v>
      </c>
      <c r="CN19" s="1473">
        <f t="shared" si="42"/>
        <v>0</v>
      </c>
      <c r="CO19" s="1473">
        <f t="shared" si="42"/>
        <v>0</v>
      </c>
      <c r="CP19" s="1473">
        <f t="shared" si="42"/>
        <v>0</v>
      </c>
      <c r="CQ19" s="1473">
        <f t="shared" si="42"/>
        <v>0</v>
      </c>
      <c r="CR19" s="1473">
        <f t="shared" si="42"/>
        <v>0</v>
      </c>
      <c r="CS19" s="1473">
        <f t="shared" si="42"/>
        <v>0</v>
      </c>
      <c r="CT19" s="1473">
        <f t="shared" si="42"/>
        <v>0</v>
      </c>
      <c r="CU19" s="1473">
        <f t="shared" si="42"/>
        <v>0</v>
      </c>
      <c r="CV19" s="1473">
        <f t="shared" si="42"/>
        <v>0</v>
      </c>
      <c r="CW19" s="1473">
        <f t="shared" si="42"/>
        <v>0</v>
      </c>
      <c r="CX19" s="1473">
        <f t="shared" si="42"/>
        <v>0</v>
      </c>
      <c r="CY19" s="1473">
        <f t="shared" si="42"/>
        <v>0</v>
      </c>
      <c r="CZ19" s="1473">
        <f t="shared" si="42"/>
        <v>0</v>
      </c>
      <c r="DA19" s="1473">
        <f t="shared" si="42"/>
        <v>0</v>
      </c>
      <c r="DB19" s="1473">
        <f t="shared" si="42"/>
        <v>0</v>
      </c>
      <c r="DC19" s="1473">
        <f t="shared" si="42"/>
        <v>0</v>
      </c>
      <c r="DD19" s="1473">
        <f t="shared" si="42"/>
        <v>0</v>
      </c>
      <c r="DE19" s="1473">
        <f t="shared" si="42"/>
        <v>0</v>
      </c>
      <c r="DF19" s="1473">
        <f t="shared" si="42"/>
        <v>0</v>
      </c>
      <c r="DG19" s="1473">
        <f t="shared" si="42"/>
        <v>-111.02596969081866</v>
      </c>
      <c r="DH19" s="1473">
        <f t="shared" si="42"/>
        <v>-140.42334512379156</v>
      </c>
      <c r="DI19" s="1473">
        <f t="shared" si="42"/>
        <v>-261.50168892348876</v>
      </c>
      <c r="DJ19" s="1473">
        <f t="shared" si="42"/>
        <v>-173.39263230883446</v>
      </c>
      <c r="DK19" s="1473">
        <f t="shared" ref="DK19:EP19" si="43">INDEX($D19:$L19,MATCH(DK$2,$D$2:$L$2,0))*DK22</f>
        <v>-142.05572907056339</v>
      </c>
      <c r="DL19" s="1473">
        <f t="shared" si="43"/>
        <v>-262.32284259304225</v>
      </c>
      <c r="DM19" s="1473">
        <f t="shared" si="43"/>
        <v>-174.87863962466827</v>
      </c>
      <c r="DN19" s="1473">
        <f t="shared" si="43"/>
        <v>-137.18247750864731</v>
      </c>
      <c r="DO19" s="1473">
        <f t="shared" si="43"/>
        <v>-217.48095154311977</v>
      </c>
      <c r="DP19" s="1473">
        <f t="shared" si="43"/>
        <v>-171.92143285468853</v>
      </c>
      <c r="DQ19" s="1473">
        <f t="shared" si="43"/>
        <v>-361.33863677002353</v>
      </c>
      <c r="DR19" s="1473">
        <f t="shared" si="43"/>
        <v>-339.44721183833781</v>
      </c>
      <c r="DS19" s="1473">
        <f t="shared" si="43"/>
        <v>-4858.6400432546116</v>
      </c>
      <c r="DT19" s="1473">
        <f t="shared" si="43"/>
        <v>-6145.1072170427187</v>
      </c>
      <c r="DU19" s="1473">
        <f t="shared" si="43"/>
        <v>-11443.652153820743</v>
      </c>
      <c r="DV19" s="1473">
        <f t="shared" si="43"/>
        <v>-7587.8858692885915</v>
      </c>
      <c r="DW19" s="1473">
        <f t="shared" si="43"/>
        <v>-6216.5424500052241</v>
      </c>
      <c r="DX19" s="1473">
        <f t="shared" si="43"/>
        <v>-11479.586900544131</v>
      </c>
      <c r="DY19" s="1473">
        <f t="shared" si="43"/>
        <v>-7652.9154715463828</v>
      </c>
      <c r="DZ19" s="1473">
        <f t="shared" si="43"/>
        <v>-6003.2826582149382</v>
      </c>
      <c r="EA19" s="1473">
        <f t="shared" si="43"/>
        <v>-9517.2477462261577</v>
      </c>
      <c r="EB19" s="1473">
        <f t="shared" si="43"/>
        <v>-7523.5042782118981</v>
      </c>
      <c r="EC19" s="1473">
        <f t="shared" si="43"/>
        <v>-15812.646128422428</v>
      </c>
      <c r="ED19" s="1473">
        <f t="shared" si="43"/>
        <v>-14854.649057348108</v>
      </c>
      <c r="EE19" s="1473">
        <f t="shared" si="43"/>
        <v>-25589.447815546053</v>
      </c>
      <c r="EF19" s="1473">
        <f t="shared" si="43"/>
        <v>-32365.003180213898</v>
      </c>
      <c r="EG19" s="1473">
        <f t="shared" si="43"/>
        <v>-60271.338687872281</v>
      </c>
      <c r="EH19" s="1473">
        <f t="shared" si="43"/>
        <v>-39963.818631110822</v>
      </c>
      <c r="EI19" s="1473">
        <f t="shared" si="43"/>
        <v>-32741.237712883845</v>
      </c>
      <c r="EJ19" s="1473">
        <f t="shared" si="43"/>
        <v>-60460.5995340878</v>
      </c>
      <c r="EK19" s="1473">
        <f t="shared" si="43"/>
        <v>-40306.316037509911</v>
      </c>
      <c r="EL19" s="1473">
        <f t="shared" si="43"/>
        <v>-31618.042690287322</v>
      </c>
      <c r="EM19" s="1473">
        <f t="shared" si="43"/>
        <v>-50125.366847826612</v>
      </c>
      <c r="EN19" s="1473">
        <f t="shared" si="43"/>
        <v>-39624.734164990281</v>
      </c>
      <c r="EO19" s="1473">
        <f t="shared" si="43"/>
        <v>-83281.92237470462</v>
      </c>
      <c r="EP19" s="1473">
        <f t="shared" si="43"/>
        <v>-78236.350807463983</v>
      </c>
      <c r="EQ19" s="1473">
        <f t="shared" ref="EQ19:FB19" si="44">INDEX($D19:$L19,MATCH(EQ$2,$D$2:$L$2,0))*EQ22</f>
        <v>-57492.958169023535</v>
      </c>
      <c r="ER19" s="1473">
        <f t="shared" si="44"/>
        <v>-72715.901780807719</v>
      </c>
      <c r="ES19" s="1473">
        <f t="shared" si="44"/>
        <v>-135414.31526583128</v>
      </c>
      <c r="ET19" s="1473">
        <f t="shared" si="44"/>
        <v>-89788.500689610082</v>
      </c>
      <c r="EU19" s="1473">
        <f t="shared" si="44"/>
        <v>-73561.204751174839</v>
      </c>
      <c r="EV19" s="1473">
        <f t="shared" si="44"/>
        <v>-135839.53608313599</v>
      </c>
      <c r="EW19" s="1473">
        <f t="shared" si="44"/>
        <v>-90558.004947812122</v>
      </c>
      <c r="EX19" s="1473">
        <f t="shared" si="44"/>
        <v>-71037.672203099821</v>
      </c>
      <c r="EY19" s="1473">
        <f t="shared" si="44"/>
        <v>-112618.90604916745</v>
      </c>
      <c r="EZ19" s="1473">
        <f t="shared" si="44"/>
        <v>-89026.664437145475</v>
      </c>
      <c r="FA19" s="1473">
        <f t="shared" si="44"/>
        <v>-187113.22392880576</v>
      </c>
      <c r="FB19" s="1473">
        <f t="shared" si="44"/>
        <v>-175777.11237434117</v>
      </c>
    </row>
    <row r="20" spans="3:158" x14ac:dyDescent="0.25">
      <c r="C20" s="512" t="s">
        <v>24</v>
      </c>
      <c r="D20" s="1474">
        <f t="shared" ref="D20:L20" si="45">SUM(D16:D19)</f>
        <v>0</v>
      </c>
      <c r="E20" s="1474">
        <f t="shared" si="45"/>
        <v>0</v>
      </c>
      <c r="F20" s="1474">
        <f t="shared" si="45"/>
        <v>0</v>
      </c>
      <c r="G20" s="1474">
        <f t="shared" si="45"/>
        <v>0</v>
      </c>
      <c r="H20" s="1474">
        <f t="shared" si="45"/>
        <v>33284.931602770004</v>
      </c>
      <c r="I20" s="1474">
        <f t="shared" si="45"/>
        <v>1496554.1725452952</v>
      </c>
      <c r="J20" s="1474">
        <f t="shared" si="45"/>
        <v>8104388.97640792</v>
      </c>
      <c r="K20" s="1474">
        <f t="shared" si="45"/>
        <v>18737058.11235312</v>
      </c>
      <c r="L20" s="1474">
        <f t="shared" si="45"/>
        <v>34833784.353454262</v>
      </c>
      <c r="N20" s="1474">
        <f t="shared" ref="N20:AW20" si="46">SUM(N16:N19)</f>
        <v>0</v>
      </c>
      <c r="O20" s="1474">
        <f t="shared" si="46"/>
        <v>0</v>
      </c>
      <c r="P20" s="1474">
        <f t="shared" si="46"/>
        <v>0</v>
      </c>
      <c r="Q20" s="1474">
        <f t="shared" si="46"/>
        <v>0</v>
      </c>
      <c r="R20" s="1474">
        <f t="shared" si="46"/>
        <v>0</v>
      </c>
      <c r="S20" s="1474">
        <f t="shared" si="46"/>
        <v>0</v>
      </c>
      <c r="T20" s="1474">
        <f t="shared" si="46"/>
        <v>0</v>
      </c>
      <c r="U20" s="1474">
        <f t="shared" si="46"/>
        <v>0</v>
      </c>
      <c r="V20" s="1474">
        <f t="shared" si="46"/>
        <v>0</v>
      </c>
      <c r="W20" s="1474">
        <f t="shared" si="46"/>
        <v>0</v>
      </c>
      <c r="X20" s="1474">
        <f t="shared" si="46"/>
        <v>0</v>
      </c>
      <c r="Y20" s="1474">
        <f t="shared" si="46"/>
        <v>0</v>
      </c>
      <c r="Z20" s="1474">
        <f t="shared" si="46"/>
        <v>0</v>
      </c>
      <c r="AA20" s="1474">
        <f t="shared" si="46"/>
        <v>0</v>
      </c>
      <c r="AB20" s="1474">
        <f t="shared" si="46"/>
        <v>0</v>
      </c>
      <c r="AC20" s="1474">
        <f t="shared" si="46"/>
        <v>0</v>
      </c>
      <c r="AD20" s="1474">
        <f t="shared" si="46"/>
        <v>0</v>
      </c>
      <c r="AE20" s="1474">
        <f t="shared" si="46"/>
        <v>0</v>
      </c>
      <c r="AF20" s="1474">
        <f t="shared" si="46"/>
        <v>0</v>
      </c>
      <c r="AG20" s="1474">
        <f t="shared" si="46"/>
        <v>33284.931602770004</v>
      </c>
      <c r="AH20" s="1474">
        <f t="shared" si="46"/>
        <v>221420.38386234816</v>
      </c>
      <c r="AI20" s="1474">
        <f t="shared" si="46"/>
        <v>476821.34819526441</v>
      </c>
      <c r="AJ20" s="1474">
        <f t="shared" si="46"/>
        <v>845100.18101107061</v>
      </c>
      <c r="AK20" s="1474">
        <f t="shared" si="46"/>
        <v>1496554.1725452954</v>
      </c>
      <c r="AL20" s="1474">
        <f t="shared" si="46"/>
        <v>2699101.1444800538</v>
      </c>
      <c r="AM20" s="1474">
        <f t="shared" si="46"/>
        <v>4336023.1421041479</v>
      </c>
      <c r="AN20" s="1474">
        <f t="shared" si="46"/>
        <v>5872124.3663464244</v>
      </c>
      <c r="AO20" s="1474">
        <f t="shared" si="46"/>
        <v>8104388.9764079209</v>
      </c>
      <c r="AP20" s="1474">
        <f t="shared" si="46"/>
        <v>10030076.29590003</v>
      </c>
      <c r="AQ20" s="1474">
        <f t="shared" si="46"/>
        <v>12670314.942330273</v>
      </c>
      <c r="AR20" s="1474">
        <f t="shared" si="46"/>
        <v>15149927.733416723</v>
      </c>
      <c r="AS20" s="1474">
        <f t="shared" si="46"/>
        <v>18737058.11235312</v>
      </c>
      <c r="AT20" s="1474">
        <f t="shared" si="46"/>
        <v>21642496.226476204</v>
      </c>
      <c r="AU20" s="1474">
        <f t="shared" si="46"/>
        <v>25646148.912651502</v>
      </c>
      <c r="AV20" s="1474">
        <f t="shared" si="46"/>
        <v>29408324.750097901</v>
      </c>
      <c r="AW20" s="1474">
        <f t="shared" si="46"/>
        <v>34833784.353454269</v>
      </c>
      <c r="AY20" s="1474">
        <f t="shared" ref="AY20:CD20" si="47">SUM(AY16:AY19)</f>
        <v>0</v>
      </c>
      <c r="AZ20" s="1474">
        <f t="shared" si="47"/>
        <v>0</v>
      </c>
      <c r="BA20" s="1474">
        <f t="shared" si="47"/>
        <v>0</v>
      </c>
      <c r="BB20" s="1474">
        <f t="shared" si="47"/>
        <v>0</v>
      </c>
      <c r="BC20" s="1474">
        <f t="shared" si="47"/>
        <v>0</v>
      </c>
      <c r="BD20" s="1474">
        <f t="shared" si="47"/>
        <v>0</v>
      </c>
      <c r="BE20" s="1474">
        <f t="shared" si="47"/>
        <v>0</v>
      </c>
      <c r="BF20" s="1474">
        <f t="shared" si="47"/>
        <v>0</v>
      </c>
      <c r="BG20" s="1474">
        <f t="shared" si="47"/>
        <v>0</v>
      </c>
      <c r="BH20" s="1474">
        <f t="shared" si="47"/>
        <v>0</v>
      </c>
      <c r="BI20" s="1474">
        <f t="shared" si="47"/>
        <v>0</v>
      </c>
      <c r="BJ20" s="1474">
        <f t="shared" si="47"/>
        <v>0</v>
      </c>
      <c r="BK20" s="1474">
        <f t="shared" si="47"/>
        <v>0</v>
      </c>
      <c r="BL20" s="1474">
        <f t="shared" si="47"/>
        <v>0</v>
      </c>
      <c r="BM20" s="1474">
        <f t="shared" si="47"/>
        <v>0</v>
      </c>
      <c r="BN20" s="1474">
        <f t="shared" si="47"/>
        <v>0</v>
      </c>
      <c r="BO20" s="1474">
        <f t="shared" si="47"/>
        <v>0</v>
      </c>
      <c r="BP20" s="1474">
        <f t="shared" si="47"/>
        <v>0</v>
      </c>
      <c r="BQ20" s="1474">
        <f t="shared" si="47"/>
        <v>0</v>
      </c>
      <c r="BR20" s="1474">
        <f t="shared" si="47"/>
        <v>0</v>
      </c>
      <c r="BS20" s="1474">
        <f t="shared" si="47"/>
        <v>0</v>
      </c>
      <c r="BT20" s="1474">
        <f t="shared" si="47"/>
        <v>0</v>
      </c>
      <c r="BU20" s="1474">
        <f t="shared" si="47"/>
        <v>0</v>
      </c>
      <c r="BV20" s="1474">
        <f t="shared" si="47"/>
        <v>0</v>
      </c>
      <c r="BW20" s="1474">
        <f t="shared" si="47"/>
        <v>0</v>
      </c>
      <c r="BX20" s="1474">
        <f t="shared" si="47"/>
        <v>0</v>
      </c>
      <c r="BY20" s="1474">
        <f t="shared" si="47"/>
        <v>0</v>
      </c>
      <c r="BZ20" s="1474">
        <f t="shared" si="47"/>
        <v>0</v>
      </c>
      <c r="CA20" s="1474">
        <f t="shared" si="47"/>
        <v>0</v>
      </c>
      <c r="CB20" s="1474">
        <f t="shared" si="47"/>
        <v>0</v>
      </c>
      <c r="CC20" s="1474">
        <f t="shared" si="47"/>
        <v>0</v>
      </c>
      <c r="CD20" s="1474">
        <f t="shared" si="47"/>
        <v>0</v>
      </c>
      <c r="CE20" s="1474">
        <f t="shared" ref="CE20:DJ20" si="48">SUM(CE16:CE19)</f>
        <v>0</v>
      </c>
      <c r="CF20" s="1474">
        <f t="shared" si="48"/>
        <v>0</v>
      </c>
      <c r="CG20" s="1474">
        <f t="shared" si="48"/>
        <v>0</v>
      </c>
      <c r="CH20" s="1474">
        <f t="shared" si="48"/>
        <v>0</v>
      </c>
      <c r="CI20" s="1474">
        <f t="shared" si="48"/>
        <v>0</v>
      </c>
      <c r="CJ20" s="1474">
        <f t="shared" si="48"/>
        <v>0</v>
      </c>
      <c r="CK20" s="1474">
        <f t="shared" si="48"/>
        <v>0</v>
      </c>
      <c r="CL20" s="1474">
        <f t="shared" si="48"/>
        <v>0</v>
      </c>
      <c r="CM20" s="1474">
        <f t="shared" si="48"/>
        <v>0</v>
      </c>
      <c r="CN20" s="1474">
        <f t="shared" si="48"/>
        <v>0</v>
      </c>
      <c r="CO20" s="1474">
        <f t="shared" si="48"/>
        <v>0</v>
      </c>
      <c r="CP20" s="1474">
        <f t="shared" si="48"/>
        <v>0</v>
      </c>
      <c r="CQ20" s="1474">
        <f t="shared" si="48"/>
        <v>0</v>
      </c>
      <c r="CR20" s="1474">
        <f t="shared" si="48"/>
        <v>0</v>
      </c>
      <c r="CS20" s="1474">
        <f t="shared" si="48"/>
        <v>0</v>
      </c>
      <c r="CT20" s="1474">
        <f t="shared" si="48"/>
        <v>0</v>
      </c>
      <c r="CU20" s="1474">
        <f t="shared" si="48"/>
        <v>0</v>
      </c>
      <c r="CV20" s="1474">
        <f t="shared" si="48"/>
        <v>0</v>
      </c>
      <c r="CW20" s="1474">
        <f t="shared" si="48"/>
        <v>0</v>
      </c>
      <c r="CX20" s="1474">
        <f t="shared" si="48"/>
        <v>0</v>
      </c>
      <c r="CY20" s="1474">
        <f t="shared" si="48"/>
        <v>0</v>
      </c>
      <c r="CZ20" s="1474">
        <f t="shared" si="48"/>
        <v>0</v>
      </c>
      <c r="DA20" s="1474">
        <f t="shared" si="48"/>
        <v>0</v>
      </c>
      <c r="DB20" s="1474">
        <f t="shared" si="48"/>
        <v>0</v>
      </c>
      <c r="DC20" s="1474">
        <f t="shared" si="48"/>
        <v>0</v>
      </c>
      <c r="DD20" s="1474">
        <f t="shared" si="48"/>
        <v>4945.2043490843798</v>
      </c>
      <c r="DE20" s="1474">
        <f t="shared" si="48"/>
        <v>18136.185485704507</v>
      </c>
      <c r="DF20" s="1474">
        <f t="shared" si="48"/>
        <v>33284.931602770004</v>
      </c>
      <c r="DG20" s="1474">
        <f t="shared" si="48"/>
        <v>59234.893344786309</v>
      </c>
      <c r="DH20" s="1474">
        <f t="shared" si="48"/>
        <v>114140.78751968248</v>
      </c>
      <c r="DI20" s="1474">
        <f t="shared" si="48"/>
        <v>221420.38386234816</v>
      </c>
      <c r="DJ20" s="1474">
        <f t="shared" si="48"/>
        <v>267639.32055110473</v>
      </c>
      <c r="DK20" s="1474">
        <f t="shared" ref="DK20:EP20" si="49">SUM(DK16:DK19)</f>
        <v>354511.83548555616</v>
      </c>
      <c r="DL20" s="1474">
        <f t="shared" si="49"/>
        <v>476821.34819526441</v>
      </c>
      <c r="DM20" s="1474">
        <f t="shared" si="49"/>
        <v>538964.01079588814</v>
      </c>
      <c r="DN20" s="1474">
        <f t="shared" si="49"/>
        <v>649945.17626793077</v>
      </c>
      <c r="DO20" s="1474">
        <f t="shared" si="49"/>
        <v>845100.18101107061</v>
      </c>
      <c r="DP20" s="1474">
        <f t="shared" si="49"/>
        <v>935641.4835877209</v>
      </c>
      <c r="DQ20" s="1474">
        <f t="shared" si="49"/>
        <v>1195914.9490432318</v>
      </c>
      <c r="DR20" s="1474">
        <f t="shared" si="49"/>
        <v>1496554.1725452954</v>
      </c>
      <c r="DS20" s="1474">
        <f t="shared" si="49"/>
        <v>1660923.380214449</v>
      </c>
      <c r="DT20" s="1474">
        <f t="shared" si="49"/>
        <v>2012223.2762895171</v>
      </c>
      <c r="DU20" s="1474">
        <f t="shared" si="49"/>
        <v>2699101.1444800538</v>
      </c>
      <c r="DV20" s="1474">
        <f t="shared" si="49"/>
        <v>2992763.3159078024</v>
      </c>
      <c r="DW20" s="1474">
        <f t="shared" si="49"/>
        <v>3551578.6393218911</v>
      </c>
      <c r="DX20" s="1474">
        <f t="shared" si="49"/>
        <v>4336023.1421041489</v>
      </c>
      <c r="DY20" s="1474">
        <f t="shared" si="49"/>
        <v>4591840.8259388283</v>
      </c>
      <c r="DZ20" s="1474">
        <f t="shared" si="49"/>
        <v>5055631.7159248553</v>
      </c>
      <c r="EA20" s="1474">
        <f t="shared" si="49"/>
        <v>5872124.3663464254</v>
      </c>
      <c r="EB20" s="1474">
        <f t="shared" si="49"/>
        <v>6180332.7346740756</v>
      </c>
      <c r="EC20" s="1474">
        <f t="shared" si="49"/>
        <v>7071672.443241979</v>
      </c>
      <c r="ED20" s="1474">
        <f t="shared" si="49"/>
        <v>8104388.9764079209</v>
      </c>
      <c r="EE20" s="1474">
        <f t="shared" si="49"/>
        <v>8361157.574038838</v>
      </c>
      <c r="EF20" s="1474">
        <f t="shared" si="49"/>
        <v>8925192.4769525938</v>
      </c>
      <c r="EG20" s="1474">
        <f t="shared" si="49"/>
        <v>10030076.29590003</v>
      </c>
      <c r="EH20" s="1474">
        <f t="shared" si="49"/>
        <v>10492750.657207135</v>
      </c>
      <c r="EI20" s="1474">
        <f t="shared" si="49"/>
        <v>11402769.700482303</v>
      </c>
      <c r="EJ20" s="1474">
        <f t="shared" si="49"/>
        <v>12670314.942330271</v>
      </c>
      <c r="EK20" s="1474">
        <f t="shared" si="49"/>
        <v>13069611.472150261</v>
      </c>
      <c r="EL20" s="1474">
        <f t="shared" si="49"/>
        <v>13821848.841811473</v>
      </c>
      <c r="EM20" s="1474">
        <f t="shared" si="49"/>
        <v>15149927.733416727</v>
      </c>
      <c r="EN20" s="1474">
        <f t="shared" si="49"/>
        <v>15637104.206259027</v>
      </c>
      <c r="EO20" s="1474">
        <f t="shared" si="49"/>
        <v>17067413.393484131</v>
      </c>
      <c r="EP20" s="1474">
        <f t="shared" si="49"/>
        <v>18737058.112353124</v>
      </c>
      <c r="EQ20" s="1474">
        <f t="shared" ref="EQ20:FB20" si="50">SUM(EQ16:EQ19)</f>
        <v>19117634.005364232</v>
      </c>
      <c r="ER20" s="1474">
        <f t="shared" si="50"/>
        <v>19970212.161676984</v>
      </c>
      <c r="ES20" s="1474">
        <f t="shared" si="50"/>
        <v>21642496.226476204</v>
      </c>
      <c r="ET20" s="1474">
        <f t="shared" si="50"/>
        <v>22332533.672295898</v>
      </c>
      <c r="EU20" s="1474">
        <f t="shared" si="50"/>
        <v>23721632.802148156</v>
      </c>
      <c r="EV20" s="1474">
        <f t="shared" si="50"/>
        <v>25646148.912651498</v>
      </c>
      <c r="EW20" s="1474">
        <f t="shared" si="50"/>
        <v>26237619.689124841</v>
      </c>
      <c r="EX20" s="1474">
        <f t="shared" si="50"/>
        <v>27382706.882204734</v>
      </c>
      <c r="EY20" s="1474">
        <f t="shared" si="50"/>
        <v>29408324.750097897</v>
      </c>
      <c r="EZ20" s="1474">
        <f t="shared" si="50"/>
        <v>30136612.142319169</v>
      </c>
      <c r="FA20" s="1474">
        <f t="shared" si="50"/>
        <v>32297783.761807609</v>
      </c>
      <c r="FB20" s="1474">
        <f t="shared" si="50"/>
        <v>34833784.353454255</v>
      </c>
    </row>
    <row r="21" spans="3:158" x14ac:dyDescent="0.25">
      <c r="C21" s="511" t="s">
        <v>871</v>
      </c>
      <c r="D21" s="308"/>
      <c r="E21" s="308"/>
      <c r="F21" s="308"/>
      <c r="G21" s="308"/>
      <c r="H21" s="308"/>
      <c r="I21" s="1454">
        <f>I108</f>
        <v>0.9251020976217792</v>
      </c>
      <c r="J21" s="1454">
        <f>J108</f>
        <v>0.9271020976217792</v>
      </c>
      <c r="K21" s="1454">
        <f>K108</f>
        <v>0.9291020976217792</v>
      </c>
      <c r="L21" s="1454">
        <f>L108</f>
        <v>0.9311020976217792</v>
      </c>
      <c r="M21" s="244"/>
      <c r="N21" s="413"/>
      <c r="O21" s="413"/>
      <c r="P21" s="413"/>
      <c r="Q21" s="308" t="str">
        <f t="shared" ref="Q21:AW21" si="51">IFERROR(SUM(N19:Q19)/N16+1,"")</f>
        <v/>
      </c>
      <c r="R21" s="308" t="str">
        <f t="shared" si="51"/>
        <v/>
      </c>
      <c r="S21" s="308" t="str">
        <f t="shared" si="51"/>
        <v/>
      </c>
      <c r="T21" s="308" t="str">
        <f t="shared" si="51"/>
        <v/>
      </c>
      <c r="U21" s="308" t="str">
        <f t="shared" si="51"/>
        <v/>
      </c>
      <c r="V21" s="308" t="str">
        <f t="shared" si="51"/>
        <v/>
      </c>
      <c r="W21" s="308" t="str">
        <f t="shared" si="51"/>
        <v/>
      </c>
      <c r="X21" s="308" t="str">
        <f t="shared" si="51"/>
        <v/>
      </c>
      <c r="Y21" s="308" t="str">
        <f t="shared" si="51"/>
        <v/>
      </c>
      <c r="Z21" s="308" t="str">
        <f t="shared" si="51"/>
        <v/>
      </c>
      <c r="AA21" s="308" t="str">
        <f t="shared" si="51"/>
        <v/>
      </c>
      <c r="AB21" s="308" t="str">
        <f t="shared" si="51"/>
        <v/>
      </c>
      <c r="AC21" s="308" t="str">
        <f t="shared" si="51"/>
        <v/>
      </c>
      <c r="AD21" s="308" t="str">
        <f t="shared" si="51"/>
        <v/>
      </c>
      <c r="AE21" s="308" t="str">
        <f t="shared" si="51"/>
        <v/>
      </c>
      <c r="AF21" s="308" t="str">
        <f t="shared" si="51"/>
        <v/>
      </c>
      <c r="AG21" s="308" t="str">
        <f t="shared" si="51"/>
        <v/>
      </c>
      <c r="AH21" s="308" t="str">
        <f t="shared" si="51"/>
        <v/>
      </c>
      <c r="AI21" s="308" t="str">
        <f t="shared" si="51"/>
        <v/>
      </c>
      <c r="AJ21" s="308" t="str">
        <f t="shared" si="51"/>
        <v/>
      </c>
      <c r="AK21" s="1454">
        <f t="shared" si="51"/>
        <v>0.9251020976217792</v>
      </c>
      <c r="AL21" s="1454">
        <f t="shared" si="51"/>
        <v>0.8896785402403784</v>
      </c>
      <c r="AM21" s="1454">
        <f t="shared" si="51"/>
        <v>0.89695582177672417</v>
      </c>
      <c r="AN21" s="1454">
        <f t="shared" si="51"/>
        <v>0.91506620232227087</v>
      </c>
      <c r="AO21" s="1454">
        <f t="shared" si="51"/>
        <v>0.9271020976217792</v>
      </c>
      <c r="AP21" s="1454">
        <f t="shared" si="51"/>
        <v>0.92409545279085625</v>
      </c>
      <c r="AQ21" s="1454">
        <f t="shared" si="51"/>
        <v>0.92787038245605091</v>
      </c>
      <c r="AR21" s="1454">
        <f t="shared" si="51"/>
        <v>0.92990067224045625</v>
      </c>
      <c r="AS21" s="1454">
        <f t="shared" si="51"/>
        <v>0.9291020976217792</v>
      </c>
      <c r="AT21" s="1454">
        <f t="shared" si="51"/>
        <v>0.92801833777559095</v>
      </c>
      <c r="AU21" s="1454">
        <f t="shared" si="51"/>
        <v>0.92991451643434464</v>
      </c>
      <c r="AV21" s="1454">
        <f t="shared" si="51"/>
        <v>0.93134158620489771</v>
      </c>
      <c r="AW21" s="1454">
        <f t="shared" si="51"/>
        <v>0.9311020976217792</v>
      </c>
      <c r="AY21" s="1454">
        <f t="shared" ref="AY21:CD21" si="52">AY108</f>
        <v>0.90710618374198815</v>
      </c>
      <c r="AZ21" s="1454">
        <f t="shared" si="52"/>
        <v>1</v>
      </c>
      <c r="BA21" s="1454">
        <f t="shared" si="52"/>
        <v>0.97306754541779727</v>
      </c>
      <c r="BB21" s="1454">
        <f t="shared" si="52"/>
        <v>0.95847605199398078</v>
      </c>
      <c r="BC21" s="1454">
        <f t="shared" si="52"/>
        <v>1</v>
      </c>
      <c r="BD21" s="1454">
        <f t="shared" si="52"/>
        <v>0.96836079767293493</v>
      </c>
      <c r="BE21" s="1454">
        <f t="shared" si="52"/>
        <v>0.99649651945492546</v>
      </c>
      <c r="BF21" s="1454">
        <f t="shared" si="52"/>
        <v>0.99537225808557239</v>
      </c>
      <c r="BG21" s="1454">
        <f t="shared" si="52"/>
        <v>0.8458724410688947</v>
      </c>
      <c r="BH21" s="1454">
        <f t="shared" si="52"/>
        <v>0.98183671690836694</v>
      </c>
      <c r="BI21" s="1454">
        <f t="shared" si="52"/>
        <v>0.73879714491117832</v>
      </c>
      <c r="BJ21" s="1454">
        <f t="shared" si="52"/>
        <v>0.96293322836454553</v>
      </c>
      <c r="BK21" s="1454">
        <f t="shared" si="52"/>
        <v>0.96362144139966144</v>
      </c>
      <c r="BL21" s="1454">
        <f t="shared" si="52"/>
        <v>0.93539041172804249</v>
      </c>
      <c r="BM21" s="1454">
        <f t="shared" si="52"/>
        <v>0.73582041301874979</v>
      </c>
      <c r="BN21" s="1454">
        <f t="shared" si="52"/>
        <v>0.89743084529978234</v>
      </c>
      <c r="BO21" s="1454">
        <f t="shared" si="52"/>
        <v>0.91180559706912645</v>
      </c>
      <c r="BP21" s="1454">
        <f t="shared" si="52"/>
        <v>0.97103045840727598</v>
      </c>
      <c r="BQ21" s="1454">
        <f t="shared" si="52"/>
        <v>0.98860970432788497</v>
      </c>
      <c r="BR21" s="1454">
        <f t="shared" si="52"/>
        <v>0.87883404447593672</v>
      </c>
      <c r="BS21" s="1454">
        <f t="shared" si="52"/>
        <v>0.90259482623650311</v>
      </c>
      <c r="BT21" s="1454">
        <f t="shared" si="52"/>
        <v>0.93659007338630706</v>
      </c>
      <c r="BU21" s="1454">
        <f t="shared" si="52"/>
        <v>0.91342737788466521</v>
      </c>
      <c r="BV21" s="1454">
        <f t="shared" si="52"/>
        <v>0.97346848385272766</v>
      </c>
      <c r="BW21" s="1454">
        <f t="shared" si="52"/>
        <v>0.97270274601780415</v>
      </c>
      <c r="BX21" s="1454">
        <f t="shared" si="52"/>
        <v>0.97157222293910162</v>
      </c>
      <c r="BY21" s="1454">
        <f t="shared" si="52"/>
        <v>0.8973616986620766</v>
      </c>
      <c r="BZ21" s="1454">
        <f t="shared" si="52"/>
        <v>0.91599447551539881</v>
      </c>
      <c r="CA21" s="1454">
        <f t="shared" si="52"/>
        <v>0.97845964215228221</v>
      </c>
      <c r="CB21" s="1454">
        <f t="shared" si="52"/>
        <v>0.94346925354262157</v>
      </c>
      <c r="CC21" s="1454">
        <f t="shared" si="52"/>
        <v>0.82626726991156363</v>
      </c>
      <c r="CD21" s="1454">
        <f t="shared" si="52"/>
        <v>0.94716878378134006</v>
      </c>
      <c r="CE21" s="1454">
        <f t="shared" ref="CE21:DJ21" si="53">CE108</f>
        <v>0.93469872936552933</v>
      </c>
      <c r="CF21" s="1454">
        <f t="shared" si="53"/>
        <v>0.95929455591978174</v>
      </c>
      <c r="CG21" s="1454">
        <f t="shared" si="53"/>
        <v>0.95076182359067996</v>
      </c>
      <c r="CH21" s="1454">
        <f t="shared" si="53"/>
        <v>0.93167716396571321</v>
      </c>
      <c r="CI21" s="1454">
        <f t="shared" si="53"/>
        <v>0.91625045345152722</v>
      </c>
      <c r="CJ21" s="1454">
        <f t="shared" si="53"/>
        <v>0.95682021396399841</v>
      </c>
      <c r="CK21" s="1454">
        <f t="shared" si="53"/>
        <v>0.93391535490119815</v>
      </c>
      <c r="CL21" s="1454">
        <f t="shared" si="53"/>
        <v>0.91309542518822751</v>
      </c>
      <c r="CM21" s="1454">
        <f t="shared" si="53"/>
        <v>0.9181664164895178</v>
      </c>
      <c r="CN21" s="1454">
        <f t="shared" si="53"/>
        <v>0.95685425566698612</v>
      </c>
      <c r="CO21" s="1454">
        <f t="shared" si="53"/>
        <v>0.97359831710964106</v>
      </c>
      <c r="CP21" s="1454">
        <f t="shared" si="53"/>
        <v>0.95112996933853566</v>
      </c>
      <c r="CQ21" s="1454">
        <f t="shared" si="53"/>
        <v>0.91301352947179282</v>
      </c>
      <c r="CR21" s="1454">
        <f t="shared" si="53"/>
        <v>0.98179209339535412</v>
      </c>
      <c r="CS21" s="1454">
        <f t="shared" si="53"/>
        <v>0.91651618369938836</v>
      </c>
      <c r="CT21" s="1454">
        <f t="shared" si="53"/>
        <v>0.91050926275567223</v>
      </c>
      <c r="CU21" s="1454">
        <f t="shared" si="53"/>
        <v>0.95890367468406312</v>
      </c>
      <c r="CV21" s="1454">
        <f t="shared" si="53"/>
        <v>0.94856023639664255</v>
      </c>
      <c r="CW21" s="1454">
        <f t="shared" si="53"/>
        <v>0.90662634761389105</v>
      </c>
      <c r="CX21" s="1454">
        <f t="shared" si="53"/>
        <v>0.9410751335738623</v>
      </c>
      <c r="CY21" s="1454">
        <f t="shared" si="53"/>
        <v>0.95254766660517542</v>
      </c>
      <c r="CZ21" s="1454">
        <f t="shared" si="53"/>
        <v>0.91565921759837243</v>
      </c>
      <c r="DA21" s="1454">
        <f t="shared" si="53"/>
        <v>0.94655275812224404</v>
      </c>
      <c r="DB21" s="1454">
        <f t="shared" si="53"/>
        <v>0.95868375250408033</v>
      </c>
      <c r="DC21" s="1454">
        <f t="shared" si="53"/>
        <v>0.9364278777586249</v>
      </c>
      <c r="DD21" s="1454">
        <f t="shared" si="53"/>
        <v>0.95224479447615817</v>
      </c>
      <c r="DE21" s="1454">
        <f t="shared" si="53"/>
        <v>0.901553176856003</v>
      </c>
      <c r="DF21" s="1454">
        <f t="shared" si="53"/>
        <v>0.91219949193619376</v>
      </c>
      <c r="DG21" s="1454">
        <f t="shared" si="53"/>
        <v>0.95997252894523155</v>
      </c>
      <c r="DH21" s="1454">
        <f t="shared" si="53"/>
        <v>0.94989207446084745</v>
      </c>
      <c r="DI21" s="1454">
        <f t="shared" si="53"/>
        <v>0.90891055109481433</v>
      </c>
      <c r="DJ21" s="1454">
        <f t="shared" si="53"/>
        <v>0.94230884487009159</v>
      </c>
      <c r="DK21" s="1454">
        <f t="shared" ref="DK21:EP21" si="54">DK108</f>
        <v>0.95355525246067352</v>
      </c>
      <c r="DL21" s="1454">
        <f t="shared" si="54"/>
        <v>0.91733665605607584</v>
      </c>
      <c r="DM21" s="1454">
        <f t="shared" si="54"/>
        <v>0.94748235208160714</v>
      </c>
      <c r="DN21" s="1454">
        <f t="shared" si="54"/>
        <v>0.9593458190802836</v>
      </c>
      <c r="DO21" s="1454">
        <f t="shared" si="54"/>
        <v>0.93729337956381709</v>
      </c>
      <c r="DP21" s="1454">
        <f t="shared" si="54"/>
        <v>0.95270677764379375</v>
      </c>
      <c r="DQ21" s="1454">
        <f t="shared" si="54"/>
        <v>0.90212016334756207</v>
      </c>
      <c r="DR21" s="1454">
        <f t="shared" si="54"/>
        <v>0.91217057697493675</v>
      </c>
      <c r="DS21" s="1454">
        <f t="shared" si="54"/>
        <v>0.96104138320639998</v>
      </c>
      <c r="DT21" s="1454">
        <f t="shared" si="54"/>
        <v>0.95118491345269607</v>
      </c>
      <c r="DU21" s="1454">
        <f t="shared" si="54"/>
        <v>0.91108634402562583</v>
      </c>
      <c r="DV21" s="1454">
        <f t="shared" si="54"/>
        <v>0.94348404876345482</v>
      </c>
      <c r="DW21" s="1454">
        <f t="shared" si="54"/>
        <v>0.95443644327517518</v>
      </c>
      <c r="DX21" s="1454">
        <f t="shared" si="54"/>
        <v>0.91869151639965418</v>
      </c>
      <c r="DY21" s="1454">
        <f t="shared" si="54"/>
        <v>0.94816788290812148</v>
      </c>
      <c r="DZ21" s="1454">
        <f t="shared" si="54"/>
        <v>0.95983521523301407</v>
      </c>
      <c r="EA21" s="1454">
        <f t="shared" si="54"/>
        <v>0.93793580162697443</v>
      </c>
      <c r="EB21" s="1454">
        <f t="shared" si="54"/>
        <v>0.95305196011231041</v>
      </c>
      <c r="EC21" s="1454">
        <f t="shared" si="54"/>
        <v>0.90273201820398841</v>
      </c>
      <c r="ED21" s="1454">
        <f t="shared" si="54"/>
        <v>0.91246838625808446</v>
      </c>
      <c r="EE21" s="1454">
        <f t="shared" si="54"/>
        <v>0.96211023746756841</v>
      </c>
      <c r="EF21" s="1454">
        <f t="shared" si="54"/>
        <v>0.95248635527585768</v>
      </c>
      <c r="EG21" s="1454">
        <f t="shared" si="54"/>
        <v>0.91330929449333209</v>
      </c>
      <c r="EH21" s="1454">
        <f t="shared" si="54"/>
        <v>0.94472391093744046</v>
      </c>
      <c r="EI21" s="1454">
        <f t="shared" si="54"/>
        <v>0.95538057160285472</v>
      </c>
      <c r="EJ21" s="1454">
        <f t="shared" si="54"/>
        <v>0.92019135078804837</v>
      </c>
      <c r="EK21" s="1454">
        <f t="shared" si="54"/>
        <v>0.94897113294055768</v>
      </c>
      <c r="EL21" s="1454">
        <f t="shared" si="54"/>
        <v>0.96042179022393059</v>
      </c>
      <c r="EM21" s="1454">
        <f t="shared" si="54"/>
        <v>0.93874309698999348</v>
      </c>
      <c r="EN21" s="1454">
        <f t="shared" si="54"/>
        <v>0.95353884181486237</v>
      </c>
      <c r="EO21" s="1454">
        <f t="shared" si="54"/>
        <v>0.90364993387069326</v>
      </c>
      <c r="EP21" s="1454">
        <f t="shared" si="54"/>
        <v>0.91306956601952871</v>
      </c>
      <c r="EQ21" s="1454">
        <f t="shared" ref="EQ21:FB21" si="55">EQ108</f>
        <v>0.96317909172873684</v>
      </c>
      <c r="ER21" s="1454">
        <f t="shared" si="55"/>
        <v>0.95379309124006528</v>
      </c>
      <c r="ES21" s="1454">
        <f t="shared" si="55"/>
        <v>0.91556136533369759</v>
      </c>
      <c r="ET21" s="1454">
        <f t="shared" si="55"/>
        <v>0.94600364445874119</v>
      </c>
      <c r="EU21" s="1454">
        <f t="shared" si="55"/>
        <v>0.95636342947939545</v>
      </c>
      <c r="EV21" s="1454">
        <f t="shared" si="55"/>
        <v>0.92178022309102581</v>
      </c>
      <c r="EW21" s="1454">
        <f t="shared" si="55"/>
        <v>0.94984634276104263</v>
      </c>
      <c r="EX21" s="1454">
        <f t="shared" si="55"/>
        <v>0.96106763867186451</v>
      </c>
      <c r="EY21" s="1454">
        <f t="shared" si="55"/>
        <v>0.93965063293302653</v>
      </c>
      <c r="EZ21" s="1454">
        <f t="shared" si="55"/>
        <v>0.95411133345945365</v>
      </c>
      <c r="FA21" s="1454">
        <f t="shared" si="55"/>
        <v>0.90475224266945098</v>
      </c>
      <c r="FB21" s="1454">
        <f t="shared" si="55"/>
        <v>0.9138520310550684</v>
      </c>
    </row>
    <row r="22" spans="3:158" x14ac:dyDescent="0.25">
      <c r="AY22" s="507">
        <v>4.4535594215350409E-2</v>
      </c>
      <c r="AZ22" s="507">
        <v>5.6327696431841656E-2</v>
      </c>
      <c r="BA22" s="507">
        <v>0.10489557656606868</v>
      </c>
      <c r="BB22" s="507">
        <v>6.9552591469744171E-2</v>
      </c>
      <c r="BC22" s="507">
        <v>5.6982490884522709E-2</v>
      </c>
      <c r="BD22" s="507">
        <v>0.10522496406628616</v>
      </c>
      <c r="BE22" s="507">
        <v>7.014867019802111E-2</v>
      </c>
      <c r="BF22" s="507">
        <v>5.5027694590689798E-2</v>
      </c>
      <c r="BG22" s="507">
        <v>8.7237638495434158E-2</v>
      </c>
      <c r="BH22" s="507">
        <v>6.8962452585281844E-2</v>
      </c>
      <c r="BI22" s="507">
        <v>0.14494294394663984</v>
      </c>
      <c r="BJ22" s="507">
        <v>0.13616168655011937</v>
      </c>
      <c r="BK22" s="507">
        <v>4.4535594215350409E-2</v>
      </c>
      <c r="BL22" s="507">
        <v>5.6327696431841656E-2</v>
      </c>
      <c r="BM22" s="507">
        <v>0.10489557656606868</v>
      </c>
      <c r="BN22" s="507">
        <v>6.9552591469744171E-2</v>
      </c>
      <c r="BO22" s="507">
        <v>5.6982490884522709E-2</v>
      </c>
      <c r="BP22" s="507">
        <v>0.10522496406628616</v>
      </c>
      <c r="BQ22" s="507">
        <v>7.014867019802111E-2</v>
      </c>
      <c r="BR22" s="507">
        <v>5.5027694590689798E-2</v>
      </c>
      <c r="BS22" s="507">
        <v>8.7237638495434158E-2</v>
      </c>
      <c r="BT22" s="507">
        <v>6.8962452585281844E-2</v>
      </c>
      <c r="BU22" s="507">
        <v>0.14494294394663984</v>
      </c>
      <c r="BV22" s="507">
        <v>0.13616168655011937</v>
      </c>
      <c r="BW22" s="507">
        <v>4.4535594215350409E-2</v>
      </c>
      <c r="BX22" s="507">
        <v>5.6327696431841656E-2</v>
      </c>
      <c r="BY22" s="507">
        <v>0.10489557656606868</v>
      </c>
      <c r="BZ22" s="507">
        <v>6.9552591469744171E-2</v>
      </c>
      <c r="CA22" s="507">
        <v>5.6982490884522709E-2</v>
      </c>
      <c r="CB22" s="507">
        <v>0.10522496406628616</v>
      </c>
      <c r="CC22" s="507">
        <v>7.014867019802111E-2</v>
      </c>
      <c r="CD22" s="507">
        <v>5.5027694590689798E-2</v>
      </c>
      <c r="CE22" s="507">
        <v>8.7237638495434158E-2</v>
      </c>
      <c r="CF22" s="507">
        <v>6.8962452585281844E-2</v>
      </c>
      <c r="CG22" s="507">
        <v>0.14494294394663984</v>
      </c>
      <c r="CH22" s="507">
        <v>0.13616168655011937</v>
      </c>
      <c r="CI22" s="507">
        <v>4.4535594215350409E-2</v>
      </c>
      <c r="CJ22" s="507">
        <v>5.6327696431841656E-2</v>
      </c>
      <c r="CK22" s="507">
        <v>0.10489557656606868</v>
      </c>
      <c r="CL22" s="507">
        <v>6.9552591469744171E-2</v>
      </c>
      <c r="CM22" s="507">
        <v>5.6982490884522709E-2</v>
      </c>
      <c r="CN22" s="507">
        <v>0.10522496406628616</v>
      </c>
      <c r="CO22" s="507">
        <v>7.014867019802111E-2</v>
      </c>
      <c r="CP22" s="507">
        <v>5.5027694590689798E-2</v>
      </c>
      <c r="CQ22" s="507">
        <v>8.7237638495434158E-2</v>
      </c>
      <c r="CR22" s="507">
        <v>6.8962452585281844E-2</v>
      </c>
      <c r="CS22" s="507">
        <v>0.14494294394663984</v>
      </c>
      <c r="CT22" s="507">
        <v>0.13616168655011937</v>
      </c>
      <c r="CU22" s="507">
        <v>4.4535594215350409E-2</v>
      </c>
      <c r="CV22" s="507">
        <v>5.6327696431841656E-2</v>
      </c>
      <c r="CW22" s="507">
        <v>0.10489557656606868</v>
      </c>
      <c r="CX22" s="507">
        <v>6.9552591469744171E-2</v>
      </c>
      <c r="CY22" s="507">
        <v>5.6982490884522709E-2</v>
      </c>
      <c r="CZ22" s="507">
        <v>0.10522496406628616</v>
      </c>
      <c r="DA22" s="507">
        <v>7.014867019802111E-2</v>
      </c>
      <c r="DB22" s="507">
        <v>5.5027694590689798E-2</v>
      </c>
      <c r="DC22" s="507">
        <v>8.7237638495434158E-2</v>
      </c>
      <c r="DD22" s="507">
        <v>6.8962452585281844E-2</v>
      </c>
      <c r="DE22" s="507">
        <v>0.14494294394663984</v>
      </c>
      <c r="DF22" s="507">
        <v>0.13616168655011937</v>
      </c>
      <c r="DG22" s="507">
        <v>4.4535594215350409E-2</v>
      </c>
      <c r="DH22" s="507">
        <v>5.6327696431841656E-2</v>
      </c>
      <c r="DI22" s="507">
        <v>0.10489557656606868</v>
      </c>
      <c r="DJ22" s="507">
        <v>6.9552591469744171E-2</v>
      </c>
      <c r="DK22" s="507">
        <v>5.6982490884522709E-2</v>
      </c>
      <c r="DL22" s="507">
        <v>0.10522496406628616</v>
      </c>
      <c r="DM22" s="507">
        <v>7.014867019802111E-2</v>
      </c>
      <c r="DN22" s="507">
        <v>5.5027694590689798E-2</v>
      </c>
      <c r="DO22" s="507">
        <v>8.7237638495434158E-2</v>
      </c>
      <c r="DP22" s="507">
        <v>6.8962452585281844E-2</v>
      </c>
      <c r="DQ22" s="507">
        <v>0.14494294394663984</v>
      </c>
      <c r="DR22" s="507">
        <v>0.13616168655011937</v>
      </c>
      <c r="DS22" s="507">
        <v>4.4535594215350409E-2</v>
      </c>
      <c r="DT22" s="507">
        <v>5.6327696431841656E-2</v>
      </c>
      <c r="DU22" s="507">
        <v>0.10489557656606868</v>
      </c>
      <c r="DV22" s="507">
        <v>6.9552591469744171E-2</v>
      </c>
      <c r="DW22" s="507">
        <v>5.6982490884522709E-2</v>
      </c>
      <c r="DX22" s="507">
        <v>0.10522496406628616</v>
      </c>
      <c r="DY22" s="507">
        <v>7.014867019802111E-2</v>
      </c>
      <c r="DZ22" s="507">
        <v>5.5027694590689798E-2</v>
      </c>
      <c r="EA22" s="507">
        <v>8.7237638495434158E-2</v>
      </c>
      <c r="EB22" s="507">
        <v>6.8962452585281844E-2</v>
      </c>
      <c r="EC22" s="507">
        <v>0.14494294394663984</v>
      </c>
      <c r="ED22" s="507">
        <v>0.13616168655011937</v>
      </c>
      <c r="EE22" s="507">
        <v>4.4535594215350409E-2</v>
      </c>
      <c r="EF22" s="507">
        <v>5.6327696431841656E-2</v>
      </c>
      <c r="EG22" s="507">
        <v>0.10489557656606868</v>
      </c>
      <c r="EH22" s="507">
        <v>6.9552591469744171E-2</v>
      </c>
      <c r="EI22" s="507">
        <v>5.6982490884522709E-2</v>
      </c>
      <c r="EJ22" s="507">
        <v>0.10522496406628616</v>
      </c>
      <c r="EK22" s="507">
        <v>7.014867019802111E-2</v>
      </c>
      <c r="EL22" s="507">
        <v>5.5027694590689798E-2</v>
      </c>
      <c r="EM22" s="507">
        <v>8.7237638495434158E-2</v>
      </c>
      <c r="EN22" s="507">
        <v>6.8962452585281844E-2</v>
      </c>
      <c r="EO22" s="507">
        <v>0.14494294394663984</v>
      </c>
      <c r="EP22" s="507">
        <v>0.13616168655011937</v>
      </c>
      <c r="EQ22" s="507">
        <v>4.4535594215350409E-2</v>
      </c>
      <c r="ER22" s="507">
        <v>5.6327696431841656E-2</v>
      </c>
      <c r="ES22" s="507">
        <v>0.10489557656606868</v>
      </c>
      <c r="ET22" s="507">
        <v>6.9552591469744171E-2</v>
      </c>
      <c r="EU22" s="507">
        <v>5.6982490884522709E-2</v>
      </c>
      <c r="EV22" s="507">
        <v>0.10522496406628616</v>
      </c>
      <c r="EW22" s="507">
        <v>7.014867019802111E-2</v>
      </c>
      <c r="EX22" s="507">
        <v>5.5027694590689798E-2</v>
      </c>
      <c r="EY22" s="507">
        <v>8.7237638495434158E-2</v>
      </c>
      <c r="EZ22" s="507">
        <v>6.8962452585281844E-2</v>
      </c>
      <c r="FA22" s="507">
        <v>0.14494294394663984</v>
      </c>
      <c r="FB22" s="507">
        <v>0.13616168655011937</v>
      </c>
    </row>
    <row r="23" spans="3:158" x14ac:dyDescent="0.25">
      <c r="C23" t="s">
        <v>909</v>
      </c>
      <c r="D23" s="1470">
        <f>AY23</f>
        <v>0</v>
      </c>
      <c r="E23" s="1470">
        <f t="shared" ref="E23:L23" si="56">D27</f>
        <v>0</v>
      </c>
      <c r="F23" s="1470">
        <f t="shared" si="56"/>
        <v>0</v>
      </c>
      <c r="G23" s="1470">
        <f t="shared" si="56"/>
        <v>0</v>
      </c>
      <c r="H23" s="1470">
        <f t="shared" si="56"/>
        <v>0</v>
      </c>
      <c r="I23" s="1470">
        <f t="shared" si="56"/>
        <v>0</v>
      </c>
      <c r="J23" s="1470">
        <f t="shared" si="56"/>
        <v>1346728.8011350115</v>
      </c>
      <c r="K23" s="1470">
        <f t="shared" si="56"/>
        <v>8898175.3827109281</v>
      </c>
      <c r="L23" s="1470">
        <f t="shared" si="56"/>
        <v>23029000.420851998</v>
      </c>
      <c r="N23" s="1470">
        <f>AY23</f>
        <v>0</v>
      </c>
      <c r="O23" s="1470">
        <f>BB23</f>
        <v>0</v>
      </c>
      <c r="P23" s="1470">
        <f>BE23</f>
        <v>0</v>
      </c>
      <c r="Q23" s="1470">
        <f>BH23</f>
        <v>0</v>
      </c>
      <c r="R23" s="1470">
        <f>BK23</f>
        <v>0</v>
      </c>
      <c r="S23" s="1470">
        <f>BN23</f>
        <v>0</v>
      </c>
      <c r="T23" s="1470">
        <f>BQ23</f>
        <v>0</v>
      </c>
      <c r="U23" s="1470">
        <f>BT23</f>
        <v>0</v>
      </c>
      <c r="V23" s="1470">
        <f>BW23</f>
        <v>0</v>
      </c>
      <c r="W23" s="1470">
        <f>BZ23</f>
        <v>0</v>
      </c>
      <c r="X23" s="1470">
        <f>CC23</f>
        <v>0</v>
      </c>
      <c r="Y23" s="1470">
        <f>CF23</f>
        <v>0</v>
      </c>
      <c r="Z23" s="1470">
        <f>CI23</f>
        <v>0</v>
      </c>
      <c r="AA23" s="1470">
        <f>CL23</f>
        <v>0</v>
      </c>
      <c r="AB23" s="1470">
        <f>CO23</f>
        <v>0</v>
      </c>
      <c r="AC23" s="1470">
        <f>CR23</f>
        <v>0</v>
      </c>
      <c r="AD23" s="1470">
        <f>CU23</f>
        <v>0</v>
      </c>
      <c r="AE23" s="1470">
        <f>CX23</f>
        <v>0</v>
      </c>
      <c r="AF23" s="1470">
        <f>DA23</f>
        <v>0</v>
      </c>
      <c r="AG23" s="1470">
        <f>DD23</f>
        <v>0</v>
      </c>
      <c r="AH23" s="1470">
        <f>DG23</f>
        <v>0</v>
      </c>
      <c r="AI23" s="1470">
        <f>DJ23</f>
        <v>178739.67514572415</v>
      </c>
      <c r="AJ23" s="1470">
        <f>DM23</f>
        <v>421273.16730687284</v>
      </c>
      <c r="AK23" s="1470">
        <f>DP23</f>
        <v>763938.82777333725</v>
      </c>
      <c r="AL23" s="1470">
        <f>DS23</f>
        <v>1346728.8011350113</v>
      </c>
      <c r="AM23" s="1470">
        <f>DV23</f>
        <v>2722657.664451763</v>
      </c>
      <c r="AN23" s="1470">
        <f>DY23</f>
        <v>4592223.2924348749</v>
      </c>
      <c r="AO23" s="1470">
        <f>EB23</f>
        <v>6346285.9619243778</v>
      </c>
      <c r="AP23" s="1470">
        <f>EE23</f>
        <v>8898175.38271093</v>
      </c>
      <c r="AQ23" s="1470">
        <f>EH23</f>
        <v>11467157.531391421</v>
      </c>
      <c r="AR23" s="1470">
        <f>EK23</f>
        <v>14969493.739141421</v>
      </c>
      <c r="AS23" s="1470">
        <f>EN23</f>
        <v>18256682.515865948</v>
      </c>
      <c r="AT23" s="1470">
        <f>EQ23</f>
        <v>23029000.420852009</v>
      </c>
      <c r="AU23" s="1470">
        <f>ET23</f>
        <v>27561249.303583317</v>
      </c>
      <c r="AV23" s="1470">
        <f>EW23</f>
        <v>33752608.558191046</v>
      </c>
      <c r="AW23" s="1470">
        <f>EZ23</f>
        <v>39564941.15864259</v>
      </c>
      <c r="AY23" s="1471">
        <v>0</v>
      </c>
      <c r="AZ23" s="1470">
        <f t="shared" ref="AZ23:CE23" si="57">AY27</f>
        <v>0</v>
      </c>
      <c r="BA23" s="1470">
        <f t="shared" si="57"/>
        <v>0</v>
      </c>
      <c r="BB23" s="1470">
        <f t="shared" si="57"/>
        <v>0</v>
      </c>
      <c r="BC23" s="1470">
        <f t="shared" si="57"/>
        <v>0</v>
      </c>
      <c r="BD23" s="1470">
        <f t="shared" si="57"/>
        <v>0</v>
      </c>
      <c r="BE23" s="1470">
        <f t="shared" si="57"/>
        <v>0</v>
      </c>
      <c r="BF23" s="1470">
        <f t="shared" si="57"/>
        <v>0</v>
      </c>
      <c r="BG23" s="1470">
        <f t="shared" si="57"/>
        <v>0</v>
      </c>
      <c r="BH23" s="1470">
        <f t="shared" si="57"/>
        <v>0</v>
      </c>
      <c r="BI23" s="1470">
        <f t="shared" si="57"/>
        <v>0</v>
      </c>
      <c r="BJ23" s="1470">
        <f t="shared" si="57"/>
        <v>0</v>
      </c>
      <c r="BK23" s="1470">
        <f t="shared" si="57"/>
        <v>0</v>
      </c>
      <c r="BL23" s="1470">
        <f t="shared" si="57"/>
        <v>0</v>
      </c>
      <c r="BM23" s="1470">
        <f t="shared" si="57"/>
        <v>0</v>
      </c>
      <c r="BN23" s="1470">
        <f t="shared" si="57"/>
        <v>0</v>
      </c>
      <c r="BO23" s="1470">
        <f t="shared" si="57"/>
        <v>0</v>
      </c>
      <c r="BP23" s="1470">
        <f t="shared" si="57"/>
        <v>0</v>
      </c>
      <c r="BQ23" s="1470">
        <f t="shared" si="57"/>
        <v>0</v>
      </c>
      <c r="BR23" s="1470">
        <f t="shared" si="57"/>
        <v>0</v>
      </c>
      <c r="BS23" s="1470">
        <f t="shared" si="57"/>
        <v>0</v>
      </c>
      <c r="BT23" s="1470">
        <f t="shared" si="57"/>
        <v>0</v>
      </c>
      <c r="BU23" s="1470">
        <f t="shared" si="57"/>
        <v>0</v>
      </c>
      <c r="BV23" s="1470">
        <f t="shared" si="57"/>
        <v>0</v>
      </c>
      <c r="BW23" s="1470">
        <f t="shared" si="57"/>
        <v>0</v>
      </c>
      <c r="BX23" s="1470">
        <f t="shared" si="57"/>
        <v>0</v>
      </c>
      <c r="BY23" s="1470">
        <f t="shared" si="57"/>
        <v>0</v>
      </c>
      <c r="BZ23" s="1470">
        <f t="shared" si="57"/>
        <v>0</v>
      </c>
      <c r="CA23" s="1470">
        <f t="shared" si="57"/>
        <v>0</v>
      </c>
      <c r="CB23" s="1470">
        <f t="shared" si="57"/>
        <v>0</v>
      </c>
      <c r="CC23" s="1470">
        <f t="shared" si="57"/>
        <v>0</v>
      </c>
      <c r="CD23" s="1470">
        <f t="shared" si="57"/>
        <v>0</v>
      </c>
      <c r="CE23" s="1470">
        <f t="shared" si="57"/>
        <v>0</v>
      </c>
      <c r="CF23" s="1470">
        <f t="shared" ref="CF23:DK23" si="58">CE27</f>
        <v>0</v>
      </c>
      <c r="CG23" s="1470">
        <f t="shared" si="58"/>
        <v>0</v>
      </c>
      <c r="CH23" s="1470">
        <f t="shared" si="58"/>
        <v>0</v>
      </c>
      <c r="CI23" s="1470">
        <f t="shared" si="58"/>
        <v>0</v>
      </c>
      <c r="CJ23" s="1470">
        <f t="shared" si="58"/>
        <v>0</v>
      </c>
      <c r="CK23" s="1470">
        <f t="shared" si="58"/>
        <v>0</v>
      </c>
      <c r="CL23" s="1470">
        <f t="shared" si="58"/>
        <v>0</v>
      </c>
      <c r="CM23" s="1470">
        <f t="shared" si="58"/>
        <v>0</v>
      </c>
      <c r="CN23" s="1470">
        <f t="shared" si="58"/>
        <v>0</v>
      </c>
      <c r="CO23" s="1470">
        <f t="shared" si="58"/>
        <v>0</v>
      </c>
      <c r="CP23" s="1470">
        <f t="shared" si="58"/>
        <v>0</v>
      </c>
      <c r="CQ23" s="1470">
        <f t="shared" si="58"/>
        <v>0</v>
      </c>
      <c r="CR23" s="1470">
        <f t="shared" si="58"/>
        <v>0</v>
      </c>
      <c r="CS23" s="1470">
        <f t="shared" si="58"/>
        <v>0</v>
      </c>
      <c r="CT23" s="1470">
        <f t="shared" si="58"/>
        <v>0</v>
      </c>
      <c r="CU23" s="1470">
        <f t="shared" si="58"/>
        <v>0</v>
      </c>
      <c r="CV23" s="1470">
        <f t="shared" si="58"/>
        <v>0</v>
      </c>
      <c r="CW23" s="1470">
        <f t="shared" si="58"/>
        <v>0</v>
      </c>
      <c r="CX23" s="1470">
        <f t="shared" si="58"/>
        <v>0</v>
      </c>
      <c r="CY23" s="1470">
        <f t="shared" si="58"/>
        <v>0</v>
      </c>
      <c r="CZ23" s="1470">
        <f t="shared" si="58"/>
        <v>0</v>
      </c>
      <c r="DA23" s="1470">
        <f t="shared" si="58"/>
        <v>0</v>
      </c>
      <c r="DB23" s="1470">
        <f t="shared" si="58"/>
        <v>0</v>
      </c>
      <c r="DC23" s="1470">
        <f t="shared" si="58"/>
        <v>0</v>
      </c>
      <c r="DD23" s="1470">
        <f t="shared" si="58"/>
        <v>0</v>
      </c>
      <c r="DE23" s="1470">
        <f t="shared" si="58"/>
        <v>0</v>
      </c>
      <c r="DF23" s="1470">
        <f t="shared" si="58"/>
        <v>0</v>
      </c>
      <c r="DG23" s="1470">
        <f t="shared" si="58"/>
        <v>0</v>
      </c>
      <c r="DH23" s="1470">
        <f t="shared" si="58"/>
        <v>24692.138374823135</v>
      </c>
      <c r="DI23" s="1470">
        <f t="shared" si="58"/>
        <v>76847.156606085278</v>
      </c>
      <c r="DJ23" s="1470">
        <f t="shared" si="58"/>
        <v>178739.67514572415</v>
      </c>
      <c r="DK23" s="1470">
        <f t="shared" si="58"/>
        <v>222695.25456574431</v>
      </c>
      <c r="DL23" s="1470">
        <f t="shared" ref="DL23:EQ23" si="59">DK27</f>
        <v>305139.39840317558</v>
      </c>
      <c r="DM23" s="1470">
        <f t="shared" si="59"/>
        <v>421273.16730687284</v>
      </c>
      <c r="DN23" s="1470">
        <f t="shared" si="59"/>
        <v>479173.37479110999</v>
      </c>
      <c r="DO23" s="1470">
        <f t="shared" si="59"/>
        <v>582415.17916174454</v>
      </c>
      <c r="DP23" s="1470">
        <f t="shared" si="59"/>
        <v>763938.82777333725</v>
      </c>
      <c r="DQ23" s="1470">
        <f t="shared" si="59"/>
        <v>844982.20297173352</v>
      </c>
      <c r="DR23" s="1470">
        <f t="shared" si="59"/>
        <v>1077833.8566137422</v>
      </c>
      <c r="DS23" s="1470">
        <f t="shared" si="59"/>
        <v>1346728.8011350113</v>
      </c>
      <c r="DT23" s="1470">
        <f t="shared" si="59"/>
        <v>1535939.7759987516</v>
      </c>
      <c r="DU23" s="1470">
        <f t="shared" si="59"/>
        <v>1937626.3527285515</v>
      </c>
      <c r="DV23" s="1470">
        <f t="shared" si="59"/>
        <v>2722657.664451763</v>
      </c>
      <c r="DW23" s="1470">
        <f t="shared" si="59"/>
        <v>3060004.5538559025</v>
      </c>
      <c r="DX23" s="1470">
        <f t="shared" si="59"/>
        <v>3696698.2134399205</v>
      </c>
      <c r="DY23" s="1470">
        <f t="shared" si="59"/>
        <v>4592223.2924348749</v>
      </c>
      <c r="DZ23" s="1470">
        <f t="shared" si="59"/>
        <v>4886761.8941131895</v>
      </c>
      <c r="EA23" s="1470">
        <f t="shared" si="59"/>
        <v>5415726.9973016372</v>
      </c>
      <c r="EB23" s="1470">
        <f t="shared" si="59"/>
        <v>6346285.9619243778</v>
      </c>
      <c r="EC23" s="1470">
        <f t="shared" si="59"/>
        <v>6700061.8241812158</v>
      </c>
      <c r="ED23" s="1470">
        <f t="shared" si="59"/>
        <v>7719386.7652236326</v>
      </c>
      <c r="EE23" s="1470">
        <f t="shared" si="59"/>
        <v>8898175.38271093</v>
      </c>
      <c r="EF23" s="1470">
        <f t="shared" si="59"/>
        <v>9247478.8300444763</v>
      </c>
      <c r="EG23" s="1470">
        <f t="shared" si="59"/>
        <v>9998378.1854770705</v>
      </c>
      <c r="EH23" s="1470">
        <f t="shared" si="59"/>
        <v>11467157.531391421</v>
      </c>
      <c r="EI23" s="1470">
        <f t="shared" si="59"/>
        <v>12092343.688085638</v>
      </c>
      <c r="EJ23" s="1470">
        <f t="shared" si="59"/>
        <v>13290453.695395553</v>
      </c>
      <c r="EK23" s="1470">
        <f t="shared" si="59"/>
        <v>14969493.739141421</v>
      </c>
      <c r="EL23" s="1470">
        <f t="shared" si="59"/>
        <v>15513042.267267592</v>
      </c>
      <c r="EM23" s="1470">
        <f t="shared" si="59"/>
        <v>16506552.928287679</v>
      </c>
      <c r="EN23" s="1470">
        <f t="shared" si="59"/>
        <v>18256682.515865948</v>
      </c>
      <c r="EO23" s="1470">
        <f t="shared" si="59"/>
        <v>18913287.922802489</v>
      </c>
      <c r="EP23" s="1470">
        <f t="shared" si="59"/>
        <v>20818289.451647792</v>
      </c>
      <c r="EQ23" s="1470">
        <f t="shared" si="59"/>
        <v>23029000.420852009</v>
      </c>
      <c r="ER23" s="1470">
        <f t="shared" ref="ER23:FB23" si="60">EQ27</f>
        <v>23641013.628508214</v>
      </c>
      <c r="ES23" s="1470">
        <f t="shared" si="60"/>
        <v>24966740.595582489</v>
      </c>
      <c r="ET23" s="1470">
        <f t="shared" si="60"/>
        <v>27561249.303583317</v>
      </c>
      <c r="EU23" s="1470">
        <f t="shared" si="60"/>
        <v>28659233.292390108</v>
      </c>
      <c r="EV23" s="1470">
        <f t="shared" si="60"/>
        <v>30782931.127219871</v>
      </c>
      <c r="EW23" s="1470">
        <f t="shared" si="60"/>
        <v>33752608.558191046</v>
      </c>
      <c r="EX23" s="1470">
        <f t="shared" si="60"/>
        <v>34704741.156506211</v>
      </c>
      <c r="EY23" s="1470">
        <f t="shared" si="60"/>
        <v>36463789.793326318</v>
      </c>
      <c r="EZ23" s="1470">
        <f t="shared" si="60"/>
        <v>39564941.15864259</v>
      </c>
      <c r="FA23" s="1470">
        <f t="shared" si="60"/>
        <v>40719150.113020182</v>
      </c>
      <c r="FB23" s="1470">
        <f t="shared" si="60"/>
        <v>44081944.030490987</v>
      </c>
    </row>
    <row r="24" spans="3:158" x14ac:dyDescent="0.25">
      <c r="C24" s="258" t="s">
        <v>585</v>
      </c>
      <c r="D24" s="1472">
        <f t="shared" ref="D24:L25" si="61">SUMIF($AY$2:$FB$2,D$2,$AY24:$FB24)</f>
        <v>0</v>
      </c>
      <c r="E24" s="1472">
        <f t="shared" si="61"/>
        <v>0</v>
      </c>
      <c r="F24" s="1472">
        <f t="shared" si="61"/>
        <v>0</v>
      </c>
      <c r="G24" s="1472">
        <f t="shared" si="61"/>
        <v>0</v>
      </c>
      <c r="H24" s="1472">
        <f t="shared" si="61"/>
        <v>0</v>
      </c>
      <c r="I24" s="1472">
        <f t="shared" si="61"/>
        <v>366657.38434917893</v>
      </c>
      <c r="J24" s="1472">
        <f t="shared" si="61"/>
        <v>1048836.0231789611</v>
      </c>
      <c r="K24" s="1472">
        <f t="shared" si="61"/>
        <v>2028244.4006625246</v>
      </c>
      <c r="L24" s="1472">
        <f t="shared" si="61"/>
        <v>4595324.2335788021</v>
      </c>
      <c r="M24" s="244"/>
      <c r="N24" s="1472">
        <f>SUM(AY24:BA24)</f>
        <v>0</v>
      </c>
      <c r="O24" s="1472">
        <f>SUM(BB24:BD24)</f>
        <v>0</v>
      </c>
      <c r="P24" s="1472">
        <f>SUM(BE24:BG24)</f>
        <v>0</v>
      </c>
      <c r="Q24" s="1472">
        <f>SUM(BH24:BJ24)</f>
        <v>0</v>
      </c>
      <c r="R24" s="1472">
        <f>SUM(BK24:BM24)</f>
        <v>0</v>
      </c>
      <c r="S24" s="1472">
        <f>SUM(BN24:BP24)</f>
        <v>0</v>
      </c>
      <c r="T24" s="1472">
        <f>SUM(BQ24:BS24)</f>
        <v>0</v>
      </c>
      <c r="U24" s="1472">
        <f>SUM(BT24:BV24)</f>
        <v>0</v>
      </c>
      <c r="V24" s="1472">
        <f>SUM(BW24:BY24)</f>
        <v>0</v>
      </c>
      <c r="W24" s="1472">
        <f>SUM(BZ24:CB24)</f>
        <v>0</v>
      </c>
      <c r="X24" s="1472">
        <f>SUM(CC24:CE24)</f>
        <v>0</v>
      </c>
      <c r="Y24" s="1472">
        <f>SUM(CF24:CH24)</f>
        <v>0</v>
      </c>
      <c r="Z24" s="1472">
        <f>SUM(CI24:CK24)</f>
        <v>0</v>
      </c>
      <c r="AA24" s="1472">
        <f>SUM(CL24:CN24)</f>
        <v>0</v>
      </c>
      <c r="AB24" s="1472">
        <f>SUM(CO24:CQ24)</f>
        <v>0</v>
      </c>
      <c r="AC24" s="1472">
        <f>SUM(CR24:CT24)</f>
        <v>0</v>
      </c>
      <c r="AD24" s="1472">
        <f>SUM(CU24:CW24)</f>
        <v>0</v>
      </c>
      <c r="AE24" s="1472">
        <f>SUM(CX24:CZ24)</f>
        <v>0</v>
      </c>
      <c r="AF24" s="1472">
        <f>SUM(DA24:DC24)</f>
        <v>0</v>
      </c>
      <c r="AG24" s="1472">
        <f>SUM(DD24:DF24)</f>
        <v>0</v>
      </c>
      <c r="AH24" s="1472">
        <f>SUM(DG24:DI24)</f>
        <v>0</v>
      </c>
      <c r="AI24" s="1472">
        <f>SUM(DJ24:DL24)</f>
        <v>0</v>
      </c>
      <c r="AJ24" s="1472">
        <f>SUM(DM24:DO24)</f>
        <v>115150.94324126979</v>
      </c>
      <c r="AK24" s="1472">
        <f>SUM(DP24:DR24)</f>
        <v>251506.44110790914</v>
      </c>
      <c r="AL24" s="1472">
        <f>SUM(DS24:DU24)</f>
        <v>191280.5606339878</v>
      </c>
      <c r="AM24" s="1472">
        <f>SUM(DV24:DX24)</f>
        <v>259550.33383204177</v>
      </c>
      <c r="AN24" s="1472">
        <f>SUM(DY24:EA24)</f>
        <v>243477.79880341515</v>
      </c>
      <c r="AO24" s="1472">
        <f>SUM(EB24:ED24)</f>
        <v>354527.32990951638</v>
      </c>
      <c r="AP24" s="1472">
        <f>SUM(EE24:EG24)</f>
        <v>369899.31456165935</v>
      </c>
      <c r="AQ24" s="1472">
        <f>SUM(EH24:EJ24)</f>
        <v>501919.74689174426</v>
      </c>
      <c r="AR24" s="1472">
        <f>SUM(EK24:EM24)</f>
        <v>470838.59745004372</v>
      </c>
      <c r="AS24" s="1472">
        <f>SUM(EN24:EP24)</f>
        <v>685586.74175907753</v>
      </c>
      <c r="AT24" s="1472">
        <f>SUM(EQ24:ES24)</f>
        <v>838068.27403745835</v>
      </c>
      <c r="AU24" s="1472">
        <f>SUM(ET24:EV24)</f>
        <v>1137182.4694548445</v>
      </c>
      <c r="AV24" s="1472">
        <f>SUM(EW24:EY24)</f>
        <v>1066762.9681411586</v>
      </c>
      <c r="AW24" s="1472">
        <f>SUM(EZ24:FB24)</f>
        <v>1553310.5219453406</v>
      </c>
      <c r="AY24" s="1472">
        <f t="shared" ref="AY24:CD24" si="62">AY68</f>
        <v>0</v>
      </c>
      <c r="AZ24" s="1472">
        <f t="shared" si="62"/>
        <v>0</v>
      </c>
      <c r="BA24" s="1472">
        <f t="shared" si="62"/>
        <v>0</v>
      </c>
      <c r="BB24" s="1472">
        <f t="shared" si="62"/>
        <v>0</v>
      </c>
      <c r="BC24" s="1472">
        <f t="shared" si="62"/>
        <v>0</v>
      </c>
      <c r="BD24" s="1472">
        <f t="shared" si="62"/>
        <v>0</v>
      </c>
      <c r="BE24" s="1472">
        <f t="shared" si="62"/>
        <v>0</v>
      </c>
      <c r="BF24" s="1472">
        <f t="shared" si="62"/>
        <v>0</v>
      </c>
      <c r="BG24" s="1472">
        <f t="shared" si="62"/>
        <v>0</v>
      </c>
      <c r="BH24" s="1472">
        <f t="shared" si="62"/>
        <v>0</v>
      </c>
      <c r="BI24" s="1472">
        <f t="shared" si="62"/>
        <v>0</v>
      </c>
      <c r="BJ24" s="1472">
        <f t="shared" si="62"/>
        <v>0</v>
      </c>
      <c r="BK24" s="1472">
        <f t="shared" si="62"/>
        <v>0</v>
      </c>
      <c r="BL24" s="1472">
        <f t="shared" si="62"/>
        <v>0</v>
      </c>
      <c r="BM24" s="1472">
        <f t="shared" si="62"/>
        <v>0</v>
      </c>
      <c r="BN24" s="1472">
        <f t="shared" si="62"/>
        <v>0</v>
      </c>
      <c r="BO24" s="1472">
        <f t="shared" si="62"/>
        <v>0</v>
      </c>
      <c r="BP24" s="1472">
        <f t="shared" si="62"/>
        <v>0</v>
      </c>
      <c r="BQ24" s="1472">
        <f t="shared" si="62"/>
        <v>0</v>
      </c>
      <c r="BR24" s="1472">
        <f t="shared" si="62"/>
        <v>0</v>
      </c>
      <c r="BS24" s="1472">
        <f t="shared" si="62"/>
        <v>0</v>
      </c>
      <c r="BT24" s="1472">
        <f t="shared" si="62"/>
        <v>0</v>
      </c>
      <c r="BU24" s="1472">
        <f t="shared" si="62"/>
        <v>0</v>
      </c>
      <c r="BV24" s="1472">
        <f t="shared" si="62"/>
        <v>0</v>
      </c>
      <c r="BW24" s="1472">
        <f t="shared" si="62"/>
        <v>0</v>
      </c>
      <c r="BX24" s="1472">
        <f t="shared" si="62"/>
        <v>0</v>
      </c>
      <c r="BY24" s="1472">
        <f t="shared" si="62"/>
        <v>0</v>
      </c>
      <c r="BZ24" s="1472">
        <f t="shared" si="62"/>
        <v>0</v>
      </c>
      <c r="CA24" s="1472">
        <f t="shared" si="62"/>
        <v>0</v>
      </c>
      <c r="CB24" s="1472">
        <f t="shared" si="62"/>
        <v>0</v>
      </c>
      <c r="CC24" s="1472">
        <f t="shared" si="62"/>
        <v>0</v>
      </c>
      <c r="CD24" s="1472">
        <f t="shared" si="62"/>
        <v>0</v>
      </c>
      <c r="CE24" s="1472">
        <f t="shared" ref="CE24:DJ24" si="63">CE68</f>
        <v>0</v>
      </c>
      <c r="CF24" s="1472">
        <f t="shared" si="63"/>
        <v>0</v>
      </c>
      <c r="CG24" s="1472">
        <f t="shared" si="63"/>
        <v>0</v>
      </c>
      <c r="CH24" s="1472">
        <f t="shared" si="63"/>
        <v>0</v>
      </c>
      <c r="CI24" s="1472">
        <f t="shared" si="63"/>
        <v>0</v>
      </c>
      <c r="CJ24" s="1472">
        <f t="shared" si="63"/>
        <v>0</v>
      </c>
      <c r="CK24" s="1472">
        <f t="shared" si="63"/>
        <v>0</v>
      </c>
      <c r="CL24" s="1472">
        <f t="shared" si="63"/>
        <v>0</v>
      </c>
      <c r="CM24" s="1472">
        <f t="shared" si="63"/>
        <v>0</v>
      </c>
      <c r="CN24" s="1472">
        <f t="shared" si="63"/>
        <v>0</v>
      </c>
      <c r="CO24" s="1472">
        <f t="shared" si="63"/>
        <v>0</v>
      </c>
      <c r="CP24" s="1472">
        <f t="shared" si="63"/>
        <v>0</v>
      </c>
      <c r="CQ24" s="1472">
        <f t="shared" si="63"/>
        <v>0</v>
      </c>
      <c r="CR24" s="1472">
        <f t="shared" si="63"/>
        <v>0</v>
      </c>
      <c r="CS24" s="1472">
        <f t="shared" si="63"/>
        <v>0</v>
      </c>
      <c r="CT24" s="1472">
        <f t="shared" si="63"/>
        <v>0</v>
      </c>
      <c r="CU24" s="1472">
        <f t="shared" si="63"/>
        <v>0</v>
      </c>
      <c r="CV24" s="1472">
        <f t="shared" si="63"/>
        <v>0</v>
      </c>
      <c r="CW24" s="1472">
        <f t="shared" si="63"/>
        <v>0</v>
      </c>
      <c r="CX24" s="1472">
        <f t="shared" si="63"/>
        <v>0</v>
      </c>
      <c r="CY24" s="1472">
        <f t="shared" si="63"/>
        <v>0</v>
      </c>
      <c r="CZ24" s="1472">
        <f t="shared" si="63"/>
        <v>0</v>
      </c>
      <c r="DA24" s="1472">
        <f t="shared" si="63"/>
        <v>0</v>
      </c>
      <c r="DB24" s="1472">
        <f t="shared" si="63"/>
        <v>0</v>
      </c>
      <c r="DC24" s="1472">
        <f t="shared" si="63"/>
        <v>0</v>
      </c>
      <c r="DD24" s="1472">
        <f t="shared" si="63"/>
        <v>0</v>
      </c>
      <c r="DE24" s="1472">
        <f t="shared" si="63"/>
        <v>0</v>
      </c>
      <c r="DF24" s="1472">
        <f t="shared" si="63"/>
        <v>0</v>
      </c>
      <c r="DG24" s="1472">
        <f t="shared" si="63"/>
        <v>0</v>
      </c>
      <c r="DH24" s="1472">
        <f t="shared" si="63"/>
        <v>0</v>
      </c>
      <c r="DI24" s="1472">
        <f t="shared" si="63"/>
        <v>0</v>
      </c>
      <c r="DJ24" s="1472">
        <f t="shared" si="63"/>
        <v>0</v>
      </c>
      <c r="DK24" s="1472">
        <f t="shared" ref="DK24:EP24" si="64">DK68</f>
        <v>0</v>
      </c>
      <c r="DL24" s="1472">
        <f t="shared" si="64"/>
        <v>0</v>
      </c>
      <c r="DM24" s="1472">
        <f t="shared" si="64"/>
        <v>19457.05179970212</v>
      </c>
      <c r="DN24" s="1472">
        <f t="shared" si="64"/>
        <v>34693.850381814664</v>
      </c>
      <c r="DO24" s="1472">
        <f t="shared" si="64"/>
        <v>61000.041059753021</v>
      </c>
      <c r="DP24" s="1472">
        <f t="shared" si="64"/>
        <v>34974.745282503645</v>
      </c>
      <c r="DQ24" s="1472">
        <f t="shared" si="64"/>
        <v>100488.50081579738</v>
      </c>
      <c r="DR24" s="1472">
        <f t="shared" si="64"/>
        <v>116043.19500960811</v>
      </c>
      <c r="DS24" s="1472">
        <f t="shared" si="64"/>
        <v>26424.609240995153</v>
      </c>
      <c r="DT24" s="1472">
        <f t="shared" si="64"/>
        <v>55814.363089885759</v>
      </c>
      <c r="DU24" s="1472">
        <f t="shared" si="64"/>
        <v>109041.5883031069</v>
      </c>
      <c r="DV24" s="1472">
        <f t="shared" si="64"/>
        <v>47039.628261595666</v>
      </c>
      <c r="DW24" s="1472">
        <f t="shared" si="64"/>
        <v>88228.660152570694</v>
      </c>
      <c r="DX24" s="1472">
        <f t="shared" si="64"/>
        <v>124282.04541787542</v>
      </c>
      <c r="DY24" s="1472">
        <f t="shared" si="64"/>
        <v>41140.437151865575</v>
      </c>
      <c r="DZ24" s="1472">
        <f t="shared" si="64"/>
        <v>73357.473983346485</v>
      </c>
      <c r="EA24" s="1472">
        <f t="shared" si="64"/>
        <v>128979.8876682031</v>
      </c>
      <c r="EB24" s="1472">
        <f t="shared" si="64"/>
        <v>49300.936408031987</v>
      </c>
      <c r="EC24" s="1472">
        <f t="shared" si="64"/>
        <v>141650.12921299128</v>
      </c>
      <c r="ED24" s="1472">
        <f t="shared" si="64"/>
        <v>163576.26428849314</v>
      </c>
      <c r="EE24" s="1472">
        <f t="shared" si="64"/>
        <v>51100.042855410866</v>
      </c>
      <c r="EF24" s="1472">
        <f t="shared" si="64"/>
        <v>107934.0973343837</v>
      </c>
      <c r="EG24" s="1472">
        <f t="shared" si="64"/>
        <v>210865.17437186476</v>
      </c>
      <c r="EH24" s="1472">
        <f t="shared" si="64"/>
        <v>90965.470790803258</v>
      </c>
      <c r="EI24" s="1472">
        <f t="shared" si="64"/>
        <v>170617.0287611055</v>
      </c>
      <c r="EJ24" s="1472">
        <f t="shared" si="64"/>
        <v>240337.24733983551</v>
      </c>
      <c r="EK24" s="1472">
        <f t="shared" si="64"/>
        <v>79557.585218296939</v>
      </c>
      <c r="EL24" s="1472">
        <f t="shared" si="64"/>
        <v>141859.05381329765</v>
      </c>
      <c r="EM24" s="1472">
        <f t="shared" si="64"/>
        <v>249421.95841844913</v>
      </c>
      <c r="EN24" s="1472">
        <f t="shared" si="64"/>
        <v>95338.399909199376</v>
      </c>
      <c r="EO24" s="1472">
        <f t="shared" si="64"/>
        <v>273923.73553167994</v>
      </c>
      <c r="EP24" s="1472">
        <f t="shared" si="64"/>
        <v>316324.6063181982</v>
      </c>
      <c r="EQ24" s="1472">
        <f t="shared" ref="EQ24:FB24" si="65">EQ68</f>
        <v>115775.62605062813</v>
      </c>
      <c r="ER24" s="1472">
        <f t="shared" si="65"/>
        <v>244542.60687130754</v>
      </c>
      <c r="ES24" s="1472">
        <f t="shared" si="65"/>
        <v>477750.04111552268</v>
      </c>
      <c r="ET24" s="1472">
        <f t="shared" si="65"/>
        <v>206097.36785534243</v>
      </c>
      <c r="EU24" s="1472">
        <f t="shared" si="65"/>
        <v>386561.18891343329</v>
      </c>
      <c r="EV24" s="1472">
        <f t="shared" si="65"/>
        <v>544523.91268606868</v>
      </c>
      <c r="EW24" s="1472">
        <f t="shared" si="65"/>
        <v>180250.91019564992</v>
      </c>
      <c r="EX24" s="1472">
        <f t="shared" si="65"/>
        <v>321405.22489689471</v>
      </c>
      <c r="EY24" s="1472">
        <f t="shared" si="65"/>
        <v>565106.83304861397</v>
      </c>
      <c r="EZ24" s="1472">
        <f t="shared" si="65"/>
        <v>216004.96436734265</v>
      </c>
      <c r="FA24" s="1472">
        <f t="shared" si="65"/>
        <v>620619.67464571004</v>
      </c>
      <c r="FB24" s="1472">
        <f t="shared" si="65"/>
        <v>716685.88293228787</v>
      </c>
    </row>
    <row r="25" spans="3:158" x14ac:dyDescent="0.25">
      <c r="C25" s="258" t="s">
        <v>584</v>
      </c>
      <c r="D25" s="1472">
        <f t="shared" si="61"/>
        <v>0</v>
      </c>
      <c r="E25" s="1472">
        <f t="shared" si="61"/>
        <v>0</v>
      </c>
      <c r="F25" s="1472">
        <f t="shared" si="61"/>
        <v>0</v>
      </c>
      <c r="G25" s="1472">
        <f t="shared" si="61"/>
        <v>0</v>
      </c>
      <c r="H25" s="1472">
        <f t="shared" si="61"/>
        <v>0</v>
      </c>
      <c r="I25" s="1472">
        <f t="shared" si="61"/>
        <v>980071.41678583249</v>
      </c>
      <c r="J25" s="1472">
        <f t="shared" si="61"/>
        <v>6556477.3963761758</v>
      </c>
      <c r="K25" s="1472">
        <f t="shared" si="61"/>
        <v>12449594.1877879</v>
      </c>
      <c r="L25" s="1472">
        <f t="shared" si="61"/>
        <v>21243322.161375746</v>
      </c>
      <c r="M25" s="244"/>
      <c r="N25" s="1472">
        <f>SUM(AY25:BA25)</f>
        <v>0</v>
      </c>
      <c r="O25" s="1472">
        <f>SUM(BB25:BD25)</f>
        <v>0</v>
      </c>
      <c r="P25" s="1472">
        <f>SUM(BE25:BG25)</f>
        <v>0</v>
      </c>
      <c r="Q25" s="1472">
        <f>SUM(BH25:BJ25)</f>
        <v>0</v>
      </c>
      <c r="R25" s="1472">
        <f>SUM(BK25:BM25)</f>
        <v>0</v>
      </c>
      <c r="S25" s="1472">
        <f>SUM(BN25:BP25)</f>
        <v>0</v>
      </c>
      <c r="T25" s="1472">
        <f>SUM(BQ25:BS25)</f>
        <v>0</v>
      </c>
      <c r="U25" s="1472">
        <f>SUM(BT25:BV25)</f>
        <v>0</v>
      </c>
      <c r="V25" s="1472">
        <f>SUM(BW25:BY25)</f>
        <v>0</v>
      </c>
      <c r="W25" s="1472">
        <f>SUM(BZ25:CB25)</f>
        <v>0</v>
      </c>
      <c r="X25" s="1472">
        <f>SUM(CC25:CE25)</f>
        <v>0</v>
      </c>
      <c r="Y25" s="1472">
        <f>SUM(CF25:CH25)</f>
        <v>0</v>
      </c>
      <c r="Z25" s="1472">
        <f>SUM(CI25:CK25)</f>
        <v>0</v>
      </c>
      <c r="AA25" s="1472">
        <f>SUM(CL25:CN25)</f>
        <v>0</v>
      </c>
      <c r="AB25" s="1472">
        <f>SUM(CO25:CQ25)</f>
        <v>0</v>
      </c>
      <c r="AC25" s="1472">
        <f>SUM(CR25:CT25)</f>
        <v>0</v>
      </c>
      <c r="AD25" s="1472">
        <f>SUM(CU25:CW25)</f>
        <v>0</v>
      </c>
      <c r="AE25" s="1472">
        <f>SUM(CX25:CZ25)</f>
        <v>0</v>
      </c>
      <c r="AF25" s="1472">
        <f>SUM(DA25:DC25)</f>
        <v>0</v>
      </c>
      <c r="AG25" s="1472">
        <f>SUM(DD25:DF25)</f>
        <v>0</v>
      </c>
      <c r="AH25" s="1472">
        <f>SUM(DG25:DI25)</f>
        <v>178739.67514572415</v>
      </c>
      <c r="AI25" s="1472">
        <f>SUM(DJ25:DL25)</f>
        <v>242533.49216114869</v>
      </c>
      <c r="AJ25" s="1472">
        <f>SUM(DM25:DO25)</f>
        <v>227514.71722519456</v>
      </c>
      <c r="AK25" s="1472">
        <f>SUM(DP25:DR25)</f>
        <v>331283.53225376498</v>
      </c>
      <c r="AL25" s="1472">
        <f>SUM(DS25:DU25)</f>
        <v>1195731.8822457283</v>
      </c>
      <c r="AM25" s="1472">
        <f>SUM(DV25:DX25)</f>
        <v>1622499.4750216622</v>
      </c>
      <c r="AN25" s="1472">
        <f>SUM(DY25:EA25)</f>
        <v>1522026.9413855118</v>
      </c>
      <c r="AO25" s="1472">
        <f>SUM(EB25:ED25)</f>
        <v>2216219.0977232736</v>
      </c>
      <c r="AP25" s="1472">
        <f>SUM(EE25:EG25)</f>
        <v>2270483.9491381361</v>
      </c>
      <c r="AQ25" s="1472">
        <f>SUM(EH25:EJ25)</f>
        <v>3080840.3373865103</v>
      </c>
      <c r="AR25" s="1472">
        <f>SUM(EK25:EM25)</f>
        <v>2890060.7166895336</v>
      </c>
      <c r="AS25" s="1472">
        <f>SUM(EN25:EP25)</f>
        <v>4208209.1845737193</v>
      </c>
      <c r="AT25" s="1472">
        <f>SUM(EQ25:ES25)</f>
        <v>3874232.4662346514</v>
      </c>
      <c r="AU25" s="1472">
        <f>SUM(ET25:EV25)</f>
        <v>5256981.2981584538</v>
      </c>
      <c r="AV25" s="1472">
        <f>SUM(EW25:EY25)</f>
        <v>4931445.149496966</v>
      </c>
      <c r="AW25" s="1472">
        <f>SUM(EZ25:FB25)</f>
        <v>7180663.2474856749</v>
      </c>
      <c r="AY25" s="1472">
        <f t="shared" ref="AY25:CD25" si="66">AY80</f>
        <v>0</v>
      </c>
      <c r="AZ25" s="1472">
        <f t="shared" si="66"/>
        <v>0</v>
      </c>
      <c r="BA25" s="1472">
        <f t="shared" si="66"/>
        <v>0</v>
      </c>
      <c r="BB25" s="1472">
        <f t="shared" si="66"/>
        <v>0</v>
      </c>
      <c r="BC25" s="1472">
        <f t="shared" si="66"/>
        <v>0</v>
      </c>
      <c r="BD25" s="1472">
        <f t="shared" si="66"/>
        <v>0</v>
      </c>
      <c r="BE25" s="1472">
        <f t="shared" si="66"/>
        <v>0</v>
      </c>
      <c r="BF25" s="1472">
        <f t="shared" si="66"/>
        <v>0</v>
      </c>
      <c r="BG25" s="1472">
        <f t="shared" si="66"/>
        <v>0</v>
      </c>
      <c r="BH25" s="1472">
        <f t="shared" si="66"/>
        <v>0</v>
      </c>
      <c r="BI25" s="1472">
        <f t="shared" si="66"/>
        <v>0</v>
      </c>
      <c r="BJ25" s="1472">
        <f t="shared" si="66"/>
        <v>0</v>
      </c>
      <c r="BK25" s="1472">
        <f t="shared" si="66"/>
        <v>0</v>
      </c>
      <c r="BL25" s="1472">
        <f t="shared" si="66"/>
        <v>0</v>
      </c>
      <c r="BM25" s="1472">
        <f t="shared" si="66"/>
        <v>0</v>
      </c>
      <c r="BN25" s="1472">
        <f t="shared" si="66"/>
        <v>0</v>
      </c>
      <c r="BO25" s="1472">
        <f t="shared" si="66"/>
        <v>0</v>
      </c>
      <c r="BP25" s="1472">
        <f t="shared" si="66"/>
        <v>0</v>
      </c>
      <c r="BQ25" s="1472">
        <f t="shared" si="66"/>
        <v>0</v>
      </c>
      <c r="BR25" s="1472">
        <f t="shared" si="66"/>
        <v>0</v>
      </c>
      <c r="BS25" s="1472">
        <f t="shared" si="66"/>
        <v>0</v>
      </c>
      <c r="BT25" s="1472">
        <f t="shared" si="66"/>
        <v>0</v>
      </c>
      <c r="BU25" s="1472">
        <f t="shared" si="66"/>
        <v>0</v>
      </c>
      <c r="BV25" s="1472">
        <f t="shared" si="66"/>
        <v>0</v>
      </c>
      <c r="BW25" s="1472">
        <f t="shared" si="66"/>
        <v>0</v>
      </c>
      <c r="BX25" s="1472">
        <f t="shared" si="66"/>
        <v>0</v>
      </c>
      <c r="BY25" s="1472">
        <f t="shared" si="66"/>
        <v>0</v>
      </c>
      <c r="BZ25" s="1472">
        <f t="shared" si="66"/>
        <v>0</v>
      </c>
      <c r="CA25" s="1472">
        <f t="shared" si="66"/>
        <v>0</v>
      </c>
      <c r="CB25" s="1472">
        <f t="shared" si="66"/>
        <v>0</v>
      </c>
      <c r="CC25" s="1472">
        <f t="shared" si="66"/>
        <v>0</v>
      </c>
      <c r="CD25" s="1472">
        <f t="shared" si="66"/>
        <v>0</v>
      </c>
      <c r="CE25" s="1472">
        <f t="shared" ref="CE25:DJ25" si="67">CE80</f>
        <v>0</v>
      </c>
      <c r="CF25" s="1472">
        <f t="shared" si="67"/>
        <v>0</v>
      </c>
      <c r="CG25" s="1472">
        <f t="shared" si="67"/>
        <v>0</v>
      </c>
      <c r="CH25" s="1472">
        <f t="shared" si="67"/>
        <v>0</v>
      </c>
      <c r="CI25" s="1472">
        <f t="shared" si="67"/>
        <v>0</v>
      </c>
      <c r="CJ25" s="1472">
        <f t="shared" si="67"/>
        <v>0</v>
      </c>
      <c r="CK25" s="1472">
        <f t="shared" si="67"/>
        <v>0</v>
      </c>
      <c r="CL25" s="1472">
        <f t="shared" si="67"/>
        <v>0</v>
      </c>
      <c r="CM25" s="1472">
        <f t="shared" si="67"/>
        <v>0</v>
      </c>
      <c r="CN25" s="1472">
        <f t="shared" si="67"/>
        <v>0</v>
      </c>
      <c r="CO25" s="1472">
        <f t="shared" si="67"/>
        <v>0</v>
      </c>
      <c r="CP25" s="1472">
        <f t="shared" si="67"/>
        <v>0</v>
      </c>
      <c r="CQ25" s="1472">
        <f t="shared" si="67"/>
        <v>0</v>
      </c>
      <c r="CR25" s="1472">
        <f t="shared" si="67"/>
        <v>0</v>
      </c>
      <c r="CS25" s="1472">
        <f t="shared" si="67"/>
        <v>0</v>
      </c>
      <c r="CT25" s="1472">
        <f t="shared" si="67"/>
        <v>0</v>
      </c>
      <c r="CU25" s="1472">
        <f t="shared" si="67"/>
        <v>0</v>
      </c>
      <c r="CV25" s="1472">
        <f t="shared" si="67"/>
        <v>0</v>
      </c>
      <c r="CW25" s="1472">
        <f t="shared" si="67"/>
        <v>0</v>
      </c>
      <c r="CX25" s="1472">
        <f t="shared" si="67"/>
        <v>0</v>
      </c>
      <c r="CY25" s="1472">
        <f t="shared" si="67"/>
        <v>0</v>
      </c>
      <c r="CZ25" s="1472">
        <f t="shared" si="67"/>
        <v>0</v>
      </c>
      <c r="DA25" s="1472">
        <f t="shared" si="67"/>
        <v>0</v>
      </c>
      <c r="DB25" s="1472">
        <f t="shared" si="67"/>
        <v>0</v>
      </c>
      <c r="DC25" s="1472">
        <f t="shared" si="67"/>
        <v>0</v>
      </c>
      <c r="DD25" s="1472">
        <f t="shared" si="67"/>
        <v>0</v>
      </c>
      <c r="DE25" s="1472">
        <f t="shared" si="67"/>
        <v>0</v>
      </c>
      <c r="DF25" s="1472">
        <f t="shared" si="67"/>
        <v>0</v>
      </c>
      <c r="DG25" s="1472">
        <f t="shared" si="67"/>
        <v>24692.138374823135</v>
      </c>
      <c r="DH25" s="1472">
        <f t="shared" si="67"/>
        <v>52155.018231262147</v>
      </c>
      <c r="DI25" s="1472">
        <f t="shared" si="67"/>
        <v>101892.51853963888</v>
      </c>
      <c r="DJ25" s="1472">
        <f t="shared" si="67"/>
        <v>43955.579420020156</v>
      </c>
      <c r="DK25" s="1472">
        <f t="shared" ref="DK25:EP25" si="68">DK80</f>
        <v>82444.143837431286</v>
      </c>
      <c r="DL25" s="1472">
        <f t="shared" si="68"/>
        <v>116133.76890369724</v>
      </c>
      <c r="DM25" s="1472">
        <f t="shared" si="68"/>
        <v>38443.155684535021</v>
      </c>
      <c r="DN25" s="1472">
        <f t="shared" si="68"/>
        <v>68547.953988819863</v>
      </c>
      <c r="DO25" s="1472">
        <f t="shared" si="68"/>
        <v>120523.60755183967</v>
      </c>
      <c r="DP25" s="1472">
        <f t="shared" si="68"/>
        <v>46068.629915892627</v>
      </c>
      <c r="DQ25" s="1472">
        <f t="shared" si="68"/>
        <v>132363.15282621136</v>
      </c>
      <c r="DR25" s="1472">
        <f t="shared" si="68"/>
        <v>152851.74951166101</v>
      </c>
      <c r="DS25" s="1472">
        <f t="shared" si="68"/>
        <v>165185.35726065157</v>
      </c>
      <c r="DT25" s="1472">
        <f t="shared" si="68"/>
        <v>348906.40853735059</v>
      </c>
      <c r="DU25" s="1472">
        <f t="shared" si="68"/>
        <v>681640.11644772626</v>
      </c>
      <c r="DV25" s="1472">
        <f t="shared" si="68"/>
        <v>294053.83931827988</v>
      </c>
      <c r="DW25" s="1472">
        <f t="shared" si="68"/>
        <v>551534.46603557584</v>
      </c>
      <c r="DX25" s="1472">
        <f t="shared" si="68"/>
        <v>776911.16966780659</v>
      </c>
      <c r="DY25" s="1472">
        <f t="shared" si="68"/>
        <v>257176.85157846325</v>
      </c>
      <c r="DZ25" s="1472">
        <f t="shared" si="68"/>
        <v>458571.79711398802</v>
      </c>
      <c r="EA25" s="1472">
        <f t="shared" si="68"/>
        <v>806278.29269306047</v>
      </c>
      <c r="EB25" s="1472">
        <f t="shared" si="68"/>
        <v>308189.71510886698</v>
      </c>
      <c r="EC25" s="1472">
        <f t="shared" si="68"/>
        <v>885482.4299072295</v>
      </c>
      <c r="ED25" s="1472">
        <f t="shared" si="68"/>
        <v>1022546.952707177</v>
      </c>
      <c r="EE25" s="1472">
        <f t="shared" si="68"/>
        <v>313657.85914194048</v>
      </c>
      <c r="EF25" s="1472">
        <f t="shared" si="68"/>
        <v>662511.73201777169</v>
      </c>
      <c r="EG25" s="1472">
        <f t="shared" si="68"/>
        <v>1294314.3579784241</v>
      </c>
      <c r="EH25" s="1472">
        <f t="shared" si="68"/>
        <v>558356.37760254601</v>
      </c>
      <c r="EI25" s="1472">
        <f t="shared" si="68"/>
        <v>1047266.6750161173</v>
      </c>
      <c r="EJ25" s="1472">
        <f t="shared" si="68"/>
        <v>1475217.284767847</v>
      </c>
      <c r="EK25" s="1472">
        <f t="shared" si="68"/>
        <v>488333.48200276896</v>
      </c>
      <c r="EL25" s="1472">
        <f t="shared" si="68"/>
        <v>870746.96287204325</v>
      </c>
      <c r="EM25" s="1472">
        <f t="shared" si="68"/>
        <v>1530980.2718147216</v>
      </c>
      <c r="EN25" s="1472">
        <f t="shared" si="68"/>
        <v>585197.91253699933</v>
      </c>
      <c r="EO25" s="1472">
        <f t="shared" si="68"/>
        <v>1681374.9588848364</v>
      </c>
      <c r="EP25" s="1472">
        <f t="shared" si="68"/>
        <v>1941636.3131518837</v>
      </c>
      <c r="EQ25" s="1472">
        <f t="shared" ref="EQ25:FB25" si="69">EQ80</f>
        <v>535209.00759445492</v>
      </c>
      <c r="ER25" s="1472">
        <f t="shared" si="69"/>
        <v>1130474.6119957892</v>
      </c>
      <c r="ES25" s="1472">
        <f t="shared" si="69"/>
        <v>2208548.8466444071</v>
      </c>
      <c r="ET25" s="1472">
        <f t="shared" si="69"/>
        <v>952749.48173850705</v>
      </c>
      <c r="EU25" s="1472">
        <f t="shared" si="69"/>
        <v>1786999.8837442587</v>
      </c>
      <c r="EV25" s="1472">
        <f t="shared" si="69"/>
        <v>2517231.9326756885</v>
      </c>
      <c r="EW25" s="1472">
        <f t="shared" si="69"/>
        <v>833266.15501629247</v>
      </c>
      <c r="EX25" s="1472">
        <f t="shared" si="69"/>
        <v>1485796.0809256737</v>
      </c>
      <c r="EY25" s="1472">
        <f t="shared" si="69"/>
        <v>2612382.913555</v>
      </c>
      <c r="EZ25" s="1472">
        <f t="shared" si="69"/>
        <v>998550.44242184726</v>
      </c>
      <c r="FA25" s="1472">
        <f t="shared" si="69"/>
        <v>2869008.3698227764</v>
      </c>
      <c r="FB25" s="1472">
        <f t="shared" si="69"/>
        <v>3313104.4352410515</v>
      </c>
    </row>
    <row r="26" spans="3:158" x14ac:dyDescent="0.25">
      <c r="C26" s="258" t="s">
        <v>22</v>
      </c>
      <c r="D26" s="1473">
        <f t="shared" ref="D26:L26" si="70">-D23*(1-D28)</f>
        <v>0</v>
      </c>
      <c r="E26" s="1473">
        <f t="shared" si="70"/>
        <v>0</v>
      </c>
      <c r="F26" s="1473">
        <f t="shared" si="70"/>
        <v>0</v>
      </c>
      <c r="G26" s="1473">
        <f t="shared" si="70"/>
        <v>0</v>
      </c>
      <c r="H26" s="1473">
        <f t="shared" si="70"/>
        <v>0</v>
      </c>
      <c r="I26" s="1473">
        <f t="shared" si="70"/>
        <v>0</v>
      </c>
      <c r="J26" s="1473">
        <f t="shared" si="70"/>
        <v>-53866.837979218944</v>
      </c>
      <c r="K26" s="1473">
        <f t="shared" si="70"/>
        <v>-347013.5503093513</v>
      </c>
      <c r="L26" s="1473">
        <f t="shared" si="70"/>
        <v>-875062.44556734071</v>
      </c>
      <c r="M26" s="244"/>
      <c r="N26" s="1473">
        <f>SUM(AY26:BA26)</f>
        <v>0</v>
      </c>
      <c r="O26" s="1473">
        <f>SUM(BB26:BD26)</f>
        <v>0</v>
      </c>
      <c r="P26" s="1473">
        <f>SUM(BE26:BG26)</f>
        <v>0</v>
      </c>
      <c r="Q26" s="1473">
        <f>SUM(BH26:BJ26)</f>
        <v>0</v>
      </c>
      <c r="R26" s="1473">
        <f>SUM(BK26:BM26)</f>
        <v>0</v>
      </c>
      <c r="S26" s="1473">
        <f>SUM(BN26:BP26)</f>
        <v>0</v>
      </c>
      <c r="T26" s="1473">
        <f>SUM(BQ26:BS26)</f>
        <v>0</v>
      </c>
      <c r="U26" s="1473">
        <f>SUM(BT26:BV26)</f>
        <v>0</v>
      </c>
      <c r="V26" s="1473">
        <f>SUM(BW26:BY26)</f>
        <v>0</v>
      </c>
      <c r="W26" s="1473">
        <f>SUM(BZ26:CB26)</f>
        <v>0</v>
      </c>
      <c r="X26" s="1473">
        <f>SUM(CC26:CE26)</f>
        <v>0</v>
      </c>
      <c r="Y26" s="1473">
        <f>SUM(CF26:CH26)</f>
        <v>0</v>
      </c>
      <c r="Z26" s="1473">
        <f>SUM(CI26:CK26)</f>
        <v>0</v>
      </c>
      <c r="AA26" s="1473">
        <f>SUM(CL26:CN26)</f>
        <v>0</v>
      </c>
      <c r="AB26" s="1473">
        <f>SUM(CO26:CQ26)</f>
        <v>0</v>
      </c>
      <c r="AC26" s="1473">
        <f>SUM(CR26:CT26)</f>
        <v>0</v>
      </c>
      <c r="AD26" s="1473">
        <f>SUM(CU26:CW26)</f>
        <v>0</v>
      </c>
      <c r="AE26" s="1473">
        <f>SUM(CX26:CZ26)</f>
        <v>0</v>
      </c>
      <c r="AF26" s="1473">
        <f>SUM(DA26:DC26)</f>
        <v>0</v>
      </c>
      <c r="AG26" s="1473">
        <f>SUM(DD26:DF26)</f>
        <v>0</v>
      </c>
      <c r="AH26" s="1473">
        <f>SUM(DG26:DI26)</f>
        <v>0</v>
      </c>
      <c r="AI26" s="1473">
        <f>SUM(DJ26:DL26)</f>
        <v>0</v>
      </c>
      <c r="AJ26" s="1473">
        <f>SUM(DM26:DO26)</f>
        <v>0</v>
      </c>
      <c r="AK26" s="1473">
        <f>SUM(DP26:DR26)</f>
        <v>0</v>
      </c>
      <c r="AL26" s="1473">
        <f>SUM(DS26:DU26)</f>
        <v>-11083.57956296434</v>
      </c>
      <c r="AM26" s="1473">
        <f>SUM(DV26:DX26)</f>
        <v>-12484.180870592192</v>
      </c>
      <c r="AN26" s="1473">
        <f>SUM(DY26:EA26)</f>
        <v>-11442.070699424323</v>
      </c>
      <c r="AO26" s="1473">
        <f>SUM(EB26:ED26)</f>
        <v>-18857.00684623808</v>
      </c>
      <c r="AP26" s="1473">
        <f>SUM(EE26:EG26)</f>
        <v>-71401.115019303994</v>
      </c>
      <c r="AQ26" s="1473">
        <f>SUM(EH26:EJ26)</f>
        <v>-80423.87652825618</v>
      </c>
      <c r="AR26" s="1473">
        <f>SUM(EK26:EM26)</f>
        <v>-73710.53741505339</v>
      </c>
      <c r="AS26" s="1473">
        <f>SUM(EN26:EP26)</f>
        <v>-121478.02134673772</v>
      </c>
      <c r="AT26" s="1473">
        <f>SUM(EQ26:ES26)</f>
        <v>-180051.85754080169</v>
      </c>
      <c r="AU26" s="1473">
        <f>SUM(ET26:EV26)</f>
        <v>-202804.51300556955</v>
      </c>
      <c r="AV26" s="1473">
        <f>SUM(EW26:EY26)</f>
        <v>-185875.51718657312</v>
      </c>
      <c r="AW26" s="1473">
        <f>SUM(EZ26:FB26)</f>
        <v>-306330.55783439626</v>
      </c>
      <c r="AY26" s="1473">
        <f t="shared" ref="AY26:CD26" si="71">INDEX($D26:$L26,MATCH(AY$2,$D$2:$L$2,0))*AY29</f>
        <v>0</v>
      </c>
      <c r="AZ26" s="1473">
        <f t="shared" si="71"/>
        <v>0</v>
      </c>
      <c r="BA26" s="1473">
        <f t="shared" si="71"/>
        <v>0</v>
      </c>
      <c r="BB26" s="1473">
        <f t="shared" si="71"/>
        <v>0</v>
      </c>
      <c r="BC26" s="1473">
        <f t="shared" si="71"/>
        <v>0</v>
      </c>
      <c r="BD26" s="1473">
        <f t="shared" si="71"/>
        <v>0</v>
      </c>
      <c r="BE26" s="1473">
        <f t="shared" si="71"/>
        <v>0</v>
      </c>
      <c r="BF26" s="1473">
        <f t="shared" si="71"/>
        <v>0</v>
      </c>
      <c r="BG26" s="1473">
        <f t="shared" si="71"/>
        <v>0</v>
      </c>
      <c r="BH26" s="1473">
        <f t="shared" si="71"/>
        <v>0</v>
      </c>
      <c r="BI26" s="1473">
        <f t="shared" si="71"/>
        <v>0</v>
      </c>
      <c r="BJ26" s="1473">
        <f t="shared" si="71"/>
        <v>0</v>
      </c>
      <c r="BK26" s="1473">
        <f t="shared" si="71"/>
        <v>0</v>
      </c>
      <c r="BL26" s="1473">
        <f t="shared" si="71"/>
        <v>0</v>
      </c>
      <c r="BM26" s="1473">
        <f t="shared" si="71"/>
        <v>0</v>
      </c>
      <c r="BN26" s="1473">
        <f t="shared" si="71"/>
        <v>0</v>
      </c>
      <c r="BO26" s="1473">
        <f t="shared" si="71"/>
        <v>0</v>
      </c>
      <c r="BP26" s="1473">
        <f t="shared" si="71"/>
        <v>0</v>
      </c>
      <c r="BQ26" s="1473">
        <f t="shared" si="71"/>
        <v>0</v>
      </c>
      <c r="BR26" s="1473">
        <f t="shared" si="71"/>
        <v>0</v>
      </c>
      <c r="BS26" s="1473">
        <f t="shared" si="71"/>
        <v>0</v>
      </c>
      <c r="BT26" s="1473">
        <f t="shared" si="71"/>
        <v>0</v>
      </c>
      <c r="BU26" s="1473">
        <f t="shared" si="71"/>
        <v>0</v>
      </c>
      <c r="BV26" s="1473">
        <f t="shared" si="71"/>
        <v>0</v>
      </c>
      <c r="BW26" s="1473">
        <f t="shared" si="71"/>
        <v>0</v>
      </c>
      <c r="BX26" s="1473">
        <f t="shared" si="71"/>
        <v>0</v>
      </c>
      <c r="BY26" s="1473">
        <f t="shared" si="71"/>
        <v>0</v>
      </c>
      <c r="BZ26" s="1473">
        <f t="shared" si="71"/>
        <v>0</v>
      </c>
      <c r="CA26" s="1473">
        <f t="shared" si="71"/>
        <v>0</v>
      </c>
      <c r="CB26" s="1473">
        <f t="shared" si="71"/>
        <v>0</v>
      </c>
      <c r="CC26" s="1473">
        <f t="shared" si="71"/>
        <v>0</v>
      </c>
      <c r="CD26" s="1473">
        <f t="shared" si="71"/>
        <v>0</v>
      </c>
      <c r="CE26" s="1473">
        <f t="shared" ref="CE26:DJ26" si="72">INDEX($D26:$L26,MATCH(CE$2,$D$2:$L$2,0))*CE29</f>
        <v>0</v>
      </c>
      <c r="CF26" s="1473">
        <f t="shared" si="72"/>
        <v>0</v>
      </c>
      <c r="CG26" s="1473">
        <f t="shared" si="72"/>
        <v>0</v>
      </c>
      <c r="CH26" s="1473">
        <f t="shared" si="72"/>
        <v>0</v>
      </c>
      <c r="CI26" s="1473">
        <f t="shared" si="72"/>
        <v>0</v>
      </c>
      <c r="CJ26" s="1473">
        <f t="shared" si="72"/>
        <v>0</v>
      </c>
      <c r="CK26" s="1473">
        <f t="shared" si="72"/>
        <v>0</v>
      </c>
      <c r="CL26" s="1473">
        <f t="shared" si="72"/>
        <v>0</v>
      </c>
      <c r="CM26" s="1473">
        <f t="shared" si="72"/>
        <v>0</v>
      </c>
      <c r="CN26" s="1473">
        <f t="shared" si="72"/>
        <v>0</v>
      </c>
      <c r="CO26" s="1473">
        <f t="shared" si="72"/>
        <v>0</v>
      </c>
      <c r="CP26" s="1473">
        <f t="shared" si="72"/>
        <v>0</v>
      </c>
      <c r="CQ26" s="1473">
        <f t="shared" si="72"/>
        <v>0</v>
      </c>
      <c r="CR26" s="1473">
        <f t="shared" si="72"/>
        <v>0</v>
      </c>
      <c r="CS26" s="1473">
        <f t="shared" si="72"/>
        <v>0</v>
      </c>
      <c r="CT26" s="1473">
        <f t="shared" si="72"/>
        <v>0</v>
      </c>
      <c r="CU26" s="1473">
        <f t="shared" si="72"/>
        <v>0</v>
      </c>
      <c r="CV26" s="1473">
        <f t="shared" si="72"/>
        <v>0</v>
      </c>
      <c r="CW26" s="1473">
        <f t="shared" si="72"/>
        <v>0</v>
      </c>
      <c r="CX26" s="1473">
        <f t="shared" si="72"/>
        <v>0</v>
      </c>
      <c r="CY26" s="1473">
        <f t="shared" si="72"/>
        <v>0</v>
      </c>
      <c r="CZ26" s="1473">
        <f t="shared" si="72"/>
        <v>0</v>
      </c>
      <c r="DA26" s="1473">
        <f t="shared" si="72"/>
        <v>0</v>
      </c>
      <c r="DB26" s="1473">
        <f t="shared" si="72"/>
        <v>0</v>
      </c>
      <c r="DC26" s="1473">
        <f t="shared" si="72"/>
        <v>0</v>
      </c>
      <c r="DD26" s="1473">
        <f t="shared" si="72"/>
        <v>0</v>
      </c>
      <c r="DE26" s="1473">
        <f t="shared" si="72"/>
        <v>0</v>
      </c>
      <c r="DF26" s="1473">
        <f t="shared" si="72"/>
        <v>0</v>
      </c>
      <c r="DG26" s="1473">
        <f t="shared" si="72"/>
        <v>0</v>
      </c>
      <c r="DH26" s="1473">
        <f t="shared" si="72"/>
        <v>0</v>
      </c>
      <c r="DI26" s="1473">
        <f t="shared" si="72"/>
        <v>0</v>
      </c>
      <c r="DJ26" s="1473">
        <f t="shared" si="72"/>
        <v>0</v>
      </c>
      <c r="DK26" s="1473">
        <f t="shared" ref="DK26:EP26" si="73">INDEX($D26:$L26,MATCH(DK$2,$D$2:$L$2,0))*DK29</f>
        <v>0</v>
      </c>
      <c r="DL26" s="1473">
        <f t="shared" si="73"/>
        <v>0</v>
      </c>
      <c r="DM26" s="1473">
        <f t="shared" si="73"/>
        <v>0</v>
      </c>
      <c r="DN26" s="1473">
        <f t="shared" si="73"/>
        <v>0</v>
      </c>
      <c r="DO26" s="1473">
        <f t="shared" si="73"/>
        <v>0</v>
      </c>
      <c r="DP26" s="1473">
        <f t="shared" si="73"/>
        <v>0</v>
      </c>
      <c r="DQ26" s="1473">
        <f t="shared" si="73"/>
        <v>0</v>
      </c>
      <c r="DR26" s="1473">
        <f t="shared" si="73"/>
        <v>0</v>
      </c>
      <c r="DS26" s="1473">
        <f t="shared" si="73"/>
        <v>-2398.9916379065207</v>
      </c>
      <c r="DT26" s="1473">
        <f t="shared" si="73"/>
        <v>-3034.1948974366437</v>
      </c>
      <c r="DU26" s="1473">
        <f t="shared" si="73"/>
        <v>-5650.3930276211768</v>
      </c>
      <c r="DV26" s="1473">
        <f t="shared" si="73"/>
        <v>-3746.5781757355148</v>
      </c>
      <c r="DW26" s="1473">
        <f t="shared" si="73"/>
        <v>-3069.4666041289051</v>
      </c>
      <c r="DX26" s="1473">
        <f t="shared" si="73"/>
        <v>-5668.1360907277722</v>
      </c>
      <c r="DY26" s="1473">
        <f t="shared" si="73"/>
        <v>-3778.6870520144676</v>
      </c>
      <c r="DZ26" s="1473">
        <f t="shared" si="73"/>
        <v>-2964.1679088866299</v>
      </c>
      <c r="EA26" s="1473">
        <f t="shared" si="73"/>
        <v>-4699.2157385232249</v>
      </c>
      <c r="EB26" s="1473">
        <f t="shared" si="73"/>
        <v>-3714.7892600609457</v>
      </c>
      <c r="EC26" s="1473">
        <f t="shared" si="73"/>
        <v>-7807.6180778046619</v>
      </c>
      <c r="ED26" s="1473">
        <f t="shared" si="73"/>
        <v>-7334.5995083724756</v>
      </c>
      <c r="EE26" s="1473">
        <f t="shared" si="73"/>
        <v>-15454.454663805354</v>
      </c>
      <c r="EF26" s="1473">
        <f t="shared" si="73"/>
        <v>-19546.473919560751</v>
      </c>
      <c r="EG26" s="1473">
        <f t="shared" si="73"/>
        <v>-36400.186435937889</v>
      </c>
      <c r="EH26" s="1473">
        <f t="shared" si="73"/>
        <v>-24135.691699131828</v>
      </c>
      <c r="EI26" s="1473">
        <f t="shared" si="73"/>
        <v>-19773.696467308473</v>
      </c>
      <c r="EJ26" s="1473">
        <f t="shared" si="73"/>
        <v>-36514.488361815878</v>
      </c>
      <c r="EK26" s="1473">
        <f t="shared" si="73"/>
        <v>-24342.539094895092</v>
      </c>
      <c r="EL26" s="1473">
        <f t="shared" si="73"/>
        <v>-19095.355665253952</v>
      </c>
      <c r="EM26" s="1473">
        <f t="shared" si="73"/>
        <v>-30272.642654904343</v>
      </c>
      <c r="EN26" s="1473">
        <f t="shared" si="73"/>
        <v>-23930.905509658955</v>
      </c>
      <c r="EO26" s="1473">
        <f t="shared" si="73"/>
        <v>-50297.16557121279</v>
      </c>
      <c r="EP26" s="1473">
        <f t="shared" si="73"/>
        <v>-47249.950265865969</v>
      </c>
      <c r="EQ26" s="1473">
        <f t="shared" ref="EQ26:FB26" si="74">INDEX($D26:$L26,MATCH(EQ$2,$D$2:$L$2,0))*EQ29</f>
        <v>-38971.425988879244</v>
      </c>
      <c r="ER26" s="1473">
        <f t="shared" si="74"/>
        <v>-49290.251792822128</v>
      </c>
      <c r="ES26" s="1473">
        <f t="shared" si="74"/>
        <v>-91790.179759100298</v>
      </c>
      <c r="ET26" s="1473">
        <f t="shared" si="74"/>
        <v>-60862.860787060497</v>
      </c>
      <c r="EU26" s="1473">
        <f t="shared" si="74"/>
        <v>-49863.237827929144</v>
      </c>
      <c r="EV26" s="1473">
        <f t="shared" si="74"/>
        <v>-92078.414390579914</v>
      </c>
      <c r="EW26" s="1473">
        <f t="shared" si="74"/>
        <v>-61384.466896777179</v>
      </c>
      <c r="EX26" s="1473">
        <f t="shared" si="74"/>
        <v>-48152.669002461742</v>
      </c>
      <c r="EY26" s="1473">
        <f t="shared" si="74"/>
        <v>-76338.381287334196</v>
      </c>
      <c r="EZ26" s="1473">
        <f t="shared" si="74"/>
        <v>-60346.452411598511</v>
      </c>
      <c r="FA26" s="1473">
        <f t="shared" si="74"/>
        <v>-126834.12699767663</v>
      </c>
      <c r="FB26" s="1473">
        <f t="shared" si="74"/>
        <v>-119149.97842512114</v>
      </c>
    </row>
    <row r="27" spans="3:158" s="1" customFormat="1" x14ac:dyDescent="0.25">
      <c r="C27" s="512" t="s">
        <v>24</v>
      </c>
      <c r="D27" s="1474">
        <f t="shared" ref="D27:L27" si="75">SUM(D23:D26)</f>
        <v>0</v>
      </c>
      <c r="E27" s="1474">
        <f t="shared" si="75"/>
        <v>0</v>
      </c>
      <c r="F27" s="1474">
        <f t="shared" si="75"/>
        <v>0</v>
      </c>
      <c r="G27" s="1474">
        <f t="shared" si="75"/>
        <v>0</v>
      </c>
      <c r="H27" s="1474">
        <f t="shared" si="75"/>
        <v>0</v>
      </c>
      <c r="I27" s="1474">
        <f t="shared" si="75"/>
        <v>1346728.8011350115</v>
      </c>
      <c r="J27" s="1474">
        <f t="shared" si="75"/>
        <v>8898175.3827109281</v>
      </c>
      <c r="K27" s="1474">
        <f t="shared" si="75"/>
        <v>23029000.420851998</v>
      </c>
      <c r="L27" s="1474">
        <f t="shared" si="75"/>
        <v>47992584.370239206</v>
      </c>
      <c r="N27" s="1474">
        <f t="shared" ref="N27:AW27" si="76">SUM(N23:N26)</f>
        <v>0</v>
      </c>
      <c r="O27" s="1474">
        <f t="shared" si="76"/>
        <v>0</v>
      </c>
      <c r="P27" s="1474">
        <f t="shared" si="76"/>
        <v>0</v>
      </c>
      <c r="Q27" s="1474">
        <f t="shared" si="76"/>
        <v>0</v>
      </c>
      <c r="R27" s="1474">
        <f t="shared" si="76"/>
        <v>0</v>
      </c>
      <c r="S27" s="1474">
        <f t="shared" si="76"/>
        <v>0</v>
      </c>
      <c r="T27" s="1474">
        <f t="shared" si="76"/>
        <v>0</v>
      </c>
      <c r="U27" s="1474">
        <f t="shared" si="76"/>
        <v>0</v>
      </c>
      <c r="V27" s="1474">
        <f t="shared" si="76"/>
        <v>0</v>
      </c>
      <c r="W27" s="1474">
        <f t="shared" si="76"/>
        <v>0</v>
      </c>
      <c r="X27" s="1474">
        <f t="shared" si="76"/>
        <v>0</v>
      </c>
      <c r="Y27" s="1474">
        <f t="shared" si="76"/>
        <v>0</v>
      </c>
      <c r="Z27" s="1474">
        <f t="shared" si="76"/>
        <v>0</v>
      </c>
      <c r="AA27" s="1474">
        <f t="shared" si="76"/>
        <v>0</v>
      </c>
      <c r="AB27" s="1474">
        <f t="shared" si="76"/>
        <v>0</v>
      </c>
      <c r="AC27" s="1474">
        <f t="shared" si="76"/>
        <v>0</v>
      </c>
      <c r="AD27" s="1474">
        <f t="shared" si="76"/>
        <v>0</v>
      </c>
      <c r="AE27" s="1474">
        <f t="shared" si="76"/>
        <v>0</v>
      </c>
      <c r="AF27" s="1474">
        <f t="shared" si="76"/>
        <v>0</v>
      </c>
      <c r="AG27" s="1474">
        <f t="shared" si="76"/>
        <v>0</v>
      </c>
      <c r="AH27" s="1474">
        <f t="shared" si="76"/>
        <v>178739.67514572415</v>
      </c>
      <c r="AI27" s="1474">
        <f t="shared" si="76"/>
        <v>421273.16730687284</v>
      </c>
      <c r="AJ27" s="1474">
        <f t="shared" si="76"/>
        <v>763938.82777333714</v>
      </c>
      <c r="AK27" s="1474">
        <f t="shared" si="76"/>
        <v>1346728.8011350115</v>
      </c>
      <c r="AL27" s="1474">
        <f t="shared" si="76"/>
        <v>2722657.664451763</v>
      </c>
      <c r="AM27" s="1474">
        <f t="shared" si="76"/>
        <v>4592223.2924348749</v>
      </c>
      <c r="AN27" s="1474">
        <f t="shared" si="76"/>
        <v>6346285.9619243769</v>
      </c>
      <c r="AO27" s="1474">
        <f t="shared" si="76"/>
        <v>8898175.38271093</v>
      </c>
      <c r="AP27" s="1474">
        <f t="shared" si="76"/>
        <v>11467157.531391421</v>
      </c>
      <c r="AQ27" s="1474">
        <f t="shared" si="76"/>
        <v>14969493.73914142</v>
      </c>
      <c r="AR27" s="1474">
        <f t="shared" si="76"/>
        <v>18256682.515865944</v>
      </c>
      <c r="AS27" s="1474">
        <f t="shared" si="76"/>
        <v>23029000.420852009</v>
      </c>
      <c r="AT27" s="1474">
        <f t="shared" si="76"/>
        <v>27561249.303583317</v>
      </c>
      <c r="AU27" s="1474">
        <f t="shared" si="76"/>
        <v>33752608.558191046</v>
      </c>
      <c r="AV27" s="1474">
        <f t="shared" si="76"/>
        <v>39564941.158642597</v>
      </c>
      <c r="AW27" s="1474">
        <f t="shared" si="76"/>
        <v>47992584.370239213</v>
      </c>
      <c r="AY27" s="1474">
        <f t="shared" ref="AY27:CD27" si="77">SUM(AY23:AY26)</f>
        <v>0</v>
      </c>
      <c r="AZ27" s="1474">
        <f t="shared" si="77"/>
        <v>0</v>
      </c>
      <c r="BA27" s="1474">
        <f t="shared" si="77"/>
        <v>0</v>
      </c>
      <c r="BB27" s="1474">
        <f t="shared" si="77"/>
        <v>0</v>
      </c>
      <c r="BC27" s="1474">
        <f t="shared" si="77"/>
        <v>0</v>
      </c>
      <c r="BD27" s="1474">
        <f t="shared" si="77"/>
        <v>0</v>
      </c>
      <c r="BE27" s="1474">
        <f t="shared" si="77"/>
        <v>0</v>
      </c>
      <c r="BF27" s="1474">
        <f t="shared" si="77"/>
        <v>0</v>
      </c>
      <c r="BG27" s="1474">
        <f t="shared" si="77"/>
        <v>0</v>
      </c>
      <c r="BH27" s="1474">
        <f t="shared" si="77"/>
        <v>0</v>
      </c>
      <c r="BI27" s="1474">
        <f t="shared" si="77"/>
        <v>0</v>
      </c>
      <c r="BJ27" s="1474">
        <f t="shared" si="77"/>
        <v>0</v>
      </c>
      <c r="BK27" s="1474">
        <f t="shared" si="77"/>
        <v>0</v>
      </c>
      <c r="BL27" s="1474">
        <f t="shared" si="77"/>
        <v>0</v>
      </c>
      <c r="BM27" s="1474">
        <f t="shared" si="77"/>
        <v>0</v>
      </c>
      <c r="BN27" s="1474">
        <f t="shared" si="77"/>
        <v>0</v>
      </c>
      <c r="BO27" s="1474">
        <f t="shared" si="77"/>
        <v>0</v>
      </c>
      <c r="BP27" s="1474">
        <f t="shared" si="77"/>
        <v>0</v>
      </c>
      <c r="BQ27" s="1474">
        <f t="shared" si="77"/>
        <v>0</v>
      </c>
      <c r="BR27" s="1474">
        <f t="shared" si="77"/>
        <v>0</v>
      </c>
      <c r="BS27" s="1474">
        <f t="shared" si="77"/>
        <v>0</v>
      </c>
      <c r="BT27" s="1474">
        <f t="shared" si="77"/>
        <v>0</v>
      </c>
      <c r="BU27" s="1474">
        <f t="shared" si="77"/>
        <v>0</v>
      </c>
      <c r="BV27" s="1474">
        <f t="shared" si="77"/>
        <v>0</v>
      </c>
      <c r="BW27" s="1474">
        <f t="shared" si="77"/>
        <v>0</v>
      </c>
      <c r="BX27" s="1474">
        <f t="shared" si="77"/>
        <v>0</v>
      </c>
      <c r="BY27" s="1474">
        <f t="shared" si="77"/>
        <v>0</v>
      </c>
      <c r="BZ27" s="1474">
        <f t="shared" si="77"/>
        <v>0</v>
      </c>
      <c r="CA27" s="1474">
        <f t="shared" si="77"/>
        <v>0</v>
      </c>
      <c r="CB27" s="1474">
        <f t="shared" si="77"/>
        <v>0</v>
      </c>
      <c r="CC27" s="1474">
        <f t="shared" si="77"/>
        <v>0</v>
      </c>
      <c r="CD27" s="1474">
        <f t="shared" si="77"/>
        <v>0</v>
      </c>
      <c r="CE27" s="1474">
        <f t="shared" ref="CE27:DJ27" si="78">SUM(CE23:CE26)</f>
        <v>0</v>
      </c>
      <c r="CF27" s="1474">
        <f t="shared" si="78"/>
        <v>0</v>
      </c>
      <c r="CG27" s="1474">
        <f t="shared" si="78"/>
        <v>0</v>
      </c>
      <c r="CH27" s="1474">
        <f t="shared" si="78"/>
        <v>0</v>
      </c>
      <c r="CI27" s="1474">
        <f t="shared" si="78"/>
        <v>0</v>
      </c>
      <c r="CJ27" s="1474">
        <f t="shared" si="78"/>
        <v>0</v>
      </c>
      <c r="CK27" s="1474">
        <f t="shared" si="78"/>
        <v>0</v>
      </c>
      <c r="CL27" s="1474">
        <f t="shared" si="78"/>
        <v>0</v>
      </c>
      <c r="CM27" s="1474">
        <f t="shared" si="78"/>
        <v>0</v>
      </c>
      <c r="CN27" s="1474">
        <f t="shared" si="78"/>
        <v>0</v>
      </c>
      <c r="CO27" s="1474">
        <f t="shared" si="78"/>
        <v>0</v>
      </c>
      <c r="CP27" s="1474">
        <f t="shared" si="78"/>
        <v>0</v>
      </c>
      <c r="CQ27" s="1474">
        <f t="shared" si="78"/>
        <v>0</v>
      </c>
      <c r="CR27" s="1474">
        <f t="shared" si="78"/>
        <v>0</v>
      </c>
      <c r="CS27" s="1474">
        <f t="shared" si="78"/>
        <v>0</v>
      </c>
      <c r="CT27" s="1474">
        <f t="shared" si="78"/>
        <v>0</v>
      </c>
      <c r="CU27" s="1474">
        <f t="shared" si="78"/>
        <v>0</v>
      </c>
      <c r="CV27" s="1474">
        <f t="shared" si="78"/>
        <v>0</v>
      </c>
      <c r="CW27" s="1474">
        <f t="shared" si="78"/>
        <v>0</v>
      </c>
      <c r="CX27" s="1474">
        <f t="shared" si="78"/>
        <v>0</v>
      </c>
      <c r="CY27" s="1474">
        <f t="shared" si="78"/>
        <v>0</v>
      </c>
      <c r="CZ27" s="1474">
        <f t="shared" si="78"/>
        <v>0</v>
      </c>
      <c r="DA27" s="1474">
        <f t="shared" si="78"/>
        <v>0</v>
      </c>
      <c r="DB27" s="1474">
        <f t="shared" si="78"/>
        <v>0</v>
      </c>
      <c r="DC27" s="1474">
        <f t="shared" si="78"/>
        <v>0</v>
      </c>
      <c r="DD27" s="1474">
        <f t="shared" si="78"/>
        <v>0</v>
      </c>
      <c r="DE27" s="1474">
        <f t="shared" si="78"/>
        <v>0</v>
      </c>
      <c r="DF27" s="1474">
        <f t="shared" si="78"/>
        <v>0</v>
      </c>
      <c r="DG27" s="1474">
        <f t="shared" si="78"/>
        <v>24692.138374823135</v>
      </c>
      <c r="DH27" s="1474">
        <f t="shared" si="78"/>
        <v>76847.156606085278</v>
      </c>
      <c r="DI27" s="1474">
        <f t="shared" si="78"/>
        <v>178739.67514572415</v>
      </c>
      <c r="DJ27" s="1474">
        <f t="shared" si="78"/>
        <v>222695.25456574431</v>
      </c>
      <c r="DK27" s="1474">
        <f t="shared" ref="DK27:EP27" si="79">SUM(DK23:DK26)</f>
        <v>305139.39840317558</v>
      </c>
      <c r="DL27" s="1474">
        <f t="shared" si="79"/>
        <v>421273.16730687284</v>
      </c>
      <c r="DM27" s="1474">
        <f t="shared" si="79"/>
        <v>479173.37479110999</v>
      </c>
      <c r="DN27" s="1474">
        <f t="shared" si="79"/>
        <v>582415.17916174454</v>
      </c>
      <c r="DO27" s="1474">
        <f t="shared" si="79"/>
        <v>763938.82777333725</v>
      </c>
      <c r="DP27" s="1474">
        <f t="shared" si="79"/>
        <v>844982.20297173352</v>
      </c>
      <c r="DQ27" s="1474">
        <f t="shared" si="79"/>
        <v>1077833.8566137422</v>
      </c>
      <c r="DR27" s="1474">
        <f t="shared" si="79"/>
        <v>1346728.8011350113</v>
      </c>
      <c r="DS27" s="1474">
        <f t="shared" si="79"/>
        <v>1535939.7759987516</v>
      </c>
      <c r="DT27" s="1474">
        <f t="shared" si="79"/>
        <v>1937626.3527285515</v>
      </c>
      <c r="DU27" s="1474">
        <f t="shared" si="79"/>
        <v>2722657.664451763</v>
      </c>
      <c r="DV27" s="1474">
        <f t="shared" si="79"/>
        <v>3060004.5538559025</v>
      </c>
      <c r="DW27" s="1474">
        <f t="shared" si="79"/>
        <v>3696698.2134399205</v>
      </c>
      <c r="DX27" s="1474">
        <f t="shared" si="79"/>
        <v>4592223.2924348749</v>
      </c>
      <c r="DY27" s="1474">
        <f t="shared" si="79"/>
        <v>4886761.8941131895</v>
      </c>
      <c r="DZ27" s="1474">
        <f t="shared" si="79"/>
        <v>5415726.9973016372</v>
      </c>
      <c r="EA27" s="1474">
        <f t="shared" si="79"/>
        <v>6346285.9619243778</v>
      </c>
      <c r="EB27" s="1474">
        <f t="shared" si="79"/>
        <v>6700061.8241812158</v>
      </c>
      <c r="EC27" s="1474">
        <f t="shared" si="79"/>
        <v>7719386.7652236326</v>
      </c>
      <c r="ED27" s="1474">
        <f t="shared" si="79"/>
        <v>8898175.38271093</v>
      </c>
      <c r="EE27" s="1474">
        <f t="shared" si="79"/>
        <v>9247478.8300444763</v>
      </c>
      <c r="EF27" s="1474">
        <f t="shared" si="79"/>
        <v>9998378.1854770705</v>
      </c>
      <c r="EG27" s="1474">
        <f t="shared" si="79"/>
        <v>11467157.531391421</v>
      </c>
      <c r="EH27" s="1474">
        <f t="shared" si="79"/>
        <v>12092343.688085638</v>
      </c>
      <c r="EI27" s="1474">
        <f t="shared" si="79"/>
        <v>13290453.695395553</v>
      </c>
      <c r="EJ27" s="1474">
        <f t="shared" si="79"/>
        <v>14969493.739141421</v>
      </c>
      <c r="EK27" s="1474">
        <f t="shared" si="79"/>
        <v>15513042.267267592</v>
      </c>
      <c r="EL27" s="1474">
        <f t="shared" si="79"/>
        <v>16506552.928287679</v>
      </c>
      <c r="EM27" s="1474">
        <f t="shared" si="79"/>
        <v>18256682.515865948</v>
      </c>
      <c r="EN27" s="1474">
        <f t="shared" si="79"/>
        <v>18913287.922802489</v>
      </c>
      <c r="EO27" s="1474">
        <f t="shared" si="79"/>
        <v>20818289.451647792</v>
      </c>
      <c r="EP27" s="1474">
        <f t="shared" si="79"/>
        <v>23029000.420852009</v>
      </c>
      <c r="EQ27" s="1474">
        <f t="shared" ref="EQ27:FB27" si="80">SUM(EQ23:EQ26)</f>
        <v>23641013.628508214</v>
      </c>
      <c r="ER27" s="1474">
        <f t="shared" si="80"/>
        <v>24966740.595582489</v>
      </c>
      <c r="ES27" s="1474">
        <f t="shared" si="80"/>
        <v>27561249.303583317</v>
      </c>
      <c r="ET27" s="1474">
        <f t="shared" si="80"/>
        <v>28659233.292390108</v>
      </c>
      <c r="EU27" s="1474">
        <f t="shared" si="80"/>
        <v>30782931.127219871</v>
      </c>
      <c r="EV27" s="1474">
        <f t="shared" si="80"/>
        <v>33752608.558191046</v>
      </c>
      <c r="EW27" s="1474">
        <f t="shared" si="80"/>
        <v>34704741.156506211</v>
      </c>
      <c r="EX27" s="1474">
        <f t="shared" si="80"/>
        <v>36463789.793326318</v>
      </c>
      <c r="EY27" s="1474">
        <f t="shared" si="80"/>
        <v>39564941.15864259</v>
      </c>
      <c r="EZ27" s="1474">
        <f t="shared" si="80"/>
        <v>40719150.113020182</v>
      </c>
      <c r="FA27" s="1474">
        <f t="shared" si="80"/>
        <v>44081944.030490987</v>
      </c>
      <c r="FB27" s="1474">
        <f t="shared" si="80"/>
        <v>47992584.370239206</v>
      </c>
    </row>
    <row r="28" spans="3:158" x14ac:dyDescent="0.25">
      <c r="C28" s="511" t="s">
        <v>871</v>
      </c>
      <c r="D28" s="308"/>
      <c r="E28" s="308"/>
      <c r="F28" s="308"/>
      <c r="G28" s="308"/>
      <c r="H28" s="308"/>
      <c r="I28" s="1454">
        <f>I118</f>
        <v>0.95900171828669556</v>
      </c>
      <c r="J28" s="1454">
        <f>J118</f>
        <v>0.96000171828669556</v>
      </c>
      <c r="K28" s="1454">
        <f>K118</f>
        <v>0.96100171828669556</v>
      </c>
      <c r="L28" s="1454">
        <f>L118</f>
        <v>0.96200171828669556</v>
      </c>
      <c r="M28" s="244"/>
      <c r="N28" s="413"/>
      <c r="O28" s="413"/>
      <c r="P28" s="413"/>
      <c r="Q28" s="308" t="str">
        <f t="shared" ref="Q28:AW28" si="81">IFERROR(SUM(N26:Q26)/N23+1,"")</f>
        <v/>
      </c>
      <c r="R28" s="308" t="str">
        <f t="shared" si="81"/>
        <v/>
      </c>
      <c r="S28" s="308" t="str">
        <f t="shared" si="81"/>
        <v/>
      </c>
      <c r="T28" s="308" t="str">
        <f t="shared" si="81"/>
        <v/>
      </c>
      <c r="U28" s="308" t="str">
        <f t="shared" si="81"/>
        <v/>
      </c>
      <c r="V28" s="308" t="str">
        <f t="shared" si="81"/>
        <v/>
      </c>
      <c r="W28" s="308" t="str">
        <f t="shared" si="81"/>
        <v/>
      </c>
      <c r="X28" s="308" t="str">
        <f t="shared" si="81"/>
        <v/>
      </c>
      <c r="Y28" s="308" t="str">
        <f t="shared" si="81"/>
        <v/>
      </c>
      <c r="Z28" s="308" t="str">
        <f t="shared" si="81"/>
        <v/>
      </c>
      <c r="AA28" s="308" t="str">
        <f t="shared" si="81"/>
        <v/>
      </c>
      <c r="AB28" s="308" t="str">
        <f t="shared" si="81"/>
        <v/>
      </c>
      <c r="AC28" s="308" t="str">
        <f t="shared" si="81"/>
        <v/>
      </c>
      <c r="AD28" s="308" t="str">
        <f t="shared" si="81"/>
        <v/>
      </c>
      <c r="AE28" s="308" t="str">
        <f t="shared" si="81"/>
        <v/>
      </c>
      <c r="AF28" s="308" t="str">
        <f t="shared" si="81"/>
        <v/>
      </c>
      <c r="AG28" s="308" t="str">
        <f t="shared" si="81"/>
        <v/>
      </c>
      <c r="AH28" s="308" t="str">
        <f t="shared" si="81"/>
        <v/>
      </c>
      <c r="AI28" s="308" t="str">
        <f t="shared" si="81"/>
        <v/>
      </c>
      <c r="AJ28" s="308" t="str">
        <f t="shared" si="81"/>
        <v/>
      </c>
      <c r="AK28" s="308" t="str">
        <f t="shared" si="81"/>
        <v/>
      </c>
      <c r="AL28" s="1454">
        <f t="shared" si="81"/>
        <v>0.93799037872297775</v>
      </c>
      <c r="AM28" s="1454">
        <f t="shared" si="81"/>
        <v>0.94405587095845389</v>
      </c>
      <c r="AN28" s="1454">
        <f t="shared" si="81"/>
        <v>0.95417194432304941</v>
      </c>
      <c r="AO28" s="1454">
        <f t="shared" si="81"/>
        <v>0.96000171828669556</v>
      </c>
      <c r="AP28" s="1454">
        <f t="shared" si="81"/>
        <v>0.95806142838800457</v>
      </c>
      <c r="AQ28" s="1454">
        <f t="shared" si="81"/>
        <v>0.96034076361372722</v>
      </c>
      <c r="AR28" s="1454">
        <f t="shared" si="81"/>
        <v>0.96149046272495031</v>
      </c>
      <c r="AS28" s="1454">
        <f t="shared" si="81"/>
        <v>0.96100171828669556</v>
      </c>
      <c r="AT28" s="1454">
        <f t="shared" si="81"/>
        <v>0.96026353596490976</v>
      </c>
      <c r="AU28" s="1454">
        <f t="shared" si="81"/>
        <v>0.96138513837667594</v>
      </c>
      <c r="AV28" s="1454">
        <f t="shared" si="81"/>
        <v>0.96219412215336186</v>
      </c>
      <c r="AW28" s="1454">
        <f t="shared" si="81"/>
        <v>0.96200171828669556</v>
      </c>
      <c r="AY28" s="1454">
        <f t="shared" ref="AY28:CD28" si="82">AY98</f>
        <v>0.95147992377199897</v>
      </c>
      <c r="AZ28" s="1454">
        <f t="shared" si="82"/>
        <v>0.84338293905319972</v>
      </c>
      <c r="BA28" s="1454">
        <f t="shared" si="82"/>
        <v>0.82199721988117247</v>
      </c>
      <c r="BB28" s="1454">
        <f t="shared" si="82"/>
        <v>0.9186047362742884</v>
      </c>
      <c r="BC28" s="1454">
        <f t="shared" si="82"/>
        <v>0.95573680266265615</v>
      </c>
      <c r="BD28" s="1454">
        <f t="shared" si="82"/>
        <v>0.94771257654890151</v>
      </c>
      <c r="BE28" s="1454">
        <f t="shared" si="82"/>
        <v>1</v>
      </c>
      <c r="BF28" s="1454">
        <f t="shared" si="82"/>
        <v>0.89805025464302934</v>
      </c>
      <c r="BG28" s="1454">
        <f t="shared" si="82"/>
        <v>0.95006268253985326</v>
      </c>
      <c r="BH28" s="1454">
        <f t="shared" si="82"/>
        <v>1</v>
      </c>
      <c r="BI28" s="1454">
        <f t="shared" si="82"/>
        <v>0.89841072520540466</v>
      </c>
      <c r="BJ28" s="1454">
        <f t="shared" si="82"/>
        <v>0.75645785487029849</v>
      </c>
      <c r="BK28" s="1454">
        <f t="shared" si="82"/>
        <v>0.96465281262906222</v>
      </c>
      <c r="BL28" s="1454">
        <f t="shared" si="82"/>
        <v>0.90624032092695483</v>
      </c>
      <c r="BM28" s="1454">
        <f t="shared" si="82"/>
        <v>0.81124998868091269</v>
      </c>
      <c r="BN28" s="1454">
        <f t="shared" si="82"/>
        <v>0.89780192895566868</v>
      </c>
      <c r="BO28" s="1454">
        <f t="shared" si="82"/>
        <v>0.9217782878607127</v>
      </c>
      <c r="BP28" s="1454">
        <f t="shared" si="82"/>
        <v>0.89472087448612636</v>
      </c>
      <c r="BQ28" s="1454">
        <f t="shared" si="82"/>
        <v>0.90760368710135053</v>
      </c>
      <c r="BR28" s="1454">
        <f t="shared" si="82"/>
        <v>0.96556243471636616</v>
      </c>
      <c r="BS28" s="1454">
        <f t="shared" si="82"/>
        <v>0.88591374971462933</v>
      </c>
      <c r="BT28" s="1454">
        <f t="shared" si="82"/>
        <v>0.94990485157657911</v>
      </c>
      <c r="BU28" s="1454">
        <f t="shared" si="82"/>
        <v>0.90581135312952177</v>
      </c>
      <c r="BV28" s="1454">
        <f t="shared" si="82"/>
        <v>0.7626505026811542</v>
      </c>
      <c r="BW28" s="1454">
        <f t="shared" si="82"/>
        <v>0.81950730951729955</v>
      </c>
      <c r="BX28" s="1454">
        <f t="shared" si="82"/>
        <v>0.82354907849058234</v>
      </c>
      <c r="BY28" s="1454">
        <f t="shared" si="82"/>
        <v>0.8223277549793051</v>
      </c>
      <c r="BZ28" s="1454">
        <f t="shared" si="82"/>
        <v>0.84498456851278991</v>
      </c>
      <c r="CA28" s="1454">
        <f t="shared" si="82"/>
        <v>0.86609306738748049</v>
      </c>
      <c r="CB28" s="1454">
        <f t="shared" si="82"/>
        <v>0.88519543984678029</v>
      </c>
      <c r="CC28" s="1454">
        <f t="shared" si="82"/>
        <v>0.87078016504840328</v>
      </c>
      <c r="CD28" s="1454">
        <f t="shared" si="82"/>
        <v>0.89889918981648553</v>
      </c>
      <c r="CE28" s="1454">
        <f t="shared" ref="CE28:DJ28" si="83">CE98</f>
        <v>0.85385945570127397</v>
      </c>
      <c r="CF28" s="1454">
        <f t="shared" si="83"/>
        <v>0.89217307139730317</v>
      </c>
      <c r="CG28" s="1454">
        <f t="shared" si="83"/>
        <v>0.82122989458033224</v>
      </c>
      <c r="CH28" s="1454">
        <f t="shared" si="83"/>
        <v>0.84955369665553926</v>
      </c>
      <c r="CI28" s="1454">
        <f t="shared" si="83"/>
        <v>0.89853512794156121</v>
      </c>
      <c r="CJ28" s="1454">
        <f t="shared" si="83"/>
        <v>0.92383022410646798</v>
      </c>
      <c r="CK28" s="1454">
        <f t="shared" si="83"/>
        <v>0.8050992825416815</v>
      </c>
      <c r="CL28" s="1454">
        <f t="shared" si="83"/>
        <v>0.89249951615855216</v>
      </c>
      <c r="CM28" s="1454">
        <f t="shared" si="83"/>
        <v>0.91751286105359009</v>
      </c>
      <c r="CN28" s="1454">
        <f t="shared" si="83"/>
        <v>0.90026927036113502</v>
      </c>
      <c r="CO28" s="1454">
        <f t="shared" si="83"/>
        <v>0.95063115009636001</v>
      </c>
      <c r="CP28" s="1454">
        <f t="shared" si="83"/>
        <v>0.92399675735437425</v>
      </c>
      <c r="CQ28" s="1454">
        <f t="shared" si="83"/>
        <v>0.8574348571363033</v>
      </c>
      <c r="CR28" s="1454">
        <f t="shared" si="83"/>
        <v>0.93994170881904748</v>
      </c>
      <c r="CS28" s="1454">
        <f t="shared" si="83"/>
        <v>0.88554966420413772</v>
      </c>
      <c r="CT28" s="1454">
        <f t="shared" si="83"/>
        <v>0.84971278996867883</v>
      </c>
      <c r="CU28" s="1454">
        <f t="shared" si="83"/>
        <v>0.93162204113730918</v>
      </c>
      <c r="CV28" s="1454">
        <f t="shared" si="83"/>
        <v>0.91421104756477456</v>
      </c>
      <c r="CW28" s="1454">
        <f t="shared" si="83"/>
        <v>0.84381900111247621</v>
      </c>
      <c r="CX28" s="1454">
        <f t="shared" si="83"/>
        <v>0.90093727455807227</v>
      </c>
      <c r="CY28" s="1454">
        <f t="shared" si="83"/>
        <v>0.9199675211594226</v>
      </c>
      <c r="CZ28" s="1454">
        <f t="shared" si="83"/>
        <v>0.85741889958359452</v>
      </c>
      <c r="DA28" s="1454">
        <f t="shared" si="83"/>
        <v>0.90927314298152961</v>
      </c>
      <c r="DB28" s="1454">
        <f t="shared" si="83"/>
        <v>0.92966785228606297</v>
      </c>
      <c r="DC28" s="1454">
        <f t="shared" si="83"/>
        <v>0.89158468620472831</v>
      </c>
      <c r="DD28" s="1454">
        <f t="shared" si="83"/>
        <v>0.9183489827798762</v>
      </c>
      <c r="DE28" s="1454">
        <f t="shared" si="83"/>
        <v>0.83128993803570617</v>
      </c>
      <c r="DF28" s="1454">
        <f t="shared" si="83"/>
        <v>0.8488969693178211</v>
      </c>
      <c r="DG28" s="1454">
        <f t="shared" si="83"/>
        <v>0.92518020171821125</v>
      </c>
      <c r="DH28" s="1454">
        <f t="shared" si="83"/>
        <v>0.90609024096876023</v>
      </c>
      <c r="DI28" s="1454">
        <f t="shared" si="83"/>
        <v>0.82877027081621801</v>
      </c>
      <c r="DJ28" s="1454">
        <f t="shared" si="83"/>
        <v>0.89098801542597406</v>
      </c>
      <c r="DK28" s="1454">
        <f t="shared" ref="DK28:EP28" si="84">DK98</f>
        <v>0.91192409795642515</v>
      </c>
      <c r="DL28" s="1454">
        <f t="shared" si="84"/>
        <v>0.84291666591837144</v>
      </c>
      <c r="DM28" s="1454">
        <f t="shared" si="84"/>
        <v>0.8997934403150506</v>
      </c>
      <c r="DN28" s="1454">
        <f t="shared" si="84"/>
        <v>0.92217678387165114</v>
      </c>
      <c r="DO28" s="1454">
        <f t="shared" si="84"/>
        <v>0.87975281309283471</v>
      </c>
      <c r="DP28" s="1454">
        <f t="shared" si="84"/>
        <v>0.90909611411345392</v>
      </c>
      <c r="DQ28" s="1454">
        <f t="shared" si="84"/>
        <v>0.81135361293507957</v>
      </c>
      <c r="DR28" s="1454">
        <f t="shared" si="84"/>
        <v>0.82993335334246732</v>
      </c>
      <c r="DS28" s="1454">
        <f t="shared" si="84"/>
        <v>0.92518020171821125</v>
      </c>
      <c r="DT28" s="1454">
        <f t="shared" si="84"/>
        <v>0.90602190305401997</v>
      </c>
      <c r="DU28" s="1454">
        <f t="shared" si="84"/>
        <v>0.82839001138028034</v>
      </c>
      <c r="DV28" s="1454">
        <f t="shared" si="84"/>
        <v>0.89044589196733004</v>
      </c>
      <c r="DW28" s="1454">
        <f t="shared" si="84"/>
        <v>0.91138530736032897</v>
      </c>
      <c r="DX28" s="1454">
        <f t="shared" si="84"/>
        <v>0.84164247071421994</v>
      </c>
      <c r="DY28" s="1454">
        <f t="shared" si="84"/>
        <v>0.89871681272266291</v>
      </c>
      <c r="DZ28" s="1454">
        <f t="shared" si="84"/>
        <v>0.92127265355278887</v>
      </c>
      <c r="EA28" s="1454">
        <f t="shared" si="84"/>
        <v>0.87818603684391439</v>
      </c>
      <c r="EB28" s="1454">
        <f t="shared" si="84"/>
        <v>0.9077018237038581</v>
      </c>
      <c r="EC28" s="1454">
        <f t="shared" si="84"/>
        <v>0.80829111053520442</v>
      </c>
      <c r="ED28" s="1454">
        <f t="shared" si="84"/>
        <v>0.82677186825200688</v>
      </c>
      <c r="EE28" s="1454">
        <f t="shared" si="84"/>
        <v>0.92518020171821125</v>
      </c>
      <c r="EF28" s="1454">
        <f t="shared" si="84"/>
        <v>0.90595282337120742</v>
      </c>
      <c r="EG28" s="1454">
        <f t="shared" si="84"/>
        <v>0.82800446949440054</v>
      </c>
      <c r="EH28" s="1454">
        <f t="shared" si="84"/>
        <v>0.88989318910407489</v>
      </c>
      <c r="EI28" s="1454">
        <f t="shared" si="84"/>
        <v>0.91083473782834767</v>
      </c>
      <c r="EJ28" s="1454">
        <f t="shared" si="84"/>
        <v>0.84033519064963469</v>
      </c>
      <c r="EK28" s="1454">
        <f t="shared" si="84"/>
        <v>0.8976063707565336</v>
      </c>
      <c r="EL28" s="1454">
        <f t="shared" si="84"/>
        <v>0.92033848771471005</v>
      </c>
      <c r="EM28" s="1454">
        <f t="shared" si="84"/>
        <v>0.87656261137235236</v>
      </c>
      <c r="EN28" s="1454">
        <f t="shared" si="84"/>
        <v>0.90625040142668867</v>
      </c>
      <c r="EO28" s="1454">
        <f t="shared" si="84"/>
        <v>0.80509737305920048</v>
      </c>
      <c r="EP28" s="1454">
        <f t="shared" si="84"/>
        <v>0.82345925666551256</v>
      </c>
      <c r="EQ28" s="1454">
        <f t="shared" ref="EQ28:FB28" si="85">EQ98</f>
        <v>0.92518020171821125</v>
      </c>
      <c r="ER28" s="1454">
        <f t="shared" si="85"/>
        <v>0.90588240425896471</v>
      </c>
      <c r="ES28" s="1454">
        <f t="shared" si="85"/>
        <v>0.82761025147306433</v>
      </c>
      <c r="ET28" s="1454">
        <f t="shared" si="85"/>
        <v>0.8893248478152711</v>
      </c>
      <c r="EU28" s="1454">
        <f t="shared" si="85"/>
        <v>0.91026725407903719</v>
      </c>
      <c r="EV28" s="1454">
        <f t="shared" si="85"/>
        <v>0.83898218414242054</v>
      </c>
      <c r="EW28" s="1454">
        <f t="shared" si="85"/>
        <v>0.89645078723294402</v>
      </c>
      <c r="EX28" s="1454">
        <f t="shared" si="85"/>
        <v>0.91936457444573971</v>
      </c>
      <c r="EY28" s="1454">
        <f t="shared" si="85"/>
        <v>0.87486511159409164</v>
      </c>
      <c r="EZ28" s="1454">
        <f t="shared" si="85"/>
        <v>0.9047253872190606</v>
      </c>
      <c r="FA28" s="1454">
        <f t="shared" si="85"/>
        <v>0.80173536893377251</v>
      </c>
      <c r="FB28" s="1454">
        <f t="shared" si="85"/>
        <v>0.81995472608791742</v>
      </c>
    </row>
    <row r="29" spans="3:158" x14ac:dyDescent="0.25">
      <c r="AY29" s="507">
        <v>4.4535594215350409E-2</v>
      </c>
      <c r="AZ29" s="507">
        <v>5.6327696431841656E-2</v>
      </c>
      <c r="BA29" s="507">
        <v>0.10489557656606868</v>
      </c>
      <c r="BB29" s="507">
        <v>6.9552591469744171E-2</v>
      </c>
      <c r="BC29" s="507">
        <v>5.6982490884522709E-2</v>
      </c>
      <c r="BD29" s="507">
        <v>0.10522496406628616</v>
      </c>
      <c r="BE29" s="507">
        <v>7.014867019802111E-2</v>
      </c>
      <c r="BF29" s="507">
        <v>5.5027694590689798E-2</v>
      </c>
      <c r="BG29" s="507">
        <v>8.7237638495434158E-2</v>
      </c>
      <c r="BH29" s="507">
        <v>6.8962452585281844E-2</v>
      </c>
      <c r="BI29" s="507">
        <v>0.14494294394663984</v>
      </c>
      <c r="BJ29" s="507">
        <v>0.13616168655011937</v>
      </c>
      <c r="BK29" s="507">
        <v>4.4535594215350409E-2</v>
      </c>
      <c r="BL29" s="507">
        <v>5.6327696431841656E-2</v>
      </c>
      <c r="BM29" s="507">
        <v>0.10489557656606868</v>
      </c>
      <c r="BN29" s="507">
        <v>6.9552591469744171E-2</v>
      </c>
      <c r="BO29" s="507">
        <v>5.6982490884522709E-2</v>
      </c>
      <c r="BP29" s="507">
        <v>0.10522496406628616</v>
      </c>
      <c r="BQ29" s="507">
        <v>7.014867019802111E-2</v>
      </c>
      <c r="BR29" s="507">
        <v>5.5027694590689798E-2</v>
      </c>
      <c r="BS29" s="507">
        <v>8.7237638495434158E-2</v>
      </c>
      <c r="BT29" s="507">
        <v>6.8962452585281844E-2</v>
      </c>
      <c r="BU29" s="507">
        <v>0.14494294394663984</v>
      </c>
      <c r="BV29" s="507">
        <v>0.13616168655011937</v>
      </c>
      <c r="BW29" s="507">
        <v>4.4535594215350409E-2</v>
      </c>
      <c r="BX29" s="507">
        <v>5.6327696431841656E-2</v>
      </c>
      <c r="BY29" s="507">
        <v>0.10489557656606868</v>
      </c>
      <c r="BZ29" s="507">
        <v>6.9552591469744171E-2</v>
      </c>
      <c r="CA29" s="507">
        <v>5.6982490884522709E-2</v>
      </c>
      <c r="CB29" s="507">
        <v>0.10522496406628616</v>
      </c>
      <c r="CC29" s="507">
        <v>7.014867019802111E-2</v>
      </c>
      <c r="CD29" s="507">
        <v>5.5027694590689798E-2</v>
      </c>
      <c r="CE29" s="507">
        <v>8.7237638495434158E-2</v>
      </c>
      <c r="CF29" s="507">
        <v>6.8962452585281844E-2</v>
      </c>
      <c r="CG29" s="507">
        <v>0.14494294394663984</v>
      </c>
      <c r="CH29" s="507">
        <v>0.13616168655011937</v>
      </c>
      <c r="CI29" s="507">
        <v>4.4535594215350409E-2</v>
      </c>
      <c r="CJ29" s="507">
        <v>5.6327696431841656E-2</v>
      </c>
      <c r="CK29" s="507">
        <v>0.10489557656606868</v>
      </c>
      <c r="CL29" s="507">
        <v>6.9552591469744171E-2</v>
      </c>
      <c r="CM29" s="507">
        <v>5.6982490884522709E-2</v>
      </c>
      <c r="CN29" s="507">
        <v>0.10522496406628616</v>
      </c>
      <c r="CO29" s="507">
        <v>7.014867019802111E-2</v>
      </c>
      <c r="CP29" s="507">
        <v>5.5027694590689798E-2</v>
      </c>
      <c r="CQ29" s="507">
        <v>8.7237638495434158E-2</v>
      </c>
      <c r="CR29" s="507">
        <v>6.8962452585281844E-2</v>
      </c>
      <c r="CS29" s="507">
        <v>0.14494294394663984</v>
      </c>
      <c r="CT29" s="507">
        <v>0.13616168655011937</v>
      </c>
      <c r="CU29" s="507">
        <v>4.4535594215350409E-2</v>
      </c>
      <c r="CV29" s="507">
        <v>5.6327696431841656E-2</v>
      </c>
      <c r="CW29" s="507">
        <v>0.10489557656606868</v>
      </c>
      <c r="CX29" s="507">
        <v>6.9552591469744171E-2</v>
      </c>
      <c r="CY29" s="507">
        <v>5.6982490884522709E-2</v>
      </c>
      <c r="CZ29" s="507">
        <v>0.10522496406628616</v>
      </c>
      <c r="DA29" s="507">
        <v>7.014867019802111E-2</v>
      </c>
      <c r="DB29" s="507">
        <v>5.5027694590689798E-2</v>
      </c>
      <c r="DC29" s="507">
        <v>8.7237638495434158E-2</v>
      </c>
      <c r="DD29" s="507">
        <v>6.8962452585281844E-2</v>
      </c>
      <c r="DE29" s="507">
        <v>0.14494294394663984</v>
      </c>
      <c r="DF29" s="507">
        <v>0.13616168655011937</v>
      </c>
      <c r="DG29" s="507">
        <v>4.4535594215350409E-2</v>
      </c>
      <c r="DH29" s="507">
        <v>5.6327696431841656E-2</v>
      </c>
      <c r="DI29" s="507">
        <v>0.10489557656606868</v>
      </c>
      <c r="DJ29" s="507">
        <v>6.9552591469744171E-2</v>
      </c>
      <c r="DK29" s="507">
        <v>5.6982490884522709E-2</v>
      </c>
      <c r="DL29" s="507">
        <v>0.10522496406628616</v>
      </c>
      <c r="DM29" s="507">
        <v>7.014867019802111E-2</v>
      </c>
      <c r="DN29" s="507">
        <v>5.5027694590689798E-2</v>
      </c>
      <c r="DO29" s="507">
        <v>8.7237638495434158E-2</v>
      </c>
      <c r="DP29" s="507">
        <v>6.8962452585281844E-2</v>
      </c>
      <c r="DQ29" s="507">
        <v>0.14494294394663984</v>
      </c>
      <c r="DR29" s="507">
        <v>0.13616168655011937</v>
      </c>
      <c r="DS29" s="507">
        <v>4.4535594215350409E-2</v>
      </c>
      <c r="DT29" s="507">
        <v>5.6327696431841656E-2</v>
      </c>
      <c r="DU29" s="507">
        <v>0.10489557656606868</v>
      </c>
      <c r="DV29" s="507">
        <v>6.9552591469744171E-2</v>
      </c>
      <c r="DW29" s="507">
        <v>5.6982490884522709E-2</v>
      </c>
      <c r="DX29" s="507">
        <v>0.10522496406628616</v>
      </c>
      <c r="DY29" s="507">
        <v>7.014867019802111E-2</v>
      </c>
      <c r="DZ29" s="507">
        <v>5.5027694590689798E-2</v>
      </c>
      <c r="EA29" s="507">
        <v>8.7237638495434158E-2</v>
      </c>
      <c r="EB29" s="507">
        <v>6.8962452585281844E-2</v>
      </c>
      <c r="EC29" s="507">
        <v>0.14494294394663984</v>
      </c>
      <c r="ED29" s="507">
        <v>0.13616168655011937</v>
      </c>
      <c r="EE29" s="507">
        <v>4.4535594215350409E-2</v>
      </c>
      <c r="EF29" s="507">
        <v>5.6327696431841656E-2</v>
      </c>
      <c r="EG29" s="507">
        <v>0.10489557656606868</v>
      </c>
      <c r="EH29" s="507">
        <v>6.9552591469744171E-2</v>
      </c>
      <c r="EI29" s="507">
        <v>5.6982490884522709E-2</v>
      </c>
      <c r="EJ29" s="507">
        <v>0.10522496406628616</v>
      </c>
      <c r="EK29" s="507">
        <v>7.014867019802111E-2</v>
      </c>
      <c r="EL29" s="507">
        <v>5.5027694590689798E-2</v>
      </c>
      <c r="EM29" s="507">
        <v>8.7237638495434158E-2</v>
      </c>
      <c r="EN29" s="507">
        <v>6.8962452585281844E-2</v>
      </c>
      <c r="EO29" s="507">
        <v>0.14494294394663984</v>
      </c>
      <c r="EP29" s="507">
        <v>0.13616168655011937</v>
      </c>
      <c r="EQ29" s="507">
        <v>4.4535594215350409E-2</v>
      </c>
      <c r="ER29" s="507">
        <v>5.6327696431841656E-2</v>
      </c>
      <c r="ES29" s="507">
        <v>0.10489557656606868</v>
      </c>
      <c r="ET29" s="507">
        <v>6.9552591469744171E-2</v>
      </c>
      <c r="EU29" s="507">
        <v>5.6982490884522709E-2</v>
      </c>
      <c r="EV29" s="507">
        <v>0.10522496406628616</v>
      </c>
      <c r="EW29" s="507">
        <v>7.014867019802111E-2</v>
      </c>
      <c r="EX29" s="507">
        <v>5.5027694590689798E-2</v>
      </c>
      <c r="EY29" s="507">
        <v>8.7237638495434158E-2</v>
      </c>
      <c r="EZ29" s="507">
        <v>6.8962452585281844E-2</v>
      </c>
      <c r="FA29" s="507">
        <v>0.14494294394663984</v>
      </c>
      <c r="FB29" s="507">
        <v>0.13616168655011937</v>
      </c>
    </row>
    <row r="30" spans="3:158" x14ac:dyDescent="0.25">
      <c r="C30" t="s">
        <v>872</v>
      </c>
      <c r="D30" s="1470">
        <f>AY30</f>
        <v>0</v>
      </c>
      <c r="E30" s="1470">
        <f t="shared" ref="E30:L30" si="86">D34</f>
        <v>0</v>
      </c>
      <c r="F30" s="1470">
        <f t="shared" si="86"/>
        <v>0</v>
      </c>
      <c r="G30" s="1470">
        <f t="shared" si="86"/>
        <v>0</v>
      </c>
      <c r="H30" s="1470">
        <f t="shared" si="86"/>
        <v>0</v>
      </c>
      <c r="I30" s="1470">
        <f t="shared" si="86"/>
        <v>133034.23248396229</v>
      </c>
      <c r="J30" s="1470">
        <f t="shared" si="86"/>
        <v>4116576.3588027456</v>
      </c>
      <c r="K30" s="1470">
        <f t="shared" si="86"/>
        <v>23775352.786932457</v>
      </c>
      <c r="L30" s="1470">
        <f t="shared" si="86"/>
        <v>56905564.67824471</v>
      </c>
      <c r="N30" s="1470">
        <f>AY30</f>
        <v>0</v>
      </c>
      <c r="O30" s="1470">
        <f>BB30</f>
        <v>0</v>
      </c>
      <c r="P30" s="1470">
        <f>BE30</f>
        <v>0</v>
      </c>
      <c r="Q30" s="1470">
        <f>BH30</f>
        <v>0</v>
      </c>
      <c r="R30" s="1470">
        <f>BK30</f>
        <v>0</v>
      </c>
      <c r="S30" s="1470">
        <f>BN30</f>
        <v>0</v>
      </c>
      <c r="T30" s="1470">
        <f>BQ30</f>
        <v>0</v>
      </c>
      <c r="U30" s="1470">
        <f>BT30</f>
        <v>0</v>
      </c>
      <c r="V30" s="1470">
        <f>BW30</f>
        <v>0</v>
      </c>
      <c r="W30" s="1470">
        <f>BZ30</f>
        <v>0</v>
      </c>
      <c r="X30" s="1470">
        <f>CC30</f>
        <v>0</v>
      </c>
      <c r="Y30" s="1470">
        <f>CF30</f>
        <v>0</v>
      </c>
      <c r="Z30" s="1470">
        <f>CI30</f>
        <v>0</v>
      </c>
      <c r="AA30" s="1470">
        <f>CL30</f>
        <v>0</v>
      </c>
      <c r="AB30" s="1470">
        <f>CO30</f>
        <v>0</v>
      </c>
      <c r="AC30" s="1470">
        <f>CR30</f>
        <v>0</v>
      </c>
      <c r="AD30" s="1470">
        <f>CU30</f>
        <v>0</v>
      </c>
      <c r="AE30" s="1470">
        <f>CX30</f>
        <v>8807.376561388859</v>
      </c>
      <c r="AF30" s="1470">
        <f>DA30</f>
        <v>20525.642691879726</v>
      </c>
      <c r="AG30" s="1470">
        <f>DD30</f>
        <v>32078.476948866057</v>
      </c>
      <c r="AH30" s="1470">
        <f>DG30</f>
        <v>133034.23248396226</v>
      </c>
      <c r="AI30" s="1470">
        <f>DJ30</f>
        <v>664636.5035102003</v>
      </c>
      <c r="AJ30" s="1470">
        <f>DM30</f>
        <v>1386753.1601555778</v>
      </c>
      <c r="AK30" s="1470">
        <f>DP30</f>
        <v>2386424.2233562274</v>
      </c>
      <c r="AL30" s="1470">
        <f>DS30</f>
        <v>4116576.3588027451</v>
      </c>
      <c r="AM30" s="1470">
        <f>DV30</f>
        <v>7693849.2479088549</v>
      </c>
      <c r="AN30" s="1470">
        <f>DY30</f>
        <v>12564069.685574263</v>
      </c>
      <c r="AO30" s="1470">
        <f>EB30</f>
        <v>17134408.1729878</v>
      </c>
      <c r="AP30" s="1470">
        <f>EE30</f>
        <v>23775352.786932457</v>
      </c>
      <c r="AQ30" s="1470">
        <f>EH30</f>
        <v>29773721.967021093</v>
      </c>
      <c r="AR30" s="1470">
        <f>EK30</f>
        <v>38001659.038068265</v>
      </c>
      <c r="AS30" s="1470">
        <f>EN30</f>
        <v>45729423.3771853</v>
      </c>
      <c r="AT30" s="1470">
        <f>EQ30</f>
        <v>56905564.67824471</v>
      </c>
      <c r="AU30" s="1470">
        <f>ET30</f>
        <v>66555883.57102897</v>
      </c>
      <c r="AV30" s="1470">
        <f>EW30</f>
        <v>79853778.008282125</v>
      </c>
      <c r="AW30" s="1470">
        <f>EZ30</f>
        <v>92349610.175124869</v>
      </c>
      <c r="AY30" s="1470">
        <f t="shared" ref="AY30:CD30" si="87">AY9+AY16+AY23</f>
        <v>0</v>
      </c>
      <c r="AZ30" s="1470">
        <f t="shared" si="87"/>
        <v>0</v>
      </c>
      <c r="BA30" s="1470">
        <f t="shared" si="87"/>
        <v>0</v>
      </c>
      <c r="BB30" s="1470">
        <f t="shared" si="87"/>
        <v>0</v>
      </c>
      <c r="BC30" s="1470">
        <f t="shared" si="87"/>
        <v>0</v>
      </c>
      <c r="BD30" s="1470">
        <f t="shared" si="87"/>
        <v>0</v>
      </c>
      <c r="BE30" s="1470">
        <f t="shared" si="87"/>
        <v>0</v>
      </c>
      <c r="BF30" s="1470">
        <f t="shared" si="87"/>
        <v>0</v>
      </c>
      <c r="BG30" s="1470">
        <f t="shared" si="87"/>
        <v>0</v>
      </c>
      <c r="BH30" s="1470">
        <f t="shared" si="87"/>
        <v>0</v>
      </c>
      <c r="BI30" s="1470">
        <f t="shared" si="87"/>
        <v>0</v>
      </c>
      <c r="BJ30" s="1470">
        <f t="shared" si="87"/>
        <v>0</v>
      </c>
      <c r="BK30" s="1470">
        <f t="shared" si="87"/>
        <v>0</v>
      </c>
      <c r="BL30" s="1470">
        <f t="shared" si="87"/>
        <v>0</v>
      </c>
      <c r="BM30" s="1470">
        <f t="shared" si="87"/>
        <v>0</v>
      </c>
      <c r="BN30" s="1470">
        <f t="shared" si="87"/>
        <v>0</v>
      </c>
      <c r="BO30" s="1470">
        <f t="shared" si="87"/>
        <v>0</v>
      </c>
      <c r="BP30" s="1470">
        <f t="shared" si="87"/>
        <v>0</v>
      </c>
      <c r="BQ30" s="1470">
        <f t="shared" si="87"/>
        <v>0</v>
      </c>
      <c r="BR30" s="1470">
        <f t="shared" si="87"/>
        <v>0</v>
      </c>
      <c r="BS30" s="1470">
        <f t="shared" si="87"/>
        <v>0</v>
      </c>
      <c r="BT30" s="1470">
        <f t="shared" si="87"/>
        <v>0</v>
      </c>
      <c r="BU30" s="1470">
        <f t="shared" si="87"/>
        <v>0</v>
      </c>
      <c r="BV30" s="1470">
        <f t="shared" si="87"/>
        <v>0</v>
      </c>
      <c r="BW30" s="1470">
        <f t="shared" si="87"/>
        <v>0</v>
      </c>
      <c r="BX30" s="1470">
        <f t="shared" si="87"/>
        <v>0</v>
      </c>
      <c r="BY30" s="1470">
        <f t="shared" si="87"/>
        <v>0</v>
      </c>
      <c r="BZ30" s="1470">
        <f t="shared" si="87"/>
        <v>0</v>
      </c>
      <c r="CA30" s="1470">
        <f t="shared" si="87"/>
        <v>0</v>
      </c>
      <c r="CB30" s="1470">
        <f t="shared" si="87"/>
        <v>0</v>
      </c>
      <c r="CC30" s="1470">
        <f t="shared" si="87"/>
        <v>0</v>
      </c>
      <c r="CD30" s="1470">
        <f t="shared" si="87"/>
        <v>0</v>
      </c>
      <c r="CE30" s="1470">
        <f t="shared" ref="CE30:DJ30" si="88">CE9+CE16+CE23</f>
        <v>0</v>
      </c>
      <c r="CF30" s="1470">
        <f t="shared" si="88"/>
        <v>0</v>
      </c>
      <c r="CG30" s="1470">
        <f t="shared" si="88"/>
        <v>0</v>
      </c>
      <c r="CH30" s="1470">
        <f t="shared" si="88"/>
        <v>0</v>
      </c>
      <c r="CI30" s="1470">
        <f t="shared" si="88"/>
        <v>0</v>
      </c>
      <c r="CJ30" s="1470">
        <f t="shared" si="88"/>
        <v>0</v>
      </c>
      <c r="CK30" s="1470">
        <f t="shared" si="88"/>
        <v>0</v>
      </c>
      <c r="CL30" s="1470">
        <f t="shared" si="88"/>
        <v>0</v>
      </c>
      <c r="CM30" s="1470">
        <f t="shared" si="88"/>
        <v>0</v>
      </c>
      <c r="CN30" s="1470">
        <f t="shared" si="88"/>
        <v>0</v>
      </c>
      <c r="CO30" s="1470">
        <f t="shared" si="88"/>
        <v>0</v>
      </c>
      <c r="CP30" s="1470">
        <f t="shared" si="88"/>
        <v>0</v>
      </c>
      <c r="CQ30" s="1470">
        <f t="shared" si="88"/>
        <v>0</v>
      </c>
      <c r="CR30" s="1470">
        <f t="shared" si="88"/>
        <v>0</v>
      </c>
      <c r="CS30" s="1470">
        <f t="shared" si="88"/>
        <v>0</v>
      </c>
      <c r="CT30" s="1470">
        <f t="shared" si="88"/>
        <v>0</v>
      </c>
      <c r="CU30" s="1470">
        <f t="shared" si="88"/>
        <v>0</v>
      </c>
      <c r="CV30" s="1470">
        <f t="shared" si="88"/>
        <v>1164.2477487910176</v>
      </c>
      <c r="CW30" s="1470">
        <f t="shared" si="88"/>
        <v>3723.0167095304023</v>
      </c>
      <c r="CX30" s="1470">
        <f t="shared" si="88"/>
        <v>8807.376561388859</v>
      </c>
      <c r="CY30" s="1470">
        <f t="shared" si="88"/>
        <v>10840.304887071376</v>
      </c>
      <c r="CZ30" s="1470">
        <f t="shared" si="88"/>
        <v>14827.621091159026</v>
      </c>
      <c r="DA30" s="1470">
        <f t="shared" si="88"/>
        <v>20525.642691879726</v>
      </c>
      <c r="DB30" s="1470">
        <f t="shared" si="88"/>
        <v>22477.724787295807</v>
      </c>
      <c r="DC30" s="1470">
        <f t="shared" si="88"/>
        <v>25958.480497285829</v>
      </c>
      <c r="DD30" s="1470">
        <f t="shared" si="88"/>
        <v>32078.476948866057</v>
      </c>
      <c r="DE30" s="1470">
        <f t="shared" si="88"/>
        <v>47077.661784075673</v>
      </c>
      <c r="DF30" s="1470">
        <f t="shared" si="88"/>
        <v>87086.92131296896</v>
      </c>
      <c r="DG30" s="1470">
        <f t="shared" si="88"/>
        <v>133034.23248396226</v>
      </c>
      <c r="DH30" s="1470">
        <f t="shared" si="88"/>
        <v>206207.7116784346</v>
      </c>
      <c r="DI30" s="1470">
        <f t="shared" si="88"/>
        <v>361386.70964898448</v>
      </c>
      <c r="DJ30" s="1470">
        <f t="shared" si="88"/>
        <v>664636.5035102003</v>
      </c>
      <c r="DK30" s="1470">
        <f t="shared" ref="DK30:EP30" si="89">DK9+DK16+DK23</f>
        <v>795055.97436117288</v>
      </c>
      <c r="DL30" s="1470">
        <f t="shared" si="89"/>
        <v>1040883.0695648328</v>
      </c>
      <c r="DM30" s="1470">
        <f t="shared" si="89"/>
        <v>1386753.1601555778</v>
      </c>
      <c r="DN30" s="1470">
        <f t="shared" si="89"/>
        <v>1555103.7542438062</v>
      </c>
      <c r="DO30" s="1470">
        <f t="shared" si="89"/>
        <v>1856442.4822609518</v>
      </c>
      <c r="DP30" s="1470">
        <f t="shared" si="89"/>
        <v>2386424.2233562274</v>
      </c>
      <c r="DQ30" s="1470">
        <f t="shared" si="89"/>
        <v>2626687.1703282245</v>
      </c>
      <c r="DR30" s="1470">
        <f t="shared" si="89"/>
        <v>3317879.758522931</v>
      </c>
      <c r="DS30" s="1470">
        <f t="shared" si="89"/>
        <v>4116576.3588027451</v>
      </c>
      <c r="DT30" s="1470">
        <f t="shared" si="89"/>
        <v>4605264.2353785094</v>
      </c>
      <c r="DU30" s="1470">
        <f t="shared" si="89"/>
        <v>5650354.4639185145</v>
      </c>
      <c r="DV30" s="1470">
        <f t="shared" si="89"/>
        <v>7693849.2479088549</v>
      </c>
      <c r="DW30" s="1470">
        <f t="shared" si="89"/>
        <v>8567103.5381456986</v>
      </c>
      <c r="DX30" s="1470">
        <f t="shared" si="89"/>
        <v>10230070.712303253</v>
      </c>
      <c r="DY30" s="1470">
        <f t="shared" si="89"/>
        <v>12564069.685574263</v>
      </c>
      <c r="DZ30" s="1470">
        <f t="shared" si="89"/>
        <v>13324630.333761699</v>
      </c>
      <c r="EA30" s="1470">
        <f t="shared" si="89"/>
        <v>14704689.484621573</v>
      </c>
      <c r="EB30" s="1470">
        <f t="shared" si="89"/>
        <v>17134408.1729878</v>
      </c>
      <c r="EC30" s="1470">
        <f t="shared" si="89"/>
        <v>18050984.169667155</v>
      </c>
      <c r="ED30" s="1470">
        <f t="shared" si="89"/>
        <v>20702618.213693682</v>
      </c>
      <c r="EE30" s="1470">
        <f t="shared" si="89"/>
        <v>23775352.786932457</v>
      </c>
      <c r="EF30" s="1470">
        <f t="shared" si="89"/>
        <v>24573878.486896515</v>
      </c>
      <c r="EG30" s="1470">
        <f t="shared" si="89"/>
        <v>26331101.120963961</v>
      </c>
      <c r="EH30" s="1470">
        <f t="shared" si="89"/>
        <v>29773721.967021093</v>
      </c>
      <c r="EI30" s="1470">
        <f t="shared" si="89"/>
        <v>31213401.087941773</v>
      </c>
      <c r="EJ30" s="1470">
        <f t="shared" si="89"/>
        <v>34051075.054737151</v>
      </c>
      <c r="EK30" s="1470">
        <f t="shared" si="89"/>
        <v>38001659.038068265</v>
      </c>
      <c r="EL30" s="1470">
        <f t="shared" si="89"/>
        <v>39243365.687681869</v>
      </c>
      <c r="EM30" s="1470">
        <f t="shared" si="89"/>
        <v>41588438.379067518</v>
      </c>
      <c r="EN30" s="1470">
        <f t="shared" si="89"/>
        <v>45729423.3771853</v>
      </c>
      <c r="EO30" s="1470">
        <f t="shared" si="89"/>
        <v>47245666.522777423</v>
      </c>
      <c r="EP30" s="1470">
        <f t="shared" si="89"/>
        <v>51701564.917633235</v>
      </c>
      <c r="EQ30" s="1470">
        <f t="shared" ref="EQ30:FB30" si="90">EQ9+EQ16+EQ23</f>
        <v>56905564.67824471</v>
      </c>
      <c r="ER30" s="1470">
        <f t="shared" si="90"/>
        <v>58169672.138093412</v>
      </c>
      <c r="ES30" s="1470">
        <f t="shared" si="90"/>
        <v>61001474.453867614</v>
      </c>
      <c r="ET30" s="1470">
        <f t="shared" si="90"/>
        <v>66555883.57102897</v>
      </c>
      <c r="EU30" s="1470">
        <f t="shared" si="90"/>
        <v>68847864.098993674</v>
      </c>
      <c r="EV30" s="1470">
        <f t="shared" si="90"/>
        <v>73461625.107067943</v>
      </c>
      <c r="EW30" s="1470">
        <f t="shared" si="90"/>
        <v>79853778.008282125</v>
      </c>
      <c r="EX30" s="1470">
        <f t="shared" si="90"/>
        <v>81818388.433477119</v>
      </c>
      <c r="EY30" s="1470">
        <f t="shared" si="90"/>
        <v>85621703.849041834</v>
      </c>
      <c r="EZ30" s="1470">
        <f t="shared" si="90"/>
        <v>92349610.175124869</v>
      </c>
      <c r="FA30" s="1470">
        <f t="shared" si="90"/>
        <v>94768629.738799602</v>
      </c>
      <c r="FB30" s="1470">
        <f t="shared" si="90"/>
        <v>101946874.47520563</v>
      </c>
    </row>
    <row r="31" spans="3:158" x14ac:dyDescent="0.25">
      <c r="C31" s="258" t="s">
        <v>585</v>
      </c>
      <c r="D31" s="1472">
        <f t="shared" ref="D31:L33" si="91">SUMIF($AY$2:$FB$2,D$2,$AY31:$FB31)</f>
        <v>0</v>
      </c>
      <c r="E31" s="1472">
        <f t="shared" si="91"/>
        <v>0</v>
      </c>
      <c r="F31" s="1472">
        <f t="shared" si="91"/>
        <v>0</v>
      </c>
      <c r="G31" s="1472">
        <f t="shared" si="91"/>
        <v>0</v>
      </c>
      <c r="H31" s="1472">
        <f t="shared" si="91"/>
        <v>83267.770005276339</v>
      </c>
      <c r="I31" s="1472">
        <f t="shared" si="91"/>
        <v>1381975.5183095294</v>
      </c>
      <c r="J31" s="1472">
        <f t="shared" si="91"/>
        <v>3804131.7983896947</v>
      </c>
      <c r="K31" s="1472">
        <f t="shared" si="91"/>
        <v>6617650.9830734162</v>
      </c>
      <c r="L31" s="1472">
        <f t="shared" si="91"/>
        <v>12957844.374738717</v>
      </c>
      <c r="M31" s="244"/>
      <c r="N31" s="1472">
        <f>SUM(AY31:BA31)</f>
        <v>0</v>
      </c>
      <c r="O31" s="1472">
        <f>SUM(BB31:BD31)</f>
        <v>0</v>
      </c>
      <c r="P31" s="1472">
        <f>SUM(BE31:BG31)</f>
        <v>0</v>
      </c>
      <c r="Q31" s="1472">
        <f>SUM(BH31:BJ31)</f>
        <v>0</v>
      </c>
      <c r="R31" s="1472">
        <f>SUM(BK31:BM31)</f>
        <v>0</v>
      </c>
      <c r="S31" s="1472">
        <f>SUM(BN31:BP31)</f>
        <v>0</v>
      </c>
      <c r="T31" s="1472">
        <f>SUM(BQ31:BS31)</f>
        <v>0</v>
      </c>
      <c r="U31" s="1472">
        <f>SUM(BT31:BV31)</f>
        <v>0</v>
      </c>
      <c r="V31" s="1472">
        <f>SUM(BW31:BY31)</f>
        <v>0</v>
      </c>
      <c r="W31" s="1472">
        <f>SUM(BZ31:CB31)</f>
        <v>0</v>
      </c>
      <c r="X31" s="1472">
        <f>SUM(CC31:CE31)</f>
        <v>0</v>
      </c>
      <c r="Y31" s="1472">
        <f>SUM(CF31:CH31)</f>
        <v>0</v>
      </c>
      <c r="Z31" s="1472">
        <f>SUM(CI31:CK31)</f>
        <v>0</v>
      </c>
      <c r="AA31" s="1472">
        <f>SUM(CL31:CN31)</f>
        <v>0</v>
      </c>
      <c r="AB31" s="1472">
        <f>SUM(CO31:CQ31)</f>
        <v>0</v>
      </c>
      <c r="AC31" s="1472">
        <f>SUM(CR31:CT31)</f>
        <v>0</v>
      </c>
      <c r="AD31" s="1472">
        <f>SUM(CU31:CW31)</f>
        <v>0</v>
      </c>
      <c r="AE31" s="1472">
        <f>SUM(CX31:CZ31)</f>
        <v>0</v>
      </c>
      <c r="AF31" s="1472">
        <f>SUM(DA31:DC31)</f>
        <v>0</v>
      </c>
      <c r="AG31" s="1472">
        <f>SUM(DD31:DF31)</f>
        <v>83267.770005276339</v>
      </c>
      <c r="AH31" s="1472">
        <f>SUM(DG31:DI31)</f>
        <v>57528.67883261769</v>
      </c>
      <c r="AI31" s="1472">
        <f>SUM(DJ31:DL31)</f>
        <v>78061.187955704401</v>
      </c>
      <c r="AJ31" s="1472">
        <f>SUM(DM31:DO31)</f>
        <v>395416.2357918307</v>
      </c>
      <c r="AK31" s="1472">
        <f>SUM(DP31:DR31)</f>
        <v>850969.41572937649</v>
      </c>
      <c r="AL31" s="1472">
        <f>SUM(DS31:DU31)</f>
        <v>693775.23944694083</v>
      </c>
      <c r="AM31" s="1472">
        <f>SUM(DV31:DX31)</f>
        <v>941389.93740936602</v>
      </c>
      <c r="AN31" s="1472">
        <f>SUM(DY31:EA31)</f>
        <v>883094.79857745138</v>
      </c>
      <c r="AO31" s="1472">
        <f>SUM(EB31:ED31)</f>
        <v>1285871.822955936</v>
      </c>
      <c r="AP31" s="1472">
        <f>SUM(EE31:EG31)</f>
        <v>1206888.3620965767</v>
      </c>
      <c r="AQ31" s="1472">
        <f>SUM(EH31:EJ31)</f>
        <v>1637637.8040817645</v>
      </c>
      <c r="AR31" s="1472">
        <f>SUM(EK31:EM31)</f>
        <v>1536227.8363822433</v>
      </c>
      <c r="AS31" s="1472">
        <f>SUM(EN31:EP31)</f>
        <v>2236896.9805128318</v>
      </c>
      <c r="AT31" s="1472">
        <f>SUM(EQ31:ES31)</f>
        <v>2363175.6364503424</v>
      </c>
      <c r="AU31" s="1472">
        <f>SUM(ET31:EV31)</f>
        <v>3206614.5316151287</v>
      </c>
      <c r="AV31" s="1472">
        <f>SUM(EW31:EY31)</f>
        <v>3008046.4017970478</v>
      </c>
      <c r="AW31" s="1472">
        <f>SUM(EZ31:FB31)</f>
        <v>4380007.8048761999</v>
      </c>
      <c r="AY31" s="1472">
        <f t="shared" ref="AY31:CD31" si="92">AY10+AY17+AY24</f>
        <v>0</v>
      </c>
      <c r="AZ31" s="1472">
        <f t="shared" si="92"/>
        <v>0</v>
      </c>
      <c r="BA31" s="1472">
        <f t="shared" si="92"/>
        <v>0</v>
      </c>
      <c r="BB31" s="1472">
        <f t="shared" si="92"/>
        <v>0</v>
      </c>
      <c r="BC31" s="1472">
        <f t="shared" si="92"/>
        <v>0</v>
      </c>
      <c r="BD31" s="1472">
        <f t="shared" si="92"/>
        <v>0</v>
      </c>
      <c r="BE31" s="1472">
        <f t="shared" si="92"/>
        <v>0</v>
      </c>
      <c r="BF31" s="1472">
        <f t="shared" si="92"/>
        <v>0</v>
      </c>
      <c r="BG31" s="1472">
        <f t="shared" si="92"/>
        <v>0</v>
      </c>
      <c r="BH31" s="1472">
        <f t="shared" si="92"/>
        <v>0</v>
      </c>
      <c r="BI31" s="1472">
        <f t="shared" si="92"/>
        <v>0</v>
      </c>
      <c r="BJ31" s="1472">
        <f t="shared" si="92"/>
        <v>0</v>
      </c>
      <c r="BK31" s="1472">
        <f t="shared" si="92"/>
        <v>0</v>
      </c>
      <c r="BL31" s="1472">
        <f t="shared" si="92"/>
        <v>0</v>
      </c>
      <c r="BM31" s="1472">
        <f t="shared" si="92"/>
        <v>0</v>
      </c>
      <c r="BN31" s="1472">
        <f t="shared" si="92"/>
        <v>0</v>
      </c>
      <c r="BO31" s="1472">
        <f t="shared" si="92"/>
        <v>0</v>
      </c>
      <c r="BP31" s="1472">
        <f t="shared" si="92"/>
        <v>0</v>
      </c>
      <c r="BQ31" s="1472">
        <f t="shared" si="92"/>
        <v>0</v>
      </c>
      <c r="BR31" s="1472">
        <f t="shared" si="92"/>
        <v>0</v>
      </c>
      <c r="BS31" s="1472">
        <f t="shared" si="92"/>
        <v>0</v>
      </c>
      <c r="BT31" s="1472">
        <f t="shared" si="92"/>
        <v>0</v>
      </c>
      <c r="BU31" s="1472">
        <f t="shared" si="92"/>
        <v>0</v>
      </c>
      <c r="BV31" s="1472">
        <f t="shared" si="92"/>
        <v>0</v>
      </c>
      <c r="BW31" s="1472">
        <f t="shared" si="92"/>
        <v>0</v>
      </c>
      <c r="BX31" s="1472">
        <f t="shared" si="92"/>
        <v>0</v>
      </c>
      <c r="BY31" s="1472">
        <f t="shared" si="92"/>
        <v>0</v>
      </c>
      <c r="BZ31" s="1472">
        <f t="shared" si="92"/>
        <v>0</v>
      </c>
      <c r="CA31" s="1472">
        <f t="shared" si="92"/>
        <v>0</v>
      </c>
      <c r="CB31" s="1472">
        <f t="shared" si="92"/>
        <v>0</v>
      </c>
      <c r="CC31" s="1472">
        <f t="shared" si="92"/>
        <v>0</v>
      </c>
      <c r="CD31" s="1472">
        <f t="shared" si="92"/>
        <v>0</v>
      </c>
      <c r="CE31" s="1472">
        <f t="shared" ref="CE31:DJ31" si="93">CE10+CE17+CE24</f>
        <v>0</v>
      </c>
      <c r="CF31" s="1472">
        <f t="shared" si="93"/>
        <v>0</v>
      </c>
      <c r="CG31" s="1472">
        <f t="shared" si="93"/>
        <v>0</v>
      </c>
      <c r="CH31" s="1472">
        <f t="shared" si="93"/>
        <v>0</v>
      </c>
      <c r="CI31" s="1472">
        <f t="shared" si="93"/>
        <v>0</v>
      </c>
      <c r="CJ31" s="1472">
        <f t="shared" si="93"/>
        <v>0</v>
      </c>
      <c r="CK31" s="1472">
        <f t="shared" si="93"/>
        <v>0</v>
      </c>
      <c r="CL31" s="1472">
        <f t="shared" si="93"/>
        <v>0</v>
      </c>
      <c r="CM31" s="1472">
        <f t="shared" si="93"/>
        <v>0</v>
      </c>
      <c r="CN31" s="1472">
        <f t="shared" si="93"/>
        <v>0</v>
      </c>
      <c r="CO31" s="1472">
        <f t="shared" si="93"/>
        <v>0</v>
      </c>
      <c r="CP31" s="1472">
        <f t="shared" si="93"/>
        <v>0</v>
      </c>
      <c r="CQ31" s="1472">
        <f t="shared" si="93"/>
        <v>0</v>
      </c>
      <c r="CR31" s="1472">
        <f t="shared" si="93"/>
        <v>0</v>
      </c>
      <c r="CS31" s="1472">
        <f t="shared" si="93"/>
        <v>0</v>
      </c>
      <c r="CT31" s="1472">
        <f t="shared" si="93"/>
        <v>0</v>
      </c>
      <c r="CU31" s="1472">
        <f t="shared" si="93"/>
        <v>0</v>
      </c>
      <c r="CV31" s="1472">
        <f t="shared" si="93"/>
        <v>0</v>
      </c>
      <c r="CW31" s="1472">
        <f t="shared" si="93"/>
        <v>0</v>
      </c>
      <c r="CX31" s="1472">
        <f t="shared" si="93"/>
        <v>0</v>
      </c>
      <c r="CY31" s="1472">
        <f t="shared" si="93"/>
        <v>0</v>
      </c>
      <c r="CZ31" s="1472">
        <f t="shared" si="93"/>
        <v>0</v>
      </c>
      <c r="DA31" s="1472">
        <f t="shared" si="93"/>
        <v>0</v>
      </c>
      <c r="DB31" s="1472">
        <f t="shared" si="93"/>
        <v>0</v>
      </c>
      <c r="DC31" s="1472">
        <f t="shared" si="93"/>
        <v>0</v>
      </c>
      <c r="DD31" s="1472">
        <f t="shared" si="93"/>
        <v>12371.247845207588</v>
      </c>
      <c r="DE31" s="1472">
        <f t="shared" si="93"/>
        <v>32999.424380268661</v>
      </c>
      <c r="DF31" s="1472">
        <f t="shared" si="93"/>
        <v>37897.097779800082</v>
      </c>
      <c r="DG31" s="1472">
        <f t="shared" si="93"/>
        <v>7947.3463129975717</v>
      </c>
      <c r="DH31" s="1472">
        <f t="shared" si="93"/>
        <v>16786.476146884597</v>
      </c>
      <c r="DI31" s="1472">
        <f t="shared" si="93"/>
        <v>32794.856372735521</v>
      </c>
      <c r="DJ31" s="1472">
        <f t="shared" si="93"/>
        <v>14147.426469776994</v>
      </c>
      <c r="DK31" s="1472">
        <f t="shared" ref="DK31:EP31" si="94">DK10+DK17+DK24</f>
        <v>26535.253958511967</v>
      </c>
      <c r="DL31" s="1472">
        <f t="shared" si="94"/>
        <v>37378.507527415444</v>
      </c>
      <c r="DM31" s="1472">
        <f t="shared" si="94"/>
        <v>66813.470786121179</v>
      </c>
      <c r="DN31" s="1472">
        <f t="shared" si="94"/>
        <v>119135.03560590412</v>
      </c>
      <c r="DO31" s="1472">
        <f t="shared" si="94"/>
        <v>209467.72939980542</v>
      </c>
      <c r="DP31" s="1472">
        <f t="shared" si="94"/>
        <v>118336.68524443985</v>
      </c>
      <c r="DQ31" s="1472">
        <f t="shared" si="94"/>
        <v>340001.79259842803</v>
      </c>
      <c r="DR31" s="1472">
        <f t="shared" si="94"/>
        <v>392630.93788650859</v>
      </c>
      <c r="DS31" s="1472">
        <f t="shared" si="94"/>
        <v>95842.146963081366</v>
      </c>
      <c r="DT31" s="1472">
        <f t="shared" si="94"/>
        <v>202438.88343342472</v>
      </c>
      <c r="DU31" s="1472">
        <f t="shared" si="94"/>
        <v>395494.20905043476</v>
      </c>
      <c r="DV31" s="1472">
        <f t="shared" si="94"/>
        <v>170612.89057558763</v>
      </c>
      <c r="DW31" s="1472">
        <f t="shared" si="94"/>
        <v>320005.64835523709</v>
      </c>
      <c r="DX31" s="1472">
        <f t="shared" si="94"/>
        <v>450771.39847854123</v>
      </c>
      <c r="DY31" s="1472">
        <f t="shared" si="94"/>
        <v>149216.50449677641</v>
      </c>
      <c r="DZ31" s="1472">
        <f t="shared" si="94"/>
        <v>266067.8058937887</v>
      </c>
      <c r="EA31" s="1472">
        <f t="shared" si="94"/>
        <v>467810.4881868863</v>
      </c>
      <c r="EB31" s="1472">
        <f t="shared" si="94"/>
        <v>178814.66286001296</v>
      </c>
      <c r="EC31" s="1472">
        <f t="shared" si="94"/>
        <v>513765.49706207501</v>
      </c>
      <c r="ED31" s="1472">
        <f t="shared" si="94"/>
        <v>593291.66303384793</v>
      </c>
      <c r="EE31" s="1472">
        <f t="shared" si="94"/>
        <v>166726.5782795914</v>
      </c>
      <c r="EF31" s="1472">
        <f t="shared" si="94"/>
        <v>352161.79327240348</v>
      </c>
      <c r="EG31" s="1472">
        <f t="shared" si="94"/>
        <v>687999.99054458179</v>
      </c>
      <c r="EH31" s="1472">
        <f t="shared" si="94"/>
        <v>296797.43575668678</v>
      </c>
      <c r="EI31" s="1472">
        <f t="shared" si="94"/>
        <v>556680.42162038293</v>
      </c>
      <c r="EJ31" s="1472">
        <f t="shared" si="94"/>
        <v>784159.94670469477</v>
      </c>
      <c r="EK31" s="1472">
        <f t="shared" si="94"/>
        <v>259576.37642625024</v>
      </c>
      <c r="EL31" s="1472">
        <f t="shared" si="94"/>
        <v>462850.38756610593</v>
      </c>
      <c r="EM31" s="1472">
        <f t="shared" si="94"/>
        <v>813801.07238988718</v>
      </c>
      <c r="EN31" s="1472">
        <f t="shared" si="94"/>
        <v>311065.20283140993</v>
      </c>
      <c r="EO31" s="1472">
        <f t="shared" si="94"/>
        <v>893744.20416801667</v>
      </c>
      <c r="EP31" s="1472">
        <f t="shared" si="94"/>
        <v>1032087.5735134052</v>
      </c>
      <c r="EQ31" s="1472">
        <f t="shared" ref="EQ31:FB31" si="95">EQ10+EQ17+EQ24</f>
        <v>326462.82797408605</v>
      </c>
      <c r="ER31" s="1472">
        <f t="shared" si="95"/>
        <v>689558.53423285461</v>
      </c>
      <c r="ES31" s="1472">
        <f t="shared" si="95"/>
        <v>1347154.2742434016</v>
      </c>
      <c r="ET31" s="1472">
        <f t="shared" si="95"/>
        <v>581151.07508594252</v>
      </c>
      <c r="EU31" s="1472">
        <f t="shared" si="95"/>
        <v>1090020.9588373865</v>
      </c>
      <c r="EV31" s="1472">
        <f t="shared" si="95"/>
        <v>1535442.4976918001</v>
      </c>
      <c r="EW31" s="1472">
        <f t="shared" si="95"/>
        <v>508269.52005979361</v>
      </c>
      <c r="EX31" s="1472">
        <f t="shared" si="95"/>
        <v>906294.89318937785</v>
      </c>
      <c r="EY31" s="1472">
        <f t="shared" si="95"/>
        <v>1593481.9885478762</v>
      </c>
      <c r="EZ31" s="1472">
        <f t="shared" si="95"/>
        <v>609088.40599114844</v>
      </c>
      <c r="FA31" s="1472">
        <f t="shared" si="95"/>
        <v>1750016.4844074834</v>
      </c>
      <c r="FB31" s="1472">
        <f t="shared" si="95"/>
        <v>2020902.9144775684</v>
      </c>
    </row>
    <row r="32" spans="3:158" x14ac:dyDescent="0.25">
      <c r="C32" s="258" t="s">
        <v>584</v>
      </c>
      <c r="D32" s="1472">
        <f t="shared" si="91"/>
        <v>0</v>
      </c>
      <c r="E32" s="1472">
        <f t="shared" si="91"/>
        <v>0</v>
      </c>
      <c r="F32" s="1472">
        <f t="shared" si="91"/>
        <v>0</v>
      </c>
      <c r="G32" s="1472">
        <f t="shared" si="91"/>
        <v>0</v>
      </c>
      <c r="H32" s="1472">
        <f t="shared" si="91"/>
        <v>49766.462478685942</v>
      </c>
      <c r="I32" s="1472">
        <f t="shared" si="91"/>
        <v>2618024.4816904706</v>
      </c>
      <c r="J32" s="1472">
        <f t="shared" si="91"/>
        <v>16195868.201610304</v>
      </c>
      <c r="K32" s="1472">
        <f t="shared" si="91"/>
        <v>28382349.016926587</v>
      </c>
      <c r="L32" s="1472">
        <f t="shared" si="91"/>
        <v>44792155.62526127</v>
      </c>
      <c r="M32" s="244"/>
      <c r="N32" s="1472">
        <f>SUM(AY32:BA32)</f>
        <v>0</v>
      </c>
      <c r="O32" s="1472">
        <f>SUM(BB32:BD32)</f>
        <v>0</v>
      </c>
      <c r="P32" s="1472">
        <f>SUM(BE32:BG32)</f>
        <v>0</v>
      </c>
      <c r="Q32" s="1472">
        <f>SUM(BH32:BJ32)</f>
        <v>0</v>
      </c>
      <c r="R32" s="1472">
        <f>SUM(BK32:BM32)</f>
        <v>0</v>
      </c>
      <c r="S32" s="1472">
        <f>SUM(BN32:BP32)</f>
        <v>0</v>
      </c>
      <c r="T32" s="1472">
        <f>SUM(BQ32:BS32)</f>
        <v>0</v>
      </c>
      <c r="U32" s="1472">
        <f>SUM(BT32:BV32)</f>
        <v>0</v>
      </c>
      <c r="V32" s="1472">
        <f>SUM(BW32:BY32)</f>
        <v>0</v>
      </c>
      <c r="W32" s="1472">
        <f>SUM(BZ32:CB32)</f>
        <v>0</v>
      </c>
      <c r="X32" s="1472">
        <f>SUM(CC32:CE32)</f>
        <v>0</v>
      </c>
      <c r="Y32" s="1472">
        <f>SUM(CF32:CH32)</f>
        <v>0</v>
      </c>
      <c r="Z32" s="1472">
        <f>SUM(CI32:CK32)</f>
        <v>0</v>
      </c>
      <c r="AA32" s="1472">
        <f>SUM(CL32:CN32)</f>
        <v>0</v>
      </c>
      <c r="AB32" s="1472">
        <f>SUM(CO32:CQ32)</f>
        <v>0</v>
      </c>
      <c r="AC32" s="1472">
        <f>SUM(CR32:CT32)</f>
        <v>0</v>
      </c>
      <c r="AD32" s="1472">
        <f>SUM(CU32:CW32)</f>
        <v>8807.376561388859</v>
      </c>
      <c r="AE32" s="1472">
        <f>SUM(CX32:CZ32)</f>
        <v>11718.266130490867</v>
      </c>
      <c r="AF32" s="1472">
        <f>SUM(DA32:DC32)</f>
        <v>11552.834256986327</v>
      </c>
      <c r="AG32" s="1472">
        <f>SUM(DD32:DF32)</f>
        <v>17687.985529819885</v>
      </c>
      <c r="AH32" s="1472">
        <f>SUM(DG32:DI32)</f>
        <v>477459.94563900644</v>
      </c>
      <c r="AI32" s="1472">
        <f>SUM(DJ32:DL32)</f>
        <v>647869.74625801563</v>
      </c>
      <c r="AJ32" s="1472">
        <f>SUM(DM32:DO32)</f>
        <v>607750.71024299087</v>
      </c>
      <c r="AK32" s="1472">
        <f>SUM(DP32:DR32)</f>
        <v>884944.07955045765</v>
      </c>
      <c r="AL32" s="1472">
        <f>SUM(DS32:DU32)</f>
        <v>2953707.4252736606</v>
      </c>
      <c r="AM32" s="1472">
        <f>SUM(DV32:DX32)</f>
        <v>4007912.4911124874</v>
      </c>
      <c r="AN32" s="1472">
        <f>SUM(DY32:EA32)</f>
        <v>3759724.3537519672</v>
      </c>
      <c r="AO32" s="1472">
        <f>SUM(EB32:ED32)</f>
        <v>5474523.9314721897</v>
      </c>
      <c r="AP32" s="1472">
        <f>SUM(EE32:EG32)</f>
        <v>5176206.3011644771</v>
      </c>
      <c r="AQ32" s="1472">
        <f>SUM(EH32:EJ32)</f>
        <v>7023641.4458314804</v>
      </c>
      <c r="AR32" s="1472">
        <f>SUM(EK32:EM32)</f>
        <v>6588705.6801942419</v>
      </c>
      <c r="AS32" s="1472">
        <f>SUM(EN32:EP32)</f>
        <v>9593795.589736389</v>
      </c>
      <c r="AT32" s="1472">
        <f>SUM(EQ32:ES32)</f>
        <v>8168930.5579303931</v>
      </c>
      <c r="AU32" s="1472">
        <f>SUM(ET32:EV32)</f>
        <v>11084496.230741721</v>
      </c>
      <c r="AV32" s="1472">
        <f>SUM(EW32:EY32)</f>
        <v>10398093.900554148</v>
      </c>
      <c r="AW32" s="1472">
        <f>SUM(EZ32:FB32)</f>
        <v>15140634.936035011</v>
      </c>
      <c r="AY32" s="1472">
        <f t="shared" ref="AY32:CD32" si="96">AY11+AY18+AY25</f>
        <v>0</v>
      </c>
      <c r="AZ32" s="1472">
        <f t="shared" si="96"/>
        <v>0</v>
      </c>
      <c r="BA32" s="1472">
        <f t="shared" si="96"/>
        <v>0</v>
      </c>
      <c r="BB32" s="1472">
        <f t="shared" si="96"/>
        <v>0</v>
      </c>
      <c r="BC32" s="1472">
        <f t="shared" si="96"/>
        <v>0</v>
      </c>
      <c r="BD32" s="1472">
        <f t="shared" si="96"/>
        <v>0</v>
      </c>
      <c r="BE32" s="1472">
        <f t="shared" si="96"/>
        <v>0</v>
      </c>
      <c r="BF32" s="1472">
        <f t="shared" si="96"/>
        <v>0</v>
      </c>
      <c r="BG32" s="1472">
        <f t="shared" si="96"/>
        <v>0</v>
      </c>
      <c r="BH32" s="1472">
        <f t="shared" si="96"/>
        <v>0</v>
      </c>
      <c r="BI32" s="1472">
        <f t="shared" si="96"/>
        <v>0</v>
      </c>
      <c r="BJ32" s="1472">
        <f t="shared" si="96"/>
        <v>0</v>
      </c>
      <c r="BK32" s="1472">
        <f t="shared" si="96"/>
        <v>0</v>
      </c>
      <c r="BL32" s="1472">
        <f t="shared" si="96"/>
        <v>0</v>
      </c>
      <c r="BM32" s="1472">
        <f t="shared" si="96"/>
        <v>0</v>
      </c>
      <c r="BN32" s="1472">
        <f t="shared" si="96"/>
        <v>0</v>
      </c>
      <c r="BO32" s="1472">
        <f t="shared" si="96"/>
        <v>0</v>
      </c>
      <c r="BP32" s="1472">
        <f t="shared" si="96"/>
        <v>0</v>
      </c>
      <c r="BQ32" s="1472">
        <f t="shared" si="96"/>
        <v>0</v>
      </c>
      <c r="BR32" s="1472">
        <f t="shared" si="96"/>
        <v>0</v>
      </c>
      <c r="BS32" s="1472">
        <f t="shared" si="96"/>
        <v>0</v>
      </c>
      <c r="BT32" s="1472">
        <f t="shared" si="96"/>
        <v>0</v>
      </c>
      <c r="BU32" s="1472">
        <f t="shared" si="96"/>
        <v>0</v>
      </c>
      <c r="BV32" s="1472">
        <f t="shared" si="96"/>
        <v>0</v>
      </c>
      <c r="BW32" s="1472">
        <f t="shared" si="96"/>
        <v>0</v>
      </c>
      <c r="BX32" s="1472">
        <f t="shared" si="96"/>
        <v>0</v>
      </c>
      <c r="BY32" s="1472">
        <f t="shared" si="96"/>
        <v>0</v>
      </c>
      <c r="BZ32" s="1472">
        <f t="shared" si="96"/>
        <v>0</v>
      </c>
      <c r="CA32" s="1472">
        <f t="shared" si="96"/>
        <v>0</v>
      </c>
      <c r="CB32" s="1472">
        <f t="shared" si="96"/>
        <v>0</v>
      </c>
      <c r="CC32" s="1472">
        <f t="shared" si="96"/>
        <v>0</v>
      </c>
      <c r="CD32" s="1472">
        <f t="shared" si="96"/>
        <v>0</v>
      </c>
      <c r="CE32" s="1472">
        <f t="shared" ref="CE32:DJ32" si="97">CE11+CE18+CE25</f>
        <v>0</v>
      </c>
      <c r="CF32" s="1472">
        <f t="shared" si="97"/>
        <v>0</v>
      </c>
      <c r="CG32" s="1472">
        <f t="shared" si="97"/>
        <v>0</v>
      </c>
      <c r="CH32" s="1472">
        <f t="shared" si="97"/>
        <v>0</v>
      </c>
      <c r="CI32" s="1472">
        <f t="shared" si="97"/>
        <v>0</v>
      </c>
      <c r="CJ32" s="1472">
        <f t="shared" si="97"/>
        <v>0</v>
      </c>
      <c r="CK32" s="1472">
        <f t="shared" si="97"/>
        <v>0</v>
      </c>
      <c r="CL32" s="1472">
        <f t="shared" si="97"/>
        <v>0</v>
      </c>
      <c r="CM32" s="1472">
        <f t="shared" si="97"/>
        <v>0</v>
      </c>
      <c r="CN32" s="1472">
        <f t="shared" si="97"/>
        <v>0</v>
      </c>
      <c r="CO32" s="1472">
        <f t="shared" si="97"/>
        <v>0</v>
      </c>
      <c r="CP32" s="1472">
        <f t="shared" si="97"/>
        <v>0</v>
      </c>
      <c r="CQ32" s="1472">
        <f t="shared" si="97"/>
        <v>0</v>
      </c>
      <c r="CR32" s="1472">
        <f t="shared" si="97"/>
        <v>0</v>
      </c>
      <c r="CS32" s="1472">
        <f t="shared" si="97"/>
        <v>0</v>
      </c>
      <c r="CT32" s="1472">
        <f t="shared" si="97"/>
        <v>0</v>
      </c>
      <c r="CU32" s="1472">
        <f t="shared" si="97"/>
        <v>1164.2477487910176</v>
      </c>
      <c r="CV32" s="1472">
        <f t="shared" si="97"/>
        <v>2558.7689607393845</v>
      </c>
      <c r="CW32" s="1472">
        <f t="shared" si="97"/>
        <v>5084.3598518584568</v>
      </c>
      <c r="CX32" s="1472">
        <f t="shared" si="97"/>
        <v>2032.928325682517</v>
      </c>
      <c r="CY32" s="1472">
        <f t="shared" si="97"/>
        <v>3987.3162040876505</v>
      </c>
      <c r="CZ32" s="1472">
        <f t="shared" si="97"/>
        <v>5698.0216007207</v>
      </c>
      <c r="DA32" s="1472">
        <f t="shared" si="97"/>
        <v>1952.0820954160799</v>
      </c>
      <c r="DB32" s="1472">
        <f t="shared" si="97"/>
        <v>3480.7557099900209</v>
      </c>
      <c r="DC32" s="1472">
        <f t="shared" si="97"/>
        <v>6119.9964515802267</v>
      </c>
      <c r="DD32" s="1472">
        <f t="shared" si="97"/>
        <v>2627.9369900020315</v>
      </c>
      <c r="DE32" s="1472">
        <f t="shared" si="97"/>
        <v>7009.8351486246283</v>
      </c>
      <c r="DF32" s="1472">
        <f t="shared" si="97"/>
        <v>8050.213391193226</v>
      </c>
      <c r="DG32" s="1472">
        <f t="shared" si="97"/>
        <v>65959.094065388927</v>
      </c>
      <c r="DH32" s="1472">
        <f t="shared" si="97"/>
        <v>139319.55593629443</v>
      </c>
      <c r="DI32" s="1472">
        <f t="shared" si="97"/>
        <v>272181.29563732311</v>
      </c>
      <c r="DJ32" s="1472">
        <f t="shared" si="97"/>
        <v>117416.73214580593</v>
      </c>
      <c r="DK32" s="1472">
        <f t="shared" ref="DK32:EP32" si="98">DK11+DK18+DK25</f>
        <v>220229.65188216657</v>
      </c>
      <c r="DL32" s="1472">
        <f t="shared" si="98"/>
        <v>310223.36223004316</v>
      </c>
      <c r="DM32" s="1472">
        <f t="shared" si="98"/>
        <v>102691.62125513154</v>
      </c>
      <c r="DN32" s="1472">
        <f t="shared" si="98"/>
        <v>183109.33125778369</v>
      </c>
      <c r="DO32" s="1472">
        <f t="shared" si="98"/>
        <v>321949.75773007562</v>
      </c>
      <c r="DP32" s="1472">
        <f t="shared" si="98"/>
        <v>123061.23706095251</v>
      </c>
      <c r="DQ32" s="1472">
        <f t="shared" si="98"/>
        <v>353576.24825873587</v>
      </c>
      <c r="DR32" s="1472">
        <f t="shared" si="98"/>
        <v>408306.5942307692</v>
      </c>
      <c r="DS32" s="1472">
        <f t="shared" si="98"/>
        <v>408042.32414620975</v>
      </c>
      <c r="DT32" s="1472">
        <f t="shared" si="98"/>
        <v>861871.68287827878</v>
      </c>
      <c r="DU32" s="1472">
        <f t="shared" si="98"/>
        <v>1683793.4182491724</v>
      </c>
      <c r="DV32" s="1472">
        <f t="shared" si="98"/>
        <v>726374.38335539866</v>
      </c>
      <c r="DW32" s="1472">
        <f t="shared" si="98"/>
        <v>1362405.2948759983</v>
      </c>
      <c r="DX32" s="1472">
        <f t="shared" si="98"/>
        <v>1919132.8128810902</v>
      </c>
      <c r="DY32" s="1472">
        <f t="shared" si="98"/>
        <v>635280.52349757659</v>
      </c>
      <c r="DZ32" s="1472">
        <f t="shared" si="98"/>
        <v>1132768.09146611</v>
      </c>
      <c r="EA32" s="1472">
        <f t="shared" si="98"/>
        <v>1991675.7387882806</v>
      </c>
      <c r="EB32" s="1472">
        <f t="shared" si="98"/>
        <v>761292.94821542874</v>
      </c>
      <c r="EC32" s="1472">
        <f t="shared" si="98"/>
        <v>2187326.4960153159</v>
      </c>
      <c r="ED32" s="1472">
        <f t="shared" si="98"/>
        <v>2525904.4872414446</v>
      </c>
      <c r="EE32" s="1472">
        <f t="shared" si="98"/>
        <v>715071.2461616681</v>
      </c>
      <c r="EF32" s="1472">
        <f t="shared" si="98"/>
        <v>1510381.697773078</v>
      </c>
      <c r="EG32" s="1472">
        <f t="shared" si="98"/>
        <v>2950753.357229731</v>
      </c>
      <c r="EH32" s="1472">
        <f t="shared" si="98"/>
        <v>1272930.2936225394</v>
      </c>
      <c r="EI32" s="1472">
        <f t="shared" si="98"/>
        <v>2387538.7290342795</v>
      </c>
      <c r="EJ32" s="1472">
        <f t="shared" si="98"/>
        <v>3363172.4231746616</v>
      </c>
      <c r="EK32" s="1472">
        <f t="shared" si="98"/>
        <v>1113293.4225638679</v>
      </c>
      <c r="EL32" s="1472">
        <f t="shared" si="98"/>
        <v>1985112.4328137173</v>
      </c>
      <c r="EM32" s="1472">
        <f t="shared" si="98"/>
        <v>3490299.8248166563</v>
      </c>
      <c r="EN32" s="1472">
        <f t="shared" si="98"/>
        <v>1334123.1165506132</v>
      </c>
      <c r="EO32" s="1472">
        <f t="shared" si="98"/>
        <v>3833166.783717419</v>
      </c>
      <c r="EP32" s="1472">
        <f t="shared" si="98"/>
        <v>4426505.6894683568</v>
      </c>
      <c r="EQ32" s="1472">
        <f t="shared" ref="EQ32:FB32" si="99">EQ11+EQ18+EQ25</f>
        <v>1128503.5823539915</v>
      </c>
      <c r="ER32" s="1472">
        <f t="shared" si="99"/>
        <v>2383638.2259921893</v>
      </c>
      <c r="ES32" s="1472">
        <f t="shared" si="99"/>
        <v>4656788.7495842129</v>
      </c>
      <c r="ET32" s="1472">
        <f t="shared" si="99"/>
        <v>2008899.6783897802</v>
      </c>
      <c r="EU32" s="1472">
        <f t="shared" si="99"/>
        <v>3767940.6397428052</v>
      </c>
      <c r="EV32" s="1472">
        <f t="shared" si="99"/>
        <v>5307655.9126091348</v>
      </c>
      <c r="EW32" s="1472">
        <f t="shared" si="99"/>
        <v>1756965.6482739006</v>
      </c>
      <c r="EX32" s="1472">
        <f t="shared" si="99"/>
        <v>3132843.7604373302</v>
      </c>
      <c r="EY32" s="1472">
        <f t="shared" si="99"/>
        <v>5508284.4918429181</v>
      </c>
      <c r="EZ32" s="1472">
        <f t="shared" si="99"/>
        <v>2105472.3209891892</v>
      </c>
      <c r="FA32" s="1472">
        <f t="shared" si="99"/>
        <v>6049386.6456034835</v>
      </c>
      <c r="FB32" s="1472">
        <f t="shared" si="99"/>
        <v>6985775.9694423368</v>
      </c>
    </row>
    <row r="33" spans="3:158" x14ac:dyDescent="0.25">
      <c r="C33" s="258" t="s">
        <v>22</v>
      </c>
      <c r="D33" s="1473">
        <f t="shared" si="91"/>
        <v>0</v>
      </c>
      <c r="E33" s="1473">
        <f t="shared" si="91"/>
        <v>0</v>
      </c>
      <c r="F33" s="1473">
        <f t="shared" si="91"/>
        <v>0</v>
      </c>
      <c r="G33" s="1473">
        <f t="shared" si="91"/>
        <v>0</v>
      </c>
      <c r="H33" s="1473">
        <f t="shared" si="91"/>
        <v>0</v>
      </c>
      <c r="I33" s="1473">
        <f t="shared" si="91"/>
        <v>-16457.873681216937</v>
      </c>
      <c r="J33" s="1473">
        <f t="shared" si="91"/>
        <v>-341223.57187028625</v>
      </c>
      <c r="K33" s="1473">
        <f t="shared" si="91"/>
        <v>-1869788.108687754</v>
      </c>
      <c r="L33" s="1473">
        <f t="shared" si="91"/>
        <v>-4285537.3065528385</v>
      </c>
      <c r="M33" s="308"/>
      <c r="N33" s="1473">
        <f>SUM(AY33:BA33)</f>
        <v>0</v>
      </c>
      <c r="O33" s="1473">
        <f>SUM(BB33:BD33)</f>
        <v>0</v>
      </c>
      <c r="P33" s="1473">
        <f>SUM(BE33:BG33)</f>
        <v>0</v>
      </c>
      <c r="Q33" s="1473">
        <f>SUM(BH33:BJ33)</f>
        <v>0</v>
      </c>
      <c r="R33" s="1473">
        <f>SUM(BK33:BM33)</f>
        <v>0</v>
      </c>
      <c r="S33" s="1473">
        <f>SUM(BN33:BP33)</f>
        <v>0</v>
      </c>
      <c r="T33" s="1473">
        <f>SUM(BQ33:BS33)</f>
        <v>0</v>
      </c>
      <c r="U33" s="1473">
        <f>SUM(BT33:BV33)</f>
        <v>0</v>
      </c>
      <c r="V33" s="1473">
        <f>SUM(BW33:BY33)</f>
        <v>0</v>
      </c>
      <c r="W33" s="1473">
        <f>SUM(BZ33:CB33)</f>
        <v>0</v>
      </c>
      <c r="X33" s="1473">
        <f>SUM(CC33:CE33)</f>
        <v>0</v>
      </c>
      <c r="Y33" s="1473">
        <f>SUM(CF33:CH33)</f>
        <v>0</v>
      </c>
      <c r="Z33" s="1473">
        <f>SUM(CI33:CK33)</f>
        <v>0</v>
      </c>
      <c r="AA33" s="1473">
        <f>SUM(CL33:CN33)</f>
        <v>0</v>
      </c>
      <c r="AB33" s="1473">
        <f>SUM(CO33:CQ33)</f>
        <v>0</v>
      </c>
      <c r="AC33" s="1473">
        <f>SUM(CR33:CT33)</f>
        <v>0</v>
      </c>
      <c r="AD33" s="1473">
        <f>SUM(CU33:CW33)</f>
        <v>0</v>
      </c>
      <c r="AE33" s="1473">
        <f>SUM(CX33:CZ33)</f>
        <v>0</v>
      </c>
      <c r="AF33" s="1473">
        <f>SUM(DA33:DC33)</f>
        <v>0</v>
      </c>
      <c r="AG33" s="1473">
        <f>SUM(DD33:DF33)</f>
        <v>0</v>
      </c>
      <c r="AH33" s="1473">
        <f>SUM(DG33:DI33)</f>
        <v>-3386.3534453861357</v>
      </c>
      <c r="AI33" s="1473">
        <f>SUM(DJ33:DL33)</f>
        <v>-3814.2775683424366</v>
      </c>
      <c r="AJ33" s="1473">
        <f>SUM(DM33:DO33)</f>
        <v>-3495.88283417206</v>
      </c>
      <c r="AK33" s="1473">
        <f>SUM(DP33:DR33)</f>
        <v>-5761.3598333163081</v>
      </c>
      <c r="AL33" s="1473">
        <f>SUM(DS33:DU33)</f>
        <v>-70209.77561449277</v>
      </c>
      <c r="AM33" s="1473">
        <f>SUM(DV33:DX33)</f>
        <v>-79081.990856444463</v>
      </c>
      <c r="AN33" s="1473">
        <f>SUM(DY33:EA33)</f>
        <v>-72480.664915882706</v>
      </c>
      <c r="AO33" s="1473">
        <f>SUM(EB33:ED33)</f>
        <v>-119451.14048346633</v>
      </c>
      <c r="AP33" s="1473">
        <f>SUM(EE33:EG33)</f>
        <v>-384725.48317241756</v>
      </c>
      <c r="AQ33" s="1473">
        <f>SUM(EH33:EJ33)</f>
        <v>-433342.17886607198</v>
      </c>
      <c r="AR33" s="1473">
        <f>SUM(EK33:EM33)</f>
        <v>-397169.17745945603</v>
      </c>
      <c r="AS33" s="1473">
        <f>SUM(EN33:EP33)</f>
        <v>-654551.2691898084</v>
      </c>
      <c r="AT33" s="1473">
        <f>SUM(EQ33:ES33)</f>
        <v>-881787.30159648065</v>
      </c>
      <c r="AU33" s="1473">
        <f>SUM(ET33:EV33)</f>
        <v>-993216.3251036976</v>
      </c>
      <c r="AV33" s="1473">
        <f>SUM(EW33:EY33)</f>
        <v>-910308.1355084409</v>
      </c>
      <c r="AW33" s="1473">
        <f>SUM(EZ33:FB33)</f>
        <v>-1500225.5443442189</v>
      </c>
      <c r="AY33" s="1473">
        <f t="shared" ref="AY33:CD33" si="100">AY12+AY19+AY26</f>
        <v>0</v>
      </c>
      <c r="AZ33" s="1473">
        <f t="shared" si="100"/>
        <v>0</v>
      </c>
      <c r="BA33" s="1473">
        <f t="shared" si="100"/>
        <v>0</v>
      </c>
      <c r="BB33" s="1473">
        <f t="shared" si="100"/>
        <v>0</v>
      </c>
      <c r="BC33" s="1473">
        <f t="shared" si="100"/>
        <v>0</v>
      </c>
      <c r="BD33" s="1473">
        <f t="shared" si="100"/>
        <v>0</v>
      </c>
      <c r="BE33" s="1473">
        <f t="shared" si="100"/>
        <v>0</v>
      </c>
      <c r="BF33" s="1473">
        <f t="shared" si="100"/>
        <v>0</v>
      </c>
      <c r="BG33" s="1473">
        <f t="shared" si="100"/>
        <v>0</v>
      </c>
      <c r="BH33" s="1473">
        <f t="shared" si="100"/>
        <v>0</v>
      </c>
      <c r="BI33" s="1473">
        <f t="shared" si="100"/>
        <v>0</v>
      </c>
      <c r="BJ33" s="1473">
        <f t="shared" si="100"/>
        <v>0</v>
      </c>
      <c r="BK33" s="1473">
        <f t="shared" si="100"/>
        <v>0</v>
      </c>
      <c r="BL33" s="1473">
        <f t="shared" si="100"/>
        <v>0</v>
      </c>
      <c r="BM33" s="1473">
        <f t="shared" si="100"/>
        <v>0</v>
      </c>
      <c r="BN33" s="1473">
        <f t="shared" si="100"/>
        <v>0</v>
      </c>
      <c r="BO33" s="1473">
        <f t="shared" si="100"/>
        <v>0</v>
      </c>
      <c r="BP33" s="1473">
        <f t="shared" si="100"/>
        <v>0</v>
      </c>
      <c r="BQ33" s="1473">
        <f t="shared" si="100"/>
        <v>0</v>
      </c>
      <c r="BR33" s="1473">
        <f t="shared" si="100"/>
        <v>0</v>
      </c>
      <c r="BS33" s="1473">
        <f t="shared" si="100"/>
        <v>0</v>
      </c>
      <c r="BT33" s="1473">
        <f t="shared" si="100"/>
        <v>0</v>
      </c>
      <c r="BU33" s="1473">
        <f t="shared" si="100"/>
        <v>0</v>
      </c>
      <c r="BV33" s="1473">
        <f t="shared" si="100"/>
        <v>0</v>
      </c>
      <c r="BW33" s="1473">
        <f t="shared" si="100"/>
        <v>0</v>
      </c>
      <c r="BX33" s="1473">
        <f t="shared" si="100"/>
        <v>0</v>
      </c>
      <c r="BY33" s="1473">
        <f t="shared" si="100"/>
        <v>0</v>
      </c>
      <c r="BZ33" s="1473">
        <f t="shared" si="100"/>
        <v>0</v>
      </c>
      <c r="CA33" s="1473">
        <f t="shared" si="100"/>
        <v>0</v>
      </c>
      <c r="CB33" s="1473">
        <f t="shared" si="100"/>
        <v>0</v>
      </c>
      <c r="CC33" s="1473">
        <f t="shared" si="100"/>
        <v>0</v>
      </c>
      <c r="CD33" s="1473">
        <f t="shared" si="100"/>
        <v>0</v>
      </c>
      <c r="CE33" s="1473">
        <f t="shared" ref="CE33:DJ33" si="101">CE12+CE19+CE26</f>
        <v>0</v>
      </c>
      <c r="CF33" s="1473">
        <f t="shared" si="101"/>
        <v>0</v>
      </c>
      <c r="CG33" s="1473">
        <f t="shared" si="101"/>
        <v>0</v>
      </c>
      <c r="CH33" s="1473">
        <f t="shared" si="101"/>
        <v>0</v>
      </c>
      <c r="CI33" s="1473">
        <f t="shared" si="101"/>
        <v>0</v>
      </c>
      <c r="CJ33" s="1473">
        <f t="shared" si="101"/>
        <v>0</v>
      </c>
      <c r="CK33" s="1473">
        <f t="shared" si="101"/>
        <v>0</v>
      </c>
      <c r="CL33" s="1473">
        <f t="shared" si="101"/>
        <v>0</v>
      </c>
      <c r="CM33" s="1473">
        <f t="shared" si="101"/>
        <v>0</v>
      </c>
      <c r="CN33" s="1473">
        <f t="shared" si="101"/>
        <v>0</v>
      </c>
      <c r="CO33" s="1473">
        <f t="shared" si="101"/>
        <v>0</v>
      </c>
      <c r="CP33" s="1473">
        <f t="shared" si="101"/>
        <v>0</v>
      </c>
      <c r="CQ33" s="1473">
        <f t="shared" si="101"/>
        <v>0</v>
      </c>
      <c r="CR33" s="1473">
        <f t="shared" si="101"/>
        <v>0</v>
      </c>
      <c r="CS33" s="1473">
        <f t="shared" si="101"/>
        <v>0</v>
      </c>
      <c r="CT33" s="1473">
        <f t="shared" si="101"/>
        <v>0</v>
      </c>
      <c r="CU33" s="1473">
        <f t="shared" si="101"/>
        <v>0</v>
      </c>
      <c r="CV33" s="1473">
        <f t="shared" si="101"/>
        <v>0</v>
      </c>
      <c r="CW33" s="1473">
        <f t="shared" si="101"/>
        <v>0</v>
      </c>
      <c r="CX33" s="1473">
        <f t="shared" si="101"/>
        <v>0</v>
      </c>
      <c r="CY33" s="1473">
        <f t="shared" si="101"/>
        <v>0</v>
      </c>
      <c r="CZ33" s="1473">
        <f t="shared" si="101"/>
        <v>0</v>
      </c>
      <c r="DA33" s="1473">
        <f t="shared" si="101"/>
        <v>0</v>
      </c>
      <c r="DB33" s="1473">
        <f t="shared" si="101"/>
        <v>0</v>
      </c>
      <c r="DC33" s="1473">
        <f t="shared" si="101"/>
        <v>0</v>
      </c>
      <c r="DD33" s="1473">
        <f t="shared" si="101"/>
        <v>0</v>
      </c>
      <c r="DE33" s="1473">
        <f t="shared" si="101"/>
        <v>0</v>
      </c>
      <c r="DF33" s="1473">
        <f t="shared" si="101"/>
        <v>0</v>
      </c>
      <c r="DG33" s="1473">
        <f t="shared" si="101"/>
        <v>-732.96118391417303</v>
      </c>
      <c r="DH33" s="1473">
        <f t="shared" si="101"/>
        <v>-927.03411262918428</v>
      </c>
      <c r="DI33" s="1473">
        <f t="shared" si="101"/>
        <v>-1726.3581488427783</v>
      </c>
      <c r="DJ33" s="1473">
        <f t="shared" si="101"/>
        <v>-1144.6877646103367</v>
      </c>
      <c r="DK33" s="1473">
        <f t="shared" ref="DK33:EP33" si="102">DK12+DK19+DK26</f>
        <v>-937.81063701857056</v>
      </c>
      <c r="DL33" s="1473">
        <f t="shared" si="102"/>
        <v>-1731.7791667135293</v>
      </c>
      <c r="DM33" s="1473">
        <f t="shared" si="102"/>
        <v>-1154.4979530243788</v>
      </c>
      <c r="DN33" s="1473">
        <f t="shared" si="102"/>
        <v>-905.63884654215758</v>
      </c>
      <c r="DO33" s="1473">
        <f t="shared" si="102"/>
        <v>-1435.7460346055238</v>
      </c>
      <c r="DP33" s="1473">
        <f t="shared" si="102"/>
        <v>-1134.9753333954814</v>
      </c>
      <c r="DQ33" s="1473">
        <f t="shared" si="102"/>
        <v>-2385.4526624575064</v>
      </c>
      <c r="DR33" s="1473">
        <f t="shared" si="102"/>
        <v>-2240.9318374633203</v>
      </c>
      <c r="DS33" s="1473">
        <f t="shared" si="102"/>
        <v>-15196.594533527528</v>
      </c>
      <c r="DT33" s="1473">
        <f t="shared" si="102"/>
        <v>-19220.337771698189</v>
      </c>
      <c r="DU33" s="1473">
        <f t="shared" si="102"/>
        <v>-35792.843309267053</v>
      </c>
      <c r="DV33" s="1473">
        <f t="shared" si="102"/>
        <v>-23732.983694140908</v>
      </c>
      <c r="DW33" s="1473">
        <f t="shared" si="102"/>
        <v>-19443.76907368287</v>
      </c>
      <c r="DX33" s="1473">
        <f t="shared" si="102"/>
        <v>-35905.238088620688</v>
      </c>
      <c r="DY33" s="1473">
        <f t="shared" si="102"/>
        <v>-23936.379806919467</v>
      </c>
      <c r="DZ33" s="1473">
        <f t="shared" si="102"/>
        <v>-18776.746500022404</v>
      </c>
      <c r="EA33" s="1473">
        <f t="shared" si="102"/>
        <v>-29767.538608940831</v>
      </c>
      <c r="EB33" s="1473">
        <f t="shared" si="102"/>
        <v>-23531.61439608513</v>
      </c>
      <c r="EC33" s="1473">
        <f t="shared" si="102"/>
        <v>-49457.949050867137</v>
      </c>
      <c r="ED33" s="1473">
        <f t="shared" si="102"/>
        <v>-46461.577036514056</v>
      </c>
      <c r="EE33" s="1473">
        <f t="shared" si="102"/>
        <v>-83272.124477205332</v>
      </c>
      <c r="EF33" s="1473">
        <f t="shared" si="102"/>
        <v>-105320.85697803117</v>
      </c>
      <c r="EG33" s="1473">
        <f t="shared" si="102"/>
        <v>-196132.50171718106</v>
      </c>
      <c r="EH33" s="1473">
        <f t="shared" si="102"/>
        <v>-130048.60845854497</v>
      </c>
      <c r="EI33" s="1473">
        <f t="shared" si="102"/>
        <v>-106545.18385928891</v>
      </c>
      <c r="EJ33" s="1473">
        <f t="shared" si="102"/>
        <v>-196748.38654823811</v>
      </c>
      <c r="EK33" s="1473">
        <f t="shared" si="102"/>
        <v>-131163.14937651891</v>
      </c>
      <c r="EL33" s="1473">
        <f t="shared" si="102"/>
        <v>-102890.12899417324</v>
      </c>
      <c r="EM33" s="1473">
        <f t="shared" si="102"/>
        <v>-163115.89908876384</v>
      </c>
      <c r="EN33" s="1473">
        <f t="shared" si="102"/>
        <v>-128945.17378990307</v>
      </c>
      <c r="EO33" s="1473">
        <f t="shared" si="102"/>
        <v>-271012.59302962286</v>
      </c>
      <c r="EP33" s="1473">
        <f t="shared" si="102"/>
        <v>-254593.50237028251</v>
      </c>
      <c r="EQ33" s="1473">
        <f t="shared" ref="EQ33:FB33" si="103">EQ12+EQ19+EQ26</f>
        <v>-190858.950479383</v>
      </c>
      <c r="ER33" s="1473">
        <f t="shared" si="103"/>
        <v>-241394.44445084062</v>
      </c>
      <c r="ES33" s="1473">
        <f t="shared" si="103"/>
        <v>-449533.90666625707</v>
      </c>
      <c r="ET33" s="1473">
        <f t="shared" si="103"/>
        <v>-298070.22551101737</v>
      </c>
      <c r="EU33" s="1473">
        <f t="shared" si="103"/>
        <v>-244200.59050592914</v>
      </c>
      <c r="EV33" s="1473">
        <f t="shared" si="103"/>
        <v>-450945.5090867512</v>
      </c>
      <c r="EW33" s="1473">
        <f t="shared" si="103"/>
        <v>-300624.74313869077</v>
      </c>
      <c r="EX33" s="1473">
        <f t="shared" si="103"/>
        <v>-235823.23806199696</v>
      </c>
      <c r="EY33" s="1473">
        <f t="shared" si="103"/>
        <v>-373860.15430775314</v>
      </c>
      <c r="EZ33" s="1473">
        <f t="shared" si="103"/>
        <v>-295541.16330560663</v>
      </c>
      <c r="FA33" s="1473">
        <f t="shared" si="103"/>
        <v>-621158.39360492199</v>
      </c>
      <c r="FB33" s="1473">
        <f t="shared" si="103"/>
        <v>-583525.98743369046</v>
      </c>
    </row>
    <row r="34" spans="3:158" s="1" customFormat="1" x14ac:dyDescent="0.25">
      <c r="C34" s="512" t="s">
        <v>24</v>
      </c>
      <c r="D34" s="1474">
        <f t="shared" ref="D34:L34" si="104">SUM(D30:D33)</f>
        <v>0</v>
      </c>
      <c r="E34" s="1474">
        <f t="shared" si="104"/>
        <v>0</v>
      </c>
      <c r="F34" s="1474">
        <f t="shared" si="104"/>
        <v>0</v>
      </c>
      <c r="G34" s="1474">
        <f t="shared" si="104"/>
        <v>0</v>
      </c>
      <c r="H34" s="1474">
        <f t="shared" si="104"/>
        <v>133034.23248396229</v>
      </c>
      <c r="I34" s="1474">
        <f t="shared" si="104"/>
        <v>4116576.3588027456</v>
      </c>
      <c r="J34" s="1474">
        <f t="shared" si="104"/>
        <v>23775352.786932457</v>
      </c>
      <c r="K34" s="1474">
        <f t="shared" si="104"/>
        <v>56905564.67824471</v>
      </c>
      <c r="L34" s="1474">
        <f t="shared" si="104"/>
        <v>110370027.37169187</v>
      </c>
      <c r="N34" s="1474">
        <f t="shared" ref="N34:AW34" si="105">SUM(N30:N33)</f>
        <v>0</v>
      </c>
      <c r="O34" s="1474">
        <f t="shared" si="105"/>
        <v>0</v>
      </c>
      <c r="P34" s="1474">
        <f t="shared" si="105"/>
        <v>0</v>
      </c>
      <c r="Q34" s="1474">
        <f t="shared" si="105"/>
        <v>0</v>
      </c>
      <c r="R34" s="1474">
        <f t="shared" si="105"/>
        <v>0</v>
      </c>
      <c r="S34" s="1474">
        <f t="shared" si="105"/>
        <v>0</v>
      </c>
      <c r="T34" s="1474">
        <f t="shared" si="105"/>
        <v>0</v>
      </c>
      <c r="U34" s="1474">
        <f t="shared" si="105"/>
        <v>0</v>
      </c>
      <c r="V34" s="1474">
        <f t="shared" si="105"/>
        <v>0</v>
      </c>
      <c r="W34" s="1474">
        <f t="shared" si="105"/>
        <v>0</v>
      </c>
      <c r="X34" s="1474">
        <f t="shared" si="105"/>
        <v>0</v>
      </c>
      <c r="Y34" s="1474">
        <f t="shared" si="105"/>
        <v>0</v>
      </c>
      <c r="Z34" s="1474">
        <f t="shared" si="105"/>
        <v>0</v>
      </c>
      <c r="AA34" s="1474">
        <f t="shared" si="105"/>
        <v>0</v>
      </c>
      <c r="AB34" s="1474">
        <f t="shared" si="105"/>
        <v>0</v>
      </c>
      <c r="AC34" s="1474">
        <f t="shared" si="105"/>
        <v>0</v>
      </c>
      <c r="AD34" s="1474">
        <f t="shared" si="105"/>
        <v>8807.376561388859</v>
      </c>
      <c r="AE34" s="1474">
        <f t="shared" si="105"/>
        <v>20525.642691879726</v>
      </c>
      <c r="AF34" s="1474">
        <f t="shared" si="105"/>
        <v>32078.476948866053</v>
      </c>
      <c r="AG34" s="1474">
        <f t="shared" si="105"/>
        <v>133034.23248396229</v>
      </c>
      <c r="AH34" s="1474">
        <f t="shared" si="105"/>
        <v>664636.5035102003</v>
      </c>
      <c r="AI34" s="1474">
        <f t="shared" si="105"/>
        <v>1386753.1601555778</v>
      </c>
      <c r="AJ34" s="1474">
        <f t="shared" si="105"/>
        <v>2386424.2233562274</v>
      </c>
      <c r="AK34" s="1474">
        <f t="shared" si="105"/>
        <v>4116576.3588027451</v>
      </c>
      <c r="AL34" s="1474">
        <f t="shared" si="105"/>
        <v>7693849.2479088539</v>
      </c>
      <c r="AM34" s="1474">
        <f t="shared" si="105"/>
        <v>12564069.685574263</v>
      </c>
      <c r="AN34" s="1474">
        <f t="shared" si="105"/>
        <v>17134408.1729878</v>
      </c>
      <c r="AO34" s="1474">
        <f t="shared" si="105"/>
        <v>23775352.786932461</v>
      </c>
      <c r="AP34" s="1474">
        <f t="shared" si="105"/>
        <v>29773721.967021096</v>
      </c>
      <c r="AQ34" s="1474">
        <f t="shared" si="105"/>
        <v>38001659.038068265</v>
      </c>
      <c r="AR34" s="1474">
        <f t="shared" si="105"/>
        <v>45729423.377185293</v>
      </c>
      <c r="AS34" s="1474">
        <f t="shared" si="105"/>
        <v>56905564.678244717</v>
      </c>
      <c r="AT34" s="1474">
        <f t="shared" si="105"/>
        <v>66555883.571028963</v>
      </c>
      <c r="AU34" s="1474">
        <f t="shared" si="105"/>
        <v>79853778.008282125</v>
      </c>
      <c r="AV34" s="1474">
        <f t="shared" si="105"/>
        <v>92349610.175124869</v>
      </c>
      <c r="AW34" s="1474">
        <f t="shared" si="105"/>
        <v>110370027.37169185</v>
      </c>
      <c r="AY34" s="1474">
        <f t="shared" ref="AY34:CD34" si="106">SUM(AY30:AY33)</f>
        <v>0</v>
      </c>
      <c r="AZ34" s="1474">
        <f t="shared" si="106"/>
        <v>0</v>
      </c>
      <c r="BA34" s="1474">
        <f t="shared" si="106"/>
        <v>0</v>
      </c>
      <c r="BB34" s="1474">
        <f t="shared" si="106"/>
        <v>0</v>
      </c>
      <c r="BC34" s="1474">
        <f t="shared" si="106"/>
        <v>0</v>
      </c>
      <c r="BD34" s="1474">
        <f t="shared" si="106"/>
        <v>0</v>
      </c>
      <c r="BE34" s="1474">
        <f t="shared" si="106"/>
        <v>0</v>
      </c>
      <c r="BF34" s="1474">
        <f t="shared" si="106"/>
        <v>0</v>
      </c>
      <c r="BG34" s="1474">
        <f t="shared" si="106"/>
        <v>0</v>
      </c>
      <c r="BH34" s="1474">
        <f t="shared" si="106"/>
        <v>0</v>
      </c>
      <c r="BI34" s="1474">
        <f t="shared" si="106"/>
        <v>0</v>
      </c>
      <c r="BJ34" s="1474">
        <f t="shared" si="106"/>
        <v>0</v>
      </c>
      <c r="BK34" s="1474">
        <f t="shared" si="106"/>
        <v>0</v>
      </c>
      <c r="BL34" s="1474">
        <f t="shared" si="106"/>
        <v>0</v>
      </c>
      <c r="BM34" s="1474">
        <f t="shared" si="106"/>
        <v>0</v>
      </c>
      <c r="BN34" s="1474">
        <f t="shared" si="106"/>
        <v>0</v>
      </c>
      <c r="BO34" s="1474">
        <f t="shared" si="106"/>
        <v>0</v>
      </c>
      <c r="BP34" s="1474">
        <f t="shared" si="106"/>
        <v>0</v>
      </c>
      <c r="BQ34" s="1474">
        <f t="shared" si="106"/>
        <v>0</v>
      </c>
      <c r="BR34" s="1474">
        <f t="shared" si="106"/>
        <v>0</v>
      </c>
      <c r="BS34" s="1474">
        <f t="shared" si="106"/>
        <v>0</v>
      </c>
      <c r="BT34" s="1474">
        <f t="shared" si="106"/>
        <v>0</v>
      </c>
      <c r="BU34" s="1474">
        <f t="shared" si="106"/>
        <v>0</v>
      </c>
      <c r="BV34" s="1474">
        <f t="shared" si="106"/>
        <v>0</v>
      </c>
      <c r="BW34" s="1474">
        <f t="shared" si="106"/>
        <v>0</v>
      </c>
      <c r="BX34" s="1474">
        <f t="shared" si="106"/>
        <v>0</v>
      </c>
      <c r="BY34" s="1474">
        <f t="shared" si="106"/>
        <v>0</v>
      </c>
      <c r="BZ34" s="1474">
        <f t="shared" si="106"/>
        <v>0</v>
      </c>
      <c r="CA34" s="1474">
        <f t="shared" si="106"/>
        <v>0</v>
      </c>
      <c r="CB34" s="1474">
        <f t="shared" si="106"/>
        <v>0</v>
      </c>
      <c r="CC34" s="1474">
        <f t="shared" si="106"/>
        <v>0</v>
      </c>
      <c r="CD34" s="1474">
        <f t="shared" si="106"/>
        <v>0</v>
      </c>
      <c r="CE34" s="1474">
        <f t="shared" ref="CE34:DJ34" si="107">SUM(CE30:CE33)</f>
        <v>0</v>
      </c>
      <c r="CF34" s="1474">
        <f t="shared" si="107"/>
        <v>0</v>
      </c>
      <c r="CG34" s="1474">
        <f t="shared" si="107"/>
        <v>0</v>
      </c>
      <c r="CH34" s="1474">
        <f t="shared" si="107"/>
        <v>0</v>
      </c>
      <c r="CI34" s="1474">
        <f t="shared" si="107"/>
        <v>0</v>
      </c>
      <c r="CJ34" s="1474">
        <f t="shared" si="107"/>
        <v>0</v>
      </c>
      <c r="CK34" s="1474">
        <f t="shared" si="107"/>
        <v>0</v>
      </c>
      <c r="CL34" s="1474">
        <f t="shared" si="107"/>
        <v>0</v>
      </c>
      <c r="CM34" s="1474">
        <f t="shared" si="107"/>
        <v>0</v>
      </c>
      <c r="CN34" s="1474">
        <f t="shared" si="107"/>
        <v>0</v>
      </c>
      <c r="CO34" s="1474">
        <f t="shared" si="107"/>
        <v>0</v>
      </c>
      <c r="CP34" s="1474">
        <f t="shared" si="107"/>
        <v>0</v>
      </c>
      <c r="CQ34" s="1474">
        <f t="shared" si="107"/>
        <v>0</v>
      </c>
      <c r="CR34" s="1474">
        <f t="shared" si="107"/>
        <v>0</v>
      </c>
      <c r="CS34" s="1474">
        <f t="shared" si="107"/>
        <v>0</v>
      </c>
      <c r="CT34" s="1474">
        <f t="shared" si="107"/>
        <v>0</v>
      </c>
      <c r="CU34" s="1474">
        <f t="shared" si="107"/>
        <v>1164.2477487910176</v>
      </c>
      <c r="CV34" s="1474">
        <f t="shared" si="107"/>
        <v>3723.0167095304023</v>
      </c>
      <c r="CW34" s="1474">
        <f t="shared" si="107"/>
        <v>8807.376561388859</v>
      </c>
      <c r="CX34" s="1474">
        <f t="shared" si="107"/>
        <v>10840.304887071376</v>
      </c>
      <c r="CY34" s="1474">
        <f t="shared" si="107"/>
        <v>14827.621091159026</v>
      </c>
      <c r="CZ34" s="1474">
        <f t="shared" si="107"/>
        <v>20525.642691879726</v>
      </c>
      <c r="DA34" s="1474">
        <f t="shared" si="107"/>
        <v>22477.724787295807</v>
      </c>
      <c r="DB34" s="1474">
        <f t="shared" si="107"/>
        <v>25958.480497285829</v>
      </c>
      <c r="DC34" s="1474">
        <f t="shared" si="107"/>
        <v>32078.476948866057</v>
      </c>
      <c r="DD34" s="1474">
        <f t="shared" si="107"/>
        <v>47077.661784075673</v>
      </c>
      <c r="DE34" s="1474">
        <f t="shared" si="107"/>
        <v>87086.92131296896</v>
      </c>
      <c r="DF34" s="1474">
        <f t="shared" si="107"/>
        <v>133034.23248396226</v>
      </c>
      <c r="DG34" s="1474">
        <f t="shared" si="107"/>
        <v>206207.71167843457</v>
      </c>
      <c r="DH34" s="1474">
        <f t="shared" si="107"/>
        <v>361386.70964898443</v>
      </c>
      <c r="DI34" s="1474">
        <f t="shared" si="107"/>
        <v>664636.5035102003</v>
      </c>
      <c r="DJ34" s="1474">
        <f t="shared" si="107"/>
        <v>795055.97436117299</v>
      </c>
      <c r="DK34" s="1474">
        <f t="shared" ref="DK34:EP34" si="108">SUM(DK30:DK33)</f>
        <v>1040883.069564833</v>
      </c>
      <c r="DL34" s="1474">
        <f t="shared" si="108"/>
        <v>1386753.1601555778</v>
      </c>
      <c r="DM34" s="1474">
        <f t="shared" si="108"/>
        <v>1555103.754243806</v>
      </c>
      <c r="DN34" s="1474">
        <f t="shared" si="108"/>
        <v>1856442.4822609518</v>
      </c>
      <c r="DO34" s="1474">
        <f t="shared" si="108"/>
        <v>2386424.2233562274</v>
      </c>
      <c r="DP34" s="1474">
        <f t="shared" si="108"/>
        <v>2626687.1703282241</v>
      </c>
      <c r="DQ34" s="1474">
        <f t="shared" si="108"/>
        <v>3317879.758522931</v>
      </c>
      <c r="DR34" s="1474">
        <f t="shared" si="108"/>
        <v>4116576.3588027456</v>
      </c>
      <c r="DS34" s="1474">
        <f t="shared" si="108"/>
        <v>4605264.2353785094</v>
      </c>
      <c r="DT34" s="1474">
        <f t="shared" si="108"/>
        <v>5650354.4639185155</v>
      </c>
      <c r="DU34" s="1474">
        <f t="shared" si="108"/>
        <v>7693849.2479088539</v>
      </c>
      <c r="DV34" s="1474">
        <f t="shared" si="108"/>
        <v>8567103.5381457005</v>
      </c>
      <c r="DW34" s="1474">
        <f t="shared" si="108"/>
        <v>10230070.712303249</v>
      </c>
      <c r="DX34" s="1474">
        <f t="shared" si="108"/>
        <v>12564069.685574263</v>
      </c>
      <c r="DY34" s="1474">
        <f t="shared" si="108"/>
        <v>13324630.333761696</v>
      </c>
      <c r="DZ34" s="1474">
        <f t="shared" si="108"/>
        <v>14704689.484621575</v>
      </c>
      <c r="EA34" s="1474">
        <f t="shared" si="108"/>
        <v>17134408.1729878</v>
      </c>
      <c r="EB34" s="1474">
        <f t="shared" si="108"/>
        <v>18050984.169667158</v>
      </c>
      <c r="EC34" s="1474">
        <f t="shared" si="108"/>
        <v>20702618.213693678</v>
      </c>
      <c r="ED34" s="1474">
        <f t="shared" si="108"/>
        <v>23775352.786932457</v>
      </c>
      <c r="EE34" s="1474">
        <f t="shared" si="108"/>
        <v>24573878.486896515</v>
      </c>
      <c r="EF34" s="1474">
        <f t="shared" si="108"/>
        <v>26331101.120963961</v>
      </c>
      <c r="EG34" s="1474">
        <f t="shared" si="108"/>
        <v>29773721.967021093</v>
      </c>
      <c r="EH34" s="1474">
        <f t="shared" si="108"/>
        <v>31213401.087941773</v>
      </c>
      <c r="EI34" s="1474">
        <f t="shared" si="108"/>
        <v>34051075.054737151</v>
      </c>
      <c r="EJ34" s="1474">
        <f t="shared" si="108"/>
        <v>38001659.038068272</v>
      </c>
      <c r="EK34" s="1474">
        <f t="shared" si="108"/>
        <v>39243365.687681861</v>
      </c>
      <c r="EL34" s="1474">
        <f t="shared" si="108"/>
        <v>41588438.379067518</v>
      </c>
      <c r="EM34" s="1474">
        <f t="shared" si="108"/>
        <v>45729423.3771853</v>
      </c>
      <c r="EN34" s="1474">
        <f t="shared" si="108"/>
        <v>47245666.522777423</v>
      </c>
      <c r="EO34" s="1474">
        <f t="shared" si="108"/>
        <v>51701564.917633228</v>
      </c>
      <c r="EP34" s="1474">
        <f t="shared" si="108"/>
        <v>56905564.67824471</v>
      </c>
      <c r="EQ34" s="1474">
        <f t="shared" ref="EQ34:FB34" si="109">SUM(EQ30:EQ33)</f>
        <v>58169672.138093412</v>
      </c>
      <c r="ER34" s="1474">
        <f t="shared" si="109"/>
        <v>61001474.453867614</v>
      </c>
      <c r="ES34" s="1474">
        <f t="shared" si="109"/>
        <v>66555883.57102897</v>
      </c>
      <c r="ET34" s="1474">
        <f t="shared" si="109"/>
        <v>68847864.098993689</v>
      </c>
      <c r="EU34" s="1474">
        <f t="shared" si="109"/>
        <v>73461625.107067943</v>
      </c>
      <c r="EV34" s="1474">
        <f t="shared" si="109"/>
        <v>79853778.00828211</v>
      </c>
      <c r="EW34" s="1474">
        <f t="shared" si="109"/>
        <v>81818388.433477134</v>
      </c>
      <c r="EX34" s="1474">
        <f t="shared" si="109"/>
        <v>85621703.84904182</v>
      </c>
      <c r="EY34" s="1474">
        <f t="shared" si="109"/>
        <v>92349610.175124884</v>
      </c>
      <c r="EZ34" s="1474">
        <f t="shared" si="109"/>
        <v>94768629.738799602</v>
      </c>
      <c r="FA34" s="1474">
        <f t="shared" si="109"/>
        <v>101946874.47520564</v>
      </c>
      <c r="FB34" s="1474">
        <f t="shared" si="109"/>
        <v>110370027.37169185</v>
      </c>
    </row>
    <row r="35" spans="3:158" x14ac:dyDescent="0.25">
      <c r="C35" s="511" t="s">
        <v>871</v>
      </c>
      <c r="D35" s="308" t="str">
        <f t="shared" ref="D35:L35" si="110">IFERROR(SUM(D33)/D30+1,"")</f>
        <v/>
      </c>
      <c r="E35" s="308" t="str">
        <f t="shared" si="110"/>
        <v/>
      </c>
      <c r="F35" s="308" t="str">
        <f t="shared" si="110"/>
        <v/>
      </c>
      <c r="G35" s="308" t="str">
        <f t="shared" si="110"/>
        <v/>
      </c>
      <c r="H35" s="308" t="str">
        <f t="shared" si="110"/>
        <v/>
      </c>
      <c r="I35" s="1454">
        <f t="shared" si="110"/>
        <v>0.87628843062479433</v>
      </c>
      <c r="J35" s="1454">
        <f t="shared" si="110"/>
        <v>0.91710986457456922</v>
      </c>
      <c r="K35" s="1454">
        <f t="shared" si="110"/>
        <v>0.92135603095170737</v>
      </c>
      <c r="L35" s="1454">
        <f t="shared" si="110"/>
        <v>0.92469036497952151</v>
      </c>
      <c r="M35" s="244"/>
      <c r="N35" s="413"/>
      <c r="O35" s="413"/>
      <c r="P35" s="413"/>
      <c r="Q35" s="308" t="str">
        <f t="shared" ref="Q35:AW35" si="111">IFERROR(SUM(N33:Q33)/N30+1,"")</f>
        <v/>
      </c>
      <c r="R35" s="308" t="str">
        <f t="shared" si="111"/>
        <v/>
      </c>
      <c r="S35" s="308" t="str">
        <f t="shared" si="111"/>
        <v/>
      </c>
      <c r="T35" s="308" t="str">
        <f t="shared" si="111"/>
        <v/>
      </c>
      <c r="U35" s="308" t="str">
        <f t="shared" si="111"/>
        <v/>
      </c>
      <c r="V35" s="308" t="str">
        <f t="shared" si="111"/>
        <v/>
      </c>
      <c r="W35" s="308" t="str">
        <f t="shared" si="111"/>
        <v/>
      </c>
      <c r="X35" s="308" t="str">
        <f t="shared" si="111"/>
        <v/>
      </c>
      <c r="Y35" s="308" t="str">
        <f t="shared" si="111"/>
        <v/>
      </c>
      <c r="Z35" s="308" t="str">
        <f t="shared" si="111"/>
        <v/>
      </c>
      <c r="AA35" s="308" t="str">
        <f t="shared" si="111"/>
        <v/>
      </c>
      <c r="AB35" s="308" t="str">
        <f t="shared" si="111"/>
        <v/>
      </c>
      <c r="AC35" s="308" t="str">
        <f t="shared" si="111"/>
        <v/>
      </c>
      <c r="AD35" s="308" t="str">
        <f t="shared" si="111"/>
        <v/>
      </c>
      <c r="AE35" s="308" t="str">
        <f t="shared" si="111"/>
        <v/>
      </c>
      <c r="AF35" s="308" t="str">
        <f t="shared" si="111"/>
        <v/>
      </c>
      <c r="AG35" s="308" t="str">
        <f t="shared" si="111"/>
        <v/>
      </c>
      <c r="AH35" s="1454">
        <f t="shared" si="111"/>
        <v>0.61550940603223936</v>
      </c>
      <c r="AI35" s="1454">
        <f t="shared" si="111"/>
        <v>0.64918852374950198</v>
      </c>
      <c r="AJ35" s="1454">
        <f t="shared" si="111"/>
        <v>0.66655169243380352</v>
      </c>
      <c r="AK35" s="1454">
        <f t="shared" si="111"/>
        <v>0.87628843062479433</v>
      </c>
      <c r="AL35" s="1454">
        <f t="shared" si="111"/>
        <v>0.87469647632881564</v>
      </c>
      <c r="AM35" s="1454">
        <f t="shared" si="111"/>
        <v>0.88566890367090401</v>
      </c>
      <c r="AN35" s="1454">
        <f t="shared" si="111"/>
        <v>0.90465492723664342</v>
      </c>
      <c r="AO35" s="1454">
        <f t="shared" si="111"/>
        <v>0.91710986457456922</v>
      </c>
      <c r="AP35" s="1454">
        <f t="shared" si="111"/>
        <v>0.91477097376109395</v>
      </c>
      <c r="AQ35" s="1454">
        <f t="shared" si="111"/>
        <v>0.91961207692142188</v>
      </c>
      <c r="AR35" s="1454">
        <f t="shared" si="111"/>
        <v>0.92210481001114863</v>
      </c>
      <c r="AS35" s="1454">
        <f t="shared" si="111"/>
        <v>0.92135603095170737</v>
      </c>
      <c r="AT35" s="1454">
        <f t="shared" si="111"/>
        <v>0.92050540642068657</v>
      </c>
      <c r="AU35" s="1454">
        <f t="shared" si="111"/>
        <v>0.92298430785830721</v>
      </c>
      <c r="AV35" s="1454">
        <f t="shared" si="111"/>
        <v>0.92477790496010071</v>
      </c>
      <c r="AW35" s="1454">
        <f t="shared" si="111"/>
        <v>0.92469036497952151</v>
      </c>
      <c r="AY35" s="257"/>
      <c r="AZ35" s="257"/>
      <c r="BA35" s="257"/>
      <c r="BB35" s="257"/>
      <c r="BC35" s="257"/>
      <c r="BD35" s="257"/>
      <c r="BE35" s="257"/>
      <c r="BF35" s="257"/>
      <c r="BG35" s="257"/>
      <c r="BH35" s="257"/>
      <c r="BI35" s="257"/>
      <c r="BJ35" s="257"/>
      <c r="BK35" s="257"/>
      <c r="BL35" s="257"/>
      <c r="BM35" s="257"/>
      <c r="BN35" s="257"/>
      <c r="BO35" s="257"/>
      <c r="BP35" s="257"/>
      <c r="BQ35" s="257"/>
      <c r="BR35" s="257"/>
      <c r="BS35" s="257"/>
      <c r="BT35" s="257"/>
      <c r="BU35" s="257"/>
      <c r="BV35" s="257"/>
      <c r="BW35" s="257"/>
      <c r="BX35" s="257"/>
      <c r="BY35" s="257"/>
      <c r="BZ35" s="257"/>
      <c r="CA35" s="257"/>
      <c r="CB35" s="257"/>
      <c r="CC35" s="257"/>
      <c r="CD35" s="257"/>
      <c r="CE35" s="257"/>
      <c r="CF35" s="257"/>
      <c r="CG35" s="257"/>
      <c r="CH35" s="257"/>
      <c r="CI35" s="257"/>
      <c r="CJ35" s="257"/>
      <c r="CK35" s="257"/>
      <c r="CL35" s="257"/>
      <c r="CM35" s="257"/>
      <c r="CN35" s="257"/>
      <c r="CO35" s="257"/>
      <c r="CP35" s="257"/>
      <c r="CQ35" s="257"/>
      <c r="CR35" s="257"/>
      <c r="CS35" s="257"/>
      <c r="CT35" s="257"/>
      <c r="CU35" s="257"/>
      <c r="CV35" s="257"/>
      <c r="CW35" s="257"/>
      <c r="CX35" s="257"/>
      <c r="CY35" s="257"/>
      <c r="CZ35" s="257"/>
      <c r="DA35" s="257"/>
      <c r="DB35" s="257"/>
      <c r="DC35" s="257"/>
      <c r="DD35" s="257"/>
      <c r="DE35" s="257"/>
      <c r="DF35" s="257"/>
      <c r="DG35" s="257"/>
      <c r="DH35" s="257"/>
      <c r="DI35" s="257"/>
      <c r="DJ35" s="257"/>
      <c r="DK35" s="257"/>
      <c r="DL35" s="257"/>
      <c r="DM35" s="257"/>
      <c r="DN35" s="257"/>
      <c r="DO35" s="257"/>
      <c r="DP35" s="257"/>
      <c r="DQ35" s="257"/>
      <c r="DR35" s="257"/>
      <c r="DS35" s="257"/>
      <c r="DT35" s="257"/>
      <c r="DU35" s="257"/>
      <c r="DV35" s="257"/>
      <c r="DW35" s="257"/>
      <c r="DX35" s="257"/>
      <c r="DY35" s="257"/>
      <c r="DZ35" s="257"/>
      <c r="EA35" s="257"/>
      <c r="EB35" s="257"/>
      <c r="EC35" s="257"/>
      <c r="ED35" s="257"/>
      <c r="EE35" s="257"/>
      <c r="EF35" s="257"/>
      <c r="EG35" s="257"/>
      <c r="EH35" s="257"/>
      <c r="EI35" s="257"/>
      <c r="EJ35" s="257"/>
      <c r="EK35" s="257"/>
      <c r="EL35" s="257"/>
      <c r="EM35" s="257"/>
      <c r="EN35" s="257"/>
      <c r="EO35" s="257"/>
      <c r="EP35" s="257"/>
      <c r="EQ35" s="257"/>
      <c r="ER35" s="257"/>
      <c r="ES35" s="257"/>
      <c r="ET35" s="257"/>
      <c r="EU35" s="257"/>
      <c r="EV35" s="257"/>
      <c r="EW35" s="257"/>
      <c r="EX35" s="257"/>
      <c r="EY35" s="257"/>
      <c r="EZ35" s="257"/>
      <c r="FA35" s="257"/>
      <c r="FB35" s="19"/>
    </row>
    <row r="37" spans="3:158" x14ac:dyDescent="0.25">
      <c r="C37" t="s">
        <v>31</v>
      </c>
      <c r="D37" s="1470">
        <f t="shared" ref="D37:L39" si="112">SUMIF($AY$2:$FB$2,D$2,$AY37:$FB37)</f>
        <v>0</v>
      </c>
      <c r="E37" s="1470">
        <f t="shared" si="112"/>
        <v>0</v>
      </c>
      <c r="F37" s="1470">
        <f t="shared" si="112"/>
        <v>0</v>
      </c>
      <c r="G37" s="1470">
        <f t="shared" si="112"/>
        <v>0</v>
      </c>
      <c r="H37" s="1470">
        <f t="shared" si="112"/>
        <v>32200.534892837724</v>
      </c>
      <c r="I37" s="1470">
        <f t="shared" si="112"/>
        <v>1604808.913238293</v>
      </c>
      <c r="J37" s="1470">
        <f t="shared" si="112"/>
        <v>12403268.208546583</v>
      </c>
      <c r="K37" s="1470">
        <f t="shared" si="112"/>
        <v>36842349.965139285</v>
      </c>
      <c r="L37" s="1470">
        <f t="shared" si="112"/>
        <v>77006476.982233316</v>
      </c>
      <c r="M37" s="531"/>
      <c r="N37" s="1470">
        <f>SUM(AY37:BA37)</f>
        <v>0</v>
      </c>
      <c r="O37" s="1470">
        <f>SUM(BB37:BD37)</f>
        <v>0</v>
      </c>
      <c r="P37" s="1470">
        <f>SUM(BE37:BG37)</f>
        <v>0</v>
      </c>
      <c r="Q37" s="1470">
        <f>SUM(BH37:BJ37)</f>
        <v>0</v>
      </c>
      <c r="R37" s="1470">
        <f>SUM(BK37:BM37)</f>
        <v>0</v>
      </c>
      <c r="S37" s="1470">
        <f>SUM(BN37:BP37)</f>
        <v>0</v>
      </c>
      <c r="T37" s="1470">
        <f>SUM(BQ37:BS37)</f>
        <v>0</v>
      </c>
      <c r="U37" s="1470">
        <f>SUM(BT37:BV37)</f>
        <v>0</v>
      </c>
      <c r="V37" s="1470">
        <f>SUM(BW37:BY37)</f>
        <v>0</v>
      </c>
      <c r="W37" s="1470">
        <f>SUM(BZ37:CB37)</f>
        <v>0</v>
      </c>
      <c r="X37" s="1470">
        <f>SUM(CC37:CE37)</f>
        <v>0</v>
      </c>
      <c r="Y37" s="1470">
        <f>SUM(CF37:CH37)</f>
        <v>0</v>
      </c>
      <c r="Z37" s="1470">
        <f>SUM(CI37:CK37)</f>
        <v>0</v>
      </c>
      <c r="AA37" s="1470">
        <f>SUM(CL37:CN37)</f>
        <v>0</v>
      </c>
      <c r="AB37" s="1470">
        <f>SUM(CO37:CQ37)</f>
        <v>0</v>
      </c>
      <c r="AC37" s="1470">
        <f>SUM(CR37:CT37)</f>
        <v>0</v>
      </c>
      <c r="AD37" s="1470">
        <f>SUM(CU37:CW37)</f>
        <v>1081.8766405571121</v>
      </c>
      <c r="AE37" s="1470">
        <f>SUM(CX37:CZ37)</f>
        <v>3649.2919249387005</v>
      </c>
      <c r="AF37" s="1470">
        <f>SUM(DA37:DC37)</f>
        <v>6360.6598964423683</v>
      </c>
      <c r="AG37" s="1470">
        <f>SUM(DD37:DF37)</f>
        <v>21108.706430899543</v>
      </c>
      <c r="AH37" s="1470">
        <f>SUM(DG37:DI37)</f>
        <v>97346.243062171925</v>
      </c>
      <c r="AI37" s="1470">
        <f>SUM(DJ37:DL37)</f>
        <v>254592.68412244512</v>
      </c>
      <c r="AJ37" s="1470">
        <f>SUM(DM37:DO37)</f>
        <v>458039.66632901784</v>
      </c>
      <c r="AK37" s="1470">
        <f>SUM(DP37:DR37)</f>
        <v>794830.31972465815</v>
      </c>
      <c r="AL37" s="1470">
        <f>SUM(DS37:DU37)</f>
        <v>1418007.9678292645</v>
      </c>
      <c r="AM37" s="1470">
        <f>SUM(DV37:DX37)</f>
        <v>2477538.2709458335</v>
      </c>
      <c r="AN37" s="1470">
        <f>SUM(DY37:EA37)</f>
        <v>3567934.5113183148</v>
      </c>
      <c r="AO37" s="1470">
        <f>SUM(EB37:ED37)</f>
        <v>4939787.458453171</v>
      </c>
      <c r="AP37" s="1470">
        <f>SUM(EE37:EG37)</f>
        <v>6373617.4244156443</v>
      </c>
      <c r="AQ37" s="1470">
        <f>SUM(EH37:EJ37)</f>
        <v>8158024.6792790294</v>
      </c>
      <c r="AR37" s="1470">
        <f>SUM(EK37:EM37)</f>
        <v>9998336.9680708405</v>
      </c>
      <c r="AS37" s="1470">
        <f>SUM(EN37:EP37)</f>
        <v>12312370.893373773</v>
      </c>
      <c r="AT37" s="1470">
        <f>SUM(EQ37:ES37)</f>
        <v>14672435.38287621</v>
      </c>
      <c r="AU37" s="1470">
        <f>SUM(ET37:EV37)</f>
        <v>17550898.109933153</v>
      </c>
      <c r="AV37" s="1470">
        <f>SUM(EW37:EY37)</f>
        <v>20523386.494153865</v>
      </c>
      <c r="AW37" s="1470">
        <f>SUM(EZ37:FB37)</f>
        <v>24259756.99527007</v>
      </c>
      <c r="AY37" s="1475">
        <f t="shared" ref="AY37:CD37" si="113">IFERROR(AY34*AY45,0)</f>
        <v>0</v>
      </c>
      <c r="AZ37" s="1475">
        <f t="shared" si="113"/>
        <v>0</v>
      </c>
      <c r="BA37" s="1475">
        <f t="shared" si="113"/>
        <v>0</v>
      </c>
      <c r="BB37" s="1475">
        <f t="shared" si="113"/>
        <v>0</v>
      </c>
      <c r="BC37" s="1475">
        <f t="shared" si="113"/>
        <v>0</v>
      </c>
      <c r="BD37" s="1475">
        <f t="shared" si="113"/>
        <v>0</v>
      </c>
      <c r="BE37" s="1475">
        <f t="shared" si="113"/>
        <v>0</v>
      </c>
      <c r="BF37" s="1475">
        <f t="shared" si="113"/>
        <v>0</v>
      </c>
      <c r="BG37" s="1475">
        <f t="shared" si="113"/>
        <v>0</v>
      </c>
      <c r="BH37" s="1475">
        <f t="shared" si="113"/>
        <v>0</v>
      </c>
      <c r="BI37" s="1475">
        <f t="shared" si="113"/>
        <v>0</v>
      </c>
      <c r="BJ37" s="1475">
        <f t="shared" si="113"/>
        <v>0</v>
      </c>
      <c r="BK37" s="1475">
        <f t="shared" si="113"/>
        <v>0</v>
      </c>
      <c r="BL37" s="1475">
        <f t="shared" si="113"/>
        <v>0</v>
      </c>
      <c r="BM37" s="1475">
        <f t="shared" si="113"/>
        <v>0</v>
      </c>
      <c r="BN37" s="1475">
        <f t="shared" si="113"/>
        <v>0</v>
      </c>
      <c r="BO37" s="1475">
        <f t="shared" si="113"/>
        <v>0</v>
      </c>
      <c r="BP37" s="1475">
        <f t="shared" si="113"/>
        <v>0</v>
      </c>
      <c r="BQ37" s="1475">
        <f t="shared" si="113"/>
        <v>0</v>
      </c>
      <c r="BR37" s="1475">
        <f t="shared" si="113"/>
        <v>0</v>
      </c>
      <c r="BS37" s="1475">
        <f t="shared" si="113"/>
        <v>0</v>
      </c>
      <c r="BT37" s="1475">
        <f t="shared" si="113"/>
        <v>0</v>
      </c>
      <c r="BU37" s="1475">
        <f t="shared" si="113"/>
        <v>0</v>
      </c>
      <c r="BV37" s="1475">
        <f t="shared" si="113"/>
        <v>0</v>
      </c>
      <c r="BW37" s="1475">
        <f t="shared" si="113"/>
        <v>0</v>
      </c>
      <c r="BX37" s="1475">
        <f t="shared" si="113"/>
        <v>0</v>
      </c>
      <c r="BY37" s="1475">
        <f t="shared" si="113"/>
        <v>0</v>
      </c>
      <c r="BZ37" s="1475">
        <f t="shared" si="113"/>
        <v>0</v>
      </c>
      <c r="CA37" s="1475">
        <f t="shared" si="113"/>
        <v>0</v>
      </c>
      <c r="CB37" s="1475">
        <f t="shared" si="113"/>
        <v>0</v>
      </c>
      <c r="CC37" s="1475">
        <f t="shared" si="113"/>
        <v>0</v>
      </c>
      <c r="CD37" s="1475">
        <f t="shared" si="113"/>
        <v>0</v>
      </c>
      <c r="CE37" s="1475">
        <f t="shared" ref="CE37:DJ37" si="114">IFERROR(CE34*CE45,0)</f>
        <v>0</v>
      </c>
      <c r="CF37" s="1475">
        <f t="shared" si="114"/>
        <v>0</v>
      </c>
      <c r="CG37" s="1475">
        <f t="shared" si="114"/>
        <v>0</v>
      </c>
      <c r="CH37" s="1475">
        <f t="shared" si="114"/>
        <v>0</v>
      </c>
      <c r="CI37" s="1475">
        <f t="shared" si="114"/>
        <v>0</v>
      </c>
      <c r="CJ37" s="1475">
        <f t="shared" si="114"/>
        <v>0</v>
      </c>
      <c r="CK37" s="1475">
        <f t="shared" si="114"/>
        <v>0</v>
      </c>
      <c r="CL37" s="1475">
        <f t="shared" si="114"/>
        <v>0</v>
      </c>
      <c r="CM37" s="1475">
        <f t="shared" si="114"/>
        <v>0</v>
      </c>
      <c r="CN37" s="1475">
        <f t="shared" si="114"/>
        <v>0</v>
      </c>
      <c r="CO37" s="1475">
        <f t="shared" si="114"/>
        <v>0</v>
      </c>
      <c r="CP37" s="1475">
        <f t="shared" si="114"/>
        <v>0</v>
      </c>
      <c r="CQ37" s="1475">
        <f t="shared" si="114"/>
        <v>0</v>
      </c>
      <c r="CR37" s="1475">
        <f t="shared" si="114"/>
        <v>0</v>
      </c>
      <c r="CS37" s="1475">
        <f t="shared" si="114"/>
        <v>0</v>
      </c>
      <c r="CT37" s="1475">
        <f t="shared" si="114"/>
        <v>0</v>
      </c>
      <c r="CU37" s="1475">
        <f t="shared" si="114"/>
        <v>91.975572154490393</v>
      </c>
      <c r="CV37" s="1475">
        <f t="shared" si="114"/>
        <v>294.11832005290177</v>
      </c>
      <c r="CW37" s="1475">
        <f t="shared" si="114"/>
        <v>695.7827483497199</v>
      </c>
      <c r="CX37" s="1475">
        <f t="shared" si="114"/>
        <v>856.38408607863869</v>
      </c>
      <c r="CY37" s="1475">
        <f t="shared" si="114"/>
        <v>1171.382066201563</v>
      </c>
      <c r="CZ37" s="1475">
        <f t="shared" si="114"/>
        <v>1621.5257726584985</v>
      </c>
      <c r="DA37" s="1475">
        <f t="shared" si="114"/>
        <v>1775.7402581963688</v>
      </c>
      <c r="DB37" s="1475">
        <f t="shared" si="114"/>
        <v>2050.7199592855804</v>
      </c>
      <c r="DC37" s="1475">
        <f t="shared" si="114"/>
        <v>2534.1996789604186</v>
      </c>
      <c r="DD37" s="1475">
        <f t="shared" si="114"/>
        <v>3719.1352809419782</v>
      </c>
      <c r="DE37" s="1475">
        <f t="shared" si="114"/>
        <v>6879.8667837245475</v>
      </c>
      <c r="DF37" s="1475">
        <f t="shared" si="114"/>
        <v>10509.704366233018</v>
      </c>
      <c r="DG37" s="1475">
        <f t="shared" si="114"/>
        <v>16290.40922259633</v>
      </c>
      <c r="DH37" s="1475">
        <f t="shared" si="114"/>
        <v>28549.550062269769</v>
      </c>
      <c r="DI37" s="1475">
        <f t="shared" si="114"/>
        <v>52506.283777305827</v>
      </c>
      <c r="DJ37" s="1475">
        <f t="shared" si="114"/>
        <v>62809.42197453267</v>
      </c>
      <c r="DK37" s="1475">
        <f t="shared" ref="DK37:EP37" si="115">IFERROR(DK34*DK45,0)</f>
        <v>82229.762495621806</v>
      </c>
      <c r="DL37" s="1475">
        <f t="shared" si="115"/>
        <v>109553.49965229064</v>
      </c>
      <c r="DM37" s="1475">
        <f t="shared" si="115"/>
        <v>122853.19658526068</v>
      </c>
      <c r="DN37" s="1475">
        <f t="shared" si="115"/>
        <v>146658.95609861519</v>
      </c>
      <c r="DO37" s="1475">
        <f t="shared" si="115"/>
        <v>188527.51364514197</v>
      </c>
      <c r="DP37" s="1475">
        <f t="shared" si="115"/>
        <v>207508.28645592972</v>
      </c>
      <c r="DQ37" s="1475">
        <f t="shared" si="115"/>
        <v>262112.50092331154</v>
      </c>
      <c r="DR37" s="1475">
        <f t="shared" si="115"/>
        <v>325209.5323454169</v>
      </c>
      <c r="DS37" s="1475">
        <f t="shared" si="115"/>
        <v>363815.87459490227</v>
      </c>
      <c r="DT37" s="1475">
        <f t="shared" si="115"/>
        <v>446378.00264956272</v>
      </c>
      <c r="DU37" s="1475">
        <f t="shared" si="115"/>
        <v>607814.09058479941</v>
      </c>
      <c r="DV37" s="1475">
        <f t="shared" si="115"/>
        <v>676801.17951351032</v>
      </c>
      <c r="DW37" s="1475">
        <f t="shared" si="115"/>
        <v>808175.58627195668</v>
      </c>
      <c r="DX37" s="1475">
        <f t="shared" si="115"/>
        <v>992561.50516036677</v>
      </c>
      <c r="DY37" s="1475">
        <f t="shared" si="115"/>
        <v>1052645.796367174</v>
      </c>
      <c r="DZ37" s="1475">
        <f t="shared" si="115"/>
        <v>1161670.4692851044</v>
      </c>
      <c r="EA37" s="1475">
        <f t="shared" si="115"/>
        <v>1353618.2456660361</v>
      </c>
      <c r="EB37" s="1475">
        <f t="shared" si="115"/>
        <v>1426027.7494037056</v>
      </c>
      <c r="EC37" s="1475">
        <f t="shared" si="115"/>
        <v>1635506.8388818006</v>
      </c>
      <c r="ED37" s="1475">
        <f t="shared" si="115"/>
        <v>1878252.8701676643</v>
      </c>
      <c r="EE37" s="1475">
        <f t="shared" si="115"/>
        <v>1941336.4004648246</v>
      </c>
      <c r="EF37" s="1475">
        <f t="shared" si="115"/>
        <v>2080156.9885561529</v>
      </c>
      <c r="EG37" s="1475">
        <f t="shared" si="115"/>
        <v>2352124.0353946663</v>
      </c>
      <c r="EH37" s="1475">
        <f t="shared" si="115"/>
        <v>2465858.6859474001</v>
      </c>
      <c r="EI37" s="1475">
        <f t="shared" si="115"/>
        <v>2690034.9293242348</v>
      </c>
      <c r="EJ37" s="1475">
        <f t="shared" si="115"/>
        <v>3002131.0640073936</v>
      </c>
      <c r="EK37" s="1475">
        <f t="shared" si="115"/>
        <v>3100225.8893268672</v>
      </c>
      <c r="EL37" s="1475">
        <f t="shared" si="115"/>
        <v>3285486.6319463341</v>
      </c>
      <c r="EM37" s="1475">
        <f t="shared" si="115"/>
        <v>3612624.4467976387</v>
      </c>
      <c r="EN37" s="1475">
        <f t="shared" si="115"/>
        <v>3732407.6552994163</v>
      </c>
      <c r="EO37" s="1475">
        <f t="shared" si="115"/>
        <v>4084423.628493025</v>
      </c>
      <c r="EP37" s="1475">
        <f t="shared" si="115"/>
        <v>4495539.6095813317</v>
      </c>
      <c r="EQ37" s="1475">
        <f t="shared" ref="EQ37:FB37" si="116">IFERROR(EQ34*EQ45,0)</f>
        <v>4595404.0989093799</v>
      </c>
      <c r="ER37" s="1475">
        <f t="shared" si="116"/>
        <v>4819116.4818555415</v>
      </c>
      <c r="ES37" s="1475">
        <f t="shared" si="116"/>
        <v>5257914.8021112885</v>
      </c>
      <c r="ET37" s="1475">
        <f t="shared" si="116"/>
        <v>5438981.263820501</v>
      </c>
      <c r="EU37" s="1475">
        <f t="shared" si="116"/>
        <v>5803468.3834583675</v>
      </c>
      <c r="EV37" s="1475">
        <f t="shared" si="116"/>
        <v>6308448.462654287</v>
      </c>
      <c r="EW37" s="1475">
        <f t="shared" si="116"/>
        <v>6463652.6862446936</v>
      </c>
      <c r="EX37" s="1475">
        <f t="shared" si="116"/>
        <v>6764114.604074304</v>
      </c>
      <c r="EY37" s="1475">
        <f t="shared" si="116"/>
        <v>7295619.2038348662</v>
      </c>
      <c r="EZ37" s="1475">
        <f t="shared" si="116"/>
        <v>7486721.7493651686</v>
      </c>
      <c r="FA37" s="1475">
        <f t="shared" si="116"/>
        <v>8053803.0835412461</v>
      </c>
      <c r="FB37" s="1475">
        <f t="shared" si="116"/>
        <v>8719232.1623636559</v>
      </c>
    </row>
    <row r="38" spans="3:158" x14ac:dyDescent="0.25">
      <c r="C38" t="s">
        <v>3</v>
      </c>
      <c r="D38" s="1472">
        <f t="shared" si="112"/>
        <v>0</v>
      </c>
      <c r="E38" s="1472">
        <f t="shared" si="112"/>
        <v>0</v>
      </c>
      <c r="F38" s="1472">
        <f t="shared" si="112"/>
        <v>0</v>
      </c>
      <c r="G38" s="1472">
        <f t="shared" si="112"/>
        <v>0</v>
      </c>
      <c r="H38" s="1472">
        <f t="shared" si="112"/>
        <v>-9660.1604678513177</v>
      </c>
      <c r="I38" s="1472">
        <f t="shared" si="112"/>
        <v>-481442.67397148802</v>
      </c>
      <c r="J38" s="1472">
        <f t="shared" si="112"/>
        <v>-3720980.4625639752</v>
      </c>
      <c r="K38" s="1472">
        <f t="shared" si="112"/>
        <v>-11052704.989541788</v>
      </c>
      <c r="L38" s="1472">
        <f t="shared" si="112"/>
        <v>-23101943.09466999</v>
      </c>
      <c r="M38" s="531"/>
      <c r="N38" s="1476">
        <f>SUM(AY38:BA38)</f>
        <v>0</v>
      </c>
      <c r="O38" s="1476">
        <f>SUM(BB38:BD38)</f>
        <v>0</v>
      </c>
      <c r="P38" s="1476">
        <f>SUM(BE38:BG38)</f>
        <v>0</v>
      </c>
      <c r="Q38" s="1476">
        <f>SUM(BH38:BJ38)</f>
        <v>0</v>
      </c>
      <c r="R38" s="1476">
        <f>SUM(BK38:BM38)</f>
        <v>0</v>
      </c>
      <c r="S38" s="1476">
        <f>SUM(BN38:BP38)</f>
        <v>0</v>
      </c>
      <c r="T38" s="1476">
        <f>SUM(BQ38:BS38)</f>
        <v>0</v>
      </c>
      <c r="U38" s="1476">
        <f>SUM(BT38:BV38)</f>
        <v>0</v>
      </c>
      <c r="V38" s="1476">
        <f>SUM(BW38:BY38)</f>
        <v>0</v>
      </c>
      <c r="W38" s="1476">
        <f>SUM(BZ38:CB38)</f>
        <v>0</v>
      </c>
      <c r="X38" s="1476">
        <f>SUM(CC38:CE38)</f>
        <v>0</v>
      </c>
      <c r="Y38" s="1476">
        <f>SUM(CF38:CH38)</f>
        <v>0</v>
      </c>
      <c r="Z38" s="1476">
        <f>SUM(CI38:CK38)</f>
        <v>0</v>
      </c>
      <c r="AA38" s="1476">
        <f>SUM(CL38:CN38)</f>
        <v>0</v>
      </c>
      <c r="AB38" s="1476">
        <f>SUM(CO38:CQ38)</f>
        <v>0</v>
      </c>
      <c r="AC38" s="1476">
        <f>SUM(CR38:CT38)</f>
        <v>0</v>
      </c>
      <c r="AD38" s="1476">
        <f>SUM(CU38:CW38)</f>
        <v>-324.56299216713364</v>
      </c>
      <c r="AE38" s="1476">
        <f>SUM(CX38:CZ38)</f>
        <v>-1094.7875774816102</v>
      </c>
      <c r="AF38" s="1476">
        <f>SUM(DA38:DC38)</f>
        <v>-1908.1979689327104</v>
      </c>
      <c r="AG38" s="1476">
        <f>SUM(DD38:DF38)</f>
        <v>-6332.611929269864</v>
      </c>
      <c r="AH38" s="1476">
        <f>SUM(DG38:DI38)</f>
        <v>-29203.872918651581</v>
      </c>
      <c r="AI38" s="1476">
        <f>SUM(DJ38:DL38)</f>
        <v>-76377.805236733548</v>
      </c>
      <c r="AJ38" s="1476">
        <f>SUM(DM38:DO38)</f>
        <v>-137411.89989870536</v>
      </c>
      <c r="AK38" s="1476">
        <f>SUM(DP38:DR38)</f>
        <v>-238449.0959173975</v>
      </c>
      <c r="AL38" s="1476">
        <f>SUM(DS38:DU38)</f>
        <v>-425402.39034877939</v>
      </c>
      <c r="AM38" s="1476">
        <f>SUM(DV38:DX38)</f>
        <v>-743261.48128375015</v>
      </c>
      <c r="AN38" s="1476">
        <f>SUM(DY38:EA38)</f>
        <v>-1070380.3533954946</v>
      </c>
      <c r="AO38" s="1476">
        <f>SUM(EB38:ED38)</f>
        <v>-1481936.2375359514</v>
      </c>
      <c r="AP38" s="1476">
        <f>SUM(EE38:EG38)</f>
        <v>-1912085.2273246935</v>
      </c>
      <c r="AQ38" s="1476">
        <f>SUM(EH38:EJ38)</f>
        <v>-2447407.4037837088</v>
      </c>
      <c r="AR38" s="1476">
        <f>SUM(EK38:EM38)</f>
        <v>-2999501.0904212524</v>
      </c>
      <c r="AS38" s="1476">
        <f>SUM(EN38:EP38)</f>
        <v>-3693711.2680121325</v>
      </c>
      <c r="AT38" s="1476">
        <f>SUM(EQ38:ES38)</f>
        <v>-4401730.614862863</v>
      </c>
      <c r="AU38" s="1476">
        <f>SUM(ET38:EV38)</f>
        <v>-5265269.432979947</v>
      </c>
      <c r="AV38" s="1476">
        <f>SUM(EW38:EY38)</f>
        <v>-6157015.9482461605</v>
      </c>
      <c r="AW38" s="1476">
        <f>SUM(EZ38:FB38)</f>
        <v>-7277927.0985810226</v>
      </c>
      <c r="AY38" s="1475">
        <f t="shared" ref="AY38:CD38" si="117">IFERROR(-AY37*(1-AY46),0)</f>
        <v>0</v>
      </c>
      <c r="AZ38" s="1475">
        <f t="shared" si="117"/>
        <v>0</v>
      </c>
      <c r="BA38" s="1475">
        <f t="shared" si="117"/>
        <v>0</v>
      </c>
      <c r="BB38" s="1475">
        <f t="shared" si="117"/>
        <v>0</v>
      </c>
      <c r="BC38" s="1475">
        <f t="shared" si="117"/>
        <v>0</v>
      </c>
      <c r="BD38" s="1475">
        <f t="shared" si="117"/>
        <v>0</v>
      </c>
      <c r="BE38" s="1475">
        <f t="shared" si="117"/>
        <v>0</v>
      </c>
      <c r="BF38" s="1475">
        <f t="shared" si="117"/>
        <v>0</v>
      </c>
      <c r="BG38" s="1475">
        <f t="shared" si="117"/>
        <v>0</v>
      </c>
      <c r="BH38" s="1475">
        <f t="shared" si="117"/>
        <v>0</v>
      </c>
      <c r="BI38" s="1475">
        <f t="shared" si="117"/>
        <v>0</v>
      </c>
      <c r="BJ38" s="1475">
        <f t="shared" si="117"/>
        <v>0</v>
      </c>
      <c r="BK38" s="1475">
        <f t="shared" si="117"/>
        <v>0</v>
      </c>
      <c r="BL38" s="1475">
        <f t="shared" si="117"/>
        <v>0</v>
      </c>
      <c r="BM38" s="1475">
        <f t="shared" si="117"/>
        <v>0</v>
      </c>
      <c r="BN38" s="1475">
        <f t="shared" si="117"/>
        <v>0</v>
      </c>
      <c r="BO38" s="1475">
        <f t="shared" si="117"/>
        <v>0</v>
      </c>
      <c r="BP38" s="1475">
        <f t="shared" si="117"/>
        <v>0</v>
      </c>
      <c r="BQ38" s="1475">
        <f t="shared" si="117"/>
        <v>0</v>
      </c>
      <c r="BR38" s="1475">
        <f t="shared" si="117"/>
        <v>0</v>
      </c>
      <c r="BS38" s="1475">
        <f t="shared" si="117"/>
        <v>0</v>
      </c>
      <c r="BT38" s="1475">
        <f t="shared" si="117"/>
        <v>0</v>
      </c>
      <c r="BU38" s="1475">
        <f t="shared" si="117"/>
        <v>0</v>
      </c>
      <c r="BV38" s="1475">
        <f t="shared" si="117"/>
        <v>0</v>
      </c>
      <c r="BW38" s="1475">
        <f t="shared" si="117"/>
        <v>0</v>
      </c>
      <c r="BX38" s="1475">
        <f t="shared" si="117"/>
        <v>0</v>
      </c>
      <c r="BY38" s="1475">
        <f t="shared" si="117"/>
        <v>0</v>
      </c>
      <c r="BZ38" s="1475">
        <f t="shared" si="117"/>
        <v>0</v>
      </c>
      <c r="CA38" s="1475">
        <f t="shared" si="117"/>
        <v>0</v>
      </c>
      <c r="CB38" s="1475">
        <f t="shared" si="117"/>
        <v>0</v>
      </c>
      <c r="CC38" s="1475">
        <f t="shared" si="117"/>
        <v>0</v>
      </c>
      <c r="CD38" s="1475">
        <f t="shared" si="117"/>
        <v>0</v>
      </c>
      <c r="CE38" s="1475">
        <f t="shared" ref="CE38:DJ38" si="118">IFERROR(-CE37*(1-CE46),0)</f>
        <v>0</v>
      </c>
      <c r="CF38" s="1475">
        <f t="shared" si="118"/>
        <v>0</v>
      </c>
      <c r="CG38" s="1475">
        <f t="shared" si="118"/>
        <v>0</v>
      </c>
      <c r="CH38" s="1475">
        <f t="shared" si="118"/>
        <v>0</v>
      </c>
      <c r="CI38" s="1475">
        <f t="shared" si="118"/>
        <v>0</v>
      </c>
      <c r="CJ38" s="1475">
        <f t="shared" si="118"/>
        <v>0</v>
      </c>
      <c r="CK38" s="1475">
        <f t="shared" si="118"/>
        <v>0</v>
      </c>
      <c r="CL38" s="1475">
        <f t="shared" si="118"/>
        <v>0</v>
      </c>
      <c r="CM38" s="1475">
        <f t="shared" si="118"/>
        <v>0</v>
      </c>
      <c r="CN38" s="1475">
        <f t="shared" si="118"/>
        <v>0</v>
      </c>
      <c r="CO38" s="1475">
        <f t="shared" si="118"/>
        <v>0</v>
      </c>
      <c r="CP38" s="1475">
        <f t="shared" si="118"/>
        <v>0</v>
      </c>
      <c r="CQ38" s="1475">
        <f t="shared" si="118"/>
        <v>0</v>
      </c>
      <c r="CR38" s="1475">
        <f t="shared" si="118"/>
        <v>0</v>
      </c>
      <c r="CS38" s="1475">
        <f t="shared" si="118"/>
        <v>0</v>
      </c>
      <c r="CT38" s="1475">
        <f t="shared" si="118"/>
        <v>0</v>
      </c>
      <c r="CU38" s="1475">
        <f t="shared" si="118"/>
        <v>-27.592671646347121</v>
      </c>
      <c r="CV38" s="1475">
        <f t="shared" si="118"/>
        <v>-88.235496015870538</v>
      </c>
      <c r="CW38" s="1475">
        <f t="shared" si="118"/>
        <v>-208.73482450491599</v>
      </c>
      <c r="CX38" s="1475">
        <f t="shared" si="118"/>
        <v>-256.91522582359164</v>
      </c>
      <c r="CY38" s="1475">
        <f t="shared" si="118"/>
        <v>-351.41461986046897</v>
      </c>
      <c r="CZ38" s="1475">
        <f t="shared" si="118"/>
        <v>-486.45773179754963</v>
      </c>
      <c r="DA38" s="1475">
        <f t="shared" si="118"/>
        <v>-532.72207745891069</v>
      </c>
      <c r="DB38" s="1475">
        <f t="shared" si="118"/>
        <v>-615.2159877856742</v>
      </c>
      <c r="DC38" s="1475">
        <f t="shared" si="118"/>
        <v>-760.25990368812575</v>
      </c>
      <c r="DD38" s="1475">
        <f t="shared" si="118"/>
        <v>-1115.7405842825935</v>
      </c>
      <c r="DE38" s="1475">
        <f t="shared" si="118"/>
        <v>-2063.9600351173644</v>
      </c>
      <c r="DF38" s="1475">
        <f t="shared" si="118"/>
        <v>-3152.9113098699058</v>
      </c>
      <c r="DG38" s="1475">
        <f t="shared" si="118"/>
        <v>-4887.1227667788999</v>
      </c>
      <c r="DH38" s="1475">
        <f t="shared" si="118"/>
        <v>-8564.8650186809318</v>
      </c>
      <c r="DI38" s="1475">
        <f t="shared" si="118"/>
        <v>-15751.88513319175</v>
      </c>
      <c r="DJ38" s="1475">
        <f t="shared" si="118"/>
        <v>-18842.826592359805</v>
      </c>
      <c r="DK38" s="1475">
        <f t="shared" ref="DK38:EP38" si="119">IFERROR(-DK37*(1-DK46),0)</f>
        <v>-24668.928748686547</v>
      </c>
      <c r="DL38" s="1475">
        <f t="shared" si="119"/>
        <v>-32866.049895687196</v>
      </c>
      <c r="DM38" s="1475">
        <f t="shared" si="119"/>
        <v>-36855.958975578207</v>
      </c>
      <c r="DN38" s="1475">
        <f t="shared" si="119"/>
        <v>-43997.686829584563</v>
      </c>
      <c r="DO38" s="1475">
        <f t="shared" si="119"/>
        <v>-56558.2540935426</v>
      </c>
      <c r="DP38" s="1475">
        <f t="shared" si="119"/>
        <v>-62252.485936778925</v>
      </c>
      <c r="DQ38" s="1475">
        <f t="shared" si="119"/>
        <v>-78633.75027699348</v>
      </c>
      <c r="DR38" s="1475">
        <f t="shared" si="119"/>
        <v>-97562.859703625087</v>
      </c>
      <c r="DS38" s="1475">
        <f t="shared" si="119"/>
        <v>-109144.7623784707</v>
      </c>
      <c r="DT38" s="1475">
        <f t="shared" si="119"/>
        <v>-133913.40079486882</v>
      </c>
      <c r="DU38" s="1475">
        <f t="shared" si="119"/>
        <v>-182344.22717543985</v>
      </c>
      <c r="DV38" s="1475">
        <f t="shared" si="119"/>
        <v>-203040.35385405313</v>
      </c>
      <c r="DW38" s="1475">
        <f t="shared" si="119"/>
        <v>-242452.67588158703</v>
      </c>
      <c r="DX38" s="1475">
        <f t="shared" si="119"/>
        <v>-297768.45154811005</v>
      </c>
      <c r="DY38" s="1475">
        <f t="shared" si="119"/>
        <v>-315793.73891015223</v>
      </c>
      <c r="DZ38" s="1475">
        <f t="shared" si="119"/>
        <v>-348501.14078553137</v>
      </c>
      <c r="EA38" s="1475">
        <f t="shared" si="119"/>
        <v>-406085.47369981091</v>
      </c>
      <c r="EB38" s="1475">
        <f t="shared" si="119"/>
        <v>-427808.32482111175</v>
      </c>
      <c r="EC38" s="1475">
        <f t="shared" si="119"/>
        <v>-490652.05166454025</v>
      </c>
      <c r="ED38" s="1475">
        <f t="shared" si="119"/>
        <v>-563475.86105029937</v>
      </c>
      <c r="EE38" s="1475">
        <f t="shared" si="119"/>
        <v>-582400.92013944744</v>
      </c>
      <c r="EF38" s="1475">
        <f t="shared" si="119"/>
        <v>-624047.09656684601</v>
      </c>
      <c r="EG38" s="1475">
        <f t="shared" si="119"/>
        <v>-705637.21061840001</v>
      </c>
      <c r="EH38" s="1475">
        <f t="shared" si="119"/>
        <v>-739757.60578422016</v>
      </c>
      <c r="EI38" s="1475">
        <f t="shared" si="119"/>
        <v>-807010.47879727057</v>
      </c>
      <c r="EJ38" s="1475">
        <f t="shared" si="119"/>
        <v>-900639.3192022182</v>
      </c>
      <c r="EK38" s="1475">
        <f t="shared" si="119"/>
        <v>-930067.76679806027</v>
      </c>
      <c r="EL38" s="1475">
        <f t="shared" si="119"/>
        <v>-985645.98958390043</v>
      </c>
      <c r="EM38" s="1475">
        <f t="shared" si="119"/>
        <v>-1083787.3340392918</v>
      </c>
      <c r="EN38" s="1475">
        <f t="shared" si="119"/>
        <v>-1119722.2965898251</v>
      </c>
      <c r="EO38" s="1475">
        <f t="shared" si="119"/>
        <v>-1225327.0885479078</v>
      </c>
      <c r="EP38" s="1475">
        <f t="shared" si="119"/>
        <v>-1348661.8828743997</v>
      </c>
      <c r="EQ38" s="1475">
        <f t="shared" ref="EQ38:FB38" si="120">IFERROR(-EQ37*(1-EQ46),0)</f>
        <v>-1378621.2296728143</v>
      </c>
      <c r="ER38" s="1475">
        <f t="shared" si="120"/>
        <v>-1445734.9445566626</v>
      </c>
      <c r="ES38" s="1475">
        <f t="shared" si="120"/>
        <v>-1577374.4406333868</v>
      </c>
      <c r="ET38" s="1475">
        <f t="shared" si="120"/>
        <v>-1631694.3791461505</v>
      </c>
      <c r="EU38" s="1475">
        <f t="shared" si="120"/>
        <v>-1741040.5150375105</v>
      </c>
      <c r="EV38" s="1475">
        <f t="shared" si="120"/>
        <v>-1892534.5387962863</v>
      </c>
      <c r="EW38" s="1475">
        <f t="shared" si="120"/>
        <v>-1939095.8058734084</v>
      </c>
      <c r="EX38" s="1475">
        <f t="shared" si="120"/>
        <v>-2029234.3812222914</v>
      </c>
      <c r="EY38" s="1475">
        <f t="shared" si="120"/>
        <v>-2188685.7611504602</v>
      </c>
      <c r="EZ38" s="1475">
        <f t="shared" si="120"/>
        <v>-2246016.524809551</v>
      </c>
      <c r="FA38" s="1475">
        <f t="shared" si="120"/>
        <v>-2416140.9250623742</v>
      </c>
      <c r="FB38" s="1475">
        <f t="shared" si="120"/>
        <v>-2615769.6487090969</v>
      </c>
    </row>
    <row r="39" spans="3:158" x14ac:dyDescent="0.25">
      <c r="C39" t="s">
        <v>908</v>
      </c>
      <c r="D39" s="1472">
        <f t="shared" si="112"/>
        <v>0</v>
      </c>
      <c r="E39" s="1472">
        <f t="shared" si="112"/>
        <v>0</v>
      </c>
      <c r="F39" s="1472">
        <f t="shared" si="112"/>
        <v>0</v>
      </c>
      <c r="G39" s="1472">
        <f t="shared" si="112"/>
        <v>0</v>
      </c>
      <c r="H39" s="1472">
        <f t="shared" si="112"/>
        <v>-21771.730328242244</v>
      </c>
      <c r="I39" s="1472">
        <f t="shared" si="112"/>
        <v>-811252.44476342876</v>
      </c>
      <c r="J39" s="1472">
        <f t="shared" si="112"/>
        <v>-4420435.3454604959</v>
      </c>
      <c r="K39" s="1472">
        <f t="shared" si="112"/>
        <v>-8165150.7218233831</v>
      </c>
      <c r="L39" s="1472">
        <f t="shared" si="112"/>
        <v>-13550478.594765464</v>
      </c>
      <c r="M39" s="84"/>
      <c r="N39" s="1476">
        <f>SUM(AY39:BA39)</f>
        <v>0</v>
      </c>
      <c r="O39" s="1476">
        <f>SUM(BB39:BD39)</f>
        <v>0</v>
      </c>
      <c r="P39" s="1476">
        <f>SUM(BE39:BG39)</f>
        <v>0</v>
      </c>
      <c r="Q39" s="1476">
        <f>SUM(BH39:BJ39)</f>
        <v>0</v>
      </c>
      <c r="R39" s="1476">
        <f>SUM(BK39:BM39)</f>
        <v>0</v>
      </c>
      <c r="S39" s="1476">
        <f>SUM(BN39:BP39)</f>
        <v>0</v>
      </c>
      <c r="T39" s="1476">
        <f>SUM(BQ39:BS39)</f>
        <v>0</v>
      </c>
      <c r="U39" s="1476">
        <f>SUM(BT39:BV39)</f>
        <v>0</v>
      </c>
      <c r="V39" s="1476">
        <f>SUM(BW39:BY39)</f>
        <v>0</v>
      </c>
      <c r="W39" s="1476">
        <f>SUM(BZ39:CB39)</f>
        <v>0</v>
      </c>
      <c r="X39" s="1476">
        <f>SUM(CC39:CE39)</f>
        <v>0</v>
      </c>
      <c r="Y39" s="1476">
        <f>SUM(CF39:CH39)</f>
        <v>0</v>
      </c>
      <c r="Z39" s="1476">
        <f>SUM(CI39:CK39)</f>
        <v>0</v>
      </c>
      <c r="AA39" s="1476">
        <f>SUM(CL39:CN39)</f>
        <v>0</v>
      </c>
      <c r="AB39" s="1476">
        <f>SUM(CO39:CQ39)</f>
        <v>0</v>
      </c>
      <c r="AC39" s="1476">
        <f>SUM(CR39:CT39)</f>
        <v>0</v>
      </c>
      <c r="AD39" s="1476">
        <f>SUM(CU39:CW39)</f>
        <v>-930.75417738260057</v>
      </c>
      <c r="AE39" s="1476">
        <f>SUM(CX39:CZ39)</f>
        <v>-2776.1510954071559</v>
      </c>
      <c r="AF39" s="1476">
        <f>SUM(DA39:DC39)</f>
        <v>-2782.7148515317003</v>
      </c>
      <c r="AG39" s="1476">
        <f>SUM(DD39:DF39)</f>
        <v>-15282.110203920785</v>
      </c>
      <c r="AH39" s="1476">
        <f>SUM(DG39:DI39)</f>
        <v>-68989.945908139722</v>
      </c>
      <c r="AI39" s="1476">
        <f>SUM(DJ39:DL39)</f>
        <v>-170826.30411658002</v>
      </c>
      <c r="AJ39" s="1476">
        <f>SUM(DM39:DO39)</f>
        <v>-204837.8321655998</v>
      </c>
      <c r="AK39" s="1476">
        <f>SUM(DP39:DR39)</f>
        <v>-366598.36257310933</v>
      </c>
      <c r="AL39" s="1476">
        <f>SUM(DS39:DU39)</f>
        <v>-592283.14238456811</v>
      </c>
      <c r="AM39" s="1476">
        <f>SUM(DV39:DX39)</f>
        <v>-1164671.4611154571</v>
      </c>
      <c r="AN39" s="1476">
        <f>SUM(DY39:EA39)</f>
        <v>-1138309.2841784707</v>
      </c>
      <c r="AO39" s="1476">
        <f>SUM(EB39:ED39)</f>
        <v>-1525171.4577819998</v>
      </c>
      <c r="AP39" s="1476">
        <f>SUM(EE39:EG39)</f>
        <v>-1465884.3664405085</v>
      </c>
      <c r="AQ39" s="1476">
        <f>SUM(EH39:EJ39)</f>
        <v>-2038175.0569520504</v>
      </c>
      <c r="AR39" s="1476">
        <f>SUM(EK39:EM39)</f>
        <v>-1992041.2473123246</v>
      </c>
      <c r="AS39" s="1476">
        <f>SUM(EN39:EP39)</f>
        <v>-2669050.0511185005</v>
      </c>
      <c r="AT39" s="1476">
        <f>SUM(EQ39:ES39)</f>
        <v>-2496689.1083837207</v>
      </c>
      <c r="AU39" s="1476">
        <f>SUM(ET39:EV39)</f>
        <v>-3362988.8439708827</v>
      </c>
      <c r="AV39" s="1476">
        <f>SUM(EW39:EY39)</f>
        <v>-3286868.0580653343</v>
      </c>
      <c r="AW39" s="1476">
        <f>SUM(EZ39:FB39)</f>
        <v>-4403932.5843455251</v>
      </c>
      <c r="AY39" s="1475">
        <f>IFERROR((AY31+AY32)*-AY47,0)</f>
        <v>0</v>
      </c>
      <c r="AZ39" s="1475">
        <f t="shared" ref="AZ39:CE39" si="121">IFERROR((AY31+AY32)*-AZ47,0)</f>
        <v>0</v>
      </c>
      <c r="BA39" s="1475">
        <f t="shared" si="121"/>
        <v>0</v>
      </c>
      <c r="BB39" s="1475">
        <f t="shared" si="121"/>
        <v>0</v>
      </c>
      <c r="BC39" s="1475">
        <f t="shared" si="121"/>
        <v>0</v>
      </c>
      <c r="BD39" s="1475">
        <f t="shared" si="121"/>
        <v>0</v>
      </c>
      <c r="BE39" s="1475">
        <f t="shared" si="121"/>
        <v>0</v>
      </c>
      <c r="BF39" s="1475">
        <f t="shared" si="121"/>
        <v>0</v>
      </c>
      <c r="BG39" s="1475">
        <f t="shared" si="121"/>
        <v>0</v>
      </c>
      <c r="BH39" s="1475">
        <f t="shared" si="121"/>
        <v>0</v>
      </c>
      <c r="BI39" s="1475">
        <f t="shared" si="121"/>
        <v>0</v>
      </c>
      <c r="BJ39" s="1475">
        <f t="shared" si="121"/>
        <v>0</v>
      </c>
      <c r="BK39" s="1475">
        <f t="shared" si="121"/>
        <v>0</v>
      </c>
      <c r="BL39" s="1475">
        <f t="shared" si="121"/>
        <v>0</v>
      </c>
      <c r="BM39" s="1475">
        <f t="shared" si="121"/>
        <v>0</v>
      </c>
      <c r="BN39" s="1475">
        <f t="shared" si="121"/>
        <v>0</v>
      </c>
      <c r="BO39" s="1475">
        <f t="shared" si="121"/>
        <v>0</v>
      </c>
      <c r="BP39" s="1475">
        <f t="shared" si="121"/>
        <v>0</v>
      </c>
      <c r="BQ39" s="1475">
        <f t="shared" si="121"/>
        <v>0</v>
      </c>
      <c r="BR39" s="1475">
        <f t="shared" si="121"/>
        <v>0</v>
      </c>
      <c r="BS39" s="1475">
        <f t="shared" si="121"/>
        <v>0</v>
      </c>
      <c r="BT39" s="1475">
        <f t="shared" si="121"/>
        <v>0</v>
      </c>
      <c r="BU39" s="1475">
        <f t="shared" si="121"/>
        <v>0</v>
      </c>
      <c r="BV39" s="1475">
        <f t="shared" si="121"/>
        <v>0</v>
      </c>
      <c r="BW39" s="1475">
        <f t="shared" si="121"/>
        <v>0</v>
      </c>
      <c r="BX39" s="1475">
        <f t="shared" si="121"/>
        <v>0</v>
      </c>
      <c r="BY39" s="1475">
        <f t="shared" si="121"/>
        <v>0</v>
      </c>
      <c r="BZ39" s="1475">
        <f t="shared" si="121"/>
        <v>0</v>
      </c>
      <c r="CA39" s="1475">
        <f t="shared" si="121"/>
        <v>0</v>
      </c>
      <c r="CB39" s="1475">
        <f t="shared" si="121"/>
        <v>0</v>
      </c>
      <c r="CC39" s="1475">
        <f t="shared" si="121"/>
        <v>0</v>
      </c>
      <c r="CD39" s="1475">
        <f t="shared" si="121"/>
        <v>0</v>
      </c>
      <c r="CE39" s="1475">
        <f t="shared" si="121"/>
        <v>0</v>
      </c>
      <c r="CF39" s="1475">
        <f t="shared" ref="CF39:DK39" si="122">IFERROR((CE31+CE32)*-CF47,0)</f>
        <v>0</v>
      </c>
      <c r="CG39" s="1475">
        <f t="shared" si="122"/>
        <v>0</v>
      </c>
      <c r="CH39" s="1475">
        <f t="shared" si="122"/>
        <v>0</v>
      </c>
      <c r="CI39" s="1475">
        <f t="shared" si="122"/>
        <v>0</v>
      </c>
      <c r="CJ39" s="1475">
        <f t="shared" si="122"/>
        <v>0</v>
      </c>
      <c r="CK39" s="1475">
        <f t="shared" si="122"/>
        <v>0</v>
      </c>
      <c r="CL39" s="1475">
        <f t="shared" si="122"/>
        <v>0</v>
      </c>
      <c r="CM39" s="1475">
        <f t="shared" si="122"/>
        <v>0</v>
      </c>
      <c r="CN39" s="1475">
        <f t="shared" si="122"/>
        <v>0</v>
      </c>
      <c r="CO39" s="1475">
        <f t="shared" si="122"/>
        <v>0</v>
      </c>
      <c r="CP39" s="1475">
        <f t="shared" si="122"/>
        <v>0</v>
      </c>
      <c r="CQ39" s="1475">
        <f t="shared" si="122"/>
        <v>0</v>
      </c>
      <c r="CR39" s="1475">
        <f t="shared" si="122"/>
        <v>0</v>
      </c>
      <c r="CS39" s="1475">
        <f t="shared" si="122"/>
        <v>0</v>
      </c>
      <c r="CT39" s="1475">
        <f t="shared" si="122"/>
        <v>0</v>
      </c>
      <c r="CU39" s="1475">
        <f t="shared" si="122"/>
        <v>0</v>
      </c>
      <c r="CV39" s="1475">
        <f t="shared" si="122"/>
        <v>-291.06193719775439</v>
      </c>
      <c r="CW39" s="1475">
        <f t="shared" si="122"/>
        <v>-639.69224018484613</v>
      </c>
      <c r="CX39" s="1475">
        <f t="shared" si="122"/>
        <v>-1271.0899629646142</v>
      </c>
      <c r="CY39" s="1475">
        <f t="shared" si="122"/>
        <v>-508.23208142062924</v>
      </c>
      <c r="CZ39" s="1475">
        <f t="shared" si="122"/>
        <v>-996.82905102191262</v>
      </c>
      <c r="DA39" s="1475">
        <f t="shared" si="122"/>
        <v>-1424.505400180175</v>
      </c>
      <c r="DB39" s="1475">
        <f t="shared" si="122"/>
        <v>-488.02052385401998</v>
      </c>
      <c r="DC39" s="1475">
        <f t="shared" si="122"/>
        <v>-870.18892749750523</v>
      </c>
      <c r="DD39" s="1475">
        <f t="shared" si="122"/>
        <v>-1529.9991128950567</v>
      </c>
      <c r="DE39" s="1475">
        <f t="shared" si="122"/>
        <v>-3749.7962088024051</v>
      </c>
      <c r="DF39" s="1475">
        <f t="shared" si="122"/>
        <v>-10002.314882223323</v>
      </c>
      <c r="DG39" s="1475">
        <f t="shared" si="122"/>
        <v>-11486.827792748327</v>
      </c>
      <c r="DH39" s="1475">
        <f t="shared" si="122"/>
        <v>-18476.610094596625</v>
      </c>
      <c r="DI39" s="1475">
        <f t="shared" si="122"/>
        <v>-39026.508020794761</v>
      </c>
      <c r="DJ39" s="1475">
        <f t="shared" si="122"/>
        <v>-76244.038002514659</v>
      </c>
      <c r="DK39" s="1475">
        <f t="shared" si="122"/>
        <v>-32891.039653895728</v>
      </c>
      <c r="DL39" s="1475">
        <f t="shared" ref="DL39:EQ39" si="123">IFERROR((DK31+DK32)*-DL47,0)</f>
        <v>-61691.226460169637</v>
      </c>
      <c r="DM39" s="1475">
        <f t="shared" si="123"/>
        <v>-86900.467439364656</v>
      </c>
      <c r="DN39" s="1475">
        <f t="shared" si="123"/>
        <v>-42376.273010313176</v>
      </c>
      <c r="DO39" s="1475">
        <f t="shared" si="123"/>
        <v>-75561.091715921953</v>
      </c>
      <c r="DP39" s="1475">
        <f t="shared" si="123"/>
        <v>-132854.37178247026</v>
      </c>
      <c r="DQ39" s="1475">
        <f t="shared" si="123"/>
        <v>-60349.480576348091</v>
      </c>
      <c r="DR39" s="1475">
        <f t="shared" si="123"/>
        <v>-173394.51021429099</v>
      </c>
      <c r="DS39" s="1475">
        <f t="shared" si="123"/>
        <v>-200234.38302931946</v>
      </c>
      <c r="DT39" s="1475">
        <f t="shared" si="123"/>
        <v>-125971.11777732278</v>
      </c>
      <c r="DU39" s="1475">
        <f t="shared" si="123"/>
        <v>-266077.64157792588</v>
      </c>
      <c r="DV39" s="1475">
        <f t="shared" si="123"/>
        <v>-519821.90682490182</v>
      </c>
      <c r="DW39" s="1475">
        <f t="shared" si="123"/>
        <v>-224246.81848274657</v>
      </c>
      <c r="DX39" s="1475">
        <f t="shared" si="123"/>
        <v>-420602.73580780881</v>
      </c>
      <c r="DY39" s="1475">
        <f t="shared" si="123"/>
        <v>-592476.05283990782</v>
      </c>
      <c r="DZ39" s="1475">
        <f t="shared" si="123"/>
        <v>-196124.25699858824</v>
      </c>
      <c r="EA39" s="1475">
        <f t="shared" si="123"/>
        <v>-349708.97433997469</v>
      </c>
      <c r="EB39" s="1475">
        <f t="shared" si="123"/>
        <v>-614871.55674379179</v>
      </c>
      <c r="EC39" s="1475">
        <f t="shared" si="123"/>
        <v>-235026.90276886043</v>
      </c>
      <c r="ED39" s="1475">
        <f t="shared" si="123"/>
        <v>-675272.99826934771</v>
      </c>
      <c r="EE39" s="1475">
        <f t="shared" si="123"/>
        <v>-779799.0375688232</v>
      </c>
      <c r="EF39" s="1475">
        <f t="shared" si="123"/>
        <v>-220449.45611031487</v>
      </c>
      <c r="EG39" s="1475">
        <f t="shared" si="123"/>
        <v>-465635.87276137038</v>
      </c>
      <c r="EH39" s="1475">
        <f t="shared" si="123"/>
        <v>-909688.33694357821</v>
      </c>
      <c r="EI39" s="1475">
        <f t="shared" si="123"/>
        <v>-392431.93234480656</v>
      </c>
      <c r="EJ39" s="1475">
        <f t="shared" si="123"/>
        <v>-736054.7876636656</v>
      </c>
      <c r="EK39" s="1475">
        <f t="shared" si="123"/>
        <v>-1036833.0924698391</v>
      </c>
      <c r="EL39" s="1475">
        <f t="shared" si="123"/>
        <v>-343217.44974752952</v>
      </c>
      <c r="EM39" s="1475">
        <f t="shared" si="123"/>
        <v>-611990.70509495586</v>
      </c>
      <c r="EN39" s="1475">
        <f t="shared" si="123"/>
        <v>-1076025.2243016358</v>
      </c>
      <c r="EO39" s="1475">
        <f t="shared" si="123"/>
        <v>-411297.07984550577</v>
      </c>
      <c r="EP39" s="1475">
        <f t="shared" si="123"/>
        <v>-1181727.746971359</v>
      </c>
      <c r="EQ39" s="1475">
        <f t="shared" si="123"/>
        <v>-1364648.3157454405</v>
      </c>
      <c r="ER39" s="1475">
        <f t="shared" ref="ER39:FB39" si="124">IFERROR((EQ31+EQ32)*-ER47,0)</f>
        <v>-363741.6025820194</v>
      </c>
      <c r="ES39" s="1475">
        <f t="shared" si="124"/>
        <v>-768299.19005626091</v>
      </c>
      <c r="ET39" s="1475">
        <f t="shared" si="124"/>
        <v>-1500985.7559569036</v>
      </c>
      <c r="EU39" s="1475">
        <f t="shared" si="124"/>
        <v>-647512.68836893071</v>
      </c>
      <c r="EV39" s="1475">
        <f t="shared" si="124"/>
        <v>-1214490.399645048</v>
      </c>
      <c r="EW39" s="1475">
        <f t="shared" si="124"/>
        <v>-1710774.6025752337</v>
      </c>
      <c r="EX39" s="1475">
        <f t="shared" si="124"/>
        <v>-566308.79208342358</v>
      </c>
      <c r="EY39" s="1475">
        <f t="shared" si="124"/>
        <v>-1009784.6634066771</v>
      </c>
      <c r="EZ39" s="1475">
        <f t="shared" si="124"/>
        <v>-1775441.6200976986</v>
      </c>
      <c r="FA39" s="1475">
        <f t="shared" si="124"/>
        <v>-678640.18174508447</v>
      </c>
      <c r="FB39" s="1475">
        <f t="shared" si="124"/>
        <v>-1949850.7825027418</v>
      </c>
    </row>
    <row r="40" spans="3:158" x14ac:dyDescent="0.25">
      <c r="C40" s="1" t="s">
        <v>907</v>
      </c>
      <c r="D40" s="1477">
        <f t="shared" ref="D40:L40" si="125">SUM(D37:D39)</f>
        <v>0</v>
      </c>
      <c r="E40" s="1477">
        <f t="shared" si="125"/>
        <v>0</v>
      </c>
      <c r="F40" s="1477">
        <f t="shared" si="125"/>
        <v>0</v>
      </c>
      <c r="G40" s="1477">
        <f t="shared" si="125"/>
        <v>0</v>
      </c>
      <c r="H40" s="1477">
        <f t="shared" si="125"/>
        <v>768.64409674416311</v>
      </c>
      <c r="I40" s="1477">
        <f t="shared" si="125"/>
        <v>312113.79450337612</v>
      </c>
      <c r="J40" s="1477">
        <f t="shared" si="125"/>
        <v>4261852.4005221119</v>
      </c>
      <c r="K40" s="1477">
        <f t="shared" si="125"/>
        <v>17624494.253774114</v>
      </c>
      <c r="L40" s="1477">
        <f t="shared" si="125"/>
        <v>40354055.292797863</v>
      </c>
      <c r="N40" s="1477">
        <f t="shared" ref="N40:AW40" si="126">SUM(N37:N39)</f>
        <v>0</v>
      </c>
      <c r="O40" s="1477">
        <f t="shared" si="126"/>
        <v>0</v>
      </c>
      <c r="P40" s="1477">
        <f t="shared" si="126"/>
        <v>0</v>
      </c>
      <c r="Q40" s="1477">
        <f t="shared" si="126"/>
        <v>0</v>
      </c>
      <c r="R40" s="1477">
        <f t="shared" si="126"/>
        <v>0</v>
      </c>
      <c r="S40" s="1477">
        <f t="shared" si="126"/>
        <v>0</v>
      </c>
      <c r="T40" s="1477">
        <f t="shared" si="126"/>
        <v>0</v>
      </c>
      <c r="U40" s="1477">
        <f t="shared" si="126"/>
        <v>0</v>
      </c>
      <c r="V40" s="1477">
        <f t="shared" si="126"/>
        <v>0</v>
      </c>
      <c r="W40" s="1477">
        <f t="shared" si="126"/>
        <v>0</v>
      </c>
      <c r="X40" s="1477">
        <f t="shared" si="126"/>
        <v>0</v>
      </c>
      <c r="Y40" s="1477">
        <f t="shared" si="126"/>
        <v>0</v>
      </c>
      <c r="Z40" s="1477">
        <f t="shared" si="126"/>
        <v>0</v>
      </c>
      <c r="AA40" s="1477">
        <f t="shared" si="126"/>
        <v>0</v>
      </c>
      <c r="AB40" s="1477">
        <f t="shared" si="126"/>
        <v>0</v>
      </c>
      <c r="AC40" s="1477">
        <f t="shared" si="126"/>
        <v>0</v>
      </c>
      <c r="AD40" s="1477">
        <f t="shared" si="126"/>
        <v>-173.44052899262215</v>
      </c>
      <c r="AE40" s="1477">
        <f t="shared" si="126"/>
        <v>-221.64674795006567</v>
      </c>
      <c r="AF40" s="1477">
        <f t="shared" si="126"/>
        <v>1669.7470759779571</v>
      </c>
      <c r="AG40" s="1477">
        <f t="shared" si="126"/>
        <v>-506.01570229110621</v>
      </c>
      <c r="AH40" s="1477">
        <f t="shared" si="126"/>
        <v>-847.57576461938152</v>
      </c>
      <c r="AI40" s="1477">
        <f t="shared" si="126"/>
        <v>7388.5747691315482</v>
      </c>
      <c r="AJ40" s="1477">
        <f t="shared" si="126"/>
        <v>115789.93426471268</v>
      </c>
      <c r="AK40" s="1477">
        <f t="shared" si="126"/>
        <v>189782.86123415129</v>
      </c>
      <c r="AL40" s="1477">
        <f t="shared" si="126"/>
        <v>400322.43509591697</v>
      </c>
      <c r="AM40" s="1477">
        <f t="shared" si="126"/>
        <v>569605.32854662626</v>
      </c>
      <c r="AN40" s="1477">
        <f t="shared" si="126"/>
        <v>1359244.8737443495</v>
      </c>
      <c r="AO40" s="1477">
        <f t="shared" si="126"/>
        <v>1932679.7631352195</v>
      </c>
      <c r="AP40" s="1477">
        <f t="shared" si="126"/>
        <v>2995647.8306504423</v>
      </c>
      <c r="AQ40" s="1477">
        <f t="shared" si="126"/>
        <v>3672442.2185432701</v>
      </c>
      <c r="AR40" s="1477">
        <f t="shared" si="126"/>
        <v>5006794.6303372644</v>
      </c>
      <c r="AS40" s="1477">
        <f t="shared" si="126"/>
        <v>5949609.5742431395</v>
      </c>
      <c r="AT40" s="1477">
        <f t="shared" si="126"/>
        <v>7774015.6596296262</v>
      </c>
      <c r="AU40" s="1477">
        <f t="shared" si="126"/>
        <v>8922639.8329823241</v>
      </c>
      <c r="AV40" s="1477">
        <f t="shared" si="126"/>
        <v>11079502.48784237</v>
      </c>
      <c r="AW40" s="1477">
        <f t="shared" si="126"/>
        <v>12577897.312343521</v>
      </c>
    </row>
    <row r="41" spans="3:158" x14ac:dyDescent="0.25">
      <c r="C41" s="1"/>
      <c r="D41" s="417"/>
      <c r="E41" s="417"/>
      <c r="F41" s="417"/>
      <c r="G41" s="417"/>
      <c r="H41" s="417"/>
      <c r="I41" s="417"/>
      <c r="J41" s="417"/>
      <c r="K41" s="417"/>
      <c r="L41" s="417"/>
      <c r="N41" s="417"/>
      <c r="O41" s="417"/>
      <c r="P41" s="417"/>
      <c r="Q41" s="417"/>
      <c r="R41" s="417"/>
      <c r="S41" s="417"/>
      <c r="T41" s="417"/>
      <c r="U41" s="417"/>
      <c r="V41" s="417"/>
      <c r="W41" s="417"/>
      <c r="X41" s="417"/>
      <c r="Y41" s="417"/>
      <c r="Z41" s="417"/>
      <c r="AA41" s="417"/>
      <c r="AB41" s="417"/>
      <c r="AC41" s="417"/>
      <c r="AD41" s="417"/>
      <c r="AE41" s="417"/>
      <c r="AF41" s="417"/>
      <c r="AG41" s="417"/>
      <c r="AH41" s="417"/>
      <c r="AI41" s="417"/>
      <c r="AJ41" s="417"/>
      <c r="AK41" s="417"/>
      <c r="AL41" s="417"/>
      <c r="AM41" s="417"/>
      <c r="AN41" s="417"/>
      <c r="AO41" s="417"/>
      <c r="AP41" s="417"/>
      <c r="AQ41" s="417"/>
      <c r="AR41" s="417"/>
      <c r="AS41" s="417"/>
      <c r="AT41" s="417"/>
      <c r="AU41" s="417"/>
      <c r="AV41" s="417"/>
      <c r="AW41" s="417"/>
    </row>
    <row r="42" spans="3:158" x14ac:dyDescent="0.25">
      <c r="C42" t="s">
        <v>906</v>
      </c>
      <c r="D42" s="1470">
        <f t="shared" ref="D42:L42" si="127">SUMIF($AY$2:$FB$2,D$2,$AY42:$FB42)</f>
        <v>0</v>
      </c>
      <c r="E42" s="1470">
        <f t="shared" si="127"/>
        <v>0</v>
      </c>
      <c r="F42" s="1470">
        <f t="shared" si="127"/>
        <v>0</v>
      </c>
      <c r="G42" s="1470">
        <f t="shared" si="127"/>
        <v>0</v>
      </c>
      <c r="H42" s="1470">
        <f t="shared" si="127"/>
        <v>0</v>
      </c>
      <c r="I42" s="1470">
        <f t="shared" si="127"/>
        <v>1053305.9668809238</v>
      </c>
      <c r="J42" s="1470">
        <f t="shared" si="127"/>
        <v>5972782.8424368128</v>
      </c>
      <c r="K42" s="1470">
        <f t="shared" si="127"/>
        <v>11168966.831719089</v>
      </c>
      <c r="L42" s="1470">
        <f t="shared" si="127"/>
        <v>19208458.106668089</v>
      </c>
      <c r="N42" s="1470">
        <f>SUM(AY42:BA42)</f>
        <v>0</v>
      </c>
      <c r="O42" s="1470">
        <f>SUM(BB42:BD42)</f>
        <v>0</v>
      </c>
      <c r="P42" s="1470">
        <f>SUM(BE42:BG42)</f>
        <v>0</v>
      </c>
      <c r="Q42" s="1470">
        <f>SUM(BH42:BJ42)</f>
        <v>0</v>
      </c>
      <c r="R42" s="1470">
        <f>SUM(BK42:BM42)</f>
        <v>0</v>
      </c>
      <c r="S42" s="1470">
        <f>SUM(BN42:BP42)</f>
        <v>0</v>
      </c>
      <c r="T42" s="1470">
        <f>SUM(BQ42:BS42)</f>
        <v>0</v>
      </c>
      <c r="U42" s="1470">
        <f>SUM(BT42:BV42)</f>
        <v>0</v>
      </c>
      <c r="V42" s="1470">
        <f>SUM(BW42:BY42)</f>
        <v>0</v>
      </c>
      <c r="W42" s="1470">
        <f>SUM(BZ42:CB42)</f>
        <v>0</v>
      </c>
      <c r="X42" s="1470">
        <f>SUM(CC42:CE42)</f>
        <v>0</v>
      </c>
      <c r="Y42" s="1470">
        <f>SUM(CF42:CH42)</f>
        <v>0</v>
      </c>
      <c r="Z42" s="1470">
        <f>SUM(CI42:CK42)</f>
        <v>0</v>
      </c>
      <c r="AA42" s="1470">
        <f>SUM(CL42:CN42)</f>
        <v>0</v>
      </c>
      <c r="AB42" s="1470">
        <f>SUM(CO42:CQ42)</f>
        <v>0</v>
      </c>
      <c r="AC42" s="1470">
        <f>SUM(CR42:CT42)</f>
        <v>0</v>
      </c>
      <c r="AD42" s="1470">
        <f>SUM(CU42:CW42)</f>
        <v>0</v>
      </c>
      <c r="AE42" s="1470">
        <f>SUM(CX42:CZ42)</f>
        <v>0</v>
      </c>
      <c r="AF42" s="1470">
        <f>SUM(DA42:DC42)</f>
        <v>0</v>
      </c>
      <c r="AG42" s="1470">
        <f>SUM(DD42:DF42)</f>
        <v>0</v>
      </c>
      <c r="AH42" s="1470">
        <f>SUM(DG42:DI42)</f>
        <v>39417.267715806505</v>
      </c>
      <c r="AI42" s="1470">
        <f>SUM(DJ42:DL42)</f>
        <v>327974.592879484</v>
      </c>
      <c r="AJ42" s="1470">
        <f>SUM(DM42:DO42)</f>
        <v>282818.67231379164</v>
      </c>
      <c r="AK42" s="1470">
        <f>SUM(DP42:DR42)</f>
        <v>403095.43397184176</v>
      </c>
      <c r="AL42" s="1470">
        <f>SUM(DS42:DU42)</f>
        <v>768578.05314484122</v>
      </c>
      <c r="AM42" s="1470">
        <f>SUM(DV42:DX42)</f>
        <v>2134968.4178354586</v>
      </c>
      <c r="AN42" s="1470">
        <f>SUM(DY42:EA42)</f>
        <v>1616027.164171841</v>
      </c>
      <c r="AO42" s="1470">
        <f>SUM(EB42:ED42)</f>
        <v>1453209.207284672</v>
      </c>
      <c r="AP42" s="1470">
        <f>SUM(EE42:EG42)</f>
        <v>1804322.4821688812</v>
      </c>
      <c r="AQ42" s="1470">
        <f>SUM(EH42:EJ42)</f>
        <v>3538186.7026701658</v>
      </c>
      <c r="AR42" s="1470">
        <f>SUM(EK42:EM42)</f>
        <v>2868771.7552433871</v>
      </c>
      <c r="AS42" s="1470">
        <f>SUM(EN42:EP42)</f>
        <v>2957685.8916366524</v>
      </c>
      <c r="AT42" s="1470">
        <f>SUM(EQ42:ES42)</f>
        <v>3522598.5563381994</v>
      </c>
      <c r="AU42" s="1470">
        <f>SUM(ET42:EV42)</f>
        <v>5593016.908075612</v>
      </c>
      <c r="AV42" s="1470">
        <f>SUM(EW42:EY42)</f>
        <v>4750206.6357241161</v>
      </c>
      <c r="AW42" s="1470">
        <f>SUM(EZ42:FB42)</f>
        <v>5342636.0065301629</v>
      </c>
      <c r="DG42" s="1478">
        <f>'Bookings Waterfall'!H51-DG37</f>
        <v>-16290.40922259633</v>
      </c>
      <c r="DH42" s="1478">
        <f>'Bookings Waterfall'!I51-DH37</f>
        <v>4708.3481080041565</v>
      </c>
      <c r="DI42" s="1478">
        <f>'Bookings Waterfall'!J51-DI37</f>
        <v>50999.328830398677</v>
      </c>
      <c r="DJ42" s="1478">
        <f>'Bookings Waterfall'!K51-DJ37</f>
        <v>145416.62527120818</v>
      </c>
      <c r="DK42" s="1478">
        <f>'Bookings Waterfall'!L51-DK37</f>
        <v>116513.50201053257</v>
      </c>
      <c r="DL42" s="1478">
        <f>'Bookings Waterfall'!M51-DL37</f>
        <v>66044.465597743241</v>
      </c>
      <c r="DM42" s="1478">
        <f>'Bookings Waterfall'!N51-DM37</f>
        <v>151277.38026477315</v>
      </c>
      <c r="DN42" s="1478">
        <f>'Bookings Waterfall'!O51-DN37</f>
        <v>95172.353600083792</v>
      </c>
      <c r="DO42" s="1478">
        <f>'Bookings Waterfall'!P51-DO37</f>
        <v>36368.938448934699</v>
      </c>
      <c r="DP42" s="1478">
        <f>'Bookings Waterfall'!Q51-DP37</f>
        <v>181943.79434844226</v>
      </c>
      <c r="DQ42" s="1478">
        <f>'Bookings Waterfall'!R51-DQ37</f>
        <v>102981.12349846438</v>
      </c>
      <c r="DR42" s="1478">
        <f>'Bookings Waterfall'!S51-DR37</f>
        <v>118170.51612493512</v>
      </c>
      <c r="DS42" s="1478">
        <f>'Bookings Waterfall'!T51-DS37</f>
        <v>333770.97751385218</v>
      </c>
      <c r="DT42" s="1478">
        <f>'Bookings Waterfall'!U51-DT37</f>
        <v>202973.3043757914</v>
      </c>
      <c r="DU42" s="1478">
        <f>'Bookings Waterfall'!V51-DU37</f>
        <v>231833.7712551977</v>
      </c>
      <c r="DV42" s="1478">
        <f>'Bookings Waterfall'!W51-DV37</f>
        <v>971157.1900164953</v>
      </c>
      <c r="DW42" s="1478">
        <f>'Bookings Waterfall'!X51-DW37</f>
        <v>764995.77781587176</v>
      </c>
      <c r="DX42" s="1478">
        <f>'Bookings Waterfall'!Y51-DX37</f>
        <v>398815.45000309183</v>
      </c>
      <c r="DY42" s="1478">
        <f>'Bookings Waterfall'!Z51-DY37</f>
        <v>1098672.9634689102</v>
      </c>
      <c r="DZ42" s="1478">
        <f>'Bookings Waterfall'!AA51-DZ37</f>
        <v>570677.76875554072</v>
      </c>
      <c r="EA42" s="1478">
        <f>'Bookings Waterfall'!AB51-EA37</f>
        <v>-53323.568052609917</v>
      </c>
      <c r="EB42" s="1478">
        <f>'Bookings Waterfall'!AC51-EB37</f>
        <v>783579.59786030627</v>
      </c>
      <c r="EC42" s="1478">
        <f>'Bookings Waterfall'!AD51-EC37</f>
        <v>356593.7948689363</v>
      </c>
      <c r="ED42" s="1478">
        <f>'Bookings Waterfall'!AE51-ED37</f>
        <v>313035.81455542939</v>
      </c>
      <c r="EE42" s="1478">
        <f>'Bookings Waterfall'!AF51-EE37</f>
        <v>1468346.1550714977</v>
      </c>
      <c r="EF42" s="1478">
        <f>'Bookings Waterfall'!AG51-EF37</f>
        <v>487956.20938602905</v>
      </c>
      <c r="EG42" s="1478">
        <f>'Bookings Waterfall'!AH51-EG37</f>
        <v>-151979.88228864549</v>
      </c>
      <c r="EH42" s="1478">
        <f>'Bookings Waterfall'!AI51-EH37</f>
        <v>1714669.3267816198</v>
      </c>
      <c r="EI42" s="1478">
        <f>'Bookings Waterfall'!AJ51-EI37</f>
        <v>1298829.6377648907</v>
      </c>
      <c r="EJ42" s="1478">
        <f>'Bookings Waterfall'!AK51-EJ37</f>
        <v>524687.73812365532</v>
      </c>
      <c r="EK42" s="1478">
        <f>'Bookings Waterfall'!AL51-EK37</f>
        <v>2285259.1145549784</v>
      </c>
      <c r="EL42" s="1478">
        <f>'Bookings Waterfall'!AM51-EL37</f>
        <v>1024845.7996433112</v>
      </c>
      <c r="EM42" s="1478">
        <f>'Bookings Waterfall'!AN51-EM37</f>
        <v>-441333.15895490255</v>
      </c>
      <c r="EN42" s="1478">
        <f>'Bookings Waterfall'!AO51-EN37</f>
        <v>1592732.2452359046</v>
      </c>
      <c r="EO42" s="1478">
        <f>'Bookings Waterfall'!AP51-EO37</f>
        <v>692265.05511898454</v>
      </c>
      <c r="EP42" s="1478">
        <f>'Bookings Waterfall'!AQ51-EP37</f>
        <v>672688.59128176328</v>
      </c>
      <c r="EQ42" s="1478">
        <f>'Bookings Waterfall'!AR51-EQ37</f>
        <v>3407222.5481209662</v>
      </c>
      <c r="ER42" s="1478">
        <f>'Bookings Waterfall'!AS51-ER37</f>
        <v>966926.73434588499</v>
      </c>
      <c r="ES42" s="1478">
        <f>'Bookings Waterfall'!AT51-ES37</f>
        <v>-851550.72612865176</v>
      </c>
      <c r="ET42" s="1478">
        <f>'Bookings Waterfall'!AU51-ET37</f>
        <v>2834341.4083118541</v>
      </c>
      <c r="EU42" s="1478">
        <f>'Bookings Waterfall'!AV51-EU37</f>
        <v>2089226.2715001488</v>
      </c>
      <c r="EV42" s="1478">
        <f>'Bookings Waterfall'!AW51-EV37</f>
        <v>669449.22826360911</v>
      </c>
      <c r="EW42" s="1478">
        <f>'Bookings Waterfall'!AX51-EW37</f>
        <v>4141103.2017087517</v>
      </c>
      <c r="EX42" s="1478">
        <f>'Bookings Waterfall'!AY51-EX37</f>
        <v>1708873.4160323711</v>
      </c>
      <c r="EY42" s="1478">
        <f>'Bookings Waterfall'!AZ51-EY37</f>
        <v>-1099769.9820170067</v>
      </c>
      <c r="EZ42" s="1478">
        <f>'Bookings Waterfall'!BA51-EZ37</f>
        <v>2868257.1153937625</v>
      </c>
      <c r="FA42" s="1478">
        <f>'Bookings Waterfall'!BB51-FA37</f>
        <v>1218995.5858305842</v>
      </c>
      <c r="FB42" s="1478">
        <f>'Bookings Waterfall'!BC51-FB37</f>
        <v>1255383.3053058162</v>
      </c>
    </row>
    <row r="43" spans="3:158" x14ac:dyDescent="0.25">
      <c r="C43" s="1" t="s">
        <v>905</v>
      </c>
      <c r="D43" s="1479">
        <f t="shared" ref="D43:L43" si="128">D40+D42</f>
        <v>0</v>
      </c>
      <c r="E43" s="1479">
        <f t="shared" si="128"/>
        <v>0</v>
      </c>
      <c r="F43" s="1479">
        <f t="shared" si="128"/>
        <v>0</v>
      </c>
      <c r="G43" s="1479">
        <f t="shared" si="128"/>
        <v>0</v>
      </c>
      <c r="H43" s="1479">
        <f t="shared" si="128"/>
        <v>768.64409674416311</v>
      </c>
      <c r="I43" s="1479">
        <f t="shared" si="128"/>
        <v>1365419.7613843</v>
      </c>
      <c r="J43" s="1479">
        <f t="shared" si="128"/>
        <v>10234635.242958926</v>
      </c>
      <c r="K43" s="1479">
        <f t="shared" si="128"/>
        <v>28793461.085493203</v>
      </c>
      <c r="L43" s="1479">
        <f t="shared" si="128"/>
        <v>59562513.399465948</v>
      </c>
      <c r="N43" s="1480">
        <f t="shared" ref="N43:AW43" si="129">N42+N40</f>
        <v>0</v>
      </c>
      <c r="O43" s="1480">
        <f t="shared" si="129"/>
        <v>0</v>
      </c>
      <c r="P43" s="1480">
        <f t="shared" si="129"/>
        <v>0</v>
      </c>
      <c r="Q43" s="1480">
        <f t="shared" si="129"/>
        <v>0</v>
      </c>
      <c r="R43" s="1480">
        <f t="shared" si="129"/>
        <v>0</v>
      </c>
      <c r="S43" s="1480">
        <f t="shared" si="129"/>
        <v>0</v>
      </c>
      <c r="T43" s="1480">
        <f t="shared" si="129"/>
        <v>0</v>
      </c>
      <c r="U43" s="1480">
        <f t="shared" si="129"/>
        <v>0</v>
      </c>
      <c r="V43" s="1480">
        <f t="shared" si="129"/>
        <v>0</v>
      </c>
      <c r="W43" s="1480">
        <f t="shared" si="129"/>
        <v>0</v>
      </c>
      <c r="X43" s="1480">
        <f t="shared" si="129"/>
        <v>0</v>
      </c>
      <c r="Y43" s="1480">
        <f t="shared" si="129"/>
        <v>0</v>
      </c>
      <c r="Z43" s="1480">
        <f t="shared" si="129"/>
        <v>0</v>
      </c>
      <c r="AA43" s="1480">
        <f t="shared" si="129"/>
        <v>0</v>
      </c>
      <c r="AB43" s="1480">
        <f t="shared" si="129"/>
        <v>0</v>
      </c>
      <c r="AC43" s="1480">
        <f t="shared" si="129"/>
        <v>0</v>
      </c>
      <c r="AD43" s="1480">
        <f t="shared" si="129"/>
        <v>-173.44052899262215</v>
      </c>
      <c r="AE43" s="1480">
        <f t="shared" si="129"/>
        <v>-221.64674795006567</v>
      </c>
      <c r="AF43" s="1480">
        <f t="shared" si="129"/>
        <v>1669.7470759779571</v>
      </c>
      <c r="AG43" s="1480">
        <f t="shared" si="129"/>
        <v>-506.01570229110621</v>
      </c>
      <c r="AH43" s="1480">
        <f t="shared" si="129"/>
        <v>38569.691951187124</v>
      </c>
      <c r="AI43" s="1480">
        <f t="shared" si="129"/>
        <v>335363.16764861555</v>
      </c>
      <c r="AJ43" s="1480">
        <f t="shared" si="129"/>
        <v>398608.60657850432</v>
      </c>
      <c r="AK43" s="1480">
        <f t="shared" si="129"/>
        <v>592878.29520599311</v>
      </c>
      <c r="AL43" s="1480">
        <f t="shared" si="129"/>
        <v>1168900.4882407582</v>
      </c>
      <c r="AM43" s="1480">
        <f t="shared" si="129"/>
        <v>2704573.7463820847</v>
      </c>
      <c r="AN43" s="1480">
        <f t="shared" si="129"/>
        <v>2975272.0379161905</v>
      </c>
      <c r="AO43" s="1480">
        <f t="shared" si="129"/>
        <v>3385888.9704198912</v>
      </c>
      <c r="AP43" s="1480">
        <f t="shared" si="129"/>
        <v>4799970.3128193235</v>
      </c>
      <c r="AQ43" s="1480">
        <f t="shared" si="129"/>
        <v>7210628.9212134359</v>
      </c>
      <c r="AR43" s="1480">
        <f t="shared" si="129"/>
        <v>7875566.3855806515</v>
      </c>
      <c r="AS43" s="1480">
        <f t="shared" si="129"/>
        <v>8907295.4658797923</v>
      </c>
      <c r="AT43" s="1480">
        <f t="shared" si="129"/>
        <v>11296614.215967827</v>
      </c>
      <c r="AU43" s="1480">
        <f t="shared" si="129"/>
        <v>14515656.741057936</v>
      </c>
      <c r="AV43" s="1480">
        <f t="shared" si="129"/>
        <v>15829709.123566486</v>
      </c>
      <c r="AW43" s="1480">
        <f t="shared" si="129"/>
        <v>17920533.318873685</v>
      </c>
      <c r="DG43" s="530"/>
      <c r="DH43" s="530"/>
      <c r="DI43" s="530"/>
      <c r="DJ43" s="530"/>
      <c r="DK43" s="530"/>
      <c r="DL43" s="530"/>
      <c r="DM43" s="530"/>
      <c r="DN43" s="530"/>
      <c r="DO43" s="530"/>
      <c r="DP43" s="530"/>
      <c r="DQ43" s="530"/>
      <c r="DR43" s="530"/>
      <c r="DS43" s="530"/>
      <c r="DT43" s="530"/>
      <c r="DU43" s="530"/>
      <c r="DV43" s="530"/>
      <c r="DW43" s="530"/>
      <c r="DX43" s="530"/>
      <c r="DY43" s="530"/>
      <c r="DZ43" s="530"/>
      <c r="EA43" s="530"/>
      <c r="EB43" s="530"/>
      <c r="EC43" s="530"/>
      <c r="ED43" s="530"/>
      <c r="EE43" s="530"/>
      <c r="EF43" s="530"/>
      <c r="EG43" s="530"/>
      <c r="EH43" s="530"/>
      <c r="EI43" s="530"/>
      <c r="EJ43" s="530"/>
      <c r="EK43" s="530"/>
      <c r="EL43" s="530"/>
      <c r="EM43" s="530"/>
      <c r="EN43" s="530"/>
      <c r="EO43" s="530"/>
      <c r="EP43" s="530"/>
      <c r="EQ43" s="530"/>
      <c r="ER43" s="530"/>
      <c r="ES43" s="530"/>
      <c r="ET43" s="530"/>
      <c r="EU43" s="530"/>
      <c r="EV43" s="530"/>
      <c r="EW43" s="530"/>
      <c r="EX43" s="530"/>
      <c r="EY43" s="530"/>
      <c r="EZ43" s="530"/>
      <c r="FA43" s="530"/>
      <c r="FB43" s="530"/>
    </row>
    <row r="45" spans="3:158" x14ac:dyDescent="0.25">
      <c r="C45" t="s">
        <v>904</v>
      </c>
      <c r="D45" s="529"/>
      <c r="E45" s="529"/>
      <c r="F45" s="529"/>
      <c r="G45" s="529"/>
      <c r="H45" s="422">
        <v>7.9000000000000001E-2</v>
      </c>
      <c r="I45" s="422">
        <v>7.9000000000000001E-2</v>
      </c>
      <c r="J45" s="422">
        <v>7.9000000000000001E-2</v>
      </c>
      <c r="K45" s="422">
        <v>7.9000000000000001E-2</v>
      </c>
      <c r="L45" s="422">
        <v>7.9000000000000001E-2</v>
      </c>
      <c r="AY45" s="260" t="str">
        <f t="shared" ref="AY45:CD45" si="130">IFERROR(INDEX($G$45:$L$45,MATCH(AY2,$G$2:$L$2,0)),"")</f>
        <v/>
      </c>
      <c r="AZ45" s="260" t="str">
        <f t="shared" si="130"/>
        <v/>
      </c>
      <c r="BA45" s="260" t="str">
        <f t="shared" si="130"/>
        <v/>
      </c>
      <c r="BB45" s="260" t="str">
        <f t="shared" si="130"/>
        <v/>
      </c>
      <c r="BC45" s="260" t="str">
        <f t="shared" si="130"/>
        <v/>
      </c>
      <c r="BD45" s="260" t="str">
        <f t="shared" si="130"/>
        <v/>
      </c>
      <c r="BE45" s="260" t="str">
        <f t="shared" si="130"/>
        <v/>
      </c>
      <c r="BF45" s="260" t="str">
        <f t="shared" si="130"/>
        <v/>
      </c>
      <c r="BG45" s="260" t="str">
        <f t="shared" si="130"/>
        <v/>
      </c>
      <c r="BH45" s="260" t="str">
        <f t="shared" si="130"/>
        <v/>
      </c>
      <c r="BI45" s="260" t="str">
        <f t="shared" si="130"/>
        <v/>
      </c>
      <c r="BJ45" s="260" t="str">
        <f t="shared" si="130"/>
        <v/>
      </c>
      <c r="BK45" s="260" t="str">
        <f t="shared" si="130"/>
        <v/>
      </c>
      <c r="BL45" s="260" t="str">
        <f t="shared" si="130"/>
        <v/>
      </c>
      <c r="BM45" s="260" t="str">
        <f t="shared" si="130"/>
        <v/>
      </c>
      <c r="BN45" s="260" t="str">
        <f t="shared" si="130"/>
        <v/>
      </c>
      <c r="BO45" s="260" t="str">
        <f t="shared" si="130"/>
        <v/>
      </c>
      <c r="BP45" s="260" t="str">
        <f t="shared" si="130"/>
        <v/>
      </c>
      <c r="BQ45" s="260" t="str">
        <f t="shared" si="130"/>
        <v/>
      </c>
      <c r="BR45" s="260" t="str">
        <f t="shared" si="130"/>
        <v/>
      </c>
      <c r="BS45" s="260" t="str">
        <f t="shared" si="130"/>
        <v/>
      </c>
      <c r="BT45" s="260" t="str">
        <f t="shared" si="130"/>
        <v/>
      </c>
      <c r="BU45" s="260" t="str">
        <f t="shared" si="130"/>
        <v/>
      </c>
      <c r="BV45" s="260" t="str">
        <f t="shared" si="130"/>
        <v/>
      </c>
      <c r="BW45" s="260" t="str">
        <f t="shared" si="130"/>
        <v/>
      </c>
      <c r="BX45" s="260" t="str">
        <f t="shared" si="130"/>
        <v/>
      </c>
      <c r="BY45" s="260" t="str">
        <f t="shared" si="130"/>
        <v/>
      </c>
      <c r="BZ45" s="260" t="str">
        <f t="shared" si="130"/>
        <v/>
      </c>
      <c r="CA45" s="260" t="str">
        <f t="shared" si="130"/>
        <v/>
      </c>
      <c r="CB45" s="260" t="str">
        <f t="shared" si="130"/>
        <v/>
      </c>
      <c r="CC45" s="260" t="str">
        <f t="shared" si="130"/>
        <v/>
      </c>
      <c r="CD45" s="260" t="str">
        <f t="shared" si="130"/>
        <v/>
      </c>
      <c r="CE45" s="260" t="str">
        <f t="shared" ref="CE45:DJ45" si="131">IFERROR(INDEX($G$45:$L$45,MATCH(CE2,$G$2:$L$2,0)),"")</f>
        <v/>
      </c>
      <c r="CF45" s="260" t="str">
        <f t="shared" si="131"/>
        <v/>
      </c>
      <c r="CG45" s="260" t="str">
        <f t="shared" si="131"/>
        <v/>
      </c>
      <c r="CH45" s="260" t="str">
        <f t="shared" si="131"/>
        <v/>
      </c>
      <c r="CI45" s="1481">
        <f t="shared" si="131"/>
        <v>0</v>
      </c>
      <c r="CJ45" s="1481">
        <f t="shared" si="131"/>
        <v>0</v>
      </c>
      <c r="CK45" s="1481">
        <f t="shared" si="131"/>
        <v>0</v>
      </c>
      <c r="CL45" s="1481">
        <f t="shared" si="131"/>
        <v>0</v>
      </c>
      <c r="CM45" s="1481">
        <f t="shared" si="131"/>
        <v>0</v>
      </c>
      <c r="CN45" s="1481">
        <f t="shared" si="131"/>
        <v>0</v>
      </c>
      <c r="CO45" s="1481">
        <f t="shared" si="131"/>
        <v>0</v>
      </c>
      <c r="CP45" s="1481">
        <f t="shared" si="131"/>
        <v>0</v>
      </c>
      <c r="CQ45" s="1481">
        <f t="shared" si="131"/>
        <v>0</v>
      </c>
      <c r="CR45" s="1481">
        <f t="shared" si="131"/>
        <v>0</v>
      </c>
      <c r="CS45" s="1481">
        <f t="shared" si="131"/>
        <v>0</v>
      </c>
      <c r="CT45" s="1481">
        <f t="shared" si="131"/>
        <v>0</v>
      </c>
      <c r="CU45" s="1481">
        <f t="shared" si="131"/>
        <v>7.9000000000000001E-2</v>
      </c>
      <c r="CV45" s="1481">
        <f t="shared" si="131"/>
        <v>7.9000000000000001E-2</v>
      </c>
      <c r="CW45" s="1481">
        <f t="shared" si="131"/>
        <v>7.9000000000000001E-2</v>
      </c>
      <c r="CX45" s="1481">
        <f t="shared" si="131"/>
        <v>7.9000000000000001E-2</v>
      </c>
      <c r="CY45" s="1481">
        <f t="shared" si="131"/>
        <v>7.9000000000000001E-2</v>
      </c>
      <c r="CZ45" s="1481">
        <f t="shared" si="131"/>
        <v>7.9000000000000001E-2</v>
      </c>
      <c r="DA45" s="1481">
        <f t="shared" si="131"/>
        <v>7.9000000000000001E-2</v>
      </c>
      <c r="DB45" s="1481">
        <f t="shared" si="131"/>
        <v>7.9000000000000001E-2</v>
      </c>
      <c r="DC45" s="1481">
        <f t="shared" si="131"/>
        <v>7.9000000000000001E-2</v>
      </c>
      <c r="DD45" s="1481">
        <f t="shared" si="131"/>
        <v>7.9000000000000001E-2</v>
      </c>
      <c r="DE45" s="1481">
        <f t="shared" si="131"/>
        <v>7.9000000000000001E-2</v>
      </c>
      <c r="DF45" s="1481">
        <f t="shared" si="131"/>
        <v>7.9000000000000001E-2</v>
      </c>
      <c r="DG45" s="1481">
        <f t="shared" si="131"/>
        <v>7.9000000000000001E-2</v>
      </c>
      <c r="DH45" s="1481">
        <f t="shared" si="131"/>
        <v>7.9000000000000001E-2</v>
      </c>
      <c r="DI45" s="1481">
        <f t="shared" si="131"/>
        <v>7.9000000000000001E-2</v>
      </c>
      <c r="DJ45" s="1481">
        <f t="shared" si="131"/>
        <v>7.9000000000000001E-2</v>
      </c>
      <c r="DK45" s="1481">
        <f t="shared" ref="DK45:EP45" si="132">IFERROR(INDEX($G$45:$L$45,MATCH(DK2,$G$2:$L$2,0)),"")</f>
        <v>7.9000000000000001E-2</v>
      </c>
      <c r="DL45" s="1481">
        <f t="shared" si="132"/>
        <v>7.9000000000000001E-2</v>
      </c>
      <c r="DM45" s="1481">
        <f t="shared" si="132"/>
        <v>7.9000000000000001E-2</v>
      </c>
      <c r="DN45" s="1481">
        <f t="shared" si="132"/>
        <v>7.9000000000000001E-2</v>
      </c>
      <c r="DO45" s="1481">
        <f t="shared" si="132"/>
        <v>7.9000000000000001E-2</v>
      </c>
      <c r="DP45" s="1481">
        <f t="shared" si="132"/>
        <v>7.9000000000000001E-2</v>
      </c>
      <c r="DQ45" s="1481">
        <f t="shared" si="132"/>
        <v>7.9000000000000001E-2</v>
      </c>
      <c r="DR45" s="1481">
        <f t="shared" si="132"/>
        <v>7.9000000000000001E-2</v>
      </c>
      <c r="DS45" s="1481">
        <f t="shared" si="132"/>
        <v>7.9000000000000001E-2</v>
      </c>
      <c r="DT45" s="1481">
        <f t="shared" si="132"/>
        <v>7.9000000000000001E-2</v>
      </c>
      <c r="DU45" s="1481">
        <f t="shared" si="132"/>
        <v>7.9000000000000001E-2</v>
      </c>
      <c r="DV45" s="1481">
        <f t="shared" si="132"/>
        <v>7.9000000000000001E-2</v>
      </c>
      <c r="DW45" s="1481">
        <f t="shared" si="132"/>
        <v>7.9000000000000001E-2</v>
      </c>
      <c r="DX45" s="1481">
        <f t="shared" si="132"/>
        <v>7.9000000000000001E-2</v>
      </c>
      <c r="DY45" s="1481">
        <f t="shared" si="132"/>
        <v>7.9000000000000001E-2</v>
      </c>
      <c r="DZ45" s="1481">
        <f t="shared" si="132"/>
        <v>7.9000000000000001E-2</v>
      </c>
      <c r="EA45" s="1481">
        <f t="shared" si="132"/>
        <v>7.9000000000000001E-2</v>
      </c>
      <c r="EB45" s="1481">
        <f t="shared" si="132"/>
        <v>7.9000000000000001E-2</v>
      </c>
      <c r="EC45" s="1481">
        <f t="shared" si="132"/>
        <v>7.9000000000000001E-2</v>
      </c>
      <c r="ED45" s="1481">
        <f t="shared" si="132"/>
        <v>7.9000000000000001E-2</v>
      </c>
      <c r="EE45" s="1481">
        <f t="shared" si="132"/>
        <v>7.9000000000000001E-2</v>
      </c>
      <c r="EF45" s="1481">
        <f t="shared" si="132"/>
        <v>7.9000000000000001E-2</v>
      </c>
      <c r="EG45" s="1481">
        <f t="shared" si="132"/>
        <v>7.9000000000000001E-2</v>
      </c>
      <c r="EH45" s="1481">
        <f t="shared" si="132"/>
        <v>7.9000000000000001E-2</v>
      </c>
      <c r="EI45" s="1481">
        <f t="shared" si="132"/>
        <v>7.9000000000000001E-2</v>
      </c>
      <c r="EJ45" s="1481">
        <f t="shared" si="132"/>
        <v>7.9000000000000001E-2</v>
      </c>
      <c r="EK45" s="1481">
        <f t="shared" si="132"/>
        <v>7.9000000000000001E-2</v>
      </c>
      <c r="EL45" s="1481">
        <f t="shared" si="132"/>
        <v>7.9000000000000001E-2</v>
      </c>
      <c r="EM45" s="1481">
        <f t="shared" si="132"/>
        <v>7.9000000000000001E-2</v>
      </c>
      <c r="EN45" s="1481">
        <f t="shared" si="132"/>
        <v>7.9000000000000001E-2</v>
      </c>
      <c r="EO45" s="1481">
        <f t="shared" si="132"/>
        <v>7.9000000000000001E-2</v>
      </c>
      <c r="EP45" s="1481">
        <f t="shared" si="132"/>
        <v>7.9000000000000001E-2</v>
      </c>
      <c r="EQ45" s="1481">
        <f t="shared" ref="EQ45:FB45" si="133">IFERROR(INDEX($G$45:$L$45,MATCH(EQ2,$G$2:$L$2,0)),"")</f>
        <v>7.9000000000000001E-2</v>
      </c>
      <c r="ER45" s="1481">
        <f t="shared" si="133"/>
        <v>7.9000000000000001E-2</v>
      </c>
      <c r="ES45" s="1481">
        <f t="shared" si="133"/>
        <v>7.9000000000000001E-2</v>
      </c>
      <c r="ET45" s="1481">
        <f t="shared" si="133"/>
        <v>7.9000000000000001E-2</v>
      </c>
      <c r="EU45" s="1481">
        <f t="shared" si="133"/>
        <v>7.9000000000000001E-2</v>
      </c>
      <c r="EV45" s="1481">
        <f t="shared" si="133"/>
        <v>7.9000000000000001E-2</v>
      </c>
      <c r="EW45" s="1481">
        <f t="shared" si="133"/>
        <v>7.9000000000000001E-2</v>
      </c>
      <c r="EX45" s="1481">
        <f t="shared" si="133"/>
        <v>7.9000000000000001E-2</v>
      </c>
      <c r="EY45" s="1481">
        <f t="shared" si="133"/>
        <v>7.9000000000000001E-2</v>
      </c>
      <c r="EZ45" s="1481">
        <f t="shared" si="133"/>
        <v>7.9000000000000001E-2</v>
      </c>
      <c r="FA45" s="1481">
        <f t="shared" si="133"/>
        <v>7.9000000000000001E-2</v>
      </c>
      <c r="FB45" s="1481">
        <f t="shared" si="133"/>
        <v>7.9000000000000001E-2</v>
      </c>
    </row>
    <row r="46" spans="3:158" x14ac:dyDescent="0.25">
      <c r="C46" t="s">
        <v>863</v>
      </c>
      <c r="H46" s="422">
        <v>0.7</v>
      </c>
      <c r="I46" s="422">
        <v>0.7</v>
      </c>
      <c r="J46" s="422">
        <v>0.7</v>
      </c>
      <c r="K46" s="422">
        <v>0.7</v>
      </c>
      <c r="L46" s="422">
        <v>0.7</v>
      </c>
      <c r="AY46" t="str">
        <f t="shared" ref="AY46:CD46" si="134">IFERROR(INDEX($G$46:$L$46,MATCH(AY$2,$G$2:$L$2,0)),"")</f>
        <v/>
      </c>
      <c r="AZ46" t="str">
        <f t="shared" si="134"/>
        <v/>
      </c>
      <c r="BA46" t="str">
        <f t="shared" si="134"/>
        <v/>
      </c>
      <c r="BB46" t="str">
        <f t="shared" si="134"/>
        <v/>
      </c>
      <c r="BC46" t="str">
        <f t="shared" si="134"/>
        <v/>
      </c>
      <c r="BD46" t="str">
        <f t="shared" si="134"/>
        <v/>
      </c>
      <c r="BE46" t="str">
        <f t="shared" si="134"/>
        <v/>
      </c>
      <c r="BF46" t="str">
        <f t="shared" si="134"/>
        <v/>
      </c>
      <c r="BG46" t="str">
        <f t="shared" si="134"/>
        <v/>
      </c>
      <c r="BH46" t="str">
        <f t="shared" si="134"/>
        <v/>
      </c>
      <c r="BI46" t="str">
        <f t="shared" si="134"/>
        <v/>
      </c>
      <c r="BJ46" t="str">
        <f t="shared" si="134"/>
        <v/>
      </c>
      <c r="BK46" t="str">
        <f t="shared" si="134"/>
        <v/>
      </c>
      <c r="BL46" t="str">
        <f t="shared" si="134"/>
        <v/>
      </c>
      <c r="BM46" t="str">
        <f t="shared" si="134"/>
        <v/>
      </c>
      <c r="BN46" t="str">
        <f t="shared" si="134"/>
        <v/>
      </c>
      <c r="BO46" t="str">
        <f t="shared" si="134"/>
        <v/>
      </c>
      <c r="BP46" t="str">
        <f t="shared" si="134"/>
        <v/>
      </c>
      <c r="BQ46" t="str">
        <f t="shared" si="134"/>
        <v/>
      </c>
      <c r="BR46" t="str">
        <f t="shared" si="134"/>
        <v/>
      </c>
      <c r="BS46" t="str">
        <f t="shared" si="134"/>
        <v/>
      </c>
      <c r="BT46" t="str">
        <f t="shared" si="134"/>
        <v/>
      </c>
      <c r="BU46" t="str">
        <f t="shared" si="134"/>
        <v/>
      </c>
      <c r="BV46" t="str">
        <f t="shared" si="134"/>
        <v/>
      </c>
      <c r="BW46" t="str">
        <f t="shared" si="134"/>
        <v/>
      </c>
      <c r="BX46" t="str">
        <f t="shared" si="134"/>
        <v/>
      </c>
      <c r="BY46" t="str">
        <f t="shared" si="134"/>
        <v/>
      </c>
      <c r="BZ46" t="str">
        <f t="shared" si="134"/>
        <v/>
      </c>
      <c r="CA46" t="str">
        <f t="shared" si="134"/>
        <v/>
      </c>
      <c r="CB46" t="str">
        <f t="shared" si="134"/>
        <v/>
      </c>
      <c r="CC46" t="str">
        <f t="shared" si="134"/>
        <v/>
      </c>
      <c r="CD46" t="str">
        <f t="shared" si="134"/>
        <v/>
      </c>
      <c r="CE46" t="str">
        <f t="shared" ref="CE46:DJ46" si="135">IFERROR(INDEX($G$46:$L$46,MATCH(CE$2,$G$2:$L$2,0)),"")</f>
        <v/>
      </c>
      <c r="CF46" t="str">
        <f t="shared" si="135"/>
        <v/>
      </c>
      <c r="CG46" t="str">
        <f t="shared" si="135"/>
        <v/>
      </c>
      <c r="CH46" t="str">
        <f t="shared" si="135"/>
        <v/>
      </c>
      <c r="CI46" s="1481">
        <f t="shared" si="135"/>
        <v>0</v>
      </c>
      <c r="CJ46" s="1481">
        <f t="shared" si="135"/>
        <v>0</v>
      </c>
      <c r="CK46" s="1481">
        <f t="shared" si="135"/>
        <v>0</v>
      </c>
      <c r="CL46" s="1481">
        <f t="shared" si="135"/>
        <v>0</v>
      </c>
      <c r="CM46" s="1481">
        <f t="shared" si="135"/>
        <v>0</v>
      </c>
      <c r="CN46" s="1481">
        <f t="shared" si="135"/>
        <v>0</v>
      </c>
      <c r="CO46" s="1481">
        <f t="shared" si="135"/>
        <v>0</v>
      </c>
      <c r="CP46" s="1481">
        <f t="shared" si="135"/>
        <v>0</v>
      </c>
      <c r="CQ46" s="1481">
        <f t="shared" si="135"/>
        <v>0</v>
      </c>
      <c r="CR46" s="1481">
        <f t="shared" si="135"/>
        <v>0</v>
      </c>
      <c r="CS46" s="1481">
        <f t="shared" si="135"/>
        <v>0</v>
      </c>
      <c r="CT46" s="1481">
        <f t="shared" si="135"/>
        <v>0</v>
      </c>
      <c r="CU46" s="1481">
        <f t="shared" si="135"/>
        <v>0.7</v>
      </c>
      <c r="CV46" s="1481">
        <f t="shared" si="135"/>
        <v>0.7</v>
      </c>
      <c r="CW46" s="1481">
        <f t="shared" si="135"/>
        <v>0.7</v>
      </c>
      <c r="CX46" s="1481">
        <f t="shared" si="135"/>
        <v>0.7</v>
      </c>
      <c r="CY46" s="1481">
        <f t="shared" si="135"/>
        <v>0.7</v>
      </c>
      <c r="CZ46" s="1481">
        <f t="shared" si="135"/>
        <v>0.7</v>
      </c>
      <c r="DA46" s="1481">
        <f t="shared" si="135"/>
        <v>0.7</v>
      </c>
      <c r="DB46" s="1481">
        <f t="shared" si="135"/>
        <v>0.7</v>
      </c>
      <c r="DC46" s="1481">
        <f t="shared" si="135"/>
        <v>0.7</v>
      </c>
      <c r="DD46" s="1481">
        <f t="shared" si="135"/>
        <v>0.7</v>
      </c>
      <c r="DE46" s="1481">
        <f t="shared" si="135"/>
        <v>0.7</v>
      </c>
      <c r="DF46" s="1481">
        <f t="shared" si="135"/>
        <v>0.7</v>
      </c>
      <c r="DG46" s="1481">
        <f t="shared" si="135"/>
        <v>0.7</v>
      </c>
      <c r="DH46" s="1481">
        <f t="shared" si="135"/>
        <v>0.7</v>
      </c>
      <c r="DI46" s="1481">
        <f t="shared" si="135"/>
        <v>0.7</v>
      </c>
      <c r="DJ46" s="1481">
        <f t="shared" si="135"/>
        <v>0.7</v>
      </c>
      <c r="DK46" s="1481">
        <f t="shared" ref="DK46:EP46" si="136">IFERROR(INDEX($G$46:$L$46,MATCH(DK$2,$G$2:$L$2,0)),"")</f>
        <v>0.7</v>
      </c>
      <c r="DL46" s="1481">
        <f t="shared" si="136"/>
        <v>0.7</v>
      </c>
      <c r="DM46" s="1481">
        <f t="shared" si="136"/>
        <v>0.7</v>
      </c>
      <c r="DN46" s="1481">
        <f t="shared" si="136"/>
        <v>0.7</v>
      </c>
      <c r="DO46" s="1481">
        <f t="shared" si="136"/>
        <v>0.7</v>
      </c>
      <c r="DP46" s="1481">
        <f t="shared" si="136"/>
        <v>0.7</v>
      </c>
      <c r="DQ46" s="1481">
        <f t="shared" si="136"/>
        <v>0.7</v>
      </c>
      <c r="DR46" s="1481">
        <f t="shared" si="136"/>
        <v>0.7</v>
      </c>
      <c r="DS46" s="1481">
        <f t="shared" si="136"/>
        <v>0.7</v>
      </c>
      <c r="DT46" s="1481">
        <f t="shared" si="136"/>
        <v>0.7</v>
      </c>
      <c r="DU46" s="1481">
        <f t="shared" si="136"/>
        <v>0.7</v>
      </c>
      <c r="DV46" s="1481">
        <f t="shared" si="136"/>
        <v>0.7</v>
      </c>
      <c r="DW46" s="1481">
        <f t="shared" si="136"/>
        <v>0.7</v>
      </c>
      <c r="DX46" s="1481">
        <f t="shared" si="136"/>
        <v>0.7</v>
      </c>
      <c r="DY46" s="1481">
        <f t="shared" si="136"/>
        <v>0.7</v>
      </c>
      <c r="DZ46" s="1481">
        <f t="shared" si="136"/>
        <v>0.7</v>
      </c>
      <c r="EA46" s="1481">
        <f t="shared" si="136"/>
        <v>0.7</v>
      </c>
      <c r="EB46" s="1481">
        <f t="shared" si="136"/>
        <v>0.7</v>
      </c>
      <c r="EC46" s="1481">
        <f t="shared" si="136"/>
        <v>0.7</v>
      </c>
      <c r="ED46" s="1481">
        <f t="shared" si="136"/>
        <v>0.7</v>
      </c>
      <c r="EE46" s="1481">
        <f t="shared" si="136"/>
        <v>0.7</v>
      </c>
      <c r="EF46" s="1481">
        <f t="shared" si="136"/>
        <v>0.7</v>
      </c>
      <c r="EG46" s="1481">
        <f t="shared" si="136"/>
        <v>0.7</v>
      </c>
      <c r="EH46" s="1481">
        <f t="shared" si="136"/>
        <v>0.7</v>
      </c>
      <c r="EI46" s="1481">
        <f t="shared" si="136"/>
        <v>0.7</v>
      </c>
      <c r="EJ46" s="1481">
        <f t="shared" si="136"/>
        <v>0.7</v>
      </c>
      <c r="EK46" s="1481">
        <f t="shared" si="136"/>
        <v>0.7</v>
      </c>
      <c r="EL46" s="1481">
        <f t="shared" si="136"/>
        <v>0.7</v>
      </c>
      <c r="EM46" s="1481">
        <f t="shared" si="136"/>
        <v>0.7</v>
      </c>
      <c r="EN46" s="1481">
        <f t="shared" si="136"/>
        <v>0.7</v>
      </c>
      <c r="EO46" s="1481">
        <f t="shared" si="136"/>
        <v>0.7</v>
      </c>
      <c r="EP46" s="1481">
        <f t="shared" si="136"/>
        <v>0.7</v>
      </c>
      <c r="EQ46" s="1481">
        <f t="shared" ref="EQ46:FB46" si="137">IFERROR(INDEX($G$46:$L$46,MATCH(EQ$2,$G$2:$L$2,0)),"")</f>
        <v>0.7</v>
      </c>
      <c r="ER46" s="1481">
        <f t="shared" si="137"/>
        <v>0.7</v>
      </c>
      <c r="ES46" s="1481">
        <f t="shared" si="137"/>
        <v>0.7</v>
      </c>
      <c r="ET46" s="1481">
        <f t="shared" si="137"/>
        <v>0.7</v>
      </c>
      <c r="EU46" s="1481">
        <f t="shared" si="137"/>
        <v>0.7</v>
      </c>
      <c r="EV46" s="1481">
        <f t="shared" si="137"/>
        <v>0.7</v>
      </c>
      <c r="EW46" s="1481">
        <f t="shared" si="137"/>
        <v>0.7</v>
      </c>
      <c r="EX46" s="1481">
        <f t="shared" si="137"/>
        <v>0.7</v>
      </c>
      <c r="EY46" s="1481">
        <f t="shared" si="137"/>
        <v>0.7</v>
      </c>
      <c r="EZ46" s="1481">
        <f t="shared" si="137"/>
        <v>0.7</v>
      </c>
      <c r="FA46" s="1481">
        <f t="shared" si="137"/>
        <v>0.7</v>
      </c>
      <c r="FB46" s="1481">
        <f t="shared" si="137"/>
        <v>0.7</v>
      </c>
    </row>
    <row r="47" spans="3:158" x14ac:dyDescent="0.25">
      <c r="C47" t="s">
        <v>903</v>
      </c>
      <c r="H47" s="422">
        <v>0.25</v>
      </c>
      <c r="I47" s="422">
        <v>0.25</v>
      </c>
      <c r="J47" s="422">
        <v>0.25</v>
      </c>
      <c r="K47" s="422">
        <v>0.25</v>
      </c>
      <c r="L47" s="422">
        <v>0.25</v>
      </c>
      <c r="AY47" t="str">
        <f t="shared" ref="AY47:CD47" si="138">IFERROR(INDEX($G$47:$L$47,MATCH(AY$2,$G$2:$L$2,0)),"")</f>
        <v/>
      </c>
      <c r="AZ47" t="str">
        <f t="shared" si="138"/>
        <v/>
      </c>
      <c r="BA47" t="str">
        <f t="shared" si="138"/>
        <v/>
      </c>
      <c r="BB47" t="str">
        <f t="shared" si="138"/>
        <v/>
      </c>
      <c r="BC47" t="str">
        <f t="shared" si="138"/>
        <v/>
      </c>
      <c r="BD47" t="str">
        <f t="shared" si="138"/>
        <v/>
      </c>
      <c r="BE47" t="str">
        <f t="shared" si="138"/>
        <v/>
      </c>
      <c r="BF47" t="str">
        <f t="shared" si="138"/>
        <v/>
      </c>
      <c r="BG47" t="str">
        <f t="shared" si="138"/>
        <v/>
      </c>
      <c r="BH47" t="str">
        <f t="shared" si="138"/>
        <v/>
      </c>
      <c r="BI47" t="str">
        <f t="shared" si="138"/>
        <v/>
      </c>
      <c r="BJ47" t="str">
        <f t="shared" si="138"/>
        <v/>
      </c>
      <c r="BK47" t="str">
        <f t="shared" si="138"/>
        <v/>
      </c>
      <c r="BL47" t="str">
        <f t="shared" si="138"/>
        <v/>
      </c>
      <c r="BM47" t="str">
        <f t="shared" si="138"/>
        <v/>
      </c>
      <c r="BN47" t="str">
        <f t="shared" si="138"/>
        <v/>
      </c>
      <c r="BO47" t="str">
        <f t="shared" si="138"/>
        <v/>
      </c>
      <c r="BP47" t="str">
        <f t="shared" si="138"/>
        <v/>
      </c>
      <c r="BQ47" t="str">
        <f t="shared" si="138"/>
        <v/>
      </c>
      <c r="BR47" t="str">
        <f t="shared" si="138"/>
        <v/>
      </c>
      <c r="BS47" t="str">
        <f t="shared" si="138"/>
        <v/>
      </c>
      <c r="BT47" t="str">
        <f t="shared" si="138"/>
        <v/>
      </c>
      <c r="BU47" t="str">
        <f t="shared" si="138"/>
        <v/>
      </c>
      <c r="BV47" t="str">
        <f t="shared" si="138"/>
        <v/>
      </c>
      <c r="BW47" t="str">
        <f t="shared" si="138"/>
        <v/>
      </c>
      <c r="BX47" t="str">
        <f t="shared" si="138"/>
        <v/>
      </c>
      <c r="BY47" t="str">
        <f t="shared" si="138"/>
        <v/>
      </c>
      <c r="BZ47" t="str">
        <f t="shared" si="138"/>
        <v/>
      </c>
      <c r="CA47" t="str">
        <f t="shared" si="138"/>
        <v/>
      </c>
      <c r="CB47" t="str">
        <f t="shared" si="138"/>
        <v/>
      </c>
      <c r="CC47" t="str">
        <f t="shared" si="138"/>
        <v/>
      </c>
      <c r="CD47" t="str">
        <f t="shared" si="138"/>
        <v/>
      </c>
      <c r="CE47" t="str">
        <f t="shared" ref="CE47:DJ47" si="139">IFERROR(INDEX($G$47:$L$47,MATCH(CE$2,$G$2:$L$2,0)),"")</f>
        <v/>
      </c>
      <c r="CF47" t="str">
        <f t="shared" si="139"/>
        <v/>
      </c>
      <c r="CG47" t="str">
        <f t="shared" si="139"/>
        <v/>
      </c>
      <c r="CH47" t="str">
        <f t="shared" si="139"/>
        <v/>
      </c>
      <c r="CI47" s="1481">
        <f t="shared" si="139"/>
        <v>0</v>
      </c>
      <c r="CJ47" s="1481">
        <f t="shared" si="139"/>
        <v>0</v>
      </c>
      <c r="CK47" s="1481">
        <f t="shared" si="139"/>
        <v>0</v>
      </c>
      <c r="CL47" s="1481">
        <f t="shared" si="139"/>
        <v>0</v>
      </c>
      <c r="CM47" s="1481">
        <f t="shared" si="139"/>
        <v>0</v>
      </c>
      <c r="CN47" s="1481">
        <f t="shared" si="139"/>
        <v>0</v>
      </c>
      <c r="CO47" s="1481">
        <f t="shared" si="139"/>
        <v>0</v>
      </c>
      <c r="CP47" s="1481">
        <f t="shared" si="139"/>
        <v>0</v>
      </c>
      <c r="CQ47" s="1481">
        <f t="shared" si="139"/>
        <v>0</v>
      </c>
      <c r="CR47" s="1481">
        <f t="shared" si="139"/>
        <v>0</v>
      </c>
      <c r="CS47" s="1481">
        <f t="shared" si="139"/>
        <v>0</v>
      </c>
      <c r="CT47" s="1481">
        <f t="shared" si="139"/>
        <v>0</v>
      </c>
      <c r="CU47" s="1481">
        <f t="shared" si="139"/>
        <v>0.25</v>
      </c>
      <c r="CV47" s="1481">
        <f t="shared" si="139"/>
        <v>0.25</v>
      </c>
      <c r="CW47" s="1481">
        <f t="shared" si="139"/>
        <v>0.25</v>
      </c>
      <c r="CX47" s="1481">
        <f t="shared" si="139"/>
        <v>0.25</v>
      </c>
      <c r="CY47" s="1481">
        <f t="shared" si="139"/>
        <v>0.25</v>
      </c>
      <c r="CZ47" s="1481">
        <f t="shared" si="139"/>
        <v>0.25</v>
      </c>
      <c r="DA47" s="1481">
        <f t="shared" si="139"/>
        <v>0.25</v>
      </c>
      <c r="DB47" s="1481">
        <f t="shared" si="139"/>
        <v>0.25</v>
      </c>
      <c r="DC47" s="1481">
        <f t="shared" si="139"/>
        <v>0.25</v>
      </c>
      <c r="DD47" s="1481">
        <f t="shared" si="139"/>
        <v>0.25</v>
      </c>
      <c r="DE47" s="1481">
        <f t="shared" si="139"/>
        <v>0.25</v>
      </c>
      <c r="DF47" s="1481">
        <f t="shared" si="139"/>
        <v>0.25</v>
      </c>
      <c r="DG47" s="1481">
        <f t="shared" si="139"/>
        <v>0.25</v>
      </c>
      <c r="DH47" s="1481">
        <f t="shared" si="139"/>
        <v>0.25</v>
      </c>
      <c r="DI47" s="1481">
        <f t="shared" si="139"/>
        <v>0.25</v>
      </c>
      <c r="DJ47" s="1481">
        <f t="shared" si="139"/>
        <v>0.25</v>
      </c>
      <c r="DK47" s="1481">
        <f t="shared" ref="DK47:EP47" si="140">IFERROR(INDEX($G$47:$L$47,MATCH(DK$2,$G$2:$L$2,0)),"")</f>
        <v>0.25</v>
      </c>
      <c r="DL47" s="1481">
        <f t="shared" si="140"/>
        <v>0.25</v>
      </c>
      <c r="DM47" s="1481">
        <f t="shared" si="140"/>
        <v>0.25</v>
      </c>
      <c r="DN47" s="1481">
        <f t="shared" si="140"/>
        <v>0.25</v>
      </c>
      <c r="DO47" s="1481">
        <f t="shared" si="140"/>
        <v>0.25</v>
      </c>
      <c r="DP47" s="1481">
        <f t="shared" si="140"/>
        <v>0.25</v>
      </c>
      <c r="DQ47" s="1481">
        <f t="shared" si="140"/>
        <v>0.25</v>
      </c>
      <c r="DR47" s="1481">
        <f t="shared" si="140"/>
        <v>0.25</v>
      </c>
      <c r="DS47" s="1481">
        <f t="shared" si="140"/>
        <v>0.25</v>
      </c>
      <c r="DT47" s="1481">
        <f t="shared" si="140"/>
        <v>0.25</v>
      </c>
      <c r="DU47" s="1481">
        <f t="shared" si="140"/>
        <v>0.25</v>
      </c>
      <c r="DV47" s="1481">
        <f t="shared" si="140"/>
        <v>0.25</v>
      </c>
      <c r="DW47" s="1481">
        <f t="shared" si="140"/>
        <v>0.25</v>
      </c>
      <c r="DX47" s="1481">
        <f t="shared" si="140"/>
        <v>0.25</v>
      </c>
      <c r="DY47" s="1481">
        <f t="shared" si="140"/>
        <v>0.25</v>
      </c>
      <c r="DZ47" s="1481">
        <f t="shared" si="140"/>
        <v>0.25</v>
      </c>
      <c r="EA47" s="1481">
        <f t="shared" si="140"/>
        <v>0.25</v>
      </c>
      <c r="EB47" s="1481">
        <f t="shared" si="140"/>
        <v>0.25</v>
      </c>
      <c r="EC47" s="1481">
        <f t="shared" si="140"/>
        <v>0.25</v>
      </c>
      <c r="ED47" s="1481">
        <f t="shared" si="140"/>
        <v>0.25</v>
      </c>
      <c r="EE47" s="1481">
        <f t="shared" si="140"/>
        <v>0.25</v>
      </c>
      <c r="EF47" s="1481">
        <f t="shared" si="140"/>
        <v>0.25</v>
      </c>
      <c r="EG47" s="1481">
        <f t="shared" si="140"/>
        <v>0.25</v>
      </c>
      <c r="EH47" s="1481">
        <f t="shared" si="140"/>
        <v>0.25</v>
      </c>
      <c r="EI47" s="1481">
        <f t="shared" si="140"/>
        <v>0.25</v>
      </c>
      <c r="EJ47" s="1481">
        <f t="shared" si="140"/>
        <v>0.25</v>
      </c>
      <c r="EK47" s="1481">
        <f t="shared" si="140"/>
        <v>0.25</v>
      </c>
      <c r="EL47" s="1481">
        <f t="shared" si="140"/>
        <v>0.25</v>
      </c>
      <c r="EM47" s="1481">
        <f t="shared" si="140"/>
        <v>0.25</v>
      </c>
      <c r="EN47" s="1481">
        <f t="shared" si="140"/>
        <v>0.25</v>
      </c>
      <c r="EO47" s="1481">
        <f t="shared" si="140"/>
        <v>0.25</v>
      </c>
      <c r="EP47" s="1481">
        <f t="shared" si="140"/>
        <v>0.25</v>
      </c>
      <c r="EQ47" s="1481">
        <f t="shared" ref="EQ47:FB47" si="141">IFERROR(INDEX($G$47:$L$47,MATCH(EQ$2,$G$2:$L$2,0)),"")</f>
        <v>0.25</v>
      </c>
      <c r="ER47" s="1481">
        <f t="shared" si="141"/>
        <v>0.25</v>
      </c>
      <c r="ES47" s="1481">
        <f t="shared" si="141"/>
        <v>0.25</v>
      </c>
      <c r="ET47" s="1481">
        <f t="shared" si="141"/>
        <v>0.25</v>
      </c>
      <c r="EU47" s="1481">
        <f t="shared" si="141"/>
        <v>0.25</v>
      </c>
      <c r="EV47" s="1481">
        <f t="shared" si="141"/>
        <v>0.25</v>
      </c>
      <c r="EW47" s="1481">
        <f t="shared" si="141"/>
        <v>0.25</v>
      </c>
      <c r="EX47" s="1481">
        <f t="shared" si="141"/>
        <v>0.25</v>
      </c>
      <c r="EY47" s="1481">
        <f t="shared" si="141"/>
        <v>0.25</v>
      </c>
      <c r="EZ47" s="1481">
        <f t="shared" si="141"/>
        <v>0.25</v>
      </c>
      <c r="FA47" s="1481">
        <f t="shared" si="141"/>
        <v>0.25</v>
      </c>
      <c r="FB47" s="1481">
        <f t="shared" si="141"/>
        <v>0.25</v>
      </c>
    </row>
    <row r="49" spans="1:158" x14ac:dyDescent="0.25">
      <c r="C49" s="3" t="s">
        <v>902</v>
      </c>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row>
    <row r="51" spans="1:158" x14ac:dyDescent="0.25">
      <c r="A51" s="528">
        <v>45078</v>
      </c>
      <c r="C51" t="s">
        <v>901</v>
      </c>
      <c r="D51" s="1472">
        <f t="shared" ref="D51:L51" si="142">SUMIF($AY$2:$FB$2,D$2,$AY51:$FB51)</f>
        <v>0</v>
      </c>
      <c r="E51" s="1472">
        <f t="shared" si="142"/>
        <v>0</v>
      </c>
      <c r="F51" s="1472">
        <f t="shared" si="142"/>
        <v>0</v>
      </c>
      <c r="G51" s="1472">
        <f t="shared" si="142"/>
        <v>0</v>
      </c>
      <c r="H51" s="1472">
        <f t="shared" si="142"/>
        <v>3</v>
      </c>
      <c r="I51" s="1472">
        <f t="shared" si="142"/>
        <v>12</v>
      </c>
      <c r="J51" s="1472">
        <f t="shared" si="142"/>
        <v>12</v>
      </c>
      <c r="K51" s="1472">
        <f t="shared" si="142"/>
        <v>12</v>
      </c>
      <c r="L51" s="1472">
        <f t="shared" si="142"/>
        <v>12</v>
      </c>
      <c r="M51" s="244"/>
      <c r="N51" s="1476">
        <f>SUM(AY51:BA51)</f>
        <v>0</v>
      </c>
      <c r="O51" s="1476">
        <f>SUM(BB51:BD51)</f>
        <v>0</v>
      </c>
      <c r="P51" s="1476">
        <f>SUM(BE51:BG51)</f>
        <v>0</v>
      </c>
      <c r="Q51" s="1476">
        <f>SUM(BH51:BJ51)</f>
        <v>0</v>
      </c>
      <c r="R51" s="1476">
        <f>SUM(BK51:BM51)</f>
        <v>0</v>
      </c>
      <c r="S51" s="1476">
        <f>SUM(BN51:BP51)</f>
        <v>0</v>
      </c>
      <c r="T51" s="1476">
        <f>SUM(BQ51:BS51)</f>
        <v>0</v>
      </c>
      <c r="U51" s="1476">
        <f>SUM(BT51:BV51)</f>
        <v>0</v>
      </c>
      <c r="V51" s="1476">
        <f>SUM(BW51:BY51)</f>
        <v>0</v>
      </c>
      <c r="W51" s="1476">
        <f>SUM(BZ51:CB51)</f>
        <v>0</v>
      </c>
      <c r="X51" s="1476">
        <f>SUM(CC51:CE51)</f>
        <v>0</v>
      </c>
      <c r="Y51" s="1476">
        <f>SUM(CF51:CH51)</f>
        <v>0</v>
      </c>
      <c r="Z51" s="1476">
        <f>SUM(CI51:CK51)</f>
        <v>0</v>
      </c>
      <c r="AA51" s="1476">
        <f>SUM(CL51:CN51)</f>
        <v>0</v>
      </c>
      <c r="AB51" s="1476">
        <f>SUM(CO51:CQ51)</f>
        <v>0</v>
      </c>
      <c r="AC51" s="1476">
        <f>SUM(CR51:CT51)</f>
        <v>0</v>
      </c>
      <c r="AD51" s="1476">
        <f>SUM(CU51:CW51)</f>
        <v>0</v>
      </c>
      <c r="AE51" s="1476">
        <f>SUM(CX51:CZ51)</f>
        <v>0</v>
      </c>
      <c r="AF51" s="1476">
        <f>SUM(DA51:DC51)</f>
        <v>0</v>
      </c>
      <c r="AG51" s="1476">
        <f>SUM(DD51:DF51)</f>
        <v>3</v>
      </c>
      <c r="AH51" s="1476">
        <f>SUM(DG51:DI51)</f>
        <v>3</v>
      </c>
      <c r="AI51" s="1476">
        <f>SUM(DJ51:DL51)</f>
        <v>3</v>
      </c>
      <c r="AJ51" s="1476">
        <f>SUM(DM51:DO51)</f>
        <v>3</v>
      </c>
      <c r="AK51" s="1476">
        <f>SUM(DP51:DR51)</f>
        <v>3</v>
      </c>
      <c r="AL51" s="1476">
        <f>SUM(DS51:DU51)</f>
        <v>3</v>
      </c>
      <c r="AM51" s="1476">
        <f>SUM(DV51:DX51)</f>
        <v>3</v>
      </c>
      <c r="AN51" s="1476">
        <f>SUM(DY51:EA51)</f>
        <v>3</v>
      </c>
      <c r="AO51" s="1476">
        <f>SUM(EB51:ED51)</f>
        <v>3</v>
      </c>
      <c r="AP51" s="1476">
        <f>SUM(EE51:EG51)</f>
        <v>3</v>
      </c>
      <c r="AQ51" s="1476">
        <f>SUM(EH51:EJ51)</f>
        <v>3</v>
      </c>
      <c r="AR51" s="1476">
        <f>SUM(EK51:EM51)</f>
        <v>3</v>
      </c>
      <c r="AS51" s="1476">
        <f>SUM(EN51:EP51)</f>
        <v>3</v>
      </c>
      <c r="AT51" s="1476">
        <f>SUM(EQ51:ES51)</f>
        <v>3</v>
      </c>
      <c r="AU51" s="1476">
        <f>SUM(ET51:EV51)</f>
        <v>3</v>
      </c>
      <c r="AV51" s="1476">
        <f>SUM(EW51:EY51)</f>
        <v>3</v>
      </c>
      <c r="AW51" s="1476">
        <f>SUM(EZ51:FB51)</f>
        <v>3</v>
      </c>
      <c r="AX51" s="244"/>
      <c r="AY51" s="90">
        <v>0</v>
      </c>
      <c r="AZ51" s="90">
        <v>0</v>
      </c>
      <c r="BA51" s="90">
        <v>0</v>
      </c>
      <c r="BB51" s="90">
        <v>0</v>
      </c>
      <c r="BC51" s="90">
        <v>0</v>
      </c>
      <c r="BD51" s="90">
        <v>0</v>
      </c>
      <c r="BE51" s="90">
        <v>0</v>
      </c>
      <c r="BF51" s="90">
        <v>0</v>
      </c>
      <c r="BG51" s="90">
        <v>0</v>
      </c>
      <c r="BH51" s="90">
        <v>0</v>
      </c>
      <c r="BI51" s="90">
        <v>0</v>
      </c>
      <c r="BJ51" s="90">
        <v>0</v>
      </c>
      <c r="BK51" s="90">
        <v>0</v>
      </c>
      <c r="BL51" s="90">
        <v>0</v>
      </c>
      <c r="BM51" s="90">
        <v>0</v>
      </c>
      <c r="BN51" s="90">
        <v>0</v>
      </c>
      <c r="BO51" s="90">
        <v>0</v>
      </c>
      <c r="BP51" s="90">
        <v>0</v>
      </c>
      <c r="BQ51" s="90">
        <v>0</v>
      </c>
      <c r="BR51" s="90">
        <v>0</v>
      </c>
      <c r="BS51" s="90">
        <v>0</v>
      </c>
      <c r="BT51" s="90">
        <v>0</v>
      </c>
      <c r="BU51" s="90">
        <v>0</v>
      </c>
      <c r="BV51" s="90">
        <v>0</v>
      </c>
      <c r="BW51" s="90">
        <v>0</v>
      </c>
      <c r="BX51" s="90">
        <v>0</v>
      </c>
      <c r="BY51" s="90">
        <v>0</v>
      </c>
      <c r="BZ51" s="90">
        <v>0</v>
      </c>
      <c r="CA51" s="90">
        <v>0</v>
      </c>
      <c r="CB51" s="90">
        <v>0</v>
      </c>
      <c r="CC51" s="90">
        <v>0</v>
      </c>
      <c r="CD51" s="90">
        <v>0</v>
      </c>
      <c r="CE51" s="90">
        <v>0</v>
      </c>
      <c r="CF51" s="90">
        <v>0</v>
      </c>
      <c r="CG51" s="90">
        <v>0</v>
      </c>
      <c r="CH51" s="90">
        <v>0</v>
      </c>
      <c r="CI51" s="90">
        <v>0</v>
      </c>
      <c r="CJ51" s="90">
        <v>0</v>
      </c>
      <c r="CK51" s="90">
        <v>0</v>
      </c>
      <c r="CL51" s="90">
        <v>0</v>
      </c>
      <c r="CM51" s="90">
        <v>0</v>
      </c>
      <c r="CN51" s="90">
        <v>0</v>
      </c>
      <c r="CO51" s="90">
        <v>0</v>
      </c>
      <c r="CP51" s="90">
        <v>0</v>
      </c>
      <c r="CQ51" s="90">
        <v>0</v>
      </c>
      <c r="CR51" s="90">
        <v>0</v>
      </c>
      <c r="CS51" s="90">
        <v>0</v>
      </c>
      <c r="CT51" s="90">
        <v>0</v>
      </c>
      <c r="CU51" s="90">
        <v>0</v>
      </c>
      <c r="CV51" s="90">
        <v>0</v>
      </c>
      <c r="CW51" s="90">
        <v>0</v>
      </c>
      <c r="CX51" s="90">
        <v>0</v>
      </c>
      <c r="CY51" s="90">
        <v>0</v>
      </c>
      <c r="CZ51" s="90">
        <v>0</v>
      </c>
      <c r="DA51" s="90">
        <v>0</v>
      </c>
      <c r="DB51" s="90">
        <v>0</v>
      </c>
      <c r="DC51" s="90">
        <v>0</v>
      </c>
      <c r="DD51" s="90">
        <v>1</v>
      </c>
      <c r="DE51" s="90">
        <v>1</v>
      </c>
      <c r="DF51" s="90">
        <v>1</v>
      </c>
      <c r="DG51" s="90">
        <v>1</v>
      </c>
      <c r="DH51" s="90">
        <v>1</v>
      </c>
      <c r="DI51" s="90">
        <v>1</v>
      </c>
      <c r="DJ51" s="90">
        <v>1</v>
      </c>
      <c r="DK51" s="90">
        <v>1</v>
      </c>
      <c r="DL51" s="90">
        <v>1</v>
      </c>
      <c r="DM51" s="90">
        <v>1</v>
      </c>
      <c r="DN51" s="90">
        <v>1</v>
      </c>
      <c r="DO51" s="90">
        <v>1</v>
      </c>
      <c r="DP51" s="90">
        <v>1</v>
      </c>
      <c r="DQ51" s="90">
        <v>1</v>
      </c>
      <c r="DR51" s="90">
        <v>1</v>
      </c>
      <c r="DS51" s="90">
        <v>1</v>
      </c>
      <c r="DT51" s="90">
        <v>1</v>
      </c>
      <c r="DU51" s="90">
        <v>1</v>
      </c>
      <c r="DV51" s="90">
        <v>1</v>
      </c>
      <c r="DW51" s="90">
        <v>1</v>
      </c>
      <c r="DX51" s="90">
        <v>1</v>
      </c>
      <c r="DY51" s="90">
        <v>1</v>
      </c>
      <c r="DZ51" s="90">
        <v>1</v>
      </c>
      <c r="EA51" s="90">
        <v>1</v>
      </c>
      <c r="EB51" s="90">
        <v>1</v>
      </c>
      <c r="EC51" s="90">
        <v>1</v>
      </c>
      <c r="ED51" s="90">
        <v>1</v>
      </c>
      <c r="EE51" s="90">
        <v>1</v>
      </c>
      <c r="EF51" s="90">
        <v>1</v>
      </c>
      <c r="EG51" s="90">
        <v>1</v>
      </c>
      <c r="EH51" s="90">
        <v>1</v>
      </c>
      <c r="EI51" s="90">
        <v>1</v>
      </c>
      <c r="EJ51" s="90">
        <v>1</v>
      </c>
      <c r="EK51" s="90">
        <v>1</v>
      </c>
      <c r="EL51" s="90">
        <v>1</v>
      </c>
      <c r="EM51" s="90">
        <v>1</v>
      </c>
      <c r="EN51" s="90">
        <v>1</v>
      </c>
      <c r="EO51" s="90">
        <v>1</v>
      </c>
      <c r="EP51" s="90">
        <v>1</v>
      </c>
      <c r="EQ51" s="90">
        <v>1</v>
      </c>
      <c r="ER51" s="90">
        <v>1</v>
      </c>
      <c r="ES51" s="90">
        <v>1</v>
      </c>
      <c r="ET51" s="90">
        <v>1</v>
      </c>
      <c r="EU51" s="90">
        <v>1</v>
      </c>
      <c r="EV51" s="90">
        <v>1</v>
      </c>
      <c r="EW51" s="90">
        <v>1</v>
      </c>
      <c r="EX51" s="90">
        <v>1</v>
      </c>
      <c r="EY51" s="90">
        <v>1</v>
      </c>
      <c r="EZ51" s="90">
        <v>1</v>
      </c>
      <c r="FA51" s="90">
        <v>1</v>
      </c>
      <c r="FB51" s="90">
        <v>1</v>
      </c>
    </row>
    <row r="53" spans="1:158" x14ac:dyDescent="0.25">
      <c r="C53" s="7" t="s">
        <v>900</v>
      </c>
    </row>
    <row r="54" spans="1:158" x14ac:dyDescent="0.25">
      <c r="C54" s="7"/>
    </row>
    <row r="55" spans="1:158" x14ac:dyDescent="0.25">
      <c r="C55" t="s">
        <v>899</v>
      </c>
      <c r="D55" s="1472">
        <f t="shared" ref="D55:L55" si="143">SUMIF($AY$2:$FB$2,D$2,$AY55:$FB55)</f>
        <v>5718339.0999999996</v>
      </c>
      <c r="E55" s="1472">
        <f t="shared" si="143"/>
        <v>7829961.8145050006</v>
      </c>
      <c r="F55" s="1472">
        <f t="shared" si="143"/>
        <v>8657987.1461899988</v>
      </c>
      <c r="G55" s="1472">
        <f t="shared" si="143"/>
        <v>16709358.41097267</v>
      </c>
      <c r="H55" s="1472">
        <f t="shared" si="143"/>
        <v>18750724.309394229</v>
      </c>
      <c r="I55" s="1472">
        <f t="shared" si="143"/>
        <v>25003008.950996581</v>
      </c>
      <c r="J55" s="1472">
        <f t="shared" si="143"/>
        <v>32555326.841173172</v>
      </c>
      <c r="K55" s="1472">
        <f t="shared" si="143"/>
        <v>41333554.564846858</v>
      </c>
      <c r="L55" s="1472">
        <f t="shared" si="143"/>
        <v>51084752.170930743</v>
      </c>
      <c r="M55" s="244"/>
      <c r="N55" s="1476">
        <f>SUM(AY55:BA55)</f>
        <v>1035185.6</v>
      </c>
      <c r="O55" s="1476">
        <f>SUM(BB55:BD55)</f>
        <v>947839</v>
      </c>
      <c r="P55" s="1476">
        <f>SUM(BE55:BG55)</f>
        <v>1374139.5</v>
      </c>
      <c r="Q55" s="1476">
        <f>SUM(BH55:BJ55)</f>
        <v>2361175</v>
      </c>
      <c r="R55" s="1476">
        <f>SUM(BK55:BM55)</f>
        <v>1966893.72</v>
      </c>
      <c r="S55" s="1476">
        <f>SUM(BN55:BP55)</f>
        <v>2138899.92</v>
      </c>
      <c r="T55" s="1476">
        <f>SUM(BQ55:BS55)</f>
        <v>1586173.72</v>
      </c>
      <c r="U55" s="1476">
        <f>SUM(BT55:BV55)</f>
        <v>2137994.4545049998</v>
      </c>
      <c r="V55" s="1476">
        <f>SUM(BW55:BY55)</f>
        <v>1187612.8935159999</v>
      </c>
      <c r="W55" s="1476">
        <f>SUM(BZ55:CB55)</f>
        <v>2496187.72487</v>
      </c>
      <c r="X55" s="1476">
        <f>SUM(CC55:CE55)</f>
        <v>1792109.2252369998</v>
      </c>
      <c r="Y55" s="1476">
        <f>SUM(CF55:CH55)</f>
        <v>3182077.302567</v>
      </c>
      <c r="Z55" s="1476">
        <f>SUM(CI55:CK55)</f>
        <v>2478561.1667750003</v>
      </c>
      <c r="AA55" s="1476">
        <f>SUM(CL55:CN55)</f>
        <v>3596821.8275309997</v>
      </c>
      <c r="AB55" s="1476">
        <f>SUM(CO55:CQ55)</f>
        <v>4579891.458333334</v>
      </c>
      <c r="AC55" s="1476">
        <f>SUM(CR55:CT55)</f>
        <v>6054083.958333334</v>
      </c>
      <c r="AD55" s="1476">
        <f>SUM(CU55:CW55)</f>
        <v>3318393.1822028025</v>
      </c>
      <c r="AE55" s="1476">
        <f>SUM(CX55:CZ55)</f>
        <v>4415141.5763387</v>
      </c>
      <c r="AF55" s="1476">
        <f>SUM(DA55:DC55)</f>
        <v>4352811.0971852168</v>
      </c>
      <c r="AG55" s="1476">
        <f>SUM(DD55:DF55)</f>
        <v>6664378.4536675103</v>
      </c>
      <c r="AH55" s="1476">
        <f>SUM(DG55:DI55)</f>
        <v>4559902.0857307035</v>
      </c>
      <c r="AI55" s="1476">
        <f>SUM(DJ55:DL55)</f>
        <v>6187372.6460760506</v>
      </c>
      <c r="AJ55" s="1476">
        <f>SUM(DM55:DO55)</f>
        <v>5804222.4411775414</v>
      </c>
      <c r="AK55" s="1476">
        <f>SUM(DP55:DR55)</f>
        <v>8451511.778012285</v>
      </c>
      <c r="AL55" s="1476">
        <f>SUM(DS55:DU55)</f>
        <v>5937249.5148746241</v>
      </c>
      <c r="AM55" s="1476">
        <f>SUM(DV55:DX55)</f>
        <v>8056307.9098170549</v>
      </c>
      <c r="AN55" s="1476">
        <f>SUM(DY55:EA55)</f>
        <v>7557424.7484271415</v>
      </c>
      <c r="AO55" s="1476">
        <f>SUM(EB55:ED55)</f>
        <v>11004344.668054355</v>
      </c>
      <c r="AP55" s="1476">
        <f>SUM(EE55:EG55)</f>
        <v>7538171.1873281021</v>
      </c>
      <c r="AQ55" s="1476">
        <f>SUM(EH55:EJ55)</f>
        <v>10228613.099361856</v>
      </c>
      <c r="AR55" s="1476">
        <f>SUM(EK55:EM55)</f>
        <v>9595210.938376205</v>
      </c>
      <c r="AS55" s="1476">
        <f>SUM(EN55:EP55)</f>
        <v>13971559.339780699</v>
      </c>
      <c r="AT55" s="1476">
        <f>SUM(EQ55:ES55)</f>
        <v>9316537.3987508994</v>
      </c>
      <c r="AU55" s="1476">
        <f>SUM(ET55:EV55)</f>
        <v>12641694.399001226</v>
      </c>
      <c r="AV55" s="1476">
        <f>SUM(EW55:EY55)</f>
        <v>11858863.288559953</v>
      </c>
      <c r="AW55" s="1476">
        <f>SUM(EZ55:FB55)</f>
        <v>17267657.084618654</v>
      </c>
      <c r="AY55" s="1482">
        <f t="shared" ref="AY55:CD55" si="144">AY92</f>
        <v>78250</v>
      </c>
      <c r="AZ55" s="1482">
        <f t="shared" si="144"/>
        <v>438175</v>
      </c>
      <c r="BA55" s="1482">
        <f t="shared" si="144"/>
        <v>518760.6</v>
      </c>
      <c r="BB55" s="1482">
        <f t="shared" si="144"/>
        <v>163840</v>
      </c>
      <c r="BC55" s="1482">
        <f t="shared" si="144"/>
        <v>300140</v>
      </c>
      <c r="BD55" s="1482">
        <f t="shared" si="144"/>
        <v>483859</v>
      </c>
      <c r="BE55" s="1482">
        <f t="shared" si="144"/>
        <v>270916.67</v>
      </c>
      <c r="BF55" s="1482">
        <f t="shared" si="144"/>
        <v>423389.5</v>
      </c>
      <c r="BG55" s="1482">
        <f t="shared" si="144"/>
        <v>679833.33</v>
      </c>
      <c r="BH55" s="1482">
        <f t="shared" si="144"/>
        <v>491650</v>
      </c>
      <c r="BI55" s="1482">
        <f t="shared" si="144"/>
        <v>984175</v>
      </c>
      <c r="BJ55" s="1482">
        <f t="shared" si="144"/>
        <v>885350</v>
      </c>
      <c r="BK55" s="1482">
        <f t="shared" si="144"/>
        <v>325633.33</v>
      </c>
      <c r="BL55" s="1482">
        <f t="shared" si="144"/>
        <v>614517.32999999996</v>
      </c>
      <c r="BM55" s="1482">
        <f t="shared" si="144"/>
        <v>1026743.06</v>
      </c>
      <c r="BN55" s="1482">
        <f t="shared" si="144"/>
        <v>548266.67000000004</v>
      </c>
      <c r="BO55" s="1482">
        <f t="shared" si="144"/>
        <v>708736.61</v>
      </c>
      <c r="BP55" s="1482">
        <f t="shared" si="144"/>
        <v>881896.64</v>
      </c>
      <c r="BQ55" s="1482">
        <f t="shared" si="144"/>
        <v>429835.17</v>
      </c>
      <c r="BR55" s="1482">
        <f t="shared" si="144"/>
        <v>356700</v>
      </c>
      <c r="BS55" s="1482">
        <f t="shared" si="144"/>
        <v>799638.55</v>
      </c>
      <c r="BT55" s="1482">
        <f t="shared" si="144"/>
        <v>276754.48</v>
      </c>
      <c r="BU55" s="1482">
        <f t="shared" si="144"/>
        <v>829160.48</v>
      </c>
      <c r="BV55" s="1482">
        <f t="shared" si="144"/>
        <v>1032079.494505</v>
      </c>
      <c r="BW55" s="1482">
        <f t="shared" si="144"/>
        <v>211086.86</v>
      </c>
      <c r="BX55" s="1482">
        <f t="shared" si="144"/>
        <v>343880.24212399998</v>
      </c>
      <c r="BY55" s="1482">
        <f t="shared" si="144"/>
        <v>632645.79139200004</v>
      </c>
      <c r="BZ55" s="1482">
        <f t="shared" si="144"/>
        <v>398339.78897400002</v>
      </c>
      <c r="CA55" s="1482">
        <f t="shared" si="144"/>
        <v>617609.16853400005</v>
      </c>
      <c r="CB55" s="1482">
        <f t="shared" si="144"/>
        <v>1480238.767362</v>
      </c>
      <c r="CC55" s="1482">
        <f t="shared" si="144"/>
        <v>225861.55</v>
      </c>
      <c r="CD55" s="1482">
        <f t="shared" si="144"/>
        <v>681003.32150099997</v>
      </c>
      <c r="CE55" s="1482">
        <f t="shared" ref="CE55:DJ55" si="145">CE92</f>
        <v>885244.35373600002</v>
      </c>
      <c r="CF55" s="1482">
        <f t="shared" si="145"/>
        <v>533185.24945200002</v>
      </c>
      <c r="CG55" s="1482">
        <f t="shared" si="145"/>
        <v>921185.87619099999</v>
      </c>
      <c r="CH55" s="1482">
        <f t="shared" si="145"/>
        <v>1727706.176924</v>
      </c>
      <c r="CI55" s="1482">
        <f t="shared" si="145"/>
        <v>417149.06475100003</v>
      </c>
      <c r="CJ55" s="1482">
        <f t="shared" si="145"/>
        <v>703910.10811300005</v>
      </c>
      <c r="CK55" s="1482">
        <f t="shared" si="145"/>
        <v>1357501.993911</v>
      </c>
      <c r="CL55" s="1482">
        <f t="shared" si="145"/>
        <v>522178.75454599998</v>
      </c>
      <c r="CM55" s="1482">
        <f t="shared" si="145"/>
        <v>1110364.198349</v>
      </c>
      <c r="CN55" s="1482">
        <f t="shared" si="145"/>
        <v>1964278.874636</v>
      </c>
      <c r="CO55" s="1482">
        <f t="shared" si="145"/>
        <v>686983.71875000012</v>
      </c>
      <c r="CP55" s="1482">
        <f t="shared" si="145"/>
        <v>1602962.0104166667</v>
      </c>
      <c r="CQ55" s="1482">
        <f t="shared" si="145"/>
        <v>2289945.729166667</v>
      </c>
      <c r="CR55" s="1482">
        <f t="shared" si="145"/>
        <v>605408.39583333349</v>
      </c>
      <c r="CS55" s="1482">
        <f t="shared" si="145"/>
        <v>2421633.583333334</v>
      </c>
      <c r="CT55" s="1482">
        <f t="shared" si="145"/>
        <v>3027041.979166667</v>
      </c>
      <c r="CU55" s="1482">
        <f t="shared" si="145"/>
        <v>438658.63632085227</v>
      </c>
      <c r="CV55" s="1482">
        <f t="shared" si="145"/>
        <v>964078.39666739036</v>
      </c>
      <c r="CW55" s="1482">
        <f t="shared" si="145"/>
        <v>1915656.1492145599</v>
      </c>
      <c r="CX55" s="1482">
        <f t="shared" si="145"/>
        <v>765955.15688817343</v>
      </c>
      <c r="CY55" s="1482">
        <f t="shared" si="145"/>
        <v>1502318.2913442629</v>
      </c>
      <c r="CZ55" s="1482">
        <f t="shared" si="145"/>
        <v>2146868.1281062635</v>
      </c>
      <c r="DA55" s="1482">
        <f t="shared" si="145"/>
        <v>735494.374673062</v>
      </c>
      <c r="DB55" s="1482">
        <f t="shared" si="145"/>
        <v>1311459.3132739773</v>
      </c>
      <c r="DC55" s="1482">
        <f t="shared" si="145"/>
        <v>2305857.4092381778</v>
      </c>
      <c r="DD55" s="1482">
        <f t="shared" si="145"/>
        <v>990139.13281642762</v>
      </c>
      <c r="DE55" s="1482">
        <f t="shared" si="145"/>
        <v>2641125.7658198043</v>
      </c>
      <c r="DF55" s="1482">
        <f t="shared" si="145"/>
        <v>3033113.5550312777</v>
      </c>
      <c r="DG55" s="1482">
        <f t="shared" si="145"/>
        <v>629931.39707068913</v>
      </c>
      <c r="DH55" s="1482">
        <f t="shared" si="145"/>
        <v>1330548.3308065883</v>
      </c>
      <c r="DI55" s="1482">
        <f t="shared" si="145"/>
        <v>2599422.3578534261</v>
      </c>
      <c r="DJ55" s="1482">
        <f t="shared" si="145"/>
        <v>1121369.0419513234</v>
      </c>
      <c r="DK55" s="1482">
        <f t="shared" ref="DK55:EP55" si="146">DK92</f>
        <v>2103266.793643259</v>
      </c>
      <c r="DL55" s="1482">
        <f t="shared" si="146"/>
        <v>2962736.8104814682</v>
      </c>
      <c r="DM55" s="1482">
        <f t="shared" si="146"/>
        <v>980739.31064865121</v>
      </c>
      <c r="DN55" s="1482">
        <f t="shared" si="146"/>
        <v>1748755.3231332442</v>
      </c>
      <c r="DO55" s="1482">
        <f t="shared" si="146"/>
        <v>3074727.8073956454</v>
      </c>
      <c r="DP55" s="1482">
        <f t="shared" si="146"/>
        <v>1175275.9507309641</v>
      </c>
      <c r="DQ55" s="1482">
        <f t="shared" si="146"/>
        <v>3376771.3640189609</v>
      </c>
      <c r="DR55" s="1482">
        <f t="shared" si="146"/>
        <v>3899464.4632623605</v>
      </c>
      <c r="DS55" s="1482">
        <f t="shared" si="146"/>
        <v>820206.18235773256</v>
      </c>
      <c r="DT55" s="1482">
        <f t="shared" si="146"/>
        <v>1732448.9173395813</v>
      </c>
      <c r="DU55" s="1482">
        <f t="shared" si="146"/>
        <v>3384594.4151773099</v>
      </c>
      <c r="DV55" s="1482">
        <f t="shared" si="146"/>
        <v>1460085.6937598099</v>
      </c>
      <c r="DW55" s="1482">
        <f t="shared" si="146"/>
        <v>2738571.9069029661</v>
      </c>
      <c r="DX55" s="1482">
        <f t="shared" si="146"/>
        <v>3857650.3091542781</v>
      </c>
      <c r="DY55" s="1482">
        <f t="shared" si="146"/>
        <v>1276977.8576142571</v>
      </c>
      <c r="DZ55" s="1482">
        <f t="shared" si="146"/>
        <v>2276977.9917858639</v>
      </c>
      <c r="EA55" s="1482">
        <f t="shared" si="146"/>
        <v>4003468.8990270202</v>
      </c>
      <c r="EB55" s="1482">
        <f t="shared" si="146"/>
        <v>1530275.5272217761</v>
      </c>
      <c r="EC55" s="1482">
        <f t="shared" si="146"/>
        <v>4396746.6331355171</v>
      </c>
      <c r="ED55" s="1482">
        <f t="shared" si="146"/>
        <v>5077322.5076970626</v>
      </c>
      <c r="EE55" s="1482">
        <f t="shared" si="146"/>
        <v>1041366.8140487443</v>
      </c>
      <c r="EF55" s="1482">
        <f t="shared" si="146"/>
        <v>2199586.9433293934</v>
      </c>
      <c r="EG55" s="1482">
        <f t="shared" si="146"/>
        <v>4297217.4299499644</v>
      </c>
      <c r="EH55" s="1482">
        <f t="shared" si="146"/>
        <v>1853783.6215499833</v>
      </c>
      <c r="EI55" s="1482">
        <f t="shared" si="146"/>
        <v>3477001.2261271873</v>
      </c>
      <c r="EJ55" s="1482">
        <f t="shared" si="146"/>
        <v>4897828.2516846852</v>
      </c>
      <c r="EK55" s="1482">
        <f t="shared" si="146"/>
        <v>1621302.5356282396</v>
      </c>
      <c r="EL55" s="1482">
        <f t="shared" si="146"/>
        <v>2890942.9945395952</v>
      </c>
      <c r="EM55" s="1482">
        <f t="shared" si="146"/>
        <v>5082965.4082083702</v>
      </c>
      <c r="EN55" s="1482">
        <f t="shared" si="146"/>
        <v>1942899.4619607306</v>
      </c>
      <c r="EO55" s="1482">
        <f t="shared" si="146"/>
        <v>5582286.6640267661</v>
      </c>
      <c r="EP55" s="1482">
        <f t="shared" si="146"/>
        <v>6446373.2137932032</v>
      </c>
      <c r="EQ55" s="1482">
        <f t="shared" ref="EQ55:FB55" si="147">EQ92</f>
        <v>1287040.6664699318</v>
      </c>
      <c r="ER55" s="1482">
        <f t="shared" si="147"/>
        <v>2718502.0756468163</v>
      </c>
      <c r="ES55" s="1482">
        <f t="shared" si="147"/>
        <v>5310994.656634151</v>
      </c>
      <c r="ET55" s="1482">
        <f t="shared" si="147"/>
        <v>2291118.6294621597</v>
      </c>
      <c r="EU55" s="1482">
        <f t="shared" si="147"/>
        <v>4297277.3042314742</v>
      </c>
      <c r="EV55" s="1482">
        <f t="shared" si="147"/>
        <v>6053298.4653075915</v>
      </c>
      <c r="EW55" s="1482">
        <f t="shared" si="147"/>
        <v>2003791.8126961619</v>
      </c>
      <c r="EX55" s="1482">
        <f t="shared" si="147"/>
        <v>3572959.2572215963</v>
      </c>
      <c r="EY55" s="1482">
        <f t="shared" si="147"/>
        <v>6282112.2186421948</v>
      </c>
      <c r="EZ55" s="1482">
        <f t="shared" si="147"/>
        <v>2401258.216289734</v>
      </c>
      <c r="FA55" s="1482">
        <f t="shared" si="147"/>
        <v>6899230.7528621936</v>
      </c>
      <c r="FB55" s="1482">
        <f t="shared" si="147"/>
        <v>7967168.115466726</v>
      </c>
    </row>
    <row r="56" spans="1:158" x14ac:dyDescent="0.25">
      <c r="C56" t="s">
        <v>897</v>
      </c>
      <c r="D56" s="79"/>
      <c r="E56" s="79"/>
      <c r="F56" s="79"/>
      <c r="G56" s="79"/>
      <c r="H56" s="303">
        <v>0.05</v>
      </c>
      <c r="I56" s="303">
        <v>0.1</v>
      </c>
      <c r="J56" s="303">
        <v>0.15</v>
      </c>
      <c r="K56" s="303">
        <v>0.2</v>
      </c>
      <c r="L56" s="303">
        <v>0.3</v>
      </c>
      <c r="N56" s="79"/>
      <c r="O56" s="79"/>
      <c r="P56" s="79"/>
      <c r="Q56" s="79"/>
      <c r="R56" s="79"/>
      <c r="S56" s="79"/>
      <c r="T56" s="79"/>
      <c r="U56" s="79"/>
      <c r="V56" s="79"/>
      <c r="W56" s="79"/>
      <c r="X56" s="79"/>
      <c r="Y56" s="79"/>
      <c r="Z56" s="79"/>
      <c r="AA56" s="79"/>
      <c r="AB56" s="79"/>
      <c r="AC56" s="79"/>
      <c r="AD56" s="1454">
        <f>SUM(CU56:CW56)/3</f>
        <v>0</v>
      </c>
      <c r="AE56" s="1454">
        <f>SUM(CX56:CZ56)/3</f>
        <v>0</v>
      </c>
      <c r="AF56" s="1454">
        <f>SUM(DA56:DC56)/3</f>
        <v>0</v>
      </c>
      <c r="AG56" s="1454">
        <f>SUM(DD56:DF56)/3</f>
        <v>5.000000000000001E-2</v>
      </c>
      <c r="AH56" s="1454">
        <f>SUM(DG56:DI56)/3</f>
        <v>5.000000000000001E-2</v>
      </c>
      <c r="AI56" s="1454">
        <f>SUM(DJ56:DL56)/3</f>
        <v>5.000000000000001E-2</v>
      </c>
      <c r="AJ56" s="1454">
        <f>SUM(DM56:DO56)/3</f>
        <v>7.0000000000000007E-2</v>
      </c>
      <c r="AK56" s="1454">
        <f>SUM(DP56:DR56)/3</f>
        <v>0.10000000000000002</v>
      </c>
      <c r="AL56" s="1454">
        <f>SUM(DS56:DU56)/3</f>
        <v>0.15</v>
      </c>
      <c r="AM56" s="1454">
        <f>SUM(DV56:DX56)/3</f>
        <v>0.15</v>
      </c>
      <c r="AN56" s="1454">
        <f>SUM(DY56:EA56)/3</f>
        <v>0.15</v>
      </c>
      <c r="AO56" s="1454">
        <f>SUM(EB56:ED56)/3</f>
        <v>0.15</v>
      </c>
      <c r="AP56" s="1454">
        <f>SUM(EE56:EG56)/3</f>
        <v>0.20000000000000004</v>
      </c>
      <c r="AQ56" s="1454">
        <f>SUM(EH56:EJ56)/3</f>
        <v>0.20000000000000004</v>
      </c>
      <c r="AR56" s="1454">
        <f>SUM(EK56:EM56)/3</f>
        <v>0.20000000000000004</v>
      </c>
      <c r="AS56" s="1454">
        <f>SUM(EN56:EP56)/3</f>
        <v>0.20000000000000004</v>
      </c>
      <c r="AT56" s="1454">
        <f>SUM(EQ56:ES56)/3</f>
        <v>0.3</v>
      </c>
      <c r="AU56" s="1454">
        <f>SUM(ET56:EV56)/3</f>
        <v>0.3</v>
      </c>
      <c r="AV56" s="1454">
        <f>SUM(EW56:EY56)/3</f>
        <v>0.3</v>
      </c>
      <c r="AW56" s="1454">
        <f>SUM(EZ56:FB56)/3</f>
        <v>0.3</v>
      </c>
      <c r="AY56" s="523"/>
      <c r="AZ56" s="523"/>
      <c r="BA56" s="523"/>
      <c r="BB56" s="523"/>
      <c r="BC56" s="523"/>
      <c r="BD56" s="523"/>
      <c r="BE56" s="523"/>
      <c r="BF56" s="523"/>
      <c r="BG56" s="523"/>
      <c r="BH56" s="523"/>
      <c r="BI56" s="523"/>
      <c r="BJ56" s="523"/>
      <c r="BK56" s="523"/>
      <c r="BL56" s="523"/>
      <c r="BM56" s="523"/>
      <c r="BN56" s="523"/>
      <c r="BO56" s="523"/>
      <c r="BP56" s="523"/>
      <c r="BQ56" s="523"/>
      <c r="BR56" s="523"/>
      <c r="BS56" s="523"/>
      <c r="BT56" s="523"/>
      <c r="BU56" s="523"/>
      <c r="BV56" s="523"/>
      <c r="BW56" s="523"/>
      <c r="BX56" s="523"/>
      <c r="BY56" s="523"/>
      <c r="BZ56" s="523"/>
      <c r="CA56" s="523"/>
      <c r="CB56" s="523"/>
      <c r="CC56" s="523"/>
      <c r="CD56" s="523"/>
      <c r="CE56" s="523"/>
      <c r="CF56" s="523"/>
      <c r="CG56" s="523"/>
      <c r="CH56" s="523"/>
      <c r="CI56" s="523"/>
      <c r="CJ56" s="523"/>
      <c r="CK56" s="523"/>
      <c r="CL56" s="523"/>
      <c r="CM56" s="523"/>
      <c r="CN56" s="523"/>
      <c r="CO56" s="523"/>
      <c r="CP56" s="523"/>
      <c r="CQ56" s="523"/>
      <c r="CR56" s="523"/>
      <c r="CS56" s="523"/>
      <c r="CT56" s="523"/>
      <c r="CU56" s="1483">
        <f t="shared" ref="CU56:DF57" si="148">INDEX($D56:$L56,1,MATCH(CU$2,$D$2:$L$2,0))*CU$51</f>
        <v>0</v>
      </c>
      <c r="CV56" s="1483">
        <f t="shared" si="148"/>
        <v>0</v>
      </c>
      <c r="CW56" s="1483">
        <f t="shared" si="148"/>
        <v>0</v>
      </c>
      <c r="CX56" s="1483">
        <f t="shared" si="148"/>
        <v>0</v>
      </c>
      <c r="CY56" s="1483">
        <f t="shared" si="148"/>
        <v>0</v>
      </c>
      <c r="CZ56" s="1483">
        <f t="shared" si="148"/>
        <v>0</v>
      </c>
      <c r="DA56" s="1483">
        <f t="shared" si="148"/>
        <v>0</v>
      </c>
      <c r="DB56" s="1483">
        <f t="shared" si="148"/>
        <v>0</v>
      </c>
      <c r="DC56" s="1483">
        <f t="shared" si="148"/>
        <v>0</v>
      </c>
      <c r="DD56" s="1484">
        <f t="shared" si="148"/>
        <v>0.05</v>
      </c>
      <c r="DE56" s="1484">
        <f t="shared" si="148"/>
        <v>0.05</v>
      </c>
      <c r="DF56" s="1484">
        <f t="shared" si="148"/>
        <v>0.05</v>
      </c>
      <c r="DG56" s="1484">
        <f t="shared" ref="DG56:DL57" si="149">DF56</f>
        <v>0.05</v>
      </c>
      <c r="DH56" s="1484">
        <f t="shared" si="149"/>
        <v>0.05</v>
      </c>
      <c r="DI56" s="1484">
        <f t="shared" si="149"/>
        <v>0.05</v>
      </c>
      <c r="DJ56" s="1484">
        <f t="shared" si="149"/>
        <v>0.05</v>
      </c>
      <c r="DK56" s="1484">
        <f t="shared" si="149"/>
        <v>0.05</v>
      </c>
      <c r="DL56" s="1484">
        <f t="shared" si="149"/>
        <v>0.05</v>
      </c>
      <c r="DM56" s="522">
        <v>7.0000000000000007E-2</v>
      </c>
      <c r="DN56" s="522">
        <v>7.0000000000000007E-2</v>
      </c>
      <c r="DO56" s="522">
        <v>7.0000000000000007E-2</v>
      </c>
      <c r="DP56" s="1484">
        <f t="shared" ref="DP56:FB56" si="150">INDEX($D56:$L56,1,MATCH(DP$2,$D$2:$L$2,0))*DP$51</f>
        <v>0.1</v>
      </c>
      <c r="DQ56" s="1484">
        <f t="shared" si="150"/>
        <v>0.1</v>
      </c>
      <c r="DR56" s="1484">
        <f t="shared" si="150"/>
        <v>0.1</v>
      </c>
      <c r="DS56" s="1483">
        <f t="shared" si="150"/>
        <v>0.15</v>
      </c>
      <c r="DT56" s="1483">
        <f t="shared" si="150"/>
        <v>0.15</v>
      </c>
      <c r="DU56" s="1483">
        <f t="shared" si="150"/>
        <v>0.15</v>
      </c>
      <c r="DV56" s="1483">
        <f t="shared" si="150"/>
        <v>0.15</v>
      </c>
      <c r="DW56" s="1483">
        <f t="shared" si="150"/>
        <v>0.15</v>
      </c>
      <c r="DX56" s="1483">
        <f t="shared" si="150"/>
        <v>0.15</v>
      </c>
      <c r="DY56" s="1483">
        <f t="shared" si="150"/>
        <v>0.15</v>
      </c>
      <c r="DZ56" s="1483">
        <f t="shared" si="150"/>
        <v>0.15</v>
      </c>
      <c r="EA56" s="1483">
        <f t="shared" si="150"/>
        <v>0.15</v>
      </c>
      <c r="EB56" s="1483">
        <f t="shared" si="150"/>
        <v>0.15</v>
      </c>
      <c r="EC56" s="1483">
        <f t="shared" si="150"/>
        <v>0.15</v>
      </c>
      <c r="ED56" s="1483">
        <f t="shared" si="150"/>
        <v>0.15</v>
      </c>
      <c r="EE56" s="1483">
        <f t="shared" si="150"/>
        <v>0.2</v>
      </c>
      <c r="EF56" s="1483">
        <f t="shared" si="150"/>
        <v>0.2</v>
      </c>
      <c r="EG56" s="1483">
        <f t="shared" si="150"/>
        <v>0.2</v>
      </c>
      <c r="EH56" s="1483">
        <f t="shared" si="150"/>
        <v>0.2</v>
      </c>
      <c r="EI56" s="1483">
        <f t="shared" si="150"/>
        <v>0.2</v>
      </c>
      <c r="EJ56" s="1483">
        <f t="shared" si="150"/>
        <v>0.2</v>
      </c>
      <c r="EK56" s="1483">
        <f t="shared" si="150"/>
        <v>0.2</v>
      </c>
      <c r="EL56" s="1483">
        <f t="shared" si="150"/>
        <v>0.2</v>
      </c>
      <c r="EM56" s="1483">
        <f t="shared" si="150"/>
        <v>0.2</v>
      </c>
      <c r="EN56" s="1483">
        <f t="shared" si="150"/>
        <v>0.2</v>
      </c>
      <c r="EO56" s="1483">
        <f t="shared" si="150"/>
        <v>0.2</v>
      </c>
      <c r="EP56" s="1483">
        <f t="shared" si="150"/>
        <v>0.2</v>
      </c>
      <c r="EQ56" s="1483">
        <f t="shared" si="150"/>
        <v>0.3</v>
      </c>
      <c r="ER56" s="1483">
        <f t="shared" si="150"/>
        <v>0.3</v>
      </c>
      <c r="ES56" s="1483">
        <f t="shared" si="150"/>
        <v>0.3</v>
      </c>
      <c r="ET56" s="1483">
        <f t="shared" si="150"/>
        <v>0.3</v>
      </c>
      <c r="EU56" s="1483">
        <f t="shared" si="150"/>
        <v>0.3</v>
      </c>
      <c r="EV56" s="1483">
        <f t="shared" si="150"/>
        <v>0.3</v>
      </c>
      <c r="EW56" s="1483">
        <f t="shared" si="150"/>
        <v>0.3</v>
      </c>
      <c r="EX56" s="1483">
        <f t="shared" si="150"/>
        <v>0.3</v>
      </c>
      <c r="EY56" s="1483">
        <f t="shared" si="150"/>
        <v>0.3</v>
      </c>
      <c r="EZ56" s="1483">
        <f t="shared" si="150"/>
        <v>0.3</v>
      </c>
      <c r="FA56" s="1483">
        <f t="shared" si="150"/>
        <v>0.3</v>
      </c>
      <c r="FB56" s="1483">
        <f t="shared" si="150"/>
        <v>0.3</v>
      </c>
    </row>
    <row r="57" spans="1:158" x14ac:dyDescent="0.25">
      <c r="C57" t="s">
        <v>896</v>
      </c>
      <c r="D57" s="79"/>
      <c r="E57" s="79"/>
      <c r="F57" s="79"/>
      <c r="G57" s="79"/>
      <c r="H57" s="303">
        <v>0.15</v>
      </c>
      <c r="I57" s="303">
        <v>0.2</v>
      </c>
      <c r="J57" s="303">
        <v>0.3</v>
      </c>
      <c r="K57" s="303">
        <v>0.3</v>
      </c>
      <c r="L57" s="303">
        <v>0.3</v>
      </c>
      <c r="N57" s="524"/>
      <c r="O57" s="524"/>
      <c r="P57" s="524"/>
      <c r="Q57" s="524"/>
      <c r="R57" s="524"/>
      <c r="S57" s="524"/>
      <c r="T57" s="524"/>
      <c r="U57" s="524"/>
      <c r="V57" s="524"/>
      <c r="W57" s="524"/>
      <c r="X57" s="524"/>
      <c r="Y57" s="524"/>
      <c r="Z57" s="524"/>
      <c r="AA57" s="524"/>
      <c r="AB57" s="524"/>
      <c r="AC57" s="524"/>
      <c r="AD57" s="1463">
        <f>SUM(CU57:CW57)/3</f>
        <v>0</v>
      </c>
      <c r="AE57" s="1463">
        <f>SUM(CX57:CZ57)/3</f>
        <v>0</v>
      </c>
      <c r="AF57" s="1463">
        <f>SUM(DA57:DC57)/3</f>
        <v>0</v>
      </c>
      <c r="AG57" s="1463">
        <f>SUM(DD57:DF57)/3</f>
        <v>0.15</v>
      </c>
      <c r="AH57" s="1463">
        <f>SUM(DG57:DI57)/3</f>
        <v>0.15</v>
      </c>
      <c r="AI57" s="1463">
        <f>SUM(DJ57:DL57)/3</f>
        <v>0.15</v>
      </c>
      <c r="AJ57" s="1463">
        <f>SUM(DM57:DO57)/3</f>
        <v>0.3</v>
      </c>
      <c r="AK57" s="1463">
        <f>SUM(DP57:DR57)/3</f>
        <v>0.3</v>
      </c>
      <c r="AL57" s="1463">
        <f>SUM(DS57:DU57)/3</f>
        <v>0.3</v>
      </c>
      <c r="AM57" s="1463">
        <f>SUM(DV57:DX57)/3</f>
        <v>0.3</v>
      </c>
      <c r="AN57" s="1463">
        <f>SUM(DY57:EA57)/3</f>
        <v>0.3</v>
      </c>
      <c r="AO57" s="1463">
        <f>SUM(EB57:ED57)/3</f>
        <v>0.3</v>
      </c>
      <c r="AP57" s="1463">
        <f>SUM(EE57:EG57)/3</f>
        <v>0.3</v>
      </c>
      <c r="AQ57" s="1463">
        <f>SUM(EH57:EJ57)/3</f>
        <v>0.3</v>
      </c>
      <c r="AR57" s="1463">
        <f>SUM(EK57:EM57)/3</f>
        <v>0.3</v>
      </c>
      <c r="AS57" s="1463">
        <f>SUM(EN57:EP57)/3</f>
        <v>0.3</v>
      </c>
      <c r="AT57" s="1463">
        <f>SUM(EQ57:ES57)/3</f>
        <v>0.3</v>
      </c>
      <c r="AU57" s="1463">
        <f>SUM(ET57:EV57)/3</f>
        <v>0.3</v>
      </c>
      <c r="AV57" s="1463">
        <f>SUM(EW57:EY57)/3</f>
        <v>0.3</v>
      </c>
      <c r="AW57" s="1463">
        <f>SUM(EZ57:FB57)/3</f>
        <v>0.3</v>
      </c>
      <c r="AX57" s="527"/>
      <c r="AY57" s="526"/>
      <c r="AZ57" s="526"/>
      <c r="BA57" s="526"/>
      <c r="BB57" s="526"/>
      <c r="BC57" s="526"/>
      <c r="BD57" s="526"/>
      <c r="BE57" s="526"/>
      <c r="BF57" s="526"/>
      <c r="BG57" s="526"/>
      <c r="BH57" s="526"/>
      <c r="BI57" s="526"/>
      <c r="BJ57" s="526"/>
      <c r="BK57" s="526"/>
      <c r="BL57" s="526"/>
      <c r="BM57" s="526"/>
      <c r="BN57" s="526"/>
      <c r="BO57" s="526"/>
      <c r="BP57" s="526"/>
      <c r="BQ57" s="526"/>
      <c r="BR57" s="526"/>
      <c r="BS57" s="526"/>
      <c r="BT57" s="526"/>
      <c r="BU57" s="526"/>
      <c r="BV57" s="526"/>
      <c r="BW57" s="526"/>
      <c r="BX57" s="526"/>
      <c r="BY57" s="526"/>
      <c r="BZ57" s="526"/>
      <c r="CA57" s="526"/>
      <c r="CB57" s="526"/>
      <c r="CC57" s="526"/>
      <c r="CD57" s="526"/>
      <c r="CE57" s="526"/>
      <c r="CF57" s="526"/>
      <c r="CG57" s="526"/>
      <c r="CH57" s="526"/>
      <c r="CI57" s="526"/>
      <c r="CJ57" s="526"/>
      <c r="CK57" s="526"/>
      <c r="CL57" s="526"/>
      <c r="CM57" s="526"/>
      <c r="CN57" s="526"/>
      <c r="CO57" s="526"/>
      <c r="CP57" s="526"/>
      <c r="CQ57" s="526"/>
      <c r="CR57" s="526"/>
      <c r="CS57" s="526"/>
      <c r="CT57" s="526"/>
      <c r="CU57" s="1485">
        <f t="shared" si="148"/>
        <v>0</v>
      </c>
      <c r="CV57" s="1485">
        <f t="shared" si="148"/>
        <v>0</v>
      </c>
      <c r="CW57" s="1485">
        <f t="shared" si="148"/>
        <v>0</v>
      </c>
      <c r="CX57" s="1485">
        <f t="shared" si="148"/>
        <v>0</v>
      </c>
      <c r="CY57" s="1485">
        <f t="shared" si="148"/>
        <v>0</v>
      </c>
      <c r="CZ57" s="1485">
        <f t="shared" si="148"/>
        <v>0</v>
      </c>
      <c r="DA57" s="1485">
        <f t="shared" si="148"/>
        <v>0</v>
      </c>
      <c r="DB57" s="1485">
        <f t="shared" si="148"/>
        <v>0</v>
      </c>
      <c r="DC57" s="1485">
        <f t="shared" si="148"/>
        <v>0</v>
      </c>
      <c r="DD57" s="1486">
        <f t="shared" si="148"/>
        <v>0.15</v>
      </c>
      <c r="DE57" s="1486">
        <f t="shared" si="148"/>
        <v>0.15</v>
      </c>
      <c r="DF57" s="1486">
        <f t="shared" si="148"/>
        <v>0.15</v>
      </c>
      <c r="DG57" s="1486">
        <f t="shared" si="149"/>
        <v>0.15</v>
      </c>
      <c r="DH57" s="1486">
        <f t="shared" si="149"/>
        <v>0.15</v>
      </c>
      <c r="DI57" s="1486">
        <f t="shared" si="149"/>
        <v>0.15</v>
      </c>
      <c r="DJ57" s="1486">
        <f t="shared" si="149"/>
        <v>0.15</v>
      </c>
      <c r="DK57" s="1486">
        <f t="shared" si="149"/>
        <v>0.15</v>
      </c>
      <c r="DL57" s="1486">
        <f t="shared" si="149"/>
        <v>0.15</v>
      </c>
      <c r="DM57" s="525">
        <v>0.3</v>
      </c>
      <c r="DN57" s="525">
        <v>0.3</v>
      </c>
      <c r="DO57" s="525">
        <v>0.3</v>
      </c>
      <c r="DP57" s="525">
        <v>0.3</v>
      </c>
      <c r="DQ57" s="525">
        <v>0.3</v>
      </c>
      <c r="DR57" s="525">
        <v>0.3</v>
      </c>
      <c r="DS57" s="1485">
        <f t="shared" ref="DS57:FB57" si="151">INDEX($D57:$L57,1,MATCH(DS$2,$D$2:$L$2,0))*DS$51</f>
        <v>0.3</v>
      </c>
      <c r="DT57" s="1485">
        <f t="shared" si="151"/>
        <v>0.3</v>
      </c>
      <c r="DU57" s="1485">
        <f t="shared" si="151"/>
        <v>0.3</v>
      </c>
      <c r="DV57" s="1485">
        <f t="shared" si="151"/>
        <v>0.3</v>
      </c>
      <c r="DW57" s="1485">
        <f t="shared" si="151"/>
        <v>0.3</v>
      </c>
      <c r="DX57" s="1485">
        <f t="shared" si="151"/>
        <v>0.3</v>
      </c>
      <c r="DY57" s="1485">
        <f t="shared" si="151"/>
        <v>0.3</v>
      </c>
      <c r="DZ57" s="1485">
        <f t="shared" si="151"/>
        <v>0.3</v>
      </c>
      <c r="EA57" s="1485">
        <f t="shared" si="151"/>
        <v>0.3</v>
      </c>
      <c r="EB57" s="1485">
        <f t="shared" si="151"/>
        <v>0.3</v>
      </c>
      <c r="EC57" s="1485">
        <f t="shared" si="151"/>
        <v>0.3</v>
      </c>
      <c r="ED57" s="1485">
        <f t="shared" si="151"/>
        <v>0.3</v>
      </c>
      <c r="EE57" s="1485">
        <f t="shared" si="151"/>
        <v>0.3</v>
      </c>
      <c r="EF57" s="1485">
        <f t="shared" si="151"/>
        <v>0.3</v>
      </c>
      <c r="EG57" s="1485">
        <f t="shared" si="151"/>
        <v>0.3</v>
      </c>
      <c r="EH57" s="1485">
        <f t="shared" si="151"/>
        <v>0.3</v>
      </c>
      <c r="EI57" s="1485">
        <f t="shared" si="151"/>
        <v>0.3</v>
      </c>
      <c r="EJ57" s="1485">
        <f t="shared" si="151"/>
        <v>0.3</v>
      </c>
      <c r="EK57" s="1485">
        <f t="shared" si="151"/>
        <v>0.3</v>
      </c>
      <c r="EL57" s="1485">
        <f t="shared" si="151"/>
        <v>0.3</v>
      </c>
      <c r="EM57" s="1485">
        <f t="shared" si="151"/>
        <v>0.3</v>
      </c>
      <c r="EN57" s="1485">
        <f t="shared" si="151"/>
        <v>0.3</v>
      </c>
      <c r="EO57" s="1485">
        <f t="shared" si="151"/>
        <v>0.3</v>
      </c>
      <c r="EP57" s="1485">
        <f t="shared" si="151"/>
        <v>0.3</v>
      </c>
      <c r="EQ57" s="1485">
        <f t="shared" si="151"/>
        <v>0.3</v>
      </c>
      <c r="ER57" s="1485">
        <f t="shared" si="151"/>
        <v>0.3</v>
      </c>
      <c r="ES57" s="1485">
        <f t="shared" si="151"/>
        <v>0.3</v>
      </c>
      <c r="ET57" s="1485">
        <f t="shared" si="151"/>
        <v>0.3</v>
      </c>
      <c r="EU57" s="1485">
        <f t="shared" si="151"/>
        <v>0.3</v>
      </c>
      <c r="EV57" s="1485">
        <f t="shared" si="151"/>
        <v>0.3</v>
      </c>
      <c r="EW57" s="1485">
        <f t="shared" si="151"/>
        <v>0.3</v>
      </c>
      <c r="EX57" s="1485">
        <f t="shared" si="151"/>
        <v>0.3</v>
      </c>
      <c r="EY57" s="1485">
        <f t="shared" si="151"/>
        <v>0.3</v>
      </c>
      <c r="EZ57" s="1485">
        <f t="shared" si="151"/>
        <v>0.3</v>
      </c>
      <c r="FA57" s="1485">
        <f t="shared" si="151"/>
        <v>0.3</v>
      </c>
      <c r="FB57" s="1485">
        <f t="shared" si="151"/>
        <v>0.3</v>
      </c>
    </row>
    <row r="58" spans="1:158" x14ac:dyDescent="0.25">
      <c r="C58" t="s">
        <v>891</v>
      </c>
      <c r="D58" s="1472">
        <f t="shared" ref="D58:L58" si="152">SUMIF($AY$2:$FB$2,D$2,$AY58:$FB58)</f>
        <v>0</v>
      </c>
      <c r="E58" s="1472">
        <f t="shared" si="152"/>
        <v>0</v>
      </c>
      <c r="F58" s="1472">
        <f t="shared" si="152"/>
        <v>0</v>
      </c>
      <c r="G58" s="1472">
        <f t="shared" si="152"/>
        <v>0</v>
      </c>
      <c r="H58" s="1472">
        <f t="shared" si="152"/>
        <v>49982.838402506328</v>
      </c>
      <c r="I58" s="1472">
        <f t="shared" si="152"/>
        <v>456038.58509364759</v>
      </c>
      <c r="J58" s="1472">
        <f t="shared" si="152"/>
        <v>1464989.7078527929</v>
      </c>
      <c r="K58" s="1472">
        <f t="shared" si="152"/>
        <v>2480013.2738908115</v>
      </c>
      <c r="L58" s="1472">
        <f t="shared" si="152"/>
        <v>4597627.6953837657</v>
      </c>
      <c r="N58" s="1487">
        <f>SUM(AY58:BA58)</f>
        <v>0</v>
      </c>
      <c r="O58" s="1487">
        <f>SUM(BB58:BD58)</f>
        <v>0</v>
      </c>
      <c r="P58" s="1487">
        <f>SUM(BE58:BG58)</f>
        <v>0</v>
      </c>
      <c r="Q58" s="1487">
        <f>SUM(BH58:BJ58)</f>
        <v>0</v>
      </c>
      <c r="R58" s="1487">
        <f>SUM(BK58:BM58)</f>
        <v>0</v>
      </c>
      <c r="S58" s="1487">
        <f>SUM(BN58:BP58)</f>
        <v>0</v>
      </c>
      <c r="T58" s="1487">
        <f>SUM(BQ58:BS58)</f>
        <v>0</v>
      </c>
      <c r="U58" s="1487">
        <f>SUM(BT58:BV58)</f>
        <v>0</v>
      </c>
      <c r="V58" s="1487">
        <f>SUM(BW58:BY58)</f>
        <v>0</v>
      </c>
      <c r="W58" s="1487">
        <f>SUM(BZ58:CB58)</f>
        <v>0</v>
      </c>
      <c r="X58" s="1487">
        <f>SUM(CC58:CE58)</f>
        <v>0</v>
      </c>
      <c r="Y58" s="1487">
        <f>SUM(CF58:CH58)</f>
        <v>0</v>
      </c>
      <c r="Z58" s="1487">
        <f>SUM(CI58:CK58)</f>
        <v>0</v>
      </c>
      <c r="AA58" s="1487">
        <f>SUM(CL58:CN58)</f>
        <v>0</v>
      </c>
      <c r="AB58" s="1487">
        <f>SUM(CO58:CQ58)</f>
        <v>0</v>
      </c>
      <c r="AC58" s="1487">
        <f>SUM(CR58:CT58)</f>
        <v>0</v>
      </c>
      <c r="AD58" s="1487">
        <f>SUM(CU58:CW58)</f>
        <v>0</v>
      </c>
      <c r="AE58" s="1487">
        <f>SUM(CX58:CZ58)</f>
        <v>0</v>
      </c>
      <c r="AF58" s="1487">
        <f>SUM(DA58:DC58)</f>
        <v>0</v>
      </c>
      <c r="AG58" s="1487">
        <f>SUM(DD58:DF58)</f>
        <v>49982.838402506328</v>
      </c>
      <c r="AH58" s="1487">
        <f>SUM(DG58:DI58)</f>
        <v>34199.265642980281</v>
      </c>
      <c r="AI58" s="1487">
        <f>SUM(DJ58:DL58)</f>
        <v>46405.294845570381</v>
      </c>
      <c r="AJ58" s="1487">
        <f>SUM(DM58:DO58)</f>
        <v>121888.67126472836</v>
      </c>
      <c r="AK58" s="1487">
        <f>SUM(DP58:DR58)</f>
        <v>253545.3533403686</v>
      </c>
      <c r="AL58" s="1487">
        <f>SUM(DS58:DU58)</f>
        <v>267176.22816935804</v>
      </c>
      <c r="AM58" s="1487">
        <f>SUM(DV58:DX58)</f>
        <v>362533.85594176746</v>
      </c>
      <c r="AN58" s="1487">
        <f>SUM(DY58:EA58)</f>
        <v>340084.11367922137</v>
      </c>
      <c r="AO58" s="1487">
        <f>SUM(EB58:ED58)</f>
        <v>495195.510062446</v>
      </c>
      <c r="AP58" s="1487">
        <f>SUM(EE58:EG58)</f>
        <v>452290.27123968618</v>
      </c>
      <c r="AQ58" s="1487">
        <f>SUM(EH58:EJ58)</f>
        <v>613716.78596171131</v>
      </c>
      <c r="AR58" s="1487">
        <f>SUM(EK58:EM58)</f>
        <v>575712.65630257223</v>
      </c>
      <c r="AS58" s="1487">
        <f>SUM(EN58:EP58)</f>
        <v>838293.560386842</v>
      </c>
      <c r="AT58" s="1487">
        <f>SUM(EQ58:ES58)</f>
        <v>838488.36588758091</v>
      </c>
      <c r="AU58" s="1487">
        <f>SUM(ET58:EV58)</f>
        <v>1137752.4959101102</v>
      </c>
      <c r="AV58" s="1487">
        <f>SUM(EW58:EY58)</f>
        <v>1067297.6959703956</v>
      </c>
      <c r="AW58" s="1487">
        <f>SUM(EZ58:FB58)</f>
        <v>1554089.1376156788</v>
      </c>
      <c r="AX58" s="521"/>
      <c r="AY58" s="521">
        <v>0</v>
      </c>
      <c r="AZ58" s="521">
        <v>0</v>
      </c>
      <c r="BA58" s="521">
        <v>0</v>
      </c>
      <c r="BB58" s="521">
        <v>0</v>
      </c>
      <c r="BC58" s="521">
        <v>0</v>
      </c>
      <c r="BD58" s="521">
        <v>0</v>
      </c>
      <c r="BE58" s="521">
        <v>0</v>
      </c>
      <c r="BF58" s="521">
        <v>0</v>
      </c>
      <c r="BG58" s="521">
        <v>0</v>
      </c>
      <c r="BH58" s="521">
        <v>0</v>
      </c>
      <c r="BI58" s="521">
        <v>0</v>
      </c>
      <c r="BJ58" s="521">
        <v>0</v>
      </c>
      <c r="BK58" s="521">
        <v>0</v>
      </c>
      <c r="BL58" s="521">
        <v>0</v>
      </c>
      <c r="BM58" s="521">
        <v>0</v>
      </c>
      <c r="BN58" s="521">
        <v>0</v>
      </c>
      <c r="BO58" s="521">
        <v>0</v>
      </c>
      <c r="BP58" s="521">
        <v>0</v>
      </c>
      <c r="BQ58" s="521">
        <v>0</v>
      </c>
      <c r="BR58" s="521">
        <v>0</v>
      </c>
      <c r="BS58" s="521">
        <v>0</v>
      </c>
      <c r="BT58" s="521">
        <v>0</v>
      </c>
      <c r="BU58" s="521">
        <v>0</v>
      </c>
      <c r="BV58" s="521">
        <v>0</v>
      </c>
      <c r="BW58" s="521">
        <v>0</v>
      </c>
      <c r="BX58" s="521">
        <v>0</v>
      </c>
      <c r="BY58" s="521">
        <v>0</v>
      </c>
      <c r="BZ58" s="521">
        <v>0</v>
      </c>
      <c r="CA58" s="521">
        <v>0</v>
      </c>
      <c r="CB58" s="521">
        <v>0</v>
      </c>
      <c r="CC58" s="521">
        <v>0</v>
      </c>
      <c r="CD58" s="521">
        <v>0</v>
      </c>
      <c r="CE58" s="521">
        <v>0</v>
      </c>
      <c r="CF58" s="521">
        <v>0</v>
      </c>
      <c r="CG58" s="521">
        <v>0</v>
      </c>
      <c r="CH58" s="521">
        <v>0</v>
      </c>
      <c r="CI58" s="521">
        <v>0</v>
      </c>
      <c r="CJ58" s="521">
        <v>0</v>
      </c>
      <c r="CK58" s="521">
        <v>0</v>
      </c>
      <c r="CL58" s="521">
        <v>0</v>
      </c>
      <c r="CM58" s="521">
        <v>0</v>
      </c>
      <c r="CN58" s="521">
        <v>0</v>
      </c>
      <c r="CO58" s="521">
        <v>0</v>
      </c>
      <c r="CP58" s="521">
        <v>0</v>
      </c>
      <c r="CQ58" s="521">
        <v>0</v>
      </c>
      <c r="CR58" s="521">
        <v>0</v>
      </c>
      <c r="CS58" s="521">
        <v>0</v>
      </c>
      <c r="CT58" s="521">
        <v>0</v>
      </c>
      <c r="CU58" s="1488">
        <f t="shared" ref="CU58:DZ58" si="153">CU55*CU56*CU57</f>
        <v>0</v>
      </c>
      <c r="CV58" s="1488">
        <f t="shared" si="153"/>
        <v>0</v>
      </c>
      <c r="CW58" s="1488">
        <f t="shared" si="153"/>
        <v>0</v>
      </c>
      <c r="CX58" s="1488">
        <f t="shared" si="153"/>
        <v>0</v>
      </c>
      <c r="CY58" s="1488">
        <f t="shared" si="153"/>
        <v>0</v>
      </c>
      <c r="CZ58" s="1488">
        <f t="shared" si="153"/>
        <v>0</v>
      </c>
      <c r="DA58" s="1488">
        <f t="shared" si="153"/>
        <v>0</v>
      </c>
      <c r="DB58" s="1488">
        <f t="shared" si="153"/>
        <v>0</v>
      </c>
      <c r="DC58" s="1488">
        <f t="shared" si="153"/>
        <v>0</v>
      </c>
      <c r="DD58" s="1488">
        <f t="shared" si="153"/>
        <v>7426.0434961232077</v>
      </c>
      <c r="DE58" s="1488">
        <f t="shared" si="153"/>
        <v>19808.443243648533</v>
      </c>
      <c r="DF58" s="1488">
        <f t="shared" si="153"/>
        <v>22748.351662734585</v>
      </c>
      <c r="DG58" s="1488">
        <f t="shared" si="153"/>
        <v>4724.4854780301685</v>
      </c>
      <c r="DH58" s="1488">
        <f t="shared" si="153"/>
        <v>9979.112481049413</v>
      </c>
      <c r="DI58" s="1488">
        <f t="shared" si="153"/>
        <v>19495.667683900698</v>
      </c>
      <c r="DJ58" s="1488">
        <f t="shared" si="153"/>
        <v>8410.2678146349263</v>
      </c>
      <c r="DK58" s="1488">
        <f t="shared" si="153"/>
        <v>15774.500952324443</v>
      </c>
      <c r="DL58" s="1488">
        <f t="shared" si="153"/>
        <v>22220.526078611012</v>
      </c>
      <c r="DM58" s="1488">
        <f t="shared" si="153"/>
        <v>20595.525523621676</v>
      </c>
      <c r="DN58" s="1488">
        <f t="shared" si="153"/>
        <v>36723.86178579813</v>
      </c>
      <c r="DO58" s="1488">
        <f t="shared" si="153"/>
        <v>64569.283955308558</v>
      </c>
      <c r="DP58" s="1488">
        <f t="shared" si="153"/>
        <v>35258.278521928922</v>
      </c>
      <c r="DQ58" s="1488">
        <f t="shared" si="153"/>
        <v>101303.14092056884</v>
      </c>
      <c r="DR58" s="1488">
        <f t="shared" si="153"/>
        <v>116983.93389787081</v>
      </c>
      <c r="DS58" s="1488">
        <f t="shared" si="153"/>
        <v>36909.278206097959</v>
      </c>
      <c r="DT58" s="1488">
        <f t="shared" si="153"/>
        <v>77960.201280281151</v>
      </c>
      <c r="DU58" s="1488">
        <f t="shared" si="153"/>
        <v>152306.74868297894</v>
      </c>
      <c r="DV58" s="1488">
        <f t="shared" si="153"/>
        <v>65703.856219191439</v>
      </c>
      <c r="DW58" s="1488">
        <f t="shared" si="153"/>
        <v>123235.73581063346</v>
      </c>
      <c r="DX58" s="1488">
        <f t="shared" si="153"/>
        <v>173594.26391194251</v>
      </c>
      <c r="DY58" s="1488">
        <f t="shared" si="153"/>
        <v>57464.003592641573</v>
      </c>
      <c r="DZ58" s="1488">
        <f t="shared" si="153"/>
        <v>102464.00963036387</v>
      </c>
      <c r="EA58" s="1488">
        <f t="shared" ref="EA58:FB58" si="154">EA55*EA56*EA57</f>
        <v>180156.10045621588</v>
      </c>
      <c r="EB58" s="1488">
        <f t="shared" si="154"/>
        <v>68862.398724979925</v>
      </c>
      <c r="EC58" s="1488">
        <f t="shared" si="154"/>
        <v>197853.59849109827</v>
      </c>
      <c r="ED58" s="1488">
        <f t="shared" si="154"/>
        <v>228479.51284636778</v>
      </c>
      <c r="EE58" s="1488">
        <f t="shared" si="154"/>
        <v>62482.008842924653</v>
      </c>
      <c r="EF58" s="1488">
        <f t="shared" si="154"/>
        <v>131975.2165997636</v>
      </c>
      <c r="EG58" s="1488">
        <f t="shared" si="154"/>
        <v>257833.04579699787</v>
      </c>
      <c r="EH58" s="1488">
        <f t="shared" si="154"/>
        <v>111227.01729299901</v>
      </c>
      <c r="EI58" s="1488">
        <f t="shared" si="154"/>
        <v>208620.07356763122</v>
      </c>
      <c r="EJ58" s="1488">
        <f t="shared" si="154"/>
        <v>293869.6951010811</v>
      </c>
      <c r="EK58" s="1488">
        <f t="shared" si="154"/>
        <v>97278.152137694386</v>
      </c>
      <c r="EL58" s="1488">
        <f t="shared" si="154"/>
        <v>173456.57967237569</v>
      </c>
      <c r="EM58" s="1488">
        <f t="shared" si="154"/>
        <v>304977.92449250218</v>
      </c>
      <c r="EN58" s="1488">
        <f t="shared" si="154"/>
        <v>116573.96771764384</v>
      </c>
      <c r="EO58" s="1488">
        <f t="shared" si="154"/>
        <v>334937.19984160597</v>
      </c>
      <c r="EP58" s="1488">
        <f t="shared" si="154"/>
        <v>386782.39282759221</v>
      </c>
      <c r="EQ58" s="1488">
        <f t="shared" si="154"/>
        <v>115833.65998229386</v>
      </c>
      <c r="ER58" s="1488">
        <f t="shared" si="154"/>
        <v>244665.18680821345</v>
      </c>
      <c r="ES58" s="1488">
        <f t="shared" si="154"/>
        <v>477989.51909707353</v>
      </c>
      <c r="ET58" s="1488">
        <f t="shared" si="154"/>
        <v>206200.67665159437</v>
      </c>
      <c r="EU58" s="1488">
        <f t="shared" si="154"/>
        <v>386754.95738083264</v>
      </c>
      <c r="EV58" s="1488">
        <f t="shared" si="154"/>
        <v>544796.8618776832</v>
      </c>
      <c r="EW58" s="1488">
        <f t="shared" si="154"/>
        <v>180341.26314265458</v>
      </c>
      <c r="EX58" s="1488">
        <f t="shared" si="154"/>
        <v>321566.33314994362</v>
      </c>
      <c r="EY58" s="1488">
        <f t="shared" si="154"/>
        <v>565390.09967779752</v>
      </c>
      <c r="EZ58" s="1488">
        <f t="shared" si="154"/>
        <v>216113.23946607605</v>
      </c>
      <c r="FA58" s="1488">
        <f t="shared" si="154"/>
        <v>620930.76775759738</v>
      </c>
      <c r="FB58" s="1488">
        <f t="shared" si="154"/>
        <v>717045.13039200532</v>
      </c>
    </row>
    <row r="59" spans="1:158" x14ac:dyDescent="0.25">
      <c r="AD59" s="520"/>
      <c r="AE59" s="520"/>
      <c r="AF59" s="520"/>
      <c r="AG59" s="520"/>
      <c r="AH59" s="520"/>
      <c r="AI59" s="520"/>
      <c r="AJ59" s="520"/>
      <c r="AK59" s="520"/>
      <c r="AL59" s="520"/>
      <c r="AM59" s="520"/>
      <c r="AN59" s="520"/>
      <c r="AO59" s="520"/>
      <c r="AP59" s="520"/>
      <c r="AQ59" s="520"/>
      <c r="AR59" s="520"/>
      <c r="AS59" s="520"/>
      <c r="AT59" s="520"/>
      <c r="AU59" s="520"/>
      <c r="AV59" s="520"/>
      <c r="AW59" s="520"/>
    </row>
    <row r="60" spans="1:158" x14ac:dyDescent="0.25">
      <c r="C60" t="s">
        <v>608</v>
      </c>
      <c r="D60" s="1472">
        <f t="shared" ref="D60:L60" si="155">SUMIF($AY$2:$FB$2,D$2,$AY60:$FB60)</f>
        <v>4135547.4499999997</v>
      </c>
      <c r="E60" s="1472">
        <f t="shared" si="155"/>
        <v>6446601.9000000004</v>
      </c>
      <c r="F60" s="1472">
        <f t="shared" si="155"/>
        <v>6373032.4761190014</v>
      </c>
      <c r="G60" s="1472">
        <f t="shared" si="155"/>
        <v>10348857.147820331</v>
      </c>
      <c r="H60" s="1472">
        <f t="shared" si="155"/>
        <v>12486617.328824773</v>
      </c>
      <c r="I60" s="1472">
        <f t="shared" si="155"/>
        <v>17056083.393466983</v>
      </c>
      <c r="J60" s="1472">
        <f t="shared" si="155"/>
        <v>21505101.122632332</v>
      </c>
      <c r="K60" s="1472">
        <f t="shared" si="155"/>
        <v>26367416.356500991</v>
      </c>
      <c r="L60" s="1472">
        <f t="shared" si="155"/>
        <v>31374103.714801259</v>
      </c>
      <c r="M60" s="244"/>
      <c r="N60" s="1476">
        <f>SUM(AY60:BA60)</f>
        <v>942678</v>
      </c>
      <c r="O60" s="1476">
        <f>SUM(BB60:BD60)</f>
        <v>1175560.1099999999</v>
      </c>
      <c r="P60" s="1476">
        <f>SUM(BE60:BG60)</f>
        <v>899799</v>
      </c>
      <c r="Q60" s="1476">
        <f>SUM(BH60:BJ60)</f>
        <v>1117510.3399999999</v>
      </c>
      <c r="R60" s="1476">
        <f>SUM(BK60:BM60)</f>
        <v>1312061.26</v>
      </c>
      <c r="S60" s="1476">
        <f>SUM(BN60:BP60)</f>
        <v>1241153.3400000001</v>
      </c>
      <c r="T60" s="1476">
        <f>SUM(BQ60:BS60)</f>
        <v>1826211.1400000001</v>
      </c>
      <c r="U60" s="1476">
        <f>SUM(BT60:BV60)</f>
        <v>2067176.1600000001</v>
      </c>
      <c r="V60" s="1476">
        <f>SUM(BW60:BY60)</f>
        <v>1563850.5114290002</v>
      </c>
      <c r="W60" s="1476">
        <f>SUM(BZ60:CB60)</f>
        <v>1611306.3739199999</v>
      </c>
      <c r="X60" s="1476">
        <f>SUM(CC60:CE60)</f>
        <v>1023480.697692</v>
      </c>
      <c r="Y60" s="1476">
        <f>SUM(CF60:CH60)</f>
        <v>2174394.8930780003</v>
      </c>
      <c r="Z60" s="1476">
        <f>SUM(CI60:CK60)</f>
        <v>1237977.660779</v>
      </c>
      <c r="AA60" s="1476">
        <f>SUM(CL60:CN60)</f>
        <v>1920331.1687080001</v>
      </c>
      <c r="AB60" s="1476">
        <f>SUM(CO60:CQ60)</f>
        <v>2897690.6083333329</v>
      </c>
      <c r="AC60" s="1476">
        <f>SUM(CR60:CT60)</f>
        <v>4292857.709999999</v>
      </c>
      <c r="AD60" s="1476">
        <f>SUM(CU60:CW60)</f>
        <v>2209808.2788187577</v>
      </c>
      <c r="AE60" s="1476">
        <f>SUM(CX60:CZ60)</f>
        <v>2940162.8655328783</v>
      </c>
      <c r="AF60" s="1476">
        <f>SUM(DA60:DC60)</f>
        <v>2898655.3041038038</v>
      </c>
      <c r="AG60" s="1476">
        <f>SUM(DD60:DF60)</f>
        <v>4437990.8803693345</v>
      </c>
      <c r="AH60" s="1476">
        <f>SUM(DG60:DI60)</f>
        <v>3110588.4252849882</v>
      </c>
      <c r="AI60" s="1476">
        <f>SUM(DJ60:DL60)</f>
        <v>4220785.7480178699</v>
      </c>
      <c r="AJ60" s="1476">
        <f>SUM(DM60:DO60)</f>
        <v>3959415.5321458131</v>
      </c>
      <c r="AK60" s="1476">
        <f>SUM(DP60:DR60)</f>
        <v>5765293.6880183127</v>
      </c>
      <c r="AL60" s="1476">
        <f>SUM(DS60:DU60)</f>
        <v>3921974.1773932497</v>
      </c>
      <c r="AM60" s="1476">
        <f>SUM(DV60:DX60)</f>
        <v>5321762.4605926126</v>
      </c>
      <c r="AN60" s="1476">
        <f>SUM(DY60:EA60)</f>
        <v>4992214.7682469143</v>
      </c>
      <c r="AO60" s="1476">
        <f>SUM(EB60:ED60)</f>
        <v>7269149.7163995579</v>
      </c>
      <c r="AP60" s="1476">
        <f>SUM(EE60:EG60)</f>
        <v>4808734.703690391</v>
      </c>
      <c r="AQ60" s="1476">
        <f>SUM(EH60:EJ60)</f>
        <v>6525015.8903538603</v>
      </c>
      <c r="AR60" s="1476">
        <f>SUM(EK60:EM60)</f>
        <v>6120957.2828703402</v>
      </c>
      <c r="AS60" s="1476">
        <f>SUM(EN60:EP60)</f>
        <v>8912708.4795864001</v>
      </c>
      <c r="AT60" s="1476">
        <f>SUM(EQ60:ES60)</f>
        <v>5721824.9710441921</v>
      </c>
      <c r="AU60" s="1476">
        <f>SUM(ET60:EV60)</f>
        <v>7763996.3854181198</v>
      </c>
      <c r="AV60" s="1476">
        <f>SUM(EW60:EY60)</f>
        <v>7283214.4807124436</v>
      </c>
      <c r="AW60" s="1476">
        <f>SUM(EZ60:FB60)</f>
        <v>10605067.877626508</v>
      </c>
      <c r="AY60" s="1482">
        <f t="shared" ref="AY60:CD60" si="156">AY102</f>
        <v>65700</v>
      </c>
      <c r="AZ60" s="1482">
        <f t="shared" si="156"/>
        <v>228500</v>
      </c>
      <c r="BA60" s="1482">
        <f t="shared" si="156"/>
        <v>648478</v>
      </c>
      <c r="BB60" s="1482">
        <f t="shared" si="156"/>
        <v>161613.43</v>
      </c>
      <c r="BC60" s="1482">
        <f t="shared" si="156"/>
        <v>475946.68</v>
      </c>
      <c r="BD60" s="1482">
        <f t="shared" si="156"/>
        <v>538000</v>
      </c>
      <c r="BE60" s="1482">
        <f t="shared" si="156"/>
        <v>65000</v>
      </c>
      <c r="BF60" s="1482">
        <f t="shared" si="156"/>
        <v>319499</v>
      </c>
      <c r="BG60" s="1482">
        <f t="shared" si="156"/>
        <v>515300</v>
      </c>
      <c r="BH60" s="1482">
        <f t="shared" si="156"/>
        <v>242494.67</v>
      </c>
      <c r="BI60" s="1482">
        <f t="shared" si="156"/>
        <v>390866.67</v>
      </c>
      <c r="BJ60" s="1482">
        <f t="shared" si="156"/>
        <v>484149</v>
      </c>
      <c r="BK60" s="1482">
        <f t="shared" si="156"/>
        <v>111600</v>
      </c>
      <c r="BL60" s="1482">
        <f t="shared" si="156"/>
        <v>142500</v>
      </c>
      <c r="BM60" s="1482">
        <f t="shared" si="156"/>
        <v>1057961.26</v>
      </c>
      <c r="BN60" s="1482">
        <f t="shared" si="156"/>
        <v>289100</v>
      </c>
      <c r="BO60" s="1482">
        <f t="shared" si="156"/>
        <v>395523.34</v>
      </c>
      <c r="BP60" s="1482">
        <f t="shared" si="156"/>
        <v>556530</v>
      </c>
      <c r="BQ60" s="1482">
        <f t="shared" si="156"/>
        <v>187750</v>
      </c>
      <c r="BR60" s="1482">
        <f t="shared" si="156"/>
        <v>565973.67000000004</v>
      </c>
      <c r="BS60" s="1482">
        <f t="shared" si="156"/>
        <v>1072487.47</v>
      </c>
      <c r="BT60" s="1482">
        <f t="shared" si="156"/>
        <v>125000</v>
      </c>
      <c r="BU60" s="1482">
        <f t="shared" si="156"/>
        <v>950419.49</v>
      </c>
      <c r="BV60" s="1482">
        <f t="shared" si="156"/>
        <v>991756.67</v>
      </c>
      <c r="BW60" s="1482">
        <f t="shared" si="156"/>
        <v>159540</v>
      </c>
      <c r="BX60" s="1482">
        <f t="shared" si="156"/>
        <v>585490.86307700002</v>
      </c>
      <c r="BY60" s="1482">
        <f t="shared" si="156"/>
        <v>818819.64835200005</v>
      </c>
      <c r="BZ60" s="1482">
        <f t="shared" si="156"/>
        <v>319848.90109900001</v>
      </c>
      <c r="CA60" s="1482">
        <f t="shared" si="156"/>
        <v>445334.56</v>
      </c>
      <c r="CB60" s="1482">
        <f t="shared" si="156"/>
        <v>846122.91282099998</v>
      </c>
      <c r="CC60" s="1482">
        <f t="shared" si="156"/>
        <v>236328.37</v>
      </c>
      <c r="CD60" s="1482">
        <f t="shared" si="156"/>
        <v>539332.34769199998</v>
      </c>
      <c r="CE60" s="1482">
        <f t="shared" ref="CE60:DJ60" si="157">CE102</f>
        <v>247819.98</v>
      </c>
      <c r="CF60" s="1482">
        <f t="shared" si="157"/>
        <v>131927.69</v>
      </c>
      <c r="CG60" s="1482">
        <f t="shared" si="157"/>
        <v>931908.91362699994</v>
      </c>
      <c r="CH60" s="1482">
        <f t="shared" si="157"/>
        <v>1110558.289451</v>
      </c>
      <c r="CI60" s="1482">
        <f t="shared" si="157"/>
        <v>145344.536234</v>
      </c>
      <c r="CJ60" s="1482">
        <f t="shared" si="157"/>
        <v>373766.72</v>
      </c>
      <c r="CK60" s="1482">
        <f t="shared" si="157"/>
        <v>718866.40454500006</v>
      </c>
      <c r="CL60" s="1482">
        <f t="shared" si="157"/>
        <v>438762.17</v>
      </c>
      <c r="CM60" s="1482">
        <f t="shared" si="157"/>
        <v>621217.30753200001</v>
      </c>
      <c r="CN60" s="1482">
        <f t="shared" si="157"/>
        <v>860351.69117600005</v>
      </c>
      <c r="CO60" s="1482">
        <f t="shared" si="157"/>
        <v>434653.59124999994</v>
      </c>
      <c r="CP60" s="1482">
        <f t="shared" si="157"/>
        <v>1014191.7129166665</v>
      </c>
      <c r="CQ60" s="1482">
        <f t="shared" si="157"/>
        <v>1448845.3041666665</v>
      </c>
      <c r="CR60" s="1482">
        <f t="shared" si="157"/>
        <v>429285.77099999995</v>
      </c>
      <c r="CS60" s="1482">
        <f t="shared" si="157"/>
        <v>1717143.0839999998</v>
      </c>
      <c r="CT60" s="1482">
        <f t="shared" si="157"/>
        <v>2146428.8549999995</v>
      </c>
      <c r="CU60" s="1482">
        <f t="shared" si="157"/>
        <v>292114.71724206436</v>
      </c>
      <c r="CV60" s="1482">
        <f t="shared" si="157"/>
        <v>642006.02683606674</v>
      </c>
      <c r="CW60" s="1482">
        <f t="shared" si="157"/>
        <v>1275687.5347406266</v>
      </c>
      <c r="CX60" s="1482">
        <f t="shared" si="157"/>
        <v>510070.37260479829</v>
      </c>
      <c r="CY60" s="1482">
        <f t="shared" si="157"/>
        <v>1000434.6125824797</v>
      </c>
      <c r="CZ60" s="1482">
        <f t="shared" si="157"/>
        <v>1429657.8803456002</v>
      </c>
      <c r="DA60" s="1482">
        <f t="shared" si="157"/>
        <v>489785.70920829108</v>
      </c>
      <c r="DB60" s="1482">
        <f t="shared" si="157"/>
        <v>873336.42780781328</v>
      </c>
      <c r="DC60" s="1482">
        <f t="shared" si="157"/>
        <v>1535533.1670876993</v>
      </c>
      <c r="DD60" s="1482">
        <f t="shared" si="157"/>
        <v>659360.57987791731</v>
      </c>
      <c r="DE60" s="1482">
        <f t="shared" si="157"/>
        <v>1758797.4848826837</v>
      </c>
      <c r="DF60" s="1482">
        <f t="shared" si="157"/>
        <v>2019832.8156087331</v>
      </c>
      <c r="DG60" s="1482">
        <f t="shared" si="157"/>
        <v>429714.77799565368</v>
      </c>
      <c r="DH60" s="1482">
        <f t="shared" si="157"/>
        <v>907648.48877802445</v>
      </c>
      <c r="DI60" s="1482">
        <f t="shared" si="157"/>
        <v>1773225.1585113101</v>
      </c>
      <c r="DJ60" s="1482">
        <f t="shared" si="157"/>
        <v>764954.48735227576</v>
      </c>
      <c r="DK60" s="1482">
        <f t="shared" ref="DK60:EP60" si="158">DK102</f>
        <v>1434767.0674916699</v>
      </c>
      <c r="DL60" s="1482">
        <f t="shared" si="158"/>
        <v>2021064.1931739242</v>
      </c>
      <c r="DM60" s="1482">
        <f t="shared" si="158"/>
        <v>669022.3365699345</v>
      </c>
      <c r="DN60" s="1482">
        <f t="shared" si="158"/>
        <v>1192933.0859572829</v>
      </c>
      <c r="DO60" s="1482">
        <f t="shared" si="158"/>
        <v>2097460.1096185958</v>
      </c>
      <c r="DP60" s="1482">
        <f t="shared" si="158"/>
        <v>801727.69066678802</v>
      </c>
      <c r="DQ60" s="1482">
        <f t="shared" si="158"/>
        <v>2303502.5143676968</v>
      </c>
      <c r="DR60" s="1482">
        <f t="shared" si="158"/>
        <v>2660063.4829838281</v>
      </c>
      <c r="DS60" s="1482">
        <f t="shared" si="158"/>
        <v>541804.32526647078</v>
      </c>
      <c r="DT60" s="1482">
        <f t="shared" si="158"/>
        <v>1144405.3177209634</v>
      </c>
      <c r="DU60" s="1482">
        <f t="shared" si="158"/>
        <v>2235764.5344058154</v>
      </c>
      <c r="DV60" s="1482">
        <f t="shared" si="158"/>
        <v>964490.10158000863</v>
      </c>
      <c r="DW60" s="1482">
        <f t="shared" si="158"/>
        <v>1809020.8732005483</v>
      </c>
      <c r="DX60" s="1482">
        <f t="shared" si="158"/>
        <v>2548251.4858120554</v>
      </c>
      <c r="DY60" s="1482">
        <f t="shared" si="158"/>
        <v>843534.39587115461</v>
      </c>
      <c r="DZ60" s="1482">
        <f t="shared" si="158"/>
        <v>1504105.3713346384</v>
      </c>
      <c r="EA60" s="1482">
        <f t="shared" si="158"/>
        <v>2644575.0010411213</v>
      </c>
      <c r="EB60" s="1482">
        <f t="shared" si="158"/>
        <v>1010855.4621166843</v>
      </c>
      <c r="EC60" s="1482">
        <f t="shared" si="158"/>
        <v>2904362.8226330909</v>
      </c>
      <c r="ED60" s="1482">
        <f t="shared" si="158"/>
        <v>3353931.4316497822</v>
      </c>
      <c r="EE60" s="1482">
        <f t="shared" si="158"/>
        <v>664306.58226569858</v>
      </c>
      <c r="EF60" s="1482">
        <f t="shared" si="158"/>
        <v>1403155.9917282022</v>
      </c>
      <c r="EG60" s="1482">
        <f t="shared" si="158"/>
        <v>2741272.1296964898</v>
      </c>
      <c r="EH60" s="1482">
        <f t="shared" si="158"/>
        <v>1182561.8459110563</v>
      </c>
      <c r="EI60" s="1482">
        <f t="shared" si="158"/>
        <v>2218041.4911455768</v>
      </c>
      <c r="EJ60" s="1482">
        <f t="shared" si="158"/>
        <v>3124412.5532972268</v>
      </c>
      <c r="EK60" s="1482">
        <f t="shared" si="158"/>
        <v>1034257.9883782361</v>
      </c>
      <c r="EL60" s="1482">
        <f t="shared" si="158"/>
        <v>1844184.426005407</v>
      </c>
      <c r="EM60" s="1482">
        <f t="shared" si="158"/>
        <v>3242514.8684866969</v>
      </c>
      <c r="EN60" s="1482">
        <f t="shared" si="158"/>
        <v>1239410.4400570837</v>
      </c>
      <c r="EO60" s="1482">
        <f t="shared" si="158"/>
        <v>3561040.8599341335</v>
      </c>
      <c r="EP60" s="1482">
        <f t="shared" si="158"/>
        <v>4112257.1795951831</v>
      </c>
      <c r="EQ60" s="1482">
        <f t="shared" ref="EQ60:FB60" si="159">EQ102</f>
        <v>790446.18284303392</v>
      </c>
      <c r="ER60" s="1482">
        <f t="shared" si="159"/>
        <v>1669589.5046111129</v>
      </c>
      <c r="ES60" s="1482">
        <f t="shared" si="159"/>
        <v>3261789.2835900453</v>
      </c>
      <c r="ET60" s="1482">
        <f t="shared" si="159"/>
        <v>1407108.5881583809</v>
      </c>
      <c r="EU60" s="1482">
        <f t="shared" si="159"/>
        <v>2639206.7711926699</v>
      </c>
      <c r="EV60" s="1482">
        <f t="shared" si="159"/>
        <v>3717681.0260670688</v>
      </c>
      <c r="EW60" s="1482">
        <f t="shared" si="159"/>
        <v>1230644.5560124093</v>
      </c>
      <c r="EX60" s="1482">
        <f t="shared" si="159"/>
        <v>2194361.1261878284</v>
      </c>
      <c r="EY60" s="1482">
        <f t="shared" si="159"/>
        <v>3858208.7985122064</v>
      </c>
      <c r="EZ60" s="1482">
        <f t="shared" si="159"/>
        <v>1474751.684647748</v>
      </c>
      <c r="FA60" s="1482">
        <f t="shared" si="159"/>
        <v>4237217.0167014673</v>
      </c>
      <c r="FB60" s="1482">
        <f t="shared" si="159"/>
        <v>4893099.176277292</v>
      </c>
    </row>
    <row r="61" spans="1:158" x14ac:dyDescent="0.25">
      <c r="C61" t="s">
        <v>897</v>
      </c>
      <c r="D61" s="79"/>
      <c r="E61" s="79"/>
      <c r="F61" s="79"/>
      <c r="G61" s="79"/>
      <c r="H61" s="303">
        <v>0.05</v>
      </c>
      <c r="I61" s="303">
        <v>0.1</v>
      </c>
      <c r="J61" s="303">
        <v>0.15</v>
      </c>
      <c r="K61" s="303">
        <v>0.2</v>
      </c>
      <c r="L61" s="303">
        <v>0.3</v>
      </c>
      <c r="N61" s="79"/>
      <c r="O61" s="79"/>
      <c r="P61" s="79"/>
      <c r="Q61" s="79"/>
      <c r="R61" s="79"/>
      <c r="S61" s="79"/>
      <c r="T61" s="79"/>
      <c r="U61" s="79"/>
      <c r="V61" s="79"/>
      <c r="W61" s="79"/>
      <c r="X61" s="79"/>
      <c r="Y61" s="79"/>
      <c r="Z61" s="79"/>
      <c r="AA61" s="79"/>
      <c r="AB61" s="79"/>
      <c r="AC61" s="79"/>
      <c r="AD61" s="1454">
        <f>SUM(CU61:CW61)/3</f>
        <v>0</v>
      </c>
      <c r="AE61" s="1454">
        <f>SUM(CX61:CZ61)/3</f>
        <v>0</v>
      </c>
      <c r="AF61" s="1454">
        <f>SUM(DA61:DC61)/3</f>
        <v>0</v>
      </c>
      <c r="AG61" s="1454">
        <f>SUM(DD61:DF61)/3</f>
        <v>5.000000000000001E-2</v>
      </c>
      <c r="AH61" s="1454">
        <f>SUM(DG61:DI61)/3</f>
        <v>5.000000000000001E-2</v>
      </c>
      <c r="AI61" s="1454">
        <f>SUM(DJ61:DL61)/3</f>
        <v>5.000000000000001E-2</v>
      </c>
      <c r="AJ61" s="1454">
        <f>SUM(DM61:DO61)/3</f>
        <v>0.10000000000000002</v>
      </c>
      <c r="AK61" s="1454">
        <f>SUM(DP61:DR61)/3</f>
        <v>0.15</v>
      </c>
      <c r="AL61" s="1454">
        <f>SUM(DS61:DU61)/3</f>
        <v>0.15</v>
      </c>
      <c r="AM61" s="1454">
        <f>SUM(DV61:DX61)/3</f>
        <v>0.15</v>
      </c>
      <c r="AN61" s="1454">
        <f>SUM(DY61:EA61)/3</f>
        <v>0.15</v>
      </c>
      <c r="AO61" s="1454">
        <f>SUM(EB61:ED61)/3</f>
        <v>0.15</v>
      </c>
      <c r="AP61" s="1454">
        <f>SUM(EE61:EG61)/3</f>
        <v>0.20000000000000004</v>
      </c>
      <c r="AQ61" s="1454">
        <f>SUM(EH61:EJ61)/3</f>
        <v>0.20000000000000004</v>
      </c>
      <c r="AR61" s="1454">
        <f>SUM(EK61:EM61)/3</f>
        <v>0.20000000000000004</v>
      </c>
      <c r="AS61" s="1454">
        <f>SUM(EN61:EP61)/3</f>
        <v>0.20000000000000004</v>
      </c>
      <c r="AT61" s="1454">
        <f>SUM(EQ61:ES61)/3</f>
        <v>0.3</v>
      </c>
      <c r="AU61" s="1454">
        <f>SUM(ET61:EV61)/3</f>
        <v>0.3</v>
      </c>
      <c r="AV61" s="1454">
        <f>SUM(EW61:EY61)/3</f>
        <v>0.3</v>
      </c>
      <c r="AW61" s="1454">
        <f>SUM(EZ61:FB61)/3</f>
        <v>0.3</v>
      </c>
      <c r="AY61" s="523"/>
      <c r="AZ61" s="523"/>
      <c r="BA61" s="523"/>
      <c r="BB61" s="523"/>
      <c r="BC61" s="523"/>
      <c r="BD61" s="523"/>
      <c r="BE61" s="523"/>
      <c r="BF61" s="523"/>
      <c r="BG61" s="523"/>
      <c r="BH61" s="523"/>
      <c r="BI61" s="523"/>
      <c r="BJ61" s="523"/>
      <c r="BK61" s="523"/>
      <c r="BL61" s="523"/>
      <c r="BM61" s="523"/>
      <c r="BN61" s="523"/>
      <c r="BO61" s="523"/>
      <c r="BP61" s="523"/>
      <c r="BQ61" s="523"/>
      <c r="BR61" s="523"/>
      <c r="BS61" s="523"/>
      <c r="BT61" s="523"/>
      <c r="BU61" s="523"/>
      <c r="BV61" s="523"/>
      <c r="BW61" s="523"/>
      <c r="BX61" s="523"/>
      <c r="BY61" s="523"/>
      <c r="BZ61" s="523"/>
      <c r="CA61" s="523"/>
      <c r="CB61" s="523"/>
      <c r="CC61" s="523"/>
      <c r="CD61" s="523"/>
      <c r="CE61" s="523"/>
      <c r="CF61" s="523"/>
      <c r="CG61" s="523"/>
      <c r="CH61" s="523"/>
      <c r="CI61" s="523"/>
      <c r="CJ61" s="523"/>
      <c r="CK61" s="523"/>
      <c r="CL61" s="523"/>
      <c r="CM61" s="523"/>
      <c r="CN61" s="523"/>
      <c r="CO61" s="523"/>
      <c r="CP61" s="523"/>
      <c r="CQ61" s="523"/>
      <c r="CR61" s="523"/>
      <c r="CS61" s="523"/>
      <c r="CT61" s="523"/>
      <c r="CU61" s="1483">
        <f t="shared" ref="CU61:DF62" si="160">INDEX($D61:$L61,1,MATCH(CU$2,$D$2:$L$2,0))*CU$51</f>
        <v>0</v>
      </c>
      <c r="CV61" s="1483">
        <f t="shared" si="160"/>
        <v>0</v>
      </c>
      <c r="CW61" s="1483">
        <f t="shared" si="160"/>
        <v>0</v>
      </c>
      <c r="CX61" s="1483">
        <f t="shared" si="160"/>
        <v>0</v>
      </c>
      <c r="CY61" s="1483">
        <f t="shared" si="160"/>
        <v>0</v>
      </c>
      <c r="CZ61" s="1483">
        <f t="shared" si="160"/>
        <v>0</v>
      </c>
      <c r="DA61" s="1483">
        <f t="shared" si="160"/>
        <v>0</v>
      </c>
      <c r="DB61" s="1483">
        <f t="shared" si="160"/>
        <v>0</v>
      </c>
      <c r="DC61" s="1483">
        <f t="shared" si="160"/>
        <v>0</v>
      </c>
      <c r="DD61" s="1484">
        <f t="shared" si="160"/>
        <v>0.05</v>
      </c>
      <c r="DE61" s="1484">
        <f t="shared" si="160"/>
        <v>0.05</v>
      </c>
      <c r="DF61" s="1484">
        <f t="shared" si="160"/>
        <v>0.05</v>
      </c>
      <c r="DG61" s="1484">
        <f t="shared" ref="DG61:DL62" si="161">DF61</f>
        <v>0.05</v>
      </c>
      <c r="DH61" s="1484">
        <f t="shared" si="161"/>
        <v>0.05</v>
      </c>
      <c r="DI61" s="1484">
        <f t="shared" si="161"/>
        <v>0.05</v>
      </c>
      <c r="DJ61" s="1484">
        <f t="shared" si="161"/>
        <v>0.05</v>
      </c>
      <c r="DK61" s="1484">
        <f t="shared" si="161"/>
        <v>0.05</v>
      </c>
      <c r="DL61" s="1484">
        <f t="shared" si="161"/>
        <v>0.05</v>
      </c>
      <c r="DM61" s="1484">
        <f>INDEX($D61:$L61,1,MATCH(DM$2,$D$2:$L$2,0))*DM$51</f>
        <v>0.1</v>
      </c>
      <c r="DN61" s="1484">
        <f>INDEX($D61:$L61,1,MATCH(DN$2,$D$2:$L$2,0))*DN$51</f>
        <v>0.1</v>
      </c>
      <c r="DO61" s="1484">
        <f>INDEX($D61:$L61,1,MATCH(DO$2,$D$2:$L$2,0))*DO$51</f>
        <v>0.1</v>
      </c>
      <c r="DP61" s="522">
        <v>0.15</v>
      </c>
      <c r="DQ61" s="522">
        <v>0.15</v>
      </c>
      <c r="DR61" s="522">
        <v>0.15</v>
      </c>
      <c r="DS61" s="1483">
        <f t="shared" ref="DS61:EB62" si="162">INDEX($D61:$L61,1,MATCH(DS$2,$D$2:$L$2,0))*DS$51</f>
        <v>0.15</v>
      </c>
      <c r="DT61" s="1483">
        <f t="shared" si="162"/>
        <v>0.15</v>
      </c>
      <c r="DU61" s="1483">
        <f t="shared" si="162"/>
        <v>0.15</v>
      </c>
      <c r="DV61" s="1483">
        <f t="shared" si="162"/>
        <v>0.15</v>
      </c>
      <c r="DW61" s="1483">
        <f t="shared" si="162"/>
        <v>0.15</v>
      </c>
      <c r="DX61" s="1483">
        <f t="shared" si="162"/>
        <v>0.15</v>
      </c>
      <c r="DY61" s="1483">
        <f t="shared" si="162"/>
        <v>0.15</v>
      </c>
      <c r="DZ61" s="1483">
        <f t="shared" si="162"/>
        <v>0.15</v>
      </c>
      <c r="EA61" s="1483">
        <f t="shared" si="162"/>
        <v>0.15</v>
      </c>
      <c r="EB61" s="1483">
        <f t="shared" si="162"/>
        <v>0.15</v>
      </c>
      <c r="EC61" s="1483">
        <f t="shared" ref="EC61:EL62" si="163">INDEX($D61:$L61,1,MATCH(EC$2,$D$2:$L$2,0))*EC$51</f>
        <v>0.15</v>
      </c>
      <c r="ED61" s="1483">
        <f t="shared" si="163"/>
        <v>0.15</v>
      </c>
      <c r="EE61" s="1483">
        <f t="shared" si="163"/>
        <v>0.2</v>
      </c>
      <c r="EF61" s="1483">
        <f t="shared" si="163"/>
        <v>0.2</v>
      </c>
      <c r="EG61" s="1483">
        <f t="shared" si="163"/>
        <v>0.2</v>
      </c>
      <c r="EH61" s="1483">
        <f t="shared" si="163"/>
        <v>0.2</v>
      </c>
      <c r="EI61" s="1483">
        <f t="shared" si="163"/>
        <v>0.2</v>
      </c>
      <c r="EJ61" s="1483">
        <f t="shared" si="163"/>
        <v>0.2</v>
      </c>
      <c r="EK61" s="1483">
        <f t="shared" si="163"/>
        <v>0.2</v>
      </c>
      <c r="EL61" s="1483">
        <f t="shared" si="163"/>
        <v>0.2</v>
      </c>
      <c r="EM61" s="1483">
        <f t="shared" ref="EM61:EV62" si="164">INDEX($D61:$L61,1,MATCH(EM$2,$D$2:$L$2,0))*EM$51</f>
        <v>0.2</v>
      </c>
      <c r="EN61" s="1483">
        <f t="shared" si="164"/>
        <v>0.2</v>
      </c>
      <c r="EO61" s="1483">
        <f t="shared" si="164"/>
        <v>0.2</v>
      </c>
      <c r="EP61" s="1483">
        <f t="shared" si="164"/>
        <v>0.2</v>
      </c>
      <c r="EQ61" s="1483">
        <f t="shared" si="164"/>
        <v>0.3</v>
      </c>
      <c r="ER61" s="1483">
        <f t="shared" si="164"/>
        <v>0.3</v>
      </c>
      <c r="ES61" s="1483">
        <f t="shared" si="164"/>
        <v>0.3</v>
      </c>
      <c r="ET61" s="1483">
        <f t="shared" si="164"/>
        <v>0.3</v>
      </c>
      <c r="EU61" s="1483">
        <f t="shared" si="164"/>
        <v>0.3</v>
      </c>
      <c r="EV61" s="1483">
        <f t="shared" si="164"/>
        <v>0.3</v>
      </c>
      <c r="EW61" s="1483">
        <f t="shared" ref="EW61:FB62" si="165">INDEX($D61:$L61,1,MATCH(EW$2,$D$2:$L$2,0))*EW$51</f>
        <v>0.3</v>
      </c>
      <c r="EX61" s="1483">
        <f t="shared" si="165"/>
        <v>0.3</v>
      </c>
      <c r="EY61" s="1483">
        <f t="shared" si="165"/>
        <v>0.3</v>
      </c>
      <c r="EZ61" s="1483">
        <f t="shared" si="165"/>
        <v>0.3</v>
      </c>
      <c r="FA61" s="1483">
        <f t="shared" si="165"/>
        <v>0.3</v>
      </c>
      <c r="FB61" s="1483">
        <f t="shared" si="165"/>
        <v>0.3</v>
      </c>
    </row>
    <row r="62" spans="1:158" x14ac:dyDescent="0.25">
      <c r="C62" t="s">
        <v>898</v>
      </c>
      <c r="D62" s="79"/>
      <c r="E62" s="79"/>
      <c r="F62" s="79"/>
      <c r="G62" s="79"/>
      <c r="H62" s="303">
        <v>0.15</v>
      </c>
      <c r="I62" s="303">
        <v>0.2</v>
      </c>
      <c r="J62" s="303">
        <v>0.4</v>
      </c>
      <c r="K62" s="303">
        <v>0.4</v>
      </c>
      <c r="L62" s="303">
        <v>0.4</v>
      </c>
      <c r="N62" s="524"/>
      <c r="O62" s="524"/>
      <c r="P62" s="524"/>
      <c r="Q62" s="524"/>
      <c r="R62" s="524"/>
      <c r="S62" s="524"/>
      <c r="T62" s="524"/>
      <c r="U62" s="524"/>
      <c r="V62" s="524"/>
      <c r="W62" s="524"/>
      <c r="X62" s="524"/>
      <c r="Y62" s="524"/>
      <c r="Z62" s="524"/>
      <c r="AA62" s="524"/>
      <c r="AB62" s="524"/>
      <c r="AC62" s="524"/>
      <c r="AD62" s="1463">
        <f>SUM(CU62:CW62)/3</f>
        <v>0</v>
      </c>
      <c r="AE62" s="1463">
        <f>SUM(CX62:CZ62)/3</f>
        <v>0</v>
      </c>
      <c r="AF62" s="1463">
        <f>SUM(DA62:DC62)/3</f>
        <v>0</v>
      </c>
      <c r="AG62" s="1463">
        <f>SUM(DD62:DF62)/3</f>
        <v>0.15</v>
      </c>
      <c r="AH62" s="1463">
        <f>SUM(DG62:DI62)/3</f>
        <v>0.15</v>
      </c>
      <c r="AI62" s="1463">
        <f>SUM(DJ62:DL62)/3</f>
        <v>0.15</v>
      </c>
      <c r="AJ62" s="1463">
        <f>SUM(DM62:DO62)/3</f>
        <v>0.40000000000000008</v>
      </c>
      <c r="AK62" s="1463">
        <f>SUM(DP62:DR62)/3</f>
        <v>0.40000000000000008</v>
      </c>
      <c r="AL62" s="1463">
        <f>SUM(DS62:DU62)/3</f>
        <v>0.40000000000000008</v>
      </c>
      <c r="AM62" s="1463">
        <f>SUM(DV62:DX62)/3</f>
        <v>0.40000000000000008</v>
      </c>
      <c r="AN62" s="1463">
        <f>SUM(DY62:EA62)/3</f>
        <v>0.40000000000000008</v>
      </c>
      <c r="AO62" s="1463">
        <f>SUM(EB62:ED62)/3</f>
        <v>0.40000000000000008</v>
      </c>
      <c r="AP62" s="1463">
        <f>SUM(EE62:EG62)/3</f>
        <v>0.40000000000000008</v>
      </c>
      <c r="AQ62" s="1463">
        <f>SUM(EH62:EJ62)/3</f>
        <v>0.40000000000000008</v>
      </c>
      <c r="AR62" s="1463">
        <f>SUM(EK62:EM62)/3</f>
        <v>0.40000000000000008</v>
      </c>
      <c r="AS62" s="1463">
        <f>SUM(EN62:EP62)/3</f>
        <v>0.40000000000000008</v>
      </c>
      <c r="AT62" s="1463">
        <f>SUM(EQ62:ES62)/3</f>
        <v>0.40000000000000008</v>
      </c>
      <c r="AU62" s="1463">
        <f>SUM(ET62:EV62)/3</f>
        <v>0.40000000000000008</v>
      </c>
      <c r="AV62" s="1463">
        <f>SUM(EW62:EY62)/3</f>
        <v>0.40000000000000008</v>
      </c>
      <c r="AW62" s="1463">
        <f>SUM(EZ62:FB62)/3</f>
        <v>0.40000000000000008</v>
      </c>
      <c r="AY62" s="523"/>
      <c r="AZ62" s="523"/>
      <c r="BA62" s="523"/>
      <c r="BB62" s="523"/>
      <c r="BC62" s="523"/>
      <c r="BD62" s="523"/>
      <c r="BE62" s="523"/>
      <c r="BF62" s="523"/>
      <c r="BG62" s="523"/>
      <c r="BH62" s="523"/>
      <c r="BI62" s="523"/>
      <c r="BJ62" s="523"/>
      <c r="BK62" s="523"/>
      <c r="BL62" s="523"/>
      <c r="BM62" s="523"/>
      <c r="BN62" s="523"/>
      <c r="BO62" s="523"/>
      <c r="BP62" s="523"/>
      <c r="BQ62" s="523"/>
      <c r="BR62" s="523"/>
      <c r="BS62" s="523"/>
      <c r="BT62" s="523"/>
      <c r="BU62" s="523"/>
      <c r="BV62" s="523"/>
      <c r="BW62" s="523"/>
      <c r="BX62" s="523"/>
      <c r="BY62" s="523"/>
      <c r="BZ62" s="523"/>
      <c r="CA62" s="523"/>
      <c r="CB62" s="523"/>
      <c r="CC62" s="523"/>
      <c r="CD62" s="523"/>
      <c r="CE62" s="523"/>
      <c r="CF62" s="523"/>
      <c r="CG62" s="523"/>
      <c r="CH62" s="523"/>
      <c r="CI62" s="523"/>
      <c r="CJ62" s="523"/>
      <c r="CK62" s="523"/>
      <c r="CL62" s="523"/>
      <c r="CM62" s="523"/>
      <c r="CN62" s="523"/>
      <c r="CO62" s="523"/>
      <c r="CP62" s="523"/>
      <c r="CQ62" s="523"/>
      <c r="CR62" s="523"/>
      <c r="CS62" s="523"/>
      <c r="CT62" s="523"/>
      <c r="CU62" s="1483">
        <f t="shared" si="160"/>
        <v>0</v>
      </c>
      <c r="CV62" s="1483">
        <f t="shared" si="160"/>
        <v>0</v>
      </c>
      <c r="CW62" s="1483">
        <f t="shared" si="160"/>
        <v>0</v>
      </c>
      <c r="CX62" s="1483">
        <f t="shared" si="160"/>
        <v>0</v>
      </c>
      <c r="CY62" s="1483">
        <f t="shared" si="160"/>
        <v>0</v>
      </c>
      <c r="CZ62" s="1483">
        <f t="shared" si="160"/>
        <v>0</v>
      </c>
      <c r="DA62" s="1483">
        <f t="shared" si="160"/>
        <v>0</v>
      </c>
      <c r="DB62" s="1483">
        <f t="shared" si="160"/>
        <v>0</v>
      </c>
      <c r="DC62" s="1483">
        <f t="shared" si="160"/>
        <v>0</v>
      </c>
      <c r="DD62" s="1486">
        <f t="shared" si="160"/>
        <v>0.15</v>
      </c>
      <c r="DE62" s="1486">
        <f t="shared" si="160"/>
        <v>0.15</v>
      </c>
      <c r="DF62" s="1486">
        <f t="shared" si="160"/>
        <v>0.15</v>
      </c>
      <c r="DG62" s="1486">
        <f t="shared" si="161"/>
        <v>0.15</v>
      </c>
      <c r="DH62" s="1486">
        <f t="shared" si="161"/>
        <v>0.15</v>
      </c>
      <c r="DI62" s="1486">
        <f t="shared" si="161"/>
        <v>0.15</v>
      </c>
      <c r="DJ62" s="1486">
        <f t="shared" si="161"/>
        <v>0.15</v>
      </c>
      <c r="DK62" s="1486">
        <f t="shared" si="161"/>
        <v>0.15</v>
      </c>
      <c r="DL62" s="1486">
        <f t="shared" si="161"/>
        <v>0.15</v>
      </c>
      <c r="DM62" s="522">
        <v>0.4</v>
      </c>
      <c r="DN62" s="522">
        <v>0.4</v>
      </c>
      <c r="DO62" s="522">
        <v>0.4</v>
      </c>
      <c r="DP62" s="522">
        <v>0.4</v>
      </c>
      <c r="DQ62" s="522">
        <v>0.4</v>
      </c>
      <c r="DR62" s="522">
        <v>0.4</v>
      </c>
      <c r="DS62" s="1483">
        <f t="shared" si="162"/>
        <v>0.4</v>
      </c>
      <c r="DT62" s="1483">
        <f t="shared" si="162"/>
        <v>0.4</v>
      </c>
      <c r="DU62" s="1483">
        <f t="shared" si="162"/>
        <v>0.4</v>
      </c>
      <c r="DV62" s="1483">
        <f t="shared" si="162"/>
        <v>0.4</v>
      </c>
      <c r="DW62" s="1483">
        <f t="shared" si="162"/>
        <v>0.4</v>
      </c>
      <c r="DX62" s="1483">
        <f t="shared" si="162"/>
        <v>0.4</v>
      </c>
      <c r="DY62" s="1483">
        <f t="shared" si="162"/>
        <v>0.4</v>
      </c>
      <c r="DZ62" s="1483">
        <f t="shared" si="162"/>
        <v>0.4</v>
      </c>
      <c r="EA62" s="1483">
        <f t="shared" si="162"/>
        <v>0.4</v>
      </c>
      <c r="EB62" s="1483">
        <f t="shared" si="162"/>
        <v>0.4</v>
      </c>
      <c r="EC62" s="1483">
        <f t="shared" si="163"/>
        <v>0.4</v>
      </c>
      <c r="ED62" s="1483">
        <f t="shared" si="163"/>
        <v>0.4</v>
      </c>
      <c r="EE62" s="1483">
        <f t="shared" si="163"/>
        <v>0.4</v>
      </c>
      <c r="EF62" s="1483">
        <f t="shared" si="163"/>
        <v>0.4</v>
      </c>
      <c r="EG62" s="1483">
        <f t="shared" si="163"/>
        <v>0.4</v>
      </c>
      <c r="EH62" s="1483">
        <f t="shared" si="163"/>
        <v>0.4</v>
      </c>
      <c r="EI62" s="1483">
        <f t="shared" si="163"/>
        <v>0.4</v>
      </c>
      <c r="EJ62" s="1483">
        <f t="shared" si="163"/>
        <v>0.4</v>
      </c>
      <c r="EK62" s="1483">
        <f t="shared" si="163"/>
        <v>0.4</v>
      </c>
      <c r="EL62" s="1483">
        <f t="shared" si="163"/>
        <v>0.4</v>
      </c>
      <c r="EM62" s="1483">
        <f t="shared" si="164"/>
        <v>0.4</v>
      </c>
      <c r="EN62" s="1483">
        <f t="shared" si="164"/>
        <v>0.4</v>
      </c>
      <c r="EO62" s="1483">
        <f t="shared" si="164"/>
        <v>0.4</v>
      </c>
      <c r="EP62" s="1483">
        <f t="shared" si="164"/>
        <v>0.4</v>
      </c>
      <c r="EQ62" s="1483">
        <f t="shared" si="164"/>
        <v>0.4</v>
      </c>
      <c r="ER62" s="1483">
        <f t="shared" si="164"/>
        <v>0.4</v>
      </c>
      <c r="ES62" s="1483">
        <f t="shared" si="164"/>
        <v>0.4</v>
      </c>
      <c r="ET62" s="1483">
        <f t="shared" si="164"/>
        <v>0.4</v>
      </c>
      <c r="EU62" s="1483">
        <f t="shared" si="164"/>
        <v>0.4</v>
      </c>
      <c r="EV62" s="1483">
        <f t="shared" si="164"/>
        <v>0.4</v>
      </c>
      <c r="EW62" s="1483">
        <f t="shared" si="165"/>
        <v>0.4</v>
      </c>
      <c r="EX62" s="1483">
        <f t="shared" si="165"/>
        <v>0.4</v>
      </c>
      <c r="EY62" s="1483">
        <f t="shared" si="165"/>
        <v>0.4</v>
      </c>
      <c r="EZ62" s="1483">
        <f t="shared" si="165"/>
        <v>0.4</v>
      </c>
      <c r="FA62" s="1483">
        <f t="shared" si="165"/>
        <v>0.4</v>
      </c>
      <c r="FB62" s="1483">
        <f t="shared" si="165"/>
        <v>0.4</v>
      </c>
    </row>
    <row r="63" spans="1:158" x14ac:dyDescent="0.25">
      <c r="C63" t="s">
        <v>890</v>
      </c>
      <c r="D63" s="1472">
        <f t="shared" ref="D63:L63" si="166">SUMIF($AY$2:$FB$2,D$2,$AY63:$FB63)</f>
        <v>0</v>
      </c>
      <c r="E63" s="1472">
        <f t="shared" si="166"/>
        <v>0</v>
      </c>
      <c r="F63" s="1472">
        <f t="shared" si="166"/>
        <v>0</v>
      </c>
      <c r="G63" s="1472">
        <f t="shared" si="166"/>
        <v>0</v>
      </c>
      <c r="H63" s="1472">
        <f t="shared" si="166"/>
        <v>33284.931602770004</v>
      </c>
      <c r="I63" s="1472">
        <f t="shared" si="166"/>
        <v>559279.54886670271</v>
      </c>
      <c r="J63" s="1472">
        <f t="shared" si="166"/>
        <v>1290306.0673579401</v>
      </c>
      <c r="K63" s="1472">
        <f t="shared" si="166"/>
        <v>2109393.3085200796</v>
      </c>
      <c r="L63" s="1472">
        <f t="shared" si="166"/>
        <v>3764892.4457761515</v>
      </c>
      <c r="N63" s="1487">
        <f>SUM(AY63:BA63)</f>
        <v>0</v>
      </c>
      <c r="O63" s="1487">
        <f>SUM(BB63:BD63)</f>
        <v>0</v>
      </c>
      <c r="P63" s="1487">
        <f>SUM(BE63:BG63)</f>
        <v>0</v>
      </c>
      <c r="Q63" s="1487">
        <f>SUM(BH63:BJ63)</f>
        <v>0</v>
      </c>
      <c r="R63" s="1487">
        <f>SUM(BK63:BM63)</f>
        <v>0</v>
      </c>
      <c r="S63" s="1487">
        <f>SUM(BN63:BP63)</f>
        <v>0</v>
      </c>
      <c r="T63" s="1487">
        <f>SUM(BQ63:BS63)</f>
        <v>0</v>
      </c>
      <c r="U63" s="1487">
        <f>SUM(BT63:BV63)</f>
        <v>0</v>
      </c>
      <c r="V63" s="1487">
        <f>SUM(BW63:BY63)</f>
        <v>0</v>
      </c>
      <c r="W63" s="1487">
        <f>SUM(BZ63:CB63)</f>
        <v>0</v>
      </c>
      <c r="X63" s="1487">
        <f>SUM(CC63:CE63)</f>
        <v>0</v>
      </c>
      <c r="Y63" s="1487">
        <f>SUM(CF63:CH63)</f>
        <v>0</v>
      </c>
      <c r="Z63" s="1487">
        <f>SUM(CI63:CK63)</f>
        <v>0</v>
      </c>
      <c r="AA63" s="1487">
        <f>SUM(CL63:CN63)</f>
        <v>0</v>
      </c>
      <c r="AB63" s="1487">
        <f>SUM(CO63:CQ63)</f>
        <v>0</v>
      </c>
      <c r="AC63" s="1487">
        <f>SUM(CR63:CT63)</f>
        <v>0</v>
      </c>
      <c r="AD63" s="1487">
        <f>SUM(CU63:CW63)</f>
        <v>0</v>
      </c>
      <c r="AE63" s="1487">
        <f>SUM(CX63:CZ63)</f>
        <v>0</v>
      </c>
      <c r="AF63" s="1487">
        <f>SUM(DA63:DC63)</f>
        <v>0</v>
      </c>
      <c r="AG63" s="1487">
        <f>SUM(DD63:DF63)</f>
        <v>33284.931602770004</v>
      </c>
      <c r="AH63" s="1487">
        <f>SUM(DG63:DI63)</f>
        <v>23329.413189637413</v>
      </c>
      <c r="AI63" s="1487">
        <f>SUM(DJ63:DL63)</f>
        <v>31655.893110134024</v>
      </c>
      <c r="AJ63" s="1487">
        <f>SUM(DM63:DO63)</f>
        <v>158376.62128583255</v>
      </c>
      <c r="AK63" s="1487">
        <f>SUM(DP63:DR63)</f>
        <v>345917.62128109881</v>
      </c>
      <c r="AL63" s="1487">
        <f>SUM(DS63:DU63)</f>
        <v>235318.45064359496</v>
      </c>
      <c r="AM63" s="1487">
        <f>SUM(DV63:DX63)</f>
        <v>319305.74763555673</v>
      </c>
      <c r="AN63" s="1487">
        <f>SUM(DY63:EA63)</f>
        <v>299532.88609481486</v>
      </c>
      <c r="AO63" s="1487">
        <f>SUM(EB63:ED63)</f>
        <v>436148.98298397346</v>
      </c>
      <c r="AP63" s="1487">
        <f>SUM(EE63:EG63)</f>
        <v>384698.77629523131</v>
      </c>
      <c r="AQ63" s="1487">
        <f>SUM(EH63:EJ63)</f>
        <v>522001.27122830891</v>
      </c>
      <c r="AR63" s="1487">
        <f>SUM(EK63:EM63)</f>
        <v>489676.58262962726</v>
      </c>
      <c r="AS63" s="1487">
        <f>SUM(EN63:EP63)</f>
        <v>713016.67836691206</v>
      </c>
      <c r="AT63" s="1487">
        <f>SUM(EQ63:ES63)</f>
        <v>686618.99652530299</v>
      </c>
      <c r="AU63" s="1487">
        <f>SUM(ET63:EV63)</f>
        <v>931679.56625017431</v>
      </c>
      <c r="AV63" s="1487">
        <f>SUM(EW63:EY63)</f>
        <v>873985.73768549331</v>
      </c>
      <c r="AW63" s="1487">
        <f>SUM(EZ63:FB63)</f>
        <v>1272608.145315181</v>
      </c>
      <c r="AX63" s="521"/>
      <c r="AY63" s="521">
        <v>0</v>
      </c>
      <c r="AZ63" s="521">
        <v>0</v>
      </c>
      <c r="BA63" s="521">
        <v>0</v>
      </c>
      <c r="BB63" s="521">
        <v>0</v>
      </c>
      <c r="BC63" s="521">
        <v>0</v>
      </c>
      <c r="BD63" s="521">
        <v>0</v>
      </c>
      <c r="BE63" s="521">
        <v>0</v>
      </c>
      <c r="BF63" s="521">
        <v>0</v>
      </c>
      <c r="BG63" s="521">
        <v>0</v>
      </c>
      <c r="BH63" s="521">
        <v>0</v>
      </c>
      <c r="BI63" s="521">
        <v>0</v>
      </c>
      <c r="BJ63" s="521">
        <v>0</v>
      </c>
      <c r="BK63" s="521">
        <v>0</v>
      </c>
      <c r="BL63" s="521">
        <v>0</v>
      </c>
      <c r="BM63" s="521">
        <v>0</v>
      </c>
      <c r="BN63" s="521">
        <v>0</v>
      </c>
      <c r="BO63" s="521">
        <v>0</v>
      </c>
      <c r="BP63" s="521">
        <v>0</v>
      </c>
      <c r="BQ63" s="521">
        <v>0</v>
      </c>
      <c r="BR63" s="521">
        <v>0</v>
      </c>
      <c r="BS63" s="521">
        <v>0</v>
      </c>
      <c r="BT63" s="521">
        <v>0</v>
      </c>
      <c r="BU63" s="521">
        <v>0</v>
      </c>
      <c r="BV63" s="521">
        <v>0</v>
      </c>
      <c r="BW63" s="521">
        <v>0</v>
      </c>
      <c r="BX63" s="521">
        <v>0</v>
      </c>
      <c r="BY63" s="521">
        <v>0</v>
      </c>
      <c r="BZ63" s="521">
        <v>0</v>
      </c>
      <c r="CA63" s="521">
        <v>0</v>
      </c>
      <c r="CB63" s="521">
        <v>0</v>
      </c>
      <c r="CC63" s="521">
        <v>0</v>
      </c>
      <c r="CD63" s="521">
        <v>0</v>
      </c>
      <c r="CE63" s="521">
        <v>0</v>
      </c>
      <c r="CF63" s="521">
        <v>0</v>
      </c>
      <c r="CG63" s="521">
        <v>0</v>
      </c>
      <c r="CH63" s="521">
        <v>0</v>
      </c>
      <c r="CI63" s="521">
        <v>0</v>
      </c>
      <c r="CJ63" s="521">
        <v>0</v>
      </c>
      <c r="CK63" s="521">
        <v>0</v>
      </c>
      <c r="CL63" s="521">
        <v>0</v>
      </c>
      <c r="CM63" s="521">
        <v>0</v>
      </c>
      <c r="CN63" s="521">
        <v>0</v>
      </c>
      <c r="CO63" s="521">
        <v>0</v>
      </c>
      <c r="CP63" s="521">
        <v>0</v>
      </c>
      <c r="CQ63" s="521">
        <v>0</v>
      </c>
      <c r="CR63" s="521">
        <v>0</v>
      </c>
      <c r="CS63" s="521">
        <v>0</v>
      </c>
      <c r="CT63" s="521">
        <v>0</v>
      </c>
      <c r="CU63" s="1488">
        <f t="shared" ref="CU63:DZ63" si="167">CU60*CU61*CU62</f>
        <v>0</v>
      </c>
      <c r="CV63" s="1488">
        <f t="shared" si="167"/>
        <v>0</v>
      </c>
      <c r="CW63" s="1488">
        <f t="shared" si="167"/>
        <v>0</v>
      </c>
      <c r="CX63" s="1488">
        <f t="shared" si="167"/>
        <v>0</v>
      </c>
      <c r="CY63" s="1488">
        <f t="shared" si="167"/>
        <v>0</v>
      </c>
      <c r="CZ63" s="1488">
        <f t="shared" si="167"/>
        <v>0</v>
      </c>
      <c r="DA63" s="1488">
        <f t="shared" si="167"/>
        <v>0</v>
      </c>
      <c r="DB63" s="1488">
        <f t="shared" si="167"/>
        <v>0</v>
      </c>
      <c r="DC63" s="1488">
        <f t="shared" si="167"/>
        <v>0</v>
      </c>
      <c r="DD63" s="1488">
        <f t="shared" si="167"/>
        <v>4945.2043490843798</v>
      </c>
      <c r="DE63" s="1488">
        <f t="shared" si="167"/>
        <v>13190.981136620128</v>
      </c>
      <c r="DF63" s="1488">
        <f t="shared" si="167"/>
        <v>15148.746117065499</v>
      </c>
      <c r="DG63" s="1488">
        <f t="shared" si="167"/>
        <v>3222.8608349674028</v>
      </c>
      <c r="DH63" s="1488">
        <f t="shared" si="167"/>
        <v>6807.3636658351834</v>
      </c>
      <c r="DI63" s="1488">
        <f t="shared" si="167"/>
        <v>13299.188688834827</v>
      </c>
      <c r="DJ63" s="1488">
        <f t="shared" si="167"/>
        <v>5737.1586551420678</v>
      </c>
      <c r="DK63" s="1488">
        <f t="shared" si="167"/>
        <v>10760.753006187524</v>
      </c>
      <c r="DL63" s="1488">
        <f t="shared" si="167"/>
        <v>15157.981448804432</v>
      </c>
      <c r="DM63" s="1488">
        <f t="shared" si="167"/>
        <v>26760.893462797383</v>
      </c>
      <c r="DN63" s="1488">
        <f t="shared" si="167"/>
        <v>47717.323438291322</v>
      </c>
      <c r="DO63" s="1488">
        <f t="shared" si="167"/>
        <v>83898.404384743844</v>
      </c>
      <c r="DP63" s="1488">
        <f t="shared" si="167"/>
        <v>48103.661440007279</v>
      </c>
      <c r="DQ63" s="1488">
        <f t="shared" si="167"/>
        <v>138210.15086206183</v>
      </c>
      <c r="DR63" s="1488">
        <f t="shared" si="167"/>
        <v>159603.80897902968</v>
      </c>
      <c r="DS63" s="1488">
        <f t="shared" si="167"/>
        <v>32508.259515988248</v>
      </c>
      <c r="DT63" s="1488">
        <f t="shared" si="167"/>
        <v>68664.319063257804</v>
      </c>
      <c r="DU63" s="1488">
        <f t="shared" si="167"/>
        <v>134145.87206434892</v>
      </c>
      <c r="DV63" s="1488">
        <f t="shared" si="167"/>
        <v>57869.406094800521</v>
      </c>
      <c r="DW63" s="1488">
        <f t="shared" si="167"/>
        <v>108541.25239203291</v>
      </c>
      <c r="DX63" s="1488">
        <f t="shared" si="167"/>
        <v>152895.08914872332</v>
      </c>
      <c r="DY63" s="1488">
        <f t="shared" si="167"/>
        <v>50612.063752269278</v>
      </c>
      <c r="DZ63" s="1488">
        <f t="shared" si="167"/>
        <v>90246.322280078311</v>
      </c>
      <c r="EA63" s="1488">
        <f t="shared" ref="EA63:FB63" si="168">EA60*EA61*EA62</f>
        <v>158674.5000624673</v>
      </c>
      <c r="EB63" s="1488">
        <f t="shared" si="168"/>
        <v>60651.327727001059</v>
      </c>
      <c r="EC63" s="1488">
        <f t="shared" si="168"/>
        <v>174261.76935798547</v>
      </c>
      <c r="ED63" s="1488">
        <f t="shared" si="168"/>
        <v>201235.88589898695</v>
      </c>
      <c r="EE63" s="1488">
        <f t="shared" si="168"/>
        <v>53144.526581255894</v>
      </c>
      <c r="EF63" s="1488">
        <f t="shared" si="168"/>
        <v>112252.47933825618</v>
      </c>
      <c r="EG63" s="1488">
        <f t="shared" si="168"/>
        <v>219301.77037571921</v>
      </c>
      <c r="EH63" s="1488">
        <f t="shared" si="168"/>
        <v>94604.947672884504</v>
      </c>
      <c r="EI63" s="1488">
        <f t="shared" si="168"/>
        <v>177443.31929164616</v>
      </c>
      <c r="EJ63" s="1488">
        <f t="shared" si="168"/>
        <v>249953.00426377819</v>
      </c>
      <c r="EK63" s="1488">
        <f t="shared" si="168"/>
        <v>82740.639070258898</v>
      </c>
      <c r="EL63" s="1488">
        <f t="shared" si="168"/>
        <v>147534.75408043255</v>
      </c>
      <c r="EM63" s="1488">
        <f t="shared" si="168"/>
        <v>259401.18947893579</v>
      </c>
      <c r="EN63" s="1488">
        <f t="shared" si="168"/>
        <v>99152.835204566712</v>
      </c>
      <c r="EO63" s="1488">
        <f t="shared" si="168"/>
        <v>284883.26879473071</v>
      </c>
      <c r="EP63" s="1488">
        <f t="shared" si="168"/>
        <v>328980.5743676147</v>
      </c>
      <c r="EQ63" s="1488">
        <f t="shared" si="168"/>
        <v>94853.541941164061</v>
      </c>
      <c r="ER63" s="1488">
        <f t="shared" si="168"/>
        <v>200350.74055333354</v>
      </c>
      <c r="ES63" s="1488">
        <f t="shared" si="168"/>
        <v>391414.71403080545</v>
      </c>
      <c r="ET63" s="1488">
        <f t="shared" si="168"/>
        <v>168853.03057900572</v>
      </c>
      <c r="EU63" s="1488">
        <f t="shared" si="168"/>
        <v>316704.81254312041</v>
      </c>
      <c r="EV63" s="1488">
        <f t="shared" si="168"/>
        <v>446121.72312804824</v>
      </c>
      <c r="EW63" s="1488">
        <f t="shared" si="168"/>
        <v>147677.3467214891</v>
      </c>
      <c r="EX63" s="1488">
        <f t="shared" si="168"/>
        <v>263323.33514253941</v>
      </c>
      <c r="EY63" s="1488">
        <f t="shared" si="168"/>
        <v>462985.0558214648</v>
      </c>
      <c r="EZ63" s="1488">
        <f t="shared" si="168"/>
        <v>176970.20215772977</v>
      </c>
      <c r="FA63" s="1488">
        <f t="shared" si="168"/>
        <v>508466.04200417607</v>
      </c>
      <c r="FB63" s="1488">
        <f t="shared" si="168"/>
        <v>587171.90115327504</v>
      </c>
    </row>
    <row r="64" spans="1:158" x14ac:dyDescent="0.25">
      <c r="AD64" s="520"/>
      <c r="AE64" s="520"/>
      <c r="AF64" s="520"/>
      <c r="AG64" s="520"/>
      <c r="AH64" s="520"/>
      <c r="AI64" s="520"/>
      <c r="AJ64" s="520"/>
      <c r="AK64" s="520"/>
      <c r="AL64" s="520"/>
      <c r="AM64" s="520"/>
      <c r="AN64" s="520"/>
      <c r="AO64" s="520"/>
      <c r="AP64" s="520"/>
      <c r="AQ64" s="520"/>
      <c r="AR64" s="520"/>
      <c r="AS64" s="520"/>
      <c r="AT64" s="520"/>
      <c r="AU64" s="520"/>
      <c r="AV64" s="520"/>
      <c r="AW64" s="520"/>
    </row>
    <row r="65" spans="3:158" x14ac:dyDescent="0.25">
      <c r="C65" t="s">
        <v>313</v>
      </c>
      <c r="D65" s="1472">
        <f t="shared" ref="D65:L65" si="169">SUMIF($AY$2:$FB$2,D$2,$AY65:$FB65)</f>
        <v>3057385.5</v>
      </c>
      <c r="E65" s="1472">
        <f t="shared" si="169"/>
        <v>2750214.6799999997</v>
      </c>
      <c r="F65" s="1472">
        <f t="shared" si="169"/>
        <v>2352684.4286809997</v>
      </c>
      <c r="G65" s="1472">
        <f t="shared" si="169"/>
        <v>5787834.6133333333</v>
      </c>
      <c r="H65" s="1472">
        <f t="shared" si="169"/>
        <v>6773278.9649636559</v>
      </c>
      <c r="I65" s="1472">
        <f t="shared" si="169"/>
        <v>9920777.825989252</v>
      </c>
      <c r="J65" s="1472">
        <f t="shared" si="169"/>
        <v>13984480.309052814</v>
      </c>
      <c r="K65" s="1472">
        <f t="shared" si="169"/>
        <v>20282444.006625246</v>
      </c>
      <c r="L65" s="1472">
        <f t="shared" si="169"/>
        <v>30635494.890525348</v>
      </c>
      <c r="M65" s="244"/>
      <c r="N65" s="1476">
        <f>SUM(AY65:BA65)</f>
        <v>364083.32999999996</v>
      </c>
      <c r="O65" s="1476">
        <f>SUM(BB65:BD65)</f>
        <v>791616.66999999993</v>
      </c>
      <c r="P65" s="1476">
        <f>SUM(BE65:BG65)</f>
        <v>564350</v>
      </c>
      <c r="Q65" s="1476">
        <f>SUM(BH65:BJ65)</f>
        <v>1337335.5</v>
      </c>
      <c r="R65" s="1476">
        <f>SUM(BK65:BM65)</f>
        <v>612602</v>
      </c>
      <c r="S65" s="1476">
        <f>SUM(BN65:BP65)</f>
        <v>854539.59</v>
      </c>
      <c r="T65" s="1476">
        <f>SUM(BQ65:BS65)</f>
        <v>624336.59</v>
      </c>
      <c r="U65" s="1476">
        <f>SUM(BT65:BV65)</f>
        <v>658736.5</v>
      </c>
      <c r="V65" s="1476">
        <f>SUM(BW65:BY65)</f>
        <v>261800</v>
      </c>
      <c r="W65" s="1476">
        <f>SUM(BZ65:CB65)</f>
        <v>594240.78</v>
      </c>
      <c r="X65" s="1476">
        <f>SUM(CC65:CE65)</f>
        <v>989521.62000000011</v>
      </c>
      <c r="Y65" s="1476">
        <f>SUM(CF65:CH65)</f>
        <v>507122.028681</v>
      </c>
      <c r="Z65" s="1476">
        <f>SUM(CI65:CK65)</f>
        <v>1344032.9</v>
      </c>
      <c r="AA65" s="1476">
        <f>SUM(CL65:CN65)</f>
        <v>1265277.6299999999</v>
      </c>
      <c r="AB65" s="1476">
        <f>SUM(CO65:CQ65)</f>
        <v>1388410.2499999998</v>
      </c>
      <c r="AC65" s="1476">
        <f>SUM(CR65:CT65)</f>
        <v>1790113.833333333</v>
      </c>
      <c r="AD65" s="1476">
        <f>SUM(CU65:CW65)</f>
        <v>1198695.173990278</v>
      </c>
      <c r="AE65" s="1476">
        <f>SUM(CX65:CZ65)</f>
        <v>1594870.9539379664</v>
      </c>
      <c r="AF65" s="1476">
        <f>SUM(DA65:DC65)</f>
        <v>1572355.4651301624</v>
      </c>
      <c r="AG65" s="1476">
        <f>SUM(DD65:DF65)</f>
        <v>2407357.3719052495</v>
      </c>
      <c r="AH65" s="1476">
        <f>SUM(DG65:DI65)</f>
        <v>1809293.2570420168</v>
      </c>
      <c r="AI65" s="1476">
        <f>SUM(DJ65:DL65)</f>
        <v>2455046.4893497182</v>
      </c>
      <c r="AJ65" s="1476">
        <f>SUM(DM65:DO65)</f>
        <v>2303018.8648253959</v>
      </c>
      <c r="AK65" s="1476">
        <f>SUM(DP65:DR65)</f>
        <v>3353419.214772122</v>
      </c>
      <c r="AL65" s="1476">
        <f>SUM(DS65:DU65)</f>
        <v>2550407.4751198376</v>
      </c>
      <c r="AM65" s="1476">
        <f>SUM(DV65:DX65)</f>
        <v>3460671.1177605567</v>
      </c>
      <c r="AN65" s="1476">
        <f>SUM(DY65:EA65)</f>
        <v>3246370.6507122023</v>
      </c>
      <c r="AO65" s="1476">
        <f>SUM(EB65:ED65)</f>
        <v>4727031.0654602181</v>
      </c>
      <c r="AP65" s="1476">
        <f>SUM(EE65:EG65)</f>
        <v>3698993.1456165928</v>
      </c>
      <c r="AQ65" s="1476">
        <f>SUM(EH65:EJ65)</f>
        <v>5019197.4689174425</v>
      </c>
      <c r="AR65" s="1476">
        <f>SUM(EK65:EM65)</f>
        <v>4708385.9745004363</v>
      </c>
      <c r="AS65" s="1476">
        <f>SUM(EN65:EP65)</f>
        <v>6855867.4175907746</v>
      </c>
      <c r="AT65" s="1476">
        <f>SUM(EQ65:ES65)</f>
        <v>5587121.8269163892</v>
      </c>
      <c r="AU65" s="1476">
        <f>SUM(ET65:EV65)</f>
        <v>7581216.4630322959</v>
      </c>
      <c r="AV65" s="1476">
        <f>SUM(EW65:EY65)</f>
        <v>7111753.1209410578</v>
      </c>
      <c r="AW65" s="1476">
        <f>SUM(EZ65:FB65)</f>
        <v>10355403.479635604</v>
      </c>
      <c r="AY65" s="1482">
        <f t="shared" ref="AY65:CD65" si="170">AY112</f>
        <v>15000</v>
      </c>
      <c r="AZ65" s="1482">
        <f t="shared" si="170"/>
        <v>138333.32999999999</v>
      </c>
      <c r="BA65" s="1482">
        <f t="shared" si="170"/>
        <v>210750</v>
      </c>
      <c r="BB65" s="1482">
        <f t="shared" si="170"/>
        <v>198700</v>
      </c>
      <c r="BC65" s="1482">
        <f t="shared" si="170"/>
        <v>375916.67</v>
      </c>
      <c r="BD65" s="1482">
        <f t="shared" si="170"/>
        <v>217000</v>
      </c>
      <c r="BE65" s="1482">
        <f t="shared" si="170"/>
        <v>108000</v>
      </c>
      <c r="BF65" s="1482">
        <f t="shared" si="170"/>
        <v>115000</v>
      </c>
      <c r="BG65" s="1482">
        <f t="shared" si="170"/>
        <v>341350</v>
      </c>
      <c r="BH65" s="1482">
        <f t="shared" si="170"/>
        <v>363785.5</v>
      </c>
      <c r="BI65" s="1482">
        <f t="shared" si="170"/>
        <v>349300</v>
      </c>
      <c r="BJ65" s="1482">
        <f t="shared" si="170"/>
        <v>624250</v>
      </c>
      <c r="BK65" s="1482">
        <f t="shared" si="170"/>
        <v>45850</v>
      </c>
      <c r="BL65" s="1482">
        <f t="shared" si="170"/>
        <v>347400</v>
      </c>
      <c r="BM65" s="1482">
        <f t="shared" si="170"/>
        <v>219352</v>
      </c>
      <c r="BN65" s="1482">
        <f t="shared" si="170"/>
        <v>315895.23</v>
      </c>
      <c r="BO65" s="1482">
        <f t="shared" si="170"/>
        <v>21000</v>
      </c>
      <c r="BP65" s="1482">
        <f t="shared" si="170"/>
        <v>517644.36</v>
      </c>
      <c r="BQ65" s="1482">
        <f t="shared" si="170"/>
        <v>206000.23</v>
      </c>
      <c r="BR65" s="1482">
        <f t="shared" si="170"/>
        <v>0</v>
      </c>
      <c r="BS65" s="1482">
        <f t="shared" si="170"/>
        <v>418336.36</v>
      </c>
      <c r="BT65" s="1482">
        <f t="shared" si="170"/>
        <v>0</v>
      </c>
      <c r="BU65" s="1482">
        <f t="shared" si="170"/>
        <v>52500</v>
      </c>
      <c r="BV65" s="1482">
        <f t="shared" si="170"/>
        <v>606236.5</v>
      </c>
      <c r="BW65" s="1482">
        <f t="shared" si="170"/>
        <v>89500</v>
      </c>
      <c r="BX65" s="1482">
        <f t="shared" si="170"/>
        <v>127300</v>
      </c>
      <c r="BY65" s="1482">
        <f t="shared" si="170"/>
        <v>45000</v>
      </c>
      <c r="BZ65" s="1482">
        <f t="shared" si="170"/>
        <v>95100</v>
      </c>
      <c r="CA65" s="1482">
        <f t="shared" si="170"/>
        <v>152971.18</v>
      </c>
      <c r="CB65" s="1482">
        <f t="shared" si="170"/>
        <v>346169.59999999998</v>
      </c>
      <c r="CC65" s="1482">
        <f t="shared" si="170"/>
        <v>76788.3</v>
      </c>
      <c r="CD65" s="1482">
        <f t="shared" si="170"/>
        <v>262937.90000000002</v>
      </c>
      <c r="CE65" s="1482">
        <f t="shared" ref="CE65:DJ65" si="171">CE112</f>
        <v>649795.42000000004</v>
      </c>
      <c r="CF65" s="1482">
        <f t="shared" si="171"/>
        <v>40192.307692000002</v>
      </c>
      <c r="CG65" s="1482">
        <f t="shared" si="171"/>
        <v>178132.910989</v>
      </c>
      <c r="CH65" s="1482">
        <f t="shared" si="171"/>
        <v>288796.81</v>
      </c>
      <c r="CI65" s="1482">
        <f t="shared" si="171"/>
        <v>211500</v>
      </c>
      <c r="CJ65" s="1482">
        <f t="shared" si="171"/>
        <v>42000</v>
      </c>
      <c r="CK65" s="1482">
        <f t="shared" si="171"/>
        <v>1090532.8999999999</v>
      </c>
      <c r="CL65" s="1482">
        <f t="shared" si="171"/>
        <v>157920</v>
      </c>
      <c r="CM65" s="1482">
        <f t="shared" si="171"/>
        <v>173945.83</v>
      </c>
      <c r="CN65" s="1482">
        <f t="shared" si="171"/>
        <v>933411.8</v>
      </c>
      <c r="CO65" s="1482">
        <f t="shared" si="171"/>
        <v>208261.53749999998</v>
      </c>
      <c r="CP65" s="1482">
        <f t="shared" si="171"/>
        <v>485943.58749999991</v>
      </c>
      <c r="CQ65" s="1482">
        <f t="shared" si="171"/>
        <v>694205.12499999988</v>
      </c>
      <c r="CR65" s="1482">
        <f t="shared" si="171"/>
        <v>179011.3833333333</v>
      </c>
      <c r="CS65" s="1482">
        <f t="shared" si="171"/>
        <v>716045.53333333321</v>
      </c>
      <c r="CT65" s="1482">
        <f t="shared" si="171"/>
        <v>895056.9166666664</v>
      </c>
      <c r="CU65" s="1482">
        <f t="shared" si="171"/>
        <v>158455.60230988532</v>
      </c>
      <c r="CV65" s="1482">
        <f t="shared" si="171"/>
        <v>348251.71641244635</v>
      </c>
      <c r="CW65" s="1482">
        <f t="shared" si="171"/>
        <v>691987.85526794638</v>
      </c>
      <c r="CX65" s="1482">
        <f t="shared" si="171"/>
        <v>276684.13585798751</v>
      </c>
      <c r="CY65" s="1482">
        <f t="shared" si="171"/>
        <v>542678.81675078475</v>
      </c>
      <c r="CZ65" s="1482">
        <f t="shared" si="171"/>
        <v>775508.00132919417</v>
      </c>
      <c r="DA65" s="1482">
        <f t="shared" si="171"/>
        <v>265680.86088953278</v>
      </c>
      <c r="DB65" s="1482">
        <f t="shared" si="171"/>
        <v>473735.28795119311</v>
      </c>
      <c r="DC65" s="1482">
        <f t="shared" si="171"/>
        <v>832939.31628943642</v>
      </c>
      <c r="DD65" s="1482">
        <f t="shared" si="171"/>
        <v>357665.57334176538</v>
      </c>
      <c r="DE65" s="1482">
        <f t="shared" si="171"/>
        <v>954047.49695393187</v>
      </c>
      <c r="DF65" s="1482">
        <f t="shared" si="171"/>
        <v>1095644.301609552</v>
      </c>
      <c r="DG65" s="1482">
        <f t="shared" si="171"/>
        <v>249946.29439206884</v>
      </c>
      <c r="DH65" s="1482">
        <f t="shared" si="171"/>
        <v>527939.43331156066</v>
      </c>
      <c r="DI65" s="1482">
        <f t="shared" si="171"/>
        <v>1031407.5293383874</v>
      </c>
      <c r="DJ65" s="1482">
        <f t="shared" si="171"/>
        <v>444940.57287045382</v>
      </c>
      <c r="DK65" s="1482">
        <f t="shared" ref="DK65:EP65" si="172">DK112</f>
        <v>834541.25899050524</v>
      </c>
      <c r="DL65" s="1482">
        <f t="shared" si="172"/>
        <v>1175564.6574887589</v>
      </c>
      <c r="DM65" s="1482">
        <f t="shared" si="172"/>
        <v>389141.03599404241</v>
      </c>
      <c r="DN65" s="1482">
        <f t="shared" si="172"/>
        <v>693877.00763629319</v>
      </c>
      <c r="DO65" s="1482">
        <f t="shared" si="172"/>
        <v>1220000.8211950604</v>
      </c>
      <c r="DP65" s="1482">
        <f t="shared" si="172"/>
        <v>466329.93710004858</v>
      </c>
      <c r="DQ65" s="1482">
        <f t="shared" si="172"/>
        <v>1339846.6775439652</v>
      </c>
      <c r="DR65" s="1482">
        <f t="shared" si="172"/>
        <v>1547242.6001281082</v>
      </c>
      <c r="DS65" s="1482">
        <f t="shared" si="172"/>
        <v>352328.1232132687</v>
      </c>
      <c r="DT65" s="1482">
        <f t="shared" si="172"/>
        <v>744191.50786514347</v>
      </c>
      <c r="DU65" s="1482">
        <f t="shared" si="172"/>
        <v>1453887.8440414253</v>
      </c>
      <c r="DV65" s="1482">
        <f t="shared" si="172"/>
        <v>627195.0434879422</v>
      </c>
      <c r="DW65" s="1482">
        <f t="shared" si="172"/>
        <v>1176382.1353676093</v>
      </c>
      <c r="DX65" s="1482">
        <f t="shared" si="172"/>
        <v>1657093.9389050056</v>
      </c>
      <c r="DY65" s="1482">
        <f t="shared" si="172"/>
        <v>548539.16202487436</v>
      </c>
      <c r="DZ65" s="1482">
        <f t="shared" si="172"/>
        <v>978099.65311128646</v>
      </c>
      <c r="EA65" s="1482">
        <f t="shared" si="172"/>
        <v>1719731.8355760414</v>
      </c>
      <c r="EB65" s="1482">
        <f t="shared" si="172"/>
        <v>657345.81877375988</v>
      </c>
      <c r="EC65" s="1482">
        <f t="shared" si="172"/>
        <v>1888668.3895065503</v>
      </c>
      <c r="ED65" s="1482">
        <f t="shared" si="172"/>
        <v>2181016.8571799085</v>
      </c>
      <c r="EE65" s="1482">
        <f t="shared" si="172"/>
        <v>511000.42855410866</v>
      </c>
      <c r="EF65" s="1482">
        <f t="shared" si="172"/>
        <v>1079340.9733438368</v>
      </c>
      <c r="EG65" s="1482">
        <f t="shared" si="172"/>
        <v>2108651.7437186474</v>
      </c>
      <c r="EH65" s="1482">
        <f t="shared" si="172"/>
        <v>909654.70790803258</v>
      </c>
      <c r="EI65" s="1482">
        <f t="shared" si="172"/>
        <v>1706170.287611055</v>
      </c>
      <c r="EJ65" s="1482">
        <f t="shared" si="172"/>
        <v>2403372.4733983548</v>
      </c>
      <c r="EK65" s="1482">
        <f t="shared" si="172"/>
        <v>795575.85218296933</v>
      </c>
      <c r="EL65" s="1482">
        <f t="shared" si="172"/>
        <v>1418590.5381329765</v>
      </c>
      <c r="EM65" s="1482">
        <f t="shared" si="172"/>
        <v>2494219.5841844911</v>
      </c>
      <c r="EN65" s="1482">
        <f t="shared" si="172"/>
        <v>953383.99909199367</v>
      </c>
      <c r="EO65" s="1482">
        <f t="shared" si="172"/>
        <v>2739237.3553167991</v>
      </c>
      <c r="EP65" s="1482">
        <f t="shared" si="172"/>
        <v>3163246.0631819819</v>
      </c>
      <c r="EQ65" s="1482">
        <f t="shared" ref="EQ65:FB65" si="173">EQ112</f>
        <v>771837.50700418756</v>
      </c>
      <c r="ER65" s="1482">
        <f t="shared" si="173"/>
        <v>1630284.0458087169</v>
      </c>
      <c r="ES65" s="1482">
        <f t="shared" si="173"/>
        <v>3185000.2741034846</v>
      </c>
      <c r="ET65" s="1482">
        <f t="shared" si="173"/>
        <v>1373982.4523689495</v>
      </c>
      <c r="EU65" s="1482">
        <f t="shared" si="173"/>
        <v>2577074.592756222</v>
      </c>
      <c r="EV65" s="1482">
        <f t="shared" si="173"/>
        <v>3630159.4179071249</v>
      </c>
      <c r="EW65" s="1482">
        <f t="shared" si="173"/>
        <v>1201672.7346376663</v>
      </c>
      <c r="EX65" s="1482">
        <f t="shared" si="173"/>
        <v>2142701.4993126313</v>
      </c>
      <c r="EY65" s="1482">
        <f t="shared" si="173"/>
        <v>3767378.88699076</v>
      </c>
      <c r="EZ65" s="1482">
        <f t="shared" si="173"/>
        <v>1440033.0957822844</v>
      </c>
      <c r="FA65" s="1482">
        <f t="shared" si="173"/>
        <v>4137464.4976380672</v>
      </c>
      <c r="FB65" s="1482">
        <f t="shared" si="173"/>
        <v>4777905.8862152528</v>
      </c>
    </row>
    <row r="66" spans="3:158" x14ac:dyDescent="0.25">
      <c r="C66" t="s">
        <v>897</v>
      </c>
      <c r="D66" s="79"/>
      <c r="E66" s="79"/>
      <c r="F66" s="79"/>
      <c r="G66" s="79"/>
      <c r="H66" s="303">
        <v>0</v>
      </c>
      <c r="I66" s="303">
        <v>0.1</v>
      </c>
      <c r="J66" s="303">
        <v>0.15</v>
      </c>
      <c r="K66" s="303">
        <v>0.2</v>
      </c>
      <c r="L66" s="303">
        <v>0.3</v>
      </c>
      <c r="N66" s="79"/>
      <c r="O66" s="79"/>
      <c r="P66" s="79"/>
      <c r="Q66" s="79"/>
      <c r="R66" s="79"/>
      <c r="S66" s="79"/>
      <c r="T66" s="79"/>
      <c r="U66" s="79"/>
      <c r="V66" s="79"/>
      <c r="W66" s="79"/>
      <c r="X66" s="79"/>
      <c r="Y66" s="79"/>
      <c r="Z66" s="79"/>
      <c r="AA66" s="79"/>
      <c r="AB66" s="79"/>
      <c r="AC66" s="79"/>
      <c r="AD66" s="1454">
        <f>SUM(CU66:CW66)/3</f>
        <v>0</v>
      </c>
      <c r="AE66" s="1454">
        <f>SUM(CX66:CZ66)/3</f>
        <v>0</v>
      </c>
      <c r="AF66" s="1454">
        <f>SUM(DA66:DC66)/3</f>
        <v>0</v>
      </c>
      <c r="AG66" s="1454">
        <f>SUM(DD66:DF66)/3</f>
        <v>0</v>
      </c>
      <c r="AH66" s="1454">
        <f>SUM(DG66:DI66)/3</f>
        <v>0</v>
      </c>
      <c r="AI66" s="1454">
        <f>SUM(DJ66:DL66)/3</f>
        <v>0</v>
      </c>
      <c r="AJ66" s="1454">
        <f>SUM(DM66:DO66)/3</f>
        <v>0.10000000000000002</v>
      </c>
      <c r="AK66" s="1454">
        <f>SUM(DP66:DR66)/3</f>
        <v>0.15</v>
      </c>
      <c r="AL66" s="1454">
        <f>SUM(DS66:DU66)/3</f>
        <v>0.15</v>
      </c>
      <c r="AM66" s="1454">
        <f>SUM(DV66:DX66)/3</f>
        <v>0.15</v>
      </c>
      <c r="AN66" s="1454">
        <f>SUM(DY66:EA66)/3</f>
        <v>0.15</v>
      </c>
      <c r="AO66" s="1454">
        <f>SUM(EB66:ED66)/3</f>
        <v>0.15</v>
      </c>
      <c r="AP66" s="1454">
        <f>SUM(EE66:EG66)/3</f>
        <v>0.20000000000000004</v>
      </c>
      <c r="AQ66" s="1454">
        <f>SUM(EH66:EJ66)/3</f>
        <v>0.20000000000000004</v>
      </c>
      <c r="AR66" s="1454">
        <f>SUM(EK66:EM66)/3</f>
        <v>0.20000000000000004</v>
      </c>
      <c r="AS66" s="1454">
        <f>SUM(EN66:EP66)/3</f>
        <v>0.20000000000000004</v>
      </c>
      <c r="AT66" s="1454">
        <f>SUM(EQ66:ES66)/3</f>
        <v>0.3</v>
      </c>
      <c r="AU66" s="1454">
        <f>SUM(ET66:EV66)/3</f>
        <v>0.3</v>
      </c>
      <c r="AV66" s="1454">
        <f>SUM(EW66:EY66)/3</f>
        <v>0.3</v>
      </c>
      <c r="AW66" s="1454">
        <f>SUM(EZ66:FB66)/3</f>
        <v>0.3</v>
      </c>
      <c r="AY66" s="523"/>
      <c r="AZ66" s="523"/>
      <c r="BA66" s="523"/>
      <c r="BB66" s="523"/>
      <c r="BC66" s="523"/>
      <c r="BD66" s="523"/>
      <c r="BE66" s="523"/>
      <c r="BF66" s="523"/>
      <c r="BG66" s="523"/>
      <c r="BH66" s="523"/>
      <c r="BI66" s="523"/>
      <c r="BJ66" s="523"/>
      <c r="BK66" s="523"/>
      <c r="BL66" s="523"/>
      <c r="BM66" s="523"/>
      <c r="BN66" s="523"/>
      <c r="BO66" s="523"/>
      <c r="BP66" s="523"/>
      <c r="BQ66" s="523"/>
      <c r="BR66" s="523"/>
      <c r="BS66" s="523"/>
      <c r="BT66" s="523"/>
      <c r="BU66" s="523"/>
      <c r="BV66" s="523"/>
      <c r="BW66" s="523"/>
      <c r="BX66" s="523"/>
      <c r="BY66" s="523"/>
      <c r="BZ66" s="523"/>
      <c r="CA66" s="523"/>
      <c r="CB66" s="523"/>
      <c r="CC66" s="523"/>
      <c r="CD66" s="523"/>
      <c r="CE66" s="523"/>
      <c r="CF66" s="523"/>
      <c r="CG66" s="523"/>
      <c r="CH66" s="523"/>
      <c r="CI66" s="523"/>
      <c r="CJ66" s="523"/>
      <c r="CK66" s="523"/>
      <c r="CL66" s="523"/>
      <c r="CM66" s="523"/>
      <c r="CN66" s="523"/>
      <c r="CO66" s="523"/>
      <c r="CP66" s="523"/>
      <c r="CQ66" s="523"/>
      <c r="CR66" s="523"/>
      <c r="CS66" s="523"/>
      <c r="CT66" s="523"/>
      <c r="CU66" s="1483">
        <f t="shared" ref="CU66:DC67" si="174">INDEX($D66:$L66,1,MATCH(CU$2,$D$2:$L$2,0))*CU$51</f>
        <v>0</v>
      </c>
      <c r="CV66" s="1483">
        <f t="shared" si="174"/>
        <v>0</v>
      </c>
      <c r="CW66" s="1483">
        <f t="shared" si="174"/>
        <v>0</v>
      </c>
      <c r="CX66" s="1483">
        <f t="shared" si="174"/>
        <v>0</v>
      </c>
      <c r="CY66" s="1483">
        <f t="shared" si="174"/>
        <v>0</v>
      </c>
      <c r="CZ66" s="1483">
        <f t="shared" si="174"/>
        <v>0</v>
      </c>
      <c r="DA66" s="1483">
        <f t="shared" si="174"/>
        <v>0</v>
      </c>
      <c r="DB66" s="1483">
        <f t="shared" si="174"/>
        <v>0</v>
      </c>
      <c r="DC66" s="1483">
        <f t="shared" si="174"/>
        <v>0</v>
      </c>
      <c r="DD66" s="522">
        <v>0</v>
      </c>
      <c r="DE66" s="522">
        <v>0</v>
      </c>
      <c r="DF66" s="522">
        <v>0</v>
      </c>
      <c r="DG66" s="522">
        <v>0</v>
      </c>
      <c r="DH66" s="522">
        <v>0</v>
      </c>
      <c r="DI66" s="522">
        <v>0</v>
      </c>
      <c r="DJ66" s="522">
        <v>0</v>
      </c>
      <c r="DK66" s="522">
        <v>0</v>
      </c>
      <c r="DL66" s="522">
        <v>0</v>
      </c>
      <c r="DM66" s="1484">
        <f>INDEX($D66:$L66,1,MATCH(DM$2,$D$2:$L$2,0))*DM$51</f>
        <v>0.1</v>
      </c>
      <c r="DN66" s="1484">
        <f>INDEX($D66:$L66,1,MATCH(DN$2,$D$2:$L$2,0))*DN$51</f>
        <v>0.1</v>
      </c>
      <c r="DO66" s="1484">
        <f>INDEX($D66:$L66,1,MATCH(DO$2,$D$2:$L$2,0))*DO$51</f>
        <v>0.1</v>
      </c>
      <c r="DP66" s="522">
        <v>0.15</v>
      </c>
      <c r="DQ66" s="522">
        <v>0.15</v>
      </c>
      <c r="DR66" s="522">
        <v>0.15</v>
      </c>
      <c r="DS66" s="1483">
        <f t="shared" ref="DS66:EB67" si="175">INDEX($D66:$L66,1,MATCH(DS$2,$D$2:$L$2,0))*DS$51</f>
        <v>0.15</v>
      </c>
      <c r="DT66" s="1483">
        <f t="shared" si="175"/>
        <v>0.15</v>
      </c>
      <c r="DU66" s="1483">
        <f t="shared" si="175"/>
        <v>0.15</v>
      </c>
      <c r="DV66" s="1483">
        <f t="shared" si="175"/>
        <v>0.15</v>
      </c>
      <c r="DW66" s="1483">
        <f t="shared" si="175"/>
        <v>0.15</v>
      </c>
      <c r="DX66" s="1483">
        <f t="shared" si="175"/>
        <v>0.15</v>
      </c>
      <c r="DY66" s="1483">
        <f t="shared" si="175"/>
        <v>0.15</v>
      </c>
      <c r="DZ66" s="1483">
        <f t="shared" si="175"/>
        <v>0.15</v>
      </c>
      <c r="EA66" s="1483">
        <f t="shared" si="175"/>
        <v>0.15</v>
      </c>
      <c r="EB66" s="1483">
        <f t="shared" si="175"/>
        <v>0.15</v>
      </c>
      <c r="EC66" s="1483">
        <f t="shared" ref="EC66:EL67" si="176">INDEX($D66:$L66,1,MATCH(EC$2,$D$2:$L$2,0))*EC$51</f>
        <v>0.15</v>
      </c>
      <c r="ED66" s="1483">
        <f t="shared" si="176"/>
        <v>0.15</v>
      </c>
      <c r="EE66" s="1483">
        <f t="shared" si="176"/>
        <v>0.2</v>
      </c>
      <c r="EF66" s="1483">
        <f t="shared" si="176"/>
        <v>0.2</v>
      </c>
      <c r="EG66" s="1483">
        <f t="shared" si="176"/>
        <v>0.2</v>
      </c>
      <c r="EH66" s="1483">
        <f t="shared" si="176"/>
        <v>0.2</v>
      </c>
      <c r="EI66" s="1483">
        <f t="shared" si="176"/>
        <v>0.2</v>
      </c>
      <c r="EJ66" s="1483">
        <f t="shared" si="176"/>
        <v>0.2</v>
      </c>
      <c r="EK66" s="1483">
        <f t="shared" si="176"/>
        <v>0.2</v>
      </c>
      <c r="EL66" s="1483">
        <f t="shared" si="176"/>
        <v>0.2</v>
      </c>
      <c r="EM66" s="1483">
        <f t="shared" ref="EM66:EV67" si="177">INDEX($D66:$L66,1,MATCH(EM$2,$D$2:$L$2,0))*EM$51</f>
        <v>0.2</v>
      </c>
      <c r="EN66" s="1483">
        <f t="shared" si="177"/>
        <v>0.2</v>
      </c>
      <c r="EO66" s="1483">
        <f t="shared" si="177"/>
        <v>0.2</v>
      </c>
      <c r="EP66" s="1483">
        <f t="shared" si="177"/>
        <v>0.2</v>
      </c>
      <c r="EQ66" s="1483">
        <f t="shared" si="177"/>
        <v>0.3</v>
      </c>
      <c r="ER66" s="1483">
        <f t="shared" si="177"/>
        <v>0.3</v>
      </c>
      <c r="ES66" s="1483">
        <f t="shared" si="177"/>
        <v>0.3</v>
      </c>
      <c r="ET66" s="1483">
        <f t="shared" si="177"/>
        <v>0.3</v>
      </c>
      <c r="EU66" s="1483">
        <f t="shared" si="177"/>
        <v>0.3</v>
      </c>
      <c r="EV66" s="1483">
        <f t="shared" si="177"/>
        <v>0.3</v>
      </c>
      <c r="EW66" s="1483">
        <f t="shared" ref="EW66:FB67" si="178">INDEX($D66:$L66,1,MATCH(EW$2,$D$2:$L$2,0))*EW$51</f>
        <v>0.3</v>
      </c>
      <c r="EX66" s="1483">
        <f t="shared" si="178"/>
        <v>0.3</v>
      </c>
      <c r="EY66" s="1483">
        <f t="shared" si="178"/>
        <v>0.3</v>
      </c>
      <c r="EZ66" s="1483">
        <f t="shared" si="178"/>
        <v>0.3</v>
      </c>
      <c r="FA66" s="1483">
        <f t="shared" si="178"/>
        <v>0.3</v>
      </c>
      <c r="FB66" s="1483">
        <f t="shared" si="178"/>
        <v>0.3</v>
      </c>
    </row>
    <row r="67" spans="3:158" x14ac:dyDescent="0.25">
      <c r="C67" t="s">
        <v>896</v>
      </c>
      <c r="D67" s="79"/>
      <c r="E67" s="79"/>
      <c r="F67" s="79"/>
      <c r="G67" s="79"/>
      <c r="H67" s="303">
        <v>0</v>
      </c>
      <c r="I67" s="303">
        <v>0.2</v>
      </c>
      <c r="J67" s="303">
        <v>0.5</v>
      </c>
      <c r="K67" s="303">
        <v>0.5</v>
      </c>
      <c r="L67" s="303">
        <v>0.5</v>
      </c>
      <c r="N67" s="524"/>
      <c r="O67" s="524"/>
      <c r="P67" s="524"/>
      <c r="Q67" s="524"/>
      <c r="R67" s="524"/>
      <c r="S67" s="524"/>
      <c r="T67" s="524"/>
      <c r="U67" s="524"/>
      <c r="V67" s="524"/>
      <c r="W67" s="524"/>
      <c r="X67" s="524"/>
      <c r="Y67" s="524"/>
      <c r="Z67" s="524"/>
      <c r="AA67" s="524"/>
      <c r="AB67" s="524"/>
      <c r="AC67" s="524"/>
      <c r="AD67" s="1463">
        <f>SUM(CU67:CW67)/3</f>
        <v>0</v>
      </c>
      <c r="AE67" s="1463">
        <f>SUM(CX67:CZ67)/3</f>
        <v>0</v>
      </c>
      <c r="AF67" s="1463">
        <f>SUM(DA67:DC67)/3</f>
        <v>0</v>
      </c>
      <c r="AG67" s="1463">
        <f>SUM(DD67:DF67)/3</f>
        <v>0</v>
      </c>
      <c r="AH67" s="1463">
        <f>SUM(DG67:DI67)/3</f>
        <v>0</v>
      </c>
      <c r="AI67" s="1463">
        <f>SUM(DJ67:DL67)/3</f>
        <v>0</v>
      </c>
      <c r="AJ67" s="1463">
        <f>SUM(DM67:DO67)/3</f>
        <v>0.5</v>
      </c>
      <c r="AK67" s="1463">
        <f>SUM(DP67:DR67)/3</f>
        <v>0.5</v>
      </c>
      <c r="AL67" s="1463">
        <f>SUM(DS67:DU67)/3</f>
        <v>0.5</v>
      </c>
      <c r="AM67" s="1463">
        <f>SUM(DV67:DX67)/3</f>
        <v>0.5</v>
      </c>
      <c r="AN67" s="1463">
        <f>SUM(DY67:EA67)/3</f>
        <v>0.5</v>
      </c>
      <c r="AO67" s="1463">
        <f>SUM(EB67:ED67)/3</f>
        <v>0.5</v>
      </c>
      <c r="AP67" s="1463">
        <f>SUM(EE67:EG67)/3</f>
        <v>0.5</v>
      </c>
      <c r="AQ67" s="1463">
        <f>SUM(EH67:EJ67)/3</f>
        <v>0.5</v>
      </c>
      <c r="AR67" s="1463">
        <f>SUM(EK67:EM67)/3</f>
        <v>0.5</v>
      </c>
      <c r="AS67" s="1463">
        <f>SUM(EN67:EP67)/3</f>
        <v>0.5</v>
      </c>
      <c r="AT67" s="1463">
        <f>SUM(EQ67:ES67)/3</f>
        <v>0.5</v>
      </c>
      <c r="AU67" s="1463">
        <f>SUM(ET67:EV67)/3</f>
        <v>0.5</v>
      </c>
      <c r="AV67" s="1463">
        <f>SUM(EW67:EY67)/3</f>
        <v>0.5</v>
      </c>
      <c r="AW67" s="1463">
        <f>SUM(EZ67:FB67)/3</f>
        <v>0.5</v>
      </c>
      <c r="AY67" s="523"/>
      <c r="AZ67" s="523"/>
      <c r="BA67" s="523"/>
      <c r="BB67" s="523"/>
      <c r="BC67" s="523"/>
      <c r="BD67" s="523"/>
      <c r="BE67" s="523"/>
      <c r="BF67" s="523"/>
      <c r="BG67" s="523"/>
      <c r="BH67" s="523"/>
      <c r="BI67" s="523"/>
      <c r="BJ67" s="523"/>
      <c r="BK67" s="523"/>
      <c r="BL67" s="523"/>
      <c r="BM67" s="523"/>
      <c r="BN67" s="523"/>
      <c r="BO67" s="523"/>
      <c r="BP67" s="523"/>
      <c r="BQ67" s="523"/>
      <c r="BR67" s="523"/>
      <c r="BS67" s="523"/>
      <c r="BT67" s="523"/>
      <c r="BU67" s="523"/>
      <c r="BV67" s="523"/>
      <c r="BW67" s="523"/>
      <c r="BX67" s="523"/>
      <c r="BY67" s="523"/>
      <c r="BZ67" s="523"/>
      <c r="CA67" s="523"/>
      <c r="CB67" s="523"/>
      <c r="CC67" s="523"/>
      <c r="CD67" s="523"/>
      <c r="CE67" s="523"/>
      <c r="CF67" s="523"/>
      <c r="CG67" s="523"/>
      <c r="CH67" s="523"/>
      <c r="CI67" s="523"/>
      <c r="CJ67" s="523"/>
      <c r="CK67" s="523"/>
      <c r="CL67" s="523"/>
      <c r="CM67" s="523"/>
      <c r="CN67" s="523"/>
      <c r="CO67" s="523"/>
      <c r="CP67" s="523"/>
      <c r="CQ67" s="523"/>
      <c r="CR67" s="523"/>
      <c r="CS67" s="523"/>
      <c r="CT67" s="523"/>
      <c r="CU67" s="1483">
        <f t="shared" si="174"/>
        <v>0</v>
      </c>
      <c r="CV67" s="1483">
        <f t="shared" si="174"/>
        <v>0</v>
      </c>
      <c r="CW67" s="1483">
        <f t="shared" si="174"/>
        <v>0</v>
      </c>
      <c r="CX67" s="1483">
        <f t="shared" si="174"/>
        <v>0</v>
      </c>
      <c r="CY67" s="1483">
        <f t="shared" si="174"/>
        <v>0</v>
      </c>
      <c r="CZ67" s="1483">
        <f t="shared" si="174"/>
        <v>0</v>
      </c>
      <c r="DA67" s="1483">
        <f t="shared" si="174"/>
        <v>0</v>
      </c>
      <c r="DB67" s="1483">
        <f t="shared" si="174"/>
        <v>0</v>
      </c>
      <c r="DC67" s="1483">
        <f t="shared" si="174"/>
        <v>0</v>
      </c>
      <c r="DD67" s="522">
        <v>0</v>
      </c>
      <c r="DE67" s="522">
        <v>0</v>
      </c>
      <c r="DF67" s="522">
        <v>0</v>
      </c>
      <c r="DG67" s="522">
        <v>0</v>
      </c>
      <c r="DH67" s="522">
        <v>0</v>
      </c>
      <c r="DI67" s="522">
        <v>0</v>
      </c>
      <c r="DJ67" s="522">
        <v>0</v>
      </c>
      <c r="DK67" s="522">
        <v>0</v>
      </c>
      <c r="DL67" s="522">
        <v>0</v>
      </c>
      <c r="DM67" s="522">
        <v>0.5</v>
      </c>
      <c r="DN67" s="522">
        <v>0.5</v>
      </c>
      <c r="DO67" s="522">
        <v>0.5</v>
      </c>
      <c r="DP67" s="522">
        <v>0.5</v>
      </c>
      <c r="DQ67" s="522">
        <v>0.5</v>
      </c>
      <c r="DR67" s="522">
        <v>0.5</v>
      </c>
      <c r="DS67" s="1483">
        <f t="shared" si="175"/>
        <v>0.5</v>
      </c>
      <c r="DT67" s="1483">
        <f t="shared" si="175"/>
        <v>0.5</v>
      </c>
      <c r="DU67" s="1483">
        <f t="shared" si="175"/>
        <v>0.5</v>
      </c>
      <c r="DV67" s="1483">
        <f t="shared" si="175"/>
        <v>0.5</v>
      </c>
      <c r="DW67" s="1483">
        <f t="shared" si="175"/>
        <v>0.5</v>
      </c>
      <c r="DX67" s="1483">
        <f t="shared" si="175"/>
        <v>0.5</v>
      </c>
      <c r="DY67" s="1483">
        <f t="shared" si="175"/>
        <v>0.5</v>
      </c>
      <c r="DZ67" s="1483">
        <f t="shared" si="175"/>
        <v>0.5</v>
      </c>
      <c r="EA67" s="1483">
        <f t="shared" si="175"/>
        <v>0.5</v>
      </c>
      <c r="EB67" s="1483">
        <f t="shared" si="175"/>
        <v>0.5</v>
      </c>
      <c r="EC67" s="1483">
        <f t="shared" si="176"/>
        <v>0.5</v>
      </c>
      <c r="ED67" s="1483">
        <f t="shared" si="176"/>
        <v>0.5</v>
      </c>
      <c r="EE67" s="1483">
        <f t="shared" si="176"/>
        <v>0.5</v>
      </c>
      <c r="EF67" s="1483">
        <f t="shared" si="176"/>
        <v>0.5</v>
      </c>
      <c r="EG67" s="1483">
        <f t="shared" si="176"/>
        <v>0.5</v>
      </c>
      <c r="EH67" s="1483">
        <f t="shared" si="176"/>
        <v>0.5</v>
      </c>
      <c r="EI67" s="1483">
        <f t="shared" si="176"/>
        <v>0.5</v>
      </c>
      <c r="EJ67" s="1483">
        <f t="shared" si="176"/>
        <v>0.5</v>
      </c>
      <c r="EK67" s="1483">
        <f t="shared" si="176"/>
        <v>0.5</v>
      </c>
      <c r="EL67" s="1483">
        <f t="shared" si="176"/>
        <v>0.5</v>
      </c>
      <c r="EM67" s="1483">
        <f t="shared" si="177"/>
        <v>0.5</v>
      </c>
      <c r="EN67" s="1483">
        <f t="shared" si="177"/>
        <v>0.5</v>
      </c>
      <c r="EO67" s="1483">
        <f t="shared" si="177"/>
        <v>0.5</v>
      </c>
      <c r="EP67" s="1483">
        <f t="shared" si="177"/>
        <v>0.5</v>
      </c>
      <c r="EQ67" s="1483">
        <f t="shared" si="177"/>
        <v>0.5</v>
      </c>
      <c r="ER67" s="1483">
        <f t="shared" si="177"/>
        <v>0.5</v>
      </c>
      <c r="ES67" s="1483">
        <f t="shared" si="177"/>
        <v>0.5</v>
      </c>
      <c r="ET67" s="1483">
        <f t="shared" si="177"/>
        <v>0.5</v>
      </c>
      <c r="EU67" s="1483">
        <f t="shared" si="177"/>
        <v>0.5</v>
      </c>
      <c r="EV67" s="1483">
        <f t="shared" si="177"/>
        <v>0.5</v>
      </c>
      <c r="EW67" s="1483">
        <f t="shared" si="178"/>
        <v>0.5</v>
      </c>
      <c r="EX67" s="1483">
        <f t="shared" si="178"/>
        <v>0.5</v>
      </c>
      <c r="EY67" s="1483">
        <f t="shared" si="178"/>
        <v>0.5</v>
      </c>
      <c r="EZ67" s="1483">
        <f t="shared" si="178"/>
        <v>0.5</v>
      </c>
      <c r="FA67" s="1483">
        <f t="shared" si="178"/>
        <v>0.5</v>
      </c>
      <c r="FB67" s="1483">
        <f t="shared" si="178"/>
        <v>0.5</v>
      </c>
    </row>
    <row r="68" spans="3:158" x14ac:dyDescent="0.25">
      <c r="C68" t="s">
        <v>889</v>
      </c>
      <c r="D68" s="1472">
        <f t="shared" ref="D68:L68" si="179">SUMIF($AY$2:$FB$2,D$2,$AY68:$FB68)</f>
        <v>0</v>
      </c>
      <c r="E68" s="1472">
        <f t="shared" si="179"/>
        <v>0</v>
      </c>
      <c r="F68" s="1472">
        <f t="shared" si="179"/>
        <v>0</v>
      </c>
      <c r="G68" s="1472">
        <f t="shared" si="179"/>
        <v>0</v>
      </c>
      <c r="H68" s="1472">
        <f t="shared" si="179"/>
        <v>0</v>
      </c>
      <c r="I68" s="1472">
        <f t="shared" si="179"/>
        <v>366657.38434917893</v>
      </c>
      <c r="J68" s="1472">
        <f t="shared" si="179"/>
        <v>1048836.0231789611</v>
      </c>
      <c r="K68" s="1472">
        <f t="shared" si="179"/>
        <v>2028244.4006625246</v>
      </c>
      <c r="L68" s="1472">
        <f t="shared" si="179"/>
        <v>4595324.2335788021</v>
      </c>
      <c r="N68" s="1487">
        <f>SUM(AY68:BA68)</f>
        <v>0</v>
      </c>
      <c r="O68" s="1487">
        <f>SUM(BB68:BD68)</f>
        <v>0</v>
      </c>
      <c r="P68" s="1487">
        <f>SUM(BE68:BG68)</f>
        <v>0</v>
      </c>
      <c r="Q68" s="1487">
        <f>SUM(BH68:BJ68)</f>
        <v>0</v>
      </c>
      <c r="R68" s="1487">
        <f>SUM(BK68:BM68)</f>
        <v>0</v>
      </c>
      <c r="S68" s="1487">
        <f>SUM(BN68:BP68)</f>
        <v>0</v>
      </c>
      <c r="T68" s="1487">
        <f>SUM(BQ68:BS68)</f>
        <v>0</v>
      </c>
      <c r="U68" s="1487">
        <f>SUM(BT68:BV68)</f>
        <v>0</v>
      </c>
      <c r="V68" s="1487">
        <f>SUM(BW68:BY68)</f>
        <v>0</v>
      </c>
      <c r="W68" s="1487">
        <f>SUM(BZ68:CB68)</f>
        <v>0</v>
      </c>
      <c r="X68" s="1487">
        <f>SUM(CC68:CE68)</f>
        <v>0</v>
      </c>
      <c r="Y68" s="1487">
        <f>SUM(CF68:CH68)</f>
        <v>0</v>
      </c>
      <c r="Z68" s="1487">
        <f>SUM(CI68:CK68)</f>
        <v>0</v>
      </c>
      <c r="AA68" s="1487">
        <f>SUM(CL68:CN68)</f>
        <v>0</v>
      </c>
      <c r="AB68" s="1487">
        <f>SUM(CO68:CQ68)</f>
        <v>0</v>
      </c>
      <c r="AC68" s="1487">
        <f>SUM(CR68:CT68)</f>
        <v>0</v>
      </c>
      <c r="AD68" s="1487">
        <f>SUM(CU68:CW68)</f>
        <v>0</v>
      </c>
      <c r="AE68" s="1487">
        <f>SUM(CX68:CZ68)</f>
        <v>0</v>
      </c>
      <c r="AF68" s="1487">
        <f>SUM(DA68:DC68)</f>
        <v>0</v>
      </c>
      <c r="AG68" s="1487">
        <f>SUM(DD68:DF68)</f>
        <v>0</v>
      </c>
      <c r="AH68" s="1487">
        <f>SUM(DG68:DI68)</f>
        <v>0</v>
      </c>
      <c r="AI68" s="1487">
        <f>SUM(DJ68:DL68)</f>
        <v>0</v>
      </c>
      <c r="AJ68" s="1487">
        <f>SUM(DM68:DO68)</f>
        <v>115150.94324126979</v>
      </c>
      <c r="AK68" s="1487">
        <f>SUM(DP68:DR68)</f>
        <v>251506.44110790914</v>
      </c>
      <c r="AL68" s="1487">
        <f>SUM(DS68:DU68)</f>
        <v>191280.5606339878</v>
      </c>
      <c r="AM68" s="1487">
        <f>SUM(DV68:DX68)</f>
        <v>259550.33383204177</v>
      </c>
      <c r="AN68" s="1487">
        <f>SUM(DY68:EA68)</f>
        <v>243477.79880341515</v>
      </c>
      <c r="AO68" s="1487">
        <f>SUM(EB68:ED68)</f>
        <v>354527.32990951638</v>
      </c>
      <c r="AP68" s="1487">
        <f>SUM(EE68:EG68)</f>
        <v>369899.31456165935</v>
      </c>
      <c r="AQ68" s="1487">
        <f>SUM(EH68:EJ68)</f>
        <v>501919.74689174426</v>
      </c>
      <c r="AR68" s="1487">
        <f>SUM(EK68:EM68)</f>
        <v>470838.59745004372</v>
      </c>
      <c r="AS68" s="1487">
        <f>SUM(EN68:EP68)</f>
        <v>685586.74175907753</v>
      </c>
      <c r="AT68" s="1487">
        <f>SUM(EQ68:ES68)</f>
        <v>838068.27403745835</v>
      </c>
      <c r="AU68" s="1487">
        <f>SUM(ET68:EV68)</f>
        <v>1137182.4694548445</v>
      </c>
      <c r="AV68" s="1487">
        <f>SUM(EW68:EY68)</f>
        <v>1066762.9681411586</v>
      </c>
      <c r="AW68" s="1487">
        <f>SUM(EZ68:FB68)</f>
        <v>1553310.5219453406</v>
      </c>
      <c r="AX68" s="521"/>
      <c r="AY68" s="521">
        <v>0</v>
      </c>
      <c r="AZ68" s="521">
        <v>0</v>
      </c>
      <c r="BA68" s="521">
        <v>0</v>
      </c>
      <c r="BB68" s="521">
        <v>0</v>
      </c>
      <c r="BC68" s="521">
        <v>0</v>
      </c>
      <c r="BD68" s="521">
        <v>0</v>
      </c>
      <c r="BE68" s="521">
        <v>0</v>
      </c>
      <c r="BF68" s="521">
        <v>0</v>
      </c>
      <c r="BG68" s="521">
        <v>0</v>
      </c>
      <c r="BH68" s="521">
        <v>0</v>
      </c>
      <c r="BI68" s="521">
        <v>0</v>
      </c>
      <c r="BJ68" s="521">
        <v>0</v>
      </c>
      <c r="BK68" s="521">
        <v>0</v>
      </c>
      <c r="BL68" s="521">
        <v>0</v>
      </c>
      <c r="BM68" s="521">
        <v>0</v>
      </c>
      <c r="BN68" s="521">
        <v>0</v>
      </c>
      <c r="BO68" s="521">
        <v>0</v>
      </c>
      <c r="BP68" s="521">
        <v>0</v>
      </c>
      <c r="BQ68" s="521">
        <v>0</v>
      </c>
      <c r="BR68" s="521">
        <v>0</v>
      </c>
      <c r="BS68" s="521">
        <v>0</v>
      </c>
      <c r="BT68" s="521">
        <v>0</v>
      </c>
      <c r="BU68" s="521">
        <v>0</v>
      </c>
      <c r="BV68" s="521">
        <v>0</v>
      </c>
      <c r="BW68" s="521">
        <v>0</v>
      </c>
      <c r="BX68" s="521">
        <v>0</v>
      </c>
      <c r="BY68" s="521">
        <v>0</v>
      </c>
      <c r="BZ68" s="521">
        <v>0</v>
      </c>
      <c r="CA68" s="521">
        <v>0</v>
      </c>
      <c r="CB68" s="521">
        <v>0</v>
      </c>
      <c r="CC68" s="521">
        <v>0</v>
      </c>
      <c r="CD68" s="521">
        <v>0</v>
      </c>
      <c r="CE68" s="521">
        <v>0</v>
      </c>
      <c r="CF68" s="521">
        <v>0</v>
      </c>
      <c r="CG68" s="521">
        <v>0</v>
      </c>
      <c r="CH68" s="521">
        <v>0</v>
      </c>
      <c r="CI68" s="521">
        <v>0</v>
      </c>
      <c r="CJ68" s="521">
        <v>0</v>
      </c>
      <c r="CK68" s="521">
        <v>0</v>
      </c>
      <c r="CL68" s="521">
        <v>0</v>
      </c>
      <c r="CM68" s="521">
        <v>0</v>
      </c>
      <c r="CN68" s="521">
        <v>0</v>
      </c>
      <c r="CO68" s="521">
        <v>0</v>
      </c>
      <c r="CP68" s="521">
        <v>0</v>
      </c>
      <c r="CQ68" s="521">
        <v>0</v>
      </c>
      <c r="CR68" s="521">
        <v>0</v>
      </c>
      <c r="CS68" s="521">
        <v>0</v>
      </c>
      <c r="CT68" s="521">
        <v>0</v>
      </c>
      <c r="CU68" s="1488">
        <f t="shared" ref="CU68:DZ68" si="180">CU65*CU66*CU67</f>
        <v>0</v>
      </c>
      <c r="CV68" s="1488">
        <f t="shared" si="180"/>
        <v>0</v>
      </c>
      <c r="CW68" s="1488">
        <f t="shared" si="180"/>
        <v>0</v>
      </c>
      <c r="CX68" s="1488">
        <f t="shared" si="180"/>
        <v>0</v>
      </c>
      <c r="CY68" s="1488">
        <f t="shared" si="180"/>
        <v>0</v>
      </c>
      <c r="CZ68" s="1488">
        <f t="shared" si="180"/>
        <v>0</v>
      </c>
      <c r="DA68" s="1488">
        <f t="shared" si="180"/>
        <v>0</v>
      </c>
      <c r="DB68" s="1488">
        <f t="shared" si="180"/>
        <v>0</v>
      </c>
      <c r="DC68" s="1488">
        <f t="shared" si="180"/>
        <v>0</v>
      </c>
      <c r="DD68" s="1488">
        <f t="shared" si="180"/>
        <v>0</v>
      </c>
      <c r="DE68" s="1488">
        <f t="shared" si="180"/>
        <v>0</v>
      </c>
      <c r="DF68" s="1488">
        <f t="shared" si="180"/>
        <v>0</v>
      </c>
      <c r="DG68" s="1488">
        <f t="shared" si="180"/>
        <v>0</v>
      </c>
      <c r="DH68" s="1488">
        <f t="shared" si="180"/>
        <v>0</v>
      </c>
      <c r="DI68" s="1488">
        <f t="shared" si="180"/>
        <v>0</v>
      </c>
      <c r="DJ68" s="1488">
        <f t="shared" si="180"/>
        <v>0</v>
      </c>
      <c r="DK68" s="1488">
        <f t="shared" si="180"/>
        <v>0</v>
      </c>
      <c r="DL68" s="1488">
        <f t="shared" si="180"/>
        <v>0</v>
      </c>
      <c r="DM68" s="1488">
        <f t="shared" si="180"/>
        <v>19457.05179970212</v>
      </c>
      <c r="DN68" s="1488">
        <f t="shared" si="180"/>
        <v>34693.850381814664</v>
      </c>
      <c r="DO68" s="1488">
        <f t="shared" si="180"/>
        <v>61000.041059753021</v>
      </c>
      <c r="DP68" s="1488">
        <f t="shared" si="180"/>
        <v>34974.745282503645</v>
      </c>
      <c r="DQ68" s="1488">
        <f t="shared" si="180"/>
        <v>100488.50081579738</v>
      </c>
      <c r="DR68" s="1488">
        <f t="shared" si="180"/>
        <v>116043.19500960811</v>
      </c>
      <c r="DS68" s="1488">
        <f t="shared" si="180"/>
        <v>26424.609240995153</v>
      </c>
      <c r="DT68" s="1488">
        <f t="shared" si="180"/>
        <v>55814.363089885759</v>
      </c>
      <c r="DU68" s="1488">
        <f t="shared" si="180"/>
        <v>109041.5883031069</v>
      </c>
      <c r="DV68" s="1488">
        <f t="shared" si="180"/>
        <v>47039.628261595666</v>
      </c>
      <c r="DW68" s="1488">
        <f t="shared" si="180"/>
        <v>88228.660152570694</v>
      </c>
      <c r="DX68" s="1488">
        <f t="shared" si="180"/>
        <v>124282.04541787542</v>
      </c>
      <c r="DY68" s="1488">
        <f t="shared" si="180"/>
        <v>41140.437151865575</v>
      </c>
      <c r="DZ68" s="1488">
        <f t="shared" si="180"/>
        <v>73357.473983346485</v>
      </c>
      <c r="EA68" s="1488">
        <f t="shared" ref="EA68:FB68" si="181">EA65*EA66*EA67</f>
        <v>128979.8876682031</v>
      </c>
      <c r="EB68" s="1488">
        <f t="shared" si="181"/>
        <v>49300.936408031987</v>
      </c>
      <c r="EC68" s="1488">
        <f t="shared" si="181"/>
        <v>141650.12921299128</v>
      </c>
      <c r="ED68" s="1488">
        <f t="shared" si="181"/>
        <v>163576.26428849314</v>
      </c>
      <c r="EE68" s="1488">
        <f t="shared" si="181"/>
        <v>51100.042855410866</v>
      </c>
      <c r="EF68" s="1488">
        <f t="shared" si="181"/>
        <v>107934.0973343837</v>
      </c>
      <c r="EG68" s="1488">
        <f t="shared" si="181"/>
        <v>210865.17437186476</v>
      </c>
      <c r="EH68" s="1488">
        <f t="shared" si="181"/>
        <v>90965.470790803258</v>
      </c>
      <c r="EI68" s="1488">
        <f t="shared" si="181"/>
        <v>170617.0287611055</v>
      </c>
      <c r="EJ68" s="1488">
        <f t="shared" si="181"/>
        <v>240337.24733983551</v>
      </c>
      <c r="EK68" s="1488">
        <f t="shared" si="181"/>
        <v>79557.585218296939</v>
      </c>
      <c r="EL68" s="1488">
        <f t="shared" si="181"/>
        <v>141859.05381329765</v>
      </c>
      <c r="EM68" s="1488">
        <f t="shared" si="181"/>
        <v>249421.95841844913</v>
      </c>
      <c r="EN68" s="1488">
        <f t="shared" si="181"/>
        <v>95338.399909199376</v>
      </c>
      <c r="EO68" s="1488">
        <f t="shared" si="181"/>
        <v>273923.73553167994</v>
      </c>
      <c r="EP68" s="1488">
        <f t="shared" si="181"/>
        <v>316324.6063181982</v>
      </c>
      <c r="EQ68" s="1488">
        <f t="shared" si="181"/>
        <v>115775.62605062813</v>
      </c>
      <c r="ER68" s="1488">
        <f t="shared" si="181"/>
        <v>244542.60687130754</v>
      </c>
      <c r="ES68" s="1488">
        <f t="shared" si="181"/>
        <v>477750.04111552268</v>
      </c>
      <c r="ET68" s="1488">
        <f t="shared" si="181"/>
        <v>206097.36785534243</v>
      </c>
      <c r="EU68" s="1488">
        <f t="shared" si="181"/>
        <v>386561.18891343329</v>
      </c>
      <c r="EV68" s="1488">
        <f t="shared" si="181"/>
        <v>544523.91268606868</v>
      </c>
      <c r="EW68" s="1488">
        <f t="shared" si="181"/>
        <v>180250.91019564992</v>
      </c>
      <c r="EX68" s="1488">
        <f t="shared" si="181"/>
        <v>321405.22489689471</v>
      </c>
      <c r="EY68" s="1488">
        <f t="shared" si="181"/>
        <v>565106.83304861397</v>
      </c>
      <c r="EZ68" s="1488">
        <f t="shared" si="181"/>
        <v>216004.96436734265</v>
      </c>
      <c r="FA68" s="1488">
        <f t="shared" si="181"/>
        <v>620619.67464571004</v>
      </c>
      <c r="FB68" s="1488">
        <f t="shared" si="181"/>
        <v>716685.88293228787</v>
      </c>
    </row>
    <row r="69" spans="3:158" x14ac:dyDescent="0.25">
      <c r="AD69" s="520"/>
      <c r="AE69" s="520"/>
      <c r="AF69" s="520"/>
      <c r="AG69" s="520"/>
      <c r="AH69" s="520"/>
      <c r="AI69" s="520"/>
      <c r="AJ69" s="520"/>
      <c r="AK69" s="520"/>
      <c r="AL69" s="520"/>
      <c r="AM69" s="520"/>
      <c r="AN69" s="520"/>
      <c r="AO69" s="520"/>
      <c r="AP69" s="520"/>
      <c r="AQ69" s="520"/>
      <c r="AR69" s="520"/>
      <c r="AS69" s="520"/>
      <c r="AT69" s="520"/>
      <c r="AU69" s="520"/>
      <c r="AV69" s="520"/>
      <c r="AW69" s="520"/>
    </row>
    <row r="70" spans="3:158" s="1" customFormat="1" x14ac:dyDescent="0.25">
      <c r="C70" s="1" t="s">
        <v>895</v>
      </c>
      <c r="G70" s="1489">
        <f t="shared" ref="G70:L70" si="182">SUM(G68,G63,G58)</f>
        <v>0</v>
      </c>
      <c r="H70" s="1489">
        <f t="shared" si="182"/>
        <v>83267.770005276339</v>
      </c>
      <c r="I70" s="1489">
        <f t="shared" si="182"/>
        <v>1381975.5183095294</v>
      </c>
      <c r="J70" s="1489">
        <f t="shared" si="182"/>
        <v>3804131.7983896942</v>
      </c>
      <c r="K70" s="1489">
        <f t="shared" si="182"/>
        <v>6617650.9830734152</v>
      </c>
      <c r="L70" s="1489">
        <f t="shared" si="182"/>
        <v>12957844.374738719</v>
      </c>
      <c r="N70" s="1489">
        <f t="shared" ref="N70:AW70" si="183">SUM(N68,N63,N58)</f>
        <v>0</v>
      </c>
      <c r="O70" s="1489">
        <f t="shared" si="183"/>
        <v>0</v>
      </c>
      <c r="P70" s="1489">
        <f t="shared" si="183"/>
        <v>0</v>
      </c>
      <c r="Q70" s="1489">
        <f t="shared" si="183"/>
        <v>0</v>
      </c>
      <c r="R70" s="1489">
        <f t="shared" si="183"/>
        <v>0</v>
      </c>
      <c r="S70" s="1489">
        <f t="shared" si="183"/>
        <v>0</v>
      </c>
      <c r="T70" s="1489">
        <f t="shared" si="183"/>
        <v>0</v>
      </c>
      <c r="U70" s="1489">
        <f t="shared" si="183"/>
        <v>0</v>
      </c>
      <c r="V70" s="1489">
        <f t="shared" si="183"/>
        <v>0</v>
      </c>
      <c r="W70" s="1489">
        <f t="shared" si="183"/>
        <v>0</v>
      </c>
      <c r="X70" s="1489">
        <f t="shared" si="183"/>
        <v>0</v>
      </c>
      <c r="Y70" s="1489">
        <f t="shared" si="183"/>
        <v>0</v>
      </c>
      <c r="Z70" s="1489">
        <f t="shared" si="183"/>
        <v>0</v>
      </c>
      <c r="AA70" s="1489">
        <f t="shared" si="183"/>
        <v>0</v>
      </c>
      <c r="AB70" s="1489">
        <f t="shared" si="183"/>
        <v>0</v>
      </c>
      <c r="AC70" s="1489">
        <f t="shared" si="183"/>
        <v>0</v>
      </c>
      <c r="AD70" s="1489">
        <f t="shared" si="183"/>
        <v>0</v>
      </c>
      <c r="AE70" s="1489">
        <f t="shared" si="183"/>
        <v>0</v>
      </c>
      <c r="AF70" s="1489">
        <f t="shared" si="183"/>
        <v>0</v>
      </c>
      <c r="AG70" s="1489">
        <f t="shared" si="183"/>
        <v>83267.770005276339</v>
      </c>
      <c r="AH70" s="1489">
        <f t="shared" si="183"/>
        <v>57528.67883261769</v>
      </c>
      <c r="AI70" s="1489">
        <f t="shared" si="183"/>
        <v>78061.187955704401</v>
      </c>
      <c r="AJ70" s="1489">
        <f t="shared" si="183"/>
        <v>395416.2357918307</v>
      </c>
      <c r="AK70" s="1489">
        <f t="shared" si="183"/>
        <v>850969.4157293766</v>
      </c>
      <c r="AL70" s="1489">
        <f t="shared" si="183"/>
        <v>693775.23944694083</v>
      </c>
      <c r="AM70" s="1489">
        <f t="shared" si="183"/>
        <v>941389.9374093659</v>
      </c>
      <c r="AN70" s="1489">
        <f t="shared" si="183"/>
        <v>883094.79857745138</v>
      </c>
      <c r="AO70" s="1489">
        <f t="shared" si="183"/>
        <v>1285871.8229559357</v>
      </c>
      <c r="AP70" s="1489">
        <f t="shared" si="183"/>
        <v>1206888.362096577</v>
      </c>
      <c r="AQ70" s="1489">
        <f t="shared" si="183"/>
        <v>1637637.8040817645</v>
      </c>
      <c r="AR70" s="1489">
        <f t="shared" si="183"/>
        <v>1536227.8363822433</v>
      </c>
      <c r="AS70" s="1489">
        <f t="shared" si="183"/>
        <v>2236896.9805128318</v>
      </c>
      <c r="AT70" s="1489">
        <f t="shared" si="183"/>
        <v>2363175.6364503424</v>
      </c>
      <c r="AU70" s="1489">
        <f t="shared" si="183"/>
        <v>3206614.5316151287</v>
      </c>
      <c r="AV70" s="1489">
        <f t="shared" si="183"/>
        <v>3008046.4017970474</v>
      </c>
      <c r="AW70" s="1489">
        <f t="shared" si="183"/>
        <v>4380007.8048762009</v>
      </c>
      <c r="AY70" s="1489">
        <f t="shared" ref="AY70:CD70" si="184">SUM(AY68,AY63,AY58)</f>
        <v>0</v>
      </c>
      <c r="AZ70" s="1489">
        <f t="shared" si="184"/>
        <v>0</v>
      </c>
      <c r="BA70" s="1489">
        <f t="shared" si="184"/>
        <v>0</v>
      </c>
      <c r="BB70" s="1489">
        <f t="shared" si="184"/>
        <v>0</v>
      </c>
      <c r="BC70" s="1489">
        <f t="shared" si="184"/>
        <v>0</v>
      </c>
      <c r="BD70" s="1489">
        <f t="shared" si="184"/>
        <v>0</v>
      </c>
      <c r="BE70" s="1489">
        <f t="shared" si="184"/>
        <v>0</v>
      </c>
      <c r="BF70" s="1489">
        <f t="shared" si="184"/>
        <v>0</v>
      </c>
      <c r="BG70" s="1489">
        <f t="shared" si="184"/>
        <v>0</v>
      </c>
      <c r="BH70" s="1489">
        <f t="shared" si="184"/>
        <v>0</v>
      </c>
      <c r="BI70" s="1489">
        <f t="shared" si="184"/>
        <v>0</v>
      </c>
      <c r="BJ70" s="1489">
        <f t="shared" si="184"/>
        <v>0</v>
      </c>
      <c r="BK70" s="1489">
        <f t="shared" si="184"/>
        <v>0</v>
      </c>
      <c r="BL70" s="1489">
        <f t="shared" si="184"/>
        <v>0</v>
      </c>
      <c r="BM70" s="1489">
        <f t="shared" si="184"/>
        <v>0</v>
      </c>
      <c r="BN70" s="1489">
        <f t="shared" si="184"/>
        <v>0</v>
      </c>
      <c r="BO70" s="1489">
        <f t="shared" si="184"/>
        <v>0</v>
      </c>
      <c r="BP70" s="1489">
        <f t="shared" si="184"/>
        <v>0</v>
      </c>
      <c r="BQ70" s="1489">
        <f t="shared" si="184"/>
        <v>0</v>
      </c>
      <c r="BR70" s="1489">
        <f t="shared" si="184"/>
        <v>0</v>
      </c>
      <c r="BS70" s="1489">
        <f t="shared" si="184"/>
        <v>0</v>
      </c>
      <c r="BT70" s="1489">
        <f t="shared" si="184"/>
        <v>0</v>
      </c>
      <c r="BU70" s="1489">
        <f t="shared" si="184"/>
        <v>0</v>
      </c>
      <c r="BV70" s="1489">
        <f t="shared" si="184"/>
        <v>0</v>
      </c>
      <c r="BW70" s="1489">
        <f t="shared" si="184"/>
        <v>0</v>
      </c>
      <c r="BX70" s="1489">
        <f t="shared" si="184"/>
        <v>0</v>
      </c>
      <c r="BY70" s="1489">
        <f t="shared" si="184"/>
        <v>0</v>
      </c>
      <c r="BZ70" s="1489">
        <f t="shared" si="184"/>
        <v>0</v>
      </c>
      <c r="CA70" s="1489">
        <f t="shared" si="184"/>
        <v>0</v>
      </c>
      <c r="CB70" s="1489">
        <f t="shared" si="184"/>
        <v>0</v>
      </c>
      <c r="CC70" s="1489">
        <f t="shared" si="184"/>
        <v>0</v>
      </c>
      <c r="CD70" s="1489">
        <f t="shared" si="184"/>
        <v>0</v>
      </c>
      <c r="CE70" s="1489">
        <f t="shared" ref="CE70:DJ70" si="185">SUM(CE68,CE63,CE58)</f>
        <v>0</v>
      </c>
      <c r="CF70" s="1489">
        <f t="shared" si="185"/>
        <v>0</v>
      </c>
      <c r="CG70" s="1489">
        <f t="shared" si="185"/>
        <v>0</v>
      </c>
      <c r="CH70" s="1489">
        <f t="shared" si="185"/>
        <v>0</v>
      </c>
      <c r="CI70" s="1489">
        <f t="shared" si="185"/>
        <v>0</v>
      </c>
      <c r="CJ70" s="1489">
        <f t="shared" si="185"/>
        <v>0</v>
      </c>
      <c r="CK70" s="1489">
        <f t="shared" si="185"/>
        <v>0</v>
      </c>
      <c r="CL70" s="1489">
        <f t="shared" si="185"/>
        <v>0</v>
      </c>
      <c r="CM70" s="1489">
        <f t="shared" si="185"/>
        <v>0</v>
      </c>
      <c r="CN70" s="1489">
        <f t="shared" si="185"/>
        <v>0</v>
      </c>
      <c r="CO70" s="1489">
        <f t="shared" si="185"/>
        <v>0</v>
      </c>
      <c r="CP70" s="1489">
        <f t="shared" si="185"/>
        <v>0</v>
      </c>
      <c r="CQ70" s="1489">
        <f t="shared" si="185"/>
        <v>0</v>
      </c>
      <c r="CR70" s="1489">
        <f t="shared" si="185"/>
        <v>0</v>
      </c>
      <c r="CS70" s="1489">
        <f t="shared" si="185"/>
        <v>0</v>
      </c>
      <c r="CT70" s="1489">
        <f t="shared" si="185"/>
        <v>0</v>
      </c>
      <c r="CU70" s="1489">
        <f t="shared" si="185"/>
        <v>0</v>
      </c>
      <c r="CV70" s="1489">
        <f t="shared" si="185"/>
        <v>0</v>
      </c>
      <c r="CW70" s="1489">
        <f t="shared" si="185"/>
        <v>0</v>
      </c>
      <c r="CX70" s="1489">
        <f t="shared" si="185"/>
        <v>0</v>
      </c>
      <c r="CY70" s="1489">
        <f t="shared" si="185"/>
        <v>0</v>
      </c>
      <c r="CZ70" s="1489">
        <f t="shared" si="185"/>
        <v>0</v>
      </c>
      <c r="DA70" s="1489">
        <f t="shared" si="185"/>
        <v>0</v>
      </c>
      <c r="DB70" s="1489">
        <f t="shared" si="185"/>
        <v>0</v>
      </c>
      <c r="DC70" s="1489">
        <f t="shared" si="185"/>
        <v>0</v>
      </c>
      <c r="DD70" s="1489">
        <f t="shared" si="185"/>
        <v>12371.247845207588</v>
      </c>
      <c r="DE70" s="1489">
        <f t="shared" si="185"/>
        <v>32999.424380268661</v>
      </c>
      <c r="DF70" s="1489">
        <f t="shared" si="185"/>
        <v>37897.097779800082</v>
      </c>
      <c r="DG70" s="1489">
        <f t="shared" si="185"/>
        <v>7947.3463129975717</v>
      </c>
      <c r="DH70" s="1489">
        <f t="shared" si="185"/>
        <v>16786.476146884597</v>
      </c>
      <c r="DI70" s="1489">
        <f t="shared" si="185"/>
        <v>32794.856372735521</v>
      </c>
      <c r="DJ70" s="1489">
        <f t="shared" si="185"/>
        <v>14147.426469776994</v>
      </c>
      <c r="DK70" s="1489">
        <f t="shared" ref="DK70:EP70" si="186">SUM(DK68,DK63,DK58)</f>
        <v>26535.253958511967</v>
      </c>
      <c r="DL70" s="1489">
        <f t="shared" si="186"/>
        <v>37378.507527415444</v>
      </c>
      <c r="DM70" s="1489">
        <f t="shared" si="186"/>
        <v>66813.470786121179</v>
      </c>
      <c r="DN70" s="1489">
        <f t="shared" si="186"/>
        <v>119135.03560590412</v>
      </c>
      <c r="DO70" s="1489">
        <f t="shared" si="186"/>
        <v>209467.72939980542</v>
      </c>
      <c r="DP70" s="1489">
        <f t="shared" si="186"/>
        <v>118336.68524443985</v>
      </c>
      <c r="DQ70" s="1489">
        <f t="shared" si="186"/>
        <v>340001.79259842803</v>
      </c>
      <c r="DR70" s="1489">
        <f t="shared" si="186"/>
        <v>392630.93788650865</v>
      </c>
      <c r="DS70" s="1489">
        <f t="shared" si="186"/>
        <v>95842.146963081352</v>
      </c>
      <c r="DT70" s="1489">
        <f t="shared" si="186"/>
        <v>202438.88343342472</v>
      </c>
      <c r="DU70" s="1489">
        <f t="shared" si="186"/>
        <v>395494.20905043476</v>
      </c>
      <c r="DV70" s="1489">
        <f t="shared" si="186"/>
        <v>170612.89057558763</v>
      </c>
      <c r="DW70" s="1489">
        <f t="shared" si="186"/>
        <v>320005.64835523709</v>
      </c>
      <c r="DX70" s="1489">
        <f t="shared" si="186"/>
        <v>450771.39847854129</v>
      </c>
      <c r="DY70" s="1489">
        <f t="shared" si="186"/>
        <v>149216.50449677644</v>
      </c>
      <c r="DZ70" s="1489">
        <f t="shared" si="186"/>
        <v>266067.8058937887</v>
      </c>
      <c r="EA70" s="1489">
        <f t="shared" si="186"/>
        <v>467810.4881868863</v>
      </c>
      <c r="EB70" s="1489">
        <f t="shared" si="186"/>
        <v>178814.66286001296</v>
      </c>
      <c r="EC70" s="1489">
        <f t="shared" si="186"/>
        <v>513765.49706207501</v>
      </c>
      <c r="ED70" s="1489">
        <f t="shared" si="186"/>
        <v>593291.66303384793</v>
      </c>
      <c r="EE70" s="1489">
        <f t="shared" si="186"/>
        <v>166726.5782795914</v>
      </c>
      <c r="EF70" s="1489">
        <f t="shared" si="186"/>
        <v>352161.79327240348</v>
      </c>
      <c r="EG70" s="1489">
        <f t="shared" si="186"/>
        <v>687999.99054458179</v>
      </c>
      <c r="EH70" s="1489">
        <f t="shared" si="186"/>
        <v>296797.43575668678</v>
      </c>
      <c r="EI70" s="1489">
        <f t="shared" si="186"/>
        <v>556680.42162038281</v>
      </c>
      <c r="EJ70" s="1489">
        <f t="shared" si="186"/>
        <v>784159.94670469477</v>
      </c>
      <c r="EK70" s="1489">
        <f t="shared" si="186"/>
        <v>259576.37642625024</v>
      </c>
      <c r="EL70" s="1489">
        <f t="shared" si="186"/>
        <v>462850.38756610593</v>
      </c>
      <c r="EM70" s="1489">
        <f t="shared" si="186"/>
        <v>813801.07238988718</v>
      </c>
      <c r="EN70" s="1489">
        <f t="shared" si="186"/>
        <v>311065.20283140993</v>
      </c>
      <c r="EO70" s="1489">
        <f t="shared" si="186"/>
        <v>893744.20416801656</v>
      </c>
      <c r="EP70" s="1489">
        <f t="shared" si="186"/>
        <v>1032087.573513405</v>
      </c>
      <c r="EQ70" s="1489">
        <f t="shared" ref="EQ70:FB70" si="187">SUM(EQ68,EQ63,EQ58)</f>
        <v>326462.82797408605</v>
      </c>
      <c r="ER70" s="1489">
        <f t="shared" si="187"/>
        <v>689558.53423285449</v>
      </c>
      <c r="ES70" s="1489">
        <f t="shared" si="187"/>
        <v>1347154.2742434016</v>
      </c>
      <c r="ET70" s="1489">
        <f t="shared" si="187"/>
        <v>581151.07508594252</v>
      </c>
      <c r="EU70" s="1489">
        <f t="shared" si="187"/>
        <v>1090020.9588373862</v>
      </c>
      <c r="EV70" s="1489">
        <f t="shared" si="187"/>
        <v>1535442.4976918001</v>
      </c>
      <c r="EW70" s="1489">
        <f t="shared" si="187"/>
        <v>508269.52005979361</v>
      </c>
      <c r="EX70" s="1489">
        <f t="shared" si="187"/>
        <v>906294.89318937773</v>
      </c>
      <c r="EY70" s="1489">
        <f t="shared" si="187"/>
        <v>1593481.9885478765</v>
      </c>
      <c r="EZ70" s="1489">
        <f t="shared" si="187"/>
        <v>609088.40599114844</v>
      </c>
      <c r="FA70" s="1489">
        <f t="shared" si="187"/>
        <v>1750016.4844074836</v>
      </c>
      <c r="FB70" s="1489">
        <f t="shared" si="187"/>
        <v>2020902.9144775681</v>
      </c>
    </row>
    <row r="71" spans="3:158" x14ac:dyDescent="0.25">
      <c r="AD71" s="520"/>
      <c r="AE71" s="520"/>
      <c r="AF71" s="520"/>
      <c r="AG71" s="520"/>
      <c r="AH71" s="520"/>
      <c r="AI71" s="520"/>
      <c r="AJ71" s="520"/>
      <c r="AK71" s="520"/>
      <c r="AL71" s="520"/>
      <c r="AM71" s="520"/>
      <c r="AN71" s="520"/>
      <c r="AO71" s="520"/>
      <c r="AP71" s="520"/>
      <c r="AQ71" s="520"/>
      <c r="AR71" s="520"/>
      <c r="AS71" s="520"/>
      <c r="AT71" s="520"/>
      <c r="AU71" s="520"/>
      <c r="AV71" s="520"/>
      <c r="AW71" s="520"/>
    </row>
    <row r="72" spans="3:158" x14ac:dyDescent="0.25">
      <c r="C72" s="7" t="s">
        <v>584</v>
      </c>
      <c r="AD72" s="520"/>
      <c r="AE72" s="520"/>
      <c r="AF72" s="520"/>
      <c r="AG72" s="520"/>
      <c r="AH72" s="520"/>
      <c r="AI72" s="520"/>
      <c r="AJ72" s="520"/>
      <c r="AK72" s="520"/>
      <c r="AL72" s="520"/>
      <c r="AM72" s="520"/>
      <c r="AN72" s="520"/>
      <c r="AO72" s="520"/>
      <c r="AP72" s="520"/>
      <c r="AQ72" s="520"/>
      <c r="AR72" s="520"/>
      <c r="AS72" s="520"/>
      <c r="AT72" s="520"/>
      <c r="AU72" s="520"/>
      <c r="AV72" s="520"/>
      <c r="AW72" s="520"/>
    </row>
    <row r="73" spans="3:158" x14ac:dyDescent="0.25">
      <c r="AD73" s="520"/>
      <c r="AE73" s="520"/>
      <c r="AF73" s="520"/>
      <c r="AG73" s="520"/>
      <c r="AH73" s="520"/>
      <c r="AI73" s="520"/>
      <c r="AJ73" s="520"/>
      <c r="AK73" s="520"/>
      <c r="AL73" s="520"/>
      <c r="AM73" s="520"/>
      <c r="AN73" s="520"/>
      <c r="AO73" s="520"/>
      <c r="AP73" s="520"/>
      <c r="AQ73" s="520"/>
      <c r="AR73" s="520"/>
      <c r="AS73" s="520"/>
      <c r="AT73" s="520"/>
      <c r="AU73" s="520"/>
      <c r="AV73" s="520"/>
      <c r="AW73" s="520"/>
    </row>
    <row r="74" spans="3:158" outlineLevel="1" x14ac:dyDescent="0.25">
      <c r="C74" s="2" t="s">
        <v>894</v>
      </c>
      <c r="D74" s="1472">
        <f t="shared" ref="D74:L74" si="188">D93</f>
        <v>439111.47</v>
      </c>
      <c r="E74" s="1472">
        <f t="shared" si="188"/>
        <v>1451905.1764100001</v>
      </c>
      <c r="F74" s="1472">
        <f t="shared" si="188"/>
        <v>2193580.8464450003</v>
      </c>
      <c r="G74" s="1472">
        <f t="shared" si="188"/>
        <v>2361877.9045540001</v>
      </c>
      <c r="H74" s="1472">
        <f t="shared" si="188"/>
        <v>5600865.7028060667</v>
      </c>
      <c r="I74" s="1472">
        <f t="shared" si="188"/>
        <v>8334336.3169988608</v>
      </c>
      <c r="J74" s="1472">
        <f t="shared" si="188"/>
        <v>12041011.297420217</v>
      </c>
      <c r="K74" s="1472">
        <f t="shared" si="188"/>
        <v>16882719.47014872</v>
      </c>
      <c r="L74" s="1472">
        <f t="shared" si="188"/>
        <v>22951120.540563088</v>
      </c>
      <c r="N74" s="1464">
        <f>SUM(AY74:BA74)</f>
        <v>0.19636927270426346</v>
      </c>
      <c r="O74" s="1464">
        <f>SUM(BB74:BD74)</f>
        <v>0.31423683831351523</v>
      </c>
      <c r="P74" s="1464">
        <f>SUM(BE74:BG74)</f>
        <v>0.42380127305715792</v>
      </c>
      <c r="Q74" s="1464">
        <f>SUM(BH74:BJ74)</f>
        <v>6.5592615925063408E-2</v>
      </c>
      <c r="R74" s="1464">
        <f>SUM(BK74:BM74)</f>
        <v>0.13168856555271874</v>
      </c>
      <c r="S74" s="1464">
        <f>SUM(BN74:BP74)</f>
        <v>0.17008441323324092</v>
      </c>
      <c r="T74" s="1464">
        <f>SUM(BQ74:BS74)</f>
        <v>0.30030200806783003</v>
      </c>
      <c r="U74" s="1464">
        <f>SUM(BT74:BV74)</f>
        <v>0.39792501314621026</v>
      </c>
      <c r="V74" s="1464">
        <f>SUM(BW74:BY74)</f>
        <v>0.13796704562244549</v>
      </c>
      <c r="W74" s="1464">
        <f>SUM(BZ74:CB74)</f>
        <v>0.21140170020518417</v>
      </c>
      <c r="X74" s="1464">
        <f>SUM(CC74:CE74)</f>
        <v>0.27400438344275546</v>
      </c>
      <c r="Y74" s="1464">
        <f>SUM(CF74:CH74)</f>
        <v>0.37662687072961476</v>
      </c>
      <c r="Z74" s="1464">
        <f>SUM(CI74:CK74)</f>
        <v>0.34179547055140463</v>
      </c>
      <c r="AA74" s="1464">
        <f>SUM(CL74:CN74)</f>
        <v>0.47340560349292859</v>
      </c>
      <c r="AB74" s="1464">
        <f>SUM(CO74:CQ74)</f>
        <v>8.1831071634711219E-2</v>
      </c>
      <c r="AC74" s="1464">
        <f>SUM(CR74:CT74)</f>
        <v>0.10296785432095554</v>
      </c>
      <c r="AD74" s="1464">
        <f>SUM(CU74:CW74)</f>
        <v>0.17697413323603012</v>
      </c>
      <c r="AE74" s="1464">
        <f>SUM(CX74:CZ74)</f>
        <v>0.23546512142609266</v>
      </c>
      <c r="AF74" s="1464">
        <f>SUM(DA74:DC74)</f>
        <v>0.23214095761647102</v>
      </c>
      <c r="AG74" s="1464">
        <f>SUM(DD74:DF74)</f>
        <v>0.35541978772140626</v>
      </c>
      <c r="AH74" s="1464">
        <f>SUM(DG74:DI74)</f>
        <v>0.18237413323603002</v>
      </c>
      <c r="AI74" s="1464">
        <f>SUM(DJ74:DL74)</f>
        <v>0.24746512142609262</v>
      </c>
      <c r="AJ74" s="1464">
        <f>SUM(DM74:DO74)</f>
        <v>0.23214095761647091</v>
      </c>
      <c r="AK74" s="1464">
        <f>SUM(DP74:DR74)</f>
        <v>0.33801978772140628</v>
      </c>
      <c r="AL74" s="1464">
        <f>SUM(DS74:DU74)</f>
        <v>0.18237413323603008</v>
      </c>
      <c r="AM74" s="1464">
        <f>SUM(DV74:DX74)</f>
        <v>0.24746512142609262</v>
      </c>
      <c r="AN74" s="1464">
        <f>SUM(DY74:EA74)</f>
        <v>0.23214095761647091</v>
      </c>
      <c r="AO74" s="1464">
        <f>SUM(EB74:ED74)</f>
        <v>0.33801978772140628</v>
      </c>
      <c r="AP74" s="1464">
        <f>SUM(EE74:EG74)</f>
        <v>0.18237413323603011</v>
      </c>
      <c r="AQ74" s="1464">
        <f>SUM(EH74:EJ74)</f>
        <v>0.24746512142609273</v>
      </c>
      <c r="AR74" s="1464">
        <f>SUM(EK74:EM74)</f>
        <v>0.23214095761647099</v>
      </c>
      <c r="AS74" s="1464">
        <f>SUM(EN74:EP74)</f>
        <v>0.33801978772140628</v>
      </c>
      <c r="AT74" s="1464">
        <f>SUM(EQ74:ES74)</f>
        <v>0.18237413323603008</v>
      </c>
      <c r="AU74" s="1464">
        <f>SUM(ET74:EV74)</f>
        <v>0.24746512142609267</v>
      </c>
      <c r="AV74" s="1464">
        <f>SUM(EW74:EY74)</f>
        <v>0.23214095761647094</v>
      </c>
      <c r="AW74" s="1464">
        <f>SUM(EZ74:FB74)</f>
        <v>0.33801978772140623</v>
      </c>
      <c r="AY74" s="1454">
        <f t="shared" ref="AY74:CD74" si="189">AY93/INDEX($D74:$L74,1,MATCH(AY$2,$D$2:$L$2,0))</f>
        <v>2.3032875911895449E-2</v>
      </c>
      <c r="AZ74" s="1454">
        <f t="shared" si="189"/>
        <v>5.7844082278242476E-2</v>
      </c>
      <c r="BA74" s="1454">
        <f t="shared" si="189"/>
        <v>0.11549231451412555</v>
      </c>
      <c r="BB74" s="1454">
        <f t="shared" si="189"/>
        <v>8.130054083989198E-2</v>
      </c>
      <c r="BC74" s="1454">
        <f t="shared" si="189"/>
        <v>0.11127015197302863</v>
      </c>
      <c r="BD74" s="1454">
        <f t="shared" si="189"/>
        <v>0.12166614550059465</v>
      </c>
      <c r="BE74" s="1454">
        <f t="shared" si="189"/>
        <v>0.11218108240260725</v>
      </c>
      <c r="BF74" s="1454">
        <f t="shared" si="189"/>
        <v>0.1409664839772917</v>
      </c>
      <c r="BG74" s="1454">
        <f t="shared" si="189"/>
        <v>0.17065370667725899</v>
      </c>
      <c r="BH74" s="1454">
        <f t="shared" si="189"/>
        <v>1.3167499359558976E-2</v>
      </c>
      <c r="BI74" s="1454">
        <f t="shared" si="189"/>
        <v>-7.2787895975479758E-2</v>
      </c>
      <c r="BJ74" s="1454">
        <f t="shared" si="189"/>
        <v>0.12521301254098419</v>
      </c>
      <c r="BK74" s="1454">
        <f t="shared" si="189"/>
        <v>1.2879628989434328E-2</v>
      </c>
      <c r="BL74" s="1454">
        <f t="shared" si="189"/>
        <v>5.1920057332113793E-2</v>
      </c>
      <c r="BM74" s="1454">
        <f t="shared" si="189"/>
        <v>6.6888879231170636E-2</v>
      </c>
      <c r="BN74" s="1454">
        <f t="shared" si="189"/>
        <v>3.8000319095508113E-2</v>
      </c>
      <c r="BO74" s="1454">
        <f t="shared" si="189"/>
        <v>4.6685955185863152E-2</v>
      </c>
      <c r="BP74" s="1454">
        <f t="shared" si="189"/>
        <v>8.5398138951869651E-2</v>
      </c>
      <c r="BQ74" s="1454">
        <f t="shared" si="189"/>
        <v>1.3775004266774683E-2</v>
      </c>
      <c r="BR74" s="1454">
        <f t="shared" si="189"/>
        <v>5.3975287968716583E-2</v>
      </c>
      <c r="BS74" s="1454">
        <f t="shared" si="189"/>
        <v>0.23255171583233875</v>
      </c>
      <c r="BT74" s="1454">
        <f t="shared" si="189"/>
        <v>0.10544779541220288</v>
      </c>
      <c r="BU74" s="1454">
        <f t="shared" si="189"/>
        <v>0.13069105550624241</v>
      </c>
      <c r="BV74" s="1454">
        <f t="shared" si="189"/>
        <v>0.16178616222776498</v>
      </c>
      <c r="BW74" s="1454">
        <f t="shared" si="189"/>
        <v>3.5617561179302065E-2</v>
      </c>
      <c r="BX74" s="1454">
        <f t="shared" si="189"/>
        <v>3.7334060485038685E-2</v>
      </c>
      <c r="BY74" s="1454">
        <f t="shared" si="189"/>
        <v>6.5015423958104765E-2</v>
      </c>
      <c r="BZ74" s="1454">
        <f t="shared" si="189"/>
        <v>4.1208118512474641E-2</v>
      </c>
      <c r="CA74" s="1454">
        <f t="shared" si="189"/>
        <v>5.0955491870813316E-2</v>
      </c>
      <c r="CB74" s="1454">
        <f t="shared" si="189"/>
        <v>0.1192380898218962</v>
      </c>
      <c r="CC74" s="1454">
        <f t="shared" si="189"/>
        <v>5.7612655300037369E-2</v>
      </c>
      <c r="CD74" s="1454">
        <f t="shared" si="189"/>
        <v>5.2857766197179072E-2</v>
      </c>
      <c r="CE74" s="1454">
        <f t="shared" ref="CE74:DJ74" si="190">CE93/INDEX($D74:$L74,1,MATCH(CE$2,$D$2:$L$2,0))</f>
        <v>0.16353396194553904</v>
      </c>
      <c r="CF74" s="1454">
        <f t="shared" si="190"/>
        <v>0.10180363184922583</v>
      </c>
      <c r="CG74" s="1454">
        <f t="shared" si="190"/>
        <v>0.16740758754213866</v>
      </c>
      <c r="CH74" s="1454">
        <f t="shared" si="190"/>
        <v>0.10741565133825025</v>
      </c>
      <c r="CI74" s="1454">
        <f t="shared" si="190"/>
        <v>9.9605247884489587E-2</v>
      </c>
      <c r="CJ74" s="1454">
        <f t="shared" si="190"/>
        <v>8.3126532026249866E-2</v>
      </c>
      <c r="CK74" s="1454">
        <f t="shared" si="190"/>
        <v>0.15906369064066517</v>
      </c>
      <c r="CL74" s="1454">
        <f t="shared" si="190"/>
        <v>0.12664007712518971</v>
      </c>
      <c r="CM74" s="1454">
        <f t="shared" si="190"/>
        <v>0.1685669442139012</v>
      </c>
      <c r="CN74" s="1454">
        <f t="shared" si="190"/>
        <v>0.17819858215383769</v>
      </c>
      <c r="CO74" s="1454">
        <f t="shared" si="190"/>
        <v>1.2274660745206683E-2</v>
      </c>
      <c r="CP74" s="1454">
        <f t="shared" si="190"/>
        <v>2.8640875072148925E-2</v>
      </c>
      <c r="CQ74" s="1454">
        <f t="shared" si="190"/>
        <v>4.091553581735561E-2</v>
      </c>
      <c r="CR74" s="1454">
        <f t="shared" si="190"/>
        <v>1.0296785432095553E-2</v>
      </c>
      <c r="CS74" s="1454">
        <f t="shared" si="190"/>
        <v>4.1187141728382212E-2</v>
      </c>
      <c r="CT74" s="1454">
        <f t="shared" si="190"/>
        <v>5.1483927160477769E-2</v>
      </c>
      <c r="CU74" s="1454">
        <f t="shared" si="190"/>
        <v>2.3394223555464555E-2</v>
      </c>
      <c r="CV74" s="1454">
        <f t="shared" si="190"/>
        <v>5.1415528315585192E-2</v>
      </c>
      <c r="CW74" s="1454">
        <f t="shared" si="190"/>
        <v>0.10216438136498038</v>
      </c>
      <c r="CX74" s="1454">
        <f t="shared" si="190"/>
        <v>4.0849363696549318E-2</v>
      </c>
      <c r="CY74" s="1454">
        <f t="shared" si="190"/>
        <v>8.0120547161561764E-2</v>
      </c>
      <c r="CZ74" s="1454">
        <f t="shared" si="190"/>
        <v>0.11449521056798156</v>
      </c>
      <c r="DA74" s="1454">
        <f t="shared" si="190"/>
        <v>3.9224851399717653E-2</v>
      </c>
      <c r="DB74" s="1454">
        <f t="shared" si="190"/>
        <v>6.9941794867994983E-2</v>
      </c>
      <c r="DC74" s="1454">
        <f t="shared" si="190"/>
        <v>0.1229743113487584</v>
      </c>
      <c r="DD74" s="1454">
        <f t="shared" si="190"/>
        <v>5.2805380553772104E-2</v>
      </c>
      <c r="DE74" s="1454">
        <f t="shared" si="190"/>
        <v>0.14085459965386957</v>
      </c>
      <c r="DF74" s="1454">
        <f t="shared" si="190"/>
        <v>0.16175980751376462</v>
      </c>
      <c r="DG74" s="1454">
        <f t="shared" si="190"/>
        <v>2.5194223555464541E-2</v>
      </c>
      <c r="DH74" s="1454">
        <f t="shared" si="190"/>
        <v>5.3215528315585167E-2</v>
      </c>
      <c r="DI74" s="1454">
        <f t="shared" si="190"/>
        <v>0.10396438136498033</v>
      </c>
      <c r="DJ74" s="1454">
        <f t="shared" si="190"/>
        <v>4.4849363696549314E-2</v>
      </c>
      <c r="DK74" s="1454">
        <f t="shared" ref="DK74:EP74" si="191">DK93/INDEX($D74:$L74,1,MATCH(DK$2,$D$2:$L$2,0))</f>
        <v>8.4120547161561768E-2</v>
      </c>
      <c r="DL74" s="1454">
        <f t="shared" si="191"/>
        <v>0.11849521056798154</v>
      </c>
      <c r="DM74" s="1454">
        <f t="shared" si="191"/>
        <v>3.9224851399717646E-2</v>
      </c>
      <c r="DN74" s="1454">
        <f t="shared" si="191"/>
        <v>6.9941794867994955E-2</v>
      </c>
      <c r="DO74" s="1454">
        <f t="shared" si="191"/>
        <v>0.12297431134875832</v>
      </c>
      <c r="DP74" s="1454">
        <f t="shared" si="191"/>
        <v>4.7005380553772076E-2</v>
      </c>
      <c r="DQ74" s="1454">
        <f t="shared" si="191"/>
        <v>0.13505459965386954</v>
      </c>
      <c r="DR74" s="1454">
        <f t="shared" si="191"/>
        <v>0.15595980751376465</v>
      </c>
      <c r="DS74" s="1454">
        <f t="shared" si="191"/>
        <v>2.5194223555464555E-2</v>
      </c>
      <c r="DT74" s="1454">
        <f t="shared" si="191"/>
        <v>5.3215528315585174E-2</v>
      </c>
      <c r="DU74" s="1454">
        <f t="shared" si="191"/>
        <v>0.10396438136498036</v>
      </c>
      <c r="DV74" s="1454">
        <f t="shared" si="191"/>
        <v>4.4849363696549308E-2</v>
      </c>
      <c r="DW74" s="1454">
        <f t="shared" si="191"/>
        <v>8.4120547161561754E-2</v>
      </c>
      <c r="DX74" s="1454">
        <f t="shared" si="191"/>
        <v>0.11849521056798157</v>
      </c>
      <c r="DY74" s="1454">
        <f t="shared" si="191"/>
        <v>3.9224851399717653E-2</v>
      </c>
      <c r="DZ74" s="1454">
        <f t="shared" si="191"/>
        <v>6.9941794867994928E-2</v>
      </c>
      <c r="EA74" s="1454">
        <f t="shared" si="191"/>
        <v>0.12297431134875834</v>
      </c>
      <c r="EB74" s="1454">
        <f t="shared" si="191"/>
        <v>4.7005380553772083E-2</v>
      </c>
      <c r="EC74" s="1454">
        <f t="shared" si="191"/>
        <v>0.13505459965386957</v>
      </c>
      <c r="ED74" s="1454">
        <f t="shared" si="191"/>
        <v>0.15595980751376462</v>
      </c>
      <c r="EE74" s="1454">
        <f t="shared" si="191"/>
        <v>2.5194223555464558E-2</v>
      </c>
      <c r="EF74" s="1454">
        <f t="shared" si="191"/>
        <v>5.3215528315585181E-2</v>
      </c>
      <c r="EG74" s="1454">
        <f t="shared" si="191"/>
        <v>0.10396438136498037</v>
      </c>
      <c r="EH74" s="1454">
        <f t="shared" si="191"/>
        <v>4.4849363696549321E-2</v>
      </c>
      <c r="EI74" s="1454">
        <f t="shared" si="191"/>
        <v>8.4120547161561782E-2</v>
      </c>
      <c r="EJ74" s="1454">
        <f t="shared" si="191"/>
        <v>0.11849521056798161</v>
      </c>
      <c r="EK74" s="1454">
        <f t="shared" si="191"/>
        <v>3.9224851399717653E-2</v>
      </c>
      <c r="EL74" s="1454">
        <f t="shared" si="191"/>
        <v>6.9941794867994955E-2</v>
      </c>
      <c r="EM74" s="1454">
        <f t="shared" si="191"/>
        <v>0.12297431134875839</v>
      </c>
      <c r="EN74" s="1454">
        <f t="shared" si="191"/>
        <v>4.700538055377209E-2</v>
      </c>
      <c r="EO74" s="1454">
        <f t="shared" si="191"/>
        <v>0.13505459965386962</v>
      </c>
      <c r="EP74" s="1454">
        <f t="shared" si="191"/>
        <v>0.15595980751376459</v>
      </c>
      <c r="EQ74" s="1454">
        <f t="shared" ref="EQ74:FB74" si="192">EQ93/INDEX($D74:$L74,1,MATCH(EQ$2,$D$2:$L$2,0))</f>
        <v>2.5194223555464551E-2</v>
      </c>
      <c r="ER74" s="1454">
        <f t="shared" si="192"/>
        <v>5.3215528315585174E-2</v>
      </c>
      <c r="ES74" s="1454">
        <f t="shared" si="192"/>
        <v>0.10396438136498033</v>
      </c>
      <c r="ET74" s="1454">
        <f t="shared" si="192"/>
        <v>4.4849363696549308E-2</v>
      </c>
      <c r="EU74" s="1454">
        <f t="shared" si="192"/>
        <v>8.4120547161561768E-2</v>
      </c>
      <c r="EV74" s="1454">
        <f t="shared" si="192"/>
        <v>0.11849521056798158</v>
      </c>
      <c r="EW74" s="1454">
        <f t="shared" si="192"/>
        <v>3.9224851399717653E-2</v>
      </c>
      <c r="EX74" s="1454">
        <f t="shared" si="192"/>
        <v>6.9941794867994941E-2</v>
      </c>
      <c r="EY74" s="1454">
        <f t="shared" si="192"/>
        <v>0.12297431134875834</v>
      </c>
      <c r="EZ74" s="1454">
        <f t="shared" si="192"/>
        <v>4.7005380553772076E-2</v>
      </c>
      <c r="FA74" s="1454">
        <f t="shared" si="192"/>
        <v>0.13505459965386957</v>
      </c>
      <c r="FB74" s="1454">
        <f t="shared" si="192"/>
        <v>0.15595980751376459</v>
      </c>
    </row>
    <row r="75" spans="3:158" outlineLevel="1" x14ac:dyDescent="0.25">
      <c r="C75" s="2" t="s">
        <v>893</v>
      </c>
      <c r="D75" s="1472">
        <f t="shared" ref="D75:L75" si="193">D103</f>
        <v>1895049.81</v>
      </c>
      <c r="E75" s="1472">
        <f t="shared" si="193"/>
        <v>2734060.3200000003</v>
      </c>
      <c r="F75" s="1472">
        <f t="shared" si="193"/>
        <v>5291309.6112820003</v>
      </c>
      <c r="G75" s="1472">
        <f t="shared" si="193"/>
        <v>12324815.001792001</v>
      </c>
      <c r="H75" s="1472">
        <f t="shared" si="193"/>
        <v>16795397.834156636</v>
      </c>
      <c r="I75" s="1472">
        <f t="shared" si="193"/>
        <v>23553638.971930597</v>
      </c>
      <c r="J75" s="1472">
        <f t="shared" si="193"/>
        <v>33636183.807194166</v>
      </c>
      <c r="K75" s="1472">
        <f t="shared" si="193"/>
        <v>46875406.856001765</v>
      </c>
      <c r="L75" s="1472">
        <f t="shared" si="193"/>
        <v>63698937.84520258</v>
      </c>
      <c r="N75" s="1464">
        <f>SUM(AY75:BA75)</f>
        <v>0.10958814850360055</v>
      </c>
      <c r="O75" s="1464">
        <f>SUM(BB75:BD75)</f>
        <v>0.26454962679846394</v>
      </c>
      <c r="P75" s="1464">
        <f>SUM(BE75:BG75)</f>
        <v>0.22325083898454362</v>
      </c>
      <c r="Q75" s="1464">
        <f>SUM(BH75:BJ75)</f>
        <v>0.40261138571339183</v>
      </c>
      <c r="R75" s="1464">
        <f>SUM(BK75:BM75)</f>
        <v>0.19164975848082239</v>
      </c>
      <c r="S75" s="1464">
        <f>SUM(BN75:BP75)</f>
        <v>0.1968214878302319</v>
      </c>
      <c r="T75" s="1464">
        <f>SUM(BQ75:BS75)</f>
        <v>0.23035476408216188</v>
      </c>
      <c r="U75" s="1464">
        <f>SUM(BT75:BV75)</f>
        <v>0.38117398960678373</v>
      </c>
      <c r="V75" s="1464">
        <f>SUM(BW75:BY75)</f>
        <v>0.1245392990413843</v>
      </c>
      <c r="W75" s="1464">
        <f>SUM(BZ75:CB75)</f>
        <v>0.2209608368988879</v>
      </c>
      <c r="X75" s="1464">
        <f>SUM(CC75:CE75)</f>
        <v>0.28180991970071467</v>
      </c>
      <c r="Y75" s="1464">
        <f>SUM(CF75:CH75)</f>
        <v>0.37268994435901315</v>
      </c>
      <c r="Z75" s="1464">
        <f>SUM(CI75:CK75)</f>
        <v>0.1398047677467345</v>
      </c>
      <c r="AA75" s="1464">
        <f>SUM(CL75:CN75)</f>
        <v>0.18338689770324101</v>
      </c>
      <c r="AB75" s="1464">
        <f>SUM(CO75:CQ75)</f>
        <v>0.27197703842580601</v>
      </c>
      <c r="AC75" s="1464">
        <f>SUM(CR75:CT75)</f>
        <v>0.40483129612421842</v>
      </c>
      <c r="AD75" s="1464">
        <f>SUM(CU75:CW75)</f>
        <v>0.17697413323603012</v>
      </c>
      <c r="AE75" s="1464">
        <f>SUM(CX75:CZ75)</f>
        <v>0.23546512142609269</v>
      </c>
      <c r="AF75" s="1464">
        <f>SUM(DA75:DC75)</f>
        <v>0.23214095761647097</v>
      </c>
      <c r="AG75" s="1464">
        <f>SUM(DD75:DF75)</f>
        <v>0.35541978772140631</v>
      </c>
      <c r="AH75" s="1464">
        <f>SUM(DG75:DI75)</f>
        <v>0.18237413323603011</v>
      </c>
      <c r="AI75" s="1464">
        <f>SUM(DJ75:DL75)</f>
        <v>0.24746512142609267</v>
      </c>
      <c r="AJ75" s="1464">
        <f>SUM(DM75:DO75)</f>
        <v>0.23214095761647097</v>
      </c>
      <c r="AK75" s="1464">
        <f>SUM(DP75:DR75)</f>
        <v>0.33801978772140628</v>
      </c>
      <c r="AL75" s="1464">
        <f>SUM(DS75:DU75)</f>
        <v>0.18237413323603008</v>
      </c>
      <c r="AM75" s="1464">
        <f>SUM(DV75:DX75)</f>
        <v>0.24746512142609264</v>
      </c>
      <c r="AN75" s="1464">
        <f>SUM(DY75:EA75)</f>
        <v>0.23214095761647091</v>
      </c>
      <c r="AO75" s="1464">
        <f>SUM(EB75:ED75)</f>
        <v>0.33801978772140628</v>
      </c>
      <c r="AP75" s="1464">
        <f>SUM(EE75:EG75)</f>
        <v>0.18237413323603008</v>
      </c>
      <c r="AQ75" s="1464">
        <f>SUM(EH75:EJ75)</f>
        <v>0.24746512142609264</v>
      </c>
      <c r="AR75" s="1464">
        <f>SUM(EK75:EM75)</f>
        <v>0.23214095761647097</v>
      </c>
      <c r="AS75" s="1464">
        <f>SUM(EN75:EP75)</f>
        <v>0.33801978772140623</v>
      </c>
      <c r="AT75" s="1464">
        <f>SUM(EQ75:ES75)</f>
        <v>0.18237413323603008</v>
      </c>
      <c r="AU75" s="1464">
        <f>SUM(ET75:EV75)</f>
        <v>0.24746512142609264</v>
      </c>
      <c r="AV75" s="1464">
        <f>SUM(EW75:EY75)</f>
        <v>0.23214095761647094</v>
      </c>
      <c r="AW75" s="1464">
        <f>SUM(EZ75:FB75)</f>
        <v>0.33801978772140628</v>
      </c>
      <c r="AY75" s="1454">
        <f t="shared" ref="AY75:CD75" si="194">AY103/INDEX($D75:$L75,1,MATCH(AY$2,$D$2:$L$2,0))</f>
        <v>4.1463290086290662E-2</v>
      </c>
      <c r="AZ75" s="1454">
        <f t="shared" si="194"/>
        <v>2.2954541759511851E-2</v>
      </c>
      <c r="BA75" s="1454">
        <f t="shared" si="194"/>
        <v>4.5170316657798033E-2</v>
      </c>
      <c r="BB75" s="1454">
        <f t="shared" si="194"/>
        <v>1.1811299039152959E-2</v>
      </c>
      <c r="BC75" s="1454">
        <f t="shared" si="194"/>
        <v>7.4932067352889264E-2</v>
      </c>
      <c r="BD75" s="1454">
        <f t="shared" si="194"/>
        <v>0.1778062604064217</v>
      </c>
      <c r="BE75" s="1454">
        <f t="shared" si="194"/>
        <v>5.1713680285796811E-3</v>
      </c>
      <c r="BF75" s="1454">
        <f t="shared" si="194"/>
        <v>4.8048584010570154E-2</v>
      </c>
      <c r="BG75" s="1454">
        <f t="shared" si="194"/>
        <v>0.17003088694539378</v>
      </c>
      <c r="BH75" s="1454">
        <f t="shared" si="194"/>
        <v>2.6120685450479002E-2</v>
      </c>
      <c r="BI75" s="1454">
        <f t="shared" si="194"/>
        <v>0.20511334211315532</v>
      </c>
      <c r="BJ75" s="1454">
        <f t="shared" si="194"/>
        <v>0.17137735814975755</v>
      </c>
      <c r="BK75" s="1454">
        <f t="shared" si="194"/>
        <v>5.0814533601804358E-2</v>
      </c>
      <c r="BL75" s="1454">
        <f t="shared" si="194"/>
        <v>3.2336521382966409E-2</v>
      </c>
      <c r="BM75" s="1454">
        <f t="shared" si="194"/>
        <v>0.1084987034960516</v>
      </c>
      <c r="BN75" s="1454">
        <f t="shared" si="194"/>
        <v>8.9760272736045549E-3</v>
      </c>
      <c r="BO75" s="1454">
        <f t="shared" si="194"/>
        <v>8.1585614029173997E-2</v>
      </c>
      <c r="BP75" s="1454">
        <f t="shared" si="194"/>
        <v>0.10625984652745335</v>
      </c>
      <c r="BQ75" s="1454">
        <f t="shared" si="194"/>
        <v>3.2340178946746866E-2</v>
      </c>
      <c r="BR75" s="1454">
        <f t="shared" si="194"/>
        <v>3.9917553830706991E-2</v>
      </c>
      <c r="BS75" s="1454">
        <f t="shared" si="194"/>
        <v>0.15809703130470801</v>
      </c>
      <c r="BT75" s="1454">
        <f t="shared" si="194"/>
        <v>3.8057265686076737E-2</v>
      </c>
      <c r="BU75" s="1454">
        <f t="shared" si="194"/>
        <v>0.16893317115988132</v>
      </c>
      <c r="BV75" s="1454">
        <f t="shared" si="194"/>
        <v>0.1741835527608257</v>
      </c>
      <c r="BW75" s="1454">
        <f t="shared" si="194"/>
        <v>3.2179179165202222E-2</v>
      </c>
      <c r="BX75" s="1454">
        <f t="shared" si="194"/>
        <v>8.4631203406655836E-3</v>
      </c>
      <c r="BY75" s="1454">
        <f t="shared" si="194"/>
        <v>8.3896999535516506E-2</v>
      </c>
      <c r="BZ75" s="1454">
        <f t="shared" si="194"/>
        <v>3.3596255569881418E-2</v>
      </c>
      <c r="CA75" s="1454">
        <f t="shared" si="194"/>
        <v>7.2048847640127672E-2</v>
      </c>
      <c r="CB75" s="1454">
        <f t="shared" si="194"/>
        <v>0.1153157336888788</v>
      </c>
      <c r="CC75" s="1454">
        <f t="shared" si="194"/>
        <v>4.2239340809590076E-2</v>
      </c>
      <c r="CD75" s="1454">
        <f t="shared" si="194"/>
        <v>8.7854742102186342E-2</v>
      </c>
      <c r="CE75" s="1454">
        <f t="shared" ref="CE75:DJ75" si="195">CE103/INDEX($D75:$L75,1,MATCH(CE$2,$D$2:$L$2,0))</f>
        <v>0.15171583678893821</v>
      </c>
      <c r="CF75" s="1454">
        <f t="shared" si="195"/>
        <v>6.8000481248124009E-2</v>
      </c>
      <c r="CG75" s="1454">
        <f t="shared" si="195"/>
        <v>0.10375602267337079</v>
      </c>
      <c r="CH75" s="1454">
        <f t="shared" si="195"/>
        <v>0.20093344043751832</v>
      </c>
      <c r="CI75" s="1454">
        <f t="shared" si="195"/>
        <v>1.1390101570335046E-2</v>
      </c>
      <c r="CJ75" s="1454">
        <f t="shared" si="195"/>
        <v>3.9529280555461767E-2</v>
      </c>
      <c r="CK75" s="1454">
        <f t="shared" si="195"/>
        <v>8.8885385620937701E-2</v>
      </c>
      <c r="CL75" s="1454">
        <f t="shared" si="195"/>
        <v>4.8518609877718624E-2</v>
      </c>
      <c r="CM75" s="1454">
        <f t="shared" si="195"/>
        <v>6.8506460473543529E-2</v>
      </c>
      <c r="CN75" s="1454">
        <f t="shared" si="195"/>
        <v>6.6361827351978875E-2</v>
      </c>
      <c r="CO75" s="1454">
        <f t="shared" si="195"/>
        <v>4.0796555763870902E-2</v>
      </c>
      <c r="CP75" s="1454">
        <f t="shared" si="195"/>
        <v>9.5191963449032121E-2</v>
      </c>
      <c r="CQ75" s="1454">
        <f t="shared" si="195"/>
        <v>0.135988519212903</v>
      </c>
      <c r="CR75" s="1454">
        <f t="shared" si="195"/>
        <v>4.0483129612421842E-2</v>
      </c>
      <c r="CS75" s="1454">
        <f t="shared" si="195"/>
        <v>0.16193251844968737</v>
      </c>
      <c r="CT75" s="1454">
        <f t="shared" si="195"/>
        <v>0.20241564806210921</v>
      </c>
      <c r="CU75" s="1454">
        <f t="shared" si="195"/>
        <v>2.3394223555464552E-2</v>
      </c>
      <c r="CV75" s="1454">
        <f t="shared" si="195"/>
        <v>5.1415528315585185E-2</v>
      </c>
      <c r="CW75" s="1454">
        <f t="shared" si="195"/>
        <v>0.10216438136498036</v>
      </c>
      <c r="CX75" s="1454">
        <f t="shared" si="195"/>
        <v>4.0849363696549318E-2</v>
      </c>
      <c r="CY75" s="1454">
        <f t="shared" si="195"/>
        <v>8.0120547161561778E-2</v>
      </c>
      <c r="CZ75" s="1454">
        <f t="shared" si="195"/>
        <v>0.11449521056798159</v>
      </c>
      <c r="DA75" s="1454">
        <f t="shared" si="195"/>
        <v>3.9224851399717653E-2</v>
      </c>
      <c r="DB75" s="1454">
        <f t="shared" si="195"/>
        <v>6.9941794867994941E-2</v>
      </c>
      <c r="DC75" s="1454">
        <f t="shared" si="195"/>
        <v>0.12297431134875836</v>
      </c>
      <c r="DD75" s="1454">
        <f t="shared" si="195"/>
        <v>5.280538055377209E-2</v>
      </c>
      <c r="DE75" s="1454">
        <f t="shared" si="195"/>
        <v>0.14085459965386959</v>
      </c>
      <c r="DF75" s="1454">
        <f t="shared" si="195"/>
        <v>0.16175980751376462</v>
      </c>
      <c r="DG75" s="1454">
        <f t="shared" si="195"/>
        <v>2.5194223555464551E-2</v>
      </c>
      <c r="DH75" s="1454">
        <f t="shared" si="195"/>
        <v>5.3215528315585181E-2</v>
      </c>
      <c r="DI75" s="1454">
        <f t="shared" si="195"/>
        <v>0.10396438136498037</v>
      </c>
      <c r="DJ75" s="1454">
        <f t="shared" si="195"/>
        <v>4.4849363696549314E-2</v>
      </c>
      <c r="DK75" s="1454">
        <f t="shared" ref="DK75:EP75" si="196">DK103/INDEX($D75:$L75,1,MATCH(DK$2,$D$2:$L$2,0))</f>
        <v>8.4120547161561782E-2</v>
      </c>
      <c r="DL75" s="1454">
        <f t="shared" si="196"/>
        <v>0.11849521056798158</v>
      </c>
      <c r="DM75" s="1454">
        <f t="shared" si="196"/>
        <v>3.9224851399717653E-2</v>
      </c>
      <c r="DN75" s="1454">
        <f t="shared" si="196"/>
        <v>6.9941794867994955E-2</v>
      </c>
      <c r="DO75" s="1454">
        <f t="shared" si="196"/>
        <v>0.12297431134875837</v>
      </c>
      <c r="DP75" s="1454">
        <f t="shared" si="196"/>
        <v>4.7005380553772097E-2</v>
      </c>
      <c r="DQ75" s="1454">
        <f t="shared" si="196"/>
        <v>0.13505459965386957</v>
      </c>
      <c r="DR75" s="1454">
        <f t="shared" si="196"/>
        <v>0.15595980751376462</v>
      </c>
      <c r="DS75" s="1454">
        <f t="shared" si="196"/>
        <v>2.5194223555464551E-2</v>
      </c>
      <c r="DT75" s="1454">
        <f t="shared" si="196"/>
        <v>5.3215528315585167E-2</v>
      </c>
      <c r="DU75" s="1454">
        <f t="shared" si="196"/>
        <v>0.10396438136498035</v>
      </c>
      <c r="DV75" s="1454">
        <f t="shared" si="196"/>
        <v>4.4849363696549314E-2</v>
      </c>
      <c r="DW75" s="1454">
        <f t="shared" si="196"/>
        <v>8.4120547161561768E-2</v>
      </c>
      <c r="DX75" s="1454">
        <f t="shared" si="196"/>
        <v>0.11849521056798157</v>
      </c>
      <c r="DY75" s="1454">
        <f t="shared" si="196"/>
        <v>3.9224851399717646E-2</v>
      </c>
      <c r="DZ75" s="1454">
        <f t="shared" si="196"/>
        <v>6.9941794867994928E-2</v>
      </c>
      <c r="EA75" s="1454">
        <f t="shared" si="196"/>
        <v>0.12297431134875833</v>
      </c>
      <c r="EB75" s="1454">
        <f t="shared" si="196"/>
        <v>4.7005380553772083E-2</v>
      </c>
      <c r="EC75" s="1454">
        <f t="shared" si="196"/>
        <v>0.13505459965386954</v>
      </c>
      <c r="ED75" s="1454">
        <f t="shared" si="196"/>
        <v>0.15595980751376462</v>
      </c>
      <c r="EE75" s="1454">
        <f t="shared" si="196"/>
        <v>2.5194223555464551E-2</v>
      </c>
      <c r="EF75" s="1454">
        <f t="shared" si="196"/>
        <v>5.3215528315585174E-2</v>
      </c>
      <c r="EG75" s="1454">
        <f t="shared" si="196"/>
        <v>0.10396438136498036</v>
      </c>
      <c r="EH75" s="1454">
        <f t="shared" si="196"/>
        <v>4.4849363696549314E-2</v>
      </c>
      <c r="EI75" s="1454">
        <f t="shared" si="196"/>
        <v>8.4120547161561768E-2</v>
      </c>
      <c r="EJ75" s="1454">
        <f t="shared" si="196"/>
        <v>0.11849521056798157</v>
      </c>
      <c r="EK75" s="1454">
        <f t="shared" si="196"/>
        <v>3.922485139971766E-2</v>
      </c>
      <c r="EL75" s="1454">
        <f t="shared" si="196"/>
        <v>6.9941794867994941E-2</v>
      </c>
      <c r="EM75" s="1454">
        <f t="shared" si="196"/>
        <v>0.12297431134875837</v>
      </c>
      <c r="EN75" s="1454">
        <f t="shared" si="196"/>
        <v>4.7005380553772083E-2</v>
      </c>
      <c r="EO75" s="1454">
        <f t="shared" si="196"/>
        <v>0.13505459965386957</v>
      </c>
      <c r="EP75" s="1454">
        <f t="shared" si="196"/>
        <v>0.15595980751376459</v>
      </c>
      <c r="EQ75" s="1454">
        <f t="shared" ref="EQ75:FB75" si="197">EQ103/INDEX($D75:$L75,1,MATCH(EQ$2,$D$2:$L$2,0))</f>
        <v>2.5194223555464551E-2</v>
      </c>
      <c r="ER75" s="1454">
        <f t="shared" si="197"/>
        <v>5.3215528315585181E-2</v>
      </c>
      <c r="ES75" s="1454">
        <f t="shared" si="197"/>
        <v>0.10396438136498035</v>
      </c>
      <c r="ET75" s="1454">
        <f t="shared" si="197"/>
        <v>4.4849363696549314E-2</v>
      </c>
      <c r="EU75" s="1454">
        <f t="shared" si="197"/>
        <v>8.4120547161561768E-2</v>
      </c>
      <c r="EV75" s="1454">
        <f t="shared" si="197"/>
        <v>0.11849521056798157</v>
      </c>
      <c r="EW75" s="1454">
        <f t="shared" si="197"/>
        <v>3.9224851399717653E-2</v>
      </c>
      <c r="EX75" s="1454">
        <f t="shared" si="197"/>
        <v>6.9941794867994941E-2</v>
      </c>
      <c r="EY75" s="1454">
        <f t="shared" si="197"/>
        <v>0.12297431134875834</v>
      </c>
      <c r="EZ75" s="1454">
        <f t="shared" si="197"/>
        <v>4.7005380553772083E-2</v>
      </c>
      <c r="FA75" s="1454">
        <f t="shared" si="197"/>
        <v>0.13505459965386957</v>
      </c>
      <c r="FB75" s="1454">
        <f t="shared" si="197"/>
        <v>0.15595980751376462</v>
      </c>
    </row>
    <row r="76" spans="3:158" outlineLevel="1" x14ac:dyDescent="0.25">
      <c r="C76" s="2" t="s">
        <v>892</v>
      </c>
      <c r="D76" s="1476">
        <f t="shared" ref="D76:L76" si="198">D113</f>
        <v>3664491.9699999997</v>
      </c>
      <c r="E76" s="1476">
        <f t="shared" si="198"/>
        <v>6524064</v>
      </c>
      <c r="F76" s="1476">
        <f t="shared" si="198"/>
        <v>7473375.0553849991</v>
      </c>
      <c r="G76" s="1476">
        <f t="shared" si="198"/>
        <v>16399499.241960667</v>
      </c>
      <c r="H76" s="1476">
        <f t="shared" si="198"/>
        <v>27093115.859854624</v>
      </c>
      <c r="I76" s="1476">
        <f t="shared" si="198"/>
        <v>45194654.540617704</v>
      </c>
      <c r="J76" s="1476">
        <f t="shared" si="198"/>
        <v>73418521.622527272</v>
      </c>
      <c r="K76" s="1476">
        <f t="shared" si="198"/>
        <v>114933849.37087639</v>
      </c>
      <c r="L76" s="1476">
        <f t="shared" si="198"/>
        <v>173601137.71297699</v>
      </c>
      <c r="N76" s="1464">
        <f>SUM(AY76:BA76)</f>
        <v>0.2119688558084083</v>
      </c>
      <c r="O76" s="1464">
        <f>SUM(BB76:BD76)</f>
        <v>0.1707312514591211</v>
      </c>
      <c r="P76" s="1464">
        <f>SUM(BE76:BG76)</f>
        <v>0.23348679899003844</v>
      </c>
      <c r="Q76" s="1464">
        <f>SUM(BH76:BJ76)</f>
        <v>0.38381309374243222</v>
      </c>
      <c r="R76" s="1464">
        <f>SUM(BK76:BM76)</f>
        <v>0.16578408795499247</v>
      </c>
      <c r="S76" s="1464">
        <f>SUM(BN76:BP76)</f>
        <v>0.38088019062964434</v>
      </c>
      <c r="T76" s="1464">
        <f>SUM(BQ76:BS76)</f>
        <v>0.13957603726756818</v>
      </c>
      <c r="U76" s="1464">
        <f>SUM(BT76:BV76)</f>
        <v>0.31375968414779498</v>
      </c>
      <c r="V76" s="1464">
        <f>SUM(BW76:BY76)</f>
        <v>0.16735836228355425</v>
      </c>
      <c r="W76" s="1464">
        <f>SUM(BZ76:CB76)</f>
        <v>0.23768000894322752</v>
      </c>
      <c r="X76" s="1464">
        <f>SUM(CC76:CE76)</f>
        <v>0.30177386298509778</v>
      </c>
      <c r="Y76" s="1464">
        <f>SUM(CF76:CH76)</f>
        <v>0.29318776578812061</v>
      </c>
      <c r="Z76" s="1464">
        <f>SUM(CI76:CK76)</f>
        <v>9.0107961724770827E-2</v>
      </c>
      <c r="AA76" s="1464">
        <f>SUM(CL76:CN76)</f>
        <v>0.24551628472849787</v>
      </c>
      <c r="AB76" s="1464">
        <f>SUM(CO76:CQ76)</f>
        <v>0.29801922167811778</v>
      </c>
      <c r="AC76" s="1464">
        <f>SUM(CR76:CT76)</f>
        <v>0.3663565318686135</v>
      </c>
      <c r="AD76" s="1464">
        <f>SUM(CU76:CW76)</f>
        <v>0.17697413323603012</v>
      </c>
      <c r="AE76" s="1464">
        <f>SUM(CX76:CZ76)</f>
        <v>0.23546512142609263</v>
      </c>
      <c r="AF76" s="1464">
        <f>SUM(DA76:DC76)</f>
        <v>0.23214095761647091</v>
      </c>
      <c r="AG76" s="1464">
        <f>SUM(DD76:DF76)</f>
        <v>0.35541978772140626</v>
      </c>
      <c r="AH76" s="1464">
        <f>SUM(DG76:DI76)</f>
        <v>0.18237413323603011</v>
      </c>
      <c r="AI76" s="1464">
        <f>SUM(DJ76:DL76)</f>
        <v>0.2474651214260927</v>
      </c>
      <c r="AJ76" s="1464">
        <f>SUM(DM76:DO76)</f>
        <v>0.23214095761647097</v>
      </c>
      <c r="AK76" s="1464">
        <f>SUM(DP76:DR76)</f>
        <v>0.33801978772140634</v>
      </c>
      <c r="AL76" s="1464">
        <f>SUM(DS76:DU76)</f>
        <v>0.18237413323603008</v>
      </c>
      <c r="AM76" s="1464">
        <f>SUM(DV76:DX76)</f>
        <v>0.24746512142609267</v>
      </c>
      <c r="AN76" s="1464">
        <f>SUM(DY76:EA76)</f>
        <v>0.23214095761647097</v>
      </c>
      <c r="AO76" s="1464">
        <f>SUM(EB76:ED76)</f>
        <v>0.33801978772140628</v>
      </c>
      <c r="AP76" s="1464">
        <f>SUM(EE76:EG76)</f>
        <v>0.18237413323603013</v>
      </c>
      <c r="AQ76" s="1464">
        <f>SUM(EH76:EJ76)</f>
        <v>0.24746512142609273</v>
      </c>
      <c r="AR76" s="1464">
        <f>SUM(EK76:EM76)</f>
        <v>0.23214095761647099</v>
      </c>
      <c r="AS76" s="1464">
        <f>SUM(EN76:EP76)</f>
        <v>0.33801978772140634</v>
      </c>
      <c r="AT76" s="1464">
        <f>SUM(EQ76:ES76)</f>
        <v>0.18237413323603008</v>
      </c>
      <c r="AU76" s="1464">
        <f>SUM(ET76:EV76)</f>
        <v>0.24746512142609262</v>
      </c>
      <c r="AV76" s="1464">
        <f>SUM(EW76:EY76)</f>
        <v>0.23214095761647094</v>
      </c>
      <c r="AW76" s="1464">
        <f>SUM(EZ76:FB76)</f>
        <v>0.33801978772140623</v>
      </c>
      <c r="AY76" s="1454">
        <f t="shared" ref="AY76:CD76" si="199">AY113/INDEX($D76:$L76,1,MATCH(AY$2,$D$2:$L$2,0))</f>
        <v>0</v>
      </c>
      <c r="AZ76" s="1454">
        <f t="shared" si="199"/>
        <v>5.6794912283570927E-2</v>
      </c>
      <c r="BA76" s="1454">
        <f t="shared" si="199"/>
        <v>0.15517394352483738</v>
      </c>
      <c r="BB76" s="1454">
        <f t="shared" si="199"/>
        <v>2.0293399633237567E-2</v>
      </c>
      <c r="BC76" s="1454">
        <f t="shared" si="199"/>
        <v>4.8792657062364908E-2</v>
      </c>
      <c r="BD76" s="1454">
        <f t="shared" si="199"/>
        <v>0.10164519476351862</v>
      </c>
      <c r="BE76" s="1454">
        <f t="shared" si="199"/>
        <v>7.5085442198417479E-2</v>
      </c>
      <c r="BF76" s="1454">
        <f t="shared" si="199"/>
        <v>2.8287550047489941E-2</v>
      </c>
      <c r="BG76" s="1454">
        <f t="shared" si="199"/>
        <v>0.13011380674413103</v>
      </c>
      <c r="BH76" s="1454">
        <f t="shared" si="199"/>
        <v>1.1952543588190754E-2</v>
      </c>
      <c r="BI76" s="1454">
        <f t="shared" si="199"/>
        <v>0.27535876958136712</v>
      </c>
      <c r="BJ76" s="1454">
        <f t="shared" si="199"/>
        <v>9.6501780572874341E-2</v>
      </c>
      <c r="BK76" s="1454">
        <f t="shared" si="199"/>
        <v>2.2424672719335677E-2</v>
      </c>
      <c r="BL76" s="1454">
        <f t="shared" si="199"/>
        <v>2.137946531487122E-2</v>
      </c>
      <c r="BM76" s="1454">
        <f t="shared" si="199"/>
        <v>0.12197994992078558</v>
      </c>
      <c r="BN76" s="1454">
        <f t="shared" si="199"/>
        <v>1.4277910210568137E-2</v>
      </c>
      <c r="BO76" s="1454">
        <f t="shared" si="199"/>
        <v>0.26049190504568931</v>
      </c>
      <c r="BP76" s="1454">
        <f t="shared" si="199"/>
        <v>0.1061103753733869</v>
      </c>
      <c r="BQ76" s="1454">
        <f t="shared" si="199"/>
        <v>4.4450820838054315E-2</v>
      </c>
      <c r="BR76" s="1454">
        <f t="shared" si="199"/>
        <v>3.0320211451021938E-2</v>
      </c>
      <c r="BS76" s="1454">
        <f t="shared" si="199"/>
        <v>6.480500497849194E-2</v>
      </c>
      <c r="BT76" s="1454">
        <f t="shared" si="199"/>
        <v>2.1229098917484562E-2</v>
      </c>
      <c r="BU76" s="1454">
        <f t="shared" si="199"/>
        <v>0.13216179363047328</v>
      </c>
      <c r="BV76" s="1454">
        <f t="shared" si="199"/>
        <v>0.16036879159983716</v>
      </c>
      <c r="BW76" s="1454">
        <f t="shared" si="199"/>
        <v>5.2819862120470601E-2</v>
      </c>
      <c r="BX76" s="1454">
        <f t="shared" si="199"/>
        <v>6.5286031596719446E-2</v>
      </c>
      <c r="BY76" s="1454">
        <f t="shared" si="199"/>
        <v>4.9252468566364199E-2</v>
      </c>
      <c r="BZ76" s="1454">
        <f t="shared" si="199"/>
        <v>8.039205921655021E-2</v>
      </c>
      <c r="CA76" s="1454">
        <f t="shared" si="199"/>
        <v>2.9113068511559065E-2</v>
      </c>
      <c r="CB76" s="1454">
        <f t="shared" si="199"/>
        <v>0.12817488121511825</v>
      </c>
      <c r="CC76" s="1454">
        <f t="shared" si="199"/>
        <v>2.1573917915952107E-2</v>
      </c>
      <c r="CD76" s="1454">
        <f t="shared" si="199"/>
        <v>0.17271588545123601</v>
      </c>
      <c r="CE76" s="1454">
        <f t="shared" ref="CE76:DJ76" si="200">CE113/INDEX($D76:$L76,1,MATCH(CE$2,$D$2:$L$2,0))</f>
        <v>0.10748405961790963</v>
      </c>
      <c r="CF76" s="1454">
        <f t="shared" si="200"/>
        <v>3.9505394804889862E-2</v>
      </c>
      <c r="CG76" s="1454">
        <f t="shared" si="200"/>
        <v>0.12976383576496966</v>
      </c>
      <c r="CH76" s="1454">
        <f t="shared" si="200"/>
        <v>0.12391853521826109</v>
      </c>
      <c r="CI76" s="1454">
        <f t="shared" si="200"/>
        <v>1.9367360265936211E-2</v>
      </c>
      <c r="CJ76" s="1454">
        <f t="shared" si="200"/>
        <v>2.7155143180259557E-2</v>
      </c>
      <c r="CK76" s="1454">
        <f t="shared" si="200"/>
        <v>4.3585458278575059E-2</v>
      </c>
      <c r="CL76" s="1454">
        <f t="shared" si="200"/>
        <v>3.5993525246776299E-2</v>
      </c>
      <c r="CM76" s="1454">
        <f t="shared" si="200"/>
        <v>6.5720999122723403E-2</v>
      </c>
      <c r="CN76" s="1454">
        <f t="shared" si="200"/>
        <v>0.14380176035899817</v>
      </c>
      <c r="CO76" s="1454">
        <f t="shared" si="200"/>
        <v>4.4702883251717666E-2</v>
      </c>
      <c r="CP76" s="1454">
        <f t="shared" si="200"/>
        <v>0.10430672758734122</v>
      </c>
      <c r="CQ76" s="1454">
        <f t="shared" si="200"/>
        <v>0.14900961083905886</v>
      </c>
      <c r="CR76" s="1454">
        <f t="shared" si="200"/>
        <v>3.6635653186861357E-2</v>
      </c>
      <c r="CS76" s="1454">
        <f t="shared" si="200"/>
        <v>0.14654261274744543</v>
      </c>
      <c r="CT76" s="1454">
        <f t="shared" si="200"/>
        <v>0.18317826593430675</v>
      </c>
      <c r="CU76" s="1454">
        <f t="shared" si="200"/>
        <v>2.3394223555464548E-2</v>
      </c>
      <c r="CV76" s="1454">
        <f t="shared" si="200"/>
        <v>5.1415528315585185E-2</v>
      </c>
      <c r="CW76" s="1454">
        <f t="shared" si="200"/>
        <v>0.10216438136498036</v>
      </c>
      <c r="CX76" s="1454">
        <f t="shared" si="200"/>
        <v>4.0849363696549318E-2</v>
      </c>
      <c r="CY76" s="1454">
        <f t="shared" si="200"/>
        <v>8.012054716156175E-2</v>
      </c>
      <c r="CZ76" s="1454">
        <f t="shared" si="200"/>
        <v>0.11449521056798156</v>
      </c>
      <c r="DA76" s="1454">
        <f t="shared" si="200"/>
        <v>3.9224851399717639E-2</v>
      </c>
      <c r="DB76" s="1454">
        <f t="shared" si="200"/>
        <v>6.9941794867994941E-2</v>
      </c>
      <c r="DC76" s="1454">
        <f t="shared" si="200"/>
        <v>0.12297431134875834</v>
      </c>
      <c r="DD76" s="1454">
        <f t="shared" si="200"/>
        <v>5.2805380553772083E-2</v>
      </c>
      <c r="DE76" s="1454">
        <f t="shared" si="200"/>
        <v>0.14085459965386957</v>
      </c>
      <c r="DF76" s="1454">
        <f t="shared" si="200"/>
        <v>0.16175980751376465</v>
      </c>
      <c r="DG76" s="1454">
        <f t="shared" si="200"/>
        <v>2.5194223555464555E-2</v>
      </c>
      <c r="DH76" s="1454">
        <f t="shared" si="200"/>
        <v>5.3215528315585188E-2</v>
      </c>
      <c r="DI76" s="1454">
        <f t="shared" si="200"/>
        <v>0.10396438136498036</v>
      </c>
      <c r="DJ76" s="1454">
        <f t="shared" si="200"/>
        <v>4.4849363696549314E-2</v>
      </c>
      <c r="DK76" s="1454">
        <f t="shared" ref="DK76:EP76" si="201">DK113/INDEX($D76:$L76,1,MATCH(DK$2,$D$2:$L$2,0))</f>
        <v>8.4120547161561796E-2</v>
      </c>
      <c r="DL76" s="1454">
        <f t="shared" si="201"/>
        <v>0.1184952105679816</v>
      </c>
      <c r="DM76" s="1454">
        <f t="shared" si="201"/>
        <v>3.922485139971766E-2</v>
      </c>
      <c r="DN76" s="1454">
        <f t="shared" si="201"/>
        <v>6.9941794867994955E-2</v>
      </c>
      <c r="DO76" s="1454">
        <f t="shared" si="201"/>
        <v>0.12297431134875837</v>
      </c>
      <c r="DP76" s="1454">
        <f t="shared" si="201"/>
        <v>4.7005380553772097E-2</v>
      </c>
      <c r="DQ76" s="1454">
        <f t="shared" si="201"/>
        <v>0.13505459965386959</v>
      </c>
      <c r="DR76" s="1454">
        <f t="shared" si="201"/>
        <v>0.15595980751376465</v>
      </c>
      <c r="DS76" s="1454">
        <f t="shared" si="201"/>
        <v>2.5194223555464555E-2</v>
      </c>
      <c r="DT76" s="1454">
        <f t="shared" si="201"/>
        <v>5.3215528315585181E-2</v>
      </c>
      <c r="DU76" s="1454">
        <f t="shared" si="201"/>
        <v>0.10396438136498036</v>
      </c>
      <c r="DV76" s="1454">
        <f t="shared" si="201"/>
        <v>4.4849363696549321E-2</v>
      </c>
      <c r="DW76" s="1454">
        <f t="shared" si="201"/>
        <v>8.4120547161561782E-2</v>
      </c>
      <c r="DX76" s="1454">
        <f t="shared" si="201"/>
        <v>0.11849521056798158</v>
      </c>
      <c r="DY76" s="1454">
        <f t="shared" si="201"/>
        <v>3.922485139971766E-2</v>
      </c>
      <c r="DZ76" s="1454">
        <f t="shared" si="201"/>
        <v>6.9941794867994941E-2</v>
      </c>
      <c r="EA76" s="1454">
        <f t="shared" si="201"/>
        <v>0.12297431134875837</v>
      </c>
      <c r="EB76" s="1454">
        <f t="shared" si="201"/>
        <v>4.7005380553772097E-2</v>
      </c>
      <c r="EC76" s="1454">
        <f t="shared" si="201"/>
        <v>0.13505459965386957</v>
      </c>
      <c r="ED76" s="1454">
        <f t="shared" si="201"/>
        <v>0.15595980751376462</v>
      </c>
      <c r="EE76" s="1454">
        <f t="shared" si="201"/>
        <v>2.5194223555464558E-2</v>
      </c>
      <c r="EF76" s="1454">
        <f t="shared" si="201"/>
        <v>5.3215528315585188E-2</v>
      </c>
      <c r="EG76" s="1454">
        <f t="shared" si="201"/>
        <v>0.10396438136498037</v>
      </c>
      <c r="EH76" s="1454">
        <f t="shared" si="201"/>
        <v>4.4849363696549321E-2</v>
      </c>
      <c r="EI76" s="1454">
        <f t="shared" si="201"/>
        <v>8.4120547161561782E-2</v>
      </c>
      <c r="EJ76" s="1454">
        <f t="shared" si="201"/>
        <v>0.11849521056798161</v>
      </c>
      <c r="EK76" s="1454">
        <f t="shared" si="201"/>
        <v>3.922485139971766E-2</v>
      </c>
      <c r="EL76" s="1454">
        <f t="shared" si="201"/>
        <v>6.9941794867994941E-2</v>
      </c>
      <c r="EM76" s="1454">
        <f t="shared" si="201"/>
        <v>0.12297431134875839</v>
      </c>
      <c r="EN76" s="1454">
        <f t="shared" si="201"/>
        <v>4.7005380553772097E-2</v>
      </c>
      <c r="EO76" s="1454">
        <f t="shared" si="201"/>
        <v>0.13505459965386959</v>
      </c>
      <c r="EP76" s="1454">
        <f t="shared" si="201"/>
        <v>0.15595980751376465</v>
      </c>
      <c r="EQ76" s="1454">
        <f t="shared" ref="EQ76:FB76" si="202">EQ113/INDEX($D76:$L76,1,MATCH(EQ$2,$D$2:$L$2,0))</f>
        <v>2.5194223555464548E-2</v>
      </c>
      <c r="ER76" s="1454">
        <f t="shared" si="202"/>
        <v>5.3215528315585174E-2</v>
      </c>
      <c r="ES76" s="1454">
        <f t="shared" si="202"/>
        <v>0.10396438136498035</v>
      </c>
      <c r="ET76" s="1454">
        <f t="shared" si="202"/>
        <v>4.4849363696549314E-2</v>
      </c>
      <c r="EU76" s="1454">
        <f t="shared" si="202"/>
        <v>8.4120547161561754E-2</v>
      </c>
      <c r="EV76" s="1454">
        <f t="shared" si="202"/>
        <v>0.11849521056798155</v>
      </c>
      <c r="EW76" s="1454">
        <f t="shared" si="202"/>
        <v>3.9224851399717646E-2</v>
      </c>
      <c r="EX76" s="1454">
        <f t="shared" si="202"/>
        <v>6.9941794867994941E-2</v>
      </c>
      <c r="EY76" s="1454">
        <f t="shared" si="202"/>
        <v>0.12297431134875836</v>
      </c>
      <c r="EZ76" s="1454">
        <f t="shared" si="202"/>
        <v>4.7005380553772083E-2</v>
      </c>
      <c r="FA76" s="1454">
        <f t="shared" si="202"/>
        <v>0.13505459965386954</v>
      </c>
      <c r="FB76" s="1454">
        <f t="shared" si="202"/>
        <v>0.15595980751376459</v>
      </c>
    </row>
    <row r="77" spans="3:158" outlineLevel="1" x14ac:dyDescent="0.25">
      <c r="C77" s="2"/>
      <c r="D77" s="244"/>
      <c r="E77" s="244"/>
      <c r="F77" s="244"/>
      <c r="G77" s="294"/>
      <c r="H77" s="294"/>
      <c r="I77" s="294"/>
      <c r="J77" s="294"/>
      <c r="K77" s="294"/>
      <c r="L77" s="294"/>
      <c r="N77" s="89"/>
      <c r="O77" s="89"/>
      <c r="P77" s="89"/>
      <c r="Q77" s="89"/>
      <c r="R77" s="89"/>
      <c r="S77" s="89"/>
      <c r="T77" s="89"/>
      <c r="U77" s="89"/>
      <c r="V77" s="89"/>
      <c r="W77" s="89"/>
      <c r="X77" s="89"/>
      <c r="Y77" s="89"/>
      <c r="Z77" s="89"/>
      <c r="AA77" s="89"/>
      <c r="AB77" s="89"/>
      <c r="AC77" s="89"/>
      <c r="AD77" s="86"/>
      <c r="AE77" s="86"/>
      <c r="AF77" s="86"/>
      <c r="AG77" s="86"/>
      <c r="AH77" s="86"/>
      <c r="AI77" s="86"/>
      <c r="AJ77" s="86"/>
      <c r="AK77" s="86"/>
      <c r="AL77" s="86"/>
      <c r="AM77" s="86"/>
      <c r="AN77" s="86"/>
      <c r="AO77" s="86"/>
      <c r="AP77" s="86"/>
      <c r="AQ77" s="86"/>
      <c r="AR77" s="86"/>
      <c r="AS77" s="86"/>
      <c r="AT77" s="86"/>
      <c r="AU77" s="86"/>
      <c r="AV77" s="86"/>
      <c r="AW77" s="86"/>
      <c r="AY77" s="90"/>
      <c r="AZ77" s="90"/>
      <c r="BA77" s="90"/>
      <c r="BB77" s="90"/>
      <c r="BC77" s="90"/>
      <c r="BD77" s="90"/>
      <c r="BE77" s="90"/>
      <c r="BF77" s="90"/>
      <c r="BG77" s="90"/>
      <c r="BH77" s="90"/>
      <c r="BI77" s="90"/>
      <c r="BJ77" s="90"/>
      <c r="BK77" s="90"/>
      <c r="BL77" s="90"/>
      <c r="BM77" s="90"/>
      <c r="BN77" s="90"/>
      <c r="BO77" s="90"/>
      <c r="BP77" s="90"/>
      <c r="BQ77" s="90"/>
      <c r="BR77" s="90"/>
      <c r="BS77" s="90"/>
      <c r="BT77" s="90"/>
      <c r="BU77" s="90"/>
      <c r="BV77" s="90"/>
      <c r="BW77" s="90"/>
      <c r="BX77" s="90"/>
      <c r="BY77" s="90"/>
      <c r="BZ77" s="90"/>
      <c r="CA77" s="90"/>
      <c r="CB77" s="90"/>
      <c r="CC77" s="90"/>
      <c r="CD77" s="90"/>
      <c r="CE77" s="90"/>
      <c r="CF77" s="90"/>
      <c r="CG77" s="90"/>
      <c r="CH77" s="90"/>
      <c r="CI77" s="90"/>
      <c r="CJ77" s="90"/>
      <c r="CK77" s="90"/>
      <c r="CL77" s="90"/>
      <c r="CM77" s="90"/>
      <c r="CN77" s="90"/>
      <c r="CO77" s="90"/>
      <c r="CP77" s="90"/>
      <c r="CQ77" s="90"/>
      <c r="CR77" s="90"/>
      <c r="CS77" s="90"/>
      <c r="CT77" s="90"/>
      <c r="CU77" s="90"/>
      <c r="CV77" s="90"/>
      <c r="CW77" s="90"/>
      <c r="CX77" s="90"/>
      <c r="CY77" s="90"/>
      <c r="CZ77" s="90"/>
      <c r="DA77" s="90"/>
      <c r="DB77" s="90"/>
      <c r="DC77" s="90"/>
      <c r="DD77" s="90"/>
      <c r="DE77" s="90"/>
      <c r="DF77" s="90"/>
      <c r="DG77" s="90"/>
      <c r="DH77" s="90"/>
      <c r="DI77" s="90"/>
      <c r="DJ77" s="90"/>
      <c r="DK77" s="90"/>
      <c r="DL77" s="90"/>
      <c r="DM77" s="90"/>
      <c r="DN77" s="90"/>
      <c r="DO77" s="90"/>
      <c r="DP77" s="90"/>
      <c r="DQ77" s="90"/>
      <c r="DR77" s="90"/>
      <c r="DS77" s="90"/>
      <c r="DT77" s="90"/>
      <c r="DU77" s="90"/>
      <c r="DV77" s="90"/>
      <c r="DW77" s="90"/>
      <c r="DX77" s="90"/>
      <c r="DY77" s="90"/>
      <c r="DZ77" s="90"/>
      <c r="EA77" s="90"/>
      <c r="EB77" s="90"/>
      <c r="EC77" s="90"/>
      <c r="ED77" s="90"/>
      <c r="EE77" s="90"/>
      <c r="EF77" s="90"/>
      <c r="EG77" s="90"/>
      <c r="EH77" s="90"/>
      <c r="EI77" s="90"/>
      <c r="EJ77" s="90"/>
      <c r="EK77" s="90"/>
      <c r="EL77" s="90"/>
      <c r="EM77" s="90"/>
      <c r="EN77" s="90"/>
      <c r="EO77" s="90"/>
      <c r="EP77" s="90"/>
      <c r="EQ77" s="90"/>
      <c r="ER77" s="90"/>
      <c r="ES77" s="90"/>
      <c r="ET77" s="90"/>
      <c r="EU77" s="90"/>
      <c r="EV77" s="90"/>
      <c r="EW77" s="90"/>
      <c r="EX77" s="90"/>
      <c r="EY77" s="90"/>
      <c r="EZ77" s="90"/>
      <c r="FA77" s="90"/>
      <c r="FB77" s="90"/>
    </row>
    <row r="78" spans="3:158" x14ac:dyDescent="0.25">
      <c r="C78" s="2" t="s">
        <v>891</v>
      </c>
      <c r="D78" s="244"/>
      <c r="E78" s="244"/>
      <c r="F78" s="244"/>
      <c r="G78" s="244"/>
      <c r="H78" s="1472">
        <f>H85-H68-H63-H58</f>
        <v>49766.462478685935</v>
      </c>
      <c r="I78" s="1472">
        <f>I91/SUM(I91,I101,I111)*I81</f>
        <v>731470.40127096593</v>
      </c>
      <c r="J78" s="1472">
        <f>J91/SUM(J91,J101,J111)*J81</f>
        <v>4212766.4087555194</v>
      </c>
      <c r="K78" s="1472">
        <f>K91/SUM(K91,K101,K111)*K81</f>
        <v>6834894.8232290735</v>
      </c>
      <c r="L78" s="1472">
        <f>L91/SUM(L91,L101,L111)*L81</f>
        <v>9926055.6678805798</v>
      </c>
      <c r="N78" s="1476">
        <f>SUM(AY78:BA78)</f>
        <v>0</v>
      </c>
      <c r="O78" s="1476">
        <f>SUM(BB78:BD78)</f>
        <v>0</v>
      </c>
      <c r="P78" s="1476">
        <f>SUM(BE78:BG78)</f>
        <v>0</v>
      </c>
      <c r="Q78" s="1476">
        <f>SUM(BH78:BJ78)</f>
        <v>0</v>
      </c>
      <c r="R78" s="1476">
        <f>SUM(BK78:BM78)</f>
        <v>0</v>
      </c>
      <c r="S78" s="1476">
        <f>SUM(BN78:BP78)</f>
        <v>0</v>
      </c>
      <c r="T78" s="1476">
        <f>SUM(BQ78:BS78)</f>
        <v>0</v>
      </c>
      <c r="U78" s="1476">
        <f>SUM(BT78:BV78)</f>
        <v>0</v>
      </c>
      <c r="V78" s="1476">
        <f>SUM(BW78:BY78)</f>
        <v>0</v>
      </c>
      <c r="W78" s="1476">
        <f>SUM(BZ78:CB78)</f>
        <v>0</v>
      </c>
      <c r="X78" s="1476">
        <f>SUM(CC78:CE78)</f>
        <v>0</v>
      </c>
      <c r="Y78" s="1476">
        <f>SUM(CF78:CH78)</f>
        <v>0</v>
      </c>
      <c r="Z78" s="1476">
        <f>SUM(CI78:CK78)</f>
        <v>0</v>
      </c>
      <c r="AA78" s="1476">
        <f>SUM(CL78:CN78)</f>
        <v>0</v>
      </c>
      <c r="AB78" s="1476">
        <f>SUM(CO78:CQ78)</f>
        <v>0</v>
      </c>
      <c r="AC78" s="1476">
        <f>SUM(CR78:CT78)</f>
        <v>0</v>
      </c>
      <c r="AD78" s="1476">
        <f>SUM(CU78:CW78)</f>
        <v>8807.376561388859</v>
      </c>
      <c r="AE78" s="1476">
        <f>SUM(CX78:CZ78)</f>
        <v>11718.266130490867</v>
      </c>
      <c r="AF78" s="1476">
        <f>SUM(DA78:DC78)</f>
        <v>11552.834256986327</v>
      </c>
      <c r="AG78" s="1476">
        <f>SUM(DD78:DF78)</f>
        <v>17687.985529819885</v>
      </c>
      <c r="AH78" s="1476">
        <f>SUM(DG78:DI78)</f>
        <v>133401.28041960351</v>
      </c>
      <c r="AI78" s="1476">
        <f>SUM(DJ78:DL78)</f>
        <v>181013.41167011228</v>
      </c>
      <c r="AJ78" s="1476">
        <f>SUM(DM78:DO78)</f>
        <v>169804.23941914627</v>
      </c>
      <c r="AK78" s="1476">
        <f>SUM(DP78:DR78)</f>
        <v>247251.46976210375</v>
      </c>
      <c r="AL78" s="1476">
        <f>SUM(DS78:DU78)</f>
        <v>768299.62232265109</v>
      </c>
      <c r="AM78" s="1476">
        <f>SUM(DV78:DX78)</f>
        <v>1042512.7508824486</v>
      </c>
      <c r="AN78" s="1476">
        <f>SUM(DY78:EA78)</f>
        <v>977955.62834300741</v>
      </c>
      <c r="AO78" s="1476">
        <f>SUM(EB78:ED78)</f>
        <v>1423998.4072074117</v>
      </c>
      <c r="AP78" s="1476">
        <f>SUM(EE78:EG78)</f>
        <v>1246508.0191458315</v>
      </c>
      <c r="AQ78" s="1476">
        <f>SUM(EH78:EJ78)</f>
        <v>1691398.0773649551</v>
      </c>
      <c r="AR78" s="1476">
        <f>SUM(EK78:EM78)</f>
        <v>1586659.0294722575</v>
      </c>
      <c r="AS78" s="1476">
        <f>SUM(EN78:EP78)</f>
        <v>2310329.6972460304</v>
      </c>
      <c r="AT78" s="1476">
        <f>SUM(EQ78:ES78)</f>
        <v>1810255.7988823042</v>
      </c>
      <c r="AU78" s="1476">
        <f>SUM(ET78:EV78)</f>
        <v>2456352.5711342227</v>
      </c>
      <c r="AV78" s="1476">
        <f>SUM(EW78:EY78)</f>
        <v>2304244.0680961963</v>
      </c>
      <c r="AW78" s="1476">
        <f>SUM(EZ78:FB78)</f>
        <v>3355203.2297678548</v>
      </c>
      <c r="AY78" s="1472">
        <f t="shared" ref="AY78:CD78" si="203">INDEX($D78:$L78,1,MATCH(AY$2,$D$2:$L$2,0))*AY74</f>
        <v>0</v>
      </c>
      <c r="AZ78" s="1472">
        <f t="shared" si="203"/>
        <v>0</v>
      </c>
      <c r="BA78" s="1472">
        <f t="shared" si="203"/>
        <v>0</v>
      </c>
      <c r="BB78" s="1472">
        <f t="shared" si="203"/>
        <v>0</v>
      </c>
      <c r="BC78" s="1472">
        <f t="shared" si="203"/>
        <v>0</v>
      </c>
      <c r="BD78" s="1472">
        <f t="shared" si="203"/>
        <v>0</v>
      </c>
      <c r="BE78" s="1472">
        <f t="shared" si="203"/>
        <v>0</v>
      </c>
      <c r="BF78" s="1472">
        <f t="shared" si="203"/>
        <v>0</v>
      </c>
      <c r="BG78" s="1472">
        <f t="shared" si="203"/>
        <v>0</v>
      </c>
      <c r="BH78" s="1472">
        <f t="shared" si="203"/>
        <v>0</v>
      </c>
      <c r="BI78" s="1472">
        <f t="shared" si="203"/>
        <v>0</v>
      </c>
      <c r="BJ78" s="1472">
        <f t="shared" si="203"/>
        <v>0</v>
      </c>
      <c r="BK78" s="1472">
        <f t="shared" si="203"/>
        <v>0</v>
      </c>
      <c r="BL78" s="1472">
        <f t="shared" si="203"/>
        <v>0</v>
      </c>
      <c r="BM78" s="1472">
        <f t="shared" si="203"/>
        <v>0</v>
      </c>
      <c r="BN78" s="1472">
        <f t="shared" si="203"/>
        <v>0</v>
      </c>
      <c r="BO78" s="1472">
        <f t="shared" si="203"/>
        <v>0</v>
      </c>
      <c r="BP78" s="1472">
        <f t="shared" si="203"/>
        <v>0</v>
      </c>
      <c r="BQ78" s="1472">
        <f t="shared" si="203"/>
        <v>0</v>
      </c>
      <c r="BR78" s="1472">
        <f t="shared" si="203"/>
        <v>0</v>
      </c>
      <c r="BS78" s="1472">
        <f t="shared" si="203"/>
        <v>0</v>
      </c>
      <c r="BT78" s="1472">
        <f t="shared" si="203"/>
        <v>0</v>
      </c>
      <c r="BU78" s="1472">
        <f t="shared" si="203"/>
        <v>0</v>
      </c>
      <c r="BV78" s="1472">
        <f t="shared" si="203"/>
        <v>0</v>
      </c>
      <c r="BW78" s="1472">
        <f t="shared" si="203"/>
        <v>0</v>
      </c>
      <c r="BX78" s="1472">
        <f t="shared" si="203"/>
        <v>0</v>
      </c>
      <c r="BY78" s="1472">
        <f t="shared" si="203"/>
        <v>0</v>
      </c>
      <c r="BZ78" s="1472">
        <f t="shared" si="203"/>
        <v>0</v>
      </c>
      <c r="CA78" s="1472">
        <f t="shared" si="203"/>
        <v>0</v>
      </c>
      <c r="CB78" s="1472">
        <f t="shared" si="203"/>
        <v>0</v>
      </c>
      <c r="CC78" s="1472">
        <f t="shared" si="203"/>
        <v>0</v>
      </c>
      <c r="CD78" s="1472">
        <f t="shared" si="203"/>
        <v>0</v>
      </c>
      <c r="CE78" s="1472">
        <f t="shared" ref="CE78:DJ78" si="204">INDEX($D78:$L78,1,MATCH(CE$2,$D$2:$L$2,0))*CE74</f>
        <v>0</v>
      </c>
      <c r="CF78" s="1472">
        <f t="shared" si="204"/>
        <v>0</v>
      </c>
      <c r="CG78" s="1472">
        <f t="shared" si="204"/>
        <v>0</v>
      </c>
      <c r="CH78" s="1472">
        <f t="shared" si="204"/>
        <v>0</v>
      </c>
      <c r="CI78" s="1472">
        <f t="shared" si="204"/>
        <v>0</v>
      </c>
      <c r="CJ78" s="1472">
        <f t="shared" si="204"/>
        <v>0</v>
      </c>
      <c r="CK78" s="1472">
        <f t="shared" si="204"/>
        <v>0</v>
      </c>
      <c r="CL78" s="1472">
        <f t="shared" si="204"/>
        <v>0</v>
      </c>
      <c r="CM78" s="1472">
        <f t="shared" si="204"/>
        <v>0</v>
      </c>
      <c r="CN78" s="1472">
        <f t="shared" si="204"/>
        <v>0</v>
      </c>
      <c r="CO78" s="1472">
        <f t="shared" si="204"/>
        <v>0</v>
      </c>
      <c r="CP78" s="1472">
        <f t="shared" si="204"/>
        <v>0</v>
      </c>
      <c r="CQ78" s="1472">
        <f t="shared" si="204"/>
        <v>0</v>
      </c>
      <c r="CR78" s="1472">
        <f t="shared" si="204"/>
        <v>0</v>
      </c>
      <c r="CS78" s="1472">
        <f t="shared" si="204"/>
        <v>0</v>
      </c>
      <c r="CT78" s="1472">
        <f t="shared" si="204"/>
        <v>0</v>
      </c>
      <c r="CU78" s="1472">
        <f t="shared" si="204"/>
        <v>1164.2477487910176</v>
      </c>
      <c r="CV78" s="1472">
        <f t="shared" si="204"/>
        <v>2558.7689607393845</v>
      </c>
      <c r="CW78" s="1472">
        <f t="shared" si="204"/>
        <v>5084.3598518584568</v>
      </c>
      <c r="CX78" s="1472">
        <f t="shared" si="204"/>
        <v>2032.928325682517</v>
      </c>
      <c r="CY78" s="1472">
        <f t="shared" si="204"/>
        <v>3987.3162040876505</v>
      </c>
      <c r="CZ78" s="1472">
        <f t="shared" si="204"/>
        <v>5698.0216007207</v>
      </c>
      <c r="DA78" s="1472">
        <f t="shared" si="204"/>
        <v>1952.0820954160799</v>
      </c>
      <c r="DB78" s="1472">
        <f t="shared" si="204"/>
        <v>3480.7557099900209</v>
      </c>
      <c r="DC78" s="1472">
        <f t="shared" si="204"/>
        <v>6119.9964515802267</v>
      </c>
      <c r="DD78" s="1472">
        <f t="shared" si="204"/>
        <v>2627.9369900020315</v>
      </c>
      <c r="DE78" s="1472">
        <f t="shared" si="204"/>
        <v>7009.8351486246283</v>
      </c>
      <c r="DF78" s="1472">
        <f t="shared" si="204"/>
        <v>8050.213391193226</v>
      </c>
      <c r="DG78" s="1472">
        <f t="shared" si="204"/>
        <v>18428.828813826069</v>
      </c>
      <c r="DH78" s="1472">
        <f t="shared" si="204"/>
        <v>38925.583850847535</v>
      </c>
      <c r="DI78" s="1472">
        <f t="shared" si="204"/>
        <v>76046.867754929903</v>
      </c>
      <c r="DJ78" s="1472">
        <f t="shared" si="204"/>
        <v>32805.982059862421</v>
      </c>
      <c r="DK78" s="1472">
        <f t="shared" ref="DK78:EP78" si="205">INDEX($D78:$L78,1,MATCH(DK$2,$D$2:$L$2,0))*DK74</f>
        <v>61531.690387400798</v>
      </c>
      <c r="DL78" s="1472">
        <f t="shared" si="205"/>
        <v>86675.739222849064</v>
      </c>
      <c r="DM78" s="1472">
        <f t="shared" si="205"/>
        <v>28691.817793145477</v>
      </c>
      <c r="DN78" s="1472">
        <f t="shared" si="205"/>
        <v>51160.352757703855</v>
      </c>
      <c r="DO78" s="1472">
        <f t="shared" si="205"/>
        <v>89952.068868296948</v>
      </c>
      <c r="DP78" s="1472">
        <f t="shared" si="205"/>
        <v>34383.044575562119</v>
      </c>
      <c r="DQ78" s="1472">
        <f t="shared" si="205"/>
        <v>98788.44220230561</v>
      </c>
      <c r="DR78" s="1472">
        <f t="shared" si="205"/>
        <v>114079.98298423603</v>
      </c>
      <c r="DS78" s="1472">
        <f t="shared" si="205"/>
        <v>106137.37868913813</v>
      </c>
      <c r="DT78" s="1472">
        <f t="shared" si="205"/>
        <v>224184.59011207541</v>
      </c>
      <c r="DU78" s="1472">
        <f t="shared" si="205"/>
        <v>437977.65352143755</v>
      </c>
      <c r="DV78" s="1472">
        <f t="shared" si="205"/>
        <v>188939.89283488219</v>
      </c>
      <c r="DW78" s="1472">
        <f t="shared" si="205"/>
        <v>354380.21536836179</v>
      </c>
      <c r="DX78" s="1472">
        <f t="shared" si="205"/>
        <v>499192.64267920476</v>
      </c>
      <c r="DY78" s="1472">
        <f t="shared" si="205"/>
        <v>165245.13636515744</v>
      </c>
      <c r="DZ78" s="1472">
        <f t="shared" si="205"/>
        <v>294648.44398795819</v>
      </c>
      <c r="EA78" s="1472">
        <f t="shared" si="205"/>
        <v>518062.04798989178</v>
      </c>
      <c r="EB78" s="1472">
        <f t="shared" si="205"/>
        <v>198022.68822770094</v>
      </c>
      <c r="EC78" s="1472">
        <f t="shared" si="205"/>
        <v>568953.48076974647</v>
      </c>
      <c r="ED78" s="1472">
        <f t="shared" si="205"/>
        <v>657022.23820996424</v>
      </c>
      <c r="EE78" s="1472">
        <f t="shared" si="205"/>
        <v>172199.86815452069</v>
      </c>
      <c r="EF78" s="1472">
        <f t="shared" si="205"/>
        <v>363722.53899959335</v>
      </c>
      <c r="EG78" s="1472">
        <f t="shared" si="205"/>
        <v>710585.61199171748</v>
      </c>
      <c r="EH78" s="1472">
        <f t="shared" si="205"/>
        <v>306540.68375466292</v>
      </c>
      <c r="EI78" s="1472">
        <f t="shared" si="205"/>
        <v>574955.09232175571</v>
      </c>
      <c r="EJ78" s="1472">
        <f t="shared" si="205"/>
        <v>809902.30128853652</v>
      </c>
      <c r="EK78" s="1472">
        <f t="shared" si="205"/>
        <v>268097.73377385986</v>
      </c>
      <c r="EL78" s="1472">
        <f t="shared" si="205"/>
        <v>478044.81167060853</v>
      </c>
      <c r="EM78" s="1472">
        <f t="shared" si="205"/>
        <v>840516.48402778897</v>
      </c>
      <c r="EN78" s="1472">
        <f t="shared" si="205"/>
        <v>321276.83221088944</v>
      </c>
      <c r="EO78" s="1472">
        <f t="shared" si="205"/>
        <v>923083.98402750853</v>
      </c>
      <c r="EP78" s="1472">
        <f t="shared" si="205"/>
        <v>1065968.8810076325</v>
      </c>
      <c r="EQ78" s="1472">
        <f t="shared" ref="EQ78:FB78" si="206">INDEX($D78:$L78,1,MATCH(EQ$2,$D$2:$L$2,0))*EQ74</f>
        <v>250079.26552056932</v>
      </c>
      <c r="ER78" s="1472">
        <f t="shared" si="206"/>
        <v>528220.29645617376</v>
      </c>
      <c r="ES78" s="1472">
        <f t="shared" si="206"/>
        <v>1031956.2369055612</v>
      </c>
      <c r="ET78" s="1472">
        <f t="shared" si="206"/>
        <v>445177.28072097077</v>
      </c>
      <c r="EU78" s="1472">
        <f t="shared" si="206"/>
        <v>834985.23393823579</v>
      </c>
      <c r="EV78" s="1472">
        <f t="shared" si="206"/>
        <v>1176190.0564750163</v>
      </c>
      <c r="EW78" s="1472">
        <f t="shared" si="206"/>
        <v>389348.05855794088</v>
      </c>
      <c r="EX78" s="1472">
        <f t="shared" si="206"/>
        <v>694246.14937120199</v>
      </c>
      <c r="EY78" s="1472">
        <f t="shared" si="206"/>
        <v>1220649.8601670538</v>
      </c>
      <c r="EZ78" s="1472">
        <f t="shared" si="206"/>
        <v>466578.02406665293</v>
      </c>
      <c r="FA78" s="1472">
        <f t="shared" si="206"/>
        <v>1340559.4743676346</v>
      </c>
      <c r="FB78" s="1472">
        <f t="shared" si="206"/>
        <v>1548065.7313335673</v>
      </c>
    </row>
    <row r="79" spans="3:158" x14ac:dyDescent="0.25">
      <c r="C79" s="2" t="s">
        <v>890</v>
      </c>
      <c r="D79" s="244"/>
      <c r="E79" s="244"/>
      <c r="F79" s="244"/>
      <c r="G79" s="244"/>
      <c r="H79" s="90">
        <v>0</v>
      </c>
      <c r="I79" s="1472">
        <f>I101/SUM(I91,I101,I111)*I81</f>
        <v>906482.6636336724</v>
      </c>
      <c r="J79" s="1472">
        <f>J101/SUM(J91,J101,J111)*J81</f>
        <v>5426624.396478611</v>
      </c>
      <c r="K79" s="1472">
        <f>K101/SUM(K91,K101,K111)*K81</f>
        <v>9097860.0059096143</v>
      </c>
      <c r="L79" s="1472">
        <f>L101/SUM(L91,L101,L111)*L81</f>
        <v>13622777.796004947</v>
      </c>
      <c r="N79" s="1476">
        <f>SUM(AY79:BA79)</f>
        <v>0</v>
      </c>
      <c r="O79" s="1476">
        <f>SUM(BB79:BD79)</f>
        <v>0</v>
      </c>
      <c r="P79" s="1476">
        <f>SUM(BE79:BG79)</f>
        <v>0</v>
      </c>
      <c r="Q79" s="1476">
        <f>SUM(BH79:BJ79)</f>
        <v>0</v>
      </c>
      <c r="R79" s="1476">
        <f>SUM(BK79:BM79)</f>
        <v>0</v>
      </c>
      <c r="S79" s="1476">
        <f>SUM(BN79:BP79)</f>
        <v>0</v>
      </c>
      <c r="T79" s="1476">
        <f>SUM(BQ79:BS79)</f>
        <v>0</v>
      </c>
      <c r="U79" s="1476">
        <f>SUM(BT79:BV79)</f>
        <v>0</v>
      </c>
      <c r="V79" s="1476">
        <f>SUM(BW79:BY79)</f>
        <v>0</v>
      </c>
      <c r="W79" s="1476">
        <f>SUM(BZ79:CB79)</f>
        <v>0</v>
      </c>
      <c r="X79" s="1476">
        <f>SUM(CC79:CE79)</f>
        <v>0</v>
      </c>
      <c r="Y79" s="1476">
        <f>SUM(CF79:CH79)</f>
        <v>0</v>
      </c>
      <c r="Z79" s="1476">
        <f>SUM(CI79:CK79)</f>
        <v>0</v>
      </c>
      <c r="AA79" s="1476">
        <f>SUM(CL79:CN79)</f>
        <v>0</v>
      </c>
      <c r="AB79" s="1476">
        <f>SUM(CO79:CQ79)</f>
        <v>0</v>
      </c>
      <c r="AC79" s="1476">
        <f>SUM(CR79:CT79)</f>
        <v>0</v>
      </c>
      <c r="AD79" s="1476">
        <f>SUM(CU79:CW79)</f>
        <v>0</v>
      </c>
      <c r="AE79" s="1476">
        <f>SUM(CX79:CZ79)</f>
        <v>0</v>
      </c>
      <c r="AF79" s="1476">
        <f>SUM(DA79:DC79)</f>
        <v>0</v>
      </c>
      <c r="AG79" s="1476">
        <f>SUM(DD79:DF79)</f>
        <v>0</v>
      </c>
      <c r="AH79" s="1476">
        <f>SUM(DG79:DI79)</f>
        <v>165318.99007367884</v>
      </c>
      <c r="AI79" s="1476">
        <f>SUM(DJ79:DL79)</f>
        <v>224322.84242675465</v>
      </c>
      <c r="AJ79" s="1476">
        <f>SUM(DM79:DO79)</f>
        <v>210431.75359865007</v>
      </c>
      <c r="AK79" s="1476">
        <f>SUM(DP79:DR79)</f>
        <v>306409.07753458887</v>
      </c>
      <c r="AL79" s="1476">
        <f>SUM(DS79:DU79)</f>
        <v>989675.92070528143</v>
      </c>
      <c r="AM79" s="1476">
        <f>SUM(DV79:DX79)</f>
        <v>1342900.2652083761</v>
      </c>
      <c r="AN79" s="1476">
        <f>SUM(DY79:EA79)</f>
        <v>1259741.7840234484</v>
      </c>
      <c r="AO79" s="1476">
        <f>SUM(EB79:ED79)</f>
        <v>1834306.4265415045</v>
      </c>
      <c r="AP79" s="1476">
        <f>SUM(EE79:EG79)</f>
        <v>1659214.3328805096</v>
      </c>
      <c r="AQ79" s="1476">
        <f>SUM(EH79:EJ79)</f>
        <v>2251403.031080015</v>
      </c>
      <c r="AR79" s="1476">
        <f>SUM(EK79:EM79)</f>
        <v>2111985.9340324504</v>
      </c>
      <c r="AS79" s="1476">
        <f>SUM(EN79:EP79)</f>
        <v>3075256.7079166397</v>
      </c>
      <c r="AT79" s="1476">
        <f>SUM(EQ79:ES79)</f>
        <v>2484442.2928134385</v>
      </c>
      <c r="AU79" s="1476">
        <f>SUM(ET79:EV79)</f>
        <v>3371162.3614490433</v>
      </c>
      <c r="AV79" s="1476">
        <f>SUM(EW79:EY79)</f>
        <v>3162404.6829609862</v>
      </c>
      <c r="AW79" s="1476">
        <f>SUM(EZ79:FB79)</f>
        <v>4604768.4587814789</v>
      </c>
      <c r="AY79" s="1472">
        <f t="shared" ref="AY79:CD79" si="207">INDEX($D79:$L79,1,MATCH(AY$2,$D$2:$L$2,0))*AY75</f>
        <v>0</v>
      </c>
      <c r="AZ79" s="1472">
        <f t="shared" si="207"/>
        <v>0</v>
      </c>
      <c r="BA79" s="1472">
        <f t="shared" si="207"/>
        <v>0</v>
      </c>
      <c r="BB79" s="1472">
        <f t="shared" si="207"/>
        <v>0</v>
      </c>
      <c r="BC79" s="1472">
        <f t="shared" si="207"/>
        <v>0</v>
      </c>
      <c r="BD79" s="1472">
        <f t="shared" si="207"/>
        <v>0</v>
      </c>
      <c r="BE79" s="1472">
        <f t="shared" si="207"/>
        <v>0</v>
      </c>
      <c r="BF79" s="1472">
        <f t="shared" si="207"/>
        <v>0</v>
      </c>
      <c r="BG79" s="1472">
        <f t="shared" si="207"/>
        <v>0</v>
      </c>
      <c r="BH79" s="1472">
        <f t="shared" si="207"/>
        <v>0</v>
      </c>
      <c r="BI79" s="1472">
        <f t="shared" si="207"/>
        <v>0</v>
      </c>
      <c r="BJ79" s="1472">
        <f t="shared" si="207"/>
        <v>0</v>
      </c>
      <c r="BK79" s="1472">
        <f t="shared" si="207"/>
        <v>0</v>
      </c>
      <c r="BL79" s="1472">
        <f t="shared" si="207"/>
        <v>0</v>
      </c>
      <c r="BM79" s="1472">
        <f t="shared" si="207"/>
        <v>0</v>
      </c>
      <c r="BN79" s="1472">
        <f t="shared" si="207"/>
        <v>0</v>
      </c>
      <c r="BO79" s="1472">
        <f t="shared" si="207"/>
        <v>0</v>
      </c>
      <c r="BP79" s="1472">
        <f t="shared" si="207"/>
        <v>0</v>
      </c>
      <c r="BQ79" s="1472">
        <f t="shared" si="207"/>
        <v>0</v>
      </c>
      <c r="BR79" s="1472">
        <f t="shared" si="207"/>
        <v>0</v>
      </c>
      <c r="BS79" s="1472">
        <f t="shared" si="207"/>
        <v>0</v>
      </c>
      <c r="BT79" s="1472">
        <f t="shared" si="207"/>
        <v>0</v>
      </c>
      <c r="BU79" s="1472">
        <f t="shared" si="207"/>
        <v>0</v>
      </c>
      <c r="BV79" s="1472">
        <f t="shared" si="207"/>
        <v>0</v>
      </c>
      <c r="BW79" s="1472">
        <f t="shared" si="207"/>
        <v>0</v>
      </c>
      <c r="BX79" s="1472">
        <f t="shared" si="207"/>
        <v>0</v>
      </c>
      <c r="BY79" s="1472">
        <f t="shared" si="207"/>
        <v>0</v>
      </c>
      <c r="BZ79" s="1472">
        <f t="shared" si="207"/>
        <v>0</v>
      </c>
      <c r="CA79" s="1472">
        <f t="shared" si="207"/>
        <v>0</v>
      </c>
      <c r="CB79" s="1472">
        <f t="shared" si="207"/>
        <v>0</v>
      </c>
      <c r="CC79" s="1472">
        <f t="shared" si="207"/>
        <v>0</v>
      </c>
      <c r="CD79" s="1472">
        <f t="shared" si="207"/>
        <v>0</v>
      </c>
      <c r="CE79" s="1472">
        <f t="shared" ref="CE79:DJ79" si="208">INDEX($D79:$L79,1,MATCH(CE$2,$D$2:$L$2,0))*CE75</f>
        <v>0</v>
      </c>
      <c r="CF79" s="1472">
        <f t="shared" si="208"/>
        <v>0</v>
      </c>
      <c r="CG79" s="1472">
        <f t="shared" si="208"/>
        <v>0</v>
      </c>
      <c r="CH79" s="1472">
        <f t="shared" si="208"/>
        <v>0</v>
      </c>
      <c r="CI79" s="1472">
        <f t="shared" si="208"/>
        <v>0</v>
      </c>
      <c r="CJ79" s="1472">
        <f t="shared" si="208"/>
        <v>0</v>
      </c>
      <c r="CK79" s="1472">
        <f t="shared" si="208"/>
        <v>0</v>
      </c>
      <c r="CL79" s="1472">
        <f t="shared" si="208"/>
        <v>0</v>
      </c>
      <c r="CM79" s="1472">
        <f t="shared" si="208"/>
        <v>0</v>
      </c>
      <c r="CN79" s="1472">
        <f t="shared" si="208"/>
        <v>0</v>
      </c>
      <c r="CO79" s="1472">
        <f t="shared" si="208"/>
        <v>0</v>
      </c>
      <c r="CP79" s="1472">
        <f t="shared" si="208"/>
        <v>0</v>
      </c>
      <c r="CQ79" s="1472">
        <f t="shared" si="208"/>
        <v>0</v>
      </c>
      <c r="CR79" s="1472">
        <f t="shared" si="208"/>
        <v>0</v>
      </c>
      <c r="CS79" s="1472">
        <f t="shared" si="208"/>
        <v>0</v>
      </c>
      <c r="CT79" s="1472">
        <f t="shared" si="208"/>
        <v>0</v>
      </c>
      <c r="CU79" s="1472">
        <f t="shared" si="208"/>
        <v>0</v>
      </c>
      <c r="CV79" s="1472">
        <f t="shared" si="208"/>
        <v>0</v>
      </c>
      <c r="CW79" s="1472">
        <f t="shared" si="208"/>
        <v>0</v>
      </c>
      <c r="CX79" s="1472">
        <f t="shared" si="208"/>
        <v>0</v>
      </c>
      <c r="CY79" s="1472">
        <f t="shared" si="208"/>
        <v>0</v>
      </c>
      <c r="CZ79" s="1472">
        <f t="shared" si="208"/>
        <v>0</v>
      </c>
      <c r="DA79" s="1472">
        <f t="shared" si="208"/>
        <v>0</v>
      </c>
      <c r="DB79" s="1472">
        <f t="shared" si="208"/>
        <v>0</v>
      </c>
      <c r="DC79" s="1472">
        <f t="shared" si="208"/>
        <v>0</v>
      </c>
      <c r="DD79" s="1472">
        <f t="shared" si="208"/>
        <v>0</v>
      </c>
      <c r="DE79" s="1472">
        <f t="shared" si="208"/>
        <v>0</v>
      </c>
      <c r="DF79" s="1472">
        <f t="shared" si="208"/>
        <v>0</v>
      </c>
      <c r="DG79" s="1472">
        <f t="shared" si="208"/>
        <v>22838.12687673972</v>
      </c>
      <c r="DH79" s="1472">
        <f t="shared" si="208"/>
        <v>48238.953854184772</v>
      </c>
      <c r="DI79" s="1472">
        <f t="shared" si="208"/>
        <v>94241.909342754341</v>
      </c>
      <c r="DJ79" s="1472">
        <f t="shared" si="208"/>
        <v>40655.170665923353</v>
      </c>
      <c r="DK79" s="1472">
        <f t="shared" ref="DK79:EP79" si="209">INDEX($D79:$L79,1,MATCH(DK$2,$D$2:$L$2,0))*DK75</f>
        <v>76253.817657334483</v>
      </c>
      <c r="DL79" s="1472">
        <f t="shared" si="209"/>
        <v>107413.85410349684</v>
      </c>
      <c r="DM79" s="1472">
        <f t="shared" si="209"/>
        <v>35556.647777451042</v>
      </c>
      <c r="DN79" s="1472">
        <f t="shared" si="209"/>
        <v>63401.024511259988</v>
      </c>
      <c r="DO79" s="1472">
        <f t="shared" si="209"/>
        <v>111474.08130993904</v>
      </c>
      <c r="DP79" s="1472">
        <f t="shared" si="209"/>
        <v>42609.562569497757</v>
      </c>
      <c r="DQ79" s="1472">
        <f t="shared" si="209"/>
        <v>122424.65323021893</v>
      </c>
      <c r="DR79" s="1472">
        <f t="shared" si="209"/>
        <v>141374.86173487219</v>
      </c>
      <c r="DS79" s="1472">
        <f t="shared" si="209"/>
        <v>136719.58819642002</v>
      </c>
      <c r="DT79" s="1472">
        <f t="shared" si="209"/>
        <v>288780.6842288528</v>
      </c>
      <c r="DU79" s="1472">
        <f t="shared" si="209"/>
        <v>564175.64828000858</v>
      </c>
      <c r="DV79" s="1472">
        <f t="shared" si="209"/>
        <v>243380.65120223665</v>
      </c>
      <c r="DW79" s="1472">
        <f t="shared" si="209"/>
        <v>456490.61347206065</v>
      </c>
      <c r="DX79" s="1472">
        <f t="shared" si="209"/>
        <v>643029.00053407892</v>
      </c>
      <c r="DY79" s="1472">
        <f t="shared" si="209"/>
        <v>212858.53555395597</v>
      </c>
      <c r="DZ79" s="1472">
        <f t="shared" si="209"/>
        <v>379547.85036416381</v>
      </c>
      <c r="EA79" s="1472">
        <f t="shared" si="209"/>
        <v>667335.39810532844</v>
      </c>
      <c r="EB79" s="1472">
        <f t="shared" si="209"/>
        <v>255080.54487886088</v>
      </c>
      <c r="EC79" s="1472">
        <f t="shared" si="209"/>
        <v>732890.58533834026</v>
      </c>
      <c r="ED79" s="1472">
        <f t="shared" si="209"/>
        <v>846335.29632430326</v>
      </c>
      <c r="EE79" s="1472">
        <f t="shared" si="209"/>
        <v>229213.51886520686</v>
      </c>
      <c r="EF79" s="1472">
        <f t="shared" si="209"/>
        <v>484147.42675571295</v>
      </c>
      <c r="EG79" s="1472">
        <f t="shared" si="209"/>
        <v>945853.38725958962</v>
      </c>
      <c r="EH79" s="1472">
        <f t="shared" si="209"/>
        <v>408033.23226533056</v>
      </c>
      <c r="EI79" s="1472">
        <f t="shared" si="209"/>
        <v>765316.96169640636</v>
      </c>
      <c r="EJ79" s="1472">
        <f t="shared" si="209"/>
        <v>1078052.8371182778</v>
      </c>
      <c r="EK79" s="1472">
        <f t="shared" si="209"/>
        <v>356862.20678723906</v>
      </c>
      <c r="EL79" s="1472">
        <f t="shared" si="209"/>
        <v>636320.65827106545</v>
      </c>
      <c r="EM79" s="1472">
        <f t="shared" si="209"/>
        <v>1118803.0689741457</v>
      </c>
      <c r="EN79" s="1472">
        <f t="shared" si="209"/>
        <v>427648.37180272455</v>
      </c>
      <c r="EO79" s="1472">
        <f t="shared" si="209"/>
        <v>1228707.8408050744</v>
      </c>
      <c r="EP79" s="1472">
        <f t="shared" si="209"/>
        <v>1418900.4953088406</v>
      </c>
      <c r="EQ79" s="1472">
        <f t="shared" ref="EQ79:FB79" si="210">INDEX($D79:$L79,1,MATCH(EQ$2,$D$2:$L$2,0))*EQ75</f>
        <v>343215.30923896731</v>
      </c>
      <c r="ER79" s="1472">
        <f t="shared" si="210"/>
        <v>724943.31754022639</v>
      </c>
      <c r="ES79" s="1472">
        <f t="shared" si="210"/>
        <v>1416283.6660342447</v>
      </c>
      <c r="ET79" s="1472">
        <f t="shared" si="210"/>
        <v>610972.91593030235</v>
      </c>
      <c r="EU79" s="1472">
        <f t="shared" si="210"/>
        <v>1145955.5220603107</v>
      </c>
      <c r="EV79" s="1472">
        <f t="shared" si="210"/>
        <v>1614233.92345843</v>
      </c>
      <c r="EW79" s="1472">
        <f t="shared" si="210"/>
        <v>534351.43469966727</v>
      </c>
      <c r="EX79" s="1472">
        <f t="shared" si="210"/>
        <v>952801.5301404543</v>
      </c>
      <c r="EY79" s="1472">
        <f t="shared" si="210"/>
        <v>1675251.7181208644</v>
      </c>
      <c r="EZ79" s="1472">
        <f t="shared" si="210"/>
        <v>640343.85450068908</v>
      </c>
      <c r="FA79" s="1472">
        <f t="shared" si="210"/>
        <v>1839818.8014130718</v>
      </c>
      <c r="FB79" s="1472">
        <f t="shared" si="210"/>
        <v>2124605.802867718</v>
      </c>
    </row>
    <row r="80" spans="3:158" x14ac:dyDescent="0.25">
      <c r="C80" s="2" t="s">
        <v>889</v>
      </c>
      <c r="D80" s="244"/>
      <c r="E80" s="244"/>
      <c r="F80" s="244"/>
      <c r="G80" s="244"/>
      <c r="H80" s="88">
        <v>0</v>
      </c>
      <c r="I80" s="1473">
        <f>I81-SUM(I78:I79)</f>
        <v>980071.41678583226</v>
      </c>
      <c r="J80" s="1473">
        <f>J81-SUM(J78:J79)</f>
        <v>6556477.3963761758</v>
      </c>
      <c r="K80" s="1473">
        <f>K81-SUM(K78:K79)</f>
        <v>12449594.187787898</v>
      </c>
      <c r="L80" s="1473">
        <f>L81-SUM(L78:L79)</f>
        <v>21243322.16137575</v>
      </c>
      <c r="N80" s="1476">
        <f>SUM(AY80:BA80)</f>
        <v>0</v>
      </c>
      <c r="O80" s="1476">
        <f>SUM(BB80:BD80)</f>
        <v>0</v>
      </c>
      <c r="P80" s="1476">
        <f>SUM(BE80:BG80)</f>
        <v>0</v>
      </c>
      <c r="Q80" s="1476">
        <f>SUM(BH80:BJ80)</f>
        <v>0</v>
      </c>
      <c r="R80" s="1476">
        <f>SUM(BK80:BM80)</f>
        <v>0</v>
      </c>
      <c r="S80" s="1476">
        <f>SUM(BN80:BP80)</f>
        <v>0</v>
      </c>
      <c r="T80" s="1476">
        <f>SUM(BQ80:BS80)</f>
        <v>0</v>
      </c>
      <c r="U80" s="1476">
        <f>SUM(BT80:BV80)</f>
        <v>0</v>
      </c>
      <c r="V80" s="1476">
        <f>SUM(BW80:BY80)</f>
        <v>0</v>
      </c>
      <c r="W80" s="1476">
        <f>SUM(BZ80:CB80)</f>
        <v>0</v>
      </c>
      <c r="X80" s="1476">
        <f>SUM(CC80:CE80)</f>
        <v>0</v>
      </c>
      <c r="Y80" s="1476">
        <f>SUM(CF80:CH80)</f>
        <v>0</v>
      </c>
      <c r="Z80" s="1476">
        <f>SUM(CI80:CK80)</f>
        <v>0</v>
      </c>
      <c r="AA80" s="1476">
        <f>SUM(CL80:CN80)</f>
        <v>0</v>
      </c>
      <c r="AB80" s="1476">
        <f>SUM(CO80:CQ80)</f>
        <v>0</v>
      </c>
      <c r="AC80" s="1476">
        <f>SUM(CR80:CT80)</f>
        <v>0</v>
      </c>
      <c r="AD80" s="1476">
        <f>SUM(CU80:CW80)</f>
        <v>0</v>
      </c>
      <c r="AE80" s="1476">
        <f>SUM(CX80:CZ80)</f>
        <v>0</v>
      </c>
      <c r="AF80" s="1476">
        <f>SUM(DA80:DC80)</f>
        <v>0</v>
      </c>
      <c r="AG80" s="1476">
        <f>SUM(DD80:DF80)</f>
        <v>0</v>
      </c>
      <c r="AH80" s="1476">
        <f>SUM(DG80:DI80)</f>
        <v>178739.67514572415</v>
      </c>
      <c r="AI80" s="1476">
        <f>SUM(DJ80:DL80)</f>
        <v>242533.49216114869</v>
      </c>
      <c r="AJ80" s="1476">
        <f>SUM(DM80:DO80)</f>
        <v>227514.71722519456</v>
      </c>
      <c r="AK80" s="1476">
        <f>SUM(DP80:DR80)</f>
        <v>331283.53225376498</v>
      </c>
      <c r="AL80" s="1476">
        <f>SUM(DS80:DU80)</f>
        <v>1195731.8822457283</v>
      </c>
      <c r="AM80" s="1476">
        <f>SUM(DV80:DX80)</f>
        <v>1622499.4750216622</v>
      </c>
      <c r="AN80" s="1476">
        <f>SUM(DY80:EA80)</f>
        <v>1522026.9413855118</v>
      </c>
      <c r="AO80" s="1476">
        <f>SUM(EB80:ED80)</f>
        <v>2216219.0977232736</v>
      </c>
      <c r="AP80" s="1476">
        <f>SUM(EE80:EG80)</f>
        <v>2270483.9491381361</v>
      </c>
      <c r="AQ80" s="1476">
        <f>SUM(EH80:EJ80)</f>
        <v>3080840.3373865103</v>
      </c>
      <c r="AR80" s="1476">
        <f>SUM(EK80:EM80)</f>
        <v>2890060.7166895336</v>
      </c>
      <c r="AS80" s="1476">
        <f>SUM(EN80:EP80)</f>
        <v>4208209.1845737193</v>
      </c>
      <c r="AT80" s="1476">
        <f>SUM(EQ80:ES80)</f>
        <v>3874232.4662346514</v>
      </c>
      <c r="AU80" s="1476">
        <f>SUM(ET80:EV80)</f>
        <v>5256981.2981584538</v>
      </c>
      <c r="AV80" s="1476">
        <f>SUM(EW80:EY80)</f>
        <v>4931445.149496966</v>
      </c>
      <c r="AW80" s="1476">
        <f>SUM(EZ80:FB80)</f>
        <v>7180663.2474856749</v>
      </c>
      <c r="AY80" s="1472">
        <f t="shared" ref="AY80:CD80" si="211">INDEX($D80:$L80,1,MATCH(AY$2,$D$2:$L$2,0))*AY76</f>
        <v>0</v>
      </c>
      <c r="AZ80" s="1472">
        <f t="shared" si="211"/>
        <v>0</v>
      </c>
      <c r="BA80" s="1472">
        <f t="shared" si="211"/>
        <v>0</v>
      </c>
      <c r="BB80" s="1472">
        <f t="shared" si="211"/>
        <v>0</v>
      </c>
      <c r="BC80" s="1472">
        <f t="shared" si="211"/>
        <v>0</v>
      </c>
      <c r="BD80" s="1472">
        <f t="shared" si="211"/>
        <v>0</v>
      </c>
      <c r="BE80" s="1472">
        <f t="shared" si="211"/>
        <v>0</v>
      </c>
      <c r="BF80" s="1472">
        <f t="shared" si="211"/>
        <v>0</v>
      </c>
      <c r="BG80" s="1472">
        <f t="shared" si="211"/>
        <v>0</v>
      </c>
      <c r="BH80" s="1472">
        <f t="shared" si="211"/>
        <v>0</v>
      </c>
      <c r="BI80" s="1472">
        <f t="shared" si="211"/>
        <v>0</v>
      </c>
      <c r="BJ80" s="1472">
        <f t="shared" si="211"/>
        <v>0</v>
      </c>
      <c r="BK80" s="1472">
        <f t="shared" si="211"/>
        <v>0</v>
      </c>
      <c r="BL80" s="1472">
        <f t="shared" si="211"/>
        <v>0</v>
      </c>
      <c r="BM80" s="1472">
        <f t="shared" si="211"/>
        <v>0</v>
      </c>
      <c r="BN80" s="1472">
        <f t="shared" si="211"/>
        <v>0</v>
      </c>
      <c r="BO80" s="1472">
        <f t="shared" si="211"/>
        <v>0</v>
      </c>
      <c r="BP80" s="1472">
        <f t="shared" si="211"/>
        <v>0</v>
      </c>
      <c r="BQ80" s="1472">
        <f t="shared" si="211"/>
        <v>0</v>
      </c>
      <c r="BR80" s="1472">
        <f t="shared" si="211"/>
        <v>0</v>
      </c>
      <c r="BS80" s="1472">
        <f t="shared" si="211"/>
        <v>0</v>
      </c>
      <c r="BT80" s="1472">
        <f t="shared" si="211"/>
        <v>0</v>
      </c>
      <c r="BU80" s="1472">
        <f t="shared" si="211"/>
        <v>0</v>
      </c>
      <c r="BV80" s="1472">
        <f t="shared" si="211"/>
        <v>0</v>
      </c>
      <c r="BW80" s="1472">
        <f t="shared" si="211"/>
        <v>0</v>
      </c>
      <c r="BX80" s="1472">
        <f t="shared" si="211"/>
        <v>0</v>
      </c>
      <c r="BY80" s="1472">
        <f t="shared" si="211"/>
        <v>0</v>
      </c>
      <c r="BZ80" s="1472">
        <f t="shared" si="211"/>
        <v>0</v>
      </c>
      <c r="CA80" s="1472">
        <f t="shared" si="211"/>
        <v>0</v>
      </c>
      <c r="CB80" s="1472">
        <f t="shared" si="211"/>
        <v>0</v>
      </c>
      <c r="CC80" s="1472">
        <f t="shared" si="211"/>
        <v>0</v>
      </c>
      <c r="CD80" s="1472">
        <f t="shared" si="211"/>
        <v>0</v>
      </c>
      <c r="CE80" s="1472">
        <f t="shared" ref="CE80:DJ80" si="212">INDEX($D80:$L80,1,MATCH(CE$2,$D$2:$L$2,0))*CE76</f>
        <v>0</v>
      </c>
      <c r="CF80" s="1472">
        <f t="shared" si="212"/>
        <v>0</v>
      </c>
      <c r="CG80" s="1472">
        <f t="shared" si="212"/>
        <v>0</v>
      </c>
      <c r="CH80" s="1472">
        <f t="shared" si="212"/>
        <v>0</v>
      </c>
      <c r="CI80" s="1472">
        <f t="shared" si="212"/>
        <v>0</v>
      </c>
      <c r="CJ80" s="1472">
        <f t="shared" si="212"/>
        <v>0</v>
      </c>
      <c r="CK80" s="1472">
        <f t="shared" si="212"/>
        <v>0</v>
      </c>
      <c r="CL80" s="1472">
        <f t="shared" si="212"/>
        <v>0</v>
      </c>
      <c r="CM80" s="1472">
        <f t="shared" si="212"/>
        <v>0</v>
      </c>
      <c r="CN80" s="1472">
        <f t="shared" si="212"/>
        <v>0</v>
      </c>
      <c r="CO80" s="1472">
        <f t="shared" si="212"/>
        <v>0</v>
      </c>
      <c r="CP80" s="1472">
        <f t="shared" si="212"/>
        <v>0</v>
      </c>
      <c r="CQ80" s="1472">
        <f t="shared" si="212"/>
        <v>0</v>
      </c>
      <c r="CR80" s="1472">
        <f t="shared" si="212"/>
        <v>0</v>
      </c>
      <c r="CS80" s="1472">
        <f t="shared" si="212"/>
        <v>0</v>
      </c>
      <c r="CT80" s="1472">
        <f t="shared" si="212"/>
        <v>0</v>
      </c>
      <c r="CU80" s="1472">
        <f t="shared" si="212"/>
        <v>0</v>
      </c>
      <c r="CV80" s="1472">
        <f t="shared" si="212"/>
        <v>0</v>
      </c>
      <c r="CW80" s="1472">
        <f t="shared" si="212"/>
        <v>0</v>
      </c>
      <c r="CX80" s="1472">
        <f t="shared" si="212"/>
        <v>0</v>
      </c>
      <c r="CY80" s="1472">
        <f t="shared" si="212"/>
        <v>0</v>
      </c>
      <c r="CZ80" s="1472">
        <f t="shared" si="212"/>
        <v>0</v>
      </c>
      <c r="DA80" s="1472">
        <f t="shared" si="212"/>
        <v>0</v>
      </c>
      <c r="DB80" s="1472">
        <f t="shared" si="212"/>
        <v>0</v>
      </c>
      <c r="DC80" s="1472">
        <f t="shared" si="212"/>
        <v>0</v>
      </c>
      <c r="DD80" s="1472">
        <f t="shared" si="212"/>
        <v>0</v>
      </c>
      <c r="DE80" s="1472">
        <f t="shared" si="212"/>
        <v>0</v>
      </c>
      <c r="DF80" s="1472">
        <f t="shared" si="212"/>
        <v>0</v>
      </c>
      <c r="DG80" s="1472">
        <f t="shared" si="212"/>
        <v>24692.138374823135</v>
      </c>
      <c r="DH80" s="1472">
        <f t="shared" si="212"/>
        <v>52155.018231262147</v>
      </c>
      <c r="DI80" s="1472">
        <f t="shared" si="212"/>
        <v>101892.51853963888</v>
      </c>
      <c r="DJ80" s="1472">
        <f t="shared" si="212"/>
        <v>43955.579420020156</v>
      </c>
      <c r="DK80" s="1472">
        <f t="shared" ref="DK80:EP80" si="213">INDEX($D80:$L80,1,MATCH(DK$2,$D$2:$L$2,0))*DK76</f>
        <v>82444.143837431286</v>
      </c>
      <c r="DL80" s="1472">
        <f t="shared" si="213"/>
        <v>116133.76890369724</v>
      </c>
      <c r="DM80" s="1472">
        <f t="shared" si="213"/>
        <v>38443.155684535021</v>
      </c>
      <c r="DN80" s="1472">
        <f t="shared" si="213"/>
        <v>68547.953988819863</v>
      </c>
      <c r="DO80" s="1472">
        <f t="shared" si="213"/>
        <v>120523.60755183967</v>
      </c>
      <c r="DP80" s="1472">
        <f t="shared" si="213"/>
        <v>46068.629915892627</v>
      </c>
      <c r="DQ80" s="1472">
        <f t="shared" si="213"/>
        <v>132363.15282621136</v>
      </c>
      <c r="DR80" s="1472">
        <f t="shared" si="213"/>
        <v>152851.74951166101</v>
      </c>
      <c r="DS80" s="1472">
        <f t="shared" si="213"/>
        <v>165185.35726065157</v>
      </c>
      <c r="DT80" s="1472">
        <f t="shared" si="213"/>
        <v>348906.40853735059</v>
      </c>
      <c r="DU80" s="1472">
        <f t="shared" si="213"/>
        <v>681640.11644772626</v>
      </c>
      <c r="DV80" s="1472">
        <f t="shared" si="213"/>
        <v>294053.83931827988</v>
      </c>
      <c r="DW80" s="1472">
        <f t="shared" si="213"/>
        <v>551534.46603557584</v>
      </c>
      <c r="DX80" s="1472">
        <f t="shared" si="213"/>
        <v>776911.16966780659</v>
      </c>
      <c r="DY80" s="1472">
        <f t="shared" si="213"/>
        <v>257176.85157846325</v>
      </c>
      <c r="DZ80" s="1472">
        <f t="shared" si="213"/>
        <v>458571.79711398802</v>
      </c>
      <c r="EA80" s="1472">
        <f t="shared" si="213"/>
        <v>806278.29269306047</v>
      </c>
      <c r="EB80" s="1472">
        <f t="shared" si="213"/>
        <v>308189.71510886698</v>
      </c>
      <c r="EC80" s="1472">
        <f t="shared" si="213"/>
        <v>885482.4299072295</v>
      </c>
      <c r="ED80" s="1472">
        <f t="shared" si="213"/>
        <v>1022546.952707177</v>
      </c>
      <c r="EE80" s="1472">
        <f t="shared" si="213"/>
        <v>313657.85914194048</v>
      </c>
      <c r="EF80" s="1472">
        <f t="shared" si="213"/>
        <v>662511.73201777169</v>
      </c>
      <c r="EG80" s="1472">
        <f t="shared" si="213"/>
        <v>1294314.3579784241</v>
      </c>
      <c r="EH80" s="1472">
        <f t="shared" si="213"/>
        <v>558356.37760254601</v>
      </c>
      <c r="EI80" s="1472">
        <f t="shared" si="213"/>
        <v>1047266.6750161173</v>
      </c>
      <c r="EJ80" s="1472">
        <f t="shared" si="213"/>
        <v>1475217.284767847</v>
      </c>
      <c r="EK80" s="1472">
        <f t="shared" si="213"/>
        <v>488333.48200276896</v>
      </c>
      <c r="EL80" s="1472">
        <f t="shared" si="213"/>
        <v>870746.96287204325</v>
      </c>
      <c r="EM80" s="1472">
        <f t="shared" si="213"/>
        <v>1530980.2718147216</v>
      </c>
      <c r="EN80" s="1472">
        <f t="shared" si="213"/>
        <v>585197.91253699933</v>
      </c>
      <c r="EO80" s="1472">
        <f t="shared" si="213"/>
        <v>1681374.9588848364</v>
      </c>
      <c r="EP80" s="1472">
        <f t="shared" si="213"/>
        <v>1941636.3131518837</v>
      </c>
      <c r="EQ80" s="1472">
        <f t="shared" ref="EQ80:FB80" si="214">INDEX($D80:$L80,1,MATCH(EQ$2,$D$2:$L$2,0))*EQ76</f>
        <v>535209.00759445492</v>
      </c>
      <c r="ER80" s="1472">
        <f t="shared" si="214"/>
        <v>1130474.6119957892</v>
      </c>
      <c r="ES80" s="1472">
        <f t="shared" si="214"/>
        <v>2208548.8466444071</v>
      </c>
      <c r="ET80" s="1472">
        <f t="shared" si="214"/>
        <v>952749.48173850705</v>
      </c>
      <c r="EU80" s="1472">
        <f t="shared" si="214"/>
        <v>1786999.8837442587</v>
      </c>
      <c r="EV80" s="1472">
        <f t="shared" si="214"/>
        <v>2517231.9326756885</v>
      </c>
      <c r="EW80" s="1472">
        <f t="shared" si="214"/>
        <v>833266.15501629247</v>
      </c>
      <c r="EX80" s="1472">
        <f t="shared" si="214"/>
        <v>1485796.0809256737</v>
      </c>
      <c r="EY80" s="1472">
        <f t="shared" si="214"/>
        <v>2612382.913555</v>
      </c>
      <c r="EZ80" s="1472">
        <f t="shared" si="214"/>
        <v>998550.44242184726</v>
      </c>
      <c r="FA80" s="1472">
        <f t="shared" si="214"/>
        <v>2869008.3698227764</v>
      </c>
      <c r="FB80" s="1472">
        <f t="shared" si="214"/>
        <v>3313104.4352410515</v>
      </c>
    </row>
    <row r="81" spans="2:158" s="1" customFormat="1" x14ac:dyDescent="0.25">
      <c r="C81" s="1" t="s">
        <v>888</v>
      </c>
      <c r="G81" s="1462">
        <f>SUM(G78:G80)</f>
        <v>0</v>
      </c>
      <c r="H81" s="1462">
        <f>SUM(H78:H80)</f>
        <v>49766.462478685935</v>
      </c>
      <c r="I81" s="1462">
        <f>I85-I70</f>
        <v>2618024.4816904706</v>
      </c>
      <c r="J81" s="1462">
        <f>J85-J70</f>
        <v>16195868.201610306</v>
      </c>
      <c r="K81" s="1462">
        <f>K85-K70</f>
        <v>28382349.016926587</v>
      </c>
      <c r="L81" s="1462">
        <f>L85-L70</f>
        <v>44792155.625261277</v>
      </c>
      <c r="N81" s="1489">
        <f t="shared" ref="N81:AW81" si="215">SUM(N78:N80)</f>
        <v>0</v>
      </c>
      <c r="O81" s="1489">
        <f t="shared" si="215"/>
        <v>0</v>
      </c>
      <c r="P81" s="1489">
        <f t="shared" si="215"/>
        <v>0</v>
      </c>
      <c r="Q81" s="1489">
        <f t="shared" si="215"/>
        <v>0</v>
      </c>
      <c r="R81" s="1489">
        <f t="shared" si="215"/>
        <v>0</v>
      </c>
      <c r="S81" s="1489">
        <f t="shared" si="215"/>
        <v>0</v>
      </c>
      <c r="T81" s="1489">
        <f t="shared" si="215"/>
        <v>0</v>
      </c>
      <c r="U81" s="1489">
        <f t="shared" si="215"/>
        <v>0</v>
      </c>
      <c r="V81" s="1489">
        <f t="shared" si="215"/>
        <v>0</v>
      </c>
      <c r="W81" s="1489">
        <f t="shared" si="215"/>
        <v>0</v>
      </c>
      <c r="X81" s="1489">
        <f t="shared" si="215"/>
        <v>0</v>
      </c>
      <c r="Y81" s="1489">
        <f t="shared" si="215"/>
        <v>0</v>
      </c>
      <c r="Z81" s="1489">
        <f t="shared" si="215"/>
        <v>0</v>
      </c>
      <c r="AA81" s="1489">
        <f t="shared" si="215"/>
        <v>0</v>
      </c>
      <c r="AB81" s="1489">
        <f t="shared" si="215"/>
        <v>0</v>
      </c>
      <c r="AC81" s="1489">
        <f t="shared" si="215"/>
        <v>0</v>
      </c>
      <c r="AD81" s="1489">
        <f t="shared" si="215"/>
        <v>8807.376561388859</v>
      </c>
      <c r="AE81" s="1489">
        <f t="shared" si="215"/>
        <v>11718.266130490867</v>
      </c>
      <c r="AF81" s="1489">
        <f t="shared" si="215"/>
        <v>11552.834256986327</v>
      </c>
      <c r="AG81" s="1489">
        <f t="shared" si="215"/>
        <v>17687.985529819885</v>
      </c>
      <c r="AH81" s="1489">
        <f t="shared" si="215"/>
        <v>477459.9456390065</v>
      </c>
      <c r="AI81" s="1489">
        <f t="shared" si="215"/>
        <v>647869.74625801563</v>
      </c>
      <c r="AJ81" s="1489">
        <f t="shared" si="215"/>
        <v>607750.71024299087</v>
      </c>
      <c r="AK81" s="1489">
        <f t="shared" si="215"/>
        <v>884944.07955045765</v>
      </c>
      <c r="AL81" s="1489">
        <f t="shared" si="215"/>
        <v>2953707.4252736606</v>
      </c>
      <c r="AM81" s="1489">
        <f t="shared" si="215"/>
        <v>4007912.4911124869</v>
      </c>
      <c r="AN81" s="1489">
        <f t="shared" si="215"/>
        <v>3759724.3537519677</v>
      </c>
      <c r="AO81" s="1489">
        <f t="shared" si="215"/>
        <v>5474523.9314721897</v>
      </c>
      <c r="AP81" s="1489">
        <f t="shared" si="215"/>
        <v>5176206.3011644771</v>
      </c>
      <c r="AQ81" s="1489">
        <f t="shared" si="215"/>
        <v>7023641.4458314804</v>
      </c>
      <c r="AR81" s="1489">
        <f t="shared" si="215"/>
        <v>6588705.6801942419</v>
      </c>
      <c r="AS81" s="1489">
        <f t="shared" si="215"/>
        <v>9593795.589736389</v>
      </c>
      <c r="AT81" s="1489">
        <f t="shared" si="215"/>
        <v>8168930.5579303941</v>
      </c>
      <c r="AU81" s="1489">
        <f t="shared" si="215"/>
        <v>11084496.230741721</v>
      </c>
      <c r="AV81" s="1489">
        <f t="shared" si="215"/>
        <v>10398093.900554148</v>
      </c>
      <c r="AW81" s="1489">
        <f t="shared" si="215"/>
        <v>15140634.936035009</v>
      </c>
      <c r="AY81" s="1489">
        <f t="shared" ref="AY81:CD81" si="216">SUM(AY78:AY80)</f>
        <v>0</v>
      </c>
      <c r="AZ81" s="1489">
        <f t="shared" si="216"/>
        <v>0</v>
      </c>
      <c r="BA81" s="1489">
        <f t="shared" si="216"/>
        <v>0</v>
      </c>
      <c r="BB81" s="1489">
        <f t="shared" si="216"/>
        <v>0</v>
      </c>
      <c r="BC81" s="1489">
        <f t="shared" si="216"/>
        <v>0</v>
      </c>
      <c r="BD81" s="1489">
        <f t="shared" si="216"/>
        <v>0</v>
      </c>
      <c r="BE81" s="1489">
        <f t="shared" si="216"/>
        <v>0</v>
      </c>
      <c r="BF81" s="1489">
        <f t="shared" si="216"/>
        <v>0</v>
      </c>
      <c r="BG81" s="1489">
        <f t="shared" si="216"/>
        <v>0</v>
      </c>
      <c r="BH81" s="1489">
        <f t="shared" si="216"/>
        <v>0</v>
      </c>
      <c r="BI81" s="1489">
        <f t="shared" si="216"/>
        <v>0</v>
      </c>
      <c r="BJ81" s="1489">
        <f t="shared" si="216"/>
        <v>0</v>
      </c>
      <c r="BK81" s="1489">
        <f t="shared" si="216"/>
        <v>0</v>
      </c>
      <c r="BL81" s="1489">
        <f t="shared" si="216"/>
        <v>0</v>
      </c>
      <c r="BM81" s="1489">
        <f t="shared" si="216"/>
        <v>0</v>
      </c>
      <c r="BN81" s="1489">
        <f t="shared" si="216"/>
        <v>0</v>
      </c>
      <c r="BO81" s="1489">
        <f t="shared" si="216"/>
        <v>0</v>
      </c>
      <c r="BP81" s="1489">
        <f t="shared" si="216"/>
        <v>0</v>
      </c>
      <c r="BQ81" s="1489">
        <f t="shared" si="216"/>
        <v>0</v>
      </c>
      <c r="BR81" s="1489">
        <f t="shared" si="216"/>
        <v>0</v>
      </c>
      <c r="BS81" s="1489">
        <f t="shared" si="216"/>
        <v>0</v>
      </c>
      <c r="BT81" s="1489">
        <f t="shared" si="216"/>
        <v>0</v>
      </c>
      <c r="BU81" s="1489">
        <f t="shared" si="216"/>
        <v>0</v>
      </c>
      <c r="BV81" s="1489">
        <f t="shared" si="216"/>
        <v>0</v>
      </c>
      <c r="BW81" s="1489">
        <f t="shared" si="216"/>
        <v>0</v>
      </c>
      <c r="BX81" s="1489">
        <f t="shared" si="216"/>
        <v>0</v>
      </c>
      <c r="BY81" s="1489">
        <f t="shared" si="216"/>
        <v>0</v>
      </c>
      <c r="BZ81" s="1489">
        <f t="shared" si="216"/>
        <v>0</v>
      </c>
      <c r="CA81" s="1489">
        <f t="shared" si="216"/>
        <v>0</v>
      </c>
      <c r="CB81" s="1489">
        <f t="shared" si="216"/>
        <v>0</v>
      </c>
      <c r="CC81" s="1489">
        <f t="shared" si="216"/>
        <v>0</v>
      </c>
      <c r="CD81" s="1489">
        <f t="shared" si="216"/>
        <v>0</v>
      </c>
      <c r="CE81" s="1489">
        <f t="shared" ref="CE81:DJ81" si="217">SUM(CE78:CE80)</f>
        <v>0</v>
      </c>
      <c r="CF81" s="1489">
        <f t="shared" si="217"/>
        <v>0</v>
      </c>
      <c r="CG81" s="1489">
        <f t="shared" si="217"/>
        <v>0</v>
      </c>
      <c r="CH81" s="1489">
        <f t="shared" si="217"/>
        <v>0</v>
      </c>
      <c r="CI81" s="1489">
        <f t="shared" si="217"/>
        <v>0</v>
      </c>
      <c r="CJ81" s="1489">
        <f t="shared" si="217"/>
        <v>0</v>
      </c>
      <c r="CK81" s="1489">
        <f t="shared" si="217"/>
        <v>0</v>
      </c>
      <c r="CL81" s="1489">
        <f t="shared" si="217"/>
        <v>0</v>
      </c>
      <c r="CM81" s="1489">
        <f t="shared" si="217"/>
        <v>0</v>
      </c>
      <c r="CN81" s="1489">
        <f t="shared" si="217"/>
        <v>0</v>
      </c>
      <c r="CO81" s="1489">
        <f t="shared" si="217"/>
        <v>0</v>
      </c>
      <c r="CP81" s="1489">
        <f t="shared" si="217"/>
        <v>0</v>
      </c>
      <c r="CQ81" s="1489">
        <f t="shared" si="217"/>
        <v>0</v>
      </c>
      <c r="CR81" s="1489">
        <f t="shared" si="217"/>
        <v>0</v>
      </c>
      <c r="CS81" s="1489">
        <f t="shared" si="217"/>
        <v>0</v>
      </c>
      <c r="CT81" s="1489">
        <f t="shared" si="217"/>
        <v>0</v>
      </c>
      <c r="CU81" s="1489">
        <f t="shared" si="217"/>
        <v>1164.2477487910176</v>
      </c>
      <c r="CV81" s="1489">
        <f t="shared" si="217"/>
        <v>2558.7689607393845</v>
      </c>
      <c r="CW81" s="1489">
        <f t="shared" si="217"/>
        <v>5084.3598518584568</v>
      </c>
      <c r="CX81" s="1489">
        <f t="shared" si="217"/>
        <v>2032.928325682517</v>
      </c>
      <c r="CY81" s="1489">
        <f t="shared" si="217"/>
        <v>3987.3162040876505</v>
      </c>
      <c r="CZ81" s="1489">
        <f t="shared" si="217"/>
        <v>5698.0216007207</v>
      </c>
      <c r="DA81" s="1489">
        <f t="shared" si="217"/>
        <v>1952.0820954160799</v>
      </c>
      <c r="DB81" s="1489">
        <f t="shared" si="217"/>
        <v>3480.7557099900209</v>
      </c>
      <c r="DC81" s="1489">
        <f t="shared" si="217"/>
        <v>6119.9964515802267</v>
      </c>
      <c r="DD81" s="1489">
        <f t="shared" si="217"/>
        <v>2627.9369900020315</v>
      </c>
      <c r="DE81" s="1489">
        <f t="shared" si="217"/>
        <v>7009.8351486246283</v>
      </c>
      <c r="DF81" s="1489">
        <f t="shared" si="217"/>
        <v>8050.213391193226</v>
      </c>
      <c r="DG81" s="1489">
        <f t="shared" si="217"/>
        <v>65959.094065388927</v>
      </c>
      <c r="DH81" s="1489">
        <f t="shared" si="217"/>
        <v>139319.55593629443</v>
      </c>
      <c r="DI81" s="1489">
        <f t="shared" si="217"/>
        <v>272181.29563732311</v>
      </c>
      <c r="DJ81" s="1489">
        <f t="shared" si="217"/>
        <v>117416.73214580593</v>
      </c>
      <c r="DK81" s="1489">
        <f t="shared" ref="DK81:EP81" si="218">SUM(DK78:DK80)</f>
        <v>220229.65188216657</v>
      </c>
      <c r="DL81" s="1489">
        <f t="shared" si="218"/>
        <v>310223.36223004316</v>
      </c>
      <c r="DM81" s="1489">
        <f t="shared" si="218"/>
        <v>102691.62125513154</v>
      </c>
      <c r="DN81" s="1489">
        <f t="shared" si="218"/>
        <v>183109.33125778369</v>
      </c>
      <c r="DO81" s="1489">
        <f t="shared" si="218"/>
        <v>321949.75773007562</v>
      </c>
      <c r="DP81" s="1489">
        <f t="shared" si="218"/>
        <v>123061.23706095251</v>
      </c>
      <c r="DQ81" s="1489">
        <f t="shared" si="218"/>
        <v>353576.24825873587</v>
      </c>
      <c r="DR81" s="1489">
        <f t="shared" si="218"/>
        <v>408306.5942307692</v>
      </c>
      <c r="DS81" s="1489">
        <f t="shared" si="218"/>
        <v>408042.32414620975</v>
      </c>
      <c r="DT81" s="1489">
        <f t="shared" si="218"/>
        <v>861871.68287827878</v>
      </c>
      <c r="DU81" s="1489">
        <f t="shared" si="218"/>
        <v>1683793.4182491724</v>
      </c>
      <c r="DV81" s="1489">
        <f t="shared" si="218"/>
        <v>726374.38335539866</v>
      </c>
      <c r="DW81" s="1489">
        <f t="shared" si="218"/>
        <v>1362405.2948759983</v>
      </c>
      <c r="DX81" s="1489">
        <f t="shared" si="218"/>
        <v>1919132.8128810902</v>
      </c>
      <c r="DY81" s="1489">
        <f t="shared" si="218"/>
        <v>635280.52349757659</v>
      </c>
      <c r="DZ81" s="1489">
        <f t="shared" si="218"/>
        <v>1132768.09146611</v>
      </c>
      <c r="EA81" s="1489">
        <f t="shared" si="218"/>
        <v>1991675.7387882806</v>
      </c>
      <c r="EB81" s="1489">
        <f t="shared" si="218"/>
        <v>761292.94821542874</v>
      </c>
      <c r="EC81" s="1489">
        <f t="shared" si="218"/>
        <v>2187326.4960153159</v>
      </c>
      <c r="ED81" s="1489">
        <f t="shared" si="218"/>
        <v>2525904.4872414446</v>
      </c>
      <c r="EE81" s="1489">
        <f t="shared" si="218"/>
        <v>715071.2461616681</v>
      </c>
      <c r="EF81" s="1489">
        <f t="shared" si="218"/>
        <v>1510381.697773078</v>
      </c>
      <c r="EG81" s="1489">
        <f t="shared" si="218"/>
        <v>2950753.357229731</v>
      </c>
      <c r="EH81" s="1489">
        <f t="shared" si="218"/>
        <v>1272930.2936225394</v>
      </c>
      <c r="EI81" s="1489">
        <f t="shared" si="218"/>
        <v>2387538.7290342795</v>
      </c>
      <c r="EJ81" s="1489">
        <f t="shared" si="218"/>
        <v>3363172.4231746616</v>
      </c>
      <c r="EK81" s="1489">
        <f t="shared" si="218"/>
        <v>1113293.4225638679</v>
      </c>
      <c r="EL81" s="1489">
        <f t="shared" si="218"/>
        <v>1985112.4328137173</v>
      </c>
      <c r="EM81" s="1489">
        <f t="shared" si="218"/>
        <v>3490299.8248166563</v>
      </c>
      <c r="EN81" s="1489">
        <f t="shared" si="218"/>
        <v>1334123.1165506132</v>
      </c>
      <c r="EO81" s="1489">
        <f t="shared" si="218"/>
        <v>3833166.783717419</v>
      </c>
      <c r="EP81" s="1489">
        <f t="shared" si="218"/>
        <v>4426505.6894683568</v>
      </c>
      <c r="EQ81" s="1489">
        <f t="shared" ref="EQ81:FB81" si="219">SUM(EQ78:EQ80)</f>
        <v>1128503.5823539915</v>
      </c>
      <c r="ER81" s="1489">
        <f t="shared" si="219"/>
        <v>2383638.2259921893</v>
      </c>
      <c r="ES81" s="1489">
        <f t="shared" si="219"/>
        <v>4656788.7495842129</v>
      </c>
      <c r="ET81" s="1489">
        <f t="shared" si="219"/>
        <v>2008899.6783897802</v>
      </c>
      <c r="EU81" s="1489">
        <f t="shared" si="219"/>
        <v>3767940.6397428052</v>
      </c>
      <c r="EV81" s="1489">
        <f t="shared" si="219"/>
        <v>5307655.9126091348</v>
      </c>
      <c r="EW81" s="1489">
        <f t="shared" si="219"/>
        <v>1756965.6482739006</v>
      </c>
      <c r="EX81" s="1489">
        <f t="shared" si="219"/>
        <v>3132843.7604373302</v>
      </c>
      <c r="EY81" s="1489">
        <f t="shared" si="219"/>
        <v>5508284.4918429181</v>
      </c>
      <c r="EZ81" s="1489">
        <f t="shared" si="219"/>
        <v>2105472.3209891892</v>
      </c>
      <c r="FA81" s="1489">
        <f t="shared" si="219"/>
        <v>6049386.6456034835</v>
      </c>
      <c r="FB81" s="1489">
        <f t="shared" si="219"/>
        <v>6985775.9694423368</v>
      </c>
    </row>
    <row r="82" spans="2:158" x14ac:dyDescent="0.25">
      <c r="L82" s="20"/>
    </row>
    <row r="83" spans="2:158" x14ac:dyDescent="0.25">
      <c r="B83" s="519">
        <v>0</v>
      </c>
      <c r="C83" s="2" t="s">
        <v>876</v>
      </c>
      <c r="G83" s="437">
        <v>0</v>
      </c>
      <c r="H83" s="437">
        <v>133034.23248396226</v>
      </c>
      <c r="I83" s="437">
        <v>2553011.5070044594</v>
      </c>
      <c r="J83" s="437">
        <v>7485625</v>
      </c>
      <c r="K83" s="437">
        <v>16000523.4375</v>
      </c>
      <c r="L83" s="437">
        <v>22400732.8125</v>
      </c>
    </row>
    <row r="84" spans="2:158" x14ac:dyDescent="0.25">
      <c r="B84" s="1490">
        <f>ABS(1-B83)</f>
        <v>1</v>
      </c>
      <c r="C84" s="2" t="s">
        <v>877</v>
      </c>
      <c r="G84" s="159">
        <v>0</v>
      </c>
      <c r="H84" s="159">
        <v>133034.23248396226</v>
      </c>
      <c r="I84" s="159">
        <v>4000000</v>
      </c>
      <c r="J84" s="159">
        <v>20000000</v>
      </c>
      <c r="K84" s="159">
        <v>35000000</v>
      </c>
      <c r="L84" s="159">
        <v>57750000</v>
      </c>
    </row>
    <row r="85" spans="2:158" ht="15.75" thickBot="1" x14ac:dyDescent="0.3">
      <c r="C85" s="1" t="s">
        <v>875</v>
      </c>
      <c r="G85" s="1462">
        <f t="shared" ref="G85:L85" si="220">G83*$B83+$B84*G84</f>
        <v>0</v>
      </c>
      <c r="H85" s="1462">
        <f t="shared" si="220"/>
        <v>133034.23248396226</v>
      </c>
      <c r="I85" s="1462">
        <f t="shared" si="220"/>
        <v>4000000</v>
      </c>
      <c r="J85" s="1462">
        <f t="shared" si="220"/>
        <v>20000000</v>
      </c>
      <c r="K85" s="1462">
        <f t="shared" si="220"/>
        <v>35000000</v>
      </c>
      <c r="L85" s="1462">
        <f t="shared" si="220"/>
        <v>57750000</v>
      </c>
      <c r="N85" s="1491">
        <f t="shared" ref="N85:AW85" si="221">SUM(N81,N70)</f>
        <v>0</v>
      </c>
      <c r="O85" s="1491">
        <f t="shared" si="221"/>
        <v>0</v>
      </c>
      <c r="P85" s="1491">
        <f t="shared" si="221"/>
        <v>0</v>
      </c>
      <c r="Q85" s="1491">
        <f t="shared" si="221"/>
        <v>0</v>
      </c>
      <c r="R85" s="1491">
        <f t="shared" si="221"/>
        <v>0</v>
      </c>
      <c r="S85" s="1491">
        <f t="shared" si="221"/>
        <v>0</v>
      </c>
      <c r="T85" s="1491">
        <f t="shared" si="221"/>
        <v>0</v>
      </c>
      <c r="U85" s="1491">
        <f t="shared" si="221"/>
        <v>0</v>
      </c>
      <c r="V85" s="1491">
        <f t="shared" si="221"/>
        <v>0</v>
      </c>
      <c r="W85" s="1491">
        <f t="shared" si="221"/>
        <v>0</v>
      </c>
      <c r="X85" s="1491">
        <f t="shared" si="221"/>
        <v>0</v>
      </c>
      <c r="Y85" s="1491">
        <f t="shared" si="221"/>
        <v>0</v>
      </c>
      <c r="Z85" s="1491">
        <f t="shared" si="221"/>
        <v>0</v>
      </c>
      <c r="AA85" s="1491">
        <f t="shared" si="221"/>
        <v>0</v>
      </c>
      <c r="AB85" s="1491">
        <f t="shared" si="221"/>
        <v>0</v>
      </c>
      <c r="AC85" s="1491">
        <f t="shared" si="221"/>
        <v>0</v>
      </c>
      <c r="AD85" s="1491">
        <f t="shared" si="221"/>
        <v>8807.376561388859</v>
      </c>
      <c r="AE85" s="1491">
        <f t="shared" si="221"/>
        <v>11718.266130490867</v>
      </c>
      <c r="AF85" s="1491">
        <f t="shared" si="221"/>
        <v>11552.834256986327</v>
      </c>
      <c r="AG85" s="1491">
        <f t="shared" si="221"/>
        <v>100955.75553509622</v>
      </c>
      <c r="AH85" s="1491">
        <f t="shared" si="221"/>
        <v>534988.62447162415</v>
      </c>
      <c r="AI85" s="1491">
        <f t="shared" si="221"/>
        <v>725930.93421372003</v>
      </c>
      <c r="AJ85" s="1491">
        <f t="shared" si="221"/>
        <v>1003166.9460348216</v>
      </c>
      <c r="AK85" s="1491">
        <f t="shared" si="221"/>
        <v>1735913.4952798341</v>
      </c>
      <c r="AL85" s="1491">
        <f t="shared" si="221"/>
        <v>3647482.6647206014</v>
      </c>
      <c r="AM85" s="1491">
        <f t="shared" si="221"/>
        <v>4949302.4285218529</v>
      </c>
      <c r="AN85" s="1491">
        <f t="shared" si="221"/>
        <v>4642819.1523294188</v>
      </c>
      <c r="AO85" s="1491">
        <f t="shared" si="221"/>
        <v>6760395.7544281259</v>
      </c>
      <c r="AP85" s="1491">
        <f t="shared" si="221"/>
        <v>6383094.6632610541</v>
      </c>
      <c r="AQ85" s="1491">
        <f t="shared" si="221"/>
        <v>8661279.2499132454</v>
      </c>
      <c r="AR85" s="1491">
        <f t="shared" si="221"/>
        <v>8124933.5165764857</v>
      </c>
      <c r="AS85" s="1491">
        <f t="shared" si="221"/>
        <v>11830692.57024922</v>
      </c>
      <c r="AT85" s="1491">
        <f t="shared" si="221"/>
        <v>10532106.194380736</v>
      </c>
      <c r="AU85" s="1491">
        <f t="shared" si="221"/>
        <v>14291110.762356849</v>
      </c>
      <c r="AV85" s="1491">
        <f t="shared" si="221"/>
        <v>13406140.302351195</v>
      </c>
      <c r="AW85" s="1491">
        <f t="shared" si="221"/>
        <v>19520642.740911208</v>
      </c>
      <c r="AY85" s="1491">
        <f t="shared" ref="AY85:CD85" si="222">SUM(AY81,AY70)</f>
        <v>0</v>
      </c>
      <c r="AZ85" s="1491">
        <f t="shared" si="222"/>
        <v>0</v>
      </c>
      <c r="BA85" s="1491">
        <f t="shared" si="222"/>
        <v>0</v>
      </c>
      <c r="BB85" s="1491">
        <f t="shared" si="222"/>
        <v>0</v>
      </c>
      <c r="BC85" s="1491">
        <f t="shared" si="222"/>
        <v>0</v>
      </c>
      <c r="BD85" s="1491">
        <f t="shared" si="222"/>
        <v>0</v>
      </c>
      <c r="BE85" s="1491">
        <f t="shared" si="222"/>
        <v>0</v>
      </c>
      <c r="BF85" s="1491">
        <f t="shared" si="222"/>
        <v>0</v>
      </c>
      <c r="BG85" s="1491">
        <f t="shared" si="222"/>
        <v>0</v>
      </c>
      <c r="BH85" s="1491">
        <f t="shared" si="222"/>
        <v>0</v>
      </c>
      <c r="BI85" s="1491">
        <f t="shared" si="222"/>
        <v>0</v>
      </c>
      <c r="BJ85" s="1491">
        <f t="shared" si="222"/>
        <v>0</v>
      </c>
      <c r="BK85" s="1491">
        <f t="shared" si="222"/>
        <v>0</v>
      </c>
      <c r="BL85" s="1491">
        <f t="shared" si="222"/>
        <v>0</v>
      </c>
      <c r="BM85" s="1491">
        <f t="shared" si="222"/>
        <v>0</v>
      </c>
      <c r="BN85" s="1491">
        <f t="shared" si="222"/>
        <v>0</v>
      </c>
      <c r="BO85" s="1491">
        <f t="shared" si="222"/>
        <v>0</v>
      </c>
      <c r="BP85" s="1491">
        <f t="shared" si="222"/>
        <v>0</v>
      </c>
      <c r="BQ85" s="1491">
        <f t="shared" si="222"/>
        <v>0</v>
      </c>
      <c r="BR85" s="1491">
        <f t="shared" si="222"/>
        <v>0</v>
      </c>
      <c r="BS85" s="1491">
        <f t="shared" si="222"/>
        <v>0</v>
      </c>
      <c r="BT85" s="1491">
        <f t="shared" si="222"/>
        <v>0</v>
      </c>
      <c r="BU85" s="1491">
        <f t="shared" si="222"/>
        <v>0</v>
      </c>
      <c r="BV85" s="1491">
        <f t="shared" si="222"/>
        <v>0</v>
      </c>
      <c r="BW85" s="1491">
        <f t="shared" si="222"/>
        <v>0</v>
      </c>
      <c r="BX85" s="1491">
        <f t="shared" si="222"/>
        <v>0</v>
      </c>
      <c r="BY85" s="1491">
        <f t="shared" si="222"/>
        <v>0</v>
      </c>
      <c r="BZ85" s="1491">
        <f t="shared" si="222"/>
        <v>0</v>
      </c>
      <c r="CA85" s="1491">
        <f t="shared" si="222"/>
        <v>0</v>
      </c>
      <c r="CB85" s="1491">
        <f t="shared" si="222"/>
        <v>0</v>
      </c>
      <c r="CC85" s="1491">
        <f t="shared" si="222"/>
        <v>0</v>
      </c>
      <c r="CD85" s="1491">
        <f t="shared" si="222"/>
        <v>0</v>
      </c>
      <c r="CE85" s="1491">
        <f t="shared" ref="CE85:DJ85" si="223">SUM(CE81,CE70)</f>
        <v>0</v>
      </c>
      <c r="CF85" s="1491">
        <f t="shared" si="223"/>
        <v>0</v>
      </c>
      <c r="CG85" s="1491">
        <f t="shared" si="223"/>
        <v>0</v>
      </c>
      <c r="CH85" s="1491">
        <f t="shared" si="223"/>
        <v>0</v>
      </c>
      <c r="CI85" s="1491">
        <f t="shared" si="223"/>
        <v>0</v>
      </c>
      <c r="CJ85" s="1491">
        <f t="shared" si="223"/>
        <v>0</v>
      </c>
      <c r="CK85" s="1491">
        <f t="shared" si="223"/>
        <v>0</v>
      </c>
      <c r="CL85" s="1491">
        <f t="shared" si="223"/>
        <v>0</v>
      </c>
      <c r="CM85" s="1491">
        <f t="shared" si="223"/>
        <v>0</v>
      </c>
      <c r="CN85" s="1491">
        <f t="shared" si="223"/>
        <v>0</v>
      </c>
      <c r="CO85" s="1491">
        <f t="shared" si="223"/>
        <v>0</v>
      </c>
      <c r="CP85" s="1491">
        <f t="shared" si="223"/>
        <v>0</v>
      </c>
      <c r="CQ85" s="1491">
        <f t="shared" si="223"/>
        <v>0</v>
      </c>
      <c r="CR85" s="1491">
        <f t="shared" si="223"/>
        <v>0</v>
      </c>
      <c r="CS85" s="1491">
        <f t="shared" si="223"/>
        <v>0</v>
      </c>
      <c r="CT85" s="1491">
        <f t="shared" si="223"/>
        <v>0</v>
      </c>
      <c r="CU85" s="1491">
        <f t="shared" si="223"/>
        <v>1164.2477487910176</v>
      </c>
      <c r="CV85" s="1491">
        <f t="shared" si="223"/>
        <v>2558.7689607393845</v>
      </c>
      <c r="CW85" s="1491">
        <f t="shared" si="223"/>
        <v>5084.3598518584568</v>
      </c>
      <c r="CX85" s="1491">
        <f t="shared" si="223"/>
        <v>2032.928325682517</v>
      </c>
      <c r="CY85" s="1491">
        <f t="shared" si="223"/>
        <v>3987.3162040876505</v>
      </c>
      <c r="CZ85" s="1491">
        <f t="shared" si="223"/>
        <v>5698.0216007207</v>
      </c>
      <c r="DA85" s="1491">
        <f t="shared" si="223"/>
        <v>1952.0820954160799</v>
      </c>
      <c r="DB85" s="1491">
        <f t="shared" si="223"/>
        <v>3480.7557099900209</v>
      </c>
      <c r="DC85" s="1491">
        <f t="shared" si="223"/>
        <v>6119.9964515802267</v>
      </c>
      <c r="DD85" s="1491">
        <f t="shared" si="223"/>
        <v>14999.18483520962</v>
      </c>
      <c r="DE85" s="1491">
        <f t="shared" si="223"/>
        <v>40009.259528893293</v>
      </c>
      <c r="DF85" s="1491">
        <f t="shared" si="223"/>
        <v>45947.311170993307</v>
      </c>
      <c r="DG85" s="1491">
        <f t="shared" si="223"/>
        <v>73906.440378386498</v>
      </c>
      <c r="DH85" s="1491">
        <f t="shared" si="223"/>
        <v>156106.03208317905</v>
      </c>
      <c r="DI85" s="1491">
        <f t="shared" si="223"/>
        <v>304976.15201005863</v>
      </c>
      <c r="DJ85" s="1491">
        <f t="shared" si="223"/>
        <v>131564.15861558291</v>
      </c>
      <c r="DK85" s="1491">
        <f t="shared" ref="DK85:EP85" si="224">SUM(DK81,DK70)</f>
        <v>246764.90584067855</v>
      </c>
      <c r="DL85" s="1491">
        <f t="shared" si="224"/>
        <v>347601.86975745863</v>
      </c>
      <c r="DM85" s="1491">
        <f t="shared" si="224"/>
        <v>169505.0920412527</v>
      </c>
      <c r="DN85" s="1491">
        <f t="shared" si="224"/>
        <v>302244.36686368781</v>
      </c>
      <c r="DO85" s="1491">
        <f t="shared" si="224"/>
        <v>531417.48712988105</v>
      </c>
      <c r="DP85" s="1491">
        <f t="shared" si="224"/>
        <v>241397.92230539236</v>
      </c>
      <c r="DQ85" s="1491">
        <f t="shared" si="224"/>
        <v>693578.04085716396</v>
      </c>
      <c r="DR85" s="1491">
        <f t="shared" si="224"/>
        <v>800937.53211727785</v>
      </c>
      <c r="DS85" s="1491">
        <f t="shared" si="224"/>
        <v>503884.47110929107</v>
      </c>
      <c r="DT85" s="1491">
        <f t="shared" si="224"/>
        <v>1064310.5663117035</v>
      </c>
      <c r="DU85" s="1491">
        <f t="shared" si="224"/>
        <v>2079287.6272996073</v>
      </c>
      <c r="DV85" s="1491">
        <f t="shared" si="224"/>
        <v>896987.2739309863</v>
      </c>
      <c r="DW85" s="1491">
        <f t="shared" si="224"/>
        <v>1682410.9432312353</v>
      </c>
      <c r="DX85" s="1491">
        <f t="shared" si="224"/>
        <v>2369904.2113596313</v>
      </c>
      <c r="DY85" s="1491">
        <f t="shared" si="224"/>
        <v>784497.02799435309</v>
      </c>
      <c r="DZ85" s="1491">
        <f t="shared" si="224"/>
        <v>1398835.8973598988</v>
      </c>
      <c r="EA85" s="1491">
        <f t="shared" si="224"/>
        <v>2459486.2269751672</v>
      </c>
      <c r="EB85" s="1491">
        <f t="shared" si="224"/>
        <v>940107.6110754417</v>
      </c>
      <c r="EC85" s="1491">
        <f t="shared" si="224"/>
        <v>2701091.9930773908</v>
      </c>
      <c r="ED85" s="1491">
        <f t="shared" si="224"/>
        <v>3119196.1502752928</v>
      </c>
      <c r="EE85" s="1491">
        <f t="shared" si="224"/>
        <v>881797.82444125949</v>
      </c>
      <c r="EF85" s="1491">
        <f t="shared" si="224"/>
        <v>1862543.4910454815</v>
      </c>
      <c r="EG85" s="1491">
        <f t="shared" si="224"/>
        <v>3638753.3477743128</v>
      </c>
      <c r="EH85" s="1491">
        <f t="shared" si="224"/>
        <v>1569727.7293792262</v>
      </c>
      <c r="EI85" s="1491">
        <f t="shared" si="224"/>
        <v>2944219.1506546624</v>
      </c>
      <c r="EJ85" s="1491">
        <f t="shared" si="224"/>
        <v>4147332.3698793566</v>
      </c>
      <c r="EK85" s="1491">
        <f t="shared" si="224"/>
        <v>1372869.7989901181</v>
      </c>
      <c r="EL85" s="1491">
        <f t="shared" si="224"/>
        <v>2447962.8203798234</v>
      </c>
      <c r="EM85" s="1491">
        <f t="shared" si="224"/>
        <v>4304100.897206543</v>
      </c>
      <c r="EN85" s="1491">
        <f t="shared" si="224"/>
        <v>1645188.3193820231</v>
      </c>
      <c r="EO85" s="1491">
        <f t="shared" si="224"/>
        <v>4726910.987885436</v>
      </c>
      <c r="EP85" s="1491">
        <f t="shared" si="224"/>
        <v>5458593.2629817622</v>
      </c>
      <c r="EQ85" s="1491">
        <f t="shared" ref="EQ85:FB85" si="225">SUM(EQ81,EQ70)</f>
        <v>1454966.4103280776</v>
      </c>
      <c r="ER85" s="1491">
        <f t="shared" si="225"/>
        <v>3073196.7602250436</v>
      </c>
      <c r="ES85" s="1491">
        <f t="shared" si="225"/>
        <v>6003943.0238276143</v>
      </c>
      <c r="ET85" s="1491">
        <f t="shared" si="225"/>
        <v>2590050.7534757229</v>
      </c>
      <c r="EU85" s="1491">
        <f t="shared" si="225"/>
        <v>4857961.5985801909</v>
      </c>
      <c r="EV85" s="1491">
        <f t="shared" si="225"/>
        <v>6843098.4103009347</v>
      </c>
      <c r="EW85" s="1491">
        <f t="shared" si="225"/>
        <v>2265235.1683336943</v>
      </c>
      <c r="EX85" s="1491">
        <f t="shared" si="225"/>
        <v>4039138.6536267078</v>
      </c>
      <c r="EY85" s="1491">
        <f t="shared" si="225"/>
        <v>7101766.4803907946</v>
      </c>
      <c r="EZ85" s="1491">
        <f t="shared" si="225"/>
        <v>2714560.7269803379</v>
      </c>
      <c r="FA85" s="1491">
        <f t="shared" si="225"/>
        <v>7799403.1300109671</v>
      </c>
      <c r="FB85" s="1491">
        <f t="shared" si="225"/>
        <v>9006678.8839199059</v>
      </c>
    </row>
    <row r="86" spans="2:158" ht="15.75" thickTop="1" x14ac:dyDescent="0.25"/>
    <row r="88" spans="2:158" x14ac:dyDescent="0.25">
      <c r="C88" s="3" t="s">
        <v>887</v>
      </c>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c r="BW88" s="4"/>
      <c r="BX88" s="4"/>
      <c r="BY88" s="4"/>
      <c r="BZ88" s="4"/>
      <c r="CA88" s="4"/>
      <c r="CB88" s="4"/>
      <c r="CC88" s="4"/>
      <c r="CD88" s="4"/>
      <c r="CE88" s="4"/>
      <c r="CF88" s="4"/>
      <c r="CG88" s="4"/>
      <c r="CH88" s="4"/>
      <c r="CI88" s="4"/>
      <c r="CJ88" s="4"/>
      <c r="CK88" s="4"/>
      <c r="CL88" s="4"/>
      <c r="CM88" s="4"/>
      <c r="CN88" s="4"/>
      <c r="CO88" s="4"/>
      <c r="CP88" s="4"/>
      <c r="CQ88" s="4"/>
      <c r="CR88" s="4"/>
      <c r="CS88" s="4"/>
      <c r="CT88" s="4"/>
      <c r="CU88" s="4"/>
      <c r="CV88" s="4"/>
      <c r="CW88" s="4"/>
      <c r="CX88" s="4"/>
      <c r="CY88" s="4"/>
      <c r="CZ88" s="4"/>
      <c r="DA88" s="4"/>
      <c r="DB88" s="4"/>
      <c r="DC88" s="4"/>
      <c r="DD88" s="4"/>
      <c r="DE88" s="4"/>
      <c r="DF88" s="4"/>
      <c r="DG88" s="4"/>
      <c r="DH88" s="4"/>
      <c r="DI88" s="4"/>
      <c r="DJ88" s="4"/>
      <c r="DK88" s="4"/>
      <c r="DL88" s="4"/>
      <c r="DM88" s="4"/>
      <c r="DN88" s="4"/>
      <c r="DO88" s="4"/>
      <c r="DP88" s="4"/>
      <c r="DQ88" s="4"/>
      <c r="DR88" s="4"/>
      <c r="DS88" s="4"/>
      <c r="DT88" s="4"/>
      <c r="DU88" s="4"/>
      <c r="DV88" s="4"/>
      <c r="DW88" s="4"/>
      <c r="DX88" s="4"/>
      <c r="DY88" s="4"/>
      <c r="DZ88" s="4"/>
      <c r="EA88" s="4"/>
      <c r="EB88" s="4"/>
      <c r="EC88" s="4"/>
      <c r="ED88" s="4"/>
      <c r="EE88" s="4"/>
      <c r="EF88" s="4"/>
      <c r="EG88" s="4"/>
      <c r="EH88" s="4"/>
      <c r="EI88" s="4"/>
      <c r="EJ88" s="4"/>
      <c r="EK88" s="4"/>
      <c r="EL88" s="4"/>
      <c r="EM88" s="4"/>
      <c r="EN88" s="4"/>
      <c r="EO88" s="4"/>
      <c r="EP88" s="4"/>
      <c r="EQ88" s="4"/>
      <c r="ER88" s="4"/>
      <c r="ES88" s="4"/>
      <c r="ET88" s="4"/>
      <c r="EU88" s="4"/>
      <c r="EV88" s="4"/>
      <c r="EW88" s="4"/>
      <c r="EX88" s="4"/>
      <c r="EY88" s="4"/>
      <c r="EZ88" s="4"/>
      <c r="FA88" s="4"/>
      <c r="FB88" s="4"/>
    </row>
    <row r="90" spans="2:158" x14ac:dyDescent="0.25">
      <c r="C90" s="1" t="s">
        <v>607</v>
      </c>
      <c r="D90" s="289"/>
      <c r="E90" s="289"/>
    </row>
    <row r="91" spans="2:158" x14ac:dyDescent="0.25">
      <c r="C91" s="2" t="s">
        <v>18</v>
      </c>
      <c r="D91" s="1470">
        <f>AY91</f>
        <v>4027858.4700000053</v>
      </c>
      <c r="E91" s="1470">
        <f>BK91</f>
        <v>9641502.6300000064</v>
      </c>
      <c r="F91" s="1470">
        <f>BW91</f>
        <v>17564589.410915006</v>
      </c>
      <c r="G91" s="1470">
        <f>CI91</f>
        <v>25508107.217652</v>
      </c>
      <c r="H91" s="1492">
        <f>G96</f>
        <v>41315676.316121288</v>
      </c>
      <c r="I91" s="1492">
        <f>H96</f>
        <v>60381079.580205388</v>
      </c>
      <c r="J91" s="1492">
        <f>I96</f>
        <v>85265073.706972077</v>
      </c>
      <c r="K91" s="1492">
        <f>J96</f>
        <v>117924301.52658938</v>
      </c>
      <c r="L91" s="1492">
        <f>K96</f>
        <v>159631173.34786245</v>
      </c>
      <c r="N91" s="1470">
        <f>AY91</f>
        <v>4027858.4700000053</v>
      </c>
      <c r="O91" s="1470">
        <f>BB91</f>
        <v>5012576.6700000055</v>
      </c>
      <c r="P91" s="1470">
        <f>BE91</f>
        <v>6021300.6700000055</v>
      </c>
      <c r="Q91" s="1470">
        <f>BH91</f>
        <v>7499475.1700000055</v>
      </c>
      <c r="R91" s="1470">
        <f>BK91</f>
        <v>9641502.6300000064</v>
      </c>
      <c r="S91" s="1470">
        <f>BN91</f>
        <v>11527145.160000006</v>
      </c>
      <c r="T91" s="1470">
        <f>BQ91</f>
        <v>13624699.520000005</v>
      </c>
      <c r="U91" s="1470">
        <f>BT91</f>
        <v>15365320.280000005</v>
      </c>
      <c r="V91" s="1470">
        <f>BW91</f>
        <v>17564589.410915006</v>
      </c>
      <c r="W91" s="1470">
        <f>BZ91</f>
        <v>18269105.373149004</v>
      </c>
      <c r="X91" s="1470">
        <f>CC91</f>
        <v>20604136.826187003</v>
      </c>
      <c r="Y91" s="1470">
        <f>CF91</f>
        <v>22340644.505196001</v>
      </c>
      <c r="Z91" s="1470">
        <f>CI91</f>
        <v>25508107.217652</v>
      </c>
      <c r="AA91" s="1470">
        <f>CL91</f>
        <v>27980246.216048002</v>
      </c>
      <c r="AB91" s="1470">
        <f>CO91</f>
        <v>32000090.893999003</v>
      </c>
      <c r="AC91" s="1470">
        <f>CR91</f>
        <v>36030717.428660035</v>
      </c>
      <c r="AD91" s="1470">
        <f>CU91</f>
        <v>41315676.31612128</v>
      </c>
      <c r="AE91" s="1470">
        <f>CX91</f>
        <v>44537598.054279454</v>
      </c>
      <c r="AF91" s="1470">
        <f>DA91</f>
        <v>49046421.26728949</v>
      </c>
      <c r="AG91" s="1470">
        <f>DD91</f>
        <v>53576562.602930389</v>
      </c>
      <c r="AH91" s="1470">
        <f>DG91</f>
        <v>60381079.580205351</v>
      </c>
      <c r="AI91" s="1470">
        <f>DJ91</f>
        <v>64721597.072871134</v>
      </c>
      <c r="AJ91" s="1470">
        <f>DM91</f>
        <v>71012278.214738786</v>
      </c>
      <c r="AK91" s="1470">
        <f>DP91</f>
        <v>76955631.312567174</v>
      </c>
      <c r="AL91" s="1470">
        <f>DS91</f>
        <v>85265073.706972048</v>
      </c>
      <c r="AM91" s="1470">
        <f>DV91</f>
        <v>90942125.923466668</v>
      </c>
      <c r="AN91" s="1470">
        <f>DY91</f>
        <v>99211618.914439619</v>
      </c>
      <c r="AO91" s="1470">
        <f>EB91</f>
        <v>107028646.16562246</v>
      </c>
      <c r="AP91" s="1470">
        <f>EE91</f>
        <v>117924301.52658933</v>
      </c>
      <c r="AQ91" s="1470">
        <f>EH91</f>
        <v>125144488.14608918</v>
      </c>
      <c r="AR91" s="1470">
        <f>EK91</f>
        <v>135724765.64570612</v>
      </c>
      <c r="AS91" s="1470">
        <f>EN91</f>
        <v>145732319.03300792</v>
      </c>
      <c r="AT91" s="1470">
        <f>EQ91</f>
        <v>159631173.34786233</v>
      </c>
      <c r="AU91" s="1470">
        <f>ET91</f>
        <v>168535027.34599689</v>
      </c>
      <c r="AV91" s="1470">
        <f>EW91</f>
        <v>181676865.63609594</v>
      </c>
      <c r="AW91" s="1470">
        <f>EZ91</f>
        <v>194116518.50414619</v>
      </c>
      <c r="AX91" s="244"/>
      <c r="AY91" s="90">
        <v>4027858.4700000053</v>
      </c>
      <c r="AZ91" s="90">
        <v>4099936.4700000053</v>
      </c>
      <c r="BA91" s="90">
        <v>4510001.4700000053</v>
      </c>
      <c r="BB91" s="90">
        <v>5012576.6700000055</v>
      </c>
      <c r="BC91" s="90">
        <v>5178116.6700000055</v>
      </c>
      <c r="BD91" s="90">
        <v>5508016.6700000055</v>
      </c>
      <c r="BE91" s="90">
        <v>6021300.6700000055</v>
      </c>
      <c r="BF91" s="90">
        <v>6341477.3400000054</v>
      </c>
      <c r="BG91" s="90">
        <v>6772890.8400000054</v>
      </c>
      <c r="BH91" s="90">
        <v>7499475.1700000055</v>
      </c>
      <c r="BI91" s="90">
        <v>7996907.1700000055</v>
      </c>
      <c r="BJ91" s="90">
        <v>8881420.1700000055</v>
      </c>
      <c r="BK91" s="90">
        <v>9641502.6300000064</v>
      </c>
      <c r="BL91" s="90">
        <v>9957435.9600000065</v>
      </c>
      <c r="BM91" s="90">
        <v>10569535.790000007</v>
      </c>
      <c r="BN91" s="90">
        <v>11527145.160000006</v>
      </c>
      <c r="BO91" s="90">
        <v>12032413.690000005</v>
      </c>
      <c r="BP91" s="90">
        <v>12730500.880000005</v>
      </c>
      <c r="BQ91" s="90">
        <v>13624699.520000005</v>
      </c>
      <c r="BR91" s="90">
        <v>13969628.690000005</v>
      </c>
      <c r="BS91" s="90">
        <v>14364605.690000005</v>
      </c>
      <c r="BT91" s="90">
        <v>15365320.280000005</v>
      </c>
      <c r="BU91" s="90">
        <v>15731030.960000005</v>
      </c>
      <c r="BV91" s="90">
        <v>16626468.750000006</v>
      </c>
      <c r="BW91" s="90">
        <v>17564589.410915006</v>
      </c>
      <c r="BX91" s="90">
        <v>17589616.270915005</v>
      </c>
      <c r="BY91" s="90">
        <v>17756749.793039005</v>
      </c>
      <c r="BZ91" s="90">
        <v>18269105.373149004</v>
      </c>
      <c r="CA91" s="90">
        <v>18521839.063918006</v>
      </c>
      <c r="CB91" s="90">
        <v>19044539.668825004</v>
      </c>
      <c r="CC91" s="90">
        <v>20604136.826187003</v>
      </c>
      <c r="CD91" s="90">
        <v>20734504.463366002</v>
      </c>
      <c r="CE91" s="90">
        <v>21356765.968383003</v>
      </c>
      <c r="CF91" s="90">
        <v>22340644.505196001</v>
      </c>
      <c r="CG91" s="90">
        <v>22896400.661571</v>
      </c>
      <c r="CH91" s="90">
        <v>23843709.285344001</v>
      </c>
      <c r="CI91" s="437">
        <v>25508107.217652</v>
      </c>
      <c r="CJ91" s="437">
        <v>25944830.313618001</v>
      </c>
      <c r="CK91" s="437">
        <v>26680390.815124001</v>
      </c>
      <c r="CL91" s="437">
        <v>27980246.216048002</v>
      </c>
      <c r="CM91" s="437">
        <v>28550875.870068002</v>
      </c>
      <c r="CN91" s="437">
        <v>29863117.937316004</v>
      </c>
      <c r="CO91" s="437">
        <v>32000090.893999003</v>
      </c>
      <c r="CP91" s="437">
        <v>32584415.222394947</v>
      </c>
      <c r="CQ91" s="437">
        <v>34048646.714760482</v>
      </c>
      <c r="CR91" s="437">
        <v>36030717.428660035</v>
      </c>
      <c r="CS91" s="437">
        <v>36480116.964594282</v>
      </c>
      <c r="CT91" s="437">
        <v>38651099.411555104</v>
      </c>
      <c r="CU91" s="437">
        <v>41315676.31612128</v>
      </c>
      <c r="CV91" s="437">
        <v>41649939.388837047</v>
      </c>
      <c r="CW91" s="437">
        <v>42604230.532208942</v>
      </c>
      <c r="CX91" s="437">
        <v>44537598.054279454</v>
      </c>
      <c r="CY91" s="437">
        <v>45164677.023952574</v>
      </c>
      <c r="CZ91" s="437">
        <v>46814519.651795663</v>
      </c>
      <c r="DA91" s="437">
        <v>49046421.26728949</v>
      </c>
      <c r="DB91" s="437">
        <v>49630789.796066143</v>
      </c>
      <c r="DC91" s="437">
        <v>51043097.039484277</v>
      </c>
      <c r="DD91" s="437">
        <v>53576562.602930389</v>
      </c>
      <c r="DE91" s="437">
        <v>54497909.177640155</v>
      </c>
      <c r="DF91" s="437">
        <v>57161747.170220114</v>
      </c>
      <c r="DG91" s="437">
        <v>60381079.580205351</v>
      </c>
      <c r="DH91" s="437">
        <v>60844513.093447305</v>
      </c>
      <c r="DI91" s="437">
        <v>62142419.737607859</v>
      </c>
      <c r="DJ91" s="437">
        <v>64721597.072871134</v>
      </c>
      <c r="DK91" s="437">
        <v>65628803.316996716</v>
      </c>
      <c r="DL91" s="437">
        <v>67951466.037505656</v>
      </c>
      <c r="DM91" s="437">
        <v>71012278.214738786</v>
      </c>
      <c r="DN91" s="437">
        <v>71726939.287662864</v>
      </c>
      <c r="DO91" s="437">
        <v>73593444.626973122</v>
      </c>
      <c r="DP91" s="437">
        <v>76955631.312567174</v>
      </c>
      <c r="DQ91" s="437">
        <v>77939702.086278066</v>
      </c>
      <c r="DR91" s="437">
        <v>81216810.304345638</v>
      </c>
      <c r="DS91" s="437">
        <v>85265073.706972048</v>
      </c>
      <c r="DT91" s="437">
        <v>85857017.518521056</v>
      </c>
      <c r="DU91" s="437">
        <v>87557845.287186086</v>
      </c>
      <c r="DV91" s="437">
        <v>90942125.923466668</v>
      </c>
      <c r="DW91" s="437">
        <v>92111986.354833737</v>
      </c>
      <c r="DX91" s="437">
        <v>95183248.440515652</v>
      </c>
      <c r="DY91" s="437">
        <v>99211618.914439619</v>
      </c>
      <c r="DZ91" s="437">
        <v>100123531.23601428</v>
      </c>
      <c r="EA91" s="437">
        <v>102585807.50903952</v>
      </c>
      <c r="EB91" s="437">
        <v>107028646.16562246</v>
      </c>
      <c r="EC91" s="437">
        <v>108301701.60675406</v>
      </c>
      <c r="ED91" s="437">
        <v>112594442.28824216</v>
      </c>
      <c r="EE91" s="437">
        <v>117924301.52658933</v>
      </c>
      <c r="EF91" s="437">
        <v>118655759.31146483</v>
      </c>
      <c r="EG91" s="437">
        <v>120823832.49463625</v>
      </c>
      <c r="EH91" s="437">
        <v>125144488.14608918</v>
      </c>
      <c r="EI91" s="437">
        <v>126607179.28576194</v>
      </c>
      <c r="EJ91" s="437">
        <v>130563617.25014083</v>
      </c>
      <c r="EK91" s="437">
        <v>135724765.64570612</v>
      </c>
      <c r="EL91" s="437">
        <v>136850177.73271716</v>
      </c>
      <c r="EM91" s="437">
        <v>140013454.08636019</v>
      </c>
      <c r="EN91" s="437">
        <v>145732319.03300792</v>
      </c>
      <c r="EO91" s="437">
        <v>147330268.28107041</v>
      </c>
      <c r="EP91" s="437">
        <v>152799722.50455061</v>
      </c>
      <c r="EQ91" s="437">
        <v>159631173.34786233</v>
      </c>
      <c r="ER91" s="437">
        <v>160501151.99363193</v>
      </c>
      <c r="ES91" s="437">
        <v>163182178.19600391</v>
      </c>
      <c r="ET91" s="437">
        <v>168535027.34599689</v>
      </c>
      <c r="EU91" s="437">
        <v>170301102.47782815</v>
      </c>
      <c r="EV91" s="437">
        <v>175255575.1366775</v>
      </c>
      <c r="EW91" s="437">
        <v>181676865.63609594</v>
      </c>
      <c r="EX91" s="437">
        <v>183013203.70690235</v>
      </c>
      <c r="EY91" s="437">
        <v>186961626.56538308</v>
      </c>
      <c r="EZ91" s="437">
        <v>194116518.50414619</v>
      </c>
      <c r="FA91" s="437">
        <v>196055404.86434168</v>
      </c>
      <c r="FB91" s="437">
        <v>202815052.30391991</v>
      </c>
    </row>
    <row r="92" spans="2:158" x14ac:dyDescent="0.25">
      <c r="C92" s="258" t="s">
        <v>585</v>
      </c>
      <c r="D92" s="1472">
        <f t="shared" ref="D92:L95" si="226">SUMIF($AY$2:$FB$2,D$2,$AY92:$FB92)</f>
        <v>5718339.0999999996</v>
      </c>
      <c r="E92" s="1472">
        <f t="shared" si="226"/>
        <v>7829961.8145050006</v>
      </c>
      <c r="F92" s="1472">
        <f t="shared" si="226"/>
        <v>8657987.1461899988</v>
      </c>
      <c r="G92" s="1472">
        <f t="shared" si="226"/>
        <v>16709358.41097267</v>
      </c>
      <c r="H92" s="1472">
        <f t="shared" si="226"/>
        <v>18750724.309394229</v>
      </c>
      <c r="I92" s="1472">
        <f t="shared" si="226"/>
        <v>25003008.950996581</v>
      </c>
      <c r="J92" s="1472">
        <f t="shared" si="226"/>
        <v>32555326.841173172</v>
      </c>
      <c r="K92" s="1472">
        <f t="shared" si="226"/>
        <v>41333554.564846858</v>
      </c>
      <c r="L92" s="1472">
        <f t="shared" si="226"/>
        <v>51084752.170930743</v>
      </c>
      <c r="M92" s="244"/>
      <c r="N92" s="1476">
        <f>SUM(AY92:BA92)</f>
        <v>1035185.6</v>
      </c>
      <c r="O92" s="1476">
        <f>SUM(BB92:BD92)</f>
        <v>947839</v>
      </c>
      <c r="P92" s="1476">
        <f>SUM(BE92:BG92)</f>
        <v>1374139.5</v>
      </c>
      <c r="Q92" s="1476">
        <f>SUM(BH92:BJ92)</f>
        <v>2361175</v>
      </c>
      <c r="R92" s="1476">
        <f>SUM(BK92:BM92)</f>
        <v>1966893.72</v>
      </c>
      <c r="S92" s="1476">
        <f>SUM(BN92:BP92)</f>
        <v>2138899.92</v>
      </c>
      <c r="T92" s="1476">
        <f>SUM(BQ92:BS92)</f>
        <v>1586173.72</v>
      </c>
      <c r="U92" s="1476">
        <f>SUM(BT92:BV92)</f>
        <v>2137994.4545049998</v>
      </c>
      <c r="V92" s="1476">
        <f>SUM(BW92:BY92)</f>
        <v>1187612.8935159999</v>
      </c>
      <c r="W92" s="1476">
        <f>SUM(BZ92:CB92)</f>
        <v>2496187.72487</v>
      </c>
      <c r="X92" s="1476">
        <f>SUM(CC92:CE92)</f>
        <v>1792109.2252369998</v>
      </c>
      <c r="Y92" s="1476">
        <f>SUM(CF92:CH92)</f>
        <v>3182077.302567</v>
      </c>
      <c r="Z92" s="1476">
        <f>SUM(CI92:CK92)</f>
        <v>2478561.1667750003</v>
      </c>
      <c r="AA92" s="1476">
        <f>SUM(CL92:CN92)</f>
        <v>3596821.8275309997</v>
      </c>
      <c r="AB92" s="1476">
        <f>SUM(CO92:CQ92)</f>
        <v>4579891.458333334</v>
      </c>
      <c r="AC92" s="1476">
        <f>SUM(CR92:CT92)</f>
        <v>6054083.958333334</v>
      </c>
      <c r="AD92" s="1476">
        <f>SUM(CU92:CW92)</f>
        <v>3318393.1822028025</v>
      </c>
      <c r="AE92" s="1476">
        <f>SUM(CX92:CZ92)</f>
        <v>4415141.5763387</v>
      </c>
      <c r="AF92" s="1476">
        <f>SUM(DA92:DC92)</f>
        <v>4352811.0971852168</v>
      </c>
      <c r="AG92" s="1476">
        <f>SUM(DD92:DF92)</f>
        <v>6664378.4536675103</v>
      </c>
      <c r="AH92" s="1476">
        <f>SUM(DG92:DI92)</f>
        <v>4559902.0857307035</v>
      </c>
      <c r="AI92" s="1476">
        <f>SUM(DJ92:DL92)</f>
        <v>6187372.6460760506</v>
      </c>
      <c r="AJ92" s="1476">
        <f>SUM(DM92:DO92)</f>
        <v>5804222.4411775414</v>
      </c>
      <c r="AK92" s="1476">
        <f>SUM(DP92:DR92)</f>
        <v>8451511.778012285</v>
      </c>
      <c r="AL92" s="1476">
        <f>SUM(DS92:DU92)</f>
        <v>5937249.5148746241</v>
      </c>
      <c r="AM92" s="1476">
        <f>SUM(DV92:DX92)</f>
        <v>8056307.9098170549</v>
      </c>
      <c r="AN92" s="1476">
        <f>SUM(DY92:EA92)</f>
        <v>7557424.7484271415</v>
      </c>
      <c r="AO92" s="1476">
        <f>SUM(EB92:ED92)</f>
        <v>11004344.668054355</v>
      </c>
      <c r="AP92" s="1476">
        <f>SUM(EE92:EG92)</f>
        <v>7538171.1873281021</v>
      </c>
      <c r="AQ92" s="1476">
        <f>SUM(EH92:EJ92)</f>
        <v>10228613.099361856</v>
      </c>
      <c r="AR92" s="1476">
        <f>SUM(EK92:EM92)</f>
        <v>9595210.938376205</v>
      </c>
      <c r="AS92" s="1476">
        <f>SUM(EN92:EP92)</f>
        <v>13971559.339780699</v>
      </c>
      <c r="AT92" s="1476">
        <f>SUM(EQ92:ES92)</f>
        <v>9316537.3987508994</v>
      </c>
      <c r="AU92" s="1476">
        <f>SUM(ET92:EV92)</f>
        <v>12641694.399001226</v>
      </c>
      <c r="AV92" s="1476">
        <f>SUM(EW92:EY92)</f>
        <v>11858863.288559953</v>
      </c>
      <c r="AW92" s="1476">
        <f>SUM(EZ92:FB92)</f>
        <v>17267657.084618654</v>
      </c>
      <c r="AX92" s="244"/>
      <c r="AY92" s="90">
        <v>78250</v>
      </c>
      <c r="AZ92" s="90">
        <v>438175</v>
      </c>
      <c r="BA92" s="90">
        <v>518760.6</v>
      </c>
      <c r="BB92" s="90">
        <v>163840</v>
      </c>
      <c r="BC92" s="90">
        <v>300140</v>
      </c>
      <c r="BD92" s="90">
        <v>483859</v>
      </c>
      <c r="BE92" s="90">
        <v>270916.67</v>
      </c>
      <c r="BF92" s="90">
        <v>423389.5</v>
      </c>
      <c r="BG92" s="90">
        <v>679833.33</v>
      </c>
      <c r="BH92" s="90">
        <v>491650</v>
      </c>
      <c r="BI92" s="90">
        <v>984175</v>
      </c>
      <c r="BJ92" s="90">
        <v>885350</v>
      </c>
      <c r="BK92" s="90">
        <v>325633.33</v>
      </c>
      <c r="BL92" s="90">
        <v>614517.32999999996</v>
      </c>
      <c r="BM92" s="90">
        <v>1026743.06</v>
      </c>
      <c r="BN92" s="90">
        <v>548266.67000000004</v>
      </c>
      <c r="BO92" s="90">
        <v>708736.61</v>
      </c>
      <c r="BP92" s="90">
        <v>881896.64</v>
      </c>
      <c r="BQ92" s="90">
        <v>429835.17</v>
      </c>
      <c r="BR92" s="90">
        <v>356700</v>
      </c>
      <c r="BS92" s="90">
        <v>799638.55</v>
      </c>
      <c r="BT92" s="90">
        <v>276754.48</v>
      </c>
      <c r="BU92" s="90">
        <v>829160.48</v>
      </c>
      <c r="BV92" s="90">
        <v>1032079.494505</v>
      </c>
      <c r="BW92" s="90">
        <v>211086.86</v>
      </c>
      <c r="BX92" s="90">
        <v>343880.24212399998</v>
      </c>
      <c r="BY92" s="90">
        <v>632645.79139200004</v>
      </c>
      <c r="BZ92" s="90">
        <v>398339.78897400002</v>
      </c>
      <c r="CA92" s="90">
        <v>617609.16853400005</v>
      </c>
      <c r="CB92" s="90">
        <v>1480238.767362</v>
      </c>
      <c r="CC92" s="90">
        <v>225861.55</v>
      </c>
      <c r="CD92" s="90">
        <v>681003.32150099997</v>
      </c>
      <c r="CE92" s="90">
        <v>885244.35373600002</v>
      </c>
      <c r="CF92" s="90">
        <v>533185.24945200002</v>
      </c>
      <c r="CG92" s="90">
        <v>921185.87619099999</v>
      </c>
      <c r="CH92" s="90">
        <v>1727706.176924</v>
      </c>
      <c r="CI92" s="98">
        <v>417149.06475100003</v>
      </c>
      <c r="CJ92" s="98">
        <v>703910.10811300005</v>
      </c>
      <c r="CK92" s="98">
        <v>1357501.993911</v>
      </c>
      <c r="CL92" s="98">
        <v>522178.75454599998</v>
      </c>
      <c r="CM92" s="98">
        <v>1110364.198349</v>
      </c>
      <c r="CN92" s="98">
        <v>1964278.874636</v>
      </c>
      <c r="CO92" s="98">
        <v>686983.71875000012</v>
      </c>
      <c r="CP92" s="98">
        <v>1602962.0104166667</v>
      </c>
      <c r="CQ92" s="98">
        <v>2289945.729166667</v>
      </c>
      <c r="CR92" s="98">
        <v>605408.39583333349</v>
      </c>
      <c r="CS92" s="98">
        <v>2421633.583333334</v>
      </c>
      <c r="CT92" s="98">
        <v>3027041.979166667</v>
      </c>
      <c r="CU92" s="98">
        <v>438658.63632085227</v>
      </c>
      <c r="CV92" s="98">
        <v>964078.39666739036</v>
      </c>
      <c r="CW92" s="98">
        <v>1915656.1492145599</v>
      </c>
      <c r="CX92" s="98">
        <v>765955.15688817343</v>
      </c>
      <c r="CY92" s="98">
        <v>1502318.2913442629</v>
      </c>
      <c r="CZ92" s="98">
        <v>2146868.1281062635</v>
      </c>
      <c r="DA92" s="98">
        <v>735494.374673062</v>
      </c>
      <c r="DB92" s="98">
        <v>1311459.3132739773</v>
      </c>
      <c r="DC92" s="98">
        <v>2305857.4092381778</v>
      </c>
      <c r="DD92" s="98">
        <v>990139.13281642762</v>
      </c>
      <c r="DE92" s="98">
        <v>2641125.7658198043</v>
      </c>
      <c r="DF92" s="98">
        <v>3033113.5550312777</v>
      </c>
      <c r="DG92" s="98">
        <v>629931.39707068913</v>
      </c>
      <c r="DH92" s="98">
        <v>1330548.3308065883</v>
      </c>
      <c r="DI92" s="98">
        <v>2599422.3578534261</v>
      </c>
      <c r="DJ92" s="98">
        <v>1121369.0419513234</v>
      </c>
      <c r="DK92" s="98">
        <v>2103266.793643259</v>
      </c>
      <c r="DL92" s="98">
        <v>2962736.8104814682</v>
      </c>
      <c r="DM92" s="98">
        <v>980739.31064865121</v>
      </c>
      <c r="DN92" s="98">
        <v>1748755.3231332442</v>
      </c>
      <c r="DO92" s="98">
        <v>3074727.8073956454</v>
      </c>
      <c r="DP92" s="98">
        <v>1175275.9507309641</v>
      </c>
      <c r="DQ92" s="98">
        <v>3376771.3640189609</v>
      </c>
      <c r="DR92" s="98">
        <v>3899464.4632623605</v>
      </c>
      <c r="DS92" s="98">
        <v>820206.18235773256</v>
      </c>
      <c r="DT92" s="98">
        <v>1732448.9173395813</v>
      </c>
      <c r="DU92" s="98">
        <v>3384594.4151773099</v>
      </c>
      <c r="DV92" s="98">
        <v>1460085.6937598099</v>
      </c>
      <c r="DW92" s="98">
        <v>2738571.9069029661</v>
      </c>
      <c r="DX92" s="98">
        <v>3857650.3091542781</v>
      </c>
      <c r="DY92" s="98">
        <v>1276977.8576142571</v>
      </c>
      <c r="DZ92" s="98">
        <v>2276977.9917858639</v>
      </c>
      <c r="EA92" s="98">
        <v>4003468.8990270202</v>
      </c>
      <c r="EB92" s="98">
        <v>1530275.5272217761</v>
      </c>
      <c r="EC92" s="98">
        <v>4396746.6331355171</v>
      </c>
      <c r="ED92" s="98">
        <v>5077322.5076970626</v>
      </c>
      <c r="EE92" s="98">
        <v>1041366.8140487443</v>
      </c>
      <c r="EF92" s="98">
        <v>2199586.9433293934</v>
      </c>
      <c r="EG92" s="98">
        <v>4297217.4299499644</v>
      </c>
      <c r="EH92" s="98">
        <v>1853783.6215499833</v>
      </c>
      <c r="EI92" s="98">
        <v>3477001.2261271873</v>
      </c>
      <c r="EJ92" s="98">
        <v>4897828.2516846852</v>
      </c>
      <c r="EK92" s="98">
        <v>1621302.5356282396</v>
      </c>
      <c r="EL92" s="98">
        <v>2890942.9945395952</v>
      </c>
      <c r="EM92" s="98">
        <v>5082965.4082083702</v>
      </c>
      <c r="EN92" s="98">
        <v>1942899.4619607306</v>
      </c>
      <c r="EO92" s="98">
        <v>5582286.6640267661</v>
      </c>
      <c r="EP92" s="98">
        <v>6446373.2137932032</v>
      </c>
      <c r="EQ92" s="98">
        <v>1287040.6664699318</v>
      </c>
      <c r="ER92" s="98">
        <v>2718502.0756468163</v>
      </c>
      <c r="ES92" s="98">
        <v>5310994.656634151</v>
      </c>
      <c r="ET92" s="98">
        <v>2291118.6294621597</v>
      </c>
      <c r="EU92" s="98">
        <v>4297277.3042314742</v>
      </c>
      <c r="EV92" s="98">
        <v>6053298.4653075915</v>
      </c>
      <c r="EW92" s="98">
        <v>2003791.8126961619</v>
      </c>
      <c r="EX92" s="98">
        <v>3572959.2572215963</v>
      </c>
      <c r="EY92" s="98">
        <v>6282112.2186421948</v>
      </c>
      <c r="EZ92" s="98">
        <v>2401258.216289734</v>
      </c>
      <c r="FA92" s="98">
        <v>6899230.7528621936</v>
      </c>
      <c r="FB92" s="98">
        <v>7967168.115466726</v>
      </c>
    </row>
    <row r="93" spans="2:158" x14ac:dyDescent="0.25">
      <c r="C93" s="258" t="s">
        <v>584</v>
      </c>
      <c r="D93" s="1472">
        <f t="shared" si="226"/>
        <v>439111.47</v>
      </c>
      <c r="E93" s="1472">
        <f t="shared" si="226"/>
        <v>1451905.1764100001</v>
      </c>
      <c r="F93" s="1472">
        <f t="shared" si="226"/>
        <v>2193580.8464450003</v>
      </c>
      <c r="G93" s="1472">
        <f t="shared" si="226"/>
        <v>2361877.9045540001</v>
      </c>
      <c r="H93" s="1472">
        <f t="shared" si="226"/>
        <v>5600865.7028060667</v>
      </c>
      <c r="I93" s="1472">
        <f t="shared" si="226"/>
        <v>8334336.3169988608</v>
      </c>
      <c r="J93" s="1472">
        <f t="shared" si="226"/>
        <v>12041011.297420217</v>
      </c>
      <c r="K93" s="1472">
        <f t="shared" si="226"/>
        <v>16882719.47014872</v>
      </c>
      <c r="L93" s="1472">
        <f t="shared" si="226"/>
        <v>22951120.540563088</v>
      </c>
      <c r="M93" s="244"/>
      <c r="N93" s="1476">
        <f>SUM(AY93:BA93)</f>
        <v>86228</v>
      </c>
      <c r="O93" s="1476">
        <f>SUM(BB93:BD93)</f>
        <v>137985</v>
      </c>
      <c r="P93" s="1476">
        <f>SUM(BE93:BG93)</f>
        <v>186096</v>
      </c>
      <c r="Q93" s="1476">
        <f>SUM(BH93:BJ93)</f>
        <v>28802.47</v>
      </c>
      <c r="R93" s="1476">
        <f>SUM(BK93:BM93)</f>
        <v>191199.31</v>
      </c>
      <c r="S93" s="1476">
        <f>SUM(BN93:BP93)</f>
        <v>246946.44</v>
      </c>
      <c r="T93" s="1476">
        <f>SUM(BQ93:BS93)</f>
        <v>436010.04</v>
      </c>
      <c r="U93" s="1476">
        <f>SUM(BT93:BV93)</f>
        <v>577749.38641000004</v>
      </c>
      <c r="V93" s="1476">
        <f>SUM(BW93:BY93)</f>
        <v>302641.86871800001</v>
      </c>
      <c r="W93" s="1476">
        <f>SUM(BZ93:CB93)</f>
        <v>463726.72047599999</v>
      </c>
      <c r="X93" s="1476">
        <f>SUM(CC93:CE93)</f>
        <v>601050.76736199996</v>
      </c>
      <c r="Y93" s="1476">
        <f>SUM(CF93:CH93)</f>
        <v>826161.48988900008</v>
      </c>
      <c r="Z93" s="1476">
        <f>SUM(CI93:CK93)</f>
        <v>807279.16977200005</v>
      </c>
      <c r="AA93" s="1476">
        <f>SUM(CL93:CN93)</f>
        <v>1118126.2347820001</v>
      </c>
      <c r="AB93" s="1476">
        <f>SUM(CO93:CQ93)</f>
        <v>193275</v>
      </c>
      <c r="AC93" s="1476">
        <f>SUM(CR93:CT93)</f>
        <v>243197.5</v>
      </c>
      <c r="AD93" s="1476">
        <f>SUM(CU93:CW93)</f>
        <v>991208.35312551237</v>
      </c>
      <c r="AE93" s="1476">
        <f>SUM(CX93:CZ93)</f>
        <v>1318808.5228024684</v>
      </c>
      <c r="AF93" s="1476">
        <f>SUM(DA93:DC93)</f>
        <v>1300190.3277306494</v>
      </c>
      <c r="AG93" s="1476">
        <f>SUM(DD93:DF93)</f>
        <v>1990658.4991474373</v>
      </c>
      <c r="AH93" s="1476">
        <f>SUM(DG93:DI93)</f>
        <v>1519967.3619102342</v>
      </c>
      <c r="AI93" s="1476">
        <f>SUM(DJ93:DL93)</f>
        <v>2062457.5486920166</v>
      </c>
      <c r="AJ93" s="1476">
        <f>SUM(DM93:DO93)</f>
        <v>1934740.8137258468</v>
      </c>
      <c r="AK93" s="1476">
        <f>SUM(DP93:DR93)</f>
        <v>2817170.592670762</v>
      </c>
      <c r="AL93" s="1476">
        <f>SUM(DS93:DU93)</f>
        <v>2195968.998652258</v>
      </c>
      <c r="AM93" s="1476">
        <f>SUM(DV93:DX93)</f>
        <v>2979730.3228090471</v>
      </c>
      <c r="AN93" s="1476">
        <f>SUM(DY93:EA93)</f>
        <v>2795211.893253874</v>
      </c>
      <c r="AO93" s="1476">
        <f>SUM(EB93:ED93)</f>
        <v>4070100.0827050363</v>
      </c>
      <c r="AP93" s="1476">
        <f>SUM(EE93:EG93)</f>
        <v>3078971.330035422</v>
      </c>
      <c r="AQ93" s="1476">
        <f>SUM(EH93:EJ93)</f>
        <v>4177884.2236830126</v>
      </c>
      <c r="AR93" s="1476">
        <f>SUM(EK93:EM93)</f>
        <v>3919170.6649705637</v>
      </c>
      <c r="AS93" s="1476">
        <f>SUM(EN93:EP93)</f>
        <v>5706693.2514597233</v>
      </c>
      <c r="AT93" s="1476">
        <f>SUM(EQ93:ES93)</f>
        <v>4185690.7153808391</v>
      </c>
      <c r="AU93" s="1476">
        <f>SUM(ET93:EV93)</f>
        <v>5679601.8314353339</v>
      </c>
      <c r="AV93" s="1476">
        <f>SUM(EW93:EY93)</f>
        <v>5327895.1006573718</v>
      </c>
      <c r="AW93" s="1476">
        <f>SUM(EZ93:FB93)</f>
        <v>7757932.8930895422</v>
      </c>
      <c r="AX93" s="244"/>
      <c r="AY93" s="90">
        <v>10114</v>
      </c>
      <c r="AZ93" s="90">
        <v>25400</v>
      </c>
      <c r="BA93" s="90">
        <v>50714</v>
      </c>
      <c r="BB93" s="90">
        <v>35700</v>
      </c>
      <c r="BC93" s="90">
        <v>48860</v>
      </c>
      <c r="BD93" s="90">
        <v>53425</v>
      </c>
      <c r="BE93" s="90">
        <v>49260</v>
      </c>
      <c r="BF93" s="90">
        <v>61900</v>
      </c>
      <c r="BG93" s="90">
        <v>74936</v>
      </c>
      <c r="BH93" s="90">
        <v>5782</v>
      </c>
      <c r="BI93" s="90">
        <v>-31962</v>
      </c>
      <c r="BJ93" s="90">
        <v>54982.47</v>
      </c>
      <c r="BK93" s="90">
        <v>18700</v>
      </c>
      <c r="BL93" s="90">
        <v>75383</v>
      </c>
      <c r="BM93" s="90">
        <v>97116.31</v>
      </c>
      <c r="BN93" s="90">
        <v>55172.86</v>
      </c>
      <c r="BO93" s="90">
        <v>67783.58</v>
      </c>
      <c r="BP93" s="90">
        <v>123990</v>
      </c>
      <c r="BQ93" s="90">
        <v>20000</v>
      </c>
      <c r="BR93" s="90">
        <v>78367</v>
      </c>
      <c r="BS93" s="90">
        <v>337643.04</v>
      </c>
      <c r="BT93" s="90">
        <v>153100.20000000001</v>
      </c>
      <c r="BU93" s="90">
        <v>189751.02</v>
      </c>
      <c r="BV93" s="90">
        <v>234898.16641000001</v>
      </c>
      <c r="BW93" s="90">
        <v>78130</v>
      </c>
      <c r="BX93" s="90">
        <v>81895.28</v>
      </c>
      <c r="BY93" s="90">
        <v>142616.58871800001</v>
      </c>
      <c r="BZ93" s="90">
        <v>90393.339487000005</v>
      </c>
      <c r="CA93" s="90">
        <v>111774.990989</v>
      </c>
      <c r="CB93" s="90">
        <v>261558.39</v>
      </c>
      <c r="CC93" s="90">
        <v>126378.017179</v>
      </c>
      <c r="CD93" s="90">
        <v>115947.783516</v>
      </c>
      <c r="CE93" s="90">
        <v>358724.96666699997</v>
      </c>
      <c r="CF93" s="90">
        <v>223314.496923</v>
      </c>
      <c r="CG93" s="90">
        <v>367222.077582</v>
      </c>
      <c r="CH93" s="90">
        <v>235624.91538399999</v>
      </c>
      <c r="CI93" s="98">
        <v>235255.434156</v>
      </c>
      <c r="CJ93" s="98">
        <v>196334.71927500001</v>
      </c>
      <c r="CK93" s="98">
        <v>375689.01634099998</v>
      </c>
      <c r="CL93" s="98">
        <v>299108.39999300003</v>
      </c>
      <c r="CM93" s="98">
        <v>398134.54097700003</v>
      </c>
      <c r="CN93" s="98">
        <v>420883.29381200002</v>
      </c>
      <c r="CO93" s="98">
        <v>28991.25</v>
      </c>
      <c r="CP93" s="98">
        <v>67646.25</v>
      </c>
      <c r="CQ93" s="98">
        <v>96637.5</v>
      </c>
      <c r="CR93" s="98">
        <v>24319.75</v>
      </c>
      <c r="CS93" s="98">
        <v>97279</v>
      </c>
      <c r="CT93" s="98">
        <v>121598.75</v>
      </c>
      <c r="CU93" s="98">
        <v>131027.90435557923</v>
      </c>
      <c r="CV93" s="98">
        <v>287971.46913441527</v>
      </c>
      <c r="CW93" s="98">
        <v>572208.97963551781</v>
      </c>
      <c r="CX93" s="98">
        <v>228791.80010945431</v>
      </c>
      <c r="CY93" s="98">
        <v>448744.42468724726</v>
      </c>
      <c r="CZ93" s="98">
        <v>641272.2980057667</v>
      </c>
      <c r="DA93" s="98">
        <v>219693.12490234314</v>
      </c>
      <c r="DB93" s="98">
        <v>391734.60006885044</v>
      </c>
      <c r="DC93" s="98">
        <v>688762.6027594558</v>
      </c>
      <c r="DD93" s="98">
        <v>295755.8448672446</v>
      </c>
      <c r="DE93" s="98">
        <v>788907.69628383731</v>
      </c>
      <c r="DF93" s="98">
        <v>905994.95799635537</v>
      </c>
      <c r="DG93" s="98">
        <v>209977.1323568963</v>
      </c>
      <c r="DH93" s="98">
        <v>443516.11026886269</v>
      </c>
      <c r="DI93" s="98">
        <v>866474.11928447522</v>
      </c>
      <c r="DJ93" s="98">
        <v>373789.68065044121</v>
      </c>
      <c r="DK93" s="98">
        <v>701088.93121441966</v>
      </c>
      <c r="DL93" s="98">
        <v>987578.93682715576</v>
      </c>
      <c r="DM93" s="98">
        <v>326913.1035495504</v>
      </c>
      <c r="DN93" s="98">
        <v>582918.44104441488</v>
      </c>
      <c r="DO93" s="98">
        <v>1024909.2691318817</v>
      </c>
      <c r="DP93" s="98">
        <v>391758.65024365461</v>
      </c>
      <c r="DQ93" s="98">
        <v>1125590.4546729866</v>
      </c>
      <c r="DR93" s="98">
        <v>1299821.4877541205</v>
      </c>
      <c r="DS93" s="98">
        <v>303363.93046107923</v>
      </c>
      <c r="DT93" s="98">
        <v>640768.77764614648</v>
      </c>
      <c r="DU93" s="98">
        <v>1251836.2905450324</v>
      </c>
      <c r="DV93" s="98">
        <v>540031.69495225837</v>
      </c>
      <c r="DW93" s="98">
        <v>1012896.4587175352</v>
      </c>
      <c r="DX93" s="98">
        <v>1426802.1691392534</v>
      </c>
      <c r="DY93" s="98">
        <v>472306.8788436295</v>
      </c>
      <c r="DZ93" s="98">
        <v>842169.94216737431</v>
      </c>
      <c r="EA93" s="98">
        <v>1480735.0722428705</v>
      </c>
      <c r="EB93" s="98">
        <v>565992.31828750623</v>
      </c>
      <c r="EC93" s="98">
        <v>1626193.960200808</v>
      </c>
      <c r="ED93" s="98">
        <v>1877913.804216722</v>
      </c>
      <c r="EE93" s="98">
        <v>425347.00855512102</v>
      </c>
      <c r="EF93" s="98">
        <v>898422.8360077804</v>
      </c>
      <c r="EG93" s="98">
        <v>1755201.4854725208</v>
      </c>
      <c r="EH93" s="98">
        <v>757179.22570351441</v>
      </c>
      <c r="EI93" s="98">
        <v>1420183.5994040626</v>
      </c>
      <c r="EJ93" s="98">
        <v>2000521.3985754354</v>
      </c>
      <c r="EK93" s="98">
        <v>662222.16243970348</v>
      </c>
      <c r="EL93" s="98">
        <v>1180807.7019950463</v>
      </c>
      <c r="EM93" s="98">
        <v>2076140.8005358139</v>
      </c>
      <c r="EN93" s="98">
        <v>793578.65347691812</v>
      </c>
      <c r="EO93" s="98">
        <v>2280088.9191095252</v>
      </c>
      <c r="EP93" s="98">
        <v>2633025.6788732801</v>
      </c>
      <c r="EQ93" s="98">
        <v>578235.66174736083</v>
      </c>
      <c r="ER93" s="98">
        <v>1221356.0050007435</v>
      </c>
      <c r="ES93" s="98">
        <v>2386099.0486327345</v>
      </c>
      <c r="ET93" s="98">
        <v>1029343.1523670573</v>
      </c>
      <c r="EU93" s="98">
        <v>1930660.8178431261</v>
      </c>
      <c r="EV93" s="98">
        <v>2719597.8612251505</v>
      </c>
      <c r="EW93" s="98">
        <v>900254.29266059469</v>
      </c>
      <c r="EX93" s="98">
        <v>1605242.5648386888</v>
      </c>
      <c r="EY93" s="98">
        <v>2822398.2431580881</v>
      </c>
      <c r="EZ93" s="98">
        <v>1078826.1551446631</v>
      </c>
      <c r="FA93" s="98">
        <v>3099654.3962134505</v>
      </c>
      <c r="FB93" s="98">
        <v>3579452.3417314282</v>
      </c>
    </row>
    <row r="94" spans="2:158" x14ac:dyDescent="0.25">
      <c r="C94" s="258" t="s">
        <v>583</v>
      </c>
      <c r="D94" s="1472">
        <f t="shared" si="226"/>
        <v>-94675.41</v>
      </c>
      <c r="E94" s="1472">
        <f t="shared" si="226"/>
        <v>-188897.5</v>
      </c>
      <c r="F94" s="1472">
        <f t="shared" si="226"/>
        <v>-510444.66230800003</v>
      </c>
      <c r="G94" s="1472">
        <f t="shared" si="226"/>
        <v>-650085.40134785243</v>
      </c>
      <c r="H94" s="1472">
        <f t="shared" si="226"/>
        <v>-1052948.2956437089</v>
      </c>
      <c r="I94" s="1472">
        <f t="shared" si="226"/>
        <v>-1683811.4317105005</v>
      </c>
      <c r="J94" s="1472">
        <f t="shared" si="226"/>
        <v>-2377736.6491556466</v>
      </c>
      <c r="K94" s="1472">
        <f t="shared" si="226"/>
        <v>-3288485.2070787</v>
      </c>
      <c r="L94" s="1472">
        <f t="shared" si="226"/>
        <v>-4451540.0587274004</v>
      </c>
      <c r="M94" s="244"/>
      <c r="N94" s="1476">
        <f>SUM(AY94:BA94)</f>
        <v>-22049.4</v>
      </c>
      <c r="O94" s="1476">
        <f>SUM(BB94:BD94)</f>
        <v>-11000</v>
      </c>
      <c r="P94" s="1476">
        <f>SUM(BE94:BG94)</f>
        <v>-12626</v>
      </c>
      <c r="Q94" s="1476">
        <f>SUM(BH94:BJ94)</f>
        <v>-49000.01</v>
      </c>
      <c r="R94" s="1476">
        <f>SUM(BK94:BM94)</f>
        <v>-68050.5</v>
      </c>
      <c r="S94" s="1476">
        <f>SUM(BN94:BP94)</f>
        <v>-34819</v>
      </c>
      <c r="T94" s="1476">
        <f>SUM(BQ94:BS94)</f>
        <v>-39635</v>
      </c>
      <c r="U94" s="1476">
        <f>SUM(BT94:BV94)</f>
        <v>-46393</v>
      </c>
      <c r="V94" s="1476">
        <f>SUM(BW94:BY94)</f>
        <v>-102463.13</v>
      </c>
      <c r="W94" s="1476">
        <f>SUM(BZ94:CB94)</f>
        <v>-92597.39230800001</v>
      </c>
      <c r="X94" s="1476">
        <f>SUM(CC94:CE94)</f>
        <v>-67657.820000000007</v>
      </c>
      <c r="Y94" s="1476">
        <f>SUM(CF94:CH94)</f>
        <v>-247726.31999999998</v>
      </c>
      <c r="Z94" s="1476">
        <f>SUM(CI94:CK94)</f>
        <v>-186557.249412</v>
      </c>
      <c r="AA94" s="1476">
        <f>SUM(CL94:CN94)</f>
        <v>-107671.763766</v>
      </c>
      <c r="AB94" s="1476">
        <f>SUM(CO94:CQ94)</f>
        <v>-150574.51859129546</v>
      </c>
      <c r="AC94" s="1476">
        <f>SUM(CR94:CT94)</f>
        <v>-205281.86957855683</v>
      </c>
      <c r="AD94" s="1476">
        <f>SUM(CU94:CW94)</f>
        <v>-216653.44854578315</v>
      </c>
      <c r="AE94" s="1476">
        <f>SUM(CX94:CZ94)</f>
        <v>-244031.34587682824</v>
      </c>
      <c r="AF94" s="1476">
        <f>SUM(DA94:DC94)</f>
        <v>-223660.96272889775</v>
      </c>
      <c r="AG94" s="1476">
        <f>SUM(DD94:DF94)</f>
        <v>-368602.53849219985</v>
      </c>
      <c r="AH94" s="1476">
        <f>SUM(DG94:DI94)</f>
        <v>-346459.13278949133</v>
      </c>
      <c r="AI94" s="1476">
        <f>SUM(DJ94:DL94)</f>
        <v>-390240.21557668352</v>
      </c>
      <c r="AJ94" s="1476">
        <f>SUM(DM94:DO94)</f>
        <v>-357665.12698523526</v>
      </c>
      <c r="AK94" s="1476">
        <f>SUM(DP94:DR94)</f>
        <v>-589446.95635909028</v>
      </c>
      <c r="AL94" s="1476">
        <f>SUM(DS94:DU94)</f>
        <v>-489240.3994617202</v>
      </c>
      <c r="AM94" s="1476">
        <f>SUM(DV94:DX94)</f>
        <v>-551064.3561841629</v>
      </c>
      <c r="AN94" s="1476">
        <f>SUM(DY94:EA94)</f>
        <v>-505064.56040257961</v>
      </c>
      <c r="AO94" s="1476">
        <f>SUM(EB94:ED94)</f>
        <v>-832367.33310718357</v>
      </c>
      <c r="AP94" s="1476">
        <f>SUM(EE94:EG94)</f>
        <v>-676634.99105607858</v>
      </c>
      <c r="AQ94" s="1476">
        <f>SUM(EH94:EJ94)</f>
        <v>-762139.48424586165</v>
      </c>
      <c r="AR94" s="1476">
        <f>SUM(EK94:EM94)</f>
        <v>-698520.30757627753</v>
      </c>
      <c r="AS94" s="1476">
        <f>SUM(EN94:EP94)</f>
        <v>-1151190.4242004824</v>
      </c>
      <c r="AT94" s="1476">
        <f>SUM(EQ94:ES94)</f>
        <v>-915943.83983820211</v>
      </c>
      <c r="AU94" s="1476">
        <f>SUM(ET94:EV94)</f>
        <v>-1031689.1306536137</v>
      </c>
      <c r="AV94" s="1476">
        <f>SUM(EW94:EY94)</f>
        <v>-945569.44465402537</v>
      </c>
      <c r="AW94" s="1476">
        <f>SUM(EZ94:FB94)</f>
        <v>-1558337.643581559</v>
      </c>
      <c r="AX94" s="244"/>
      <c r="AY94" s="90">
        <v>0</v>
      </c>
      <c r="AZ94" s="90">
        <v>-1050</v>
      </c>
      <c r="BA94" s="90">
        <v>-20999.4</v>
      </c>
      <c r="BB94" s="90">
        <v>-6000</v>
      </c>
      <c r="BC94" s="90">
        <v>-3500</v>
      </c>
      <c r="BD94" s="90">
        <v>-1500</v>
      </c>
      <c r="BE94" s="90">
        <v>0</v>
      </c>
      <c r="BF94" s="90">
        <v>-1</v>
      </c>
      <c r="BG94" s="90">
        <v>-12625</v>
      </c>
      <c r="BH94" s="90">
        <v>0</v>
      </c>
      <c r="BI94" s="90">
        <v>0</v>
      </c>
      <c r="BJ94" s="90">
        <v>-49000.01</v>
      </c>
      <c r="BK94" s="90">
        <v>-16400</v>
      </c>
      <c r="BL94" s="90">
        <v>-0.5</v>
      </c>
      <c r="BM94" s="90">
        <v>-51650</v>
      </c>
      <c r="BN94" s="90">
        <v>-24519</v>
      </c>
      <c r="BO94" s="90">
        <v>0</v>
      </c>
      <c r="BP94" s="90">
        <v>-10300</v>
      </c>
      <c r="BQ94" s="90">
        <v>-6920</v>
      </c>
      <c r="BR94" s="90">
        <v>-4500</v>
      </c>
      <c r="BS94" s="90">
        <v>-28215</v>
      </c>
      <c r="BT94" s="90">
        <v>0</v>
      </c>
      <c r="BU94" s="90">
        <v>-6500</v>
      </c>
      <c r="BV94" s="90">
        <v>-39893</v>
      </c>
      <c r="BW94" s="90">
        <v>-21677</v>
      </c>
      <c r="BX94" s="90">
        <v>-34500</v>
      </c>
      <c r="BY94" s="90">
        <v>-46286.13</v>
      </c>
      <c r="BZ94" s="90">
        <v>-42533.837692000001</v>
      </c>
      <c r="CA94" s="90">
        <v>-49563.554616000001</v>
      </c>
      <c r="CB94" s="90">
        <v>-500</v>
      </c>
      <c r="CC94" s="90">
        <v>-24383.33</v>
      </c>
      <c r="CD94" s="90">
        <v>-20190</v>
      </c>
      <c r="CE94" s="90">
        <v>-23084.49</v>
      </c>
      <c r="CF94" s="90">
        <v>-36049.99</v>
      </c>
      <c r="CG94" s="90">
        <v>-155911.32999999999</v>
      </c>
      <c r="CH94" s="90">
        <v>-55765</v>
      </c>
      <c r="CI94" s="98">
        <v>-55331.402941</v>
      </c>
      <c r="CJ94" s="98">
        <v>-44150</v>
      </c>
      <c r="CK94" s="98">
        <v>-87075.846470999997</v>
      </c>
      <c r="CL94" s="98">
        <v>-17490.400000000001</v>
      </c>
      <c r="CM94" s="98">
        <v>-44790.363766000002</v>
      </c>
      <c r="CN94" s="98">
        <v>-45391</v>
      </c>
      <c r="CO94" s="98">
        <v>-26696.519825506879</v>
      </c>
      <c r="CP94" s="98">
        <v>-41849.712731998516</v>
      </c>
      <c r="CQ94" s="98">
        <v>-82028.286033790078</v>
      </c>
      <c r="CR94" s="98">
        <v>-36567.587490119142</v>
      </c>
      <c r="CS94" s="98">
        <v>-70554.338046361823</v>
      </c>
      <c r="CT94" s="98">
        <v>-98159.944042075862</v>
      </c>
      <c r="CU94" s="98">
        <v>-46893.678024533045</v>
      </c>
      <c r="CV94" s="98">
        <v>-59310.1519554439</v>
      </c>
      <c r="CW94" s="98">
        <v>-110449.6185658062</v>
      </c>
      <c r="CX94" s="98">
        <v>-73235.282645670304</v>
      </c>
      <c r="CY94" s="98">
        <v>-59999.61665839138</v>
      </c>
      <c r="CZ94" s="98">
        <v>-110796.44657276654</v>
      </c>
      <c r="DA94" s="98">
        <v>-73862.922726678982</v>
      </c>
      <c r="DB94" s="98">
        <v>-57941.317232469373</v>
      </c>
      <c r="DC94" s="98">
        <v>-91856.722769749424</v>
      </c>
      <c r="DD94" s="98">
        <v>-72613.896913082615</v>
      </c>
      <c r="DE94" s="98">
        <v>-152617.42579419608</v>
      </c>
      <c r="DF94" s="98">
        <v>-143371.21578492114</v>
      </c>
      <c r="DG94" s="98">
        <v>-74989.542657827056</v>
      </c>
      <c r="DH94" s="98">
        <v>-94845.219173853751</v>
      </c>
      <c r="DI94" s="98">
        <v>-176624.37095781055</v>
      </c>
      <c r="DJ94" s="98">
        <v>-117113.44862184548</v>
      </c>
      <c r="DK94" s="98">
        <v>-95947.769558698739</v>
      </c>
      <c r="DL94" s="98">
        <v>-177178.99739613928</v>
      </c>
      <c r="DM94" s="98">
        <v>-118117.13279871763</v>
      </c>
      <c r="DN94" s="98">
        <v>-92656.261212477548</v>
      </c>
      <c r="DO94" s="98">
        <v>-146891.73297404006</v>
      </c>
      <c r="DP94" s="98">
        <v>-116119.76602189094</v>
      </c>
      <c r="DQ94" s="98">
        <v>-244056.58596312645</v>
      </c>
      <c r="DR94" s="98">
        <v>-229270.60437407292</v>
      </c>
      <c r="DS94" s="98">
        <v>-105893.91455776288</v>
      </c>
      <c r="DT94" s="98">
        <v>-133932.42816850363</v>
      </c>
      <c r="DU94" s="98">
        <v>-249414.05673545369</v>
      </c>
      <c r="DV94" s="98">
        <v>-165377.74578136113</v>
      </c>
      <c r="DW94" s="98">
        <v>-135489.35693630722</v>
      </c>
      <c r="DX94" s="98">
        <v>-250197.25346649459</v>
      </c>
      <c r="DY94" s="98">
        <v>-166795.06401936727</v>
      </c>
      <c r="DZ94" s="98">
        <v>-130841.36614682706</v>
      </c>
      <c r="EA94" s="98">
        <v>-207428.13023638524</v>
      </c>
      <c r="EB94" s="98">
        <v>-163974.55092768322</v>
      </c>
      <c r="EC94" s="98">
        <v>-344636.14985843812</v>
      </c>
      <c r="ED94" s="98">
        <v>-323756.63232106226</v>
      </c>
      <c r="EE94" s="98">
        <v>-146454.64276563955</v>
      </c>
      <c r="EF94" s="98">
        <v>-185232.79646493099</v>
      </c>
      <c r="EG94" s="98">
        <v>-344947.55182550807</v>
      </c>
      <c r="EH94" s="98">
        <v>-228722.6681622419</v>
      </c>
      <c r="EI94" s="98">
        <v>-187386.07833624983</v>
      </c>
      <c r="EJ94" s="98">
        <v>-346030.73774736986</v>
      </c>
      <c r="EK94" s="98">
        <v>-230682.86424243494</v>
      </c>
      <c r="EL94" s="98">
        <v>-180957.75964112801</v>
      </c>
      <c r="EM94" s="98">
        <v>-286879.68369271461</v>
      </c>
      <c r="EN94" s="98">
        <v>-226782.00517056562</v>
      </c>
      <c r="EO94" s="98">
        <v>-476642.72703896242</v>
      </c>
      <c r="EP94" s="98">
        <v>-447765.69199095434</v>
      </c>
      <c r="EQ94" s="98">
        <v>-198251.98168886063</v>
      </c>
      <c r="ER94" s="98">
        <v>-250744.99708217962</v>
      </c>
      <c r="ES94" s="98">
        <v>-466946.8610671619</v>
      </c>
      <c r="ET94" s="98">
        <v>-309616.14711586788</v>
      </c>
      <c r="EU94" s="98">
        <v>-253659.84081852177</v>
      </c>
      <c r="EV94" s="98">
        <v>-468413.14271922415</v>
      </c>
      <c r="EW94" s="98">
        <v>-312269.61545294797</v>
      </c>
      <c r="EX94" s="98">
        <v>-244957.98680987276</v>
      </c>
      <c r="EY94" s="98">
        <v>-388341.84239120473</v>
      </c>
      <c r="EZ94" s="98">
        <v>-306989.12023147114</v>
      </c>
      <c r="FA94" s="98">
        <v>-645219.32120834745</v>
      </c>
      <c r="FB94" s="98">
        <v>-606129.20214174036</v>
      </c>
    </row>
    <row r="95" spans="2:158" x14ac:dyDescent="0.25">
      <c r="C95" s="258" t="s">
        <v>22</v>
      </c>
      <c r="D95" s="1473">
        <f t="shared" si="226"/>
        <v>-449131</v>
      </c>
      <c r="E95" s="1473">
        <f t="shared" si="226"/>
        <v>-1169882.71</v>
      </c>
      <c r="F95" s="1473">
        <f t="shared" si="226"/>
        <v>-2397605.5235900003</v>
      </c>
      <c r="G95" s="1473">
        <f t="shared" si="226"/>
        <v>-2613581.8157095336</v>
      </c>
      <c r="H95" s="1473">
        <f t="shared" si="226"/>
        <v>-4233238.4524724949</v>
      </c>
      <c r="I95" s="1473">
        <f t="shared" si="226"/>
        <v>-6769539.7095182538</v>
      </c>
      <c r="J95" s="1473">
        <f t="shared" si="226"/>
        <v>-9559373.6698204428</v>
      </c>
      <c r="K95" s="1473">
        <f t="shared" si="226"/>
        <v>-13220917.006643813</v>
      </c>
      <c r="L95" s="1473">
        <f t="shared" si="226"/>
        <v>-17896824.209973343</v>
      </c>
      <c r="M95" s="244"/>
      <c r="N95" s="1473">
        <f>SUM(AY95:BA95)</f>
        <v>-114646</v>
      </c>
      <c r="O95" s="1473">
        <f>SUM(BB95:BD95)</f>
        <v>-66100</v>
      </c>
      <c r="P95" s="1473">
        <f>SUM(BE95:BG95)</f>
        <v>-69435</v>
      </c>
      <c r="Q95" s="1473">
        <f>SUM(BH95:BJ95)</f>
        <v>-198950</v>
      </c>
      <c r="R95" s="1473">
        <f>SUM(BK95:BM95)</f>
        <v>-204400</v>
      </c>
      <c r="S95" s="1473">
        <f>SUM(BN95:BP95)</f>
        <v>-253473</v>
      </c>
      <c r="T95" s="1473">
        <f>SUM(BQ95:BS95)</f>
        <v>-241928</v>
      </c>
      <c r="U95" s="1473">
        <f>SUM(BT95:BV95)</f>
        <v>-470081.71</v>
      </c>
      <c r="V95" s="1473">
        <f>SUM(BW95:BY95)</f>
        <v>-683275.67</v>
      </c>
      <c r="W95" s="1473">
        <f>SUM(BZ95:CB95)</f>
        <v>-532285.6</v>
      </c>
      <c r="X95" s="1473">
        <f>SUM(CC95:CE95)</f>
        <v>-588994.49358999997</v>
      </c>
      <c r="Y95" s="1473">
        <f>SUM(CF95:CH95)</f>
        <v>-593049.76</v>
      </c>
      <c r="Z95" s="1473">
        <f>SUM(CI95:CK95)</f>
        <v>-627144.08873900003</v>
      </c>
      <c r="AA95" s="1473">
        <f>SUM(CL95:CN95)</f>
        <v>-587431.62059599999</v>
      </c>
      <c r="AB95" s="1473">
        <f>SUM(CO95:CQ95)</f>
        <v>-591965.40508099971</v>
      </c>
      <c r="AC95" s="1473">
        <f>SUM(CR95:CT95)</f>
        <v>-807040.70129353367</v>
      </c>
      <c r="AD95" s="1473">
        <f>SUM(CU95:CW95)</f>
        <v>-871026.34862435749</v>
      </c>
      <c r="AE95" s="1473">
        <f>SUM(CX95:CZ95)</f>
        <v>-981095.54025429569</v>
      </c>
      <c r="AF95" s="1473">
        <f>SUM(DA95:DC95)</f>
        <v>-899199.12654606183</v>
      </c>
      <c r="AG95" s="1473">
        <f>SUM(DD95:DF95)</f>
        <v>-1481917.43704778</v>
      </c>
      <c r="AH95" s="1473">
        <f>SUM(DG95:DI95)</f>
        <v>-1392892.8221856623</v>
      </c>
      <c r="AI95" s="1473">
        <f>SUM(DJ95:DL95)</f>
        <v>-1568908.837323728</v>
      </c>
      <c r="AJ95" s="1473">
        <f>SUM(DM95:DO95)</f>
        <v>-1437945.0300897611</v>
      </c>
      <c r="AK95" s="1473">
        <f>SUM(DP95:DR95)</f>
        <v>-2369793.019919103</v>
      </c>
      <c r="AL95" s="1473">
        <f>SUM(DS95:DU95)</f>
        <v>-1966925.897570526</v>
      </c>
      <c r="AM95" s="1473">
        <f>SUM(DV95:DX95)</f>
        <v>-2215480.8854689989</v>
      </c>
      <c r="AN95" s="1473">
        <f>SUM(DY95:EA95)</f>
        <v>-2030544.8300956099</v>
      </c>
      <c r="AO95" s="1473">
        <f>SUM(EB95:ED95)</f>
        <v>-3346422.0566853089</v>
      </c>
      <c r="AP95" s="1473">
        <f>SUM(EE95:EG95)</f>
        <v>-2720320.9068075651</v>
      </c>
      <c r="AQ95" s="1473">
        <f>SUM(EH95:EJ95)</f>
        <v>-3064080.339182049</v>
      </c>
      <c r="AR95" s="1473">
        <f>SUM(EK95:EM95)</f>
        <v>-2808307.9084686483</v>
      </c>
      <c r="AS95" s="1473">
        <f>SUM(EN95:EP95)</f>
        <v>-4628207.8521855492</v>
      </c>
      <c r="AT95" s="1473">
        <f>SUM(EQ95:ES95)</f>
        <v>-3682430.2761589754</v>
      </c>
      <c r="AU95" s="1473">
        <f>SUM(ET95:EV95)</f>
        <v>-4147768.8096838999</v>
      </c>
      <c r="AV95" s="1473">
        <f>SUM(EW95:EY95)</f>
        <v>-3801536.0765130445</v>
      </c>
      <c r="AW95" s="1473">
        <f>SUM(EZ95:FB95)</f>
        <v>-6265089.0476174224</v>
      </c>
      <c r="AX95" s="244"/>
      <c r="AY95" s="88">
        <v>-16286</v>
      </c>
      <c r="AZ95" s="88">
        <v>-52460</v>
      </c>
      <c r="BA95" s="88">
        <v>-45900</v>
      </c>
      <c r="BB95" s="88">
        <v>-28000</v>
      </c>
      <c r="BC95" s="88">
        <v>-15600</v>
      </c>
      <c r="BD95" s="88">
        <v>-22500</v>
      </c>
      <c r="BE95" s="88">
        <v>0</v>
      </c>
      <c r="BF95" s="88">
        <v>-53875</v>
      </c>
      <c r="BG95" s="88">
        <v>-15560</v>
      </c>
      <c r="BH95" s="88">
        <v>0</v>
      </c>
      <c r="BI95" s="88">
        <v>-67700</v>
      </c>
      <c r="BJ95" s="88">
        <v>-131250</v>
      </c>
      <c r="BK95" s="88">
        <v>-12000</v>
      </c>
      <c r="BL95" s="88">
        <v>-77800</v>
      </c>
      <c r="BM95" s="88">
        <v>-114600</v>
      </c>
      <c r="BN95" s="88">
        <v>-73652</v>
      </c>
      <c r="BO95" s="88">
        <v>-78433</v>
      </c>
      <c r="BP95" s="88">
        <v>-101388</v>
      </c>
      <c r="BQ95" s="88">
        <v>-97986</v>
      </c>
      <c r="BR95" s="88">
        <v>-35590</v>
      </c>
      <c r="BS95" s="88">
        <v>-108352</v>
      </c>
      <c r="BT95" s="88">
        <v>-64144</v>
      </c>
      <c r="BU95" s="88">
        <v>-116973.71</v>
      </c>
      <c r="BV95" s="88">
        <v>-288964</v>
      </c>
      <c r="BW95" s="88">
        <v>-242513</v>
      </c>
      <c r="BX95" s="88">
        <v>-224142</v>
      </c>
      <c r="BY95" s="88">
        <v>-216620.67</v>
      </c>
      <c r="BZ95" s="88">
        <v>-193465.60000000001</v>
      </c>
      <c r="CA95" s="88">
        <v>-157120</v>
      </c>
      <c r="CB95" s="88">
        <v>-181700</v>
      </c>
      <c r="CC95" s="88">
        <v>-197488.6</v>
      </c>
      <c r="CD95" s="88">
        <v>-154499.6</v>
      </c>
      <c r="CE95" s="88">
        <v>-237006.29358999999</v>
      </c>
      <c r="CF95" s="88">
        <v>-164693.6</v>
      </c>
      <c r="CG95" s="88">
        <v>-185188</v>
      </c>
      <c r="CH95" s="88">
        <v>-243168.16</v>
      </c>
      <c r="CI95" s="1493">
        <v>-160350</v>
      </c>
      <c r="CJ95" s="1493">
        <v>-120534.325882</v>
      </c>
      <c r="CK95" s="1493">
        <v>-346259.76285699999</v>
      </c>
      <c r="CL95" s="1493">
        <v>-233167.100519</v>
      </c>
      <c r="CM95" s="1493">
        <v>-151466.30831200001</v>
      </c>
      <c r="CN95" s="1493">
        <v>-202798.21176500001</v>
      </c>
      <c r="CO95" s="1493">
        <v>-104954.12052854933</v>
      </c>
      <c r="CP95" s="1493">
        <v>-164527.05531912687</v>
      </c>
      <c r="CQ95" s="1493">
        <v>-322484.22923332348</v>
      </c>
      <c r="CR95" s="1493">
        <v>-143761.02240897116</v>
      </c>
      <c r="CS95" s="1493">
        <v>-277375.7983261504</v>
      </c>
      <c r="CT95" s="1493">
        <v>-385903.88055841217</v>
      </c>
      <c r="CU95" s="1493">
        <v>-188529.78993613296</v>
      </c>
      <c r="CV95" s="1493">
        <v>-238448.57047446986</v>
      </c>
      <c r="CW95" s="1493">
        <v>-444047.98821375472</v>
      </c>
      <c r="CX95" s="1493">
        <v>-294432.70467883151</v>
      </c>
      <c r="CY95" s="1493">
        <v>-241220.47153002501</v>
      </c>
      <c r="CZ95" s="1493">
        <v>-445442.36404543917</v>
      </c>
      <c r="DA95" s="1493">
        <v>-296956.04807207431</v>
      </c>
      <c r="DB95" s="1493">
        <v>-232945.35269222077</v>
      </c>
      <c r="DC95" s="1493">
        <v>-369297.7257817667</v>
      </c>
      <c r="DD95" s="1493">
        <v>-291934.50606082636</v>
      </c>
      <c r="DE95" s="1493">
        <v>-613578.04372948129</v>
      </c>
      <c r="DF95" s="1493">
        <v>-576404.88725747238</v>
      </c>
      <c r="DG95" s="1493">
        <v>-301485.47352780611</v>
      </c>
      <c r="DH95" s="1493">
        <v>-381312.57774104184</v>
      </c>
      <c r="DI95" s="1493">
        <v>-710094.77091681445</v>
      </c>
      <c r="DJ95" s="1493">
        <v>-470839.02985433384</v>
      </c>
      <c r="DK95" s="1493">
        <v>-385745.23479003849</v>
      </c>
      <c r="DL95" s="1493">
        <v>-712324.57267935562</v>
      </c>
      <c r="DM95" s="1493">
        <v>-474874.20847540366</v>
      </c>
      <c r="DN95" s="1493">
        <v>-372512.1636549175</v>
      </c>
      <c r="DO95" s="1493">
        <v>-590558.65795943991</v>
      </c>
      <c r="DP95" s="1493">
        <v>-466844.06124183536</v>
      </c>
      <c r="DQ95" s="1493">
        <v>-981197.01466125692</v>
      </c>
      <c r="DR95" s="1493">
        <v>-921751.94401601073</v>
      </c>
      <c r="DS95" s="1493">
        <v>-425732.38671202841</v>
      </c>
      <c r="DT95" s="1493">
        <v>-538457.49815218616</v>
      </c>
      <c r="DU95" s="1493">
        <v>-1002736.0127063114</v>
      </c>
      <c r="DV95" s="1493">
        <v>-664879.21156365052</v>
      </c>
      <c r="DW95" s="1493">
        <v>-544716.92300228984</v>
      </c>
      <c r="DX95" s="1493">
        <v>-1005884.7509030583</v>
      </c>
      <c r="DY95" s="1493">
        <v>-670577.35086388118</v>
      </c>
      <c r="DZ95" s="1493">
        <v>-526030.29478116101</v>
      </c>
      <c r="EA95" s="1493">
        <v>-833937.1844505677</v>
      </c>
      <c r="EB95" s="1493">
        <v>-659237.8534499841</v>
      </c>
      <c r="EC95" s="1493">
        <v>-1385563.7619897695</v>
      </c>
      <c r="ED95" s="1493">
        <v>-1301620.4412455556</v>
      </c>
      <c r="EE95" s="1493">
        <v>-588801.39496271405</v>
      </c>
      <c r="EF95" s="1493">
        <v>-744703.79970080545</v>
      </c>
      <c r="EG95" s="1493">
        <v>-1386815.7121440459</v>
      </c>
      <c r="EH95" s="1493">
        <v>-919549.03941849002</v>
      </c>
      <c r="EI95" s="1493">
        <v>-753360.78281611239</v>
      </c>
      <c r="EJ95" s="1493">
        <v>-1391170.5169474469</v>
      </c>
      <c r="EK95" s="1493">
        <v>-927429.74681446538</v>
      </c>
      <c r="EL95" s="1493">
        <v>-727516.58325045253</v>
      </c>
      <c r="EM95" s="1493">
        <v>-1153361.5784037304</v>
      </c>
      <c r="EN95" s="1493">
        <v>-911746.86220462038</v>
      </c>
      <c r="EO95" s="1493">
        <v>-1916278.6326171518</v>
      </c>
      <c r="EP95" s="1493">
        <v>-1800182.3573637772</v>
      </c>
      <c r="EQ95" s="1493">
        <v>-797045.70075883204</v>
      </c>
      <c r="ER95" s="1493">
        <v>-1008086.8811934129</v>
      </c>
      <c r="ES95" s="1493">
        <v>-1877297.6942067305</v>
      </c>
      <c r="ET95" s="1493">
        <v>-1244770.502882103</v>
      </c>
      <c r="EU95" s="1493">
        <v>-1019805.6224067113</v>
      </c>
      <c r="EV95" s="1493">
        <v>-1883192.6843950856</v>
      </c>
      <c r="EW95" s="1493">
        <v>-1255438.4190973798</v>
      </c>
      <c r="EX95" s="1493">
        <v>-984820.97676967643</v>
      </c>
      <c r="EY95" s="1493">
        <v>-1561276.6806459886</v>
      </c>
      <c r="EZ95" s="1493">
        <v>-1234208.8910074108</v>
      </c>
      <c r="FA95" s="1493">
        <v>-2594018.388289033</v>
      </c>
      <c r="FB95" s="1493">
        <v>-2436861.7683209782</v>
      </c>
    </row>
    <row r="96" spans="2:158" x14ac:dyDescent="0.25">
      <c r="C96" s="291" t="s">
        <v>24</v>
      </c>
      <c r="D96" s="1470">
        <f t="shared" ref="D96:L96" si="227">SUM(D91:D95)</f>
        <v>9641502.6300000045</v>
      </c>
      <c r="E96" s="1470">
        <f t="shared" si="227"/>
        <v>17564589.410915006</v>
      </c>
      <c r="F96" s="1470">
        <f t="shared" si="227"/>
        <v>25508107.217652008</v>
      </c>
      <c r="G96" s="1470">
        <f t="shared" si="227"/>
        <v>41315676.316121288</v>
      </c>
      <c r="H96" s="1470">
        <f t="shared" si="227"/>
        <v>60381079.580205388</v>
      </c>
      <c r="I96" s="1492">
        <f t="shared" si="227"/>
        <v>85265073.706972077</v>
      </c>
      <c r="J96" s="1492">
        <f t="shared" si="227"/>
        <v>117924301.52658938</v>
      </c>
      <c r="K96" s="1492">
        <f t="shared" si="227"/>
        <v>159631173.34786245</v>
      </c>
      <c r="L96" s="1492">
        <f t="shared" si="227"/>
        <v>211318681.79065552</v>
      </c>
      <c r="N96" s="1470">
        <f t="shared" ref="N96:AW96" si="228">SUM(N91:N95)</f>
        <v>5012576.6700000046</v>
      </c>
      <c r="O96" s="1470">
        <f t="shared" si="228"/>
        <v>6021300.6700000055</v>
      </c>
      <c r="P96" s="1470">
        <f t="shared" si="228"/>
        <v>7499475.1700000055</v>
      </c>
      <c r="Q96" s="1470">
        <f t="shared" si="228"/>
        <v>9641502.6300000064</v>
      </c>
      <c r="R96" s="1470">
        <f t="shared" si="228"/>
        <v>11527145.160000008</v>
      </c>
      <c r="S96" s="1470">
        <f t="shared" si="228"/>
        <v>13624699.520000005</v>
      </c>
      <c r="T96" s="1470">
        <f t="shared" si="228"/>
        <v>15365320.280000005</v>
      </c>
      <c r="U96" s="1470">
        <f t="shared" si="228"/>
        <v>17564589.410915006</v>
      </c>
      <c r="V96" s="1470">
        <f t="shared" si="228"/>
        <v>18269105.373149004</v>
      </c>
      <c r="W96" s="1470">
        <f t="shared" si="228"/>
        <v>20604136.826187003</v>
      </c>
      <c r="X96" s="1470">
        <f t="shared" si="228"/>
        <v>22340644.505196001</v>
      </c>
      <c r="Y96" s="1470">
        <f t="shared" si="228"/>
        <v>25508107.217652</v>
      </c>
      <c r="Z96" s="1470">
        <f t="shared" si="228"/>
        <v>27980246.216047999</v>
      </c>
      <c r="AA96" s="1470">
        <f t="shared" si="228"/>
        <v>32000090.893999003</v>
      </c>
      <c r="AB96" s="1470">
        <f t="shared" si="228"/>
        <v>36030717.42866005</v>
      </c>
      <c r="AC96" s="1470">
        <f t="shared" si="228"/>
        <v>41315676.31612128</v>
      </c>
      <c r="AD96" s="1470">
        <f t="shared" si="228"/>
        <v>44537598.054279454</v>
      </c>
      <c r="AE96" s="1470">
        <f t="shared" si="228"/>
        <v>49046421.267289504</v>
      </c>
      <c r="AF96" s="1470">
        <f t="shared" si="228"/>
        <v>53576562.602930397</v>
      </c>
      <c r="AG96" s="1470">
        <f t="shared" si="228"/>
        <v>60381079.580205359</v>
      </c>
      <c r="AH96" s="1470">
        <f t="shared" si="228"/>
        <v>64721597.072871126</v>
      </c>
      <c r="AI96" s="1470">
        <f t="shared" si="228"/>
        <v>71012278.214738801</v>
      </c>
      <c r="AJ96" s="1470">
        <f t="shared" si="228"/>
        <v>76955631.312567174</v>
      </c>
      <c r="AK96" s="1470">
        <f t="shared" si="228"/>
        <v>85265073.706972048</v>
      </c>
      <c r="AL96" s="1470">
        <f t="shared" si="228"/>
        <v>90942125.923466697</v>
      </c>
      <c r="AM96" s="1470">
        <f t="shared" si="228"/>
        <v>99211618.914439589</v>
      </c>
      <c r="AN96" s="1470">
        <f t="shared" si="228"/>
        <v>107028646.16562246</v>
      </c>
      <c r="AO96" s="1470">
        <f t="shared" si="228"/>
        <v>117924301.52658935</v>
      </c>
      <c r="AP96" s="1470">
        <f t="shared" si="228"/>
        <v>125144488.1460892</v>
      </c>
      <c r="AQ96" s="1470">
        <f t="shared" si="228"/>
        <v>135724765.64570612</v>
      </c>
      <c r="AR96" s="1470">
        <f t="shared" si="228"/>
        <v>145732319.03300801</v>
      </c>
      <c r="AS96" s="1470">
        <f t="shared" si="228"/>
        <v>159631173.3478623</v>
      </c>
      <c r="AT96" s="1470">
        <f t="shared" si="228"/>
        <v>168535027.34599689</v>
      </c>
      <c r="AU96" s="1470">
        <f t="shared" si="228"/>
        <v>181676865.63609591</v>
      </c>
      <c r="AV96" s="1470">
        <f t="shared" si="228"/>
        <v>194116518.50414619</v>
      </c>
      <c r="AW96" s="1470">
        <f t="shared" si="228"/>
        <v>211318681.79065537</v>
      </c>
      <c r="AX96" s="244"/>
      <c r="AY96" s="1472">
        <f t="shared" ref="AY96:CG96" si="229">AZ91</f>
        <v>4099936.4700000053</v>
      </c>
      <c r="AZ96" s="1472">
        <f t="shared" si="229"/>
        <v>4510001.4700000053</v>
      </c>
      <c r="BA96" s="1472">
        <f t="shared" si="229"/>
        <v>5012576.6700000055</v>
      </c>
      <c r="BB96" s="1472">
        <f t="shared" si="229"/>
        <v>5178116.6700000055</v>
      </c>
      <c r="BC96" s="1472">
        <f t="shared" si="229"/>
        <v>5508016.6700000055</v>
      </c>
      <c r="BD96" s="1472">
        <f t="shared" si="229"/>
        <v>6021300.6700000055</v>
      </c>
      <c r="BE96" s="1472">
        <f t="shared" si="229"/>
        <v>6341477.3400000054</v>
      </c>
      <c r="BF96" s="1472">
        <f t="shared" si="229"/>
        <v>6772890.8400000054</v>
      </c>
      <c r="BG96" s="1472">
        <f t="shared" si="229"/>
        <v>7499475.1700000055</v>
      </c>
      <c r="BH96" s="1472">
        <f t="shared" si="229"/>
        <v>7996907.1700000055</v>
      </c>
      <c r="BI96" s="1472">
        <f t="shared" si="229"/>
        <v>8881420.1700000055</v>
      </c>
      <c r="BJ96" s="1472">
        <f t="shared" si="229"/>
        <v>9641502.6300000064</v>
      </c>
      <c r="BK96" s="1472">
        <f t="shared" si="229"/>
        <v>9957435.9600000065</v>
      </c>
      <c r="BL96" s="1472">
        <f t="shared" si="229"/>
        <v>10569535.790000007</v>
      </c>
      <c r="BM96" s="1472">
        <f t="shared" si="229"/>
        <v>11527145.160000006</v>
      </c>
      <c r="BN96" s="1472">
        <f t="shared" si="229"/>
        <v>12032413.690000005</v>
      </c>
      <c r="BO96" s="1472">
        <f t="shared" si="229"/>
        <v>12730500.880000005</v>
      </c>
      <c r="BP96" s="1472">
        <f t="shared" si="229"/>
        <v>13624699.520000005</v>
      </c>
      <c r="BQ96" s="1472">
        <f t="shared" si="229"/>
        <v>13969628.690000005</v>
      </c>
      <c r="BR96" s="1472">
        <f t="shared" si="229"/>
        <v>14364605.690000005</v>
      </c>
      <c r="BS96" s="1472">
        <f t="shared" si="229"/>
        <v>15365320.280000005</v>
      </c>
      <c r="BT96" s="1472">
        <f t="shared" si="229"/>
        <v>15731030.960000005</v>
      </c>
      <c r="BU96" s="1472">
        <f t="shared" si="229"/>
        <v>16626468.750000006</v>
      </c>
      <c r="BV96" s="1472">
        <f t="shared" si="229"/>
        <v>17564589.410915006</v>
      </c>
      <c r="BW96" s="1472">
        <f t="shared" si="229"/>
        <v>17589616.270915005</v>
      </c>
      <c r="BX96" s="1472">
        <f t="shared" si="229"/>
        <v>17756749.793039005</v>
      </c>
      <c r="BY96" s="1472">
        <f t="shared" si="229"/>
        <v>18269105.373149004</v>
      </c>
      <c r="BZ96" s="1472">
        <f t="shared" si="229"/>
        <v>18521839.063918006</v>
      </c>
      <c r="CA96" s="1472">
        <f t="shared" si="229"/>
        <v>19044539.668825004</v>
      </c>
      <c r="CB96" s="1472">
        <f t="shared" si="229"/>
        <v>20604136.826187003</v>
      </c>
      <c r="CC96" s="1472">
        <f t="shared" si="229"/>
        <v>20734504.463366002</v>
      </c>
      <c r="CD96" s="1472">
        <f t="shared" si="229"/>
        <v>21356765.968383003</v>
      </c>
      <c r="CE96" s="1472">
        <f t="shared" si="229"/>
        <v>22340644.505196001</v>
      </c>
      <c r="CF96" s="1472">
        <f t="shared" si="229"/>
        <v>22896400.661571</v>
      </c>
      <c r="CG96" s="1472">
        <f t="shared" si="229"/>
        <v>23843709.285344001</v>
      </c>
      <c r="CH96" s="90">
        <v>25508107.217652</v>
      </c>
      <c r="CI96" s="1482">
        <f t="shared" ref="CI96:DN96" si="230">SUM(CI91:CI95)</f>
        <v>25944830.313618001</v>
      </c>
      <c r="CJ96" s="1482">
        <f t="shared" si="230"/>
        <v>26680390.815124001</v>
      </c>
      <c r="CK96" s="1482">
        <f t="shared" si="230"/>
        <v>27980246.216048002</v>
      </c>
      <c r="CL96" s="1482">
        <f t="shared" si="230"/>
        <v>28550875.870068002</v>
      </c>
      <c r="CM96" s="1482">
        <f t="shared" si="230"/>
        <v>29863117.937316004</v>
      </c>
      <c r="CN96" s="1482">
        <f t="shared" si="230"/>
        <v>32000090.893999003</v>
      </c>
      <c r="CO96" s="1482">
        <f t="shared" si="230"/>
        <v>32584415.222394947</v>
      </c>
      <c r="CP96" s="1482">
        <f t="shared" si="230"/>
        <v>34048646.714760482</v>
      </c>
      <c r="CQ96" s="1482">
        <f t="shared" si="230"/>
        <v>36030717.428660035</v>
      </c>
      <c r="CR96" s="1482">
        <f t="shared" si="230"/>
        <v>36480116.964594282</v>
      </c>
      <c r="CS96" s="1482">
        <f t="shared" si="230"/>
        <v>38651099.411555104</v>
      </c>
      <c r="CT96" s="1482">
        <f t="shared" si="230"/>
        <v>41315676.31612128</v>
      </c>
      <c r="CU96" s="1482">
        <f t="shared" si="230"/>
        <v>41649939.388837047</v>
      </c>
      <c r="CV96" s="1482">
        <f t="shared" si="230"/>
        <v>42604230.532208942</v>
      </c>
      <c r="CW96" s="1482">
        <f t="shared" si="230"/>
        <v>44537598.054279454</v>
      </c>
      <c r="CX96" s="1482">
        <f t="shared" si="230"/>
        <v>45164677.023952574</v>
      </c>
      <c r="CY96" s="1482">
        <f t="shared" si="230"/>
        <v>46814519.651795663</v>
      </c>
      <c r="CZ96" s="1482">
        <f t="shared" si="230"/>
        <v>49046421.26728949</v>
      </c>
      <c r="DA96" s="1482">
        <f t="shared" si="230"/>
        <v>49630789.796066143</v>
      </c>
      <c r="DB96" s="1482">
        <f t="shared" si="230"/>
        <v>51043097.039484277</v>
      </c>
      <c r="DC96" s="1482">
        <f t="shared" si="230"/>
        <v>53576562.602930389</v>
      </c>
      <c r="DD96" s="1482">
        <f t="shared" si="230"/>
        <v>54497909.177640155</v>
      </c>
      <c r="DE96" s="1482">
        <f t="shared" si="230"/>
        <v>57161747.170220114</v>
      </c>
      <c r="DF96" s="1482">
        <f t="shared" si="230"/>
        <v>60381079.580205351</v>
      </c>
      <c r="DG96" s="1482">
        <f t="shared" si="230"/>
        <v>60844513.093447305</v>
      </c>
      <c r="DH96" s="1482">
        <f t="shared" si="230"/>
        <v>62142419.737607859</v>
      </c>
      <c r="DI96" s="1482">
        <f t="shared" si="230"/>
        <v>64721597.072871134</v>
      </c>
      <c r="DJ96" s="1482">
        <f t="shared" si="230"/>
        <v>65628803.316996716</v>
      </c>
      <c r="DK96" s="1482">
        <f t="shared" si="230"/>
        <v>67951466.037505656</v>
      </c>
      <c r="DL96" s="1482">
        <f t="shared" si="230"/>
        <v>71012278.214738786</v>
      </c>
      <c r="DM96" s="1482">
        <f t="shared" si="230"/>
        <v>71726939.287662864</v>
      </c>
      <c r="DN96" s="1482">
        <f t="shared" si="230"/>
        <v>73593444.626973122</v>
      </c>
      <c r="DO96" s="1482">
        <f t="shared" ref="DO96:ET96" si="231">SUM(DO91:DO95)</f>
        <v>76955631.312567174</v>
      </c>
      <c r="DP96" s="1482">
        <f t="shared" si="231"/>
        <v>77939702.086278066</v>
      </c>
      <c r="DQ96" s="1482">
        <f t="shared" si="231"/>
        <v>81216810.304345638</v>
      </c>
      <c r="DR96" s="1482">
        <f t="shared" si="231"/>
        <v>85265073.706972048</v>
      </c>
      <c r="DS96" s="1482">
        <f t="shared" si="231"/>
        <v>85857017.518521056</v>
      </c>
      <c r="DT96" s="1482">
        <f t="shared" si="231"/>
        <v>87557845.287186086</v>
      </c>
      <c r="DU96" s="1482">
        <f t="shared" si="231"/>
        <v>90942125.923466668</v>
      </c>
      <c r="DV96" s="1482">
        <f t="shared" si="231"/>
        <v>92111986.354833737</v>
      </c>
      <c r="DW96" s="1482">
        <f t="shared" si="231"/>
        <v>95183248.440515652</v>
      </c>
      <c r="DX96" s="1482">
        <f t="shared" si="231"/>
        <v>99211618.914439619</v>
      </c>
      <c r="DY96" s="1482">
        <f t="shared" si="231"/>
        <v>100123531.23601428</v>
      </c>
      <c r="DZ96" s="1482">
        <f t="shared" si="231"/>
        <v>102585807.50903952</v>
      </c>
      <c r="EA96" s="1482">
        <f t="shared" si="231"/>
        <v>107028646.16562246</v>
      </c>
      <c r="EB96" s="1482">
        <f t="shared" si="231"/>
        <v>108301701.60675406</v>
      </c>
      <c r="EC96" s="1482">
        <f t="shared" si="231"/>
        <v>112594442.28824216</v>
      </c>
      <c r="ED96" s="1482">
        <f t="shared" si="231"/>
        <v>117924301.52658933</v>
      </c>
      <c r="EE96" s="1482">
        <f t="shared" si="231"/>
        <v>118655759.31146483</v>
      </c>
      <c r="EF96" s="1482">
        <f t="shared" si="231"/>
        <v>120823832.49463625</v>
      </c>
      <c r="EG96" s="1482">
        <f t="shared" si="231"/>
        <v>125144488.14608918</v>
      </c>
      <c r="EH96" s="1482">
        <f t="shared" si="231"/>
        <v>126607179.28576194</v>
      </c>
      <c r="EI96" s="1482">
        <f t="shared" si="231"/>
        <v>130563617.25014083</v>
      </c>
      <c r="EJ96" s="1482">
        <f t="shared" si="231"/>
        <v>135724765.64570612</v>
      </c>
      <c r="EK96" s="1482">
        <f t="shared" si="231"/>
        <v>136850177.73271716</v>
      </c>
      <c r="EL96" s="1482">
        <f t="shared" si="231"/>
        <v>140013454.08636019</v>
      </c>
      <c r="EM96" s="1482">
        <f t="shared" si="231"/>
        <v>145732319.03300792</v>
      </c>
      <c r="EN96" s="1482">
        <f t="shared" si="231"/>
        <v>147330268.28107041</v>
      </c>
      <c r="EO96" s="1482">
        <f t="shared" si="231"/>
        <v>152799722.50455061</v>
      </c>
      <c r="EP96" s="1482">
        <f t="shared" si="231"/>
        <v>159631173.34786233</v>
      </c>
      <c r="EQ96" s="1482">
        <f t="shared" si="231"/>
        <v>160501151.99363193</v>
      </c>
      <c r="ER96" s="1482">
        <f t="shared" si="231"/>
        <v>163182178.19600391</v>
      </c>
      <c r="ES96" s="1482">
        <f t="shared" si="231"/>
        <v>168535027.34599689</v>
      </c>
      <c r="ET96" s="1482">
        <f t="shared" si="231"/>
        <v>170301102.47782815</v>
      </c>
      <c r="EU96" s="1482">
        <f t="shared" ref="EU96:FB96" si="232">SUM(EU91:EU95)</f>
        <v>175255575.1366775</v>
      </c>
      <c r="EV96" s="1482">
        <f t="shared" si="232"/>
        <v>181676865.63609594</v>
      </c>
      <c r="EW96" s="1482">
        <f t="shared" si="232"/>
        <v>183013203.70690235</v>
      </c>
      <c r="EX96" s="1482">
        <f t="shared" si="232"/>
        <v>186961626.56538308</v>
      </c>
      <c r="EY96" s="1482">
        <f t="shared" si="232"/>
        <v>194116518.50414619</v>
      </c>
      <c r="EZ96" s="1482">
        <f t="shared" si="232"/>
        <v>196055404.86434168</v>
      </c>
      <c r="FA96" s="1482">
        <f t="shared" si="232"/>
        <v>202815052.30391991</v>
      </c>
      <c r="FB96" s="1482">
        <f t="shared" si="232"/>
        <v>211318681.79065534</v>
      </c>
    </row>
    <row r="97" spans="3:158" x14ac:dyDescent="0.25">
      <c r="C97" s="289"/>
      <c r="D97" s="244"/>
      <c r="E97" s="244"/>
      <c r="F97" s="244"/>
      <c r="G97" s="244"/>
      <c r="H97" s="244"/>
      <c r="I97" s="244"/>
      <c r="J97" s="244"/>
      <c r="K97" s="244"/>
      <c r="L97" s="244"/>
      <c r="M97" s="244"/>
      <c r="N97" s="244"/>
      <c r="O97" s="244"/>
      <c r="P97" s="244"/>
      <c r="Q97" s="244"/>
      <c r="R97" s="244"/>
      <c r="S97" s="244"/>
      <c r="T97" s="244"/>
      <c r="U97" s="244"/>
      <c r="V97" s="244"/>
      <c r="W97" s="244"/>
      <c r="X97" s="244"/>
      <c r="Y97" s="244"/>
      <c r="Z97" s="244"/>
      <c r="AA97" s="244"/>
      <c r="AB97" s="244"/>
      <c r="AC97" s="244"/>
      <c r="AD97" s="244"/>
      <c r="AE97" s="244"/>
      <c r="AF97" s="244"/>
      <c r="AG97" s="244"/>
      <c r="AH97" s="244"/>
      <c r="AI97" s="244"/>
      <c r="AJ97" s="244"/>
      <c r="AK97" s="244"/>
      <c r="AL97" s="244"/>
      <c r="AM97" s="244"/>
      <c r="AN97" s="244"/>
      <c r="AO97" s="244"/>
      <c r="AP97" s="244"/>
      <c r="AQ97" s="244"/>
      <c r="AR97" s="244"/>
      <c r="AS97" s="244"/>
      <c r="AT97" s="244"/>
      <c r="AU97" s="244"/>
      <c r="AV97" s="244"/>
      <c r="AW97" s="244"/>
      <c r="AX97" s="244"/>
      <c r="AY97" s="244"/>
      <c r="AZ97" s="244"/>
      <c r="BA97" s="244"/>
      <c r="BB97" s="244"/>
      <c r="BC97" s="244"/>
      <c r="BD97" s="244"/>
      <c r="BE97" s="244"/>
      <c r="BF97" s="244"/>
      <c r="BG97" s="244"/>
      <c r="BH97" s="244"/>
      <c r="BI97" s="244"/>
      <c r="BJ97" s="244"/>
      <c r="BK97" s="244"/>
      <c r="BL97" s="244"/>
      <c r="BM97" s="244"/>
      <c r="BN97" s="244"/>
      <c r="BO97" s="244"/>
      <c r="BP97" s="244"/>
      <c r="BQ97" s="244"/>
      <c r="BR97" s="244"/>
      <c r="BS97" s="244"/>
      <c r="BT97" s="244"/>
      <c r="BU97" s="244"/>
      <c r="BV97" s="244"/>
      <c r="BW97" s="244"/>
      <c r="BX97" s="244"/>
      <c r="BY97" s="244"/>
      <c r="BZ97" s="244"/>
      <c r="CA97" s="244"/>
      <c r="CB97" s="244"/>
      <c r="CC97" s="244"/>
      <c r="CD97" s="244"/>
      <c r="CE97" s="244"/>
      <c r="CF97" s="244"/>
      <c r="CG97" s="244"/>
      <c r="CH97" s="244"/>
    </row>
    <row r="98" spans="3:158" x14ac:dyDescent="0.25">
      <c r="C98" s="289" t="s">
        <v>618</v>
      </c>
      <c r="D98" s="1454">
        <f t="shared" ref="D98:L98" si="233">SUM(D94:D95)/D91+1</f>
        <v>0.86498869956570257</v>
      </c>
      <c r="E98" s="1454">
        <f t="shared" si="233"/>
        <v>0.85906966350119651</v>
      </c>
      <c r="F98" s="1454">
        <f t="shared" si="233"/>
        <v>0.83443676832600044</v>
      </c>
      <c r="G98" s="1454">
        <f t="shared" si="233"/>
        <v>0.87205372828294847</v>
      </c>
      <c r="H98" s="1454">
        <f t="shared" si="233"/>
        <v>0.87205372828294847</v>
      </c>
      <c r="I98" s="1454">
        <f t="shared" si="233"/>
        <v>0.86</v>
      </c>
      <c r="J98" s="1454">
        <f t="shared" si="233"/>
        <v>0.86</v>
      </c>
      <c r="K98" s="1454">
        <f t="shared" si="233"/>
        <v>0.86</v>
      </c>
      <c r="L98" s="1454">
        <f t="shared" si="233"/>
        <v>0.86</v>
      </c>
      <c r="M98" s="244"/>
      <c r="N98" s="413"/>
      <c r="O98" s="413"/>
      <c r="P98" s="413"/>
      <c r="Q98" s="1454">
        <f t="shared" ref="Q98:AW98" si="234">IFERROR(SUM(N94:Q95)/N91+1,"")</f>
        <v>0.86498869956570257</v>
      </c>
      <c r="R98" s="1454">
        <f t="shared" si="234"/>
        <v>0.86442870508751757</v>
      </c>
      <c r="S98" s="1454">
        <f t="shared" si="234"/>
        <v>0.85206626295245291</v>
      </c>
      <c r="T98" s="1454">
        <f t="shared" si="234"/>
        <v>0.854622425531679</v>
      </c>
      <c r="U98" s="1454">
        <f t="shared" si="234"/>
        <v>0.85906966350119651</v>
      </c>
      <c r="V98" s="1454">
        <f t="shared" si="234"/>
        <v>0.83759478309545299</v>
      </c>
      <c r="W98" s="1454">
        <f t="shared" si="234"/>
        <v>0.83789297524940942</v>
      </c>
      <c r="X98" s="1454">
        <f t="shared" si="234"/>
        <v>0.8318454305660592</v>
      </c>
      <c r="Y98" s="1454">
        <f t="shared" si="234"/>
        <v>0.83443676832600044</v>
      </c>
      <c r="Z98" s="1454">
        <f t="shared" si="234"/>
        <v>0.83929083203142496</v>
      </c>
      <c r="AA98" s="1454">
        <f t="shared" si="234"/>
        <v>0.85409565363193463</v>
      </c>
      <c r="AB98" s="1454">
        <f t="shared" si="234"/>
        <v>0.86159214316909583</v>
      </c>
      <c r="AC98" s="1454">
        <f t="shared" si="234"/>
        <v>0.87205372828294847</v>
      </c>
      <c r="AD98" s="1454">
        <f t="shared" si="234"/>
        <v>0.87356631357848746</v>
      </c>
      <c r="AE98" s="1454">
        <f t="shared" si="234"/>
        <v>0.87288569925254611</v>
      </c>
      <c r="AF98" s="1454">
        <f t="shared" si="234"/>
        <v>0.87655007557772813</v>
      </c>
      <c r="AG98" s="1454">
        <f t="shared" si="234"/>
        <v>0.87205372828294847</v>
      </c>
      <c r="AH98" s="1454">
        <f t="shared" si="234"/>
        <v>0.86667761250428121</v>
      </c>
      <c r="AI98" s="1454">
        <f t="shared" si="234"/>
        <v>0.86396803476586825</v>
      </c>
      <c r="AJ98" s="1454">
        <f t="shared" si="234"/>
        <v>0.86291335644424438</v>
      </c>
      <c r="AK98" s="1454">
        <f t="shared" si="234"/>
        <v>0.85999999999999988</v>
      </c>
      <c r="AL98" s="1454">
        <f t="shared" si="234"/>
        <v>0.85831367120065027</v>
      </c>
      <c r="AM98" s="1454">
        <f t="shared" si="234"/>
        <v>0.8594952602158914</v>
      </c>
      <c r="AN98" s="1454">
        <f t="shared" si="234"/>
        <v>0.86073064800247345</v>
      </c>
      <c r="AO98" s="1454">
        <f t="shared" si="234"/>
        <v>0.86</v>
      </c>
      <c r="AP98" s="1454">
        <f t="shared" si="234"/>
        <v>0.85839455819797938</v>
      </c>
      <c r="AQ98" s="1454">
        <f t="shared" si="234"/>
        <v>0.85951671130775487</v>
      </c>
      <c r="AR98" s="1454">
        <f t="shared" si="234"/>
        <v>0.86070277574044773</v>
      </c>
      <c r="AS98" s="1454">
        <f t="shared" si="234"/>
        <v>0.86</v>
      </c>
      <c r="AT98" s="1454">
        <f t="shared" si="234"/>
        <v>0.85847702368496592</v>
      </c>
      <c r="AU98" s="1454">
        <f t="shared" si="234"/>
        <v>0.85953883612862381</v>
      </c>
      <c r="AV98" s="1454">
        <f t="shared" si="234"/>
        <v>0.86067376139613261</v>
      </c>
      <c r="AW98" s="1454">
        <f t="shared" si="234"/>
        <v>0.85999999999999988</v>
      </c>
      <c r="AX98" s="244"/>
      <c r="AY98" s="1454">
        <f t="shared" ref="AY98:CD98" si="235">IFERROR(SUM(AY94:AY95)/AY91*12+1,"")</f>
        <v>0.95147992377199897</v>
      </c>
      <c r="AZ98" s="1454">
        <f t="shared" si="235"/>
        <v>0.84338293905319972</v>
      </c>
      <c r="BA98" s="1454">
        <f t="shared" si="235"/>
        <v>0.82199721988117247</v>
      </c>
      <c r="BB98" s="1454">
        <f t="shared" si="235"/>
        <v>0.9186047362742884</v>
      </c>
      <c r="BC98" s="1454">
        <f t="shared" si="235"/>
        <v>0.95573680266265615</v>
      </c>
      <c r="BD98" s="1454">
        <f t="shared" si="235"/>
        <v>0.94771257654890151</v>
      </c>
      <c r="BE98" s="1454">
        <f t="shared" si="235"/>
        <v>1</v>
      </c>
      <c r="BF98" s="1454">
        <f t="shared" si="235"/>
        <v>0.89805025464302934</v>
      </c>
      <c r="BG98" s="1454">
        <f t="shared" si="235"/>
        <v>0.95006268253985326</v>
      </c>
      <c r="BH98" s="1454">
        <f t="shared" si="235"/>
        <v>1</v>
      </c>
      <c r="BI98" s="1454">
        <f t="shared" si="235"/>
        <v>0.89841072520540466</v>
      </c>
      <c r="BJ98" s="1454">
        <f t="shared" si="235"/>
        <v>0.75645785487029849</v>
      </c>
      <c r="BK98" s="1454">
        <f t="shared" si="235"/>
        <v>0.96465281262906222</v>
      </c>
      <c r="BL98" s="1454">
        <f t="shared" si="235"/>
        <v>0.90624032092695483</v>
      </c>
      <c r="BM98" s="1454">
        <f t="shared" si="235"/>
        <v>0.81124998868091269</v>
      </c>
      <c r="BN98" s="1454">
        <f t="shared" si="235"/>
        <v>0.89780192895566868</v>
      </c>
      <c r="BO98" s="1454">
        <f t="shared" si="235"/>
        <v>0.9217782878607127</v>
      </c>
      <c r="BP98" s="1454">
        <f t="shared" si="235"/>
        <v>0.89472087448612636</v>
      </c>
      <c r="BQ98" s="1454">
        <f t="shared" si="235"/>
        <v>0.90760368710135053</v>
      </c>
      <c r="BR98" s="1454">
        <f t="shared" si="235"/>
        <v>0.96556243471636616</v>
      </c>
      <c r="BS98" s="1454">
        <f t="shared" si="235"/>
        <v>0.88591374971462933</v>
      </c>
      <c r="BT98" s="1454">
        <f t="shared" si="235"/>
        <v>0.94990485157657911</v>
      </c>
      <c r="BU98" s="1454">
        <f t="shared" si="235"/>
        <v>0.90581135312952177</v>
      </c>
      <c r="BV98" s="1454">
        <f t="shared" si="235"/>
        <v>0.7626505026811542</v>
      </c>
      <c r="BW98" s="1454">
        <f t="shared" si="235"/>
        <v>0.81950730951729955</v>
      </c>
      <c r="BX98" s="1454">
        <f t="shared" si="235"/>
        <v>0.82354907849058234</v>
      </c>
      <c r="BY98" s="1454">
        <f t="shared" si="235"/>
        <v>0.8223277549793051</v>
      </c>
      <c r="BZ98" s="1454">
        <f t="shared" si="235"/>
        <v>0.84498456851278991</v>
      </c>
      <c r="CA98" s="1454">
        <f t="shared" si="235"/>
        <v>0.86609306738748049</v>
      </c>
      <c r="CB98" s="1454">
        <f t="shared" si="235"/>
        <v>0.88519543984678029</v>
      </c>
      <c r="CC98" s="1454">
        <f t="shared" si="235"/>
        <v>0.87078016504840328</v>
      </c>
      <c r="CD98" s="1454">
        <f t="shared" si="235"/>
        <v>0.89889918981648553</v>
      </c>
      <c r="CE98" s="1454">
        <f t="shared" ref="CE98:DJ98" si="236">IFERROR(SUM(CE94:CE95)/CE91*12+1,"")</f>
        <v>0.85385945570127397</v>
      </c>
      <c r="CF98" s="1454">
        <f t="shared" si="236"/>
        <v>0.89217307139730317</v>
      </c>
      <c r="CG98" s="1454">
        <f t="shared" si="236"/>
        <v>0.82122989458033224</v>
      </c>
      <c r="CH98" s="1454">
        <f t="shared" si="236"/>
        <v>0.84955369665553926</v>
      </c>
      <c r="CI98" s="1454">
        <f t="shared" si="236"/>
        <v>0.89853512794156121</v>
      </c>
      <c r="CJ98" s="1454">
        <f t="shared" si="236"/>
        <v>0.92383022410646798</v>
      </c>
      <c r="CK98" s="1454">
        <f t="shared" si="236"/>
        <v>0.8050992825416815</v>
      </c>
      <c r="CL98" s="1454">
        <f t="shared" si="236"/>
        <v>0.89249951615855216</v>
      </c>
      <c r="CM98" s="1454">
        <f t="shared" si="236"/>
        <v>0.91751286105359009</v>
      </c>
      <c r="CN98" s="1454">
        <f t="shared" si="236"/>
        <v>0.90026927036113502</v>
      </c>
      <c r="CO98" s="1454">
        <f t="shared" si="236"/>
        <v>0.95063115009636001</v>
      </c>
      <c r="CP98" s="1454">
        <f t="shared" si="236"/>
        <v>0.92399675735437425</v>
      </c>
      <c r="CQ98" s="1454">
        <f t="shared" si="236"/>
        <v>0.8574348571363033</v>
      </c>
      <c r="CR98" s="1454">
        <f t="shared" si="236"/>
        <v>0.93994170881904748</v>
      </c>
      <c r="CS98" s="1454">
        <f t="shared" si="236"/>
        <v>0.88554966420413772</v>
      </c>
      <c r="CT98" s="1454">
        <f t="shared" si="236"/>
        <v>0.84971278996867883</v>
      </c>
      <c r="CU98" s="1454">
        <f t="shared" si="236"/>
        <v>0.93162204113730918</v>
      </c>
      <c r="CV98" s="1454">
        <f t="shared" si="236"/>
        <v>0.91421104756477456</v>
      </c>
      <c r="CW98" s="1454">
        <f t="shared" si="236"/>
        <v>0.84381900111247621</v>
      </c>
      <c r="CX98" s="1454">
        <f t="shared" si="236"/>
        <v>0.90093727455807227</v>
      </c>
      <c r="CY98" s="1454">
        <f t="shared" si="236"/>
        <v>0.9199675211594226</v>
      </c>
      <c r="CZ98" s="1454">
        <f t="shared" si="236"/>
        <v>0.85741889958359452</v>
      </c>
      <c r="DA98" s="1454">
        <f t="shared" si="236"/>
        <v>0.90927314298152961</v>
      </c>
      <c r="DB98" s="1454">
        <f t="shared" si="236"/>
        <v>0.92966785228606297</v>
      </c>
      <c r="DC98" s="1454">
        <f t="shared" si="236"/>
        <v>0.89158468620472831</v>
      </c>
      <c r="DD98" s="1454">
        <f t="shared" si="236"/>
        <v>0.9183489827798762</v>
      </c>
      <c r="DE98" s="1454">
        <f t="shared" si="236"/>
        <v>0.83128993803570617</v>
      </c>
      <c r="DF98" s="1454">
        <f t="shared" si="236"/>
        <v>0.8488969693178211</v>
      </c>
      <c r="DG98" s="1454">
        <f t="shared" si="236"/>
        <v>0.92518020171821125</v>
      </c>
      <c r="DH98" s="1454">
        <f t="shared" si="236"/>
        <v>0.90609024096876023</v>
      </c>
      <c r="DI98" s="1454">
        <f t="shared" si="236"/>
        <v>0.82877027081621801</v>
      </c>
      <c r="DJ98" s="1454">
        <f t="shared" si="236"/>
        <v>0.89098801542597406</v>
      </c>
      <c r="DK98" s="1454">
        <f t="shared" ref="DK98:EP98" si="237">IFERROR(SUM(DK94:DK95)/DK91*12+1,"")</f>
        <v>0.91192409795642515</v>
      </c>
      <c r="DL98" s="1454">
        <f t="shared" si="237"/>
        <v>0.84291666591837144</v>
      </c>
      <c r="DM98" s="1454">
        <f t="shared" si="237"/>
        <v>0.8997934403150506</v>
      </c>
      <c r="DN98" s="1454">
        <f t="shared" si="237"/>
        <v>0.92217678387165114</v>
      </c>
      <c r="DO98" s="1454">
        <f t="shared" si="237"/>
        <v>0.87975281309283471</v>
      </c>
      <c r="DP98" s="1454">
        <f t="shared" si="237"/>
        <v>0.90909611411345392</v>
      </c>
      <c r="DQ98" s="1454">
        <f t="shared" si="237"/>
        <v>0.81135361293507957</v>
      </c>
      <c r="DR98" s="1454">
        <f t="shared" si="237"/>
        <v>0.82993335334246732</v>
      </c>
      <c r="DS98" s="1454">
        <f t="shared" si="237"/>
        <v>0.92518020171821125</v>
      </c>
      <c r="DT98" s="1454">
        <f t="shared" si="237"/>
        <v>0.90602190305401997</v>
      </c>
      <c r="DU98" s="1454">
        <f t="shared" si="237"/>
        <v>0.82839001138028034</v>
      </c>
      <c r="DV98" s="1454">
        <f t="shared" si="237"/>
        <v>0.89044589196733004</v>
      </c>
      <c r="DW98" s="1454">
        <f t="shared" si="237"/>
        <v>0.91138530736032897</v>
      </c>
      <c r="DX98" s="1454">
        <f t="shared" si="237"/>
        <v>0.84164247071421994</v>
      </c>
      <c r="DY98" s="1454">
        <f t="shared" si="237"/>
        <v>0.89871681272266291</v>
      </c>
      <c r="DZ98" s="1454">
        <f t="shared" si="237"/>
        <v>0.92127265355278887</v>
      </c>
      <c r="EA98" s="1454">
        <f t="shared" si="237"/>
        <v>0.87818603684391439</v>
      </c>
      <c r="EB98" s="1454">
        <f t="shared" si="237"/>
        <v>0.9077018237038581</v>
      </c>
      <c r="EC98" s="1454">
        <f t="shared" si="237"/>
        <v>0.80829111053520442</v>
      </c>
      <c r="ED98" s="1454">
        <f t="shared" si="237"/>
        <v>0.82677186825200688</v>
      </c>
      <c r="EE98" s="1454">
        <f t="shared" si="237"/>
        <v>0.92518020171821125</v>
      </c>
      <c r="EF98" s="1454">
        <f t="shared" si="237"/>
        <v>0.90595282337120742</v>
      </c>
      <c r="EG98" s="1454">
        <f t="shared" si="237"/>
        <v>0.82800446949440054</v>
      </c>
      <c r="EH98" s="1454">
        <f t="shared" si="237"/>
        <v>0.88989318910407489</v>
      </c>
      <c r="EI98" s="1454">
        <f t="shared" si="237"/>
        <v>0.91083473782834767</v>
      </c>
      <c r="EJ98" s="1454">
        <f t="shared" si="237"/>
        <v>0.84033519064963469</v>
      </c>
      <c r="EK98" s="1454">
        <f t="shared" si="237"/>
        <v>0.8976063707565336</v>
      </c>
      <c r="EL98" s="1454">
        <f t="shared" si="237"/>
        <v>0.92033848771471005</v>
      </c>
      <c r="EM98" s="1454">
        <f t="shared" si="237"/>
        <v>0.87656261137235236</v>
      </c>
      <c r="EN98" s="1454">
        <f t="shared" si="237"/>
        <v>0.90625040142668867</v>
      </c>
      <c r="EO98" s="1454">
        <f t="shared" si="237"/>
        <v>0.80509737305920048</v>
      </c>
      <c r="EP98" s="1454">
        <f t="shared" si="237"/>
        <v>0.82345925666551256</v>
      </c>
      <c r="EQ98" s="1454">
        <f t="shared" ref="EQ98:FB98" si="238">IFERROR(SUM(EQ94:EQ95)/EQ91*12+1,"")</f>
        <v>0.92518020171821125</v>
      </c>
      <c r="ER98" s="1454">
        <f t="shared" si="238"/>
        <v>0.90588240425896471</v>
      </c>
      <c r="ES98" s="1454">
        <f t="shared" si="238"/>
        <v>0.82761025147306433</v>
      </c>
      <c r="ET98" s="1454">
        <f t="shared" si="238"/>
        <v>0.8893248478152711</v>
      </c>
      <c r="EU98" s="1454">
        <f t="shared" si="238"/>
        <v>0.91026725407903719</v>
      </c>
      <c r="EV98" s="1454">
        <f t="shared" si="238"/>
        <v>0.83898218414242054</v>
      </c>
      <c r="EW98" s="1454">
        <f t="shared" si="238"/>
        <v>0.89645078723294402</v>
      </c>
      <c r="EX98" s="1454">
        <f t="shared" si="238"/>
        <v>0.91936457444573971</v>
      </c>
      <c r="EY98" s="1454">
        <f t="shared" si="238"/>
        <v>0.87486511159409164</v>
      </c>
      <c r="EZ98" s="1454">
        <f t="shared" si="238"/>
        <v>0.9047253872190606</v>
      </c>
      <c r="FA98" s="1454">
        <f t="shared" si="238"/>
        <v>0.80173536893377251</v>
      </c>
      <c r="FB98" s="1454">
        <f t="shared" si="238"/>
        <v>0.81995472608791742</v>
      </c>
    </row>
    <row r="99" spans="3:158" x14ac:dyDescent="0.25">
      <c r="C99" s="289"/>
      <c r="D99" s="244"/>
      <c r="E99" s="244"/>
      <c r="F99" s="244"/>
      <c r="G99" s="244"/>
      <c r="H99" s="244"/>
      <c r="I99" s="244"/>
      <c r="J99" s="244"/>
      <c r="K99" s="244"/>
      <c r="L99" s="244"/>
      <c r="M99" s="244"/>
      <c r="N99" s="244"/>
      <c r="O99" s="244"/>
      <c r="P99" s="244"/>
      <c r="Q99" s="244"/>
      <c r="R99" s="244"/>
      <c r="S99" s="244"/>
      <c r="T99" s="244"/>
      <c r="U99" s="244"/>
      <c r="V99" s="244"/>
      <c r="W99" s="244"/>
      <c r="X99" s="244"/>
      <c r="Y99" s="244"/>
      <c r="Z99" s="244"/>
      <c r="AA99" s="244"/>
      <c r="AB99" s="244"/>
      <c r="AC99" s="244"/>
      <c r="AD99" s="244"/>
      <c r="AE99" s="244"/>
      <c r="AF99" s="244"/>
      <c r="AG99" s="244"/>
      <c r="AH99" s="244"/>
      <c r="AI99" s="244"/>
      <c r="AJ99" s="244"/>
      <c r="AK99" s="244"/>
      <c r="AL99" s="244"/>
      <c r="AM99" s="244"/>
      <c r="AN99" s="244"/>
      <c r="AO99" s="244"/>
      <c r="AP99" s="244"/>
      <c r="AQ99" s="244"/>
      <c r="AR99" s="244"/>
      <c r="AS99" s="244"/>
      <c r="AT99" s="244"/>
      <c r="AU99" s="244"/>
      <c r="AV99" s="244"/>
      <c r="AW99" s="244"/>
      <c r="AX99" s="244"/>
      <c r="AY99" s="244"/>
      <c r="AZ99" s="244"/>
      <c r="BA99" s="244"/>
      <c r="BB99" s="244"/>
      <c r="BC99" s="244"/>
      <c r="BD99" s="244"/>
      <c r="BE99" s="244"/>
      <c r="BF99" s="244"/>
      <c r="BG99" s="244"/>
      <c r="BH99" s="244"/>
      <c r="BI99" s="244"/>
      <c r="BJ99" s="244"/>
      <c r="BK99" s="244"/>
      <c r="BL99" s="244"/>
      <c r="BM99" s="244"/>
      <c r="BN99" s="244"/>
      <c r="BO99" s="244"/>
      <c r="BP99" s="244"/>
      <c r="BQ99" s="244"/>
      <c r="BR99" s="244"/>
      <c r="BS99" s="244"/>
      <c r="BT99" s="244"/>
      <c r="BU99" s="244"/>
      <c r="BV99" s="244"/>
      <c r="BW99" s="244"/>
      <c r="BX99" s="244"/>
      <c r="BY99" s="244"/>
      <c r="BZ99" s="244"/>
      <c r="CA99" s="244"/>
      <c r="CB99" s="244"/>
      <c r="CC99" s="244"/>
      <c r="CD99" s="244"/>
      <c r="CE99" s="244"/>
      <c r="CF99" s="244"/>
      <c r="CG99" s="244"/>
      <c r="CH99" s="244"/>
    </row>
    <row r="100" spans="3:158" x14ac:dyDescent="0.25">
      <c r="C100" s="1" t="s">
        <v>608</v>
      </c>
      <c r="D100" s="244"/>
      <c r="E100" s="244"/>
      <c r="F100" s="244"/>
      <c r="G100" s="244"/>
      <c r="H100" s="244"/>
      <c r="I100" s="244"/>
      <c r="J100" s="244"/>
      <c r="K100" s="244"/>
      <c r="L100" s="244"/>
      <c r="M100" s="244"/>
      <c r="N100" s="244"/>
      <c r="O100" s="244"/>
      <c r="P100" s="244"/>
      <c r="Q100" s="244"/>
      <c r="R100" s="244"/>
      <c r="S100" s="244"/>
      <c r="T100" s="244"/>
      <c r="U100" s="244"/>
      <c r="V100" s="244"/>
      <c r="W100" s="244"/>
      <c r="X100" s="244"/>
      <c r="Y100" s="244"/>
      <c r="Z100" s="244"/>
      <c r="AA100" s="244"/>
      <c r="AB100" s="244"/>
      <c r="AC100" s="244"/>
      <c r="AD100" s="244"/>
      <c r="AE100" s="244"/>
      <c r="AF100" s="244"/>
      <c r="AG100" s="244"/>
      <c r="AH100" s="244"/>
      <c r="AI100" s="244"/>
      <c r="AJ100" s="244"/>
      <c r="AK100" s="244"/>
      <c r="AL100" s="244"/>
      <c r="AM100" s="244"/>
      <c r="AN100" s="244"/>
      <c r="AO100" s="244"/>
      <c r="AP100" s="244"/>
      <c r="AQ100" s="244"/>
      <c r="AR100" s="244"/>
      <c r="AS100" s="244"/>
      <c r="AT100" s="518"/>
      <c r="AU100" s="244"/>
      <c r="AV100" s="244"/>
      <c r="AW100" s="244"/>
      <c r="AX100" s="244"/>
      <c r="AY100" s="244"/>
      <c r="AZ100" s="244"/>
      <c r="BA100" s="244"/>
      <c r="BB100" s="244"/>
      <c r="BC100" s="244"/>
      <c r="BD100" s="244"/>
      <c r="BE100" s="244"/>
      <c r="BF100" s="244"/>
      <c r="BG100" s="244"/>
      <c r="BH100" s="244"/>
      <c r="BI100" s="244"/>
      <c r="BJ100" s="244"/>
      <c r="BK100" s="244"/>
      <c r="BL100" s="244"/>
      <c r="BM100" s="244"/>
      <c r="BN100" s="244"/>
      <c r="BO100" s="244"/>
      <c r="BP100" s="244"/>
      <c r="BQ100" s="244"/>
      <c r="BR100" s="244"/>
      <c r="BS100" s="244"/>
      <c r="BT100" s="244"/>
      <c r="BU100" s="244"/>
      <c r="BV100" s="244"/>
      <c r="BW100" s="244"/>
      <c r="BX100" s="244"/>
      <c r="BY100" s="244"/>
      <c r="BZ100" s="244"/>
      <c r="CA100" s="244"/>
      <c r="CB100" s="244"/>
      <c r="CC100" s="244"/>
      <c r="CD100" s="244"/>
      <c r="CE100" s="244"/>
      <c r="CF100" s="244"/>
      <c r="CG100" s="244"/>
      <c r="CH100" s="244"/>
    </row>
    <row r="101" spans="3:158" x14ac:dyDescent="0.25">
      <c r="C101" s="2" t="s">
        <v>18</v>
      </c>
      <c r="D101" s="1470">
        <f>AY101</f>
        <v>4968899.0999999959</v>
      </c>
      <c r="E101" s="1470">
        <f>BK101</f>
        <v>10555668.359999996</v>
      </c>
      <c r="F101" s="1470">
        <f>BW101</f>
        <v>18674405.869999997</v>
      </c>
      <c r="G101" s="1470">
        <f>CI101</f>
        <v>28887778.617401</v>
      </c>
      <c r="H101" s="1492">
        <f>G106</f>
        <v>49340041.186968766</v>
      </c>
      <c r="I101" s="1492">
        <f>H106</f>
        <v>74827910.679417253</v>
      </c>
      <c r="J101" s="1492">
        <f>I106</f>
        <v>109833179.49558161</v>
      </c>
      <c r="K101" s="1492">
        <f>J106</f>
        <v>156967856.0286496</v>
      </c>
      <c r="L101" s="1492">
        <f>K106</f>
        <v>219081987.50791454</v>
      </c>
      <c r="N101" s="1470">
        <f>AY101</f>
        <v>4968899.0999999959</v>
      </c>
      <c r="O101" s="1470">
        <f>BB101</f>
        <v>6068787.0999999959</v>
      </c>
      <c r="P101" s="1470">
        <f>BE101</f>
        <v>7706621.929999995</v>
      </c>
      <c r="Q101" s="1470">
        <f>BH101</f>
        <v>8919092.389999995</v>
      </c>
      <c r="R101" s="1470">
        <f>BK101</f>
        <v>10555668.359999996</v>
      </c>
      <c r="S101" s="1470">
        <f>BN101</f>
        <v>12060701.909999995</v>
      </c>
      <c r="T101" s="1470">
        <f>BQ101</f>
        <v>13615801.069999995</v>
      </c>
      <c r="U101" s="1470">
        <f>BT101</f>
        <v>15801753.029999996</v>
      </c>
      <c r="V101" s="1470">
        <f>BW101</f>
        <v>18674405.869999997</v>
      </c>
      <c r="W101" s="1470">
        <f>BZ101</f>
        <v>20642642.381428998</v>
      </c>
      <c r="X101" s="1470">
        <f>CC101</f>
        <v>23138299.835349001</v>
      </c>
      <c r="Y101" s="1470">
        <f>CF101</f>
        <v>25084015.739708003</v>
      </c>
      <c r="Z101" s="1470">
        <f>CI101</f>
        <v>28887778.617401</v>
      </c>
      <c r="AA101" s="1470">
        <f>CL101</f>
        <v>31379245.637026995</v>
      </c>
      <c r="AB101" s="1470">
        <f>CO101</f>
        <v>34992812.36367999</v>
      </c>
      <c r="AC101" s="1470">
        <f>CR101</f>
        <v>40744874.18544434</v>
      </c>
      <c r="AD101" s="1470">
        <f>CU101</f>
        <v>49340041.186968744</v>
      </c>
      <c r="AE101" s="1470">
        <f>CX101</f>
        <v>53741521.324630708</v>
      </c>
      <c r="AF101" s="1470">
        <f>DA101</f>
        <v>59757083.203853764</v>
      </c>
      <c r="AG101" s="1470">
        <f>DD101</f>
        <v>65748708.573807195</v>
      </c>
      <c r="AH101" s="1470">
        <f>DG101</f>
        <v>74827910.679417253</v>
      </c>
      <c r="AI101" s="1470">
        <f>DJ101</f>
        <v>81080907.583122909</v>
      </c>
      <c r="AJ101" s="1470">
        <f>DM101</f>
        <v>89831509.044623822</v>
      </c>
      <c r="AK101" s="1470">
        <f>DP101</f>
        <v>98068224.468453571</v>
      </c>
      <c r="AL101" s="1470">
        <f>DS101</f>
        <v>109833179.49558167</v>
      </c>
      <c r="AM101" s="1470">
        <f>DV101</f>
        <v>118242092.86624253</v>
      </c>
      <c r="AN101" s="1470">
        <f>DY101</f>
        <v>130032025.70328888</v>
      </c>
      <c r="AO101" s="1470">
        <f>EB101</f>
        <v>141131860.64881754</v>
      </c>
      <c r="AP101" s="1470">
        <f>EE101</f>
        <v>156967856.02864963</v>
      </c>
      <c r="AQ101" s="1470">
        <f>EH101</f>
        <v>168035625.42319304</v>
      </c>
      <c r="AR101" s="1470">
        <f>EK101</f>
        <v>183581483.45036966</v>
      </c>
      <c r="AS101" s="1470">
        <f>EN101</f>
        <v>198220252.60708174</v>
      </c>
      <c r="AT101" s="1470">
        <f>EQ101</f>
        <v>219081987.5079146</v>
      </c>
      <c r="AU101" s="1470">
        <f>ET101</f>
        <v>233315067.1706391</v>
      </c>
      <c r="AV101" s="1470">
        <f>EW101</f>
        <v>253344075.73535123</v>
      </c>
      <c r="AW101" s="1470">
        <f>EZ101</f>
        <v>272208184.21093541</v>
      </c>
      <c r="AX101" s="244"/>
      <c r="AY101" s="90">
        <v>4968899.0999999959</v>
      </c>
      <c r="AZ101" s="90">
        <v>5074709.0999999959</v>
      </c>
      <c r="BA101" s="90">
        <v>5346709.0999999959</v>
      </c>
      <c r="BB101" s="90">
        <v>6068787.0999999959</v>
      </c>
      <c r="BC101" s="90">
        <v>6231783.5299999956</v>
      </c>
      <c r="BD101" s="90">
        <v>6849730.2099999953</v>
      </c>
      <c r="BE101" s="90">
        <v>7706621.929999995</v>
      </c>
      <c r="BF101" s="90">
        <v>7779171.929999995</v>
      </c>
      <c r="BG101" s="90">
        <v>8186725.389999995</v>
      </c>
      <c r="BH101" s="90">
        <v>8919092.389999995</v>
      </c>
      <c r="BI101" s="90">
        <v>9197587.0599999949</v>
      </c>
      <c r="BJ101" s="90">
        <v>9776950.7299999949</v>
      </c>
      <c r="BK101" s="90">
        <v>10555668.359999996</v>
      </c>
      <c r="BL101" s="90">
        <v>10774198.359999996</v>
      </c>
      <c r="BM101" s="90">
        <v>10947098.649999995</v>
      </c>
      <c r="BN101" s="90">
        <v>12060701.909999995</v>
      </c>
      <c r="BO101" s="90">
        <v>12271254.909999995</v>
      </c>
      <c r="BP101" s="90">
        <v>12799650.239999995</v>
      </c>
      <c r="BQ101" s="90">
        <v>13615801.069999995</v>
      </c>
      <c r="BR101" s="90">
        <v>13879047.069999995</v>
      </c>
      <c r="BS101" s="90">
        <v>14414018.739999995</v>
      </c>
      <c r="BT101" s="90">
        <v>15801753.029999996</v>
      </c>
      <c r="BU101" s="90">
        <v>15947304.889999995</v>
      </c>
      <c r="BV101" s="90">
        <v>17244547.859999996</v>
      </c>
      <c r="BW101" s="90">
        <v>18674405.869999997</v>
      </c>
      <c r="BX101" s="90">
        <v>18961735.869999997</v>
      </c>
      <c r="BY101" s="90">
        <v>19547087.723076999</v>
      </c>
      <c r="BZ101" s="90">
        <v>20642642.381428998</v>
      </c>
      <c r="CA101" s="90">
        <v>20995751.472527999</v>
      </c>
      <c r="CB101" s="90">
        <v>21784630.792528</v>
      </c>
      <c r="CC101" s="90">
        <v>23138299.835349001</v>
      </c>
      <c r="CD101" s="90">
        <v>23263139.635349002</v>
      </c>
      <c r="CE101" s="90">
        <v>24164920.294323001</v>
      </c>
      <c r="CF101" s="90">
        <v>25084015.739708003</v>
      </c>
      <c r="CG101" s="90">
        <v>25490667.029708002</v>
      </c>
      <c r="CH101" s="90">
        <v>26866988.353335001</v>
      </c>
      <c r="CI101" s="437">
        <v>28887778.617401</v>
      </c>
      <c r="CJ101" s="437">
        <v>28971892.518340997</v>
      </c>
      <c r="CK101" s="437">
        <v>29728600.298340995</v>
      </c>
      <c r="CL101" s="437">
        <v>31379245.637026995</v>
      </c>
      <c r="CM101" s="437">
        <v>32188740.697913997</v>
      </c>
      <c r="CN101" s="437">
        <v>33434777.457209997</v>
      </c>
      <c r="CO101" s="437">
        <v>34992812.36367999</v>
      </c>
      <c r="CP101" s="437">
        <v>35853286.862807676</v>
      </c>
      <c r="CQ101" s="437">
        <v>37894689.312532693</v>
      </c>
      <c r="CR101" s="437">
        <v>40744874.18544434</v>
      </c>
      <c r="CS101" s="437">
        <v>41611283.80096212</v>
      </c>
      <c r="CT101" s="437">
        <v>45034726.153222777</v>
      </c>
      <c r="CU101" s="437">
        <v>49340041.186968744</v>
      </c>
      <c r="CV101" s="437">
        <v>49856096.663869247</v>
      </c>
      <c r="CW101" s="437">
        <v>51147931.458070949</v>
      </c>
      <c r="CX101" s="437">
        <v>53741521.324630708</v>
      </c>
      <c r="CY101" s="437">
        <v>54673780.347991928</v>
      </c>
      <c r="CZ101" s="437">
        <v>56803671.553757459</v>
      </c>
      <c r="DA101" s="437">
        <v>59757083.203853764</v>
      </c>
      <c r="DB101" s="437">
        <v>60639511.62398053</v>
      </c>
      <c r="DC101" s="437">
        <v>62478765.232640624</v>
      </c>
      <c r="DD101" s="437">
        <v>65748708.573807195</v>
      </c>
      <c r="DE101" s="437">
        <v>67033302.936963975</v>
      </c>
      <c r="DF101" s="437">
        <v>70607874.816554829</v>
      </c>
      <c r="DG101" s="437">
        <v>74827910.679417253</v>
      </c>
      <c r="DH101" s="437">
        <v>75601443.434149012</v>
      </c>
      <c r="DI101" s="437">
        <v>77446825.306385309</v>
      </c>
      <c r="DJ101" s="437">
        <v>81080907.583122909</v>
      </c>
      <c r="DK101" s="437">
        <v>82512423.522983551</v>
      </c>
      <c r="DL101" s="437">
        <v>85609179.865157992</v>
      </c>
      <c r="DM101" s="437">
        <v>89831509.044623822</v>
      </c>
      <c r="DN101" s="437">
        <v>91031274.406125039</v>
      </c>
      <c r="DO101" s="437">
        <v>93563191.119196996</v>
      </c>
      <c r="DP101" s="437">
        <v>98068224.468453571</v>
      </c>
      <c r="DQ101" s="437">
        <v>99590603.060266718</v>
      </c>
      <c r="DR101" s="437">
        <v>104262806.85974224</v>
      </c>
      <c r="DS101" s="437">
        <v>109833179.49558167</v>
      </c>
      <c r="DT101" s="437">
        <v>110865842.29264003</v>
      </c>
      <c r="DU101" s="437">
        <v>113349221.09495972</v>
      </c>
      <c r="DV101" s="437">
        <v>118242092.86624253</v>
      </c>
      <c r="DW101" s="437">
        <v>120158264.04587741</v>
      </c>
      <c r="DX101" s="437">
        <v>124340542.61538176</v>
      </c>
      <c r="DY101" s="437">
        <v>130032025.70328888</v>
      </c>
      <c r="DZ101" s="437">
        <v>131633281.47882189</v>
      </c>
      <c r="EA101" s="437">
        <v>135049376.71657741</v>
      </c>
      <c r="EB101" s="437">
        <v>141131860.64881754</v>
      </c>
      <c r="EC101" s="437">
        <v>143171642.37923762</v>
      </c>
      <c r="ED101" s="437">
        <v>149458225.14778122</v>
      </c>
      <c r="EE101" s="437">
        <v>156967856.02864963</v>
      </c>
      <c r="EF101" s="437">
        <v>158317529.19131961</v>
      </c>
      <c r="EG101" s="437">
        <v>161588331.1542646</v>
      </c>
      <c r="EH101" s="437">
        <v>168035625.42319304</v>
      </c>
      <c r="EI101" s="437">
        <v>170546490.08989802</v>
      </c>
      <c r="EJ101" s="437">
        <v>176073575.87894541</v>
      </c>
      <c r="EK101" s="437">
        <v>183581483.45036966</v>
      </c>
      <c r="EL101" s="437">
        <v>185673759.38084555</v>
      </c>
      <c r="EM101" s="437">
        <v>190184107.64763668</v>
      </c>
      <c r="EN101" s="437">
        <v>198220252.60708174</v>
      </c>
      <c r="EO101" s="437">
        <v>200895597.50902846</v>
      </c>
      <c r="EP101" s="437">
        <v>209174352.33342203</v>
      </c>
      <c r="EQ101" s="437">
        <v>219081987.5079146</v>
      </c>
      <c r="ER101" s="437">
        <v>220805045.82391572</v>
      </c>
      <c r="ES101" s="437">
        <v>225014181.408591</v>
      </c>
      <c r="ET101" s="437">
        <v>233315067.1706391</v>
      </c>
      <c r="EU101" s="437">
        <v>236529185.64596099</v>
      </c>
      <c r="EV101" s="437">
        <v>243666671.714834</v>
      </c>
      <c r="EW101" s="437">
        <v>253344075.73535123</v>
      </c>
      <c r="EX101" s="437">
        <v>256014457.33449897</v>
      </c>
      <c r="EY101" s="437">
        <v>261833432.5582507</v>
      </c>
      <c r="EZ101" s="437">
        <v>272208184.21093541</v>
      </c>
      <c r="FA101" s="437">
        <v>275636189.49362934</v>
      </c>
      <c r="FB101" s="437">
        <v>286288430.31869084</v>
      </c>
    </row>
    <row r="102" spans="3:158" x14ac:dyDescent="0.25">
      <c r="C102" s="258" t="s">
        <v>585</v>
      </c>
      <c r="D102" s="1472">
        <f t="shared" ref="D102:L105" si="239">SUMIF($AY$2:$FB$2,D$2,$AY102:$FB102)</f>
        <v>4135547.4499999997</v>
      </c>
      <c r="E102" s="1472">
        <f t="shared" si="239"/>
        <v>6446601.9000000004</v>
      </c>
      <c r="F102" s="1472">
        <f t="shared" si="239"/>
        <v>6373032.4761190014</v>
      </c>
      <c r="G102" s="1472">
        <f t="shared" si="239"/>
        <v>10348857.147820331</v>
      </c>
      <c r="H102" s="1472">
        <f t="shared" si="239"/>
        <v>12486617.328824773</v>
      </c>
      <c r="I102" s="1472">
        <f t="shared" si="239"/>
        <v>17056083.393466983</v>
      </c>
      <c r="J102" s="1472">
        <f t="shared" si="239"/>
        <v>21505101.122632332</v>
      </c>
      <c r="K102" s="1472">
        <f t="shared" si="239"/>
        <v>26367416.356500991</v>
      </c>
      <c r="L102" s="1472">
        <f t="shared" si="239"/>
        <v>31374103.714801259</v>
      </c>
      <c r="M102" s="244"/>
      <c r="N102" s="1476">
        <f>SUM(AY102:BA102)</f>
        <v>942678</v>
      </c>
      <c r="O102" s="1476">
        <f>SUM(BB102:BD102)</f>
        <v>1175560.1099999999</v>
      </c>
      <c r="P102" s="1476">
        <f>SUM(BE102:BG102)</f>
        <v>899799</v>
      </c>
      <c r="Q102" s="1476">
        <f>SUM(BH102:BJ102)</f>
        <v>1117510.3399999999</v>
      </c>
      <c r="R102" s="1476">
        <f>SUM(BK102:BM102)</f>
        <v>1312061.26</v>
      </c>
      <c r="S102" s="1476">
        <f>SUM(BN102:BP102)</f>
        <v>1241153.3400000001</v>
      </c>
      <c r="T102" s="1476">
        <f>SUM(BQ102:BS102)</f>
        <v>1826211.1400000001</v>
      </c>
      <c r="U102" s="1476">
        <f>SUM(BT102:BV102)</f>
        <v>2067176.1600000001</v>
      </c>
      <c r="V102" s="1476">
        <f>SUM(BW102:BY102)</f>
        <v>1563850.5114290002</v>
      </c>
      <c r="W102" s="1476">
        <f>SUM(BZ102:CB102)</f>
        <v>1611306.3739199999</v>
      </c>
      <c r="X102" s="1476">
        <f>SUM(CC102:CE102)</f>
        <v>1023480.697692</v>
      </c>
      <c r="Y102" s="1476">
        <f>SUM(CF102:CH102)</f>
        <v>2174394.8930780003</v>
      </c>
      <c r="Z102" s="1476">
        <f>SUM(CI102:CK102)</f>
        <v>1237977.660779</v>
      </c>
      <c r="AA102" s="1476">
        <f>SUM(CL102:CN102)</f>
        <v>1920331.1687080001</v>
      </c>
      <c r="AB102" s="1476">
        <f>SUM(CO102:CQ102)</f>
        <v>2897690.6083333329</v>
      </c>
      <c r="AC102" s="1476">
        <f>SUM(CR102:CT102)</f>
        <v>4292857.709999999</v>
      </c>
      <c r="AD102" s="1476">
        <f>SUM(CU102:CW102)</f>
        <v>2209808.2788187577</v>
      </c>
      <c r="AE102" s="1476">
        <f>SUM(CX102:CZ102)</f>
        <v>2940162.8655328783</v>
      </c>
      <c r="AF102" s="1476">
        <f>SUM(DA102:DC102)</f>
        <v>2898655.3041038038</v>
      </c>
      <c r="AG102" s="1476">
        <f>SUM(DD102:DF102)</f>
        <v>4437990.8803693345</v>
      </c>
      <c r="AH102" s="1476">
        <f>SUM(DG102:DI102)</f>
        <v>3110588.4252849882</v>
      </c>
      <c r="AI102" s="1476">
        <f>SUM(DJ102:DL102)</f>
        <v>4220785.7480178699</v>
      </c>
      <c r="AJ102" s="1476">
        <f>SUM(DM102:DO102)</f>
        <v>3959415.5321458131</v>
      </c>
      <c r="AK102" s="1476">
        <f>SUM(DP102:DR102)</f>
        <v>5765293.6880183127</v>
      </c>
      <c r="AL102" s="1476">
        <f>SUM(DS102:DU102)</f>
        <v>3921974.1773932497</v>
      </c>
      <c r="AM102" s="1476">
        <f>SUM(DV102:DX102)</f>
        <v>5321762.4605926126</v>
      </c>
      <c r="AN102" s="1476">
        <f>SUM(DY102:EA102)</f>
        <v>4992214.7682469143</v>
      </c>
      <c r="AO102" s="1476">
        <f>SUM(EB102:ED102)</f>
        <v>7269149.7163995579</v>
      </c>
      <c r="AP102" s="1476">
        <f>SUM(EE102:EG102)</f>
        <v>4808734.703690391</v>
      </c>
      <c r="AQ102" s="1476">
        <f>SUM(EH102:EJ102)</f>
        <v>6525015.8903538603</v>
      </c>
      <c r="AR102" s="1476">
        <f>SUM(EK102:EM102)</f>
        <v>6120957.2828703402</v>
      </c>
      <c r="AS102" s="1476">
        <f>SUM(EN102:EP102)</f>
        <v>8912708.4795864001</v>
      </c>
      <c r="AT102" s="1476">
        <f>SUM(EQ102:ES102)</f>
        <v>5721824.9710441921</v>
      </c>
      <c r="AU102" s="1476">
        <f>SUM(ET102:EV102)</f>
        <v>7763996.3854181198</v>
      </c>
      <c r="AV102" s="1476">
        <f>SUM(EW102:EY102)</f>
        <v>7283214.4807124436</v>
      </c>
      <c r="AW102" s="1476">
        <f>SUM(EZ102:FB102)</f>
        <v>10605067.877626508</v>
      </c>
      <c r="AX102" s="244"/>
      <c r="AY102" s="90">
        <v>65700</v>
      </c>
      <c r="AZ102" s="90">
        <v>228500</v>
      </c>
      <c r="BA102" s="90">
        <v>648478</v>
      </c>
      <c r="BB102" s="90">
        <v>161613.43</v>
      </c>
      <c r="BC102" s="90">
        <v>475946.68</v>
      </c>
      <c r="BD102" s="90">
        <v>538000</v>
      </c>
      <c r="BE102" s="90">
        <v>65000</v>
      </c>
      <c r="BF102" s="90">
        <v>319499</v>
      </c>
      <c r="BG102" s="90">
        <v>515300</v>
      </c>
      <c r="BH102" s="90">
        <v>242494.67</v>
      </c>
      <c r="BI102" s="90">
        <v>390866.67</v>
      </c>
      <c r="BJ102" s="90">
        <v>484149</v>
      </c>
      <c r="BK102" s="90">
        <v>111600</v>
      </c>
      <c r="BL102" s="90">
        <v>142500</v>
      </c>
      <c r="BM102" s="90">
        <v>1057961.26</v>
      </c>
      <c r="BN102" s="90">
        <v>289100</v>
      </c>
      <c r="BO102" s="90">
        <v>395523.34</v>
      </c>
      <c r="BP102" s="90">
        <v>556530</v>
      </c>
      <c r="BQ102" s="90">
        <v>187750</v>
      </c>
      <c r="BR102" s="90">
        <v>565973.67000000004</v>
      </c>
      <c r="BS102" s="90">
        <v>1072487.47</v>
      </c>
      <c r="BT102" s="90">
        <v>125000</v>
      </c>
      <c r="BU102" s="90">
        <v>950419.49</v>
      </c>
      <c r="BV102" s="90">
        <v>991756.67</v>
      </c>
      <c r="BW102" s="90">
        <v>159540</v>
      </c>
      <c r="BX102" s="90">
        <v>585490.86307700002</v>
      </c>
      <c r="BY102" s="90">
        <v>818819.64835200005</v>
      </c>
      <c r="BZ102" s="90">
        <v>319848.90109900001</v>
      </c>
      <c r="CA102" s="90">
        <v>445334.56</v>
      </c>
      <c r="CB102" s="90">
        <v>846122.91282099998</v>
      </c>
      <c r="CC102" s="90">
        <v>236328.37</v>
      </c>
      <c r="CD102" s="90">
        <v>539332.34769199998</v>
      </c>
      <c r="CE102" s="90">
        <v>247819.98</v>
      </c>
      <c r="CF102" s="90">
        <v>131927.69</v>
      </c>
      <c r="CG102" s="90">
        <v>931908.91362699994</v>
      </c>
      <c r="CH102" s="90">
        <v>1110558.289451</v>
      </c>
      <c r="CI102" s="98">
        <v>145344.536234</v>
      </c>
      <c r="CJ102" s="98">
        <v>373766.72</v>
      </c>
      <c r="CK102" s="98">
        <v>718866.40454500006</v>
      </c>
      <c r="CL102" s="98">
        <v>438762.17</v>
      </c>
      <c r="CM102" s="98">
        <v>621217.30753200001</v>
      </c>
      <c r="CN102" s="98">
        <v>860351.69117600005</v>
      </c>
      <c r="CO102" s="98">
        <v>434653.59124999994</v>
      </c>
      <c r="CP102" s="98">
        <v>1014191.7129166665</v>
      </c>
      <c r="CQ102" s="98">
        <v>1448845.3041666665</v>
      </c>
      <c r="CR102" s="98">
        <v>429285.77099999995</v>
      </c>
      <c r="CS102" s="98">
        <v>1717143.0839999998</v>
      </c>
      <c r="CT102" s="98">
        <v>2146428.8549999995</v>
      </c>
      <c r="CU102" s="437">
        <v>292114.71724206436</v>
      </c>
      <c r="CV102" s="437">
        <v>642006.02683606674</v>
      </c>
      <c r="CW102" s="437">
        <v>1275687.5347406266</v>
      </c>
      <c r="CX102" s="437">
        <v>510070.37260479829</v>
      </c>
      <c r="CY102" s="437">
        <v>1000434.6125824797</v>
      </c>
      <c r="CZ102" s="437">
        <v>1429657.8803456002</v>
      </c>
      <c r="DA102" s="437">
        <v>489785.70920829108</v>
      </c>
      <c r="DB102" s="437">
        <v>873336.42780781328</v>
      </c>
      <c r="DC102" s="437">
        <v>1535533.1670876993</v>
      </c>
      <c r="DD102" s="437">
        <v>659360.57987791731</v>
      </c>
      <c r="DE102" s="437">
        <v>1758797.4848826837</v>
      </c>
      <c r="DF102" s="437">
        <v>2019832.8156087331</v>
      </c>
      <c r="DG102" s="437">
        <v>429714.77799565368</v>
      </c>
      <c r="DH102" s="437">
        <v>907648.48877802445</v>
      </c>
      <c r="DI102" s="437">
        <v>1773225.1585113101</v>
      </c>
      <c r="DJ102" s="437">
        <v>764954.48735227576</v>
      </c>
      <c r="DK102" s="437">
        <v>1434767.0674916699</v>
      </c>
      <c r="DL102" s="437">
        <v>2021064.1931739242</v>
      </c>
      <c r="DM102" s="437">
        <v>669022.3365699345</v>
      </c>
      <c r="DN102" s="437">
        <v>1192933.0859572829</v>
      </c>
      <c r="DO102" s="437">
        <v>2097460.1096185958</v>
      </c>
      <c r="DP102" s="437">
        <v>801727.69066678802</v>
      </c>
      <c r="DQ102" s="437">
        <v>2303502.5143676968</v>
      </c>
      <c r="DR102" s="437">
        <v>2660063.4829838281</v>
      </c>
      <c r="DS102" s="437">
        <v>541804.32526647078</v>
      </c>
      <c r="DT102" s="437">
        <v>1144405.3177209634</v>
      </c>
      <c r="DU102" s="437">
        <v>2235764.5344058154</v>
      </c>
      <c r="DV102" s="437">
        <v>964490.10158000863</v>
      </c>
      <c r="DW102" s="437">
        <v>1809020.8732005483</v>
      </c>
      <c r="DX102" s="437">
        <v>2548251.4858120554</v>
      </c>
      <c r="DY102" s="437">
        <v>843534.39587115461</v>
      </c>
      <c r="DZ102" s="437">
        <v>1504105.3713346384</v>
      </c>
      <c r="EA102" s="437">
        <v>2644575.0010411213</v>
      </c>
      <c r="EB102" s="437">
        <v>1010855.4621166843</v>
      </c>
      <c r="EC102" s="437">
        <v>2904362.8226330909</v>
      </c>
      <c r="ED102" s="437">
        <v>3353931.4316497822</v>
      </c>
      <c r="EE102" s="437">
        <v>664306.58226569858</v>
      </c>
      <c r="EF102" s="437">
        <v>1403155.9917282022</v>
      </c>
      <c r="EG102" s="437">
        <v>2741272.1296964898</v>
      </c>
      <c r="EH102" s="437">
        <v>1182561.8459110563</v>
      </c>
      <c r="EI102" s="437">
        <v>2218041.4911455768</v>
      </c>
      <c r="EJ102" s="437">
        <v>3124412.5532972268</v>
      </c>
      <c r="EK102" s="437">
        <v>1034257.9883782361</v>
      </c>
      <c r="EL102" s="437">
        <v>1844184.426005407</v>
      </c>
      <c r="EM102" s="437">
        <v>3242514.8684866969</v>
      </c>
      <c r="EN102" s="437">
        <v>1239410.4400570837</v>
      </c>
      <c r="EO102" s="437">
        <v>3561040.8599341335</v>
      </c>
      <c r="EP102" s="437">
        <v>4112257.1795951831</v>
      </c>
      <c r="EQ102" s="437">
        <v>790446.18284303392</v>
      </c>
      <c r="ER102" s="437">
        <v>1669589.5046111129</v>
      </c>
      <c r="ES102" s="437">
        <v>3261789.2835900453</v>
      </c>
      <c r="ET102" s="437">
        <v>1407108.5881583809</v>
      </c>
      <c r="EU102" s="437">
        <v>2639206.7711926699</v>
      </c>
      <c r="EV102" s="437">
        <v>3717681.0260670688</v>
      </c>
      <c r="EW102" s="437">
        <v>1230644.5560124093</v>
      </c>
      <c r="EX102" s="437">
        <v>2194361.1261878284</v>
      </c>
      <c r="EY102" s="437">
        <v>3858208.7985122064</v>
      </c>
      <c r="EZ102" s="437">
        <v>1474751.684647748</v>
      </c>
      <c r="FA102" s="437">
        <v>4237217.0167014673</v>
      </c>
      <c r="FB102" s="437">
        <v>4893099.176277292</v>
      </c>
    </row>
    <row r="103" spans="3:158" x14ac:dyDescent="0.25">
      <c r="C103" s="258" t="s">
        <v>584</v>
      </c>
      <c r="D103" s="1472">
        <f t="shared" si="239"/>
        <v>1895049.81</v>
      </c>
      <c r="E103" s="1472">
        <f t="shared" si="239"/>
        <v>2734060.3200000003</v>
      </c>
      <c r="F103" s="1472">
        <f t="shared" si="239"/>
        <v>5291309.6112820003</v>
      </c>
      <c r="G103" s="1472">
        <f t="shared" si="239"/>
        <v>12324815.001792001</v>
      </c>
      <c r="H103" s="1472">
        <f t="shared" si="239"/>
        <v>16795397.834156636</v>
      </c>
      <c r="I103" s="1472">
        <f t="shared" si="239"/>
        <v>23553638.971930597</v>
      </c>
      <c r="J103" s="1472">
        <f t="shared" si="239"/>
        <v>33636183.807194166</v>
      </c>
      <c r="K103" s="1472">
        <f t="shared" si="239"/>
        <v>46875406.856001765</v>
      </c>
      <c r="L103" s="1472">
        <f t="shared" si="239"/>
        <v>63698937.84520258</v>
      </c>
      <c r="M103" s="244"/>
      <c r="N103" s="1476">
        <f>SUM(AY103:BA103)</f>
        <v>207675</v>
      </c>
      <c r="O103" s="1476">
        <f>SUM(BB103:BD103)</f>
        <v>501334.72</v>
      </c>
      <c r="P103" s="1476">
        <f>SUM(BE103:BG103)</f>
        <v>423071.46</v>
      </c>
      <c r="Q103" s="1476">
        <f>SUM(BH103:BJ103)</f>
        <v>762968.63</v>
      </c>
      <c r="R103" s="1476">
        <f>SUM(BK103:BM103)</f>
        <v>523982</v>
      </c>
      <c r="S103" s="1476">
        <f>SUM(BN103:BP103)</f>
        <v>538121.82000000007</v>
      </c>
      <c r="T103" s="1476">
        <f>SUM(BQ103:BS103)</f>
        <v>629803.82000000007</v>
      </c>
      <c r="U103" s="1476">
        <f>SUM(BT103:BV103)</f>
        <v>1042152.6799999999</v>
      </c>
      <c r="V103" s="1476">
        <f>SUM(BW103:BY103)</f>
        <v>658975.99</v>
      </c>
      <c r="W103" s="1476">
        <f>SUM(BZ103:CB103)</f>
        <v>1169172.2</v>
      </c>
      <c r="X103" s="1476">
        <f>SUM(CC103:CE103)</f>
        <v>1491143.536667</v>
      </c>
      <c r="Y103" s="1476">
        <f>SUM(CF103:CH103)</f>
        <v>1972017.8846149999</v>
      </c>
      <c r="Z103" s="1476">
        <f>SUM(CI103:CK103)</f>
        <v>1723067.898847</v>
      </c>
      <c r="AA103" s="1476">
        <f>SUM(CL103:CN103)</f>
        <v>2260209.5879450003</v>
      </c>
      <c r="AB103" s="1476">
        <f>SUM(CO103:CQ103)</f>
        <v>3352066.6833333336</v>
      </c>
      <c r="AC103" s="1476">
        <f>SUM(CR103:CT103)</f>
        <v>4989470.831666667</v>
      </c>
      <c r="AD103" s="1476">
        <f>SUM(CU103:CW103)</f>
        <v>2972350.974054168</v>
      </c>
      <c r="AE103" s="1476">
        <f>SUM(CX103:CZ103)</f>
        <v>3954730.3904192261</v>
      </c>
      <c r="AF103" s="1476">
        <f>SUM(DA103:DC103)</f>
        <v>3898899.7367707239</v>
      </c>
      <c r="AG103" s="1476">
        <f>SUM(DD103:DF103)</f>
        <v>5969416.7329125181</v>
      </c>
      <c r="AH103" s="1476">
        <f>SUM(DG103:DI103)</f>
        <v>4295574.4920602217</v>
      </c>
      <c r="AI103" s="1476">
        <f>SUM(DJ103:DL103)</f>
        <v>5828704.1282151546</v>
      </c>
      <c r="AJ103" s="1476">
        <f>SUM(DM103:DO103)</f>
        <v>5467764.3062966</v>
      </c>
      <c r="AK103" s="1476">
        <f>SUM(DP103:DR103)</f>
        <v>7961596.0453586224</v>
      </c>
      <c r="AL103" s="1476">
        <f>SUM(DS103:DU103)</f>
        <v>6134369.8672048263</v>
      </c>
      <c r="AM103" s="1476">
        <f>SUM(DV103:DX103)</f>
        <v>8323782.3101576753</v>
      </c>
      <c r="AN103" s="1476">
        <f>SUM(DY103:EA103)</f>
        <v>7808335.919565686</v>
      </c>
      <c r="AO103" s="1476">
        <f>SUM(EB103:ED103)</f>
        <v>11369695.710265975</v>
      </c>
      <c r="AP103" s="1476">
        <f>SUM(EE103:EG103)</f>
        <v>8548861.6954495832</v>
      </c>
      <c r="AQ103" s="1476">
        <f>SUM(EH103:EJ103)</f>
        <v>11600028.249517974</v>
      </c>
      <c r="AR103" s="1476">
        <f>SUM(EK103:EM103)</f>
        <v>10881701.836213939</v>
      </c>
      <c r="AS103" s="1476">
        <f>SUM(EN103:EP103)</f>
        <v>15844815.074820267</v>
      </c>
      <c r="AT103" s="1476">
        <f>SUM(EQ103:ES103)</f>
        <v>11617038.577574573</v>
      </c>
      <c r="AU103" s="1476">
        <f>SUM(ET103:EV103)</f>
        <v>15763265.388576185</v>
      </c>
      <c r="AV103" s="1476">
        <f>SUM(EW103:EY103)</f>
        <v>14787132.430537388</v>
      </c>
      <c r="AW103" s="1476">
        <f>SUM(EZ103:FB103)</f>
        <v>21531501.448514428</v>
      </c>
      <c r="AX103" s="244"/>
      <c r="AY103" s="90">
        <v>78575</v>
      </c>
      <c r="AZ103" s="90">
        <v>43500</v>
      </c>
      <c r="BA103" s="90">
        <v>85600</v>
      </c>
      <c r="BB103" s="90">
        <v>22383</v>
      </c>
      <c r="BC103" s="90">
        <v>142000</v>
      </c>
      <c r="BD103" s="90">
        <v>336951.72</v>
      </c>
      <c r="BE103" s="90">
        <v>9800</v>
      </c>
      <c r="BF103" s="90">
        <v>91054.46</v>
      </c>
      <c r="BG103" s="90">
        <v>322217</v>
      </c>
      <c r="BH103" s="90">
        <v>49500</v>
      </c>
      <c r="BI103" s="90">
        <v>388700</v>
      </c>
      <c r="BJ103" s="90">
        <v>324768.63</v>
      </c>
      <c r="BK103" s="90">
        <v>138930</v>
      </c>
      <c r="BL103" s="90">
        <v>88410</v>
      </c>
      <c r="BM103" s="90">
        <v>296642</v>
      </c>
      <c r="BN103" s="90">
        <v>24541</v>
      </c>
      <c r="BO103" s="90">
        <v>223059.99</v>
      </c>
      <c r="BP103" s="90">
        <v>290520.83</v>
      </c>
      <c r="BQ103" s="90">
        <v>88420</v>
      </c>
      <c r="BR103" s="90">
        <v>109137</v>
      </c>
      <c r="BS103" s="90">
        <v>432246.82</v>
      </c>
      <c r="BT103" s="90">
        <v>104050.86</v>
      </c>
      <c r="BU103" s="90">
        <v>461873.48</v>
      </c>
      <c r="BV103" s="90">
        <v>476228.34</v>
      </c>
      <c r="BW103" s="90">
        <v>170270</v>
      </c>
      <c r="BX103" s="90">
        <v>44780.99</v>
      </c>
      <c r="BY103" s="90">
        <v>443925</v>
      </c>
      <c r="BZ103" s="90">
        <v>177768.19</v>
      </c>
      <c r="CA103" s="90">
        <v>381232.76</v>
      </c>
      <c r="CB103" s="90">
        <v>610171.25</v>
      </c>
      <c r="CC103" s="90">
        <v>223501.43</v>
      </c>
      <c r="CD103" s="90">
        <v>464866.641282</v>
      </c>
      <c r="CE103" s="90">
        <v>802775.46538499999</v>
      </c>
      <c r="CF103" s="90">
        <v>359811.6</v>
      </c>
      <c r="CG103" s="90">
        <v>549005.24</v>
      </c>
      <c r="CH103" s="90">
        <v>1063201.044615</v>
      </c>
      <c r="CI103" s="98">
        <v>140380.89470599999</v>
      </c>
      <c r="CJ103" s="98">
        <v>487191.07</v>
      </c>
      <c r="CK103" s="98">
        <v>1095495.934141</v>
      </c>
      <c r="CL103" s="98">
        <v>597982.89088700002</v>
      </c>
      <c r="CM103" s="98">
        <v>844329.451764</v>
      </c>
      <c r="CN103" s="98">
        <v>817897.24529400002</v>
      </c>
      <c r="CO103" s="98">
        <v>502810.0025</v>
      </c>
      <c r="CP103" s="98">
        <v>1173223.3391666668</v>
      </c>
      <c r="CQ103" s="98">
        <v>1676033.3416666668</v>
      </c>
      <c r="CR103" s="98">
        <v>498947.08316666668</v>
      </c>
      <c r="CS103" s="98">
        <v>1995788.3326666667</v>
      </c>
      <c r="CT103" s="98">
        <v>2494735.4158333335</v>
      </c>
      <c r="CU103" s="437">
        <v>392915.29163522547</v>
      </c>
      <c r="CV103" s="437">
        <v>863544.25291359867</v>
      </c>
      <c r="CW103" s="437">
        <v>1715891.4295053438</v>
      </c>
      <c r="CX103" s="437">
        <v>686081.3145557011</v>
      </c>
      <c r="CY103" s="437">
        <v>1345656.4642687393</v>
      </c>
      <c r="CZ103" s="437">
        <v>1922992.6115947859</v>
      </c>
      <c r="DA103" s="437">
        <v>658796.98424393381</v>
      </c>
      <c r="DB103" s="437">
        <v>1174700.2700429501</v>
      </c>
      <c r="DC103" s="437">
        <v>2065402.4824838401</v>
      </c>
      <c r="DD103" s="437">
        <v>886887.37418464071</v>
      </c>
      <c r="DE103" s="437">
        <v>2365709.0379576012</v>
      </c>
      <c r="DF103" s="437">
        <v>2716820.3207702767</v>
      </c>
      <c r="DG103" s="437">
        <v>593415.64580352174</v>
      </c>
      <c r="DH103" s="437">
        <v>1253419.3416458433</v>
      </c>
      <c r="DI103" s="437">
        <v>2448739.504610857</v>
      </c>
      <c r="DJ103" s="437">
        <v>1056365.7206293333</v>
      </c>
      <c r="DK103" s="437">
        <v>1981344.9979646874</v>
      </c>
      <c r="DL103" s="437">
        <v>2790993.4096211335</v>
      </c>
      <c r="DM103" s="437">
        <v>923887.98859657615</v>
      </c>
      <c r="DN103" s="437">
        <v>1647383.7853695813</v>
      </c>
      <c r="DO103" s="437">
        <v>2896492.5323304422</v>
      </c>
      <c r="DP103" s="437">
        <v>1107147.7633017551</v>
      </c>
      <c r="DQ103" s="437">
        <v>3181027.2817458669</v>
      </c>
      <c r="DR103" s="437">
        <v>3673421.0003110007</v>
      </c>
      <c r="DS103" s="437">
        <v>847437.5343911465</v>
      </c>
      <c r="DT103" s="437">
        <v>1789967.2918199685</v>
      </c>
      <c r="DU103" s="437">
        <v>3496965.040993711</v>
      </c>
      <c r="DV103" s="437">
        <v>1508561.4409328338</v>
      </c>
      <c r="DW103" s="437">
        <v>2829494.1862880369</v>
      </c>
      <c r="DX103" s="437">
        <v>3985726.6829368048</v>
      </c>
      <c r="DY103" s="437">
        <v>1319374.3114907802</v>
      </c>
      <c r="DZ103" s="437">
        <v>2352575.067984947</v>
      </c>
      <c r="EA103" s="437">
        <v>4136386.5400899588</v>
      </c>
      <c r="EB103" s="437">
        <v>1581081.6202337882</v>
      </c>
      <c r="EC103" s="437">
        <v>4542721.3379645776</v>
      </c>
      <c r="ED103" s="437">
        <v>5245892.7520676088</v>
      </c>
      <c r="EE103" s="437">
        <v>1180989.4795834641</v>
      </c>
      <c r="EF103" s="437">
        <v>2494499.5408501374</v>
      </c>
      <c r="EG103" s="437">
        <v>4873372.6750159822</v>
      </c>
      <c r="EH103" s="437">
        <v>2102332.1705085444</v>
      </c>
      <c r="EI103" s="437">
        <v>3943184.8731476921</v>
      </c>
      <c r="EJ103" s="437">
        <v>5554511.2058617361</v>
      </c>
      <c r="EK103" s="437">
        <v>1838680.8682279754</v>
      </c>
      <c r="EL103" s="437">
        <v>3278550.0906762788</v>
      </c>
      <c r="EM103" s="437">
        <v>5764470.8773096837</v>
      </c>
      <c r="EN103" s="437">
        <v>2203396.3378792601</v>
      </c>
      <c r="EO103" s="437">
        <v>6330739.3065495705</v>
      </c>
      <c r="EP103" s="437">
        <v>7310679.4303914364</v>
      </c>
      <c r="EQ103" s="437">
        <v>1604845.2803176751</v>
      </c>
      <c r="ER103" s="437">
        <v>3389772.6305740783</v>
      </c>
      <c r="ES103" s="437">
        <v>6622420.6666828208</v>
      </c>
      <c r="ET103" s="437">
        <v>2856856.8305033799</v>
      </c>
      <c r="EU103" s="437">
        <v>5358389.5051487554</v>
      </c>
      <c r="EV103" s="437">
        <v>7548019.05292405</v>
      </c>
      <c r="EW103" s="437">
        <v>2498581.371297922</v>
      </c>
      <c r="EX103" s="437">
        <v>4455218.0440783184</v>
      </c>
      <c r="EY103" s="437">
        <v>7833333.0151611483</v>
      </c>
      <c r="EZ103" s="437">
        <v>2994192.814284822</v>
      </c>
      <c r="FA103" s="437">
        <v>8602834.5490605552</v>
      </c>
      <c r="FB103" s="437">
        <v>9934474.0851690508</v>
      </c>
    </row>
    <row r="104" spans="3:158" x14ac:dyDescent="0.25">
      <c r="C104" s="258" t="s">
        <v>583</v>
      </c>
      <c r="D104" s="1472">
        <f t="shared" si="239"/>
        <v>-91265</v>
      </c>
      <c r="E104" s="1472">
        <f t="shared" si="239"/>
        <v>-132447.25</v>
      </c>
      <c r="F104" s="1472">
        <f t="shared" si="239"/>
        <v>-374225.74000000005</v>
      </c>
      <c r="G104" s="1472">
        <f t="shared" si="239"/>
        <v>-771029.74174830795</v>
      </c>
      <c r="H104" s="1472">
        <f t="shared" si="239"/>
        <v>-1316911.2003414431</v>
      </c>
      <c r="I104" s="1472">
        <f t="shared" si="239"/>
        <v>-1945251.5247633921</v>
      </c>
      <c r="J104" s="1472">
        <f t="shared" si="239"/>
        <v>-2779016.1975932093</v>
      </c>
      <c r="K104" s="1472">
        <f t="shared" si="239"/>
        <v>-3862661.0734715476</v>
      </c>
      <c r="L104" s="1472">
        <f t="shared" si="239"/>
        <v>-5239081.5963725559</v>
      </c>
      <c r="M104" s="244"/>
      <c r="N104" s="1476">
        <f>SUM(AY104:BA104)</f>
        <v>-27665</v>
      </c>
      <c r="O104" s="1476">
        <f>SUM(BB104:BD104)</f>
        <v>-21000</v>
      </c>
      <c r="P104" s="1476">
        <f>SUM(BE104:BG104)</f>
        <v>-36600</v>
      </c>
      <c r="Q104" s="1476">
        <f>SUM(BH104:BJ104)</f>
        <v>-6000</v>
      </c>
      <c r="R104" s="1476">
        <f>SUM(BK104:BM104)</f>
        <v>-16884.25</v>
      </c>
      <c r="S104" s="1476">
        <f>SUM(BN104:BP104)</f>
        <v>-62400</v>
      </c>
      <c r="T104" s="1476">
        <f>SUM(BQ104:BS104)</f>
        <v>-2375</v>
      </c>
      <c r="U104" s="1476">
        <f>SUM(BT104:BV104)</f>
        <v>-50788</v>
      </c>
      <c r="V104" s="1476">
        <f>SUM(BW104:BY104)</f>
        <v>-84540</v>
      </c>
      <c r="W104" s="1476">
        <f>SUM(BZ104:CB104)</f>
        <v>-79712.179999999993</v>
      </c>
      <c r="X104" s="1476">
        <f>SUM(CC104:CE104)</f>
        <v>-116608.33</v>
      </c>
      <c r="Y104" s="1476">
        <f>SUM(CF104:CH104)</f>
        <v>-93365.23000000001</v>
      </c>
      <c r="Z104" s="1476">
        <f>SUM(CI104:CK104)</f>
        <v>-139240.1</v>
      </c>
      <c r="AA104" s="1476">
        <f>SUM(CL104:CN104)</f>
        <v>-260784.03</v>
      </c>
      <c r="AB104" s="1476">
        <f>SUM(CO104:CQ104)</f>
        <v>-155839.7432855806</v>
      </c>
      <c r="AC104" s="1476">
        <f>SUM(CR104:CT104)</f>
        <v>-215165.86846272729</v>
      </c>
      <c r="AD104" s="1476">
        <f>SUM(CU104:CW104)</f>
        <v>-270966.15680271084</v>
      </c>
      <c r="AE104" s="1476">
        <f>SUM(CX104:CZ104)</f>
        <v>-305207.40092287911</v>
      </c>
      <c r="AF104" s="1476">
        <f>SUM(DA104:DC104)</f>
        <v>-279730.38003425475</v>
      </c>
      <c r="AG104" s="1476">
        <f>SUM(DD104:DF104)</f>
        <v>-461007.26258159842</v>
      </c>
      <c r="AH104" s="1476">
        <f>SUM(DG104:DI104)</f>
        <v>-400252.75018018374</v>
      </c>
      <c r="AI104" s="1476">
        <f>SUM(DJ104:DL104)</f>
        <v>-450831.58367881528</v>
      </c>
      <c r="AJ104" s="1476">
        <f>SUM(DM104:DO104)</f>
        <v>-413198.66376957938</v>
      </c>
      <c r="AK104" s="1476">
        <f>SUM(DP104:DR104)</f>
        <v>-680968.52713481337</v>
      </c>
      <c r="AL104" s="1476">
        <f>SUM(DS104:DU104)</f>
        <v>-571807.22478408203</v>
      </c>
      <c r="AM104" s="1476">
        <f>SUM(DV104:DX104)</f>
        <v>-644064.92295767111</v>
      </c>
      <c r="AN104" s="1476">
        <f>SUM(DY104:EA104)</f>
        <v>-590301.95572225633</v>
      </c>
      <c r="AO104" s="1476">
        <f>SUM(EB104:ED104)</f>
        <v>-972842.09412919986</v>
      </c>
      <c r="AP104" s="1476">
        <f>SUM(EE104:EG104)</f>
        <v>-794776.76690626354</v>
      </c>
      <c r="AQ104" s="1476">
        <f>SUM(EH104:EJ104)</f>
        <v>-895210.50969462923</v>
      </c>
      <c r="AR104" s="1476">
        <f>SUM(EK104:EM104)</f>
        <v>-820483.30194592476</v>
      </c>
      <c r="AS104" s="1476">
        <f>SUM(EN104:EP104)</f>
        <v>-1352190.4949247304</v>
      </c>
      <c r="AT104" s="1476">
        <f>SUM(EQ104:ES104)</f>
        <v>-1077987.494507459</v>
      </c>
      <c r="AU104" s="1476">
        <f>SUM(ET104:EV104)</f>
        <v>-1214209.7939763688</v>
      </c>
      <c r="AV104" s="1476">
        <f>SUM(EW104:EY104)</f>
        <v>-1112854.2954177842</v>
      </c>
      <c r="AW104" s="1476">
        <f>SUM(EZ104:FB104)</f>
        <v>-1834030.0124709439</v>
      </c>
      <c r="AX104" s="244"/>
      <c r="AY104" s="90">
        <v>-27665</v>
      </c>
      <c r="AZ104" s="90">
        <v>0</v>
      </c>
      <c r="BA104" s="90">
        <v>0</v>
      </c>
      <c r="BB104" s="90">
        <v>-21000</v>
      </c>
      <c r="BC104" s="90">
        <v>0</v>
      </c>
      <c r="BD104" s="90">
        <v>0</v>
      </c>
      <c r="BE104" s="90">
        <v>-2250</v>
      </c>
      <c r="BF104" s="90">
        <v>-3000</v>
      </c>
      <c r="BG104" s="90">
        <v>-31350</v>
      </c>
      <c r="BH104" s="90">
        <v>0</v>
      </c>
      <c r="BI104" s="90">
        <v>-6000</v>
      </c>
      <c r="BJ104" s="90">
        <v>0</v>
      </c>
      <c r="BK104" s="90">
        <v>0</v>
      </c>
      <c r="BL104" s="90">
        <v>-16884.25</v>
      </c>
      <c r="BM104" s="90">
        <v>0</v>
      </c>
      <c r="BN104" s="90">
        <v>-20000</v>
      </c>
      <c r="BO104" s="90">
        <v>-29500</v>
      </c>
      <c r="BP104" s="90">
        <v>-12900</v>
      </c>
      <c r="BQ104" s="90">
        <v>0</v>
      </c>
      <c r="BR104" s="90">
        <v>-2375</v>
      </c>
      <c r="BS104" s="90">
        <v>0</v>
      </c>
      <c r="BT104" s="90">
        <v>0</v>
      </c>
      <c r="BU104" s="90">
        <v>-33000</v>
      </c>
      <c r="BV104" s="90">
        <v>-17788</v>
      </c>
      <c r="BW104" s="90">
        <v>-9900</v>
      </c>
      <c r="BX104" s="90">
        <v>-17000</v>
      </c>
      <c r="BY104" s="90">
        <v>-57640</v>
      </c>
      <c r="BZ104" s="90">
        <v>-46000</v>
      </c>
      <c r="CA104" s="90">
        <v>-2700</v>
      </c>
      <c r="CB104" s="90">
        <v>-31012.18</v>
      </c>
      <c r="CC104" s="90">
        <v>-26490</v>
      </c>
      <c r="CD104" s="90">
        <v>-10118.33</v>
      </c>
      <c r="CE104" s="90">
        <v>-80000</v>
      </c>
      <c r="CF104" s="90">
        <v>0</v>
      </c>
      <c r="CG104" s="90">
        <v>-54862.83</v>
      </c>
      <c r="CH104" s="90">
        <v>-38502.400000000001</v>
      </c>
      <c r="CI104" s="98">
        <v>-65940.100000000006</v>
      </c>
      <c r="CJ104" s="98">
        <v>-34050</v>
      </c>
      <c r="CK104" s="98">
        <v>-39250</v>
      </c>
      <c r="CL104" s="98">
        <v>-30500</v>
      </c>
      <c r="CM104" s="98">
        <v>-124510</v>
      </c>
      <c r="CN104" s="98">
        <v>-105774.03</v>
      </c>
      <c r="CO104" s="98">
        <v>-24107.032246215145</v>
      </c>
      <c r="CP104" s="98">
        <v>-45719.858515981781</v>
      </c>
      <c r="CQ104" s="98">
        <v>-86012.852523383684</v>
      </c>
      <c r="CR104" s="98">
        <v>-19358.258659691426</v>
      </c>
      <c r="CS104" s="98">
        <v>-90645.593961045932</v>
      </c>
      <c r="CT104" s="98">
        <v>-105162.01584198991</v>
      </c>
      <c r="CU104" s="437">
        <v>-58649.422836056547</v>
      </c>
      <c r="CV104" s="437">
        <v>-74178.574320525033</v>
      </c>
      <c r="CW104" s="437">
        <v>-138138.15964612926</v>
      </c>
      <c r="CX104" s="437">
        <v>-91594.586719278814</v>
      </c>
      <c r="CY104" s="437">
        <v>-75040.880469182142</v>
      </c>
      <c r="CZ104" s="437">
        <v>-138571.93373441815</v>
      </c>
      <c r="DA104" s="437">
        <v>-92379.569472832009</v>
      </c>
      <c r="DB104" s="437">
        <v>-72466.58733544765</v>
      </c>
      <c r="DC104" s="437">
        <v>-114884.2232259751</v>
      </c>
      <c r="DD104" s="437">
        <v>-90817.42621257338</v>
      </c>
      <c r="DE104" s="437">
        <v>-190876.986293792</v>
      </c>
      <c r="DF104" s="437">
        <v>-179312.85007523303</v>
      </c>
      <c r="DG104" s="437">
        <v>-86632.932553654085</v>
      </c>
      <c r="DH104" s="437">
        <v>-109571.53737044946</v>
      </c>
      <c r="DI104" s="437">
        <v>-204048.28025608021</v>
      </c>
      <c r="DJ104" s="437">
        <v>-135297.28460776515</v>
      </c>
      <c r="DK104" s="437">
        <v>-110845.27727793387</v>
      </c>
      <c r="DL104" s="437">
        <v>-204689.02179311629</v>
      </c>
      <c r="DM104" s="437">
        <v>-136456.80766282487</v>
      </c>
      <c r="DN104" s="437">
        <v>-107042.70680675357</v>
      </c>
      <c r="DO104" s="437">
        <v>-169699.14930000089</v>
      </c>
      <c r="DP104" s="437">
        <v>-134149.31604294264</v>
      </c>
      <c r="DQ104" s="437">
        <v>-281950.48271589604</v>
      </c>
      <c r="DR104" s="437">
        <v>-264868.72837597475</v>
      </c>
      <c r="DS104" s="437">
        <v>-123765.13769389724</v>
      </c>
      <c r="DT104" s="437">
        <v>-156535.58075720121</v>
      </c>
      <c r="DU104" s="437">
        <v>-291506.50633298355</v>
      </c>
      <c r="DV104" s="437">
        <v>-193287.77827900235</v>
      </c>
      <c r="DW104" s="437">
        <v>-158355.26514729601</v>
      </c>
      <c r="DX104" s="437">
        <v>-292421.87953137269</v>
      </c>
      <c r="DY104" s="437">
        <v>-194944.29071992473</v>
      </c>
      <c r="DZ104" s="437">
        <v>-152922.85458373919</v>
      </c>
      <c r="EA104" s="437">
        <v>-242434.81041859245</v>
      </c>
      <c r="EB104" s="437">
        <v>-191647.77276025194</v>
      </c>
      <c r="EC104" s="437">
        <v>-402798.78895455675</v>
      </c>
      <c r="ED104" s="437">
        <v>-378395.53241439123</v>
      </c>
      <c r="EE104" s="437">
        <v>-172025.90615955868</v>
      </c>
      <c r="EF104" s="437">
        <v>-217574.80036559701</v>
      </c>
      <c r="EG104" s="437">
        <v>-405176.06038110785</v>
      </c>
      <c r="EH104" s="437">
        <v>-268658.08762925008</v>
      </c>
      <c r="EI104" s="437">
        <v>-220104.04940909319</v>
      </c>
      <c r="EJ104" s="437">
        <v>-406448.372656286</v>
      </c>
      <c r="EK104" s="437">
        <v>-270960.53772968985</v>
      </c>
      <c r="EL104" s="437">
        <v>-212553.33385833836</v>
      </c>
      <c r="EM104" s="437">
        <v>-336969.43035789661</v>
      </c>
      <c r="EN104" s="437">
        <v>-266378.58113229554</v>
      </c>
      <c r="EO104" s="437">
        <v>-559865.4674570543</v>
      </c>
      <c r="EP104" s="437">
        <v>-525946.44633538055</v>
      </c>
      <c r="EQ104" s="437">
        <v>-233325.6120371584</v>
      </c>
      <c r="ER104" s="437">
        <v>-295105.39774212171</v>
      </c>
      <c r="ES104" s="437">
        <v>-549556.48472817882</v>
      </c>
      <c r="ET104" s="437">
        <v>-364391.70194915554</v>
      </c>
      <c r="EU104" s="437">
        <v>-298535.91930856986</v>
      </c>
      <c r="EV104" s="437">
        <v>-551282.17271864333</v>
      </c>
      <c r="EW104" s="437">
        <v>-367514.60704446037</v>
      </c>
      <c r="EX104" s="437">
        <v>-288294.58202089259</v>
      </c>
      <c r="EY104" s="437">
        <v>-457045.10635243118</v>
      </c>
      <c r="EZ104" s="437">
        <v>-361299.91618026514</v>
      </c>
      <c r="FA104" s="437">
        <v>-759367.91015489982</v>
      </c>
      <c r="FB104" s="437">
        <v>-713362.18613577902</v>
      </c>
    </row>
    <row r="105" spans="3:158" x14ac:dyDescent="0.25">
      <c r="C105" s="258" t="s">
        <v>22</v>
      </c>
      <c r="D105" s="1473">
        <f t="shared" si="239"/>
        <v>-352563</v>
      </c>
      <c r="E105" s="1473">
        <f t="shared" si="239"/>
        <v>-929477.46</v>
      </c>
      <c r="F105" s="1473">
        <f t="shared" si="239"/>
        <v>-1076743.5999999999</v>
      </c>
      <c r="G105" s="1473">
        <f t="shared" si="239"/>
        <v>-1450379.8382962472</v>
      </c>
      <c r="H105" s="1473">
        <f t="shared" si="239"/>
        <v>-2477234.4701914745</v>
      </c>
      <c r="I105" s="1473">
        <f t="shared" si="239"/>
        <v>-3659202.0244698268</v>
      </c>
      <c r="J105" s="1473">
        <f t="shared" si="239"/>
        <v>-5227592.1991653005</v>
      </c>
      <c r="K105" s="1473">
        <f t="shared" si="239"/>
        <v>-7266030.6597662671</v>
      </c>
      <c r="L105" s="1473">
        <f t="shared" si="239"/>
        <v>-9855207.7917743269</v>
      </c>
      <c r="M105" s="244"/>
      <c r="N105" s="1473">
        <f>SUM(AY105:BA105)</f>
        <v>-22800</v>
      </c>
      <c r="O105" s="1473">
        <f>SUM(BB105:BD105)</f>
        <v>-18060</v>
      </c>
      <c r="P105" s="1473">
        <f>SUM(BE105:BG105)</f>
        <v>-73800</v>
      </c>
      <c r="Q105" s="1473">
        <f>SUM(BH105:BJ105)</f>
        <v>-237903</v>
      </c>
      <c r="R105" s="1473">
        <f>SUM(BK105:BM105)</f>
        <v>-314125.45999999996</v>
      </c>
      <c r="S105" s="1473">
        <f>SUM(BN105:BP105)</f>
        <v>-161776</v>
      </c>
      <c r="T105" s="1473">
        <f>SUM(BQ105:BS105)</f>
        <v>-267688</v>
      </c>
      <c r="U105" s="1473">
        <f>SUM(BT105:BV105)</f>
        <v>-185888</v>
      </c>
      <c r="V105" s="1473">
        <f>SUM(BW105:BY105)</f>
        <v>-170049.99</v>
      </c>
      <c r="W105" s="1473">
        <f>SUM(BZ105:CB105)</f>
        <v>-205108.94</v>
      </c>
      <c r="X105" s="1473">
        <f>SUM(CC105:CE105)</f>
        <v>-452300</v>
      </c>
      <c r="Y105" s="1473">
        <f>SUM(CF105:CH105)</f>
        <v>-249284.66999999998</v>
      </c>
      <c r="Z105" s="1473">
        <f>SUM(CI105:CK105)</f>
        <v>-330338.44</v>
      </c>
      <c r="AA105" s="1473">
        <f>SUM(CL105:CN105)</f>
        <v>-306190</v>
      </c>
      <c r="AB105" s="1473">
        <f>SUM(CO105:CQ105)</f>
        <v>-341855.72661671857</v>
      </c>
      <c r="AC105" s="1473">
        <f>SUM(CR105:CT105)</f>
        <v>-471995.67167952855</v>
      </c>
      <c r="AD105" s="1473">
        <f>SUM(CU105:CW105)</f>
        <v>-509712.95840824</v>
      </c>
      <c r="AE105" s="1473">
        <f>SUM(CX105:CZ105)</f>
        <v>-574123.97580617026</v>
      </c>
      <c r="AF105" s="1473">
        <f>SUM(DA105:DC105)</f>
        <v>-526199.29088684928</v>
      </c>
      <c r="AG105" s="1473">
        <f>SUM(DD105:DF105)</f>
        <v>-867198.245090215</v>
      </c>
      <c r="AH105" s="1473">
        <f>SUM(DG105:DI105)</f>
        <v>-752913.26345938211</v>
      </c>
      <c r="AI105" s="1473">
        <f>SUM(DJ105:DL105)</f>
        <v>-848056.83105330891</v>
      </c>
      <c r="AJ105" s="1473">
        <f>SUM(DM105:DO105)</f>
        <v>-777265.75084308418</v>
      </c>
      <c r="AK105" s="1473">
        <f>SUM(DP105:DR105)</f>
        <v>-1280966.1791140519</v>
      </c>
      <c r="AL105" s="1473">
        <f>SUM(DS105:DU105)</f>
        <v>-1075623.4491531311</v>
      </c>
      <c r="AM105" s="1473">
        <f>SUM(DV105:DX105)</f>
        <v>-1211547.0107462711</v>
      </c>
      <c r="AN105" s="1473">
        <f>SUM(DY105:EA105)</f>
        <v>-1110413.7865616693</v>
      </c>
      <c r="AO105" s="1473">
        <f>SUM(EB105:ED105)</f>
        <v>-1830007.9527042292</v>
      </c>
      <c r="AP105" s="1473">
        <f>SUM(EE105:EG105)</f>
        <v>-1495050.2376903289</v>
      </c>
      <c r="AQ105" s="1473">
        <f>SUM(EH105:EJ105)</f>
        <v>-1683975.6030005917</v>
      </c>
      <c r="AR105" s="1473">
        <f>SUM(EK105:EM105)</f>
        <v>-1543406.6604262907</v>
      </c>
      <c r="AS105" s="1473">
        <f>SUM(EN105:EP105)</f>
        <v>-2543598.1586490558</v>
      </c>
      <c r="AT105" s="1473">
        <f>SUM(EQ105:ES105)</f>
        <v>-2027796.3913867869</v>
      </c>
      <c r="AU105" s="1473">
        <f>SUM(ET105:EV105)</f>
        <v>-2284043.4153058142</v>
      </c>
      <c r="AV105" s="1473">
        <f>SUM(EW105:EY105)</f>
        <v>-2093384.1402478842</v>
      </c>
      <c r="AW105" s="1473">
        <f>SUM(EZ105:FB105)</f>
        <v>-3449983.844833842</v>
      </c>
      <c r="AX105" s="244"/>
      <c r="AY105" s="88">
        <v>-10800</v>
      </c>
      <c r="AZ105" s="88">
        <v>0</v>
      </c>
      <c r="BA105" s="88">
        <v>-12000</v>
      </c>
      <c r="BB105" s="88">
        <v>0</v>
      </c>
      <c r="BC105" s="88">
        <v>0</v>
      </c>
      <c r="BD105" s="88">
        <v>-18060</v>
      </c>
      <c r="BE105" s="88">
        <v>0</v>
      </c>
      <c r="BF105" s="88">
        <v>0</v>
      </c>
      <c r="BG105" s="88">
        <v>-73800</v>
      </c>
      <c r="BH105" s="88">
        <v>-13500</v>
      </c>
      <c r="BI105" s="88">
        <v>-194203</v>
      </c>
      <c r="BJ105" s="88">
        <v>-30200</v>
      </c>
      <c r="BK105" s="88">
        <v>-32000</v>
      </c>
      <c r="BL105" s="88">
        <v>-41125.46</v>
      </c>
      <c r="BM105" s="88">
        <v>-241000</v>
      </c>
      <c r="BN105" s="88">
        <v>-83088</v>
      </c>
      <c r="BO105" s="88">
        <v>-60688</v>
      </c>
      <c r="BP105" s="88">
        <v>-18000</v>
      </c>
      <c r="BQ105" s="88">
        <v>-12924</v>
      </c>
      <c r="BR105" s="88">
        <v>-137764</v>
      </c>
      <c r="BS105" s="88">
        <v>-117000</v>
      </c>
      <c r="BT105" s="88">
        <v>-83499</v>
      </c>
      <c r="BU105" s="88">
        <v>-82050</v>
      </c>
      <c r="BV105" s="88">
        <v>-20339</v>
      </c>
      <c r="BW105" s="88">
        <v>-32580</v>
      </c>
      <c r="BX105" s="88">
        <v>-27920</v>
      </c>
      <c r="BY105" s="88">
        <v>-109549.99</v>
      </c>
      <c r="BZ105" s="88">
        <v>-98508</v>
      </c>
      <c r="CA105" s="88">
        <v>-34988</v>
      </c>
      <c r="CB105" s="88">
        <v>-71612.94</v>
      </c>
      <c r="CC105" s="88">
        <v>-308500</v>
      </c>
      <c r="CD105" s="88">
        <v>-92300</v>
      </c>
      <c r="CE105" s="88">
        <v>-51500</v>
      </c>
      <c r="CF105" s="88">
        <v>-85088</v>
      </c>
      <c r="CG105" s="88">
        <v>-49730</v>
      </c>
      <c r="CH105" s="88">
        <v>-114466.67</v>
      </c>
      <c r="CI105" s="1493">
        <v>-135671.43</v>
      </c>
      <c r="CJ105" s="1493">
        <v>-70200.009999999995</v>
      </c>
      <c r="CK105" s="1493">
        <v>-124467</v>
      </c>
      <c r="CL105" s="1493">
        <v>-196750</v>
      </c>
      <c r="CM105" s="1493">
        <v>-95000</v>
      </c>
      <c r="CN105" s="1493">
        <v>-14440</v>
      </c>
      <c r="CO105" s="1493">
        <v>-52882.062376093971</v>
      </c>
      <c r="CP105" s="1493">
        <v>-100292.74384232562</v>
      </c>
      <c r="CQ105" s="1493">
        <v>-188680.920398299</v>
      </c>
      <c r="CR105" s="1493">
        <v>-42464.979989193263</v>
      </c>
      <c r="CS105" s="1493">
        <v>-198843.4704449657</v>
      </c>
      <c r="CT105" s="1493">
        <v>-230687.22124536958</v>
      </c>
      <c r="CU105" s="159">
        <v>-110325.10914072608</v>
      </c>
      <c r="CV105" s="159">
        <v>-139536.91122743947</v>
      </c>
      <c r="CW105" s="159">
        <v>-259850.93804007446</v>
      </c>
      <c r="CX105" s="159">
        <v>-172298.07707999577</v>
      </c>
      <c r="CY105" s="159">
        <v>-141158.99061651115</v>
      </c>
      <c r="CZ105" s="159">
        <v>-260666.90810966337</v>
      </c>
      <c r="DA105" s="159">
        <v>-173774.70385263133</v>
      </c>
      <c r="DB105" s="159">
        <v>-136316.50185522571</v>
      </c>
      <c r="DC105" s="159">
        <v>-216108.08517899225</v>
      </c>
      <c r="DD105" s="159">
        <v>-170836.16469320538</v>
      </c>
      <c r="DE105" s="159">
        <v>-359057.65695564693</v>
      </c>
      <c r="DF105" s="159">
        <v>-337304.42344136263</v>
      </c>
      <c r="DG105" s="159">
        <v>-162964.73651377694</v>
      </c>
      <c r="DH105" s="159">
        <v>-206114.42081711686</v>
      </c>
      <c r="DI105" s="159">
        <v>-383834.10612848832</v>
      </c>
      <c r="DJ105" s="159">
        <v>-254506.98351321073</v>
      </c>
      <c r="DK105" s="159">
        <v>-208510.44600397898</v>
      </c>
      <c r="DL105" s="159">
        <v>-385039.40153611923</v>
      </c>
      <c r="DM105" s="159">
        <v>-256688.15600246511</v>
      </c>
      <c r="DN105" s="159">
        <v>-201357.45144815947</v>
      </c>
      <c r="DO105" s="159">
        <v>-319220.14339245961</v>
      </c>
      <c r="DP105" s="159">
        <v>-252347.54611246783</v>
      </c>
      <c r="DQ105" s="159">
        <v>-530375.51392216119</v>
      </c>
      <c r="DR105" s="159">
        <v>-498243.11907942285</v>
      </c>
      <c r="DS105" s="159">
        <v>-232813.92490535713</v>
      </c>
      <c r="DT105" s="159">
        <v>-294458.22646404663</v>
      </c>
      <c r="DU105" s="159">
        <v>-548351.29778372729</v>
      </c>
      <c r="DV105" s="159">
        <v>-363592.58459896565</v>
      </c>
      <c r="DW105" s="159">
        <v>-297881.22483693878</v>
      </c>
      <c r="DX105" s="159">
        <v>-550073.20131036662</v>
      </c>
      <c r="DY105" s="159">
        <v>-366708.64110899461</v>
      </c>
      <c r="DZ105" s="159">
        <v>-287662.3469803406</v>
      </c>
      <c r="EA105" s="159">
        <v>-456042.79847233417</v>
      </c>
      <c r="EB105" s="159">
        <v>-360507.57917012629</v>
      </c>
      <c r="EC105" s="159">
        <v>-757702.60309950798</v>
      </c>
      <c r="ED105" s="159">
        <v>-711797.77043459495</v>
      </c>
      <c r="EE105" s="159">
        <v>-323596.99301964534</v>
      </c>
      <c r="EF105" s="159">
        <v>-409278.76926776848</v>
      </c>
      <c r="EG105" s="159">
        <v>-762174.47540291504</v>
      </c>
      <c r="EH105" s="159">
        <v>-505371.2620853589</v>
      </c>
      <c r="EI105" s="159">
        <v>-414036.52583679382</v>
      </c>
      <c r="EJ105" s="159">
        <v>-764567.81507843896</v>
      </c>
      <c r="EK105" s="159">
        <v>-509702.38840065361</v>
      </c>
      <c r="EL105" s="159">
        <v>-399832.91603220644</v>
      </c>
      <c r="EM105" s="159">
        <v>-633871.3559934306</v>
      </c>
      <c r="EN105" s="159">
        <v>-501083.29485733539</v>
      </c>
      <c r="EO105" s="159">
        <v>-1053159.8746330687</v>
      </c>
      <c r="EP105" s="159">
        <v>-989354.98915865168</v>
      </c>
      <c r="EQ105" s="159">
        <v>-438907.53512242105</v>
      </c>
      <c r="ER105" s="159">
        <v>-555121.15276778489</v>
      </c>
      <c r="ES105" s="159">
        <v>-1033767.7034965808</v>
      </c>
      <c r="ET105" s="159">
        <v>-685455.24139071943</v>
      </c>
      <c r="EU105" s="159">
        <v>-561574.28815985785</v>
      </c>
      <c r="EV105" s="159">
        <v>-1037013.8857552371</v>
      </c>
      <c r="EW105" s="159">
        <v>-691329.72111814527</v>
      </c>
      <c r="EX105" s="159">
        <v>-542309.36449354421</v>
      </c>
      <c r="EY105" s="159">
        <v>-859745.05463619484</v>
      </c>
      <c r="EZ105" s="159">
        <v>-679639.30005833728</v>
      </c>
      <c r="FA105" s="159">
        <v>-1428442.8305456347</v>
      </c>
      <c r="FB105" s="159">
        <v>-1341901.7142298701</v>
      </c>
    </row>
    <row r="106" spans="3:158" x14ac:dyDescent="0.25">
      <c r="C106" s="291" t="s">
        <v>24</v>
      </c>
      <c r="D106" s="1470">
        <f t="shared" ref="D106:L106" si="240">SUM(D101:D105)</f>
        <v>10555668.359999996</v>
      </c>
      <c r="E106" s="1470">
        <f t="shared" si="240"/>
        <v>18674405.869999997</v>
      </c>
      <c r="F106" s="1470">
        <f t="shared" si="240"/>
        <v>28887778.617401</v>
      </c>
      <c r="G106" s="1470">
        <f t="shared" si="240"/>
        <v>49340041.186968766</v>
      </c>
      <c r="H106" s="1470">
        <f t="shared" si="240"/>
        <v>74827910.679417253</v>
      </c>
      <c r="I106" s="1492">
        <f t="shared" si="240"/>
        <v>109833179.49558161</v>
      </c>
      <c r="J106" s="1492">
        <f t="shared" si="240"/>
        <v>156967856.0286496</v>
      </c>
      <c r="K106" s="1492">
        <f t="shared" si="240"/>
        <v>219081987.50791454</v>
      </c>
      <c r="L106" s="1492">
        <f t="shared" si="240"/>
        <v>299060739.67977148</v>
      </c>
      <c r="N106" s="1470">
        <f t="shared" ref="N106:AW106" si="241">SUM(N101:N105)</f>
        <v>6068787.0999999959</v>
      </c>
      <c r="O106" s="1470">
        <f t="shared" si="241"/>
        <v>7706621.929999995</v>
      </c>
      <c r="P106" s="1470">
        <f t="shared" si="241"/>
        <v>8919092.3899999969</v>
      </c>
      <c r="Q106" s="1470">
        <f t="shared" si="241"/>
        <v>10555668.359999996</v>
      </c>
      <c r="R106" s="1470">
        <f t="shared" si="241"/>
        <v>12060701.909999996</v>
      </c>
      <c r="S106" s="1470">
        <f t="shared" si="241"/>
        <v>13615801.069999995</v>
      </c>
      <c r="T106" s="1470">
        <f t="shared" si="241"/>
        <v>15801753.029999996</v>
      </c>
      <c r="U106" s="1470">
        <f t="shared" si="241"/>
        <v>18674405.869999997</v>
      </c>
      <c r="V106" s="1470">
        <f t="shared" si="241"/>
        <v>20642642.381428998</v>
      </c>
      <c r="W106" s="1470">
        <f t="shared" si="241"/>
        <v>23138299.835348997</v>
      </c>
      <c r="X106" s="1470">
        <f t="shared" si="241"/>
        <v>25084015.739708003</v>
      </c>
      <c r="Y106" s="1470">
        <f t="shared" si="241"/>
        <v>28887778.617401</v>
      </c>
      <c r="Z106" s="1470">
        <f t="shared" si="241"/>
        <v>31379245.637026995</v>
      </c>
      <c r="AA106" s="1470">
        <f t="shared" si="241"/>
        <v>34992812.363679998</v>
      </c>
      <c r="AB106" s="1470">
        <f t="shared" si="241"/>
        <v>40744874.185444362</v>
      </c>
      <c r="AC106" s="1470">
        <f t="shared" si="241"/>
        <v>49340041.186968759</v>
      </c>
      <c r="AD106" s="1470">
        <f t="shared" si="241"/>
        <v>53741521.324630715</v>
      </c>
      <c r="AE106" s="1470">
        <f t="shared" si="241"/>
        <v>59757083.203853764</v>
      </c>
      <c r="AF106" s="1470">
        <f t="shared" si="241"/>
        <v>65748708.573807195</v>
      </c>
      <c r="AG106" s="1470">
        <f t="shared" si="241"/>
        <v>74827910.679417238</v>
      </c>
      <c r="AH106" s="1470">
        <f t="shared" si="241"/>
        <v>81080907.583122879</v>
      </c>
      <c r="AI106" s="1470">
        <f t="shared" si="241"/>
        <v>89831509.044623822</v>
      </c>
      <c r="AJ106" s="1470">
        <f t="shared" si="241"/>
        <v>98068224.468453586</v>
      </c>
      <c r="AK106" s="1470">
        <f t="shared" si="241"/>
        <v>109833179.49558164</v>
      </c>
      <c r="AL106" s="1470">
        <f t="shared" si="241"/>
        <v>118242092.86624254</v>
      </c>
      <c r="AM106" s="1470">
        <f t="shared" si="241"/>
        <v>130032025.70328887</v>
      </c>
      <c r="AN106" s="1470">
        <f t="shared" si="241"/>
        <v>141131860.64881757</v>
      </c>
      <c r="AO106" s="1470">
        <f t="shared" si="241"/>
        <v>156967856.02864963</v>
      </c>
      <c r="AP106" s="1470">
        <f t="shared" si="241"/>
        <v>168035625.42319301</v>
      </c>
      <c r="AQ106" s="1470">
        <f t="shared" si="241"/>
        <v>183581483.45036966</v>
      </c>
      <c r="AR106" s="1470">
        <f t="shared" si="241"/>
        <v>198220252.60708174</v>
      </c>
      <c r="AS106" s="1470">
        <f t="shared" si="241"/>
        <v>219081987.50791463</v>
      </c>
      <c r="AT106" s="1470">
        <f t="shared" si="241"/>
        <v>233315067.17063913</v>
      </c>
      <c r="AU106" s="1470">
        <f t="shared" si="241"/>
        <v>253344075.7353512</v>
      </c>
      <c r="AV106" s="1470">
        <f t="shared" si="241"/>
        <v>272208184.21093541</v>
      </c>
      <c r="AW106" s="1470">
        <f t="shared" si="241"/>
        <v>299060739.67977148</v>
      </c>
      <c r="AX106" s="244"/>
      <c r="AY106" s="1472">
        <f t="shared" ref="AY106:CG106" si="242">AZ101</f>
        <v>5074709.0999999959</v>
      </c>
      <c r="AZ106" s="1472">
        <f t="shared" si="242"/>
        <v>5346709.0999999959</v>
      </c>
      <c r="BA106" s="1472">
        <f t="shared" si="242"/>
        <v>6068787.0999999959</v>
      </c>
      <c r="BB106" s="1472">
        <f t="shared" si="242"/>
        <v>6231783.5299999956</v>
      </c>
      <c r="BC106" s="1472">
        <f t="shared" si="242"/>
        <v>6849730.2099999953</v>
      </c>
      <c r="BD106" s="1472">
        <f t="shared" si="242"/>
        <v>7706621.929999995</v>
      </c>
      <c r="BE106" s="1472">
        <f t="shared" si="242"/>
        <v>7779171.929999995</v>
      </c>
      <c r="BF106" s="1472">
        <f t="shared" si="242"/>
        <v>8186725.389999995</v>
      </c>
      <c r="BG106" s="1472">
        <f t="shared" si="242"/>
        <v>8919092.389999995</v>
      </c>
      <c r="BH106" s="1472">
        <f t="shared" si="242"/>
        <v>9197587.0599999949</v>
      </c>
      <c r="BI106" s="1472">
        <f t="shared" si="242"/>
        <v>9776950.7299999949</v>
      </c>
      <c r="BJ106" s="1472">
        <f t="shared" si="242"/>
        <v>10555668.359999996</v>
      </c>
      <c r="BK106" s="1472">
        <f t="shared" si="242"/>
        <v>10774198.359999996</v>
      </c>
      <c r="BL106" s="1472">
        <f t="shared" si="242"/>
        <v>10947098.649999995</v>
      </c>
      <c r="BM106" s="1472">
        <f t="shared" si="242"/>
        <v>12060701.909999995</v>
      </c>
      <c r="BN106" s="1472">
        <f t="shared" si="242"/>
        <v>12271254.909999995</v>
      </c>
      <c r="BO106" s="1472">
        <f t="shared" si="242"/>
        <v>12799650.239999995</v>
      </c>
      <c r="BP106" s="1472">
        <f t="shared" si="242"/>
        <v>13615801.069999995</v>
      </c>
      <c r="BQ106" s="1472">
        <f t="shared" si="242"/>
        <v>13879047.069999995</v>
      </c>
      <c r="BR106" s="1472">
        <f t="shared" si="242"/>
        <v>14414018.739999995</v>
      </c>
      <c r="BS106" s="1472">
        <f t="shared" si="242"/>
        <v>15801753.029999996</v>
      </c>
      <c r="BT106" s="1472">
        <f t="shared" si="242"/>
        <v>15947304.889999995</v>
      </c>
      <c r="BU106" s="1472">
        <f t="shared" si="242"/>
        <v>17244547.859999996</v>
      </c>
      <c r="BV106" s="1472">
        <f t="shared" si="242"/>
        <v>18674405.869999997</v>
      </c>
      <c r="BW106" s="1472">
        <f t="shared" si="242"/>
        <v>18961735.869999997</v>
      </c>
      <c r="BX106" s="1472">
        <f t="shared" si="242"/>
        <v>19547087.723076999</v>
      </c>
      <c r="BY106" s="1472">
        <f t="shared" si="242"/>
        <v>20642642.381428998</v>
      </c>
      <c r="BZ106" s="1472">
        <f t="shared" si="242"/>
        <v>20995751.472527999</v>
      </c>
      <c r="CA106" s="1472">
        <f t="shared" si="242"/>
        <v>21784630.792528</v>
      </c>
      <c r="CB106" s="1472">
        <f t="shared" si="242"/>
        <v>23138299.835349001</v>
      </c>
      <c r="CC106" s="1472">
        <f t="shared" si="242"/>
        <v>23263139.635349002</v>
      </c>
      <c r="CD106" s="1472">
        <f t="shared" si="242"/>
        <v>24164920.294323001</v>
      </c>
      <c r="CE106" s="1472">
        <f t="shared" si="242"/>
        <v>25084015.739708003</v>
      </c>
      <c r="CF106" s="1472">
        <f t="shared" si="242"/>
        <v>25490667.029708002</v>
      </c>
      <c r="CG106" s="1472">
        <f t="shared" si="242"/>
        <v>26866988.353335001</v>
      </c>
      <c r="CH106" s="90">
        <v>28887778.617401</v>
      </c>
      <c r="CI106" s="1482">
        <f t="shared" ref="CI106:DN106" si="243">SUM(CI101:CI105)</f>
        <v>28971892.518340997</v>
      </c>
      <c r="CJ106" s="1482">
        <f t="shared" si="243"/>
        <v>29728600.298340995</v>
      </c>
      <c r="CK106" s="1482">
        <f t="shared" si="243"/>
        <v>31379245.637026995</v>
      </c>
      <c r="CL106" s="1482">
        <f t="shared" si="243"/>
        <v>32188740.697913997</v>
      </c>
      <c r="CM106" s="1482">
        <f t="shared" si="243"/>
        <v>33434777.457209997</v>
      </c>
      <c r="CN106" s="1482">
        <f t="shared" si="243"/>
        <v>34992812.36367999</v>
      </c>
      <c r="CO106" s="1482">
        <f t="shared" si="243"/>
        <v>35853286.862807676</v>
      </c>
      <c r="CP106" s="1482">
        <f t="shared" si="243"/>
        <v>37894689.312532693</v>
      </c>
      <c r="CQ106" s="1482">
        <f t="shared" si="243"/>
        <v>40744874.18544434</v>
      </c>
      <c r="CR106" s="1482">
        <f t="shared" si="243"/>
        <v>41611283.80096212</v>
      </c>
      <c r="CS106" s="1482">
        <f t="shared" si="243"/>
        <v>45034726.153222777</v>
      </c>
      <c r="CT106" s="1482">
        <f t="shared" si="243"/>
        <v>49340041.186968744</v>
      </c>
      <c r="CU106" s="1482">
        <f t="shared" si="243"/>
        <v>49856096.663869247</v>
      </c>
      <c r="CV106" s="1482">
        <f t="shared" si="243"/>
        <v>51147931.458070949</v>
      </c>
      <c r="CW106" s="1482">
        <f t="shared" si="243"/>
        <v>53741521.324630708</v>
      </c>
      <c r="CX106" s="1482">
        <f t="shared" si="243"/>
        <v>54673780.347991928</v>
      </c>
      <c r="CY106" s="1482">
        <f t="shared" si="243"/>
        <v>56803671.553757459</v>
      </c>
      <c r="CZ106" s="1482">
        <f t="shared" si="243"/>
        <v>59757083.203853764</v>
      </c>
      <c r="DA106" s="1482">
        <f t="shared" si="243"/>
        <v>60639511.62398053</v>
      </c>
      <c r="DB106" s="1482">
        <f t="shared" si="243"/>
        <v>62478765.232640624</v>
      </c>
      <c r="DC106" s="1482">
        <f t="shared" si="243"/>
        <v>65748708.573807195</v>
      </c>
      <c r="DD106" s="1482">
        <f t="shared" si="243"/>
        <v>67033302.936963975</v>
      </c>
      <c r="DE106" s="1482">
        <f t="shared" si="243"/>
        <v>70607874.816554829</v>
      </c>
      <c r="DF106" s="1482">
        <f t="shared" si="243"/>
        <v>74827910.679417253</v>
      </c>
      <c r="DG106" s="1482">
        <f t="shared" si="243"/>
        <v>75601443.434149012</v>
      </c>
      <c r="DH106" s="1482">
        <f t="shared" si="243"/>
        <v>77446825.306385309</v>
      </c>
      <c r="DI106" s="1482">
        <f t="shared" si="243"/>
        <v>81080907.583122909</v>
      </c>
      <c r="DJ106" s="1482">
        <f t="shared" si="243"/>
        <v>82512423.522983551</v>
      </c>
      <c r="DK106" s="1482">
        <f t="shared" si="243"/>
        <v>85609179.865157992</v>
      </c>
      <c r="DL106" s="1482">
        <f t="shared" si="243"/>
        <v>89831509.044623822</v>
      </c>
      <c r="DM106" s="1482">
        <f t="shared" si="243"/>
        <v>91031274.406125039</v>
      </c>
      <c r="DN106" s="1482">
        <f t="shared" si="243"/>
        <v>93563191.119196996</v>
      </c>
      <c r="DO106" s="1482">
        <f t="shared" ref="DO106:ET106" si="244">SUM(DO101:DO105)</f>
        <v>98068224.468453571</v>
      </c>
      <c r="DP106" s="1482">
        <f t="shared" si="244"/>
        <v>99590603.060266718</v>
      </c>
      <c r="DQ106" s="1482">
        <f t="shared" si="244"/>
        <v>104262806.85974224</v>
      </c>
      <c r="DR106" s="1482">
        <f t="shared" si="244"/>
        <v>109833179.49558167</v>
      </c>
      <c r="DS106" s="1482">
        <f t="shared" si="244"/>
        <v>110865842.29264003</v>
      </c>
      <c r="DT106" s="1482">
        <f t="shared" si="244"/>
        <v>113349221.09495972</v>
      </c>
      <c r="DU106" s="1482">
        <f t="shared" si="244"/>
        <v>118242092.86624253</v>
      </c>
      <c r="DV106" s="1482">
        <f t="shared" si="244"/>
        <v>120158264.04587741</v>
      </c>
      <c r="DW106" s="1482">
        <f t="shared" si="244"/>
        <v>124340542.61538176</v>
      </c>
      <c r="DX106" s="1482">
        <f t="shared" si="244"/>
        <v>130032025.70328888</v>
      </c>
      <c r="DY106" s="1482">
        <f t="shared" si="244"/>
        <v>131633281.47882189</v>
      </c>
      <c r="DZ106" s="1482">
        <f t="shared" si="244"/>
        <v>135049376.71657741</v>
      </c>
      <c r="EA106" s="1482">
        <f t="shared" si="244"/>
        <v>141131860.64881754</v>
      </c>
      <c r="EB106" s="1482">
        <f t="shared" si="244"/>
        <v>143171642.37923762</v>
      </c>
      <c r="EC106" s="1482">
        <f t="shared" si="244"/>
        <v>149458225.14778122</v>
      </c>
      <c r="ED106" s="1482">
        <f t="shared" si="244"/>
        <v>156967856.02864963</v>
      </c>
      <c r="EE106" s="1482">
        <f t="shared" si="244"/>
        <v>158317529.19131961</v>
      </c>
      <c r="EF106" s="1482">
        <f t="shared" si="244"/>
        <v>161588331.1542646</v>
      </c>
      <c r="EG106" s="1482">
        <f t="shared" si="244"/>
        <v>168035625.42319304</v>
      </c>
      <c r="EH106" s="1482">
        <f t="shared" si="244"/>
        <v>170546490.08989802</v>
      </c>
      <c r="EI106" s="1482">
        <f t="shared" si="244"/>
        <v>176073575.87894541</v>
      </c>
      <c r="EJ106" s="1482">
        <f t="shared" si="244"/>
        <v>183581483.45036966</v>
      </c>
      <c r="EK106" s="1482">
        <f t="shared" si="244"/>
        <v>185673759.38084555</v>
      </c>
      <c r="EL106" s="1482">
        <f t="shared" si="244"/>
        <v>190184107.64763668</v>
      </c>
      <c r="EM106" s="1482">
        <f t="shared" si="244"/>
        <v>198220252.60708174</v>
      </c>
      <c r="EN106" s="1482">
        <f t="shared" si="244"/>
        <v>200895597.50902846</v>
      </c>
      <c r="EO106" s="1482">
        <f t="shared" si="244"/>
        <v>209174352.33342203</v>
      </c>
      <c r="EP106" s="1482">
        <f t="shared" si="244"/>
        <v>219081987.5079146</v>
      </c>
      <c r="EQ106" s="1482">
        <f t="shared" si="244"/>
        <v>220805045.82391572</v>
      </c>
      <c r="ER106" s="1482">
        <f t="shared" si="244"/>
        <v>225014181.408591</v>
      </c>
      <c r="ES106" s="1482">
        <f t="shared" si="244"/>
        <v>233315067.1706391</v>
      </c>
      <c r="ET106" s="1482">
        <f t="shared" si="244"/>
        <v>236529185.64596099</v>
      </c>
      <c r="EU106" s="1482">
        <f t="shared" ref="EU106:FB106" si="245">SUM(EU101:EU105)</f>
        <v>243666671.714834</v>
      </c>
      <c r="EV106" s="1482">
        <f t="shared" si="245"/>
        <v>253344075.73535123</v>
      </c>
      <c r="EW106" s="1482">
        <f t="shared" si="245"/>
        <v>256014457.33449897</v>
      </c>
      <c r="EX106" s="1482">
        <f t="shared" si="245"/>
        <v>261833432.5582507</v>
      </c>
      <c r="EY106" s="1482">
        <f t="shared" si="245"/>
        <v>272208184.21093541</v>
      </c>
      <c r="EZ106" s="1482">
        <f t="shared" si="245"/>
        <v>275636189.49362934</v>
      </c>
      <c r="FA106" s="1482">
        <f t="shared" si="245"/>
        <v>286288430.31869084</v>
      </c>
      <c r="FB106" s="1482">
        <f t="shared" si="245"/>
        <v>299060739.67977154</v>
      </c>
    </row>
    <row r="107" spans="3:158" x14ac:dyDescent="0.25">
      <c r="C107" s="289"/>
      <c r="D107" s="244"/>
      <c r="E107" s="244"/>
      <c r="F107" s="244"/>
      <c r="G107" s="244"/>
      <c r="H107" s="244"/>
      <c r="I107" s="244"/>
      <c r="J107" s="244"/>
      <c r="K107" s="244"/>
      <c r="L107" s="244"/>
      <c r="M107" s="244"/>
      <c r="N107" s="244"/>
      <c r="O107" s="244"/>
      <c r="P107" s="244"/>
      <c r="Q107" s="244"/>
      <c r="R107" s="244"/>
      <c r="S107" s="244"/>
      <c r="T107" s="244"/>
      <c r="U107" s="244"/>
      <c r="V107" s="244"/>
      <c r="W107" s="244"/>
      <c r="X107" s="244"/>
      <c r="Y107" s="244"/>
      <c r="Z107" s="244"/>
      <c r="AA107" s="244"/>
      <c r="AB107" s="244"/>
      <c r="AC107" s="244"/>
      <c r="AD107" s="244"/>
      <c r="AE107" s="244"/>
      <c r="AF107" s="244"/>
      <c r="AG107" s="244"/>
      <c r="AH107" s="244"/>
      <c r="AI107" s="244"/>
      <c r="AJ107" s="244"/>
      <c r="AK107" s="244"/>
      <c r="AL107" s="244"/>
      <c r="AM107" s="244"/>
      <c r="AN107" s="244"/>
      <c r="AO107" s="244"/>
      <c r="AP107" s="244"/>
      <c r="AQ107" s="244"/>
      <c r="AR107" s="244"/>
      <c r="AS107" s="244"/>
      <c r="AT107" s="244"/>
      <c r="AU107" s="244"/>
      <c r="AV107" s="244"/>
      <c r="AW107" s="244"/>
      <c r="AX107" s="244"/>
      <c r="AY107" s="244"/>
      <c r="AZ107" s="244"/>
      <c r="BA107" s="244"/>
      <c r="BB107" s="244"/>
      <c r="BC107" s="244"/>
      <c r="BD107" s="244"/>
      <c r="BE107" s="244"/>
      <c r="BF107" s="244"/>
      <c r="BG107" s="244"/>
      <c r="BH107" s="244"/>
      <c r="BI107" s="244"/>
      <c r="BJ107" s="244"/>
      <c r="BK107" s="244"/>
      <c r="BL107" s="244"/>
      <c r="BM107" s="244"/>
      <c r="BN107" s="244"/>
      <c r="BO107" s="244"/>
      <c r="BP107" s="244"/>
      <c r="BQ107" s="244"/>
      <c r="BR107" s="244"/>
      <c r="BS107" s="244"/>
      <c r="BT107" s="244"/>
      <c r="BU107" s="244"/>
      <c r="BV107" s="244"/>
      <c r="BW107" s="244"/>
      <c r="BX107" s="244"/>
      <c r="BY107" s="244"/>
      <c r="BZ107" s="244"/>
      <c r="CA107" s="244"/>
      <c r="CB107" s="244"/>
      <c r="CC107" s="244"/>
      <c r="CD107" s="244"/>
      <c r="CE107" s="244"/>
      <c r="CF107" s="244"/>
      <c r="CG107" s="244"/>
      <c r="CH107" s="244"/>
    </row>
    <row r="108" spans="3:158" x14ac:dyDescent="0.25">
      <c r="C108" s="289" t="s">
        <v>622</v>
      </c>
      <c r="D108" s="1454">
        <f t="shared" ref="D108:L108" si="246">SUM(D104:D105)/D101+1</f>
        <v>0.91067880609610274</v>
      </c>
      <c r="E108" s="1454">
        <f t="shared" si="246"/>
        <v>0.89939768153155575</v>
      </c>
      <c r="F108" s="1454">
        <f t="shared" si="246"/>
        <v>0.92230171336637012</v>
      </c>
      <c r="G108" s="1454">
        <f t="shared" si="246"/>
        <v>0.92310209762177919</v>
      </c>
      <c r="H108" s="1454">
        <f t="shared" si="246"/>
        <v>0.92310209762177919</v>
      </c>
      <c r="I108" s="1454">
        <f t="shared" si="246"/>
        <v>0.9251020976217792</v>
      </c>
      <c r="J108" s="1454">
        <f t="shared" si="246"/>
        <v>0.9271020976217792</v>
      </c>
      <c r="K108" s="1454">
        <f t="shared" si="246"/>
        <v>0.9291020976217792</v>
      </c>
      <c r="L108" s="1454">
        <f t="shared" si="246"/>
        <v>0.9311020976217792</v>
      </c>
      <c r="M108" s="244"/>
      <c r="N108" s="413"/>
      <c r="O108" s="413"/>
      <c r="P108" s="413"/>
      <c r="Q108" s="1454">
        <f t="shared" ref="Q108:AW108" si="247">IFERROR(SUM(N104:Q105)/N101+1,"")</f>
        <v>0.91067880609610274</v>
      </c>
      <c r="R108" s="1454">
        <f t="shared" si="247"/>
        <v>0.88063962401976492</v>
      </c>
      <c r="S108" s="1454">
        <f t="shared" si="247"/>
        <v>0.88198607402037166</v>
      </c>
      <c r="T108" s="1454">
        <f t="shared" si="247"/>
        <v>0.8801277458232496</v>
      </c>
      <c r="U108" s="1454">
        <f t="shared" si="247"/>
        <v>0.89939768153155575</v>
      </c>
      <c r="V108" s="1454">
        <f t="shared" si="247"/>
        <v>0.91828792408981774</v>
      </c>
      <c r="W108" s="1454">
        <f t="shared" si="247"/>
        <v>0.92316646632675869</v>
      </c>
      <c r="X108" s="1454">
        <f t="shared" si="247"/>
        <v>0.91488315015134747</v>
      </c>
      <c r="Y108" s="1454">
        <f t="shared" si="247"/>
        <v>0.92230171336637012</v>
      </c>
      <c r="Z108" s="1454">
        <f t="shared" si="247"/>
        <v>0.91929531795315278</v>
      </c>
      <c r="AA108" s="1454">
        <f t="shared" si="247"/>
        <v>0.91580579325781675</v>
      </c>
      <c r="AB108" s="1454">
        <f t="shared" si="247"/>
        <v>0.92517553969912525</v>
      </c>
      <c r="AC108" s="1454">
        <f t="shared" si="247"/>
        <v>0.92310209762177919</v>
      </c>
      <c r="AD108" s="1454">
        <f t="shared" si="247"/>
        <v>0.91929346598864103</v>
      </c>
      <c r="AE108" s="1454">
        <f t="shared" si="247"/>
        <v>0.91870137580203981</v>
      </c>
      <c r="AF108" s="1454">
        <f t="shared" si="247"/>
        <v>0.92261353689172099</v>
      </c>
      <c r="AG108" s="1454">
        <f t="shared" si="247"/>
        <v>0.92310209762177919</v>
      </c>
      <c r="AH108" s="1454">
        <f t="shared" si="247"/>
        <v>0.92246902457798696</v>
      </c>
      <c r="AI108" s="1454">
        <f t="shared" si="247"/>
        <v>0.92325278676471878</v>
      </c>
      <c r="AJ108" s="1454">
        <f t="shared" si="247"/>
        <v>0.92439814471677106</v>
      </c>
      <c r="AK108" s="1454">
        <f t="shared" si="247"/>
        <v>0.9251020976217792</v>
      </c>
      <c r="AL108" s="1454">
        <f t="shared" si="247"/>
        <v>0.92478231446436943</v>
      </c>
      <c r="AM108" s="1454">
        <f t="shared" si="247"/>
        <v>0.92591194560478118</v>
      </c>
      <c r="AN108" s="1454">
        <f t="shared" si="247"/>
        <v>0.92693155101957625</v>
      </c>
      <c r="AO108" s="1454">
        <f t="shared" si="247"/>
        <v>0.9271020976217792</v>
      </c>
      <c r="AP108" s="1454">
        <f t="shared" si="247"/>
        <v>0.92685341981216629</v>
      </c>
      <c r="AQ108" s="1454">
        <f t="shared" si="247"/>
        <v>0.92792099595682831</v>
      </c>
      <c r="AR108" s="1454">
        <f t="shared" si="247"/>
        <v>0.92889094581223075</v>
      </c>
      <c r="AS108" s="1454">
        <f t="shared" si="247"/>
        <v>0.9291020976217792</v>
      </c>
      <c r="AT108" s="1454">
        <f t="shared" si="247"/>
        <v>0.92891597490440969</v>
      </c>
      <c r="AU108" s="1454">
        <f t="shared" si="247"/>
        <v>0.92992912210233847</v>
      </c>
      <c r="AV108" s="1454">
        <f t="shared" si="247"/>
        <v>0.93085437030703178</v>
      </c>
      <c r="AW108" s="1454">
        <f t="shared" si="247"/>
        <v>0.9311020976217792</v>
      </c>
      <c r="AX108" s="244"/>
      <c r="AY108" s="1454">
        <f t="shared" ref="AY108:CD108" si="248">IFERROR(SUM(AY104:AY105)/AY101*12+1,"")</f>
        <v>0.90710618374198815</v>
      </c>
      <c r="AZ108" s="1454">
        <f t="shared" si="248"/>
        <v>1</v>
      </c>
      <c r="BA108" s="1454">
        <f t="shared" si="248"/>
        <v>0.97306754541779727</v>
      </c>
      <c r="BB108" s="1454">
        <f t="shared" si="248"/>
        <v>0.95847605199398078</v>
      </c>
      <c r="BC108" s="1454">
        <f t="shared" si="248"/>
        <v>1</v>
      </c>
      <c r="BD108" s="1454">
        <f t="shared" si="248"/>
        <v>0.96836079767293493</v>
      </c>
      <c r="BE108" s="1454">
        <f t="shared" si="248"/>
        <v>0.99649651945492546</v>
      </c>
      <c r="BF108" s="1454">
        <f t="shared" si="248"/>
        <v>0.99537225808557239</v>
      </c>
      <c r="BG108" s="1454">
        <f t="shared" si="248"/>
        <v>0.8458724410688947</v>
      </c>
      <c r="BH108" s="1454">
        <f t="shared" si="248"/>
        <v>0.98183671690836694</v>
      </c>
      <c r="BI108" s="1454">
        <f t="shared" si="248"/>
        <v>0.73879714491117832</v>
      </c>
      <c r="BJ108" s="1454">
        <f t="shared" si="248"/>
        <v>0.96293322836454553</v>
      </c>
      <c r="BK108" s="1454">
        <f t="shared" si="248"/>
        <v>0.96362144139966144</v>
      </c>
      <c r="BL108" s="1454">
        <f t="shared" si="248"/>
        <v>0.93539041172804249</v>
      </c>
      <c r="BM108" s="1454">
        <f t="shared" si="248"/>
        <v>0.73582041301874979</v>
      </c>
      <c r="BN108" s="1454">
        <f t="shared" si="248"/>
        <v>0.89743084529978234</v>
      </c>
      <c r="BO108" s="1454">
        <f t="shared" si="248"/>
        <v>0.91180559706912645</v>
      </c>
      <c r="BP108" s="1454">
        <f t="shared" si="248"/>
        <v>0.97103045840727598</v>
      </c>
      <c r="BQ108" s="1454">
        <f t="shared" si="248"/>
        <v>0.98860970432788497</v>
      </c>
      <c r="BR108" s="1454">
        <f t="shared" si="248"/>
        <v>0.87883404447593672</v>
      </c>
      <c r="BS108" s="1454">
        <f t="shared" si="248"/>
        <v>0.90259482623650311</v>
      </c>
      <c r="BT108" s="1454">
        <f t="shared" si="248"/>
        <v>0.93659007338630706</v>
      </c>
      <c r="BU108" s="1454">
        <f t="shared" si="248"/>
        <v>0.91342737788466521</v>
      </c>
      <c r="BV108" s="1454">
        <f t="shared" si="248"/>
        <v>0.97346848385272766</v>
      </c>
      <c r="BW108" s="1454">
        <f t="shared" si="248"/>
        <v>0.97270274601780415</v>
      </c>
      <c r="BX108" s="1454">
        <f t="shared" si="248"/>
        <v>0.97157222293910162</v>
      </c>
      <c r="BY108" s="1454">
        <f t="shared" si="248"/>
        <v>0.8973616986620766</v>
      </c>
      <c r="BZ108" s="1454">
        <f t="shared" si="248"/>
        <v>0.91599447551539881</v>
      </c>
      <c r="CA108" s="1454">
        <f t="shared" si="248"/>
        <v>0.97845964215228221</v>
      </c>
      <c r="CB108" s="1454">
        <f t="shared" si="248"/>
        <v>0.94346925354262157</v>
      </c>
      <c r="CC108" s="1454">
        <f t="shared" si="248"/>
        <v>0.82626726991156363</v>
      </c>
      <c r="CD108" s="1454">
        <f t="shared" si="248"/>
        <v>0.94716878378134006</v>
      </c>
      <c r="CE108" s="1454">
        <f t="shared" ref="CE108:DJ108" si="249">IFERROR(SUM(CE104:CE105)/CE101*12+1,"")</f>
        <v>0.93469872936552933</v>
      </c>
      <c r="CF108" s="1454">
        <f t="shared" si="249"/>
        <v>0.95929455591978174</v>
      </c>
      <c r="CG108" s="1454">
        <f t="shared" si="249"/>
        <v>0.95076182359067996</v>
      </c>
      <c r="CH108" s="1454">
        <f t="shared" si="249"/>
        <v>0.93167716396571321</v>
      </c>
      <c r="CI108" s="1454">
        <f t="shared" si="249"/>
        <v>0.91625045345152722</v>
      </c>
      <c r="CJ108" s="1454">
        <f t="shared" si="249"/>
        <v>0.95682021396399841</v>
      </c>
      <c r="CK108" s="1454">
        <f t="shared" si="249"/>
        <v>0.93391535490119815</v>
      </c>
      <c r="CL108" s="1454">
        <f t="shared" si="249"/>
        <v>0.91309542518822751</v>
      </c>
      <c r="CM108" s="1454">
        <f t="shared" si="249"/>
        <v>0.9181664164895178</v>
      </c>
      <c r="CN108" s="1454">
        <f t="shared" si="249"/>
        <v>0.95685425566698612</v>
      </c>
      <c r="CO108" s="1454">
        <f t="shared" si="249"/>
        <v>0.97359831710964106</v>
      </c>
      <c r="CP108" s="1454">
        <f t="shared" si="249"/>
        <v>0.95112996933853566</v>
      </c>
      <c r="CQ108" s="1454">
        <f t="shared" si="249"/>
        <v>0.91301352947179282</v>
      </c>
      <c r="CR108" s="1454">
        <f t="shared" si="249"/>
        <v>0.98179209339535412</v>
      </c>
      <c r="CS108" s="1454">
        <f t="shared" si="249"/>
        <v>0.91651618369938836</v>
      </c>
      <c r="CT108" s="1454">
        <f t="shared" si="249"/>
        <v>0.91050926275567223</v>
      </c>
      <c r="CU108" s="1454">
        <f t="shared" si="249"/>
        <v>0.95890367468406312</v>
      </c>
      <c r="CV108" s="1454">
        <f t="shared" si="249"/>
        <v>0.94856023639664255</v>
      </c>
      <c r="CW108" s="1454">
        <f t="shared" si="249"/>
        <v>0.90662634761389105</v>
      </c>
      <c r="CX108" s="1454">
        <f t="shared" si="249"/>
        <v>0.9410751335738623</v>
      </c>
      <c r="CY108" s="1454">
        <f t="shared" si="249"/>
        <v>0.95254766660517542</v>
      </c>
      <c r="CZ108" s="1454">
        <f t="shared" si="249"/>
        <v>0.91565921759837243</v>
      </c>
      <c r="DA108" s="1454">
        <f t="shared" si="249"/>
        <v>0.94655275812224404</v>
      </c>
      <c r="DB108" s="1454">
        <f t="shared" si="249"/>
        <v>0.95868375250408033</v>
      </c>
      <c r="DC108" s="1454">
        <f t="shared" si="249"/>
        <v>0.9364278777586249</v>
      </c>
      <c r="DD108" s="1454">
        <f t="shared" si="249"/>
        <v>0.95224479447615817</v>
      </c>
      <c r="DE108" s="1454">
        <f t="shared" si="249"/>
        <v>0.901553176856003</v>
      </c>
      <c r="DF108" s="1454">
        <f t="shared" si="249"/>
        <v>0.91219949193619376</v>
      </c>
      <c r="DG108" s="1454">
        <f t="shared" si="249"/>
        <v>0.95997252894523155</v>
      </c>
      <c r="DH108" s="1454">
        <f t="shared" si="249"/>
        <v>0.94989207446084745</v>
      </c>
      <c r="DI108" s="1454">
        <f t="shared" si="249"/>
        <v>0.90891055109481433</v>
      </c>
      <c r="DJ108" s="1454">
        <f t="shared" si="249"/>
        <v>0.94230884487009159</v>
      </c>
      <c r="DK108" s="1454">
        <f t="shared" ref="DK108:EP108" si="250">IFERROR(SUM(DK104:DK105)/DK101*12+1,"")</f>
        <v>0.95355525246067352</v>
      </c>
      <c r="DL108" s="1454">
        <f t="shared" si="250"/>
        <v>0.91733665605607584</v>
      </c>
      <c r="DM108" s="1454">
        <f t="shared" si="250"/>
        <v>0.94748235208160714</v>
      </c>
      <c r="DN108" s="1454">
        <f t="shared" si="250"/>
        <v>0.9593458190802836</v>
      </c>
      <c r="DO108" s="1454">
        <f t="shared" si="250"/>
        <v>0.93729337956381709</v>
      </c>
      <c r="DP108" s="1454">
        <f t="shared" si="250"/>
        <v>0.95270677764379375</v>
      </c>
      <c r="DQ108" s="1454">
        <f t="shared" si="250"/>
        <v>0.90212016334756207</v>
      </c>
      <c r="DR108" s="1454">
        <f t="shared" si="250"/>
        <v>0.91217057697493675</v>
      </c>
      <c r="DS108" s="1454">
        <f t="shared" si="250"/>
        <v>0.96104138320639998</v>
      </c>
      <c r="DT108" s="1454">
        <f t="shared" si="250"/>
        <v>0.95118491345269607</v>
      </c>
      <c r="DU108" s="1454">
        <f t="shared" si="250"/>
        <v>0.91108634402562583</v>
      </c>
      <c r="DV108" s="1454">
        <f t="shared" si="250"/>
        <v>0.94348404876345482</v>
      </c>
      <c r="DW108" s="1454">
        <f t="shared" si="250"/>
        <v>0.95443644327517518</v>
      </c>
      <c r="DX108" s="1454">
        <f t="shared" si="250"/>
        <v>0.91869151639965418</v>
      </c>
      <c r="DY108" s="1454">
        <f t="shared" si="250"/>
        <v>0.94816788290812148</v>
      </c>
      <c r="DZ108" s="1454">
        <f t="shared" si="250"/>
        <v>0.95983521523301407</v>
      </c>
      <c r="EA108" s="1454">
        <f t="shared" si="250"/>
        <v>0.93793580162697443</v>
      </c>
      <c r="EB108" s="1454">
        <f t="shared" si="250"/>
        <v>0.95305196011231041</v>
      </c>
      <c r="EC108" s="1454">
        <f t="shared" si="250"/>
        <v>0.90273201820398841</v>
      </c>
      <c r="ED108" s="1454">
        <f t="shared" si="250"/>
        <v>0.91246838625808446</v>
      </c>
      <c r="EE108" s="1454">
        <f t="shared" si="250"/>
        <v>0.96211023746756841</v>
      </c>
      <c r="EF108" s="1454">
        <f t="shared" si="250"/>
        <v>0.95248635527585768</v>
      </c>
      <c r="EG108" s="1454">
        <f t="shared" si="250"/>
        <v>0.91330929449333209</v>
      </c>
      <c r="EH108" s="1454">
        <f t="shared" si="250"/>
        <v>0.94472391093744046</v>
      </c>
      <c r="EI108" s="1454">
        <f t="shared" si="250"/>
        <v>0.95538057160285472</v>
      </c>
      <c r="EJ108" s="1454">
        <f t="shared" si="250"/>
        <v>0.92019135078804837</v>
      </c>
      <c r="EK108" s="1454">
        <f t="shared" si="250"/>
        <v>0.94897113294055768</v>
      </c>
      <c r="EL108" s="1454">
        <f t="shared" si="250"/>
        <v>0.96042179022393059</v>
      </c>
      <c r="EM108" s="1454">
        <f t="shared" si="250"/>
        <v>0.93874309698999348</v>
      </c>
      <c r="EN108" s="1454">
        <f t="shared" si="250"/>
        <v>0.95353884181486237</v>
      </c>
      <c r="EO108" s="1454">
        <f t="shared" si="250"/>
        <v>0.90364993387069326</v>
      </c>
      <c r="EP108" s="1454">
        <f t="shared" si="250"/>
        <v>0.91306956601952871</v>
      </c>
      <c r="EQ108" s="1454">
        <f t="shared" ref="EQ108:FB108" si="251">IFERROR(SUM(EQ104:EQ105)/EQ101*12+1,"")</f>
        <v>0.96317909172873684</v>
      </c>
      <c r="ER108" s="1454">
        <f t="shared" si="251"/>
        <v>0.95379309124006528</v>
      </c>
      <c r="ES108" s="1454">
        <f t="shared" si="251"/>
        <v>0.91556136533369759</v>
      </c>
      <c r="ET108" s="1454">
        <f t="shared" si="251"/>
        <v>0.94600364445874119</v>
      </c>
      <c r="EU108" s="1454">
        <f t="shared" si="251"/>
        <v>0.95636342947939545</v>
      </c>
      <c r="EV108" s="1454">
        <f t="shared" si="251"/>
        <v>0.92178022309102581</v>
      </c>
      <c r="EW108" s="1454">
        <f t="shared" si="251"/>
        <v>0.94984634276104263</v>
      </c>
      <c r="EX108" s="1454">
        <f t="shared" si="251"/>
        <v>0.96106763867186451</v>
      </c>
      <c r="EY108" s="1454">
        <f t="shared" si="251"/>
        <v>0.93965063293302653</v>
      </c>
      <c r="EZ108" s="1454">
        <f t="shared" si="251"/>
        <v>0.95411133345945365</v>
      </c>
      <c r="FA108" s="1454">
        <f t="shared" si="251"/>
        <v>0.90475224266945098</v>
      </c>
      <c r="FB108" s="1454">
        <f t="shared" si="251"/>
        <v>0.9138520310550684</v>
      </c>
    </row>
    <row r="109" spans="3:158" x14ac:dyDescent="0.25">
      <c r="D109" s="244"/>
      <c r="E109" s="244"/>
      <c r="F109" s="244"/>
      <c r="G109" s="244"/>
      <c r="H109" s="244"/>
      <c r="I109" s="244"/>
      <c r="J109" s="244"/>
      <c r="K109" s="244"/>
      <c r="L109" s="244"/>
      <c r="M109" s="244"/>
      <c r="N109" s="244"/>
      <c r="O109" s="244"/>
      <c r="P109" s="244"/>
      <c r="Q109" s="244"/>
      <c r="R109" s="244"/>
      <c r="S109" s="244"/>
      <c r="T109" s="244"/>
      <c r="U109" s="244"/>
      <c r="V109" s="244"/>
      <c r="W109" s="244"/>
      <c r="X109" s="244"/>
      <c r="Y109" s="244"/>
      <c r="Z109" s="244"/>
      <c r="AA109" s="244"/>
      <c r="AB109" s="244"/>
      <c r="AC109" s="244"/>
      <c r="AD109" s="244"/>
      <c r="AE109" s="244"/>
      <c r="AF109" s="244"/>
      <c r="AG109" s="244"/>
      <c r="AH109" s="244"/>
      <c r="AI109" s="244"/>
      <c r="AJ109" s="244"/>
      <c r="AK109" s="244"/>
      <c r="AL109" s="244"/>
      <c r="AM109" s="244"/>
      <c r="AN109" s="244"/>
      <c r="AO109" s="244"/>
      <c r="AP109" s="244"/>
      <c r="AQ109" s="244"/>
      <c r="AR109" s="244"/>
      <c r="AS109" s="244"/>
      <c r="AT109" s="244"/>
      <c r="AU109" s="244"/>
      <c r="AV109" s="244"/>
      <c r="AW109" s="244"/>
      <c r="AX109" s="244"/>
      <c r="AY109" s="244"/>
      <c r="AZ109" s="244"/>
      <c r="BA109" s="244"/>
      <c r="BB109" s="244"/>
      <c r="BC109" s="244"/>
      <c r="BD109" s="244"/>
      <c r="BE109" s="244"/>
      <c r="BF109" s="244"/>
      <c r="BG109" s="244"/>
      <c r="BH109" s="244"/>
      <c r="BI109" s="244"/>
      <c r="BJ109" s="244"/>
      <c r="BK109" s="244"/>
      <c r="BL109" s="244"/>
      <c r="BM109" s="244"/>
      <c r="BN109" s="244"/>
      <c r="BO109" s="244"/>
      <c r="BP109" s="244"/>
      <c r="BQ109" s="244"/>
      <c r="BR109" s="244"/>
      <c r="BS109" s="244"/>
      <c r="BT109" s="244"/>
      <c r="BU109" s="244"/>
      <c r="BV109" s="244"/>
      <c r="BW109" s="244"/>
      <c r="BX109" s="244"/>
      <c r="BY109" s="244"/>
      <c r="BZ109" s="244"/>
      <c r="CA109" s="244"/>
      <c r="CB109" s="244"/>
      <c r="CC109" s="244"/>
      <c r="CD109" s="244"/>
      <c r="CE109" s="244"/>
      <c r="CF109" s="244"/>
      <c r="CG109" s="244"/>
      <c r="CH109" s="244"/>
    </row>
    <row r="110" spans="3:158" x14ac:dyDescent="0.25">
      <c r="C110" s="1" t="s">
        <v>313</v>
      </c>
      <c r="D110" s="244"/>
      <c r="E110" s="244"/>
      <c r="F110" s="244"/>
      <c r="G110" s="244"/>
      <c r="H110" s="244"/>
      <c r="I110" s="244"/>
      <c r="J110" s="244"/>
      <c r="K110" s="244"/>
      <c r="L110" s="244"/>
      <c r="M110" s="244"/>
      <c r="N110" s="244"/>
      <c r="O110" s="244"/>
      <c r="P110" s="244"/>
      <c r="Q110" s="244"/>
      <c r="R110" s="244"/>
      <c r="S110" s="244"/>
      <c r="T110" s="244"/>
      <c r="U110" s="244"/>
      <c r="V110" s="244"/>
      <c r="W110" s="244"/>
      <c r="X110" s="244"/>
      <c r="Y110" s="244"/>
      <c r="Z110" s="244"/>
      <c r="AA110" s="244"/>
      <c r="AB110" s="244"/>
      <c r="AC110" s="244"/>
      <c r="AD110" s="244"/>
      <c r="AE110" s="244"/>
      <c r="AF110" s="244"/>
      <c r="AG110" s="244"/>
      <c r="AH110" s="244"/>
      <c r="AI110" s="244"/>
      <c r="AJ110" s="244"/>
      <c r="AK110" s="244"/>
      <c r="AL110" s="244"/>
      <c r="AM110" s="244"/>
      <c r="AN110" s="244"/>
      <c r="AO110" s="244"/>
      <c r="AP110" s="244"/>
      <c r="AQ110" s="244"/>
      <c r="AR110" s="244"/>
      <c r="AS110" s="244"/>
      <c r="AT110" s="244"/>
      <c r="AU110" s="244"/>
      <c r="AV110" s="244"/>
      <c r="AW110" s="244"/>
      <c r="AX110" s="244"/>
      <c r="AY110" s="244"/>
      <c r="AZ110" s="244"/>
      <c r="BA110" s="244"/>
      <c r="BB110" s="244"/>
      <c r="BC110" s="244"/>
      <c r="BD110" s="244"/>
      <c r="BE110" s="244"/>
      <c r="BF110" s="244"/>
      <c r="BG110" s="244"/>
      <c r="BH110" s="244"/>
      <c r="BI110" s="244"/>
      <c r="BJ110" s="244"/>
      <c r="BK110" s="244"/>
      <c r="BL110" s="244"/>
      <c r="BM110" s="244"/>
      <c r="BN110" s="244"/>
      <c r="BO110" s="244"/>
      <c r="BP110" s="244"/>
      <c r="BQ110" s="244"/>
      <c r="BR110" s="244"/>
      <c r="BS110" s="244"/>
      <c r="BT110" s="244"/>
      <c r="BU110" s="244"/>
      <c r="BV110" s="244"/>
      <c r="BW110" s="244"/>
      <c r="BX110" s="244"/>
      <c r="BY110" s="244"/>
      <c r="BZ110" s="244"/>
      <c r="CA110" s="244"/>
      <c r="CB110" s="244"/>
      <c r="CC110" s="244"/>
      <c r="CD110" s="244"/>
      <c r="CE110" s="244"/>
      <c r="CF110" s="244"/>
      <c r="CG110" s="244"/>
      <c r="CH110" s="244"/>
    </row>
    <row r="111" spans="3:158" x14ac:dyDescent="0.25">
      <c r="C111" s="2" t="s">
        <v>18</v>
      </c>
      <c r="D111" s="1470">
        <f>AY111</f>
        <v>4609482.6899999948</v>
      </c>
      <c r="E111" s="1470">
        <f>BK111</f>
        <v>10865249.159999995</v>
      </c>
      <c r="F111" s="1470">
        <f>BW111</f>
        <v>19631243.769999996</v>
      </c>
      <c r="G111" s="1470">
        <f>CI111</f>
        <v>28090543.643297002</v>
      </c>
      <c r="H111" s="1492">
        <f>G116</f>
        <v>49098122.933179937</v>
      </c>
      <c r="I111" s="1492">
        <f>H116</f>
        <v>80902480.959456056</v>
      </c>
      <c r="J111" s="1492">
        <f>I116</f>
        <v>132701050.62038198</v>
      </c>
      <c r="K111" s="1492">
        <f>J116</f>
        <v>214796238.54559654</v>
      </c>
      <c r="L111" s="1492">
        <f>K116</f>
        <v>341635847.70133883</v>
      </c>
      <c r="N111" s="1470">
        <f>AY111</f>
        <v>4609482.6899999948</v>
      </c>
      <c r="O111" s="1470">
        <f>BB111</f>
        <v>5686425.1899999948</v>
      </c>
      <c r="P111" s="1470">
        <f>BE111</f>
        <v>6943994.1599999946</v>
      </c>
      <c r="Q111" s="1470">
        <f>BH111</f>
        <v>8294377.6599999946</v>
      </c>
      <c r="R111" s="1470">
        <f>BK111</f>
        <v>10865249.159999995</v>
      </c>
      <c r="S111" s="1470">
        <f>BN111</f>
        <v>12445981.389999995</v>
      </c>
      <c r="T111" s="1470">
        <f>BQ111</f>
        <v>15558122.719999995</v>
      </c>
      <c r="U111" s="1470">
        <f>BT111</f>
        <v>17072812.309999995</v>
      </c>
      <c r="V111" s="1470">
        <f>BW111</f>
        <v>19631243.769999996</v>
      </c>
      <c r="W111" s="1470">
        <f>BZ111</f>
        <v>21040021.579999998</v>
      </c>
      <c r="X111" s="1470">
        <f>CC111</f>
        <v>22871812.979231</v>
      </c>
      <c r="Y111" s="1470">
        <f>CF111</f>
        <v>25843471.309231002</v>
      </c>
      <c r="Z111" s="1470">
        <f>CI111</f>
        <v>28090543.643297002</v>
      </c>
      <c r="AA111" s="1470">
        <f>CL111</f>
        <v>30458286.163297005</v>
      </c>
      <c r="AB111" s="1470">
        <f>CO111</f>
        <v>35584449.678591006</v>
      </c>
      <c r="AC111" s="1470">
        <f>CR111</f>
        <v>41600461.322165601</v>
      </c>
      <c r="AD111" s="1470">
        <f>CU111</f>
        <v>49098122.933179945</v>
      </c>
      <c r="AE111" s="1470">
        <f>CX111</f>
        <v>54667316.447311237</v>
      </c>
      <c r="AF111" s="1470">
        <f>DA111</f>
        <v>62163773.472850062</v>
      </c>
      <c r="AG111" s="1470">
        <f>DD111</f>
        <v>69587545.307203338</v>
      </c>
      <c r="AH111" s="1470">
        <f>DG111</f>
        <v>80902480.959456101</v>
      </c>
      <c r="AI111" s="1470">
        <f>DJ111</f>
        <v>90271636.252222255</v>
      </c>
      <c r="AJ111" s="1470">
        <f>DM111</f>
        <v>103142067.16063702</v>
      </c>
      <c r="AK111" s="1470">
        <f>DP111</f>
        <v>115232068.32400943</v>
      </c>
      <c r="AL111" s="1470">
        <f>DS111</f>
        <v>132701050.62038209</v>
      </c>
      <c r="AM111" s="1470">
        <f>DV111</f>
        <v>147548967.54255262</v>
      </c>
      <c r="AN111" s="1470">
        <f>DY111</f>
        <v>167948022.80804917</v>
      </c>
      <c r="AO111" s="1470">
        <f>EB111</f>
        <v>187110385.35322067</v>
      </c>
      <c r="AP111" s="1470">
        <f>EE111</f>
        <v>214796238.54559666</v>
      </c>
      <c r="AQ111" s="1470">
        <f>EH111</f>
        <v>237732615.79323491</v>
      </c>
      <c r="AR111" s="1470">
        <f>EK111</f>
        <v>269252551.52859926</v>
      </c>
      <c r="AS111" s="1470">
        <f>EN111</f>
        <v>298862466.32881111</v>
      </c>
      <c r="AT111" s="1470">
        <f>EQ111</f>
        <v>341635847.70133901</v>
      </c>
      <c r="AU111" s="1470">
        <f>ET111</f>
        <v>376212252.34287906</v>
      </c>
      <c r="AV111" s="1470">
        <f>EW111</f>
        <v>423745084.96243131</v>
      </c>
      <c r="AW111" s="1470">
        <f>EZ111</f>
        <v>468399304.08153641</v>
      </c>
      <c r="AX111" s="244"/>
      <c r="AY111" s="90">
        <v>4609482.6899999948</v>
      </c>
      <c r="AZ111" s="90">
        <v>4617282.6899999948</v>
      </c>
      <c r="BA111" s="90">
        <v>4939098.5199999949</v>
      </c>
      <c r="BB111" s="90">
        <v>5686425.1899999948</v>
      </c>
      <c r="BC111" s="90">
        <v>5959490.1899999948</v>
      </c>
      <c r="BD111" s="90">
        <v>6514207.1599999946</v>
      </c>
      <c r="BE111" s="90">
        <v>6943994.1599999946</v>
      </c>
      <c r="BF111" s="90">
        <v>7267144.1599999946</v>
      </c>
      <c r="BG111" s="90">
        <v>7482226.6599999946</v>
      </c>
      <c r="BH111" s="90">
        <v>8294377.6599999946</v>
      </c>
      <c r="BI111" s="90">
        <v>8606963.1599999946</v>
      </c>
      <c r="BJ111" s="90">
        <v>9926369.1599999946</v>
      </c>
      <c r="BK111" s="90">
        <v>10865249.159999995</v>
      </c>
      <c r="BL111" s="90">
        <v>11008399.159999995</v>
      </c>
      <c r="BM111" s="90">
        <v>11455280.159999995</v>
      </c>
      <c r="BN111" s="90">
        <v>12445981.389999995</v>
      </c>
      <c r="BO111" s="90">
        <v>12832526.619999995</v>
      </c>
      <c r="BP111" s="90">
        <v>14533524.479999995</v>
      </c>
      <c r="BQ111" s="90">
        <v>15558122.719999995</v>
      </c>
      <c r="BR111" s="90">
        <v>16054122.949999996</v>
      </c>
      <c r="BS111" s="90">
        <v>16245183.949999996</v>
      </c>
      <c r="BT111" s="90">
        <v>17072812.309999995</v>
      </c>
      <c r="BU111" s="90">
        <v>17127012.309999995</v>
      </c>
      <c r="BV111" s="90">
        <v>18041744.309999995</v>
      </c>
      <c r="BW111" s="90">
        <v>19631243.769999996</v>
      </c>
      <c r="BX111" s="90">
        <v>20115018.409999996</v>
      </c>
      <c r="BY111" s="90">
        <v>20717725.409999996</v>
      </c>
      <c r="BZ111" s="90">
        <v>21040021.579999998</v>
      </c>
      <c r="CA111" s="90">
        <v>21575744.59</v>
      </c>
      <c r="CB111" s="90">
        <v>21654769.419231001</v>
      </c>
      <c r="CC111" s="90">
        <v>22871812.979231</v>
      </c>
      <c r="CD111" s="90">
        <v>22937247.909231</v>
      </c>
      <c r="CE111" s="90">
        <v>24426456.399231002</v>
      </c>
      <c r="CF111" s="90">
        <v>25843471.309231002</v>
      </c>
      <c r="CG111" s="90">
        <v>26160902.249011002</v>
      </c>
      <c r="CH111" s="90">
        <v>26939608.743297003</v>
      </c>
      <c r="CI111" s="437">
        <v>28090543.643297002</v>
      </c>
      <c r="CJ111" s="437">
        <v>28619658.653297003</v>
      </c>
      <c r="CK111" s="437">
        <v>28816822.573297005</v>
      </c>
      <c r="CL111" s="437">
        <v>30458286.163297005</v>
      </c>
      <c r="CM111" s="437">
        <v>31194481.953297004</v>
      </c>
      <c r="CN111" s="437">
        <v>32385719.258591004</v>
      </c>
      <c r="CO111" s="437">
        <v>35584449.678591006</v>
      </c>
      <c r="CP111" s="437">
        <v>36489115.671492666</v>
      </c>
      <c r="CQ111" s="437">
        <v>38602144.282325298</v>
      </c>
      <c r="CR111" s="437">
        <v>41600461.322165601</v>
      </c>
      <c r="CS111" s="437">
        <v>42335836.931085579</v>
      </c>
      <c r="CT111" s="437">
        <v>45309046.94377701</v>
      </c>
      <c r="CU111" s="437">
        <v>49098122.933179945</v>
      </c>
      <c r="CV111" s="437">
        <v>49798566.910612375</v>
      </c>
      <c r="CW111" s="437">
        <v>51423675.709855035</v>
      </c>
      <c r="CX111" s="437">
        <v>54667316.447311237</v>
      </c>
      <c r="CY111" s="437">
        <v>55907317.123556599</v>
      </c>
      <c r="CZ111" s="437">
        <v>58503211.214234047</v>
      </c>
      <c r="DA111" s="437">
        <v>62163773.472850062</v>
      </c>
      <c r="DB111" s="437">
        <v>63347528.637980618</v>
      </c>
      <c r="DC111" s="437">
        <v>65602735.946551651</v>
      </c>
      <c r="DD111" s="437">
        <v>69587545.307203338</v>
      </c>
      <c r="DE111" s="437">
        <v>71233670.058963597</v>
      </c>
      <c r="DF111" s="437">
        <v>75705029.859626248</v>
      </c>
      <c r="DG111" s="437">
        <v>80902480.959456101</v>
      </c>
      <c r="DH111" s="437">
        <v>82143353.032328248</v>
      </c>
      <c r="DI111" s="437">
        <v>84889518.648467451</v>
      </c>
      <c r="DJ111" s="437">
        <v>90271636.252222255</v>
      </c>
      <c r="DK111" s="437">
        <v>92512831.926995322</v>
      </c>
      <c r="DL111" s="437">
        <v>96960169.15582867</v>
      </c>
      <c r="DM111" s="437">
        <v>103142067.16063702</v>
      </c>
      <c r="DN111" s="437">
        <v>105071288.29701543</v>
      </c>
      <c r="DO111" s="437">
        <v>108743641.25369404</v>
      </c>
      <c r="DP111" s="437">
        <v>115232068.32400943</v>
      </c>
      <c r="DQ111" s="437">
        <v>117594051.20971507</v>
      </c>
      <c r="DR111" s="437">
        <v>124556888.01750888</v>
      </c>
      <c r="DS111" s="437">
        <v>132701050.62038209</v>
      </c>
      <c r="DT111" s="437">
        <v>134666714.73970696</v>
      </c>
      <c r="DU111" s="437">
        <v>139018934.72779685</v>
      </c>
      <c r="DV111" s="437">
        <v>147548967.54255262</v>
      </c>
      <c r="DW111" s="437">
        <v>151099764.34517014</v>
      </c>
      <c r="DX111" s="437">
        <v>158149700.22798324</v>
      </c>
      <c r="DY111" s="437">
        <v>167948022.80804917</v>
      </c>
      <c r="DZ111" s="437">
        <v>171004056.47649968</v>
      </c>
      <c r="EA111" s="437">
        <v>176825102.54035875</v>
      </c>
      <c r="EB111" s="437">
        <v>187110385.35322067</v>
      </c>
      <c r="EC111" s="437">
        <v>190852756.84881118</v>
      </c>
      <c r="ED111" s="437">
        <v>201887604.09522331</v>
      </c>
      <c r="EE111" s="437">
        <v>214796238.54559666</v>
      </c>
      <c r="EF111" s="437">
        <v>217829847.45992032</v>
      </c>
      <c r="EG111" s="437">
        <v>224553614.62293059</v>
      </c>
      <c r="EH111" s="437">
        <v>237732615.79323491</v>
      </c>
      <c r="EI111" s="437">
        <v>243214360.41707471</v>
      </c>
      <c r="EJ111" s="437">
        <v>254111504.66883951</v>
      </c>
      <c r="EK111" s="437">
        <v>269252551.52859926</v>
      </c>
      <c r="EL111" s="437">
        <v>273968777.28432721</v>
      </c>
      <c r="EM111" s="437">
        <v>282965097.91750944</v>
      </c>
      <c r="EN111" s="437">
        <v>298862466.32881111</v>
      </c>
      <c r="EO111" s="437">
        <v>304640682.96762609</v>
      </c>
      <c r="EP111" s="437">
        <v>321688124.06479168</v>
      </c>
      <c r="EQ111" s="437">
        <v>341635847.70133901</v>
      </c>
      <c r="ER111" s="437">
        <v>346203288.91668206</v>
      </c>
      <c r="ES111" s="437">
        <v>356340626.99588412</v>
      </c>
      <c r="ET111" s="437">
        <v>376212252.34287906</v>
      </c>
      <c r="EU111" s="437">
        <v>384469233.16324335</v>
      </c>
      <c r="EV111" s="437">
        <v>400910007.95867759</v>
      </c>
      <c r="EW111" s="437">
        <v>423745084.96243131</v>
      </c>
      <c r="EX111" s="437">
        <v>430845596.29042679</v>
      </c>
      <c r="EY111" s="437">
        <v>444415926.79796225</v>
      </c>
      <c r="EZ111" s="437">
        <v>468399304.08153641</v>
      </c>
      <c r="FA111" s="437">
        <v>477104283.45695412</v>
      </c>
      <c r="FB111" s="437">
        <v>502805792.38359469</v>
      </c>
    </row>
    <row r="112" spans="3:158" x14ac:dyDescent="0.25">
      <c r="C112" s="258" t="s">
        <v>585</v>
      </c>
      <c r="D112" s="1472">
        <f t="shared" ref="D112:L115" si="252">SUMIF($AY$2:$FB$2,D$2,$AY112:$FB112)</f>
        <v>3057385.5</v>
      </c>
      <c r="E112" s="1472">
        <f t="shared" si="252"/>
        <v>2750214.6799999997</v>
      </c>
      <c r="F112" s="1472">
        <f t="shared" si="252"/>
        <v>2352684.4286809997</v>
      </c>
      <c r="G112" s="1472">
        <f t="shared" si="252"/>
        <v>5787834.6133333333</v>
      </c>
      <c r="H112" s="1472">
        <f t="shared" si="252"/>
        <v>6773278.9649636559</v>
      </c>
      <c r="I112" s="1472">
        <f t="shared" si="252"/>
        <v>9920777.825989252</v>
      </c>
      <c r="J112" s="1472">
        <f t="shared" si="252"/>
        <v>13984480.309052814</v>
      </c>
      <c r="K112" s="1472">
        <f t="shared" si="252"/>
        <v>20282444.006625246</v>
      </c>
      <c r="L112" s="1472">
        <f t="shared" si="252"/>
        <v>30635494.890525348</v>
      </c>
      <c r="M112" s="244"/>
      <c r="N112" s="1476">
        <f>SUM(AY112:BA112)</f>
        <v>364083.32999999996</v>
      </c>
      <c r="O112" s="1476">
        <f>SUM(BB112:BD112)</f>
        <v>791616.66999999993</v>
      </c>
      <c r="P112" s="1476">
        <f>SUM(BE112:BG112)</f>
        <v>564350</v>
      </c>
      <c r="Q112" s="1476">
        <f>SUM(BH112:BJ112)</f>
        <v>1337335.5</v>
      </c>
      <c r="R112" s="1476">
        <f>SUM(BK112:BM112)</f>
        <v>612602</v>
      </c>
      <c r="S112" s="1476">
        <f>SUM(BN112:BP112)</f>
        <v>854539.59</v>
      </c>
      <c r="T112" s="1476">
        <f>SUM(BQ112:BS112)</f>
        <v>624336.59</v>
      </c>
      <c r="U112" s="1476">
        <f>SUM(BT112:BV112)</f>
        <v>658736.5</v>
      </c>
      <c r="V112" s="1476">
        <f>SUM(BW112:BY112)</f>
        <v>261800</v>
      </c>
      <c r="W112" s="1476">
        <f>SUM(BZ112:CB112)</f>
        <v>594240.78</v>
      </c>
      <c r="X112" s="1476">
        <f>SUM(CC112:CE112)</f>
        <v>989521.62000000011</v>
      </c>
      <c r="Y112" s="1476">
        <f>SUM(CF112:CH112)</f>
        <v>507122.028681</v>
      </c>
      <c r="Z112" s="1476">
        <f>SUM(CI112:CK112)</f>
        <v>1344032.9</v>
      </c>
      <c r="AA112" s="1476">
        <f>SUM(CL112:CN112)</f>
        <v>1265277.6299999999</v>
      </c>
      <c r="AB112" s="1476">
        <f>SUM(CO112:CQ112)</f>
        <v>1388410.2499999998</v>
      </c>
      <c r="AC112" s="1476">
        <f>SUM(CR112:CT112)</f>
        <v>1790113.833333333</v>
      </c>
      <c r="AD112" s="1476">
        <f>SUM(CU112:CW112)</f>
        <v>1198695.173990278</v>
      </c>
      <c r="AE112" s="1476">
        <f>SUM(CX112:CZ112)</f>
        <v>1594870.9539379664</v>
      </c>
      <c r="AF112" s="1476">
        <f>SUM(DA112:DC112)</f>
        <v>1572355.4651301624</v>
      </c>
      <c r="AG112" s="1476">
        <f>SUM(DD112:DF112)</f>
        <v>2407357.3719052495</v>
      </c>
      <c r="AH112" s="1476">
        <f>SUM(DG112:DI112)</f>
        <v>1809293.2570420168</v>
      </c>
      <c r="AI112" s="1476">
        <f>SUM(DJ112:DL112)</f>
        <v>2455046.4893497182</v>
      </c>
      <c r="AJ112" s="1476">
        <f>SUM(DM112:DO112)</f>
        <v>2303018.8648253959</v>
      </c>
      <c r="AK112" s="1476">
        <f>SUM(DP112:DR112)</f>
        <v>3353419.214772122</v>
      </c>
      <c r="AL112" s="1476">
        <f>SUM(DS112:DU112)</f>
        <v>2550407.4751198376</v>
      </c>
      <c r="AM112" s="1476">
        <f>SUM(DV112:DX112)</f>
        <v>3460671.1177605567</v>
      </c>
      <c r="AN112" s="1476">
        <f>SUM(DY112:EA112)</f>
        <v>3246370.6507122023</v>
      </c>
      <c r="AO112" s="1476">
        <f>SUM(EB112:ED112)</f>
        <v>4727031.0654602181</v>
      </c>
      <c r="AP112" s="1476">
        <f>SUM(EE112:EG112)</f>
        <v>3698993.1456165928</v>
      </c>
      <c r="AQ112" s="1476">
        <f>SUM(EH112:EJ112)</f>
        <v>5019197.4689174425</v>
      </c>
      <c r="AR112" s="1476">
        <f>SUM(EK112:EM112)</f>
        <v>4708385.9745004363</v>
      </c>
      <c r="AS112" s="1476">
        <f>SUM(EN112:EP112)</f>
        <v>6855867.4175907746</v>
      </c>
      <c r="AT112" s="1476">
        <f>SUM(EQ112:ES112)</f>
        <v>5587121.8269163892</v>
      </c>
      <c r="AU112" s="1476">
        <f>SUM(ET112:EV112)</f>
        <v>7581216.4630322959</v>
      </c>
      <c r="AV112" s="1476">
        <f>SUM(EW112:EY112)</f>
        <v>7111753.1209410578</v>
      </c>
      <c r="AW112" s="1476">
        <f>SUM(EZ112:FB112)</f>
        <v>10355403.479635604</v>
      </c>
      <c r="AX112" s="244"/>
      <c r="AY112" s="90">
        <v>15000</v>
      </c>
      <c r="AZ112" s="90">
        <v>138333.32999999999</v>
      </c>
      <c r="BA112" s="90">
        <v>210750</v>
      </c>
      <c r="BB112" s="90">
        <v>198700</v>
      </c>
      <c r="BC112" s="90">
        <v>375916.67</v>
      </c>
      <c r="BD112" s="90">
        <v>217000</v>
      </c>
      <c r="BE112" s="90">
        <v>108000</v>
      </c>
      <c r="BF112" s="90">
        <v>115000</v>
      </c>
      <c r="BG112" s="90">
        <v>341350</v>
      </c>
      <c r="BH112" s="90">
        <v>363785.5</v>
      </c>
      <c r="BI112" s="90">
        <v>349300</v>
      </c>
      <c r="BJ112" s="90">
        <v>624250</v>
      </c>
      <c r="BK112" s="90">
        <v>45850</v>
      </c>
      <c r="BL112" s="90">
        <v>347400</v>
      </c>
      <c r="BM112" s="90">
        <v>219352</v>
      </c>
      <c r="BN112" s="90">
        <v>315895.23</v>
      </c>
      <c r="BO112" s="90">
        <v>21000</v>
      </c>
      <c r="BP112" s="90">
        <v>517644.36</v>
      </c>
      <c r="BQ112" s="90">
        <v>206000.23</v>
      </c>
      <c r="BR112" s="90">
        <v>0</v>
      </c>
      <c r="BS112" s="90">
        <v>418336.36</v>
      </c>
      <c r="BT112" s="90">
        <v>0</v>
      </c>
      <c r="BU112" s="90">
        <v>52500</v>
      </c>
      <c r="BV112" s="90">
        <v>606236.5</v>
      </c>
      <c r="BW112" s="90">
        <v>89500</v>
      </c>
      <c r="BX112" s="90">
        <v>127300</v>
      </c>
      <c r="BY112" s="90">
        <v>45000</v>
      </c>
      <c r="BZ112" s="90">
        <v>95100</v>
      </c>
      <c r="CA112" s="90">
        <v>152971.18</v>
      </c>
      <c r="CB112" s="90">
        <v>346169.59999999998</v>
      </c>
      <c r="CC112" s="90">
        <v>76788.3</v>
      </c>
      <c r="CD112" s="90">
        <v>262937.90000000002</v>
      </c>
      <c r="CE112" s="90">
        <v>649795.42000000004</v>
      </c>
      <c r="CF112" s="90">
        <v>40192.307692000002</v>
      </c>
      <c r="CG112" s="90">
        <v>178132.910989</v>
      </c>
      <c r="CH112" s="90">
        <v>288796.81</v>
      </c>
      <c r="CI112" s="98">
        <v>211500</v>
      </c>
      <c r="CJ112" s="98">
        <v>42000</v>
      </c>
      <c r="CK112" s="98">
        <v>1090532.8999999999</v>
      </c>
      <c r="CL112" s="98">
        <v>157920</v>
      </c>
      <c r="CM112" s="98">
        <v>173945.83</v>
      </c>
      <c r="CN112" s="98">
        <v>933411.8</v>
      </c>
      <c r="CO112" s="98">
        <v>208261.53749999998</v>
      </c>
      <c r="CP112" s="98">
        <v>485943.58749999991</v>
      </c>
      <c r="CQ112" s="98">
        <v>694205.12499999988</v>
      </c>
      <c r="CR112" s="98">
        <v>179011.3833333333</v>
      </c>
      <c r="CS112" s="98">
        <v>716045.53333333321</v>
      </c>
      <c r="CT112" s="98">
        <v>895056.9166666664</v>
      </c>
      <c r="CU112" s="437">
        <v>158455.60230988532</v>
      </c>
      <c r="CV112" s="437">
        <v>348251.71641244635</v>
      </c>
      <c r="CW112" s="437">
        <v>691987.85526794638</v>
      </c>
      <c r="CX112" s="437">
        <v>276684.13585798751</v>
      </c>
      <c r="CY112" s="437">
        <v>542678.81675078475</v>
      </c>
      <c r="CZ112" s="437">
        <v>775508.00132919417</v>
      </c>
      <c r="DA112" s="437">
        <v>265680.86088953278</v>
      </c>
      <c r="DB112" s="437">
        <v>473735.28795119311</v>
      </c>
      <c r="DC112" s="437">
        <v>832939.31628943642</v>
      </c>
      <c r="DD112" s="437">
        <v>357665.57334176538</v>
      </c>
      <c r="DE112" s="437">
        <v>954047.49695393187</v>
      </c>
      <c r="DF112" s="437">
        <v>1095644.301609552</v>
      </c>
      <c r="DG112" s="437">
        <v>249946.29439206884</v>
      </c>
      <c r="DH112" s="437">
        <v>527939.43331156066</v>
      </c>
      <c r="DI112" s="437">
        <v>1031407.5293383874</v>
      </c>
      <c r="DJ112" s="437">
        <v>444940.57287045382</v>
      </c>
      <c r="DK112" s="437">
        <v>834541.25899050524</v>
      </c>
      <c r="DL112" s="437">
        <v>1175564.6574887589</v>
      </c>
      <c r="DM112" s="437">
        <v>389141.03599404241</v>
      </c>
      <c r="DN112" s="437">
        <v>693877.00763629319</v>
      </c>
      <c r="DO112" s="437">
        <v>1220000.8211950604</v>
      </c>
      <c r="DP112" s="437">
        <v>466329.93710004858</v>
      </c>
      <c r="DQ112" s="437">
        <v>1339846.6775439652</v>
      </c>
      <c r="DR112" s="437">
        <v>1547242.6001281082</v>
      </c>
      <c r="DS112" s="437">
        <v>352328.1232132687</v>
      </c>
      <c r="DT112" s="437">
        <v>744191.50786514347</v>
      </c>
      <c r="DU112" s="437">
        <v>1453887.8440414253</v>
      </c>
      <c r="DV112" s="437">
        <v>627195.0434879422</v>
      </c>
      <c r="DW112" s="437">
        <v>1176382.1353676093</v>
      </c>
      <c r="DX112" s="437">
        <v>1657093.9389050056</v>
      </c>
      <c r="DY112" s="437">
        <v>548539.16202487436</v>
      </c>
      <c r="DZ112" s="437">
        <v>978099.65311128646</v>
      </c>
      <c r="EA112" s="437">
        <v>1719731.8355760414</v>
      </c>
      <c r="EB112" s="437">
        <v>657345.81877375988</v>
      </c>
      <c r="EC112" s="437">
        <v>1888668.3895065503</v>
      </c>
      <c r="ED112" s="437">
        <v>2181016.8571799085</v>
      </c>
      <c r="EE112" s="437">
        <v>511000.42855410866</v>
      </c>
      <c r="EF112" s="437">
        <v>1079340.9733438368</v>
      </c>
      <c r="EG112" s="437">
        <v>2108651.7437186474</v>
      </c>
      <c r="EH112" s="437">
        <v>909654.70790803258</v>
      </c>
      <c r="EI112" s="437">
        <v>1706170.287611055</v>
      </c>
      <c r="EJ112" s="437">
        <v>2403372.4733983548</v>
      </c>
      <c r="EK112" s="437">
        <v>795575.85218296933</v>
      </c>
      <c r="EL112" s="437">
        <v>1418590.5381329765</v>
      </c>
      <c r="EM112" s="437">
        <v>2494219.5841844911</v>
      </c>
      <c r="EN112" s="437">
        <v>953383.99909199367</v>
      </c>
      <c r="EO112" s="437">
        <v>2739237.3553167991</v>
      </c>
      <c r="EP112" s="437">
        <v>3163246.0631819819</v>
      </c>
      <c r="EQ112" s="437">
        <v>771837.50700418756</v>
      </c>
      <c r="ER112" s="437">
        <v>1630284.0458087169</v>
      </c>
      <c r="ES112" s="437">
        <v>3185000.2741034846</v>
      </c>
      <c r="ET112" s="437">
        <v>1373982.4523689495</v>
      </c>
      <c r="EU112" s="437">
        <v>2577074.592756222</v>
      </c>
      <c r="EV112" s="437">
        <v>3630159.4179071249</v>
      </c>
      <c r="EW112" s="437">
        <v>1201672.7346376663</v>
      </c>
      <c r="EX112" s="437">
        <v>2142701.4993126313</v>
      </c>
      <c r="EY112" s="437">
        <v>3767378.88699076</v>
      </c>
      <c r="EZ112" s="437">
        <v>1440033.0957822844</v>
      </c>
      <c r="FA112" s="437">
        <v>4137464.4976380672</v>
      </c>
      <c r="FB112" s="437">
        <v>4777905.8862152528</v>
      </c>
    </row>
    <row r="113" spans="3:158" x14ac:dyDescent="0.25">
      <c r="C113" s="258" t="s">
        <v>584</v>
      </c>
      <c r="D113" s="1472">
        <f t="shared" si="252"/>
        <v>3664491.9699999997</v>
      </c>
      <c r="E113" s="1472">
        <f t="shared" si="252"/>
        <v>6524064</v>
      </c>
      <c r="F113" s="1472">
        <f t="shared" si="252"/>
        <v>7473375.0553849991</v>
      </c>
      <c r="G113" s="1472">
        <f t="shared" si="252"/>
        <v>16399499.241960667</v>
      </c>
      <c r="H113" s="1472">
        <f t="shared" si="252"/>
        <v>27093115.859854624</v>
      </c>
      <c r="I113" s="1472">
        <f t="shared" si="252"/>
        <v>45194654.540617704</v>
      </c>
      <c r="J113" s="1472">
        <f t="shared" si="252"/>
        <v>73418521.622527272</v>
      </c>
      <c r="K113" s="1472">
        <f t="shared" si="252"/>
        <v>114933849.37087639</v>
      </c>
      <c r="L113" s="1472">
        <f t="shared" si="252"/>
        <v>173601137.71297699</v>
      </c>
      <c r="M113" s="244"/>
      <c r="N113" s="1476">
        <f>SUM(AY113:BA113)</f>
        <v>776758.17</v>
      </c>
      <c r="O113" s="1476">
        <f>SUM(BB113:BD113)</f>
        <v>625643.30000000005</v>
      </c>
      <c r="P113" s="1476">
        <f>SUM(BE113:BG113)</f>
        <v>855610.5</v>
      </c>
      <c r="Q113" s="1476">
        <f>SUM(BH113:BJ113)</f>
        <v>1406480</v>
      </c>
      <c r="R113" s="1476">
        <f>SUM(BK113:BM113)</f>
        <v>1081586</v>
      </c>
      <c r="S113" s="1476">
        <f>SUM(BN113:BP113)</f>
        <v>2484886.7400000002</v>
      </c>
      <c r="T113" s="1476">
        <f>SUM(BQ113:BS113)</f>
        <v>910603</v>
      </c>
      <c r="U113" s="1476">
        <f>SUM(BT113:BV113)</f>
        <v>2046988.26</v>
      </c>
      <c r="V113" s="1476">
        <f>SUM(BW113:BY113)</f>
        <v>1250731.81</v>
      </c>
      <c r="W113" s="1476">
        <f>SUM(BZ113:CB113)</f>
        <v>1776271.85</v>
      </c>
      <c r="X113" s="1476">
        <f>SUM(CC113:CE113)</f>
        <v>2255269.2599999998</v>
      </c>
      <c r="Y113" s="1476">
        <f>SUM(CF113:CH113)</f>
        <v>2191102.1353850001</v>
      </c>
      <c r="Z113" s="1476">
        <f>SUM(CI113:CK113)</f>
        <v>1477725.45</v>
      </c>
      <c r="AA113" s="1476">
        <f>SUM(CL113:CN113)</f>
        <v>4026344.1252939999</v>
      </c>
      <c r="AB113" s="1476">
        <f>SUM(CO113:CQ113)</f>
        <v>4887366</v>
      </c>
      <c r="AC113" s="1476">
        <f>SUM(CR113:CT113)</f>
        <v>6008063.666666666</v>
      </c>
      <c r="AD113" s="1476">
        <f>SUM(CU113:CW113)</f>
        <v>4794780.6959611122</v>
      </c>
      <c r="AE113" s="1476">
        <f>SUM(CX113:CZ113)</f>
        <v>6379483.8157518655</v>
      </c>
      <c r="AF113" s="1476">
        <f>SUM(DA113:DC113)</f>
        <v>6289421.8605206488</v>
      </c>
      <c r="AG113" s="1476">
        <f>SUM(DD113:DF113)</f>
        <v>9629429.4876209963</v>
      </c>
      <c r="AH113" s="1476">
        <f>SUM(DG113:DI113)</f>
        <v>8242335.9487469662</v>
      </c>
      <c r="AI113" s="1476">
        <f>SUM(DJ113:DL113)</f>
        <v>11184100.673704272</v>
      </c>
      <c r="AJ113" s="1476">
        <f>SUM(DM113:DO113)</f>
        <v>10491530.384204581</v>
      </c>
      <c r="AK113" s="1476">
        <f>SUM(DP113:DR113)</f>
        <v>15276687.533961888</v>
      </c>
      <c r="AL113" s="1476">
        <f>SUM(DS113:DU113)</f>
        <v>13389639.244379146</v>
      </c>
      <c r="AM113" s="1476">
        <f>SUM(DV113:DX113)</f>
        <v>18168523.368242919</v>
      </c>
      <c r="AN113" s="1476">
        <f>SUM(DY113:EA113)</f>
        <v>17043445.91623906</v>
      </c>
      <c r="AO113" s="1476">
        <f>SUM(EB113:ED113)</f>
        <v>24816913.093666147</v>
      </c>
      <c r="AP113" s="1476">
        <f>SUM(EE113:EG113)</f>
        <v>20960961.158494025</v>
      </c>
      <c r="AQ113" s="1476">
        <f>SUM(EH113:EJ113)</f>
        <v>28442118.990532175</v>
      </c>
      <c r="AR113" s="1476">
        <f>SUM(EK113:EM113)</f>
        <v>26680853.855502475</v>
      </c>
      <c r="AS113" s="1476">
        <f>SUM(EN113:EP113)</f>
        <v>38849915.36634773</v>
      </c>
      <c r="AT113" s="1476">
        <f>SUM(EQ113:ES113)</f>
        <v>31660357.019192871</v>
      </c>
      <c r="AU113" s="1476">
        <f>SUM(ET113:EV113)</f>
        <v>42960226.623849675</v>
      </c>
      <c r="AV113" s="1476">
        <f>SUM(EW113:EY113)</f>
        <v>40299934.351999328</v>
      </c>
      <c r="AW113" s="1476">
        <f>SUM(EZ113:FB113)</f>
        <v>58680619.717935085</v>
      </c>
      <c r="AX113" s="244"/>
      <c r="AY113" s="90">
        <v>0</v>
      </c>
      <c r="AZ113" s="90">
        <v>208124.5</v>
      </c>
      <c r="BA113" s="90">
        <v>568633.67000000004</v>
      </c>
      <c r="BB113" s="90">
        <v>74365</v>
      </c>
      <c r="BC113" s="90">
        <v>178800.3</v>
      </c>
      <c r="BD113" s="90">
        <v>372478</v>
      </c>
      <c r="BE113" s="90">
        <v>275150</v>
      </c>
      <c r="BF113" s="90">
        <v>103659.5</v>
      </c>
      <c r="BG113" s="90">
        <v>476801</v>
      </c>
      <c r="BH113" s="90">
        <v>43800</v>
      </c>
      <c r="BI113" s="90">
        <v>1009050</v>
      </c>
      <c r="BJ113" s="90">
        <v>353630</v>
      </c>
      <c r="BK113" s="90">
        <v>146300</v>
      </c>
      <c r="BL113" s="90">
        <v>139481</v>
      </c>
      <c r="BM113" s="90">
        <v>795805</v>
      </c>
      <c r="BN113" s="90">
        <v>93150</v>
      </c>
      <c r="BO113" s="90">
        <v>1699465.86</v>
      </c>
      <c r="BP113" s="90">
        <v>692270.88</v>
      </c>
      <c r="BQ113" s="90">
        <v>290000</v>
      </c>
      <c r="BR113" s="90">
        <v>197811</v>
      </c>
      <c r="BS113" s="90">
        <v>422792</v>
      </c>
      <c r="BT113" s="90">
        <v>138500</v>
      </c>
      <c r="BU113" s="90">
        <v>862232</v>
      </c>
      <c r="BV113" s="90">
        <v>1046256.26</v>
      </c>
      <c r="BW113" s="90">
        <v>394742.64</v>
      </c>
      <c r="BX113" s="90">
        <v>487907</v>
      </c>
      <c r="BY113" s="90">
        <v>368082.17</v>
      </c>
      <c r="BZ113" s="90">
        <v>600800.01</v>
      </c>
      <c r="CA113" s="90">
        <v>217572.88</v>
      </c>
      <c r="CB113" s="90">
        <v>957898.96</v>
      </c>
      <c r="CC113" s="90">
        <v>161229.98000000001</v>
      </c>
      <c r="CD113" s="90">
        <v>1290770.5900000001</v>
      </c>
      <c r="CE113" s="90">
        <v>803268.69</v>
      </c>
      <c r="CF113" s="90">
        <v>295238.63208800001</v>
      </c>
      <c r="CG113" s="90">
        <v>969773.81329700002</v>
      </c>
      <c r="CH113" s="90">
        <v>926089.69</v>
      </c>
      <c r="CI113" s="98">
        <v>317615.01</v>
      </c>
      <c r="CJ113" s="98">
        <v>445330.75</v>
      </c>
      <c r="CK113" s="98">
        <v>714779.69</v>
      </c>
      <c r="CL113" s="98">
        <v>590275.79</v>
      </c>
      <c r="CM113" s="98">
        <v>1077791.475294</v>
      </c>
      <c r="CN113" s="98">
        <v>2358276.86</v>
      </c>
      <c r="CO113" s="98">
        <v>733104.9</v>
      </c>
      <c r="CP113" s="98">
        <v>1710578.1</v>
      </c>
      <c r="CQ113" s="98">
        <v>2443683</v>
      </c>
      <c r="CR113" s="98">
        <v>600806.3666666667</v>
      </c>
      <c r="CS113" s="98">
        <v>2403225.4666666668</v>
      </c>
      <c r="CT113" s="98">
        <v>3004031.833333333</v>
      </c>
      <c r="CU113" s="437">
        <v>633822.40923954116</v>
      </c>
      <c r="CV113" s="437">
        <v>1393006.8656497854</v>
      </c>
      <c r="CW113" s="437">
        <v>2767951.4210717855</v>
      </c>
      <c r="CX113" s="437">
        <v>1106736.54343195</v>
      </c>
      <c r="CY113" s="437">
        <v>2170715.267003139</v>
      </c>
      <c r="CZ113" s="437">
        <v>3102032.0053167762</v>
      </c>
      <c r="DA113" s="437">
        <v>1062723.4435581309</v>
      </c>
      <c r="DB113" s="437">
        <v>1894941.1518047724</v>
      </c>
      <c r="DC113" s="437">
        <v>3331757.2651577452</v>
      </c>
      <c r="DD113" s="437">
        <v>1430662.2933670613</v>
      </c>
      <c r="DE113" s="437">
        <v>3816189.9878157275</v>
      </c>
      <c r="DF113" s="437">
        <v>4382577.206438208</v>
      </c>
      <c r="DG113" s="437">
        <v>1138644.2300083137</v>
      </c>
      <c r="DH113" s="437">
        <v>2405057.4184193322</v>
      </c>
      <c r="DI113" s="437">
        <v>4698634.3003193205</v>
      </c>
      <c r="DJ113" s="437">
        <v>2026951.4986320673</v>
      </c>
      <c r="DK113" s="437">
        <v>3801799.0687345243</v>
      </c>
      <c r="DL113" s="437">
        <v>5355350.1063376805</v>
      </c>
      <c r="DM113" s="437">
        <v>1772753.6084173045</v>
      </c>
      <c r="DN113" s="437">
        <v>3160995.25700978</v>
      </c>
      <c r="DO113" s="437">
        <v>5557781.518777498</v>
      </c>
      <c r="DP113" s="437">
        <v>2124391.9356779992</v>
      </c>
      <c r="DQ113" s="437">
        <v>6103745.9754780633</v>
      </c>
      <c r="DR113" s="437">
        <v>7048549.6228058264</v>
      </c>
      <c r="DS113" s="437">
        <v>1849722.6468696604</v>
      </c>
      <c r="DT113" s="437">
        <v>3907005.4162920029</v>
      </c>
      <c r="DU113" s="437">
        <v>7632911.1812174823</v>
      </c>
      <c r="DV113" s="437">
        <v>3292773.9783116961</v>
      </c>
      <c r="DW113" s="437">
        <v>6176006.2106799483</v>
      </c>
      <c r="DX113" s="437">
        <v>8699743.1792512778</v>
      </c>
      <c r="DY113" s="437">
        <v>2879830.6006305902</v>
      </c>
      <c r="DZ113" s="437">
        <v>5135023.1788342539</v>
      </c>
      <c r="EA113" s="437">
        <v>9028592.1367742177</v>
      </c>
      <c r="EB113" s="437">
        <v>3451065.5485622394</v>
      </c>
      <c r="EC113" s="437">
        <v>9915509.0449093878</v>
      </c>
      <c r="ED113" s="437">
        <v>11450338.50019452</v>
      </c>
      <c r="EE113" s="437">
        <v>2895669.0951399491</v>
      </c>
      <c r="EF113" s="437">
        <v>6116265.5156150749</v>
      </c>
      <c r="EG113" s="437">
        <v>11949026.547739003</v>
      </c>
      <c r="EH113" s="437">
        <v>5154710.0114788515</v>
      </c>
      <c r="EI113" s="437">
        <v>9668298.2964626458</v>
      </c>
      <c r="EJ113" s="437">
        <v>13619110.682590678</v>
      </c>
      <c r="EK113" s="437">
        <v>4508263.1623701593</v>
      </c>
      <c r="EL113" s="437">
        <v>8038679.7160868663</v>
      </c>
      <c r="EM113" s="437">
        <v>14133910.97704545</v>
      </c>
      <c r="EN113" s="437">
        <v>5402509.3281879639</v>
      </c>
      <c r="EO113" s="437">
        <v>15522345.013461862</v>
      </c>
      <c r="EP113" s="437">
        <v>17925061.0246979</v>
      </c>
      <c r="EQ113" s="437">
        <v>4373745.8730237298</v>
      </c>
      <c r="ER113" s="437">
        <v>9238276.2595827281</v>
      </c>
      <c r="ES113" s="437">
        <v>18048334.886586413</v>
      </c>
      <c r="ET113" s="437">
        <v>7785900.563424048</v>
      </c>
      <c r="EU113" s="437">
        <v>14603422.692285258</v>
      </c>
      <c r="EV113" s="437">
        <v>20570903.368140373</v>
      </c>
      <c r="EW113" s="437">
        <v>6809478.8296134416</v>
      </c>
      <c r="EX113" s="437">
        <v>12141975.162771577</v>
      </c>
      <c r="EY113" s="437">
        <v>21348480.359614309</v>
      </c>
      <c r="EZ113" s="437">
        <v>8160187.5427662777</v>
      </c>
      <c r="FA113" s="437">
        <v>23445632.153282382</v>
      </c>
      <c r="FB113" s="437">
        <v>27074800.021886431</v>
      </c>
    </row>
    <row r="114" spans="3:158" x14ac:dyDescent="0.25">
      <c r="C114" s="258" t="s">
        <v>583</v>
      </c>
      <c r="D114" s="1472">
        <f t="shared" si="252"/>
        <v>-250321</v>
      </c>
      <c r="E114" s="1472">
        <f t="shared" si="252"/>
        <v>-339419.07</v>
      </c>
      <c r="F114" s="1472">
        <f t="shared" si="252"/>
        <v>-466971.60076899995</v>
      </c>
      <c r="G114" s="1472">
        <f t="shared" si="252"/>
        <v>-788183.57850139972</v>
      </c>
      <c r="H114" s="1472">
        <f t="shared" si="252"/>
        <v>-1377628.5259046492</v>
      </c>
      <c r="I114" s="1472">
        <f t="shared" si="252"/>
        <v>-2215966.6030625738</v>
      </c>
      <c r="J114" s="1472">
        <f t="shared" si="252"/>
        <v>-3546103.5373059665</v>
      </c>
      <c r="K114" s="1472">
        <f t="shared" si="252"/>
        <v>-5596388.5535649722</v>
      </c>
      <c r="L114" s="1472">
        <f t="shared" si="252"/>
        <v>-8672875.4296420012</v>
      </c>
      <c r="M114" s="244"/>
      <c r="N114" s="1476">
        <f>SUM(AY114:BA114)</f>
        <v>-27800</v>
      </c>
      <c r="O114" s="1476">
        <f>SUM(BB114:BD114)</f>
        <v>0</v>
      </c>
      <c r="P114" s="1476">
        <f>SUM(BE114:BG114)</f>
        <v>-69577</v>
      </c>
      <c r="Q114" s="1476">
        <f>SUM(BH114:BJ114)</f>
        <v>-152944</v>
      </c>
      <c r="R114" s="1476">
        <f>SUM(BK114:BM114)</f>
        <v>-101455.77</v>
      </c>
      <c r="S114" s="1476">
        <f>SUM(BN114:BP114)</f>
        <v>-132720</v>
      </c>
      <c r="T114" s="1476">
        <f>SUM(BQ114:BS114)</f>
        <v>-20250</v>
      </c>
      <c r="U114" s="1476">
        <f>SUM(BT114:BV114)</f>
        <v>-84993.3</v>
      </c>
      <c r="V114" s="1476">
        <f>SUM(BW114:BY114)</f>
        <v>-31354</v>
      </c>
      <c r="W114" s="1476">
        <f>SUM(BZ114:CB114)</f>
        <v>-219721.23076900002</v>
      </c>
      <c r="X114" s="1476">
        <f>SUM(CC114:CE114)</f>
        <v>-71732.539999999994</v>
      </c>
      <c r="Y114" s="1476">
        <f>SUM(CF114:CH114)</f>
        <v>-144163.82999999999</v>
      </c>
      <c r="Z114" s="1476">
        <f>SUM(CI114:CK114)</f>
        <v>-391015.83</v>
      </c>
      <c r="AA114" s="1476">
        <f>SUM(CL114:CN114)</f>
        <v>-101708.23999999999</v>
      </c>
      <c r="AB114" s="1476">
        <f>SUM(CO114:CQ114)</f>
        <v>-136984.82022687755</v>
      </c>
      <c r="AC114" s="1476">
        <f>SUM(CR114:CT114)</f>
        <v>-158474.68827452211</v>
      </c>
      <c r="AD114" s="1476">
        <f>SUM(CU114:CW114)</f>
        <v>-283459.28493081487</v>
      </c>
      <c r="AE114" s="1476">
        <f>SUM(CX114:CZ114)</f>
        <v>-319279.25111393956</v>
      </c>
      <c r="AF114" s="1476">
        <f>SUM(DA114:DC114)</f>
        <v>-292627.59022584202</v>
      </c>
      <c r="AG114" s="1476">
        <f>SUM(DD114:DF114)</f>
        <v>-482262.39963405253</v>
      </c>
      <c r="AH114" s="1476">
        <f>SUM(DG114:DI114)</f>
        <v>-455954.77802857256</v>
      </c>
      <c r="AI114" s="1476">
        <f>SUM(DJ114:DL114)</f>
        <v>-513572.52279217727</v>
      </c>
      <c r="AJ114" s="1476">
        <f>SUM(DM114:DO114)</f>
        <v>-470702.33730048931</v>
      </c>
      <c r="AK114" s="1476">
        <f>SUM(DP114:DR114)</f>
        <v>-775736.96494133421</v>
      </c>
      <c r="AL114" s="1476">
        <f>SUM(DS114:DU114)</f>
        <v>-729642.24685701262</v>
      </c>
      <c r="AM114" s="1476">
        <f>SUM(DV114:DX114)</f>
        <v>-821845.1204181182</v>
      </c>
      <c r="AN114" s="1476">
        <f>SUM(DY114:EA114)</f>
        <v>-753242.04841922806</v>
      </c>
      <c r="AO114" s="1476">
        <f>SUM(EB114:ED114)</f>
        <v>-1241374.1216116075</v>
      </c>
      <c r="AP114" s="1476">
        <f>SUM(EE114:EG114)</f>
        <v>-1151506.5692667875</v>
      </c>
      <c r="AQ114" s="1476">
        <f>SUM(EH114:EJ114)</f>
        <v>-1297019.2709616697</v>
      </c>
      <c r="AR114" s="1476">
        <f>SUM(EK114:EM114)</f>
        <v>-1188751.296596302</v>
      </c>
      <c r="AS114" s="1476">
        <f>SUM(EN114:EP114)</f>
        <v>-1959111.4167402128</v>
      </c>
      <c r="AT114" s="1476">
        <f>SUM(EQ114:ES114)</f>
        <v>-1784521.0238848603</v>
      </c>
      <c r="AU114" s="1476">
        <f>SUM(ET114:EV114)</f>
        <v>-2010026.0121735041</v>
      </c>
      <c r="AV114" s="1476">
        <f>SUM(EW114:EY114)</f>
        <v>-1842240.1899949571</v>
      </c>
      <c r="AW114" s="1476">
        <f>SUM(EZ114:FB114)</f>
        <v>-3036088.2035886785</v>
      </c>
      <c r="AX114" s="244"/>
      <c r="AY114" s="90">
        <v>-7200</v>
      </c>
      <c r="AZ114" s="90">
        <v>0</v>
      </c>
      <c r="BA114" s="90">
        <v>-20600</v>
      </c>
      <c r="BB114" s="90">
        <v>0</v>
      </c>
      <c r="BC114" s="90">
        <v>0</v>
      </c>
      <c r="BD114" s="90">
        <v>0</v>
      </c>
      <c r="BE114" s="90">
        <v>-60000</v>
      </c>
      <c r="BF114" s="90">
        <v>-3577</v>
      </c>
      <c r="BG114" s="90">
        <v>-6000</v>
      </c>
      <c r="BH114" s="90">
        <v>-75000</v>
      </c>
      <c r="BI114" s="90">
        <v>-38944</v>
      </c>
      <c r="BJ114" s="90">
        <v>-39000</v>
      </c>
      <c r="BK114" s="90">
        <v>-49000</v>
      </c>
      <c r="BL114" s="90">
        <v>-40000</v>
      </c>
      <c r="BM114" s="90">
        <v>-12455.77</v>
      </c>
      <c r="BN114" s="90">
        <v>-22500</v>
      </c>
      <c r="BO114" s="90">
        <v>-19000</v>
      </c>
      <c r="BP114" s="90">
        <v>-91220</v>
      </c>
      <c r="BQ114" s="90">
        <v>0</v>
      </c>
      <c r="BR114" s="90">
        <v>-6750</v>
      </c>
      <c r="BS114" s="90">
        <v>-13500</v>
      </c>
      <c r="BT114" s="90">
        <v>-73500</v>
      </c>
      <c r="BU114" s="90">
        <v>0</v>
      </c>
      <c r="BV114" s="90">
        <v>-11493.3</v>
      </c>
      <c r="BW114" s="90">
        <v>-468</v>
      </c>
      <c r="BX114" s="90">
        <v>-12500</v>
      </c>
      <c r="BY114" s="90">
        <v>-18386</v>
      </c>
      <c r="BZ114" s="90">
        <v>-120177</v>
      </c>
      <c r="CA114" s="90">
        <v>-32519.230769000002</v>
      </c>
      <c r="CB114" s="90">
        <v>-67025</v>
      </c>
      <c r="CC114" s="90">
        <v>-40183.339999999997</v>
      </c>
      <c r="CD114" s="90">
        <v>-13500</v>
      </c>
      <c r="CE114" s="90">
        <v>-18049.2</v>
      </c>
      <c r="CF114" s="90">
        <v>0</v>
      </c>
      <c r="CG114" s="90">
        <v>-86200.23</v>
      </c>
      <c r="CH114" s="90">
        <v>-57963.6</v>
      </c>
      <c r="CI114" s="98">
        <v>0</v>
      </c>
      <c r="CJ114" s="98">
        <v>-267166.83</v>
      </c>
      <c r="CK114" s="98">
        <v>-123849</v>
      </c>
      <c r="CL114" s="98">
        <v>0</v>
      </c>
      <c r="CM114" s="98">
        <v>-38000</v>
      </c>
      <c r="CN114" s="98">
        <v>-63708.24</v>
      </c>
      <c r="CO114" s="98">
        <v>-19353.690538258052</v>
      </c>
      <c r="CP114" s="98">
        <v>-44029.416689425358</v>
      </c>
      <c r="CQ114" s="98">
        <v>-73601.712999194133</v>
      </c>
      <c r="CR114" s="98">
        <v>-23436.213232123002</v>
      </c>
      <c r="CS114" s="98">
        <v>-77024.111806279878</v>
      </c>
      <c r="CT114" s="98">
        <v>-58014.363236119229</v>
      </c>
      <c r="CU114" s="437">
        <v>-61353.505009180801</v>
      </c>
      <c r="CV114" s="437">
        <v>-77598.641403002577</v>
      </c>
      <c r="CW114" s="437">
        <v>-144507.13851863146</v>
      </c>
      <c r="CX114" s="437">
        <v>-95817.634059311924</v>
      </c>
      <c r="CY114" s="437">
        <v>-78500.704919620126</v>
      </c>
      <c r="CZ114" s="437">
        <v>-144960.91213500747</v>
      </c>
      <c r="DA114" s="437">
        <v>-96638.8091190712</v>
      </c>
      <c r="DB114" s="437">
        <v>-75807.721782903216</v>
      </c>
      <c r="DC114" s="437">
        <v>-120181.05932386762</v>
      </c>
      <c r="DD114" s="437">
        <v>-95004.641897831083</v>
      </c>
      <c r="DE114" s="437">
        <v>-199677.53420948965</v>
      </c>
      <c r="DF114" s="437">
        <v>-187580.22352673183</v>
      </c>
      <c r="DG114" s="437">
        <v>-98689.389428763257</v>
      </c>
      <c r="DH114" s="437">
        <v>-124820.294120408</v>
      </c>
      <c r="DI114" s="437">
        <v>-232445.0944794013</v>
      </c>
      <c r="DJ114" s="437">
        <v>-154126.21985340794</v>
      </c>
      <c r="DK114" s="437">
        <v>-126271.29675941984</v>
      </c>
      <c r="DL114" s="437">
        <v>-233175.00617934953</v>
      </c>
      <c r="DM114" s="437">
        <v>-155447.11040806564</v>
      </c>
      <c r="DN114" s="437">
        <v>-121939.53345649563</v>
      </c>
      <c r="DO114" s="437">
        <v>-193315.69343592806</v>
      </c>
      <c r="DP114" s="437">
        <v>-152818.49179427081</v>
      </c>
      <c r="DQ114" s="437">
        <v>-321188.72313532454</v>
      </c>
      <c r="DR114" s="437">
        <v>-301729.75001173891</v>
      </c>
      <c r="DS114" s="437">
        <v>-157927.82818307725</v>
      </c>
      <c r="DT114" s="437">
        <v>-199743.84356525037</v>
      </c>
      <c r="DU114" s="437">
        <v>-371970.57510868501</v>
      </c>
      <c r="DV114" s="437">
        <v>-246640.69063965662</v>
      </c>
      <c r="DW114" s="437">
        <v>-202065.81249011095</v>
      </c>
      <c r="DX114" s="437">
        <v>-373138.61728835059</v>
      </c>
      <c r="DY114" s="437">
        <v>-248754.44752651229</v>
      </c>
      <c r="DZ114" s="437">
        <v>-195133.9024378375</v>
      </c>
      <c r="EA114" s="437">
        <v>-309353.69845487823</v>
      </c>
      <c r="EB114" s="437">
        <v>-244547.99705396293</v>
      </c>
      <c r="EC114" s="437">
        <v>-513982.68623672001</v>
      </c>
      <c r="ED114" s="437">
        <v>-482843.43832092453</v>
      </c>
      <c r="EE114" s="437">
        <v>-249238.48969300147</v>
      </c>
      <c r="EF114" s="437">
        <v>-315231.67555984115</v>
      </c>
      <c r="EG114" s="437">
        <v>-587036.40401394491</v>
      </c>
      <c r="EH114" s="437">
        <v>-389243.32677205704</v>
      </c>
      <c r="EI114" s="437">
        <v>-318896.1597397633</v>
      </c>
      <c r="EJ114" s="437">
        <v>-588879.78444984939</v>
      </c>
      <c r="EK114" s="437">
        <v>-392579.21494400967</v>
      </c>
      <c r="EL114" s="437">
        <v>-307956.36013640556</v>
      </c>
      <c r="EM114" s="437">
        <v>-488215.72151588672</v>
      </c>
      <c r="EN114" s="437">
        <v>-385940.68027403846</v>
      </c>
      <c r="EO114" s="437">
        <v>-811157.03242298472</v>
      </c>
      <c r="EP114" s="437">
        <v>-762013.70404318976</v>
      </c>
      <c r="EQ114" s="437">
        <v>-386251.66081481904</v>
      </c>
      <c r="ER114" s="437">
        <v>-488523.09439205291</v>
      </c>
      <c r="ES114" s="437">
        <v>-909746.26867798844</v>
      </c>
      <c r="ET114" s="437">
        <v>-603220.96162587206</v>
      </c>
      <c r="EU114" s="437">
        <v>-494202.04511217627</v>
      </c>
      <c r="EV114" s="437">
        <v>-912603.00543545571</v>
      </c>
      <c r="EW114" s="437">
        <v>-608390.67818247736</v>
      </c>
      <c r="EX114" s="437">
        <v>-477248.34036543762</v>
      </c>
      <c r="EY114" s="437">
        <v>-756601.17144704214</v>
      </c>
      <c r="EZ114" s="437">
        <v>-598102.76059474237</v>
      </c>
      <c r="FA114" s="437">
        <v>-1257072.0972547904</v>
      </c>
      <c r="FB114" s="437">
        <v>-1180913.345739146</v>
      </c>
    </row>
    <row r="115" spans="3:158" x14ac:dyDescent="0.25">
      <c r="C115" s="258" t="s">
        <v>22</v>
      </c>
      <c r="D115" s="1473">
        <f t="shared" si="252"/>
        <v>-215790</v>
      </c>
      <c r="E115" s="1473">
        <f t="shared" si="252"/>
        <v>-168865</v>
      </c>
      <c r="F115" s="1473">
        <f t="shared" si="252"/>
        <v>-899788.01</v>
      </c>
      <c r="G115" s="1473">
        <f t="shared" si="252"/>
        <v>-391570.9869096594</v>
      </c>
      <c r="H115" s="1473">
        <f t="shared" si="252"/>
        <v>-684408.27263749531</v>
      </c>
      <c r="I115" s="1473">
        <f t="shared" si="252"/>
        <v>-1100896.102618454</v>
      </c>
      <c r="J115" s="1473">
        <f t="shared" si="252"/>
        <v>-1761710.4690595446</v>
      </c>
      <c r="K115" s="1473">
        <f t="shared" si="252"/>
        <v>-2780295.6681943424</v>
      </c>
      <c r="L115" s="1473">
        <f t="shared" si="252"/>
        <v>-4308699.7546770424</v>
      </c>
      <c r="M115" s="244"/>
      <c r="N115" s="1473">
        <f>SUM(AY115:BA115)</f>
        <v>-36099</v>
      </c>
      <c r="O115" s="1473">
        <f>SUM(BB115:BD115)</f>
        <v>-159691</v>
      </c>
      <c r="P115" s="1473">
        <f>SUM(BE115:BG115)</f>
        <v>0</v>
      </c>
      <c r="Q115" s="1473">
        <f>SUM(BH115:BJ115)</f>
        <v>-20000</v>
      </c>
      <c r="R115" s="1473">
        <f>SUM(BK115:BM115)</f>
        <v>-12000</v>
      </c>
      <c r="S115" s="1473">
        <f>SUM(BN115:BP115)</f>
        <v>-94565</v>
      </c>
      <c r="T115" s="1473">
        <f>SUM(BQ115:BS115)</f>
        <v>0</v>
      </c>
      <c r="U115" s="1473">
        <f>SUM(BT115:BV115)</f>
        <v>-62300</v>
      </c>
      <c r="V115" s="1473">
        <f>SUM(BW115:BY115)</f>
        <v>-72400</v>
      </c>
      <c r="W115" s="1473">
        <f>SUM(BZ115:CB115)</f>
        <v>-319000</v>
      </c>
      <c r="X115" s="1473">
        <f>SUM(CC115:CE115)</f>
        <v>-201400.01</v>
      </c>
      <c r="Y115" s="1473">
        <f>SUM(CF115:CH115)</f>
        <v>-306988</v>
      </c>
      <c r="Z115" s="1473">
        <f>SUM(CI115:CK115)</f>
        <v>-63000</v>
      </c>
      <c r="AA115" s="1473">
        <f>SUM(CL115:CN115)</f>
        <v>-63750</v>
      </c>
      <c r="AB115" s="1473">
        <f>SUM(CO115:CQ115)</f>
        <v>-122779.78619852793</v>
      </c>
      <c r="AC115" s="1473">
        <f>SUM(CR115:CT115)</f>
        <v>-142041.2007111315</v>
      </c>
      <c r="AD115" s="1473">
        <f>SUM(CU115:CW115)</f>
        <v>-140823.07088927558</v>
      </c>
      <c r="AE115" s="1473">
        <f>SUM(CX115:CZ115)</f>
        <v>-158618.49303707643</v>
      </c>
      <c r="AF115" s="1473">
        <f>SUM(DA115:DC115)</f>
        <v>-145377.90107171697</v>
      </c>
      <c r="AG115" s="1473">
        <f>SUM(DD115:DF115)</f>
        <v>-239588.80763942632</v>
      </c>
      <c r="AH115" s="1473">
        <f>SUM(DG115:DI115)</f>
        <v>-226519.13499426679</v>
      </c>
      <c r="AI115" s="1473">
        <f>SUM(DJ115:DL115)</f>
        <v>-255143.73184705887</v>
      </c>
      <c r="AJ115" s="1473">
        <f>SUM(DM115:DO115)</f>
        <v>-233845.74835709881</v>
      </c>
      <c r="AK115" s="1473">
        <f>SUM(DP115:DR115)</f>
        <v>-385387.48742002959</v>
      </c>
      <c r="AL115" s="1473">
        <f>SUM(DS115:DU115)</f>
        <v>-362487.5504714342</v>
      </c>
      <c r="AM115" s="1473">
        <f>SUM(DV115:DX115)</f>
        <v>-408294.10008881439</v>
      </c>
      <c r="AN115" s="1473">
        <f>SUM(DY115:EA115)</f>
        <v>-374211.97336052696</v>
      </c>
      <c r="AO115" s="1473">
        <f>SUM(EB115:ED115)</f>
        <v>-616716.84513876925</v>
      </c>
      <c r="AP115" s="1473">
        <f>SUM(EE115:EG115)</f>
        <v>-572070.48720560386</v>
      </c>
      <c r="AQ115" s="1473">
        <f>SUM(EH115:EJ115)</f>
        <v>-644361.45312358346</v>
      </c>
      <c r="AR115" s="1473">
        <f>SUM(EK115:EM115)</f>
        <v>-590573.73319472745</v>
      </c>
      <c r="AS115" s="1473">
        <f>SUM(EN115:EP115)</f>
        <v>-973289.99467042787</v>
      </c>
      <c r="AT115" s="1473">
        <f>SUM(EQ115:ES115)</f>
        <v>-886553.18068440282</v>
      </c>
      <c r="AU115" s="1473">
        <f>SUM(ET115:EV115)</f>
        <v>-998584.45515617693</v>
      </c>
      <c r="AV115" s="1473">
        <f>SUM(EW115:EY115)</f>
        <v>-915228.16384036443</v>
      </c>
      <c r="AW115" s="1473">
        <f>SUM(EZ115:FB115)</f>
        <v>-1508333.9549960983</v>
      </c>
      <c r="AX115" s="244"/>
      <c r="AY115" s="88">
        <v>0</v>
      </c>
      <c r="AZ115" s="88">
        <v>-24642</v>
      </c>
      <c r="BA115" s="88">
        <v>-11457</v>
      </c>
      <c r="BB115" s="88">
        <v>0</v>
      </c>
      <c r="BC115" s="88">
        <v>0</v>
      </c>
      <c r="BD115" s="88">
        <v>-159691</v>
      </c>
      <c r="BE115" s="88">
        <v>0</v>
      </c>
      <c r="BF115" s="88">
        <v>0</v>
      </c>
      <c r="BG115" s="88">
        <v>0</v>
      </c>
      <c r="BH115" s="88">
        <v>-20000</v>
      </c>
      <c r="BI115" s="88">
        <v>0</v>
      </c>
      <c r="BJ115" s="88">
        <v>0</v>
      </c>
      <c r="BK115" s="88">
        <v>0</v>
      </c>
      <c r="BL115" s="88">
        <v>0</v>
      </c>
      <c r="BM115" s="88">
        <v>-12000</v>
      </c>
      <c r="BN115" s="88">
        <v>0</v>
      </c>
      <c r="BO115" s="88">
        <v>-468</v>
      </c>
      <c r="BP115" s="88">
        <v>-94097</v>
      </c>
      <c r="BQ115" s="88">
        <v>0</v>
      </c>
      <c r="BR115" s="88">
        <v>0</v>
      </c>
      <c r="BS115" s="88">
        <v>0</v>
      </c>
      <c r="BT115" s="88">
        <v>-10800</v>
      </c>
      <c r="BU115" s="88">
        <v>0</v>
      </c>
      <c r="BV115" s="88">
        <v>-51500</v>
      </c>
      <c r="BW115" s="88">
        <v>0</v>
      </c>
      <c r="BX115" s="88">
        <v>0</v>
      </c>
      <c r="BY115" s="88">
        <v>-72400</v>
      </c>
      <c r="BZ115" s="88">
        <v>-40000</v>
      </c>
      <c r="CA115" s="88">
        <v>-259000</v>
      </c>
      <c r="CB115" s="88">
        <v>-20000</v>
      </c>
      <c r="CC115" s="88">
        <v>-132400.01</v>
      </c>
      <c r="CD115" s="88">
        <v>-51000</v>
      </c>
      <c r="CE115" s="88">
        <v>-18000</v>
      </c>
      <c r="CF115" s="88">
        <v>-18000</v>
      </c>
      <c r="CG115" s="88">
        <v>-283000</v>
      </c>
      <c r="CH115" s="88">
        <v>-5988</v>
      </c>
      <c r="CI115" s="1493">
        <v>0</v>
      </c>
      <c r="CJ115" s="1493">
        <v>-23000</v>
      </c>
      <c r="CK115" s="1493">
        <v>-40000</v>
      </c>
      <c r="CL115" s="1493">
        <v>-12000</v>
      </c>
      <c r="CM115" s="1493">
        <v>-22500</v>
      </c>
      <c r="CN115" s="1493">
        <v>-29250</v>
      </c>
      <c r="CO115" s="1493">
        <v>-17346.754060079118</v>
      </c>
      <c r="CP115" s="1493">
        <v>-39463.659977945907</v>
      </c>
      <c r="CQ115" s="1493">
        <v>-65969.372160502899</v>
      </c>
      <c r="CR115" s="1493">
        <v>-21005.927847898765</v>
      </c>
      <c r="CS115" s="1493">
        <v>-69036.875502290204</v>
      </c>
      <c r="CT115" s="1493">
        <v>-51998.397360942537</v>
      </c>
      <c r="CU115" s="159">
        <v>-30480.529107812406</v>
      </c>
      <c r="CV115" s="159">
        <v>-38551.141416565966</v>
      </c>
      <c r="CW115" s="159">
        <v>-71791.400364897214</v>
      </c>
      <c r="CX115" s="159">
        <v>-47602.368985269</v>
      </c>
      <c r="CY115" s="159">
        <v>-38999.288156858005</v>
      </c>
      <c r="CZ115" s="159">
        <v>-72016.835894949443</v>
      </c>
      <c r="DA115" s="159">
        <v>-48010.330198044976</v>
      </c>
      <c r="DB115" s="159">
        <v>-37661.409402037651</v>
      </c>
      <c r="DC115" s="159">
        <v>-59706.161471634361</v>
      </c>
      <c r="DD115" s="159">
        <v>-47198.473050737928</v>
      </c>
      <c r="DE115" s="159">
        <v>-99200.149897513096</v>
      </c>
      <c r="DF115" s="159">
        <v>-93190.184691175295</v>
      </c>
      <c r="DG115" s="159">
        <v>-49029.062099476243</v>
      </c>
      <c r="DH115" s="159">
        <v>-62010.941471289887</v>
      </c>
      <c r="DI115" s="159">
        <v>-115479.13142350066</v>
      </c>
      <c r="DJ115" s="159">
        <v>-76570.176876054902</v>
      </c>
      <c r="DK115" s="159">
        <v>-62731.802132262645</v>
      </c>
      <c r="DL115" s="159">
        <v>-115841.75283874132</v>
      </c>
      <c r="DM115" s="159">
        <v>-77226.397624868754</v>
      </c>
      <c r="DN115" s="159">
        <v>-60579.774510968986</v>
      </c>
      <c r="DO115" s="159">
        <v>-96039.576221261086</v>
      </c>
      <c r="DP115" s="159">
        <v>-75920.495278146729</v>
      </c>
      <c r="DQ115" s="159">
        <v>-159567.12209290086</v>
      </c>
      <c r="DR115" s="159">
        <v>-149899.87004898203</v>
      </c>
      <c r="DS115" s="159">
        <v>-78458.822574970516</v>
      </c>
      <c r="DT115" s="159">
        <v>-99233.092501983425</v>
      </c>
      <c r="DU115" s="159">
        <v>-184795.63539448025</v>
      </c>
      <c r="DV115" s="159">
        <v>-122531.5285424699</v>
      </c>
      <c r="DW115" s="159">
        <v>-100386.65074435374</v>
      </c>
      <c r="DX115" s="159">
        <v>-185375.92080199078</v>
      </c>
      <c r="DY115" s="159">
        <v>-123581.6466784591</v>
      </c>
      <c r="DZ115" s="159">
        <v>-96942.865648629493</v>
      </c>
      <c r="EA115" s="159">
        <v>-153687.46103343833</v>
      </c>
      <c r="EB115" s="159">
        <v>-121491.87469151351</v>
      </c>
      <c r="EC115" s="159">
        <v>-255347.50176710618</v>
      </c>
      <c r="ED115" s="159">
        <v>-239877.46868014953</v>
      </c>
      <c r="EE115" s="159">
        <v>-123822.11967739978</v>
      </c>
      <c r="EF115" s="159">
        <v>-156607.65038881532</v>
      </c>
      <c r="EG115" s="159">
        <v>-291640.71713938878</v>
      </c>
      <c r="EH115" s="159">
        <v>-193376.76877502055</v>
      </c>
      <c r="EI115" s="159">
        <v>-158428.1725691621</v>
      </c>
      <c r="EJ115" s="159">
        <v>-292556.51177940087</v>
      </c>
      <c r="EK115" s="159">
        <v>-195034.04388115171</v>
      </c>
      <c r="EL115" s="159">
        <v>-152993.26090121613</v>
      </c>
      <c r="EM115" s="159">
        <v>-242546.42841235967</v>
      </c>
      <c r="EN115" s="159">
        <v>-191736.00819091685</v>
      </c>
      <c r="EO115" s="159">
        <v>-402984.23919017822</v>
      </c>
      <c r="EP115" s="159">
        <v>-378569.74728933279</v>
      </c>
      <c r="EQ115" s="159">
        <v>-191890.50387007662</v>
      </c>
      <c r="ER115" s="159">
        <v>-242699.13179739908</v>
      </c>
      <c r="ES115" s="159">
        <v>-451963.54501692706</v>
      </c>
      <c r="ET115" s="159">
        <v>-299681.2338028393</v>
      </c>
      <c r="EU115" s="159">
        <v>-245520.44449502981</v>
      </c>
      <c r="EV115" s="159">
        <v>-453382.77685830777</v>
      </c>
      <c r="EW115" s="159">
        <v>-302249.55807313428</v>
      </c>
      <c r="EX115" s="159">
        <v>-237097.81418334838</v>
      </c>
      <c r="EY115" s="159">
        <v>-375880.79158388171</v>
      </c>
      <c r="EZ115" s="159">
        <v>-297138.50253613107</v>
      </c>
      <c r="FA115" s="159">
        <v>-624515.62702505547</v>
      </c>
      <c r="FB115" s="159">
        <v>-586679.82543491176</v>
      </c>
    </row>
    <row r="116" spans="3:158" x14ac:dyDescent="0.25">
      <c r="C116" s="291" t="s">
        <v>24</v>
      </c>
      <c r="D116" s="1470">
        <f t="shared" ref="D116:L116" si="253">SUM(D111:D115)</f>
        <v>10865249.159999995</v>
      </c>
      <c r="E116" s="1470">
        <f t="shared" si="253"/>
        <v>19631243.769999996</v>
      </c>
      <c r="F116" s="1470">
        <f t="shared" si="253"/>
        <v>28090543.643296998</v>
      </c>
      <c r="G116" s="1470">
        <f t="shared" si="253"/>
        <v>49098122.933179937</v>
      </c>
      <c r="H116" s="1470">
        <f t="shared" si="253"/>
        <v>80902480.959456056</v>
      </c>
      <c r="I116" s="1492">
        <f t="shared" si="253"/>
        <v>132701050.62038198</v>
      </c>
      <c r="J116" s="1492">
        <f t="shared" si="253"/>
        <v>214796238.54559654</v>
      </c>
      <c r="K116" s="1492">
        <f t="shared" si="253"/>
        <v>341635847.70133883</v>
      </c>
      <c r="L116" s="1492">
        <f t="shared" si="253"/>
        <v>532890905.12052214</v>
      </c>
      <c r="N116" s="1470">
        <f t="shared" ref="N116:AW116" si="254">SUM(N111:N115)</f>
        <v>5686425.1899999948</v>
      </c>
      <c r="O116" s="1470">
        <f t="shared" si="254"/>
        <v>6943994.1599999946</v>
      </c>
      <c r="P116" s="1470">
        <f t="shared" si="254"/>
        <v>8294377.6599999946</v>
      </c>
      <c r="Q116" s="1470">
        <f t="shared" si="254"/>
        <v>10865249.159999995</v>
      </c>
      <c r="R116" s="1470">
        <f t="shared" si="254"/>
        <v>12445981.389999995</v>
      </c>
      <c r="S116" s="1470">
        <f t="shared" si="254"/>
        <v>15558122.719999995</v>
      </c>
      <c r="T116" s="1470">
        <f t="shared" si="254"/>
        <v>17072812.309999995</v>
      </c>
      <c r="U116" s="1470">
        <f t="shared" si="254"/>
        <v>19631243.769999996</v>
      </c>
      <c r="V116" s="1470">
        <f t="shared" si="254"/>
        <v>21040021.579999994</v>
      </c>
      <c r="W116" s="1470">
        <f t="shared" si="254"/>
        <v>22871812.979231</v>
      </c>
      <c r="X116" s="1470">
        <f t="shared" si="254"/>
        <v>25843471.309231002</v>
      </c>
      <c r="Y116" s="1470">
        <f t="shared" si="254"/>
        <v>28090543.643297002</v>
      </c>
      <c r="Z116" s="1470">
        <f t="shared" si="254"/>
        <v>30458286.163297001</v>
      </c>
      <c r="AA116" s="1470">
        <f t="shared" si="254"/>
        <v>35584449.678591006</v>
      </c>
      <c r="AB116" s="1470">
        <f t="shared" si="254"/>
        <v>41600461.322165601</v>
      </c>
      <c r="AC116" s="1470">
        <f t="shared" si="254"/>
        <v>49098122.933179945</v>
      </c>
      <c r="AD116" s="1470">
        <f t="shared" si="254"/>
        <v>54667316.447311237</v>
      </c>
      <c r="AE116" s="1470">
        <f t="shared" si="254"/>
        <v>62163773.472850055</v>
      </c>
      <c r="AF116" s="1470">
        <f t="shared" si="254"/>
        <v>69587545.307203323</v>
      </c>
      <c r="AG116" s="1470">
        <f t="shared" si="254"/>
        <v>80902480.959456116</v>
      </c>
      <c r="AH116" s="1470">
        <f t="shared" si="254"/>
        <v>90271636.25222224</v>
      </c>
      <c r="AI116" s="1470">
        <f t="shared" si="254"/>
        <v>103142067.16063701</v>
      </c>
      <c r="AJ116" s="1470">
        <f t="shared" si="254"/>
        <v>115232068.3240094</v>
      </c>
      <c r="AK116" s="1470">
        <f t="shared" si="254"/>
        <v>132701050.62038209</v>
      </c>
      <c r="AL116" s="1470">
        <f t="shared" si="254"/>
        <v>147548967.54255262</v>
      </c>
      <c r="AM116" s="1470">
        <f t="shared" si="254"/>
        <v>167948022.80804917</v>
      </c>
      <c r="AN116" s="1470">
        <f t="shared" si="254"/>
        <v>187110385.35322064</v>
      </c>
      <c r="AO116" s="1470">
        <f t="shared" si="254"/>
        <v>214796238.54559666</v>
      </c>
      <c r="AP116" s="1470">
        <f t="shared" si="254"/>
        <v>237732615.79323488</v>
      </c>
      <c r="AQ116" s="1470">
        <f t="shared" si="254"/>
        <v>269252551.52859932</v>
      </c>
      <c r="AR116" s="1470">
        <f t="shared" si="254"/>
        <v>298862466.32881117</v>
      </c>
      <c r="AS116" s="1470">
        <f t="shared" si="254"/>
        <v>341635847.70133895</v>
      </c>
      <c r="AT116" s="1470">
        <f t="shared" si="254"/>
        <v>376212252.34287906</v>
      </c>
      <c r="AU116" s="1470">
        <f t="shared" si="254"/>
        <v>423745084.96243137</v>
      </c>
      <c r="AV116" s="1470">
        <f t="shared" si="254"/>
        <v>468399304.08153641</v>
      </c>
      <c r="AW116" s="1470">
        <f t="shared" si="254"/>
        <v>532890905.12052232</v>
      </c>
      <c r="AX116" s="244"/>
      <c r="AY116" s="1472">
        <f t="shared" ref="AY116:CG116" si="255">AZ111</f>
        <v>4617282.6899999948</v>
      </c>
      <c r="AZ116" s="1472">
        <f t="shared" si="255"/>
        <v>4939098.5199999949</v>
      </c>
      <c r="BA116" s="1472">
        <f t="shared" si="255"/>
        <v>5686425.1899999948</v>
      </c>
      <c r="BB116" s="1472">
        <f t="shared" si="255"/>
        <v>5959490.1899999948</v>
      </c>
      <c r="BC116" s="1472">
        <f t="shared" si="255"/>
        <v>6514207.1599999946</v>
      </c>
      <c r="BD116" s="1472">
        <f t="shared" si="255"/>
        <v>6943994.1599999946</v>
      </c>
      <c r="BE116" s="1472">
        <f t="shared" si="255"/>
        <v>7267144.1599999946</v>
      </c>
      <c r="BF116" s="1472">
        <f t="shared" si="255"/>
        <v>7482226.6599999946</v>
      </c>
      <c r="BG116" s="1472">
        <f t="shared" si="255"/>
        <v>8294377.6599999946</v>
      </c>
      <c r="BH116" s="1472">
        <f t="shared" si="255"/>
        <v>8606963.1599999946</v>
      </c>
      <c r="BI116" s="1472">
        <f t="shared" si="255"/>
        <v>9926369.1599999946</v>
      </c>
      <c r="BJ116" s="1472">
        <f t="shared" si="255"/>
        <v>10865249.159999995</v>
      </c>
      <c r="BK116" s="1472">
        <f t="shared" si="255"/>
        <v>11008399.159999995</v>
      </c>
      <c r="BL116" s="1472">
        <f t="shared" si="255"/>
        <v>11455280.159999995</v>
      </c>
      <c r="BM116" s="1472">
        <f t="shared" si="255"/>
        <v>12445981.389999995</v>
      </c>
      <c r="BN116" s="1472">
        <f t="shared" si="255"/>
        <v>12832526.619999995</v>
      </c>
      <c r="BO116" s="1472">
        <f t="shared" si="255"/>
        <v>14533524.479999995</v>
      </c>
      <c r="BP116" s="1472">
        <f t="shared" si="255"/>
        <v>15558122.719999995</v>
      </c>
      <c r="BQ116" s="1472">
        <f t="shared" si="255"/>
        <v>16054122.949999996</v>
      </c>
      <c r="BR116" s="1472">
        <f t="shared" si="255"/>
        <v>16245183.949999996</v>
      </c>
      <c r="BS116" s="1472">
        <f t="shared" si="255"/>
        <v>17072812.309999995</v>
      </c>
      <c r="BT116" s="1472">
        <f t="shared" si="255"/>
        <v>17127012.309999995</v>
      </c>
      <c r="BU116" s="1472">
        <f t="shared" si="255"/>
        <v>18041744.309999995</v>
      </c>
      <c r="BV116" s="1472">
        <f t="shared" si="255"/>
        <v>19631243.769999996</v>
      </c>
      <c r="BW116" s="1472">
        <f t="shared" si="255"/>
        <v>20115018.409999996</v>
      </c>
      <c r="BX116" s="1472">
        <f t="shared" si="255"/>
        <v>20717725.409999996</v>
      </c>
      <c r="BY116" s="1472">
        <f t="shared" si="255"/>
        <v>21040021.579999998</v>
      </c>
      <c r="BZ116" s="1472">
        <f t="shared" si="255"/>
        <v>21575744.59</v>
      </c>
      <c r="CA116" s="1472">
        <f t="shared" si="255"/>
        <v>21654769.419231001</v>
      </c>
      <c r="CB116" s="1472">
        <f t="shared" si="255"/>
        <v>22871812.979231</v>
      </c>
      <c r="CC116" s="1472">
        <f t="shared" si="255"/>
        <v>22937247.909231</v>
      </c>
      <c r="CD116" s="1472">
        <f t="shared" si="255"/>
        <v>24426456.399231002</v>
      </c>
      <c r="CE116" s="1472">
        <f t="shared" si="255"/>
        <v>25843471.309231002</v>
      </c>
      <c r="CF116" s="1472">
        <f t="shared" si="255"/>
        <v>26160902.249011002</v>
      </c>
      <c r="CG116" s="1472">
        <f t="shared" si="255"/>
        <v>26939608.743297003</v>
      </c>
      <c r="CH116" s="90">
        <v>28090543.643297002</v>
      </c>
      <c r="CI116" s="1482">
        <f t="shared" ref="CI116:DN116" si="256">SUM(CI111:CI115)</f>
        <v>28619658.653297003</v>
      </c>
      <c r="CJ116" s="1482">
        <f t="shared" si="256"/>
        <v>28816822.573297005</v>
      </c>
      <c r="CK116" s="1482">
        <f t="shared" si="256"/>
        <v>30458286.163297005</v>
      </c>
      <c r="CL116" s="1482">
        <f t="shared" si="256"/>
        <v>31194481.953297004</v>
      </c>
      <c r="CM116" s="1482">
        <f t="shared" si="256"/>
        <v>32385719.258591004</v>
      </c>
      <c r="CN116" s="1482">
        <f t="shared" si="256"/>
        <v>35584449.678591006</v>
      </c>
      <c r="CO116" s="1482">
        <f t="shared" si="256"/>
        <v>36489115.671492666</v>
      </c>
      <c r="CP116" s="1482">
        <f t="shared" si="256"/>
        <v>38602144.282325298</v>
      </c>
      <c r="CQ116" s="1482">
        <f t="shared" si="256"/>
        <v>41600461.322165601</v>
      </c>
      <c r="CR116" s="1482">
        <f t="shared" si="256"/>
        <v>42335836.931085579</v>
      </c>
      <c r="CS116" s="1482">
        <f t="shared" si="256"/>
        <v>45309046.94377701</v>
      </c>
      <c r="CT116" s="1482">
        <f t="shared" si="256"/>
        <v>49098122.933179945</v>
      </c>
      <c r="CU116" s="1482">
        <f t="shared" si="256"/>
        <v>49798566.910612375</v>
      </c>
      <c r="CV116" s="1482">
        <f t="shared" si="256"/>
        <v>51423675.709855035</v>
      </c>
      <c r="CW116" s="1482">
        <f t="shared" si="256"/>
        <v>54667316.447311237</v>
      </c>
      <c r="CX116" s="1482">
        <f t="shared" si="256"/>
        <v>55907317.123556599</v>
      </c>
      <c r="CY116" s="1482">
        <f t="shared" si="256"/>
        <v>58503211.214234047</v>
      </c>
      <c r="CZ116" s="1482">
        <f t="shared" si="256"/>
        <v>62163773.472850062</v>
      </c>
      <c r="DA116" s="1482">
        <f t="shared" si="256"/>
        <v>63347528.637980618</v>
      </c>
      <c r="DB116" s="1482">
        <f t="shared" si="256"/>
        <v>65602735.946551651</v>
      </c>
      <c r="DC116" s="1482">
        <f t="shared" si="256"/>
        <v>69587545.307203338</v>
      </c>
      <c r="DD116" s="1482">
        <f t="shared" si="256"/>
        <v>71233670.058963597</v>
      </c>
      <c r="DE116" s="1482">
        <f t="shared" si="256"/>
        <v>75705029.859626248</v>
      </c>
      <c r="DF116" s="1482">
        <f t="shared" si="256"/>
        <v>80902480.959456101</v>
      </c>
      <c r="DG116" s="1482">
        <f t="shared" si="256"/>
        <v>82143353.032328248</v>
      </c>
      <c r="DH116" s="1482">
        <f t="shared" si="256"/>
        <v>84889518.648467451</v>
      </c>
      <c r="DI116" s="1482">
        <f t="shared" si="256"/>
        <v>90271636.252222255</v>
      </c>
      <c r="DJ116" s="1482">
        <f t="shared" si="256"/>
        <v>92512831.926995322</v>
      </c>
      <c r="DK116" s="1482">
        <f t="shared" si="256"/>
        <v>96960169.15582867</v>
      </c>
      <c r="DL116" s="1482">
        <f t="shared" si="256"/>
        <v>103142067.16063702</v>
      </c>
      <c r="DM116" s="1482">
        <f t="shared" si="256"/>
        <v>105071288.29701543</v>
      </c>
      <c r="DN116" s="1482">
        <f t="shared" si="256"/>
        <v>108743641.25369404</v>
      </c>
      <c r="DO116" s="1482">
        <f t="shared" ref="DO116:ET116" si="257">SUM(DO111:DO115)</f>
        <v>115232068.32400943</v>
      </c>
      <c r="DP116" s="1482">
        <f t="shared" si="257"/>
        <v>117594051.20971507</v>
      </c>
      <c r="DQ116" s="1482">
        <f t="shared" si="257"/>
        <v>124556888.01750888</v>
      </c>
      <c r="DR116" s="1482">
        <f t="shared" si="257"/>
        <v>132701050.62038209</v>
      </c>
      <c r="DS116" s="1482">
        <f t="shared" si="257"/>
        <v>134666714.73970696</v>
      </c>
      <c r="DT116" s="1482">
        <f t="shared" si="257"/>
        <v>139018934.72779685</v>
      </c>
      <c r="DU116" s="1482">
        <f t="shared" si="257"/>
        <v>147548967.54255262</v>
      </c>
      <c r="DV116" s="1482">
        <f t="shared" si="257"/>
        <v>151099764.34517014</v>
      </c>
      <c r="DW116" s="1482">
        <f t="shared" si="257"/>
        <v>158149700.22798324</v>
      </c>
      <c r="DX116" s="1482">
        <f t="shared" si="257"/>
        <v>167948022.80804917</v>
      </c>
      <c r="DY116" s="1482">
        <f t="shared" si="257"/>
        <v>171004056.47649968</v>
      </c>
      <c r="DZ116" s="1482">
        <f t="shared" si="257"/>
        <v>176825102.54035875</v>
      </c>
      <c r="EA116" s="1482">
        <f t="shared" si="257"/>
        <v>187110385.35322067</v>
      </c>
      <c r="EB116" s="1482">
        <f t="shared" si="257"/>
        <v>190852756.84881118</v>
      </c>
      <c r="EC116" s="1482">
        <f t="shared" si="257"/>
        <v>201887604.09522331</v>
      </c>
      <c r="ED116" s="1482">
        <f t="shared" si="257"/>
        <v>214796238.54559666</v>
      </c>
      <c r="EE116" s="1482">
        <f t="shared" si="257"/>
        <v>217829847.45992032</v>
      </c>
      <c r="EF116" s="1482">
        <f t="shared" si="257"/>
        <v>224553614.62293059</v>
      </c>
      <c r="EG116" s="1482">
        <f t="shared" si="257"/>
        <v>237732615.79323491</v>
      </c>
      <c r="EH116" s="1482">
        <f t="shared" si="257"/>
        <v>243214360.41707471</v>
      </c>
      <c r="EI116" s="1482">
        <f t="shared" si="257"/>
        <v>254111504.66883951</v>
      </c>
      <c r="EJ116" s="1482">
        <f t="shared" si="257"/>
        <v>269252551.52859926</v>
      </c>
      <c r="EK116" s="1482">
        <f t="shared" si="257"/>
        <v>273968777.28432721</v>
      </c>
      <c r="EL116" s="1482">
        <f t="shared" si="257"/>
        <v>282965097.91750944</v>
      </c>
      <c r="EM116" s="1482">
        <f t="shared" si="257"/>
        <v>298862466.32881111</v>
      </c>
      <c r="EN116" s="1482">
        <f t="shared" si="257"/>
        <v>304640682.96762609</v>
      </c>
      <c r="EO116" s="1482">
        <f t="shared" si="257"/>
        <v>321688124.06479168</v>
      </c>
      <c r="EP116" s="1482">
        <f t="shared" si="257"/>
        <v>341635847.70133901</v>
      </c>
      <c r="EQ116" s="1482">
        <f t="shared" si="257"/>
        <v>346203288.91668206</v>
      </c>
      <c r="ER116" s="1482">
        <f t="shared" si="257"/>
        <v>356340626.99588412</v>
      </c>
      <c r="ES116" s="1482">
        <f t="shared" si="257"/>
        <v>376212252.34287906</v>
      </c>
      <c r="ET116" s="1482">
        <f t="shared" si="257"/>
        <v>384469233.16324335</v>
      </c>
      <c r="EU116" s="1482">
        <f t="shared" ref="EU116:FB116" si="258">SUM(EU111:EU115)</f>
        <v>400910007.95867759</v>
      </c>
      <c r="EV116" s="1482">
        <f t="shared" si="258"/>
        <v>423745084.96243131</v>
      </c>
      <c r="EW116" s="1482">
        <f t="shared" si="258"/>
        <v>430845596.29042679</v>
      </c>
      <c r="EX116" s="1482">
        <f t="shared" si="258"/>
        <v>444415926.79796225</v>
      </c>
      <c r="EY116" s="1482">
        <f t="shared" si="258"/>
        <v>468399304.08153641</v>
      </c>
      <c r="EZ116" s="1482">
        <f t="shared" si="258"/>
        <v>477104283.45695412</v>
      </c>
      <c r="FA116" s="1482">
        <f t="shared" si="258"/>
        <v>502805792.38359469</v>
      </c>
      <c r="FB116" s="1482">
        <f t="shared" si="258"/>
        <v>532890905.12052232</v>
      </c>
    </row>
    <row r="118" spans="3:158" x14ac:dyDescent="0.25">
      <c r="C118" s="289" t="s">
        <v>620</v>
      </c>
      <c r="D118" s="1454">
        <f t="shared" ref="D118:L118" si="259">SUM(D114:D115)/D111+1</f>
        <v>0.89887997605214986</v>
      </c>
      <c r="E118" s="1454">
        <f t="shared" si="259"/>
        <v>0.95321929000291783</v>
      </c>
      <c r="F118" s="1454">
        <f t="shared" si="259"/>
        <v>0.93037834857628077</v>
      </c>
      <c r="G118" s="1454">
        <f t="shared" si="259"/>
        <v>0.95800171828669556</v>
      </c>
      <c r="H118" s="1454">
        <f t="shared" si="259"/>
        <v>0.95800171828669556</v>
      </c>
      <c r="I118" s="1454">
        <f t="shared" si="259"/>
        <v>0.95900171828669556</v>
      </c>
      <c r="J118" s="1454">
        <f t="shared" si="259"/>
        <v>0.96000171828669556</v>
      </c>
      <c r="K118" s="1454">
        <f t="shared" si="259"/>
        <v>0.96100171828669556</v>
      </c>
      <c r="L118" s="1454">
        <f t="shared" si="259"/>
        <v>0.96200171828669556</v>
      </c>
      <c r="M118" s="244"/>
      <c r="N118" s="413"/>
      <c r="O118" s="413"/>
      <c r="P118" s="413"/>
      <c r="Q118" s="1454">
        <f t="shared" ref="Q118:AW118" si="260">IFERROR(SUM(N114:Q115)/N111+1,"")</f>
        <v>0.89887997605214986</v>
      </c>
      <c r="R118" s="1454">
        <f t="shared" si="260"/>
        <v>0.90931600209797181</v>
      </c>
      <c r="S118" s="1454">
        <f t="shared" si="260"/>
        <v>0.91600485879440885</v>
      </c>
      <c r="T118" s="1454">
        <f t="shared" si="260"/>
        <v>0.93562690392373571</v>
      </c>
      <c r="U118" s="1454">
        <f t="shared" si="260"/>
        <v>0.95321929000291783</v>
      </c>
      <c r="V118" s="1454">
        <f t="shared" si="260"/>
        <v>0.95994029844841344</v>
      </c>
      <c r="W118" s="1454">
        <f t="shared" si="260"/>
        <v>0.94793597239545357</v>
      </c>
      <c r="X118" s="1454">
        <f t="shared" si="260"/>
        <v>0.9377430582923687</v>
      </c>
      <c r="Y118" s="1454">
        <f t="shared" si="260"/>
        <v>0.93037834857628077</v>
      </c>
      <c r="Z118" s="1454">
        <f t="shared" si="260"/>
        <v>0.91839260077560247</v>
      </c>
      <c r="AA118" s="1454">
        <f t="shared" si="260"/>
        <v>0.94124827571735503</v>
      </c>
      <c r="AB118" s="1454">
        <f t="shared" si="260"/>
        <v>0.94852121487448149</v>
      </c>
      <c r="AC118" s="1454">
        <f t="shared" si="260"/>
        <v>0.95800171828669567</v>
      </c>
      <c r="AD118" s="1454">
        <f t="shared" si="260"/>
        <v>0.96224275111654334</v>
      </c>
      <c r="AE118" s="1454">
        <f t="shared" si="260"/>
        <v>0.9589016941784535</v>
      </c>
      <c r="AF118" s="1454">
        <f t="shared" si="260"/>
        <v>0.96056049793418707</v>
      </c>
      <c r="AG118" s="1454">
        <f t="shared" si="260"/>
        <v>0.95800171828669556</v>
      </c>
      <c r="AH118" s="1454">
        <f t="shared" si="260"/>
        <v>0.95755730285423568</v>
      </c>
      <c r="AI118" s="1454">
        <f t="shared" si="260"/>
        <v>0.95799729134246514</v>
      </c>
      <c r="AJ118" s="1454">
        <f t="shared" si="260"/>
        <v>0.95864792402304688</v>
      </c>
      <c r="AK118" s="1454">
        <f t="shared" si="260"/>
        <v>0.95900171828669556</v>
      </c>
      <c r="AL118" s="1454">
        <f t="shared" si="260"/>
        <v>0.95871883190889984</v>
      </c>
      <c r="AM118" s="1454">
        <f t="shared" si="260"/>
        <v>0.95939637752914253</v>
      </c>
      <c r="AN118" s="1454">
        <f t="shared" si="260"/>
        <v>0.95998642080248253</v>
      </c>
      <c r="AO118" s="1454">
        <f t="shared" si="260"/>
        <v>0.96000171828669556</v>
      </c>
      <c r="AP118" s="1454">
        <f t="shared" si="260"/>
        <v>0.95974718519262703</v>
      </c>
      <c r="AQ118" s="1454">
        <f t="shared" si="260"/>
        <v>0.96040142266700723</v>
      </c>
      <c r="AR118" s="1454">
        <f t="shared" si="260"/>
        <v>0.96097291038488386</v>
      </c>
      <c r="AS118" s="1454">
        <f t="shared" si="260"/>
        <v>0.96100171828669556</v>
      </c>
      <c r="AT118" s="1454">
        <f t="shared" si="260"/>
        <v>0.96077870367620999</v>
      </c>
      <c r="AU118" s="1454">
        <f t="shared" si="260"/>
        <v>0.96140645258844704</v>
      </c>
      <c r="AV118" s="1454">
        <f t="shared" si="260"/>
        <v>0.96195723545747625</v>
      </c>
      <c r="AW118" s="1454">
        <f t="shared" si="260"/>
        <v>0.96200171828669556</v>
      </c>
      <c r="AX118" s="244"/>
      <c r="AY118" s="1454">
        <f t="shared" ref="AY118:CD118" si="261">IFERROR(SUM(AY114:AY115)/AY111*12+1,"")</f>
        <v>0.98125603114044879</v>
      </c>
      <c r="AZ118" s="1454">
        <f t="shared" si="261"/>
        <v>0.93595713759514254</v>
      </c>
      <c r="BA118" s="1454">
        <f t="shared" si="261"/>
        <v>0.92211453194499138</v>
      </c>
      <c r="BB118" s="1454">
        <f t="shared" si="261"/>
        <v>1</v>
      </c>
      <c r="BC118" s="1454">
        <f t="shared" si="261"/>
        <v>1</v>
      </c>
      <c r="BD118" s="1454">
        <f t="shared" si="261"/>
        <v>0.70582882107789746</v>
      </c>
      <c r="BE118" s="1454">
        <f t="shared" si="261"/>
        <v>0.89631327685333184</v>
      </c>
      <c r="BF118" s="1454">
        <f t="shared" si="261"/>
        <v>0.99409341564513565</v>
      </c>
      <c r="BG118" s="1454">
        <f t="shared" si="261"/>
        <v>0.99037719608456765</v>
      </c>
      <c r="BH118" s="1454">
        <f t="shared" si="261"/>
        <v>0.86255750018501076</v>
      </c>
      <c r="BI118" s="1454">
        <f t="shared" si="261"/>
        <v>0.94570349712058022</v>
      </c>
      <c r="BJ118" s="1454">
        <f t="shared" si="261"/>
        <v>0.95285285158586619</v>
      </c>
      <c r="BK118" s="1454">
        <f t="shared" si="261"/>
        <v>0.94588251117473676</v>
      </c>
      <c r="BL118" s="1454">
        <f t="shared" si="261"/>
        <v>0.95639692992382375</v>
      </c>
      <c r="BM118" s="1454">
        <f t="shared" si="261"/>
        <v>0.97438131273080975</v>
      </c>
      <c r="BN118" s="1454">
        <f t="shared" si="261"/>
        <v>0.97830625070539334</v>
      </c>
      <c r="BO118" s="1454">
        <f t="shared" si="261"/>
        <v>0.98179501146439074</v>
      </c>
      <c r="BP118" s="1454">
        <f t="shared" si="261"/>
        <v>0.84698797576181595</v>
      </c>
      <c r="BQ118" s="1454">
        <f t="shared" si="261"/>
        <v>1</v>
      </c>
      <c r="BR118" s="1454">
        <f t="shared" si="261"/>
        <v>0.99495456710701224</v>
      </c>
      <c r="BS118" s="1454">
        <f t="shared" si="261"/>
        <v>0.99002781375091786</v>
      </c>
      <c r="BT118" s="1454">
        <f t="shared" si="261"/>
        <v>0.94074789896170308</v>
      </c>
      <c r="BU118" s="1454">
        <f t="shared" si="261"/>
        <v>1</v>
      </c>
      <c r="BV118" s="1454">
        <f t="shared" si="261"/>
        <v>0.95810163435355766</v>
      </c>
      <c r="BW118" s="1454">
        <f t="shared" si="261"/>
        <v>0.99971392541064652</v>
      </c>
      <c r="BX118" s="1454">
        <f t="shared" si="261"/>
        <v>0.99254288527394885</v>
      </c>
      <c r="BY118" s="1454">
        <f t="shared" si="261"/>
        <v>0.94741546292170886</v>
      </c>
      <c r="BZ118" s="1454">
        <f t="shared" si="261"/>
        <v>0.90864439027823463</v>
      </c>
      <c r="CA118" s="1454">
        <f t="shared" si="261"/>
        <v>0.83786280215564979</v>
      </c>
      <c r="CB118" s="1454">
        <f t="shared" si="261"/>
        <v>0.95177505796609474</v>
      </c>
      <c r="CC118" s="1454">
        <f t="shared" si="261"/>
        <v>0.90945185666389483</v>
      </c>
      <c r="CD118" s="1454">
        <f t="shared" si="261"/>
        <v>0.96625575992974699</v>
      </c>
      <c r="CE118" s="1454">
        <f t="shared" ref="CE118:DJ118" si="262">IFERROR(SUM(CE114:CE115)/CE111*12+1,"")</f>
        <v>0.98229008772579807</v>
      </c>
      <c r="CF118" s="1454">
        <f t="shared" si="262"/>
        <v>0.99164198967640826</v>
      </c>
      <c r="CG118" s="1454">
        <f t="shared" si="262"/>
        <v>0.83064793722213892</v>
      </c>
      <c r="CH118" s="1454">
        <f t="shared" si="262"/>
        <v>0.97151335020071716</v>
      </c>
      <c r="CI118" s="1454">
        <f t="shared" si="262"/>
        <v>1</v>
      </c>
      <c r="CJ118" s="1454">
        <f t="shared" si="262"/>
        <v>0.87833530783223124</v>
      </c>
      <c r="CK118" s="1454">
        <f t="shared" si="262"/>
        <v>0.93176943797329137</v>
      </c>
      <c r="CL118" s="1454">
        <f t="shared" si="262"/>
        <v>0.99527222250037417</v>
      </c>
      <c r="CM118" s="1454">
        <f t="shared" si="262"/>
        <v>0.9767266530956682</v>
      </c>
      <c r="CN118" s="1454">
        <f t="shared" si="262"/>
        <v>0.96555584048965992</v>
      </c>
      <c r="CO118" s="1454">
        <f t="shared" si="262"/>
        <v>0.98762365754822923</v>
      </c>
      <c r="CP118" s="1454">
        <f t="shared" si="262"/>
        <v>0.97254203338254075</v>
      </c>
      <c r="CQ118" s="1454">
        <f t="shared" si="262"/>
        <v>0.95661243557697317</v>
      </c>
      <c r="CR118" s="1454">
        <f t="shared" si="262"/>
        <v>0.98718029377534555</v>
      </c>
      <c r="CS118" s="1454">
        <f t="shared" si="262"/>
        <v>0.95859933392704755</v>
      </c>
      <c r="CT118" s="1454">
        <f t="shared" si="262"/>
        <v>0.97086336579087862</v>
      </c>
      <c r="CU118" s="1454">
        <f t="shared" si="262"/>
        <v>0.9775549788144916</v>
      </c>
      <c r="CV118" s="1454">
        <f t="shared" si="262"/>
        <v>0.97201129509737361</v>
      </c>
      <c r="CW118" s="1454">
        <f t="shared" si="262"/>
        <v>0.94952553603427226</v>
      </c>
      <c r="CX118" s="1454">
        <f t="shared" si="262"/>
        <v>0.96851793451039947</v>
      </c>
      <c r="CY118" s="1454">
        <f t="shared" si="262"/>
        <v>0.9747796891451328</v>
      </c>
      <c r="CZ118" s="1454">
        <f t="shared" si="262"/>
        <v>0.9554941870314636</v>
      </c>
      <c r="DA118" s="1454">
        <f t="shared" si="262"/>
        <v>0.97207715080932955</v>
      </c>
      <c r="DB118" s="1454">
        <f t="shared" si="262"/>
        <v>0.97850540339149217</v>
      </c>
      <c r="DC118" s="1454">
        <f t="shared" si="262"/>
        <v>0.96709517341921936</v>
      </c>
      <c r="DD118" s="1454">
        <f t="shared" si="262"/>
        <v>0.9754778333989288</v>
      </c>
      <c r="DE118" s="1454">
        <f t="shared" si="262"/>
        <v>0.94965116627691248</v>
      </c>
      <c r="DF118" s="1454">
        <f t="shared" si="262"/>
        <v>0.95549509847810365</v>
      </c>
      <c r="DG118" s="1454">
        <f t="shared" si="262"/>
        <v>0.97808940594507587</v>
      </c>
      <c r="DH118" s="1454">
        <f t="shared" si="262"/>
        <v>0.97270655817740936</v>
      </c>
      <c r="DI118" s="1454">
        <f t="shared" si="262"/>
        <v>0.95081735911209342</v>
      </c>
      <c r="DJ118" s="1454">
        <f t="shared" si="262"/>
        <v>0.96933303886263167</v>
      </c>
      <c r="DK118" s="1454">
        <f t="shared" ref="DK118:EP118" si="263">IFERROR(SUM(DK114:DK115)/DK111*12+1,"")</f>
        <v>0.97548407999778919</v>
      </c>
      <c r="DL118" s="1454">
        <f t="shared" si="263"/>
        <v>0.95680493191502114</v>
      </c>
      <c r="DM118" s="1454">
        <f t="shared" si="263"/>
        <v>0.97292974464001458</v>
      </c>
      <c r="DN118" s="1454">
        <f t="shared" si="263"/>
        <v>0.97915480307600089</v>
      </c>
      <c r="DO118" s="1454">
        <f t="shared" si="263"/>
        <v>0.96806927562977563</v>
      </c>
      <c r="DP118" s="1454">
        <f t="shared" si="263"/>
        <v>0.97617965307061061</v>
      </c>
      <c r="DQ118" s="1454">
        <f t="shared" si="263"/>
        <v>0.95094079944188459</v>
      </c>
      <c r="DR118" s="1454">
        <f t="shared" si="263"/>
        <v>0.95648931562928241</v>
      </c>
      <c r="DS118" s="1454">
        <f t="shared" si="263"/>
        <v>0.97862383307566003</v>
      </c>
      <c r="DT118" s="1454">
        <f t="shared" si="263"/>
        <v>0.97335850035592386</v>
      </c>
      <c r="DU118" s="1454">
        <f t="shared" si="263"/>
        <v>0.95194039906060313</v>
      </c>
      <c r="DV118" s="1454">
        <f t="shared" si="263"/>
        <v>0.96997561755958817</v>
      </c>
      <c r="DW118" s="1454">
        <f t="shared" si="263"/>
        <v>0.97597991251314886</v>
      </c>
      <c r="DX118" s="1454">
        <f t="shared" si="263"/>
        <v>0.95762132683512857</v>
      </c>
      <c r="DY118" s="1454">
        <f t="shared" si="263"/>
        <v>0.97339633384332092</v>
      </c>
      <c r="DZ118" s="1454">
        <f t="shared" si="263"/>
        <v>0.97950387090659885</v>
      </c>
      <c r="EA118" s="1454">
        <f t="shared" si="263"/>
        <v>0.96857632862058385</v>
      </c>
      <c r="EB118" s="1454">
        <f t="shared" si="263"/>
        <v>0.97652466776414493</v>
      </c>
      <c r="EC118" s="1454">
        <f t="shared" si="263"/>
        <v>0.95162782865453055</v>
      </c>
      <c r="ED118" s="1454">
        <f t="shared" si="263"/>
        <v>0.95704218234259542</v>
      </c>
      <c r="EE118" s="1454">
        <f t="shared" si="263"/>
        <v>0.9791582602062443</v>
      </c>
      <c r="EF118" s="1454">
        <f t="shared" si="263"/>
        <v>0.97400690503432652</v>
      </c>
      <c r="EG118" s="1454">
        <f t="shared" si="263"/>
        <v>0.9530440626772112</v>
      </c>
      <c r="EH118" s="1454">
        <f t="shared" si="263"/>
        <v>0.97059115711474087</v>
      </c>
      <c r="EI118" s="1454">
        <f t="shared" si="263"/>
        <v>0.97644920317252382</v>
      </c>
      <c r="EJ118" s="1454">
        <f t="shared" si="263"/>
        <v>0.95837561322327636</v>
      </c>
      <c r="EK118" s="1454">
        <f t="shared" si="263"/>
        <v>0.97381135641660588</v>
      </c>
      <c r="EL118" s="1454">
        <f t="shared" si="263"/>
        <v>0.97981012468909578</v>
      </c>
      <c r="EM118" s="1454">
        <f t="shared" si="263"/>
        <v>0.96900979709626467</v>
      </c>
      <c r="EN118" s="1454">
        <f t="shared" si="263"/>
        <v>0.97680498208178246</v>
      </c>
      <c r="EO118" s="1454">
        <f t="shared" si="263"/>
        <v>0.95217416427304202</v>
      </c>
      <c r="EP118" s="1454">
        <f t="shared" si="263"/>
        <v>0.95745257473902412</v>
      </c>
      <c r="EQ118" s="1454">
        <f t="shared" ref="EQ118:FB118" si="264">IFERROR(SUM(EQ114:EQ115)/EQ111*12+1,"")</f>
        <v>0.97969268733682846</v>
      </c>
      <c r="ER118" s="1454">
        <f t="shared" si="264"/>
        <v>0.97465458302914865</v>
      </c>
      <c r="ES118" s="1454">
        <f t="shared" si="264"/>
        <v>0.95414354545509705</v>
      </c>
      <c r="ET118" s="1454">
        <f t="shared" si="264"/>
        <v>0.97120022998275535</v>
      </c>
      <c r="EU118" s="1454">
        <f t="shared" si="264"/>
        <v>0.97691188498425963</v>
      </c>
      <c r="EV118" s="1454">
        <f t="shared" si="264"/>
        <v>0.95911344425900513</v>
      </c>
      <c r="EW118" s="1454">
        <f t="shared" si="264"/>
        <v>0.97421165879472993</v>
      </c>
      <c r="EX118" s="1454">
        <f t="shared" si="264"/>
        <v>0.9801038842490406</v>
      </c>
      <c r="EY118" s="1454">
        <f t="shared" si="264"/>
        <v>0.96942102490726167</v>
      </c>
      <c r="EZ118" s="1454">
        <f t="shared" si="264"/>
        <v>0.97706466456299346</v>
      </c>
      <c r="FA118" s="1454">
        <f t="shared" si="264"/>
        <v>0.95267480617076605</v>
      </c>
      <c r="FB118" s="1454">
        <f t="shared" si="264"/>
        <v>0.95781449144900355</v>
      </c>
    </row>
    <row r="131" spans="3:12" hidden="1" outlineLevel="1" x14ac:dyDescent="0.25">
      <c r="C131" t="s">
        <v>886</v>
      </c>
    </row>
    <row r="132" spans="3:12" hidden="1" outlineLevel="1" x14ac:dyDescent="0.25"/>
    <row r="133" spans="3:12" hidden="1" outlineLevel="1" x14ac:dyDescent="0.25">
      <c r="C133" s="1" t="s">
        <v>885</v>
      </c>
    </row>
    <row r="134" spans="3:12" hidden="1" outlineLevel="1" x14ac:dyDescent="0.25">
      <c r="C134" s="2" t="s">
        <v>607</v>
      </c>
      <c r="G134" s="90">
        <v>25000</v>
      </c>
      <c r="H134" s="1472">
        <f>G134*1.05</f>
        <v>26250</v>
      </c>
      <c r="I134" s="1472">
        <f>H134*1.05</f>
        <v>27562.5</v>
      </c>
      <c r="J134" s="1472">
        <f>I134*1.05</f>
        <v>28940.625</v>
      </c>
      <c r="K134" s="1472">
        <f>J134*1.05</f>
        <v>30387.65625</v>
      </c>
      <c r="L134" s="1472">
        <f>K134*1.05</f>
        <v>31907.0390625</v>
      </c>
    </row>
    <row r="135" spans="3:12" hidden="1" outlineLevel="1" x14ac:dyDescent="0.25">
      <c r="C135" s="2" t="s">
        <v>608</v>
      </c>
      <c r="G135" s="90">
        <v>75000</v>
      </c>
      <c r="H135" s="1472">
        <f>G135*1.1</f>
        <v>82500</v>
      </c>
      <c r="I135" s="1472">
        <f>H135*1.1</f>
        <v>90750.000000000015</v>
      </c>
      <c r="J135" s="1472">
        <f>I135*1.1</f>
        <v>99825.000000000029</v>
      </c>
      <c r="K135" s="1472">
        <f>J135*1.1</f>
        <v>109807.50000000004</v>
      </c>
      <c r="L135" s="1472">
        <f>K135*1.1</f>
        <v>120788.25000000006</v>
      </c>
    </row>
    <row r="136" spans="3:12" hidden="1" outlineLevel="1" x14ac:dyDescent="0.25">
      <c r="C136" s="2" t="s">
        <v>313</v>
      </c>
      <c r="G136" s="90">
        <v>150000</v>
      </c>
      <c r="H136" s="1472">
        <f>G136*1.25</f>
        <v>187500</v>
      </c>
      <c r="I136" s="1472">
        <f>H136*1.25</f>
        <v>234375</v>
      </c>
      <c r="J136" s="1472">
        <f>I136*1.25</f>
        <v>292968.75</v>
      </c>
      <c r="K136" s="1472">
        <f>J136*1.25</f>
        <v>366210.9375</v>
      </c>
      <c r="L136" s="1472">
        <f>K136*1.25</f>
        <v>457763.671875</v>
      </c>
    </row>
    <row r="137" spans="3:12" hidden="1" outlineLevel="1" x14ac:dyDescent="0.25">
      <c r="C137" s="2"/>
    </row>
    <row r="138" spans="3:12" hidden="1" outlineLevel="1" x14ac:dyDescent="0.25">
      <c r="C138" s="1" t="s">
        <v>884</v>
      </c>
    </row>
    <row r="139" spans="3:12" hidden="1" outlineLevel="1" x14ac:dyDescent="0.25">
      <c r="C139" s="2" t="s">
        <v>607</v>
      </c>
      <c r="G139" s="1472">
        <f t="shared" ref="G139:L139" si="265">G96/G134</f>
        <v>1652.6270526448516</v>
      </c>
      <c r="H139" s="1472">
        <f t="shared" si="265"/>
        <v>2300.2316030554434</v>
      </c>
      <c r="I139" s="1472">
        <f t="shared" si="265"/>
        <v>3093.5174134048825</v>
      </c>
      <c r="J139" s="1472">
        <f t="shared" si="265"/>
        <v>4074.6978175692261</v>
      </c>
      <c r="K139" s="1472">
        <f t="shared" si="265"/>
        <v>5253.1584546887343</v>
      </c>
      <c r="L139" s="1472">
        <f t="shared" si="265"/>
        <v>6622.9486658640189</v>
      </c>
    </row>
    <row r="140" spans="3:12" hidden="1" outlineLevel="1" x14ac:dyDescent="0.25">
      <c r="C140" s="2" t="s">
        <v>608</v>
      </c>
      <c r="G140" s="1472">
        <f t="shared" ref="G140:L140" si="266">G106/G135</f>
        <v>657.86721582625023</v>
      </c>
      <c r="H140" s="1472">
        <f t="shared" si="266"/>
        <v>907.00497793233035</v>
      </c>
      <c r="I140" s="1472">
        <f t="shared" si="266"/>
        <v>1210.282969648282</v>
      </c>
      <c r="J140" s="1472">
        <f t="shared" si="266"/>
        <v>1572.4303133348315</v>
      </c>
      <c r="K140" s="1472">
        <f t="shared" si="266"/>
        <v>1995.145937280372</v>
      </c>
      <c r="L140" s="1472">
        <f t="shared" si="266"/>
        <v>2475.9092020935095</v>
      </c>
    </row>
    <row r="141" spans="3:12" hidden="1" outlineLevel="1" x14ac:dyDescent="0.25">
      <c r="C141" s="2" t="s">
        <v>313</v>
      </c>
      <c r="G141" s="1473">
        <f t="shared" ref="G141:L141" si="267">G116/G136</f>
        <v>327.32081955453293</v>
      </c>
      <c r="H141" s="1473">
        <f t="shared" si="267"/>
        <v>431.4798984504323</v>
      </c>
      <c r="I141" s="1473">
        <f t="shared" si="267"/>
        <v>566.19114931362981</v>
      </c>
      <c r="J141" s="1473">
        <f t="shared" si="267"/>
        <v>733.17116090230286</v>
      </c>
      <c r="K141" s="1473">
        <f t="shared" si="267"/>
        <v>932.89362145645589</v>
      </c>
      <c r="L141" s="1473">
        <f t="shared" si="267"/>
        <v>1164.1179452659512</v>
      </c>
    </row>
    <row r="142" spans="3:12" hidden="1" outlineLevel="1" x14ac:dyDescent="0.25">
      <c r="C142" s="2"/>
      <c r="G142" s="1472">
        <f t="array" ref="G142">SUM(G139:G141)</f>
        <v>2637.8150880256349</v>
      </c>
      <c r="H142" s="1472">
        <f t="array" ref="H142">SUM(H139:H141)</f>
        <v>3638.7164794382061</v>
      </c>
      <c r="I142" s="1472">
        <f t="array" ref="I142">SUM(I139:I141)</f>
        <v>4869.9915323667938</v>
      </c>
      <c r="J142" s="1472">
        <f t="array" ref="J142">SUM(J139:J141)</f>
        <v>6380.299291806361</v>
      </c>
      <c r="K142" s="1472">
        <f t="array" ref="K142">SUM(K139:K141)</f>
        <v>8181.1980134255618</v>
      </c>
      <c r="L142" s="1472">
        <f t="array" ref="L142">SUM(L139:L141)</f>
        <v>10262.97581322348</v>
      </c>
    </row>
    <row r="143" spans="3:12" hidden="1" outlineLevel="1" x14ac:dyDescent="0.25">
      <c r="C143" s="1" t="s">
        <v>883</v>
      </c>
      <c r="H143" s="300" t="s">
        <v>881</v>
      </c>
      <c r="I143" s="300" t="s">
        <v>880</v>
      </c>
    </row>
    <row r="144" spans="3:12" hidden="1" outlineLevel="1" x14ac:dyDescent="0.25">
      <c r="C144" s="2" t="s">
        <v>607</v>
      </c>
      <c r="G144" s="16"/>
      <c r="H144" s="90">
        <v>5000</v>
      </c>
      <c r="I144" s="90">
        <v>10000</v>
      </c>
      <c r="J144" s="1472">
        <f t="shared" ref="J144:L146" si="268">I144*1.05</f>
        <v>10500</v>
      </c>
      <c r="K144" s="1472">
        <f t="shared" si="268"/>
        <v>11025</v>
      </c>
      <c r="L144" s="1472">
        <f t="shared" si="268"/>
        <v>11576.25</v>
      </c>
    </row>
    <row r="145" spans="3:12" hidden="1" outlineLevel="1" x14ac:dyDescent="0.25">
      <c r="C145" s="2" t="s">
        <v>608</v>
      </c>
      <c r="H145" s="90">
        <v>10000</v>
      </c>
      <c r="I145" s="90">
        <v>35000</v>
      </c>
      <c r="J145" s="1472">
        <f t="shared" si="268"/>
        <v>36750</v>
      </c>
      <c r="K145" s="1472">
        <f t="shared" si="268"/>
        <v>38587.5</v>
      </c>
      <c r="L145" s="1472">
        <f t="shared" si="268"/>
        <v>40516.875</v>
      </c>
    </row>
    <row r="146" spans="3:12" hidden="1" outlineLevel="1" x14ac:dyDescent="0.25">
      <c r="C146" s="2" t="s">
        <v>313</v>
      </c>
      <c r="H146" s="16"/>
      <c r="I146" s="90">
        <v>75000</v>
      </c>
      <c r="J146" s="1472">
        <f t="shared" si="268"/>
        <v>78750</v>
      </c>
      <c r="K146" s="1472">
        <f t="shared" si="268"/>
        <v>82687.5</v>
      </c>
      <c r="L146" s="1472">
        <f t="shared" si="268"/>
        <v>86821.875</v>
      </c>
    </row>
    <row r="147" spans="3:12" hidden="1" outlineLevel="1" x14ac:dyDescent="0.25">
      <c r="C147" s="2"/>
      <c r="H147" s="16"/>
      <c r="I147" s="16"/>
      <c r="J147" s="16"/>
      <c r="K147" s="16"/>
      <c r="L147" s="16"/>
    </row>
    <row r="148" spans="3:12" hidden="1" outlineLevel="1" x14ac:dyDescent="0.25">
      <c r="C148" s="1" t="s">
        <v>882</v>
      </c>
      <c r="H148" s="300" t="s">
        <v>881</v>
      </c>
      <c r="I148" s="300" t="s">
        <v>880</v>
      </c>
    </row>
    <row r="149" spans="3:12" hidden="1" outlineLevel="1" x14ac:dyDescent="0.25">
      <c r="C149" s="2" t="s">
        <v>607</v>
      </c>
      <c r="G149" s="16"/>
      <c r="H149" s="90">
        <v>5000</v>
      </c>
      <c r="I149" s="90">
        <v>10000</v>
      </c>
      <c r="J149" s="1472">
        <f t="shared" ref="J149:L151" si="269">I149*1.05</f>
        <v>10500</v>
      </c>
      <c r="K149" s="1472">
        <f t="shared" si="269"/>
        <v>11025</v>
      </c>
      <c r="L149" s="1472">
        <f t="shared" si="269"/>
        <v>11576.25</v>
      </c>
    </row>
    <row r="150" spans="3:12" hidden="1" outlineLevel="1" x14ac:dyDescent="0.25">
      <c r="C150" s="2" t="s">
        <v>608</v>
      </c>
      <c r="H150" s="90">
        <v>10000</v>
      </c>
      <c r="I150" s="90">
        <v>35000</v>
      </c>
      <c r="J150" s="1472">
        <f t="shared" si="269"/>
        <v>36750</v>
      </c>
      <c r="K150" s="1472">
        <f t="shared" si="269"/>
        <v>38587.5</v>
      </c>
      <c r="L150" s="1472">
        <f t="shared" si="269"/>
        <v>40516.875</v>
      </c>
    </row>
    <row r="151" spans="3:12" hidden="1" outlineLevel="1" x14ac:dyDescent="0.25">
      <c r="C151" s="2" t="s">
        <v>313</v>
      </c>
      <c r="H151" s="16"/>
      <c r="I151" s="90">
        <v>75000</v>
      </c>
      <c r="J151" s="1472">
        <f t="shared" si="269"/>
        <v>78750</v>
      </c>
      <c r="K151" s="1472">
        <f t="shared" si="269"/>
        <v>82687.5</v>
      </c>
      <c r="L151" s="1472">
        <f t="shared" si="269"/>
        <v>86821.875</v>
      </c>
    </row>
    <row r="152" spans="3:12" hidden="1" outlineLevel="1" x14ac:dyDescent="0.25">
      <c r="C152" s="2"/>
    </row>
    <row r="153" spans="3:12" hidden="1" outlineLevel="1" x14ac:dyDescent="0.25">
      <c r="C153" s="7" t="s">
        <v>879</v>
      </c>
    </row>
    <row r="154" spans="3:12" hidden="1" outlineLevel="1" x14ac:dyDescent="0.25">
      <c r="C154" s="2" t="s">
        <v>607</v>
      </c>
      <c r="G154" s="1482">
        <f t="shared" ref="G154:L154" si="270">SUM(G92:G93)</f>
        <v>19071236.315526672</v>
      </c>
      <c r="H154" s="1482">
        <f t="shared" si="270"/>
        <v>24351590.012200296</v>
      </c>
      <c r="I154" s="1482">
        <f t="shared" si="270"/>
        <v>33337345.267995443</v>
      </c>
      <c r="J154" s="1482">
        <f t="shared" si="270"/>
        <v>44596338.138593391</v>
      </c>
      <c r="K154" s="1482">
        <f t="shared" si="270"/>
        <v>58216274.034995578</v>
      </c>
      <c r="L154" s="1482">
        <f t="shared" si="270"/>
        <v>74035872.711493835</v>
      </c>
    </row>
    <row r="155" spans="3:12" hidden="1" outlineLevel="1" x14ac:dyDescent="0.25">
      <c r="C155" s="2" t="s">
        <v>608</v>
      </c>
      <c r="G155" s="1482">
        <f t="shared" ref="G155:L155" si="271">SUM(G102:G103)</f>
        <v>22673672.14961233</v>
      </c>
      <c r="H155" s="1482">
        <f t="shared" si="271"/>
        <v>29282015.16298141</v>
      </c>
      <c r="I155" s="1482">
        <f t="shared" si="271"/>
        <v>40609722.36539758</v>
      </c>
      <c r="J155" s="1482">
        <f t="shared" si="271"/>
        <v>55141284.929826498</v>
      </c>
      <c r="K155" s="1482">
        <f t="shared" si="271"/>
        <v>73242823.212502748</v>
      </c>
      <c r="L155" s="1482">
        <f t="shared" si="271"/>
        <v>95073041.560003847</v>
      </c>
    </row>
    <row r="156" spans="3:12" hidden="1" outlineLevel="1" x14ac:dyDescent="0.25">
      <c r="C156" s="2" t="s">
        <v>313</v>
      </c>
      <c r="G156" s="1494">
        <f t="shared" ref="G156:L156" si="272">SUM(G112:G113)</f>
        <v>22187333.855294</v>
      </c>
      <c r="H156" s="1494">
        <f t="shared" si="272"/>
        <v>33866394.824818283</v>
      </c>
      <c r="I156" s="1494">
        <f t="shared" si="272"/>
        <v>55115432.366606958</v>
      </c>
      <c r="J156" s="1494">
        <f t="shared" si="272"/>
        <v>87403001.931580082</v>
      </c>
      <c r="K156" s="1494">
        <f t="shared" si="272"/>
        <v>135216293.37750164</v>
      </c>
      <c r="L156" s="1494">
        <f t="shared" si="272"/>
        <v>204236632.60350233</v>
      </c>
    </row>
    <row r="157" spans="3:12" hidden="1" outlineLevel="1" x14ac:dyDescent="0.25">
      <c r="C157" t="s">
        <v>875</v>
      </c>
      <c r="G157" s="1482">
        <f t="shared" ref="G157:L157" si="273">SUM(G154:G156)</f>
        <v>63932242.320433006</v>
      </c>
      <c r="H157" s="1482">
        <f t="shared" si="273"/>
        <v>87499999.999999985</v>
      </c>
      <c r="I157" s="1482">
        <f t="shared" si="273"/>
        <v>129062499.99999997</v>
      </c>
      <c r="J157" s="1482">
        <f t="shared" si="273"/>
        <v>187140624.99999997</v>
      </c>
      <c r="K157" s="1482">
        <f t="shared" si="273"/>
        <v>266675390.62499997</v>
      </c>
      <c r="L157" s="1482">
        <f t="shared" si="273"/>
        <v>373345546.875</v>
      </c>
    </row>
    <row r="158" spans="3:12" hidden="1" outlineLevel="1" x14ac:dyDescent="0.25">
      <c r="J158" s="1454">
        <f>J164/J157</f>
        <v>0.10687150371545463</v>
      </c>
      <c r="K158" s="1454">
        <f>K164/K157</f>
        <v>0.13124570631722499</v>
      </c>
      <c r="L158" s="1454">
        <f>L164/L157</f>
        <v>0.154682439588158</v>
      </c>
    </row>
    <row r="159" spans="3:12" hidden="1" outlineLevel="1" x14ac:dyDescent="0.25">
      <c r="C159" s="7" t="s">
        <v>878</v>
      </c>
    </row>
    <row r="160" spans="3:12" hidden="1" outlineLevel="1" x14ac:dyDescent="0.25">
      <c r="C160" s="2" t="s">
        <v>607</v>
      </c>
      <c r="G160" s="1482">
        <f t="shared" ref="G160:L160" si="274">G58+G78</f>
        <v>0</v>
      </c>
      <c r="H160" s="1482">
        <f t="shared" si="274"/>
        <v>99749.300881192263</v>
      </c>
      <c r="I160" s="1482">
        <f t="shared" si="274"/>
        <v>1187508.9863646135</v>
      </c>
      <c r="J160" s="1482">
        <f t="shared" si="274"/>
        <v>5677756.1166083124</v>
      </c>
      <c r="K160" s="1482">
        <f t="shared" si="274"/>
        <v>9314908.0971198846</v>
      </c>
      <c r="L160" s="1482">
        <f t="shared" si="274"/>
        <v>14523683.363264345</v>
      </c>
    </row>
    <row r="161" spans="3:13" hidden="1" outlineLevel="1" x14ac:dyDescent="0.25">
      <c r="C161" s="2" t="s">
        <v>608</v>
      </c>
      <c r="G161" s="1482">
        <f t="shared" ref="G161:L161" si="275">G63+G79</f>
        <v>0</v>
      </c>
      <c r="H161" s="1482">
        <f t="shared" si="275"/>
        <v>33284.931602770004</v>
      </c>
      <c r="I161" s="1482">
        <f t="shared" si="275"/>
        <v>1465762.2125003752</v>
      </c>
      <c r="J161" s="1482">
        <f t="shared" si="275"/>
        <v>6716930.4638365507</v>
      </c>
      <c r="K161" s="1482">
        <f t="shared" si="275"/>
        <v>11207253.314429693</v>
      </c>
      <c r="L161" s="1482">
        <f t="shared" si="275"/>
        <v>17387670.241781101</v>
      </c>
    </row>
    <row r="162" spans="3:13" hidden="1" outlineLevel="1" x14ac:dyDescent="0.25">
      <c r="C162" s="2" t="s">
        <v>313</v>
      </c>
      <c r="G162" s="1494">
        <f t="shared" ref="G162:L162" si="276">G68+G80</f>
        <v>0</v>
      </c>
      <c r="H162" s="1494">
        <f t="shared" si="276"/>
        <v>0</v>
      </c>
      <c r="I162" s="1494">
        <f t="shared" si="276"/>
        <v>1346728.8011350113</v>
      </c>
      <c r="J162" s="1494">
        <f t="shared" si="276"/>
        <v>7605313.4195551369</v>
      </c>
      <c r="K162" s="1494">
        <f t="shared" si="276"/>
        <v>14477838.588450423</v>
      </c>
      <c r="L162" s="1494">
        <f t="shared" si="276"/>
        <v>25838646.394954551</v>
      </c>
    </row>
    <row r="163" spans="3:13" hidden="1" outlineLevel="1" x14ac:dyDescent="0.25">
      <c r="C163" t="s">
        <v>875</v>
      </c>
      <c r="G163" s="1482">
        <f t="shared" ref="G163:L163" si="277">SUM(G160:G162)</f>
        <v>0</v>
      </c>
      <c r="H163" s="1482">
        <f t="shared" si="277"/>
        <v>133034.23248396226</v>
      </c>
      <c r="I163" s="1482">
        <f t="shared" si="277"/>
        <v>4000000</v>
      </c>
      <c r="J163" s="1482">
        <f t="shared" si="277"/>
        <v>20000000</v>
      </c>
      <c r="K163" s="1482">
        <f t="shared" si="277"/>
        <v>35000000</v>
      </c>
      <c r="L163" s="1482">
        <f t="shared" si="277"/>
        <v>57750000</v>
      </c>
    </row>
    <row r="164" spans="3:13" hidden="1" outlineLevel="1" x14ac:dyDescent="0.25">
      <c r="G164" s="19"/>
      <c r="H164" s="19"/>
      <c r="I164" s="1495">
        <v>4000000</v>
      </c>
      <c r="J164" s="1495">
        <v>20000000</v>
      </c>
      <c r="K164" s="1496">
        <f>J164*1.75</f>
        <v>35000000</v>
      </c>
      <c r="L164" s="1496">
        <f>K164*1.65</f>
        <v>57750000</v>
      </c>
      <c r="M164" t="s">
        <v>877</v>
      </c>
    </row>
    <row r="165" spans="3:13" hidden="1" outlineLevel="1" x14ac:dyDescent="0.25">
      <c r="I165" s="1497">
        <v>2553011.5070044594</v>
      </c>
      <c r="J165" s="1497">
        <v>7485625</v>
      </c>
      <c r="K165" s="1497">
        <v>16000523.4375</v>
      </c>
      <c r="L165" s="1497">
        <v>22400732.8125</v>
      </c>
      <c r="M165" t="s">
        <v>876</v>
      </c>
    </row>
    <row r="166" spans="3:13" hidden="1" outlineLevel="1" x14ac:dyDescent="0.25">
      <c r="C166" s="7" t="s">
        <v>806</v>
      </c>
    </row>
    <row r="167" spans="3:13" hidden="1" outlineLevel="1" x14ac:dyDescent="0.25">
      <c r="C167" s="2" t="s">
        <v>607</v>
      </c>
      <c r="G167" s="437">
        <v>8814542.5589539986</v>
      </c>
      <c r="H167" s="437">
        <v>7679005.1829228103</v>
      </c>
      <c r="I167" s="437">
        <v>7618522.8428761838</v>
      </c>
      <c r="J167" s="437">
        <v>0</v>
      </c>
      <c r="K167" s="437">
        <v>0</v>
      </c>
      <c r="L167" s="437">
        <v>0</v>
      </c>
    </row>
    <row r="168" spans="3:13" hidden="1" outlineLevel="1" x14ac:dyDescent="0.25">
      <c r="C168" s="2" t="s">
        <v>608</v>
      </c>
      <c r="G168" s="20"/>
      <c r="H168" s="20"/>
      <c r="I168" s="20"/>
      <c r="J168" s="20"/>
      <c r="K168" s="20"/>
      <c r="L168" s="20"/>
    </row>
    <row r="169" spans="3:13" hidden="1" outlineLevel="1" x14ac:dyDescent="0.25">
      <c r="C169" s="2" t="s">
        <v>313</v>
      </c>
      <c r="G169" s="29"/>
      <c r="H169" s="29"/>
      <c r="I169" s="29"/>
      <c r="J169" s="29"/>
      <c r="K169" s="29"/>
      <c r="L169" s="29"/>
    </row>
    <row r="170" spans="3:13" hidden="1" outlineLevel="1" x14ac:dyDescent="0.25">
      <c r="C170" t="s">
        <v>875</v>
      </c>
      <c r="G170" s="1482">
        <f t="shared" ref="G170:L170" si="278">SUM(G167:G169)</f>
        <v>8814542.5589539986</v>
      </c>
      <c r="H170" s="1482">
        <f t="shared" si="278"/>
        <v>7679005.1829228103</v>
      </c>
      <c r="I170" s="1482">
        <f t="shared" si="278"/>
        <v>7618522.8428761838</v>
      </c>
      <c r="J170" s="1482">
        <f t="shared" si="278"/>
        <v>0</v>
      </c>
      <c r="K170" s="1482">
        <f t="shared" si="278"/>
        <v>0</v>
      </c>
      <c r="L170" s="1482">
        <f t="shared" si="278"/>
        <v>0</v>
      </c>
    </row>
    <row r="171" spans="3:13" hidden="1" outlineLevel="1" x14ac:dyDescent="0.25"/>
    <row r="172" spans="3:13" hidden="1" outlineLevel="1" x14ac:dyDescent="0.25">
      <c r="I172" t="s">
        <v>874</v>
      </c>
    </row>
    <row r="173" spans="3:13" hidden="1" outlineLevel="1" x14ac:dyDescent="0.25">
      <c r="I173" t="s">
        <v>873</v>
      </c>
    </row>
    <row r="174" spans="3:13" collapsed="1" x14ac:dyDescent="0.25"/>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2A334E-DB2E-4142-BCFC-06C1816263CB}">
  <sheetPr>
    <tabColor theme="9"/>
  </sheetPr>
  <dimension ref="A1:BQ62"/>
  <sheetViews>
    <sheetView zoomScale="55" zoomScaleNormal="55" workbookViewId="0">
      <selection activeCell="O2" sqref="O2"/>
    </sheetView>
  </sheetViews>
  <sheetFormatPr defaultRowHeight="15" x14ac:dyDescent="0.25"/>
  <cols>
    <col min="1" max="1" width="11.140625" bestFit="1" customWidth="1"/>
    <col min="2" max="2" width="20.28515625" bestFit="1" customWidth="1"/>
    <col min="3" max="4" width="19.42578125" bestFit="1" customWidth="1"/>
    <col min="5" max="5" width="35.140625" bestFit="1" customWidth="1"/>
    <col min="6" max="6" width="28.7109375" bestFit="1" customWidth="1"/>
    <col min="7" max="7" width="11.140625" bestFit="1" customWidth="1"/>
    <col min="8" max="56" width="9.85546875" bestFit="1" customWidth="1"/>
    <col min="57" max="57" width="10" bestFit="1" customWidth="1"/>
  </cols>
  <sheetData>
    <row r="1" spans="1:56" x14ac:dyDescent="0.25">
      <c r="A1" s="224" t="s">
        <v>917</v>
      </c>
      <c r="B1" s="224" t="s">
        <v>916</v>
      </c>
      <c r="C1" s="224" t="s">
        <v>691</v>
      </c>
      <c r="D1" s="224" t="s">
        <v>22</v>
      </c>
      <c r="E1" s="224" t="s">
        <v>915</v>
      </c>
      <c r="F1" s="224" t="s">
        <v>914</v>
      </c>
      <c r="H1" s="538">
        <v>44958</v>
      </c>
      <c r="I1" s="538">
        <v>44986</v>
      </c>
      <c r="J1" s="538">
        <v>45017</v>
      </c>
      <c r="K1" s="538">
        <v>45047</v>
      </c>
      <c r="L1" s="538">
        <v>45078</v>
      </c>
      <c r="M1" s="538">
        <v>45108</v>
      </c>
      <c r="N1" s="538">
        <v>45139</v>
      </c>
      <c r="O1" s="538">
        <v>45170</v>
      </c>
      <c r="P1" s="538">
        <v>45200</v>
      </c>
      <c r="Q1" s="538">
        <v>45231</v>
      </c>
      <c r="R1" s="538">
        <v>45261</v>
      </c>
      <c r="S1" s="538">
        <v>45292</v>
      </c>
      <c r="T1" s="538">
        <v>45323</v>
      </c>
      <c r="U1" s="538">
        <v>45352</v>
      </c>
      <c r="V1" s="538">
        <v>45383</v>
      </c>
      <c r="W1" s="538">
        <v>45413</v>
      </c>
      <c r="X1" s="538">
        <v>45444</v>
      </c>
      <c r="Y1" s="538">
        <v>45474</v>
      </c>
      <c r="Z1" s="538">
        <v>45505</v>
      </c>
      <c r="AA1" s="538">
        <v>45536</v>
      </c>
      <c r="AB1" s="538">
        <v>45566</v>
      </c>
      <c r="AC1" s="538">
        <v>45597</v>
      </c>
      <c r="AD1" s="538">
        <v>45627</v>
      </c>
      <c r="AE1" s="538">
        <v>45658</v>
      </c>
      <c r="AF1" s="538">
        <v>45689</v>
      </c>
      <c r="AG1" s="538">
        <v>45717</v>
      </c>
      <c r="AH1" s="538">
        <v>45748</v>
      </c>
      <c r="AI1" s="538">
        <v>45778</v>
      </c>
      <c r="AJ1" s="538">
        <v>45809</v>
      </c>
      <c r="AK1" s="538">
        <v>45839</v>
      </c>
      <c r="AL1" s="538">
        <v>45870</v>
      </c>
      <c r="AM1" s="538">
        <v>45901</v>
      </c>
      <c r="AN1" s="538">
        <v>45931</v>
      </c>
      <c r="AO1" s="538">
        <v>45962</v>
      </c>
      <c r="AP1" s="538">
        <v>45992</v>
      </c>
      <c r="AQ1" s="538">
        <v>46023</v>
      </c>
      <c r="AR1" s="538">
        <v>46054</v>
      </c>
      <c r="AS1" s="538">
        <v>46082</v>
      </c>
      <c r="AT1" s="538">
        <v>46113</v>
      </c>
      <c r="AU1" s="538">
        <v>46143</v>
      </c>
      <c r="AV1" s="538">
        <v>46174</v>
      </c>
      <c r="AW1" s="538">
        <v>46204</v>
      </c>
      <c r="AX1" s="538">
        <v>46235</v>
      </c>
      <c r="AY1" s="538">
        <v>46266</v>
      </c>
      <c r="AZ1" s="538">
        <v>46296</v>
      </c>
      <c r="BA1" s="538">
        <v>46327</v>
      </c>
      <c r="BB1" s="538">
        <v>46357</v>
      </c>
      <c r="BC1" s="538">
        <v>46388</v>
      </c>
      <c r="BD1" s="539"/>
    </row>
    <row r="2" spans="1:56" x14ac:dyDescent="0.25">
      <c r="A2" s="1498">
        <v>44958</v>
      </c>
      <c r="B2" s="1499">
        <f>INDEX(Model!$CU$31:$FB$31,MATCH('Bookings Waterfall'!A2,Model!$CU$5:$FB$5,0))</f>
        <v>7947.3463129975717</v>
      </c>
      <c r="C2" s="1499">
        <f>INDEX(Model!$CU$32:$FB$32,MATCH('Bookings Waterfall'!A2,Model!$CU$5:$FB$5,0))</f>
        <v>65959.094065388927</v>
      </c>
      <c r="D2" s="1475">
        <f t="shared" ref="D2:D49" si="0">-E2*(1-$D$52)</f>
        <v>0</v>
      </c>
      <c r="E2" s="1500">
        <v>0</v>
      </c>
      <c r="F2" s="1501">
        <f t="shared" ref="F2:F49" si="1">SUM(B2:E2)</f>
        <v>73906.440378386498</v>
      </c>
      <c r="G2" s="537"/>
      <c r="H2" s="1501">
        <f>$F2*$H$54</f>
        <v>0</v>
      </c>
      <c r="I2" s="1501">
        <f>$F2*$I$54</f>
        <v>33257.898170273926</v>
      </c>
      <c r="J2" s="1501">
        <f>$F2*$J$54</f>
        <v>33257.898170273926</v>
      </c>
      <c r="K2" s="1501">
        <f>$F2*$K$54</f>
        <v>739.06440378386503</v>
      </c>
      <c r="L2" s="1501">
        <f>$F2*$L$54</f>
        <v>739.06440378386503</v>
      </c>
      <c r="M2" s="1501">
        <f>$F2*$M$54</f>
        <v>739.06440378386503</v>
      </c>
      <c r="N2" s="1501">
        <f>$F2*$N$54</f>
        <v>739.06440378386503</v>
      </c>
      <c r="O2" s="1501">
        <f>$F2*$O$54</f>
        <v>739.06440378386503</v>
      </c>
      <c r="P2" s="1501">
        <f>$F2*$P$54</f>
        <v>739.06440378386503</v>
      </c>
      <c r="Q2" s="1501">
        <f>$F2*$Q$54</f>
        <v>739.06440378386503</v>
      </c>
      <c r="R2" s="1501">
        <f>$F2*$R$54</f>
        <v>739.06440378386503</v>
      </c>
      <c r="S2" s="1501">
        <f>$F2*$S$54</f>
        <v>739.06440378386503</v>
      </c>
      <c r="T2" s="1501">
        <f>$F2*$T$54</f>
        <v>739.06440378386503</v>
      </c>
      <c r="U2" s="1501">
        <f>$F2*$U$54</f>
        <v>0</v>
      </c>
      <c r="V2" s="1501">
        <f>$F2*$V$54</f>
        <v>0</v>
      </c>
    </row>
    <row r="3" spans="1:56" x14ac:dyDescent="0.25">
      <c r="A3" s="1502">
        <f t="shared" ref="A3:A49" si="2">EOMONTH(A2,0)+1</f>
        <v>44986</v>
      </c>
      <c r="B3" s="1499">
        <f>INDEX(Model!$CU$31:$FB$31,MATCH('Bookings Waterfall'!A3,Model!$CU$5:$FB$5,0))</f>
        <v>16786.476146884597</v>
      </c>
      <c r="C3" s="1499">
        <f>INDEX(Model!$CU$32:$FB$32,MATCH('Bookings Waterfall'!A3,Model!$CU$5:$FB$5,0))</f>
        <v>139319.55593629443</v>
      </c>
      <c r="D3" s="1475">
        <f t="shared" si="0"/>
        <v>0</v>
      </c>
      <c r="E3" s="1500">
        <v>0</v>
      </c>
      <c r="F3" s="1501">
        <f t="shared" si="1"/>
        <v>156106.03208317905</v>
      </c>
      <c r="G3" s="537"/>
      <c r="I3" s="1501">
        <f>$F3*$H$54</f>
        <v>0</v>
      </c>
      <c r="J3" s="1501">
        <f>$F3*$I$54</f>
        <v>70247.714437430579</v>
      </c>
      <c r="K3" s="1501">
        <f>$F3*$J$54</f>
        <v>70247.714437430579</v>
      </c>
      <c r="L3" s="1501">
        <f>$F3*$K$54</f>
        <v>1561.0603208317905</v>
      </c>
      <c r="M3" s="1501">
        <f>$F3*$L$54</f>
        <v>1561.0603208317905</v>
      </c>
      <c r="N3" s="1501">
        <f>$F3*$M$54</f>
        <v>1561.0603208317905</v>
      </c>
      <c r="O3" s="1501">
        <f>$F3*$N$54</f>
        <v>1561.0603208317905</v>
      </c>
      <c r="P3" s="1501">
        <f>$F3*$O$54</f>
        <v>1561.0603208317905</v>
      </c>
      <c r="Q3" s="1501">
        <f>$F3*$P$54</f>
        <v>1561.0603208317905</v>
      </c>
      <c r="R3" s="1501">
        <f>$F3*$Q$54</f>
        <v>1561.0603208317905</v>
      </c>
      <c r="S3" s="1501">
        <f>$F3*$R$54</f>
        <v>1561.0603208317905</v>
      </c>
      <c r="T3" s="1501">
        <f>$F3*$S$54</f>
        <v>1561.0603208317905</v>
      </c>
      <c r="U3" s="1501">
        <f>$F3*$T$54</f>
        <v>1561.0603208317905</v>
      </c>
      <c r="V3" s="1501">
        <f>$F3*$U$54</f>
        <v>0</v>
      </c>
      <c r="W3" s="1501">
        <f>$F3*$V$54</f>
        <v>0</v>
      </c>
    </row>
    <row r="4" spans="1:56" x14ac:dyDescent="0.25">
      <c r="A4" s="1502">
        <f t="shared" si="2"/>
        <v>45017</v>
      </c>
      <c r="B4" s="1499">
        <f>INDEX(Model!$CU$31:$FB$31,MATCH('Bookings Waterfall'!A4,Model!$CU$5:$FB$5,0))</f>
        <v>32794.856372735521</v>
      </c>
      <c r="C4" s="1499">
        <f>INDEX(Model!$CU$32:$FB$32,MATCH('Bookings Waterfall'!A4,Model!$CU$5:$FB$5,0))</f>
        <v>272181.29563732311</v>
      </c>
      <c r="D4" s="1475">
        <f t="shared" si="0"/>
        <v>0</v>
      </c>
      <c r="E4" s="1500">
        <v>0</v>
      </c>
      <c r="F4" s="1501">
        <f t="shared" si="1"/>
        <v>304976.15201005863</v>
      </c>
      <c r="G4" s="537"/>
      <c r="J4" s="1501">
        <f>$F4*$H$54</f>
        <v>0</v>
      </c>
      <c r="K4" s="1501">
        <f>$F4*$I$54</f>
        <v>137239.2684045264</v>
      </c>
      <c r="L4" s="1501">
        <f>$F4*$J$54</f>
        <v>137239.2684045264</v>
      </c>
      <c r="M4" s="1501">
        <f>$F4*$K$54</f>
        <v>3049.7615201005865</v>
      </c>
      <c r="N4" s="1501">
        <f>$F4*$L$54</f>
        <v>3049.7615201005865</v>
      </c>
      <c r="O4" s="1501">
        <f>$F4*$M$54</f>
        <v>3049.7615201005865</v>
      </c>
      <c r="P4" s="1501">
        <f>$F4*$N$54</f>
        <v>3049.7615201005865</v>
      </c>
      <c r="Q4" s="1501">
        <f>$F4*$O$54</f>
        <v>3049.7615201005865</v>
      </c>
      <c r="R4" s="1501">
        <f>$F4*$P$54</f>
        <v>3049.7615201005865</v>
      </c>
      <c r="S4" s="1501">
        <f>$F4*$Q$54</f>
        <v>3049.7615201005865</v>
      </c>
      <c r="T4" s="1501">
        <f>$F4*$R$54</f>
        <v>3049.7615201005865</v>
      </c>
      <c r="U4" s="1501">
        <f>$F4*$S$54</f>
        <v>3049.7615201005865</v>
      </c>
      <c r="V4" s="1501">
        <f>$F4*$T$54</f>
        <v>3049.7615201005865</v>
      </c>
      <c r="W4" s="1501">
        <f>$F4*$U$54</f>
        <v>0</v>
      </c>
      <c r="X4" s="1501">
        <f>$F4*$V$54</f>
        <v>0</v>
      </c>
    </row>
    <row r="5" spans="1:56" x14ac:dyDescent="0.25">
      <c r="A5" s="1502">
        <f t="shared" si="2"/>
        <v>45047</v>
      </c>
      <c r="B5" s="1499">
        <f>INDEX(Model!$CU$31:$FB$31,MATCH('Bookings Waterfall'!A5,Model!$CU$5:$FB$5,0))</f>
        <v>14147.426469776994</v>
      </c>
      <c r="C5" s="1499">
        <f>INDEX(Model!$CU$32:$FB$32,MATCH('Bookings Waterfall'!A5,Model!$CU$5:$FB$5,0))</f>
        <v>117416.73214580593</v>
      </c>
      <c r="D5" s="1475">
        <f t="shared" si="0"/>
        <v>0</v>
      </c>
      <c r="E5" s="1500">
        <v>0</v>
      </c>
      <c r="F5" s="1501">
        <f t="shared" si="1"/>
        <v>131564.15861558291</v>
      </c>
      <c r="G5" s="537"/>
      <c r="K5" s="1501">
        <f>$F5*$H$54</f>
        <v>0</v>
      </c>
      <c r="L5" s="1501">
        <f>$F5*$I$54</f>
        <v>59203.871377012314</v>
      </c>
      <c r="M5" s="1501">
        <f>$F5*$J$54</f>
        <v>59203.871377012314</v>
      </c>
      <c r="N5" s="1501">
        <f>$F5*$K$54</f>
        <v>1315.6415861558291</v>
      </c>
      <c r="O5" s="1501">
        <f>$F5*$L$54</f>
        <v>1315.6415861558291</v>
      </c>
      <c r="P5" s="1501">
        <f>$F5*$M$54</f>
        <v>1315.6415861558291</v>
      </c>
      <c r="Q5" s="1501">
        <f>$F5*$N$54</f>
        <v>1315.6415861558291</v>
      </c>
      <c r="R5" s="1501">
        <f>$F5*$O$54</f>
        <v>1315.6415861558291</v>
      </c>
      <c r="S5" s="1501">
        <f>$F5*$P$54</f>
        <v>1315.6415861558291</v>
      </c>
      <c r="T5" s="1501">
        <f>$F5*$Q$54</f>
        <v>1315.6415861558291</v>
      </c>
      <c r="U5" s="1501">
        <f>$F5*$R$54</f>
        <v>1315.6415861558291</v>
      </c>
      <c r="V5" s="1501">
        <f>$F5*$S$54</f>
        <v>1315.6415861558291</v>
      </c>
      <c r="W5" s="1501">
        <f>$F5*$T$54</f>
        <v>1315.6415861558291</v>
      </c>
      <c r="X5" s="1501">
        <f>$F5*$U$54</f>
        <v>0</v>
      </c>
      <c r="Y5" s="1501">
        <f>$F5*$V$54</f>
        <v>0</v>
      </c>
    </row>
    <row r="6" spans="1:56" x14ac:dyDescent="0.25">
      <c r="A6" s="1502">
        <f t="shared" si="2"/>
        <v>45078</v>
      </c>
      <c r="B6" s="1499">
        <f>INDEX(Model!$CU$31:$FB$31,MATCH('Bookings Waterfall'!A6,Model!$CU$5:$FB$5,0))</f>
        <v>26535.253958511967</v>
      </c>
      <c r="C6" s="1499">
        <f>INDEX(Model!$CU$32:$FB$32,MATCH('Bookings Waterfall'!A6,Model!$CU$5:$FB$5,0))</f>
        <v>220229.65188216657</v>
      </c>
      <c r="D6" s="1475">
        <f t="shared" si="0"/>
        <v>0</v>
      </c>
      <c r="E6" s="1500">
        <v>0</v>
      </c>
      <c r="F6" s="1501">
        <f t="shared" si="1"/>
        <v>246764.90584067855</v>
      </c>
      <c r="G6" s="537"/>
      <c r="L6" s="1501">
        <f>$F6*$H$54</f>
        <v>0</v>
      </c>
      <c r="M6" s="1501">
        <f>$F6*$I$54</f>
        <v>111044.20762830535</v>
      </c>
      <c r="N6" s="1501">
        <f>$F6*$J$54</f>
        <v>111044.20762830535</v>
      </c>
      <c r="O6" s="1501">
        <f>$F6*$K$54</f>
        <v>2467.6490584067856</v>
      </c>
      <c r="P6" s="1501">
        <f>$F6*$L$54</f>
        <v>2467.6490584067856</v>
      </c>
      <c r="Q6" s="1501">
        <f>$F6*$M$54</f>
        <v>2467.6490584067856</v>
      </c>
      <c r="R6" s="1501">
        <f>$F6*$N$54</f>
        <v>2467.6490584067856</v>
      </c>
      <c r="S6" s="1501">
        <f>$F6*$O$54</f>
        <v>2467.6490584067856</v>
      </c>
      <c r="T6" s="1501">
        <f>$F6*$P$54</f>
        <v>2467.6490584067856</v>
      </c>
      <c r="U6" s="1501">
        <f>$F6*$Q$54</f>
        <v>2467.6490584067856</v>
      </c>
      <c r="V6" s="1501">
        <f>$F6*$R$54</f>
        <v>2467.6490584067856</v>
      </c>
      <c r="W6" s="1501">
        <f>$F6*$S$54</f>
        <v>2467.6490584067856</v>
      </c>
      <c r="X6" s="1501">
        <f>$F6*$T$54</f>
        <v>2467.6490584067856</v>
      </c>
      <c r="Y6" s="1501">
        <f>$F6*$U$54</f>
        <v>0</v>
      </c>
      <c r="Z6" s="1501">
        <f>$F6*$V$54</f>
        <v>0</v>
      </c>
    </row>
    <row r="7" spans="1:56" x14ac:dyDescent="0.25">
      <c r="A7" s="1502">
        <f t="shared" si="2"/>
        <v>45108</v>
      </c>
      <c r="B7" s="1499">
        <f>INDEX(Model!$CU$31:$FB$31,MATCH('Bookings Waterfall'!A7,Model!$CU$5:$FB$5,0))</f>
        <v>37378.507527415444</v>
      </c>
      <c r="C7" s="1499">
        <f>INDEX(Model!$CU$32:$FB$32,MATCH('Bookings Waterfall'!A7,Model!$CU$5:$FB$5,0))</f>
        <v>310223.36223004316</v>
      </c>
      <c r="D7" s="1475">
        <f t="shared" si="0"/>
        <v>0</v>
      </c>
      <c r="E7" s="1500">
        <v>0</v>
      </c>
      <c r="F7" s="1501">
        <f t="shared" si="1"/>
        <v>347601.86975745863</v>
      </c>
      <c r="G7" s="537"/>
      <c r="M7" s="1501">
        <f>$F7*$H$54</f>
        <v>0</v>
      </c>
      <c r="N7" s="1501">
        <f>$F7*$I$54</f>
        <v>156420.8413908564</v>
      </c>
      <c r="O7" s="1501">
        <f>$F7*$J$54</f>
        <v>156420.8413908564</v>
      </c>
      <c r="P7" s="1501">
        <f>$F7*$K$54</f>
        <v>3476.0186975745864</v>
      </c>
      <c r="Q7" s="1501">
        <f>$F7*$L$54</f>
        <v>3476.0186975745864</v>
      </c>
      <c r="R7" s="1501">
        <f>$F7*$M$54</f>
        <v>3476.0186975745864</v>
      </c>
      <c r="S7" s="1501">
        <f>$F7*$N$54</f>
        <v>3476.0186975745864</v>
      </c>
      <c r="T7" s="1501">
        <f>$F7*$O$54</f>
        <v>3476.0186975745864</v>
      </c>
      <c r="U7" s="1501">
        <f>$F7*$P$54</f>
        <v>3476.0186975745864</v>
      </c>
      <c r="V7" s="1501">
        <f>$F7*$Q$54</f>
        <v>3476.0186975745864</v>
      </c>
      <c r="W7" s="1501">
        <f>$F7*$R$54</f>
        <v>3476.0186975745864</v>
      </c>
      <c r="X7" s="1501">
        <f>$F7*$S$54</f>
        <v>3476.0186975745864</v>
      </c>
      <c r="Y7" s="1501">
        <f>$F7*$T$54</f>
        <v>3476.0186975745864</v>
      </c>
      <c r="Z7" s="1501">
        <f>$F7*$U$54</f>
        <v>0</v>
      </c>
      <c r="AA7" s="1501">
        <f>$F7*$V$54</f>
        <v>0</v>
      </c>
    </row>
    <row r="8" spans="1:56" x14ac:dyDescent="0.25">
      <c r="A8" s="1502">
        <f t="shared" si="2"/>
        <v>45139</v>
      </c>
      <c r="B8" s="1499">
        <f>INDEX(Model!$CU$31:$FB$31,MATCH('Bookings Waterfall'!A8,Model!$CU$5:$FB$5,0))</f>
        <v>66813.470786121179</v>
      </c>
      <c r="C8" s="1499">
        <f>INDEX(Model!$CU$32:$FB$32,MATCH('Bookings Waterfall'!A8,Model!$CU$5:$FB$5,0))</f>
        <v>102691.62125513154</v>
      </c>
      <c r="D8" s="1475">
        <f t="shared" si="0"/>
        <v>0</v>
      </c>
      <c r="E8" s="1500">
        <v>0</v>
      </c>
      <c r="F8" s="1501">
        <f t="shared" si="1"/>
        <v>169505.0920412527</v>
      </c>
      <c r="G8" s="537"/>
      <c r="N8" s="1501">
        <f>$F8*$H$54</f>
        <v>0</v>
      </c>
      <c r="O8" s="1501">
        <f>$F8*$I$54</f>
        <v>76277.29141856372</v>
      </c>
      <c r="P8" s="1501">
        <f>$F8*$J$54</f>
        <v>76277.29141856372</v>
      </c>
      <c r="Q8" s="1501">
        <f>$F8*$K$54</f>
        <v>1695.0509204125271</v>
      </c>
      <c r="R8" s="1501">
        <f>$F8*$L$54</f>
        <v>1695.0509204125271</v>
      </c>
      <c r="S8" s="1501">
        <f>$F8*$M$54</f>
        <v>1695.0509204125271</v>
      </c>
      <c r="T8" s="1501">
        <f>$F8*$N$54</f>
        <v>1695.0509204125271</v>
      </c>
      <c r="U8" s="1501">
        <f>$F8*$O$54</f>
        <v>1695.0509204125271</v>
      </c>
      <c r="V8" s="1501">
        <f>$F8*$P$54</f>
        <v>1695.0509204125271</v>
      </c>
      <c r="W8" s="1501">
        <f>$F8*$Q$54</f>
        <v>1695.0509204125271</v>
      </c>
      <c r="X8" s="1501">
        <f>$F8*$R$54</f>
        <v>1695.0509204125271</v>
      </c>
      <c r="Y8" s="1501">
        <f>$F8*$S$54</f>
        <v>1695.0509204125271</v>
      </c>
      <c r="Z8" s="1501">
        <f>$F8*$T$54</f>
        <v>1695.0509204125271</v>
      </c>
      <c r="AA8" s="1501">
        <f>$F8*$U$54</f>
        <v>0</v>
      </c>
      <c r="AB8" s="1501">
        <f>$F8*$V$54</f>
        <v>0</v>
      </c>
    </row>
    <row r="9" spans="1:56" x14ac:dyDescent="0.25">
      <c r="A9" s="1502">
        <f t="shared" si="2"/>
        <v>45170</v>
      </c>
      <c r="B9" s="1499">
        <f>INDEX(Model!$CU$31:$FB$31,MATCH('Bookings Waterfall'!A9,Model!$CU$5:$FB$5,0))</f>
        <v>119135.03560590412</v>
      </c>
      <c r="C9" s="1499">
        <f>INDEX(Model!$CU$32:$FB$32,MATCH('Bookings Waterfall'!A9,Model!$CU$5:$FB$5,0))</f>
        <v>183109.33125778369</v>
      </c>
      <c r="D9" s="1475">
        <f t="shared" si="0"/>
        <v>0</v>
      </c>
      <c r="E9" s="1500">
        <v>0</v>
      </c>
      <c r="F9" s="1501">
        <f t="shared" si="1"/>
        <v>302244.36686368781</v>
      </c>
      <c r="G9" s="537"/>
      <c r="O9" s="1501">
        <f>$F9*$H$54</f>
        <v>0</v>
      </c>
      <c r="P9" s="1501">
        <f>$F9*$I$54</f>
        <v>136009.96508865952</v>
      </c>
      <c r="Q9" s="1501">
        <f>$F9*$J$54</f>
        <v>136009.96508865952</v>
      </c>
      <c r="R9" s="1501">
        <f>$F9*$K$54</f>
        <v>3022.4436686368781</v>
      </c>
      <c r="S9" s="1501">
        <f>$F9*$L$54</f>
        <v>3022.4436686368781</v>
      </c>
      <c r="T9" s="1501">
        <f>$F9*$M$54</f>
        <v>3022.4436686368781</v>
      </c>
      <c r="U9" s="1501">
        <f>$F9*$N$54</f>
        <v>3022.4436686368781</v>
      </c>
      <c r="V9" s="1501">
        <f>$F9*$O$54</f>
        <v>3022.4436686368781</v>
      </c>
      <c r="W9" s="1501">
        <f>$F9*$P$54</f>
        <v>3022.4436686368781</v>
      </c>
      <c r="X9" s="1501">
        <f>$F9*$Q$54</f>
        <v>3022.4436686368781</v>
      </c>
      <c r="Y9" s="1501">
        <f>$F9*$R$54</f>
        <v>3022.4436686368781</v>
      </c>
      <c r="Z9" s="1501">
        <f>$F9*$S$54</f>
        <v>3022.4436686368781</v>
      </c>
      <c r="AA9" s="1501">
        <f>$F9*$T$54</f>
        <v>3022.4436686368781</v>
      </c>
      <c r="AB9" s="1501">
        <f>$F9*$U$54</f>
        <v>0</v>
      </c>
      <c r="AC9" s="1501">
        <f>$F9*$V$54</f>
        <v>0</v>
      </c>
    </row>
    <row r="10" spans="1:56" x14ac:dyDescent="0.25">
      <c r="A10" s="1502">
        <f t="shared" si="2"/>
        <v>45200</v>
      </c>
      <c r="B10" s="1499">
        <f>INDEX(Model!$CU$31:$FB$31,MATCH('Bookings Waterfall'!A10,Model!$CU$5:$FB$5,0))</f>
        <v>209467.72939980542</v>
      </c>
      <c r="C10" s="1499">
        <f>INDEX(Model!$CU$32:$FB$32,MATCH('Bookings Waterfall'!A10,Model!$CU$5:$FB$5,0))</f>
        <v>321949.75773007562</v>
      </c>
      <c r="D10" s="1475">
        <f t="shared" si="0"/>
        <v>0</v>
      </c>
      <c r="E10" s="1500">
        <v>0</v>
      </c>
      <c r="F10" s="1501">
        <f t="shared" si="1"/>
        <v>531417.48712988105</v>
      </c>
      <c r="G10" s="537"/>
      <c r="P10" s="1501">
        <f>$F10*$H$54</f>
        <v>0</v>
      </c>
      <c r="Q10" s="1501">
        <f>$F10*$I$54</f>
        <v>239137.86920844647</v>
      </c>
      <c r="R10" s="1501">
        <f>$F10*$J$54</f>
        <v>239137.86920844647</v>
      </c>
      <c r="S10" s="1501">
        <f>$F10*$K$54</f>
        <v>5314.174871298811</v>
      </c>
      <c r="T10" s="1501">
        <f>$F10*$L$54</f>
        <v>5314.174871298811</v>
      </c>
      <c r="U10" s="1501">
        <f>$F10*$M$54</f>
        <v>5314.174871298811</v>
      </c>
      <c r="V10" s="1501">
        <f>$F10*$N$54</f>
        <v>5314.174871298811</v>
      </c>
      <c r="W10" s="1501">
        <f>$F10*$O$54</f>
        <v>5314.174871298811</v>
      </c>
      <c r="X10" s="1501">
        <f>$F10*$P$54</f>
        <v>5314.174871298811</v>
      </c>
      <c r="Y10" s="1501">
        <f>$F10*$Q$54</f>
        <v>5314.174871298811</v>
      </c>
      <c r="Z10" s="1501">
        <f>$F10*$R$54</f>
        <v>5314.174871298811</v>
      </c>
      <c r="AA10" s="1501">
        <f>$F10*$S$54</f>
        <v>5314.174871298811</v>
      </c>
      <c r="AB10" s="1501">
        <f>$F10*$T$54</f>
        <v>5314.174871298811</v>
      </c>
      <c r="AC10" s="1501">
        <f>$F10*$U$54</f>
        <v>0</v>
      </c>
      <c r="AD10" s="1501">
        <f>$F10*$V$54</f>
        <v>0</v>
      </c>
    </row>
    <row r="11" spans="1:56" x14ac:dyDescent="0.25">
      <c r="A11" s="1502">
        <f t="shared" si="2"/>
        <v>45231</v>
      </c>
      <c r="B11" s="1499">
        <f>INDEX(Model!$CU$31:$FB$31,MATCH('Bookings Waterfall'!A11,Model!$CU$5:$FB$5,0))</f>
        <v>118336.68524443985</v>
      </c>
      <c r="C11" s="1499">
        <f>INDEX(Model!$CU$32:$FB$32,MATCH('Bookings Waterfall'!A11,Model!$CU$5:$FB$5,0))</f>
        <v>123061.23706095251</v>
      </c>
      <c r="D11" s="1475">
        <f t="shared" si="0"/>
        <v>0</v>
      </c>
      <c r="E11" s="1500">
        <v>0</v>
      </c>
      <c r="F11" s="1501">
        <f t="shared" si="1"/>
        <v>241397.92230539236</v>
      </c>
      <c r="G11" s="537"/>
      <c r="Q11" s="1501">
        <f>$F11*$H$54</f>
        <v>0</v>
      </c>
      <c r="R11" s="1501">
        <f>$F11*$I$54</f>
        <v>108629.06503742657</v>
      </c>
      <c r="S11" s="1501">
        <f>$F11*$J$54</f>
        <v>108629.06503742657</v>
      </c>
      <c r="T11" s="1501">
        <f>$F11*$K$54</f>
        <v>2413.9792230539238</v>
      </c>
      <c r="U11" s="1501">
        <f>$F11*$L$54</f>
        <v>2413.9792230539238</v>
      </c>
      <c r="V11" s="1501">
        <f>$F11*$M$54</f>
        <v>2413.9792230539238</v>
      </c>
      <c r="W11" s="1501">
        <f>$F11*$N$54</f>
        <v>2413.9792230539238</v>
      </c>
      <c r="X11" s="1501">
        <f>$F11*$O$54</f>
        <v>2413.9792230539238</v>
      </c>
      <c r="Y11" s="1501">
        <f>$F11*$P$54</f>
        <v>2413.9792230539238</v>
      </c>
      <c r="Z11" s="1501">
        <f>$F11*$Q$54</f>
        <v>2413.9792230539238</v>
      </c>
      <c r="AA11" s="1501">
        <f>$F11*$R$54</f>
        <v>2413.9792230539238</v>
      </c>
      <c r="AB11" s="1501">
        <f>$F11*$S$54</f>
        <v>2413.9792230539238</v>
      </c>
      <c r="AC11" s="1501">
        <f>$F11*$T$54</f>
        <v>2413.9792230539238</v>
      </c>
      <c r="AD11" s="1501">
        <f>$F11*$U$54</f>
        <v>0</v>
      </c>
      <c r="AE11" s="1501">
        <f>$F11*$V$54</f>
        <v>0</v>
      </c>
    </row>
    <row r="12" spans="1:56" x14ac:dyDescent="0.25">
      <c r="A12" s="1502">
        <f t="shared" si="2"/>
        <v>45261</v>
      </c>
      <c r="B12" s="1499">
        <f>INDEX(Model!$CU$31:$FB$31,MATCH('Bookings Waterfall'!A12,Model!$CU$5:$FB$5,0))</f>
        <v>340001.79259842803</v>
      </c>
      <c r="C12" s="1499">
        <f>INDEX(Model!$CU$32:$FB$32,MATCH('Bookings Waterfall'!A12,Model!$CU$5:$FB$5,0))</f>
        <v>353576.24825873587</v>
      </c>
      <c r="D12" s="1475">
        <f t="shared" si="0"/>
        <v>0</v>
      </c>
      <c r="E12" s="1500">
        <v>0</v>
      </c>
      <c r="F12" s="1501">
        <f t="shared" si="1"/>
        <v>693578.04085716396</v>
      </c>
      <c r="G12" s="537"/>
      <c r="R12" s="1501">
        <f>$F12*$H$54</f>
        <v>0</v>
      </c>
      <c r="S12" s="1501">
        <f>$F12*$I$54</f>
        <v>312110.11838572379</v>
      </c>
      <c r="T12" s="1501">
        <f>$F12*$J$54</f>
        <v>312110.11838572379</v>
      </c>
      <c r="U12" s="1501">
        <f>$F12*$K$54</f>
        <v>6935.7804085716398</v>
      </c>
      <c r="V12" s="1501">
        <f>$F12*$L$54</f>
        <v>6935.7804085716398</v>
      </c>
      <c r="W12" s="1501">
        <f>$F12*$M$54</f>
        <v>6935.7804085716398</v>
      </c>
      <c r="X12" s="1501">
        <f>$F12*$N$54</f>
        <v>6935.7804085716398</v>
      </c>
      <c r="Y12" s="1501">
        <f>$F12*$O$54</f>
        <v>6935.7804085716398</v>
      </c>
      <c r="Z12" s="1501">
        <f>$F12*$P$54</f>
        <v>6935.7804085716398</v>
      </c>
      <c r="AA12" s="1501">
        <f>$F12*$Q$54</f>
        <v>6935.7804085716398</v>
      </c>
      <c r="AB12" s="1501">
        <f>$F12*$R$54</f>
        <v>6935.7804085716398</v>
      </c>
      <c r="AC12" s="1501">
        <f>$F12*$S$54</f>
        <v>6935.7804085716398</v>
      </c>
      <c r="AD12" s="1501">
        <f>$F12*$T$54</f>
        <v>6935.7804085716398</v>
      </c>
      <c r="AE12" s="1501">
        <f>$F12*$U$54</f>
        <v>0</v>
      </c>
      <c r="AF12" s="1501">
        <f>$F12*$V$54</f>
        <v>0</v>
      </c>
    </row>
    <row r="13" spans="1:56" x14ac:dyDescent="0.25">
      <c r="A13" s="1502">
        <f t="shared" si="2"/>
        <v>45292</v>
      </c>
      <c r="B13" s="1499">
        <f>INDEX(Model!$CU$31:$FB$31,MATCH('Bookings Waterfall'!A13,Model!$CU$5:$FB$5,0))</f>
        <v>392630.93788650859</v>
      </c>
      <c r="C13" s="1499">
        <f>INDEX(Model!$CU$32:$FB$32,MATCH('Bookings Waterfall'!A13,Model!$CU$5:$FB$5,0))</f>
        <v>408306.5942307692</v>
      </c>
      <c r="D13" s="1475">
        <f t="shared" si="0"/>
        <v>0</v>
      </c>
      <c r="E13" s="1500">
        <v>0</v>
      </c>
      <c r="F13" s="1501">
        <f t="shared" si="1"/>
        <v>800937.53211727785</v>
      </c>
      <c r="G13" s="537"/>
      <c r="S13" s="1501">
        <f>$F13*$H$54</f>
        <v>0</v>
      </c>
      <c r="T13" s="1501">
        <f>$F13*$I$54</f>
        <v>360421.88945277507</v>
      </c>
      <c r="U13" s="1501">
        <f>$F13*$J$54</f>
        <v>360421.88945277507</v>
      </c>
      <c r="V13" s="1501">
        <f>$F13*$K$54</f>
        <v>8009.375321172779</v>
      </c>
      <c r="W13" s="1501">
        <f>$F13*$L$54</f>
        <v>8009.375321172779</v>
      </c>
      <c r="X13" s="1501">
        <f>$F13*$M$54</f>
        <v>8009.375321172779</v>
      </c>
      <c r="Y13" s="1501">
        <f>$F13*$N$54</f>
        <v>8009.375321172779</v>
      </c>
      <c r="Z13" s="1501">
        <f>$F13*$O$54</f>
        <v>8009.375321172779</v>
      </c>
      <c r="AA13" s="1501">
        <f>$F13*$P$54</f>
        <v>8009.375321172779</v>
      </c>
      <c r="AB13" s="1501">
        <f>$F13*$Q$54</f>
        <v>8009.375321172779</v>
      </c>
      <c r="AC13" s="1501">
        <f>$F13*$R$54</f>
        <v>8009.375321172779</v>
      </c>
      <c r="AD13" s="1501">
        <f>$F13*$S$54</f>
        <v>8009.375321172779</v>
      </c>
      <c r="AE13" s="1501">
        <f>$F13*$T$54</f>
        <v>8009.375321172779</v>
      </c>
      <c r="AF13" s="1501">
        <f>$F13*$U$54</f>
        <v>0</v>
      </c>
      <c r="AG13" s="1501">
        <f>$F13*$V$54</f>
        <v>0</v>
      </c>
    </row>
    <row r="14" spans="1:56" x14ac:dyDescent="0.25">
      <c r="A14" s="1502">
        <f t="shared" si="2"/>
        <v>45323</v>
      </c>
      <c r="B14" s="1499">
        <f>INDEX(Model!$CU$31:$FB$31,MATCH('Bookings Waterfall'!A14,Model!$CU$5:$FB$5,0))</f>
        <v>95842.146963081366</v>
      </c>
      <c r="C14" s="1499">
        <f>INDEX(Model!$CU$32:$FB$32,MATCH('Bookings Waterfall'!A14,Model!$CU$5:$FB$5,0))</f>
        <v>408042.32414620975</v>
      </c>
      <c r="D14" s="1475">
        <f t="shared" si="0"/>
        <v>-5173.450826487051</v>
      </c>
      <c r="E14" s="1501">
        <f t="shared" ref="E14:E49" si="3">F2</f>
        <v>73906.440378386498</v>
      </c>
      <c r="F14" s="1501">
        <f t="shared" si="1"/>
        <v>572617.46066119056</v>
      </c>
      <c r="G14" s="537"/>
      <c r="T14" s="1501">
        <f>$F14*$H$54</f>
        <v>0</v>
      </c>
      <c r="U14" s="1501">
        <f>$F14*$I$54</f>
        <v>257677.85729753575</v>
      </c>
      <c r="V14" s="1501">
        <f>$F14*$J$54</f>
        <v>257677.85729753575</v>
      </c>
      <c r="W14" s="1501">
        <f>$F14*$K$54</f>
        <v>5726.1746066119058</v>
      </c>
      <c r="X14" s="1501">
        <f>$F14*$L$54</f>
        <v>5726.1746066119058</v>
      </c>
      <c r="Y14" s="1501">
        <f>$F14*$M$54</f>
        <v>5726.1746066119058</v>
      </c>
      <c r="Z14" s="1501">
        <f>$F14*$N$54</f>
        <v>5726.1746066119058</v>
      </c>
      <c r="AA14" s="1501">
        <f>$F14*$O$54</f>
        <v>5726.1746066119058</v>
      </c>
      <c r="AB14" s="1501">
        <f>$F14*$P$54</f>
        <v>5726.1746066119058</v>
      </c>
      <c r="AC14" s="1501">
        <f>$F14*$Q$54</f>
        <v>5726.1746066119058</v>
      </c>
      <c r="AD14" s="1501">
        <f>$F14*$R$54</f>
        <v>5726.1746066119058</v>
      </c>
      <c r="AE14" s="1501">
        <f>$F14*$S$54</f>
        <v>5726.1746066119058</v>
      </c>
      <c r="AF14" s="1501">
        <f>$F14*$T$54</f>
        <v>5726.1746066119058</v>
      </c>
      <c r="AG14" s="1501">
        <f>$F14*$U$54</f>
        <v>0</v>
      </c>
      <c r="AH14" s="1501">
        <f>$F14*$V$54</f>
        <v>0</v>
      </c>
    </row>
    <row r="15" spans="1:56" x14ac:dyDescent="0.25">
      <c r="A15" s="1502">
        <f t="shared" si="2"/>
        <v>45352</v>
      </c>
      <c r="B15" s="1499">
        <f>INDEX(Model!$CU$31:$FB$31,MATCH('Bookings Waterfall'!A15,Model!$CU$5:$FB$5,0))</f>
        <v>202438.88343342472</v>
      </c>
      <c r="C15" s="1499">
        <f>INDEX(Model!$CU$32:$FB$32,MATCH('Bookings Waterfall'!A15,Model!$CU$5:$FB$5,0))</f>
        <v>861871.68287827878</v>
      </c>
      <c r="D15" s="1475">
        <f t="shared" si="0"/>
        <v>-10927.422245822525</v>
      </c>
      <c r="E15" s="1501">
        <f t="shared" si="3"/>
        <v>156106.03208317905</v>
      </c>
      <c r="F15" s="1501">
        <f t="shared" si="1"/>
        <v>1209489.17614906</v>
      </c>
      <c r="G15" s="537"/>
      <c r="U15" s="1501">
        <f>$F15*$H$54</f>
        <v>0</v>
      </c>
      <c r="V15" s="1501">
        <f>$F15*$I$54</f>
        <v>544270.12926707708</v>
      </c>
      <c r="W15" s="1501">
        <f>$F15*$J$54</f>
        <v>544270.12926707708</v>
      </c>
      <c r="X15" s="1501">
        <f>$F15*$K$54</f>
        <v>12094.8917614906</v>
      </c>
      <c r="Y15" s="1501">
        <f>$F15*$L$54</f>
        <v>12094.8917614906</v>
      </c>
      <c r="Z15" s="1501">
        <f>$F15*$M$54</f>
        <v>12094.8917614906</v>
      </c>
      <c r="AA15" s="1501">
        <f>$F15*$N$54</f>
        <v>12094.8917614906</v>
      </c>
      <c r="AB15" s="1501">
        <f>$F15*$O$54</f>
        <v>12094.8917614906</v>
      </c>
      <c r="AC15" s="1501">
        <f>$F15*$P$54</f>
        <v>12094.8917614906</v>
      </c>
      <c r="AD15" s="1501">
        <f>$F15*$Q$54</f>
        <v>12094.8917614906</v>
      </c>
      <c r="AE15" s="1501">
        <f>$F15*$R$54</f>
        <v>12094.8917614906</v>
      </c>
      <c r="AF15" s="1501">
        <f>$F15*$S$54</f>
        <v>12094.8917614906</v>
      </c>
      <c r="AG15" s="1501">
        <f>$F15*$T$54</f>
        <v>12094.8917614906</v>
      </c>
      <c r="AH15" s="1501">
        <f>$F15*$U$54</f>
        <v>0</v>
      </c>
      <c r="AI15" s="1501">
        <f>$F15*$V$54</f>
        <v>0</v>
      </c>
    </row>
    <row r="16" spans="1:56" x14ac:dyDescent="0.25">
      <c r="A16" s="1502">
        <f t="shared" si="2"/>
        <v>45383</v>
      </c>
      <c r="B16" s="1499">
        <f>INDEX(Model!$CU$31:$FB$31,MATCH('Bookings Waterfall'!A16,Model!$CU$5:$FB$5,0))</f>
        <v>395494.20905043476</v>
      </c>
      <c r="C16" s="1499">
        <f>INDEX(Model!$CU$32:$FB$32,MATCH('Bookings Waterfall'!A16,Model!$CU$5:$FB$5,0))</f>
        <v>1683793.4182491724</v>
      </c>
      <c r="D16" s="1475">
        <f t="shared" si="0"/>
        <v>-21348.330640704091</v>
      </c>
      <c r="E16" s="1501">
        <f t="shared" si="3"/>
        <v>304976.15201005863</v>
      </c>
      <c r="F16" s="1501">
        <f t="shared" si="1"/>
        <v>2362915.4486689619</v>
      </c>
      <c r="G16" s="537"/>
      <c r="V16" s="1501">
        <f>$F16*$H$54</f>
        <v>0</v>
      </c>
      <c r="W16" s="1501">
        <f>$F16*$I$54</f>
        <v>1063311.9519010328</v>
      </c>
      <c r="X16" s="1501">
        <f>$F16*$J$54</f>
        <v>1063311.9519010328</v>
      </c>
      <c r="Y16" s="1501">
        <f>$F16*$K$54</f>
        <v>23629.154486689618</v>
      </c>
      <c r="Z16" s="1501">
        <f>$F16*$L$54</f>
        <v>23629.154486689618</v>
      </c>
      <c r="AA16" s="1501">
        <f>$F16*$M$54</f>
        <v>23629.154486689618</v>
      </c>
      <c r="AB16" s="1501">
        <f>$F16*$N$54</f>
        <v>23629.154486689618</v>
      </c>
      <c r="AC16" s="1501">
        <f>$F16*$O$54</f>
        <v>23629.154486689618</v>
      </c>
      <c r="AD16" s="1501">
        <f>$F16*$P$54</f>
        <v>23629.154486689618</v>
      </c>
      <c r="AE16" s="1501">
        <f>$F16*$Q$54</f>
        <v>23629.154486689618</v>
      </c>
      <c r="AF16" s="1501">
        <f>$F16*$R$54</f>
        <v>23629.154486689618</v>
      </c>
      <c r="AG16" s="1501">
        <f>$F16*$S$54</f>
        <v>23629.154486689618</v>
      </c>
      <c r="AH16" s="1501">
        <f>$F16*$T$54</f>
        <v>23629.154486689618</v>
      </c>
      <c r="AI16" s="1501">
        <f>$F16*$U$54</f>
        <v>0</v>
      </c>
      <c r="AJ16" s="1501">
        <f>$F16*$V$54</f>
        <v>0</v>
      </c>
    </row>
    <row r="17" spans="1:52" x14ac:dyDescent="0.25">
      <c r="A17" s="1502">
        <f t="shared" si="2"/>
        <v>45413</v>
      </c>
      <c r="B17" s="1499">
        <f>INDEX(Model!$CU$31:$FB$31,MATCH('Bookings Waterfall'!A17,Model!$CU$5:$FB$5,0))</f>
        <v>170612.89057558763</v>
      </c>
      <c r="C17" s="1499">
        <f>INDEX(Model!$CU$32:$FB$32,MATCH('Bookings Waterfall'!A17,Model!$CU$5:$FB$5,0))</f>
        <v>726374.38335539866</v>
      </c>
      <c r="D17" s="1475">
        <f t="shared" si="0"/>
        <v>-9209.491103090797</v>
      </c>
      <c r="E17" s="1501">
        <f t="shared" si="3"/>
        <v>131564.15861558291</v>
      </c>
      <c r="F17" s="1501">
        <f t="shared" si="1"/>
        <v>1019341.9414434785</v>
      </c>
      <c r="G17" s="537"/>
      <c r="W17" s="1501">
        <f>$F17*$H$54</f>
        <v>0</v>
      </c>
      <c r="X17" s="1501">
        <f>$F17*$I$54</f>
        <v>458703.87364956533</v>
      </c>
      <c r="Y17" s="1501">
        <f>$F17*$J$54</f>
        <v>458703.87364956533</v>
      </c>
      <c r="Z17" s="1501">
        <f>$F17*$K$54</f>
        <v>10193.419414434784</v>
      </c>
      <c r="AA17" s="1501">
        <f>$F17*$L$54</f>
        <v>10193.419414434784</v>
      </c>
      <c r="AB17" s="1501">
        <f>$F17*$M$54</f>
        <v>10193.419414434784</v>
      </c>
      <c r="AC17" s="1501">
        <f>$F17*$N$54</f>
        <v>10193.419414434784</v>
      </c>
      <c r="AD17" s="1501">
        <f>$F17*$O$54</f>
        <v>10193.419414434784</v>
      </c>
      <c r="AE17" s="1501">
        <f>$F17*$P$54</f>
        <v>10193.419414434784</v>
      </c>
      <c r="AF17" s="1501">
        <f>$F17*$Q$54</f>
        <v>10193.419414434784</v>
      </c>
      <c r="AG17" s="1501">
        <f>$F17*$R$54</f>
        <v>10193.419414434784</v>
      </c>
      <c r="AH17" s="1501">
        <f>$F17*$S$54</f>
        <v>10193.419414434784</v>
      </c>
      <c r="AI17" s="1501">
        <f>$F17*$T$54</f>
        <v>10193.419414434784</v>
      </c>
      <c r="AJ17" s="1501">
        <f>$F17*$U$54</f>
        <v>0</v>
      </c>
      <c r="AK17" s="1501">
        <f>$F17*$V$54</f>
        <v>0</v>
      </c>
    </row>
    <row r="18" spans="1:52" x14ac:dyDescent="0.25">
      <c r="A18" s="1502">
        <f t="shared" si="2"/>
        <v>45444</v>
      </c>
      <c r="B18" s="1499">
        <f>INDEX(Model!$CU$31:$FB$31,MATCH('Bookings Waterfall'!A18,Model!$CU$5:$FB$5,0))</f>
        <v>320005.64835523709</v>
      </c>
      <c r="C18" s="1499">
        <f>INDEX(Model!$CU$32:$FB$32,MATCH('Bookings Waterfall'!A18,Model!$CU$5:$FB$5,0))</f>
        <v>1362405.2948759983</v>
      </c>
      <c r="D18" s="1475">
        <f t="shared" si="0"/>
        <v>-17273.543408847487</v>
      </c>
      <c r="E18" s="1501">
        <f t="shared" si="3"/>
        <v>246764.90584067855</v>
      </c>
      <c r="F18" s="1501">
        <f t="shared" si="1"/>
        <v>1911902.3056630665</v>
      </c>
      <c r="G18" s="537"/>
      <c r="X18" s="1501">
        <f>$F18*$H$54</f>
        <v>0</v>
      </c>
      <c r="Y18" s="1501">
        <f>$F18*$I$54</f>
        <v>860356.03754837997</v>
      </c>
      <c r="Z18" s="1501">
        <f>$F18*$J$54</f>
        <v>860356.03754837997</v>
      </c>
      <c r="AA18" s="1501">
        <f>$F18*$K$54</f>
        <v>19119.023056630664</v>
      </c>
      <c r="AB18" s="1501">
        <f>$F18*$L$54</f>
        <v>19119.023056630664</v>
      </c>
      <c r="AC18" s="1501">
        <f>$F18*$M$54</f>
        <v>19119.023056630664</v>
      </c>
      <c r="AD18" s="1501">
        <f>$F18*$N$54</f>
        <v>19119.023056630664</v>
      </c>
      <c r="AE18" s="1501">
        <f>$F18*$O$54</f>
        <v>19119.023056630664</v>
      </c>
      <c r="AF18" s="1501">
        <f>$F18*$P$54</f>
        <v>19119.023056630664</v>
      </c>
      <c r="AG18" s="1501">
        <f>$F18*$Q$54</f>
        <v>19119.023056630664</v>
      </c>
      <c r="AH18" s="1501">
        <f>$F18*$R$54</f>
        <v>19119.023056630664</v>
      </c>
      <c r="AI18" s="1501">
        <f>$F18*$S$54</f>
        <v>19119.023056630664</v>
      </c>
      <c r="AJ18" s="1501">
        <f>$F18*$T$54</f>
        <v>19119.023056630664</v>
      </c>
      <c r="AK18" s="1501">
        <f>$F18*$U$54</f>
        <v>0</v>
      </c>
      <c r="AL18" s="1501">
        <f>$F18*$V$54</f>
        <v>0</v>
      </c>
    </row>
    <row r="19" spans="1:52" x14ac:dyDescent="0.25">
      <c r="A19" s="1502">
        <f t="shared" si="2"/>
        <v>45474</v>
      </c>
      <c r="B19" s="1499">
        <f>INDEX(Model!$CU$31:$FB$31,MATCH('Bookings Waterfall'!A19,Model!$CU$5:$FB$5,0))</f>
        <v>450771.39847854123</v>
      </c>
      <c r="C19" s="1499">
        <f>INDEX(Model!$CU$32:$FB$32,MATCH('Bookings Waterfall'!A19,Model!$CU$5:$FB$5,0))</f>
        <v>1919132.8128810902</v>
      </c>
      <c r="D19" s="1475">
        <f t="shared" si="0"/>
        <v>-24332.130883022088</v>
      </c>
      <c r="E19" s="1501">
        <f t="shared" si="3"/>
        <v>347601.86975745863</v>
      </c>
      <c r="F19" s="1501">
        <f t="shared" si="1"/>
        <v>2693173.9502340676</v>
      </c>
      <c r="G19" s="537"/>
      <c r="Y19" s="1501">
        <f>$F19*$H$54</f>
        <v>0</v>
      </c>
      <c r="Z19" s="1501">
        <f>$F19*$I$54</f>
        <v>1211928.2776053306</v>
      </c>
      <c r="AA19" s="1501">
        <f>$F19*$J$54</f>
        <v>1211928.2776053306</v>
      </c>
      <c r="AB19" s="1501">
        <f>$F19*$K$54</f>
        <v>26931.739502340675</v>
      </c>
      <c r="AC19" s="1501">
        <f>$F19*$L$54</f>
        <v>26931.739502340675</v>
      </c>
      <c r="AD19" s="1501">
        <f>$F19*$M$54</f>
        <v>26931.739502340675</v>
      </c>
      <c r="AE19" s="1501">
        <f>$F19*$N$54</f>
        <v>26931.739502340675</v>
      </c>
      <c r="AF19" s="1501">
        <f>$F19*$O$54</f>
        <v>26931.739502340675</v>
      </c>
      <c r="AG19" s="1501">
        <f>$F19*$P$54</f>
        <v>26931.739502340675</v>
      </c>
      <c r="AH19" s="1501">
        <f>$F19*$Q$54</f>
        <v>26931.739502340675</v>
      </c>
      <c r="AI19" s="1501">
        <f>$F19*$R$54</f>
        <v>26931.739502340675</v>
      </c>
      <c r="AJ19" s="1501">
        <f>$F19*$S$54</f>
        <v>26931.739502340675</v>
      </c>
      <c r="AK19" s="1501">
        <f>$F19*$T$54</f>
        <v>26931.739502340675</v>
      </c>
      <c r="AL19" s="1501">
        <f>$F19*$U$54</f>
        <v>0</v>
      </c>
      <c r="AM19" s="1501">
        <f>$F19*$V$54</f>
        <v>0</v>
      </c>
    </row>
    <row r="20" spans="1:52" x14ac:dyDescent="0.25">
      <c r="A20" s="1502">
        <f t="shared" si="2"/>
        <v>45505</v>
      </c>
      <c r="B20" s="1499">
        <f>INDEX(Model!$CU$31:$FB$31,MATCH('Bookings Waterfall'!A20,Model!$CU$5:$FB$5,0))</f>
        <v>149216.50449677641</v>
      </c>
      <c r="C20" s="1499">
        <f>INDEX(Model!$CU$32:$FB$32,MATCH('Bookings Waterfall'!A20,Model!$CU$5:$FB$5,0))</f>
        <v>635280.52349757659</v>
      </c>
      <c r="D20" s="1475">
        <f t="shared" si="0"/>
        <v>-11865.356442887682</v>
      </c>
      <c r="E20" s="1501">
        <f t="shared" si="3"/>
        <v>169505.0920412527</v>
      </c>
      <c r="F20" s="1501">
        <f t="shared" si="1"/>
        <v>942136.76359271794</v>
      </c>
      <c r="G20" s="537"/>
      <c r="Z20" s="1501">
        <f>$F20*$H$54</f>
        <v>0</v>
      </c>
      <c r="AA20" s="1501">
        <f>$F20*$I$54</f>
        <v>423961.54361672309</v>
      </c>
      <c r="AB20" s="1501">
        <f>$F20*$J$54</f>
        <v>423961.54361672309</v>
      </c>
      <c r="AC20" s="1501">
        <f>$F20*$K$54</f>
        <v>9421.3676359271794</v>
      </c>
      <c r="AD20" s="1501">
        <f>$F20*$L$54</f>
        <v>9421.3676359271794</v>
      </c>
      <c r="AE20" s="1501">
        <f>$F20*$M$54</f>
        <v>9421.3676359271794</v>
      </c>
      <c r="AF20" s="1501">
        <f>$F20*$N$54</f>
        <v>9421.3676359271794</v>
      </c>
      <c r="AG20" s="1501">
        <f>$F20*$O$54</f>
        <v>9421.3676359271794</v>
      </c>
      <c r="AH20" s="1501">
        <f>$F20*$P$54</f>
        <v>9421.3676359271794</v>
      </c>
      <c r="AI20" s="1501">
        <f>$F20*$Q$54</f>
        <v>9421.3676359271794</v>
      </c>
      <c r="AJ20" s="1501">
        <f>$F20*$R$54</f>
        <v>9421.3676359271794</v>
      </c>
      <c r="AK20" s="1501">
        <f>$F20*$S$54</f>
        <v>9421.3676359271794</v>
      </c>
      <c r="AL20" s="1501">
        <f>$F20*$T$54</f>
        <v>9421.3676359271794</v>
      </c>
      <c r="AM20" s="1501">
        <f>$F20*$U$54</f>
        <v>0</v>
      </c>
      <c r="AN20" s="1501">
        <f>$F20*$V$54</f>
        <v>0</v>
      </c>
    </row>
    <row r="21" spans="1:52" x14ac:dyDescent="0.25">
      <c r="A21" s="1502">
        <f t="shared" si="2"/>
        <v>45536</v>
      </c>
      <c r="B21" s="1499">
        <f>INDEX(Model!$CU$31:$FB$31,MATCH('Bookings Waterfall'!A21,Model!$CU$5:$FB$5,0))</f>
        <v>266067.8058937887</v>
      </c>
      <c r="C21" s="1499">
        <f>INDEX(Model!$CU$32:$FB$32,MATCH('Bookings Waterfall'!A21,Model!$CU$5:$FB$5,0))</f>
        <v>1132768.09146611</v>
      </c>
      <c r="D21" s="1475">
        <f t="shared" si="0"/>
        <v>-21157.105680458131</v>
      </c>
      <c r="E21" s="1501">
        <f t="shared" si="3"/>
        <v>302244.36686368781</v>
      </c>
      <c r="F21" s="1501">
        <f t="shared" si="1"/>
        <v>1679923.1585431283</v>
      </c>
      <c r="G21" s="537"/>
      <c r="AA21" s="1501">
        <f>$F21*$H$54</f>
        <v>0</v>
      </c>
      <c r="AB21" s="1501">
        <f>$F21*$I$54</f>
        <v>755965.42134440772</v>
      </c>
      <c r="AC21" s="1501">
        <f>$F21*$J$54</f>
        <v>755965.42134440772</v>
      </c>
      <c r="AD21" s="1501">
        <f>$F21*$K$54</f>
        <v>16799.231585431284</v>
      </c>
      <c r="AE21" s="1501">
        <f>$F21*$L$54</f>
        <v>16799.231585431284</v>
      </c>
      <c r="AF21" s="1501">
        <f>$F21*$M$54</f>
        <v>16799.231585431284</v>
      </c>
      <c r="AG21" s="1501">
        <f>$F21*$N$54</f>
        <v>16799.231585431284</v>
      </c>
      <c r="AH21" s="1501">
        <f>$F21*$O$54</f>
        <v>16799.231585431284</v>
      </c>
      <c r="AI21" s="1501">
        <f>$F21*$P$54</f>
        <v>16799.231585431284</v>
      </c>
      <c r="AJ21" s="1501">
        <f>$F21*$Q$54</f>
        <v>16799.231585431284</v>
      </c>
      <c r="AK21" s="1501">
        <f>$F21*$R$54</f>
        <v>16799.231585431284</v>
      </c>
      <c r="AL21" s="1501">
        <f>$F21*$S$54</f>
        <v>16799.231585431284</v>
      </c>
      <c r="AM21" s="1501">
        <f>$F21*$T$54</f>
        <v>16799.231585431284</v>
      </c>
      <c r="AN21" s="1501">
        <f>$F21*$U$54</f>
        <v>0</v>
      </c>
      <c r="AO21" s="1501">
        <f>$F21*$V$54</f>
        <v>0</v>
      </c>
    </row>
    <row r="22" spans="1:52" x14ac:dyDescent="0.25">
      <c r="A22" s="1502">
        <f t="shared" si="2"/>
        <v>45566</v>
      </c>
      <c r="B22" s="1499">
        <f>INDEX(Model!$CU$31:$FB$31,MATCH('Bookings Waterfall'!A22,Model!$CU$5:$FB$5,0))</f>
        <v>467810.4881868863</v>
      </c>
      <c r="C22" s="1499">
        <f>INDEX(Model!$CU$32:$FB$32,MATCH('Bookings Waterfall'!A22,Model!$CU$5:$FB$5,0))</f>
        <v>1991675.7387882806</v>
      </c>
      <c r="D22" s="1475">
        <f t="shared" si="0"/>
        <v>-37199.224099091647</v>
      </c>
      <c r="E22" s="1501">
        <f t="shared" si="3"/>
        <v>531417.48712988105</v>
      </c>
      <c r="F22" s="1501">
        <f t="shared" si="1"/>
        <v>2953704.4900059565</v>
      </c>
      <c r="G22" s="537"/>
      <c r="AB22" s="1501">
        <f>$F22*$H$54</f>
        <v>0</v>
      </c>
      <c r="AC22" s="1501">
        <f>$F22*$I$54</f>
        <v>1329167.0205026804</v>
      </c>
      <c r="AD22" s="1501">
        <f>$F22*$J$54</f>
        <v>1329167.0205026804</v>
      </c>
      <c r="AE22" s="1501">
        <f>$F22*$K$54</f>
        <v>29537.044900059565</v>
      </c>
      <c r="AF22" s="1501">
        <f>$F22*$L$54</f>
        <v>29537.044900059565</v>
      </c>
      <c r="AG22" s="1501">
        <f>$F22*$M$54</f>
        <v>29537.044900059565</v>
      </c>
      <c r="AH22" s="1501">
        <f>$F22*$N$54</f>
        <v>29537.044900059565</v>
      </c>
      <c r="AI22" s="1501">
        <f>$F22*$O$54</f>
        <v>29537.044900059565</v>
      </c>
      <c r="AJ22" s="1501">
        <f>$F22*$P$54</f>
        <v>29537.044900059565</v>
      </c>
      <c r="AK22" s="1501">
        <f>$F22*$Q$54</f>
        <v>29537.044900059565</v>
      </c>
      <c r="AL22" s="1501">
        <f>$F22*$R$54</f>
        <v>29537.044900059565</v>
      </c>
      <c r="AM22" s="1501">
        <f>$F22*$S$54</f>
        <v>29537.044900059565</v>
      </c>
      <c r="AN22" s="1501">
        <f>$F22*$T$54</f>
        <v>29537.044900059565</v>
      </c>
      <c r="AO22" s="1501">
        <f>$F22*$U$54</f>
        <v>0</v>
      </c>
      <c r="AP22" s="1501">
        <f>$F22*$V$54</f>
        <v>0</v>
      </c>
    </row>
    <row r="23" spans="1:52" x14ac:dyDescent="0.25">
      <c r="A23" s="1502">
        <f t="shared" si="2"/>
        <v>45597</v>
      </c>
      <c r="B23" s="1499">
        <f>INDEX(Model!$CU$31:$FB$31,MATCH('Bookings Waterfall'!A23,Model!$CU$5:$FB$5,0))</f>
        <v>178814.66286001296</v>
      </c>
      <c r="C23" s="1499">
        <f>INDEX(Model!$CU$32:$FB$32,MATCH('Bookings Waterfall'!A23,Model!$CU$5:$FB$5,0))</f>
        <v>761292.94821542874</v>
      </c>
      <c r="D23" s="1475">
        <f t="shared" si="0"/>
        <v>-16897.854561377455</v>
      </c>
      <c r="E23" s="1501">
        <f t="shared" si="3"/>
        <v>241397.92230539236</v>
      </c>
      <c r="F23" s="1501">
        <f t="shared" si="1"/>
        <v>1164607.6788194566</v>
      </c>
      <c r="G23" s="537"/>
      <c r="AC23" s="1501">
        <f>$F23*$H$54</f>
        <v>0</v>
      </c>
      <c r="AD23" s="1501">
        <f>$F23*$I$54</f>
        <v>524073.45546875551</v>
      </c>
      <c r="AE23" s="1501">
        <f>$F23*$J$54</f>
        <v>524073.45546875551</v>
      </c>
      <c r="AF23" s="1501">
        <f>$F23*$K$54</f>
        <v>11646.076788194567</v>
      </c>
      <c r="AG23" s="1501">
        <f>$F23*$L$54</f>
        <v>11646.076788194567</v>
      </c>
      <c r="AH23" s="1501">
        <f>$F23*$M$54</f>
        <v>11646.076788194567</v>
      </c>
      <c r="AI23" s="1501">
        <f>$F23*$N$54</f>
        <v>11646.076788194567</v>
      </c>
      <c r="AJ23" s="1501">
        <f>$F23*$O$54</f>
        <v>11646.076788194567</v>
      </c>
      <c r="AK23" s="1501">
        <f>$F23*$P$54</f>
        <v>11646.076788194567</v>
      </c>
      <c r="AL23" s="1501">
        <f>$F23*$Q$54</f>
        <v>11646.076788194567</v>
      </c>
      <c r="AM23" s="1501">
        <f>$F23*$R$54</f>
        <v>11646.076788194567</v>
      </c>
      <c r="AN23" s="1501">
        <f>$F23*$S$54</f>
        <v>11646.076788194567</v>
      </c>
      <c r="AO23" s="1501">
        <f>$F23*$T$54</f>
        <v>11646.076788194567</v>
      </c>
      <c r="AP23" s="1501">
        <f>$F23*$U$54</f>
        <v>0</v>
      </c>
      <c r="AQ23" s="1501">
        <f>$F23*$V$54</f>
        <v>0</v>
      </c>
    </row>
    <row r="24" spans="1:52" x14ac:dyDescent="0.25">
      <c r="A24" s="1502">
        <f t="shared" si="2"/>
        <v>45627</v>
      </c>
      <c r="B24" s="1499">
        <f>INDEX(Model!$CU$31:$FB$31,MATCH('Bookings Waterfall'!A24,Model!$CU$5:$FB$5,0))</f>
        <v>513765.49706207501</v>
      </c>
      <c r="C24" s="1499">
        <f>INDEX(Model!$CU$32:$FB$32,MATCH('Bookings Waterfall'!A24,Model!$CU$5:$FB$5,0))</f>
        <v>2187326.4960153159</v>
      </c>
      <c r="D24" s="1475">
        <f t="shared" si="0"/>
        <v>-48550.46286000144</v>
      </c>
      <c r="E24" s="1501">
        <f t="shared" si="3"/>
        <v>693578.04085716396</v>
      </c>
      <c r="F24" s="1501">
        <f t="shared" si="1"/>
        <v>3346119.5710745538</v>
      </c>
      <c r="G24" s="537"/>
      <c r="AD24" s="1501">
        <f>$F24*$H$54</f>
        <v>0</v>
      </c>
      <c r="AE24" s="1501">
        <f>$F24*$I$54</f>
        <v>1505753.8069835491</v>
      </c>
      <c r="AF24" s="1501">
        <f>$F24*$J$54</f>
        <v>1505753.8069835491</v>
      </c>
      <c r="AG24" s="1501">
        <f>$F24*$K$54</f>
        <v>33461.195710745538</v>
      </c>
      <c r="AH24" s="1501">
        <f>$F24*$L$54</f>
        <v>33461.195710745538</v>
      </c>
      <c r="AI24" s="1501">
        <f>$F24*$M$54</f>
        <v>33461.195710745538</v>
      </c>
      <c r="AJ24" s="1501">
        <f>$F24*$N$54</f>
        <v>33461.195710745538</v>
      </c>
      <c r="AK24" s="1501">
        <f>$F24*$O$54</f>
        <v>33461.195710745538</v>
      </c>
      <c r="AL24" s="1501">
        <f>$F24*$P$54</f>
        <v>33461.195710745538</v>
      </c>
      <c r="AM24" s="1501">
        <f>$F24*$Q$54</f>
        <v>33461.195710745538</v>
      </c>
      <c r="AN24" s="1501">
        <f>$F24*$R$54</f>
        <v>33461.195710745538</v>
      </c>
      <c r="AO24" s="1501">
        <f>$F24*$S$54</f>
        <v>33461.195710745538</v>
      </c>
      <c r="AP24" s="1501">
        <f>$F24*$T$54</f>
        <v>33461.195710745538</v>
      </c>
      <c r="AQ24" s="1501">
        <f>$F24*$U$54</f>
        <v>0</v>
      </c>
      <c r="AR24" s="1501">
        <f>$F24*$V$54</f>
        <v>0</v>
      </c>
    </row>
    <row r="25" spans="1:52" x14ac:dyDescent="0.25">
      <c r="A25" s="1502">
        <f t="shared" si="2"/>
        <v>45658</v>
      </c>
      <c r="B25" s="1499">
        <f>INDEX(Model!$CU$31:$FB$31,MATCH('Bookings Waterfall'!A25,Model!$CU$5:$FB$5,0))</f>
        <v>593291.66303384793</v>
      </c>
      <c r="C25" s="1499">
        <f>INDEX(Model!$CU$32:$FB$32,MATCH('Bookings Waterfall'!A25,Model!$CU$5:$FB$5,0))</f>
        <v>2525904.4872414446</v>
      </c>
      <c r="D25" s="1475">
        <f t="shared" si="0"/>
        <v>-56065.627248209414</v>
      </c>
      <c r="E25" s="1501">
        <f t="shared" si="3"/>
        <v>800937.53211727785</v>
      </c>
      <c r="F25" s="1501">
        <f t="shared" si="1"/>
        <v>3864068.0551443612</v>
      </c>
      <c r="G25" s="537"/>
      <c r="AE25" s="1501">
        <f>$F25*$H$54</f>
        <v>0</v>
      </c>
      <c r="AF25" s="1501">
        <f>$F25*$I$54</f>
        <v>1738830.6248149625</v>
      </c>
      <c r="AG25" s="1501">
        <f>$F25*$J$54</f>
        <v>1738830.6248149625</v>
      </c>
      <c r="AH25" s="1501">
        <f>$F25*$K$54</f>
        <v>38640.680551443613</v>
      </c>
      <c r="AI25" s="1501">
        <f>$F25*$L$54</f>
        <v>38640.680551443613</v>
      </c>
      <c r="AJ25" s="1501">
        <f>$F25*$M$54</f>
        <v>38640.680551443613</v>
      </c>
      <c r="AK25" s="1501">
        <f>$F25*$N$54</f>
        <v>38640.680551443613</v>
      </c>
      <c r="AL25" s="1501">
        <f>$F25*$O$54</f>
        <v>38640.680551443613</v>
      </c>
      <c r="AM25" s="1501">
        <f>$F25*$P$54</f>
        <v>38640.680551443613</v>
      </c>
      <c r="AN25" s="1501">
        <f>$F25*$Q$54</f>
        <v>38640.680551443613</v>
      </c>
      <c r="AO25" s="1501">
        <f>$F25*$R$54</f>
        <v>38640.680551443613</v>
      </c>
      <c r="AP25" s="1501">
        <f>$F25*$S$54</f>
        <v>38640.680551443613</v>
      </c>
      <c r="AQ25" s="1501">
        <f>$F25*$T$54</f>
        <v>38640.680551443613</v>
      </c>
      <c r="AR25" s="1501">
        <f>$F25*$U$54</f>
        <v>0</v>
      </c>
      <c r="AS25" s="1501">
        <f>$F25*$V$54</f>
        <v>0</v>
      </c>
    </row>
    <row r="26" spans="1:52" x14ac:dyDescent="0.25">
      <c r="A26" s="1502">
        <f t="shared" si="2"/>
        <v>45689</v>
      </c>
      <c r="B26" s="1499">
        <f>INDEX(Model!$CU$31:$FB$31,MATCH('Bookings Waterfall'!A26,Model!$CU$5:$FB$5,0))</f>
        <v>166726.5782795914</v>
      </c>
      <c r="C26" s="1499">
        <f>INDEX(Model!$CU$32:$FB$32,MATCH('Bookings Waterfall'!A26,Model!$CU$5:$FB$5,0))</f>
        <v>715071.2461616681</v>
      </c>
      <c r="D26" s="1475">
        <f t="shared" si="0"/>
        <v>-40083.222246283309</v>
      </c>
      <c r="E26" s="1501">
        <f t="shared" si="3"/>
        <v>572617.46066119056</v>
      </c>
      <c r="F26" s="1501">
        <f t="shared" si="1"/>
        <v>1414332.0628561666</v>
      </c>
      <c r="G26" s="537"/>
      <c r="AF26" s="1501">
        <f>$F26*$H$54</f>
        <v>0</v>
      </c>
      <c r="AG26" s="1501">
        <f>$F26*$I$54</f>
        <v>636449.428285275</v>
      </c>
      <c r="AH26" s="1501">
        <f>$F26*$J$54</f>
        <v>636449.428285275</v>
      </c>
      <c r="AI26" s="1501">
        <f>$F26*$K$54</f>
        <v>14143.320628561667</v>
      </c>
      <c r="AJ26" s="1501">
        <f>$F26*$L$54</f>
        <v>14143.320628561667</v>
      </c>
      <c r="AK26" s="1501">
        <f>$F26*$M$54</f>
        <v>14143.320628561667</v>
      </c>
      <c r="AL26" s="1501">
        <f>$F26*$N$54</f>
        <v>14143.320628561667</v>
      </c>
      <c r="AM26" s="1501">
        <f>$F26*$O$54</f>
        <v>14143.320628561667</v>
      </c>
      <c r="AN26" s="1501">
        <f>$F26*$P$54</f>
        <v>14143.320628561667</v>
      </c>
      <c r="AO26" s="1501">
        <f>$F26*$Q$54</f>
        <v>14143.320628561667</v>
      </c>
      <c r="AP26" s="1501">
        <f>$F26*$R$54</f>
        <v>14143.320628561667</v>
      </c>
      <c r="AQ26" s="1501">
        <f>$F26*$S$54</f>
        <v>14143.320628561667</v>
      </c>
      <c r="AR26" s="1501">
        <f>$F26*$T$54</f>
        <v>14143.320628561667</v>
      </c>
      <c r="AS26" s="1501">
        <f>$F26*$U$54</f>
        <v>0</v>
      </c>
      <c r="AT26" s="1501">
        <f>$F26*$V$54</f>
        <v>0</v>
      </c>
    </row>
    <row r="27" spans="1:52" x14ac:dyDescent="0.25">
      <c r="A27" s="1502">
        <f t="shared" si="2"/>
        <v>45717</v>
      </c>
      <c r="B27" s="1499">
        <f>INDEX(Model!$CU$31:$FB$31,MATCH('Bookings Waterfall'!A27,Model!$CU$5:$FB$5,0))</f>
        <v>352161.79327240348</v>
      </c>
      <c r="C27" s="1499">
        <f>INDEX(Model!$CU$32:$FB$32,MATCH('Bookings Waterfall'!A27,Model!$CU$5:$FB$5,0))</f>
        <v>1510381.697773078</v>
      </c>
      <c r="D27" s="1475">
        <f t="shared" si="0"/>
        <v>-84664.242330434136</v>
      </c>
      <c r="E27" s="1501">
        <f t="shared" si="3"/>
        <v>1209489.17614906</v>
      </c>
      <c r="F27" s="1501">
        <f t="shared" si="1"/>
        <v>2987368.4248641077</v>
      </c>
      <c r="G27" s="537"/>
      <c r="AG27" s="1501">
        <f>$F27*$H$54</f>
        <v>0</v>
      </c>
      <c r="AH27" s="1501">
        <f>$F27*$I$54</f>
        <v>1344315.7911888484</v>
      </c>
      <c r="AI27" s="1501">
        <f>$F27*$J$54</f>
        <v>1344315.7911888484</v>
      </c>
      <c r="AJ27" s="1501">
        <f>$F27*$K$54</f>
        <v>29873.684248641079</v>
      </c>
      <c r="AK27" s="1501">
        <f>$F27*$L$54</f>
        <v>29873.684248641079</v>
      </c>
      <c r="AL27" s="1501">
        <f>$F27*$M$54</f>
        <v>29873.684248641079</v>
      </c>
      <c r="AM27" s="1501">
        <f>$F27*$N$54</f>
        <v>29873.684248641079</v>
      </c>
      <c r="AN27" s="1501">
        <f>$F27*$O$54</f>
        <v>29873.684248641079</v>
      </c>
      <c r="AO27" s="1501">
        <f>$F27*$P$54</f>
        <v>29873.684248641079</v>
      </c>
      <c r="AP27" s="1501">
        <f>$F27*$Q$54</f>
        <v>29873.684248641079</v>
      </c>
      <c r="AQ27" s="1501">
        <f>$F27*$R$54</f>
        <v>29873.684248641079</v>
      </c>
      <c r="AR27" s="1501">
        <f>$F27*$S$54</f>
        <v>29873.684248641079</v>
      </c>
      <c r="AS27" s="1501">
        <f>$F27*$T$54</f>
        <v>29873.684248641079</v>
      </c>
      <c r="AT27" s="1501">
        <f>$F27*$U$54</f>
        <v>0</v>
      </c>
      <c r="AU27" s="1501">
        <f>$F27*$V$54</f>
        <v>0</v>
      </c>
    </row>
    <row r="28" spans="1:52" x14ac:dyDescent="0.25">
      <c r="A28" s="1502">
        <f t="shared" si="2"/>
        <v>45748</v>
      </c>
      <c r="B28" s="1499">
        <f>INDEX(Model!$CU$31:$FB$31,MATCH('Bookings Waterfall'!A28,Model!$CU$5:$FB$5,0))</f>
        <v>687999.99054458179</v>
      </c>
      <c r="C28" s="1499">
        <f>INDEX(Model!$CU$32:$FB$32,MATCH('Bookings Waterfall'!A28,Model!$CU$5:$FB$5,0))</f>
        <v>2950753.357229731</v>
      </c>
      <c r="D28" s="1475">
        <f t="shared" si="0"/>
        <v>-165404.08140682723</v>
      </c>
      <c r="E28" s="1501">
        <f t="shared" si="3"/>
        <v>2362915.4486689619</v>
      </c>
      <c r="F28" s="1501">
        <f t="shared" si="1"/>
        <v>5836264.7150364481</v>
      </c>
      <c r="G28" s="537"/>
      <c r="AH28" s="1501">
        <f>$F28*$H$54</f>
        <v>0</v>
      </c>
      <c r="AI28" s="1501">
        <f>$F28*$I$54</f>
        <v>2626319.1217664019</v>
      </c>
      <c r="AJ28" s="1501">
        <f>$F28*$J$54</f>
        <v>2626319.1217664019</v>
      </c>
      <c r="AK28" s="1501">
        <f>$F28*$K$54</f>
        <v>58362.647150364479</v>
      </c>
      <c r="AL28" s="1501">
        <f>$F28*$L$54</f>
        <v>58362.647150364479</v>
      </c>
      <c r="AM28" s="1501">
        <f>$F28*$M$54</f>
        <v>58362.647150364479</v>
      </c>
      <c r="AN28" s="1501">
        <f>$F28*$N$54</f>
        <v>58362.647150364479</v>
      </c>
      <c r="AO28" s="1501">
        <f>$F28*$O$54</f>
        <v>58362.647150364479</v>
      </c>
      <c r="AP28" s="1501">
        <f>$F28*$P$54</f>
        <v>58362.647150364479</v>
      </c>
      <c r="AQ28" s="1501">
        <f>$F28*$Q$54</f>
        <v>58362.647150364479</v>
      </c>
      <c r="AR28" s="1501">
        <f>$F28*$R$54</f>
        <v>58362.647150364479</v>
      </c>
      <c r="AS28" s="1501">
        <f>$F28*$S$54</f>
        <v>58362.647150364479</v>
      </c>
      <c r="AT28" s="1501">
        <f>$F28*$T$54</f>
        <v>58362.647150364479</v>
      </c>
      <c r="AU28" s="1501">
        <f>$F28*$U$54</f>
        <v>0</v>
      </c>
      <c r="AV28" s="1501">
        <f>$F28*$V$54</f>
        <v>0</v>
      </c>
    </row>
    <row r="29" spans="1:52" x14ac:dyDescent="0.25">
      <c r="A29" s="1502">
        <f t="shared" si="2"/>
        <v>45778</v>
      </c>
      <c r="B29" s="1499">
        <f>INDEX(Model!$CU$31:$FB$31,MATCH('Bookings Waterfall'!A29,Model!$CU$5:$FB$5,0))</f>
        <v>296797.43575668678</v>
      </c>
      <c r="C29" s="1499">
        <f>INDEX(Model!$CU$32:$FB$32,MATCH('Bookings Waterfall'!A29,Model!$CU$5:$FB$5,0))</f>
        <v>1272930.2936225394</v>
      </c>
      <c r="D29" s="1475">
        <f t="shared" si="0"/>
        <v>-71353.935901043442</v>
      </c>
      <c r="E29" s="1501">
        <f t="shared" si="3"/>
        <v>1019341.9414434785</v>
      </c>
      <c r="F29" s="1501">
        <f t="shared" si="1"/>
        <v>2517715.7349216612</v>
      </c>
      <c r="G29" s="537"/>
      <c r="AI29" s="1501">
        <f>$F29*$H$54</f>
        <v>0</v>
      </c>
      <c r="AJ29" s="1501">
        <f>$F29*$I$54</f>
        <v>1132972.0807147475</v>
      </c>
      <c r="AK29" s="1501">
        <f>$F29*$J$54</f>
        <v>1132972.0807147475</v>
      </c>
      <c r="AL29" s="1501">
        <f>$F29*$K$54</f>
        <v>25177.157349216614</v>
      </c>
      <c r="AM29" s="1501">
        <f>$F29*$L$54</f>
        <v>25177.157349216614</v>
      </c>
      <c r="AN29" s="1501">
        <f>$F29*$M$54</f>
        <v>25177.157349216614</v>
      </c>
      <c r="AO29" s="1501">
        <f>$F29*$N$54</f>
        <v>25177.157349216614</v>
      </c>
      <c r="AP29" s="1501">
        <f>$F29*$O$54</f>
        <v>25177.157349216614</v>
      </c>
      <c r="AQ29" s="1501">
        <f>$F29*$P$54</f>
        <v>25177.157349216614</v>
      </c>
      <c r="AR29" s="1501">
        <f>$F29*$Q$54</f>
        <v>25177.157349216614</v>
      </c>
      <c r="AS29" s="1501">
        <f>$F29*$R$54</f>
        <v>25177.157349216614</v>
      </c>
      <c r="AT29" s="1501">
        <f>$F29*$S$54</f>
        <v>25177.157349216614</v>
      </c>
      <c r="AU29" s="1501">
        <f>$F29*$T$54</f>
        <v>25177.157349216614</v>
      </c>
      <c r="AV29" s="1501">
        <f>$F29*$U$54</f>
        <v>0</v>
      </c>
      <c r="AW29" s="1501">
        <f>$F29*$V$54</f>
        <v>0</v>
      </c>
    </row>
    <row r="30" spans="1:52" x14ac:dyDescent="0.25">
      <c r="A30" s="1502">
        <f t="shared" si="2"/>
        <v>45809</v>
      </c>
      <c r="B30" s="1499">
        <f>INDEX(Model!$CU$31:$FB$31,MATCH('Bookings Waterfall'!A30,Model!$CU$5:$FB$5,0))</f>
        <v>556680.42162038293</v>
      </c>
      <c r="C30" s="1499">
        <f>INDEX(Model!$CU$32:$FB$32,MATCH('Bookings Waterfall'!A30,Model!$CU$5:$FB$5,0))</f>
        <v>2387538.7290342795</v>
      </c>
      <c r="D30" s="1475">
        <f t="shared" si="0"/>
        <v>-133833.16139641457</v>
      </c>
      <c r="E30" s="1501">
        <f t="shared" si="3"/>
        <v>1911902.3056630665</v>
      </c>
      <c r="F30" s="1501">
        <f t="shared" si="1"/>
        <v>4722288.2949213143</v>
      </c>
      <c r="G30" s="537"/>
      <c r="AJ30" s="1501">
        <f>$F30*$H$54</f>
        <v>0</v>
      </c>
      <c r="AK30" s="1501">
        <f>$F30*$I$54</f>
        <v>2125029.7327145915</v>
      </c>
      <c r="AL30" s="1501">
        <f>$F30*$J$54</f>
        <v>2125029.7327145915</v>
      </c>
      <c r="AM30" s="1501">
        <f>$F30*$K$54</f>
        <v>47222.882949213141</v>
      </c>
      <c r="AN30" s="1501">
        <f>$F30*$L$54</f>
        <v>47222.882949213141</v>
      </c>
      <c r="AO30" s="1501">
        <f>$F30*$M$54</f>
        <v>47222.882949213141</v>
      </c>
      <c r="AP30" s="1501">
        <f>$F30*$N$54</f>
        <v>47222.882949213141</v>
      </c>
      <c r="AQ30" s="1501">
        <f>$F30*$O$54</f>
        <v>47222.882949213141</v>
      </c>
      <c r="AR30" s="1501">
        <f>$F30*$P$54</f>
        <v>47222.882949213141</v>
      </c>
      <c r="AS30" s="1501">
        <f>$F30*$Q$54</f>
        <v>47222.882949213141</v>
      </c>
      <c r="AT30" s="1501">
        <f>$F30*$R$54</f>
        <v>47222.882949213141</v>
      </c>
      <c r="AU30" s="1501">
        <f>$F30*$S$54</f>
        <v>47222.882949213141</v>
      </c>
      <c r="AV30" s="1501">
        <f>$F30*$T$54</f>
        <v>47222.882949213141</v>
      </c>
      <c r="AW30" s="1501">
        <f>$F30*$U$54</f>
        <v>0</v>
      </c>
      <c r="AX30" s="1501">
        <f>$F30*$V$54</f>
        <v>0</v>
      </c>
    </row>
    <row r="31" spans="1:52" x14ac:dyDescent="0.25">
      <c r="A31" s="1502">
        <f t="shared" si="2"/>
        <v>45839</v>
      </c>
      <c r="B31" s="1499">
        <f>INDEX(Model!$CU$31:$FB$31,MATCH('Bookings Waterfall'!A31,Model!$CU$5:$FB$5,0))</f>
        <v>784159.94670469477</v>
      </c>
      <c r="C31" s="1499">
        <f>INDEX(Model!$CU$32:$FB$32,MATCH('Bookings Waterfall'!A31,Model!$CU$5:$FB$5,0))</f>
        <v>3363172.4231746616</v>
      </c>
      <c r="D31" s="1475">
        <f t="shared" si="0"/>
        <v>-188522.17651638461</v>
      </c>
      <c r="E31" s="1501">
        <f t="shared" si="3"/>
        <v>2693173.9502340676</v>
      </c>
      <c r="F31" s="1501">
        <f t="shared" si="1"/>
        <v>6651984.1435970394</v>
      </c>
      <c r="G31" s="537"/>
      <c r="AK31" s="1501">
        <f>$F31*$H$54</f>
        <v>0</v>
      </c>
      <c r="AL31" s="1501">
        <f>$F31*$I$54</f>
        <v>2993392.8646186679</v>
      </c>
      <c r="AM31" s="1501">
        <f>$F31*$J$54</f>
        <v>2993392.8646186679</v>
      </c>
      <c r="AN31" s="1501">
        <f>$F31*$K$54</f>
        <v>66519.841435970389</v>
      </c>
      <c r="AO31" s="1501">
        <f>$F31*$L$54</f>
        <v>66519.841435970389</v>
      </c>
      <c r="AP31" s="1501">
        <f>$F31*$M$54</f>
        <v>66519.841435970389</v>
      </c>
      <c r="AQ31" s="1501">
        <f>$F31*$N$54</f>
        <v>66519.841435970389</v>
      </c>
      <c r="AR31" s="1501">
        <f>$F31*$O$54</f>
        <v>66519.841435970389</v>
      </c>
      <c r="AS31" s="1501">
        <f>$F31*$P$54</f>
        <v>66519.841435970389</v>
      </c>
      <c r="AT31" s="1501">
        <f>$F31*$Q$54</f>
        <v>66519.841435970389</v>
      </c>
      <c r="AU31" s="1501">
        <f>$F31*$R$54</f>
        <v>66519.841435970389</v>
      </c>
      <c r="AV31" s="1501">
        <f>$F31*$S$54</f>
        <v>66519.841435970389</v>
      </c>
      <c r="AW31" s="1501">
        <f>$F31*$T$54</f>
        <v>66519.841435970389</v>
      </c>
      <c r="AX31" s="1501">
        <f>$F31*$U$54</f>
        <v>0</v>
      </c>
      <c r="AY31" s="1501">
        <f>$F31*$V$54</f>
        <v>0</v>
      </c>
    </row>
    <row r="32" spans="1:52" x14ac:dyDescent="0.25">
      <c r="A32" s="1502">
        <f t="shared" si="2"/>
        <v>45870</v>
      </c>
      <c r="B32" s="1499">
        <f>INDEX(Model!$CU$31:$FB$31,MATCH('Bookings Waterfall'!A32,Model!$CU$5:$FB$5,0))</f>
        <v>259576.37642625024</v>
      </c>
      <c r="C32" s="1499">
        <f>INDEX(Model!$CU$32:$FB$32,MATCH('Bookings Waterfall'!A32,Model!$CU$5:$FB$5,0))</f>
        <v>1113293.4225638679</v>
      </c>
      <c r="D32" s="1475">
        <f t="shared" si="0"/>
        <v>-65949.573451490214</v>
      </c>
      <c r="E32" s="1501">
        <f t="shared" si="3"/>
        <v>942136.76359271794</v>
      </c>
      <c r="F32" s="1501">
        <f t="shared" si="1"/>
        <v>2249056.9891313459</v>
      </c>
      <c r="G32" s="537"/>
      <c r="AL32" s="1501">
        <f>$F32*$H$54</f>
        <v>0</v>
      </c>
      <c r="AM32" s="1501">
        <f>$F32*$I$54</f>
        <v>1012075.6451091056</v>
      </c>
      <c r="AN32" s="1501">
        <f>$F32*$J$54</f>
        <v>1012075.6451091056</v>
      </c>
      <c r="AO32" s="1501">
        <f>$F32*$K$54</f>
        <v>22490.569891313458</v>
      </c>
      <c r="AP32" s="1501">
        <f>$F32*$L$54</f>
        <v>22490.569891313458</v>
      </c>
      <c r="AQ32" s="1501">
        <f>$F32*$M$54</f>
        <v>22490.569891313458</v>
      </c>
      <c r="AR32" s="1501">
        <f>$F32*$N$54</f>
        <v>22490.569891313458</v>
      </c>
      <c r="AS32" s="1501">
        <f>$F32*$O$54</f>
        <v>22490.569891313458</v>
      </c>
      <c r="AT32" s="1501">
        <f>$F32*$P$54</f>
        <v>22490.569891313458</v>
      </c>
      <c r="AU32" s="1501">
        <f>$F32*$Q$54</f>
        <v>22490.569891313458</v>
      </c>
      <c r="AV32" s="1501">
        <f>$F32*$R$54</f>
        <v>22490.569891313458</v>
      </c>
      <c r="AW32" s="1501">
        <f>$F32*$S$54</f>
        <v>22490.569891313458</v>
      </c>
      <c r="AX32" s="1501">
        <f>$F32*$T$54</f>
        <v>22490.569891313458</v>
      </c>
      <c r="AY32" s="1501">
        <f>$F32*$U$54</f>
        <v>0</v>
      </c>
      <c r="AZ32" s="1501">
        <f>$F32*$V$54</f>
        <v>0</v>
      </c>
    </row>
    <row r="33" spans="1:68" x14ac:dyDescent="0.25">
      <c r="A33" s="1502">
        <f t="shared" si="2"/>
        <v>45901</v>
      </c>
      <c r="B33" s="1499">
        <f>INDEX(Model!$CU$31:$FB$31,MATCH('Bookings Waterfall'!A33,Model!$CU$5:$FB$5,0))</f>
        <v>462850.38756610593</v>
      </c>
      <c r="C33" s="1499">
        <f>INDEX(Model!$CU$32:$FB$32,MATCH('Bookings Waterfall'!A33,Model!$CU$5:$FB$5,0))</f>
        <v>1985112.4328137173</v>
      </c>
      <c r="D33" s="1475">
        <f t="shared" si="0"/>
        <v>-117594.62109801889</v>
      </c>
      <c r="E33" s="1501">
        <f t="shared" si="3"/>
        <v>1679923.1585431283</v>
      </c>
      <c r="F33" s="1501">
        <f t="shared" si="1"/>
        <v>4010291.3578249328</v>
      </c>
      <c r="G33" s="537"/>
      <c r="AM33" s="1501">
        <f>$F33*$H$54</f>
        <v>0</v>
      </c>
      <c r="AN33" s="1501">
        <f>$F33*$I$54</f>
        <v>1804631.1110212198</v>
      </c>
      <c r="AO33" s="1501">
        <f>$F33*$J$54</f>
        <v>1804631.1110212198</v>
      </c>
      <c r="AP33" s="1501">
        <f>$F33*$K$54</f>
        <v>40102.913578249332</v>
      </c>
      <c r="AQ33" s="1501">
        <f>$F33*$L$54</f>
        <v>40102.913578249332</v>
      </c>
      <c r="AR33" s="1501">
        <f>$F33*$M$54</f>
        <v>40102.913578249332</v>
      </c>
      <c r="AS33" s="1501">
        <f>$F33*$N$54</f>
        <v>40102.913578249332</v>
      </c>
      <c r="AT33" s="1501">
        <f>$F33*$O$54</f>
        <v>40102.913578249332</v>
      </c>
      <c r="AU33" s="1501">
        <f>$F33*$P$54</f>
        <v>40102.913578249332</v>
      </c>
      <c r="AV33" s="1501">
        <f>$F33*$Q$54</f>
        <v>40102.913578249332</v>
      </c>
      <c r="AW33" s="1501">
        <f>$F33*$R$54</f>
        <v>40102.913578249332</v>
      </c>
      <c r="AX33" s="1501">
        <f>$F33*$S$54</f>
        <v>40102.913578249332</v>
      </c>
      <c r="AY33" s="1501">
        <f>$F33*$T$54</f>
        <v>40102.913578249332</v>
      </c>
      <c r="AZ33" s="1501">
        <f>$F33*$U$54</f>
        <v>0</v>
      </c>
      <c r="BA33" s="1501">
        <f>$F33*$V$54</f>
        <v>0</v>
      </c>
    </row>
    <row r="34" spans="1:68" x14ac:dyDescent="0.25">
      <c r="A34" s="1502">
        <f t="shared" si="2"/>
        <v>45931</v>
      </c>
      <c r="B34" s="1499">
        <f>INDEX(Model!$CU$31:$FB$31,MATCH('Bookings Waterfall'!A34,Model!$CU$5:$FB$5,0))</f>
        <v>813801.07238988718</v>
      </c>
      <c r="C34" s="1499">
        <f>INDEX(Model!$CU$32:$FB$32,MATCH('Bookings Waterfall'!A34,Model!$CU$5:$FB$5,0))</f>
        <v>3490299.8248166563</v>
      </c>
      <c r="D34" s="1475">
        <f t="shared" si="0"/>
        <v>-206759.31430041682</v>
      </c>
      <c r="E34" s="1501">
        <f t="shared" si="3"/>
        <v>2953704.4900059565</v>
      </c>
      <c r="F34" s="1501">
        <f t="shared" si="1"/>
        <v>7051046.0729120821</v>
      </c>
      <c r="G34" s="537"/>
      <c r="AN34" s="1501">
        <f>$F34*$H$54</f>
        <v>0</v>
      </c>
      <c r="AO34" s="1501">
        <f>$F34*$I$54</f>
        <v>3172970.7328104372</v>
      </c>
      <c r="AP34" s="1501">
        <f>$F34*$J$54</f>
        <v>3172970.7328104372</v>
      </c>
      <c r="AQ34" s="1501">
        <f>$F34*$K$54</f>
        <v>70510.460729120823</v>
      </c>
      <c r="AR34" s="1501">
        <f>$F34*$L$54</f>
        <v>70510.460729120823</v>
      </c>
      <c r="AS34" s="1501">
        <f>$F34*$M$54</f>
        <v>70510.460729120823</v>
      </c>
      <c r="AT34" s="1501">
        <f>$F34*$N$54</f>
        <v>70510.460729120823</v>
      </c>
      <c r="AU34" s="1501">
        <f>$F34*$O$54</f>
        <v>70510.460729120823</v>
      </c>
      <c r="AV34" s="1501">
        <f>$F34*$P$54</f>
        <v>70510.460729120823</v>
      </c>
      <c r="AW34" s="1501">
        <f>$F34*$Q$54</f>
        <v>70510.460729120823</v>
      </c>
      <c r="AX34" s="1501">
        <f>$F34*$R$54</f>
        <v>70510.460729120823</v>
      </c>
      <c r="AY34" s="1501">
        <f>$F34*$S$54</f>
        <v>70510.460729120823</v>
      </c>
      <c r="AZ34" s="1501">
        <f>$F34*$T$54</f>
        <v>70510.460729120823</v>
      </c>
      <c r="BA34" s="1501">
        <f>$F34*$U$54</f>
        <v>0</v>
      </c>
      <c r="BB34" s="1501">
        <f>$F34*$V$54</f>
        <v>0</v>
      </c>
    </row>
    <row r="35" spans="1:68" x14ac:dyDescent="0.25">
      <c r="A35" s="1502">
        <f t="shared" si="2"/>
        <v>45962</v>
      </c>
      <c r="B35" s="1499">
        <f>INDEX(Model!$CU$31:$FB$31,MATCH('Bookings Waterfall'!A35,Model!$CU$5:$FB$5,0))</f>
        <v>311065.20283140993</v>
      </c>
      <c r="C35" s="1499">
        <f>INDEX(Model!$CU$32:$FB$32,MATCH('Bookings Waterfall'!A35,Model!$CU$5:$FB$5,0))</f>
        <v>1334123.1165506132</v>
      </c>
      <c r="D35" s="1475">
        <f t="shared" si="0"/>
        <v>-81522.53751736191</v>
      </c>
      <c r="E35" s="1501">
        <f t="shared" si="3"/>
        <v>1164607.6788194566</v>
      </c>
      <c r="F35" s="1501">
        <f t="shared" si="1"/>
        <v>2728273.4606841179</v>
      </c>
      <c r="G35" s="537"/>
      <c r="AO35" s="1501">
        <f>$F35*$H$54</f>
        <v>0</v>
      </c>
      <c r="AP35" s="1501">
        <f>$F35*$I$54</f>
        <v>1227723.0573078531</v>
      </c>
      <c r="AQ35" s="1501">
        <f>$F35*$J$54</f>
        <v>1227723.0573078531</v>
      </c>
      <c r="AR35" s="1501">
        <f>$F35*$K$54</f>
        <v>27282.734606841179</v>
      </c>
      <c r="AS35" s="1501">
        <f>$F35*$L$54</f>
        <v>27282.734606841179</v>
      </c>
      <c r="AT35" s="1501">
        <f>$F35*$M$54</f>
        <v>27282.734606841179</v>
      </c>
      <c r="AU35" s="1501">
        <f>$F35*$N$54</f>
        <v>27282.734606841179</v>
      </c>
      <c r="AV35" s="1501">
        <f>$F35*$O$54</f>
        <v>27282.734606841179</v>
      </c>
      <c r="AW35" s="1501">
        <f>$F35*$P$54</f>
        <v>27282.734606841179</v>
      </c>
      <c r="AX35" s="1501">
        <f>$F35*$Q$54</f>
        <v>27282.734606841179</v>
      </c>
      <c r="AY35" s="1501">
        <f>$F35*$R$54</f>
        <v>27282.734606841179</v>
      </c>
      <c r="AZ35" s="1501">
        <f>$F35*$S$54</f>
        <v>27282.734606841179</v>
      </c>
      <c r="BA35" s="1501">
        <f>$F35*$T$54</f>
        <v>27282.734606841179</v>
      </c>
      <c r="BB35" s="1501">
        <f>$F35*$U$54</f>
        <v>0</v>
      </c>
      <c r="BC35" s="1501">
        <f>$F35*$V$54</f>
        <v>0</v>
      </c>
    </row>
    <row r="36" spans="1:68" x14ac:dyDescent="0.25">
      <c r="A36" s="1502">
        <f t="shared" si="2"/>
        <v>45992</v>
      </c>
      <c r="B36" s="1499">
        <f>INDEX(Model!$CU$31:$FB$31,MATCH('Bookings Waterfall'!A36,Model!$CU$5:$FB$5,0))</f>
        <v>893744.20416801667</v>
      </c>
      <c r="C36" s="1499">
        <f>INDEX(Model!$CU$32:$FB$32,MATCH('Bookings Waterfall'!A36,Model!$CU$5:$FB$5,0))</f>
        <v>3833166.783717419</v>
      </c>
      <c r="D36" s="1475">
        <f t="shared" si="0"/>
        <v>-234228.36997521861</v>
      </c>
      <c r="E36" s="1501">
        <f t="shared" si="3"/>
        <v>3346119.5710745538</v>
      </c>
      <c r="F36" s="1501">
        <f t="shared" si="1"/>
        <v>7838802.1889847713</v>
      </c>
      <c r="G36" s="537"/>
      <c r="AP36" s="1501">
        <f>$F36*$H$54</f>
        <v>0</v>
      </c>
      <c r="AQ36" s="1501">
        <f>$F36*$I$54</f>
        <v>3527460.9850431471</v>
      </c>
      <c r="AR36" s="1501">
        <f>$F36*$J$54</f>
        <v>3527460.9850431471</v>
      </c>
      <c r="AS36" s="1501">
        <f>$F36*$K$54</f>
        <v>78388.021889847718</v>
      </c>
      <c r="AT36" s="1501">
        <f>$F36*$L$54</f>
        <v>78388.021889847718</v>
      </c>
      <c r="AU36" s="1501">
        <f>$F36*$M$54</f>
        <v>78388.021889847718</v>
      </c>
      <c r="AV36" s="1501">
        <f>$F36*$N$54</f>
        <v>78388.021889847718</v>
      </c>
      <c r="AW36" s="1501">
        <f>$F36*$O$54</f>
        <v>78388.021889847718</v>
      </c>
      <c r="AX36" s="1501">
        <f>$F36*$P$54</f>
        <v>78388.021889847718</v>
      </c>
      <c r="AY36" s="1501">
        <f>$F36*$Q$54</f>
        <v>78388.021889847718</v>
      </c>
      <c r="AZ36" s="1501">
        <f>$F36*$R$54</f>
        <v>78388.021889847718</v>
      </c>
      <c r="BA36" s="1501">
        <f>$F36*$S$54</f>
        <v>78388.021889847718</v>
      </c>
      <c r="BB36" s="1501">
        <f>$F36*$T$54</f>
        <v>78388.021889847718</v>
      </c>
      <c r="BC36" s="1501">
        <f>$F36*$U$54</f>
        <v>0</v>
      </c>
      <c r="BD36" s="1501">
        <f>$F36*$V$54</f>
        <v>0</v>
      </c>
    </row>
    <row r="37" spans="1:68" x14ac:dyDescent="0.25">
      <c r="A37" s="1502">
        <f t="shared" si="2"/>
        <v>46023</v>
      </c>
      <c r="B37" s="1499">
        <f>INDEX(Model!$CU$31:$FB$31,MATCH('Bookings Waterfall'!A37,Model!$CU$5:$FB$5,0))</f>
        <v>1032087.5735134052</v>
      </c>
      <c r="C37" s="1499">
        <f>INDEX(Model!$CU$32:$FB$32,MATCH('Bookings Waterfall'!A37,Model!$CU$5:$FB$5,0))</f>
        <v>4426505.6894683568</v>
      </c>
      <c r="D37" s="1475">
        <f t="shared" si="0"/>
        <v>-270484.76386010507</v>
      </c>
      <c r="E37" s="1501">
        <f t="shared" si="3"/>
        <v>3864068.0551443612</v>
      </c>
      <c r="F37" s="1501">
        <f t="shared" si="1"/>
        <v>9052176.5542660169</v>
      </c>
      <c r="G37" s="537"/>
      <c r="AQ37" s="1501">
        <f>$F37*$H$54</f>
        <v>0</v>
      </c>
      <c r="AR37" s="1501">
        <f>$F37*$I$54</f>
        <v>4073479.4494197075</v>
      </c>
      <c r="AS37" s="1501">
        <f>$F37*$J$54</f>
        <v>4073479.4494197075</v>
      </c>
      <c r="AT37" s="1501">
        <f>$F37*$K$54</f>
        <v>90521.76554266017</v>
      </c>
      <c r="AU37" s="1501">
        <f>$F37*$L$54</f>
        <v>90521.76554266017</v>
      </c>
      <c r="AV37" s="1501">
        <f>$F37*$M$54</f>
        <v>90521.76554266017</v>
      </c>
      <c r="AW37" s="1501">
        <f>$F37*$N$54</f>
        <v>90521.76554266017</v>
      </c>
      <c r="AX37" s="1501">
        <f>$F37*$O$54</f>
        <v>90521.76554266017</v>
      </c>
      <c r="AY37" s="1501">
        <f>$F37*$P$54</f>
        <v>90521.76554266017</v>
      </c>
      <c r="AZ37" s="1501">
        <f>$F37*$Q$54</f>
        <v>90521.76554266017</v>
      </c>
      <c r="BA37" s="1501">
        <f>$F37*$R$54</f>
        <v>90521.76554266017</v>
      </c>
      <c r="BB37" s="1501">
        <f>$F37*$S$54</f>
        <v>90521.76554266017</v>
      </c>
      <c r="BC37" s="1501">
        <f>$F37*$T$54</f>
        <v>90521.76554266017</v>
      </c>
      <c r="BD37" s="1501">
        <f>$F37*$U$54</f>
        <v>0</v>
      </c>
      <c r="BE37" s="1501">
        <f>$F37*$V$54</f>
        <v>0</v>
      </c>
    </row>
    <row r="38" spans="1:68" x14ac:dyDescent="0.25">
      <c r="A38" s="1502">
        <f t="shared" si="2"/>
        <v>46054</v>
      </c>
      <c r="B38" s="1499">
        <f>INDEX(Model!$CU$31:$FB$31,MATCH('Bookings Waterfall'!A38,Model!$CU$5:$FB$5,0))</f>
        <v>326462.82797408605</v>
      </c>
      <c r="C38" s="1499">
        <f>INDEX(Model!$CU$32:$FB$32,MATCH('Bookings Waterfall'!A38,Model!$CU$5:$FB$5,0))</f>
        <v>1128503.5823539915</v>
      </c>
      <c r="D38" s="1475">
        <f t="shared" si="0"/>
        <v>-99003.244399931587</v>
      </c>
      <c r="E38" s="1501">
        <f t="shared" si="3"/>
        <v>1414332.0628561666</v>
      </c>
      <c r="F38" s="1501">
        <f t="shared" si="1"/>
        <v>2770295.2287843125</v>
      </c>
      <c r="G38" s="537"/>
      <c r="AR38" s="1501">
        <f>$F38*$H$54</f>
        <v>0</v>
      </c>
      <c r="AS38" s="1501">
        <f>$F38*$I$54</f>
        <v>1246632.8529529406</v>
      </c>
      <c r="AT38" s="1501">
        <f>$F38*$J$54</f>
        <v>1246632.8529529406</v>
      </c>
      <c r="AU38" s="1501">
        <f>$F38*$K$54</f>
        <v>27702.952287843127</v>
      </c>
      <c r="AV38" s="1501">
        <f>$F38*$L$54</f>
        <v>27702.952287843127</v>
      </c>
      <c r="AW38" s="1501">
        <f>$F38*$M$54</f>
        <v>27702.952287843127</v>
      </c>
      <c r="AX38" s="1501">
        <f>$F38*$N$54</f>
        <v>27702.952287843127</v>
      </c>
      <c r="AY38" s="1501">
        <f>$F38*$O$54</f>
        <v>27702.952287843127</v>
      </c>
      <c r="AZ38" s="1501">
        <f>$F38*$P$54</f>
        <v>27702.952287843127</v>
      </c>
      <c r="BA38" s="1501">
        <f>$F38*$Q$54</f>
        <v>27702.952287843127</v>
      </c>
      <c r="BB38" s="1501">
        <f>$F38*$R$54</f>
        <v>27702.952287843127</v>
      </c>
      <c r="BC38" s="1501">
        <f>$F38*$S$54</f>
        <v>27702.952287843127</v>
      </c>
      <c r="BD38" s="1501">
        <f>$F38*$T$54</f>
        <v>27702.952287843127</v>
      </c>
      <c r="BE38" s="1501">
        <f>$F38*$U$54</f>
        <v>0</v>
      </c>
      <c r="BF38" s="1501">
        <f>$F38*$V$54</f>
        <v>0</v>
      </c>
    </row>
    <row r="39" spans="1:68" x14ac:dyDescent="0.25">
      <c r="A39" s="1502">
        <f t="shared" si="2"/>
        <v>46082</v>
      </c>
      <c r="B39" s="1499">
        <f>INDEX(Model!$CU$31:$FB$31,MATCH('Bookings Waterfall'!A39,Model!$CU$5:$FB$5,0))</f>
        <v>689558.53423285461</v>
      </c>
      <c r="C39" s="1499">
        <f>INDEX(Model!$CU$32:$FB$32,MATCH('Bookings Waterfall'!A39,Model!$CU$5:$FB$5,0))</f>
        <v>2383638.2259921893</v>
      </c>
      <c r="D39" s="1475">
        <f t="shared" si="0"/>
        <v>-209115.78974048741</v>
      </c>
      <c r="E39" s="1501">
        <f t="shared" si="3"/>
        <v>2987368.4248641077</v>
      </c>
      <c r="F39" s="1501">
        <f t="shared" si="1"/>
        <v>5851449.3953486644</v>
      </c>
      <c r="G39" s="537"/>
      <c r="AS39" s="1501">
        <f>$F39*$H$54</f>
        <v>0</v>
      </c>
      <c r="AT39" s="1501">
        <f>$F39*$I$54</f>
        <v>2633152.2279068991</v>
      </c>
      <c r="AU39" s="1501">
        <f>$F39*$J$54</f>
        <v>2633152.2279068991</v>
      </c>
      <c r="AV39" s="1501">
        <f>$F39*$K$54</f>
        <v>58514.493953486643</v>
      </c>
      <c r="AW39" s="1501">
        <f>$F39*$L$54</f>
        <v>58514.493953486643</v>
      </c>
      <c r="AX39" s="1501">
        <f>$F39*$M$54</f>
        <v>58514.493953486643</v>
      </c>
      <c r="AY39" s="1501">
        <f>$F39*$N$54</f>
        <v>58514.493953486643</v>
      </c>
      <c r="AZ39" s="1501">
        <f>$F39*$O$54</f>
        <v>58514.493953486643</v>
      </c>
      <c r="BA39" s="1501">
        <f>$F39*$P$54</f>
        <v>58514.493953486643</v>
      </c>
      <c r="BB39" s="1501">
        <f>$F39*$Q$54</f>
        <v>58514.493953486643</v>
      </c>
      <c r="BC39" s="1501">
        <f>$F39*$R$54</f>
        <v>58514.493953486643</v>
      </c>
      <c r="BD39" s="1501">
        <f>$F39*$S$54</f>
        <v>58514.493953486643</v>
      </c>
      <c r="BE39" s="1501">
        <f>$F39*$T$54</f>
        <v>58514.493953486643</v>
      </c>
      <c r="BF39" s="1501">
        <f>$F39*$U$54</f>
        <v>0</v>
      </c>
      <c r="BG39" s="1501">
        <f>$F39*$V$54</f>
        <v>0</v>
      </c>
    </row>
    <row r="40" spans="1:68" x14ac:dyDescent="0.25">
      <c r="A40" s="1502">
        <f t="shared" si="2"/>
        <v>46113</v>
      </c>
      <c r="B40" s="1499">
        <f>INDEX(Model!$CU$31:$FB$31,MATCH('Bookings Waterfall'!A40,Model!$CU$5:$FB$5,0))</f>
        <v>1347154.2742434016</v>
      </c>
      <c r="C40" s="1499">
        <f>INDEX(Model!$CU$32:$FB$32,MATCH('Bookings Waterfall'!A40,Model!$CU$5:$FB$5,0))</f>
        <v>4656788.7495842129</v>
      </c>
      <c r="D40" s="1475">
        <f t="shared" si="0"/>
        <v>-408538.53005255107</v>
      </c>
      <c r="E40" s="1501">
        <f t="shared" si="3"/>
        <v>5836264.7150364481</v>
      </c>
      <c r="F40" s="1501">
        <f t="shared" si="1"/>
        <v>11431669.20881151</v>
      </c>
      <c r="G40" s="537"/>
      <c r="AT40" s="1501">
        <f>$F40*$H$54</f>
        <v>0</v>
      </c>
      <c r="AU40" s="1501">
        <f>$F40*$I$54</f>
        <v>5144251.14396518</v>
      </c>
      <c r="AV40" s="1501">
        <f>$F40*$J$54</f>
        <v>5144251.14396518</v>
      </c>
      <c r="AW40" s="1501">
        <f>$F40*$K$54</f>
        <v>114316.6920881151</v>
      </c>
      <c r="AX40" s="1501">
        <f>$F40*$L$54</f>
        <v>114316.6920881151</v>
      </c>
      <c r="AY40" s="1501">
        <f>$F40*$M$54</f>
        <v>114316.6920881151</v>
      </c>
      <c r="AZ40" s="1501">
        <f>$F40*$N$54</f>
        <v>114316.6920881151</v>
      </c>
      <c r="BA40" s="1501">
        <f>$F40*$O$54</f>
        <v>114316.6920881151</v>
      </c>
      <c r="BB40" s="1501">
        <f>$F40*$P$54</f>
        <v>114316.6920881151</v>
      </c>
      <c r="BC40" s="1501">
        <f>$F40*$Q$54</f>
        <v>114316.6920881151</v>
      </c>
      <c r="BD40" s="1501">
        <f>$F40*$R$54</f>
        <v>114316.6920881151</v>
      </c>
      <c r="BE40" s="1501">
        <f>$F40*$S$54</f>
        <v>114316.6920881151</v>
      </c>
      <c r="BF40" s="1501">
        <f>$F40*$T$54</f>
        <v>114316.6920881151</v>
      </c>
      <c r="BG40" s="1501">
        <f>$F40*$U$54</f>
        <v>0</v>
      </c>
      <c r="BH40" s="1501">
        <f>$F40*$V$54</f>
        <v>0</v>
      </c>
    </row>
    <row r="41" spans="1:68" x14ac:dyDescent="0.25">
      <c r="A41" s="1502">
        <f t="shared" si="2"/>
        <v>46143</v>
      </c>
      <c r="B41" s="1499">
        <f>INDEX(Model!$CU$31:$FB$31,MATCH('Bookings Waterfall'!A41,Model!$CU$5:$FB$5,0))</f>
        <v>581151.07508594252</v>
      </c>
      <c r="C41" s="1499">
        <f>INDEX(Model!$CU$32:$FB$32,MATCH('Bookings Waterfall'!A41,Model!$CU$5:$FB$5,0))</f>
        <v>2008899.6783897802</v>
      </c>
      <c r="D41" s="1475">
        <f t="shared" si="0"/>
        <v>-176240.10144451616</v>
      </c>
      <c r="E41" s="1501">
        <f t="shared" si="3"/>
        <v>2517715.7349216612</v>
      </c>
      <c r="F41" s="1501">
        <f t="shared" si="1"/>
        <v>4931526.3869528677</v>
      </c>
      <c r="G41" s="537"/>
      <c r="AU41" s="1501">
        <f>$F41*$H$54</f>
        <v>0</v>
      </c>
      <c r="AV41" s="1501">
        <f>$F41*$I$54</f>
        <v>2219186.8741287906</v>
      </c>
      <c r="AW41" s="1501">
        <f>$F41*$J$54</f>
        <v>2219186.8741287906</v>
      </c>
      <c r="AX41" s="1501">
        <f>$F41*$K$54</f>
        <v>49315.263869528681</v>
      </c>
      <c r="AY41" s="1501">
        <f>$F41*$L$54</f>
        <v>49315.263869528681</v>
      </c>
      <c r="AZ41" s="1501">
        <f>$F41*$M$54</f>
        <v>49315.263869528681</v>
      </c>
      <c r="BA41" s="1501">
        <f>$F41*$N$54</f>
        <v>49315.263869528681</v>
      </c>
      <c r="BB41" s="1501">
        <f>$F41*$O$54</f>
        <v>49315.263869528681</v>
      </c>
      <c r="BC41" s="1501">
        <f>$F41*$P$54</f>
        <v>49315.263869528681</v>
      </c>
      <c r="BD41" s="1501">
        <f>$F41*$Q$54</f>
        <v>49315.263869528681</v>
      </c>
      <c r="BE41" s="1501">
        <f>$F41*$R$54</f>
        <v>49315.263869528681</v>
      </c>
      <c r="BF41" s="1501">
        <f>$F41*$S$54</f>
        <v>49315.263869528681</v>
      </c>
      <c r="BG41" s="1501">
        <f>$F41*$T$54</f>
        <v>49315.263869528681</v>
      </c>
      <c r="BH41" s="1501">
        <f>$F41*$U$54</f>
        <v>0</v>
      </c>
      <c r="BI41" s="1501">
        <f>$F41*$V$54</f>
        <v>0</v>
      </c>
    </row>
    <row r="42" spans="1:68" x14ac:dyDescent="0.25">
      <c r="A42" s="1502">
        <f t="shared" si="2"/>
        <v>46174</v>
      </c>
      <c r="B42" s="1499">
        <f>INDEX(Model!$CU$31:$FB$31,MATCH('Bookings Waterfall'!A42,Model!$CU$5:$FB$5,0))</f>
        <v>1090020.9588373865</v>
      </c>
      <c r="C42" s="1499">
        <f>INDEX(Model!$CU$32:$FB$32,MATCH('Bookings Waterfall'!A42,Model!$CU$5:$FB$5,0))</f>
        <v>3767940.6397428052</v>
      </c>
      <c r="D42" s="1475">
        <f t="shared" si="0"/>
        <v>-330560.18064449175</v>
      </c>
      <c r="E42" s="1501">
        <f t="shared" si="3"/>
        <v>4722288.2949213143</v>
      </c>
      <c r="F42" s="1501">
        <f t="shared" si="1"/>
        <v>9249689.7128570154</v>
      </c>
      <c r="G42" s="537"/>
      <c r="AV42" s="1501">
        <f>$F42*$H$54</f>
        <v>0</v>
      </c>
      <c r="AW42" s="1501">
        <f>$F42*$I$54</f>
        <v>4162360.3707856569</v>
      </c>
      <c r="AX42" s="1501">
        <f>$F42*$J$54</f>
        <v>4162360.3707856569</v>
      </c>
      <c r="AY42" s="1501">
        <f>$F42*$K$54</f>
        <v>92496.897128570155</v>
      </c>
      <c r="AZ42" s="1501">
        <f>$F42*$L$54</f>
        <v>92496.897128570155</v>
      </c>
      <c r="BA42" s="1501">
        <f>$F42*$M$54</f>
        <v>92496.897128570155</v>
      </c>
      <c r="BB42" s="1501">
        <f>$F42*$N$54</f>
        <v>92496.897128570155</v>
      </c>
      <c r="BC42" s="1501">
        <f>$F42*$O$54</f>
        <v>92496.897128570155</v>
      </c>
      <c r="BD42" s="1501">
        <f>$F42*$P$54</f>
        <v>92496.897128570155</v>
      </c>
      <c r="BE42" s="1501">
        <f>$F42*$Q$54</f>
        <v>92496.897128570155</v>
      </c>
      <c r="BF42" s="1501">
        <f>$F42*$R$54</f>
        <v>92496.897128570155</v>
      </c>
      <c r="BG42" s="1501">
        <f>$F42*$S$54</f>
        <v>92496.897128570155</v>
      </c>
      <c r="BH42" s="1501">
        <f>$F42*$T$54</f>
        <v>92496.897128570155</v>
      </c>
      <c r="BI42" s="1501">
        <f>$F42*$U$54</f>
        <v>0</v>
      </c>
      <c r="BJ42" s="1501">
        <f>$F42*$V$54</f>
        <v>0</v>
      </c>
    </row>
    <row r="43" spans="1:68" x14ac:dyDescent="0.25">
      <c r="A43" s="1502">
        <f t="shared" si="2"/>
        <v>46204</v>
      </c>
      <c r="B43" s="1499">
        <f>INDEX(Model!$CU$31:$FB$31,MATCH('Bookings Waterfall'!A43,Model!$CU$5:$FB$5,0))</f>
        <v>1535442.4976918001</v>
      </c>
      <c r="C43" s="1499">
        <f>INDEX(Model!$CU$32:$FB$32,MATCH('Bookings Waterfall'!A43,Model!$CU$5:$FB$5,0))</f>
        <v>5307655.9126091348</v>
      </c>
      <c r="D43" s="1475">
        <f t="shared" si="0"/>
        <v>-465638.89005179243</v>
      </c>
      <c r="E43" s="1501">
        <f t="shared" si="3"/>
        <v>6651984.1435970394</v>
      </c>
      <c r="F43" s="1501">
        <f t="shared" si="1"/>
        <v>13029443.663846182</v>
      </c>
      <c r="G43" s="537"/>
      <c r="AW43" s="1501">
        <f>$F43*$H$54</f>
        <v>0</v>
      </c>
      <c r="AX43" s="1501">
        <f>$F43*$I$54</f>
        <v>5863249.6487307819</v>
      </c>
      <c r="AY43" s="1501">
        <f>$F43*$J$54</f>
        <v>5863249.6487307819</v>
      </c>
      <c r="AZ43" s="1501">
        <f>$F43*$K$54</f>
        <v>130294.43663846182</v>
      </c>
      <c r="BA43" s="1501">
        <f>$F43*$L$54</f>
        <v>130294.43663846182</v>
      </c>
      <c r="BB43" s="1501">
        <f>$F43*$M$54</f>
        <v>130294.43663846182</v>
      </c>
      <c r="BC43" s="1501">
        <f>$F43*$N$54</f>
        <v>130294.43663846182</v>
      </c>
      <c r="BD43" s="1501">
        <f>$F43*$O$54</f>
        <v>130294.43663846182</v>
      </c>
      <c r="BE43" s="1501">
        <f>$F43*$P$54</f>
        <v>130294.43663846182</v>
      </c>
      <c r="BF43" s="1501">
        <f>$F43*$Q$54</f>
        <v>130294.43663846182</v>
      </c>
      <c r="BG43" s="1501">
        <f>$F43*$R$54</f>
        <v>130294.43663846182</v>
      </c>
      <c r="BH43" s="1501">
        <f>$F43*$S$54</f>
        <v>130294.43663846182</v>
      </c>
      <c r="BI43" s="1501">
        <f>$F43*$T$54</f>
        <v>130294.43663846182</v>
      </c>
      <c r="BJ43" s="1501">
        <f>$F43*$U$54</f>
        <v>0</v>
      </c>
      <c r="BK43" s="1501">
        <f>$F43*$V$54</f>
        <v>0</v>
      </c>
    </row>
    <row r="44" spans="1:68" x14ac:dyDescent="0.25">
      <c r="A44" s="1502">
        <f t="shared" si="2"/>
        <v>46235</v>
      </c>
      <c r="B44" s="1499">
        <f>INDEX(Model!$CU$31:$FB$31,MATCH('Bookings Waterfall'!A44,Model!$CU$5:$FB$5,0))</f>
        <v>508269.52005979361</v>
      </c>
      <c r="C44" s="1499">
        <f>INDEX(Model!$CU$32:$FB$32,MATCH('Bookings Waterfall'!A44,Model!$CU$5:$FB$5,0))</f>
        <v>1756965.6482739006</v>
      </c>
      <c r="D44" s="1475">
        <f t="shared" si="0"/>
        <v>-157433.98923919411</v>
      </c>
      <c r="E44" s="1501">
        <f t="shared" si="3"/>
        <v>2249056.9891313459</v>
      </c>
      <c r="F44" s="1501">
        <f t="shared" si="1"/>
        <v>4356858.1682258463</v>
      </c>
      <c r="G44" s="537"/>
      <c r="AX44" s="1501">
        <f>$F44*$H$54</f>
        <v>0</v>
      </c>
      <c r="AY44" s="1501">
        <f>$F44*$I$54</f>
        <v>1960586.1757016308</v>
      </c>
      <c r="AZ44" s="1501">
        <f>$F44*$J$54</f>
        <v>1960586.1757016308</v>
      </c>
      <c r="BA44" s="1501">
        <f>$F44*$K$54</f>
        <v>43568.58168225846</v>
      </c>
      <c r="BB44" s="1501">
        <f>$F44*$L$54</f>
        <v>43568.58168225846</v>
      </c>
      <c r="BC44" s="1501">
        <f>$F44*$M$54</f>
        <v>43568.58168225846</v>
      </c>
      <c r="BD44" s="1501">
        <f>$F44*$N$54</f>
        <v>43568.58168225846</v>
      </c>
      <c r="BE44" s="1501">
        <f>$F44*$O$54</f>
        <v>43568.58168225846</v>
      </c>
      <c r="BF44" s="1501">
        <f>$F44*$P$54</f>
        <v>43568.58168225846</v>
      </c>
      <c r="BG44" s="1501">
        <f>$F44*$Q$54</f>
        <v>43568.58168225846</v>
      </c>
      <c r="BH44" s="1501">
        <f>$F44*$R$54</f>
        <v>43568.58168225846</v>
      </c>
      <c r="BI44" s="1501">
        <f>$F44*$S$54</f>
        <v>43568.58168225846</v>
      </c>
      <c r="BJ44" s="1501">
        <f>$F44*$T$54</f>
        <v>43568.58168225846</v>
      </c>
      <c r="BK44" s="1501">
        <f>$F44*$U$54</f>
        <v>0</v>
      </c>
      <c r="BL44" s="1501">
        <f>$F44*$V$54</f>
        <v>0</v>
      </c>
    </row>
    <row r="45" spans="1:68" x14ac:dyDescent="0.25">
      <c r="A45" s="1502">
        <f t="shared" si="2"/>
        <v>46266</v>
      </c>
      <c r="B45" s="1499">
        <f>INDEX(Model!$CU$31:$FB$31,MATCH('Bookings Waterfall'!A45,Model!$CU$5:$FB$5,0))</f>
        <v>906294.89318937785</v>
      </c>
      <c r="C45" s="1499">
        <f>INDEX(Model!$CU$32:$FB$32,MATCH('Bookings Waterfall'!A45,Model!$CU$5:$FB$5,0))</f>
        <v>3132843.7604373302</v>
      </c>
      <c r="D45" s="1475">
        <f t="shared" si="0"/>
        <v>-280720.39504774509</v>
      </c>
      <c r="E45" s="1501">
        <f t="shared" si="3"/>
        <v>4010291.3578249328</v>
      </c>
      <c r="F45" s="1501">
        <f t="shared" si="1"/>
        <v>7768709.6164038964</v>
      </c>
      <c r="G45" s="537"/>
      <c r="AY45" s="1501">
        <f>$F45*$H$54</f>
        <v>0</v>
      </c>
      <c r="AZ45" s="1501">
        <f>$F45*$I$54</f>
        <v>3495919.3273817534</v>
      </c>
      <c r="BA45" s="1501">
        <f>$F45*$J$54</f>
        <v>3495919.3273817534</v>
      </c>
      <c r="BB45" s="1501">
        <f>$F45*$K$54</f>
        <v>77687.096164038972</v>
      </c>
      <c r="BC45" s="1501">
        <f>$F45*$L$54</f>
        <v>77687.096164038972</v>
      </c>
      <c r="BD45" s="1501">
        <f>$F45*$M$54</f>
        <v>77687.096164038972</v>
      </c>
      <c r="BE45" s="1501">
        <f>$F45*$N$54</f>
        <v>77687.096164038972</v>
      </c>
      <c r="BF45" s="1501">
        <f>$F45*$O$54</f>
        <v>77687.096164038972</v>
      </c>
      <c r="BG45" s="1501">
        <f>$F45*$P$54</f>
        <v>77687.096164038972</v>
      </c>
      <c r="BH45" s="1501">
        <f>$F45*$Q$54</f>
        <v>77687.096164038972</v>
      </c>
      <c r="BI45" s="1501">
        <f>$F45*$R$54</f>
        <v>77687.096164038972</v>
      </c>
      <c r="BJ45" s="1501">
        <f>$F45*$S$54</f>
        <v>77687.096164038972</v>
      </c>
      <c r="BK45" s="1501">
        <f>$F45*$T$54</f>
        <v>77687.096164038972</v>
      </c>
      <c r="BL45" s="1501">
        <f>$F45*$U$54</f>
        <v>0</v>
      </c>
      <c r="BM45" s="1501">
        <f>$F45*$V$54</f>
        <v>0</v>
      </c>
    </row>
    <row r="46" spans="1:68" x14ac:dyDescent="0.25">
      <c r="A46" s="1502">
        <f t="shared" si="2"/>
        <v>46296</v>
      </c>
      <c r="B46" s="1499">
        <f>INDEX(Model!$CU$31:$FB$31,MATCH('Bookings Waterfall'!A46,Model!$CU$5:$FB$5,0))</f>
        <v>1593481.9885478762</v>
      </c>
      <c r="C46" s="1499">
        <f>INDEX(Model!$CU$32:$FB$32,MATCH('Bookings Waterfall'!A46,Model!$CU$5:$FB$5,0))</f>
        <v>5508284.4918429181</v>
      </c>
      <c r="D46" s="1475">
        <f t="shared" si="0"/>
        <v>-493573.22510384541</v>
      </c>
      <c r="E46" s="1501">
        <f t="shared" si="3"/>
        <v>7051046.0729120821</v>
      </c>
      <c r="F46" s="1501">
        <f t="shared" si="1"/>
        <v>13659239.328199031</v>
      </c>
      <c r="G46" s="537"/>
      <c r="AZ46" s="1501">
        <f>$F46*$H$54</f>
        <v>0</v>
      </c>
      <c r="BA46" s="1501">
        <f>$F46*$I$54</f>
        <v>6146657.697689564</v>
      </c>
      <c r="BB46" s="1501">
        <f>$F46*$J$54</f>
        <v>6146657.697689564</v>
      </c>
      <c r="BC46" s="1501">
        <f>$F46*$K$54</f>
        <v>136592.39328199031</v>
      </c>
      <c r="BD46" s="1501">
        <f>$F46*$L$54</f>
        <v>136592.39328199031</v>
      </c>
      <c r="BE46" s="1501">
        <f>$F46*$M$54</f>
        <v>136592.39328199031</v>
      </c>
      <c r="BF46" s="1501">
        <f>$F46*$N$54</f>
        <v>136592.39328199031</v>
      </c>
      <c r="BG46" s="1501">
        <f>$F46*$O$54</f>
        <v>136592.39328199031</v>
      </c>
      <c r="BH46" s="1501">
        <f>$F46*$P$54</f>
        <v>136592.39328199031</v>
      </c>
      <c r="BI46" s="1501">
        <f>$F46*$Q$54</f>
        <v>136592.39328199031</v>
      </c>
      <c r="BJ46" s="1501">
        <f>$F46*$R$54</f>
        <v>136592.39328199031</v>
      </c>
      <c r="BK46" s="1501">
        <f>$F46*$S$54</f>
        <v>136592.39328199031</v>
      </c>
      <c r="BL46" s="1501">
        <f>$F46*$T$54</f>
        <v>136592.39328199031</v>
      </c>
      <c r="BM46" s="1501">
        <f>$F46*$U$54</f>
        <v>0</v>
      </c>
      <c r="BN46" s="1501">
        <f>$F46*$V$54</f>
        <v>0</v>
      </c>
    </row>
    <row r="47" spans="1:68" x14ac:dyDescent="0.25">
      <c r="A47" s="1502">
        <f t="shared" si="2"/>
        <v>46327</v>
      </c>
      <c r="B47" s="1499">
        <f>INDEX(Model!$CU$31:$FB$31,MATCH('Bookings Waterfall'!A47,Model!$CU$5:$FB$5,0))</f>
        <v>609088.40599114844</v>
      </c>
      <c r="C47" s="1499">
        <f>INDEX(Model!$CU$32:$FB$32,MATCH('Bookings Waterfall'!A47,Model!$CU$5:$FB$5,0))</f>
        <v>2105472.3209891892</v>
      </c>
      <c r="D47" s="1475">
        <f t="shared" si="0"/>
        <v>-190979.14224788811</v>
      </c>
      <c r="E47" s="1501">
        <f t="shared" si="3"/>
        <v>2728273.4606841179</v>
      </c>
      <c r="F47" s="1501">
        <f t="shared" si="1"/>
        <v>5251855.0454165675</v>
      </c>
      <c r="G47" s="537"/>
      <c r="BA47" s="1501">
        <f>$F47*$H$54</f>
        <v>0</v>
      </c>
      <c r="BB47" s="1501">
        <f>$F47*$I$54</f>
        <v>2363334.7704374553</v>
      </c>
      <c r="BC47" s="1501">
        <f>$F47*$J$54</f>
        <v>2363334.7704374553</v>
      </c>
      <c r="BD47" s="1501">
        <f>$F47*$K$54</f>
        <v>52518.550454165677</v>
      </c>
      <c r="BE47" s="1501">
        <f>$F47*$L$54</f>
        <v>52518.550454165677</v>
      </c>
      <c r="BF47" s="1501">
        <f>$F47*$M$54</f>
        <v>52518.550454165677</v>
      </c>
      <c r="BG47" s="1501">
        <f>$F47*$N$54</f>
        <v>52518.550454165677</v>
      </c>
      <c r="BH47" s="1501">
        <f>$F47*$O$54</f>
        <v>52518.550454165677</v>
      </c>
      <c r="BI47" s="1501">
        <f>$F47*$P$54</f>
        <v>52518.550454165677</v>
      </c>
      <c r="BJ47" s="1501">
        <f>$F47*$Q$54</f>
        <v>52518.550454165677</v>
      </c>
      <c r="BK47" s="1501">
        <f>$F47*$R$54</f>
        <v>52518.550454165677</v>
      </c>
      <c r="BL47" s="1501">
        <f>$F47*$S$54</f>
        <v>52518.550454165677</v>
      </c>
      <c r="BM47" s="1501">
        <f>$F47*$T$54</f>
        <v>52518.550454165677</v>
      </c>
      <c r="BN47" s="1501">
        <f>$F47*$U$54</f>
        <v>0</v>
      </c>
      <c r="BO47" s="1501">
        <f>$F47*$V$54</f>
        <v>0</v>
      </c>
    </row>
    <row r="48" spans="1:68" x14ac:dyDescent="0.25">
      <c r="A48" s="1502">
        <f t="shared" si="2"/>
        <v>46357</v>
      </c>
      <c r="B48" s="1499">
        <f>INDEX(Model!$CU$31:$FB$31,MATCH('Bookings Waterfall'!A48,Model!$CU$5:$FB$5,0))</f>
        <v>1750016.4844074834</v>
      </c>
      <c r="C48" s="1499">
        <f>INDEX(Model!$CU$32:$FB$32,MATCH('Bookings Waterfall'!A48,Model!$CU$5:$FB$5,0))</f>
        <v>6049386.6456034835</v>
      </c>
      <c r="D48" s="1475">
        <f t="shared" si="0"/>
        <v>-548716.15322893357</v>
      </c>
      <c r="E48" s="1501">
        <f t="shared" si="3"/>
        <v>7838802.1889847713</v>
      </c>
      <c r="F48" s="1501">
        <f t="shared" si="1"/>
        <v>15089489.165766805</v>
      </c>
      <c r="G48" s="537"/>
      <c r="BB48" s="1501">
        <f>$F48*$H$54</f>
        <v>0</v>
      </c>
      <c r="BC48" s="1501">
        <f>$F48*$I$54</f>
        <v>6790270.1245950628</v>
      </c>
      <c r="BD48" s="1501">
        <f>$F48*$J$54</f>
        <v>6790270.1245950628</v>
      </c>
      <c r="BE48" s="1501">
        <f>$F48*$K$54</f>
        <v>150894.89165766805</v>
      </c>
      <c r="BF48" s="1501">
        <f>$F48*$L$54</f>
        <v>150894.89165766805</v>
      </c>
      <c r="BG48" s="1501">
        <f>$F48*$M$54</f>
        <v>150894.89165766805</v>
      </c>
      <c r="BH48" s="1501">
        <f>$F48*$N$54</f>
        <v>150894.89165766805</v>
      </c>
      <c r="BI48" s="1501">
        <f>$F48*$O$54</f>
        <v>150894.89165766805</v>
      </c>
      <c r="BJ48" s="1501">
        <f>$F48*$P$54</f>
        <v>150894.89165766805</v>
      </c>
      <c r="BK48" s="1501">
        <f>$F48*$Q$54</f>
        <v>150894.89165766805</v>
      </c>
      <c r="BL48" s="1501">
        <f>$F48*$R$54</f>
        <v>150894.89165766805</v>
      </c>
      <c r="BM48" s="1501">
        <f>$F48*$S$54</f>
        <v>150894.89165766805</v>
      </c>
      <c r="BN48" s="1501">
        <f>$F48*$T$54</f>
        <v>150894.89165766805</v>
      </c>
      <c r="BO48" s="1501">
        <f>$F48*$U$54</f>
        <v>0</v>
      </c>
      <c r="BP48" s="1501">
        <f>$F48*$V$54</f>
        <v>0</v>
      </c>
    </row>
    <row r="49" spans="1:69" x14ac:dyDescent="0.25">
      <c r="A49" s="1502">
        <f t="shared" si="2"/>
        <v>46388</v>
      </c>
      <c r="B49" s="1499">
        <f>INDEX(Model!$CU$31:$FB$31,MATCH('Bookings Waterfall'!A49,Model!$CU$5:$FB$5,0))</f>
        <v>2020902.9144775684</v>
      </c>
      <c r="C49" s="1499">
        <f>INDEX(Model!$CU$32:$FB$32,MATCH('Bookings Waterfall'!A49,Model!$CU$5:$FB$5,0))</f>
        <v>6985775.9694423368</v>
      </c>
      <c r="D49" s="1475">
        <f t="shared" si="0"/>
        <v>-633652.35879862076</v>
      </c>
      <c r="E49" s="1501">
        <f t="shared" si="3"/>
        <v>9052176.5542660169</v>
      </c>
      <c r="F49" s="1501">
        <f t="shared" si="1"/>
        <v>17425203.0793873</v>
      </c>
      <c r="G49" s="537"/>
      <c r="BC49" s="1501">
        <f>$F49*$H$54</f>
        <v>0</v>
      </c>
      <c r="BD49" s="1501">
        <f>$F49*$I$54</f>
        <v>7841341.3857242847</v>
      </c>
      <c r="BE49" s="1501">
        <f>$F49*$J$54</f>
        <v>7841341.3857242847</v>
      </c>
      <c r="BF49" s="1501">
        <f>$F49*$K$54</f>
        <v>174252.03079387301</v>
      </c>
      <c r="BG49" s="1501">
        <f>$F49*$L$54</f>
        <v>174252.03079387301</v>
      </c>
      <c r="BH49" s="1501">
        <f>$F49*$M$54</f>
        <v>174252.03079387301</v>
      </c>
      <c r="BI49" s="1501">
        <f>$F49*$N$54</f>
        <v>174252.03079387301</v>
      </c>
      <c r="BJ49" s="1501">
        <f>$F49*$O$54</f>
        <v>174252.03079387301</v>
      </c>
      <c r="BK49" s="1501">
        <f>$F49*$P$54</f>
        <v>174252.03079387301</v>
      </c>
      <c r="BL49" s="1501">
        <f>$F49*$Q$54</f>
        <v>174252.03079387301</v>
      </c>
      <c r="BM49" s="1501">
        <f>$F49*$R$54</f>
        <v>174252.03079387301</v>
      </c>
      <c r="BN49" s="1501">
        <f>$F49*$S$54</f>
        <v>174252.03079387301</v>
      </c>
      <c r="BO49" s="1501">
        <f>$F49*$T$54</f>
        <v>174252.03079387301</v>
      </c>
      <c r="BP49" s="1501">
        <f>$F49*$U$54</f>
        <v>0</v>
      </c>
      <c r="BQ49" s="1501">
        <f>$F49*$V$54</f>
        <v>0</v>
      </c>
    </row>
    <row r="50" spans="1:69" x14ac:dyDescent="0.25">
      <c r="A50" s="360"/>
      <c r="B50" s="537"/>
      <c r="C50" s="537"/>
      <c r="D50" s="248"/>
      <c r="E50" s="537"/>
      <c r="F50" s="537"/>
      <c r="G50" s="537"/>
      <c r="H50" s="538">
        <v>44958</v>
      </c>
      <c r="I50" s="538">
        <v>44986</v>
      </c>
      <c r="J50" s="538">
        <v>45017</v>
      </c>
      <c r="K50" s="538">
        <v>45047</v>
      </c>
      <c r="L50" s="538">
        <v>45078</v>
      </c>
      <c r="M50" s="538">
        <v>45108</v>
      </c>
      <c r="N50" s="538">
        <v>45139</v>
      </c>
      <c r="O50" s="538">
        <v>45170</v>
      </c>
      <c r="P50" s="538">
        <v>45200</v>
      </c>
      <c r="Q50" s="538">
        <v>45231</v>
      </c>
      <c r="R50" s="538">
        <v>45261</v>
      </c>
      <c r="S50" s="538">
        <v>45292</v>
      </c>
      <c r="T50" s="538">
        <v>45323</v>
      </c>
      <c r="U50" s="538">
        <v>45352</v>
      </c>
      <c r="V50" s="538">
        <v>45383</v>
      </c>
      <c r="W50" s="538">
        <v>45413</v>
      </c>
      <c r="X50" s="538">
        <v>45444</v>
      </c>
      <c r="Y50" s="538">
        <v>45474</v>
      </c>
      <c r="Z50" s="538">
        <v>45505</v>
      </c>
      <c r="AA50" s="538">
        <v>45536</v>
      </c>
      <c r="AB50" s="538">
        <v>45566</v>
      </c>
      <c r="AC50" s="538">
        <v>45597</v>
      </c>
      <c r="AD50" s="538">
        <v>45627</v>
      </c>
      <c r="AE50" s="538">
        <v>45658</v>
      </c>
      <c r="AF50" s="538">
        <v>45689</v>
      </c>
      <c r="AG50" s="538">
        <v>45717</v>
      </c>
      <c r="AH50" s="538">
        <v>45748</v>
      </c>
      <c r="AI50" s="538">
        <v>45778</v>
      </c>
      <c r="AJ50" s="538">
        <v>45809</v>
      </c>
      <c r="AK50" s="538">
        <v>45839</v>
      </c>
      <c r="AL50" s="538">
        <v>45870</v>
      </c>
      <c r="AM50" s="538">
        <v>45901</v>
      </c>
      <c r="AN50" s="538">
        <v>45931</v>
      </c>
      <c r="AO50" s="538">
        <v>45962</v>
      </c>
      <c r="AP50" s="538">
        <v>45992</v>
      </c>
      <c r="AQ50" s="538">
        <v>46023</v>
      </c>
      <c r="AR50" s="538">
        <v>46054</v>
      </c>
      <c r="AS50" s="538">
        <v>46082</v>
      </c>
      <c r="AT50" s="538">
        <v>46113</v>
      </c>
      <c r="AU50" s="538">
        <v>46143</v>
      </c>
      <c r="AV50" s="538">
        <v>46174</v>
      </c>
      <c r="AW50" s="538">
        <v>46204</v>
      </c>
      <c r="AX50" s="538">
        <v>46235</v>
      </c>
      <c r="AY50" s="538">
        <v>46266</v>
      </c>
      <c r="AZ50" s="538">
        <v>46296</v>
      </c>
      <c r="BA50" s="538">
        <v>46327</v>
      </c>
      <c r="BB50" s="538">
        <v>46357</v>
      </c>
      <c r="BC50" s="538">
        <v>46388</v>
      </c>
      <c r="BD50" s="537"/>
      <c r="BE50" s="537"/>
      <c r="BF50" s="537"/>
      <c r="BG50" s="537"/>
      <c r="BH50" s="537"/>
      <c r="BI50" s="537"/>
      <c r="BJ50" s="537"/>
      <c r="BK50" s="537"/>
      <c r="BL50" s="537"/>
      <c r="BM50" s="537"/>
      <c r="BN50" s="537"/>
      <c r="BO50" s="537"/>
      <c r="BP50" s="537"/>
      <c r="BQ50" s="537"/>
    </row>
    <row r="51" spans="1:69" x14ac:dyDescent="0.25">
      <c r="B51" s="537"/>
      <c r="C51" s="537"/>
      <c r="D51" s="537"/>
      <c r="E51" s="537"/>
      <c r="F51" s="537"/>
      <c r="G51" s="536" t="s">
        <v>913</v>
      </c>
      <c r="H51" s="1503">
        <f t="shared" ref="H51:BC51" si="4">SUM(H2:H49)</f>
        <v>0</v>
      </c>
      <c r="I51" s="1503">
        <f t="shared" si="4"/>
        <v>33257.898170273926</v>
      </c>
      <c r="J51" s="1503">
        <f t="shared" si="4"/>
        <v>103505.6126077045</v>
      </c>
      <c r="K51" s="1503">
        <f t="shared" si="4"/>
        <v>208226.04724574083</v>
      </c>
      <c r="L51" s="1503">
        <f t="shared" si="4"/>
        <v>198743.26450615437</v>
      </c>
      <c r="M51" s="1503">
        <f t="shared" si="4"/>
        <v>175597.96525003389</v>
      </c>
      <c r="N51" s="1503">
        <f t="shared" si="4"/>
        <v>274130.57685003383</v>
      </c>
      <c r="O51" s="1503">
        <f t="shared" si="4"/>
        <v>241831.30969869898</v>
      </c>
      <c r="P51" s="1503">
        <f t="shared" si="4"/>
        <v>224896.45209407667</v>
      </c>
      <c r="Q51" s="1503">
        <f t="shared" si="4"/>
        <v>389452.08080437197</v>
      </c>
      <c r="R51" s="1503">
        <f t="shared" si="4"/>
        <v>365093.62442177592</v>
      </c>
      <c r="S51" s="1503">
        <f t="shared" si="4"/>
        <v>443380.04847035202</v>
      </c>
      <c r="T51" s="1503">
        <f t="shared" si="4"/>
        <v>697586.85210875445</v>
      </c>
      <c r="U51" s="1503">
        <f t="shared" si="4"/>
        <v>649351.30702535412</v>
      </c>
      <c r="V51" s="1503">
        <f t="shared" si="4"/>
        <v>839647.86183999712</v>
      </c>
      <c r="W51" s="1503">
        <f t="shared" si="4"/>
        <v>1647958.3695300056</v>
      </c>
      <c r="X51" s="1503">
        <f t="shared" si="4"/>
        <v>1573171.3640878284</v>
      </c>
      <c r="Y51" s="1503">
        <f t="shared" si="4"/>
        <v>1391376.9551634586</v>
      </c>
      <c r="Z51" s="1503">
        <f t="shared" si="4"/>
        <v>2151318.7598360842</v>
      </c>
      <c r="AA51" s="1503">
        <f t="shared" si="4"/>
        <v>1732348.2380406451</v>
      </c>
      <c r="AB51" s="1503">
        <f t="shared" si="4"/>
        <v>1300294.6776134262</v>
      </c>
      <c r="AC51" s="1503">
        <f t="shared" si="4"/>
        <v>2209607.3472640119</v>
      </c>
      <c r="AD51" s="1503">
        <f t="shared" si="4"/>
        <v>1992100.6337507369</v>
      </c>
      <c r="AE51" s="1503">
        <f t="shared" si="4"/>
        <v>2191288.6847230936</v>
      </c>
      <c r="AF51" s="1503">
        <f t="shared" si="4"/>
        <v>3409682.5555363223</v>
      </c>
      <c r="AG51" s="1503">
        <f t="shared" si="4"/>
        <v>2568113.197942182</v>
      </c>
      <c r="AH51" s="1503">
        <f t="shared" si="4"/>
        <v>2200144.1531060208</v>
      </c>
      <c r="AI51" s="1503">
        <f t="shared" si="4"/>
        <v>4180528.0127290199</v>
      </c>
      <c r="AJ51" s="1503">
        <f t="shared" si="4"/>
        <v>3988864.5670891255</v>
      </c>
      <c r="AK51" s="1503">
        <f t="shared" si="4"/>
        <v>3526818.8021310489</v>
      </c>
      <c r="AL51" s="1503">
        <f t="shared" si="4"/>
        <v>5385485.0038818456</v>
      </c>
      <c r="AM51" s="1503">
        <f t="shared" si="4"/>
        <v>4310332.4315896453</v>
      </c>
      <c r="AN51" s="1503">
        <f t="shared" si="4"/>
        <v>3171291.2878427361</v>
      </c>
      <c r="AO51" s="1503">
        <f t="shared" si="4"/>
        <v>5325139.9005353209</v>
      </c>
      <c r="AP51" s="1503">
        <f t="shared" si="4"/>
        <v>4776688.6836120095</v>
      </c>
      <c r="AQ51" s="1503">
        <f t="shared" si="4"/>
        <v>5168228.200863095</v>
      </c>
      <c r="AR51" s="1503">
        <f t="shared" si="4"/>
        <v>8002626.6470303461</v>
      </c>
      <c r="AS51" s="1503">
        <f t="shared" si="4"/>
        <v>5786043.2162014265</v>
      </c>
      <c r="AT51" s="1503">
        <f t="shared" si="4"/>
        <v>4406364.0759826368</v>
      </c>
      <c r="AU51" s="1503">
        <f t="shared" si="4"/>
        <v>8273322.6721323552</v>
      </c>
      <c r="AV51" s="1503">
        <f t="shared" si="4"/>
        <v>7892694.6549585164</v>
      </c>
      <c r="AW51" s="1503">
        <f t="shared" si="4"/>
        <v>6977897.6909178961</v>
      </c>
      <c r="AX51" s="1503">
        <f t="shared" si="4"/>
        <v>10604755.887953445</v>
      </c>
      <c r="AY51" s="1503">
        <f t="shared" si="4"/>
        <v>8472988.0201066751</v>
      </c>
      <c r="AZ51" s="1503">
        <f t="shared" si="4"/>
        <v>6195849.2218178594</v>
      </c>
      <c r="BA51" s="1503">
        <f t="shared" si="4"/>
        <v>10354978.864758931</v>
      </c>
      <c r="BB51" s="1503">
        <f t="shared" si="4"/>
        <v>9272798.6693718303</v>
      </c>
      <c r="BC51" s="1503">
        <f t="shared" si="4"/>
        <v>9974615.4676694721</v>
      </c>
    </row>
    <row r="52" spans="1:69" x14ac:dyDescent="0.25">
      <c r="A52" s="360"/>
      <c r="C52" s="1" t="s">
        <v>616</v>
      </c>
      <c r="D52" s="535">
        <v>0.93</v>
      </c>
    </row>
    <row r="53" spans="1:69" ht="17.25" x14ac:dyDescent="0.4">
      <c r="A53" s="360"/>
      <c r="H53" s="534" t="s">
        <v>726</v>
      </c>
      <c r="I53" s="534" t="s">
        <v>727</v>
      </c>
      <c r="J53" s="534" t="s">
        <v>728</v>
      </c>
      <c r="K53" s="534" t="s">
        <v>729</v>
      </c>
      <c r="L53" s="534" t="s">
        <v>730</v>
      </c>
      <c r="M53" s="534" t="s">
        <v>731</v>
      </c>
      <c r="N53" s="534" t="s">
        <v>732</v>
      </c>
      <c r="O53" s="534" t="s">
        <v>733</v>
      </c>
      <c r="P53" s="534" t="s">
        <v>734</v>
      </c>
      <c r="Q53" s="534" t="s">
        <v>735</v>
      </c>
      <c r="R53" s="534" t="s">
        <v>736</v>
      </c>
      <c r="S53" s="534" t="s">
        <v>737</v>
      </c>
      <c r="T53" s="534" t="s">
        <v>738</v>
      </c>
      <c r="U53" s="534" t="s">
        <v>739</v>
      </c>
      <c r="V53" s="534" t="s">
        <v>740</v>
      </c>
    </row>
    <row r="54" spans="1:69" x14ac:dyDescent="0.25">
      <c r="A54" s="360"/>
      <c r="H54" s="533">
        <v>0</v>
      </c>
      <c r="I54" s="533">
        <v>0.45</v>
      </c>
      <c r="J54" s="533">
        <v>0.45</v>
      </c>
      <c r="K54" s="533">
        <v>0.01</v>
      </c>
      <c r="L54" s="533">
        <v>0.01</v>
      </c>
      <c r="M54" s="533">
        <v>0.01</v>
      </c>
      <c r="N54" s="533">
        <v>0.01</v>
      </c>
      <c r="O54" s="533">
        <v>0.01</v>
      </c>
      <c r="P54" s="533">
        <v>0.01</v>
      </c>
      <c r="Q54" s="533">
        <v>0.01</v>
      </c>
      <c r="R54" s="533">
        <v>0.01</v>
      </c>
      <c r="S54" s="533">
        <v>0.01</v>
      </c>
      <c r="T54" s="533">
        <v>0.01</v>
      </c>
      <c r="U54" s="533">
        <v>0</v>
      </c>
      <c r="V54" s="533">
        <v>0</v>
      </c>
    </row>
    <row r="55" spans="1:69" x14ac:dyDescent="0.25">
      <c r="A55" s="360"/>
    </row>
    <row r="56" spans="1:69" x14ac:dyDescent="0.25">
      <c r="A56" s="360"/>
    </row>
    <row r="57" spans="1:69" x14ac:dyDescent="0.25">
      <c r="A57" s="360"/>
    </row>
    <row r="58" spans="1:69" x14ac:dyDescent="0.25">
      <c r="A58" s="360"/>
    </row>
    <row r="59" spans="1:69" x14ac:dyDescent="0.25">
      <c r="A59" s="360"/>
    </row>
    <row r="60" spans="1:69" x14ac:dyDescent="0.25">
      <c r="A60" s="360"/>
    </row>
    <row r="61" spans="1:69" x14ac:dyDescent="0.25">
      <c r="A61" s="360"/>
    </row>
    <row r="62" spans="1:69" x14ac:dyDescent="0.25">
      <c r="A62" s="3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5483CF-CA31-484A-A026-EA13B7CDFE93}">
  <sheetPr>
    <tabColor theme="4"/>
  </sheetPr>
  <dimension ref="A1"/>
  <sheetViews>
    <sheetView workbookViewId="0">
      <selection activeCell="G20" sqref="G20"/>
    </sheetView>
  </sheetViews>
  <sheetFormatPr defaultRowHeight="15" x14ac:dyDescent="0.25"/>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55384-8597-46F8-8AF7-FB663A309834}">
  <dimension ref="B2:HF46"/>
  <sheetViews>
    <sheetView showGridLines="0" topLeftCell="AP1" zoomScale="85" zoomScaleNormal="85" workbookViewId="0">
      <selection activeCell="BI29" sqref="BI29"/>
    </sheetView>
  </sheetViews>
  <sheetFormatPr defaultColWidth="9.140625" defaultRowHeight="14.25" outlineLevelRow="1" outlineLevelCol="1" x14ac:dyDescent="0.2"/>
  <cols>
    <col min="1" max="1" width="9.140625" style="104"/>
    <col min="2" max="2" width="12.28515625" style="104" customWidth="1"/>
    <col min="3" max="3" width="8.7109375" style="104" customWidth="1"/>
    <col min="4" max="10" width="7" style="104" customWidth="1"/>
    <col min="11" max="22" width="9.140625" style="104"/>
    <col min="23" max="23" width="20.42578125" style="104" bestFit="1" customWidth="1"/>
    <col min="24" max="24" width="9.140625" style="104" customWidth="1"/>
    <col min="25" max="32" width="9.140625" style="104"/>
    <col min="33" max="33" width="18.28515625" style="104" customWidth="1"/>
    <col min="34" max="41" width="9.140625" style="104"/>
    <col min="42" max="42" width="15.28515625" style="104" customWidth="1"/>
    <col min="43" max="43" width="15.7109375" style="104" bestFit="1" customWidth="1"/>
    <col min="44" max="51" width="9.140625" style="104"/>
    <col min="52" max="52" width="15.28515625" style="104" customWidth="1"/>
    <col min="53" max="53" width="21.85546875" style="104" bestFit="1" customWidth="1"/>
    <col min="54" max="62" width="9.140625" style="104"/>
    <col min="63" max="63" width="21.42578125" style="104" customWidth="1"/>
    <col min="64" max="73" width="9.140625" style="104"/>
    <col min="74" max="74" width="29.42578125" style="104" bestFit="1" customWidth="1"/>
    <col min="75" max="82" width="10" style="104" customWidth="1"/>
    <col min="83" max="84" width="9.140625" style="104"/>
    <col min="85" max="85" width="29.42578125" style="104" bestFit="1" customWidth="1"/>
    <col min="86" max="93" width="18.42578125" style="104" customWidth="1"/>
    <col min="94" max="95" width="9.140625" style="104"/>
    <col min="96" max="96" width="17.42578125" style="104" customWidth="1"/>
    <col min="97" max="104" width="9.7109375" style="104" customWidth="1"/>
    <col min="105" max="105" width="9.140625" style="104"/>
    <col min="106" max="106" width="17.42578125" style="104" customWidth="1"/>
    <col min="107" max="114" width="9.7109375" style="104" customWidth="1"/>
    <col min="115" max="115" width="9.140625" style="104"/>
    <col min="116" max="116" width="17.42578125" style="104" customWidth="1"/>
    <col min="117" max="124" width="9.7109375" style="104" customWidth="1"/>
    <col min="125" max="125" width="9.140625" style="104"/>
    <col min="126" max="126" width="17.42578125" style="104" customWidth="1"/>
    <col min="127" max="135" width="9.7109375" style="104" customWidth="1"/>
    <col min="136" max="136" width="37" style="104" customWidth="1"/>
    <col min="137" max="145" width="9.140625" style="104"/>
    <col min="146" max="146" width="32.7109375" style="104" bestFit="1" customWidth="1"/>
    <col min="147" max="155" width="9.140625" style="104"/>
    <col min="156" max="156" width="21.28515625" style="104" customWidth="1"/>
    <col min="157" max="158" width="9.28515625" style="104" hidden="1" customWidth="1" outlineLevel="1"/>
    <col min="159" max="159" width="9.28515625" style="104" customWidth="1" collapsed="1"/>
    <col min="160" max="164" width="9.28515625" style="104" customWidth="1"/>
    <col min="165" max="165" width="9.140625" style="104"/>
    <col min="166" max="166" width="20.7109375" style="104" bestFit="1" customWidth="1"/>
    <col min="167" max="168" width="9.42578125" style="104" hidden="1" customWidth="1" outlineLevel="1"/>
    <col min="169" max="169" width="9.42578125" style="104" customWidth="1" collapsed="1"/>
    <col min="170" max="174" width="9.42578125" style="104" customWidth="1"/>
    <col min="175" max="175" width="9.140625" style="104"/>
    <col min="176" max="176" width="20.7109375" style="104" bestFit="1" customWidth="1"/>
    <col min="177" max="178" width="9.42578125" style="104" hidden="1" customWidth="1" outlineLevel="1"/>
    <col min="179" max="179" width="9.42578125" style="104" customWidth="1" collapsed="1"/>
    <col min="180" max="184" width="9.42578125" style="104" customWidth="1"/>
    <col min="185" max="185" width="9.140625" style="104"/>
    <col min="186" max="186" width="20.7109375" style="104" bestFit="1" customWidth="1"/>
    <col min="187" max="188" width="9.42578125" style="104" hidden="1" customWidth="1" outlineLevel="1"/>
    <col min="189" max="189" width="9.42578125" style="104" customWidth="1" collapsed="1"/>
    <col min="190" max="194" width="9.42578125" style="104" customWidth="1"/>
    <col min="195" max="195" width="9.140625" style="104"/>
    <col min="196" max="196" width="20.7109375" style="104" bestFit="1" customWidth="1"/>
    <col min="197" max="198" width="9.42578125" style="104" hidden="1" customWidth="1" outlineLevel="1"/>
    <col min="199" max="199" width="9.42578125" style="104" customWidth="1" collapsed="1"/>
    <col min="200" max="204" width="9.42578125" style="104" customWidth="1"/>
    <col min="205" max="205" width="9.140625" style="104"/>
    <col min="206" max="206" width="16.42578125" style="104" customWidth="1"/>
    <col min="207" max="208" width="8.7109375" style="104" hidden="1" customWidth="1" outlineLevel="1"/>
    <col min="209" max="209" width="8.7109375" style="104" customWidth="1" collapsed="1"/>
    <col min="210" max="214" width="8.7109375" style="104" customWidth="1"/>
    <col min="215" max="16384" width="9.140625" style="104"/>
  </cols>
  <sheetData>
    <row r="2" spans="2:214" ht="15" x14ac:dyDescent="0.25">
      <c r="B2" s="103" t="s">
        <v>260</v>
      </c>
      <c r="C2" s="103"/>
      <c r="D2" s="103"/>
      <c r="E2" s="103"/>
      <c r="F2" s="103"/>
      <c r="G2" s="103"/>
      <c r="H2" s="103"/>
      <c r="I2" s="103"/>
      <c r="J2" s="103"/>
      <c r="M2" s="103" t="s">
        <v>261</v>
      </c>
      <c r="N2" s="103"/>
      <c r="O2" s="103"/>
      <c r="P2" s="103"/>
      <c r="Q2" s="103"/>
      <c r="R2" s="103"/>
      <c r="S2" s="103"/>
      <c r="T2" s="103"/>
      <c r="U2" s="103"/>
      <c r="W2" s="103" t="s">
        <v>271</v>
      </c>
      <c r="X2" s="103"/>
      <c r="Y2" s="103"/>
      <c r="Z2" s="103"/>
      <c r="AA2" s="103"/>
      <c r="AB2" s="103"/>
      <c r="AC2" s="103"/>
      <c r="AD2" s="103"/>
      <c r="AE2" s="103"/>
      <c r="AG2" s="103" t="s">
        <v>277</v>
      </c>
      <c r="AH2" s="103"/>
      <c r="AI2" s="103"/>
      <c r="AJ2" s="103"/>
      <c r="AK2" s="103"/>
      <c r="AL2" s="103"/>
      <c r="AM2" s="103"/>
      <c r="AN2" s="103"/>
      <c r="AO2" s="103"/>
      <c r="AQ2" s="103" t="s">
        <v>280</v>
      </c>
      <c r="AR2" s="103"/>
      <c r="AS2" s="103"/>
      <c r="AT2" s="103"/>
      <c r="AU2" s="103"/>
      <c r="AV2" s="103"/>
      <c r="AW2" s="103"/>
      <c r="AX2" s="103"/>
      <c r="AY2" s="103"/>
      <c r="BA2" s="103" t="s">
        <v>287</v>
      </c>
      <c r="BB2" s="103"/>
      <c r="BC2" s="103"/>
      <c r="BD2" s="103"/>
      <c r="BE2" s="103"/>
      <c r="BF2" s="103"/>
      <c r="BG2" s="103"/>
      <c r="BH2" s="103"/>
      <c r="BI2" s="103"/>
      <c r="BK2" s="103" t="s">
        <v>295</v>
      </c>
      <c r="BL2" s="103"/>
      <c r="BM2" s="103"/>
      <c r="BN2" s="103"/>
      <c r="BO2" s="103"/>
      <c r="BP2" s="103"/>
      <c r="BQ2" s="103"/>
      <c r="BR2" s="103"/>
      <c r="BS2" s="103"/>
      <c r="BV2" s="103" t="s">
        <v>287</v>
      </c>
      <c r="BW2" s="103"/>
      <c r="BX2" s="103"/>
      <c r="BY2" s="103"/>
      <c r="BZ2" s="103"/>
      <c r="CA2" s="103"/>
      <c r="CB2" s="103"/>
      <c r="CC2" s="103"/>
      <c r="CD2" s="103"/>
      <c r="CG2" s="103" t="s">
        <v>285</v>
      </c>
      <c r="CH2" s="103"/>
      <c r="CI2" s="103"/>
      <c r="CJ2" s="103"/>
      <c r="CK2" s="103"/>
      <c r="CL2" s="103"/>
      <c r="CM2" s="103"/>
      <c r="CN2" s="103"/>
      <c r="CO2" s="103"/>
      <c r="CR2" s="103" t="s">
        <v>285</v>
      </c>
      <c r="CS2" s="103"/>
      <c r="CT2" s="103"/>
      <c r="CU2" s="103"/>
      <c r="CV2" s="103"/>
      <c r="CW2" s="103"/>
      <c r="CX2" s="103"/>
      <c r="CY2" s="103"/>
      <c r="CZ2" s="103"/>
      <c r="DA2" s="103"/>
      <c r="DB2" s="103"/>
      <c r="DC2" s="103"/>
      <c r="DD2" s="103"/>
      <c r="DE2" s="103"/>
      <c r="DF2" s="103"/>
      <c r="DG2" s="103"/>
      <c r="DH2" s="103"/>
      <c r="DI2" s="103"/>
      <c r="DJ2" s="103"/>
      <c r="DK2" s="103"/>
      <c r="DL2" s="103"/>
      <c r="DM2" s="103"/>
      <c r="DN2" s="103"/>
      <c r="DO2" s="103"/>
      <c r="DP2" s="103"/>
      <c r="DQ2" s="103"/>
      <c r="DR2" s="103"/>
      <c r="DS2" s="103"/>
      <c r="DT2" s="103"/>
      <c r="DU2" s="103"/>
      <c r="DV2" s="103"/>
      <c r="DW2" s="103"/>
      <c r="DX2" s="103"/>
      <c r="DY2" s="103"/>
      <c r="DZ2" s="103"/>
      <c r="EA2" s="103"/>
      <c r="EB2" s="103"/>
      <c r="EC2" s="103"/>
      <c r="ED2" s="103"/>
      <c r="EF2" s="103" t="s">
        <v>13</v>
      </c>
      <c r="EG2" s="103"/>
      <c r="EH2" s="103"/>
      <c r="EI2" s="103"/>
      <c r="EJ2" s="103"/>
      <c r="EK2" s="103"/>
      <c r="EL2" s="103"/>
      <c r="EM2" s="103"/>
      <c r="EN2" s="103"/>
      <c r="EP2" s="103" t="s">
        <v>14</v>
      </c>
      <c r="EQ2" s="103"/>
      <c r="ER2" s="103"/>
      <c r="ES2" s="103"/>
      <c r="ET2" s="103"/>
      <c r="EU2" s="103"/>
      <c r="EV2" s="103"/>
      <c r="EW2" s="103"/>
      <c r="EX2" s="103"/>
      <c r="EZ2" s="103" t="s">
        <v>652</v>
      </c>
      <c r="FA2" s="103"/>
      <c r="FB2" s="103"/>
      <c r="FC2" s="103"/>
      <c r="FD2" s="103"/>
      <c r="FE2" s="103"/>
      <c r="FF2" s="103"/>
      <c r="FG2" s="103"/>
      <c r="FH2" s="103"/>
      <c r="FJ2" s="103" t="s">
        <v>652</v>
      </c>
      <c r="FK2" s="103"/>
      <c r="FL2" s="103"/>
      <c r="FM2" s="103"/>
      <c r="FN2" s="103"/>
      <c r="FO2" s="103"/>
      <c r="FP2" s="103"/>
      <c r="FQ2" s="103"/>
      <c r="FR2" s="103"/>
      <c r="FT2" s="103" t="s">
        <v>652</v>
      </c>
      <c r="FU2" s="103"/>
      <c r="FV2" s="103"/>
      <c r="FW2" s="103"/>
      <c r="FX2" s="103"/>
      <c r="FY2" s="103"/>
      <c r="FZ2" s="103"/>
      <c r="GA2" s="103"/>
      <c r="GB2" s="103"/>
      <c r="GD2" s="103" t="s">
        <v>652</v>
      </c>
      <c r="GE2" s="103"/>
      <c r="GF2" s="103"/>
      <c r="GG2" s="103"/>
      <c r="GH2" s="103"/>
      <c r="GI2" s="103"/>
      <c r="GJ2" s="103"/>
      <c r="GK2" s="103"/>
      <c r="GL2" s="103"/>
      <c r="GN2" s="103" t="s">
        <v>652</v>
      </c>
      <c r="GO2" s="103"/>
      <c r="GP2" s="103"/>
      <c r="GQ2" s="103"/>
      <c r="GR2" s="103"/>
      <c r="GS2" s="103"/>
      <c r="GT2" s="103"/>
      <c r="GU2" s="103"/>
      <c r="GV2" s="103"/>
      <c r="GX2" s="103" t="s">
        <v>652</v>
      </c>
      <c r="GY2" s="103"/>
      <c r="GZ2" s="103"/>
      <c r="HA2" s="103"/>
      <c r="HB2" s="103"/>
      <c r="HC2" s="103"/>
      <c r="HD2" s="103"/>
      <c r="HE2" s="103"/>
      <c r="HF2" s="103"/>
    </row>
    <row r="4" spans="2:214" ht="15" x14ac:dyDescent="0.25">
      <c r="C4" s="105" t="s">
        <v>252</v>
      </c>
      <c r="D4" s="105" t="s">
        <v>253</v>
      </c>
      <c r="E4" s="105" t="s">
        <v>254</v>
      </c>
      <c r="F4" s="105" t="s">
        <v>255</v>
      </c>
      <c r="G4" s="105" t="s">
        <v>256</v>
      </c>
      <c r="H4" s="105" t="s">
        <v>257</v>
      </c>
      <c r="I4" s="105" t="s">
        <v>258</v>
      </c>
      <c r="J4" s="105" t="s">
        <v>259</v>
      </c>
      <c r="N4" s="426" t="s">
        <v>252</v>
      </c>
      <c r="O4" s="145" t="s">
        <v>253</v>
      </c>
      <c r="P4" s="145" t="s">
        <v>254</v>
      </c>
      <c r="Q4" s="145" t="s">
        <v>255</v>
      </c>
      <c r="R4" s="145" t="s">
        <v>256</v>
      </c>
      <c r="S4" s="145" t="s">
        <v>257</v>
      </c>
      <c r="T4" s="145" t="s">
        <v>258</v>
      </c>
      <c r="U4" s="426" t="s">
        <v>259</v>
      </c>
      <c r="X4" s="426" t="s">
        <v>252</v>
      </c>
      <c r="Y4" s="145" t="s">
        <v>253</v>
      </c>
      <c r="Z4" s="145" t="s">
        <v>254</v>
      </c>
      <c r="AA4" s="145" t="s">
        <v>255</v>
      </c>
      <c r="AB4" s="145" t="s">
        <v>256</v>
      </c>
      <c r="AC4" s="145" t="s">
        <v>257</v>
      </c>
      <c r="AD4" s="145" t="s">
        <v>258</v>
      </c>
      <c r="AE4" s="426" t="s">
        <v>259</v>
      </c>
      <c r="AH4" s="426" t="s">
        <v>252</v>
      </c>
      <c r="AI4" s="145" t="s">
        <v>253</v>
      </c>
      <c r="AJ4" s="145" t="s">
        <v>254</v>
      </c>
      <c r="AK4" s="145" t="s">
        <v>255</v>
      </c>
      <c r="AL4" s="145" t="s">
        <v>256</v>
      </c>
      <c r="AM4" s="145" t="s">
        <v>257</v>
      </c>
      <c r="AN4" s="145" t="s">
        <v>258</v>
      </c>
      <c r="AO4" s="426" t="s">
        <v>259</v>
      </c>
      <c r="AR4" s="145" t="s">
        <v>252</v>
      </c>
      <c r="AS4" s="145" t="s">
        <v>253</v>
      </c>
      <c r="AT4" s="145" t="s">
        <v>254</v>
      </c>
      <c r="AU4" s="145" t="s">
        <v>255</v>
      </c>
      <c r="AV4" s="145" t="s">
        <v>256</v>
      </c>
      <c r="AW4" s="145" t="s">
        <v>257</v>
      </c>
      <c r="AX4" s="145" t="s">
        <v>258</v>
      </c>
      <c r="AY4" s="426" t="s">
        <v>259</v>
      </c>
      <c r="BB4" s="145" t="s">
        <v>252</v>
      </c>
      <c r="BC4" s="145" t="s">
        <v>253</v>
      </c>
      <c r="BD4" s="145" t="s">
        <v>254</v>
      </c>
      <c r="BE4" s="145" t="s">
        <v>255</v>
      </c>
      <c r="BF4" s="145" t="s">
        <v>256</v>
      </c>
      <c r="BG4" s="145" t="s">
        <v>257</v>
      </c>
      <c r="BH4" s="145" t="s">
        <v>258</v>
      </c>
      <c r="BI4" s="426" t="s">
        <v>259</v>
      </c>
      <c r="BK4" s="162"/>
      <c r="BL4" s="426" t="s">
        <v>252</v>
      </c>
      <c r="BM4" s="145" t="s">
        <v>253</v>
      </c>
      <c r="BN4" s="145" t="s">
        <v>254</v>
      </c>
      <c r="BO4" s="145" t="s">
        <v>255</v>
      </c>
      <c r="BP4" s="145" t="s">
        <v>256</v>
      </c>
      <c r="BQ4" s="145" t="s">
        <v>257</v>
      </c>
      <c r="BR4" s="145" t="s">
        <v>258</v>
      </c>
      <c r="BS4" s="426" t="s">
        <v>259</v>
      </c>
      <c r="BV4" s="162"/>
      <c r="BW4" s="426" t="s">
        <v>252</v>
      </c>
      <c r="BX4" s="145" t="s">
        <v>253</v>
      </c>
      <c r="BY4" s="145" t="s">
        <v>254</v>
      </c>
      <c r="BZ4" s="145" t="s">
        <v>255</v>
      </c>
      <c r="CA4" s="145" t="s">
        <v>256</v>
      </c>
      <c r="CB4" s="145" t="s">
        <v>257</v>
      </c>
      <c r="CC4" s="145" t="s">
        <v>258</v>
      </c>
      <c r="CD4" s="426" t="s">
        <v>259</v>
      </c>
      <c r="CG4" s="162"/>
      <c r="CH4" s="426" t="s">
        <v>252</v>
      </c>
      <c r="CI4" s="145" t="s">
        <v>253</v>
      </c>
      <c r="CJ4" s="145" t="s">
        <v>254</v>
      </c>
      <c r="CK4" s="145" t="s">
        <v>255</v>
      </c>
      <c r="CL4" s="145" t="s">
        <v>256</v>
      </c>
      <c r="CM4" s="145" t="s">
        <v>257</v>
      </c>
      <c r="CN4" s="145" t="s">
        <v>258</v>
      </c>
      <c r="CO4" s="426" t="s">
        <v>259</v>
      </c>
      <c r="CR4" s="162"/>
      <c r="CS4" s="426" t="s">
        <v>252</v>
      </c>
      <c r="CT4" s="145" t="s">
        <v>253</v>
      </c>
      <c r="CU4" s="145" t="s">
        <v>254</v>
      </c>
      <c r="CV4" s="145" t="s">
        <v>255</v>
      </c>
      <c r="CW4" s="145" t="s">
        <v>256</v>
      </c>
      <c r="CX4" s="145" t="s">
        <v>257</v>
      </c>
      <c r="CY4" s="145" t="s">
        <v>258</v>
      </c>
      <c r="CZ4" s="426" t="s">
        <v>259</v>
      </c>
      <c r="DB4" s="162"/>
      <c r="DC4" s="426" t="s">
        <v>252</v>
      </c>
      <c r="DD4" s="145" t="s">
        <v>253</v>
      </c>
      <c r="DE4" s="145" t="s">
        <v>254</v>
      </c>
      <c r="DF4" s="145" t="s">
        <v>255</v>
      </c>
      <c r="DG4" s="145" t="s">
        <v>256</v>
      </c>
      <c r="DH4" s="145" t="s">
        <v>257</v>
      </c>
      <c r="DI4" s="145" t="s">
        <v>258</v>
      </c>
      <c r="DJ4" s="426" t="s">
        <v>259</v>
      </c>
      <c r="DL4" s="162"/>
      <c r="DM4" s="426" t="s">
        <v>252</v>
      </c>
      <c r="DN4" s="145" t="s">
        <v>253</v>
      </c>
      <c r="DO4" s="145" t="s">
        <v>254</v>
      </c>
      <c r="DP4" s="145" t="s">
        <v>255</v>
      </c>
      <c r="DQ4" s="145" t="s">
        <v>256</v>
      </c>
      <c r="DR4" s="145" t="s">
        <v>257</v>
      </c>
      <c r="DS4" s="145" t="s">
        <v>258</v>
      </c>
      <c r="DT4" s="426" t="s">
        <v>259</v>
      </c>
      <c r="DV4" s="162"/>
      <c r="DW4" s="426" t="s">
        <v>252</v>
      </c>
      <c r="DX4" s="145" t="s">
        <v>253</v>
      </c>
      <c r="DY4" s="145" t="s">
        <v>254</v>
      </c>
      <c r="DZ4" s="145" t="s">
        <v>255</v>
      </c>
      <c r="EA4" s="145" t="s">
        <v>256</v>
      </c>
      <c r="EB4" s="145" t="s">
        <v>257</v>
      </c>
      <c r="EC4" s="145" t="s">
        <v>258</v>
      </c>
      <c r="ED4" s="426" t="s">
        <v>259</v>
      </c>
      <c r="FA4" s="426" t="s">
        <v>252</v>
      </c>
      <c r="FB4" s="145" t="s">
        <v>253</v>
      </c>
      <c r="FC4" s="145" t="s">
        <v>254</v>
      </c>
      <c r="FD4" s="145" t="s">
        <v>255</v>
      </c>
      <c r="FE4" s="145" t="s">
        <v>256</v>
      </c>
      <c r="FF4" s="145" t="s">
        <v>257</v>
      </c>
      <c r="FG4" s="145" t="s">
        <v>258</v>
      </c>
      <c r="FH4" s="426" t="s">
        <v>259</v>
      </c>
      <c r="FK4" s="426" t="s">
        <v>252</v>
      </c>
      <c r="FL4" s="145" t="s">
        <v>253</v>
      </c>
      <c r="FM4" s="145" t="s">
        <v>254</v>
      </c>
      <c r="FN4" s="145" t="s">
        <v>255</v>
      </c>
      <c r="FO4" s="145" t="s">
        <v>256</v>
      </c>
      <c r="FP4" s="145" t="s">
        <v>257</v>
      </c>
      <c r="FQ4" s="145" t="s">
        <v>258</v>
      </c>
      <c r="FR4" s="426" t="s">
        <v>259</v>
      </c>
      <c r="FU4" s="426" t="s">
        <v>252</v>
      </c>
      <c r="FV4" s="145" t="s">
        <v>253</v>
      </c>
      <c r="FW4" s="145" t="s">
        <v>254</v>
      </c>
      <c r="FX4" s="145" t="s">
        <v>255</v>
      </c>
      <c r="FY4" s="145" t="s">
        <v>256</v>
      </c>
      <c r="FZ4" s="145" t="s">
        <v>257</v>
      </c>
      <c r="GA4" s="145" t="s">
        <v>258</v>
      </c>
      <c r="GB4" s="426" t="s">
        <v>259</v>
      </c>
      <c r="GE4" s="426" t="s">
        <v>252</v>
      </c>
      <c r="GF4" s="145" t="s">
        <v>253</v>
      </c>
      <c r="GG4" s="145" t="s">
        <v>254</v>
      </c>
      <c r="GH4" s="145" t="s">
        <v>255</v>
      </c>
      <c r="GI4" s="145" t="s">
        <v>256</v>
      </c>
      <c r="GJ4" s="145" t="s">
        <v>257</v>
      </c>
      <c r="GK4" s="145" t="s">
        <v>258</v>
      </c>
      <c r="GL4" s="426" t="s">
        <v>259</v>
      </c>
      <c r="GO4" s="426" t="s">
        <v>252</v>
      </c>
      <c r="GP4" s="145" t="s">
        <v>253</v>
      </c>
      <c r="GQ4" s="145" t="s">
        <v>254</v>
      </c>
      <c r="GR4" s="145" t="s">
        <v>255</v>
      </c>
      <c r="GS4" s="145" t="s">
        <v>256</v>
      </c>
      <c r="GT4" s="145" t="s">
        <v>257</v>
      </c>
      <c r="GU4" s="145" t="s">
        <v>258</v>
      </c>
      <c r="GV4" s="426" t="s">
        <v>259</v>
      </c>
    </row>
    <row r="5" spans="2:214" ht="4.5" customHeight="1" x14ac:dyDescent="0.25">
      <c r="C5" s="106">
        <f>Forecast!D14</f>
        <v>31062420.149999995</v>
      </c>
      <c r="D5" s="106">
        <f>Forecast!E14</f>
        <v>55699084.79091499</v>
      </c>
      <c r="E5" s="106">
        <f>Forecast!F14</f>
        <v>82420487.857434958</v>
      </c>
      <c r="F5" s="106">
        <f>Forecast!G14</f>
        <v>139753842.15791994</v>
      </c>
      <c r="G5" s="106">
        <f>Forecast!H14</f>
        <v>216111472.94072866</v>
      </c>
      <c r="H5" s="106">
        <f>Forecast!I14</f>
        <v>327799305.54458565</v>
      </c>
      <c r="I5" s="106">
        <f>Forecast!J14</f>
        <v>489688397.82248545</v>
      </c>
      <c r="J5" s="106">
        <f>Forecast!K14</f>
        <v>720349010.2787658</v>
      </c>
      <c r="N5" s="105"/>
      <c r="O5" s="105"/>
      <c r="P5" s="105"/>
      <c r="Q5" s="105"/>
      <c r="R5" s="105"/>
      <c r="S5" s="105"/>
      <c r="T5" s="105"/>
      <c r="U5" s="105"/>
      <c r="X5" s="144"/>
      <c r="AH5" s="144"/>
      <c r="BK5" s="162"/>
      <c r="BL5" s="162"/>
      <c r="BM5" s="162"/>
      <c r="BN5" s="162"/>
      <c r="BO5" s="162"/>
      <c r="BP5" s="162"/>
      <c r="BQ5" s="162"/>
      <c r="BR5" s="162"/>
      <c r="BS5" s="162"/>
      <c r="BV5" s="162"/>
      <c r="BW5" s="162"/>
      <c r="BX5" s="162"/>
      <c r="BY5" s="162"/>
      <c r="BZ5" s="162"/>
      <c r="CA5" s="162"/>
      <c r="CB5" s="162"/>
      <c r="CC5" s="162"/>
      <c r="CD5" s="162"/>
      <c r="CG5" s="162"/>
      <c r="CH5" s="162"/>
      <c r="CI5" s="162"/>
      <c r="CJ5" s="162"/>
      <c r="CK5" s="162"/>
      <c r="CL5" s="162"/>
      <c r="CM5" s="162"/>
      <c r="CN5" s="162"/>
      <c r="CO5" s="162"/>
      <c r="CR5" s="162"/>
      <c r="CS5" s="162"/>
      <c r="CT5" s="162"/>
      <c r="CU5" s="162"/>
      <c r="CV5" s="162"/>
      <c r="CW5" s="162"/>
      <c r="CX5" s="162"/>
      <c r="CY5" s="162"/>
      <c r="CZ5" s="162"/>
      <c r="DB5" s="162"/>
      <c r="DC5" s="162"/>
      <c r="DD5" s="162"/>
      <c r="DE5" s="162"/>
      <c r="DF5" s="162"/>
      <c r="DG5" s="162"/>
      <c r="DH5" s="162"/>
      <c r="DI5" s="162"/>
      <c r="DJ5" s="162"/>
      <c r="DL5" s="162"/>
      <c r="DM5" s="162"/>
      <c r="DN5" s="162"/>
      <c r="DO5" s="162"/>
      <c r="DP5" s="162"/>
      <c r="DQ5" s="162"/>
      <c r="DR5" s="162"/>
      <c r="DS5" s="162"/>
      <c r="DT5" s="162"/>
      <c r="DV5" s="162"/>
      <c r="DW5" s="162"/>
      <c r="DX5" s="162"/>
      <c r="DY5" s="162"/>
      <c r="DZ5" s="162"/>
      <c r="EA5" s="162"/>
      <c r="EB5" s="162"/>
      <c r="EC5" s="162"/>
      <c r="ED5" s="162"/>
      <c r="EZ5" s="108"/>
    </row>
    <row r="6" spans="2:214" ht="15" customHeight="1" x14ac:dyDescent="0.25">
      <c r="C6" s="107">
        <f>Forecast!D15</f>
        <v>1.2829539649772439</v>
      </c>
      <c r="D6" s="107">
        <f>Forecast!E15</f>
        <v>0.80306902893693599</v>
      </c>
      <c r="E6" s="107">
        <f>Forecast!F15</f>
        <v>0.47695592728896763</v>
      </c>
      <c r="F6" s="107">
        <f>Forecast!G15</f>
        <v>0.6942646217663011</v>
      </c>
      <c r="G6" s="107">
        <f>Forecast!H15</f>
        <v>0.54637231866960501</v>
      </c>
      <c r="H6" s="107">
        <f>Forecast!I15</f>
        <v>0.51680658636058996</v>
      </c>
      <c r="I6" s="107">
        <f>Forecast!J15</f>
        <v>0.49386648946356737</v>
      </c>
      <c r="J6" s="107">
        <f>Forecast!K15</f>
        <v>0.47103548599878398</v>
      </c>
      <c r="M6" s="108" t="s">
        <v>265</v>
      </c>
      <c r="N6" s="135">
        <f>Forecast!D28/1000000</f>
        <v>20.965</v>
      </c>
      <c r="O6" s="135">
        <f>Forecast!E28/1000000</f>
        <v>43.119490999999996</v>
      </c>
      <c r="P6" s="135">
        <f>Forecast!F28/1000000</f>
        <v>67.821970309999998</v>
      </c>
      <c r="Q6" s="135">
        <f>Forecast!G28/1000000</f>
        <v>104.84938007509879</v>
      </c>
      <c r="R6" s="135">
        <f>Forecast!H28/1000000</f>
        <v>175.63701622970058</v>
      </c>
      <c r="S6" s="135">
        <f>Forecast!I28/1000000</f>
        <v>269.64747086129938</v>
      </c>
      <c r="T6" s="135">
        <f>Forecast!J28/1000000</f>
        <v>404.95309108935436</v>
      </c>
      <c r="U6" s="109">
        <f>Forecast!K28/1000000</f>
        <v>598.73127690134743</v>
      </c>
      <c r="W6" s="104" t="s">
        <v>249</v>
      </c>
      <c r="X6" s="125">
        <f>SUM(Forecast!D10:D12)/1000000</f>
        <v>18.909925299999998</v>
      </c>
      <c r="Y6" s="125">
        <f>SUM(Forecast!E10:E12)/1000000</f>
        <v>27.736807890915003</v>
      </c>
      <c r="Z6" s="125">
        <f>SUM(Forecast!F10:F12)/1000000</f>
        <v>32.341969564102001</v>
      </c>
      <c r="AA6" s="125">
        <f>SUM(Forecast!G10:G12)/1000000</f>
        <v>63.932242320432998</v>
      </c>
      <c r="AB6" s="125">
        <f>SUM(Forecast!H10:H12)/1000000</f>
        <v>87.499999999999972</v>
      </c>
      <c r="AC6" s="125">
        <f>SUM(Forecast!I10:I12)/1000000</f>
        <v>129.06249999999997</v>
      </c>
      <c r="AD6" s="125">
        <f>SUM(Forecast!J10:J12)/1000000</f>
        <v>187.14062499999997</v>
      </c>
      <c r="AE6" s="130">
        <f>SUM(Forecast!K10:K12)/1000000</f>
        <v>266.67539062499998</v>
      </c>
      <c r="AG6" s="104" t="s">
        <v>18</v>
      </c>
      <c r="AH6" s="125">
        <f>Forecast!D9/1000000</f>
        <v>13.606240259999995</v>
      </c>
      <c r="AI6" s="125">
        <f>Forecast!E9/1000000</f>
        <v>30.891265889999996</v>
      </c>
      <c r="AJ6" s="125">
        <f>Forecast!F9/1000000</f>
        <v>55.80429742999997</v>
      </c>
      <c r="AK6" s="125">
        <f>Forecast!G9/1000000</f>
        <v>82.486431199999956</v>
      </c>
      <c r="AL6" s="125">
        <f>Forecast!H9/1000000</f>
        <v>139.75384215791993</v>
      </c>
      <c r="AM6" s="125">
        <f>Forecast!I9/1000000</f>
        <v>216.11147294072867</v>
      </c>
      <c r="AN6" s="125">
        <f>Forecast!J9/1000000</f>
        <v>327.79930554458565</v>
      </c>
      <c r="AO6" s="130">
        <f>Forecast!K9/1000000</f>
        <v>489.68839782248546</v>
      </c>
      <c r="AQ6" s="104" t="s">
        <v>282</v>
      </c>
      <c r="AR6" s="125">
        <f>(Forecast!D43+Forecast!D46)/1000000</f>
        <v>21.897839319999999</v>
      </c>
      <c r="AS6" s="125">
        <f>(Forecast!E43+Forecast!E46)/1000000</f>
        <v>32.080529424548992</v>
      </c>
      <c r="AT6" s="125">
        <f>(Forecast!F43+Forecast!F46)/1000000</f>
        <v>38.854087855277989</v>
      </c>
      <c r="AU6" s="125">
        <f>(Forecast!G43+Forecast!G46)/1000000</f>
        <v>67.82929397097665</v>
      </c>
      <c r="AV6" s="125">
        <f>(Forecast!H43+Forecast!H46)/1000000</f>
        <v>88.054029408510857</v>
      </c>
      <c r="AW6" s="125">
        <f>(Forecast!I43+Forecast!I46)/1000000</f>
        <v>122.15243101178844</v>
      </c>
      <c r="AX6" s="125">
        <f>(Forecast!J43+Forecast!J46)/1000000</f>
        <v>162.68826428511457</v>
      </c>
      <c r="AY6" s="130">
        <f>(Forecast!K43+Forecast!K46)/1000000</f>
        <v>216.60382517213122</v>
      </c>
      <c r="BA6" s="104" t="s">
        <v>292</v>
      </c>
      <c r="BB6" s="125">
        <f>Forecast!D48/1000000</f>
        <v>-29.85194881</v>
      </c>
      <c r="BC6" s="125">
        <f>Forecast!E48/1000000</f>
        <v>-39.648971054548994</v>
      </c>
      <c r="BD6" s="125">
        <f>Forecast!F48/1000000</f>
        <v>-35.585316229277986</v>
      </c>
      <c r="BE6" s="125">
        <f>Forecast!G48/1000000</f>
        <v>-73.220617403975538</v>
      </c>
      <c r="BF6" s="125">
        <f>Forecast!H48/1000000</f>
        <v>-76.838506793641628</v>
      </c>
      <c r="BG6" s="125">
        <f>Forecast!I48/1000000</f>
        <v>-78.6399698813062</v>
      </c>
      <c r="BH6" s="125">
        <f>Forecast!J48/1000000</f>
        <v>-62.919045255775991</v>
      </c>
      <c r="BI6" s="130">
        <f>Forecast!K48/1000000</f>
        <v>-21.469037282671213</v>
      </c>
      <c r="BJ6" s="134"/>
      <c r="BK6" s="162" t="s">
        <v>31</v>
      </c>
      <c r="BL6" s="267">
        <f>Forecast!D28/1000000</f>
        <v>20.965</v>
      </c>
      <c r="BM6" s="267">
        <f>Forecast!E28/1000000</f>
        <v>43.119490999999996</v>
      </c>
      <c r="BN6" s="267">
        <f>Forecast!F28/1000000</f>
        <v>67.821970309999998</v>
      </c>
      <c r="BO6" s="267">
        <f>Forecast!G28/1000000</f>
        <v>104.84938007509879</v>
      </c>
      <c r="BP6" s="267">
        <f>Forecast!H28/1000000</f>
        <v>175.63701622970058</v>
      </c>
      <c r="BQ6" s="268">
        <f>Forecast!I28/1000000</f>
        <v>269.64747086129938</v>
      </c>
      <c r="BR6" s="268">
        <f>Forecast!J28/1000000</f>
        <v>404.95309108935436</v>
      </c>
      <c r="BS6" s="268">
        <f>Forecast!K28/1000000</f>
        <v>598.73127690134743</v>
      </c>
      <c r="BV6" s="104" t="s">
        <v>574</v>
      </c>
      <c r="BW6" s="280">
        <f>Expenses!D9/1000000</f>
        <v>31.062420149999994</v>
      </c>
      <c r="BX6" s="280">
        <f>Expenses!E9/1000000</f>
        <v>55.699084790914988</v>
      </c>
      <c r="BY6" s="280">
        <f>Expenses!F9/1000000</f>
        <v>82.420487857434964</v>
      </c>
      <c r="BZ6" s="280">
        <f>Expenses!G9/1000000</f>
        <v>139.75384215791993</v>
      </c>
      <c r="CA6" s="280">
        <f>Expenses!H9/1000000</f>
        <v>216.11147294072867</v>
      </c>
      <c r="CB6" s="280">
        <f>Expenses!I9/1000000</f>
        <v>327.79930554458565</v>
      </c>
      <c r="CC6" s="280">
        <f>Expenses!J9/1000000</f>
        <v>489.68839782248546</v>
      </c>
      <c r="CD6" s="280">
        <f>Expenses!K9/1000000</f>
        <v>720.34901027876583</v>
      </c>
      <c r="CG6" s="162" t="s">
        <v>572</v>
      </c>
      <c r="CH6" s="267"/>
      <c r="CI6" s="267"/>
      <c r="CJ6" s="267"/>
      <c r="CK6" s="267"/>
      <c r="CL6" s="267"/>
      <c r="CM6" s="268"/>
      <c r="CN6" s="268"/>
      <c r="CO6" s="268"/>
      <c r="CR6" s="318" t="s">
        <v>607</v>
      </c>
      <c r="CS6" s="319"/>
      <c r="CT6" s="319"/>
      <c r="CU6" s="319"/>
      <c r="CV6" s="319"/>
      <c r="CW6" s="319"/>
      <c r="CX6" s="319"/>
      <c r="CY6" s="319"/>
      <c r="CZ6" s="319"/>
      <c r="DB6" s="318" t="s">
        <v>608</v>
      </c>
      <c r="DC6" s="319"/>
      <c r="DD6" s="319"/>
      <c r="DE6" s="319"/>
      <c r="DF6" s="319"/>
      <c r="DG6" s="319"/>
      <c r="DH6" s="319"/>
      <c r="DI6" s="319"/>
      <c r="DJ6" s="319"/>
      <c r="DL6" s="318" t="s">
        <v>313</v>
      </c>
      <c r="DM6" s="319"/>
      <c r="DN6" s="319"/>
      <c r="DO6" s="319"/>
      <c r="DP6" s="319"/>
      <c r="DQ6" s="319"/>
      <c r="DR6" s="319"/>
      <c r="DS6" s="319"/>
      <c r="DT6" s="319"/>
      <c r="DV6" s="318" t="s">
        <v>308</v>
      </c>
      <c r="DW6" s="319"/>
      <c r="DX6" s="319"/>
      <c r="DY6" s="319"/>
      <c r="DZ6" s="319"/>
      <c r="EA6" s="319"/>
      <c r="EB6" s="319"/>
      <c r="EC6" s="319"/>
      <c r="ED6" s="319"/>
      <c r="EG6" s="426" t="s">
        <v>252</v>
      </c>
      <c r="EH6" s="145" t="s">
        <v>253</v>
      </c>
      <c r="EI6" s="145" t="s">
        <v>254</v>
      </c>
      <c r="EJ6" s="145" t="s">
        <v>255</v>
      </c>
      <c r="EK6" s="145" t="s">
        <v>256</v>
      </c>
      <c r="EL6" s="145" t="s">
        <v>257</v>
      </c>
      <c r="EM6" s="145" t="s">
        <v>258</v>
      </c>
      <c r="EN6" s="426" t="s">
        <v>259</v>
      </c>
      <c r="EQ6" s="426" t="s">
        <v>252</v>
      </c>
      <c r="ER6" s="145" t="s">
        <v>253</v>
      </c>
      <c r="ES6" s="145" t="s">
        <v>254</v>
      </c>
      <c r="ET6" s="145" t="s">
        <v>255</v>
      </c>
      <c r="EU6" s="145" t="s">
        <v>256</v>
      </c>
      <c r="EV6" s="145" t="s">
        <v>257</v>
      </c>
      <c r="EW6" s="145" t="s">
        <v>258</v>
      </c>
      <c r="EX6" s="426" t="s">
        <v>259</v>
      </c>
      <c r="EZ6" s="110" t="s">
        <v>296</v>
      </c>
      <c r="FA6" s="280">
        <f>Products!D28/1000000</f>
        <v>29.001775326600001</v>
      </c>
      <c r="FB6" s="280">
        <f>Products!E28/1000000</f>
        <v>52.847659292196688</v>
      </c>
      <c r="FC6" s="280">
        <f>Products!F28/1000000</f>
        <v>78.350071558112617</v>
      </c>
      <c r="FD6" s="280">
        <f>Products!G28/1000000</f>
        <v>129.16160192583527</v>
      </c>
      <c r="FE6" s="280">
        <f>Products!H28/1000000</f>
        <v>192.328325604599</v>
      </c>
      <c r="FF6" s="280">
        <f>Products!I28/1000000</f>
        <v>255.83744494557232</v>
      </c>
      <c r="FG6" s="280">
        <f>Products!J28/1000000</f>
        <v>327.75126358684844</v>
      </c>
      <c r="FH6" s="280">
        <f>Products!K28/1000000</f>
        <v>416.11905636776686</v>
      </c>
      <c r="FJ6" s="353" t="s">
        <v>607</v>
      </c>
      <c r="FK6" s="354"/>
      <c r="FL6" s="354"/>
      <c r="FM6" s="354"/>
      <c r="FN6" s="354"/>
      <c r="FO6" s="354"/>
      <c r="FP6" s="354"/>
      <c r="FQ6" s="354"/>
      <c r="FR6" s="354"/>
      <c r="FT6" s="353" t="s">
        <v>608</v>
      </c>
      <c r="FU6" s="354"/>
      <c r="FV6" s="354"/>
      <c r="FW6" s="354"/>
      <c r="FX6" s="354"/>
      <c r="FY6" s="354"/>
      <c r="FZ6" s="354"/>
      <c r="GA6" s="354"/>
      <c r="GB6" s="354"/>
      <c r="GD6" s="353" t="s">
        <v>313</v>
      </c>
      <c r="GE6" s="354"/>
      <c r="GF6" s="354"/>
      <c r="GG6" s="354"/>
      <c r="GH6" s="354"/>
      <c r="GI6" s="354"/>
      <c r="GJ6" s="354"/>
      <c r="GK6" s="354"/>
      <c r="GL6" s="354"/>
      <c r="GN6" s="353" t="s">
        <v>308</v>
      </c>
      <c r="GO6" s="354"/>
      <c r="GP6" s="354"/>
      <c r="GQ6" s="354"/>
      <c r="GR6" s="354"/>
      <c r="GS6" s="354"/>
      <c r="GT6" s="354"/>
      <c r="GU6" s="354"/>
      <c r="GV6" s="354"/>
      <c r="GY6" s="426" t="s">
        <v>252</v>
      </c>
      <c r="GZ6" s="145" t="s">
        <v>253</v>
      </c>
      <c r="HA6" s="145" t="s">
        <v>254</v>
      </c>
      <c r="HB6" s="145" t="s">
        <v>255</v>
      </c>
      <c r="HC6" s="145" t="s">
        <v>256</v>
      </c>
      <c r="HD6" s="145" t="s">
        <v>257</v>
      </c>
      <c r="HE6" s="145" t="s">
        <v>258</v>
      </c>
      <c r="HF6" s="426" t="s">
        <v>259</v>
      </c>
    </row>
    <row r="7" spans="2:214" ht="15" customHeight="1" x14ac:dyDescent="0.25">
      <c r="M7" s="110" t="s">
        <v>262</v>
      </c>
      <c r="N7" s="136">
        <f>Forecast!D29/1000000</f>
        <v>19.713699999999999</v>
      </c>
      <c r="O7" s="136">
        <f>Forecast!E29/1000000</f>
        <v>40.419919999999998</v>
      </c>
      <c r="P7" s="136">
        <f>Forecast!F29/1000000</f>
        <v>64.239584309999998</v>
      </c>
      <c r="Q7" s="136">
        <f>Forecast!G29/1000000</f>
        <v>99.185125011610253</v>
      </c>
      <c r="R7" s="136">
        <f>Forecast!H29/1000000</f>
        <v>163.82451622970058</v>
      </c>
      <c r="S7" s="136">
        <f>Forecast!I29/1000000</f>
        <v>252.22403336129938</v>
      </c>
      <c r="T7" s="136">
        <f>Forecast!J29/1000000</f>
        <v>379.68910671435435</v>
      </c>
      <c r="U7" s="111">
        <f>Forecast!K29/1000000</f>
        <v>562.73009916697242</v>
      </c>
      <c r="W7" s="431" t="s">
        <v>218</v>
      </c>
      <c r="X7" s="141"/>
      <c r="Y7" s="126">
        <f t="shared" ref="Y7:AE7" si="0">Y6/X6-1</f>
        <v>0.46678569327373309</v>
      </c>
      <c r="Z7" s="126">
        <f t="shared" si="0"/>
        <v>0.16603070156084487</v>
      </c>
      <c r="AA7" s="126">
        <f t="shared" si="0"/>
        <v>0.97675785309607877</v>
      </c>
      <c r="AB7" s="126">
        <f t="shared" si="0"/>
        <v>0.368636494265971</v>
      </c>
      <c r="AC7" s="126">
        <f t="shared" si="0"/>
        <v>0.47500000000000009</v>
      </c>
      <c r="AD7" s="126">
        <f t="shared" si="0"/>
        <v>0.45000000000000018</v>
      </c>
      <c r="AE7" s="131">
        <f t="shared" si="0"/>
        <v>0.42500000000000004</v>
      </c>
      <c r="AG7" s="104" t="s">
        <v>22</v>
      </c>
      <c r="AH7" s="125">
        <f>Forecast!D13/1000000</f>
        <v>-1.45374541</v>
      </c>
      <c r="AI7" s="125">
        <f>Forecast!E13/1000000</f>
        <v>-2.9289889899999997</v>
      </c>
      <c r="AJ7" s="125">
        <f>Forecast!F13/1000000</f>
        <v>-5.7257791366670006</v>
      </c>
      <c r="AK7" s="125">
        <f>Forecast!G13/1000000</f>
        <v>-6.6648313625129996</v>
      </c>
      <c r="AL7" s="125">
        <f>Forecast!H13/1000000</f>
        <v>-11.142369217191266</v>
      </c>
      <c r="AM7" s="125">
        <f>Forecast!I13/1000000</f>
        <v>-17.374667396143003</v>
      </c>
      <c r="AN7" s="125">
        <f>Forecast!J13/1000000</f>
        <v>-25.251532722100112</v>
      </c>
      <c r="AO7" s="130">
        <f>Forecast!K13/1000000</f>
        <v>-36.014778168719644</v>
      </c>
      <c r="AQ7" s="431" t="s">
        <v>281</v>
      </c>
      <c r="AR7" s="155">
        <f t="shared" ref="AR7:AY7" si="1">AR6/AR$37</f>
        <v>1.0444950784641067</v>
      </c>
      <c r="AS7" s="155">
        <f t="shared" si="1"/>
        <v>0.74399137560665995</v>
      </c>
      <c r="AT7" s="155">
        <f t="shared" si="1"/>
        <v>0.57288350187533776</v>
      </c>
      <c r="AU7" s="155">
        <f t="shared" si="1"/>
        <v>0.64692126860829924</v>
      </c>
      <c r="AV7" s="155">
        <f t="shared" si="1"/>
        <v>0.50134095476407181</v>
      </c>
      <c r="AW7" s="155">
        <f t="shared" si="1"/>
        <v>0.45300788700748063</v>
      </c>
      <c r="AX7" s="155">
        <f t="shared" si="1"/>
        <v>0.40174594999996388</v>
      </c>
      <c r="AY7" s="156">
        <f t="shared" si="1"/>
        <v>0.36177135474387601</v>
      </c>
      <c r="BA7" s="104" t="s">
        <v>294</v>
      </c>
      <c r="BB7" s="125">
        <f>(Forecast!D68-Forecast!D63-Forecast!D67)/1000000</f>
        <v>-20.263763155432546</v>
      </c>
      <c r="BC7" s="125">
        <f>(Forecast!E68-Forecast!E63-Forecast!E67)/1000000</f>
        <v>-36.560344304567451</v>
      </c>
      <c r="BD7" s="125">
        <f>(Forecast!F68-Forecast!F63-Forecast!F67)/1000000</f>
        <v>-33.5175568263044</v>
      </c>
      <c r="BE7" s="125">
        <f>(Forecast!G68-Forecast!G63-Forecast!G67)/1000000</f>
        <v>-54.289350294909717</v>
      </c>
      <c r="BF7" s="125">
        <f>(Forecast!H68-Forecast!H63-Forecast!H67)/1000000</f>
        <v>-58.437778314945163</v>
      </c>
      <c r="BG7" s="125">
        <f>(Forecast!I68-Forecast!I63-Forecast!I67)/1000000</f>
        <v>-51.514231649716677</v>
      </c>
      <c r="BH7" s="125">
        <f>(Forecast!J68-Forecast!J63-Forecast!J67)/1000000</f>
        <v>-19.894850976725159</v>
      </c>
      <c r="BI7" s="130">
        <f>(Forecast!K68-Forecast!K63-Forecast!K67)/1000000</f>
        <v>48.794069011153638</v>
      </c>
      <c r="BJ7" s="134"/>
      <c r="BK7" s="163" t="s">
        <v>0</v>
      </c>
      <c r="BL7" s="427">
        <f>Forecast!D29/1000000</f>
        <v>19.713699999999999</v>
      </c>
      <c r="BM7" s="427">
        <f>Forecast!E29/1000000</f>
        <v>40.419919999999998</v>
      </c>
      <c r="BN7" s="427">
        <f>Forecast!F29/1000000</f>
        <v>64.239584309999998</v>
      </c>
      <c r="BO7" s="427">
        <f>Forecast!G29/1000000</f>
        <v>99.185125011610253</v>
      </c>
      <c r="BP7" s="427">
        <f>Forecast!H29/1000000</f>
        <v>163.82451622970058</v>
      </c>
      <c r="BQ7" s="427">
        <f>Forecast!I29/1000000</f>
        <v>252.22403336129938</v>
      </c>
      <c r="BR7" s="427">
        <f>Forecast!J29/1000000</f>
        <v>379.68910671435435</v>
      </c>
      <c r="BS7" s="427">
        <f>Forecast!K29/1000000</f>
        <v>562.73009916697242</v>
      </c>
      <c r="BV7" s="104" t="s">
        <v>573</v>
      </c>
      <c r="BW7" s="280">
        <f>Forecast!D43/1000000</f>
        <v>21.897839319999999</v>
      </c>
      <c r="BX7" s="280">
        <f>Forecast!E43/1000000</f>
        <v>35.972484089999988</v>
      </c>
      <c r="BY7" s="280">
        <f>Forecast!F43/1000000</f>
        <v>41.965414965999997</v>
      </c>
      <c r="BZ7" s="280">
        <f>Forecast!G43/1000000</f>
        <v>78.131728179255489</v>
      </c>
      <c r="CA7" s="280">
        <f>Forecast!H43/1000000</f>
        <v>107.49991829485127</v>
      </c>
      <c r="CB7" s="280">
        <f>Forecast!I43/1000000</f>
        <v>152.74498691895647</v>
      </c>
      <c r="CC7" s="280">
        <f>Forecast!J43/1000000</f>
        <v>205.76416863084327</v>
      </c>
      <c r="CD7" s="280">
        <f>Forecast!K43/1000000</f>
        <v>272.85145368555015</v>
      </c>
      <c r="CG7" s="163" t="s">
        <v>11</v>
      </c>
      <c r="CH7" s="106">
        <f>Expenses!D155</f>
        <v>22</v>
      </c>
      <c r="CI7" s="106">
        <f>Expenses!E155</f>
        <v>26</v>
      </c>
      <c r="CJ7" s="106">
        <f>Expenses!F155</f>
        <v>31</v>
      </c>
      <c r="CK7" s="106">
        <f>Expenses!G155</f>
        <v>52</v>
      </c>
      <c r="CL7" s="106">
        <f>Expenses!H155</f>
        <v>53.05053829989459</v>
      </c>
      <c r="CM7" s="106">
        <f>Expenses!I155</f>
        <v>85.033227773431349</v>
      </c>
      <c r="CN7" s="106">
        <f>Expenses!J155</f>
        <v>92.09629342113891</v>
      </c>
      <c r="CO7" s="106">
        <f>Expenses!K155</f>
        <v>125.17845934273734</v>
      </c>
      <c r="CR7" s="104" t="s">
        <v>24</v>
      </c>
      <c r="CS7" s="280">
        <f>ARR!D12/1000000</f>
        <v>9.6415026300000051</v>
      </c>
      <c r="CT7" s="280">
        <f>ARR!E12/1000000</f>
        <v>17.564589410915005</v>
      </c>
      <c r="CU7" s="280">
        <f>ARR!F12/1000000</f>
        <v>25.508107217652007</v>
      </c>
      <c r="CV7" s="280">
        <f>ARR!G12/1000000</f>
        <v>41.315676316121291</v>
      </c>
      <c r="CW7" s="280">
        <f>ARR!H12/1000000</f>
        <v>60.381079580205387</v>
      </c>
      <c r="CX7" s="280">
        <f>ARR!I12/1000000</f>
        <v>85.265073706972075</v>
      </c>
      <c r="CY7" s="280">
        <f>ARR!J12/1000000</f>
        <v>117.92430152658937</v>
      </c>
      <c r="CZ7" s="280">
        <f>ARR!K12/1000000</f>
        <v>159.63117334786244</v>
      </c>
      <c r="DB7" s="104" t="s">
        <v>24</v>
      </c>
      <c r="DC7" s="280">
        <f>ARR!D23/1000000</f>
        <v>10.555668359999995</v>
      </c>
      <c r="DD7" s="280">
        <f>ARR!E23/1000000</f>
        <v>18.674405869999998</v>
      </c>
      <c r="DE7" s="280">
        <f>ARR!F23/1000000</f>
        <v>28.887778617401001</v>
      </c>
      <c r="DF7" s="280">
        <f>ARR!G23/1000000</f>
        <v>49.340041186968769</v>
      </c>
      <c r="DG7" s="280">
        <f>ARR!H23/1000000</f>
        <v>74.827910679417258</v>
      </c>
      <c r="DH7" s="280">
        <f>ARR!I23/1000000</f>
        <v>109.83317949558162</v>
      </c>
      <c r="DI7" s="280">
        <f>ARR!J23/1000000</f>
        <v>156.96785602864961</v>
      </c>
      <c r="DJ7" s="280">
        <f>ARR!K23/1000000</f>
        <v>219.08198750791453</v>
      </c>
      <c r="DL7" s="104" t="s">
        <v>24</v>
      </c>
      <c r="DM7" s="280">
        <f>ARR!D34/1000000</f>
        <v>10.865249159999994</v>
      </c>
      <c r="DN7" s="280">
        <f>ARR!E34/1000000</f>
        <v>19.631243769999998</v>
      </c>
      <c r="DO7" s="280">
        <f>ARR!F34/1000000</f>
        <v>28.090543643296996</v>
      </c>
      <c r="DP7" s="280">
        <f>ARR!G34/1000000</f>
        <v>49.098122933179937</v>
      </c>
      <c r="DQ7" s="280">
        <f>ARR!H34/1000000</f>
        <v>80.902480959456057</v>
      </c>
      <c r="DR7" s="280">
        <f>ARR!I34/1000000</f>
        <v>132.70105062038198</v>
      </c>
      <c r="DS7" s="280">
        <f>ARR!J34/1000000</f>
        <v>214.79623854559654</v>
      </c>
      <c r="DT7" s="280">
        <f>ARR!K34/1000000</f>
        <v>341.63584770133883</v>
      </c>
      <c r="DV7" s="104" t="s">
        <v>24</v>
      </c>
      <c r="DW7" s="280">
        <f>ARR!D45/1000000</f>
        <v>31.062420149999994</v>
      </c>
      <c r="DX7" s="280">
        <f>ARR!E45/1000000</f>
        <v>55.870239050914996</v>
      </c>
      <c r="DY7" s="280">
        <f>ARR!F45/1000000</f>
        <v>82.486429478350004</v>
      </c>
      <c r="DZ7" s="280">
        <f>ARR!G45/1000000</f>
        <v>139.75384043627</v>
      </c>
      <c r="EA7" s="280">
        <f>ARR!H45/1000000</f>
        <v>216.11147121907871</v>
      </c>
      <c r="EB7" s="280">
        <f>ARR!I45/1000000</f>
        <v>327.79930382293566</v>
      </c>
      <c r="EC7" s="280">
        <f>ARR!J45/1000000</f>
        <v>489.68839610083546</v>
      </c>
      <c r="ED7" s="280">
        <f>ARR!K45/1000000</f>
        <v>720.34900855711589</v>
      </c>
      <c r="EF7" s="108" t="s">
        <v>42</v>
      </c>
      <c r="EP7" s="108" t="s">
        <v>14</v>
      </c>
      <c r="EZ7" s="110" t="s">
        <v>298</v>
      </c>
      <c r="FA7" s="320">
        <f>Products!D29/1000000</f>
        <v>0.62124840299999995</v>
      </c>
      <c r="FB7" s="320">
        <f>Products!E29/1000000</f>
        <v>1.1174047810182997</v>
      </c>
      <c r="FC7" s="320">
        <f>Products!F29/1000000</f>
        <v>1.649728589567</v>
      </c>
      <c r="FD7" s="320">
        <f>Products!G29/1000000</f>
        <v>3.4332811930988569</v>
      </c>
      <c r="FE7" s="320">
        <f>Products!H29/1000000</f>
        <v>7.0955155774900982</v>
      </c>
      <c r="FF7" s="320">
        <f>Products!I29/1000000</f>
        <v>22.823432003468117</v>
      </c>
      <c r="FG7" s="320">
        <f>Products!J29/1000000</f>
        <v>45.569208615087675</v>
      </c>
      <c r="FH7" s="320">
        <f>Products!K29/1000000</f>
        <v>76.940163900478964</v>
      </c>
      <c r="FJ7" s="110" t="s">
        <v>296</v>
      </c>
      <c r="FK7" s="355"/>
      <c r="FL7" s="355"/>
      <c r="FM7" s="280">
        <f>SUM(Products!F100+Products!F106)/1000000</f>
        <v>10.52602095285595</v>
      </c>
      <c r="FN7" s="280">
        <f>SUM(Products!G100+Products!G106)/1000000</f>
        <v>18.117674499750336</v>
      </c>
      <c r="FO7" s="280">
        <f>SUM(Products!H100+Products!H106)/1000000</f>
        <v>22.281704861163274</v>
      </c>
      <c r="FP7" s="280">
        <f>SUM(Products!I100+Products!I106)/1000000</f>
        <v>27.195405639622678</v>
      </c>
      <c r="FQ7" s="280">
        <f>SUM(Products!J100+Products!J106)/1000000</f>
        <v>35.488159772947313</v>
      </c>
      <c r="FR7" s="280">
        <f>SUM(Products!K100+Products!K106)/1000000</f>
        <v>46.326414243229394</v>
      </c>
      <c r="FT7" s="110" t="s">
        <v>296</v>
      </c>
      <c r="FU7" s="356"/>
      <c r="FV7" s="356"/>
      <c r="FW7" s="280">
        <f>SUM(Products!F174,Products!F180)/1000000</f>
        <v>11.081124983030948</v>
      </c>
      <c r="FX7" s="280">
        <f>SUM(Products!G174,Products!G180)/1000000</f>
        <v>19.800659939975098</v>
      </c>
      <c r="FY7" s="280">
        <f>SUM(Products!H174,Products!H180)/1000000</f>
        <v>23.803917587986557</v>
      </c>
      <c r="FZ7" s="280">
        <f>SUM(Products!I174,Products!I180)/1000000</f>
        <v>23.266096927027331</v>
      </c>
      <c r="GA7" s="280">
        <f>SUM(Products!J174,Products!J180)/1000000</f>
        <v>28.834446483740056</v>
      </c>
      <c r="GB7" s="280">
        <f>SUM(Products!K174,Products!K180)/1000000</f>
        <v>38.300091645064057</v>
      </c>
      <c r="GD7" s="110" t="s">
        <v>296</v>
      </c>
      <c r="GE7" s="356"/>
      <c r="GF7" s="356"/>
      <c r="GG7" s="280">
        <f>SUM(Products!F248,Products!F254)/1000000</f>
        <v>9.3347565098626983</v>
      </c>
      <c r="GH7" s="280">
        <f>SUM(Products!G248,Products!G254)/1000000</f>
        <v>19.309384238835435</v>
      </c>
      <c r="GI7" s="280">
        <f>SUM(Products!H248,Products!H254)/1000000</f>
        <v>27.530648656699501</v>
      </c>
      <c r="GJ7" s="280">
        <f>SUM(Products!I248,Products!I254)/1000000</f>
        <v>28.820927677430593</v>
      </c>
      <c r="GK7" s="280">
        <f>SUM(Products!J248,Products!J254)/1000000</f>
        <v>28.224123123874847</v>
      </c>
      <c r="GL7" s="280">
        <f>SUM(Products!K248,Products!K254)/1000000</f>
        <v>30.142332177302531</v>
      </c>
      <c r="GN7" s="110" t="s">
        <v>296</v>
      </c>
      <c r="GO7" s="356"/>
      <c r="GP7" s="356"/>
      <c r="GQ7" s="280">
        <f t="shared" ref="GQ7:GV10" si="2">GG7+FW7+FM7</f>
        <v>30.941902445749598</v>
      </c>
      <c r="GR7" s="280">
        <f t="shared" si="2"/>
        <v>57.227718678560869</v>
      </c>
      <c r="GS7" s="280">
        <f t="shared" si="2"/>
        <v>73.616271105849336</v>
      </c>
      <c r="GT7" s="280">
        <f t="shared" si="2"/>
        <v>79.282430244080601</v>
      </c>
      <c r="GU7" s="280">
        <f t="shared" si="2"/>
        <v>92.546729380562212</v>
      </c>
      <c r="GV7" s="280">
        <f t="shared" si="2"/>
        <v>114.76883806559599</v>
      </c>
    </row>
    <row r="8" spans="2:214" ht="15" customHeight="1" x14ac:dyDescent="0.25">
      <c r="M8" s="110" t="s">
        <v>1</v>
      </c>
      <c r="N8" s="136">
        <f>Forecast!D30/1000000</f>
        <v>1.217695</v>
      </c>
      <c r="O8" s="136">
        <f>Forecast!E30/1000000</f>
        <v>2.6800760000000001</v>
      </c>
      <c r="P8" s="136">
        <f>Forecast!F30/1000000</f>
        <v>3.5396070000000002</v>
      </c>
      <c r="Q8" s="136">
        <f>Forecast!G30/1000000</f>
        <v>5.6348188723765453</v>
      </c>
      <c r="R8" s="136">
        <f>Forecast!H30/1000000</f>
        <v>11.8125</v>
      </c>
      <c r="S8" s="136">
        <f>Forecast!I30/1000000</f>
        <v>17.423437500000002</v>
      </c>
      <c r="T8" s="136">
        <f>Forecast!J30/1000000</f>
        <v>25.263984375000003</v>
      </c>
      <c r="U8" s="111">
        <f>Forecast!K30/1000000</f>
        <v>36.001177734374998</v>
      </c>
      <c r="X8" s="124"/>
      <c r="Y8" s="124"/>
      <c r="Z8" s="124"/>
      <c r="AA8" s="124"/>
      <c r="AB8" s="124"/>
      <c r="AC8" s="124"/>
      <c r="AD8" s="124"/>
      <c r="AE8" s="129"/>
      <c r="AG8" s="431" t="s">
        <v>192</v>
      </c>
      <c r="AH8" s="146">
        <f t="shared" ref="AH8:AO8" si="3">AH7/AH6</f>
        <v>-0.10684402025986278</v>
      </c>
      <c r="AI8" s="147">
        <f t="shared" si="3"/>
        <v>-9.4816088159992207E-2</v>
      </c>
      <c r="AJ8" s="147">
        <f t="shared" si="3"/>
        <v>-0.1026046272484539</v>
      </c>
      <c r="AK8" s="147">
        <f t="shared" si="3"/>
        <v>-8.0799123753495627E-2</v>
      </c>
      <c r="AL8" s="147">
        <f t="shared" si="3"/>
        <v>-7.972853586809113E-2</v>
      </c>
      <c r="AM8" s="147">
        <f t="shared" si="3"/>
        <v>-8.0396783936169031E-2</v>
      </c>
      <c r="AN8" s="147">
        <f t="shared" si="3"/>
        <v>-7.703351500439809E-2</v>
      </c>
      <c r="AO8" s="148">
        <f t="shared" si="3"/>
        <v>-7.3546317063805919E-2</v>
      </c>
      <c r="AQ8" s="431" t="s">
        <v>288</v>
      </c>
      <c r="AR8" s="155">
        <v>0.33</v>
      </c>
      <c r="AS8" s="155">
        <v>0.33</v>
      </c>
      <c r="AT8" s="155">
        <v>0.33</v>
      </c>
      <c r="AU8" s="155">
        <v>0.33</v>
      </c>
      <c r="AV8" s="155">
        <v>0.33</v>
      </c>
      <c r="AW8" s="155">
        <v>0.33</v>
      </c>
      <c r="AX8" s="155">
        <v>0.33</v>
      </c>
      <c r="AY8" s="156">
        <v>0.33</v>
      </c>
      <c r="BA8" s="104" t="s">
        <v>293</v>
      </c>
      <c r="BB8" s="125">
        <f>Forecast!D68/1000000</f>
        <v>63.401484154567456</v>
      </c>
      <c r="BC8" s="125">
        <f>Forecast!E68/1000000</f>
        <v>127.948489</v>
      </c>
      <c r="BD8" s="125">
        <f>Forecast!F68/1000000</f>
        <v>96.304544183695597</v>
      </c>
      <c r="BE8" s="125">
        <f>Forecast!G68/1000000</f>
        <v>194.03577630878584</v>
      </c>
      <c r="BF8" s="125">
        <f>Forecast!H68/1000000</f>
        <v>135.59799799384064</v>
      </c>
      <c r="BG8" s="125">
        <f>Forecast!I68/1000000</f>
        <v>84.083766344123958</v>
      </c>
      <c r="BH8" s="125">
        <f>Forecast!J68/1000000</f>
        <v>64.188915367398792</v>
      </c>
      <c r="BI8" s="130">
        <f>Forecast!K68/1000000</f>
        <v>112.98298437855243</v>
      </c>
      <c r="BJ8" s="134"/>
      <c r="BK8" s="163" t="s">
        <v>1</v>
      </c>
      <c r="BL8" s="427">
        <f>Forecast!D30/1000000</f>
        <v>1.217695</v>
      </c>
      <c r="BM8" s="427">
        <f>Forecast!E30/1000000</f>
        <v>2.6800760000000001</v>
      </c>
      <c r="BN8" s="427">
        <f>Forecast!F30/1000000</f>
        <v>3.5396070000000002</v>
      </c>
      <c r="BO8" s="427">
        <f>Forecast!G30/1000000</f>
        <v>5.6348188723765453</v>
      </c>
      <c r="BP8" s="427">
        <f>Forecast!H30/1000000</f>
        <v>11.8125</v>
      </c>
      <c r="BQ8" s="427">
        <f>Forecast!I30/1000000</f>
        <v>17.423437500000002</v>
      </c>
      <c r="BR8" s="427">
        <f>Forecast!J30/1000000</f>
        <v>25.263984375000003</v>
      </c>
      <c r="BS8" s="427">
        <f>Forecast!K30/1000000</f>
        <v>36.001177734374998</v>
      </c>
      <c r="BV8" s="104" t="s">
        <v>571</v>
      </c>
      <c r="BW8" s="280">
        <f>SUM(Forecast!D11:D12)/1000000</f>
        <v>18.909925299999998</v>
      </c>
      <c r="BX8" s="280">
        <f>SUM(Forecast!E11:E12)/1000000</f>
        <v>27.736807890915003</v>
      </c>
      <c r="BY8" s="280">
        <f>SUM(Forecast!F11:F12)/1000000</f>
        <v>32.341969564102001</v>
      </c>
      <c r="BZ8" s="280">
        <f>SUM(Forecast!G11:G12)/1000000</f>
        <v>63.932242320432998</v>
      </c>
      <c r="CA8" s="280">
        <f>SUM(Forecast!H11:H12)/1000000</f>
        <v>87.499999999999972</v>
      </c>
      <c r="CB8" s="280">
        <f>SUM(Forecast!I11:I12)/1000000</f>
        <v>129.06249999999997</v>
      </c>
      <c r="CC8" s="280">
        <f>SUM(Forecast!J11:J12)/1000000</f>
        <v>187.14062499999997</v>
      </c>
      <c r="CD8" s="280">
        <f>SUM(Forecast!K11:K12)/1000000</f>
        <v>266.67539062499998</v>
      </c>
      <c r="CG8" s="163" t="s">
        <v>10</v>
      </c>
      <c r="CH8" s="106">
        <f>Expenses!D156</f>
        <v>93</v>
      </c>
      <c r="CI8" s="106">
        <f>Expenses!E156</f>
        <v>134</v>
      </c>
      <c r="CJ8" s="106">
        <f>Expenses!F156</f>
        <v>137</v>
      </c>
      <c r="CK8" s="106">
        <f>Expenses!G156</f>
        <v>285</v>
      </c>
      <c r="CL8" s="106">
        <f>Expenses!H156</f>
        <v>325.5988731894563</v>
      </c>
      <c r="CM8" s="106">
        <f>Expenses!I156</f>
        <v>483.73200381586048</v>
      </c>
      <c r="CN8" s="106">
        <f>Expenses!J156</f>
        <v>548.92771621454301</v>
      </c>
      <c r="CO8" s="106">
        <f>Expenses!K156</f>
        <v>722.25914965054039</v>
      </c>
      <c r="CR8" s="316" t="s">
        <v>218</v>
      </c>
      <c r="CS8" s="430"/>
      <c r="CT8" s="429">
        <f t="shared" ref="CT8:CZ8" si="4">CT7/CS7-1</f>
        <v>0.82176887617723926</v>
      </c>
      <c r="CU8" s="429">
        <f t="shared" si="4"/>
        <v>0.4522461425600266</v>
      </c>
      <c r="CV8" s="429">
        <f t="shared" si="4"/>
        <v>0.61970764681160651</v>
      </c>
      <c r="CW8" s="429">
        <f t="shared" si="4"/>
        <v>0.46145688426368126</v>
      </c>
      <c r="CX8" s="429">
        <f t="shared" si="4"/>
        <v>0.41211575380517629</v>
      </c>
      <c r="CY8" s="429">
        <f t="shared" si="4"/>
        <v>0.3830317197854809</v>
      </c>
      <c r="CZ8" s="429">
        <f t="shared" si="4"/>
        <v>0.35367495318061359</v>
      </c>
      <c r="DB8" s="316" t="s">
        <v>218</v>
      </c>
      <c r="DC8" s="430"/>
      <c r="DD8" s="429">
        <f t="shared" ref="DD8:DJ8" si="5">DD7/DC7-1</f>
        <v>0.76913533403203727</v>
      </c>
      <c r="DE8" s="429">
        <f t="shared" si="5"/>
        <v>0.54691821622065895</v>
      </c>
      <c r="DF8" s="429">
        <f t="shared" si="5"/>
        <v>0.70799014491367052</v>
      </c>
      <c r="DG8" s="429">
        <f t="shared" si="5"/>
        <v>0.51657576441545627</v>
      </c>
      <c r="DH8" s="429">
        <f t="shared" si="5"/>
        <v>0.46781031968320308</v>
      </c>
      <c r="DI8" s="429">
        <f t="shared" si="5"/>
        <v>0.42914788363168643</v>
      </c>
      <c r="DJ8" s="429">
        <f t="shared" si="5"/>
        <v>0.39571242833263853</v>
      </c>
      <c r="DL8" s="316" t="s">
        <v>218</v>
      </c>
      <c r="DM8" s="430"/>
      <c r="DN8" s="429">
        <f t="shared" ref="DN8:DT8" si="6">DN7/DM7-1</f>
        <v>0.80679186283842275</v>
      </c>
      <c r="DO8" s="429">
        <f t="shared" si="6"/>
        <v>0.43091003160096775</v>
      </c>
      <c r="DP8" s="429">
        <f t="shared" si="6"/>
        <v>0.74785235759920221</v>
      </c>
      <c r="DQ8" s="429">
        <f t="shared" si="6"/>
        <v>0.6477713632669877</v>
      </c>
      <c r="DR8" s="429">
        <f t="shared" si="6"/>
        <v>0.64025934738496537</v>
      </c>
      <c r="DS8" s="429">
        <f t="shared" si="6"/>
        <v>0.61864761086228581</v>
      </c>
      <c r="DT8" s="429">
        <f t="shared" si="6"/>
        <v>0.5905113144186509</v>
      </c>
      <c r="DV8" s="316" t="s">
        <v>218</v>
      </c>
      <c r="DW8" s="430"/>
      <c r="DX8" s="429">
        <f t="shared" ref="DX8:ED8" si="7">DX7/DW7-1</f>
        <v>0.79864411018582548</v>
      </c>
      <c r="DY8" s="429">
        <f t="shared" si="7"/>
        <v>0.47639299347152364</v>
      </c>
      <c r="DZ8" s="429">
        <f t="shared" si="7"/>
        <v>0.69426463625693513</v>
      </c>
      <c r="EA8" s="429">
        <f t="shared" si="7"/>
        <v>0.54637232540045311</v>
      </c>
      <c r="EB8" s="429">
        <f t="shared" si="7"/>
        <v>0.51680659047772437</v>
      </c>
      <c r="EC8" s="429">
        <f t="shared" si="7"/>
        <v>0.4938664920574265</v>
      </c>
      <c r="ED8" s="429">
        <f t="shared" si="7"/>
        <v>0.47103548765485415</v>
      </c>
      <c r="EF8" s="110" t="s">
        <v>349</v>
      </c>
      <c r="EG8" s="280">
        <f>Expenses!D97/1000000</f>
        <v>1.6241851500000002</v>
      </c>
      <c r="EH8" s="280">
        <f>Expenses!E97/1000000</f>
        <v>3.2408335899999994</v>
      </c>
      <c r="EI8" s="280">
        <f>Expenses!F97/1000000</f>
        <v>4.2114241300000002</v>
      </c>
      <c r="EJ8" s="280">
        <f>Expenses!G97/1000000</f>
        <v>8.4589509077870684</v>
      </c>
      <c r="EK8" s="280">
        <f>Expenses!H97/1000000</f>
        <v>13.431189309345891</v>
      </c>
      <c r="EL8" s="280">
        <f>Expenses!I97/1000000</f>
        <v>18.967873906423115</v>
      </c>
      <c r="EM8" s="280">
        <f>Expenses!J97/1000000</f>
        <v>25.430271395053534</v>
      </c>
      <c r="EN8" s="280">
        <f>Expenses!K97/1000000</f>
        <v>33.054002975255592</v>
      </c>
      <c r="EP8" s="110" t="s">
        <v>349</v>
      </c>
      <c r="EQ8" s="280">
        <f>Expenses!D123/1000000</f>
        <v>2.0494940499999998</v>
      </c>
      <c r="ER8" s="280">
        <f>Expenses!E123/1000000</f>
        <v>3.20241921</v>
      </c>
      <c r="ES8" s="280">
        <f>Expenses!F123/1000000</f>
        <v>4.1408880099999994</v>
      </c>
      <c r="ET8" s="280">
        <f>Expenses!G123/1000000</f>
        <v>9.4393581352685487</v>
      </c>
      <c r="EU8" s="280">
        <f>Expenses!H123/1000000</f>
        <v>14.631479231364247</v>
      </c>
      <c r="EV8" s="280">
        <f>Expenses!I123/1000000</f>
        <v>18.872487539129789</v>
      </c>
      <c r="EW8" s="280">
        <f>Expenses!J123/1000000</f>
        <v>24.929007472100945</v>
      </c>
      <c r="EX8" s="280">
        <f>Expenses!K123/1000000</f>
        <v>32.40246532773029</v>
      </c>
      <c r="EZ8" s="110" t="s">
        <v>299</v>
      </c>
      <c r="FA8" s="320">
        <f>Products!D30/1000000</f>
        <v>0.24993333579999993</v>
      </c>
      <c r="FB8" s="320">
        <f>Products!E30/1000000</f>
        <v>0.4051928548999999</v>
      </c>
      <c r="FC8" s="320">
        <f>Products!F30/1000000</f>
        <v>0.67135475917434995</v>
      </c>
      <c r="FD8" s="320">
        <f>Products!G30/1000000</f>
        <v>2.956096503163598</v>
      </c>
      <c r="FE8" s="320">
        <f>Products!H30/1000000</f>
        <v>9.4054094502819972</v>
      </c>
      <c r="FF8" s="320">
        <f>Products!I30/1000000</f>
        <v>37.248397729794789</v>
      </c>
      <c r="FG8" s="320">
        <f>Products!J30/1000000</f>
        <v>97.668243387089433</v>
      </c>
      <c r="FH8" s="320">
        <f>Products!K30/1000000</f>
        <v>198.6769065423386</v>
      </c>
      <c r="FJ8" s="110" t="s">
        <v>298</v>
      </c>
      <c r="FK8" s="355"/>
      <c r="FL8" s="355"/>
      <c r="FM8" s="320">
        <f>SUM(Products!F101+Products!F107)/1000000</f>
        <v>0.21703135985269997</v>
      </c>
      <c r="FN8" s="320">
        <f>SUM(Products!G101+Products!G107)/1000000</f>
        <v>0.5721370894658</v>
      </c>
      <c r="FO8" s="320">
        <f>SUM(Products!H101+Products!H107)/1000000</f>
        <v>1.0958215505490132</v>
      </c>
      <c r="FP8" s="320">
        <f>SUM(Products!I101+Products!I107)/1000000</f>
        <v>4.3338548848394067</v>
      </c>
      <c r="FQ8" s="320">
        <f>SUM(Products!J101+Products!J107)/1000000</f>
        <v>6.6894507207890079</v>
      </c>
      <c r="FR8" s="320">
        <f>SUM(Products!K101+Products!K107)/1000000</f>
        <v>8.732441105249336</v>
      </c>
      <c r="FT8" s="110" t="s">
        <v>298</v>
      </c>
      <c r="FU8" s="357"/>
      <c r="FV8" s="357"/>
      <c r="FW8" s="320">
        <f>SUM(Products!F175,Products!F181)/1000000</f>
        <v>0.23328684174802003</v>
      </c>
      <c r="FX8" s="320">
        <f>SUM(Products!G175,Products!G181)/1000000</f>
        <v>0.68021016448837002</v>
      </c>
      <c r="FY8" s="320">
        <f>SUM(Products!H175,Products!H181)/1000000</f>
        <v>1.3176906823341636</v>
      </c>
      <c r="FZ8" s="320">
        <f>SUM(Products!I175,Products!I181)/1000000</f>
        <v>5.0762152956746975</v>
      </c>
      <c r="GA8" s="320">
        <f>SUM(Products!J175,Products!J181)/1000000</f>
        <v>6.8926606162283122</v>
      </c>
      <c r="GB8" s="320">
        <f>SUM(Products!K175,Products!K181)/1000000</f>
        <v>9.1553529015628428</v>
      </c>
      <c r="GD8" s="110" t="s">
        <v>298</v>
      </c>
      <c r="GE8" s="357"/>
      <c r="GF8" s="357"/>
      <c r="GG8" s="320">
        <f>SUM(Products!F249,Products!F255)/1000000</f>
        <v>0.19652118968131999</v>
      </c>
      <c r="GH8" s="320">
        <f>SUM(Products!G249,Products!G255)/1000000</f>
        <v>0.66562001565881979</v>
      </c>
      <c r="GI8" s="320">
        <f>SUM(Products!H249,Products!H255)/1000000</f>
        <v>1.5239877671168227</v>
      </c>
      <c r="GJ8" s="320">
        <f>SUM(Products!I249,Products!I255)/1000000</f>
        <v>6.88942904582587</v>
      </c>
      <c r="GK8" s="320">
        <f>SUM(Products!J249,Products!J255)/1000000</f>
        <v>10.92537524144751</v>
      </c>
      <c r="GL8" s="320">
        <f>SUM(Products!K249,Products!K255)/1000000</f>
        <v>16.902036672187705</v>
      </c>
      <c r="GN8" s="110" t="s">
        <v>298</v>
      </c>
      <c r="GO8" s="357"/>
      <c r="GP8" s="357"/>
      <c r="GQ8" s="320">
        <f t="shared" si="2"/>
        <v>0.64683939128203993</v>
      </c>
      <c r="GR8" s="320">
        <f t="shared" si="2"/>
        <v>1.9179672696129899</v>
      </c>
      <c r="GS8" s="320">
        <f t="shared" si="2"/>
        <v>3.9375</v>
      </c>
      <c r="GT8" s="320">
        <f t="shared" si="2"/>
        <v>16.299499226339975</v>
      </c>
      <c r="GU8" s="320">
        <f t="shared" si="2"/>
        <v>24.507486578464832</v>
      </c>
      <c r="GV8" s="320">
        <f t="shared" si="2"/>
        <v>34.789830678999884</v>
      </c>
      <c r="GX8" s="353" t="s">
        <v>665</v>
      </c>
      <c r="GY8" s="354"/>
      <c r="GZ8" s="354"/>
      <c r="HA8" s="354"/>
      <c r="HB8" s="354"/>
      <c r="HC8" s="354"/>
      <c r="HD8" s="354"/>
      <c r="HE8" s="354"/>
      <c r="HF8" s="354"/>
    </row>
    <row r="9" spans="2:214" ht="15" customHeight="1" outlineLevel="1" x14ac:dyDescent="0.2">
      <c r="M9" s="110"/>
      <c r="N9" s="136"/>
      <c r="O9" s="136"/>
      <c r="P9" s="136"/>
      <c r="Q9" s="136"/>
      <c r="R9" s="136"/>
      <c r="S9" s="136"/>
      <c r="T9" s="136"/>
      <c r="U9" s="111"/>
      <c r="W9" s="104" t="s">
        <v>63</v>
      </c>
      <c r="X9" s="125"/>
      <c r="Y9" s="125">
        <f>Forecast!E17/1000000</f>
        <v>3.1325257200000003</v>
      </c>
      <c r="Z9" s="125">
        <f>Forecast!F17/1000000</f>
        <v>3.5197429099999997</v>
      </c>
      <c r="AA9" s="125">
        <f>Forecast!G17/1000000</f>
        <v>6.6011211023572729</v>
      </c>
      <c r="AB9" s="125">
        <f>Forecast!H17/1000000</f>
        <v>13.125</v>
      </c>
      <c r="AC9" s="125">
        <f>Forecast!I17/1000000</f>
        <v>19.359375000000004</v>
      </c>
      <c r="AD9" s="125">
        <f>Forecast!J17/1000000</f>
        <v>28.071093750000006</v>
      </c>
      <c r="AE9" s="130">
        <f>Forecast!K17/1000000</f>
        <v>40.001308593750011</v>
      </c>
      <c r="AH9" s="125"/>
      <c r="AI9" s="125"/>
      <c r="AJ9" s="125"/>
      <c r="AK9" s="125"/>
      <c r="AL9" s="125"/>
      <c r="AM9" s="125"/>
      <c r="AN9" s="125"/>
      <c r="AO9" s="130"/>
      <c r="BJ9" s="134"/>
      <c r="BK9" s="163"/>
      <c r="BL9" s="427"/>
      <c r="BM9" s="427"/>
      <c r="BN9" s="427"/>
      <c r="BO9" s="427"/>
      <c r="BP9" s="427"/>
      <c r="BQ9" s="427"/>
      <c r="BR9" s="427"/>
      <c r="BS9" s="427"/>
      <c r="BW9" s="163"/>
      <c r="BX9" s="163"/>
      <c r="BY9" s="163"/>
      <c r="BZ9" s="163"/>
      <c r="CA9" s="163"/>
      <c r="CB9" s="163"/>
      <c r="CC9" s="163"/>
      <c r="CD9" s="163"/>
      <c r="CG9" s="163" t="s">
        <v>566</v>
      </c>
      <c r="CH9" s="106">
        <f>Expenses!D157</f>
        <v>28</v>
      </c>
      <c r="CI9" s="106">
        <f>Expenses!E157</f>
        <v>52</v>
      </c>
      <c r="CJ9" s="106">
        <f>Expenses!F157</f>
        <v>59</v>
      </c>
      <c r="CK9" s="106">
        <f>Expenses!G157</f>
        <v>102</v>
      </c>
      <c r="CL9" s="106">
        <f>Expenses!H157</f>
        <v>145.3324472629449</v>
      </c>
      <c r="CM9" s="106">
        <f>Expenses!I157</f>
        <v>210.65247192073409</v>
      </c>
      <c r="CN9" s="106">
        <f>Expenses!J157</f>
        <v>300.17130157671318</v>
      </c>
      <c r="CO9" s="106">
        <f>Expenses!K157</f>
        <v>421.09426593461086</v>
      </c>
      <c r="CS9" s="106"/>
      <c r="CT9" s="106"/>
      <c r="CU9" s="106"/>
      <c r="CV9" s="106"/>
      <c r="CW9" s="106"/>
      <c r="CX9" s="106"/>
      <c r="CY9" s="106"/>
      <c r="CZ9" s="106"/>
      <c r="DC9" s="106"/>
      <c r="DD9" s="106"/>
      <c r="DE9" s="106"/>
      <c r="DF9" s="106"/>
      <c r="DG9" s="106"/>
      <c r="DH9" s="106"/>
      <c r="DI9" s="106"/>
      <c r="DJ9" s="106"/>
      <c r="DM9" s="106"/>
      <c r="DN9" s="106"/>
      <c r="DO9" s="106"/>
      <c r="DP9" s="106"/>
      <c r="DQ9" s="106"/>
      <c r="DR9" s="106"/>
      <c r="DS9" s="106"/>
      <c r="DT9" s="106"/>
      <c r="DW9" s="106"/>
      <c r="DX9" s="106"/>
      <c r="DY9" s="106"/>
      <c r="DZ9" s="106"/>
      <c r="EA9" s="106"/>
      <c r="EB9" s="106"/>
      <c r="EC9" s="106"/>
      <c r="ED9" s="106"/>
      <c r="EF9" s="110" t="s">
        <v>2</v>
      </c>
      <c r="EG9" s="320">
        <f>Expenses!D98/1000000</f>
        <v>0.17938858000000002</v>
      </c>
      <c r="EH9" s="320">
        <f>Expenses!E98/1000000</f>
        <v>0.25169540000000001</v>
      </c>
      <c r="EI9" s="320">
        <f>Expenses!F98/1000000</f>
        <v>0.11767116</v>
      </c>
      <c r="EJ9" s="320">
        <f>Expenses!G98/1000000</f>
        <v>0.33789116978723405</v>
      </c>
      <c r="EK9" s="320">
        <f>Expenses!H98/1000000</f>
        <v>0.53650627800556983</v>
      </c>
      <c r="EL9" s="320">
        <f>Expenses!I98/1000000</f>
        <v>0.75766808112316231</v>
      </c>
      <c r="EM9" s="320">
        <f>Expenses!J98/1000000</f>
        <v>1.0158073079453998</v>
      </c>
      <c r="EN9" s="320">
        <f>Expenses!K98/1000000</f>
        <v>1.3203358020648022</v>
      </c>
      <c r="EP9" s="110" t="s">
        <v>2</v>
      </c>
      <c r="EQ9" s="320">
        <f>Expenses!D124/1000000</f>
        <v>2.0908255899999997</v>
      </c>
      <c r="ER9" s="320">
        <f>Expenses!E124/1000000</f>
        <v>4.3425625800000009</v>
      </c>
      <c r="ES9" s="320">
        <f>Expenses!F124/1000000</f>
        <v>3.9623511999999992</v>
      </c>
      <c r="ET9" s="320">
        <f>Expenses!G124/1000000</f>
        <v>6.8297158843378494</v>
      </c>
      <c r="EU9" s="320">
        <f>Expenses!H124/1000000</f>
        <v>10.220615684079373</v>
      </c>
      <c r="EV9" s="320">
        <f>Expenses!I124/1000000</f>
        <v>12.711300680010408</v>
      </c>
      <c r="EW9" s="320">
        <f>Expenses!J124/1000000</f>
        <v>16.167359995733126</v>
      </c>
      <c r="EX9" s="320">
        <f>Expenses!K124/1000000</f>
        <v>20.204105187886629</v>
      </c>
      <c r="EZ9" s="110" t="s">
        <v>300</v>
      </c>
      <c r="FA9" s="345">
        <f>Products!D31/1000000</f>
        <v>0.49986667159999987</v>
      </c>
      <c r="FB9" s="345">
        <f>Products!E31/1000000</f>
        <v>0.8103857097999998</v>
      </c>
      <c r="FC9" s="345">
        <f>Products!F31/1000000</f>
        <v>1.1256781584959998</v>
      </c>
      <c r="FD9" s="345">
        <f>Products!G31/1000000</f>
        <v>3.5132644011722616</v>
      </c>
      <c r="FE9" s="345">
        <f>Products!H31/1000000</f>
        <v>6.5926241737075761</v>
      </c>
      <c r="FF9" s="345">
        <f>Products!I31/1000000</f>
        <v>11.200432731100403</v>
      </c>
      <c r="FG9" s="345">
        <f>Products!J31/1000000</f>
        <v>18.010084098809912</v>
      </c>
      <c r="FH9" s="345">
        <f>Products!K31/1000000</f>
        <v>27.923285333531446</v>
      </c>
      <c r="FJ9" s="110" t="s">
        <v>299</v>
      </c>
      <c r="FK9" s="355"/>
      <c r="FL9" s="355"/>
      <c r="FM9" s="320">
        <f>SUM(Products!F102+Products!F108)/1000000</f>
        <v>0.10851567992634999</v>
      </c>
      <c r="FN9" s="320">
        <f>SUM(Products!G102+Products!G108)/1000000</f>
        <v>0.38142472631053337</v>
      </c>
      <c r="FO9" s="320">
        <f>SUM(Products!H102+Products!H108)/1000000</f>
        <v>0.97406360048801199</v>
      </c>
      <c r="FP9" s="320">
        <f>SUM(Products!I102+Products!I108)/1000000</f>
        <v>1.808084743533356</v>
      </c>
      <c r="FQ9" s="320">
        <f>SUM(Products!J102+Products!J108)/1000000</f>
        <v>2.4187276448570656</v>
      </c>
      <c r="FR9" s="320">
        <f>SUM(Products!K102+Products!K108)/1000000</f>
        <v>3.1574186865168401</v>
      </c>
      <c r="FT9" s="110" t="s">
        <v>299</v>
      </c>
      <c r="FU9" s="357"/>
      <c r="FV9" s="357"/>
      <c r="FW9" s="320">
        <f>SUM(Products!F176,Products!F182)/1000000</f>
        <v>0.11664342087401001</v>
      </c>
      <c r="FX9" s="320">
        <f>SUM(Products!G176,Products!G182)/1000000</f>
        <v>0.95229423028371807</v>
      </c>
      <c r="FY9" s="320">
        <f>SUM(Products!H176,Products!H182)/1000000</f>
        <v>2.6353813646683273</v>
      </c>
      <c r="FZ9" s="320">
        <f>SUM(Products!I176,Products!I182)/1000000</f>
        <v>10.152430591349395</v>
      </c>
      <c r="GA9" s="320">
        <f>SUM(Products!J176,Products!J182)/1000000</f>
        <v>16.542385478947946</v>
      </c>
      <c r="GB9" s="320">
        <f>SUM(Products!K176,Products!K182)/1000000</f>
        <v>21.972846963750825</v>
      </c>
      <c r="GD9" s="110" t="s">
        <v>299</v>
      </c>
      <c r="GE9" s="357"/>
      <c r="GF9" s="357"/>
      <c r="GG9" s="320">
        <f>SUM(Products!F250,Products!F256)/1000000</f>
        <v>9.8260594840659993E-2</v>
      </c>
      <c r="GH9" s="320">
        <f>SUM(Products!G250,Products!G256)/1000000</f>
        <v>0.99843002348822996</v>
      </c>
      <c r="GI9" s="320">
        <f>SUM(Products!H250,Products!H256)/1000000</f>
        <v>3.0479755342336454</v>
      </c>
      <c r="GJ9" s="320">
        <f>SUM(Products!I250,Products!I256)/1000000</f>
        <v>16.534629709982088</v>
      </c>
      <c r="GK9" s="320">
        <f>SUM(Products!J250,Products!J256)/1000000</f>
        <v>43.701500965790039</v>
      </c>
      <c r="GL9" s="320">
        <f>SUM(Products!K250,Products!K256)/1000000</f>
        <v>81.129776026500991</v>
      </c>
      <c r="GN9" s="110" t="s">
        <v>299</v>
      </c>
      <c r="GO9" s="357"/>
      <c r="GP9" s="357"/>
      <c r="GQ9" s="320">
        <f t="shared" si="2"/>
        <v>0.32341969564101997</v>
      </c>
      <c r="GR9" s="320">
        <f t="shared" si="2"/>
        <v>2.3321489800824815</v>
      </c>
      <c r="GS9" s="320">
        <f t="shared" si="2"/>
        <v>6.6574204993899855</v>
      </c>
      <c r="GT9" s="320">
        <f t="shared" si="2"/>
        <v>28.495145044864842</v>
      </c>
      <c r="GU9" s="320">
        <f t="shared" si="2"/>
        <v>62.662614089595046</v>
      </c>
      <c r="GV9" s="320">
        <f t="shared" si="2"/>
        <v>106.26004167676865</v>
      </c>
      <c r="GX9" s="161"/>
      <c r="GY9" s="161"/>
      <c r="GZ9" s="161"/>
      <c r="HA9" s="280"/>
      <c r="HB9" s="280"/>
      <c r="HC9" s="280"/>
      <c r="HD9" s="280"/>
      <c r="HE9" s="280"/>
      <c r="HF9" s="280"/>
    </row>
    <row r="10" spans="2:214" ht="15" customHeight="1" x14ac:dyDescent="0.25">
      <c r="M10" s="108" t="s">
        <v>3</v>
      </c>
      <c r="N10" s="135">
        <f>Forecast!D33/1000000</f>
        <v>8.1514196599999984</v>
      </c>
      <c r="O10" s="135">
        <f>Forecast!E33/1000000</f>
        <v>17.966179629999999</v>
      </c>
      <c r="P10" s="135">
        <f>Forecast!F33/1000000</f>
        <v>24.621037473999994</v>
      </c>
      <c r="Q10" s="135">
        <f>Forecast!G33/1000000</f>
        <v>37.245502986208948</v>
      </c>
      <c r="R10" s="135">
        <f>Forecast!H33/1000000</f>
        <v>50.472301372007792</v>
      </c>
      <c r="S10" s="135">
        <f>Forecast!I33/1000000</f>
        <v>74.164447597519484</v>
      </c>
      <c r="T10" s="135">
        <f>Forecast!J33/1000000</f>
        <v>106.53691229511963</v>
      </c>
      <c r="U10" s="109">
        <f>Forecast!K33/1000000</f>
        <v>150.31662361180784</v>
      </c>
      <c r="W10" s="431" t="s">
        <v>272</v>
      </c>
      <c r="X10" s="141"/>
      <c r="Y10" s="126">
        <f t="shared" ref="Y10:AE10" si="8">Y9/Y6</f>
        <v>0.11293749923638607</v>
      </c>
      <c r="Z10" s="126">
        <f t="shared" si="8"/>
        <v>0.10882895993776277</v>
      </c>
      <c r="AA10" s="126">
        <f t="shared" si="8"/>
        <v>0.10325183135720438</v>
      </c>
      <c r="AB10" s="126">
        <f t="shared" si="8"/>
        <v>0.15000000000000005</v>
      </c>
      <c r="AC10" s="126">
        <f t="shared" si="8"/>
        <v>0.15000000000000005</v>
      </c>
      <c r="AD10" s="126">
        <f t="shared" si="8"/>
        <v>0.15000000000000005</v>
      </c>
      <c r="AE10" s="131">
        <f t="shared" si="8"/>
        <v>0.15000000000000005</v>
      </c>
      <c r="AG10" s="104" t="s">
        <v>48</v>
      </c>
      <c r="AH10" s="151">
        <f>Forecast!D97</f>
        <v>1.3340311322710687</v>
      </c>
      <c r="AI10" s="151">
        <f>Forecast!E97</f>
        <v>1.2518848056961256</v>
      </c>
      <c r="AJ10" s="151">
        <f>Forecast!F97</f>
        <v>1.1654440034484099</v>
      </c>
      <c r="AK10" s="151">
        <f>Forecast!G97</f>
        <v>1.2960651883044938</v>
      </c>
      <c r="AL10" s="151">
        <f>Forecast!H97</f>
        <v>1.274389666770624</v>
      </c>
      <c r="AM10" s="151">
        <f>Forecast!I97</f>
        <v>1.2762831682230023</v>
      </c>
      <c r="AN10" s="151">
        <f>Forecast!J97</f>
        <v>1.2862854875459073</v>
      </c>
      <c r="AO10" s="152">
        <f>Forecast!K97</f>
        <v>1.2913632386692333</v>
      </c>
      <c r="AQ10" s="104" t="s">
        <v>13</v>
      </c>
      <c r="AR10" s="125">
        <f>Forecast!D44/1000000</f>
        <v>11.212258129999999</v>
      </c>
      <c r="AS10" s="125">
        <f>Forecast!E44/1000000</f>
        <v>18.344354129999999</v>
      </c>
      <c r="AT10" s="125">
        <f>Forecast!F44/1000000</f>
        <v>23.430625959999997</v>
      </c>
      <c r="AU10" s="125">
        <f>Forecast!G44/1000000</f>
        <v>40.8421250087193</v>
      </c>
      <c r="AV10" s="125">
        <f>Forecast!H44/1000000</f>
        <v>64.849449862995655</v>
      </c>
      <c r="AW10" s="125">
        <f>Forecast!I44/1000000</f>
        <v>91.582075091912614</v>
      </c>
      <c r="AX10" s="125">
        <f>Forecast!J44/1000000</f>
        <v>122.78429496101049</v>
      </c>
      <c r="AY10" s="130">
        <f>Forecast!K44/1000000</f>
        <v>159.59375296896459</v>
      </c>
      <c r="BA10" s="438" t="s">
        <v>804</v>
      </c>
      <c r="BB10" s="155">
        <f>Forecast!D90</f>
        <v>0.3653687798862566</v>
      </c>
      <c r="BC10" s="155">
        <f>Forecast!E90</f>
        <v>3.6459834269030544E-2</v>
      </c>
      <c r="BD10" s="155">
        <f>Forecast!F90</f>
        <v>-1.1638045649893847E-2</v>
      </c>
      <c r="BE10" s="155">
        <f>Forecast!G90</f>
        <v>0.17648044167840027</v>
      </c>
      <c r="BF10" s="155">
        <f>Forecast!H90</f>
        <v>0.21365328500918679</v>
      </c>
      <c r="BG10" s="155">
        <f>Forecast!I90</f>
        <v>0.32576369808438405</v>
      </c>
      <c r="BH10" s="155">
        <f>Forecast!J90</f>
        <v>0.44473771031730475</v>
      </c>
      <c r="BI10" s="156">
        <f>Forecast!K90</f>
        <v>0.55253126030287691</v>
      </c>
      <c r="BJ10" s="134"/>
      <c r="BK10" s="162" t="s">
        <v>3</v>
      </c>
      <c r="BL10" s="267">
        <f>Forecast!D33/1000000</f>
        <v>8.1514196599999984</v>
      </c>
      <c r="BM10" s="267">
        <f>Forecast!E33/1000000</f>
        <v>17.966179629999999</v>
      </c>
      <c r="BN10" s="267">
        <f>Forecast!F33/1000000</f>
        <v>24.621037473999994</v>
      </c>
      <c r="BO10" s="267">
        <f>Forecast!G33/1000000</f>
        <v>37.245502986208948</v>
      </c>
      <c r="BP10" s="267">
        <f>Forecast!H33/1000000</f>
        <v>50.472301372007792</v>
      </c>
      <c r="BQ10" s="267">
        <f>Forecast!I33/1000000</f>
        <v>74.164447597519484</v>
      </c>
      <c r="BR10" s="267">
        <f>Forecast!J33/1000000</f>
        <v>106.53691229511963</v>
      </c>
      <c r="BS10" s="267">
        <f>Forecast!K33/1000000</f>
        <v>150.31662361180784</v>
      </c>
      <c r="BV10" s="104" t="s">
        <v>575</v>
      </c>
      <c r="BW10" s="106">
        <f>Expenses!D75</f>
        <v>17.75</v>
      </c>
      <c r="BX10" s="106">
        <f>Expenses!E75</f>
        <v>22.25</v>
      </c>
      <c r="BY10" s="106">
        <f>Expenses!F75</f>
        <v>27.833333333333332</v>
      </c>
      <c r="BZ10" s="106">
        <f>Expenses!G75</f>
        <v>40.333333333333336</v>
      </c>
      <c r="CA10" s="106">
        <f>Expenses!H75</f>
        <v>52.573020890851595</v>
      </c>
      <c r="CB10" s="106">
        <f>Expenses!I75</f>
        <v>70.495641649096456</v>
      </c>
      <c r="CC10" s="106">
        <f>Expenses!J75</f>
        <v>88.885809035817289</v>
      </c>
      <c r="CD10" s="106">
        <f>Expenses!K75</f>
        <v>110.14111119655624</v>
      </c>
      <c r="CG10" s="163" t="s">
        <v>1</v>
      </c>
      <c r="CH10" s="106">
        <f>Expenses!D158</f>
        <v>15</v>
      </c>
      <c r="CI10" s="106">
        <f>Expenses!E158</f>
        <v>20</v>
      </c>
      <c r="CJ10" s="106">
        <f>Expenses!F158</f>
        <v>16</v>
      </c>
      <c r="CK10" s="106">
        <f>Expenses!G158</f>
        <v>46</v>
      </c>
      <c r="CL10" s="106">
        <f>Expenses!H158</f>
        <v>57.089784731078716</v>
      </c>
      <c r="CM10" s="106">
        <f>Expenses!I158</f>
        <v>86.471940481251352</v>
      </c>
      <c r="CN10" s="106">
        <f>Expenses!J158</f>
        <v>113.05224348581552</v>
      </c>
      <c r="CO10" s="106">
        <f>Expenses!K158</f>
        <v>157.01348879874712</v>
      </c>
      <c r="CR10" s="104" t="s">
        <v>249</v>
      </c>
      <c r="CS10" s="280">
        <f>SUM(ARR!D8:D9)/1000000</f>
        <v>6.1574505699999991</v>
      </c>
      <c r="CT10" s="280">
        <f>SUM(ARR!E8:E9)/1000000</f>
        <v>9.2818669909150007</v>
      </c>
      <c r="CU10" s="280">
        <f>SUM(ARR!F8:F9)/1000000</f>
        <v>10.851567992634999</v>
      </c>
      <c r="CV10" s="280">
        <f>SUM(ARR!G8:G9)/1000000</f>
        <v>19.071236315526672</v>
      </c>
      <c r="CW10" s="280">
        <f>SUM(ARR!H8:H9)/1000000</f>
        <v>24.351590012200298</v>
      </c>
      <c r="CX10" s="280">
        <f>SUM(ARR!I8:I9)/1000000</f>
        <v>33.337345267995445</v>
      </c>
      <c r="CY10" s="280">
        <f>SUM(ARR!J8:J9)/1000000</f>
        <v>44.596338138593389</v>
      </c>
      <c r="CZ10" s="280">
        <f>SUM(ARR!K8:K9)/1000000</f>
        <v>58.216274034995578</v>
      </c>
      <c r="DB10" s="104" t="s">
        <v>249</v>
      </c>
      <c r="DC10" s="280">
        <f>SUM(ARR!D19:D20)/1000000</f>
        <v>6.0305972599999995</v>
      </c>
      <c r="DD10" s="280">
        <f>SUM(ARR!E19:E20)/1000000</f>
        <v>9.1806622200000003</v>
      </c>
      <c r="DE10" s="280">
        <f>SUM(ARR!F19:F20)/1000000</f>
        <v>11.664342087401003</v>
      </c>
      <c r="DF10" s="280">
        <f>SUM(ARR!G19:G20)/1000000</f>
        <v>22.673672149612329</v>
      </c>
      <c r="DG10" s="280">
        <f>SUM(ARR!H19:H20)/1000000</f>
        <v>29.282015162981409</v>
      </c>
      <c r="DH10" s="280">
        <f>SUM(ARR!I19:I20)/1000000</f>
        <v>40.60972236539758</v>
      </c>
      <c r="DI10" s="280">
        <f>SUM(ARR!J19:J20)/1000000</f>
        <v>55.141284929826497</v>
      </c>
      <c r="DJ10" s="280">
        <f>SUM(ARR!K19:K20)/1000000</f>
        <v>73.242823212502742</v>
      </c>
      <c r="DL10" s="104" t="s">
        <v>249</v>
      </c>
      <c r="DM10" s="280">
        <f>SUM(ARR!D30:D31)/1000000</f>
        <v>6.7218774699999999</v>
      </c>
      <c r="DN10" s="280">
        <f>SUM(ARR!E30:E31)/1000000</f>
        <v>9.2742786800000001</v>
      </c>
      <c r="DO10" s="280">
        <f>SUM(ARR!F30:F31)/1000000</f>
        <v>9.8260594840659987</v>
      </c>
      <c r="DP10" s="280">
        <f>SUM(ARR!G30:G31)/1000000</f>
        <v>22.187333855294</v>
      </c>
      <c r="DQ10" s="280">
        <f>SUM(ARR!H30:H31)/1000000</f>
        <v>33.866394824818286</v>
      </c>
      <c r="DR10" s="280">
        <f>SUM(ARR!I30:I31)/1000000</f>
        <v>55.11543236660696</v>
      </c>
      <c r="DS10" s="280">
        <f>SUM(ARR!J30:J31)/1000000</f>
        <v>87.403001931580079</v>
      </c>
      <c r="DT10" s="280">
        <f>SUM(ARR!K30:K31)/1000000</f>
        <v>135.21629337750164</v>
      </c>
      <c r="DV10" s="104" t="s">
        <v>249</v>
      </c>
      <c r="DW10" s="280">
        <f>SUM(ARR!D41:D42)/1000000</f>
        <v>18.909925299999998</v>
      </c>
      <c r="DX10" s="280">
        <f>SUM(ARR!E41:E42)/1000000</f>
        <v>27.736807890915003</v>
      </c>
      <c r="DY10" s="280">
        <f>SUM(ARR!F41:F42)/1000000</f>
        <v>32.341969564102001</v>
      </c>
      <c r="DZ10" s="280">
        <f>SUM(ARR!G41:G42)/1000000</f>
        <v>63.932242320432998</v>
      </c>
      <c r="EA10" s="280">
        <f>SUM(ARR!H41:H42)/1000000</f>
        <v>87.499999999999972</v>
      </c>
      <c r="EB10" s="280">
        <f>SUM(ARR!I41:I42)/1000000</f>
        <v>129.06249999999997</v>
      </c>
      <c r="EC10" s="280">
        <f>SUM(ARR!J41:J42)/1000000</f>
        <v>187.14062499999997</v>
      </c>
      <c r="ED10" s="280">
        <f>SUM(ARR!K41:K42)/1000000</f>
        <v>266.67539062499998</v>
      </c>
      <c r="EG10" s="280"/>
      <c r="EH10" s="280"/>
      <c r="EI10" s="280"/>
      <c r="EJ10" s="280"/>
      <c r="EK10" s="280"/>
      <c r="EL10" s="280"/>
      <c r="EM10" s="280"/>
      <c r="EN10" s="280"/>
      <c r="EP10" s="110" t="s">
        <v>408</v>
      </c>
      <c r="EQ10" s="320">
        <f>Expenses!D125/1000000</f>
        <v>1.9994658700000003</v>
      </c>
      <c r="ER10" s="320">
        <f>Expenses!E125/1000000</f>
        <v>2.6976466900000005</v>
      </c>
      <c r="ES10" s="320">
        <f>Expenses!F125/1000000</f>
        <v>3.7683837499999995</v>
      </c>
      <c r="ET10" s="320">
        <f>Expenses!G125/1000000</f>
        <v>5.390808633333334</v>
      </c>
      <c r="EU10" s="320">
        <f>Expenses!H125/1000000</f>
        <v>10.075761941737943</v>
      </c>
      <c r="EV10" s="320">
        <f>Expenses!I125/1000000</f>
        <v>12.172473664627548</v>
      </c>
      <c r="EW10" s="320">
        <f>Expenses!J125/1000000</f>
        <v>14.933374566847336</v>
      </c>
      <c r="EX10" s="320">
        <f>Expenses!K125/1000000</f>
        <v>18.887849188336411</v>
      </c>
      <c r="EZ10" s="343" t="s">
        <v>587</v>
      </c>
      <c r="FA10" s="344">
        <f t="shared" ref="FA10:FH10" si="9">SUM(FA6:FA9)</f>
        <v>30.372823737000001</v>
      </c>
      <c r="FB10" s="344">
        <f t="shared" si="9"/>
        <v>55.180642637914993</v>
      </c>
      <c r="FC10" s="344">
        <f t="shared" si="9"/>
        <v>81.796833065349972</v>
      </c>
      <c r="FD10" s="344">
        <f t="shared" si="9"/>
        <v>139.06424402326996</v>
      </c>
      <c r="FE10" s="344">
        <f t="shared" si="9"/>
        <v>215.42187480607868</v>
      </c>
      <c r="FF10" s="344">
        <f t="shared" si="9"/>
        <v>327.10970740993565</v>
      </c>
      <c r="FG10" s="344">
        <f t="shared" si="9"/>
        <v>488.99879968783546</v>
      </c>
      <c r="FH10" s="344">
        <f t="shared" si="9"/>
        <v>719.65941214411589</v>
      </c>
      <c r="FJ10" s="110" t="s">
        <v>300</v>
      </c>
      <c r="FK10" s="355"/>
      <c r="FL10" s="355"/>
      <c r="FM10" s="345">
        <f>SUM(Products!F103+Products!F109)/1000000</f>
        <v>0</v>
      </c>
      <c r="FN10" s="345">
        <f>SUM(Products!G103+Products!G109)/1000000</f>
        <v>0</v>
      </c>
      <c r="FO10" s="345">
        <f>SUM(Products!H103+Products!H109)/1000000</f>
        <v>0</v>
      </c>
      <c r="FP10" s="345">
        <f>SUM(Products!I103+Products!I109)/1000000</f>
        <v>0</v>
      </c>
      <c r="FQ10" s="345">
        <f>SUM(Products!J103+Products!J109)/1000000</f>
        <v>0</v>
      </c>
      <c r="FR10" s="345">
        <f>SUM(Products!K103+Products!K109)/1000000</f>
        <v>0</v>
      </c>
      <c r="FT10" s="110" t="s">
        <v>300</v>
      </c>
      <c r="FU10" s="358"/>
      <c r="FV10" s="358"/>
      <c r="FW10" s="345">
        <f>SUM(Products!F177,Products!F183)/1000000</f>
        <v>0.23328684174802003</v>
      </c>
      <c r="FX10" s="345">
        <f>SUM(Products!G177,Products!G183)/1000000</f>
        <v>1.2405078148651472</v>
      </c>
      <c r="FY10" s="345">
        <f>SUM(Products!H177,Products!H183)/1000000</f>
        <v>1.5250255279923657</v>
      </c>
      <c r="FZ10" s="345">
        <f>SUM(Products!I177,Products!I183)/1000000</f>
        <v>2.114979551346158</v>
      </c>
      <c r="GA10" s="345">
        <f>SUM(Products!J177,Products!J183)/1000000</f>
        <v>2.8717923509101868</v>
      </c>
      <c r="GB10" s="345">
        <f>SUM(Products!K177,Products!K183)/1000000</f>
        <v>3.8145317021250325</v>
      </c>
      <c r="GD10" s="110" t="s">
        <v>300</v>
      </c>
      <c r="GE10" s="358"/>
      <c r="GF10" s="358"/>
      <c r="GG10" s="345">
        <f>SUM(Products!F251,Products!F257)/1000000</f>
        <v>0.19652118968131999</v>
      </c>
      <c r="GH10" s="345">
        <f>SUM(Products!G251,Products!G257)/1000000</f>
        <v>1.2138995773115144</v>
      </c>
      <c r="GI10" s="345">
        <f>SUM(Products!H251,Products!H257)/1000000</f>
        <v>1.763782866768308</v>
      </c>
      <c r="GJ10" s="345">
        <f>SUM(Products!I251,Products!I257)/1000000</f>
        <v>2.8704459333684165</v>
      </c>
      <c r="GK10" s="345">
        <f>SUM(Products!J251,Products!J257)/1000000</f>
        <v>4.5520026004676897</v>
      </c>
      <c r="GL10" s="345">
        <f>SUM(Products!K251,Products!K257)/1000000</f>
        <v>7.0421485015104226</v>
      </c>
      <c r="GN10" s="110" t="s">
        <v>300</v>
      </c>
      <c r="GO10" s="358"/>
      <c r="GP10" s="358"/>
      <c r="GQ10" s="345">
        <f t="shared" si="2"/>
        <v>0.42980803142933999</v>
      </c>
      <c r="GR10" s="345">
        <f t="shared" si="2"/>
        <v>2.4544073921766616</v>
      </c>
      <c r="GS10" s="345">
        <f t="shared" si="2"/>
        <v>3.2888083947606734</v>
      </c>
      <c r="GT10" s="345">
        <f t="shared" si="2"/>
        <v>4.9854254847145745</v>
      </c>
      <c r="GU10" s="345">
        <f t="shared" si="2"/>
        <v>7.4237949513778769</v>
      </c>
      <c r="GV10" s="345">
        <f t="shared" si="2"/>
        <v>10.856680203635456</v>
      </c>
      <c r="GX10" s="388" t="s">
        <v>607</v>
      </c>
      <c r="GY10" s="389">
        <f>Geo!D45/1000000</f>
        <v>5.7753037038193868</v>
      </c>
      <c r="GZ10" s="389">
        <f>Geo!E45/1000000</f>
        <v>8.4214250436240992</v>
      </c>
      <c r="HA10" s="389">
        <f>Geo!F45/1000000</f>
        <v>9.7675019067416127</v>
      </c>
      <c r="HB10" s="389">
        <f>Geo!G45/1000000</f>
        <v>17.177896524938731</v>
      </c>
      <c r="HC10" s="389">
        <f>Geo!H45/1000000</f>
        <v>20.818582571138926</v>
      </c>
      <c r="HD10" s="389">
        <f>Geo!I45/1000000</f>
        <v>26.833788127751866</v>
      </c>
      <c r="HE10" s="389">
        <f>Geo!J45/1000000</f>
        <v>33.666523346457019</v>
      </c>
      <c r="HF10" s="389">
        <f>Geo!K45/1000000</f>
        <v>41.037627599685223</v>
      </c>
    </row>
    <row r="11" spans="2:214" ht="15" customHeight="1" x14ac:dyDescent="0.25">
      <c r="M11" s="110" t="s">
        <v>262</v>
      </c>
      <c r="N11" s="136">
        <f>Forecast!D34/1000000</f>
        <v>7.199227529999999</v>
      </c>
      <c r="O11" s="136">
        <f>Forecast!E34/1000000</f>
        <v>15.574148279999999</v>
      </c>
      <c r="P11" s="136">
        <f>Forecast!F34/1000000</f>
        <v>22.066794163999997</v>
      </c>
      <c r="Q11" s="136">
        <f>Forecast!G34/1000000</f>
        <v>32.317451906568323</v>
      </c>
      <c r="R11" s="136">
        <f>Forecast!H34/1000000</f>
        <v>41.022301372007796</v>
      </c>
      <c r="S11" s="136">
        <f>Forecast!I34/1000000</f>
        <v>60.225697597519478</v>
      </c>
      <c r="T11" s="136">
        <f>Forecast!J34/1000000</f>
        <v>86.325724795119626</v>
      </c>
      <c r="U11" s="111">
        <f>Forecast!K34/1000000</f>
        <v>121.51568142430786</v>
      </c>
      <c r="X11" s="124"/>
      <c r="Y11" s="124"/>
      <c r="Z11" s="124"/>
      <c r="AA11" s="124"/>
      <c r="AB11" s="124"/>
      <c r="AC11" s="124"/>
      <c r="AD11" s="124"/>
      <c r="AE11" s="129"/>
      <c r="AG11" s="104" t="s">
        <v>224</v>
      </c>
      <c r="AH11" s="151">
        <f>Forecast!D98</f>
        <v>0.89315597974013727</v>
      </c>
      <c r="AI11" s="151">
        <f>Forecast!E98</f>
        <v>0.90518391184000779</v>
      </c>
      <c r="AJ11" s="151">
        <f>Forecast!F98</f>
        <v>0.89739537275154613</v>
      </c>
      <c r="AK11" s="151">
        <f>Forecast!G98</f>
        <v>0.91920087624650437</v>
      </c>
      <c r="AL11" s="151">
        <f>Forecast!H98</f>
        <v>0.92027146413190886</v>
      </c>
      <c r="AM11" s="151">
        <f>Forecast!I98</f>
        <v>0.919603216063831</v>
      </c>
      <c r="AN11" s="151">
        <f>Forecast!J98</f>
        <v>0.92296648499560185</v>
      </c>
      <c r="AO11" s="152">
        <f>Forecast!K98</f>
        <v>0.92645368293619412</v>
      </c>
      <c r="AQ11" s="431" t="s">
        <v>284</v>
      </c>
      <c r="AR11" s="155">
        <f t="shared" ref="AR11:AY11" si="10">AR10/AR$37</f>
        <v>0.53480840114476502</v>
      </c>
      <c r="AS11" s="155">
        <f t="shared" si="10"/>
        <v>0.42543067426282932</v>
      </c>
      <c r="AT11" s="155">
        <f t="shared" si="10"/>
        <v>0.34547250474888186</v>
      </c>
      <c r="AU11" s="155">
        <f t="shared" si="10"/>
        <v>0.38953139235984002</v>
      </c>
      <c r="AV11" s="155">
        <f t="shared" si="10"/>
        <v>0.3692242743305581</v>
      </c>
      <c r="AW11" s="155">
        <f t="shared" si="10"/>
        <v>0.33963632145105632</v>
      </c>
      <c r="AX11" s="155">
        <f t="shared" si="10"/>
        <v>0.30320621736881048</v>
      </c>
      <c r="AY11" s="156">
        <f t="shared" si="10"/>
        <v>0.26655322533828602</v>
      </c>
      <c r="BA11" s="438" t="s">
        <v>722</v>
      </c>
      <c r="BB11" s="155">
        <f>-Forecast!D102</f>
        <v>0.9175851850909873</v>
      </c>
      <c r="BC11" s="155">
        <f>-Forecast!E102</f>
        <v>0.76660919466790545</v>
      </c>
      <c r="BD11" s="155">
        <f>-Forecast!F102</f>
        <v>0.48859397293886148</v>
      </c>
      <c r="BE11" s="155">
        <f>-Forecast!G102</f>
        <v>0.51778418008790084</v>
      </c>
      <c r="BF11" s="155">
        <f>-Forecast!H102</f>
        <v>0.33271903366041822</v>
      </c>
      <c r="BG11" s="155">
        <f>-Forecast!I102</f>
        <v>0.19104288827620591</v>
      </c>
      <c r="BH11" s="155">
        <f>-Forecast!J102</f>
        <v>4.9128779146262604E-2</v>
      </c>
      <c r="BI11" s="156">
        <f>-Forecast!K102</f>
        <v>-8.1495774304092994E-2</v>
      </c>
      <c r="BJ11" s="134"/>
      <c r="BK11" s="163" t="s">
        <v>4</v>
      </c>
      <c r="BL11" s="427">
        <f>Forecast!D34/1000000</f>
        <v>7.199227529999999</v>
      </c>
      <c r="BM11" s="427">
        <f>Forecast!E34/1000000</f>
        <v>15.574148279999999</v>
      </c>
      <c r="BN11" s="427">
        <f>Forecast!F34/1000000</f>
        <v>22.066794163999997</v>
      </c>
      <c r="BO11" s="427">
        <f>Forecast!G34/1000000</f>
        <v>32.317451906568323</v>
      </c>
      <c r="BP11" s="427">
        <f>Forecast!H34/1000000</f>
        <v>41.022301372007796</v>
      </c>
      <c r="BQ11" s="427">
        <f>Forecast!I34/1000000</f>
        <v>60.225697597519478</v>
      </c>
      <c r="BR11" s="427">
        <f>Forecast!J34/1000000</f>
        <v>86.325724795119626</v>
      </c>
      <c r="BS11" s="427">
        <f>Forecast!K34/1000000</f>
        <v>121.51568142430786</v>
      </c>
      <c r="BV11" s="282" t="s">
        <v>580</v>
      </c>
      <c r="BW11" s="281">
        <f>BW$8/BW10</f>
        <v>1.065347904225352</v>
      </c>
      <c r="BX11" s="281">
        <f t="shared" ref="BX11:CD11" si="11">BX8/BX10</f>
        <v>1.246598107456854</v>
      </c>
      <c r="BY11" s="281">
        <f t="shared" si="11"/>
        <v>1.1619869304467785</v>
      </c>
      <c r="BZ11" s="281">
        <f t="shared" si="11"/>
        <v>1.5850969170355287</v>
      </c>
      <c r="CA11" s="281">
        <f t="shared" si="11"/>
        <v>1.664351762887305</v>
      </c>
      <c r="CB11" s="281">
        <f t="shared" si="11"/>
        <v>1.8307869391760359</v>
      </c>
      <c r="CC11" s="281">
        <f t="shared" si="11"/>
        <v>2.105404980052441</v>
      </c>
      <c r="CD11" s="281">
        <f t="shared" si="11"/>
        <v>2.4212157270603063</v>
      </c>
      <c r="CG11" s="163" t="s">
        <v>13</v>
      </c>
      <c r="CH11" s="106">
        <f>Expenses!D159</f>
        <v>83</v>
      </c>
      <c r="CI11" s="106">
        <f>Expenses!E159</f>
        <v>107</v>
      </c>
      <c r="CJ11" s="106">
        <f>Expenses!F159</f>
        <v>140</v>
      </c>
      <c r="CK11" s="106">
        <f>Expenses!G159</f>
        <v>248</v>
      </c>
      <c r="CL11" s="106">
        <f>Expenses!H159</f>
        <v>340.82570840537682</v>
      </c>
      <c r="CM11" s="106">
        <f>Expenses!I159</f>
        <v>451.05320990930113</v>
      </c>
      <c r="CN11" s="106">
        <f>Expenses!J159</f>
        <v>562.39110028603943</v>
      </c>
      <c r="CO11" s="106">
        <f>Expenses!K159</f>
        <v>690.3298483624759</v>
      </c>
      <c r="CR11" s="316" t="s">
        <v>218</v>
      </c>
      <c r="CS11" s="430"/>
      <c r="CT11" s="429">
        <f t="shared" ref="CT11:CZ11" si="12">CT10/CS10-1</f>
        <v>0.50742046329005319</v>
      </c>
      <c r="CU11" s="429">
        <f t="shared" si="12"/>
        <v>0.16911479158841702</v>
      </c>
      <c r="CV11" s="429">
        <f t="shared" si="12"/>
        <v>0.75746365211648614</v>
      </c>
      <c r="CW11" s="429">
        <f t="shared" si="12"/>
        <v>0.27687526961084719</v>
      </c>
      <c r="CX11" s="429">
        <f t="shared" si="12"/>
        <v>0.36900076139969618</v>
      </c>
      <c r="CY11" s="429">
        <f t="shared" si="12"/>
        <v>0.33772913770091995</v>
      </c>
      <c r="CZ11" s="429">
        <f t="shared" si="12"/>
        <v>0.30540480373242995</v>
      </c>
      <c r="DB11" s="316" t="s">
        <v>218</v>
      </c>
      <c r="DC11" s="430"/>
      <c r="DD11" s="429">
        <f t="shared" ref="DD11:DJ11" si="13">DD10/DC10-1</f>
        <v>0.52234709502056864</v>
      </c>
      <c r="DE11" s="429">
        <f t="shared" si="13"/>
        <v>0.27053384689290993</v>
      </c>
      <c r="DF11" s="429">
        <f t="shared" si="13"/>
        <v>0.94384492324713487</v>
      </c>
      <c r="DG11" s="429">
        <f t="shared" si="13"/>
        <v>0.29145446620926241</v>
      </c>
      <c r="DH11" s="429">
        <f t="shared" si="13"/>
        <v>0.38684862156402278</v>
      </c>
      <c r="DI11" s="429">
        <f t="shared" si="13"/>
        <v>0.35783457059068335</v>
      </c>
      <c r="DJ11" s="429">
        <f t="shared" si="13"/>
        <v>0.32827559796099237</v>
      </c>
      <c r="DL11" s="316" t="s">
        <v>218</v>
      </c>
      <c r="DM11" s="430"/>
      <c r="DN11" s="429">
        <f t="shared" ref="DN11:DT11" si="14">DN10/DM10-1</f>
        <v>0.37971552165172096</v>
      </c>
      <c r="DO11" s="429">
        <f t="shared" si="14"/>
        <v>5.9495818823723123E-2</v>
      </c>
      <c r="DP11" s="429">
        <f t="shared" si="14"/>
        <v>1.2580093160715262</v>
      </c>
      <c r="DQ11" s="429">
        <f t="shared" si="14"/>
        <v>0.52638415438714858</v>
      </c>
      <c r="DR11" s="429">
        <f t="shared" si="14"/>
        <v>0.62743724720934146</v>
      </c>
      <c r="DS11" s="429">
        <f t="shared" si="14"/>
        <v>0.58581722357194699</v>
      </c>
      <c r="DT11" s="429">
        <f t="shared" si="14"/>
        <v>0.54704404184366884</v>
      </c>
      <c r="DV11" s="316" t="s">
        <v>218</v>
      </c>
      <c r="DW11" s="430"/>
      <c r="DX11" s="429">
        <f t="shared" ref="DX11:ED11" si="15">DX10/DW10-1</f>
        <v>0.46678569327373309</v>
      </c>
      <c r="DY11" s="429">
        <f t="shared" si="15"/>
        <v>0.16603070156084487</v>
      </c>
      <c r="DZ11" s="429">
        <f t="shared" si="15"/>
        <v>0.97675785309607877</v>
      </c>
      <c r="EA11" s="429">
        <f t="shared" si="15"/>
        <v>0.368636494265971</v>
      </c>
      <c r="EB11" s="429">
        <f t="shared" si="15"/>
        <v>0.47500000000000009</v>
      </c>
      <c r="EC11" s="429">
        <f t="shared" si="15"/>
        <v>0.45000000000000018</v>
      </c>
      <c r="ED11" s="429">
        <f t="shared" si="15"/>
        <v>0.42500000000000004</v>
      </c>
      <c r="EF11" s="108" t="s">
        <v>503</v>
      </c>
      <c r="EG11" s="280"/>
      <c r="EH11" s="280"/>
      <c r="EI11" s="280"/>
      <c r="EJ11" s="280"/>
      <c r="EK11" s="280"/>
      <c r="EL11" s="280"/>
      <c r="EM11" s="280"/>
      <c r="EN11" s="280"/>
      <c r="EP11" s="110" t="s">
        <v>422</v>
      </c>
      <c r="EQ11" s="320">
        <f>Expenses!D126/1000000</f>
        <v>1.4631393700000002</v>
      </c>
      <c r="ER11" s="320">
        <f>Expenses!E126/1000000</f>
        <v>0.41169493999999995</v>
      </c>
      <c r="ES11" s="320">
        <f>Expenses!F126/1000000</f>
        <v>0.25220658000000001</v>
      </c>
      <c r="ET11" s="320">
        <f>Expenses!G126/1000000</f>
        <v>0.38025637000000001</v>
      </c>
      <c r="EU11" s="320">
        <f>Expenses!H126/1000000</f>
        <v>1.3802563700000001</v>
      </c>
      <c r="EV11" s="320">
        <f>Expenses!I126/1000000</f>
        <v>1.5182820070000003</v>
      </c>
      <c r="EW11" s="320">
        <f>Expenses!J126/1000000</f>
        <v>1.6701102077000003</v>
      </c>
      <c r="EX11" s="320">
        <f>Expenses!K126/1000000</f>
        <v>1.8371212284700007</v>
      </c>
      <c r="FJ11" s="343" t="s">
        <v>654</v>
      </c>
      <c r="FK11" s="344">
        <f>SUM(Products!D99+Products!D105)/1000000</f>
        <v>6.1574505699999991</v>
      </c>
      <c r="FL11" s="344">
        <f>SUM(Products!E99+Products!E105)/1000000</f>
        <v>9.2818669909150007</v>
      </c>
      <c r="FM11" s="344">
        <f t="shared" ref="FM11:FR11" si="16">SUM(FM7:FM10)</f>
        <v>10.851567992634999</v>
      </c>
      <c r="FN11" s="344">
        <f t="shared" si="16"/>
        <v>19.071236315526672</v>
      </c>
      <c r="FO11" s="344">
        <f t="shared" si="16"/>
        <v>24.351590012200298</v>
      </c>
      <c r="FP11" s="344">
        <f t="shared" si="16"/>
        <v>33.337345267995438</v>
      </c>
      <c r="FQ11" s="344">
        <f t="shared" si="16"/>
        <v>44.596338138593389</v>
      </c>
      <c r="FR11" s="344">
        <f t="shared" si="16"/>
        <v>58.216274034995571</v>
      </c>
      <c r="FT11" s="343" t="s">
        <v>654</v>
      </c>
      <c r="FU11" s="344">
        <f>SUM(Products!D173,Products!D179)/1000000</f>
        <v>6.0305972599999995</v>
      </c>
      <c r="FV11" s="344">
        <f>SUM(Products!E173,Products!E179)/1000000</f>
        <v>9.1806622200000003</v>
      </c>
      <c r="FW11" s="344">
        <f t="shared" ref="FW11:GB11" si="17">SUM(FW7:FW10)</f>
        <v>11.664342087400998</v>
      </c>
      <c r="FX11" s="344">
        <f t="shared" si="17"/>
        <v>22.673672149612333</v>
      </c>
      <c r="FY11" s="344">
        <f t="shared" si="17"/>
        <v>29.282015162981413</v>
      </c>
      <c r="FZ11" s="344">
        <f t="shared" si="17"/>
        <v>40.60972236539758</v>
      </c>
      <c r="GA11" s="344">
        <f t="shared" si="17"/>
        <v>55.141284929826497</v>
      </c>
      <c r="GB11" s="344">
        <f t="shared" si="17"/>
        <v>73.242823212502771</v>
      </c>
      <c r="GD11" s="343" t="s">
        <v>654</v>
      </c>
      <c r="GE11" s="344">
        <f>SUM(Products!D247,Products!D253)/1000000</f>
        <v>6.7218774699999999</v>
      </c>
      <c r="GF11" s="344">
        <f>SUM(Products!E247,Products!E253)/1000000</f>
        <v>9.2742786800000001</v>
      </c>
      <c r="GG11" s="344">
        <f t="shared" ref="GG11:GL11" si="18">SUM(GG7:GG10)</f>
        <v>9.8260594840659987</v>
      </c>
      <c r="GH11" s="344">
        <f t="shared" si="18"/>
        <v>22.187333855294</v>
      </c>
      <c r="GI11" s="344">
        <f t="shared" si="18"/>
        <v>33.866394824818279</v>
      </c>
      <c r="GJ11" s="344">
        <f t="shared" si="18"/>
        <v>55.115432366606967</v>
      </c>
      <c r="GK11" s="344">
        <f t="shared" si="18"/>
        <v>87.403001931580093</v>
      </c>
      <c r="GL11" s="344">
        <f t="shared" si="18"/>
        <v>135.21629337750164</v>
      </c>
      <c r="GN11" s="343" t="s">
        <v>654</v>
      </c>
      <c r="GO11" s="344">
        <f>SUM(Products!N247,Products!N253)/1000000</f>
        <v>1.1408415000000001</v>
      </c>
      <c r="GP11" s="344">
        <f>SUM(Products!O247,Products!O253)/1000000</f>
        <v>1.4172599699999999</v>
      </c>
      <c r="GQ11" s="344">
        <f t="shared" ref="GQ11:GV11" si="19">SUM(GQ7:GQ10)</f>
        <v>32.341969564102001</v>
      </c>
      <c r="GR11" s="344">
        <f t="shared" si="19"/>
        <v>63.932242320432998</v>
      </c>
      <c r="GS11" s="344">
        <f t="shared" si="19"/>
        <v>87.5</v>
      </c>
      <c r="GT11" s="344">
        <f t="shared" si="19"/>
        <v>129.0625</v>
      </c>
      <c r="GU11" s="344">
        <f t="shared" si="19"/>
        <v>187.14062499999997</v>
      </c>
      <c r="GV11" s="344">
        <f t="shared" si="19"/>
        <v>266.67539062499998</v>
      </c>
      <c r="GX11" s="388" t="s">
        <v>608</v>
      </c>
      <c r="GY11" s="390">
        <f>Geo!D46/1000000</f>
        <v>5.6141302335810943</v>
      </c>
      <c r="GZ11" s="390">
        <f>Geo!E46/1000000</f>
        <v>8.3804609876967362</v>
      </c>
      <c r="HA11" s="390">
        <f>Geo!F46/1000000</f>
        <v>10.564572714894977</v>
      </c>
      <c r="HB11" s="390">
        <f>Geo!G46/1000000</f>
        <v>20.455666285903451</v>
      </c>
      <c r="HC11" s="390">
        <f>Geo!H46/1000000</f>
        <v>25.033685694217592</v>
      </c>
      <c r="HD11" s="390">
        <f>Geo!I46/1000000</f>
        <v>32.687446379422788</v>
      </c>
      <c r="HE11" s="390">
        <f>Geo!J46/1000000</f>
        <v>41.627080471818203</v>
      </c>
      <c r="HF11" s="390">
        <f>Geo!K46/1000000</f>
        <v>51.630094044449535</v>
      </c>
    </row>
    <row r="12" spans="2:214" ht="15" customHeight="1" x14ac:dyDescent="0.25">
      <c r="M12" s="110" t="s">
        <v>1</v>
      </c>
      <c r="N12" s="136">
        <f>Forecast!D35/1000000</f>
        <v>0.95219213000000014</v>
      </c>
      <c r="O12" s="136">
        <f>Forecast!E35/1000000</f>
        <v>2.3920313499999999</v>
      </c>
      <c r="P12" s="136">
        <f>Forecast!F35/1000000</f>
        <v>2.5542433099999999</v>
      </c>
      <c r="Q12" s="136">
        <f>Forecast!G35/1000000</f>
        <v>4.9280510796406185</v>
      </c>
      <c r="R12" s="136">
        <f>Forecast!H35/1000000</f>
        <v>9.4500000000000011</v>
      </c>
      <c r="S12" s="136">
        <f>Forecast!I35/1000000</f>
        <v>13.938750000000004</v>
      </c>
      <c r="T12" s="136">
        <f>Forecast!J35/1000000</f>
        <v>20.211187500000005</v>
      </c>
      <c r="U12" s="111">
        <f>Forecast!K35/1000000</f>
        <v>28.800942187499999</v>
      </c>
      <c r="X12" s="124"/>
      <c r="Y12" s="124"/>
      <c r="Z12" s="124"/>
      <c r="AA12" s="124"/>
      <c r="AB12" s="124"/>
      <c r="AC12" s="124"/>
      <c r="AD12" s="124"/>
      <c r="AE12" s="129"/>
      <c r="AG12" s="104" t="s">
        <v>49</v>
      </c>
      <c r="AH12" s="149">
        <f>Forecast!D99</f>
        <v>-0.12127659574468085</v>
      </c>
      <c r="AI12" s="149">
        <f>Forecast!E99</f>
        <v>-0.15658362989323843</v>
      </c>
      <c r="AJ12" s="149">
        <f>Forecast!F99</f>
        <v>-0.15340086830680175</v>
      </c>
      <c r="AK12" s="149">
        <f>Forecast!G99</f>
        <v>-0.1590755293130196</v>
      </c>
      <c r="AL12" s="149">
        <f>Forecast!H99</f>
        <v>-0.10833407744543999</v>
      </c>
      <c r="AM12" s="149">
        <f>Forecast!I99</f>
        <v>-9.8734223006669716E-2</v>
      </c>
      <c r="AN12" s="149">
        <f>Forecast!J99</f>
        <v>-8.2329466465480575E-2</v>
      </c>
      <c r="AO12" s="150">
        <f>Forecast!K99</f>
        <v>-6.6835561514149308E-2</v>
      </c>
      <c r="AQ12" s="431" t="s">
        <v>288</v>
      </c>
      <c r="AR12" s="155">
        <v>0.16</v>
      </c>
      <c r="AS12" s="155">
        <v>0.16</v>
      </c>
      <c r="AT12" s="155">
        <v>0.16</v>
      </c>
      <c r="AU12" s="155">
        <v>0.16</v>
      </c>
      <c r="AV12" s="155">
        <v>0.16</v>
      </c>
      <c r="AW12" s="155">
        <v>0.16</v>
      </c>
      <c r="AX12" s="155">
        <v>0.16</v>
      </c>
      <c r="AY12" s="156">
        <v>0.16</v>
      </c>
      <c r="BK12" s="163" t="s">
        <v>5</v>
      </c>
      <c r="BL12" s="427">
        <f>Forecast!D35/1000000</f>
        <v>0.95219213000000014</v>
      </c>
      <c r="BM12" s="427">
        <f>Forecast!E35/1000000</f>
        <v>2.3920313499999999</v>
      </c>
      <c r="BN12" s="427">
        <f>Forecast!F35/1000000</f>
        <v>2.5542433099999999</v>
      </c>
      <c r="BO12" s="427">
        <f>Forecast!G35/1000000</f>
        <v>4.9280510796406185</v>
      </c>
      <c r="BP12" s="427">
        <f>Forecast!H35/1000000</f>
        <v>9.4500000000000011</v>
      </c>
      <c r="BQ12" s="427">
        <f>Forecast!I35/1000000</f>
        <v>13.938750000000004</v>
      </c>
      <c r="BR12" s="427">
        <f>Forecast!J35/1000000</f>
        <v>20.211187500000005</v>
      </c>
      <c r="BS12" s="427">
        <f>Forecast!K35/1000000</f>
        <v>28.800942187499999</v>
      </c>
      <c r="BW12" s="163"/>
      <c r="BX12" s="163"/>
      <c r="BY12" s="163"/>
      <c r="BZ12" s="163"/>
      <c r="CA12" s="163"/>
      <c r="CB12" s="163"/>
      <c r="CC12" s="163"/>
      <c r="CD12" s="163"/>
      <c r="CE12" s="163"/>
      <c r="CG12" s="163" t="s">
        <v>42</v>
      </c>
      <c r="CH12" s="106">
        <f>Expenses!D160</f>
        <v>14</v>
      </c>
      <c r="CI12" s="106">
        <f>Expenses!E160</f>
        <v>27</v>
      </c>
      <c r="CJ12" s="106">
        <f>Expenses!F160</f>
        <v>34</v>
      </c>
      <c r="CK12" s="106">
        <f>Expenses!G160</f>
        <v>62</v>
      </c>
      <c r="CL12" s="106">
        <f>Expenses!H160</f>
        <v>84.517426343112305</v>
      </c>
      <c r="CM12" s="106">
        <f>Expenses!I160</f>
        <v>111.85146984273774</v>
      </c>
      <c r="CN12" s="106">
        <f>Expenses!J160</f>
        <v>139.46086583912569</v>
      </c>
      <c r="CO12" s="106">
        <f>Expenses!K160</f>
        <v>171.18691657506142</v>
      </c>
      <c r="EF12" s="110" t="s">
        <v>349</v>
      </c>
      <c r="EG12" s="280">
        <f>Expenses!D101/1000000</f>
        <v>8.6365750200000022</v>
      </c>
      <c r="EH12" s="280">
        <f>Expenses!E101/1000000</f>
        <v>13.827182149999999</v>
      </c>
      <c r="EI12" s="280">
        <f>Expenses!F101/1000000</f>
        <v>17.832406740000003</v>
      </c>
      <c r="EJ12" s="280">
        <f>Expenses!G101/1000000</f>
        <v>30.661030333482653</v>
      </c>
      <c r="EK12" s="280">
        <f>Expenses!H101/1000000</f>
        <v>48.683827027474301</v>
      </c>
      <c r="EL12" s="280">
        <f>Expenses!I101/1000000</f>
        <v>68.752563237024162</v>
      </c>
      <c r="EM12" s="280">
        <f>Expenses!J101/1000000</f>
        <v>92.176716844951358</v>
      </c>
      <c r="EN12" s="280">
        <f>Expenses!K101/1000000</f>
        <v>119.81034042109951</v>
      </c>
      <c r="EP12"/>
      <c r="EZ12" s="110"/>
      <c r="FA12" s="338"/>
      <c r="FB12" s="338"/>
      <c r="FC12" s="338"/>
      <c r="FD12" s="338"/>
      <c r="FE12" s="338"/>
      <c r="FF12" s="338"/>
      <c r="FG12" s="338"/>
      <c r="FH12" s="338"/>
      <c r="FJ12" s="322" t="s">
        <v>655</v>
      </c>
      <c r="FK12" s="355"/>
      <c r="FL12" s="355"/>
      <c r="FM12" s="352">
        <f t="shared" ref="FM12:FR15" si="20">FM7/FM$11</f>
        <v>0.97000000000000008</v>
      </c>
      <c r="FN12" s="352">
        <f t="shared" si="20"/>
        <v>0.94999999999999984</v>
      </c>
      <c r="FO12" s="352">
        <f t="shared" si="20"/>
        <v>0.91500000000000004</v>
      </c>
      <c r="FP12" s="352">
        <f t="shared" si="20"/>
        <v>0.81576398543440254</v>
      </c>
      <c r="FQ12" s="352">
        <f t="shared" si="20"/>
        <v>0.79576398543440241</v>
      </c>
      <c r="FR12" s="352">
        <f t="shared" si="20"/>
        <v>0.79576398543440241</v>
      </c>
      <c r="FT12" s="322" t="s">
        <v>655</v>
      </c>
      <c r="FU12" s="355"/>
      <c r="FV12" s="355"/>
      <c r="FW12" s="352">
        <f t="shared" ref="FW12:GB15" si="21">FW7/FW$11</f>
        <v>0.95</v>
      </c>
      <c r="FX12" s="352">
        <f t="shared" si="21"/>
        <v>0.87328862344486369</v>
      </c>
      <c r="FY12" s="352">
        <f t="shared" si="21"/>
        <v>0.81291937919900004</v>
      </c>
      <c r="FZ12" s="352">
        <f t="shared" si="21"/>
        <v>0.57291937919900005</v>
      </c>
      <c r="GA12" s="352">
        <f t="shared" si="21"/>
        <v>0.52291937919900022</v>
      </c>
      <c r="GB12" s="352">
        <f t="shared" si="21"/>
        <v>0.522919379199</v>
      </c>
      <c r="GD12" s="322" t="s">
        <v>655</v>
      </c>
      <c r="GE12" s="355"/>
      <c r="GF12" s="355"/>
      <c r="GG12" s="352">
        <f t="shared" ref="GG12:GL15" si="22">GG7/GG$11</f>
        <v>0.95</v>
      </c>
      <c r="GH12" s="352">
        <f t="shared" si="22"/>
        <v>0.87028862344486368</v>
      </c>
      <c r="GI12" s="352">
        <f t="shared" si="22"/>
        <v>0.81291937919900004</v>
      </c>
      <c r="GJ12" s="352">
        <f t="shared" si="22"/>
        <v>0.52291937919900011</v>
      </c>
      <c r="GK12" s="352">
        <f t="shared" si="22"/>
        <v>0.32291937919900005</v>
      </c>
      <c r="GL12" s="352">
        <f t="shared" si="22"/>
        <v>0.22291937919900007</v>
      </c>
      <c r="GN12" s="322" t="s">
        <v>655</v>
      </c>
      <c r="GO12" s="355"/>
      <c r="GP12" s="355"/>
      <c r="GQ12" s="352">
        <f t="shared" ref="GQ12:GV15" si="23">GQ7/GQ$11</f>
        <v>0.95671051771978632</v>
      </c>
      <c r="GR12" s="352">
        <f t="shared" si="23"/>
        <v>0.89513079162359777</v>
      </c>
      <c r="GS12" s="352">
        <f t="shared" si="23"/>
        <v>0.84132881263827808</v>
      </c>
      <c r="GT12" s="352">
        <f t="shared" si="23"/>
        <v>0.61429485903403858</v>
      </c>
      <c r="GU12" s="352">
        <f t="shared" si="23"/>
        <v>0.49453040664239645</v>
      </c>
      <c r="GV12" s="352">
        <f t="shared" si="23"/>
        <v>0.43036906328932462</v>
      </c>
      <c r="GX12" s="388" t="s">
        <v>313</v>
      </c>
      <c r="GY12" s="391">
        <f>Geo!D47/1000000</f>
        <v>6.3013715085175628</v>
      </c>
      <c r="GZ12" s="391">
        <f>Geo!E47/1000000</f>
        <v>8.456036024566135</v>
      </c>
      <c r="HA12" s="391">
        <f>Geo!F47/1000000</f>
        <v>8.9335098692253379</v>
      </c>
      <c r="HB12" s="391">
        <f>Geo!G47/1000000</f>
        <v>20.061095555376223</v>
      </c>
      <c r="HC12" s="391">
        <f>Geo!H47/1000000</f>
        <v>28.952948727127755</v>
      </c>
      <c r="HD12" s="391">
        <f>Geo!I47/1000000</f>
        <v>44.363335556739656</v>
      </c>
      <c r="HE12" s="391">
        <f>Geo!J47/1000000</f>
        <v>65.981991524400527</v>
      </c>
      <c r="HF12" s="391">
        <f>Geo!K47/1000000</f>
        <v>95.316232187928193</v>
      </c>
    </row>
    <row r="13" spans="2:214" ht="15" customHeight="1" x14ac:dyDescent="0.25">
      <c r="N13" s="137"/>
      <c r="O13" s="137"/>
      <c r="P13" s="137"/>
      <c r="Q13" s="137"/>
      <c r="R13" s="137"/>
      <c r="S13" s="137"/>
      <c r="T13" s="137"/>
      <c r="U13" s="112"/>
      <c r="W13" s="104" t="s">
        <v>273</v>
      </c>
      <c r="X13" s="125">
        <f>Forecast!D14/1000000-Forecast!D9/1000000</f>
        <v>17.456179890000001</v>
      </c>
      <c r="Y13" s="125">
        <f>Forecast!E14/1000000-Forecast!E9/1000000</f>
        <v>24.807818900914992</v>
      </c>
      <c r="Z13" s="125">
        <f>Forecast!F14/1000000-Forecast!F9/1000000</f>
        <v>26.616190427434994</v>
      </c>
      <c r="AA13" s="125">
        <f>Forecast!G14/1000000-Forecast!G9/1000000</f>
        <v>57.267410957919978</v>
      </c>
      <c r="AB13" s="125">
        <f>Forecast!H14/1000000-Forecast!H9/1000000</f>
        <v>76.357630782808741</v>
      </c>
      <c r="AC13" s="125">
        <f>Forecast!I14/1000000-Forecast!I9/1000000</f>
        <v>111.68783260385698</v>
      </c>
      <c r="AD13" s="125">
        <f>Forecast!J14/1000000-Forecast!J9/1000000</f>
        <v>161.88909227789981</v>
      </c>
      <c r="AE13" s="130">
        <f>Forecast!K14/1000000-Forecast!K9/1000000</f>
        <v>230.66061245628038</v>
      </c>
      <c r="AP13" s="153"/>
      <c r="AZ13" s="153"/>
      <c r="BK13" s="161"/>
      <c r="BL13" s="270"/>
      <c r="BM13" s="270"/>
      <c r="BN13" s="270"/>
      <c r="BO13" s="270"/>
      <c r="BP13" s="270"/>
      <c r="BQ13" s="271"/>
      <c r="BR13" s="271"/>
      <c r="BS13" s="271"/>
      <c r="BV13" s="104" t="s">
        <v>576</v>
      </c>
      <c r="BW13" s="106">
        <f>Expenses!D70</f>
        <v>70.083333333333329</v>
      </c>
      <c r="BX13" s="106">
        <f>Expenses!E70</f>
        <v>108.41666666666667</v>
      </c>
      <c r="BY13" s="106">
        <f>Expenses!F70</f>
        <v>130.41666666666666</v>
      </c>
      <c r="BZ13" s="106">
        <f>Expenses!G70</f>
        <v>224.41666666666666</v>
      </c>
      <c r="CA13" s="106">
        <f>Expenses!H70</f>
        <v>307.14483992152162</v>
      </c>
      <c r="CB13" s="106">
        <f>Expenses!I70</f>
        <v>411.85330807658585</v>
      </c>
      <c r="CC13" s="106">
        <f>Expenses!J70</f>
        <v>519.29330148786914</v>
      </c>
      <c r="CD13" s="106">
        <f>Expenses!K70</f>
        <v>643.4721344523598</v>
      </c>
      <c r="CE13" s="163"/>
      <c r="CG13" s="163" t="s">
        <v>14</v>
      </c>
      <c r="CH13" s="106">
        <f>Expenses!D161</f>
        <v>18</v>
      </c>
      <c r="CI13" s="106">
        <f>Expenses!E161</f>
        <v>25</v>
      </c>
      <c r="CJ13" s="106">
        <f>Expenses!F161</f>
        <v>33</v>
      </c>
      <c r="CK13" s="106">
        <f>Expenses!G161</f>
        <v>73</v>
      </c>
      <c r="CL13" s="106">
        <f>Expenses!H161</f>
        <v>86.035779865882589</v>
      </c>
      <c r="CM13" s="106">
        <f>Expenses!I161</f>
        <v>109.11667551353887</v>
      </c>
      <c r="CN13" s="106">
        <f>Expenses!J161</f>
        <v>136.05101538675126</v>
      </c>
      <c r="CO13" s="106">
        <f>Expenses!K161</f>
        <v>167.00135683820011</v>
      </c>
      <c r="CR13" s="104" t="s">
        <v>624</v>
      </c>
      <c r="CS13" s="317">
        <f>ARR!D8/SUM(ARR!D8:D9)</f>
        <v>0.92868615590039572</v>
      </c>
      <c r="CT13" s="317">
        <f>ARR!E8/SUM(ARR!E8:E9)</f>
        <v>0.84357617084675851</v>
      </c>
      <c r="CU13" s="317">
        <f>ARR!F8/SUM(ARR!F8:F9)</f>
        <v>0.797855863048198</v>
      </c>
      <c r="CV13" s="317">
        <f>ARR!G8/SUM(ARR!G8:G9)</f>
        <v>0.87615496628128398</v>
      </c>
      <c r="CW13" s="317">
        <f>ARR!H8/SUM(ARR!H8:H9)</f>
        <v>0.77</v>
      </c>
      <c r="CX13" s="317">
        <f>ARR!I8/SUM(ARR!I8:I9)</f>
        <v>0.75</v>
      </c>
      <c r="CY13" s="317">
        <f>ARR!J8/SUM(ARR!J8:J9)</f>
        <v>0.73</v>
      </c>
      <c r="CZ13" s="317">
        <f>ARR!K8/SUM(ARR!K8:K9)</f>
        <v>0.71</v>
      </c>
      <c r="DB13" s="104" t="s">
        <v>624</v>
      </c>
      <c r="DC13" s="317">
        <f>ARR!D19/SUM(ARR!D19:D20)</f>
        <v>0.68576084120729364</v>
      </c>
      <c r="DD13" s="317">
        <f>ARR!E19/SUM(ARR!E19:E20)</f>
        <v>0.70219356137034739</v>
      </c>
      <c r="DE13" s="317">
        <f>ARR!F19/SUM(ARR!F19:F20)</f>
        <v>0.54636879031546071</v>
      </c>
      <c r="DF13" s="317">
        <f>ARR!G19/SUM(ARR!G19:G20)</f>
        <v>0.45642616156453836</v>
      </c>
      <c r="DG13" s="317">
        <f>ARR!H19/SUM(ARR!H19:H20)</f>
        <v>0.42642616156453839</v>
      </c>
      <c r="DH13" s="317">
        <f>ARR!I19/SUM(ARR!I19:I20)</f>
        <v>0.42</v>
      </c>
      <c r="DI13" s="317">
        <f>ARR!J19/SUM(ARR!J19:J20)</f>
        <v>0.38999999999999996</v>
      </c>
      <c r="DJ13" s="317">
        <f>ARR!K19/SUM(ARR!K19:K20)</f>
        <v>0.36000000000000004</v>
      </c>
      <c r="DL13" s="104" t="s">
        <v>624</v>
      </c>
      <c r="DM13" s="317">
        <f>ARR!D30/SUM(ARR!D30:D31)</f>
        <v>0.4548410044136077</v>
      </c>
      <c r="DN13" s="317">
        <f>ARR!E30/SUM(ARR!E30:E31)</f>
        <v>0.29654216515305315</v>
      </c>
      <c r="DO13" s="317">
        <f>ARR!F30/SUM(ARR!F30:F31)</f>
        <v>0.23943315552853389</v>
      </c>
      <c r="DP13" s="317">
        <f>ARR!G30/SUM(ARR!G30:G31)</f>
        <v>0.26086210497762574</v>
      </c>
      <c r="DQ13" s="317">
        <f>ARR!H30/SUM(ARR!H30:H31)</f>
        <v>0.19999999999999998</v>
      </c>
      <c r="DR13" s="317">
        <f>ARR!I30/SUM(ARR!I30:I31)</f>
        <v>0.18</v>
      </c>
      <c r="DS13" s="317">
        <f>ARR!J30/SUM(ARR!J30:J31)</f>
        <v>0.16</v>
      </c>
      <c r="DT13" s="317">
        <f>ARR!K30/SUM(ARR!K30:K31)</f>
        <v>0.15</v>
      </c>
      <c r="DV13" s="104" t="s">
        <v>624</v>
      </c>
      <c r="DW13" s="317">
        <f>ARR!D41/SUM(ARR!D41:D42)</f>
        <v>0.68277752794718871</v>
      </c>
      <c r="DX13" s="317">
        <f>ARR!E41/SUM(ARR!E41:E42)</f>
        <v>0.6138694279986705</v>
      </c>
      <c r="DY13" s="317">
        <f>ARR!F41/SUM(ARR!F41:F42)</f>
        <v>0.53749676613031816</v>
      </c>
      <c r="DZ13" s="317">
        <f>ARR!G41/SUM(ARR!G41:G42)</f>
        <v>0.51376346237786508</v>
      </c>
      <c r="EA13" s="317">
        <f>ARR!H41/SUM(ARR!H41:H42)</f>
        <v>0.43440709260780197</v>
      </c>
      <c r="EB13" s="317">
        <f>ARR!I41/SUM(ARR!I41:I42)</f>
        <v>0.40274959938365384</v>
      </c>
      <c r="EC13" s="317">
        <f>ARR!J41/SUM(ARR!J41:J42)</f>
        <v>0.36360308336502739</v>
      </c>
      <c r="ED13" s="317">
        <f>ARR!K41/SUM(ARR!K41:K42)</f>
        <v>0.32992701246923734</v>
      </c>
      <c r="EF13" s="110" t="s">
        <v>2</v>
      </c>
      <c r="EG13" s="320">
        <f>Expenses!D102/1000000</f>
        <v>0.77210938000000007</v>
      </c>
      <c r="EH13" s="320">
        <f>Expenses!E102/1000000</f>
        <v>1.02464299</v>
      </c>
      <c r="EI13" s="320">
        <f>Expenses!F102/1000000</f>
        <v>1.2691239299999999</v>
      </c>
      <c r="EJ13" s="320">
        <f>Expenses!G102/1000000</f>
        <v>1.3842525976623379</v>
      </c>
      <c r="EK13" s="320">
        <f>Expenses!H102/1000000</f>
        <v>2.1979272481698953</v>
      </c>
      <c r="EL13" s="320">
        <f>Expenses!I102/1000000</f>
        <v>3.1039698673421832</v>
      </c>
      <c r="EM13" s="320">
        <f>Expenses!J102/1000000</f>
        <v>4.1614994130602199</v>
      </c>
      <c r="EN13" s="320">
        <f>Expenses!K102/1000000</f>
        <v>5.4090737705446861</v>
      </c>
      <c r="EP13" s="108" t="s">
        <v>481</v>
      </c>
      <c r="EZ13" s="110" t="s">
        <v>296</v>
      </c>
      <c r="FA13" s="280">
        <f>(Products!D174+Products!D180+Products!D248+Products!D254+Products!D100+Products!D106)/1000000</f>
        <v>18.149152552099999</v>
      </c>
      <c r="FB13" s="280">
        <f>(Products!E174+Products!E180+Products!E248+Products!E254+Products!E100+Products!E106)/1000000</f>
        <v>26.628423506096702</v>
      </c>
      <c r="FC13" s="280">
        <f>(Products!F174+Products!F180+Products!F248+Products!F254+Products!F100+Products!F106)/1000000</f>
        <v>30.941902445749598</v>
      </c>
      <c r="FD13" s="280">
        <f>(Products!G174+Products!G180+Products!G248+Products!G254+Products!G100+Products!G106)/1000000</f>
        <v>57.227718678560876</v>
      </c>
      <c r="FE13" s="280">
        <f>(Products!H174+Products!H180+Products!H248+Products!H254+Products!H100+Products!H106)/1000000</f>
        <v>73.616271105849322</v>
      </c>
      <c r="FF13" s="280">
        <f>(Products!I174+Products!I180+Products!I248+Products!I254+Products!I100+Products!I106)/1000000</f>
        <v>79.282430244080601</v>
      </c>
      <c r="FG13" s="280">
        <f>(Products!J174+Products!J180+Products!J248+Products!J254+Products!J100+Products!J106)/1000000</f>
        <v>92.546729380562212</v>
      </c>
      <c r="FH13" s="280">
        <f>(Products!K174+Products!K180+Products!K248+Products!K254+Products!K100+Products!K106)/1000000</f>
        <v>114.76883806559599</v>
      </c>
      <c r="FJ13" s="322" t="s">
        <v>656</v>
      </c>
      <c r="FK13" s="355"/>
      <c r="FL13" s="355"/>
      <c r="FM13" s="352">
        <f t="shared" si="20"/>
        <v>0.02</v>
      </c>
      <c r="FN13" s="352">
        <f t="shared" si="20"/>
        <v>2.9999999999999992E-2</v>
      </c>
      <c r="FO13" s="352">
        <f t="shared" si="20"/>
        <v>4.4999999999999991E-2</v>
      </c>
      <c r="FP13" s="352">
        <f t="shared" si="20"/>
        <v>0.13</v>
      </c>
      <c r="FQ13" s="352">
        <f t="shared" si="20"/>
        <v>0.15</v>
      </c>
      <c r="FR13" s="352">
        <f t="shared" si="20"/>
        <v>0.15</v>
      </c>
      <c r="FT13" s="322" t="s">
        <v>656</v>
      </c>
      <c r="FU13" s="355"/>
      <c r="FV13" s="355"/>
      <c r="FW13" s="352">
        <f t="shared" si="21"/>
        <v>2.0000000000000007E-2</v>
      </c>
      <c r="FX13" s="352">
        <f t="shared" si="21"/>
        <v>3.0000000000000002E-2</v>
      </c>
      <c r="FY13" s="352">
        <f t="shared" si="21"/>
        <v>4.5000000000000005E-2</v>
      </c>
      <c r="FZ13" s="352">
        <f t="shared" si="21"/>
        <v>0.125</v>
      </c>
      <c r="GA13" s="352">
        <f t="shared" si="21"/>
        <v>0.125</v>
      </c>
      <c r="GB13" s="352">
        <f t="shared" si="21"/>
        <v>0.12499999999999996</v>
      </c>
      <c r="GD13" s="322" t="s">
        <v>656</v>
      </c>
      <c r="GE13" s="355"/>
      <c r="GF13" s="355"/>
      <c r="GG13" s="352">
        <f t="shared" si="22"/>
        <v>0.02</v>
      </c>
      <c r="GH13" s="352">
        <f t="shared" si="22"/>
        <v>2.9999999999999992E-2</v>
      </c>
      <c r="GI13" s="352">
        <f t="shared" si="22"/>
        <v>4.5000000000000005E-2</v>
      </c>
      <c r="GJ13" s="352">
        <f t="shared" si="22"/>
        <v>0.12499999999999999</v>
      </c>
      <c r="GK13" s="352">
        <f t="shared" si="22"/>
        <v>0.12499999999999999</v>
      </c>
      <c r="GL13" s="352">
        <f t="shared" si="22"/>
        <v>0.125</v>
      </c>
      <c r="GN13" s="322" t="s">
        <v>656</v>
      </c>
      <c r="GO13" s="355"/>
      <c r="GP13" s="355"/>
      <c r="GQ13" s="352">
        <f t="shared" si="23"/>
        <v>1.9999999999999997E-2</v>
      </c>
      <c r="GR13" s="352">
        <f t="shared" si="23"/>
        <v>0.03</v>
      </c>
      <c r="GS13" s="352">
        <f t="shared" si="23"/>
        <v>4.4999999999999998E-2</v>
      </c>
      <c r="GT13" s="352">
        <f t="shared" si="23"/>
        <v>0.12629151942926858</v>
      </c>
      <c r="GU13" s="352">
        <f t="shared" si="23"/>
        <v>0.13095759714634295</v>
      </c>
      <c r="GV13" s="352">
        <f t="shared" si="23"/>
        <v>0.13045759714634295</v>
      </c>
      <c r="GX13" s="392" t="s">
        <v>705</v>
      </c>
      <c r="GY13" s="393">
        <f t="shared" ref="GY13:HF13" si="24">SUM(GY10:GY12)</f>
        <v>17.690805445918045</v>
      </c>
      <c r="GZ13" s="393">
        <f t="shared" si="24"/>
        <v>25.257922055886969</v>
      </c>
      <c r="HA13" s="393">
        <f t="shared" si="24"/>
        <v>29.265584490861926</v>
      </c>
      <c r="HB13" s="393">
        <f t="shared" si="24"/>
        <v>57.694658366218405</v>
      </c>
      <c r="HC13" s="393">
        <f t="shared" si="24"/>
        <v>74.805216992484276</v>
      </c>
      <c r="HD13" s="393">
        <f t="shared" si="24"/>
        <v>103.88457006391431</v>
      </c>
      <c r="HE13" s="393">
        <f t="shared" si="24"/>
        <v>141.27559534267573</v>
      </c>
      <c r="HF13" s="393">
        <f t="shared" si="24"/>
        <v>187.98395383206295</v>
      </c>
    </row>
    <row r="14" spans="2:214" ht="15" customHeight="1" x14ac:dyDescent="0.25">
      <c r="M14" s="108" t="s">
        <v>263</v>
      </c>
      <c r="N14" s="135">
        <f>Forecast!D37/1000000</f>
        <v>12.81358034</v>
      </c>
      <c r="O14" s="135">
        <f>Forecast!E37/1000000</f>
        <v>25.153311370000001</v>
      </c>
      <c r="P14" s="135">
        <f>Forecast!F37/1000000</f>
        <v>43.200932836000007</v>
      </c>
      <c r="Q14" s="135">
        <f>Forecast!G37/1000000</f>
        <v>67.603877088889845</v>
      </c>
      <c r="R14" s="135">
        <f>Forecast!H37/1000000</f>
        <v>125.16471485769277</v>
      </c>
      <c r="S14" s="135">
        <f>Forecast!I37/1000000</f>
        <v>195.4830232637799</v>
      </c>
      <c r="T14" s="135">
        <f>Forecast!J37/1000000</f>
        <v>298.41617879423467</v>
      </c>
      <c r="U14" s="109">
        <f>Forecast!K37/1000000</f>
        <v>448.41465328953956</v>
      </c>
      <c r="W14" s="104" t="s">
        <v>274</v>
      </c>
      <c r="X14" s="125">
        <f>Forecast!D43/1000000</f>
        <v>21.897839319999999</v>
      </c>
      <c r="Y14" s="125">
        <f>Forecast!E43/1000000</f>
        <v>35.972484089999988</v>
      </c>
      <c r="Z14" s="125">
        <f>Forecast!F43/1000000</f>
        <v>41.965414965999997</v>
      </c>
      <c r="AA14" s="125">
        <f>Forecast!G43/1000000</f>
        <v>78.131728179255489</v>
      </c>
      <c r="AB14" s="125">
        <f>Forecast!H43/1000000</f>
        <v>107.49991829485127</v>
      </c>
      <c r="AC14" s="125">
        <f>Forecast!I43/1000000</f>
        <v>152.74498691895647</v>
      </c>
      <c r="AD14" s="125">
        <f>Forecast!J43/1000000</f>
        <v>205.76416863084327</v>
      </c>
      <c r="AE14" s="130">
        <f>Forecast!K43/1000000</f>
        <v>272.85145368555015</v>
      </c>
      <c r="AQ14" s="104" t="s">
        <v>14</v>
      </c>
      <c r="AR14" s="125">
        <f>Forecast!D45/1000000</f>
        <v>9.5554317000000015</v>
      </c>
      <c r="AS14" s="125">
        <f>Forecast!E45/1000000</f>
        <v>14.377398870000002</v>
      </c>
      <c r="AT14" s="125">
        <f>Forecast!F45/1000000</f>
        <v>16.50153525</v>
      </c>
      <c r="AU14" s="125">
        <f>Forecast!G45/1000000</f>
        <v>32.153075513169419</v>
      </c>
      <c r="AV14" s="125">
        <f>Forecast!H45/1000000</f>
        <v>49.099742379827887</v>
      </c>
      <c r="AW14" s="125">
        <f>Forecast!I45/1000000</f>
        <v>60.388487041385069</v>
      </c>
      <c r="AX14" s="125">
        <f>Forecast!J45/1000000</f>
        <v>75.862664803885707</v>
      </c>
      <c r="AY14" s="130">
        <f>Forecast!K45/1000000</f>
        <v>93.686112431114978</v>
      </c>
      <c r="BK14" s="162" t="s">
        <v>6</v>
      </c>
      <c r="BL14" s="267">
        <f>Forecast!D37/1000000</f>
        <v>12.81358034</v>
      </c>
      <c r="BM14" s="267">
        <f>Forecast!E37/1000000</f>
        <v>25.153311370000001</v>
      </c>
      <c r="BN14" s="267">
        <f>Forecast!F37/1000000</f>
        <v>43.200932836000007</v>
      </c>
      <c r="BO14" s="267">
        <f>Forecast!G37/1000000</f>
        <v>67.603877088889845</v>
      </c>
      <c r="BP14" s="267">
        <f>Forecast!H37/1000000</f>
        <v>125.16471485769277</v>
      </c>
      <c r="BQ14" s="268">
        <f>Forecast!I37/1000000</f>
        <v>195.4830232637799</v>
      </c>
      <c r="BR14" s="268">
        <f>Forecast!J37/1000000</f>
        <v>298.41617879423467</v>
      </c>
      <c r="BS14" s="268">
        <f>Forecast!K37/1000000</f>
        <v>448.41465328953956</v>
      </c>
      <c r="BV14" s="282" t="s">
        <v>578</v>
      </c>
      <c r="BW14" s="283">
        <f t="shared" ref="BW14:CD14" si="25">BW$8/BW13</f>
        <v>0.26982057502972651</v>
      </c>
      <c r="BX14" s="283">
        <f t="shared" si="25"/>
        <v>0.25583527647269794</v>
      </c>
      <c r="BY14" s="283">
        <f t="shared" si="25"/>
        <v>0.24798954298352974</v>
      </c>
      <c r="BZ14" s="283">
        <f t="shared" si="25"/>
        <v>0.28488188185859487</v>
      </c>
      <c r="CA14" s="283">
        <f t="shared" si="25"/>
        <v>0.28488188185859492</v>
      </c>
      <c r="CB14" s="283">
        <f t="shared" si="25"/>
        <v>0.31337007004445444</v>
      </c>
      <c r="CC14" s="283">
        <f t="shared" si="25"/>
        <v>0.36037558055112257</v>
      </c>
      <c r="CD14" s="283">
        <f t="shared" si="25"/>
        <v>0.41443191763379089</v>
      </c>
      <c r="CE14" s="163"/>
      <c r="CG14" s="163" t="s">
        <v>481</v>
      </c>
      <c r="CH14" s="160">
        <f>Expenses!D162</f>
        <v>9</v>
      </c>
      <c r="CI14" s="160">
        <f>Expenses!E162</f>
        <v>18</v>
      </c>
      <c r="CJ14" s="160">
        <f>Expenses!F162</f>
        <v>22</v>
      </c>
      <c r="CK14" s="160">
        <f>Expenses!G162</f>
        <v>49</v>
      </c>
      <c r="CL14" s="160">
        <f>Expenses!H162</f>
        <v>53.626605236214751</v>
      </c>
      <c r="CM14" s="160">
        <f>Expenses!I162</f>
        <v>65.646545489346835</v>
      </c>
      <c r="CN14" s="160">
        <f>Expenses!J162</f>
        <v>70.232563244688251</v>
      </c>
      <c r="CO14" s="160">
        <f>Expenses!K162</f>
        <v>79.208317250736584</v>
      </c>
      <c r="CR14" s="104" t="s">
        <v>616</v>
      </c>
      <c r="CS14" s="317">
        <f>ARR!D14</f>
        <v>0.86498869956570257</v>
      </c>
      <c r="CT14" s="317">
        <f>ARR!E14</f>
        <v>0.85906966350119651</v>
      </c>
      <c r="CU14" s="317">
        <f>ARR!F14</f>
        <v>0.83443676832600044</v>
      </c>
      <c r="CV14" s="317">
        <f>ARR!G14</f>
        <v>0.87205372828294847</v>
      </c>
      <c r="CW14" s="317">
        <f>ARR!H14</f>
        <v>0.87205372828294847</v>
      </c>
      <c r="CX14" s="317">
        <f>ARR!I14</f>
        <v>0.86</v>
      </c>
      <c r="CY14" s="317">
        <f>ARR!J14</f>
        <v>0.86</v>
      </c>
      <c r="CZ14" s="317">
        <f>ARR!K14</f>
        <v>0.86</v>
      </c>
      <c r="DB14" s="104" t="s">
        <v>616</v>
      </c>
      <c r="DC14" s="317">
        <f>ARR!D25</f>
        <v>0.91067880609610274</v>
      </c>
      <c r="DD14" s="317">
        <f>ARR!E25</f>
        <v>0.89939768153155575</v>
      </c>
      <c r="DE14" s="317">
        <f>ARR!F25</f>
        <v>0.92230171336637012</v>
      </c>
      <c r="DF14" s="317">
        <f>ARR!G25</f>
        <v>0.92310209762177919</v>
      </c>
      <c r="DG14" s="317">
        <f>ARR!H25</f>
        <v>0.92310209762177919</v>
      </c>
      <c r="DH14" s="317">
        <f>ARR!I25</f>
        <v>0.9251020976217792</v>
      </c>
      <c r="DI14" s="317">
        <f>ARR!J25</f>
        <v>0.9271020976217792</v>
      </c>
      <c r="DJ14" s="317">
        <f>ARR!K25</f>
        <v>0.9291020976217792</v>
      </c>
      <c r="DL14" s="104" t="s">
        <v>616</v>
      </c>
      <c r="DM14" s="317">
        <f>ARR!D36</f>
        <v>0.89887997605214986</v>
      </c>
      <c r="DN14" s="317">
        <f>ARR!E36</f>
        <v>0.95321929000291783</v>
      </c>
      <c r="DO14" s="317">
        <f>ARR!F36</f>
        <v>0.93037834857628077</v>
      </c>
      <c r="DP14" s="317">
        <f>ARR!G36</f>
        <v>0.95800171828669556</v>
      </c>
      <c r="DQ14" s="317">
        <f>ARR!H36</f>
        <v>0.95800171828669556</v>
      </c>
      <c r="DR14" s="317">
        <f>ARR!I36</f>
        <v>0.95900171828669556</v>
      </c>
      <c r="DS14" s="317">
        <f>ARR!J36</f>
        <v>0.96000171828669556</v>
      </c>
      <c r="DT14" s="317">
        <f>ARR!K36</f>
        <v>0.96100171828669556</v>
      </c>
      <c r="DV14" s="104" t="s">
        <v>616</v>
      </c>
      <c r="DW14" s="317">
        <f>ARR!D47</f>
        <v>0.89315597974013716</v>
      </c>
      <c r="DX14" s="317">
        <f>ARR!E47</f>
        <v>0.90570634947773054</v>
      </c>
      <c r="DY14" s="317">
        <f>ARR!F47</f>
        <v>0.8975164732792883</v>
      </c>
      <c r="DZ14" s="317">
        <f>ARR!G47</f>
        <v>0.91920087456007171</v>
      </c>
      <c r="EA14" s="317">
        <f>ARR!H47</f>
        <v>0.9202714631497203</v>
      </c>
      <c r="EB14" s="317">
        <f>ARR!I47</f>
        <v>0.91960321542335077</v>
      </c>
      <c r="EC14" s="317">
        <f>ARR!J47</f>
        <v>0.92296648459101061</v>
      </c>
      <c r="ED14" s="317">
        <f>ARR!K47</f>
        <v>0.92645368267761941</v>
      </c>
      <c r="EG14" s="280"/>
      <c r="EH14" s="280"/>
      <c r="EI14" s="280"/>
      <c r="EJ14" s="280"/>
      <c r="EK14" s="280"/>
      <c r="EL14" s="280"/>
      <c r="EM14" s="280"/>
      <c r="EN14" s="280"/>
      <c r="EP14" s="110" t="s">
        <v>349</v>
      </c>
      <c r="EQ14" s="280">
        <f>Expenses!D129/1000000</f>
        <v>0.75269416999999994</v>
      </c>
      <c r="ER14" s="280">
        <f>Expenses!E129/1000000</f>
        <v>1.5277538799999999</v>
      </c>
      <c r="ES14" s="280">
        <f>Expenses!F129/1000000</f>
        <v>2.1794821500000001</v>
      </c>
      <c r="ET14" s="280">
        <f>Expenses!G129/1000000</f>
        <v>6.7167581530035871</v>
      </c>
      <c r="EU14" s="280">
        <f>Expenses!H129/1000000</f>
        <v>8.6393290998959245</v>
      </c>
      <c r="EV14" s="280">
        <f>Expenses!I129/1000000</f>
        <v>10.383111106378788</v>
      </c>
      <c r="EW14" s="280">
        <f>Expenses!J129/1000000</f>
        <v>12.695695581431583</v>
      </c>
      <c r="EX14" s="280">
        <f>Expenses!K129/1000000</f>
        <v>14.480771029633164</v>
      </c>
      <c r="EZ14" s="110" t="s">
        <v>298</v>
      </c>
      <c r="FA14" s="320">
        <f>(Products!D175+Products!D181+Products!D249+Products!D255+Products!D101+Products!D107)/1000000</f>
        <v>0.37819850599999999</v>
      </c>
      <c r="FB14" s="320">
        <f>(Products!E175+Products!E181+Products!E249+Products!E255+Products!E101+Products!E107)/1000000</f>
        <v>0.55473615781829999</v>
      </c>
      <c r="FC14" s="320">
        <f>(Products!F175+Products!F181+Products!F249+Products!F255+Products!F101+Products!F107)/1000000</f>
        <v>0.64683939128204004</v>
      </c>
      <c r="FD14" s="320">
        <f>(Products!G175+Products!G181+Products!G249+Products!G255+Products!G101+Products!G107)/1000000</f>
        <v>1.9179672696129899</v>
      </c>
      <c r="FE14" s="320">
        <f>(Products!H175+Products!H181+Products!H249+Products!H255+Products!H101+Products!H107)/1000000</f>
        <v>3.9375</v>
      </c>
      <c r="FF14" s="320">
        <f>(Products!I175+Products!I181+Products!I249+Products!I255+Products!I101+Products!I107)/1000000</f>
        <v>16.299499226339975</v>
      </c>
      <c r="FG14" s="320">
        <f>(Products!J175+Products!J181+Products!J249+Products!J255+Products!J101+Products!J107)/1000000</f>
        <v>24.507486578464828</v>
      </c>
      <c r="FH14" s="320">
        <f>(Products!K175+Products!K181+Products!K249+Products!K255+Products!K101+Products!K107)/1000000</f>
        <v>34.789830678999884</v>
      </c>
      <c r="FJ14" s="322" t="s">
        <v>657</v>
      </c>
      <c r="FK14" s="355"/>
      <c r="FL14" s="355"/>
      <c r="FM14" s="352">
        <f t="shared" si="20"/>
        <v>0.01</v>
      </c>
      <c r="FN14" s="352">
        <f t="shared" si="20"/>
        <v>1.9999999999999997E-2</v>
      </c>
      <c r="FO14" s="352">
        <f t="shared" si="20"/>
        <v>0.04</v>
      </c>
      <c r="FP14" s="352">
        <f t="shared" si="20"/>
        <v>5.4236014565597575E-2</v>
      </c>
      <c r="FQ14" s="352">
        <f t="shared" si="20"/>
        <v>5.4236014565597575E-2</v>
      </c>
      <c r="FR14" s="352">
        <f t="shared" si="20"/>
        <v>5.4236014565597582E-2</v>
      </c>
      <c r="FT14" s="322" t="s">
        <v>657</v>
      </c>
      <c r="FU14" s="355"/>
      <c r="FV14" s="355"/>
      <c r="FW14" s="352">
        <f t="shared" si="21"/>
        <v>1.0000000000000004E-2</v>
      </c>
      <c r="FX14" s="352">
        <f t="shared" si="21"/>
        <v>4.2000000000000003E-2</v>
      </c>
      <c r="FY14" s="352">
        <f t="shared" si="21"/>
        <v>9.0000000000000011E-2</v>
      </c>
      <c r="FZ14" s="352">
        <f t="shared" si="21"/>
        <v>0.25</v>
      </c>
      <c r="GA14" s="352">
        <f t="shared" si="21"/>
        <v>0.29999999999999993</v>
      </c>
      <c r="GB14" s="352">
        <f t="shared" si="21"/>
        <v>0.29999999999999993</v>
      </c>
      <c r="GD14" s="322" t="s">
        <v>657</v>
      </c>
      <c r="GE14" s="355"/>
      <c r="GF14" s="355"/>
      <c r="GG14" s="352">
        <f t="shared" si="22"/>
        <v>0.01</v>
      </c>
      <c r="GH14" s="352">
        <f t="shared" si="22"/>
        <v>4.4999999999999998E-2</v>
      </c>
      <c r="GI14" s="352">
        <f t="shared" si="22"/>
        <v>9.0000000000000011E-2</v>
      </c>
      <c r="GJ14" s="352">
        <f t="shared" si="22"/>
        <v>0.3</v>
      </c>
      <c r="GK14" s="352">
        <f t="shared" si="22"/>
        <v>0.49999999999999994</v>
      </c>
      <c r="GL14" s="352">
        <f t="shared" si="22"/>
        <v>0.60000000000000009</v>
      </c>
      <c r="GN14" s="322" t="s">
        <v>657</v>
      </c>
      <c r="GO14" s="355"/>
      <c r="GP14" s="355"/>
      <c r="GQ14" s="352">
        <f t="shared" si="23"/>
        <v>9.9999999999999985E-3</v>
      </c>
      <c r="GR14" s="352">
        <f t="shared" si="23"/>
        <v>3.6478448048069129E-2</v>
      </c>
      <c r="GS14" s="352">
        <f t="shared" si="23"/>
        <v>7.6084805707314115E-2</v>
      </c>
      <c r="GT14" s="352">
        <f t="shared" si="23"/>
        <v>0.22078562746626512</v>
      </c>
      <c r="GU14" s="352">
        <f t="shared" si="23"/>
        <v>0.33484238972481284</v>
      </c>
      <c r="GV14" s="352">
        <f t="shared" si="23"/>
        <v>0.3984621206618647</v>
      </c>
      <c r="GX14" s="385" t="s">
        <v>708</v>
      </c>
      <c r="GY14" s="386"/>
      <c r="GZ14" s="387">
        <f t="shared" ref="GZ14:HF14" si="26">GZ13/GY13-1</f>
        <v>0.42774291046849711</v>
      </c>
      <c r="HA14" s="387">
        <f t="shared" si="26"/>
        <v>0.15866952261977052</v>
      </c>
      <c r="HB14" s="387">
        <f t="shared" si="26"/>
        <v>0.971416575815643</v>
      </c>
      <c r="HC14" s="387">
        <f t="shared" si="26"/>
        <v>0.29657093240168164</v>
      </c>
      <c r="HD14" s="387">
        <f t="shared" si="26"/>
        <v>0.3887342920795438</v>
      </c>
      <c r="HE14" s="387">
        <f t="shared" si="26"/>
        <v>0.3599285751075143</v>
      </c>
      <c r="HF14" s="387">
        <f t="shared" si="26"/>
        <v>0.33061873408561615</v>
      </c>
    </row>
    <row r="15" spans="2:214" ht="15" customHeight="1" x14ac:dyDescent="0.25">
      <c r="M15" s="110" t="s">
        <v>7</v>
      </c>
      <c r="N15" s="138">
        <f>Forecast!D38</f>
        <v>0.61118914094920107</v>
      </c>
      <c r="O15" s="138">
        <f>Forecast!E38</f>
        <v>0.58333970987737316</v>
      </c>
      <c r="P15" s="138">
        <f>Forecast!F38</f>
        <v>0.63697549095872041</v>
      </c>
      <c r="Q15" s="138">
        <f>Forecast!G38</f>
        <v>0.64477135716461365</v>
      </c>
      <c r="R15" s="138">
        <f>Forecast!H38</f>
        <v>0.71263289222586546</v>
      </c>
      <c r="S15" s="138">
        <f>Forecast!I38</f>
        <v>0.72495774812711666</v>
      </c>
      <c r="T15" s="138">
        <f>Forecast!J38</f>
        <v>0.73691542393582599</v>
      </c>
      <c r="U15" s="113">
        <f>Forecast!K38</f>
        <v>0.74894142094972704</v>
      </c>
      <c r="W15" s="431" t="s">
        <v>276</v>
      </c>
      <c r="X15" s="127">
        <f t="shared" ref="X15:AE15" si="27">X13/X14</f>
        <v>0.79716448892090974</v>
      </c>
      <c r="Y15" s="127">
        <f t="shared" si="27"/>
        <v>0.6896331884906256</v>
      </c>
      <c r="Z15" s="127">
        <f t="shared" si="27"/>
        <v>0.63424108754790565</v>
      </c>
      <c r="AA15" s="127">
        <f t="shared" si="27"/>
        <v>0.73295973725978414</v>
      </c>
      <c r="AB15" s="127">
        <f t="shared" si="27"/>
        <v>0.71030408203078521</v>
      </c>
      <c r="AC15" s="127">
        <f t="shared" si="27"/>
        <v>0.73120457081263412</v>
      </c>
      <c r="AD15" s="127">
        <f t="shared" si="27"/>
        <v>0.78677008419449979</v>
      </c>
      <c r="AE15" s="132">
        <f t="shared" si="27"/>
        <v>0.84537065623299568</v>
      </c>
      <c r="AQ15" s="431" t="s">
        <v>283</v>
      </c>
      <c r="AR15" s="155">
        <f t="shared" ref="AR15:AY15" si="28">AR14/AR$37</f>
        <v>0.45578019079418086</v>
      </c>
      <c r="AS15" s="155">
        <f t="shared" si="28"/>
        <v>0.33343155349398729</v>
      </c>
      <c r="AT15" s="155">
        <f t="shared" si="28"/>
        <v>0.24330663315404941</v>
      </c>
      <c r="AU15" s="155">
        <f t="shared" si="28"/>
        <v>0.30665966255727645</v>
      </c>
      <c r="AV15" s="155">
        <f t="shared" si="28"/>
        <v>0.27955235993997157</v>
      </c>
      <c r="AW15" s="155">
        <f t="shared" si="28"/>
        <v>0.22395347098377777</v>
      </c>
      <c r="AX15" s="155">
        <f t="shared" si="28"/>
        <v>0.18733691993758936</v>
      </c>
      <c r="AY15" s="156">
        <f t="shared" si="28"/>
        <v>0.15647439184399178</v>
      </c>
      <c r="BK15" s="163" t="s">
        <v>7</v>
      </c>
      <c r="BL15" s="168">
        <f>Forecast!D38</f>
        <v>0.61118914094920107</v>
      </c>
      <c r="BM15" s="168">
        <f>Forecast!E38</f>
        <v>0.58333970987737316</v>
      </c>
      <c r="BN15" s="168">
        <f>Forecast!F38</f>
        <v>0.63697549095872041</v>
      </c>
      <c r="BO15" s="168">
        <f>Forecast!G38</f>
        <v>0.64477135716461365</v>
      </c>
      <c r="BP15" s="168">
        <f>Forecast!H38</f>
        <v>0.71263289222586546</v>
      </c>
      <c r="BQ15" s="272">
        <f>Forecast!I38</f>
        <v>0.72495774812711666</v>
      </c>
      <c r="BR15" s="272">
        <f>Forecast!J38</f>
        <v>0.73691542393582599</v>
      </c>
      <c r="BS15" s="272">
        <f>Forecast!K38</f>
        <v>0.74894142094972704</v>
      </c>
      <c r="CE15" s="163"/>
      <c r="CG15" s="162" t="s">
        <v>550</v>
      </c>
      <c r="CH15" s="286">
        <f t="shared" ref="CH15:CO15" si="29">SUM(CH7:CH14)</f>
        <v>282</v>
      </c>
      <c r="CI15" s="286">
        <f t="shared" si="29"/>
        <v>409</v>
      </c>
      <c r="CJ15" s="286">
        <f t="shared" si="29"/>
        <v>472</v>
      </c>
      <c r="CK15" s="286">
        <f t="shared" si="29"/>
        <v>917</v>
      </c>
      <c r="CL15" s="286">
        <f t="shared" si="29"/>
        <v>1146.0771633339609</v>
      </c>
      <c r="CM15" s="286">
        <f t="shared" si="29"/>
        <v>1603.557544746202</v>
      </c>
      <c r="CN15" s="286">
        <f t="shared" si="29"/>
        <v>1962.3830994548152</v>
      </c>
      <c r="CO15" s="286">
        <f t="shared" si="29"/>
        <v>2533.2718027531096</v>
      </c>
      <c r="CR15" s="104" t="s">
        <v>617</v>
      </c>
      <c r="CS15" s="317">
        <f>ARR!D15</f>
        <v>0.97400729425331578</v>
      </c>
      <c r="CT15" s="317">
        <f>ARR!E15</f>
        <v>1.0096587606707939</v>
      </c>
      <c r="CU15" s="317">
        <f>ARR!F15</f>
        <v>0.95932331108127045</v>
      </c>
      <c r="CV15" s="317">
        <f>ARR!G15</f>
        <v>0.96464695303306025</v>
      </c>
      <c r="CW15" s="317">
        <f>ARR!H15</f>
        <v>1.0076164541585171</v>
      </c>
      <c r="CX15" s="317">
        <f>ARR!I15</f>
        <v>0.99802893845129415</v>
      </c>
      <c r="CY15" s="317">
        <f>ARR!J15</f>
        <v>1.0012185643420799</v>
      </c>
      <c r="CZ15" s="317">
        <f>ARR!K15</f>
        <v>1.0031657364223781</v>
      </c>
      <c r="DB15" s="104" t="s">
        <v>617</v>
      </c>
      <c r="DC15" s="317">
        <f>ARR!D26</f>
        <v>1.2920610342037335</v>
      </c>
      <c r="DD15" s="317">
        <f>ARR!E26</f>
        <v>1.1584111543648383</v>
      </c>
      <c r="DE15" s="317">
        <f>ARR!F26</f>
        <v>1.2056472531450877</v>
      </c>
      <c r="DF15" s="317">
        <f>ARR!G26</f>
        <v>1.3497467062303468</v>
      </c>
      <c r="DG15" s="317">
        <f>ARR!H26</f>
        <v>1.2635030666949967</v>
      </c>
      <c r="DH15" s="317">
        <f>ARR!I26</f>
        <v>1.2398728664174052</v>
      </c>
      <c r="DI15" s="317">
        <f>ARR!J26</f>
        <v>1.2333500270878226</v>
      </c>
      <c r="DJ15" s="317">
        <f>ARR!K26</f>
        <v>1.2277327092767292</v>
      </c>
      <c r="DL15" s="104" t="s">
        <v>617</v>
      </c>
      <c r="DM15" s="317">
        <f>ARR!D37</f>
        <v>1.6938698298919099</v>
      </c>
      <c r="DN15" s="317">
        <f>ARR!E37</f>
        <v>1.5536716039745198</v>
      </c>
      <c r="DO15" s="317">
        <f>ARR!F37</f>
        <v>1.3110661512923589</v>
      </c>
      <c r="DP15" s="317">
        <f>ARR!G37</f>
        <v>1.5418102572102181</v>
      </c>
      <c r="DQ15" s="317">
        <f>ARR!H37</f>
        <v>1.5098174342709294</v>
      </c>
      <c r="DR15" s="317">
        <f>ARR!I37</f>
        <v>1.5176329741472769</v>
      </c>
      <c r="DS15" s="317">
        <f>ARR!J37</f>
        <v>1.5132642680501913</v>
      </c>
      <c r="DT15" s="317">
        <f>ARR!K37</f>
        <v>1.4960848749988578</v>
      </c>
      <c r="DV15" s="104" t="s">
        <v>617</v>
      </c>
      <c r="DW15" s="317">
        <f>ARR!D48</f>
        <v>1.3340311322710687</v>
      </c>
      <c r="DX15" s="317">
        <f>ARR!E48</f>
        <v>1.2504969177815335</v>
      </c>
      <c r="DY15" s="317">
        <f>ARR!F48</f>
        <v>1.165248735879425</v>
      </c>
      <c r="DZ15" s="317">
        <f>ARR!G48</f>
        <v>1.2960651944839421</v>
      </c>
      <c r="EA15" s="317">
        <f>ARR!H48</f>
        <v>1.2743896701508743</v>
      </c>
      <c r="EB15" s="317">
        <f>ARR!I48</f>
        <v>1.2762831704240096</v>
      </c>
      <c r="EC15" s="317">
        <f>ARR!J48</f>
        <v>1.2862854890495208</v>
      </c>
      <c r="ED15" s="317">
        <f>ARR!K48</f>
        <v>1.2913632396936103</v>
      </c>
      <c r="EF15" s="108" t="s">
        <v>502</v>
      </c>
      <c r="EG15" s="324">
        <f t="shared" ref="EG15:EN15" si="30">SUM(EG8:EG13)</f>
        <v>11.212258130000002</v>
      </c>
      <c r="EH15" s="324">
        <f t="shared" si="30"/>
        <v>18.344354129999999</v>
      </c>
      <c r="EI15" s="324">
        <f t="shared" si="30"/>
        <v>23.43062596</v>
      </c>
      <c r="EJ15" s="324">
        <f t="shared" si="30"/>
        <v>40.842125008719293</v>
      </c>
      <c r="EK15" s="324">
        <f t="shared" si="30"/>
        <v>64.849449862995655</v>
      </c>
      <c r="EL15" s="324">
        <f t="shared" si="30"/>
        <v>91.582075091912628</v>
      </c>
      <c r="EM15" s="324">
        <f t="shared" si="30"/>
        <v>122.78429496101052</v>
      </c>
      <c r="EN15" s="324">
        <f t="shared" si="30"/>
        <v>159.59375296896459</v>
      </c>
      <c r="EP15" s="110" t="s">
        <v>2</v>
      </c>
      <c r="EQ15" s="320">
        <f>Expenses!D130/1000000</f>
        <v>1.1998126499999999</v>
      </c>
      <c r="ER15" s="320">
        <f>Expenses!E130/1000000</f>
        <v>2.1953215700000004</v>
      </c>
      <c r="ES15" s="320">
        <f>Expenses!F130/1000000</f>
        <v>2.1982235599999997</v>
      </c>
      <c r="ET15" s="320">
        <f>Expenses!G130/1000000</f>
        <v>3.3961783372261074</v>
      </c>
      <c r="EU15" s="320">
        <f>Expenses!H130/1000000</f>
        <v>4.1523000527504017</v>
      </c>
      <c r="EV15" s="320">
        <f>Expenses!I130/1000000</f>
        <v>4.7308320442385403</v>
      </c>
      <c r="EW15" s="320">
        <f>Expenses!J130/1000000</f>
        <v>5.4671169800727091</v>
      </c>
      <c r="EX15" s="320">
        <f>Expenses!K130/1000000</f>
        <v>5.8738004690584855</v>
      </c>
      <c r="EZ15" s="110" t="s">
        <v>299</v>
      </c>
      <c r="FA15" s="320">
        <f>(Products!D176+Products!D182+Products!D250+Products!D256+Products!D102+Products!D108)/1000000</f>
        <v>0.12752474729999999</v>
      </c>
      <c r="FB15" s="320">
        <f>(Products!E176+Products!E182+Products!E250+Products!E256+Products!E102+Products!E108)/1000000</f>
        <v>0.18454940900000003</v>
      </c>
      <c r="FC15" s="320">
        <f>(Products!F176+Products!F182+Products!F250+Products!F256+Products!F102+Products!F108)/1000000</f>
        <v>0.32341969564102002</v>
      </c>
      <c r="FD15" s="320">
        <f>(Products!G176+Products!G182+Products!G250+Products!G256+Products!G102+Products!G108)/1000000</f>
        <v>2.3321489800824811</v>
      </c>
      <c r="FE15" s="320">
        <f>(Products!H176+Products!H182+Products!H250+Products!H256+Products!H102+Products!H108)/1000000</f>
        <v>6.6574204993899846</v>
      </c>
      <c r="FF15" s="320">
        <f>(Products!I176+Products!I182+Products!I250+Products!I256+Products!I102+Products!I108)/1000000</f>
        <v>28.495145044864842</v>
      </c>
      <c r="FG15" s="320">
        <f>(Products!J176+Products!J182+Products!J250+Products!J256+Products!J102+Products!J108)/1000000</f>
        <v>62.66261408959506</v>
      </c>
      <c r="FH15" s="320">
        <f>(Products!K176+Products!K182+Products!K250+Products!K256+Products!K102+Products!K108)/1000000</f>
        <v>106.26004167676865</v>
      </c>
      <c r="FJ15" s="322" t="s">
        <v>658</v>
      </c>
      <c r="FK15" s="355"/>
      <c r="FL15" s="355"/>
      <c r="FM15" s="352">
        <f t="shared" si="20"/>
        <v>0</v>
      </c>
      <c r="FN15" s="352">
        <f t="shared" si="20"/>
        <v>0</v>
      </c>
      <c r="FO15" s="352">
        <f t="shared" si="20"/>
        <v>0</v>
      </c>
      <c r="FP15" s="352">
        <f t="shared" si="20"/>
        <v>0</v>
      </c>
      <c r="FQ15" s="352">
        <f t="shared" si="20"/>
        <v>0</v>
      </c>
      <c r="FR15" s="352">
        <f t="shared" si="20"/>
        <v>0</v>
      </c>
      <c r="FT15" s="322" t="s">
        <v>658</v>
      </c>
      <c r="FU15" s="355"/>
      <c r="FV15" s="355"/>
      <c r="FW15" s="352">
        <f t="shared" si="21"/>
        <v>2.0000000000000007E-2</v>
      </c>
      <c r="FX15" s="352">
        <f t="shared" si="21"/>
        <v>5.4711376555136304E-2</v>
      </c>
      <c r="FY15" s="352">
        <f t="shared" si="21"/>
        <v>5.2080620800999948E-2</v>
      </c>
      <c r="FZ15" s="352">
        <f t="shared" si="21"/>
        <v>5.2080620800999948E-2</v>
      </c>
      <c r="GA15" s="352">
        <f t="shared" si="21"/>
        <v>5.2080620800999948E-2</v>
      </c>
      <c r="GB15" s="352">
        <f t="shared" si="21"/>
        <v>5.2080620800999934E-2</v>
      </c>
      <c r="GD15" s="322" t="s">
        <v>658</v>
      </c>
      <c r="GE15" s="355"/>
      <c r="GF15" s="355"/>
      <c r="GG15" s="352">
        <f t="shared" si="22"/>
        <v>0.02</v>
      </c>
      <c r="GH15" s="352">
        <f t="shared" si="22"/>
        <v>5.4711376555136318E-2</v>
      </c>
      <c r="GI15" s="352">
        <f t="shared" si="22"/>
        <v>5.2080620800999955E-2</v>
      </c>
      <c r="GJ15" s="352">
        <f t="shared" si="22"/>
        <v>5.2080620800999948E-2</v>
      </c>
      <c r="GK15" s="352">
        <f t="shared" si="22"/>
        <v>5.2080620800999955E-2</v>
      </c>
      <c r="GL15" s="352">
        <f t="shared" si="22"/>
        <v>5.2080620800999941E-2</v>
      </c>
      <c r="GN15" s="322" t="s">
        <v>658</v>
      </c>
      <c r="GO15" s="355"/>
      <c r="GP15" s="355"/>
      <c r="GQ15" s="352">
        <f t="shared" si="23"/>
        <v>1.3289482280213566E-2</v>
      </c>
      <c r="GR15" s="352">
        <f t="shared" si="23"/>
        <v>3.8390760328333162E-2</v>
      </c>
      <c r="GS15" s="352">
        <f t="shared" si="23"/>
        <v>3.7586381654407697E-2</v>
      </c>
      <c r="GT15" s="352">
        <f t="shared" si="23"/>
        <v>3.8627994070427697E-2</v>
      </c>
      <c r="GU15" s="352">
        <f t="shared" si="23"/>
        <v>3.9669606486447705E-2</v>
      </c>
      <c r="GV15" s="352">
        <f t="shared" si="23"/>
        <v>4.0711218902467698E-2</v>
      </c>
      <c r="GX15" s="385" t="s">
        <v>709</v>
      </c>
      <c r="GY15" s="386">
        <f>Geo!D30</f>
        <v>0</v>
      </c>
      <c r="GZ15" s="387">
        <f>Geo!E30</f>
        <v>0</v>
      </c>
      <c r="HA15" s="387">
        <f>Geo!F30</f>
        <v>0</v>
      </c>
      <c r="HB15" s="387">
        <f>Geo!G30</f>
        <v>0.05</v>
      </c>
      <c r="HC15" s="387">
        <f>Geo!H30</f>
        <v>0.1</v>
      </c>
      <c r="HD15" s="387">
        <f>Geo!I30</f>
        <v>0.2</v>
      </c>
      <c r="HE15" s="387">
        <f>Geo!J30</f>
        <v>0.25</v>
      </c>
      <c r="HF15" s="387">
        <f>Geo!K30</f>
        <v>0.25</v>
      </c>
    </row>
    <row r="16" spans="2:214" ht="15" customHeight="1" x14ac:dyDescent="0.25">
      <c r="M16" s="110" t="s">
        <v>270</v>
      </c>
      <c r="N16" s="138">
        <f>Forecast!D39</f>
        <v>0.63481094213668665</v>
      </c>
      <c r="O16" s="138">
        <f>Forecast!E39</f>
        <v>0.61469126410937969</v>
      </c>
      <c r="P16" s="138">
        <f>Forecast!F39</f>
        <v>0.65649226406085381</v>
      </c>
      <c r="Q16" s="138">
        <f>Forecast!G39</f>
        <v>0.67417037683034264</v>
      </c>
      <c r="R16" s="138">
        <f>Forecast!H39</f>
        <v>0.74959607807118522</v>
      </c>
      <c r="S16" s="138">
        <f>Forecast!I39</f>
        <v>0.76122141575918367</v>
      </c>
      <c r="T16" s="138">
        <f>Forecast!J39</f>
        <v>0.77264102849265115</v>
      </c>
      <c r="U16" s="113">
        <f>Forecast!K39</f>
        <v>0.78406045526231594</v>
      </c>
      <c r="X16" s="124"/>
      <c r="Y16" s="124"/>
      <c r="Z16" s="124"/>
      <c r="AA16" s="124"/>
      <c r="AB16" s="124"/>
      <c r="AC16" s="124"/>
      <c r="AD16" s="124"/>
      <c r="AE16" s="129"/>
      <c r="AQ16" s="431" t="s">
        <v>288</v>
      </c>
      <c r="AR16" s="155">
        <v>0.09</v>
      </c>
      <c r="AS16" s="155">
        <v>0.09</v>
      </c>
      <c r="AT16" s="155">
        <v>0.09</v>
      </c>
      <c r="AU16" s="155">
        <v>0.09</v>
      </c>
      <c r="AV16" s="155">
        <v>0.09</v>
      </c>
      <c r="AW16" s="155">
        <v>0.09</v>
      </c>
      <c r="AX16" s="155">
        <v>0.09</v>
      </c>
      <c r="AY16" s="156">
        <v>0.09</v>
      </c>
      <c r="BK16" s="163" t="s">
        <v>8</v>
      </c>
      <c r="BL16" s="168">
        <f>Forecast!D39</f>
        <v>0.63481094213668665</v>
      </c>
      <c r="BM16" s="168">
        <f>Forecast!E39</f>
        <v>0.61469126410937969</v>
      </c>
      <c r="BN16" s="168">
        <f>Forecast!F39</f>
        <v>0.65649226406085381</v>
      </c>
      <c r="BO16" s="168">
        <f>Forecast!G39</f>
        <v>0.67417037683034264</v>
      </c>
      <c r="BP16" s="168">
        <f>Forecast!H39</f>
        <v>0.74959607807118522</v>
      </c>
      <c r="BQ16" s="272">
        <f>Forecast!I39</f>
        <v>0.76122141575918367</v>
      </c>
      <c r="BR16" s="272">
        <f>Forecast!J39</f>
        <v>0.77264102849265115</v>
      </c>
      <c r="BS16" s="272">
        <f>Forecast!K39</f>
        <v>0.78406045526231594</v>
      </c>
      <c r="BV16" s="104" t="s">
        <v>581</v>
      </c>
      <c r="BW16" s="285">
        <f t="shared" ref="BW16:CD16" si="31">CH9</f>
        <v>28</v>
      </c>
      <c r="BX16" s="285">
        <f t="shared" si="31"/>
        <v>52</v>
      </c>
      <c r="BY16" s="285">
        <f t="shared" si="31"/>
        <v>59</v>
      </c>
      <c r="BZ16" s="285">
        <f t="shared" si="31"/>
        <v>102</v>
      </c>
      <c r="CA16" s="285">
        <f t="shared" si="31"/>
        <v>145.3324472629449</v>
      </c>
      <c r="CB16" s="285">
        <f t="shared" si="31"/>
        <v>210.65247192073409</v>
      </c>
      <c r="CC16" s="285">
        <f t="shared" si="31"/>
        <v>300.17130157671318</v>
      </c>
      <c r="CD16" s="285">
        <f t="shared" si="31"/>
        <v>421.09426593461086</v>
      </c>
      <c r="CE16" s="163"/>
      <c r="CH16" s="163"/>
      <c r="CI16" s="163"/>
      <c r="CJ16" s="163"/>
      <c r="CK16" s="163"/>
      <c r="CL16" s="163"/>
      <c r="CM16" s="163"/>
      <c r="CN16" s="163"/>
      <c r="CO16" s="163"/>
      <c r="CR16" s="163"/>
      <c r="CS16" s="163"/>
      <c r="CT16" s="163"/>
      <c r="CU16" s="163"/>
      <c r="CV16" s="163"/>
      <c r="CW16" s="163"/>
      <c r="CX16" s="163"/>
      <c r="CY16" s="163"/>
      <c r="CZ16" s="163"/>
      <c r="EF16" s="316" t="s">
        <v>218</v>
      </c>
      <c r="EG16" s="430"/>
      <c r="EH16" s="429">
        <f t="shared" ref="EH16:EN16" si="32">EH15/EG15-1</f>
        <v>0.63609809168744103</v>
      </c>
      <c r="EI16" s="429">
        <f t="shared" si="32"/>
        <v>0.27726633458749084</v>
      </c>
      <c r="EJ16" s="429">
        <f t="shared" si="32"/>
        <v>0.74310857415604836</v>
      </c>
      <c r="EK16" s="429">
        <f t="shared" si="32"/>
        <v>0.58780792745605415</v>
      </c>
      <c r="EL16" s="429">
        <f t="shared" si="32"/>
        <v>0.4122259369261223</v>
      </c>
      <c r="EM16" s="429">
        <f t="shared" si="32"/>
        <v>0.3407022590150206</v>
      </c>
      <c r="EN16" s="429">
        <f t="shared" si="32"/>
        <v>0.29978962716398483</v>
      </c>
      <c r="EP16"/>
      <c r="EZ16" s="110" t="s">
        <v>300</v>
      </c>
      <c r="FA16" s="345">
        <f>(Products!D177+Products!D183+Products!D251+Products!D257+Products!D103+Products!D109)/1000000</f>
        <v>0.25504949459999998</v>
      </c>
      <c r="FB16" s="345">
        <f>(Products!E177+Products!E183+Products!E251+Products!E257+Products!E103+Products!E109)/1000000</f>
        <v>0.36909881800000005</v>
      </c>
      <c r="FC16" s="345">
        <f>(Products!F177+Products!F183+Products!F251+Products!F257+Products!F103+Products!F109)/1000000</f>
        <v>0.42980803142934004</v>
      </c>
      <c r="FD16" s="345">
        <f>(Products!G177+Products!G183+Products!G251+Products!G257+Products!G103+Products!G109)/1000000</f>
        <v>2.4544073921766616</v>
      </c>
      <c r="FE16" s="345">
        <f>(Products!H177+Products!H183+Products!H251+Products!H257+Products!H103+Products!H109)/1000000</f>
        <v>3.2888083947606734</v>
      </c>
      <c r="FF16" s="345">
        <f>(Products!I177+Products!I183+Products!I251+Products!I257+Products!I103+Products!I109)/1000000</f>
        <v>4.9854254847145754</v>
      </c>
      <c r="FG16" s="345">
        <f>(Products!J177+Products!J183+Products!J251+Products!J257+Products!J103+Products!J109)/1000000</f>
        <v>7.423794951377876</v>
      </c>
      <c r="FH16" s="345">
        <f>(Products!K177+Products!K183+Products!K251+Products!K257+Products!K103+Products!K109)/1000000</f>
        <v>10.856680203635456</v>
      </c>
    </row>
    <row r="17" spans="2:214" ht="15" customHeight="1" x14ac:dyDescent="0.25">
      <c r="M17" s="110" t="s">
        <v>269</v>
      </c>
      <c r="N17" s="138">
        <f>Forecast!D40</f>
        <v>0.21803725070727881</v>
      </c>
      <c r="O17" s="138">
        <f>Forecast!E40</f>
        <v>0.10747629917957546</v>
      </c>
      <c r="P17" s="138">
        <f>Forecast!F40</f>
        <v>0.27838223000463042</v>
      </c>
      <c r="Q17" s="138">
        <f>Forecast!G40</f>
        <v>0.1254286621706156</v>
      </c>
      <c r="R17" s="138">
        <f>Forecast!H40</f>
        <v>0.19999999999999984</v>
      </c>
      <c r="S17" s="138">
        <f>Forecast!I40</f>
        <v>0.19999999999999996</v>
      </c>
      <c r="T17" s="138">
        <f>Forecast!J40</f>
        <v>0.19999999999999998</v>
      </c>
      <c r="U17" s="113">
        <f>Forecast!K40</f>
        <v>0.2</v>
      </c>
      <c r="W17" s="428" t="s">
        <v>34</v>
      </c>
      <c r="X17" s="128">
        <f>Forecast!D92</f>
        <v>0.58253152229766503</v>
      </c>
      <c r="Y17" s="128">
        <f>Forecast!E92</f>
        <v>0.47242907811031226</v>
      </c>
      <c r="Z17" s="128">
        <f>Forecast!F92</f>
        <v>0.4572323080856695</v>
      </c>
      <c r="AA17" s="128">
        <f>Forecast!G92</f>
        <v>0.58697959180706916</v>
      </c>
      <c r="AB17" s="128">
        <f>Forecast!H92</f>
        <v>0.6010229886746471</v>
      </c>
      <c r="AC17" s="128">
        <f>Forecast!I92</f>
        <v>0.72077190278927816</v>
      </c>
      <c r="AD17" s="128">
        <f>Forecast!J92</f>
        <v>0.73692587426660339</v>
      </c>
      <c r="AE17" s="133">
        <f>Forecast!K92</f>
        <v>0.83522235094188746</v>
      </c>
      <c r="BK17" s="163" t="s">
        <v>9</v>
      </c>
      <c r="BL17" s="168">
        <f>Forecast!D40</f>
        <v>0.21803725070727881</v>
      </c>
      <c r="BM17" s="168">
        <f>Forecast!E40</f>
        <v>0.10747629917957546</v>
      </c>
      <c r="BN17" s="168">
        <f>Forecast!F40</f>
        <v>0.27838223000463042</v>
      </c>
      <c r="BO17" s="168">
        <f>Forecast!G40</f>
        <v>0.1254286621706156</v>
      </c>
      <c r="BP17" s="272">
        <f>Forecast!H40</f>
        <v>0.19999999999999984</v>
      </c>
      <c r="BQ17" s="272">
        <f>Forecast!I40</f>
        <v>0.19999999999999996</v>
      </c>
      <c r="BR17" s="272">
        <f>Forecast!J40</f>
        <v>0.19999999999999998</v>
      </c>
      <c r="BS17" s="272">
        <f>Forecast!K40</f>
        <v>0.2</v>
      </c>
      <c r="BV17" s="282" t="s">
        <v>579</v>
      </c>
      <c r="BW17" s="283">
        <f t="shared" ref="BW17:CD17" si="33">BW6/BW16</f>
        <v>1.1093721482142855</v>
      </c>
      <c r="BX17" s="283">
        <f t="shared" si="33"/>
        <v>1.0711362459791345</v>
      </c>
      <c r="BY17" s="283">
        <f t="shared" si="33"/>
        <v>1.3969574213124569</v>
      </c>
      <c r="BZ17" s="283">
        <f t="shared" si="33"/>
        <v>1.3701357074305875</v>
      </c>
      <c r="CA17" s="283">
        <f t="shared" si="33"/>
        <v>1.4870146138097142</v>
      </c>
      <c r="CB17" s="283">
        <f t="shared" si="33"/>
        <v>1.5561142129294949</v>
      </c>
      <c r="CC17" s="283">
        <f t="shared" si="33"/>
        <v>1.6313631424799562</v>
      </c>
      <c r="CD17" s="283">
        <f t="shared" si="33"/>
        <v>1.7106597466483298</v>
      </c>
      <c r="CE17" s="163"/>
      <c r="CG17" s="104" t="s">
        <v>50</v>
      </c>
      <c r="CH17" s="287">
        <f>Forecast!D100</f>
        <v>110150.42606382977</v>
      </c>
      <c r="CI17" s="287">
        <f>Forecast!E100</f>
        <v>136183.58139588017</v>
      </c>
      <c r="CJ17" s="287">
        <f>Forecast!F100</f>
        <v>174619.67766405712</v>
      </c>
      <c r="CK17" s="287">
        <f>Forecast!G100</f>
        <v>152403.31751136307</v>
      </c>
      <c r="CL17" s="287">
        <f>Forecast!H100</f>
        <v>188566.25003508155</v>
      </c>
      <c r="CM17" s="287">
        <f>Forecast!I100</f>
        <v>204420.04505455215</v>
      </c>
      <c r="CN17" s="287">
        <f>Forecast!J100</f>
        <v>249537.61472901472</v>
      </c>
      <c r="CO17" s="287">
        <f>Forecast!K100</f>
        <v>284355.20006021648</v>
      </c>
      <c r="EP17" s="108" t="s">
        <v>510</v>
      </c>
      <c r="EQ17" s="324">
        <f>Expenses!D132/1000000</f>
        <v>9.5554316999999998</v>
      </c>
      <c r="ER17" s="324">
        <f>Expenses!E132/1000000</f>
        <v>14.37739887</v>
      </c>
      <c r="ES17" s="324">
        <f>Expenses!F132/1000000</f>
        <v>16.50153525</v>
      </c>
      <c r="ET17" s="324">
        <f>Expenses!G132/1000000</f>
        <v>32.153075513169426</v>
      </c>
      <c r="EU17" s="324">
        <f>Expenses!H132/1000000</f>
        <v>49.099742379827887</v>
      </c>
      <c r="EV17" s="324">
        <f>Expenses!I132/1000000</f>
        <v>60.388487041385069</v>
      </c>
      <c r="EW17" s="324">
        <f>Expenses!J132/1000000</f>
        <v>75.862664803885693</v>
      </c>
      <c r="EX17" s="324">
        <f>Expenses!K132/1000000</f>
        <v>93.686112431114978</v>
      </c>
      <c r="EZ17" s="343" t="s">
        <v>654</v>
      </c>
      <c r="FA17" s="344">
        <f t="shared" ref="FA17:FH17" si="34">SUM(FA13:FA16)</f>
        <v>18.909925300000001</v>
      </c>
      <c r="FB17" s="344">
        <f t="shared" si="34"/>
        <v>27.736807890915003</v>
      </c>
      <c r="FC17" s="344">
        <f t="shared" si="34"/>
        <v>32.341969564102001</v>
      </c>
      <c r="FD17" s="344">
        <f t="shared" si="34"/>
        <v>63.932242320433005</v>
      </c>
      <c r="FE17" s="344">
        <f t="shared" si="34"/>
        <v>87.499999999999986</v>
      </c>
      <c r="FF17" s="344">
        <f t="shared" si="34"/>
        <v>129.0625</v>
      </c>
      <c r="FG17" s="344">
        <f t="shared" si="34"/>
        <v>187.14062499999997</v>
      </c>
      <c r="FH17" s="344">
        <f t="shared" si="34"/>
        <v>266.67539062499998</v>
      </c>
      <c r="GX17" s="353" t="s">
        <v>314</v>
      </c>
      <c r="GY17" s="383"/>
      <c r="GZ17" s="383"/>
      <c r="HA17" s="383"/>
      <c r="HB17" s="383"/>
      <c r="HC17" s="383"/>
      <c r="HD17" s="383"/>
      <c r="HE17" s="383"/>
      <c r="HF17" s="383"/>
    </row>
    <row r="18" spans="2:214" ht="15" customHeight="1" x14ac:dyDescent="0.25">
      <c r="M18" s="110" t="s">
        <v>290</v>
      </c>
      <c r="N18" s="107">
        <v>0.76</v>
      </c>
      <c r="O18" s="107">
        <v>0.76</v>
      </c>
      <c r="P18" s="107">
        <v>0.76</v>
      </c>
      <c r="Q18" s="107">
        <v>0.76</v>
      </c>
      <c r="R18" s="107">
        <v>0.76</v>
      </c>
      <c r="S18" s="107">
        <v>0.76</v>
      </c>
      <c r="T18" s="107">
        <v>0.76</v>
      </c>
      <c r="U18" s="107">
        <v>0.76</v>
      </c>
      <c r="W18" s="428" t="s">
        <v>275</v>
      </c>
      <c r="X18" s="265">
        <f>Forecast!D93</f>
        <v>20.599743603004846</v>
      </c>
      <c r="Y18" s="265">
        <f>Forecast!E93</f>
        <v>25.400638013221531</v>
      </c>
      <c r="Z18" s="265">
        <f>Forecast!F93</f>
        <v>26.244864564014176</v>
      </c>
      <c r="AA18" s="265">
        <f>Forecast!G93</f>
        <v>20.443640916129514</v>
      </c>
      <c r="AB18" s="265">
        <f>Forecast!H93</f>
        <v>19.965958417766917</v>
      </c>
      <c r="AC18" s="265">
        <f>Forecast!I93</f>
        <v>16.648817682212385</v>
      </c>
      <c r="AD18" s="265">
        <f>Forecast!J93</f>
        <v>16.283863030243754</v>
      </c>
      <c r="AE18" s="266">
        <f>Forecast!K93</f>
        <v>14.367431602455916</v>
      </c>
      <c r="BK18" s="161"/>
      <c r="BL18" s="270"/>
      <c r="BM18" s="270"/>
      <c r="BN18" s="270"/>
      <c r="BO18" s="270"/>
      <c r="BP18" s="270"/>
      <c r="BQ18" s="271"/>
      <c r="BR18" s="271"/>
      <c r="BS18" s="271"/>
      <c r="CE18" s="163"/>
      <c r="CG18" s="104" t="s">
        <v>232</v>
      </c>
      <c r="CH18" s="287">
        <f>Forecast!D101</f>
        <v>74343.97163120567</v>
      </c>
      <c r="CI18" s="287">
        <f>Forecast!E101</f>
        <v>105426.62836185819</v>
      </c>
      <c r="CJ18" s="287">
        <f>Forecast!F101</f>
        <v>143690.61506355932</v>
      </c>
      <c r="CK18" s="287">
        <f>Forecast!G101</f>
        <v>114339.56387687982</v>
      </c>
      <c r="CL18" s="287">
        <f>Forecast!H101</f>
        <v>153250.60288154511</v>
      </c>
      <c r="CM18" s="287">
        <f>Forecast!I101</f>
        <v>168155.78071691652</v>
      </c>
      <c r="CN18" s="287">
        <f>Forecast!J101</f>
        <v>206357.81627035898</v>
      </c>
      <c r="CO18" s="287">
        <f>Forecast!K101</f>
        <v>236347.03400190145</v>
      </c>
      <c r="EF18" s="104" t="s">
        <v>535</v>
      </c>
      <c r="EG18" s="321">
        <f>Expenses!D106</f>
        <v>14</v>
      </c>
      <c r="EH18" s="321">
        <f>Expenses!E106</f>
        <v>27</v>
      </c>
      <c r="EI18" s="321">
        <f>Expenses!F106</f>
        <v>34</v>
      </c>
      <c r="EJ18" s="321">
        <f>Expenses!G106</f>
        <v>62</v>
      </c>
      <c r="EK18" s="321">
        <f>Expenses!H106</f>
        <v>84.517426343112305</v>
      </c>
      <c r="EL18" s="321">
        <f>Expenses!I106</f>
        <v>111.85146984273774</v>
      </c>
      <c r="EM18" s="321">
        <f>Expenses!J106</f>
        <v>139.46086583912569</v>
      </c>
      <c r="EN18" s="321">
        <f>Expenses!K106</f>
        <v>171.18691657506142</v>
      </c>
      <c r="EP18" s="316" t="s">
        <v>218</v>
      </c>
      <c r="EQ18" s="430"/>
      <c r="ER18" s="429">
        <f t="shared" ref="ER18:EX18" si="35">ER17/EQ17-1</f>
        <v>0.50463101211847916</v>
      </c>
      <c r="ES18" s="429">
        <f t="shared" si="35"/>
        <v>0.14774135427460666</v>
      </c>
      <c r="ET18" s="429">
        <f t="shared" si="35"/>
        <v>0.94848994508977147</v>
      </c>
      <c r="EU18" s="429">
        <f t="shared" si="35"/>
        <v>0.52706208025783896</v>
      </c>
      <c r="EV18" s="429">
        <f t="shared" si="35"/>
        <v>0.2299145395556097</v>
      </c>
      <c r="EW18" s="429">
        <f t="shared" si="35"/>
        <v>0.25624383919232741</v>
      </c>
      <c r="EX18" s="429">
        <f t="shared" si="35"/>
        <v>0.2349436006935044</v>
      </c>
      <c r="GX18" s="108"/>
      <c r="GY18" s="112"/>
      <c r="GZ18" s="112"/>
      <c r="HA18" s="112"/>
      <c r="HB18" s="112"/>
      <c r="HC18" s="112"/>
      <c r="HD18" s="112"/>
      <c r="HE18" s="112"/>
      <c r="HF18" s="112"/>
    </row>
    <row r="19" spans="2:214" ht="15" customHeight="1" x14ac:dyDescent="0.25">
      <c r="M19" s="110" t="s">
        <v>289</v>
      </c>
      <c r="N19" s="107">
        <v>0.79</v>
      </c>
      <c r="O19" s="107">
        <v>0.79</v>
      </c>
      <c r="P19" s="107">
        <v>0.79</v>
      </c>
      <c r="Q19" s="107">
        <v>0.79</v>
      </c>
      <c r="R19" s="107">
        <v>0.79</v>
      </c>
      <c r="S19" s="107">
        <v>0.79</v>
      </c>
      <c r="T19" s="107">
        <v>0.79</v>
      </c>
      <c r="U19" s="107">
        <v>0.79</v>
      </c>
      <c r="W19" s="428" t="s">
        <v>47</v>
      </c>
      <c r="X19" s="128">
        <f>Forecast!D94</f>
        <v>1.0844769529517551</v>
      </c>
      <c r="Y19" s="128">
        <f>Forecast!E94</f>
        <v>0.8141208085487639</v>
      </c>
      <c r="Z19" s="128">
        <f>Forecast!F94</f>
        <v>0.72257617600472956</v>
      </c>
      <c r="AA19" s="128">
        <f>Forecast!G94</f>
        <v>0.93069902565787388</v>
      </c>
      <c r="AB19" s="128">
        <f>Forecast!H94</f>
        <v>0.8752168702598031</v>
      </c>
      <c r="AC19" s="128">
        <f>Forecast!I94</f>
        <v>1.012512074805378</v>
      </c>
      <c r="AD19" s="128">
        <f>Forecast!J94</f>
        <v>1.0386316243727804</v>
      </c>
      <c r="AE19" s="133">
        <f>Forecast!K94</f>
        <v>1.14821867212732</v>
      </c>
      <c r="BK19" s="162" t="s">
        <v>32</v>
      </c>
      <c r="BL19" s="267">
        <f>Forecast!D42/1000000</f>
        <v>42.665529149999998</v>
      </c>
      <c r="BM19" s="267">
        <f>Forecast!E42/1000000</f>
        <v>64.802282424548991</v>
      </c>
      <c r="BN19" s="267">
        <f>Forecast!F42/1000000</f>
        <v>78.786249065278</v>
      </c>
      <c r="BO19" s="267">
        <f>Forecast!G42/1000000</f>
        <v>140.82449449286537</v>
      </c>
      <c r="BP19" s="267">
        <f>Forecast!H42/1000000</f>
        <v>202.0032216513344</v>
      </c>
      <c r="BQ19" s="268">
        <f>Forecast!I42/1000000</f>
        <v>274.12299314508613</v>
      </c>
      <c r="BR19" s="268">
        <f>Forecast!J42/1000000</f>
        <v>361.33522405001071</v>
      </c>
      <c r="BS19" s="268">
        <f>Forecast!K42/1000000</f>
        <v>469.88369057221081</v>
      </c>
      <c r="BV19" s="104" t="s">
        <v>483</v>
      </c>
      <c r="BW19" s="280">
        <f>Expenses!D56/1000000</f>
        <v>3.7279137199999997</v>
      </c>
      <c r="BX19" s="280">
        <f>Expenses!E56/1000000</f>
        <v>5.6525186200000004</v>
      </c>
      <c r="BY19" s="280">
        <f>Expenses!F56/1000000</f>
        <v>5.6069827299999995</v>
      </c>
      <c r="BZ19" s="280">
        <f>Expenses!G56/1000000</f>
        <v>9.7219506698641371</v>
      </c>
      <c r="CA19" s="280">
        <f>Expenses!H56/1000000</f>
        <v>13.124999999999995</v>
      </c>
      <c r="CB19" s="280">
        <f>Expenses!I56/1000000</f>
        <v>19.359374999999996</v>
      </c>
      <c r="CC19" s="280">
        <f>Expenses!J56/1000000</f>
        <v>28.071093749999996</v>
      </c>
      <c r="CD19" s="280">
        <f>Expenses!K56/1000000</f>
        <v>40.001308593749997</v>
      </c>
      <c r="CG19" s="104" t="s">
        <v>629</v>
      </c>
      <c r="CH19" s="287">
        <v>199000</v>
      </c>
      <c r="CI19" s="287">
        <v>199000</v>
      </c>
      <c r="CJ19" s="287">
        <v>199000</v>
      </c>
      <c r="CK19" s="287">
        <v>199000</v>
      </c>
      <c r="CL19" s="287">
        <v>199000</v>
      </c>
      <c r="CM19" s="287">
        <v>199000</v>
      </c>
      <c r="CN19" s="287">
        <v>199000</v>
      </c>
      <c r="CO19" s="287">
        <v>199000</v>
      </c>
      <c r="EF19" s="104" t="s">
        <v>536</v>
      </c>
      <c r="EG19" s="321">
        <f>Expenses!D107</f>
        <v>11</v>
      </c>
      <c r="EH19" s="321">
        <f>Expenses!E107</f>
        <v>24.083333333333332</v>
      </c>
      <c r="EI19" s="321">
        <f>Expenses!F107</f>
        <v>30.583333333333332</v>
      </c>
      <c r="EJ19" s="321">
        <f>Expenses!G107</f>
        <v>46</v>
      </c>
      <c r="EK19" s="321">
        <f>Expenses!H107</f>
        <v>69.561109202836647</v>
      </c>
      <c r="EL19" s="321">
        <f>Expenses!I107</f>
        <v>93.558097731044072</v>
      </c>
      <c r="EM19" s="321">
        <f>Expenses!J107</f>
        <v>119.46052664491322</v>
      </c>
      <c r="EN19" s="321">
        <f>Expenses!K107</f>
        <v>147.87957465581431</v>
      </c>
      <c r="EZ19" s="322"/>
      <c r="FA19" s="339"/>
      <c r="FB19" s="339"/>
      <c r="FC19" s="339"/>
      <c r="FD19" s="339"/>
      <c r="FE19" s="339"/>
      <c r="FF19" s="339"/>
      <c r="FG19" s="339"/>
      <c r="FH19" s="339"/>
      <c r="GX19" s="388" t="s">
        <v>607</v>
      </c>
      <c r="GY19" s="389">
        <f>Geo!D50/1000000</f>
        <v>0.30933514201657858</v>
      </c>
      <c r="GZ19" s="389">
        <f>Geo!E50/1000000</f>
        <v>0.72753481379462759</v>
      </c>
      <c r="HA19" s="389">
        <f>Geo!F50/1000000</f>
        <v>0.92717240603179585</v>
      </c>
      <c r="HB19" s="389">
        <f>Geo!G50/1000000</f>
        <v>1.5656057098418337</v>
      </c>
      <c r="HC19" s="389">
        <f>Geo!H50/1000000</f>
        <v>2.558943840573356</v>
      </c>
      <c r="HD19" s="389">
        <f>Geo!I50/1000000</f>
        <v>4.3366296978238728</v>
      </c>
      <c r="HE19" s="389">
        <f>Geo!J50/1000000</f>
        <v>6.9161443596629653</v>
      </c>
      <c r="HF19" s="389">
        <f>Geo!K50/1000000</f>
        <v>10.483774921285876</v>
      </c>
    </row>
    <row r="20" spans="2:214" ht="15" customHeight="1" x14ac:dyDescent="0.2">
      <c r="BK20" s="163" t="s">
        <v>12</v>
      </c>
      <c r="BL20" s="427">
        <f>Forecast!D43/1000000</f>
        <v>21.897839319999999</v>
      </c>
      <c r="BM20" s="427">
        <f>Forecast!E43/1000000</f>
        <v>35.972484089999988</v>
      </c>
      <c r="BN20" s="427">
        <f>Forecast!F43/1000000</f>
        <v>41.965414965999997</v>
      </c>
      <c r="BO20" s="427">
        <f>Forecast!G43/1000000</f>
        <v>78.131728179255489</v>
      </c>
      <c r="BP20" s="427">
        <f>Forecast!H43/1000000</f>
        <v>107.49991829485127</v>
      </c>
      <c r="BQ20" s="427">
        <f>Forecast!I43/1000000</f>
        <v>152.74498691895647</v>
      </c>
      <c r="BR20" s="427">
        <f>Forecast!J43/1000000</f>
        <v>205.76416863084327</v>
      </c>
      <c r="BS20" s="427">
        <f>Forecast!K43/1000000</f>
        <v>272.85145368555015</v>
      </c>
      <c r="BV20" s="282" t="s">
        <v>577</v>
      </c>
      <c r="BW20" s="284">
        <f t="shared" ref="BW20:CD20" si="36">BW19/BW8</f>
        <v>0.19714058415661748</v>
      </c>
      <c r="BX20" s="284">
        <f t="shared" si="36"/>
        <v>0.20379124527344919</v>
      </c>
      <c r="BY20" s="284">
        <f t="shared" si="36"/>
        <v>0.17336553109070621</v>
      </c>
      <c r="BZ20" s="284">
        <f t="shared" si="36"/>
        <v>0.15206647408262361</v>
      </c>
      <c r="CA20" s="284">
        <f t="shared" si="36"/>
        <v>0.15</v>
      </c>
      <c r="CB20" s="284">
        <f t="shared" si="36"/>
        <v>0.15</v>
      </c>
      <c r="CC20" s="284">
        <f t="shared" si="36"/>
        <v>0.15</v>
      </c>
      <c r="CD20" s="284">
        <f t="shared" si="36"/>
        <v>0.15</v>
      </c>
      <c r="CH20" s="106"/>
      <c r="CI20" s="106"/>
      <c r="CJ20" s="106"/>
      <c r="CK20" s="106"/>
      <c r="CL20" s="106"/>
      <c r="CM20" s="106"/>
      <c r="CN20" s="106"/>
      <c r="CO20" s="106"/>
      <c r="EF20" s="322" t="s">
        <v>631</v>
      </c>
      <c r="EG20" s="281">
        <f>Expenses!D108/1000</f>
        <v>147.65319545454545</v>
      </c>
      <c r="EH20" s="281">
        <f>Expenses!E108/1000</f>
        <v>134.56748470588232</v>
      </c>
      <c r="EI20" s="281">
        <f>Expenses!F108/1000</f>
        <v>137.70324130790192</v>
      </c>
      <c r="EJ20" s="281">
        <f>Expenses!G108/1000</f>
        <v>183.89023712580581</v>
      </c>
      <c r="EK20" s="281">
        <f>Expenses!H108/1000</f>
        <v>193.08474898209613</v>
      </c>
      <c r="EL20" s="281">
        <f>Expenses!I108/1000</f>
        <v>202.73898643120094</v>
      </c>
      <c r="EM20" s="281">
        <f>Expenses!J108/1000</f>
        <v>212.875935752761</v>
      </c>
      <c r="EN20" s="281">
        <f>Expenses!K108/1000</f>
        <v>223.51973254039908</v>
      </c>
      <c r="EP20" s="104" t="s">
        <v>544</v>
      </c>
      <c r="EQ20" s="321">
        <f>Expenses!D134</f>
        <v>18</v>
      </c>
      <c r="ER20" s="321">
        <f>Expenses!E134</f>
        <v>25</v>
      </c>
      <c r="ES20" s="321">
        <f>Expenses!F134</f>
        <v>33</v>
      </c>
      <c r="ET20" s="321">
        <f>Expenses!G134</f>
        <v>73</v>
      </c>
      <c r="EU20" s="321">
        <f>Expenses!H134</f>
        <v>86.035779865882589</v>
      </c>
      <c r="EV20" s="321">
        <f>Expenses!I134</f>
        <v>109.11667551353887</v>
      </c>
      <c r="EW20" s="321">
        <f>Expenses!J134</f>
        <v>136.05101538675126</v>
      </c>
      <c r="EX20" s="321">
        <f>Expenses!K134</f>
        <v>167.00135683820011</v>
      </c>
      <c r="EZ20" s="110" t="s">
        <v>296</v>
      </c>
      <c r="FA20" s="346">
        <f t="shared" ref="FA20:FH24" si="37">FA13/FA$17</f>
        <v>0.95976860110071394</v>
      </c>
      <c r="FB20" s="346">
        <f t="shared" si="37"/>
        <v>0.96003922336061809</v>
      </c>
      <c r="FC20" s="346">
        <f t="shared" si="37"/>
        <v>0.95671051771978632</v>
      </c>
      <c r="FD20" s="346">
        <f t="shared" si="37"/>
        <v>0.89513079162359777</v>
      </c>
      <c r="FE20" s="346">
        <f t="shared" si="37"/>
        <v>0.84132881263827808</v>
      </c>
      <c r="FF20" s="346">
        <f t="shared" si="37"/>
        <v>0.61429485903403858</v>
      </c>
      <c r="FG20" s="346">
        <f t="shared" si="37"/>
        <v>0.49453040664239645</v>
      </c>
      <c r="FH20" s="346">
        <f t="shared" si="37"/>
        <v>0.43036906328932462</v>
      </c>
      <c r="GX20" s="388" t="s">
        <v>608</v>
      </c>
      <c r="GY20" s="390">
        <f>Geo!D51/1000000</f>
        <v>0.34010178209873593</v>
      </c>
      <c r="GZ20" s="390">
        <f>Geo!E51/1000000</f>
        <v>0.6882705643280923</v>
      </c>
      <c r="HA20" s="390">
        <f>Geo!F51/1000000</f>
        <v>0.93036908998117573</v>
      </c>
      <c r="HB20" s="390">
        <f>Geo!G51/1000000</f>
        <v>1.8095084402146688</v>
      </c>
      <c r="HC20" s="390">
        <f>Geo!H51/1000000</f>
        <v>3.0770488622445593</v>
      </c>
      <c r="HD20" s="390">
        <f>Geo!I51/1000000</f>
        <v>5.2826440322239518</v>
      </c>
      <c r="HE20" s="390">
        <f>Geo!J51/1000000</f>
        <v>8.5514888143239052</v>
      </c>
      <c r="HF20" s="390">
        <f>Geo!K51/1000000</f>
        <v>13.189804498615397</v>
      </c>
    </row>
    <row r="21" spans="2:214" ht="15" customHeight="1" x14ac:dyDescent="0.2">
      <c r="BK21" s="163" t="s">
        <v>13</v>
      </c>
      <c r="BL21" s="427">
        <f>Forecast!D44/1000000</f>
        <v>11.212258129999999</v>
      </c>
      <c r="BM21" s="427">
        <f>Forecast!E44/1000000</f>
        <v>18.344354129999999</v>
      </c>
      <c r="BN21" s="427">
        <f>Forecast!F44/1000000</f>
        <v>23.430625959999997</v>
      </c>
      <c r="BO21" s="427">
        <f>Forecast!G44/1000000</f>
        <v>40.8421250087193</v>
      </c>
      <c r="BP21" s="427">
        <f>Forecast!H44/1000000</f>
        <v>64.849449862995655</v>
      </c>
      <c r="BQ21" s="427">
        <f>Forecast!I44/1000000</f>
        <v>91.582075091912614</v>
      </c>
      <c r="BR21" s="427">
        <f>Forecast!J44/1000000</f>
        <v>122.78429496101049</v>
      </c>
      <c r="BS21" s="427">
        <f>Forecast!K44/1000000</f>
        <v>159.59375296896459</v>
      </c>
      <c r="CG21" s="282"/>
      <c r="CH21" s="283"/>
      <c r="CI21" s="283"/>
      <c r="CJ21" s="283"/>
      <c r="CK21" s="283"/>
      <c r="CL21" s="283"/>
      <c r="CM21" s="283"/>
      <c r="CN21" s="283"/>
      <c r="CO21" s="283"/>
      <c r="EF21" s="322" t="s">
        <v>630</v>
      </c>
      <c r="EG21" s="281">
        <f>Expenses!D109/1000000</f>
        <v>1.8617628775378787</v>
      </c>
      <c r="EH21" s="281">
        <f>Expenses!E109/1000000</f>
        <v>1.7311271541192297</v>
      </c>
      <c r="EI21" s="281">
        <f>Expenses!F109/1000000</f>
        <v>2.1692181874760688</v>
      </c>
      <c r="EJ21" s="281">
        <f>Expenses!G109/1000000</f>
        <v>2.2489330227977855</v>
      </c>
      <c r="EK21" s="281">
        <f>Expenses!H109/1000000</f>
        <v>2.4738263250775643</v>
      </c>
      <c r="EL21" s="281">
        <f>Expenses!I109/1000000</f>
        <v>2.8449002738391989</v>
      </c>
      <c r="EM21" s="281">
        <f>Expenses!J109/1000000</f>
        <v>3.4138803286070387</v>
      </c>
      <c r="EN21" s="281">
        <f>Expenses!K109/1000000</f>
        <v>4.0966563943284457</v>
      </c>
      <c r="EP21" s="104" t="s">
        <v>545</v>
      </c>
      <c r="EQ21" s="321">
        <f>Expenses!D135</f>
        <v>13.916666666666666</v>
      </c>
      <c r="ER21" s="321">
        <f>Expenses!E135</f>
        <v>20.583333333333332</v>
      </c>
      <c r="ES21" s="321">
        <f>Expenses!F135</f>
        <v>27.25</v>
      </c>
      <c r="ET21" s="321">
        <f>Expenses!G135</f>
        <v>51.083333333333336</v>
      </c>
      <c r="EU21" s="321">
        <f>Expenses!H135</f>
        <v>75.411173799130708</v>
      </c>
      <c r="EV21" s="321">
        <f>Expenses!I135</f>
        <v>92.637603994625579</v>
      </c>
      <c r="EW21" s="321">
        <f>Expenses!J135</f>
        <v>116.53968911554541</v>
      </c>
      <c r="EX21" s="321">
        <f>Expenses!K135</f>
        <v>144.26388482409664</v>
      </c>
      <c r="EZ21" s="110" t="s">
        <v>298</v>
      </c>
      <c r="FA21" s="346">
        <f t="shared" si="37"/>
        <v>1.9999999999999997E-2</v>
      </c>
      <c r="FB21" s="346">
        <f t="shared" si="37"/>
        <v>1.9999999999999997E-2</v>
      </c>
      <c r="FC21" s="346">
        <f t="shared" si="37"/>
        <v>0.02</v>
      </c>
      <c r="FD21" s="346">
        <f t="shared" si="37"/>
        <v>2.9999999999999995E-2</v>
      </c>
      <c r="FE21" s="346">
        <f t="shared" si="37"/>
        <v>4.5000000000000005E-2</v>
      </c>
      <c r="FF21" s="346">
        <f t="shared" si="37"/>
        <v>0.12629151942926858</v>
      </c>
      <c r="FG21" s="346">
        <f t="shared" si="37"/>
        <v>0.13095759714634292</v>
      </c>
      <c r="FH21" s="346">
        <f t="shared" si="37"/>
        <v>0.13045759714634295</v>
      </c>
      <c r="GX21" s="388" t="s">
        <v>313</v>
      </c>
      <c r="GY21" s="391">
        <f>Geo!D52/1000000</f>
        <v>0.34248895409247909</v>
      </c>
      <c r="GZ21" s="391">
        <f>Geo!E52/1000000</f>
        <v>0.71284751373755162</v>
      </c>
      <c r="HA21" s="391">
        <f>Geo!F52/1000000</f>
        <v>0.74297748457752466</v>
      </c>
      <c r="HB21" s="391">
        <f>Geo!G52/1000000</f>
        <v>1.7447865955931787</v>
      </c>
      <c r="HC21" s="391">
        <f>Geo!H52/1000000</f>
        <v>3.5587903046977969</v>
      </c>
      <c r="HD21" s="391">
        <f>Geo!I52/1000000</f>
        <v>7.1695937060378512</v>
      </c>
      <c r="HE21" s="391">
        <f>Geo!J52/1000000</f>
        <v>13.554740233337354</v>
      </c>
      <c r="HF21" s="391">
        <f>Geo!K52/1000000</f>
        <v>24.35018745116076</v>
      </c>
    </row>
    <row r="22" spans="2:214" ht="15" customHeight="1" x14ac:dyDescent="0.2">
      <c r="BK22" s="163" t="s">
        <v>14</v>
      </c>
      <c r="BL22" s="427">
        <f>Forecast!D45/1000000</f>
        <v>9.5554317000000015</v>
      </c>
      <c r="BM22" s="427">
        <f>Forecast!E45/1000000</f>
        <v>14.377398870000002</v>
      </c>
      <c r="BN22" s="427">
        <f>Forecast!F45/1000000</f>
        <v>16.50153525</v>
      </c>
      <c r="BO22" s="427">
        <f>Forecast!G45/1000000</f>
        <v>32.153075513169419</v>
      </c>
      <c r="BP22" s="427">
        <f>Forecast!H45/1000000</f>
        <v>49.099742379827887</v>
      </c>
      <c r="BQ22" s="427">
        <f>Forecast!I45/1000000</f>
        <v>60.388487041385069</v>
      </c>
      <c r="BR22" s="427">
        <f>Forecast!J45/1000000</f>
        <v>75.862664803885707</v>
      </c>
      <c r="BS22" s="427">
        <f>Forecast!K45/1000000</f>
        <v>93.686112431114978</v>
      </c>
      <c r="EG22" s="321"/>
      <c r="EH22" s="321"/>
      <c r="EI22" s="321"/>
      <c r="EJ22" s="321"/>
      <c r="EK22" s="321"/>
      <c r="EL22" s="321"/>
      <c r="EM22" s="321"/>
      <c r="EN22" s="321"/>
      <c r="EP22" s="322" t="s">
        <v>631</v>
      </c>
      <c r="EQ22" s="281">
        <f>Expenses!D136/1000</f>
        <v>147.26903353293412</v>
      </c>
      <c r="ER22" s="281">
        <f>Expenses!E136/1000</f>
        <v>155.58311951417005</v>
      </c>
      <c r="ES22" s="281">
        <f>Expenses!F136/1000</f>
        <v>151.95919302752293</v>
      </c>
      <c r="ET22" s="281">
        <f>Expenses!G136/1000</f>
        <v>184.78351977687205</v>
      </c>
      <c r="EU22" s="281">
        <f>Expenses!H136/1000</f>
        <v>194.02269576571567</v>
      </c>
      <c r="EV22" s="281">
        <f>Expenses!I136/1000</f>
        <v>203.72383055400147</v>
      </c>
      <c r="EW22" s="281">
        <f>Expenses!J136/1000</f>
        <v>213.91002208170156</v>
      </c>
      <c r="EX22" s="281">
        <f>Expenses!K136/1000</f>
        <v>224.60552318578664</v>
      </c>
      <c r="EZ22" s="110" t="s">
        <v>299</v>
      </c>
      <c r="FA22" s="346">
        <f t="shared" si="37"/>
        <v>6.7437996330953235E-3</v>
      </c>
      <c r="FB22" s="346">
        <f t="shared" si="37"/>
        <v>6.6535922131273038E-3</v>
      </c>
      <c r="FC22" s="346">
        <f t="shared" si="37"/>
        <v>0.01</v>
      </c>
      <c r="FD22" s="346">
        <f t="shared" si="37"/>
        <v>3.6478448048069115E-2</v>
      </c>
      <c r="FE22" s="346">
        <f t="shared" si="37"/>
        <v>7.6084805707314115E-2</v>
      </c>
      <c r="FF22" s="346">
        <f t="shared" si="37"/>
        <v>0.22078562746626512</v>
      </c>
      <c r="FG22" s="346">
        <f t="shared" si="37"/>
        <v>0.33484238972481295</v>
      </c>
      <c r="FH22" s="346">
        <f t="shared" si="37"/>
        <v>0.3984621206618647</v>
      </c>
      <c r="GX22" s="392" t="s">
        <v>706</v>
      </c>
      <c r="GY22" s="393">
        <f t="shared" ref="GY22:HF22" si="38">SUM(GY19:GY21)</f>
        <v>0.99192587820779354</v>
      </c>
      <c r="GZ22" s="393">
        <f t="shared" si="38"/>
        <v>2.1286528918602716</v>
      </c>
      <c r="HA22" s="393">
        <f t="shared" si="38"/>
        <v>2.600518980590496</v>
      </c>
      <c r="HB22" s="393">
        <f t="shared" si="38"/>
        <v>5.119900745649681</v>
      </c>
      <c r="HC22" s="393">
        <f t="shared" si="38"/>
        <v>9.1947830075157135</v>
      </c>
      <c r="HD22" s="393">
        <f t="shared" si="38"/>
        <v>16.788867436085674</v>
      </c>
      <c r="HE22" s="393">
        <f t="shared" si="38"/>
        <v>29.022373407324224</v>
      </c>
      <c r="HF22" s="393">
        <f t="shared" si="38"/>
        <v>48.023766871062037</v>
      </c>
    </row>
    <row r="23" spans="2:214" ht="15" customHeight="1" x14ac:dyDescent="0.2">
      <c r="BK23" s="163" t="s">
        <v>15</v>
      </c>
      <c r="BL23" s="427">
        <f>Forecast!D46/1000000</f>
        <v>0</v>
      </c>
      <c r="BM23" s="427">
        <f>Forecast!E46/1000000</f>
        <v>-3.8919546654509989</v>
      </c>
      <c r="BN23" s="427">
        <f>Forecast!F46/1000000</f>
        <v>-3.1113271107220117</v>
      </c>
      <c r="BO23" s="427">
        <f>Forecast!G46/1000000</f>
        <v>-10.302434208278834</v>
      </c>
      <c r="BP23" s="427">
        <f>Forecast!H46/1000000</f>
        <v>-19.445888886340402</v>
      </c>
      <c r="BQ23" s="427">
        <f>Forecast!I46/1000000</f>
        <v>-30.592555907168016</v>
      </c>
      <c r="BR23" s="427">
        <f>Forecast!J46/1000000</f>
        <v>-43.075904345728731</v>
      </c>
      <c r="BS23" s="427">
        <f>Forecast!K46/1000000</f>
        <v>-56.247628513418945</v>
      </c>
      <c r="CH23" s="280"/>
      <c r="CI23" s="280"/>
      <c r="CJ23" s="280"/>
      <c r="CK23" s="280"/>
      <c r="CL23" s="280"/>
      <c r="CM23" s="280"/>
      <c r="CN23" s="280"/>
      <c r="CO23" s="280"/>
      <c r="EF23" s="104" t="s">
        <v>537</v>
      </c>
      <c r="EG23" s="321">
        <f>Expenses!D111</f>
        <v>83</v>
      </c>
      <c r="EH23" s="321">
        <f>Expenses!E111</f>
        <v>107</v>
      </c>
      <c r="EI23" s="321">
        <f>Expenses!F111</f>
        <v>140</v>
      </c>
      <c r="EJ23" s="321">
        <f>Expenses!G111</f>
        <v>248</v>
      </c>
      <c r="EK23" s="321">
        <f>Expenses!H111</f>
        <v>340.82570840537682</v>
      </c>
      <c r="EL23" s="321">
        <f>Expenses!I111</f>
        <v>451.05320990930113</v>
      </c>
      <c r="EM23" s="321">
        <f>Expenses!J111</f>
        <v>562.39110028603943</v>
      </c>
      <c r="EN23" s="321">
        <f>Expenses!K111</f>
        <v>690.3298483624759</v>
      </c>
      <c r="EP23" s="322" t="s">
        <v>542</v>
      </c>
      <c r="EQ23" s="281">
        <f>Expenses!D137/1000000</f>
        <v>1.4715730529041917</v>
      </c>
      <c r="ER23" s="281">
        <f>Expenses!E137/1000000</f>
        <v>2.0254888564390989</v>
      </c>
      <c r="ES23" s="281">
        <f>Expenses!F137/1000000</f>
        <v>2.4345659779930191</v>
      </c>
      <c r="ET23" s="281">
        <f>Expenses!G137/1000000</f>
        <v>2.0251403402681527</v>
      </c>
      <c r="EU23" s="281">
        <f>Expenses!H137/1000000</f>
        <v>2.4301684083217836</v>
      </c>
      <c r="EV23" s="281">
        <f>Expenses!I137/1000000</f>
        <v>2.9162020899861401</v>
      </c>
      <c r="EW23" s="281">
        <f>Expenses!J137/1000000</f>
        <v>3.499442507983368</v>
      </c>
      <c r="EX23" s="281">
        <f>Expenses!K137/1000000</f>
        <v>4.1993310095800416</v>
      </c>
      <c r="EZ23" s="110" t="s">
        <v>300</v>
      </c>
      <c r="FA23" s="347">
        <f t="shared" si="37"/>
        <v>1.3487599266190647E-2</v>
      </c>
      <c r="FB23" s="347">
        <f t="shared" si="37"/>
        <v>1.3307184426254608E-2</v>
      </c>
      <c r="FC23" s="347">
        <f t="shared" si="37"/>
        <v>1.3289482280213568E-2</v>
      </c>
      <c r="FD23" s="347">
        <f t="shared" si="37"/>
        <v>3.8390760328333155E-2</v>
      </c>
      <c r="FE23" s="347">
        <f t="shared" si="37"/>
        <v>3.7586381654407704E-2</v>
      </c>
      <c r="FF23" s="347">
        <f t="shared" si="37"/>
        <v>3.8627994070427704E-2</v>
      </c>
      <c r="FG23" s="347">
        <f t="shared" si="37"/>
        <v>3.9669606486447705E-2</v>
      </c>
      <c r="FH23" s="347">
        <f t="shared" si="37"/>
        <v>4.0711218902467698E-2</v>
      </c>
      <c r="GX23" s="385" t="s">
        <v>708</v>
      </c>
      <c r="GY23" s="386"/>
      <c r="GZ23" s="387">
        <f t="shared" ref="GZ23:HF23" si="39">GZ22/GY22-1</f>
        <v>1.1459797940812981</v>
      </c>
      <c r="HA23" s="387">
        <f t="shared" si="39"/>
        <v>0.22167357136270871</v>
      </c>
      <c r="HB23" s="387">
        <f t="shared" si="39"/>
        <v>0.96879960648743757</v>
      </c>
      <c r="HC23" s="387">
        <f t="shared" si="39"/>
        <v>0.79589087060494523</v>
      </c>
      <c r="HD23" s="387">
        <f t="shared" si="39"/>
        <v>0.82591230509329483</v>
      </c>
      <c r="HE23" s="387">
        <f t="shared" si="39"/>
        <v>0.72866773281824138</v>
      </c>
      <c r="HF23" s="387">
        <f t="shared" si="39"/>
        <v>0.6547153534639083</v>
      </c>
    </row>
    <row r="24" spans="2:214" ht="15" customHeight="1" x14ac:dyDescent="0.25">
      <c r="BK24" s="161"/>
      <c r="BL24" s="270"/>
      <c r="BM24" s="270"/>
      <c r="BN24" s="270"/>
      <c r="BO24" s="270"/>
      <c r="BP24" s="270"/>
      <c r="BQ24" s="271"/>
      <c r="BR24" s="271"/>
      <c r="BS24" s="271"/>
      <c r="CG24" s="282"/>
      <c r="CH24" s="283"/>
      <c r="CI24" s="283"/>
      <c r="CJ24" s="283"/>
      <c r="CK24" s="283"/>
      <c r="CL24" s="283"/>
      <c r="CM24" s="283"/>
      <c r="CN24" s="283"/>
      <c r="CO24" s="283"/>
      <c r="EF24" s="104" t="s">
        <v>538</v>
      </c>
      <c r="EG24" s="321">
        <f>Expenses!D112</f>
        <v>64.9375</v>
      </c>
      <c r="EH24" s="321">
        <f>Expenses!E112</f>
        <v>97.25</v>
      </c>
      <c r="EI24" s="321">
        <f>Expenses!F112</f>
        <v>125.91666666666667</v>
      </c>
      <c r="EJ24" s="321">
        <f>Expenses!G112</f>
        <v>185.5</v>
      </c>
      <c r="EK24" s="321">
        <f>Expenses!H112</f>
        <v>280.51273385056953</v>
      </c>
      <c r="EL24" s="321">
        <f>Expenses!I112</f>
        <v>377.28319845888427</v>
      </c>
      <c r="EM24" s="321">
        <f>Expenses!J112</f>
        <v>481.73755853546521</v>
      </c>
      <c r="EN24" s="321">
        <f>Expenses!K112</f>
        <v>596.34045866638155</v>
      </c>
      <c r="EZ24" s="343" t="s">
        <v>653</v>
      </c>
      <c r="FA24" s="348">
        <f t="shared" si="37"/>
        <v>1</v>
      </c>
      <c r="FB24" s="348">
        <f t="shared" si="37"/>
        <v>1</v>
      </c>
      <c r="FC24" s="348">
        <f t="shared" si="37"/>
        <v>1</v>
      </c>
      <c r="FD24" s="348">
        <f t="shared" si="37"/>
        <v>1</v>
      </c>
      <c r="FE24" s="348">
        <f t="shared" si="37"/>
        <v>1</v>
      </c>
      <c r="FF24" s="348">
        <f t="shared" si="37"/>
        <v>1</v>
      </c>
      <c r="FG24" s="348">
        <f t="shared" si="37"/>
        <v>1</v>
      </c>
      <c r="FH24" s="348">
        <f t="shared" si="37"/>
        <v>1</v>
      </c>
      <c r="GX24" s="385" t="s">
        <v>709</v>
      </c>
      <c r="GY24" s="386">
        <f>Geo!D31</f>
        <v>0</v>
      </c>
      <c r="GZ24" s="387">
        <f>Geo!E31</f>
        <v>0</v>
      </c>
      <c r="HA24" s="387">
        <f>Geo!F31</f>
        <v>0</v>
      </c>
      <c r="HB24" s="387">
        <f>Geo!G31</f>
        <v>0</v>
      </c>
      <c r="HC24" s="387">
        <f>Geo!H31</f>
        <v>0.1</v>
      </c>
      <c r="HD24" s="387">
        <f>Geo!I31</f>
        <v>0.25</v>
      </c>
      <c r="HE24" s="387">
        <f>Geo!J31</f>
        <v>0.35</v>
      </c>
      <c r="HF24" s="387">
        <f>Geo!K31</f>
        <v>0.4</v>
      </c>
    </row>
    <row r="25" spans="2:214" ht="15" customHeight="1" thickBot="1" x14ac:dyDescent="0.3">
      <c r="BK25" s="162" t="s">
        <v>291</v>
      </c>
      <c r="BL25" s="273">
        <f>Forecast!D48/1000000</f>
        <v>-29.85194881</v>
      </c>
      <c r="BM25" s="273">
        <f>Forecast!E48/1000000</f>
        <v>-39.648971054548994</v>
      </c>
      <c r="BN25" s="273">
        <f>Forecast!F48/1000000</f>
        <v>-35.585316229277986</v>
      </c>
      <c r="BO25" s="273">
        <f>Forecast!G48/1000000</f>
        <v>-73.220617403975538</v>
      </c>
      <c r="BP25" s="273">
        <f>Forecast!H48/1000000</f>
        <v>-76.838506793641628</v>
      </c>
      <c r="BQ25" s="274">
        <f>Forecast!I48/1000000</f>
        <v>-78.6399698813062</v>
      </c>
      <c r="BR25" s="274">
        <f>Forecast!J48/1000000</f>
        <v>-62.919045255775991</v>
      </c>
      <c r="BS25" s="274">
        <f>Forecast!K48/1000000</f>
        <v>-21.469037282671213</v>
      </c>
      <c r="EF25" s="322" t="s">
        <v>631</v>
      </c>
      <c r="EG25" s="281">
        <f>Expenses!D113/1000</f>
        <v>132.99826787295478</v>
      </c>
      <c r="EH25" s="281">
        <f>Expenses!E113/1000</f>
        <v>142.18182159383034</v>
      </c>
      <c r="EI25" s="281">
        <f>Expenses!F113/1000</f>
        <v>141.62070210456653</v>
      </c>
      <c r="EJ25" s="281">
        <f>Expenses!G113/1000</f>
        <v>165.28857322632157</v>
      </c>
      <c r="EK25" s="281">
        <f>Expenses!H113/1000</f>
        <v>173.55300188763766</v>
      </c>
      <c r="EL25" s="281">
        <f>Expenses!I113/1000</f>
        <v>182.23065198201954</v>
      </c>
      <c r="EM25" s="281">
        <f>Expenses!J113/1000</f>
        <v>191.34218458112053</v>
      </c>
      <c r="EN25" s="281">
        <f>Expenses!K113/1000</f>
        <v>200.90929381017656</v>
      </c>
      <c r="EP25" s="104" t="s">
        <v>546</v>
      </c>
      <c r="EQ25" s="321">
        <f>Expenses!D139</f>
        <v>9</v>
      </c>
      <c r="ER25" s="321">
        <f>Expenses!E139</f>
        <v>18</v>
      </c>
      <c r="ES25" s="321">
        <f>Expenses!F139</f>
        <v>22</v>
      </c>
      <c r="ET25" s="321">
        <f>Expenses!G139</f>
        <v>49</v>
      </c>
      <c r="EU25" s="321">
        <f>Expenses!H139</f>
        <v>53.626605236214751</v>
      </c>
      <c r="EV25" s="321">
        <f>Expenses!I139</f>
        <v>65.646545489346835</v>
      </c>
      <c r="EW25" s="321">
        <f>Expenses!J139</f>
        <v>70.232563244688251</v>
      </c>
      <c r="EX25" s="321">
        <f>Expenses!K139</f>
        <v>79.208317250736584</v>
      </c>
    </row>
    <row r="26" spans="2:214" ht="15" customHeight="1" thickTop="1" x14ac:dyDescent="0.2">
      <c r="CH26" s="280"/>
      <c r="CI26" s="280"/>
      <c r="CJ26" s="280"/>
      <c r="CK26" s="280"/>
      <c r="CL26" s="280"/>
      <c r="CM26" s="280"/>
      <c r="CN26" s="280"/>
      <c r="CO26" s="280"/>
      <c r="EF26" s="322" t="s">
        <v>541</v>
      </c>
      <c r="EG26" s="323">
        <f>Expenses!D114</f>
        <v>5.9034090909090908</v>
      </c>
      <c r="EH26" s="323">
        <f>Expenses!E114</f>
        <v>4.0380622837370241</v>
      </c>
      <c r="EI26" s="323">
        <f>Expenses!F114</f>
        <v>4.1171662125340607</v>
      </c>
      <c r="EJ26" s="323">
        <f>Expenses!G114</f>
        <v>4.0326086956521738</v>
      </c>
      <c r="EK26" s="323">
        <f>Expenses!H114</f>
        <v>4.0326086956521738</v>
      </c>
      <c r="EL26" s="323">
        <f>Expenses!I114</f>
        <v>4.0326086956521738</v>
      </c>
      <c r="EM26" s="323">
        <f>Expenses!J114</f>
        <v>4.0326086956521738</v>
      </c>
      <c r="EN26" s="323">
        <f>Expenses!K114</f>
        <v>4.0326086956521738</v>
      </c>
      <c r="EP26" s="104" t="s">
        <v>547</v>
      </c>
      <c r="EQ26" s="321">
        <f>Expenses!D140</f>
        <v>6.583333333333333</v>
      </c>
      <c r="ER26" s="321">
        <f>Expenses!E140</f>
        <v>16</v>
      </c>
      <c r="ES26" s="321">
        <f>Expenses!F140</f>
        <v>18.583333333333332</v>
      </c>
      <c r="ET26" s="321">
        <f>Expenses!G140</f>
        <v>40.583333333333336</v>
      </c>
      <c r="EU26" s="321">
        <f>Expenses!H140</f>
        <v>49.714001712575275</v>
      </c>
      <c r="EV26" s="321">
        <f>Expenses!I140</f>
        <v>56.903228452971803</v>
      </c>
      <c r="EW26" s="321">
        <f>Expenses!J140</f>
        <v>66.263841131096328</v>
      </c>
      <c r="EX26" s="321">
        <f>Expenses!K140</f>
        <v>71.981765473841918</v>
      </c>
      <c r="FA26" s="341"/>
      <c r="FB26" s="341"/>
      <c r="FC26" s="341"/>
      <c r="FD26" s="341"/>
      <c r="FE26" s="341"/>
      <c r="FF26" s="341"/>
      <c r="FG26" s="341"/>
      <c r="FH26" s="341"/>
      <c r="GX26" s="161"/>
      <c r="GY26" s="270"/>
      <c r="GZ26" s="270"/>
      <c r="HA26" s="270"/>
      <c r="HB26" s="270"/>
      <c r="HC26" s="270"/>
      <c r="HD26" s="270"/>
      <c r="HE26" s="270"/>
      <c r="HF26" s="270"/>
    </row>
    <row r="27" spans="2:214" ht="15" customHeight="1" x14ac:dyDescent="0.25">
      <c r="BK27" s="275" t="s">
        <v>294</v>
      </c>
      <c r="BL27" s="276">
        <f t="shared" ref="BL27:BS27" si="40">BB7</f>
        <v>-20.263763155432546</v>
      </c>
      <c r="BM27" s="276">
        <f t="shared" si="40"/>
        <v>-36.560344304567451</v>
      </c>
      <c r="BN27" s="276">
        <f t="shared" si="40"/>
        <v>-33.5175568263044</v>
      </c>
      <c r="BO27" s="276">
        <f t="shared" si="40"/>
        <v>-54.289350294909717</v>
      </c>
      <c r="BP27" s="276">
        <f t="shared" si="40"/>
        <v>-58.437778314945163</v>
      </c>
      <c r="BQ27" s="277">
        <f t="shared" si="40"/>
        <v>-51.514231649716677</v>
      </c>
      <c r="BR27" s="277">
        <f t="shared" si="40"/>
        <v>-19.894850976725159</v>
      </c>
      <c r="BS27" s="277">
        <f t="shared" si="40"/>
        <v>48.794069011153638</v>
      </c>
      <c r="CG27" s="282"/>
      <c r="CH27" s="284"/>
      <c r="CI27" s="284"/>
      <c r="CJ27" s="284"/>
      <c r="CK27" s="284"/>
      <c r="CL27" s="284"/>
      <c r="CM27" s="284"/>
      <c r="CN27" s="284"/>
      <c r="CO27" s="284"/>
      <c r="EG27" s="321"/>
      <c r="EH27" s="321"/>
      <c r="EI27" s="321"/>
      <c r="EJ27" s="321"/>
      <c r="EK27" s="321"/>
      <c r="EL27" s="321"/>
      <c r="EM27" s="321"/>
      <c r="EN27" s="321"/>
      <c r="EP27" s="322" t="s">
        <v>631</v>
      </c>
      <c r="EQ27" s="281">
        <f>Expenses!D141/1000</f>
        <v>114.33329164556962</v>
      </c>
      <c r="ER27" s="281">
        <f>Expenses!E141/1000</f>
        <v>95.484617499999999</v>
      </c>
      <c r="ES27" s="281">
        <f>Expenses!F141/1000</f>
        <v>117.28155067264574</v>
      </c>
      <c r="ET27" s="281">
        <f>Expenses!G141/1000</f>
        <v>165.50533436559147</v>
      </c>
      <c r="EU27" s="281">
        <f>Expenses!H141/1000</f>
        <v>173.78060108387103</v>
      </c>
      <c r="EV27" s="281">
        <f>Expenses!I141/1000</f>
        <v>182.46963113806461</v>
      </c>
      <c r="EW27" s="281">
        <f>Expenses!J141/1000</f>
        <v>191.59311269496786</v>
      </c>
      <c r="EX27" s="281">
        <f>Expenses!K141/1000</f>
        <v>201.17276832971626</v>
      </c>
      <c r="GX27" s="353" t="s">
        <v>664</v>
      </c>
      <c r="GY27" s="383"/>
      <c r="GZ27" s="383"/>
      <c r="HA27" s="383"/>
      <c r="HB27" s="383"/>
      <c r="HC27" s="383"/>
      <c r="HD27" s="383"/>
      <c r="HE27" s="383"/>
      <c r="HF27" s="383"/>
    </row>
    <row r="28" spans="2:214" ht="15" customHeight="1" x14ac:dyDescent="0.25">
      <c r="B28" s="114" t="s">
        <v>17</v>
      </c>
      <c r="C28" s="119">
        <f t="shared" ref="C28:J28" si="41">C5/1000000</f>
        <v>31.062420149999994</v>
      </c>
      <c r="D28" s="119">
        <f t="shared" si="41"/>
        <v>55.699084790914988</v>
      </c>
      <c r="E28" s="119">
        <f t="shared" si="41"/>
        <v>82.420487857434964</v>
      </c>
      <c r="F28" s="119">
        <f t="shared" si="41"/>
        <v>139.75384215791993</v>
      </c>
      <c r="G28" s="119">
        <f t="shared" si="41"/>
        <v>216.11147294072867</v>
      </c>
      <c r="H28" s="119">
        <f t="shared" si="41"/>
        <v>327.79930554458565</v>
      </c>
      <c r="I28" s="119">
        <f t="shared" si="41"/>
        <v>489.68839782248546</v>
      </c>
      <c r="J28" s="119">
        <f t="shared" si="41"/>
        <v>720.34901027876583</v>
      </c>
      <c r="EF28" s="104" t="s">
        <v>633</v>
      </c>
      <c r="EG28" s="317">
        <f t="shared" ref="EG28:EN28" si="42">CH38/CH40</f>
        <v>0.34397163120567376</v>
      </c>
      <c r="EH28" s="317">
        <f t="shared" si="42"/>
        <v>0.32762836185819072</v>
      </c>
      <c r="EI28" s="317">
        <f t="shared" si="42"/>
        <v>0.36864406779661019</v>
      </c>
      <c r="EJ28" s="317">
        <f t="shared" si="42"/>
        <v>0.33805888767720826</v>
      </c>
      <c r="EK28" s="317">
        <f t="shared" si="42"/>
        <v>0.37112957866742374</v>
      </c>
      <c r="EL28" s="317">
        <f t="shared" si="42"/>
        <v>0.35103491084327182</v>
      </c>
      <c r="EM28" s="317">
        <f t="shared" si="42"/>
        <v>0.3576528794607699</v>
      </c>
      <c r="EN28" s="317">
        <f t="shared" si="42"/>
        <v>0.34008066722301883</v>
      </c>
      <c r="EP28" s="322" t="s">
        <v>632</v>
      </c>
      <c r="EQ28" s="323">
        <f>Expenses!D142</f>
        <v>30.333333333333332</v>
      </c>
      <c r="ER28" s="323">
        <f>Expenses!E142</f>
        <v>21.722222222222221</v>
      </c>
      <c r="ES28" s="323">
        <f>Expenses!F142</f>
        <v>20.454545454545453</v>
      </c>
      <c r="ET28" s="323">
        <f>Expenses!G142</f>
        <v>17.714285714285715</v>
      </c>
      <c r="EU28" s="323">
        <f>Expenses!H142</f>
        <v>20.37142857142857</v>
      </c>
      <c r="EV28" s="323">
        <f>Expenses!I142</f>
        <v>23.427142857142854</v>
      </c>
      <c r="EW28" s="323">
        <f>Expenses!J142</f>
        <v>26.941214285714281</v>
      </c>
      <c r="EX28" s="323">
        <f>Expenses!K142</f>
        <v>30.98239642857142</v>
      </c>
      <c r="FA28" s="339"/>
      <c r="FB28" s="339"/>
      <c r="FC28" s="339"/>
      <c r="FD28" s="339"/>
      <c r="FE28" s="339"/>
      <c r="FF28" s="339"/>
      <c r="FG28" s="339"/>
      <c r="FH28" s="339"/>
      <c r="GX28" s="108"/>
      <c r="GY28" s="112"/>
      <c r="GZ28" s="112"/>
      <c r="HA28" s="112"/>
      <c r="HB28" s="112"/>
      <c r="HC28" s="112"/>
      <c r="HD28" s="112"/>
      <c r="HE28" s="112"/>
      <c r="HF28" s="112"/>
    </row>
    <row r="29" spans="2:214" ht="15" customHeight="1" x14ac:dyDescent="0.2">
      <c r="B29" s="115" t="s">
        <v>264</v>
      </c>
      <c r="C29" s="120">
        <f t="shared" ref="C29:J29" si="43">C6</f>
        <v>1.2829539649772439</v>
      </c>
      <c r="D29" s="120">
        <f t="shared" si="43"/>
        <v>0.80306902893693599</v>
      </c>
      <c r="E29" s="120">
        <f t="shared" si="43"/>
        <v>0.47695592728896763</v>
      </c>
      <c r="F29" s="120">
        <f t="shared" si="43"/>
        <v>0.6942646217663011</v>
      </c>
      <c r="G29" s="120">
        <f t="shared" si="43"/>
        <v>0.54637231866960501</v>
      </c>
      <c r="H29" s="120">
        <f t="shared" si="43"/>
        <v>0.51680658636058996</v>
      </c>
      <c r="I29" s="120">
        <f t="shared" si="43"/>
        <v>0.49386648946356737</v>
      </c>
      <c r="J29" s="120">
        <f t="shared" si="43"/>
        <v>0.47103548599878398</v>
      </c>
      <c r="EZ29" s="322"/>
      <c r="FA29" s="342"/>
      <c r="FB29" s="342"/>
      <c r="FC29" s="342"/>
      <c r="FD29" s="342"/>
      <c r="FE29" s="342"/>
      <c r="FF29" s="342"/>
      <c r="FG29" s="342"/>
      <c r="FH29" s="342"/>
      <c r="GX29" s="388" t="s">
        <v>607</v>
      </c>
      <c r="GY29" s="389">
        <f>Geo!D55/1000000</f>
        <v>7.2811724164035002E-2</v>
      </c>
      <c r="GZ29" s="389">
        <f>Geo!E55/1000000</f>
        <v>0.13290713349627239</v>
      </c>
      <c r="HA29" s="389">
        <f>Geo!F55/1000000</f>
        <v>0.1568936798615907</v>
      </c>
      <c r="HB29" s="389">
        <f>Geo!G55/1000000</f>
        <v>0.327734080746104</v>
      </c>
      <c r="HC29" s="389">
        <f>Geo!H55/1000000</f>
        <v>0.97406360048801188</v>
      </c>
      <c r="HD29" s="389">
        <f>Geo!I55/1000000</f>
        <v>2.1669274424197043</v>
      </c>
      <c r="HE29" s="389">
        <f>Geo!J55/1000000</f>
        <v>4.0136704324734049</v>
      </c>
      <c r="HF29" s="389">
        <f>Geo!K55/1000000</f>
        <v>6.6948715140244914</v>
      </c>
    </row>
    <row r="30" spans="2:214" ht="15" customHeight="1" x14ac:dyDescent="0.2">
      <c r="EP30" s="104" t="s">
        <v>552</v>
      </c>
      <c r="EQ30" s="321">
        <f>Expenses!D144</f>
        <v>215.6875</v>
      </c>
      <c r="ER30" s="321">
        <f>Expenses!E144</f>
        <v>349.58333333333331</v>
      </c>
      <c r="ES30" s="321">
        <f>Expenses!F144</f>
        <v>433.08333333333331</v>
      </c>
      <c r="ET30" s="321">
        <f>Expenses!G144</f>
        <v>703.25</v>
      </c>
      <c r="EU30" s="321">
        <f>Expenses!H144</f>
        <v>1007.5761941737941</v>
      </c>
      <c r="EV30" s="321">
        <f>Expenses!I144</f>
        <v>1352.4970738475054</v>
      </c>
      <c r="EW30" s="321">
        <f>Expenses!J144</f>
        <v>1746.5935165903318</v>
      </c>
      <c r="EX30" s="321">
        <f>Expenses!K144</f>
        <v>2209.1051682264806</v>
      </c>
      <c r="GX30" s="388" t="s">
        <v>608</v>
      </c>
      <c r="GY30" s="390">
        <f>Geo!D56/1000000</f>
        <v>7.6365244320170472E-2</v>
      </c>
      <c r="GZ30" s="390">
        <f>Geo!E56/1000000</f>
        <v>0.11193066797517184</v>
      </c>
      <c r="HA30" s="390">
        <f>Geo!F56/1000000</f>
        <v>0.16940028252484576</v>
      </c>
      <c r="HB30" s="390">
        <f>Geo!G56/1000000</f>
        <v>0.40849742349421186</v>
      </c>
      <c r="HC30" s="390">
        <f>Geo!H56/1000000</f>
        <v>1.1712806065192565</v>
      </c>
      <c r="HD30" s="390">
        <f>Geo!I56/1000000</f>
        <v>2.6396319537508433</v>
      </c>
      <c r="HE30" s="390">
        <f>Geo!J56/1000000</f>
        <v>4.9627156436843833</v>
      </c>
      <c r="HF30" s="390">
        <f>Geo!K56/1000000</f>
        <v>8.4229246694378137</v>
      </c>
    </row>
    <row r="31" spans="2:214" ht="15" customHeight="1" x14ac:dyDescent="0.2">
      <c r="EP31" s="322" t="s">
        <v>553</v>
      </c>
      <c r="EQ31" s="325">
        <f>Expenses!D145</f>
        <v>9270.198180237614</v>
      </c>
      <c r="ER31" s="325">
        <f>Expenses!E145</f>
        <v>7716.7485768772367</v>
      </c>
      <c r="ES31" s="325">
        <f>Expenses!F145</f>
        <v>8701.2901674042714</v>
      </c>
      <c r="ET31" s="325">
        <f>Expenses!G145</f>
        <v>7665.5650669510615</v>
      </c>
      <c r="EU31" s="325">
        <f>Expenses!H145</f>
        <v>10000</v>
      </c>
      <c r="EV31" s="325">
        <f>Expenses!I145</f>
        <v>9000</v>
      </c>
      <c r="EW31" s="325">
        <f>Expenses!J145</f>
        <v>8550</v>
      </c>
      <c r="EX31" s="325">
        <f>Expenses!K145</f>
        <v>8550</v>
      </c>
      <c r="EZ31" s="110"/>
      <c r="FA31" s="280"/>
      <c r="FB31" s="280"/>
      <c r="FC31" s="280"/>
      <c r="FD31" s="280"/>
      <c r="FE31" s="280"/>
      <c r="FF31" s="280"/>
      <c r="FG31" s="280"/>
      <c r="FH31" s="280"/>
      <c r="GX31" s="388" t="s">
        <v>313</v>
      </c>
      <c r="GY31" s="391">
        <f>Geo!D57/1000000</f>
        <v>7.8017007389959092E-2</v>
      </c>
      <c r="GZ31" s="391">
        <f>Geo!E57/1000000</f>
        <v>0.10539514169631389</v>
      </c>
      <c r="HA31" s="391">
        <f>Geo!F57/1000000</f>
        <v>0.14957213026313837</v>
      </c>
      <c r="HB31" s="391">
        <f>Geo!G57/1000000</f>
        <v>0.38145170432459613</v>
      </c>
      <c r="HC31" s="391">
        <f>Geo!H57/1000000</f>
        <v>1.3546557929927312</v>
      </c>
      <c r="HD31" s="391">
        <f>Geo!I57/1000000</f>
        <v>3.5825031038294526</v>
      </c>
      <c r="HE31" s="391">
        <f>Geo!J57/1000000</f>
        <v>7.8662701738422065</v>
      </c>
      <c r="HF31" s="391">
        <f>Geo!K57/1000000</f>
        <v>15.549873738412691</v>
      </c>
    </row>
    <row r="32" spans="2:214" ht="15" customHeight="1" x14ac:dyDescent="0.2">
      <c r="EZ32" s="110"/>
      <c r="FA32" s="110"/>
      <c r="FB32" s="110"/>
      <c r="FC32" s="110"/>
      <c r="FD32" s="110"/>
      <c r="FE32" s="110"/>
      <c r="FF32" s="110"/>
      <c r="FG32" s="110"/>
      <c r="FH32" s="110"/>
      <c r="GX32" s="392" t="s">
        <v>707</v>
      </c>
      <c r="GY32" s="393">
        <f t="shared" ref="GY32:HF32" si="44">SUM(GY29:GY31)</f>
        <v>0.22719397587416457</v>
      </c>
      <c r="GZ32" s="393">
        <f t="shared" si="44"/>
        <v>0.3502329431677581</v>
      </c>
      <c r="HA32" s="393">
        <f t="shared" si="44"/>
        <v>0.47586609264957486</v>
      </c>
      <c r="HB32" s="393">
        <f t="shared" si="44"/>
        <v>1.117683208564912</v>
      </c>
      <c r="HC32" s="393">
        <f t="shared" si="44"/>
        <v>3.4999999999999996</v>
      </c>
      <c r="HD32" s="393">
        <f t="shared" si="44"/>
        <v>8.3890624999999996</v>
      </c>
      <c r="HE32" s="393">
        <f t="shared" si="44"/>
        <v>16.842656249999994</v>
      </c>
      <c r="HF32" s="393">
        <f t="shared" si="44"/>
        <v>30.667669921874996</v>
      </c>
    </row>
    <row r="33" spans="2:214" ht="15" customHeight="1" x14ac:dyDescent="0.2">
      <c r="EZ33" s="110"/>
      <c r="FA33" s="110"/>
      <c r="FB33" s="110"/>
      <c r="FC33" s="110"/>
      <c r="FD33" s="110"/>
      <c r="FE33" s="110"/>
      <c r="FF33" s="110"/>
      <c r="FG33" s="110"/>
      <c r="FH33" s="110"/>
      <c r="GX33" s="385" t="s">
        <v>708</v>
      </c>
      <c r="GY33" s="386"/>
      <c r="GZ33" s="387">
        <f t="shared" ref="GZ33:HF33" si="45">GZ32/GY32-1</f>
        <v>0.54155910965588649</v>
      </c>
      <c r="HA33" s="387">
        <f t="shared" si="45"/>
        <v>0.35871311346528501</v>
      </c>
      <c r="HB33" s="387">
        <f t="shared" si="45"/>
        <v>1.3487347088374455</v>
      </c>
      <c r="HC33" s="387">
        <f t="shared" si="45"/>
        <v>2.1314776612721467</v>
      </c>
      <c r="HD33" s="387">
        <f t="shared" si="45"/>
        <v>1.3968750000000001</v>
      </c>
      <c r="HE33" s="387">
        <f t="shared" si="45"/>
        <v>1.0076923076923072</v>
      </c>
      <c r="HF33" s="387">
        <f t="shared" si="45"/>
        <v>0.82083333333333375</v>
      </c>
    </row>
    <row r="34" spans="2:214" ht="15" customHeight="1" x14ac:dyDescent="0.25">
      <c r="K34" s="116"/>
      <c r="EZ34" s="110"/>
      <c r="FA34" s="110"/>
      <c r="FB34" s="110"/>
      <c r="FC34" s="110"/>
      <c r="FD34" s="110"/>
      <c r="FE34" s="110"/>
      <c r="FF34" s="110"/>
      <c r="FG34" s="110"/>
      <c r="FH34" s="110"/>
      <c r="GX34" s="385" t="s">
        <v>709</v>
      </c>
      <c r="GY34" s="386">
        <f>Geo!D32</f>
        <v>0</v>
      </c>
      <c r="GZ34" s="387">
        <f>Geo!E32</f>
        <v>0</v>
      </c>
      <c r="HA34" s="387">
        <f>Geo!F32</f>
        <v>0</v>
      </c>
      <c r="HB34" s="387">
        <f>Geo!G32</f>
        <v>0.25</v>
      </c>
      <c r="HC34" s="387">
        <f>Geo!H32</f>
        <v>0.5</v>
      </c>
      <c r="HD34" s="387">
        <f>Geo!I32</f>
        <v>0.7</v>
      </c>
      <c r="HE34" s="387">
        <f>Geo!J32</f>
        <v>0.75</v>
      </c>
      <c r="HF34" s="387">
        <f>Geo!K32</f>
        <v>0.75</v>
      </c>
    </row>
    <row r="35" spans="2:214" ht="15" customHeight="1" x14ac:dyDescent="0.2">
      <c r="K35" s="285"/>
      <c r="EZ35" s="110"/>
      <c r="FA35" s="110"/>
      <c r="FB35" s="110"/>
      <c r="FC35" s="110"/>
      <c r="FD35" s="110"/>
      <c r="FE35" s="110"/>
      <c r="FF35" s="110"/>
      <c r="FG35" s="110"/>
      <c r="FH35" s="110"/>
    </row>
    <row r="36" spans="2:214" ht="15" customHeight="1" x14ac:dyDescent="0.25">
      <c r="K36" s="285"/>
      <c r="CH36" s="426" t="s">
        <v>252</v>
      </c>
      <c r="CI36" s="145" t="s">
        <v>253</v>
      </c>
      <c r="CJ36" s="145" t="s">
        <v>254</v>
      </c>
      <c r="CK36" s="145" t="s">
        <v>255</v>
      </c>
      <c r="CL36" s="145" t="s">
        <v>256</v>
      </c>
      <c r="CM36" s="145" t="s">
        <v>257</v>
      </c>
      <c r="CN36" s="145" t="s">
        <v>258</v>
      </c>
      <c r="CO36" s="426" t="s">
        <v>259</v>
      </c>
      <c r="EZ36" s="110"/>
      <c r="FA36" s="110"/>
      <c r="FB36" s="110"/>
      <c r="FC36" s="110"/>
      <c r="FD36" s="110"/>
      <c r="FE36" s="110"/>
      <c r="FF36" s="110"/>
      <c r="FG36" s="110"/>
      <c r="FH36" s="110"/>
    </row>
    <row r="37" spans="2:214" ht="15" customHeight="1" outlineLevel="1" x14ac:dyDescent="0.2">
      <c r="K37" s="285"/>
      <c r="AQ37" s="104" t="s">
        <v>31</v>
      </c>
      <c r="AR37" s="154">
        <f t="shared" ref="AR37:AY37" si="46">N6</f>
        <v>20.965</v>
      </c>
      <c r="AS37" s="154">
        <f t="shared" si="46"/>
        <v>43.119490999999996</v>
      </c>
      <c r="AT37" s="154">
        <f t="shared" si="46"/>
        <v>67.821970309999998</v>
      </c>
      <c r="AU37" s="154">
        <f t="shared" si="46"/>
        <v>104.84938007509879</v>
      </c>
      <c r="AV37" s="154">
        <f t="shared" si="46"/>
        <v>175.63701622970058</v>
      </c>
      <c r="AW37" s="154">
        <f t="shared" si="46"/>
        <v>269.64747086129938</v>
      </c>
      <c r="AX37" s="154">
        <f t="shared" si="46"/>
        <v>404.95309108935436</v>
      </c>
      <c r="AY37" s="154">
        <f t="shared" si="46"/>
        <v>598.73127690134743</v>
      </c>
      <c r="CG37" s="104" t="s">
        <v>282</v>
      </c>
      <c r="CH37" s="285">
        <f t="shared" ref="CH37:CO37" si="47">SUM(CH7:CH10)</f>
        <v>158</v>
      </c>
      <c r="CI37" s="285">
        <f t="shared" si="47"/>
        <v>232</v>
      </c>
      <c r="CJ37" s="285">
        <f t="shared" si="47"/>
        <v>243</v>
      </c>
      <c r="CK37" s="285">
        <f t="shared" si="47"/>
        <v>485</v>
      </c>
      <c r="CL37" s="285">
        <f t="shared" si="47"/>
        <v>581.07164348337449</v>
      </c>
      <c r="CM37" s="285">
        <f t="shared" si="47"/>
        <v>865.88964399127735</v>
      </c>
      <c r="CN37" s="285">
        <f t="shared" si="47"/>
        <v>1054.2475546982107</v>
      </c>
      <c r="CO37" s="285">
        <f t="shared" si="47"/>
        <v>1425.5453637266357</v>
      </c>
      <c r="EZ37" s="110"/>
      <c r="FA37" s="110"/>
      <c r="FB37" s="110"/>
      <c r="FC37" s="110"/>
      <c r="FD37" s="110"/>
      <c r="FE37" s="110"/>
      <c r="FF37" s="110"/>
      <c r="FG37" s="110"/>
      <c r="FH37" s="110"/>
      <c r="GX37" s="161"/>
      <c r="GY37" s="161"/>
      <c r="GZ37" s="161"/>
      <c r="HA37" s="161"/>
      <c r="HB37" s="161"/>
      <c r="HC37" s="161"/>
      <c r="HD37" s="161"/>
      <c r="HE37" s="161"/>
      <c r="HF37" s="161"/>
    </row>
    <row r="38" spans="2:214" ht="15" customHeight="1" x14ac:dyDescent="0.2">
      <c r="K38" s="112"/>
      <c r="CG38" s="104" t="s">
        <v>13</v>
      </c>
      <c r="CH38" s="285">
        <f t="shared" ref="CH38:CO38" si="48">SUM(CH11:CH12)</f>
        <v>97</v>
      </c>
      <c r="CI38" s="285">
        <f t="shared" si="48"/>
        <v>134</v>
      </c>
      <c r="CJ38" s="285">
        <f t="shared" si="48"/>
        <v>174</v>
      </c>
      <c r="CK38" s="285">
        <f t="shared" si="48"/>
        <v>310</v>
      </c>
      <c r="CL38" s="285">
        <f t="shared" si="48"/>
        <v>425.34313474848909</v>
      </c>
      <c r="CM38" s="285">
        <f t="shared" si="48"/>
        <v>562.90467975203887</v>
      </c>
      <c r="CN38" s="285">
        <f t="shared" si="48"/>
        <v>701.85196612516506</v>
      </c>
      <c r="CO38" s="285">
        <f t="shared" si="48"/>
        <v>861.51676493753735</v>
      </c>
      <c r="GY38" s="161"/>
      <c r="GZ38" s="161"/>
      <c r="HA38" s="161"/>
      <c r="HB38" s="161"/>
      <c r="HC38" s="161"/>
      <c r="HD38" s="161"/>
      <c r="HE38" s="161"/>
      <c r="HF38" s="161"/>
    </row>
    <row r="39" spans="2:214" ht="15" customHeight="1" x14ac:dyDescent="0.25">
      <c r="K39" s="118"/>
      <c r="CG39" s="104" t="s">
        <v>14</v>
      </c>
      <c r="CH39" s="288">
        <f t="shared" ref="CH39:CO39" si="49">SUM(CH13:CH14)</f>
        <v>27</v>
      </c>
      <c r="CI39" s="288">
        <f t="shared" si="49"/>
        <v>43</v>
      </c>
      <c r="CJ39" s="288">
        <f t="shared" si="49"/>
        <v>55</v>
      </c>
      <c r="CK39" s="288">
        <f t="shared" si="49"/>
        <v>122</v>
      </c>
      <c r="CL39" s="288">
        <f t="shared" si="49"/>
        <v>139.66238510209735</v>
      </c>
      <c r="CM39" s="288">
        <f t="shared" si="49"/>
        <v>174.7632210028857</v>
      </c>
      <c r="CN39" s="288">
        <f t="shared" si="49"/>
        <v>206.28357863143952</v>
      </c>
      <c r="CO39" s="288">
        <f t="shared" si="49"/>
        <v>246.20967408893671</v>
      </c>
      <c r="GY39" s="426" t="s">
        <v>252</v>
      </c>
      <c r="GZ39" s="145" t="s">
        <v>253</v>
      </c>
      <c r="HA39" s="145" t="s">
        <v>254</v>
      </c>
      <c r="HB39" s="145" t="s">
        <v>255</v>
      </c>
      <c r="HC39" s="145" t="s">
        <v>256</v>
      </c>
      <c r="HD39" s="145" t="s">
        <v>257</v>
      </c>
      <c r="HE39" s="145" t="s">
        <v>258</v>
      </c>
      <c r="HF39" s="426" t="s">
        <v>259</v>
      </c>
    </row>
    <row r="40" spans="2:214" ht="15" customHeight="1" x14ac:dyDescent="0.2">
      <c r="K40" s="285"/>
      <c r="CH40" s="285">
        <f t="shared" ref="CH40:CO40" si="50">SUM(CH37:CH39)</f>
        <v>282</v>
      </c>
      <c r="CI40" s="285">
        <f t="shared" si="50"/>
        <v>409</v>
      </c>
      <c r="CJ40" s="285">
        <f t="shared" si="50"/>
        <v>472</v>
      </c>
      <c r="CK40" s="285">
        <f t="shared" si="50"/>
        <v>917</v>
      </c>
      <c r="CL40" s="285">
        <f t="shared" si="50"/>
        <v>1146.0771633339609</v>
      </c>
      <c r="CM40" s="285">
        <f t="shared" si="50"/>
        <v>1603.557544746202</v>
      </c>
      <c r="CN40" s="285">
        <f t="shared" si="50"/>
        <v>1962.3830994548152</v>
      </c>
      <c r="CO40" s="285">
        <f t="shared" si="50"/>
        <v>2533.27180275311</v>
      </c>
      <c r="GX40" s="161" t="s">
        <v>665</v>
      </c>
      <c r="GY40" s="280">
        <f t="shared" ref="GY40:HF40" si="51">GY13</f>
        <v>17.690805445918045</v>
      </c>
      <c r="GZ40" s="154">
        <f t="shared" si="51"/>
        <v>25.257922055886969</v>
      </c>
      <c r="HA40" s="154">
        <f t="shared" si="51"/>
        <v>29.265584490861926</v>
      </c>
      <c r="HB40" s="154">
        <f t="shared" si="51"/>
        <v>57.694658366218405</v>
      </c>
      <c r="HC40" s="154">
        <f t="shared" si="51"/>
        <v>74.805216992484276</v>
      </c>
      <c r="HD40" s="154">
        <f t="shared" si="51"/>
        <v>103.88457006391431</v>
      </c>
      <c r="HE40" s="154">
        <f t="shared" si="51"/>
        <v>141.27559534267573</v>
      </c>
      <c r="HF40" s="154">
        <f t="shared" si="51"/>
        <v>187.98395383206295</v>
      </c>
    </row>
    <row r="41" spans="2:214" ht="15" customHeight="1" x14ac:dyDescent="0.25">
      <c r="B41" s="103" t="s">
        <v>285</v>
      </c>
      <c r="C41" s="103"/>
      <c r="D41" s="103"/>
      <c r="E41" s="103"/>
      <c r="F41" s="103"/>
      <c r="G41" s="103"/>
      <c r="H41" s="103"/>
      <c r="I41" s="103"/>
      <c r="J41" s="103"/>
      <c r="K41" s="103"/>
      <c r="L41" s="103"/>
      <c r="M41" s="103"/>
      <c r="N41" s="103"/>
      <c r="O41" s="103"/>
      <c r="P41" s="103"/>
      <c r="Q41" s="103"/>
      <c r="R41" s="103"/>
      <c r="S41" s="103"/>
      <c r="T41" s="103"/>
      <c r="U41" s="103"/>
      <c r="V41" s="103"/>
      <c r="W41" s="103"/>
      <c r="X41" s="103"/>
      <c r="Y41" s="103"/>
      <c r="Z41" s="103"/>
      <c r="AA41" s="103"/>
      <c r="AB41" s="103"/>
      <c r="AC41" s="103"/>
      <c r="AD41" s="103"/>
      <c r="AE41" s="103"/>
      <c r="AF41" s="103"/>
      <c r="AG41" s="103"/>
      <c r="AH41" s="103"/>
      <c r="GX41" s="161" t="s">
        <v>314</v>
      </c>
      <c r="GY41" s="320">
        <f t="shared" ref="GY41:HF41" si="52">GY22</f>
        <v>0.99192587820779354</v>
      </c>
      <c r="GZ41" s="154">
        <f t="shared" si="52"/>
        <v>2.1286528918602716</v>
      </c>
      <c r="HA41" s="154">
        <f t="shared" si="52"/>
        <v>2.600518980590496</v>
      </c>
      <c r="HB41" s="154">
        <f t="shared" si="52"/>
        <v>5.119900745649681</v>
      </c>
      <c r="HC41" s="154">
        <f t="shared" si="52"/>
        <v>9.1947830075157135</v>
      </c>
      <c r="HD41" s="154">
        <f t="shared" si="52"/>
        <v>16.788867436085674</v>
      </c>
      <c r="HE41" s="154">
        <f t="shared" si="52"/>
        <v>29.022373407324224</v>
      </c>
      <c r="HF41" s="154">
        <f t="shared" si="52"/>
        <v>48.023766871062037</v>
      </c>
    </row>
    <row r="42" spans="2:214" ht="15" customHeight="1" x14ac:dyDescent="0.2">
      <c r="K42" s="112"/>
      <c r="CH42" s="317">
        <f t="shared" ref="CH42:CO42" si="53">CH38/CH40</f>
        <v>0.34397163120567376</v>
      </c>
      <c r="CI42" s="317">
        <f t="shared" si="53"/>
        <v>0.32762836185819072</v>
      </c>
      <c r="CJ42" s="317">
        <f t="shared" si="53"/>
        <v>0.36864406779661019</v>
      </c>
      <c r="CK42" s="317">
        <f t="shared" si="53"/>
        <v>0.33805888767720826</v>
      </c>
      <c r="CL42" s="317">
        <f t="shared" si="53"/>
        <v>0.37112957866742374</v>
      </c>
      <c r="CM42" s="317">
        <f t="shared" si="53"/>
        <v>0.35103491084327182</v>
      </c>
      <c r="CN42" s="317">
        <f t="shared" si="53"/>
        <v>0.3576528794607699</v>
      </c>
      <c r="CO42" s="317">
        <f t="shared" si="53"/>
        <v>0.34008066722301883</v>
      </c>
      <c r="GX42" s="161" t="s">
        <v>664</v>
      </c>
      <c r="GY42" s="345">
        <f t="shared" ref="GY42:HF42" si="54">GY32</f>
        <v>0.22719397587416457</v>
      </c>
      <c r="GZ42" s="384">
        <f t="shared" si="54"/>
        <v>0.3502329431677581</v>
      </c>
      <c r="HA42" s="384">
        <f t="shared" si="54"/>
        <v>0.47586609264957486</v>
      </c>
      <c r="HB42" s="384">
        <f t="shared" si="54"/>
        <v>1.117683208564912</v>
      </c>
      <c r="HC42" s="384">
        <f t="shared" si="54"/>
        <v>3.4999999999999996</v>
      </c>
      <c r="HD42" s="384">
        <f t="shared" si="54"/>
        <v>8.3890624999999996</v>
      </c>
      <c r="HE42" s="384">
        <f t="shared" si="54"/>
        <v>16.842656249999994</v>
      </c>
      <c r="HF42" s="384">
        <f t="shared" si="54"/>
        <v>30.667669921874996</v>
      </c>
    </row>
    <row r="43" spans="2:214" ht="15" customHeight="1" x14ac:dyDescent="0.25">
      <c r="C43" s="278" t="s">
        <v>194</v>
      </c>
      <c r="D43" s="278" t="s">
        <v>195</v>
      </c>
      <c r="E43" s="278" t="s">
        <v>196</v>
      </c>
      <c r="F43" s="278" t="s">
        <v>197</v>
      </c>
      <c r="G43" s="279" t="s">
        <v>198</v>
      </c>
      <c r="H43" s="279" t="s">
        <v>199</v>
      </c>
      <c r="I43" s="279" t="s">
        <v>200</v>
      </c>
      <c r="J43" s="279" t="s">
        <v>201</v>
      </c>
      <c r="K43" s="278" t="s">
        <v>202</v>
      </c>
      <c r="L43" s="278" t="s">
        <v>203</v>
      </c>
      <c r="M43" s="278" t="s">
        <v>204</v>
      </c>
      <c r="N43" s="278" t="s">
        <v>205</v>
      </c>
      <c r="O43" s="279" t="s">
        <v>206</v>
      </c>
      <c r="P43" s="279" t="s">
        <v>207</v>
      </c>
      <c r="Q43" s="279" t="s">
        <v>208</v>
      </c>
      <c r="R43" s="279" t="s">
        <v>209</v>
      </c>
      <c r="S43" s="278" t="s">
        <v>210</v>
      </c>
      <c r="T43" s="278" t="s">
        <v>211</v>
      </c>
      <c r="U43" s="278" t="s">
        <v>212</v>
      </c>
      <c r="V43" s="278" t="s">
        <v>213</v>
      </c>
      <c r="W43" s="279" t="s">
        <v>214</v>
      </c>
      <c r="X43" s="279" t="s">
        <v>215</v>
      </c>
      <c r="Y43" s="279" t="s">
        <v>216</v>
      </c>
      <c r="Z43" s="279" t="s">
        <v>217</v>
      </c>
      <c r="AA43" s="278" t="s">
        <v>236</v>
      </c>
      <c r="AB43" s="278" t="s">
        <v>237</v>
      </c>
      <c r="AC43" s="278" t="s">
        <v>238</v>
      </c>
      <c r="AD43" s="278" t="s">
        <v>239</v>
      </c>
      <c r="AE43" s="279" t="s">
        <v>240</v>
      </c>
      <c r="AF43" s="279" t="s">
        <v>241</v>
      </c>
      <c r="AG43" s="279" t="s">
        <v>242</v>
      </c>
      <c r="AH43" s="279" t="s">
        <v>243</v>
      </c>
      <c r="GX43" s="161"/>
      <c r="GY43" s="344">
        <f t="shared" ref="GY43:HF43" si="55">SUM(GY40:GY42)</f>
        <v>18.909925300000005</v>
      </c>
      <c r="GZ43" s="344">
        <f t="shared" si="55"/>
        <v>27.736807890914999</v>
      </c>
      <c r="HA43" s="344">
        <f t="shared" si="55"/>
        <v>32.341969564101994</v>
      </c>
      <c r="HB43" s="344">
        <f t="shared" si="55"/>
        <v>63.932242320432998</v>
      </c>
      <c r="HC43" s="344">
        <f t="shared" si="55"/>
        <v>87.499999999999986</v>
      </c>
      <c r="HD43" s="344">
        <f t="shared" si="55"/>
        <v>129.06249999999997</v>
      </c>
      <c r="HE43" s="344">
        <f t="shared" si="55"/>
        <v>187.14062499999994</v>
      </c>
      <c r="HF43" s="344">
        <f t="shared" si="55"/>
        <v>266.67539062499998</v>
      </c>
    </row>
    <row r="44" spans="2:214" ht="15" customHeight="1" x14ac:dyDescent="0.2">
      <c r="B44" s="104" t="s">
        <v>286</v>
      </c>
      <c r="C44" s="125">
        <f>Forecast!N68/1000000</f>
        <v>28.212770124567442</v>
      </c>
      <c r="D44" s="125">
        <f>Forecast!O68/1000000</f>
        <v>23.776766444567443</v>
      </c>
      <c r="E44" s="125">
        <f>Forecast!P68/1000000</f>
        <v>67.665568374567442</v>
      </c>
      <c r="F44" s="125">
        <f>Forecast!Q68/1000000</f>
        <v>63.401484154567441</v>
      </c>
      <c r="G44" s="125">
        <f>Forecast!R68/1000000</f>
        <v>48.175318490000002</v>
      </c>
      <c r="H44" s="125">
        <f>Forecast!S68/1000000</f>
        <v>41.42953945</v>
      </c>
      <c r="I44" s="125">
        <f>Forecast!T68/1000000</f>
        <v>132.45970020000001</v>
      </c>
      <c r="J44" s="125">
        <f>Forecast!U68/1000000</f>
        <v>127.94848899999998</v>
      </c>
      <c r="K44" s="125">
        <f>Forecast!V68/1000000</f>
        <v>113.9302319998</v>
      </c>
      <c r="L44" s="125">
        <f>Forecast!W68/1000000</f>
        <v>103.35298040773998</v>
      </c>
      <c r="M44" s="125">
        <f>Forecast!X68/1000000</f>
        <v>98.528151126639983</v>
      </c>
      <c r="N44" s="125">
        <f>Forecast!Y68/1000000</f>
        <v>96.304544183695583</v>
      </c>
      <c r="O44" s="125">
        <f>Forecast!Z68/1000000</f>
        <v>86.058441699295585</v>
      </c>
      <c r="P44" s="125">
        <f>Forecast!AA68/1000000</f>
        <v>224.13640230269559</v>
      </c>
      <c r="Q44" s="125">
        <f>Forecast!AB68/1000000</f>
        <v>208.15127139115179</v>
      </c>
      <c r="R44" s="125">
        <f>Forecast!AC68/1000000</f>
        <v>194.03577630878581</v>
      </c>
      <c r="S44" s="125">
        <f>Forecast!AD68/1000000</f>
        <v>176.19743356261449</v>
      </c>
      <c r="T44" s="125">
        <f>Forecast!AE68/1000000</f>
        <v>161.55220946968754</v>
      </c>
      <c r="U44" s="125">
        <f>Forecast!AF68/1000000</f>
        <v>146.97082079528079</v>
      </c>
      <c r="V44" s="125">
        <f>Forecast!AG68/1000000</f>
        <v>135.59799799384064</v>
      </c>
      <c r="W44" s="125">
        <f>Forecast!AH68/1000000</f>
        <v>121.3009306733999</v>
      </c>
      <c r="X44" s="125">
        <f>Forecast!AI68/1000000</f>
        <v>109.74258170301623</v>
      </c>
      <c r="Y44" s="125">
        <f>Forecast!AJ68/1000000</f>
        <v>95.998271173080923</v>
      </c>
      <c r="Z44" s="125">
        <f>Forecast!AK68/1000000</f>
        <v>84.08376634412393</v>
      </c>
      <c r="AA44" s="125">
        <f>Forecast!AL68/1000000</f>
        <v>69.977267908963654</v>
      </c>
      <c r="AB44" s="125">
        <f>Forecast!AM68/1000000</f>
        <v>64.633235970212311</v>
      </c>
      <c r="AC44" s="125">
        <f>Forecast!AN68/1000000</f>
        <v>60.513241371965705</v>
      </c>
      <c r="AD44" s="125">
        <f>Forecast!AO68/1000000</f>
        <v>64.188915367398707</v>
      </c>
      <c r="AE44" s="125">
        <f>Forecast!AP68/1000000</f>
        <v>65.523038768940296</v>
      </c>
      <c r="AF44" s="125">
        <f>Forecast!AQ68/1000000</f>
        <v>77.369436190915437</v>
      </c>
      <c r="AG44" s="125">
        <f>Forecast!AR68/1000000</f>
        <v>90.319031919203695</v>
      </c>
      <c r="AH44" s="125">
        <f>Forecast!AS68/1000000</f>
        <v>112.98298437855232</v>
      </c>
      <c r="CI44" s="285">
        <f t="shared" ref="CI44:CO44" si="56">CI38-CH38</f>
        <v>37</v>
      </c>
      <c r="CJ44" s="285">
        <f t="shared" si="56"/>
        <v>40</v>
      </c>
      <c r="CK44" s="285">
        <f t="shared" si="56"/>
        <v>136</v>
      </c>
      <c r="CL44" s="285">
        <f t="shared" si="56"/>
        <v>115.34313474848909</v>
      </c>
      <c r="CM44" s="285">
        <f t="shared" si="56"/>
        <v>137.56154500354978</v>
      </c>
      <c r="CN44" s="285">
        <f t="shared" si="56"/>
        <v>138.94728637312619</v>
      </c>
      <c r="CO44" s="285">
        <f t="shared" si="56"/>
        <v>159.66479881237228</v>
      </c>
      <c r="GX44" s="161"/>
      <c r="GY44" s="161"/>
      <c r="GZ44" s="161"/>
      <c r="HA44" s="161"/>
      <c r="HB44" s="161"/>
      <c r="HC44" s="161"/>
      <c r="HD44" s="161"/>
      <c r="HE44" s="161"/>
      <c r="HF44" s="161"/>
    </row>
    <row r="45" spans="2:214" ht="15" customHeight="1" x14ac:dyDescent="0.2">
      <c r="B45" s="104" t="s">
        <v>61</v>
      </c>
      <c r="C45" s="125">
        <f>Forecast!N67/1000000</f>
        <v>0</v>
      </c>
      <c r="D45" s="125">
        <f>Forecast!O67/1000000</f>
        <v>0</v>
      </c>
      <c r="E45" s="125">
        <f>Forecast!P67/1000000</f>
        <v>50.019551</v>
      </c>
      <c r="F45" s="125">
        <f>Forecast!Q67/1000000</f>
        <v>4.4696309999999996E-2</v>
      </c>
      <c r="G45" s="125">
        <f>Forecast!R67/1000000</f>
        <v>0.128889</v>
      </c>
      <c r="H45" s="125">
        <f>Forecast!S67/1000000</f>
        <v>0.54723757000000006</v>
      </c>
      <c r="I45" s="125">
        <f>Forecast!T67/1000000</f>
        <v>100.21832292000001</v>
      </c>
      <c r="J45" s="157">
        <f>Forecast!U67/1000000</f>
        <v>0.21289965999999999</v>
      </c>
      <c r="K45" s="125">
        <f>Forecast!V67/1000000</f>
        <v>6.3894000000000006E-2</v>
      </c>
      <c r="L45" s="125">
        <f>Forecast!W67/1000000</f>
        <v>0.18886800000000001</v>
      </c>
      <c r="M45" s="125">
        <f>Forecast!X67/1000000</f>
        <v>0.474051</v>
      </c>
      <c r="N45" s="157">
        <f>Forecast!Y67/1000000</f>
        <v>1.1467990100000001</v>
      </c>
      <c r="O45" s="125">
        <f>Forecast!Z67/1000000</f>
        <v>1.0077072200000001</v>
      </c>
      <c r="P45" s="125">
        <f>Forecast!AA67/1000000</f>
        <v>150.21287519999998</v>
      </c>
      <c r="Q45" s="125">
        <f>Forecast!AB67/1000000</f>
        <v>0.8</v>
      </c>
      <c r="R45" s="125">
        <f>Forecast!AC67/1000000</f>
        <v>0</v>
      </c>
      <c r="S45" s="125">
        <f>Forecast!AD67/1000000</f>
        <v>0</v>
      </c>
      <c r="T45" s="125">
        <f>Forecast!AE67/1000000</f>
        <v>0</v>
      </c>
      <c r="U45" s="125">
        <f>Forecast!AF67/1000000</f>
        <v>0</v>
      </c>
      <c r="V45" s="125">
        <f>Forecast!AG67/1000000</f>
        <v>0</v>
      </c>
      <c r="W45" s="125">
        <f>Forecast!AH67/1000000</f>
        <v>0</v>
      </c>
      <c r="X45" s="125">
        <f>Forecast!AI67/1000000</f>
        <v>0</v>
      </c>
      <c r="Y45" s="125">
        <f>Forecast!AJ67/1000000</f>
        <v>0</v>
      </c>
      <c r="Z45" s="125">
        <f>Forecast!AK67/1000000</f>
        <v>0</v>
      </c>
      <c r="AA45" s="125">
        <f>Forecast!AL67/1000000</f>
        <v>0</v>
      </c>
      <c r="AB45" s="125">
        <f>Forecast!AM67/1000000</f>
        <v>0</v>
      </c>
      <c r="AC45" s="125">
        <f>Forecast!AN67/1000000</f>
        <v>0</v>
      </c>
      <c r="AD45" s="125">
        <f>Forecast!AO67/1000000</f>
        <v>0</v>
      </c>
      <c r="AE45" s="125">
        <f>Forecast!AP67/1000000</f>
        <v>0</v>
      </c>
      <c r="AF45" s="125">
        <f>Forecast!AQ67/1000000</f>
        <v>0</v>
      </c>
      <c r="AG45" s="125">
        <f>Forecast!AR67/1000000</f>
        <v>0</v>
      </c>
      <c r="AH45" s="158">
        <v>0</v>
      </c>
      <c r="GX45" s="161"/>
      <c r="GY45" s="161"/>
      <c r="GZ45" s="161"/>
      <c r="HA45" s="161"/>
      <c r="HB45" s="161"/>
      <c r="HC45" s="161"/>
      <c r="HD45" s="161"/>
      <c r="HE45" s="161"/>
      <c r="HF45" s="161"/>
    </row>
    <row r="46" spans="2:214" x14ac:dyDescent="0.2">
      <c r="B46" s="104" t="s">
        <v>279</v>
      </c>
      <c r="C46" s="125">
        <f>SUM(Forecast!N64:N66)/1000000</f>
        <v>-5.3882298754325575</v>
      </c>
      <c r="D46" s="125">
        <f>SUM(Forecast!O64:O66)/1000000</f>
        <v>-4.4360036799999998</v>
      </c>
      <c r="E46" s="125">
        <f>SUM(Forecast!P64:P66)/1000000</f>
        <v>-6.130749070000002</v>
      </c>
      <c r="F46" s="125">
        <f>SUM(Forecast!Q64:Q66)/1000000</f>
        <v>-4.3087805299999937</v>
      </c>
      <c r="G46" s="125">
        <f>SUM(Forecast!R64:R66)/1000000</f>
        <v>-15.35505466456744</v>
      </c>
      <c r="H46" s="125">
        <f>SUM(Forecast!S64:S66)/1000000</f>
        <v>-7.2930166099999996</v>
      </c>
      <c r="I46" s="125">
        <f>SUM(Forecast!T64:T66)/1000000</f>
        <v>-9.1881621699999982</v>
      </c>
      <c r="J46" s="125">
        <f>SUM(Forecast!U64:U66)/1000000</f>
        <v>-4.7241108600000068</v>
      </c>
      <c r="K46" s="125">
        <f>SUM(Forecast!V64:V66)/1000000</f>
        <v>-14.082151000200003</v>
      </c>
      <c r="L46" s="125">
        <f>SUM(Forecast!W64:W66)/1000000</f>
        <v>-10.766119592060011</v>
      </c>
      <c r="M46" s="125">
        <f>SUM(Forecast!X64:X66)/1000000</f>
        <v>-5.2988802810999971</v>
      </c>
      <c r="N46" s="125">
        <f>SUM(Forecast!Y64:Y66)/1000000</f>
        <v>-3.3704059529444015</v>
      </c>
      <c r="O46" s="125">
        <f>SUM(Forecast!Z64:Z66)/1000000</f>
        <v>-11.253809704400004</v>
      </c>
      <c r="P46" s="125">
        <f>SUM(Forecast!AA64:AA66)/1000000</f>
        <v>-12.13491459660001</v>
      </c>
      <c r="Q46" s="125">
        <f>SUM(Forecast!AB64:AB66)/1000000</f>
        <v>-16.785130911543771</v>
      </c>
      <c r="R46" s="125">
        <f>SUM(Forecast!AC64:AC66)/1000000</f>
        <v>-14.115495082365944</v>
      </c>
      <c r="S46" s="125">
        <f>SUM(Forecast!AD64:AD66)/1000000</f>
        <v>-17.838342746171275</v>
      </c>
      <c r="T46" s="125">
        <f>SUM(Forecast!AE64:AE66)/1000000</f>
        <v>-14.645224092926934</v>
      </c>
      <c r="U46" s="125">
        <f>SUM(Forecast!AF64:AF66)/1000000</f>
        <v>-14.581388674406789</v>
      </c>
      <c r="V46" s="125">
        <f>SUM(Forecast!AG64:AG66)/1000000</f>
        <v>-11.372822801440165</v>
      </c>
      <c r="W46" s="125">
        <f>SUM(Forecast!AH64:AH66)/1000000</f>
        <v>-14.297067320440725</v>
      </c>
      <c r="X46" s="125">
        <f>SUM(Forecast!AI64:AI66)/1000000</f>
        <v>-11.558348970383719</v>
      </c>
      <c r="Y46" s="125">
        <f>SUM(Forecast!AJ64:AJ66)/1000000</f>
        <v>-13.744310529935271</v>
      </c>
      <c r="Z46" s="125">
        <f>SUM(Forecast!AK64:AK66)/1000000</f>
        <v>-11.914504828956991</v>
      </c>
      <c r="AA46" s="125">
        <f>SUM(Forecast!AL64:AL66)/1000000</f>
        <v>-14.10649843516028</v>
      </c>
      <c r="AB46" s="125">
        <f>SUM(Forecast!AM64:AM66)/1000000</f>
        <v>-5.34403193875134</v>
      </c>
      <c r="AC46" s="125">
        <f>SUM(Forecast!AN64:AN66)/1000000</f>
        <v>-4.1199945982466044</v>
      </c>
      <c r="AD46" s="158">
        <v>-5.4</v>
      </c>
      <c r="AE46" s="125">
        <f>SUM(Forecast!AP64:AP66)/1000000</f>
        <v>1.3341234015416206</v>
      </c>
      <c r="AF46" s="125">
        <f>SUM(Forecast!AQ64:AQ66)/1000000</f>
        <v>11.846397421975135</v>
      </c>
      <c r="AG46" s="125">
        <f>SUM(Forecast!AR64:AR66)/1000000</f>
        <v>12.949595728288264</v>
      </c>
      <c r="AH46" s="125">
        <f>SUM(Forecast!AS64:AS66)/1000000</f>
        <v>22.663952459348618</v>
      </c>
    </row>
  </sheetData>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144F7A-5530-42E9-B948-4A942D42125F}">
  <dimension ref="B2:HR46"/>
  <sheetViews>
    <sheetView showGridLines="0" topLeftCell="A25" zoomScale="69" zoomScaleNormal="81" workbookViewId="0">
      <selection activeCell="AC46" sqref="AC46"/>
    </sheetView>
  </sheetViews>
  <sheetFormatPr defaultColWidth="9.140625" defaultRowHeight="14.25" outlineLevelRow="1" outlineLevelCol="1" x14ac:dyDescent="0.2"/>
  <cols>
    <col min="1" max="1" width="9.140625" style="104"/>
    <col min="2" max="2" width="12.28515625" style="104" customWidth="1"/>
    <col min="3" max="3" width="8.7109375" style="104" customWidth="1"/>
    <col min="4" max="10" width="7" style="104" customWidth="1"/>
    <col min="11" max="22" width="9.140625" style="104"/>
    <col min="23" max="23" width="20.42578125" style="104" bestFit="1" customWidth="1"/>
    <col min="24" max="24" width="9.140625" style="104" customWidth="1"/>
    <col min="25" max="32" width="9.140625" style="104"/>
    <col min="33" max="33" width="18.28515625" style="104" customWidth="1"/>
    <col min="34" max="41" width="9.140625" style="104"/>
    <col min="42" max="42" width="15.28515625" style="104" customWidth="1"/>
    <col min="43" max="43" width="15.7109375" style="104" bestFit="1" customWidth="1"/>
    <col min="44" max="51" width="9.140625" style="104"/>
    <col min="52" max="52" width="15.28515625" style="104" customWidth="1"/>
    <col min="53" max="53" width="21.85546875" style="104" bestFit="1" customWidth="1"/>
    <col min="54" max="62" width="9.140625" style="104"/>
    <col min="63" max="63" width="21.42578125" style="104" customWidth="1"/>
    <col min="64" max="73" width="9.140625" style="104"/>
    <col min="74" max="74" width="29.42578125" style="104" bestFit="1" customWidth="1"/>
    <col min="75" max="82" width="10" style="104" customWidth="1"/>
    <col min="83" max="84" width="9.140625" style="104"/>
    <col min="85" max="85" width="29.42578125" style="104" bestFit="1" customWidth="1"/>
    <col min="86" max="93" width="18.42578125" style="104" customWidth="1"/>
    <col min="94" max="95" width="9.140625" style="104"/>
    <col min="96" max="96" width="17.42578125" style="104" customWidth="1"/>
    <col min="97" max="104" width="9.7109375" style="104" customWidth="1"/>
    <col min="105" max="105" width="9.140625" style="104"/>
    <col min="106" max="106" width="17.42578125" style="104" customWidth="1"/>
    <col min="107" max="114" width="9.7109375" style="104" customWidth="1"/>
    <col min="115" max="115" width="9.140625" style="104"/>
    <col min="116" max="116" width="17.42578125" style="104" customWidth="1"/>
    <col min="117" max="124" width="9.7109375" style="104" customWidth="1"/>
    <col min="125" max="125" width="9.140625" style="104"/>
    <col min="126" max="126" width="17.42578125" style="104" customWidth="1"/>
    <col min="127" max="135" width="9.7109375" style="104" customWidth="1"/>
    <col min="136" max="136" width="37" style="104" customWidth="1"/>
    <col min="137" max="137" width="11.28515625" style="104" bestFit="1" customWidth="1"/>
    <col min="138" max="145" width="9.140625" style="104"/>
    <col min="146" max="146" width="32.7109375" style="104" bestFit="1" customWidth="1"/>
    <col min="147" max="155" width="9.140625" style="104"/>
    <col min="156" max="156" width="21.28515625" style="104" customWidth="1"/>
    <col min="157" max="158" width="9.28515625" style="104" hidden="1" customWidth="1" outlineLevel="1"/>
    <col min="159" max="159" width="9.28515625" style="104" customWidth="1" collapsed="1"/>
    <col min="160" max="166" width="9.28515625" style="104" customWidth="1"/>
    <col min="167" max="167" width="9.140625" style="104"/>
    <col min="168" max="168" width="20.7109375" style="104" bestFit="1" customWidth="1"/>
    <col min="169" max="170" width="9.42578125" style="104" hidden="1" customWidth="1" outlineLevel="1"/>
    <col min="171" max="171" width="9.42578125" style="104" customWidth="1" collapsed="1"/>
    <col min="172" max="178" width="9.42578125" style="104" customWidth="1"/>
    <col min="179" max="179" width="9.140625" style="104"/>
    <col min="180" max="180" width="20.7109375" style="104" bestFit="1" customWidth="1"/>
    <col min="181" max="182" width="9.42578125" style="104" hidden="1" customWidth="1" outlineLevel="1"/>
    <col min="183" max="183" width="9.42578125" style="104" customWidth="1" collapsed="1"/>
    <col min="184" max="190" width="9.42578125" style="104" customWidth="1"/>
    <col min="191" max="191" width="9.140625" style="104"/>
    <col min="192" max="192" width="20.7109375" style="104" bestFit="1" customWidth="1"/>
    <col min="193" max="194" width="9.42578125" style="104" hidden="1" customWidth="1" outlineLevel="1"/>
    <col min="195" max="195" width="9.42578125" style="104" customWidth="1" collapsed="1"/>
    <col min="196" max="202" width="9.42578125" style="104" customWidth="1"/>
    <col min="203" max="203" width="9.140625" style="104"/>
    <col min="204" max="204" width="20.7109375" style="104" bestFit="1" customWidth="1"/>
    <col min="205" max="206" width="9.42578125" style="104" hidden="1" customWidth="1" outlineLevel="1"/>
    <col min="207" max="207" width="9.42578125" style="104" customWidth="1" collapsed="1"/>
    <col min="208" max="214" width="9.42578125" style="104" customWidth="1"/>
    <col min="215" max="215" width="9.140625" style="104"/>
    <col min="216" max="216" width="16.42578125" style="104" customWidth="1"/>
    <col min="217" max="218" width="8.7109375" style="104" hidden="1" customWidth="1" outlineLevel="1"/>
    <col min="219" max="219" width="8.7109375" style="104" customWidth="1" collapsed="1"/>
    <col min="220" max="226" width="8.7109375" style="104" customWidth="1"/>
    <col min="227" max="16384" width="9.140625" style="104"/>
  </cols>
  <sheetData>
    <row r="2" spans="2:226" ht="15" x14ac:dyDescent="0.25">
      <c r="B2" s="103" t="s">
        <v>260</v>
      </c>
      <c r="C2" s="103"/>
      <c r="D2" s="103"/>
      <c r="E2" s="103"/>
      <c r="F2" s="103"/>
      <c r="G2" s="103"/>
      <c r="H2" s="103"/>
      <c r="I2" s="103"/>
      <c r="J2" s="103"/>
      <c r="M2" s="103" t="s">
        <v>261</v>
      </c>
      <c r="N2" s="103"/>
      <c r="O2" s="103"/>
      <c r="P2" s="103"/>
      <c r="Q2" s="103"/>
      <c r="R2" s="103"/>
      <c r="S2" s="103"/>
      <c r="T2" s="103"/>
      <c r="U2" s="103"/>
      <c r="W2" s="103" t="s">
        <v>271</v>
      </c>
      <c r="X2" s="103"/>
      <c r="Y2" s="103"/>
      <c r="Z2" s="103"/>
      <c r="AA2" s="103"/>
      <c r="AB2" s="103"/>
      <c r="AC2" s="103"/>
      <c r="AD2" s="103"/>
      <c r="AE2" s="103"/>
      <c r="AG2" s="103" t="s">
        <v>277</v>
      </c>
      <c r="AH2" s="103"/>
      <c r="AI2" s="103"/>
      <c r="AJ2" s="103"/>
      <c r="AK2" s="103"/>
      <c r="AL2" s="103"/>
      <c r="AM2" s="103"/>
      <c r="AN2" s="103"/>
      <c r="AO2" s="103"/>
      <c r="AQ2" s="103" t="s">
        <v>280</v>
      </c>
      <c r="AR2" s="103"/>
      <c r="AS2" s="103"/>
      <c r="AT2" s="103"/>
      <c r="AU2" s="103"/>
      <c r="AV2" s="103"/>
      <c r="AW2" s="103"/>
      <c r="AX2" s="103"/>
      <c r="AY2" s="103"/>
      <c r="BA2" s="103" t="s">
        <v>287</v>
      </c>
      <c r="BB2" s="103"/>
      <c r="BC2" s="103"/>
      <c r="BD2" s="103"/>
      <c r="BE2" s="103"/>
      <c r="BF2" s="103"/>
      <c r="BG2" s="103"/>
      <c r="BH2" s="103"/>
      <c r="BI2" s="103"/>
      <c r="BK2" s="103" t="s">
        <v>295</v>
      </c>
      <c r="BL2" s="103"/>
      <c r="BM2" s="103"/>
      <c r="BN2" s="103"/>
      <c r="BO2" s="103"/>
      <c r="BP2" s="103"/>
      <c r="BQ2" s="103"/>
      <c r="BR2" s="103"/>
      <c r="BS2" s="103"/>
      <c r="BV2" s="103" t="s">
        <v>287</v>
      </c>
      <c r="BW2" s="103"/>
      <c r="BX2" s="103"/>
      <c r="BY2" s="103"/>
      <c r="BZ2" s="103"/>
      <c r="CA2" s="103"/>
      <c r="CB2" s="103"/>
      <c r="CC2" s="103"/>
      <c r="CD2" s="103"/>
      <c r="CG2" s="103" t="s">
        <v>285</v>
      </c>
      <c r="CH2" s="103"/>
      <c r="CI2" s="103"/>
      <c r="CJ2" s="103"/>
      <c r="CK2" s="103"/>
      <c r="CL2" s="103"/>
      <c r="CM2" s="103"/>
      <c r="CN2" s="103"/>
      <c r="CO2" s="103"/>
      <c r="CR2" s="103" t="s">
        <v>285</v>
      </c>
      <c r="CS2" s="103"/>
      <c r="CT2" s="103"/>
      <c r="CU2" s="103"/>
      <c r="CV2" s="103"/>
      <c r="CW2" s="103"/>
      <c r="CX2" s="103"/>
      <c r="CY2" s="103"/>
      <c r="CZ2" s="103"/>
      <c r="DA2" s="103"/>
      <c r="DB2" s="103"/>
      <c r="DC2" s="103"/>
      <c r="DD2" s="103"/>
      <c r="DE2" s="103"/>
      <c r="DF2" s="103"/>
      <c r="DG2" s="103"/>
      <c r="DH2" s="103"/>
      <c r="DI2" s="103"/>
      <c r="DJ2" s="103"/>
      <c r="DK2" s="103"/>
      <c r="DL2" s="103"/>
      <c r="DM2" s="103"/>
      <c r="DN2" s="103"/>
      <c r="DO2" s="103"/>
      <c r="DP2" s="103"/>
      <c r="DQ2" s="103"/>
      <c r="DR2" s="103"/>
      <c r="DS2" s="103"/>
      <c r="DT2" s="103"/>
      <c r="DU2" s="103"/>
      <c r="DV2" s="103"/>
      <c r="DW2" s="103"/>
      <c r="DX2" s="103"/>
      <c r="DY2" s="103"/>
      <c r="DZ2" s="103"/>
      <c r="EA2" s="103"/>
      <c r="EB2" s="103"/>
      <c r="EC2" s="103"/>
      <c r="ED2" s="103"/>
      <c r="EF2" s="103" t="s">
        <v>13</v>
      </c>
      <c r="EG2" s="103"/>
      <c r="EH2" s="103"/>
      <c r="EI2" s="103"/>
      <c r="EJ2" s="103"/>
      <c r="EK2" s="103"/>
      <c r="EL2" s="103"/>
      <c r="EM2" s="103"/>
      <c r="EN2" s="103"/>
      <c r="EP2" s="103" t="s">
        <v>14</v>
      </c>
      <c r="EQ2" s="103"/>
      <c r="ER2" s="103"/>
      <c r="ES2" s="103"/>
      <c r="ET2" s="103"/>
      <c r="EU2" s="103"/>
      <c r="EV2" s="103"/>
      <c r="EW2" s="103"/>
      <c r="EX2" s="103"/>
      <c r="EZ2" s="103" t="s">
        <v>652</v>
      </c>
      <c r="FA2" s="103"/>
      <c r="FB2" s="103"/>
      <c r="FC2" s="103"/>
      <c r="FD2" s="103"/>
      <c r="FE2" s="103"/>
      <c r="FF2" s="103"/>
      <c r="FG2" s="103"/>
      <c r="FH2" s="103"/>
      <c r="FI2" s="103"/>
      <c r="FJ2" s="103"/>
      <c r="FL2" s="103" t="s">
        <v>652</v>
      </c>
      <c r="FM2" s="103"/>
      <c r="FN2" s="103"/>
      <c r="FO2" s="103"/>
      <c r="FP2" s="103"/>
      <c r="FQ2" s="103"/>
      <c r="FR2" s="103"/>
      <c r="FS2" s="103"/>
      <c r="FT2" s="103"/>
      <c r="FU2" s="103"/>
      <c r="FV2" s="103"/>
      <c r="FX2" s="103" t="s">
        <v>652</v>
      </c>
      <c r="FY2" s="103"/>
      <c r="FZ2" s="103"/>
      <c r="GA2" s="103"/>
      <c r="GB2" s="103"/>
      <c r="GC2" s="103"/>
      <c r="GD2" s="103"/>
      <c r="GE2" s="103"/>
      <c r="GF2" s="103"/>
      <c r="GG2" s="103"/>
      <c r="GH2" s="103"/>
      <c r="GJ2" s="103" t="s">
        <v>652</v>
      </c>
      <c r="GK2" s="103"/>
      <c r="GL2" s="103"/>
      <c r="GM2" s="103"/>
      <c r="GN2" s="103"/>
      <c r="GO2" s="103"/>
      <c r="GP2" s="103"/>
      <c r="GQ2" s="103"/>
      <c r="GR2" s="103"/>
      <c r="GS2" s="103"/>
      <c r="GT2" s="103"/>
      <c r="GV2" s="103" t="s">
        <v>652</v>
      </c>
      <c r="GW2" s="103"/>
      <c r="GX2" s="103"/>
      <c r="GY2" s="103"/>
      <c r="GZ2" s="103"/>
      <c r="HA2" s="103"/>
      <c r="HB2" s="103"/>
      <c r="HC2" s="103"/>
      <c r="HD2" s="103"/>
      <c r="HE2" s="103"/>
      <c r="HF2" s="103"/>
      <c r="HH2" s="103" t="s">
        <v>652</v>
      </c>
      <c r="HI2" s="103"/>
      <c r="HJ2" s="103"/>
      <c r="HK2" s="103"/>
      <c r="HL2" s="103"/>
      <c r="HM2" s="103"/>
      <c r="HN2" s="103"/>
      <c r="HO2" s="103"/>
      <c r="HP2" s="103"/>
      <c r="HQ2" s="103"/>
      <c r="HR2" s="103"/>
    </row>
    <row r="4" spans="2:226" ht="15" x14ac:dyDescent="0.25">
      <c r="C4" s="105" t="s">
        <v>206</v>
      </c>
      <c r="D4" s="105" t="s">
        <v>207</v>
      </c>
      <c r="E4" s="105" t="s">
        <v>208</v>
      </c>
      <c r="F4" s="105" t="s">
        <v>209</v>
      </c>
      <c r="G4" s="105" t="s">
        <v>210</v>
      </c>
      <c r="H4" s="105" t="s">
        <v>211</v>
      </c>
      <c r="I4" s="105" t="s">
        <v>212</v>
      </c>
      <c r="J4" s="105" t="s">
        <v>213</v>
      </c>
      <c r="N4" s="142" t="s">
        <v>206</v>
      </c>
      <c r="O4" s="145" t="s">
        <v>207</v>
      </c>
      <c r="P4" s="145" t="s">
        <v>208</v>
      </c>
      <c r="Q4" s="145" t="s">
        <v>209</v>
      </c>
      <c r="R4" s="145" t="s">
        <v>210</v>
      </c>
      <c r="S4" s="145" t="s">
        <v>211</v>
      </c>
      <c r="T4" s="145" t="s">
        <v>212</v>
      </c>
      <c r="U4" s="142" t="s">
        <v>213</v>
      </c>
      <c r="W4" s="134"/>
      <c r="X4" s="142" t="s">
        <v>206</v>
      </c>
      <c r="Y4" s="145" t="s">
        <v>207</v>
      </c>
      <c r="Z4" s="145" t="s">
        <v>208</v>
      </c>
      <c r="AA4" s="145" t="s">
        <v>209</v>
      </c>
      <c r="AB4" s="145" t="s">
        <v>210</v>
      </c>
      <c r="AC4" s="145" t="s">
        <v>211</v>
      </c>
      <c r="AD4" s="145" t="s">
        <v>212</v>
      </c>
      <c r="AE4" s="142" t="s">
        <v>213</v>
      </c>
      <c r="AG4" s="134"/>
      <c r="AH4" s="142" t="s">
        <v>206</v>
      </c>
      <c r="AI4" s="145" t="s">
        <v>207</v>
      </c>
      <c r="AJ4" s="145" t="s">
        <v>208</v>
      </c>
      <c r="AK4" s="145" t="s">
        <v>209</v>
      </c>
      <c r="AL4" s="145" t="s">
        <v>210</v>
      </c>
      <c r="AM4" s="145" t="s">
        <v>211</v>
      </c>
      <c r="AN4" s="145" t="s">
        <v>212</v>
      </c>
      <c r="AO4" s="142" t="s">
        <v>213</v>
      </c>
      <c r="AQ4" s="134"/>
      <c r="AR4" s="145" t="s">
        <v>206</v>
      </c>
      <c r="AS4" s="145" t="s">
        <v>207</v>
      </c>
      <c r="AT4" s="145" t="s">
        <v>208</v>
      </c>
      <c r="AU4" s="145" t="s">
        <v>209</v>
      </c>
      <c r="AV4" s="145" t="s">
        <v>210</v>
      </c>
      <c r="AW4" s="145" t="s">
        <v>211</v>
      </c>
      <c r="AX4" s="145" t="s">
        <v>212</v>
      </c>
      <c r="AY4" s="142" t="s">
        <v>213</v>
      </c>
      <c r="BA4" s="134"/>
      <c r="BB4" s="145" t="s">
        <v>206</v>
      </c>
      <c r="BC4" s="145" t="s">
        <v>207</v>
      </c>
      <c r="BD4" s="145" t="s">
        <v>208</v>
      </c>
      <c r="BE4" s="145" t="s">
        <v>209</v>
      </c>
      <c r="BF4" s="145" t="s">
        <v>210</v>
      </c>
      <c r="BG4" s="145" t="s">
        <v>211</v>
      </c>
      <c r="BH4" s="145" t="s">
        <v>212</v>
      </c>
      <c r="BI4" s="142" t="s">
        <v>213</v>
      </c>
      <c r="BK4" s="162"/>
      <c r="BL4" s="145" t="s">
        <v>206</v>
      </c>
      <c r="BM4" s="145" t="s">
        <v>207</v>
      </c>
      <c r="BN4" s="145" t="s">
        <v>208</v>
      </c>
      <c r="BO4" s="145" t="s">
        <v>209</v>
      </c>
      <c r="BP4" s="145" t="s">
        <v>210</v>
      </c>
      <c r="BQ4" s="145" t="s">
        <v>211</v>
      </c>
      <c r="BR4" s="145" t="s">
        <v>212</v>
      </c>
      <c r="BS4" s="142" t="s">
        <v>213</v>
      </c>
      <c r="BV4" s="162"/>
      <c r="BW4" s="145" t="s">
        <v>206</v>
      </c>
      <c r="BX4" s="145" t="s">
        <v>207</v>
      </c>
      <c r="BY4" s="145" t="s">
        <v>208</v>
      </c>
      <c r="BZ4" s="145" t="s">
        <v>209</v>
      </c>
      <c r="CA4" s="145" t="s">
        <v>210</v>
      </c>
      <c r="CB4" s="145" t="s">
        <v>211</v>
      </c>
      <c r="CC4" s="145" t="s">
        <v>212</v>
      </c>
      <c r="CD4" s="142" t="s">
        <v>213</v>
      </c>
      <c r="CG4" s="162"/>
      <c r="CH4" s="145" t="s">
        <v>206</v>
      </c>
      <c r="CI4" s="145" t="s">
        <v>207</v>
      </c>
      <c r="CJ4" s="145" t="s">
        <v>208</v>
      </c>
      <c r="CK4" s="145" t="s">
        <v>209</v>
      </c>
      <c r="CL4" s="145" t="s">
        <v>210</v>
      </c>
      <c r="CM4" s="145" t="s">
        <v>211</v>
      </c>
      <c r="CN4" s="145" t="s">
        <v>212</v>
      </c>
      <c r="CO4" s="142" t="s">
        <v>213</v>
      </c>
      <c r="CR4" s="162"/>
      <c r="CS4" s="145" t="s">
        <v>206</v>
      </c>
      <c r="CT4" s="145" t="s">
        <v>207</v>
      </c>
      <c r="CU4" s="145" t="s">
        <v>208</v>
      </c>
      <c r="CV4" s="145" t="s">
        <v>209</v>
      </c>
      <c r="CW4" s="145" t="s">
        <v>210</v>
      </c>
      <c r="CX4" s="145" t="s">
        <v>211</v>
      </c>
      <c r="CY4" s="145" t="s">
        <v>212</v>
      </c>
      <c r="CZ4" s="142" t="s">
        <v>213</v>
      </c>
      <c r="DB4" s="162"/>
      <c r="DC4" s="145" t="s">
        <v>206</v>
      </c>
      <c r="DD4" s="145" t="s">
        <v>207</v>
      </c>
      <c r="DE4" s="145" t="s">
        <v>208</v>
      </c>
      <c r="DF4" s="145" t="s">
        <v>209</v>
      </c>
      <c r="DG4" s="145" t="s">
        <v>210</v>
      </c>
      <c r="DH4" s="145" t="s">
        <v>211</v>
      </c>
      <c r="DI4" s="145" t="s">
        <v>212</v>
      </c>
      <c r="DJ4" s="142" t="s">
        <v>213</v>
      </c>
      <c r="DL4" s="162"/>
      <c r="DM4" s="145" t="s">
        <v>206</v>
      </c>
      <c r="DN4" s="145" t="s">
        <v>207</v>
      </c>
      <c r="DO4" s="145" t="s">
        <v>208</v>
      </c>
      <c r="DP4" s="145" t="s">
        <v>209</v>
      </c>
      <c r="DQ4" s="145" t="s">
        <v>210</v>
      </c>
      <c r="DR4" s="145" t="s">
        <v>211</v>
      </c>
      <c r="DS4" s="145" t="s">
        <v>212</v>
      </c>
      <c r="DT4" s="142" t="s">
        <v>213</v>
      </c>
      <c r="DV4" s="162"/>
      <c r="DW4" s="145" t="s">
        <v>206</v>
      </c>
      <c r="DX4" s="145" t="s">
        <v>207</v>
      </c>
      <c r="DY4" s="145" t="s">
        <v>208</v>
      </c>
      <c r="DZ4" s="145" t="s">
        <v>209</v>
      </c>
      <c r="EA4" s="145" t="s">
        <v>210</v>
      </c>
      <c r="EB4" s="145" t="s">
        <v>211</v>
      </c>
      <c r="EC4" s="145" t="s">
        <v>212</v>
      </c>
      <c r="ED4" s="142" t="s">
        <v>213</v>
      </c>
      <c r="FA4" s="142" t="s">
        <v>252</v>
      </c>
      <c r="FB4" s="145" t="s">
        <v>253</v>
      </c>
      <c r="FC4" s="145" t="s">
        <v>206</v>
      </c>
      <c r="FD4" s="145" t="s">
        <v>207</v>
      </c>
      <c r="FE4" s="145" t="s">
        <v>208</v>
      </c>
      <c r="FF4" s="145" t="s">
        <v>209</v>
      </c>
      <c r="FG4" s="145" t="s">
        <v>210</v>
      </c>
      <c r="FH4" s="145" t="s">
        <v>211</v>
      </c>
      <c r="FI4" s="145" t="s">
        <v>212</v>
      </c>
      <c r="FJ4" s="145" t="s">
        <v>213</v>
      </c>
      <c r="FK4" s="395"/>
      <c r="FL4" s="197"/>
      <c r="FM4" s="142" t="s">
        <v>252</v>
      </c>
      <c r="FN4" s="145" t="s">
        <v>253</v>
      </c>
      <c r="FO4" s="145" t="s">
        <v>206</v>
      </c>
      <c r="FP4" s="145" t="s">
        <v>207</v>
      </c>
      <c r="FQ4" s="145" t="s">
        <v>208</v>
      </c>
      <c r="FR4" s="145" t="s">
        <v>209</v>
      </c>
      <c r="FS4" s="145" t="s">
        <v>210</v>
      </c>
      <c r="FT4" s="145" t="s">
        <v>211</v>
      </c>
      <c r="FU4" s="145" t="s">
        <v>212</v>
      </c>
      <c r="FV4" s="145" t="s">
        <v>213</v>
      </c>
      <c r="FY4" s="142" t="s">
        <v>252</v>
      </c>
      <c r="FZ4" s="145" t="s">
        <v>253</v>
      </c>
      <c r="GA4" s="145" t="s">
        <v>206</v>
      </c>
      <c r="GB4" s="145" t="s">
        <v>207</v>
      </c>
      <c r="GC4" s="145" t="s">
        <v>208</v>
      </c>
      <c r="GD4" s="145" t="s">
        <v>209</v>
      </c>
      <c r="GE4" s="145" t="s">
        <v>210</v>
      </c>
      <c r="GF4" s="145" t="s">
        <v>211</v>
      </c>
      <c r="GG4" s="145" t="s">
        <v>212</v>
      </c>
      <c r="GH4" s="145" t="s">
        <v>213</v>
      </c>
      <c r="GK4" s="142" t="s">
        <v>252</v>
      </c>
      <c r="GL4" s="145" t="s">
        <v>253</v>
      </c>
      <c r="GM4" s="145" t="s">
        <v>206</v>
      </c>
      <c r="GN4" s="145" t="s">
        <v>207</v>
      </c>
      <c r="GO4" s="145" t="s">
        <v>208</v>
      </c>
      <c r="GP4" s="145" t="s">
        <v>209</v>
      </c>
      <c r="GQ4" s="145" t="s">
        <v>210</v>
      </c>
      <c r="GR4" s="145" t="s">
        <v>211</v>
      </c>
      <c r="GS4" s="145" t="s">
        <v>212</v>
      </c>
      <c r="GT4" s="145" t="s">
        <v>213</v>
      </c>
      <c r="GW4" s="142" t="s">
        <v>252</v>
      </c>
      <c r="GX4" s="145" t="s">
        <v>253</v>
      </c>
      <c r="GY4" s="145" t="s">
        <v>206</v>
      </c>
      <c r="GZ4" s="145" t="s">
        <v>207</v>
      </c>
      <c r="HA4" s="145" t="s">
        <v>208</v>
      </c>
      <c r="HB4" s="145" t="s">
        <v>209</v>
      </c>
      <c r="HC4" s="145" t="s">
        <v>210</v>
      </c>
      <c r="HD4" s="145" t="s">
        <v>211</v>
      </c>
      <c r="HE4" s="145" t="s">
        <v>212</v>
      </c>
      <c r="HF4" s="145" t="s">
        <v>213</v>
      </c>
    </row>
    <row r="5" spans="2:226" ht="4.5" customHeight="1" x14ac:dyDescent="0.25">
      <c r="C5" s="106">
        <f>Forecast!Z14</f>
        <v>89817779.738021955</v>
      </c>
      <c r="D5" s="106">
        <f>Forecast!AA14</f>
        <v>102577354.82989797</v>
      </c>
      <c r="E5" s="106">
        <f>Forecast!AB14</f>
        <v>118376054.83999997</v>
      </c>
      <c r="F5" s="106">
        <f>Forecast!AC14</f>
        <v>139391097.48368567</v>
      </c>
      <c r="G5" s="106">
        <f>Forecast!AD14</f>
        <v>152234808.50887677</v>
      </c>
      <c r="H5" s="106">
        <f>Forecast!AE14</f>
        <v>170255650.62664872</v>
      </c>
      <c r="I5" s="106">
        <f>Forecast!AF14</f>
        <v>188201189.16659629</v>
      </c>
      <c r="J5" s="106">
        <f>Forecast!AG14</f>
        <v>215399843.90173402</v>
      </c>
      <c r="N5" s="143"/>
      <c r="O5" s="143"/>
      <c r="P5" s="143"/>
      <c r="Q5" s="143"/>
      <c r="R5" s="143"/>
      <c r="S5" s="143"/>
      <c r="T5" s="143"/>
      <c r="U5" s="143"/>
      <c r="W5" s="134"/>
      <c r="X5" s="144"/>
      <c r="Y5" s="134"/>
      <c r="Z5" s="134"/>
      <c r="AA5" s="134"/>
      <c r="AB5" s="134"/>
      <c r="AC5" s="134"/>
      <c r="AD5" s="134"/>
      <c r="AE5" s="134"/>
      <c r="AG5" s="134"/>
      <c r="AH5" s="144"/>
      <c r="AI5" s="134"/>
      <c r="AJ5" s="134"/>
      <c r="AK5" s="134"/>
      <c r="AL5" s="134"/>
      <c r="AM5" s="134"/>
      <c r="AN5" s="134"/>
      <c r="AO5" s="134"/>
      <c r="AQ5" s="134"/>
      <c r="AR5" s="134"/>
      <c r="AS5" s="134"/>
      <c r="AT5" s="134"/>
      <c r="AU5" s="134"/>
      <c r="AV5" s="134"/>
      <c r="AW5" s="134"/>
      <c r="AX5" s="134"/>
      <c r="AY5" s="134"/>
      <c r="BA5" s="134"/>
      <c r="BB5" s="134"/>
      <c r="BC5" s="134"/>
      <c r="BD5" s="134"/>
      <c r="BE5" s="134"/>
      <c r="BF5" s="134"/>
      <c r="BG5" s="134"/>
      <c r="BH5" s="134"/>
      <c r="BI5" s="134"/>
      <c r="BK5" s="162"/>
      <c r="BL5" s="162"/>
      <c r="BM5" s="162"/>
      <c r="BN5" s="162"/>
      <c r="BO5" s="162"/>
      <c r="BP5" s="162"/>
      <c r="BQ5" s="162"/>
      <c r="BR5" s="162"/>
      <c r="BS5" s="162"/>
      <c r="BV5" s="162"/>
      <c r="BW5" s="162"/>
      <c r="BX5" s="162"/>
      <c r="BY5" s="162"/>
      <c r="BZ5" s="162"/>
      <c r="CA5" s="162"/>
      <c r="CB5" s="162"/>
      <c r="CC5" s="162"/>
      <c r="CD5" s="162"/>
      <c r="CG5" s="162"/>
      <c r="CH5" s="162"/>
      <c r="CI5" s="162"/>
      <c r="CJ5" s="162"/>
      <c r="CK5" s="162"/>
      <c r="CL5" s="162"/>
      <c r="CM5" s="162"/>
      <c r="CN5" s="162"/>
      <c r="CO5" s="162"/>
      <c r="CR5" s="162"/>
      <c r="CS5" s="162"/>
      <c r="CT5" s="162"/>
      <c r="CU5" s="162"/>
      <c r="CV5" s="162"/>
      <c r="CW5" s="162"/>
      <c r="CX5" s="162"/>
      <c r="CY5" s="162"/>
      <c r="CZ5" s="162"/>
      <c r="DB5" s="162"/>
      <c r="DC5" s="162"/>
      <c r="DD5" s="162"/>
      <c r="DE5" s="162"/>
      <c r="DF5" s="162"/>
      <c r="DG5" s="162"/>
      <c r="DH5" s="162"/>
      <c r="DI5" s="162"/>
      <c r="DJ5" s="162"/>
      <c r="DL5" s="162"/>
      <c r="DM5" s="162"/>
      <c r="DN5" s="162"/>
      <c r="DO5" s="162"/>
      <c r="DP5" s="162"/>
      <c r="DQ5" s="162"/>
      <c r="DR5" s="162"/>
      <c r="DS5" s="162"/>
      <c r="DT5" s="162"/>
      <c r="DV5" s="162"/>
      <c r="DW5" s="162"/>
      <c r="DX5" s="162"/>
      <c r="DY5" s="162"/>
      <c r="DZ5" s="162"/>
      <c r="EA5" s="162"/>
      <c r="EB5" s="162"/>
      <c r="EC5" s="162"/>
      <c r="ED5" s="162"/>
      <c r="EZ5" s="108"/>
      <c r="FI5" s="396"/>
      <c r="FJ5" s="396"/>
    </row>
    <row r="6" spans="2:226" ht="15" customHeight="1" x14ac:dyDescent="0.25">
      <c r="C6" s="107">
        <f>Forecast!Z15</f>
        <v>0.49981695448003283</v>
      </c>
      <c r="D6" s="107">
        <f>Forecast!AA15</f>
        <v>0.54102767961623499</v>
      </c>
      <c r="E6" s="107">
        <f>Forecast!AB15</f>
        <v>0.61565538070749648</v>
      </c>
      <c r="F6" s="107">
        <f>Forecast!AC15</f>
        <v>0.68986697932754537</v>
      </c>
      <c r="G6" s="107">
        <f>Forecast!AD15</f>
        <v>0.69492954460587986</v>
      </c>
      <c r="H6" s="107">
        <f>Forecast!AE15</f>
        <v>0.65977813435509569</v>
      </c>
      <c r="I6" s="107">
        <f>Forecast!AF15</f>
        <v>0.58985860291571401</v>
      </c>
      <c r="J6" s="107">
        <f>Forecast!AG15</f>
        <v>0.54529125453614014</v>
      </c>
      <c r="M6" s="108" t="s">
        <v>265</v>
      </c>
      <c r="N6" s="135">
        <f>Forecast!Z28/1000000</f>
        <v>21.867270721111996</v>
      </c>
      <c r="O6" s="135">
        <f>Forecast!AA28/1000000</f>
        <v>24.179351</v>
      </c>
      <c r="P6" s="135">
        <f>Forecast!AB28/1000000</f>
        <v>27.491748288048118</v>
      </c>
      <c r="Q6" s="135">
        <f>Forecast!AC28/1000000</f>
        <v>31.311010065938678</v>
      </c>
      <c r="R6" s="135">
        <f>Forecast!AD28/1000000</f>
        <v>36.636574517324256</v>
      </c>
      <c r="S6" s="135">
        <f>Forecast!AE28/1000000</f>
        <v>41.230698006518288</v>
      </c>
      <c r="T6" s="135">
        <f>Forecast!AF28/1000000</f>
        <v>45.364273723724814</v>
      </c>
      <c r="U6" s="109">
        <f>Forecast!AG28/1000000</f>
        <v>52.405469982133177</v>
      </c>
      <c r="W6" s="134" t="s">
        <v>249</v>
      </c>
      <c r="X6" s="125">
        <f>SUM(Forecast!Z10:Z12)/1000000</f>
        <v>9.0686442461729992</v>
      </c>
      <c r="Y6" s="125">
        <f>SUM(Forecast!AA10:AA12)/1000000</f>
        <v>14.18711057426</v>
      </c>
      <c r="Z6" s="125">
        <f>SUM(Forecast!AB10:AB12)/1000000</f>
        <v>17.2987</v>
      </c>
      <c r="AA6" s="125">
        <f>SUM(Forecast!AC10:AC12)/1000000</f>
        <v>23.3777875</v>
      </c>
      <c r="AB6" s="125">
        <f>SUM(Forecast!AD10:AD12)/1000000</f>
        <v>15.48523665815263</v>
      </c>
      <c r="AC6" s="125">
        <f>SUM(Forecast!AE10:AE12)/1000000</f>
        <v>20.603198124783106</v>
      </c>
      <c r="AD6" s="125">
        <f>SUM(Forecast!AF10:AF12)/1000000</f>
        <v>20.312333791441201</v>
      </c>
      <c r="AE6" s="130">
        <f>SUM(Forecast!AG10:AG12)/1000000</f>
        <v>31.099231425623046</v>
      </c>
      <c r="AG6" s="134" t="s">
        <v>18</v>
      </c>
      <c r="AH6" s="125">
        <f>Forecast!Z9/1000000</f>
        <v>82.486431199999956</v>
      </c>
      <c r="AI6" s="125">
        <f>Forecast!AA9/1000000</f>
        <v>89.81777990999997</v>
      </c>
      <c r="AJ6" s="125">
        <f>Forecast!AB9/1000000</f>
        <v>102.57735483999997</v>
      </c>
      <c r="AK6" s="125">
        <f>Forecast!AC9/1000000</f>
        <v>118.01330998368569</v>
      </c>
      <c r="AL6" s="125">
        <f>Forecast!AD9/1000000</f>
        <v>139.0422131189253</v>
      </c>
      <c r="AM6" s="125">
        <f>Forecast!AE9/1000000</f>
        <v>152.23480850887677</v>
      </c>
      <c r="AN6" s="125">
        <f>Forecast!AF9/1000000</f>
        <v>170.2556506266487</v>
      </c>
      <c r="AO6" s="130">
        <f>Forecast!AG9/1000000</f>
        <v>188.20118916659624</v>
      </c>
      <c r="AP6" s="134"/>
      <c r="AQ6" s="134" t="s">
        <v>282</v>
      </c>
      <c r="AR6" s="125">
        <f>(Forecast!Z43+Forecast!Z46)/1000000</f>
        <v>13.04867051889722</v>
      </c>
      <c r="AS6" s="125">
        <f>(Forecast!AA43+Forecast!AA46)/1000000</f>
        <v>16.251493489992487</v>
      </c>
      <c r="AT6" s="125">
        <f>(Forecast!AB43+Forecast!AB46)/1000000</f>
        <v>18.748946353827165</v>
      </c>
      <c r="AU6" s="125">
        <f>(Forecast!AC43+Forecast!AC46)/1000000</f>
        <v>19.780183608259776</v>
      </c>
      <c r="AV6" s="125">
        <f>(Forecast!AD43+Forecast!AD46)/1000000</f>
        <v>22.479586869754087</v>
      </c>
      <c r="AW6" s="125">
        <f>(Forecast!AE43+Forecast!AE46)/1000000</f>
        <v>21.344589213051993</v>
      </c>
      <c r="AX6" s="125">
        <f>(Forecast!AF43+Forecast!AF46)/1000000</f>
        <v>23.639880425263712</v>
      </c>
      <c r="AY6" s="130">
        <f>(Forecast!AG43+Forecast!AG46)/1000000</f>
        <v>20.589972900441083</v>
      </c>
      <c r="AZ6" s="134"/>
      <c r="BA6" s="104" t="s">
        <v>292</v>
      </c>
      <c r="BB6" s="125">
        <f>Forecast!Z48/1000000</f>
        <v>-13.070546927785221</v>
      </c>
      <c r="BC6" s="125">
        <f>Forecast!AA48/1000000</f>
        <v>-17.715701364922939</v>
      </c>
      <c r="BD6" s="125">
        <f>Forecast!AB48/1000000</f>
        <v>-20.464231862110765</v>
      </c>
      <c r="BE6" s="125">
        <f>Forecast!AC48/1000000</f>
        <v>-21.970137249156593</v>
      </c>
      <c r="BF6" s="125">
        <f>Forecast!AD48/1000000</f>
        <v>-23.060467917583562</v>
      </c>
      <c r="BG6" s="125">
        <f>Forecast!AE48/1000000</f>
        <v>-19.024344913929482</v>
      </c>
      <c r="BH6" s="125">
        <f>Forecast!AF48/1000000</f>
        <v>-20.142011873233216</v>
      </c>
      <c r="BI6" s="130">
        <f>Forecast!AG48/1000000</f>
        <v>-14.61168208889543</v>
      </c>
      <c r="BJ6" s="134"/>
      <c r="BK6" s="162" t="s">
        <v>31</v>
      </c>
      <c r="BL6" s="267">
        <f>Forecast!Z28/1000000</f>
        <v>21.867270721111996</v>
      </c>
      <c r="BM6" s="267">
        <f>Forecast!AA28/1000000</f>
        <v>24.179351</v>
      </c>
      <c r="BN6" s="267">
        <f>Forecast!AB28/1000000</f>
        <v>27.491748288048118</v>
      </c>
      <c r="BO6" s="267">
        <f>Forecast!AC28/1000000</f>
        <v>31.311010065938678</v>
      </c>
      <c r="BP6" s="267">
        <f>Forecast!AD28/1000000</f>
        <v>36.636574517324256</v>
      </c>
      <c r="BQ6" s="268">
        <f>Forecast!AE28/1000000</f>
        <v>41.230698006518288</v>
      </c>
      <c r="BR6" s="268">
        <f>Forecast!AF28/1000000</f>
        <v>45.364273723724814</v>
      </c>
      <c r="BS6" s="268">
        <f>Forecast!AG28/1000000</f>
        <v>52.405469982133177</v>
      </c>
      <c r="BV6" s="104" t="s">
        <v>574</v>
      </c>
      <c r="BW6" s="280">
        <f>Expenses!Z9/1000000</f>
        <v>89.817779738021954</v>
      </c>
      <c r="BX6" s="280">
        <f>Expenses!AA9/1000000</f>
        <v>102.57735482989797</v>
      </c>
      <c r="BY6" s="280">
        <f>Expenses!AB9/1000000</f>
        <v>118.37605483999998</v>
      </c>
      <c r="BZ6" s="280">
        <f>Expenses!AC9/1000000</f>
        <v>139.39109748368568</v>
      </c>
      <c r="CA6" s="280">
        <f>Expenses!AD9/1000000</f>
        <v>152.23480850887677</v>
      </c>
      <c r="CB6" s="280">
        <f>Expenses!AE9/1000000</f>
        <v>170.25565062664873</v>
      </c>
      <c r="CC6" s="280">
        <f>Expenses!AF9/1000000</f>
        <v>188.20118916659629</v>
      </c>
      <c r="CD6" s="280">
        <f>Expenses!AG9/1000000</f>
        <v>215.39984390173402</v>
      </c>
      <c r="CG6" s="162" t="s">
        <v>572</v>
      </c>
      <c r="CH6" s="267"/>
      <c r="CI6" s="267"/>
      <c r="CJ6" s="267"/>
      <c r="CK6" s="267"/>
      <c r="CL6" s="267"/>
      <c r="CM6" s="268"/>
      <c r="CN6" s="268"/>
      <c r="CO6" s="268"/>
      <c r="CR6" s="318" t="s">
        <v>607</v>
      </c>
      <c r="CS6" s="319"/>
      <c r="CT6" s="319"/>
      <c r="CU6" s="319"/>
      <c r="CV6" s="319"/>
      <c r="CW6" s="319"/>
      <c r="CX6" s="319"/>
      <c r="CY6" s="319"/>
      <c r="CZ6" s="319"/>
      <c r="DB6" s="318" t="s">
        <v>608</v>
      </c>
      <c r="DC6" s="319"/>
      <c r="DD6" s="319"/>
      <c r="DE6" s="319"/>
      <c r="DF6" s="319"/>
      <c r="DG6" s="319"/>
      <c r="DH6" s="319"/>
      <c r="DI6" s="319"/>
      <c r="DJ6" s="319"/>
      <c r="DL6" s="318" t="s">
        <v>313</v>
      </c>
      <c r="DM6" s="319"/>
      <c r="DN6" s="319"/>
      <c r="DO6" s="319"/>
      <c r="DP6" s="319"/>
      <c r="DQ6" s="319"/>
      <c r="DR6" s="319"/>
      <c r="DS6" s="319"/>
      <c r="DT6" s="319"/>
      <c r="DV6" s="318" t="s">
        <v>308</v>
      </c>
      <c r="DW6" s="319"/>
      <c r="DX6" s="319"/>
      <c r="DY6" s="319"/>
      <c r="DZ6" s="319"/>
      <c r="EA6" s="319"/>
      <c r="EB6" s="319"/>
      <c r="EC6" s="319"/>
      <c r="ED6" s="319"/>
      <c r="EG6" s="145" t="s">
        <v>206</v>
      </c>
      <c r="EH6" s="145" t="s">
        <v>207</v>
      </c>
      <c r="EI6" s="145" t="s">
        <v>208</v>
      </c>
      <c r="EJ6" s="145" t="s">
        <v>209</v>
      </c>
      <c r="EK6" s="145" t="s">
        <v>210</v>
      </c>
      <c r="EL6" s="145" t="s">
        <v>211</v>
      </c>
      <c r="EM6" s="145" t="s">
        <v>212</v>
      </c>
      <c r="EN6" s="142" t="s">
        <v>213</v>
      </c>
      <c r="EQ6" s="145" t="s">
        <v>206</v>
      </c>
      <c r="ER6" s="145" t="s">
        <v>207</v>
      </c>
      <c r="ES6" s="145" t="s">
        <v>208</v>
      </c>
      <c r="ET6" s="145" t="s">
        <v>209</v>
      </c>
      <c r="EU6" s="145" t="s">
        <v>210</v>
      </c>
      <c r="EV6" s="145" t="s">
        <v>211</v>
      </c>
      <c r="EW6" s="145" t="s">
        <v>212</v>
      </c>
      <c r="EX6" s="142" t="s">
        <v>213</v>
      </c>
      <c r="EZ6" s="110" t="s">
        <v>296</v>
      </c>
      <c r="FA6" s="280">
        <f>Products!D28/1000000</f>
        <v>29.001775326600001</v>
      </c>
      <c r="FB6" s="280">
        <f>Products!E28/1000000</f>
        <v>52.847659292196688</v>
      </c>
      <c r="FC6" s="280">
        <f>Products!Z28/1000000</f>
        <v>84.841717252102853</v>
      </c>
      <c r="FD6" s="280">
        <f>Products!AA28/1000000</f>
        <v>96.202803977710701</v>
      </c>
      <c r="FE6" s="280">
        <f>Products!AB28/1000000</f>
        <v>110.21263612309939</v>
      </c>
      <c r="FF6" s="280">
        <f>Products!AC28/1000000</f>
        <v>129.16160192583527</v>
      </c>
      <c r="FG6" s="280">
        <f>Products!AD28/1000000</f>
        <v>140.03969065537319</v>
      </c>
      <c r="FH6" s="280">
        <f>Products!AE28/1000000</f>
        <v>154.95196727347303</v>
      </c>
      <c r="FI6" s="397">
        <f>Products!AF28/1000000</f>
        <v>169.82168874264383</v>
      </c>
      <c r="FJ6" s="397">
        <f>Products!AG28/1000000</f>
        <v>192.328325604599</v>
      </c>
      <c r="FL6" s="353" t="s">
        <v>607</v>
      </c>
      <c r="FM6" s="354"/>
      <c r="FN6" s="354"/>
      <c r="FO6" s="354"/>
      <c r="FP6" s="354"/>
      <c r="FQ6" s="354"/>
      <c r="FR6" s="354"/>
      <c r="FS6" s="354"/>
      <c r="FT6" s="354"/>
      <c r="FU6" s="354"/>
      <c r="FV6" s="354"/>
      <c r="FX6" s="353" t="s">
        <v>608</v>
      </c>
      <c r="FY6" s="354"/>
      <c r="FZ6" s="354"/>
      <c r="GA6" s="354"/>
      <c r="GB6" s="354"/>
      <c r="GC6" s="354"/>
      <c r="GD6" s="354"/>
      <c r="GE6" s="354"/>
      <c r="GF6" s="354"/>
      <c r="GG6" s="354"/>
      <c r="GH6" s="354"/>
      <c r="GJ6" s="353" t="s">
        <v>313</v>
      </c>
      <c r="GK6" s="354"/>
      <c r="GL6" s="354"/>
      <c r="GM6" s="354"/>
      <c r="GN6" s="354"/>
      <c r="GO6" s="354"/>
      <c r="GP6" s="354"/>
      <c r="GQ6" s="354"/>
      <c r="GR6" s="354"/>
      <c r="GS6" s="354"/>
      <c r="GT6" s="354"/>
      <c r="GV6" s="353" t="s">
        <v>308</v>
      </c>
      <c r="GW6" s="354"/>
      <c r="GX6" s="354"/>
      <c r="GY6" s="354"/>
      <c r="GZ6" s="354"/>
      <c r="HA6" s="354"/>
      <c r="HB6" s="354"/>
      <c r="HC6" s="354"/>
      <c r="HD6" s="354"/>
      <c r="HE6" s="354"/>
      <c r="HF6" s="354"/>
      <c r="HI6" s="142" t="s">
        <v>252</v>
      </c>
      <c r="HJ6" s="145" t="s">
        <v>253</v>
      </c>
      <c r="HK6" s="145" t="s">
        <v>206</v>
      </c>
      <c r="HL6" s="145" t="s">
        <v>207</v>
      </c>
      <c r="HM6" s="145" t="s">
        <v>208</v>
      </c>
      <c r="HN6" s="145" t="s">
        <v>209</v>
      </c>
      <c r="HO6" s="145" t="s">
        <v>210</v>
      </c>
      <c r="HP6" s="145" t="s">
        <v>211</v>
      </c>
      <c r="HQ6" s="145" t="s">
        <v>212</v>
      </c>
      <c r="HR6" s="145" t="s">
        <v>213</v>
      </c>
    </row>
    <row r="7" spans="2:226" ht="15" customHeight="1" x14ac:dyDescent="0.25">
      <c r="M7" s="110" t="s">
        <v>262</v>
      </c>
      <c r="N7" s="136">
        <f>Forecast!Z29/1000000</f>
        <v>20.81694238</v>
      </c>
      <c r="O7" s="136">
        <f>Forecast!AA29/1000000</f>
        <v>23.022949000000001</v>
      </c>
      <c r="P7" s="136">
        <f>Forecast!AB29/1000000</f>
        <v>25.89784369818258</v>
      </c>
      <c r="Q7" s="136">
        <f>Forecast!AC29/1000000</f>
        <v>29.447389933427676</v>
      </c>
      <c r="R7" s="136">
        <f>Forecast!AD29/1000000</f>
        <v>34.546067568473646</v>
      </c>
      <c r="S7" s="136">
        <f>Forecast!AE29/1000000</f>
        <v>38.449266259672569</v>
      </c>
      <c r="T7" s="136">
        <f>Forecast!AF29/1000000</f>
        <v>42.622108661880247</v>
      </c>
      <c r="U7" s="111">
        <f>Forecast!AG29/1000000</f>
        <v>48.207073739674072</v>
      </c>
      <c r="W7" s="139" t="s">
        <v>218</v>
      </c>
      <c r="X7" s="404">
        <f>SUM(Forecast!Z10:Z12)/SUM(Forecast!V10:V12)-1</f>
        <v>0.73542206786775144</v>
      </c>
      <c r="Y7" s="404">
        <f>SUM(Forecast!AA10:AA12)/SUM(Forecast!W10:W12)-1</f>
        <v>0.74914013153930203</v>
      </c>
      <c r="Z7" s="404">
        <f>SUM(Forecast!AB10:AB12)/SUM(Forecast!X10:X12)-1</f>
        <v>1.1218694428507665</v>
      </c>
      <c r="AA7" s="404">
        <f>SUM(Forecast!AC10:AC12)/SUM(Forecast!Y10:Y12)-1</f>
        <v>1.1540638695694918</v>
      </c>
      <c r="AB7" s="404">
        <f>SUM(Forecast!AD10:AD12)/SUM(Forecast!Z10:Z12)-1</f>
        <v>0.70755806907823682</v>
      </c>
      <c r="AC7" s="404">
        <f>SUM(Forecast!AE10:AE12)/SUM(Forecast!AA10:AA12)-1</f>
        <v>0.45224765937638911</v>
      </c>
      <c r="AD7" s="404">
        <f>SUM(Forecast!AF10:AF12)/SUM(Forecast!AB10:AB12)-1</f>
        <v>0.17421157609769522</v>
      </c>
      <c r="AE7" s="404">
        <f>SUM(Forecast!AG10:AG12)/SUM(Forecast!AC10:AC12)-1</f>
        <v>0.33028976440234326</v>
      </c>
      <c r="AG7" s="134" t="s">
        <v>22</v>
      </c>
      <c r="AH7" s="125">
        <f>Forecast!Z13/1000000</f>
        <v>-1.7372957081510001</v>
      </c>
      <c r="AI7" s="125">
        <f>Forecast!AA13/1000000</f>
        <v>-1.4275356543620001</v>
      </c>
      <c r="AJ7" s="125">
        <f>Forecast!AB13/1000000</f>
        <v>-1.5</v>
      </c>
      <c r="AK7" s="125">
        <f>Forecast!AC13/1000000</f>
        <v>-2</v>
      </c>
      <c r="AL7" s="125">
        <f>Forecast!AD13/1000000</f>
        <v>-2.2926412682011819</v>
      </c>
      <c r="AM7" s="125">
        <f>Forecast!AE13/1000000</f>
        <v>-2.5823560070111897</v>
      </c>
      <c r="AN7" s="125">
        <f>Forecast!AF13/1000000</f>
        <v>-2.3667952514936226</v>
      </c>
      <c r="AO7" s="130">
        <f>Forecast!AG13/1000000</f>
        <v>-3.9005766904852721</v>
      </c>
      <c r="AP7" s="134"/>
      <c r="AQ7" s="139" t="s">
        <v>281</v>
      </c>
      <c r="AR7" s="155">
        <f t="shared" ref="AR7:AY7" si="0">AR6/AR$37</f>
        <v>0.59672149694928489</v>
      </c>
      <c r="AS7" s="155">
        <f t="shared" si="0"/>
        <v>0.67212281628206183</v>
      </c>
      <c r="AT7" s="155">
        <f t="shared" si="0"/>
        <v>0.68198450521890464</v>
      </c>
      <c r="AU7" s="155">
        <f t="shared" si="0"/>
        <v>0.63173253007821106</v>
      </c>
      <c r="AV7" s="155">
        <f t="shared" si="0"/>
        <v>0.61358320656108867</v>
      </c>
      <c r="AW7" s="155">
        <f t="shared" si="0"/>
        <v>0.51768682668621235</v>
      </c>
      <c r="AX7" s="155">
        <f t="shared" si="0"/>
        <v>0.52111228693385692</v>
      </c>
      <c r="AY7" s="156">
        <f t="shared" si="0"/>
        <v>0.39289739997486733</v>
      </c>
      <c r="AZ7" s="134"/>
      <c r="BA7" s="134" t="s">
        <v>294</v>
      </c>
      <c r="BB7" s="125">
        <f>(Forecast!Z68-Forecast!Z63-Forecast!Z67)/1000000</f>
        <v>-11.253809704400005</v>
      </c>
      <c r="BC7" s="125">
        <f>(Forecast!AA68-Forecast!AA63-Forecast!AA67)/1000000</f>
        <v>-12.134914596599996</v>
      </c>
      <c r="BD7" s="125">
        <f>(Forecast!AB68-Forecast!AB63-Forecast!AB67)/1000000</f>
        <v>-16.785130911543785</v>
      </c>
      <c r="BE7" s="125">
        <f>(Forecast!AC68-Forecast!AC63-Forecast!AC67)/1000000</f>
        <v>-14.11549508236596</v>
      </c>
      <c r="BF7" s="125">
        <f>(Forecast!AD68-Forecast!AD63-Forecast!AD67)/1000000</f>
        <v>-17.838342746171296</v>
      </c>
      <c r="BG7" s="125">
        <f>(Forecast!AE68-Forecast!AE63-Forecast!AE67)/1000000</f>
        <v>-14.645224092926949</v>
      </c>
      <c r="BH7" s="125">
        <f>(Forecast!AF68-Forecast!AF63-Forecast!AF67)/1000000</f>
        <v>-14.581388674406798</v>
      </c>
      <c r="BI7" s="125">
        <f>(Forecast!AG68-Forecast!AG63-Forecast!AG67)/1000000</f>
        <v>-11.372822801440179</v>
      </c>
      <c r="BK7" s="163" t="s">
        <v>0</v>
      </c>
      <c r="BL7" s="269">
        <f>Forecast!Z29/1000000</f>
        <v>20.81694238</v>
      </c>
      <c r="BM7" s="269">
        <f>Forecast!AA29/1000000</f>
        <v>23.022949000000001</v>
      </c>
      <c r="BN7" s="269">
        <f>Forecast!AB29/1000000</f>
        <v>25.89784369818258</v>
      </c>
      <c r="BO7" s="269">
        <f>Forecast!AC29/1000000</f>
        <v>29.447389933427676</v>
      </c>
      <c r="BP7" s="269">
        <f>Forecast!AD29/1000000</f>
        <v>34.546067568473646</v>
      </c>
      <c r="BQ7" s="269">
        <f>Forecast!AE29/1000000</f>
        <v>38.449266259672569</v>
      </c>
      <c r="BR7" s="269">
        <f>Forecast!AF29/1000000</f>
        <v>42.622108661880247</v>
      </c>
      <c r="BS7" s="269">
        <f>Forecast!AG29/1000000</f>
        <v>48.207073739674072</v>
      </c>
      <c r="BV7" s="104" t="s">
        <v>573</v>
      </c>
      <c r="BW7" s="280">
        <f>Forecast!Z43/1000000</f>
        <v>13.9193967</v>
      </c>
      <c r="BX7" s="280">
        <f>Forecast!AA43/1000000</f>
        <v>18.593695905886413</v>
      </c>
      <c r="BY7" s="280">
        <f>Forecast!AB43/1000000</f>
        <v>21.940119888907983</v>
      </c>
      <c r="BZ7" s="280">
        <f>Forecast!AC43/1000000</f>
        <v>23.678515684461086</v>
      </c>
      <c r="CA7" s="280">
        <f>Forecast!AD43/1000000</f>
        <v>25.209041573190092</v>
      </c>
      <c r="CB7" s="280">
        <f>Forecast!AE43/1000000</f>
        <v>25.85930558628996</v>
      </c>
      <c r="CC7" s="280">
        <f>Forecast!AF43/1000000</f>
        <v>27.84926870999918</v>
      </c>
      <c r="CD7" s="280">
        <f>Forecast!AG43/1000000</f>
        <v>28.582302425372042</v>
      </c>
      <c r="CG7" s="163" t="s">
        <v>11</v>
      </c>
      <c r="CH7" s="106">
        <f>Expenses!Z155</f>
        <v>31</v>
      </c>
      <c r="CI7" s="106">
        <f>Expenses!AA155</f>
        <v>39</v>
      </c>
      <c r="CJ7" s="106">
        <f>Expenses!AB155</f>
        <v>45</v>
      </c>
      <c r="CK7" s="106">
        <f>Expenses!AC155</f>
        <v>52</v>
      </c>
      <c r="CL7" s="106">
        <f>Expenses!AD155</f>
        <v>52.286510445425797</v>
      </c>
      <c r="CM7" s="106">
        <f>Expenses!AE155</f>
        <v>52.573020890851595</v>
      </c>
      <c r="CN7" s="106">
        <f>Expenses!AF155</f>
        <v>52.764027854468793</v>
      </c>
      <c r="CO7" s="106">
        <f>Expenses!AG155</f>
        <v>53.05053829989459</v>
      </c>
      <c r="CR7" s="104" t="s">
        <v>24</v>
      </c>
      <c r="CS7" s="280">
        <f>ARR!Z12/1000000</f>
        <v>27.980246216047998</v>
      </c>
      <c r="CT7" s="280">
        <f>ARR!AA12/1000000</f>
        <v>32.000090893999001</v>
      </c>
      <c r="CU7" s="280">
        <f>ARR!AB12/1000000</f>
        <v>36.030717428660047</v>
      </c>
      <c r="CV7" s="280">
        <f>ARR!AC12/1000000</f>
        <v>41.315676316121284</v>
      </c>
      <c r="CW7" s="280">
        <f>ARR!AD12/1000000</f>
        <v>44.537598054279457</v>
      </c>
      <c r="CX7" s="280">
        <f>ARR!AE12/1000000</f>
        <v>49.046421267289503</v>
      </c>
      <c r="CY7" s="280">
        <f>ARR!AF12/1000000</f>
        <v>53.576562602930395</v>
      </c>
      <c r="CZ7" s="280">
        <f>ARR!AG12/1000000</f>
        <v>60.381079580205359</v>
      </c>
      <c r="DB7" s="104" t="s">
        <v>24</v>
      </c>
      <c r="DC7" s="280">
        <f>ARR!Z23/1000000</f>
        <v>31.379245637026994</v>
      </c>
      <c r="DD7" s="280">
        <f>ARR!AA23/1000000</f>
        <v>34.992812363679995</v>
      </c>
      <c r="DE7" s="280">
        <f>ARR!AB23/1000000</f>
        <v>40.74487418544436</v>
      </c>
      <c r="DF7" s="280">
        <f>ARR!AC23/1000000</f>
        <v>49.340041186968762</v>
      </c>
      <c r="DG7" s="280">
        <f>ARR!AD23/1000000</f>
        <v>53.741521324630718</v>
      </c>
      <c r="DH7" s="280">
        <f>ARR!AE23/1000000</f>
        <v>59.75708320385376</v>
      </c>
      <c r="DI7" s="280">
        <f>ARR!AF23/1000000</f>
        <v>65.748708573807193</v>
      </c>
      <c r="DJ7" s="280">
        <f>ARR!AG23/1000000</f>
        <v>74.827910679417244</v>
      </c>
      <c r="DL7" s="104" t="s">
        <v>24</v>
      </c>
      <c r="DM7" s="280">
        <f>ARR!Z34/1000000</f>
        <v>30.458286163297</v>
      </c>
      <c r="DN7" s="280">
        <f>ARR!AA34/1000000</f>
        <v>35.584449678591007</v>
      </c>
      <c r="DO7" s="280">
        <f>ARR!AB34/1000000</f>
        <v>41.6004613221656</v>
      </c>
      <c r="DP7" s="280">
        <f>ARR!AC34/1000000</f>
        <v>49.098122933179944</v>
      </c>
      <c r="DQ7" s="280">
        <f>ARR!AD34/1000000</f>
        <v>54.667316447311237</v>
      </c>
      <c r="DR7" s="280">
        <f>ARR!AE34/1000000</f>
        <v>62.163773472850053</v>
      </c>
      <c r="DS7" s="280">
        <f>ARR!AF34/1000000</f>
        <v>69.587545307203328</v>
      </c>
      <c r="DT7" s="280">
        <f>ARR!AG34/1000000</f>
        <v>80.902480959456113</v>
      </c>
      <c r="DV7" s="104" t="s">
        <v>24</v>
      </c>
      <c r="DW7" s="280">
        <f>ARR!Z45/1000000</f>
        <v>89.817778016371975</v>
      </c>
      <c r="DX7" s="280">
        <f>ARR!AA45/1000000</f>
        <v>102.57735293626999</v>
      </c>
      <c r="DY7" s="280">
        <f>ARR!AB45/1000000</f>
        <v>118.37605293627</v>
      </c>
      <c r="DZ7" s="280">
        <f>ARR!AC45/1000000</f>
        <v>139.75384043626997</v>
      </c>
      <c r="EA7" s="280">
        <f>ARR!AD45/1000000</f>
        <v>152.9464358262214</v>
      </c>
      <c r="EB7" s="280">
        <f>ARR!AE45/1000000</f>
        <v>170.96727794399331</v>
      </c>
      <c r="EC7" s="280">
        <f>ARR!AF45/1000000</f>
        <v>188.9128164839409</v>
      </c>
      <c r="ED7" s="280">
        <f>ARR!AG45/1000000</f>
        <v>216.11147121907868</v>
      </c>
      <c r="EF7" s="108" t="s">
        <v>42</v>
      </c>
      <c r="EP7" s="108" t="s">
        <v>14</v>
      </c>
      <c r="EZ7" s="110" t="s">
        <v>298</v>
      </c>
      <c r="FA7" s="320">
        <f>Products!D29/1000000</f>
        <v>0.62124840299999995</v>
      </c>
      <c r="FB7" s="320">
        <f>Products!E29/1000000</f>
        <v>1.1174047810182997</v>
      </c>
      <c r="FC7" s="320">
        <f>Products!Z29/1000000</f>
        <v>1.8867516890314566</v>
      </c>
      <c r="FD7" s="320">
        <f>Products!AA29/1000000</f>
        <v>2.2835737587952103</v>
      </c>
      <c r="FE7" s="320">
        <f>Products!AB29/1000000</f>
        <v>2.7722831864038286</v>
      </c>
      <c r="FF7" s="320">
        <f>Products!AC29/1000000</f>
        <v>3.4332811930988569</v>
      </c>
      <c r="FG7" s="320">
        <f>Products!AD29/1000000</f>
        <v>4.0734785014653063</v>
      </c>
      <c r="FH7" s="320">
        <f>Products!AE29/1000000</f>
        <v>4.9368268452290778</v>
      </c>
      <c r="FI7" s="398">
        <f>Products!AF29/1000000</f>
        <v>5.7924115944660004</v>
      </c>
      <c r="FJ7" s="398">
        <f>Products!AG29/1000000</f>
        <v>7.0955155774900991</v>
      </c>
      <c r="FL7" s="110" t="s">
        <v>296</v>
      </c>
      <c r="FM7" s="355"/>
      <c r="FN7" s="355"/>
      <c r="FO7" s="280">
        <f>SUM(Products!Z100+Products!Z106)/1000000</f>
        <v>3.1215483197196496</v>
      </c>
      <c r="FP7" s="280">
        <f>SUM(Products!AA100+Products!AA106)/1000000</f>
        <v>4.4792006591973488</v>
      </c>
      <c r="FQ7" s="280">
        <f>SUM(Products!AB100+Products!AB106)/1000000</f>
        <v>4.534508135416667</v>
      </c>
      <c r="FR7" s="280">
        <f>SUM(Products!AC100+Products!AC106)/1000000</f>
        <v>5.9824173854166682</v>
      </c>
      <c r="FS7" s="280">
        <f>SUM(Products!AD100+Products!AD106)/1000000</f>
        <v>3.9432854048254091</v>
      </c>
      <c r="FT7" s="280">
        <f>SUM(Products!AE100+Products!AE106)/1000000</f>
        <v>5.2465643407141691</v>
      </c>
      <c r="FU7" s="280">
        <f>SUM(Products!AF100+Products!AF106)/1000000</f>
        <v>5.1724963037980176</v>
      </c>
      <c r="FV7" s="280">
        <f>SUM(Products!AG100+Products!AG106)/1000000</f>
        <v>7.9193588118256759</v>
      </c>
      <c r="FX7" s="110" t="s">
        <v>296</v>
      </c>
      <c r="FY7" s="356"/>
      <c r="FZ7" s="356"/>
      <c r="GA7" s="280">
        <f>SUM(Products!Z174,Products!Z180)/1000000</f>
        <v>2.5858474007233156</v>
      </c>
      <c r="GB7" s="280">
        <f>SUM(Products!AA174,Products!AA180)/1000000</f>
        <v>3.6508186826326474</v>
      </c>
      <c r="GC7" s="280">
        <f>SUM(Products!AB174,Products!AB180)/1000000</f>
        <v>5.4578419421040829</v>
      </c>
      <c r="GD7" s="280">
        <f>SUM(Products!AC174,Products!AC180)/1000000</f>
        <v>8.1061519145150527</v>
      </c>
      <c r="GE7" s="280">
        <f>SUM(Products!AD174,Products!AD180)/1000000</f>
        <v>4.212677682755813</v>
      </c>
      <c r="GF7" s="280">
        <f>SUM(Products!AE174,Products!AE180)/1000000</f>
        <v>5.6049923452719561</v>
      </c>
      <c r="GG7" s="280">
        <f>SUM(Products!AF174,Products!AF180)/1000000</f>
        <v>5.5258642238987532</v>
      </c>
      <c r="GH7" s="280">
        <f>SUM(Products!AG174,Products!AG180)/1000000</f>
        <v>8.460383336060028</v>
      </c>
      <c r="GJ7" s="110" t="s">
        <v>296</v>
      </c>
      <c r="GK7" s="356"/>
      <c r="GL7" s="356"/>
      <c r="GM7" s="280">
        <f>SUM(Products!Z248,Products!Z254)/1000000</f>
        <v>2.4557441901155497</v>
      </c>
      <c r="GN7" s="280">
        <f>SUM(Products!AA248,Products!AA254)/1000000</f>
        <v>4.6052382132057081</v>
      </c>
      <c r="GO7" s="280">
        <f>SUM(Products!AB248,Products!AB254)/1000000</f>
        <v>5.4617366736604689</v>
      </c>
      <c r="GP7" s="280">
        <f>SUM(Products!AC248,Products!AC254)/1000000</f>
        <v>6.7866651618537075</v>
      </c>
      <c r="GQ7" s="280">
        <f>SUM(Products!AD248,Products!AD254)/1000000</f>
        <v>4.8722126834450696</v>
      </c>
      <c r="GR7" s="280">
        <f>SUM(Products!AE248,Products!AE254)/1000000</f>
        <v>6.482507528888843</v>
      </c>
      <c r="GS7" s="280">
        <f>SUM(Products!AF248,Products!AF254)/1000000</f>
        <v>6.390991142968832</v>
      </c>
      <c r="GT7" s="280">
        <f>SUM(Products!AG248,Products!AG254)/1000000</f>
        <v>9.7849373013967575</v>
      </c>
      <c r="GV7" s="110" t="s">
        <v>296</v>
      </c>
      <c r="GW7" s="356"/>
      <c r="GX7" s="356"/>
      <c r="GY7" s="280">
        <f t="shared" ref="GY7:HC10" si="1">GM7+GA7+FO7</f>
        <v>8.163139910558515</v>
      </c>
      <c r="GZ7" s="280">
        <f t="shared" si="1"/>
        <v>12.735257555035705</v>
      </c>
      <c r="HA7" s="280">
        <f t="shared" si="1"/>
        <v>15.454086751181219</v>
      </c>
      <c r="HB7" s="280">
        <f t="shared" si="1"/>
        <v>20.875234461785428</v>
      </c>
      <c r="HC7" s="280">
        <f t="shared" si="1"/>
        <v>13.028175771026291</v>
      </c>
      <c r="HD7" s="280">
        <f t="shared" ref="HD7:HF10" si="2">GR7+GF7+FT7</f>
        <v>17.334064214874967</v>
      </c>
      <c r="HE7" s="280">
        <f t="shared" si="2"/>
        <v>17.089351670665604</v>
      </c>
      <c r="HF7" s="280">
        <f t="shared" si="2"/>
        <v>26.16467944928246</v>
      </c>
    </row>
    <row r="8" spans="2:226" ht="15" customHeight="1" x14ac:dyDescent="0.25">
      <c r="M8" s="110" t="s">
        <v>1</v>
      </c>
      <c r="N8" s="136">
        <f>Forecast!Z30/1000000</f>
        <v>1.04009515</v>
      </c>
      <c r="O8" s="136">
        <f>Forecast!AA30/1000000</f>
        <v>1.1371990000000001</v>
      </c>
      <c r="P8" s="136">
        <f>Forecast!AB30/1000000</f>
        <v>1.5939045898655455</v>
      </c>
      <c r="Q8" s="136">
        <f>Forecast!AC30/1000000</f>
        <v>1.8636201325110002</v>
      </c>
      <c r="R8" s="136">
        <f>Forecast!AD30/1000000</f>
        <v>2.0905069488506056</v>
      </c>
      <c r="S8" s="136">
        <f>Forecast!AE30/1000000</f>
        <v>2.7814317468457195</v>
      </c>
      <c r="T8" s="136">
        <f>Forecast!AF30/1000000</f>
        <v>2.7421650618445632</v>
      </c>
      <c r="U8" s="111">
        <f>Forecast!AG30/1000000</f>
        <v>4.1983962424591121</v>
      </c>
      <c r="W8" s="134"/>
      <c r="X8" s="124"/>
      <c r="Y8" s="124"/>
      <c r="Z8" s="124"/>
      <c r="AA8" s="124"/>
      <c r="AB8" s="124"/>
      <c r="AC8" s="124"/>
      <c r="AD8" s="124"/>
      <c r="AE8" s="129"/>
      <c r="AG8" s="139" t="s">
        <v>192</v>
      </c>
      <c r="AH8" s="146">
        <f>AH7/AH6</f>
        <v>-2.1061593802484704E-2</v>
      </c>
      <c r="AI8" s="147">
        <f t="shared" ref="AI8:AO8" si="3">AI7/AI6</f>
        <v>-1.5893686704263148E-2</v>
      </c>
      <c r="AJ8" s="147">
        <f t="shared" si="3"/>
        <v>-1.4623110552418691E-2</v>
      </c>
      <c r="AK8" s="147">
        <f t="shared" si="3"/>
        <v>-1.6947240953384686E-2</v>
      </c>
      <c r="AL8" s="147">
        <f t="shared" si="3"/>
        <v>-1.6488814560512242E-2</v>
      </c>
      <c r="AM8" s="147">
        <f t="shared" si="3"/>
        <v>-1.6962979966967367E-2</v>
      </c>
      <c r="AN8" s="147">
        <f t="shared" si="3"/>
        <v>-1.3901419675542726E-2</v>
      </c>
      <c r="AO8" s="148">
        <f t="shared" si="3"/>
        <v>-2.0725568779655638E-2</v>
      </c>
      <c r="AP8" s="134"/>
      <c r="AQ8" s="139" t="s">
        <v>288</v>
      </c>
      <c r="AR8" s="155">
        <v>0.33</v>
      </c>
      <c r="AS8" s="155">
        <v>0.33</v>
      </c>
      <c r="AT8" s="155">
        <v>0.33</v>
      </c>
      <c r="AU8" s="155">
        <v>0.33</v>
      </c>
      <c r="AV8" s="155">
        <v>0.33</v>
      </c>
      <c r="AW8" s="155">
        <v>0.33</v>
      </c>
      <c r="AX8" s="155">
        <v>0.33</v>
      </c>
      <c r="AY8" s="156">
        <v>0.33</v>
      </c>
      <c r="AZ8" s="134"/>
      <c r="BA8" s="134" t="s">
        <v>720</v>
      </c>
      <c r="BB8" s="138">
        <f>BB7/N6</f>
        <v>-0.51464171491391886</v>
      </c>
      <c r="BC8" s="138">
        <f t="shared" ref="BC8:BI8" si="4">BC7/O6</f>
        <v>-0.50187098059827973</v>
      </c>
      <c r="BD8" s="138">
        <f t="shared" si="4"/>
        <v>-0.61055160027203603</v>
      </c>
      <c r="BE8" s="138">
        <f t="shared" si="4"/>
        <v>-0.45081570516696101</v>
      </c>
      <c r="BF8" s="138">
        <f t="shared" si="4"/>
        <v>-0.48689985297987176</v>
      </c>
      <c r="BG8" s="138">
        <f t="shared" si="4"/>
        <v>-0.35520194420699935</v>
      </c>
      <c r="BH8" s="138">
        <f t="shared" si="4"/>
        <v>-0.3214289015891586</v>
      </c>
      <c r="BI8" s="138">
        <f t="shared" si="4"/>
        <v>-0.21701594900909324</v>
      </c>
      <c r="BK8" s="163" t="s">
        <v>1</v>
      </c>
      <c r="BL8" s="269">
        <f>Forecast!Z30/1000000</f>
        <v>1.04009515</v>
      </c>
      <c r="BM8" s="269">
        <f>Forecast!AA30/1000000</f>
        <v>1.1371990000000001</v>
      </c>
      <c r="BN8" s="269">
        <f>Forecast!AB30/1000000</f>
        <v>1.5939045898655455</v>
      </c>
      <c r="BO8" s="269">
        <f>Forecast!AC30/1000000</f>
        <v>1.8636201325110002</v>
      </c>
      <c r="BP8" s="269">
        <f>Forecast!AD30/1000000</f>
        <v>2.0905069488506056</v>
      </c>
      <c r="BQ8" s="269">
        <f>Forecast!AE30/1000000</f>
        <v>2.7814317468457195</v>
      </c>
      <c r="BR8" s="269">
        <f>Forecast!AF30/1000000</f>
        <v>2.7421650618445632</v>
      </c>
      <c r="BS8" s="269">
        <f>Forecast!AG30/1000000</f>
        <v>4.1983962424591121</v>
      </c>
      <c r="BV8" s="104" t="s">
        <v>571</v>
      </c>
      <c r="BW8" s="280">
        <f>SUM(Forecast!Z11:Z12)/1000000</f>
        <v>9.0686442461729992</v>
      </c>
      <c r="BX8" s="280">
        <f>SUM(Forecast!AA11:AA12)/1000000</f>
        <v>14.18711057426</v>
      </c>
      <c r="BY8" s="280">
        <f>SUM(Forecast!AB11:AB12)/1000000</f>
        <v>17.2987</v>
      </c>
      <c r="BZ8" s="280">
        <f>SUM(Forecast!AC11:AC12)/1000000</f>
        <v>23.3777875</v>
      </c>
      <c r="CA8" s="280">
        <f>SUM(Forecast!AD11:AD12)/1000000</f>
        <v>15.48523665815263</v>
      </c>
      <c r="CB8" s="280">
        <f>SUM(Forecast!AE11:AE12)/1000000</f>
        <v>20.603198124783106</v>
      </c>
      <c r="CC8" s="280">
        <f>SUM(Forecast!AF11:AF12)/1000000</f>
        <v>20.312333791441201</v>
      </c>
      <c r="CD8" s="280">
        <f>SUM(Forecast!AG11:AG12)/1000000</f>
        <v>31.099231425623046</v>
      </c>
      <c r="CG8" s="163" t="s">
        <v>10</v>
      </c>
      <c r="CH8" s="106">
        <f>Expenses!Z156</f>
        <v>183</v>
      </c>
      <c r="CI8" s="106">
        <f>Expenses!AA156</f>
        <v>218</v>
      </c>
      <c r="CJ8" s="106">
        <f>Expenses!AB156</f>
        <v>259</v>
      </c>
      <c r="CK8" s="106">
        <f>Expenses!AC156</f>
        <v>285</v>
      </c>
      <c r="CL8" s="106">
        <f>Expenses!AD156</f>
        <v>296.07241996076084</v>
      </c>
      <c r="CM8" s="106">
        <f>Expenses!AE156</f>
        <v>307.14483992152162</v>
      </c>
      <c r="CN8" s="106">
        <f>Expenses!AF156</f>
        <v>314.52645322869546</v>
      </c>
      <c r="CO8" s="106">
        <f>Expenses!AG156</f>
        <v>325.5988731894563</v>
      </c>
      <c r="CR8" s="316" t="s">
        <v>218</v>
      </c>
      <c r="CS8" s="405">
        <f>ARR!Z12/ARR!V12-1</f>
        <v>0.53156083149927702</v>
      </c>
      <c r="CT8" s="405">
        <f>ARR!AA12/ARR!W12-1</f>
        <v>0.55309058389324095</v>
      </c>
      <c r="CU8" s="405">
        <f>ARR!AB12/ARR!X12-1</f>
        <v>0.61278773404590026</v>
      </c>
      <c r="CV8" s="405">
        <f>ARR!AC12/ARR!Y12-1</f>
        <v>0.61970764681160673</v>
      </c>
      <c r="CW8" s="405">
        <f>ARR!AD12/ARR!Z12-1</f>
        <v>0.59175147031890774</v>
      </c>
      <c r="CX8" s="405">
        <f>ARR!AE12/ARR!AA12-1</f>
        <v>0.53269631107476667</v>
      </c>
      <c r="CY8" s="405">
        <f>ARR!AF12/ARR!AB12-1</f>
        <v>0.48696907601161965</v>
      </c>
      <c r="CZ8" s="405">
        <f>ARR!AG12/ARR!AC12-1</f>
        <v>0.46145688426368081</v>
      </c>
      <c r="DB8" s="316" t="s">
        <v>218</v>
      </c>
      <c r="DC8" s="405">
        <f>ARR!Z23/ARR!V23-1</f>
        <v>0.52011767956882804</v>
      </c>
      <c r="DD8" s="405">
        <f>ARR!AA23/ARR!W23-1</f>
        <v>0.51233291178207252</v>
      </c>
      <c r="DE8" s="405">
        <f>ARR!AB23/ARR!X23-1</f>
        <v>0.6243361752059986</v>
      </c>
      <c r="DF8" s="405">
        <f>ARR!AC23/ARR!Y23-1</f>
        <v>0.70799014491367029</v>
      </c>
      <c r="DG8" s="405">
        <f>ARR!AD23/ARR!Z23-1</f>
        <v>0.71264542004211218</v>
      </c>
      <c r="DH8" s="405">
        <f>ARR!AE23/ARR!AA23-1</f>
        <v>0.70769592860382047</v>
      </c>
      <c r="DI8" s="405">
        <f>ARR!AF23/ARR!AB23-1</f>
        <v>0.61366821933383631</v>
      </c>
      <c r="DJ8" s="405">
        <f>ARR!AG23/ARR!AC23-1</f>
        <v>0.51657576441545627</v>
      </c>
      <c r="DL8" s="406" t="s">
        <v>218</v>
      </c>
      <c r="DM8" s="405">
        <f>ARR!Z34/ARR!V34-1</f>
        <v>0.44763569027180661</v>
      </c>
      <c r="DN8" s="405">
        <f>ARR!AA34/ARR!W34-1</f>
        <v>0.5558211196857834</v>
      </c>
      <c r="DO8" s="405">
        <f>ARR!AB34/ARR!X34-1</f>
        <v>0.60970872776314589</v>
      </c>
      <c r="DP8" s="405">
        <f>ARR!AC34/ARR!Y34-1</f>
        <v>0.74785235759920221</v>
      </c>
      <c r="DQ8" s="405">
        <f>ARR!AD34/ARR!Z34-1</f>
        <v>0.79482575461474014</v>
      </c>
      <c r="DR8" s="405">
        <f>ARR!AE34/ARR!AA34-1</f>
        <v>0.74693648586197492</v>
      </c>
      <c r="DS8" s="405">
        <f>ARR!AF34/ARR!AB34-1</f>
        <v>0.67275898140402624</v>
      </c>
      <c r="DT8" s="405">
        <f>ARR!AG34/ARR!AC34-1</f>
        <v>0.64777136326698859</v>
      </c>
      <c r="DV8" s="316" t="s">
        <v>218</v>
      </c>
      <c r="DW8" s="405">
        <f>ARR!Z45/ARR!V45-1</f>
        <v>0.49816726033752512</v>
      </c>
      <c r="DX8" s="405">
        <f>ARR!AA45/ARR!W45-1</f>
        <v>0.53987102593577907</v>
      </c>
      <c r="DY8" s="405">
        <f>ARR!AB45/ARR!X45-1</f>
        <v>0.61565540741006197</v>
      </c>
      <c r="DZ8" s="405">
        <f>ARR!AC45/ARR!Y45-1</f>
        <v>0.69426463625693446</v>
      </c>
      <c r="EA8" s="405">
        <f>ARR!AD45/ARR!Z45-1</f>
        <v>0.70285258892000568</v>
      </c>
      <c r="EB8" s="405">
        <f>ARR!AE45/ARR!AA45-1</f>
        <v>0.66671563507992948</v>
      </c>
      <c r="EC8" s="405">
        <f>ARR!AF45/ARR!AB45-1</f>
        <v>0.59587021021596076</v>
      </c>
      <c r="ED8" s="405">
        <f>ARR!AG45/ARR!AC45-1</f>
        <v>0.54637232540045333</v>
      </c>
      <c r="EF8" s="110" t="s">
        <v>349</v>
      </c>
      <c r="EG8" s="280">
        <f>Expenses!Z97/1000000</f>
        <v>1.64058952</v>
      </c>
      <c r="EH8" s="280">
        <f>Expenses!AA97/1000000</f>
        <v>1.9097785427748217</v>
      </c>
      <c r="EI8" s="280">
        <f>Expenses!AB97/1000000</f>
        <v>2.286508678923961</v>
      </c>
      <c r="EJ8" s="280">
        <f>Expenses!AC97/1000000</f>
        <v>2.6220741660882854</v>
      </c>
      <c r="EK8" s="280">
        <f>Expenses!AD97/1000000</f>
        <v>2.9928136092224897</v>
      </c>
      <c r="EL8" s="280">
        <f>Expenses!AE97/1000000</f>
        <v>3.1070117655766651</v>
      </c>
      <c r="EM8" s="280">
        <f>Expenses!AF97/1000000</f>
        <v>3.4508165172781804</v>
      </c>
      <c r="EN8" s="280">
        <f>Expenses!AG97/1000000</f>
        <v>3.8805474172685548</v>
      </c>
      <c r="EP8" s="110" t="s">
        <v>349</v>
      </c>
      <c r="EQ8" s="280">
        <f>Expenses!Z123/1000000</f>
        <v>1.4214708999999999</v>
      </c>
      <c r="ER8" s="280">
        <f>Expenses!AA123/1000000</f>
        <v>2.4052921104192109</v>
      </c>
      <c r="ES8" s="280">
        <f>Expenses!AB123/1000000</f>
        <v>2.5884664598065532</v>
      </c>
      <c r="ET8" s="280">
        <f>Expenses!AC123/1000000</f>
        <v>3.0241286650427837</v>
      </c>
      <c r="EU8" s="280">
        <f>Expenses!AD123/1000000</f>
        <v>3.5409141977243115</v>
      </c>
      <c r="EV8" s="280">
        <f>Expenses!AE123/1000000</f>
        <v>3.5409141977243115</v>
      </c>
      <c r="EW8" s="280">
        <f>Expenses!AF123/1000000</f>
        <v>3.5802003139202632</v>
      </c>
      <c r="EX8" s="280">
        <f>Expenses!AG123/1000000</f>
        <v>3.9694505219953609</v>
      </c>
      <c r="EZ8" s="110" t="s">
        <v>299</v>
      </c>
      <c r="FA8" s="320">
        <f>Products!D30/1000000</f>
        <v>0.24993333579999993</v>
      </c>
      <c r="FB8" s="320">
        <f>Products!E30/1000000</f>
        <v>0.4051928548999999</v>
      </c>
      <c r="FC8" s="320">
        <f>Products!Z30/1000000</f>
        <v>0.97583307459146784</v>
      </c>
      <c r="FD8" s="320">
        <f>Products!AA30/1000000</f>
        <v>1.4736591732679325</v>
      </c>
      <c r="FE8" s="320">
        <f>Products!AB30/1000000</f>
        <v>2.1034013133027565</v>
      </c>
      <c r="FF8" s="320">
        <f>Products!AC30/1000000</f>
        <v>2.956096503163598</v>
      </c>
      <c r="FG8" s="320">
        <f>Products!AD30/1000000</f>
        <v>4.0914677514169933</v>
      </c>
      <c r="FH8" s="320">
        <f>Products!AE30/1000000</f>
        <v>5.6108270617154838</v>
      </c>
      <c r="FI8" s="398">
        <f>Products!AF30/1000000</f>
        <v>7.1120820734077261</v>
      </c>
      <c r="FJ8" s="398">
        <f>Products!AG30/1000000</f>
        <v>9.4054094502819972</v>
      </c>
      <c r="FL8" s="110" t="s">
        <v>298</v>
      </c>
      <c r="FM8" s="355"/>
      <c r="FN8" s="355"/>
      <c r="FO8" s="320">
        <f>SUM(Products!Z101+Products!Z107)/1000000</f>
        <v>9.8575210096409988E-2</v>
      </c>
      <c r="FP8" s="320">
        <f>SUM(Products!AA101+Products!AA107)/1000000</f>
        <v>0.14144844186938998</v>
      </c>
      <c r="FQ8" s="320">
        <f>SUM(Products!AB101+Products!AB107)/1000000</f>
        <v>0.14319499375000003</v>
      </c>
      <c r="FR8" s="320">
        <f>SUM(Products!AC101+Products!AC107)/1000000</f>
        <v>0.18891844375000003</v>
      </c>
      <c r="FS8" s="320">
        <f>SUM(Products!AD101+Products!AD107)/1000000</f>
        <v>0.19393206908977415</v>
      </c>
      <c r="FT8" s="320">
        <f>SUM(Products!AE101+Products!AE107)/1000000</f>
        <v>0.25802775446135257</v>
      </c>
      <c r="FU8" s="320">
        <f>SUM(Products!AF101+Products!AF107)/1000000</f>
        <v>0.25438506412121398</v>
      </c>
      <c r="FV8" s="320">
        <f>SUM(Products!AG101+Products!AG107)/1000000</f>
        <v>0.3894766628766726</v>
      </c>
      <c r="FX8" s="110" t="s">
        <v>298</v>
      </c>
      <c r="FY8" s="357"/>
      <c r="FZ8" s="357"/>
      <c r="GA8" s="320">
        <f>SUM(Products!Z175,Products!Z181)/1000000</f>
        <v>8.8831366788779995E-2</v>
      </c>
      <c r="GB8" s="320">
        <f>SUM(Products!AA175,Products!AA181)/1000000</f>
        <v>0.12541622269959002</v>
      </c>
      <c r="GC8" s="320">
        <f>SUM(Products!AB175,Products!AB181)/1000000</f>
        <v>0.18749271875000001</v>
      </c>
      <c r="GD8" s="320">
        <f>SUM(Products!AC175,Products!AC181)/1000000</f>
        <v>0.27846985624999998</v>
      </c>
      <c r="GE8" s="320">
        <f>SUM(Products!AD175,Products!AD181)/1000000</f>
        <v>0.23319716637928165</v>
      </c>
      <c r="GF8" s="320">
        <f>SUM(Products!AE175,Products!AE181)/1000000</f>
        <v>0.31027019651784471</v>
      </c>
      <c r="GG8" s="320">
        <f>SUM(Products!AF175,Products!AF181)/1000000</f>
        <v>0.30588997683935376</v>
      </c>
      <c r="GH8" s="320">
        <f>SUM(Products!AG175,Products!AG181)/1000000</f>
        <v>0.46833334259768339</v>
      </c>
      <c r="GJ8" s="110" t="s">
        <v>298</v>
      </c>
      <c r="GK8" s="357"/>
      <c r="GL8" s="357"/>
      <c r="GM8" s="320">
        <f>SUM(Products!Z249,Products!Z255)/1000000</f>
        <v>8.4652750499999999E-2</v>
      </c>
      <c r="GN8" s="320">
        <f>SUM(Products!AA249,Products!AA255)/1000000</f>
        <v>0.15874865265881999</v>
      </c>
      <c r="GO8" s="320">
        <f>SUM(Products!AB249,Products!AB255)/1000000</f>
        <v>0.18827328749999997</v>
      </c>
      <c r="GP8" s="320">
        <f>SUM(Products!AC249,Products!AC255)/1000000</f>
        <v>0.23394532499999995</v>
      </c>
      <c r="GQ8" s="320">
        <f>SUM(Products!AD249,Products!AD255)/1000000</f>
        <v>0.26970641414781255</v>
      </c>
      <c r="GR8" s="320">
        <f>SUM(Products!AE249,Products!AE255)/1000000</f>
        <v>0.35884596463604246</v>
      </c>
      <c r="GS8" s="320">
        <f>SUM(Products!AF249,Products!AF255)/1000000</f>
        <v>0.35377997965428648</v>
      </c>
      <c r="GT8" s="320">
        <f>SUM(Products!AG249,Products!AG255)/1000000</f>
        <v>0.54165540867868101</v>
      </c>
      <c r="GV8" s="110" t="s">
        <v>298</v>
      </c>
      <c r="GW8" s="357"/>
      <c r="GX8" s="357"/>
      <c r="GY8" s="320">
        <f t="shared" si="1"/>
        <v>0.27205932738519001</v>
      </c>
      <c r="GZ8" s="320">
        <f t="shared" si="1"/>
        <v>0.42561331722779999</v>
      </c>
      <c r="HA8" s="320">
        <f t="shared" si="1"/>
        <v>0.51896100000000001</v>
      </c>
      <c r="HB8" s="320">
        <f t="shared" si="1"/>
        <v>0.70133362499999996</v>
      </c>
      <c r="HC8" s="320">
        <f t="shared" si="1"/>
        <v>0.69683564961686828</v>
      </c>
      <c r="HD8" s="320">
        <f t="shared" si="2"/>
        <v>0.92714391561523968</v>
      </c>
      <c r="HE8" s="320">
        <f t="shared" si="2"/>
        <v>0.91405502061485422</v>
      </c>
      <c r="HF8" s="320">
        <f t="shared" si="2"/>
        <v>1.3994654141530369</v>
      </c>
      <c r="HH8" s="353" t="s">
        <v>665</v>
      </c>
      <c r="HI8" s="354"/>
      <c r="HJ8" s="354"/>
      <c r="HK8" s="354"/>
      <c r="HL8" s="354"/>
      <c r="HM8" s="354"/>
      <c r="HN8" s="354"/>
      <c r="HO8" s="354"/>
      <c r="HP8" s="354"/>
      <c r="HQ8" s="354"/>
      <c r="HR8" s="354"/>
    </row>
    <row r="9" spans="2:226" ht="15" customHeight="1" outlineLevel="1" x14ac:dyDescent="0.2">
      <c r="M9" s="110"/>
      <c r="N9" s="136"/>
      <c r="O9" s="136"/>
      <c r="P9" s="136"/>
      <c r="Q9" s="136"/>
      <c r="R9" s="136"/>
      <c r="S9" s="136"/>
      <c r="T9" s="136"/>
      <c r="U9" s="111"/>
      <c r="W9" s="134" t="s">
        <v>63</v>
      </c>
      <c r="X9" s="125">
        <f>Forecast!Z17/1000000</f>
        <v>0.96867586009999995</v>
      </c>
      <c r="Y9" s="125">
        <f>Forecast!AA17/1000000</f>
        <v>1.5496249901999999</v>
      </c>
      <c r="Z9" s="125">
        <f>Forecast!AB17/1000000</f>
        <v>1.7859404264563639</v>
      </c>
      <c r="AA9" s="125">
        <f>Forecast!AC17/1000000</f>
        <v>2.2968798256009091</v>
      </c>
      <c r="AB9" s="125">
        <f>Forecast!AD17/1000000</f>
        <v>2.3227854987228951</v>
      </c>
      <c r="AC9" s="125">
        <f>Forecast!AE17/1000000</f>
        <v>3.0904797187174662</v>
      </c>
      <c r="AD9" s="125">
        <f>Forecast!AF17/1000000</f>
        <v>3.0468500687161812</v>
      </c>
      <c r="AE9" s="130">
        <f>Forecast!AG17/1000000</f>
        <v>4.664884713843457</v>
      </c>
      <c r="AG9" s="134"/>
      <c r="AH9" s="125"/>
      <c r="AI9" s="125"/>
      <c r="AJ9" s="125"/>
      <c r="AK9" s="125"/>
      <c r="AL9" s="125"/>
      <c r="AM9" s="125"/>
      <c r="AN9" s="125"/>
      <c r="AO9" s="130"/>
      <c r="AP9" s="134"/>
      <c r="AZ9" s="134"/>
      <c r="BK9" s="163"/>
      <c r="BL9" s="269"/>
      <c r="BM9" s="269"/>
      <c r="BN9" s="269"/>
      <c r="BO9" s="269"/>
      <c r="BP9" s="269"/>
      <c r="BQ9" s="269"/>
      <c r="BR9" s="269"/>
      <c r="BS9" s="269"/>
      <c r="BW9" s="163"/>
      <c r="BX9" s="163"/>
      <c r="BY9" s="163"/>
      <c r="BZ9" s="163"/>
      <c r="CA9" s="163"/>
      <c r="CB9" s="163"/>
      <c r="CC9" s="163"/>
      <c r="CD9" s="163"/>
      <c r="CG9" s="163" t="s">
        <v>566</v>
      </c>
      <c r="CH9" s="106">
        <f>Expenses!Z157</f>
        <v>74</v>
      </c>
      <c r="CI9" s="106">
        <f>Expenses!AA157</f>
        <v>87</v>
      </c>
      <c r="CJ9" s="106">
        <f>Expenses!AB157</f>
        <v>94</v>
      </c>
      <c r="CK9" s="106">
        <f>Expenses!AC157</f>
        <v>102</v>
      </c>
      <c r="CL9" s="106">
        <f>Expenses!AD157</f>
        <v>107.34175590199514</v>
      </c>
      <c r="CM9" s="106">
        <f>Expenses!AE157</f>
        <v>118.37577795781111</v>
      </c>
      <c r="CN9" s="106">
        <f>Expenses!AF157</f>
        <v>129.11025903588859</v>
      </c>
      <c r="CO9" s="106">
        <f>Expenses!AG157</f>
        <v>145.3324472629449</v>
      </c>
      <c r="CS9" s="106"/>
      <c r="CT9" s="106"/>
      <c r="CU9" s="106"/>
      <c r="CV9" s="106"/>
      <c r="CW9" s="106"/>
      <c r="CX9" s="106"/>
      <c r="CY9" s="106"/>
      <c r="CZ9" s="106"/>
      <c r="DC9" s="106"/>
      <c r="DD9" s="106"/>
      <c r="DE9" s="106"/>
      <c r="DF9" s="106"/>
      <c r="DG9" s="106"/>
      <c r="DH9" s="106"/>
      <c r="DI9" s="106"/>
      <c r="DJ9" s="106"/>
      <c r="DM9" s="106"/>
      <c r="DN9" s="106"/>
      <c r="DO9" s="106"/>
      <c r="DP9" s="106"/>
      <c r="DQ9" s="106"/>
      <c r="DR9" s="106"/>
      <c r="DS9" s="106"/>
      <c r="DT9" s="317"/>
      <c r="DW9" s="106"/>
      <c r="DX9" s="106"/>
      <c r="DY9" s="106"/>
      <c r="DZ9" s="106"/>
      <c r="EA9" s="106"/>
      <c r="EB9" s="106"/>
      <c r="EC9" s="317"/>
      <c r="ED9" s="317"/>
      <c r="EF9" s="110" t="s">
        <v>2</v>
      </c>
      <c r="EG9" s="320">
        <f>Expenses!Z98/1000000</f>
        <v>5.9387309999999999E-2</v>
      </c>
      <c r="EH9" s="320">
        <f>Expenses!AA98/1000000</f>
        <v>0.10877336333333333</v>
      </c>
      <c r="EI9" s="320">
        <f>Expenses!AB98/1000000</f>
        <v>8.2550354609929086E-2</v>
      </c>
      <c r="EJ9" s="320">
        <f>Expenses!AC98/1000000</f>
        <v>8.7180141843971631E-2</v>
      </c>
      <c r="EK9" s="320">
        <f>Expenses!AD98/1000000</f>
        <v>0.11954736496276598</v>
      </c>
      <c r="EL9" s="320">
        <f>Expenses!AE98/1000000</f>
        <v>0.12410898839085989</v>
      </c>
      <c r="EM9" s="320">
        <f>Expenses!AF98/1000000</f>
        <v>0.13784220318276663</v>
      </c>
      <c r="EN9" s="320">
        <f>Expenses!AG98/1000000</f>
        <v>0.15500772146917724</v>
      </c>
      <c r="EP9" s="110" t="s">
        <v>2</v>
      </c>
      <c r="EQ9" s="280">
        <f>Expenses!Z124/1000000</f>
        <v>1.37353825</v>
      </c>
      <c r="ER9" s="280">
        <f>Expenses!AA124/1000000</f>
        <v>1.5875856077619293</v>
      </c>
      <c r="ES9" s="280">
        <f>Expenses!AB124/1000000</f>
        <v>1.7625294135563401</v>
      </c>
      <c r="ET9" s="280">
        <f>Expenses!AC124/1000000</f>
        <v>2.1060626130195796</v>
      </c>
      <c r="EU9" s="280">
        <f>Expenses!AD124/1000000</f>
        <v>2.4734562112942307</v>
      </c>
      <c r="EV9" s="280">
        <f>Expenses!AE124/1000000</f>
        <v>2.4734562112942307</v>
      </c>
      <c r="EW9" s="280">
        <f>Expenses!AF124/1000000</f>
        <v>2.5008989796575403</v>
      </c>
      <c r="EX9" s="280">
        <f>Expenses!AG124/1000000</f>
        <v>2.7728042818333729</v>
      </c>
      <c r="EZ9" s="110" t="s">
        <v>300</v>
      </c>
      <c r="FA9" s="345">
        <f>Products!D31/1000000</f>
        <v>0.49986667159999987</v>
      </c>
      <c r="FB9" s="345">
        <f>Products!E31/1000000</f>
        <v>0.8103857097999998</v>
      </c>
      <c r="FC9" s="345">
        <f>Products!Z31/1000000</f>
        <v>1.4238795876461956</v>
      </c>
      <c r="FD9" s="345">
        <f>Products!AA31/1000000</f>
        <v>1.927719613496149</v>
      </c>
      <c r="FE9" s="345">
        <f>Products!AB31/1000000</f>
        <v>2.5981359004640066</v>
      </c>
      <c r="FF9" s="345">
        <f>Products!AC31/1000000</f>
        <v>3.5132644011722607</v>
      </c>
      <c r="FG9" s="345">
        <f>Products!AD31/1000000</f>
        <v>4.0522025049659431</v>
      </c>
      <c r="FH9" s="345">
        <f>Products!AE31/1000000</f>
        <v>4.7780603505757471</v>
      </c>
      <c r="FI9" s="399">
        <f>Products!AF31/1000000</f>
        <v>5.4970376604233424</v>
      </c>
      <c r="FJ9" s="399">
        <f>Products!AG31/1000000</f>
        <v>6.5926241737075753</v>
      </c>
      <c r="FL9" s="110" t="s">
        <v>299</v>
      </c>
      <c r="FM9" s="355"/>
      <c r="FN9" s="355"/>
      <c r="FO9" s="320">
        <f>SUM(Products!Z102+Products!Z108)/1000000</f>
        <v>6.5716806730940006E-2</v>
      </c>
      <c r="FP9" s="320">
        <f>SUM(Products!AA102+Products!AA108)/1000000</f>
        <v>9.4298961246259999E-2</v>
      </c>
      <c r="FQ9" s="320">
        <f>SUM(Products!AB102+Products!AB108)/1000000</f>
        <v>9.546332916666668E-2</v>
      </c>
      <c r="FR9" s="320">
        <f>SUM(Products!AC102+Products!AC108)/1000000</f>
        <v>0.12594562916666668</v>
      </c>
      <c r="FS9" s="320">
        <f>SUM(Products!AD102+Products!AD108)/1000000</f>
        <v>0.17238406141313259</v>
      </c>
      <c r="FT9" s="320">
        <f>SUM(Products!AE102+Products!AE108)/1000000</f>
        <v>0.22935800396564673</v>
      </c>
      <c r="FU9" s="320">
        <f>SUM(Products!AF102+Products!AF108)/1000000</f>
        <v>0.22612005699663465</v>
      </c>
      <c r="FV9" s="320">
        <f>SUM(Products!AG102+Products!AG108)/1000000</f>
        <v>0.34620147811259788</v>
      </c>
      <c r="FX9" s="110" t="s">
        <v>299</v>
      </c>
      <c r="FY9" s="357"/>
      <c r="FZ9" s="357"/>
      <c r="GA9" s="320">
        <f>SUM(Products!Z176,Products!Z182)/1000000</f>
        <v>0.12436391350429202</v>
      </c>
      <c r="GB9" s="320">
        <f>SUM(Products!AA176,Products!AA182)/1000000</f>
        <v>0.175582711779426</v>
      </c>
      <c r="GC9" s="320">
        <f>SUM(Products!AB176,Products!AB182)/1000000</f>
        <v>0.26248980625000001</v>
      </c>
      <c r="GD9" s="320">
        <f>SUM(Products!AC176,Products!AC182)/1000000</f>
        <v>0.38985779875000004</v>
      </c>
      <c r="GE9" s="320">
        <f>SUM(Products!AD176,Products!AD182)/1000000</f>
        <v>0.46639433275856329</v>
      </c>
      <c r="GF9" s="320">
        <f>SUM(Products!AE176,Products!AE182)/1000000</f>
        <v>0.62054039303568942</v>
      </c>
      <c r="GG9" s="320">
        <f>SUM(Products!AF176,Products!AF182)/1000000</f>
        <v>0.61177995367870752</v>
      </c>
      <c r="GH9" s="320">
        <f>SUM(Products!AG176,Products!AG182)/1000000</f>
        <v>0.93666668519536678</v>
      </c>
      <c r="GJ9" s="110" t="s">
        <v>299</v>
      </c>
      <c r="GK9" s="357"/>
      <c r="GL9" s="357"/>
      <c r="GM9" s="320">
        <f>SUM(Products!Z250,Products!Z256)/1000000</f>
        <v>0.12697912575</v>
      </c>
      <c r="GN9" s="320">
        <f>SUM(Products!AA250,Products!AA256)/1000000</f>
        <v>0.23812297898822998</v>
      </c>
      <c r="GO9" s="320">
        <f>SUM(Products!AB250,Products!AB256)/1000000</f>
        <v>0.28240993125000002</v>
      </c>
      <c r="GP9" s="320">
        <f>SUM(Products!AC250,Products!AC256)/1000000</f>
        <v>0.35091798749999992</v>
      </c>
      <c r="GQ9" s="320">
        <f>SUM(Products!AD250,Products!AD256)/1000000</f>
        <v>0.53941282829562509</v>
      </c>
      <c r="GR9" s="320">
        <f>SUM(Products!AE250,Products!AE256)/1000000</f>
        <v>0.71769192927208492</v>
      </c>
      <c r="GS9" s="320">
        <f>SUM(Products!AF250,Products!AF256)/1000000</f>
        <v>0.70755995930857296</v>
      </c>
      <c r="GT9" s="320">
        <f>SUM(Products!AG250,Products!AG256)/1000000</f>
        <v>1.083310817357362</v>
      </c>
      <c r="GV9" s="110" t="s">
        <v>299</v>
      </c>
      <c r="GW9" s="357"/>
      <c r="GX9" s="357"/>
      <c r="GY9" s="320">
        <f t="shared" si="1"/>
        <v>0.31705984598523201</v>
      </c>
      <c r="GZ9" s="320">
        <f t="shared" si="1"/>
        <v>0.50800465201391598</v>
      </c>
      <c r="HA9" s="320">
        <f t="shared" si="1"/>
        <v>0.64036306666666665</v>
      </c>
      <c r="HB9" s="320">
        <f t="shared" si="1"/>
        <v>0.8667214154166667</v>
      </c>
      <c r="HC9" s="320">
        <f t="shared" si="1"/>
        <v>1.178191222467321</v>
      </c>
      <c r="HD9" s="320">
        <f t="shared" si="2"/>
        <v>1.567590326273421</v>
      </c>
      <c r="HE9" s="320">
        <f t="shared" si="2"/>
        <v>1.5454599699839151</v>
      </c>
      <c r="HF9" s="320">
        <f t="shared" si="2"/>
        <v>2.3661789806653264</v>
      </c>
      <c r="HH9" s="161"/>
      <c r="HI9" s="161"/>
      <c r="HJ9" s="161"/>
      <c r="HK9" s="280"/>
      <c r="HL9" s="280"/>
      <c r="HM9" s="280"/>
      <c r="HN9" s="280"/>
      <c r="HO9" s="280"/>
      <c r="HP9" s="280"/>
      <c r="HQ9" s="280"/>
      <c r="HR9" s="280"/>
    </row>
    <row r="10" spans="2:226" ht="15" customHeight="1" x14ac:dyDescent="0.25">
      <c r="M10" s="108" t="s">
        <v>3</v>
      </c>
      <c r="N10" s="135">
        <f>Forecast!Z33/1000000</f>
        <v>7.741394220000001</v>
      </c>
      <c r="O10" s="135">
        <f>Forecast!AA33/1000000</f>
        <v>8.6477223640610905</v>
      </c>
      <c r="P10" s="135">
        <f>Forecast!AB33/1000000</f>
        <v>9.9355856033087449</v>
      </c>
      <c r="Q10" s="135">
        <f>Forecast!AC33/1000000</f>
        <v>10.920800798839108</v>
      </c>
      <c r="R10" s="135">
        <f>Forecast!AD33/1000000</f>
        <v>10.928527204916008</v>
      </c>
      <c r="S10" s="135">
        <f>Forecast!AE33/1000000</f>
        <v>11.979880789685392</v>
      </c>
      <c r="T10" s="135">
        <f>Forecast!AF33/1000000</f>
        <v>13.065496308384047</v>
      </c>
      <c r="U10" s="109">
        <f>Forecast!AG33/1000000</f>
        <v>14.498397069022353</v>
      </c>
      <c r="W10" s="139" t="s">
        <v>272</v>
      </c>
      <c r="X10" s="141"/>
      <c r="Y10" s="126">
        <f t="shared" ref="Y10:AE10" si="5">Y9/Y6</f>
        <v>0.10922766704952029</v>
      </c>
      <c r="Z10" s="126">
        <f t="shared" si="5"/>
        <v>0.1032413086796328</v>
      </c>
      <c r="AA10" s="126">
        <f t="shared" si="5"/>
        <v>9.8250522022279019E-2</v>
      </c>
      <c r="AB10" s="126">
        <f t="shared" si="5"/>
        <v>0.15000000000000005</v>
      </c>
      <c r="AC10" s="126">
        <f t="shared" si="5"/>
        <v>0.15000000000000002</v>
      </c>
      <c r="AD10" s="126">
        <f t="shared" si="5"/>
        <v>0.15000000000000005</v>
      </c>
      <c r="AE10" s="131">
        <f t="shared" si="5"/>
        <v>0.15</v>
      </c>
      <c r="AG10" s="134" t="s">
        <v>48</v>
      </c>
      <c r="AH10" s="151">
        <f>Forecast!Z97</f>
        <v>1.1742017975480512</v>
      </c>
      <c r="AI10" s="151">
        <f>Forecast!AA97</f>
        <v>1.2169414912584586</v>
      </c>
      <c r="AJ10" s="151">
        <f>Forecast!AB97</f>
        <v>1.2529794534888594</v>
      </c>
      <c r="AK10" s="151">
        <f>Forecast!AC97</f>
        <v>1.2960651883044938</v>
      </c>
      <c r="AL10" s="151">
        <f>Forecast!AD97</f>
        <v>1.3186037637418742</v>
      </c>
      <c r="AM10" s="151">
        <f>Forecast!AE97</f>
        <v>1.3091306576196038</v>
      </c>
      <c r="AN10" s="151">
        <f>Forecast!AF97</f>
        <v>1.2872456857065522</v>
      </c>
      <c r="AO10" s="152">
        <f>Forecast!AG97</f>
        <v>1.2757940147775639</v>
      </c>
      <c r="AP10" s="134"/>
      <c r="AQ10" s="134" t="s">
        <v>13</v>
      </c>
      <c r="AR10" s="125">
        <f>Forecast!Z44/1000000</f>
        <v>8.1129194200000008</v>
      </c>
      <c r="AS10" s="125">
        <f>Forecast!AA44/1000000</f>
        <v>9.2114860650891774</v>
      </c>
      <c r="AT10" s="125">
        <f>Forecast!AB44/1000000</f>
        <v>10.824143673175518</v>
      </c>
      <c r="AU10" s="125">
        <f>Forecast!AC44/1000000</f>
        <v>12.693575850454602</v>
      </c>
      <c r="AV10" s="125">
        <f>Forecast!AD44/1000000</f>
        <v>14.450121402541447</v>
      </c>
      <c r="AW10" s="125">
        <f>Forecast!AE44/1000000</f>
        <v>15.001501287402686</v>
      </c>
      <c r="AX10" s="125">
        <f>Forecast!AF44/1000000</f>
        <v>16.661484517079376</v>
      </c>
      <c r="AY10" s="130">
        <f>Forecast!AG44/1000000</f>
        <v>18.736342655972141</v>
      </c>
      <c r="AZ10" s="134"/>
      <c r="BA10" s="134" t="s">
        <v>293</v>
      </c>
      <c r="BB10" s="125">
        <f>Forecast!Z68/1000000</f>
        <v>86.058441699295585</v>
      </c>
      <c r="BC10" s="125">
        <f>Forecast!AA68/1000000</f>
        <v>224.13640230269559</v>
      </c>
      <c r="BD10" s="125">
        <f>Forecast!AB68/1000000</f>
        <v>208.15127139115179</v>
      </c>
      <c r="BE10" s="125">
        <f>Forecast!AC68/1000000</f>
        <v>194.03577630878581</v>
      </c>
      <c r="BF10" s="125">
        <f>Forecast!AD68/1000000</f>
        <v>176.19743356261449</v>
      </c>
      <c r="BG10" s="125">
        <f>Forecast!AE68/1000000</f>
        <v>161.55220946968754</v>
      </c>
      <c r="BH10" s="125">
        <f>Forecast!AF68/1000000</f>
        <v>146.97082079528079</v>
      </c>
      <c r="BI10" s="130">
        <f>Forecast!AG68/1000000</f>
        <v>135.59799799384064</v>
      </c>
      <c r="BK10" s="162" t="s">
        <v>3</v>
      </c>
      <c r="BL10" s="267">
        <f>Forecast!Z33/1000000</f>
        <v>7.741394220000001</v>
      </c>
      <c r="BM10" s="267">
        <f>Forecast!AA33/1000000</f>
        <v>8.6477223640610905</v>
      </c>
      <c r="BN10" s="267">
        <f>Forecast!AB33/1000000</f>
        <v>9.9355856033087449</v>
      </c>
      <c r="BO10" s="267">
        <f>Forecast!AC33/1000000</f>
        <v>10.920800798839108</v>
      </c>
      <c r="BP10" s="267">
        <f>Forecast!AD33/1000000</f>
        <v>10.928527204916008</v>
      </c>
      <c r="BQ10" s="267">
        <f>Forecast!AE33/1000000</f>
        <v>11.979880789685392</v>
      </c>
      <c r="BR10" s="267">
        <f>Forecast!AF33/1000000</f>
        <v>13.065496308384047</v>
      </c>
      <c r="BS10" s="267">
        <f>Forecast!AG33/1000000</f>
        <v>14.498397069022353</v>
      </c>
      <c r="BV10" s="104" t="s">
        <v>575</v>
      </c>
      <c r="BW10" s="106">
        <f>Expenses!Z75</f>
        <v>31.333333333333332</v>
      </c>
      <c r="BX10" s="106">
        <f>Expenses!AA75</f>
        <v>37.666666666666664</v>
      </c>
      <c r="BY10" s="106">
        <f>Expenses!AB75</f>
        <v>43</v>
      </c>
      <c r="BZ10" s="106">
        <f>Expenses!AC75</f>
        <v>49.333333333333336</v>
      </c>
      <c r="CA10" s="106">
        <f>Expenses!AD75</f>
        <v>52.191006963617191</v>
      </c>
      <c r="CB10" s="106">
        <f>Expenses!AE75</f>
        <v>52.477517409043003</v>
      </c>
      <c r="CC10" s="106">
        <f>Expenses!AF75</f>
        <v>52.668524372660194</v>
      </c>
      <c r="CD10" s="106">
        <f>Expenses!AG75</f>
        <v>52.955034818085984</v>
      </c>
      <c r="CG10" s="163" t="s">
        <v>1</v>
      </c>
      <c r="CH10" s="106">
        <f>Expenses!Z158</f>
        <v>20</v>
      </c>
      <c r="CI10" s="106">
        <f>Expenses!AA158</f>
        <v>26</v>
      </c>
      <c r="CJ10" s="106">
        <f>Expenses!AB158</f>
        <v>33</v>
      </c>
      <c r="CK10" s="106">
        <f>Expenses!AC158</f>
        <v>46</v>
      </c>
      <c r="CL10" s="106">
        <f>Expenses!AD158</f>
        <v>49.024486744839642</v>
      </c>
      <c r="CM10" s="106">
        <f>Expenses!AE158</f>
        <v>52.048973489679298</v>
      </c>
      <c r="CN10" s="106">
        <f>Expenses!AF158</f>
        <v>54.065297986239074</v>
      </c>
      <c r="CO10" s="106">
        <f>Expenses!AG158</f>
        <v>57.089784731078716</v>
      </c>
      <c r="CR10" s="104" t="s">
        <v>249</v>
      </c>
      <c r="CS10" s="280">
        <f>SUM(ARR!Z8:Z9)/1000000</f>
        <v>3.2858403365470004</v>
      </c>
      <c r="CT10" s="280">
        <f>SUM(ARR!AA8:AA9)/1000000</f>
        <v>4.7149480623129998</v>
      </c>
      <c r="CU10" s="280">
        <f>SUM(ARR!AB8:AB9)/1000000</f>
        <v>4.7731664583333338</v>
      </c>
      <c r="CV10" s="280">
        <f>SUM(ARR!AC8:AC9)/1000000</f>
        <v>6.2972814583333339</v>
      </c>
      <c r="CW10" s="280">
        <f>SUM(ARR!AD8:AD9)/1000000</f>
        <v>4.3096015353283148</v>
      </c>
      <c r="CX10" s="280">
        <f>SUM(ARR!AE8:AE9)/1000000</f>
        <v>5.7339500991411683</v>
      </c>
      <c r="CY10" s="280">
        <f>SUM(ARR!AF8:AF9)/1000000</f>
        <v>5.6530014249158658</v>
      </c>
      <c r="CZ10" s="280">
        <f>SUM(ARR!AG8:AG9)/1000000</f>
        <v>8.6550369528149478</v>
      </c>
      <c r="DB10" s="104" t="s">
        <v>249</v>
      </c>
      <c r="DC10" s="280">
        <f>SUM(ARR!Z19:Z20)/1000000</f>
        <v>2.9610455596260001</v>
      </c>
      <c r="DD10" s="280">
        <f>SUM(ARR!AA19:AA20)/1000000</f>
        <v>4.1805407566530004</v>
      </c>
      <c r="DE10" s="280">
        <f>SUM(ARR!AB19:AB20)/1000000</f>
        <v>6.2497572916666657</v>
      </c>
      <c r="DF10" s="280">
        <f>SUM(ARR!AC19:AC20)/1000000</f>
        <v>9.2823285416666668</v>
      </c>
      <c r="DG10" s="280">
        <f>SUM(ARR!AD19:AD20)/1000000</f>
        <v>5.1821592528729257</v>
      </c>
      <c r="DH10" s="280">
        <f>SUM(ARR!AE19:AE20)/1000000</f>
        <v>6.8948932559521046</v>
      </c>
      <c r="DI10" s="280">
        <f>SUM(ARR!AF19:AF20)/1000000</f>
        <v>6.7975550408745278</v>
      </c>
      <c r="DJ10" s="280">
        <f>SUM(ARR!AG19:AG20)/1000000</f>
        <v>10.407407613281853</v>
      </c>
      <c r="DL10" s="104" t="s">
        <v>249</v>
      </c>
      <c r="DM10" s="280">
        <f>SUM(ARR!Z30:Z31)/1000000</f>
        <v>2.8217583499999996</v>
      </c>
      <c r="DN10" s="280">
        <f>SUM(ARR!AA30:AA31)/1000000</f>
        <v>5.2916217552939999</v>
      </c>
      <c r="DO10" s="280">
        <f>SUM(ARR!AB30:AB31)/1000000</f>
        <v>6.2757762499999998</v>
      </c>
      <c r="DP10" s="280">
        <f>SUM(ARR!AC30:AC31)/1000000</f>
        <v>7.7981774999999987</v>
      </c>
      <c r="DQ10" s="280">
        <f>SUM(ARR!AD30:AD31)/1000000</f>
        <v>5.9934758699513901</v>
      </c>
      <c r="DR10" s="280">
        <f>SUM(ARR!AE30:AE31)/1000000</f>
        <v>7.9743547696898318</v>
      </c>
      <c r="DS10" s="280">
        <f>SUM(ARR!AF30:AF31)/1000000</f>
        <v>7.8617773256508112</v>
      </c>
      <c r="DT10" s="280">
        <f>SUM(ARR!AG30:AG31)/1000000</f>
        <v>12.036786859526247</v>
      </c>
      <c r="DV10" s="104" t="s">
        <v>249</v>
      </c>
      <c r="DW10" s="280">
        <f>SUM(ARR!Z41:Z42)/1000000</f>
        <v>9.0686442461729992</v>
      </c>
      <c r="DX10" s="280">
        <f>SUM(ARR!AA41:AA42)/1000000</f>
        <v>14.18711057426</v>
      </c>
      <c r="DY10" s="280">
        <f>SUM(ARR!AB41:AB42)/1000000</f>
        <v>17.2987</v>
      </c>
      <c r="DZ10" s="280">
        <f>SUM(ARR!AC41:AC42)/1000000</f>
        <v>23.3777875</v>
      </c>
      <c r="EA10" s="280">
        <f>SUM(ARR!AD41:AD42)/1000000</f>
        <v>15.48523665815263</v>
      </c>
      <c r="EB10" s="280">
        <f>SUM(ARR!AE41:AE42)/1000000</f>
        <v>20.603198124783106</v>
      </c>
      <c r="EC10" s="280">
        <f>SUM(ARR!AF41:AF42)/1000000</f>
        <v>20.312333791441201</v>
      </c>
      <c r="ED10" s="280">
        <f>SUM(ARR!AG41:AG42)/1000000</f>
        <v>31.099231425623046</v>
      </c>
      <c r="EG10" s="280"/>
      <c r="EH10" s="280"/>
      <c r="EI10" s="280"/>
      <c r="EJ10" s="280"/>
      <c r="EK10" s="280"/>
      <c r="EL10" s="280"/>
      <c r="EM10" s="280"/>
      <c r="EN10" s="280"/>
      <c r="EP10" s="110" t="s">
        <v>408</v>
      </c>
      <c r="EQ10" s="280">
        <f>Expenses!Z125/1000000</f>
        <v>1.01778441</v>
      </c>
      <c r="ER10" s="280">
        <f>Expenses!AA125/1000000</f>
        <v>1.1251293433333336</v>
      </c>
      <c r="ES10" s="280">
        <f>Expenses!AB125/1000000</f>
        <v>1.3894525900000001</v>
      </c>
      <c r="ET10" s="280">
        <f>Expenses!AC125/1000000</f>
        <v>1.8584422899999999</v>
      </c>
      <c r="EU10" s="280">
        <f>Expenses!AD125/1000000</f>
        <v>2.3273941055739273</v>
      </c>
      <c r="EV10" s="280">
        <f>Expenses!AE125/1000000</f>
        <v>2.4176587781853613</v>
      </c>
      <c r="EW10" s="280">
        <f>Expenses!AF125/1000000</f>
        <v>2.5606457012762212</v>
      </c>
      <c r="EX10" s="280">
        <f>Expenses!AG125/1000000</f>
        <v>2.7700633567024302</v>
      </c>
      <c r="EZ10" s="343" t="s">
        <v>587</v>
      </c>
      <c r="FA10" s="344">
        <f t="shared" ref="FA10:FH10" si="6">SUM(FA6:FA9)</f>
        <v>30.372823737000001</v>
      </c>
      <c r="FB10" s="344">
        <f t="shared" si="6"/>
        <v>55.180642637914993</v>
      </c>
      <c r="FC10" s="344">
        <f t="shared" si="6"/>
        <v>89.128181603371971</v>
      </c>
      <c r="FD10" s="344">
        <f t="shared" si="6"/>
        <v>101.88775652327</v>
      </c>
      <c r="FE10" s="344">
        <f t="shared" si="6"/>
        <v>117.68645652326997</v>
      </c>
      <c r="FF10" s="344">
        <f t="shared" si="6"/>
        <v>139.06424402326996</v>
      </c>
      <c r="FG10" s="344">
        <f t="shared" si="6"/>
        <v>152.25683941322143</v>
      </c>
      <c r="FH10" s="344">
        <f t="shared" si="6"/>
        <v>170.27768153099333</v>
      </c>
      <c r="FI10" s="400">
        <f t="shared" ref="FI10" si="7">SUM(FI6:FI9)</f>
        <v>188.22322007094087</v>
      </c>
      <c r="FJ10" s="400">
        <f t="shared" ref="FJ10" si="8">SUM(FJ6:FJ9)</f>
        <v>215.42187480607868</v>
      </c>
      <c r="FL10" s="110" t="s">
        <v>300</v>
      </c>
      <c r="FM10" s="355"/>
      <c r="FN10" s="355"/>
      <c r="FO10" s="345">
        <f>SUM(Products!Z103+Products!Z109)/1000000</f>
        <v>0</v>
      </c>
      <c r="FP10" s="345">
        <f>SUM(Products!AA103+Products!AA109)/1000000</f>
        <v>0</v>
      </c>
      <c r="FQ10" s="345">
        <f>SUM(Products!AB103+Products!AB109)/1000000</f>
        <v>0</v>
      </c>
      <c r="FR10" s="345">
        <f>SUM(Products!AC103+Products!AC109)/1000000</f>
        <v>0</v>
      </c>
      <c r="FS10" s="345">
        <f>SUM(Products!AD103+Products!AD109)/1000000</f>
        <v>0</v>
      </c>
      <c r="FT10" s="345">
        <f>SUM(Products!AE103+Products!AE109)/1000000</f>
        <v>0</v>
      </c>
      <c r="FU10" s="345">
        <f>SUM(Products!AF103+Products!AF109)/1000000</f>
        <v>0</v>
      </c>
      <c r="FV10" s="345">
        <f>SUM(Products!AG103+Products!AG109)/1000000</f>
        <v>0</v>
      </c>
      <c r="FX10" s="110" t="s">
        <v>300</v>
      </c>
      <c r="FY10" s="358"/>
      <c r="FZ10" s="358"/>
      <c r="GA10" s="345">
        <f>SUM(Products!Z177,Products!Z183)/1000000</f>
        <v>0.16200287860961241</v>
      </c>
      <c r="GB10" s="345">
        <f>SUM(Products!AA177,Products!AA183)/1000000</f>
        <v>0.22872313954133677</v>
      </c>
      <c r="GC10" s="345">
        <f>SUM(Products!AB177,Products!AB183)/1000000</f>
        <v>0.34193282456258389</v>
      </c>
      <c r="GD10" s="345">
        <f>SUM(Products!AC177,Products!AC183)/1000000</f>
        <v>0.50784897215161429</v>
      </c>
      <c r="GE10" s="345">
        <f>SUM(Products!AD177,Products!AD183)/1000000</f>
        <v>0.26989007097926804</v>
      </c>
      <c r="GF10" s="345">
        <f>SUM(Products!AE177,Products!AE183)/1000000</f>
        <v>0.35909032112661349</v>
      </c>
      <c r="GG10" s="345">
        <f>SUM(Products!AF177,Products!AF183)/1000000</f>
        <v>0.3540208864577119</v>
      </c>
      <c r="GH10" s="345">
        <f>SUM(Products!AG177,Products!AG183)/1000000</f>
        <v>0.54202424942877214</v>
      </c>
      <c r="GJ10" s="110" t="s">
        <v>300</v>
      </c>
      <c r="GK10" s="358"/>
      <c r="GL10" s="358"/>
      <c r="GM10" s="345">
        <f>SUM(Products!Z251,Products!Z257)/1000000</f>
        <v>0.15438228363445011</v>
      </c>
      <c r="GN10" s="345">
        <f>SUM(Products!AA251,Products!AA257)/1000000</f>
        <v>0.28951191044124142</v>
      </c>
      <c r="GO10" s="345">
        <f>SUM(Products!AB251,Products!AB257)/1000000</f>
        <v>0.3433563575895312</v>
      </c>
      <c r="GP10" s="345">
        <f>SUM(Products!AC251,Products!AC257)/1000000</f>
        <v>0.42664902564629142</v>
      </c>
      <c r="GQ10" s="345">
        <f>SUM(Products!AD251,Products!AD257)/1000000</f>
        <v>0.31214394406288165</v>
      </c>
      <c r="GR10" s="345">
        <f>SUM(Products!AE251,Products!AE257)/1000000</f>
        <v>0.41530934689286136</v>
      </c>
      <c r="GS10" s="345">
        <f>SUM(Products!AF251,Products!AF257)/1000000</f>
        <v>0.40944624371911936</v>
      </c>
      <c r="GT10" s="345">
        <f>SUM(Products!AG251,Products!AG257)/1000000</f>
        <v>0.62688333209344549</v>
      </c>
      <c r="GV10" s="110" t="s">
        <v>300</v>
      </c>
      <c r="GW10" s="358"/>
      <c r="GX10" s="358"/>
      <c r="GY10" s="345">
        <f t="shared" si="1"/>
        <v>0.31638516224406255</v>
      </c>
      <c r="GZ10" s="345">
        <f t="shared" si="1"/>
        <v>0.51823504998257819</v>
      </c>
      <c r="HA10" s="345">
        <f t="shared" si="1"/>
        <v>0.6852891821521151</v>
      </c>
      <c r="HB10" s="345">
        <f t="shared" si="1"/>
        <v>0.93449799779790577</v>
      </c>
      <c r="HC10" s="345">
        <f t="shared" si="1"/>
        <v>0.58203401504214969</v>
      </c>
      <c r="HD10" s="345">
        <f t="shared" si="2"/>
        <v>0.77439966801947491</v>
      </c>
      <c r="HE10" s="345">
        <f t="shared" si="2"/>
        <v>0.76346713017683121</v>
      </c>
      <c r="HF10" s="345">
        <f t="shared" si="2"/>
        <v>1.1689075815222176</v>
      </c>
      <c r="HH10" s="388" t="s">
        <v>607</v>
      </c>
      <c r="HI10" s="389">
        <f>Geo!D45/1000000</f>
        <v>5.7753037038193868</v>
      </c>
      <c r="HJ10" s="389">
        <f>Geo!E45/1000000</f>
        <v>8.4214250436240992</v>
      </c>
      <c r="HK10" s="389">
        <f>Geo!Z45/1000000</f>
        <v>2.9456821109816209</v>
      </c>
      <c r="HL10" s="389">
        <f>Geo!AA45/1000000</f>
        <v>4.130549439701297</v>
      </c>
      <c r="HM10" s="389">
        <f>Geo!AB45/1000000</f>
        <v>4.3824145641577505</v>
      </c>
      <c r="HN10" s="389">
        <f>Geo!AC45/1000000</f>
        <v>5.7192504100980628</v>
      </c>
      <c r="HO10" s="389">
        <f>Geo!AD45/1000000</f>
        <v>3.6843506057300344</v>
      </c>
      <c r="HP10" s="389">
        <f>Geo!AE45/1000000</f>
        <v>4.9020500730323642</v>
      </c>
      <c r="HQ10" s="389">
        <f>Geo!AF45/1000000</f>
        <v>4.8328456942817626</v>
      </c>
      <c r="HR10" s="389">
        <f>Geo!AG45/1000000</f>
        <v>7.3993361980947663</v>
      </c>
    </row>
    <row r="11" spans="2:226" ht="15" customHeight="1" x14ac:dyDescent="0.25">
      <c r="M11" s="110" t="s">
        <v>262</v>
      </c>
      <c r="N11" s="136">
        <f>Forecast!Z34/1000000</f>
        <v>7.1241706100000002</v>
      </c>
      <c r="O11" s="136">
        <f>Forecast!AA34/1000000</f>
        <v>7.6523983069790278</v>
      </c>
      <c r="P11" s="136">
        <f>Forecast!AB34/1000000</f>
        <v>8.546847411693502</v>
      </c>
      <c r="Q11" s="136">
        <f>Forecast!AC34/1000000</f>
        <v>8.9940355778957937</v>
      </c>
      <c r="R11" s="136">
        <f>Forecast!AD34/1000000</f>
        <v>8.7490689175087457</v>
      </c>
      <c r="S11" s="136">
        <f>Forecast!AE34/1000000</f>
        <v>9.6631412178335765</v>
      </c>
      <c r="T11" s="136">
        <f>Forecast!AF34/1000000</f>
        <v>10.657235880235859</v>
      </c>
      <c r="U11" s="111">
        <f>Forecast!AG34/1000000</f>
        <v>11.952855356429614</v>
      </c>
      <c r="W11" s="134"/>
      <c r="X11" s="124"/>
      <c r="Y11" s="124"/>
      <c r="Z11" s="124"/>
      <c r="AA11" s="124"/>
      <c r="AB11" s="124"/>
      <c r="AC11" s="124"/>
      <c r="AD11" s="124"/>
      <c r="AE11" s="129"/>
      <c r="AG11" s="134" t="s">
        <v>224</v>
      </c>
      <c r="AH11" s="151">
        <f>Forecast!Z98</f>
        <v>0.89451076530073459</v>
      </c>
      <c r="AI11" s="151">
        <f>Forecast!AA98</f>
        <v>0.90545413069763769</v>
      </c>
      <c r="AJ11" s="151">
        <f>Forecast!AB98</f>
        <v>0.91402252477247337</v>
      </c>
      <c r="AK11" s="151">
        <f>Forecast!AC98</f>
        <v>0.91920087624650437</v>
      </c>
      <c r="AL11" s="151">
        <f>Forecast!AD98</f>
        <v>0.91961305512340641</v>
      </c>
      <c r="AM11" s="151">
        <f>Forecast!AE98</f>
        <v>0.91835432597890942</v>
      </c>
      <c r="AN11" s="151">
        <f>Forecast!AF98</f>
        <v>0.92168855760436186</v>
      </c>
      <c r="AO11" s="152">
        <f>Forecast!AG98</f>
        <v>0.9198634071822418</v>
      </c>
      <c r="AP11" s="134"/>
      <c r="AQ11" s="139" t="s">
        <v>284</v>
      </c>
      <c r="AR11" s="155">
        <f t="shared" ref="AR11:AY11" si="9">AR10/AR$37</f>
        <v>0.37100740753016304</v>
      </c>
      <c r="AS11" s="155">
        <f t="shared" si="9"/>
        <v>0.3809649839273675</v>
      </c>
      <c r="AT11" s="155">
        <f t="shared" si="9"/>
        <v>0.39372336599928981</v>
      </c>
      <c r="AU11" s="155">
        <f t="shared" si="9"/>
        <v>0.40540295007164789</v>
      </c>
      <c r="AV11" s="155">
        <f t="shared" si="9"/>
        <v>0.39441791687452793</v>
      </c>
      <c r="AW11" s="155">
        <f t="shared" si="9"/>
        <v>0.36384301049259588</v>
      </c>
      <c r="AX11" s="155">
        <f t="shared" si="9"/>
        <v>0.36728207352222364</v>
      </c>
      <c r="AY11" s="156">
        <f t="shared" si="9"/>
        <v>0.35752646932390841</v>
      </c>
      <c r="AZ11" s="134"/>
      <c r="BK11" s="163" t="s">
        <v>4</v>
      </c>
      <c r="BL11" s="269">
        <f>Forecast!Z34/1000000</f>
        <v>7.1241706100000002</v>
      </c>
      <c r="BM11" s="269">
        <f>Forecast!AA34/1000000</f>
        <v>7.6523983069790278</v>
      </c>
      <c r="BN11" s="269">
        <f>Forecast!AB34/1000000</f>
        <v>8.546847411693502</v>
      </c>
      <c r="BO11" s="269">
        <f>Forecast!AC34/1000000</f>
        <v>8.9940355778957937</v>
      </c>
      <c r="BP11" s="269">
        <f>Forecast!AD34/1000000</f>
        <v>8.7490689175087457</v>
      </c>
      <c r="BQ11" s="269">
        <f>Forecast!AE34/1000000</f>
        <v>9.6631412178335765</v>
      </c>
      <c r="BR11" s="269">
        <f>Forecast!AF34/1000000</f>
        <v>10.657235880235859</v>
      </c>
      <c r="BS11" s="269">
        <f>Forecast!AG34/1000000</f>
        <v>11.952855356429614</v>
      </c>
      <c r="BV11" s="282" t="s">
        <v>580</v>
      </c>
      <c r="BW11" s="281">
        <f>BW$8/BW10</f>
        <v>0.28942481636722339</v>
      </c>
      <c r="BX11" s="281">
        <f t="shared" ref="BX11:CD11" si="10">BX8/BX10</f>
        <v>0.37664895329893811</v>
      </c>
      <c r="BY11" s="281">
        <f t="shared" si="10"/>
        <v>0.4022953488372093</v>
      </c>
      <c r="BZ11" s="281">
        <f t="shared" si="10"/>
        <v>0.47387407094594591</v>
      </c>
      <c r="CA11" s="281">
        <f t="shared" si="10"/>
        <v>0.2967031593957849</v>
      </c>
      <c r="CB11" s="281">
        <f t="shared" si="10"/>
        <v>0.39261000028238252</v>
      </c>
      <c r="CC11" s="281">
        <f t="shared" si="10"/>
        <v>0.38566362041434316</v>
      </c>
      <c r="CD11" s="281">
        <f t="shared" si="10"/>
        <v>0.58727619635142947</v>
      </c>
      <c r="CG11" s="163" t="s">
        <v>13</v>
      </c>
      <c r="CH11" s="106">
        <f>Expenses!Z159</f>
        <v>152</v>
      </c>
      <c r="CI11" s="106">
        <f>Expenses!AA159</f>
        <v>170</v>
      </c>
      <c r="CJ11" s="106">
        <f>Expenses!AB159</f>
        <v>207</v>
      </c>
      <c r="CK11" s="106">
        <f>Expenses!AC159</f>
        <v>248</v>
      </c>
      <c r="CL11" s="106">
        <f>Expenses!AD159</f>
        <v>250.02173913043478</v>
      </c>
      <c r="CM11" s="106">
        <f>Expenses!AE159</f>
        <v>270.32554110288612</v>
      </c>
      <c r="CN11" s="106">
        <f>Expenses!AF159</f>
        <v>298.81067940223949</v>
      </c>
      <c r="CO11" s="106">
        <f>Expenses!AG159</f>
        <v>340.82570840537682</v>
      </c>
      <c r="CR11" s="316" t="s">
        <v>218</v>
      </c>
      <c r="CS11" s="405">
        <f>(SUM(ARR!Z8:Z9)/SUM(ARR!V8:V9))-1</f>
        <v>1.2048849765937248</v>
      </c>
      <c r="CT11" s="405">
        <f>(SUM(ARR!AA8:AA9)/SUM(ARR!W8:W9))-1</f>
        <v>0.59293390041273453</v>
      </c>
      <c r="CU11" s="405">
        <f>(SUM(ARR!AB8:AB9)/SUM(ARR!X8:X9))-1</f>
        <v>0.99450369933253779</v>
      </c>
      <c r="CV11" s="405">
        <f>(SUM(ARR!AC8:AC9)/SUM(ARR!Y8:Y9))-1</f>
        <v>0.57108440499742552</v>
      </c>
      <c r="CW11" s="405">
        <f>(SUM(ARR!AD8:AD9)/SUM(ARR!Z8:Z9))-1</f>
        <v>0.31156754252312724</v>
      </c>
      <c r="CX11" s="405">
        <f>(SUM(ARR!AE8:AE9)/SUM(ARR!AA8:AA9))-1</f>
        <v>0.21612158254152214</v>
      </c>
      <c r="CY11" s="405">
        <f>(SUM(ARR!AF8:AF9)/SUM(ARR!AB8:AB9))-1</f>
        <v>0.18432941198739328</v>
      </c>
      <c r="CZ11" s="405">
        <f>(SUM(ARR!AG8:AG9)/SUM(ARR!AC8:AC9))-1</f>
        <v>0.37440846658704507</v>
      </c>
      <c r="DB11" s="316" t="s">
        <v>218</v>
      </c>
      <c r="DC11" s="405">
        <f>SUM(ARR!Z19:Z20)/SUM(ARR!V19:V20)-1</f>
        <v>0.33210826743446575</v>
      </c>
      <c r="DD11" s="405">
        <f>SUM(ARR!AA19:AA20)/SUM(ARR!W19:W20)-1</f>
        <v>0.50353280757677354</v>
      </c>
      <c r="DE11" s="405">
        <f>SUM(ARR!AB19:AB20)/SUM(ARR!X19:X20)-1</f>
        <v>1.4853642966897538</v>
      </c>
      <c r="DF11" s="405">
        <f>SUM(ARR!AC19:AC20)/SUM(ARR!Y19:Y20)-1</f>
        <v>1.2386407334079292</v>
      </c>
      <c r="DG11" s="405">
        <f>SUM(ARR!AD19:AD20)/SUM(ARR!Z19:Z20)-1</f>
        <v>0.75011128620643941</v>
      </c>
      <c r="DH11" s="405">
        <f>SUM(ARR!AE19:AE20)/SUM(ARR!AA19:AA20)-1</f>
        <v>0.64928263047775014</v>
      </c>
      <c r="DI11" s="405">
        <f>SUM(ARR!AF19:AF20)/SUM(ARR!AB19:AB20)-1</f>
        <v>8.7651043655453176E-2</v>
      </c>
      <c r="DJ11" s="405">
        <f>SUM(ARR!AG19:AG20)/SUM(ARR!AC19:AC20)-1</f>
        <v>0.1212065557219737</v>
      </c>
      <c r="DL11" s="406" t="s">
        <v>218</v>
      </c>
      <c r="DM11" s="405">
        <f>SUM(ARR!Z30:Z31)/SUM(ARR!V30:V31)-1</f>
        <v>0.86558611947473652</v>
      </c>
      <c r="DN11" s="405">
        <f>SUM(ARR!AA30:AA31)/SUM(ARR!W30:W31)-1</f>
        <v>1.2322689566492628</v>
      </c>
      <c r="DO11" s="405">
        <f>SUM(ARR!AB30:AB31)/SUM(ARR!X30:X31)-1</f>
        <v>0.93410807725149914</v>
      </c>
      <c r="DP11" s="405">
        <f>SUM(ARR!AC30:AC31)/SUM(ARR!Y30:Y31)-1</f>
        <v>1.8901147665391864</v>
      </c>
      <c r="DQ11" s="405">
        <f>SUM(ARR!AD30:AD31)/SUM(ARR!Z30:Z31)-1</f>
        <v>1.1240216654099351</v>
      </c>
      <c r="DR11" s="405">
        <f>SUM(ARR!AE30:AE31)/SUM(ARR!AA30:AA31)-1</f>
        <v>0.50697747088818157</v>
      </c>
      <c r="DS11" s="405">
        <f>SUM(ARR!AF30:AF31)/SUM(ARR!AB30:AB31)-1</f>
        <v>0.25271791288779788</v>
      </c>
      <c r="DT11" s="405">
        <f>SUM(ARR!AG30:AG31)/SUM(ARR!AC30:AC31)-1</f>
        <v>0.54353845620034269</v>
      </c>
      <c r="DV11" s="316" t="s">
        <v>218</v>
      </c>
      <c r="DW11" s="405">
        <f>SUM(ARR!Z41:Z42)/SUM(ARR!V41:V42)-1</f>
        <v>0.73542206786775144</v>
      </c>
      <c r="DX11" s="405">
        <f>SUM(ARR!AA41:AA42)/SUM(ARR!W41:W42)-1</f>
        <v>0.74914013153930203</v>
      </c>
      <c r="DY11" s="405">
        <f>SUM(ARR!AB41:AB42)/SUM(ARR!X41:X42)-1</f>
        <v>1.1218694428507665</v>
      </c>
      <c r="DZ11" s="405">
        <f>SUM(ARR!AC41:AC42)/SUM(ARR!Y41:Y42)-1</f>
        <v>1.1540638695694918</v>
      </c>
      <c r="EA11" s="405">
        <f>SUM(ARR!AD41:AD42)/SUM(ARR!Z41:Z42)-1</f>
        <v>0.70755806907823682</v>
      </c>
      <c r="EB11" s="405">
        <f>SUM(ARR!AE41:AE42)/SUM(ARR!AA41:AA42)-1</f>
        <v>0.45224765937638911</v>
      </c>
      <c r="EC11" s="405">
        <f>SUM(ARR!AF41:AF42)/SUM(ARR!AB41:AB42)-1</f>
        <v>0.17421157609769522</v>
      </c>
      <c r="ED11" s="405">
        <f>SUM(ARR!AG41:AG42)/SUM(ARR!AC41:AC42)-1</f>
        <v>0.33028976440234326</v>
      </c>
      <c r="EF11" s="108" t="s">
        <v>503</v>
      </c>
      <c r="EG11" s="280"/>
      <c r="EH11" s="280"/>
      <c r="EI11" s="280"/>
      <c r="EJ11" s="280"/>
      <c r="EK11" s="280"/>
      <c r="EL11" s="280"/>
      <c r="EM11" s="280"/>
      <c r="EN11" s="280"/>
      <c r="EP11" s="110" t="s">
        <v>422</v>
      </c>
      <c r="EQ11" s="280">
        <f>Expenses!Z126/1000000</f>
        <v>0.26339291999999997</v>
      </c>
      <c r="ER11" s="280">
        <f>Expenses!AA126/1000000</f>
        <v>5.9863449999999999E-2</v>
      </c>
      <c r="ES11" s="280">
        <f>Expenses!AB126/1000000</f>
        <v>2.8500000000000001E-2</v>
      </c>
      <c r="ET11" s="280">
        <f>Expenses!AC126/1000000</f>
        <v>2.8500000000000001E-2</v>
      </c>
      <c r="EU11" s="280">
        <f>Expenses!AD126/1000000</f>
        <v>0.34506409250000003</v>
      </c>
      <c r="EV11" s="280">
        <f>Expenses!AE126/1000000</f>
        <v>0.34506409250000003</v>
      </c>
      <c r="EW11" s="280">
        <f>Expenses!AF126/1000000</f>
        <v>0.34506409250000003</v>
      </c>
      <c r="EX11" s="280">
        <f>Expenses!AG126/1000000</f>
        <v>0.34506409250000003</v>
      </c>
      <c r="FI11" s="396"/>
      <c r="FJ11" s="396"/>
      <c r="FL11" s="343" t="s">
        <v>654</v>
      </c>
      <c r="FM11" s="344">
        <f>SUM(Products!D99+Products!D105)/1000000</f>
        <v>6.1574505699999991</v>
      </c>
      <c r="FN11" s="344">
        <f>SUM(Products!E99+Products!E105)/1000000</f>
        <v>9.2818669909150007</v>
      </c>
      <c r="FO11" s="344">
        <f t="shared" ref="FO11" si="11">SUM(FO7:FO10)</f>
        <v>3.2858403365469995</v>
      </c>
      <c r="FP11" s="344">
        <f t="shared" ref="FP11" si="12">SUM(FP7:FP10)</f>
        <v>4.7149480623129989</v>
      </c>
      <c r="FQ11" s="344">
        <f t="shared" ref="FQ11" si="13">SUM(FQ7:FQ10)</f>
        <v>4.7731664583333338</v>
      </c>
      <c r="FR11" s="344">
        <f t="shared" ref="FR11" si="14">SUM(FR7:FR10)</f>
        <v>6.2972814583333356</v>
      </c>
      <c r="FS11" s="344">
        <f t="shared" ref="FS11" si="15">SUM(FS7:FS10)</f>
        <v>4.3096015353283157</v>
      </c>
      <c r="FT11" s="344">
        <f t="shared" ref="FT11" si="16">SUM(FT7:FT10)</f>
        <v>5.7339500991411683</v>
      </c>
      <c r="FU11" s="344">
        <f t="shared" ref="FU11" si="17">SUM(FU7:FU10)</f>
        <v>5.6530014249158667</v>
      </c>
      <c r="FV11" s="344">
        <f t="shared" ref="FV11" si="18">SUM(FV7:FV10)</f>
        <v>8.655036952814946</v>
      </c>
      <c r="FX11" s="343" t="s">
        <v>654</v>
      </c>
      <c r="FY11" s="344">
        <f>SUM(Products!D173,Products!D179)/1000000</f>
        <v>6.0305972599999995</v>
      </c>
      <c r="FZ11" s="344">
        <f>SUM(Products!E173,Products!E179)/1000000</f>
        <v>9.1806622200000003</v>
      </c>
      <c r="GA11" s="344">
        <f t="shared" ref="GA11:GE11" si="19">SUM(GA7:GA10)</f>
        <v>2.9610455596260001</v>
      </c>
      <c r="GB11" s="344">
        <f t="shared" si="19"/>
        <v>4.1805407566530004</v>
      </c>
      <c r="GC11" s="344">
        <f t="shared" si="19"/>
        <v>6.2497572916666666</v>
      </c>
      <c r="GD11" s="344">
        <f t="shared" si="19"/>
        <v>9.2823285416666668</v>
      </c>
      <c r="GE11" s="344">
        <f t="shared" si="19"/>
        <v>5.1821592528729257</v>
      </c>
      <c r="GF11" s="344">
        <f t="shared" ref="GF11" si="20">SUM(GF7:GF10)</f>
        <v>6.8948932559521037</v>
      </c>
      <c r="GG11" s="344">
        <f t="shared" ref="GG11" si="21">SUM(GG7:GG10)</f>
        <v>6.7975550408745269</v>
      </c>
      <c r="GH11" s="344">
        <f t="shared" ref="GH11" si="22">SUM(GH7:GH10)</f>
        <v>10.407407613281849</v>
      </c>
      <c r="GJ11" s="343" t="s">
        <v>654</v>
      </c>
      <c r="GK11" s="344">
        <f>SUM(Products!D247,Products!D253)/1000000</f>
        <v>6.7218774699999999</v>
      </c>
      <c r="GL11" s="344">
        <f>SUM(Products!E247,Products!E253)/1000000</f>
        <v>9.2742786800000001</v>
      </c>
      <c r="GM11" s="344">
        <f t="shared" ref="GM11:GQ11" si="23">SUM(GM7:GM10)</f>
        <v>2.8217583500000001</v>
      </c>
      <c r="GN11" s="344">
        <f t="shared" si="23"/>
        <v>5.291621755293999</v>
      </c>
      <c r="GO11" s="344">
        <f t="shared" si="23"/>
        <v>6.2757762500000007</v>
      </c>
      <c r="GP11" s="344">
        <f t="shared" si="23"/>
        <v>7.7981774999999987</v>
      </c>
      <c r="GQ11" s="344">
        <f t="shared" si="23"/>
        <v>5.9934758699513893</v>
      </c>
      <c r="GR11" s="344">
        <f t="shared" ref="GR11" si="24">SUM(GR7:GR10)</f>
        <v>7.9743547696898318</v>
      </c>
      <c r="GS11" s="344">
        <f t="shared" ref="GS11" si="25">SUM(GS7:GS10)</f>
        <v>7.8617773256508112</v>
      </c>
      <c r="GT11" s="344">
        <f t="shared" ref="GT11" si="26">SUM(GT7:GT10)</f>
        <v>12.036786859526245</v>
      </c>
      <c r="GV11" s="343" t="s">
        <v>654</v>
      </c>
      <c r="GW11" s="344">
        <f>SUM(Products!N247,Products!N253)/1000000</f>
        <v>1.1408415000000001</v>
      </c>
      <c r="GX11" s="344">
        <f>SUM(Products!O247,Products!O253)/1000000</f>
        <v>1.4172599699999999</v>
      </c>
      <c r="GY11" s="344">
        <f t="shared" ref="GY11:HC11" si="27">SUM(GY7:GY10)</f>
        <v>9.0686442461729992</v>
      </c>
      <c r="GZ11" s="344">
        <f t="shared" si="27"/>
        <v>14.18711057426</v>
      </c>
      <c r="HA11" s="344">
        <f t="shared" si="27"/>
        <v>17.2987</v>
      </c>
      <c r="HB11" s="344">
        <f t="shared" si="27"/>
        <v>23.3777875</v>
      </c>
      <c r="HC11" s="344">
        <f t="shared" si="27"/>
        <v>15.48523665815263</v>
      </c>
      <c r="HD11" s="344">
        <f t="shared" ref="HD11" si="28">SUM(HD7:HD10)</f>
        <v>20.603198124783102</v>
      </c>
      <c r="HE11" s="344">
        <f t="shared" ref="HE11" si="29">SUM(HE7:HE10)</f>
        <v>20.312333791441205</v>
      </c>
      <c r="HF11" s="344">
        <f t="shared" ref="HF11" si="30">SUM(HF7:HF10)</f>
        <v>31.099231425623042</v>
      </c>
      <c r="HH11" s="388" t="s">
        <v>608</v>
      </c>
      <c r="HI11" s="390">
        <f>Geo!D46/1000000</f>
        <v>5.6141302335810943</v>
      </c>
      <c r="HJ11" s="390">
        <f>Geo!E46/1000000</f>
        <v>8.3804609876967362</v>
      </c>
      <c r="HK11" s="390">
        <f>Geo!Z46/1000000</f>
        <v>2.6395129735314091</v>
      </c>
      <c r="HL11" s="390">
        <f>Geo!AA46/1000000</f>
        <v>3.6477296553288392</v>
      </c>
      <c r="HM11" s="390">
        <f>Geo!AB46/1000000</f>
        <v>5.7381253338930547</v>
      </c>
      <c r="HN11" s="390">
        <f>Geo!AC46/1000000</f>
        <v>8.4302983231501489</v>
      </c>
      <c r="HO11" s="390">
        <f>Geo!AD46/1000000</f>
        <v>4.4303148274373658</v>
      </c>
      <c r="HP11" s="390">
        <f>Geo!AE46/1000000</f>
        <v>5.8945598417315841</v>
      </c>
      <c r="HQ11" s="390">
        <f>Geo!AF46/1000000</f>
        <v>5.8113437697254211</v>
      </c>
      <c r="HR11" s="390">
        <f>Geo!AG46/1000000</f>
        <v>8.8974672553232246</v>
      </c>
    </row>
    <row r="12" spans="2:226" ht="15" customHeight="1" x14ac:dyDescent="0.25">
      <c r="M12" s="110" t="s">
        <v>1</v>
      </c>
      <c r="N12" s="136">
        <f>Forecast!Z35/1000000</f>
        <v>0.61722360999999992</v>
      </c>
      <c r="O12" s="136">
        <f>Forecast!AA35/1000000</f>
        <v>0.99532405708206262</v>
      </c>
      <c r="P12" s="136">
        <f>Forecast!AB35/1000000</f>
        <v>1.388738191615241</v>
      </c>
      <c r="Q12" s="136">
        <f>Forecast!AC35/1000000</f>
        <v>1.926765220943315</v>
      </c>
      <c r="R12" s="136">
        <f>Forecast!AD35/1000000</f>
        <v>2.1794582874072623</v>
      </c>
      <c r="S12" s="136">
        <f>Forecast!AE35/1000000</f>
        <v>2.3167395718518149</v>
      </c>
      <c r="T12" s="136">
        <f>Forecast!AF35/1000000</f>
        <v>2.4082604281481843</v>
      </c>
      <c r="U12" s="111">
        <f>Forecast!AG35/1000000</f>
        <v>2.5455417125927378</v>
      </c>
      <c r="W12" s="134"/>
      <c r="X12" s="124"/>
      <c r="Y12" s="124"/>
      <c r="Z12" s="124"/>
      <c r="AA12" s="124"/>
      <c r="AB12" s="124"/>
      <c r="AC12" s="124"/>
      <c r="AD12" s="124"/>
      <c r="AE12" s="129"/>
      <c r="AG12" s="134" t="s">
        <v>49</v>
      </c>
      <c r="AH12" s="149">
        <f>Forecast!Z99</f>
        <v>-0.14933705512909978</v>
      </c>
      <c r="AI12" s="149">
        <f>Forecast!AA99</f>
        <v>-0.14118412491867274</v>
      </c>
      <c r="AJ12" s="149">
        <f>Forecast!AB99</f>
        <v>-0.14565415038279067</v>
      </c>
      <c r="AK12" s="149">
        <f>Forecast!AC99</f>
        <v>-0.15907552931301963</v>
      </c>
      <c r="AL12" s="149">
        <f>Forecast!AD99</f>
        <v>-0.15039322188583557</v>
      </c>
      <c r="AM12" s="149">
        <f>Forecast!AE99</f>
        <v>-0.14125512328524309</v>
      </c>
      <c r="AN12" s="149">
        <f>Forecast!AF99</f>
        <v>-0.12330116440944115</v>
      </c>
      <c r="AO12" s="150">
        <f>Forecast!AG99</f>
        <v>-0.10833407744544002</v>
      </c>
      <c r="AP12" s="134"/>
      <c r="AQ12" s="139" t="s">
        <v>288</v>
      </c>
      <c r="AR12" s="155">
        <v>0.16</v>
      </c>
      <c r="AS12" s="155">
        <v>0.16</v>
      </c>
      <c r="AT12" s="155">
        <v>0.16</v>
      </c>
      <c r="AU12" s="155">
        <v>0.16</v>
      </c>
      <c r="AV12" s="155">
        <v>0.16</v>
      </c>
      <c r="AW12" s="155">
        <v>0.16</v>
      </c>
      <c r="AX12" s="155">
        <v>0.16</v>
      </c>
      <c r="AY12" s="156">
        <v>0.16</v>
      </c>
      <c r="AZ12" s="134"/>
      <c r="BK12" s="163" t="s">
        <v>5</v>
      </c>
      <c r="BL12" s="269">
        <f>Forecast!Z35/1000000</f>
        <v>0.61722360999999992</v>
      </c>
      <c r="BM12" s="269">
        <f>Forecast!AA35/1000000</f>
        <v>0.99532405708206262</v>
      </c>
      <c r="BN12" s="269">
        <f>Forecast!AB35/1000000</f>
        <v>1.388738191615241</v>
      </c>
      <c r="BO12" s="269">
        <f>Forecast!AC35/1000000</f>
        <v>1.926765220943315</v>
      </c>
      <c r="BP12" s="269">
        <f>Forecast!AD35/1000000</f>
        <v>2.1794582874072623</v>
      </c>
      <c r="BQ12" s="269">
        <f>Forecast!AE35/1000000</f>
        <v>2.3167395718518149</v>
      </c>
      <c r="BR12" s="269">
        <f>Forecast!AF35/1000000</f>
        <v>2.4082604281481843</v>
      </c>
      <c r="BS12" s="269">
        <f>Forecast!AG35/1000000</f>
        <v>2.5455417125927378</v>
      </c>
      <c r="BW12" s="163"/>
      <c r="BX12" s="163"/>
      <c r="BY12" s="163"/>
      <c r="BZ12" s="163"/>
      <c r="CA12" s="163"/>
      <c r="CB12" s="163"/>
      <c r="CC12" s="163"/>
      <c r="CD12" s="163"/>
      <c r="CE12" s="163"/>
      <c r="CG12" s="163" t="s">
        <v>42</v>
      </c>
      <c r="CH12" s="106">
        <f>Expenses!Z160</f>
        <v>38</v>
      </c>
      <c r="CI12" s="106">
        <f>Expenses!AA160</f>
        <v>45</v>
      </c>
      <c r="CJ12" s="106">
        <f>Expenses!AB160</f>
        <v>52</v>
      </c>
      <c r="CK12" s="106">
        <f>Expenses!AC160</f>
        <v>62</v>
      </c>
      <c r="CL12" s="106">
        <f>Expenses!AD160</f>
        <v>62</v>
      </c>
      <c r="CM12" s="106">
        <f>Expenses!AE160</f>
        <v>67.034905071335643</v>
      </c>
      <c r="CN12" s="106">
        <f>Expenses!AF160</f>
        <v>74.098605134787149</v>
      </c>
      <c r="CO12" s="106">
        <f>Expenses!AG160</f>
        <v>84.517426343112305</v>
      </c>
      <c r="EC12" s="317"/>
      <c r="ED12" s="317"/>
      <c r="EF12" s="110" t="s">
        <v>349</v>
      </c>
      <c r="EG12" s="280">
        <f>Expenses!Z101/1000000</f>
        <v>6.2041515899999995</v>
      </c>
      <c r="EH12" s="280">
        <f>Expenses!AA101/1000000</f>
        <v>6.853007209890114</v>
      </c>
      <c r="EI12" s="280">
        <f>Expenses!AB101/1000000</f>
        <v>8.0468236330615408</v>
      </c>
      <c r="EJ12" s="280">
        <f>Expenses!AC101/1000000</f>
        <v>9.5570479005310034</v>
      </c>
      <c r="EK12" s="280">
        <f>Expenses!AD101/1000000</f>
        <v>10.8480058408137</v>
      </c>
      <c r="EL12" s="280">
        <f>Expenses!AE101/1000000</f>
        <v>11.261938156318671</v>
      </c>
      <c r="EM12" s="280">
        <f>Expenses!AF101/1000000</f>
        <v>12.508121995855022</v>
      </c>
      <c r="EN12" s="280">
        <f>Expenses!AG101/1000000</f>
        <v>14.065761034486897</v>
      </c>
      <c r="EP12" s="99"/>
      <c r="EZ12" s="336"/>
      <c r="FA12" s="338"/>
      <c r="FB12" s="338"/>
      <c r="FC12" s="338"/>
      <c r="FD12" s="338"/>
      <c r="FE12" s="338"/>
      <c r="FF12" s="338"/>
      <c r="FG12" s="338"/>
      <c r="FH12" s="338"/>
      <c r="FI12" s="338"/>
      <c r="FJ12" s="338"/>
      <c r="FL12" s="322" t="s">
        <v>655</v>
      </c>
      <c r="FM12" s="355"/>
      <c r="FN12" s="355"/>
      <c r="FO12" s="352">
        <f t="shared" ref="FO12:FS15" si="31">FO7/FO$11</f>
        <v>0.95000000000000007</v>
      </c>
      <c r="FP12" s="352">
        <f t="shared" si="31"/>
        <v>0.95</v>
      </c>
      <c r="FQ12" s="352">
        <f t="shared" si="31"/>
        <v>0.95</v>
      </c>
      <c r="FR12" s="352">
        <f t="shared" si="31"/>
        <v>0.95</v>
      </c>
      <c r="FS12" s="352">
        <f t="shared" si="31"/>
        <v>0.91500000000000004</v>
      </c>
      <c r="FT12" s="352">
        <f t="shared" ref="FT12:FV12" si="32">FT7/FT$11</f>
        <v>0.91500000000000004</v>
      </c>
      <c r="FU12" s="352">
        <f t="shared" si="32"/>
        <v>0.91499999999999992</v>
      </c>
      <c r="FV12" s="352">
        <f t="shared" si="32"/>
        <v>0.91500000000000004</v>
      </c>
      <c r="FX12" s="322" t="s">
        <v>655</v>
      </c>
      <c r="FY12" s="355"/>
      <c r="FZ12" s="355"/>
      <c r="GA12" s="352">
        <f t="shared" ref="GA12:GE15" si="33">GA7/GA$11</f>
        <v>0.87328862344486369</v>
      </c>
      <c r="GB12" s="352">
        <f t="shared" si="33"/>
        <v>0.87328862344486369</v>
      </c>
      <c r="GC12" s="352">
        <f t="shared" si="33"/>
        <v>0.87328862344486369</v>
      </c>
      <c r="GD12" s="352">
        <f t="shared" si="33"/>
        <v>0.87328862344486369</v>
      </c>
      <c r="GE12" s="352">
        <f t="shared" si="33"/>
        <v>0.81291937919900015</v>
      </c>
      <c r="GF12" s="352">
        <f t="shared" ref="GF12:GH12" si="34">GF7/GF$11</f>
        <v>0.81291937919900004</v>
      </c>
      <c r="GG12" s="352">
        <f t="shared" si="34"/>
        <v>0.81291937919899993</v>
      </c>
      <c r="GH12" s="352">
        <f t="shared" si="34"/>
        <v>0.81291937919900004</v>
      </c>
      <c r="GJ12" s="322" t="s">
        <v>655</v>
      </c>
      <c r="GK12" s="355"/>
      <c r="GL12" s="355"/>
      <c r="GM12" s="352">
        <f t="shared" ref="GM12:GQ15" si="35">GM7/GM$11</f>
        <v>0.87028862344486357</v>
      </c>
      <c r="GN12" s="352">
        <f t="shared" si="35"/>
        <v>0.8702886234448638</v>
      </c>
      <c r="GO12" s="352">
        <f t="shared" si="35"/>
        <v>0.87028862344486357</v>
      </c>
      <c r="GP12" s="352">
        <f t="shared" si="35"/>
        <v>0.87028862344486368</v>
      </c>
      <c r="GQ12" s="352">
        <f t="shared" si="35"/>
        <v>0.81291937919899993</v>
      </c>
      <c r="GR12" s="352">
        <f t="shared" ref="GR12:GT12" si="36">GR7/GR$11</f>
        <v>0.81291937919900004</v>
      </c>
      <c r="GS12" s="352">
        <f t="shared" si="36"/>
        <v>0.81291937919900004</v>
      </c>
      <c r="GT12" s="352">
        <f t="shared" si="36"/>
        <v>0.81291937919900015</v>
      </c>
      <c r="GV12" s="322" t="s">
        <v>655</v>
      </c>
      <c r="GW12" s="355"/>
      <c r="GX12" s="355"/>
      <c r="GY12" s="352">
        <f t="shared" ref="GY12:HC15" si="37">GY7/GY$11</f>
        <v>0.90014997710417299</v>
      </c>
      <c r="GZ12" s="352">
        <f t="shared" si="37"/>
        <v>0.89766393857122495</v>
      </c>
      <c r="HA12" s="352">
        <f t="shared" si="37"/>
        <v>0.89336694382706328</v>
      </c>
      <c r="HB12" s="352">
        <f t="shared" si="37"/>
        <v>0.89295167311215518</v>
      </c>
      <c r="HC12" s="352">
        <f t="shared" si="37"/>
        <v>0.84132881263827819</v>
      </c>
      <c r="HD12" s="352">
        <f t="shared" ref="HD12:HF12" si="38">HD7/HD$11</f>
        <v>0.84132881263827819</v>
      </c>
      <c r="HE12" s="352">
        <f t="shared" si="38"/>
        <v>0.84132881263827819</v>
      </c>
      <c r="HF12" s="352">
        <f t="shared" si="38"/>
        <v>0.84132881263827808</v>
      </c>
      <c r="HH12" s="388" t="s">
        <v>313</v>
      </c>
      <c r="HI12" s="391">
        <f>Geo!D47/1000000</f>
        <v>6.3013715085175628</v>
      </c>
      <c r="HJ12" s="391">
        <f>Geo!E47/1000000</f>
        <v>8.456036024566135</v>
      </c>
      <c r="HK12" s="391">
        <f>Geo!Z47/1000000</f>
        <v>2.5368129286767118</v>
      </c>
      <c r="HL12" s="391">
        <f>Geo!AA47/1000000</f>
        <v>4.6798900079985284</v>
      </c>
      <c r="HM12" s="391">
        <f>Geo!AB47/1000000</f>
        <v>5.7620142686158617</v>
      </c>
      <c r="HN12" s="391">
        <f>Geo!AC47/1000000</f>
        <v>7.0823783500851238</v>
      </c>
      <c r="HO12" s="391">
        <f>Geo!AD47/1000000</f>
        <v>5.1239230056106537</v>
      </c>
      <c r="HP12" s="391">
        <f>Geo!AE47/1000000</f>
        <v>6.8174095876765701</v>
      </c>
      <c r="HQ12" s="391">
        <f>Geo!AF47/1000000</f>
        <v>6.7211652433360189</v>
      </c>
      <c r="HR12" s="391">
        <f>Geo!AG47/1000000</f>
        <v>10.290450890504506</v>
      </c>
    </row>
    <row r="13" spans="2:226" ht="15" customHeight="1" x14ac:dyDescent="0.25">
      <c r="N13" s="137"/>
      <c r="O13" s="137"/>
      <c r="P13" s="137"/>
      <c r="Q13" s="137"/>
      <c r="R13" s="137"/>
      <c r="S13" s="137"/>
      <c r="T13" s="137"/>
      <c r="U13" s="112"/>
      <c r="W13" s="134" t="s">
        <v>273</v>
      </c>
      <c r="X13" s="125">
        <f>Forecast!Z14/1000000-Forecast!Z9/1000000</f>
        <v>7.3313485380219987</v>
      </c>
      <c r="Y13" s="125">
        <f>Forecast!AA14/1000000-Forecast!AA9/1000000</f>
        <v>12.759574919898</v>
      </c>
      <c r="Z13" s="125">
        <f>Forecast!AB14/1000000-Forecast!AB9/1000000</f>
        <v>15.798700000000011</v>
      </c>
      <c r="AA13" s="125">
        <f>Forecast!AC14/1000000-Forecast!AC9/1000000</f>
        <v>21.377787499999997</v>
      </c>
      <c r="AB13" s="125">
        <f>Forecast!AD14/1000000-Forecast!AD9/1000000</f>
        <v>13.192595389951464</v>
      </c>
      <c r="AC13" s="125">
        <f>Forecast!AE14/1000000-Forecast!AE9/1000000</f>
        <v>18.020842117771963</v>
      </c>
      <c r="AD13" s="125">
        <f>Forecast!AF14/1000000-Forecast!AF9/1000000</f>
        <v>17.945538539947592</v>
      </c>
      <c r="AE13" s="130">
        <f>Forecast!AG14/1000000-Forecast!AG9/1000000</f>
        <v>27.198654735137779</v>
      </c>
      <c r="AG13" s="134"/>
      <c r="AH13" s="134"/>
      <c r="AI13" s="134"/>
      <c r="AJ13" s="134"/>
      <c r="AK13" s="134"/>
      <c r="AL13" s="134"/>
      <c r="AM13" s="134"/>
      <c r="AN13" s="134"/>
      <c r="AO13" s="134"/>
      <c r="AP13" s="153"/>
      <c r="AZ13" s="153"/>
      <c r="BK13" s="161"/>
      <c r="BL13" s="270"/>
      <c r="BM13" s="270"/>
      <c r="BN13" s="270"/>
      <c r="BO13" s="270"/>
      <c r="BP13" s="270"/>
      <c r="BQ13" s="271"/>
      <c r="BR13" s="271"/>
      <c r="BS13" s="271"/>
      <c r="BV13" s="104" t="s">
        <v>576</v>
      </c>
      <c r="BW13" s="106">
        <f>Expenses!Z70</f>
        <v>164.66666666666666</v>
      </c>
      <c r="BX13" s="106">
        <f>Expenses!AA70</f>
        <v>205</v>
      </c>
      <c r="BY13" s="106">
        <f>Expenses!AB70</f>
        <v>250</v>
      </c>
      <c r="BZ13" s="106">
        <f>Expenses!AC70</f>
        <v>278</v>
      </c>
      <c r="CA13" s="106">
        <f>Expenses!AD70</f>
        <v>292.38161330717389</v>
      </c>
      <c r="CB13" s="106">
        <f>Expenses!AE70</f>
        <v>303.45403326793468</v>
      </c>
      <c r="CC13" s="106">
        <f>Expenses!AF70</f>
        <v>310.83564657510857</v>
      </c>
      <c r="CD13" s="106">
        <f>Expenses!AG70</f>
        <v>321.90806653586935</v>
      </c>
      <c r="CE13" s="163"/>
      <c r="CG13" s="163" t="s">
        <v>14</v>
      </c>
      <c r="CH13" s="106">
        <f>Expenses!Z161</f>
        <v>35</v>
      </c>
      <c r="CI13" s="106">
        <f>Expenses!AA161</f>
        <v>49</v>
      </c>
      <c r="CJ13" s="106">
        <f>Expenses!AB161</f>
        <v>62</v>
      </c>
      <c r="CK13" s="106">
        <f>Expenses!AC161</f>
        <v>73</v>
      </c>
      <c r="CL13" s="106">
        <f>Expenses!AD161</f>
        <v>73</v>
      </c>
      <c r="CM13" s="106">
        <f>Expenses!AE161</f>
        <v>73</v>
      </c>
      <c r="CN13" s="106">
        <f>Expenses!AF161</f>
        <v>75.429784786212224</v>
      </c>
      <c r="CO13" s="106">
        <f>Expenses!AG161</f>
        <v>86.035779865882589</v>
      </c>
      <c r="CR13" s="104" t="s">
        <v>624</v>
      </c>
      <c r="CS13" s="317">
        <f>ARR!Z8/SUM(ARR!Z8:Z9)</f>
        <v>0.75431576489186702</v>
      </c>
      <c r="CT13" s="317">
        <f>ARR!AA8/SUM(ARR!AA8:AA9)</f>
        <v>0.76285502618379131</v>
      </c>
      <c r="CU13" s="317">
        <f>ARR!AB8/SUM(ARR!AB8:AB9)</f>
        <v>0.9595080117806144</v>
      </c>
      <c r="CV13" s="317">
        <f>ARR!AC8/SUM(ARR!AC8:AC9)</f>
        <v>0.96138055737080463</v>
      </c>
      <c r="CW13" s="317">
        <f>ARR!AD8/SUM(ARR!AD8:AD9)</f>
        <v>0.77</v>
      </c>
      <c r="CX13" s="317">
        <f>ARR!AE8/SUM(ARR!AE8:AE9)</f>
        <v>0.77</v>
      </c>
      <c r="CY13" s="317">
        <f>ARR!AF8/SUM(ARR!AF8:AF9)</f>
        <v>0.77</v>
      </c>
      <c r="CZ13" s="317">
        <f>ARR!AG8/SUM(ARR!AG8:AG9)</f>
        <v>0.77</v>
      </c>
      <c r="DB13" s="104" t="s">
        <v>624</v>
      </c>
      <c r="DC13" s="317">
        <f>ARR!Z19/SUM(ARR!Z19:Z20)</f>
        <v>0.4180880151453546</v>
      </c>
      <c r="DD13" s="317">
        <f>ARR!AA19/SUM(ARR!AA19:AA20)</f>
        <v>0.4593499454949565</v>
      </c>
      <c r="DE13" s="317">
        <f>ARR!AB19/SUM(ARR!AB19:AB20)</f>
        <v>0.46364850235017457</v>
      </c>
      <c r="DF13" s="317">
        <f>ARR!AC19/SUM(ARR!AC19:AC20)</f>
        <v>0.462476380870398</v>
      </c>
      <c r="DG13" s="317">
        <f>ARR!AD19/SUM(ARR!AD19:AD20)</f>
        <v>0.42642616156453844</v>
      </c>
      <c r="DH13" s="317">
        <f>ARR!AE19/SUM(ARR!AE19:AE20)</f>
        <v>0.42642616156453839</v>
      </c>
      <c r="DI13" s="317">
        <f>ARR!AF19/SUM(ARR!AF19:AF20)</f>
        <v>0.42642616156453839</v>
      </c>
      <c r="DJ13" s="317">
        <f>ARR!AG19/SUM(ARR!AG19:AG20)</f>
        <v>0.42642616156453839</v>
      </c>
      <c r="DL13" s="104" t="s">
        <v>624</v>
      </c>
      <c r="DM13" s="317">
        <f>ARR!Z30/SUM(ARR!Z30:Z31)</f>
        <v>0.47631041828936205</v>
      </c>
      <c r="DN13" s="317">
        <f>ARR!AA30/SUM(ARR!AA30:AA31)</f>
        <v>0.23910961299041331</v>
      </c>
      <c r="DO13" s="317">
        <f>ARR!AB30/SUM(ARR!AB30:AB31)</f>
        <v>0.22123322991319197</v>
      </c>
      <c r="DP13" s="317">
        <f>ARR!AC30/SUM(ARR!AC30:AC31)</f>
        <v>0.22955541000872745</v>
      </c>
      <c r="DQ13" s="317">
        <f>ARR!AD30/SUM(ARR!AD30:AD31)</f>
        <v>0.2</v>
      </c>
      <c r="DR13" s="317">
        <f>ARR!AE30/SUM(ARR!AE30:AE31)</f>
        <v>0.2</v>
      </c>
      <c r="DS13" s="317">
        <f>ARR!AF30/SUM(ARR!AF30:AF31)</f>
        <v>0.2</v>
      </c>
      <c r="DT13" s="317">
        <f>ARR!AG30/SUM(ARR!AG30:AG31)</f>
        <v>0.2</v>
      </c>
      <c r="DV13" s="104" t="s">
        <v>624</v>
      </c>
      <c r="DW13" s="317">
        <f>ARR!Z41/SUM(ARR!Z41:Z42)</f>
        <v>0.55802957864286928</v>
      </c>
      <c r="DX13" s="317">
        <f>ARR!AA41/SUM(ARR!AA41:AA42)</f>
        <v>0.47806990653505721</v>
      </c>
      <c r="DY13" s="317">
        <f>ARR!AB41/SUM(ARR!AB41:AB42)</f>
        <v>0.51252361834511651</v>
      </c>
      <c r="DZ13" s="317">
        <f>ARR!AC41/SUM(ARR!AC41:AC42)</f>
        <v>0.51917040916154555</v>
      </c>
      <c r="EA13" s="317">
        <f>ARR!AD41/SUM(ARR!AD41:AD42)</f>
        <v>0.43440709260780191</v>
      </c>
      <c r="EB13" s="317">
        <f>ARR!AE41/SUM(ARR!AE41:AE42)</f>
        <v>0.43440709260780197</v>
      </c>
      <c r="EC13" s="317">
        <f>ARR!AF41/SUM(ARR!AF41:AF42)</f>
        <v>0.43440709260780197</v>
      </c>
      <c r="ED13" s="317">
        <f>ARR!AG41/SUM(ARR!AG41:AG42)</f>
        <v>0.43440709260780197</v>
      </c>
      <c r="EF13" s="110" t="s">
        <v>2</v>
      </c>
      <c r="EG13" s="320">
        <f>Expenses!Z102/1000000</f>
        <v>0.208791</v>
      </c>
      <c r="EH13" s="320">
        <f>Expenses!AA102/1000000</f>
        <v>0.33992694909090909</v>
      </c>
      <c r="EI13" s="320">
        <f>Expenses!AB102/1000000</f>
        <v>0.40826100658008668</v>
      </c>
      <c r="EJ13" s="320">
        <f>Expenses!AC102/1000000</f>
        <v>0.42727364199134205</v>
      </c>
      <c r="EK13" s="320">
        <f>Expenses!AD102/1000000</f>
        <v>0.48975458754249018</v>
      </c>
      <c r="EL13" s="320">
        <f>Expenses!AE102/1000000</f>
        <v>0.50844237711648965</v>
      </c>
      <c r="EM13" s="320">
        <f>Expenses!AF102/1000000</f>
        <v>0.56470380076340609</v>
      </c>
      <c r="EN13" s="320">
        <f>Expenses!AG102/1000000</f>
        <v>0.63502648274750928</v>
      </c>
      <c r="EP13" s="108" t="s">
        <v>481</v>
      </c>
      <c r="EZ13" s="110" t="s">
        <v>296</v>
      </c>
      <c r="FA13" s="280">
        <f>(Products!D174+Products!D180+Products!D248+Products!D254+Products!D100+Products!D106)/1000000</f>
        <v>18.149152552099999</v>
      </c>
      <c r="FB13" s="280">
        <f>(Products!E174+Products!E180+Products!E248+Products!E254+Products!E100+Products!E106)/1000000</f>
        <v>26.628423506096702</v>
      </c>
      <c r="FC13" s="280">
        <f>(Products!Z174+Products!Z180+Products!Z248+Products!Z254+Products!Z100+Products!Z106)/1000000</f>
        <v>8.163139910558515</v>
      </c>
      <c r="FD13" s="280">
        <f>(Products!AA174+Products!AA180+Products!AA248+Products!AA254+Products!AA100+Products!AA106)/1000000</f>
        <v>12.735257555035707</v>
      </c>
      <c r="FE13" s="280">
        <f>(Products!AB174+Products!AB180+Products!AB248+Products!AB254+Products!AB100+Products!AB106)/1000000</f>
        <v>15.454086751181219</v>
      </c>
      <c r="FF13" s="280">
        <f>(Products!AC174+Products!AC180+Products!AC248+Products!AC254+Products!AC100+Products!AC106)/1000000</f>
        <v>20.875234461785428</v>
      </c>
      <c r="FG13" s="280">
        <f>(Products!AD174+Products!AD180+Products!AD248+Products!AD254+Products!AD100+Products!AD106)/1000000</f>
        <v>13.028175771026291</v>
      </c>
      <c r="FH13" s="280">
        <f>(Products!AE174+Products!AE180+Products!AE248+Products!AE254+Products!AE100+Products!AE106)/1000000</f>
        <v>17.334064214874967</v>
      </c>
      <c r="FI13" s="397">
        <f>(Products!AF174+Products!AF180+Products!AF248+Products!AF254+Products!AF100+Products!AF106)/1000000</f>
        <v>17.089351670665604</v>
      </c>
      <c r="FJ13" s="397">
        <f>(Products!AG174+Products!AG180+Products!AG248+Products!AG254+Products!AG100+Products!AG106)/1000000</f>
        <v>26.164679449282463</v>
      </c>
      <c r="FL13" s="322" t="s">
        <v>656</v>
      </c>
      <c r="FM13" s="355"/>
      <c r="FN13" s="355"/>
      <c r="FO13" s="352">
        <f t="shared" si="31"/>
        <v>3.0000000000000002E-2</v>
      </c>
      <c r="FP13" s="352">
        <f t="shared" si="31"/>
        <v>3.0000000000000002E-2</v>
      </c>
      <c r="FQ13" s="352">
        <f t="shared" si="31"/>
        <v>3.0000000000000002E-2</v>
      </c>
      <c r="FR13" s="352">
        <f t="shared" si="31"/>
        <v>2.9999999999999992E-2</v>
      </c>
      <c r="FS13" s="352">
        <f t="shared" si="31"/>
        <v>4.4999999999999984E-2</v>
      </c>
      <c r="FT13" s="352">
        <f t="shared" ref="FT13:FV13" si="39">FT8/FT$11</f>
        <v>4.4999999999999998E-2</v>
      </c>
      <c r="FU13" s="352">
        <f t="shared" si="39"/>
        <v>4.4999999999999998E-2</v>
      </c>
      <c r="FV13" s="352">
        <f t="shared" si="39"/>
        <v>4.5000000000000005E-2</v>
      </c>
      <c r="FX13" s="322" t="s">
        <v>656</v>
      </c>
      <c r="FY13" s="355"/>
      <c r="FZ13" s="355"/>
      <c r="GA13" s="352">
        <f t="shared" si="33"/>
        <v>2.9999999999999995E-2</v>
      </c>
      <c r="GB13" s="352">
        <f t="shared" si="33"/>
        <v>3.0000000000000002E-2</v>
      </c>
      <c r="GC13" s="352">
        <f t="shared" si="33"/>
        <v>3.0000000000000002E-2</v>
      </c>
      <c r="GD13" s="352">
        <f t="shared" si="33"/>
        <v>0.03</v>
      </c>
      <c r="GE13" s="352">
        <f t="shared" si="33"/>
        <v>4.4999999999999998E-2</v>
      </c>
      <c r="GF13" s="352">
        <f t="shared" ref="GF13:GH13" si="40">GF8/GF$11</f>
        <v>4.5000000000000005E-2</v>
      </c>
      <c r="GG13" s="352">
        <f t="shared" si="40"/>
        <v>4.5000000000000005E-2</v>
      </c>
      <c r="GH13" s="352">
        <f t="shared" si="40"/>
        <v>4.5000000000000019E-2</v>
      </c>
      <c r="GJ13" s="322" t="s">
        <v>656</v>
      </c>
      <c r="GK13" s="355"/>
      <c r="GL13" s="355"/>
      <c r="GM13" s="352">
        <f t="shared" si="35"/>
        <v>0.03</v>
      </c>
      <c r="GN13" s="352">
        <f t="shared" si="35"/>
        <v>3.0000000000000002E-2</v>
      </c>
      <c r="GO13" s="352">
        <f t="shared" si="35"/>
        <v>2.9999999999999992E-2</v>
      </c>
      <c r="GP13" s="352">
        <f t="shared" si="35"/>
        <v>0.03</v>
      </c>
      <c r="GQ13" s="352">
        <f t="shared" si="35"/>
        <v>4.5000000000000005E-2</v>
      </c>
      <c r="GR13" s="352">
        <f t="shared" ref="GR13:GT13" si="41">GR8/GR$11</f>
        <v>4.5000000000000005E-2</v>
      </c>
      <c r="GS13" s="352">
        <f t="shared" si="41"/>
        <v>4.4999999999999998E-2</v>
      </c>
      <c r="GT13" s="352">
        <f t="shared" si="41"/>
        <v>4.4999999999999998E-2</v>
      </c>
      <c r="GV13" s="322" t="s">
        <v>656</v>
      </c>
      <c r="GW13" s="355"/>
      <c r="GX13" s="355"/>
      <c r="GY13" s="352">
        <f t="shared" si="37"/>
        <v>3.0000000000000002E-2</v>
      </c>
      <c r="GZ13" s="352">
        <f t="shared" si="37"/>
        <v>0.03</v>
      </c>
      <c r="HA13" s="352">
        <f t="shared" si="37"/>
        <v>0.03</v>
      </c>
      <c r="HB13" s="352">
        <f t="shared" si="37"/>
        <v>0.03</v>
      </c>
      <c r="HC13" s="352">
        <f t="shared" si="37"/>
        <v>4.4999999999999998E-2</v>
      </c>
      <c r="HD13" s="352">
        <f t="shared" ref="HD13:HF13" si="42">HD8/HD$11</f>
        <v>4.5000000000000005E-2</v>
      </c>
      <c r="HE13" s="352">
        <f t="shared" si="42"/>
        <v>4.4999999999999998E-2</v>
      </c>
      <c r="HF13" s="352">
        <f t="shared" si="42"/>
        <v>4.4999999999999998E-2</v>
      </c>
      <c r="HH13" s="392" t="s">
        <v>705</v>
      </c>
      <c r="HI13" s="393">
        <f>SUM(HI10:HI12)</f>
        <v>17.690805445918045</v>
      </c>
      <c r="HJ13" s="393">
        <f t="shared" ref="HJ13:HR13" si="43">SUM(HJ10:HJ12)</f>
        <v>25.257922055886969</v>
      </c>
      <c r="HK13" s="393">
        <f t="shared" si="43"/>
        <v>8.1220080131897419</v>
      </c>
      <c r="HL13" s="393">
        <f t="shared" si="43"/>
        <v>12.458169103028665</v>
      </c>
      <c r="HM13" s="393">
        <f t="shared" si="43"/>
        <v>15.882554166666665</v>
      </c>
      <c r="HN13" s="393">
        <f t="shared" si="43"/>
        <v>21.231927083333336</v>
      </c>
      <c r="HO13" s="393">
        <f t="shared" si="43"/>
        <v>13.238588438778052</v>
      </c>
      <c r="HP13" s="393">
        <f t="shared" si="43"/>
        <v>17.61401950244052</v>
      </c>
      <c r="HQ13" s="393">
        <f t="shared" si="43"/>
        <v>17.365354707343201</v>
      </c>
      <c r="HR13" s="393">
        <f t="shared" si="43"/>
        <v>26.587254343922496</v>
      </c>
    </row>
    <row r="14" spans="2:226" ht="15" customHeight="1" x14ac:dyDescent="0.25">
      <c r="M14" s="108" t="s">
        <v>263</v>
      </c>
      <c r="N14" s="135">
        <f>Forecast!Z37/1000000</f>
        <v>14.125876501112</v>
      </c>
      <c r="O14" s="135">
        <f>Forecast!AA37/1000000</f>
        <v>15.531628635938908</v>
      </c>
      <c r="P14" s="135">
        <f>Forecast!AB37/1000000</f>
        <v>17.556162684739377</v>
      </c>
      <c r="Q14" s="135">
        <f>Forecast!AC37/1000000</f>
        <v>20.390209267099568</v>
      </c>
      <c r="R14" s="135">
        <f>Forecast!AD37/1000000</f>
        <v>25.708047312408244</v>
      </c>
      <c r="S14" s="135">
        <f>Forecast!AE37/1000000</f>
        <v>29.2508172168329</v>
      </c>
      <c r="T14" s="135">
        <f>Forecast!AF37/1000000</f>
        <v>32.298777415340766</v>
      </c>
      <c r="U14" s="109">
        <f>Forecast!AG37/1000000</f>
        <v>37.907072913110831</v>
      </c>
      <c r="W14" s="134" t="s">
        <v>274</v>
      </c>
      <c r="X14" s="125">
        <f>Forecast!Z43/1000000</f>
        <v>13.9193967</v>
      </c>
      <c r="Y14" s="125">
        <f>Forecast!AA43/1000000</f>
        <v>18.593695905886413</v>
      </c>
      <c r="Z14" s="125">
        <f>Forecast!AB43/1000000</f>
        <v>21.940119888907983</v>
      </c>
      <c r="AA14" s="125">
        <f>Forecast!AC43/1000000</f>
        <v>23.678515684461086</v>
      </c>
      <c r="AB14" s="125">
        <f>Forecast!AD43/1000000</f>
        <v>25.209041573190092</v>
      </c>
      <c r="AC14" s="125">
        <f>Forecast!AE43/1000000</f>
        <v>25.85930558628996</v>
      </c>
      <c r="AD14" s="125">
        <f>Forecast!AF43/1000000</f>
        <v>27.84926870999918</v>
      </c>
      <c r="AE14" s="130">
        <f>Forecast!AG43/1000000</f>
        <v>28.582302425372042</v>
      </c>
      <c r="AG14" s="134"/>
      <c r="AH14" s="134"/>
      <c r="AI14" s="134"/>
      <c r="AJ14" s="134"/>
      <c r="AK14" s="134"/>
      <c r="AL14" s="134"/>
      <c r="AM14" s="134"/>
      <c r="AN14" s="134"/>
      <c r="AO14" s="134"/>
      <c r="AQ14" s="134" t="s">
        <v>14</v>
      </c>
      <c r="AR14" s="125">
        <f>Forecast!Z45/1000000</f>
        <v>6.0348334900000005</v>
      </c>
      <c r="AS14" s="125">
        <f>Forecast!AA45/1000000</f>
        <v>7.784350445780186</v>
      </c>
      <c r="AT14" s="125">
        <f>Forecast!AB45/1000000</f>
        <v>8.4473045198474566</v>
      </c>
      <c r="AU14" s="125">
        <f>Forecast!AC45/1000000</f>
        <v>9.8865870575417816</v>
      </c>
      <c r="AV14" s="125">
        <f>Forecast!AD45/1000000</f>
        <v>11.838806957696271</v>
      </c>
      <c r="AW14" s="125">
        <f>Forecast!AE45/1000000</f>
        <v>11.929071630307703</v>
      </c>
      <c r="AX14" s="125">
        <f>Forecast!AF45/1000000</f>
        <v>12.139424346230891</v>
      </c>
      <c r="AY14" s="130">
        <f>Forecast!AG45/1000000</f>
        <v>13.192439445593026</v>
      </c>
      <c r="BK14" s="162" t="s">
        <v>6</v>
      </c>
      <c r="BL14" s="267">
        <f>Forecast!Z37/1000000</f>
        <v>14.125876501112</v>
      </c>
      <c r="BM14" s="267">
        <f>Forecast!AA37/1000000</f>
        <v>15.531628635938908</v>
      </c>
      <c r="BN14" s="267">
        <f>Forecast!AB37/1000000</f>
        <v>17.556162684739377</v>
      </c>
      <c r="BO14" s="267">
        <f>Forecast!AC37/1000000</f>
        <v>20.390209267099568</v>
      </c>
      <c r="BP14" s="267">
        <f>Forecast!AD37/1000000</f>
        <v>25.708047312408244</v>
      </c>
      <c r="BQ14" s="268">
        <f>Forecast!AE37/1000000</f>
        <v>29.2508172168329</v>
      </c>
      <c r="BR14" s="268">
        <f>Forecast!AF37/1000000</f>
        <v>32.298777415340766</v>
      </c>
      <c r="BS14" s="268">
        <f>Forecast!AG37/1000000</f>
        <v>37.907072913110831</v>
      </c>
      <c r="BV14" s="282" t="s">
        <v>578</v>
      </c>
      <c r="BW14" s="283">
        <f t="shared" ref="BW14:CD14" si="44">BW$8/BW13</f>
        <v>5.5072738337082996E-2</v>
      </c>
      <c r="BX14" s="283">
        <f t="shared" si="44"/>
        <v>6.920541743541464E-2</v>
      </c>
      <c r="BY14" s="283">
        <f t="shared" si="44"/>
        <v>6.9194800000000001E-2</v>
      </c>
      <c r="BZ14" s="283">
        <f t="shared" si="44"/>
        <v>8.4092760791366905E-2</v>
      </c>
      <c r="CA14" s="283">
        <f t="shared" si="44"/>
        <v>5.2962416080124565E-2</v>
      </c>
      <c r="CB14" s="283">
        <f t="shared" si="44"/>
        <v>6.7895614709432839E-2</v>
      </c>
      <c r="CC14" s="283">
        <f t="shared" si="44"/>
        <v>6.5347504429589434E-2</v>
      </c>
      <c r="CD14" s="283">
        <f t="shared" si="44"/>
        <v>9.6609046676864624E-2</v>
      </c>
      <c r="CE14" s="163"/>
      <c r="CG14" s="163" t="s">
        <v>481</v>
      </c>
      <c r="CH14" s="160">
        <f>Expenses!Z162</f>
        <v>32</v>
      </c>
      <c r="CI14" s="160">
        <f>Expenses!AA162</f>
        <v>42</v>
      </c>
      <c r="CJ14" s="160">
        <f>Expenses!AB162</f>
        <v>45</v>
      </c>
      <c r="CK14" s="160">
        <f>Expenses!AC162</f>
        <v>49</v>
      </c>
      <c r="CL14" s="160">
        <f>Expenses!AD162</f>
        <v>49</v>
      </c>
      <c r="CM14" s="160">
        <f>Expenses!AE162</f>
        <v>49</v>
      </c>
      <c r="CN14" s="160">
        <f>Expenses!AF162</f>
        <v>49.029703730713301</v>
      </c>
      <c r="CO14" s="160">
        <f>Expenses!AG162</f>
        <v>53.626605236214751</v>
      </c>
      <c r="CR14" s="104" t="s">
        <v>616</v>
      </c>
      <c r="CS14" s="317">
        <f>ARR!Z14</f>
        <v>0.83929083203142496</v>
      </c>
      <c r="CT14" s="317">
        <f>ARR!AA14</f>
        <v>0.85409565363193463</v>
      </c>
      <c r="CU14" s="317">
        <f>ARR!AB14</f>
        <v>0.86159214316909583</v>
      </c>
      <c r="CV14" s="317">
        <f>ARR!AC14</f>
        <v>0.87205372828294847</v>
      </c>
      <c r="CW14" s="317">
        <f>ARR!AD14</f>
        <v>0.87356631357848746</v>
      </c>
      <c r="CX14" s="317">
        <f>ARR!AE14</f>
        <v>0.87288569925254611</v>
      </c>
      <c r="CY14" s="317">
        <f>ARR!AF14</f>
        <v>0.87655007557772813</v>
      </c>
      <c r="CZ14" s="317">
        <f>ARR!AG14</f>
        <v>0.87205372828294847</v>
      </c>
      <c r="DB14" s="104" t="s">
        <v>616</v>
      </c>
      <c r="DC14" s="317">
        <f>ARR!Z25</f>
        <v>0.91929531795315278</v>
      </c>
      <c r="DD14" s="317">
        <f>ARR!AA25</f>
        <v>0.91580579325781675</v>
      </c>
      <c r="DE14" s="317">
        <f>ARR!AB25</f>
        <v>0.92517553969912525</v>
      </c>
      <c r="DF14" s="317">
        <f>ARR!AC25</f>
        <v>0.92310209762177919</v>
      </c>
      <c r="DG14" s="317">
        <f>ARR!AD25</f>
        <v>0.91929346598864103</v>
      </c>
      <c r="DH14" s="317">
        <f>ARR!AE25</f>
        <v>0.91870137580203981</v>
      </c>
      <c r="DI14" s="317">
        <f>ARR!AF25</f>
        <v>0.92261353689172099</v>
      </c>
      <c r="DJ14" s="317">
        <f>ARR!AG25</f>
        <v>0.92310209762177919</v>
      </c>
      <c r="DL14" s="104" t="s">
        <v>616</v>
      </c>
      <c r="DM14" s="317">
        <f>ARR!Z36</f>
        <v>0.91839260077560247</v>
      </c>
      <c r="DN14" s="317">
        <f>ARR!AA36</f>
        <v>0.94124827571735503</v>
      </c>
      <c r="DO14" s="317">
        <f>ARR!AB36</f>
        <v>0.94852121487448149</v>
      </c>
      <c r="DP14" s="317">
        <f>ARR!AC36</f>
        <v>0.95800171828669567</v>
      </c>
      <c r="DQ14" s="317">
        <f>ARR!AD36</f>
        <v>0.96224275111654334</v>
      </c>
      <c r="DR14" s="317">
        <f>ARR!AE36</f>
        <v>0.9589016941784535</v>
      </c>
      <c r="DS14" s="317">
        <f>ARR!AF36</f>
        <v>0.96056049793418707</v>
      </c>
      <c r="DT14" s="317">
        <f>ARR!AG36</f>
        <v>0.95800171828669556</v>
      </c>
      <c r="DV14" s="104" t="s">
        <v>616</v>
      </c>
      <c r="DW14" s="317">
        <f>ARR!Z47</f>
        <v>0.89459873953755964</v>
      </c>
      <c r="DX14" s="317">
        <f>ARR!AA47</f>
        <v>0.90545412730658992</v>
      </c>
      <c r="DY14" s="317">
        <f>ARR!AB47</f>
        <v>0.9140225219492788</v>
      </c>
      <c r="DZ14" s="317">
        <f>ARR!AC47</f>
        <v>0.91920087456007171</v>
      </c>
      <c r="EA14" s="317">
        <f>ARR!AD47</f>
        <v>0.91961305342860866</v>
      </c>
      <c r="EB14" s="317">
        <f>ARR!AE47</f>
        <v>0.91835432446364984</v>
      </c>
      <c r="EC14" s="317">
        <f>ARR!AF47</f>
        <v>0.92192852948322668</v>
      </c>
      <c r="ED14" s="317">
        <f>ARR!AG47</f>
        <v>0.92027146314972019</v>
      </c>
      <c r="EG14" s="280"/>
      <c r="EH14" s="280"/>
      <c r="EI14" s="280"/>
      <c r="EJ14" s="280"/>
      <c r="EK14" s="280"/>
      <c r="EL14" s="280"/>
      <c r="EM14" s="280"/>
      <c r="EN14" s="280"/>
      <c r="EP14" s="110" t="s">
        <v>349</v>
      </c>
      <c r="EQ14" s="280">
        <f>Expenses!Z129/1000000</f>
        <v>1.2422515000000001</v>
      </c>
      <c r="ER14" s="280">
        <f>Expenses!AA129/1000000</f>
        <v>1.7328205507247081</v>
      </c>
      <c r="ES14" s="280">
        <f>Expenses!AB129/1000000</f>
        <v>1.8256299017377937</v>
      </c>
      <c r="ET14" s="280">
        <f>Expenses!AC129/1000000</f>
        <v>1.9160562005410851</v>
      </c>
      <c r="EU14" s="280">
        <f>Expenses!AD129/1000000</f>
        <v>2.1288123632774205</v>
      </c>
      <c r="EV14" s="280">
        <f>Expenses!AE129/1000000</f>
        <v>2.1288123632774205</v>
      </c>
      <c r="EW14" s="280">
        <f>Expenses!AF129/1000000</f>
        <v>2.1292425242922364</v>
      </c>
      <c r="EX14" s="280">
        <f>Expenses!AG129/1000000</f>
        <v>2.2524618490488479</v>
      </c>
      <c r="EZ14" s="110" t="s">
        <v>298</v>
      </c>
      <c r="FA14" s="320">
        <f>(Products!D175+Products!D181+Products!D249+Products!D255+Products!D101+Products!D107)/1000000</f>
        <v>0.37819850599999999</v>
      </c>
      <c r="FB14" s="320">
        <f>(Products!E175+Products!E181+Products!E249+Products!E255+Products!E101+Products!E107)/1000000</f>
        <v>0.55473615781829999</v>
      </c>
      <c r="FC14" s="320">
        <f>(Products!Z175+Products!Z181+Products!Z249+Products!Z255+Products!Z101+Products!Z107)/1000000</f>
        <v>0.27205932738519001</v>
      </c>
      <c r="FD14" s="320">
        <f>(Products!AA175+Products!AA181+Products!AA249+Products!AA255+Products!AA101+Products!AA107)/1000000</f>
        <v>0.42561331722779999</v>
      </c>
      <c r="FE14" s="320">
        <f>(Products!AB175+Products!AB181+Products!AB249+Products!AB255+Products!AB101+Products!AB107)/1000000</f>
        <v>0.51896100000000001</v>
      </c>
      <c r="FF14" s="320">
        <f>(Products!AC175+Products!AC181+Products!AC249+Products!AC255+Products!AC101+Products!AC107)/1000000</f>
        <v>0.70133362499999996</v>
      </c>
      <c r="FG14" s="320">
        <f>(Products!AD175+Products!AD181+Products!AD249+Products!AD255+Products!AD101+Products!AD107)/1000000</f>
        <v>0.69683564961686828</v>
      </c>
      <c r="FH14" s="320">
        <f>(Products!AE175+Products!AE181+Products!AE249+Products!AE255+Products!AE101+Products!AE107)/1000000</f>
        <v>0.92714391561523968</v>
      </c>
      <c r="FI14" s="398">
        <f>(Products!AF175+Products!AF181+Products!AF249+Products!AF255+Products!AF101+Products!AF107)/1000000</f>
        <v>0.91405502061485433</v>
      </c>
      <c r="FJ14" s="398">
        <f>(Products!AG175+Products!AG181+Products!AG249+Products!AG255+Products!AG101+Products!AG107)/1000000</f>
        <v>1.3994654141530369</v>
      </c>
      <c r="FL14" s="322" t="s">
        <v>657</v>
      </c>
      <c r="FM14" s="355"/>
      <c r="FN14" s="355"/>
      <c r="FO14" s="352">
        <f t="shared" si="31"/>
        <v>2.0000000000000004E-2</v>
      </c>
      <c r="FP14" s="352">
        <f t="shared" si="31"/>
        <v>2.0000000000000004E-2</v>
      </c>
      <c r="FQ14" s="352">
        <f t="shared" si="31"/>
        <v>0.02</v>
      </c>
      <c r="FR14" s="352">
        <f t="shared" si="31"/>
        <v>1.9999999999999997E-2</v>
      </c>
      <c r="FS14" s="352">
        <f t="shared" si="31"/>
        <v>3.9999999999999994E-2</v>
      </c>
      <c r="FT14" s="352">
        <f t="shared" ref="FT14:FV14" si="45">FT9/FT$11</f>
        <v>0.04</v>
      </c>
      <c r="FU14" s="352">
        <f t="shared" si="45"/>
        <v>3.9999999999999994E-2</v>
      </c>
      <c r="FV14" s="352">
        <f t="shared" si="45"/>
        <v>4.0000000000000008E-2</v>
      </c>
      <c r="FX14" s="322" t="s">
        <v>657</v>
      </c>
      <c r="FY14" s="355"/>
      <c r="FZ14" s="355"/>
      <c r="GA14" s="352">
        <f t="shared" si="33"/>
        <v>4.2000000000000003E-2</v>
      </c>
      <c r="GB14" s="352">
        <f t="shared" si="33"/>
        <v>4.1999999999999996E-2</v>
      </c>
      <c r="GC14" s="352">
        <f t="shared" si="33"/>
        <v>4.2000000000000003E-2</v>
      </c>
      <c r="GD14" s="352">
        <f t="shared" si="33"/>
        <v>4.2000000000000003E-2</v>
      </c>
      <c r="GE14" s="352">
        <f t="shared" si="33"/>
        <v>0.09</v>
      </c>
      <c r="GF14" s="352">
        <f t="shared" ref="GF14:GH14" si="46">GF9/GF$11</f>
        <v>9.0000000000000011E-2</v>
      </c>
      <c r="GG14" s="352">
        <f t="shared" si="46"/>
        <v>9.0000000000000011E-2</v>
      </c>
      <c r="GH14" s="352">
        <f t="shared" si="46"/>
        <v>9.0000000000000038E-2</v>
      </c>
      <c r="GJ14" s="322" t="s">
        <v>657</v>
      </c>
      <c r="GK14" s="355"/>
      <c r="GL14" s="355"/>
      <c r="GM14" s="352">
        <f t="shared" si="35"/>
        <v>4.4999999999999998E-2</v>
      </c>
      <c r="GN14" s="352">
        <f t="shared" si="35"/>
        <v>4.5000000000000005E-2</v>
      </c>
      <c r="GO14" s="352">
        <f t="shared" si="35"/>
        <v>4.4999999999999998E-2</v>
      </c>
      <c r="GP14" s="352">
        <f t="shared" si="35"/>
        <v>4.4999999999999998E-2</v>
      </c>
      <c r="GQ14" s="352">
        <f t="shared" si="35"/>
        <v>9.0000000000000011E-2</v>
      </c>
      <c r="GR14" s="352">
        <f t="shared" ref="GR14:GT14" si="47">GR9/GR$11</f>
        <v>9.0000000000000011E-2</v>
      </c>
      <c r="GS14" s="352">
        <f t="shared" si="47"/>
        <v>0.09</v>
      </c>
      <c r="GT14" s="352">
        <f t="shared" si="47"/>
        <v>0.09</v>
      </c>
      <c r="GV14" s="322" t="s">
        <v>657</v>
      </c>
      <c r="GW14" s="355"/>
      <c r="GX14" s="355"/>
      <c r="GY14" s="352">
        <f t="shared" si="37"/>
        <v>3.4962210158264E-2</v>
      </c>
      <c r="GZ14" s="352">
        <f t="shared" si="37"/>
        <v>3.5807478158068388E-2</v>
      </c>
      <c r="HA14" s="352">
        <f t="shared" si="37"/>
        <v>3.70179878642133E-2</v>
      </c>
      <c r="HB14" s="352">
        <f t="shared" si="37"/>
        <v>3.7074569841849522E-2</v>
      </c>
      <c r="HC14" s="352">
        <f t="shared" si="37"/>
        <v>7.6084805707314115E-2</v>
      </c>
      <c r="HD14" s="352">
        <f t="shared" ref="HD14:HF14" si="48">HD9/HD$11</f>
        <v>7.6084805707314129E-2</v>
      </c>
      <c r="HE14" s="352">
        <f t="shared" si="48"/>
        <v>7.6084805707314115E-2</v>
      </c>
      <c r="HF14" s="352">
        <f t="shared" si="48"/>
        <v>7.6084805707314115E-2</v>
      </c>
      <c r="HH14" s="407" t="s">
        <v>708</v>
      </c>
      <c r="HI14" s="408"/>
      <c r="HJ14" s="409">
        <f>HJ13/HI13-1</f>
        <v>0.42774291046849711</v>
      </c>
      <c r="HK14" s="409">
        <f>(Geo!Z45+Geo!Z46+Geo!Z47)/(Geo!V45+Geo!V46+Geo!V47)-1</f>
        <v>0.64738420285203624</v>
      </c>
      <c r="HL14" s="409">
        <f>(Geo!AA45+Geo!AA46+Geo!AA47)/(Geo!W45+Geo!W46+Geo!W47)-1</f>
        <v>0.74301567078015185</v>
      </c>
      <c r="HM14" s="409">
        <f>(Geo!AB45+Geo!AB46+Geo!AB47)/(Geo!X45+Geo!X46+Geo!X47)-1</f>
        <v>1.1465031386699063</v>
      </c>
      <c r="HN14" s="409">
        <f>(Geo!AC45+Geo!AC46+Geo!AC47)/(Geo!Y45+Geo!Y46+Geo!Y47)-1</f>
        <v>1.1690484278949467</v>
      </c>
      <c r="HO14" s="409">
        <f>(Geo!AD45+Geo!AD46+Geo!AD47)/(Geo!Z45+Geo!Z46+Geo!Z47)-1</f>
        <v>0.62996495660669583</v>
      </c>
      <c r="HP14" s="409">
        <f>(Geo!AE45+Geo!AE46+Geo!AE47)/(Geo!AA45+Geo!AA46+Geo!AA47)-1</f>
        <v>0.4138529792598844</v>
      </c>
      <c r="HQ14" s="409">
        <f>(Geo!AF45+Geo!AF46+Geo!AF47)/(Geo!AB45+Geo!AB46+Geo!AB47)-1</f>
        <v>9.3360332671714952E-2</v>
      </c>
      <c r="HR14" s="409">
        <f>(Geo!AG45+Geo!AG46+Geo!AG47)/(Geo!AC45+Geo!AC46+Geo!AC47)-1</f>
        <v>0.25222991957206697</v>
      </c>
    </row>
    <row r="15" spans="2:226" ht="15" customHeight="1" x14ac:dyDescent="0.25">
      <c r="M15" s="110" t="s">
        <v>7</v>
      </c>
      <c r="N15" s="138">
        <f>Forecast!Z38</f>
        <v>0.64598260483755821</v>
      </c>
      <c r="O15" s="138">
        <f>Forecast!AA38</f>
        <v>0.64235093141825472</v>
      </c>
      <c r="P15" s="138">
        <f>Forecast!AB38</f>
        <v>0.63859753482363346</v>
      </c>
      <c r="Q15" s="138">
        <f>Forecast!AC38</f>
        <v>0.65121531449031156</v>
      </c>
      <c r="R15" s="138">
        <f>Forecast!AD38</f>
        <v>0.70170444838536261</v>
      </c>
      <c r="S15" s="138">
        <f>Forecast!AE38</f>
        <v>0.70944268787805986</v>
      </c>
      <c r="T15" s="138">
        <f>Forecast!AF38</f>
        <v>0.71198709389783543</v>
      </c>
      <c r="U15" s="113">
        <f>Forecast!AG38</f>
        <v>0.72334191308721474</v>
      </c>
      <c r="W15" s="139" t="s">
        <v>276</v>
      </c>
      <c r="X15" s="127">
        <f>X13/X14</f>
        <v>0.52670016495916083</v>
      </c>
      <c r="Y15" s="127">
        <f t="shared" ref="Y15:AE15" si="49">Y13/Y14</f>
        <v>0.6862312358167888</v>
      </c>
      <c r="Z15" s="127">
        <f t="shared" si="49"/>
        <v>0.72008266499888995</v>
      </c>
      <c r="AA15" s="127">
        <f t="shared" si="49"/>
        <v>0.90283478005460738</v>
      </c>
      <c r="AB15" s="127">
        <f t="shared" si="49"/>
        <v>0.52332792389782234</v>
      </c>
      <c r="AC15" s="127">
        <f t="shared" si="49"/>
        <v>0.6968803573490473</v>
      </c>
      <c r="AD15" s="127">
        <f t="shared" si="49"/>
        <v>0.64438096119573551</v>
      </c>
      <c r="AE15" s="132">
        <f t="shared" si="49"/>
        <v>0.95159075466901433</v>
      </c>
      <c r="AG15" s="134"/>
      <c r="AH15" s="134"/>
      <c r="AI15" s="134"/>
      <c r="AJ15" s="134"/>
      <c r="AK15" s="134"/>
      <c r="AL15" s="134"/>
      <c r="AM15" s="134"/>
      <c r="AN15" s="134"/>
      <c r="AO15" s="134"/>
      <c r="AQ15" s="139" t="s">
        <v>283</v>
      </c>
      <c r="AR15" s="155">
        <f t="shared" ref="AR15:AY15" si="50">AR14/AR$37</f>
        <v>0.27597561519982483</v>
      </c>
      <c r="AS15" s="155">
        <f t="shared" si="50"/>
        <v>0.32194207552469817</v>
      </c>
      <c r="AT15" s="155">
        <f t="shared" si="50"/>
        <v>0.30726690901356296</v>
      </c>
      <c r="AU15" s="155">
        <f t="shared" si="50"/>
        <v>0.31575433167826139</v>
      </c>
      <c r="AV15" s="155">
        <f t="shared" si="50"/>
        <v>0.32314175420789082</v>
      </c>
      <c r="AW15" s="155">
        <f t="shared" si="50"/>
        <v>0.28932499829185038</v>
      </c>
      <c r="AX15" s="155">
        <f t="shared" si="50"/>
        <v>0.26759878092972</v>
      </c>
      <c r="AY15" s="156">
        <f t="shared" si="50"/>
        <v>0.25173783290352669</v>
      </c>
      <c r="BK15" s="163" t="s">
        <v>7</v>
      </c>
      <c r="BL15" s="168">
        <f>Forecast!Z38</f>
        <v>0.64598260483755821</v>
      </c>
      <c r="BM15" s="168">
        <f>Forecast!AA38</f>
        <v>0.64235093141825472</v>
      </c>
      <c r="BN15" s="168">
        <f>Forecast!AB38</f>
        <v>0.63859753482363346</v>
      </c>
      <c r="BO15" s="168">
        <f>Forecast!AC38</f>
        <v>0.65121531449031156</v>
      </c>
      <c r="BP15" s="168">
        <f>Forecast!AD38</f>
        <v>0.70170444838536261</v>
      </c>
      <c r="BQ15" s="272">
        <f>Forecast!AE38</f>
        <v>0.70944268787805986</v>
      </c>
      <c r="BR15" s="272">
        <f>Forecast!AF38</f>
        <v>0.71198709389783543</v>
      </c>
      <c r="BS15" s="272">
        <f>Forecast!AG38</f>
        <v>0.72334191308721474</v>
      </c>
      <c r="CE15" s="163"/>
      <c r="CG15" s="162" t="s">
        <v>550</v>
      </c>
      <c r="CH15" s="286">
        <f>SUM(CH7:CH14)</f>
        <v>565</v>
      </c>
      <c r="CI15" s="286">
        <f t="shared" ref="CI15:CO15" si="51">SUM(CI7:CI14)</f>
        <v>676</v>
      </c>
      <c r="CJ15" s="286">
        <f t="shared" si="51"/>
        <v>797</v>
      </c>
      <c r="CK15" s="286">
        <f t="shared" si="51"/>
        <v>917</v>
      </c>
      <c r="CL15" s="286">
        <f t="shared" si="51"/>
        <v>938.74691218345617</v>
      </c>
      <c r="CM15" s="286">
        <f t="shared" si="51"/>
        <v>989.50305843408535</v>
      </c>
      <c r="CN15" s="286">
        <f t="shared" si="51"/>
        <v>1047.8348111592441</v>
      </c>
      <c r="CO15" s="286">
        <f t="shared" si="51"/>
        <v>1146.0771633339609</v>
      </c>
      <c r="CR15" s="104" t="s">
        <v>617</v>
      </c>
      <c r="CS15" s="317">
        <f>ARR!Z15</f>
        <v>0.98698378646939666</v>
      </c>
      <c r="CT15" s="317">
        <f>ARR!AA15</f>
        <v>1.0168114077587449</v>
      </c>
      <c r="CU15" s="317">
        <f>ARR!AB15</f>
        <v>0.99340758357673875</v>
      </c>
      <c r="CV15" s="317">
        <f>ARR!AC15</f>
        <v>0.96464695303306025</v>
      </c>
      <c r="CW15" s="317">
        <f>ARR!AD15</f>
        <v>0.96455218511979546</v>
      </c>
      <c r="CX15" s="317">
        <f>ARR!AE15</f>
        <v>0.95871324846250883</v>
      </c>
      <c r="CY15" s="317">
        <f>ARR!AF15</f>
        <v>0.98349784066978552</v>
      </c>
      <c r="CZ15" s="317">
        <f>ARR!AG15</f>
        <v>1.0076164541585171</v>
      </c>
      <c r="DB15" s="104" t="s">
        <v>617</v>
      </c>
      <c r="DC15" s="317">
        <f>ARR!Z26</f>
        <v>1.2271726430889403</v>
      </c>
      <c r="DD15" s="317">
        <f>ARR!AA26</f>
        <v>1.2376288727866711</v>
      </c>
      <c r="DE15" s="317">
        <f>ARR!AB26</f>
        <v>1.2962230685844933</v>
      </c>
      <c r="DF15" s="317">
        <f>ARR!AC26</f>
        <v>1.349746706230347</v>
      </c>
      <c r="DG15" s="317">
        <f>ARR!AD26</f>
        <v>1.3518755055320633</v>
      </c>
      <c r="DH15" s="317">
        <f>ARR!AE26</f>
        <v>1.3550372358862988</v>
      </c>
      <c r="DI15" s="317">
        <f>ARR!AF26</f>
        <v>1.3107716119646509</v>
      </c>
      <c r="DJ15" s="317">
        <f>ARR!AG26</f>
        <v>1.2635030666949969</v>
      </c>
      <c r="DL15" s="104" t="s">
        <v>617</v>
      </c>
      <c r="DM15" s="317">
        <f>ARR!Z37</f>
        <v>1.2843793306896409</v>
      </c>
      <c r="DN15" s="317">
        <f>ARR!AA37</f>
        <v>1.3763008436845121</v>
      </c>
      <c r="DO15" s="317">
        <f>ARR!AB37</f>
        <v>1.4353961226653964</v>
      </c>
      <c r="DP15" s="317">
        <f>ARR!AC37</f>
        <v>1.5418102572102181</v>
      </c>
      <c r="DQ15" s="317">
        <f>ARR!AD37</f>
        <v>1.6095724919369814</v>
      </c>
      <c r="DR15" s="317">
        <f>ARR!AE37</f>
        <v>1.5791078341558729</v>
      </c>
      <c r="DS15" s="317">
        <f>ARR!AF37</f>
        <v>1.5247790015976082</v>
      </c>
      <c r="DT15" s="317">
        <f>ARR!AG37</f>
        <v>1.5098174342709294</v>
      </c>
      <c r="DV15" s="104" t="s">
        <v>617</v>
      </c>
      <c r="DW15" s="317">
        <f>ARR!Z48</f>
        <v>1.1740565194991914</v>
      </c>
      <c r="DX15" s="317">
        <f>ARR!AA48</f>
        <v>1.2169414990394329</v>
      </c>
      <c r="DY15" s="317">
        <f>ARR!AB48</f>
        <v>1.2529794617958052</v>
      </c>
      <c r="DZ15" s="317">
        <f>ARR!AC48</f>
        <v>1.2960651944839421</v>
      </c>
      <c r="EA15" s="317">
        <f>ARR!AD48</f>
        <v>1.3186037704589963</v>
      </c>
      <c r="EB15" s="317">
        <f>ARR!AE48</f>
        <v>1.3091306633567505</v>
      </c>
      <c r="EC15" s="317">
        <f>ARR!AF48</f>
        <v>1.286365470953942</v>
      </c>
      <c r="ED15" s="317">
        <f>ARR!AG48</f>
        <v>1.2743896701508746</v>
      </c>
      <c r="EF15" s="108" t="s">
        <v>502</v>
      </c>
      <c r="EG15" s="324">
        <f>SUM(EG8:EG13)</f>
        <v>8.112919419999999</v>
      </c>
      <c r="EH15" s="324">
        <f t="shared" ref="EH15:EN15" si="52">SUM(EH8:EH13)</f>
        <v>9.2114860650891792</v>
      </c>
      <c r="EI15" s="324">
        <f t="shared" si="52"/>
        <v>10.824143673175518</v>
      </c>
      <c r="EJ15" s="324">
        <f t="shared" si="52"/>
        <v>12.693575850454602</v>
      </c>
      <c r="EK15" s="324">
        <f t="shared" si="52"/>
        <v>14.450121402541447</v>
      </c>
      <c r="EL15" s="324">
        <f t="shared" si="52"/>
        <v>15.001501287402686</v>
      </c>
      <c r="EM15" s="324">
        <f t="shared" si="52"/>
        <v>16.661484517079376</v>
      </c>
      <c r="EN15" s="324">
        <f t="shared" si="52"/>
        <v>18.736342655972138</v>
      </c>
      <c r="EP15" s="110" t="s">
        <v>2</v>
      </c>
      <c r="EQ15" s="320">
        <f>Expenses!Z130/1000000</f>
        <v>0.71639551000000001</v>
      </c>
      <c r="ER15" s="320">
        <f>Expenses!AA130/1000000</f>
        <v>0.87365938354100448</v>
      </c>
      <c r="ES15" s="320">
        <f>Expenses!AB130/1000000</f>
        <v>0.85272615474676827</v>
      </c>
      <c r="ET15" s="320">
        <f>Expenses!AC130/1000000</f>
        <v>0.95339728893833442</v>
      </c>
      <c r="EU15" s="320">
        <f>Expenses!AD130/1000000</f>
        <v>1.0231659873263801</v>
      </c>
      <c r="EV15" s="320">
        <f>Expenses!AE130/1000000</f>
        <v>1.0231659873263801</v>
      </c>
      <c r="EW15" s="320">
        <f>Expenses!AF130/1000000</f>
        <v>1.0233727345846286</v>
      </c>
      <c r="EX15" s="320">
        <f>Expenses!AG130/1000000</f>
        <v>1.0825953435130129</v>
      </c>
      <c r="EZ15" s="110" t="s">
        <v>299</v>
      </c>
      <c r="FA15" s="320">
        <f>(Products!D176+Products!D182+Products!D250+Products!D256+Products!D102+Products!D108)/1000000</f>
        <v>0.12752474729999999</v>
      </c>
      <c r="FB15" s="320">
        <f>(Products!E176+Products!E182+Products!E250+Products!E256+Products!E102+Products!E108)/1000000</f>
        <v>0.18454940900000003</v>
      </c>
      <c r="FC15" s="320">
        <f>(Products!Z176+Products!Z182+Products!Z250+Products!Z256+Products!Z102+Products!Z108)/1000000</f>
        <v>0.31705984598523201</v>
      </c>
      <c r="FD15" s="320">
        <f>(Products!AA176+Products!AA182+Products!AA250+Products!AA256+Products!AA102+Products!AA108)/1000000</f>
        <v>0.50800465201391598</v>
      </c>
      <c r="FE15" s="320">
        <f>(Products!AB176+Products!AB182+Products!AB250+Products!AB256+Products!AB102+Products!AB108)/1000000</f>
        <v>0.64036306666666676</v>
      </c>
      <c r="FF15" s="320">
        <f>(Products!AC176+Products!AC182+Products!AC250+Products!AC256+Products!AC102+Products!AC108)/1000000</f>
        <v>0.8667214154166667</v>
      </c>
      <c r="FG15" s="320">
        <f>(Products!AD176+Products!AD182+Products!AD250+Products!AD256+Products!AD102+Products!AD108)/1000000</f>
        <v>1.178191222467321</v>
      </c>
      <c r="FH15" s="320">
        <f>(Products!AE176+Products!AE182+Products!AE250+Products!AE256+Products!AE102+Products!AE108)/1000000</f>
        <v>1.567590326273421</v>
      </c>
      <c r="FI15" s="398">
        <f>(Products!AF176+Products!AF182+Products!AF250+Products!AF256+Products!AF102+Products!AF108)/1000000</f>
        <v>1.5454599699839149</v>
      </c>
      <c r="FJ15" s="398">
        <f>(Products!AG176+Products!AG182+Products!AG250+Products!AG256+Products!AG102+Products!AG108)/1000000</f>
        <v>2.3661789806653264</v>
      </c>
      <c r="FL15" s="322" t="s">
        <v>658</v>
      </c>
      <c r="FM15" s="355"/>
      <c r="FN15" s="355"/>
      <c r="FO15" s="352">
        <f t="shared" si="31"/>
        <v>0</v>
      </c>
      <c r="FP15" s="352">
        <f t="shared" si="31"/>
        <v>0</v>
      </c>
      <c r="FQ15" s="352">
        <f t="shared" si="31"/>
        <v>0</v>
      </c>
      <c r="FR15" s="352">
        <f t="shared" si="31"/>
        <v>0</v>
      </c>
      <c r="FS15" s="352">
        <f t="shared" si="31"/>
        <v>0</v>
      </c>
      <c r="FT15" s="352">
        <f t="shared" ref="FT15:FV15" si="53">FT10/FT$11</f>
        <v>0</v>
      </c>
      <c r="FU15" s="352">
        <f t="shared" si="53"/>
        <v>0</v>
      </c>
      <c r="FV15" s="352">
        <f t="shared" si="53"/>
        <v>0</v>
      </c>
      <c r="FX15" s="322" t="s">
        <v>658</v>
      </c>
      <c r="FY15" s="355"/>
      <c r="FZ15" s="355"/>
      <c r="GA15" s="352">
        <f t="shared" si="33"/>
        <v>5.4711376555136304E-2</v>
      </c>
      <c r="GB15" s="352">
        <f t="shared" si="33"/>
        <v>5.4711376555136311E-2</v>
      </c>
      <c r="GC15" s="352">
        <f t="shared" si="33"/>
        <v>5.4711376555136318E-2</v>
      </c>
      <c r="GD15" s="352">
        <f t="shared" si="33"/>
        <v>5.4711376555136311E-2</v>
      </c>
      <c r="GE15" s="352">
        <f t="shared" si="33"/>
        <v>5.2080620800999948E-2</v>
      </c>
      <c r="GF15" s="352">
        <f t="shared" ref="GF15:GH15" si="54">GF10/GF$11</f>
        <v>5.2080620800999962E-2</v>
      </c>
      <c r="GG15" s="352">
        <f t="shared" si="54"/>
        <v>5.2080620800999941E-2</v>
      </c>
      <c r="GH15" s="352">
        <f t="shared" si="54"/>
        <v>5.2080620800999969E-2</v>
      </c>
      <c r="GJ15" s="322" t="s">
        <v>658</v>
      </c>
      <c r="GK15" s="355"/>
      <c r="GL15" s="355"/>
      <c r="GM15" s="352">
        <f t="shared" si="35"/>
        <v>5.4711376555136304E-2</v>
      </c>
      <c r="GN15" s="352">
        <f t="shared" si="35"/>
        <v>5.4711376555136325E-2</v>
      </c>
      <c r="GO15" s="352">
        <f t="shared" si="35"/>
        <v>5.471137655513629E-2</v>
      </c>
      <c r="GP15" s="352">
        <f t="shared" si="35"/>
        <v>5.4711376555136311E-2</v>
      </c>
      <c r="GQ15" s="352">
        <f t="shared" si="35"/>
        <v>5.2080620800999962E-2</v>
      </c>
      <c r="GR15" s="352">
        <f t="shared" ref="GR15:GT15" si="55">GR10/GR$11</f>
        <v>5.2080620800999941E-2</v>
      </c>
      <c r="GS15" s="352">
        <f t="shared" si="55"/>
        <v>5.2080620800999948E-2</v>
      </c>
      <c r="GT15" s="352">
        <f t="shared" si="55"/>
        <v>5.2080620800999955E-2</v>
      </c>
      <c r="GV15" s="322" t="s">
        <v>658</v>
      </c>
      <c r="GW15" s="355"/>
      <c r="GX15" s="355"/>
      <c r="GY15" s="352">
        <f t="shared" si="37"/>
        <v>3.4887812737563084E-2</v>
      </c>
      <c r="GZ15" s="352">
        <f t="shared" si="37"/>
        <v>3.6528583270706572E-2</v>
      </c>
      <c r="HA15" s="352">
        <f t="shared" si="37"/>
        <v>3.9615068308723494E-2</v>
      </c>
      <c r="HB15" s="352">
        <f t="shared" si="37"/>
        <v>3.9973757045995296E-2</v>
      </c>
      <c r="HC15" s="352">
        <f t="shared" si="37"/>
        <v>3.7586381654407704E-2</v>
      </c>
      <c r="HD15" s="352">
        <f t="shared" ref="HD15:HF15" si="56">HD10/HD$11</f>
        <v>3.7586381654407711E-2</v>
      </c>
      <c r="HE15" s="352">
        <f t="shared" si="56"/>
        <v>3.7586381654407697E-2</v>
      </c>
      <c r="HF15" s="352">
        <f t="shared" si="56"/>
        <v>3.7586381654407711E-2</v>
      </c>
      <c r="HH15" s="385" t="s">
        <v>709</v>
      </c>
      <c r="HI15" s="386">
        <f>Geo!D30</f>
        <v>0</v>
      </c>
      <c r="HJ15" s="387">
        <f>Geo!E30</f>
        <v>0</v>
      </c>
      <c r="HK15" s="387">
        <f>Geo!Z30</f>
        <v>4.9999999999999996E-2</v>
      </c>
      <c r="HL15" s="387">
        <f>Geo!AA30</f>
        <v>0.05</v>
      </c>
      <c r="HM15" s="387">
        <f>Geo!AB30</f>
        <v>4.9999999999999996E-2</v>
      </c>
      <c r="HN15" s="387">
        <f>Geo!AC30</f>
        <v>4.9999999999999996E-2</v>
      </c>
      <c r="HO15" s="387">
        <f>Geo!AD30</f>
        <v>0.1</v>
      </c>
      <c r="HP15" s="387">
        <f>Geo!AE30</f>
        <v>9.9999999999999992E-2</v>
      </c>
      <c r="HQ15" s="387">
        <f>Geo!AF30</f>
        <v>9.9999999999999992E-2</v>
      </c>
      <c r="HR15" s="387">
        <f>Geo!AG30</f>
        <v>0.1</v>
      </c>
    </row>
    <row r="16" spans="2:226" ht="15" customHeight="1" x14ac:dyDescent="0.25">
      <c r="M16" s="110" t="s">
        <v>270</v>
      </c>
      <c r="N16" s="138">
        <f>Forecast!Z39</f>
        <v>0.65777055631164216</v>
      </c>
      <c r="O16" s="138">
        <f>Forecast!AA39</f>
        <v>0.66761867443744816</v>
      </c>
      <c r="P16" s="138">
        <f>Forecast!AB39</f>
        <v>0.66997841552757187</v>
      </c>
      <c r="Q16" s="138">
        <f>Forecast!AC39</f>
        <v>0.69457274148137416</v>
      </c>
      <c r="R16" s="138">
        <f>Forecast!AD39</f>
        <v>0.7467419728694954</v>
      </c>
      <c r="S16" s="138">
        <f>Forecast!AE39</f>
        <v>0.7486781372478688</v>
      </c>
      <c r="T16" s="138">
        <f>Forecast!AF39</f>
        <v>0.74995991013069407</v>
      </c>
      <c r="U16" s="113">
        <f>Forecast!AG39</f>
        <v>0.75205183743412951</v>
      </c>
      <c r="W16" s="134"/>
      <c r="X16" s="124"/>
      <c r="Y16" s="124"/>
      <c r="Z16" s="124"/>
      <c r="AA16" s="124"/>
      <c r="AB16" s="124"/>
      <c r="AC16" s="124"/>
      <c r="AD16" s="124"/>
      <c r="AE16" s="129"/>
      <c r="AG16" s="134"/>
      <c r="AH16" s="134"/>
      <c r="AI16" s="134"/>
      <c r="AJ16" s="134"/>
      <c r="AK16" s="134"/>
      <c r="AL16" s="134"/>
      <c r="AM16" s="134"/>
      <c r="AN16" s="134"/>
      <c r="AO16" s="134"/>
      <c r="AQ16" s="139" t="s">
        <v>288</v>
      </c>
      <c r="AR16" s="155">
        <v>0.09</v>
      </c>
      <c r="AS16" s="155">
        <v>0.09</v>
      </c>
      <c r="AT16" s="155">
        <v>0.09</v>
      </c>
      <c r="AU16" s="155">
        <v>0.09</v>
      </c>
      <c r="AV16" s="155">
        <v>0.09</v>
      </c>
      <c r="AW16" s="155">
        <v>0.09</v>
      </c>
      <c r="AX16" s="155">
        <v>0.09</v>
      </c>
      <c r="AY16" s="156">
        <v>0.09</v>
      </c>
      <c r="BK16" s="163" t="s">
        <v>8</v>
      </c>
      <c r="BL16" s="168">
        <f>Forecast!Z39</f>
        <v>0.65777055631164216</v>
      </c>
      <c r="BM16" s="168">
        <f>Forecast!AA39</f>
        <v>0.66761867443744816</v>
      </c>
      <c r="BN16" s="168">
        <f>Forecast!AB39</f>
        <v>0.66997841552757187</v>
      </c>
      <c r="BO16" s="168">
        <f>Forecast!AC39</f>
        <v>0.69457274148137416</v>
      </c>
      <c r="BP16" s="168">
        <f>Forecast!AD39</f>
        <v>0.7467419728694954</v>
      </c>
      <c r="BQ16" s="272">
        <f>Forecast!AE39</f>
        <v>0.7486781372478688</v>
      </c>
      <c r="BR16" s="272">
        <f>Forecast!AF39</f>
        <v>0.74995991013069407</v>
      </c>
      <c r="BS16" s="272">
        <f>Forecast!AG39</f>
        <v>0.75205183743412951</v>
      </c>
      <c r="BV16" s="104" t="s">
        <v>581</v>
      </c>
      <c r="BW16" s="285">
        <f>CH9</f>
        <v>74</v>
      </c>
      <c r="BX16" s="285">
        <f t="shared" ref="BX16:CD16" si="57">CI9</f>
        <v>87</v>
      </c>
      <c r="BY16" s="285">
        <f t="shared" si="57"/>
        <v>94</v>
      </c>
      <c r="BZ16" s="285">
        <f t="shared" si="57"/>
        <v>102</v>
      </c>
      <c r="CA16" s="285">
        <f t="shared" si="57"/>
        <v>107.34175590199514</v>
      </c>
      <c r="CB16" s="285">
        <f t="shared" si="57"/>
        <v>118.37577795781111</v>
      </c>
      <c r="CC16" s="285">
        <f t="shared" si="57"/>
        <v>129.11025903588859</v>
      </c>
      <c r="CD16" s="285">
        <f t="shared" si="57"/>
        <v>145.3324472629449</v>
      </c>
      <c r="CE16" s="163"/>
      <c r="CH16" s="163"/>
      <c r="CI16" s="163"/>
      <c r="CJ16" s="163"/>
      <c r="CK16" s="163"/>
      <c r="CL16" s="163"/>
      <c r="CM16" s="163"/>
      <c r="CN16" s="163"/>
      <c r="CO16" s="163"/>
      <c r="CR16" s="163"/>
      <c r="CS16" s="163"/>
      <c r="CT16" s="163"/>
      <c r="CU16" s="163"/>
      <c r="CV16" s="163"/>
      <c r="CW16" s="163"/>
      <c r="CX16" s="163"/>
      <c r="CY16" s="163"/>
      <c r="CZ16" s="163"/>
      <c r="EF16" s="406" t="s">
        <v>218</v>
      </c>
      <c r="EG16" s="113">
        <f>(Expenses!Z97+Expenses!Z98+Expenses!Z101+Expenses!Z102)/(Expenses!V97+Expenses!V98+Expenses!V101+Expenses!V102)-1</f>
        <v>0.59495383521183021</v>
      </c>
      <c r="EH16" s="113">
        <f>(Expenses!AA97+Expenses!AA98+Expenses!AA101+Expenses!AA102)/(Expenses!W97+Expenses!W98+Expenses!W101+Expenses!W102)-1</f>
        <v>0.56855499383313823</v>
      </c>
      <c r="EI16" s="113">
        <f>(Expenses!AB97+Expenses!AB98+Expenses!AB101+Expenses!AB102)/(Expenses!X97+Expenses!X98+Expenses!X101+Expenses!X102)-1</f>
        <v>0.77224182484171022</v>
      </c>
      <c r="EJ16" s="113">
        <f>(Expenses!AC97+Expenses!AC98+Expenses!AC101+Expenses!AC102)/(Expenses!Y97+Expenses!Y98+Expenses!Y101+Expenses!Y102)-1</f>
        <v>0.99464861773807667</v>
      </c>
      <c r="EK16" s="113">
        <f>(Expenses!AD97+Expenses!AD98+Expenses!AD101+Expenses!AD102)/(Expenses!Z97+Expenses!Z98+Expenses!Z101+Expenses!Z102)-1</f>
        <v>0.78112472890078921</v>
      </c>
      <c r="EL16" s="113">
        <f>(Expenses!AE97+Expenses!AE98+Expenses!AE101+Expenses!AE102)/(Expenses!AA97+Expenses!AA98+Expenses!AA101+Expenses!AA102)-1</f>
        <v>0.62856472684219988</v>
      </c>
      <c r="EM16" s="113">
        <f>(Expenses!AF97+Expenses!AF98+Expenses!AF101+Expenses!AF102)/(Expenses!AB97+Expenses!AB98+Expenses!AB101+Expenses!AB102)-1</f>
        <v>0.53928892854314237</v>
      </c>
      <c r="EN16" s="113">
        <f>(Expenses!AG97+Expenses!AG98+Expenses!AG101+Expenses!AG102)/(Expenses!AC97+Expenses!AC98+Expenses!AC101+Expenses!AC102)-1</f>
        <v>0.47604921392588695</v>
      </c>
      <c r="EP16" s="99"/>
      <c r="EZ16" s="110" t="s">
        <v>300</v>
      </c>
      <c r="FA16" s="345">
        <f>(Products!D177+Products!D183+Products!D251+Products!D257+Products!D103+Products!D109)/1000000</f>
        <v>0.25504949459999998</v>
      </c>
      <c r="FB16" s="345">
        <f>(Products!E177+Products!E183+Products!E251+Products!E257+Products!E103+Products!E109)/1000000</f>
        <v>0.36909881800000005</v>
      </c>
      <c r="FC16" s="345">
        <f>(Products!Z177+Products!Z183+Products!Z251+Products!Z257+Products!Z103+Products!Z109)/1000000</f>
        <v>0.31638516224406255</v>
      </c>
      <c r="FD16" s="345">
        <f>(Products!AA177+Products!AA183+Products!AA251+Products!AA257+Products!AA103+Products!AA109)/1000000</f>
        <v>0.51823504998257819</v>
      </c>
      <c r="FE16" s="345">
        <f>(Products!AB177+Products!AB183+Products!AB251+Products!AB257+Products!AB103+Products!AB109)/1000000</f>
        <v>0.68528918215211521</v>
      </c>
      <c r="FF16" s="345">
        <f>(Products!AC177+Products!AC183+Products!AC251+Products!AC257+Products!AC103+Products!AC109)/1000000</f>
        <v>0.93449799779790566</v>
      </c>
      <c r="FG16" s="345">
        <f>(Products!AD177+Products!AD183+Products!AD251+Products!AD257+Products!AD103+Products!AD109)/1000000</f>
        <v>0.58203401504214969</v>
      </c>
      <c r="FH16" s="345">
        <f>(Products!AE177+Products!AE183+Products!AE251+Products!AE257+Products!AE103+Products!AE109)/1000000</f>
        <v>0.7743996680194748</v>
      </c>
      <c r="FI16" s="399">
        <f>(Products!AF177+Products!AF183+Products!AF251+Products!AF257+Products!AF103+Products!AF109)/1000000</f>
        <v>0.76346713017683132</v>
      </c>
      <c r="FJ16" s="399">
        <f>(Products!AG177+Products!AG183+Products!AG251+Products!AG257+Products!AG103+Products!AG109)/1000000</f>
        <v>1.1689075815222174</v>
      </c>
    </row>
    <row r="17" spans="2:226" ht="15" customHeight="1" x14ac:dyDescent="0.25">
      <c r="M17" s="110" t="s">
        <v>269</v>
      </c>
      <c r="N17" s="138">
        <f>Forecast!Z40</f>
        <v>0.40657005274950098</v>
      </c>
      <c r="O17" s="138">
        <f>Forecast!AA40</f>
        <v>0.12475823749223963</v>
      </c>
      <c r="P17" s="138">
        <f>Forecast!AB40</f>
        <v>0.12871937226030028</v>
      </c>
      <c r="Q17" s="138">
        <f>Forecast!AC40</f>
        <v>-3.3883025478606804E-2</v>
      </c>
      <c r="R17" s="138">
        <f>Forecast!AD40</f>
        <v>-4.2550128142632454E-2</v>
      </c>
      <c r="S17" s="138">
        <f>Forecast!AE40</f>
        <v>0.16706941506685832</v>
      </c>
      <c r="T17" s="138">
        <f>Forecast!AF40</f>
        <v>0.12176678871102389</v>
      </c>
      <c r="U17" s="113">
        <f>Forecast!AG40</f>
        <v>0.39368712108465814</v>
      </c>
      <c r="W17" s="140" t="s">
        <v>34</v>
      </c>
      <c r="X17" s="128">
        <f>Forecast!Z92</f>
        <v>0.4329668985551367</v>
      </c>
      <c r="Y17" s="128">
        <f>Forecast!AA92</f>
        <v>0.62811953313004332</v>
      </c>
      <c r="Z17" s="128">
        <f>Forecast!AB92</f>
        <v>0.62080515120846291</v>
      </c>
      <c r="AA17" s="128">
        <f>Forecast!AC92</f>
        <v>0.74252399826605675</v>
      </c>
      <c r="AB17" s="128">
        <f>Forecast!AD92</f>
        <v>0.46800894542816635</v>
      </c>
      <c r="AC17" s="128">
        <f>Forecast!AE92</f>
        <v>0.56872729663283683</v>
      </c>
      <c r="AD17" s="128">
        <f>Forecast!AF92</f>
        <v>0.59860565626045814</v>
      </c>
      <c r="AE17" s="133">
        <f>Forecast!AG92</f>
        <v>0.8322346219859833</v>
      </c>
      <c r="AG17" s="134"/>
      <c r="AH17" s="134"/>
      <c r="AI17" s="134"/>
      <c r="AJ17" s="134"/>
      <c r="AK17" s="134"/>
      <c r="AL17" s="134"/>
      <c r="AM17" s="134"/>
      <c r="AN17" s="134"/>
      <c r="AO17" s="134"/>
      <c r="AQ17" s="134"/>
      <c r="AR17" s="134"/>
      <c r="AS17" s="134"/>
      <c r="AT17" s="134"/>
      <c r="AU17" s="134"/>
      <c r="AV17" s="134"/>
      <c r="AW17" s="134"/>
      <c r="AX17" s="134"/>
      <c r="AY17" s="134"/>
      <c r="BK17" s="163" t="s">
        <v>9</v>
      </c>
      <c r="BL17" s="168">
        <f>Forecast!Z40</f>
        <v>0.40657005274950098</v>
      </c>
      <c r="BM17" s="168">
        <f>Forecast!AA40</f>
        <v>0.12475823749223963</v>
      </c>
      <c r="BN17" s="168">
        <f>Forecast!AB40</f>
        <v>0.12871937226030028</v>
      </c>
      <c r="BO17" s="168">
        <f>Forecast!AC40</f>
        <v>-3.3883025478606804E-2</v>
      </c>
      <c r="BP17" s="272">
        <f>Forecast!AD40</f>
        <v>-4.2550128142632454E-2</v>
      </c>
      <c r="BQ17" s="272">
        <f>Forecast!AE40</f>
        <v>0.16706941506685832</v>
      </c>
      <c r="BR17" s="272">
        <f>Forecast!AF40</f>
        <v>0.12176678871102389</v>
      </c>
      <c r="BS17" s="272">
        <f>Forecast!AG40</f>
        <v>0.39368712108465814</v>
      </c>
      <c r="BV17" s="282" t="s">
        <v>579</v>
      </c>
      <c r="BW17" s="283">
        <f>BW6/BW16</f>
        <v>1.2137537802435399</v>
      </c>
      <c r="BX17" s="283">
        <f t="shared" ref="BX17:CD17" si="58">BX6/BX16</f>
        <v>1.1790500555160686</v>
      </c>
      <c r="BY17" s="283">
        <f t="shared" si="58"/>
        <v>1.2593197323404253</v>
      </c>
      <c r="BZ17" s="283">
        <f t="shared" si="58"/>
        <v>1.3665793870949576</v>
      </c>
      <c r="CA17" s="283">
        <f t="shared" si="58"/>
        <v>1.4182254354761044</v>
      </c>
      <c r="CB17" s="283">
        <f t="shared" si="58"/>
        <v>1.4382642594951098</v>
      </c>
      <c r="CC17" s="283">
        <f t="shared" si="58"/>
        <v>1.4576780386931318</v>
      </c>
      <c r="CD17" s="283">
        <f t="shared" si="58"/>
        <v>1.4821180538714704</v>
      </c>
      <c r="CE17" s="163"/>
      <c r="CG17" s="104" t="s">
        <v>50</v>
      </c>
      <c r="CH17" s="287">
        <f>Forecast!Z100</f>
        <v>158969.52166021586</v>
      </c>
      <c r="CI17" s="287">
        <f>Forecast!AA100</f>
        <v>151741.64915665379</v>
      </c>
      <c r="CJ17" s="287">
        <f>Forecast!AB100</f>
        <v>148527.04496863234</v>
      </c>
      <c r="CK17" s="287">
        <f>Forecast!AC100</f>
        <v>152007.73989496802</v>
      </c>
      <c r="CL17" s="287">
        <f>Forecast!AD100</f>
        <v>162168.105730212</v>
      </c>
      <c r="CM17" s="287">
        <f>Forecast!AE100</f>
        <v>172061.77300359512</v>
      </c>
      <c r="CN17" s="287">
        <f>Forecast!AF100</f>
        <v>179609.59796552753</v>
      </c>
      <c r="CO17" s="287">
        <f>Forecast!AG100</f>
        <v>187945.32409592008</v>
      </c>
      <c r="EL17" s="317"/>
      <c r="EM17" s="317"/>
      <c r="EN17" s="317"/>
      <c r="EP17" s="108" t="s">
        <v>510</v>
      </c>
      <c r="EQ17" s="324">
        <f>Expenses!Z132/1000000</f>
        <v>6.0348334900000005</v>
      </c>
      <c r="ER17" s="324">
        <f>Expenses!AA132/1000000</f>
        <v>7.784350445780186</v>
      </c>
      <c r="ES17" s="324">
        <f>Expenses!AB132/1000000</f>
        <v>8.4473045198474566</v>
      </c>
      <c r="ET17" s="324">
        <f>Expenses!AC132/1000000</f>
        <v>9.8865870575417816</v>
      </c>
      <c r="EU17" s="324">
        <f>Expenses!AD132/1000000</f>
        <v>11.838806957696271</v>
      </c>
      <c r="EV17" s="324">
        <f>Expenses!AE132/1000000</f>
        <v>11.929071630307703</v>
      </c>
      <c r="EW17" s="324">
        <f>Expenses!AF132/1000000</f>
        <v>12.139424346230891</v>
      </c>
      <c r="EX17" s="324">
        <f>Expenses!AG132/1000000</f>
        <v>13.192439445593022</v>
      </c>
      <c r="EZ17" s="343" t="s">
        <v>654</v>
      </c>
      <c r="FA17" s="344">
        <f t="shared" ref="FA17:FH17" si="59">SUM(FA13:FA16)</f>
        <v>18.909925300000001</v>
      </c>
      <c r="FB17" s="344">
        <f t="shared" si="59"/>
        <v>27.736807890915003</v>
      </c>
      <c r="FC17" s="344">
        <f t="shared" si="59"/>
        <v>9.0686442461729992</v>
      </c>
      <c r="FD17" s="344">
        <f t="shared" si="59"/>
        <v>14.187110574260002</v>
      </c>
      <c r="FE17" s="344">
        <f t="shared" si="59"/>
        <v>17.2987</v>
      </c>
      <c r="FF17" s="344">
        <f t="shared" si="59"/>
        <v>23.3777875</v>
      </c>
      <c r="FG17" s="344">
        <f t="shared" si="59"/>
        <v>15.48523665815263</v>
      </c>
      <c r="FH17" s="344">
        <f t="shared" si="59"/>
        <v>20.603198124783102</v>
      </c>
      <c r="FI17" s="400">
        <f t="shared" ref="FI17" si="60">SUM(FI13:FI16)</f>
        <v>20.312333791441205</v>
      </c>
      <c r="FJ17" s="400">
        <f t="shared" ref="FJ17" si="61">SUM(FJ13:FJ16)</f>
        <v>31.099231425623042</v>
      </c>
      <c r="HH17" s="353" t="s">
        <v>314</v>
      </c>
      <c r="HI17" s="383"/>
      <c r="HJ17" s="383"/>
      <c r="HK17" s="383"/>
      <c r="HL17" s="383"/>
      <c r="HM17" s="383"/>
      <c r="HN17" s="383"/>
      <c r="HO17" s="383"/>
      <c r="HP17" s="383"/>
      <c r="HQ17" s="383"/>
      <c r="HR17" s="383"/>
    </row>
    <row r="18" spans="2:226" ht="15" customHeight="1" x14ac:dyDescent="0.25">
      <c r="M18" s="110" t="s">
        <v>290</v>
      </c>
      <c r="N18" s="107">
        <v>0.76</v>
      </c>
      <c r="O18" s="107">
        <v>0.76</v>
      </c>
      <c r="P18" s="107">
        <v>0.76</v>
      </c>
      <c r="Q18" s="107">
        <v>0.76</v>
      </c>
      <c r="R18" s="107">
        <v>0.76</v>
      </c>
      <c r="S18" s="107">
        <v>0.76</v>
      </c>
      <c r="T18" s="107">
        <v>0.76</v>
      </c>
      <c r="U18" s="107">
        <v>0.76</v>
      </c>
      <c r="W18" s="140" t="s">
        <v>275</v>
      </c>
      <c r="X18" s="265">
        <f>Forecast!Z93</f>
        <v>27.715744644788003</v>
      </c>
      <c r="Y18" s="265">
        <f>Forecast!AA93</f>
        <v>19.104643888722322</v>
      </c>
      <c r="Z18" s="265">
        <f>Forecast!AB93</f>
        <v>19.329736514976929</v>
      </c>
      <c r="AA18" s="265">
        <f>Forecast!AC93</f>
        <v>16.161093820566634</v>
      </c>
      <c r="AB18" s="265">
        <f>Forecast!AD93</f>
        <v>25.640535543656299</v>
      </c>
      <c r="AC18" s="265">
        <f>Forecast!AE93</f>
        <v>21.099743358629485</v>
      </c>
      <c r="AD18" s="265">
        <f>Forecast!AF93</f>
        <v>20.046586387046606</v>
      </c>
      <c r="AE18" s="266">
        <f>Forecast!AG93</f>
        <v>14.419010796936186</v>
      </c>
      <c r="AG18" s="134"/>
      <c r="AH18" s="134"/>
      <c r="AI18" s="134"/>
      <c r="AJ18" s="134"/>
      <c r="AK18" s="134"/>
      <c r="AL18" s="134"/>
      <c r="AM18" s="134"/>
      <c r="AN18" s="134"/>
      <c r="AO18" s="134"/>
      <c r="AQ18" s="134"/>
      <c r="AR18" s="134"/>
      <c r="AS18" s="134"/>
      <c r="AT18" s="134"/>
      <c r="AU18" s="134"/>
      <c r="AV18" s="134"/>
      <c r="AW18" s="134"/>
      <c r="AX18" s="134"/>
      <c r="AY18" s="134"/>
      <c r="BK18" s="161"/>
      <c r="BL18" s="270"/>
      <c r="BM18" s="270"/>
      <c r="BN18" s="270"/>
      <c r="BO18" s="270"/>
      <c r="BP18" s="270"/>
      <c r="BQ18" s="271"/>
      <c r="BR18" s="271"/>
      <c r="BS18" s="271"/>
      <c r="CE18" s="163"/>
      <c r="CG18" s="104" t="s">
        <v>232</v>
      </c>
      <c r="CH18" s="287">
        <f>Forecast!Z101</f>
        <v>132248.09862143715</v>
      </c>
      <c r="CI18" s="287">
        <f>Forecast!AA101</f>
        <v>122911.64455785799</v>
      </c>
      <c r="CJ18" s="287">
        <f>Forecast!AB101</f>
        <v>116632.16186845685</v>
      </c>
      <c r="CK18" s="287">
        <f>Forecast!AC101</f>
        <v>114339.56387687982</v>
      </c>
      <c r="CL18" s="287">
        <f>Forecast!AD101</f>
        <v>127423.78410927266</v>
      </c>
      <c r="CM18" s="287">
        <f>Forecast!AE101</f>
        <v>138119.86705135935</v>
      </c>
      <c r="CN18" s="287">
        <f>Forecast!AF101</f>
        <v>147487.51870777417</v>
      </c>
      <c r="CO18" s="287">
        <f>Forecast!AG101</f>
        <v>153250.60288154508</v>
      </c>
      <c r="EF18" s="104" t="s">
        <v>535</v>
      </c>
      <c r="EG18" s="321">
        <f>Expenses!Z106</f>
        <v>38</v>
      </c>
      <c r="EH18" s="321">
        <f>Expenses!AA106</f>
        <v>45</v>
      </c>
      <c r="EI18" s="321">
        <f>Expenses!AB106</f>
        <v>52</v>
      </c>
      <c r="EJ18" s="321">
        <f>Expenses!AC106</f>
        <v>62</v>
      </c>
      <c r="EK18" s="321">
        <f>Expenses!AD106</f>
        <v>62</v>
      </c>
      <c r="EL18" s="321">
        <f>Expenses!AE106</f>
        <v>67.034905071335643</v>
      </c>
      <c r="EM18" s="321">
        <f>Expenses!AF106</f>
        <v>74.098605134787149</v>
      </c>
      <c r="EN18" s="321">
        <f>Expenses!AG106</f>
        <v>84.517426343112305</v>
      </c>
      <c r="EP18" s="406" t="s">
        <v>218</v>
      </c>
      <c r="EQ18" s="113">
        <f>Expenses!Z132/Expenses!V132-1</f>
        <v>0.23310533992989391</v>
      </c>
      <c r="ER18" s="113">
        <f>Expenses!AA132/Expenses!W132-1</f>
        <v>1.2012035974723543</v>
      </c>
      <c r="ES18" s="113">
        <f>Expenses!AB132/Expenses!X132-1</f>
        <v>1.2932920976924742</v>
      </c>
      <c r="ET18" s="113">
        <f>Expenses!AC132/Expenses!Y132-1</f>
        <v>1.2532853689514574</v>
      </c>
      <c r="EU18" s="113">
        <f>Expenses!AD132/Expenses!Z132-1</f>
        <v>0.96174541970606553</v>
      </c>
      <c r="EV18" s="113">
        <f>Expenses!AE132/Expenses!AA132-1</f>
        <v>0.53244277905991866</v>
      </c>
      <c r="EW18" s="113">
        <f>Expenses!AF132/Expenses!AB132-1</f>
        <v>0.43707668140867595</v>
      </c>
      <c r="EX18" s="113">
        <f>Expenses!AG132/Expenses!AC132-1</f>
        <v>0.33437751256430159</v>
      </c>
      <c r="FI18" s="396"/>
      <c r="FJ18" s="396"/>
      <c r="HH18" s="359"/>
      <c r="HI18" s="112"/>
      <c r="HJ18" s="112"/>
      <c r="HK18" s="112"/>
      <c r="HL18" s="112"/>
      <c r="HM18" s="112"/>
      <c r="HN18" s="112"/>
      <c r="HO18" s="112"/>
      <c r="HP18" s="112"/>
      <c r="HQ18" s="112"/>
      <c r="HR18" s="112"/>
    </row>
    <row r="19" spans="2:226" ht="15" customHeight="1" x14ac:dyDescent="0.25">
      <c r="M19" s="110" t="s">
        <v>289</v>
      </c>
      <c r="N19" s="107">
        <v>0.79</v>
      </c>
      <c r="O19" s="107">
        <v>0.79</v>
      </c>
      <c r="P19" s="107">
        <v>0.79</v>
      </c>
      <c r="Q19" s="107">
        <v>0.79</v>
      </c>
      <c r="R19" s="107">
        <v>0.79</v>
      </c>
      <c r="S19" s="107">
        <v>0.79</v>
      </c>
      <c r="T19" s="107">
        <v>0.79</v>
      </c>
      <c r="U19" s="107">
        <v>0.79</v>
      </c>
      <c r="W19" s="140" t="s">
        <v>47</v>
      </c>
      <c r="X19" s="128">
        <f>Forecast!Z94</f>
        <v>0.76867095151062637</v>
      </c>
      <c r="Y19" s="128">
        <f>Forecast!AA94</f>
        <v>0.84345715402602095</v>
      </c>
      <c r="Z19" s="128">
        <f>Forecast!AB94</f>
        <v>0.90509162922268849</v>
      </c>
      <c r="AA19" s="128">
        <f>Forecast!AC94</f>
        <v>0.97084117732350927</v>
      </c>
      <c r="AB19" s="128">
        <f>Forecast!AD94</f>
        <v>0.93069902565787388</v>
      </c>
      <c r="AC19" s="128">
        <f>Forecast!AE94</f>
        <v>0.88518947492945887</v>
      </c>
      <c r="AD19" s="128">
        <f>Forecast!AF94</f>
        <v>0.85651404825471689</v>
      </c>
      <c r="AE19" s="133">
        <f>Forecast!AG94</f>
        <v>0.8752168702598031</v>
      </c>
      <c r="AG19" s="134"/>
      <c r="AH19" s="134"/>
      <c r="AI19" s="134"/>
      <c r="AJ19" s="134"/>
      <c r="AK19" s="134"/>
      <c r="AL19" s="134"/>
      <c r="AM19" s="134"/>
      <c r="AN19" s="134"/>
      <c r="AO19" s="134"/>
      <c r="AQ19" s="134"/>
      <c r="AR19" s="134"/>
      <c r="AS19" s="134"/>
      <c r="AT19" s="134"/>
      <c r="AU19" s="134"/>
      <c r="AV19" s="134"/>
      <c r="AW19" s="134"/>
      <c r="AX19" s="134"/>
      <c r="AY19" s="134"/>
      <c r="BK19" s="162" t="s">
        <v>32</v>
      </c>
      <c r="BL19" s="267">
        <f>Forecast!Z42/1000000</f>
        <v>27.196423428897219</v>
      </c>
      <c r="BM19" s="267">
        <f>Forecast!AA42/1000000</f>
        <v>33.247330000861851</v>
      </c>
      <c r="BN19" s="267">
        <f>Forecast!AB42/1000000</f>
        <v>38.020394546850135</v>
      </c>
      <c r="BO19" s="267">
        <f>Forecast!AC42/1000000</f>
        <v>42.360346516256158</v>
      </c>
      <c r="BP19" s="267">
        <f>Forecast!AD42/1000000</f>
        <v>48.768515229991799</v>
      </c>
      <c r="BQ19" s="268">
        <f>Forecast!AE42/1000000</f>
        <v>48.275162130762382</v>
      </c>
      <c r="BR19" s="268">
        <f>Forecast!AF42/1000000</f>
        <v>52.440789288573974</v>
      </c>
      <c r="BS19" s="268">
        <f>Forecast!AG42/1000000</f>
        <v>52.518755002006252</v>
      </c>
      <c r="BT19" s="394"/>
      <c r="BV19" s="104" t="s">
        <v>483</v>
      </c>
      <c r="BW19" s="280">
        <f>Expenses!Z56/1000000</f>
        <v>1.6763208200000002</v>
      </c>
      <c r="BX19" s="280">
        <f>Expenses!AA56/1000000</f>
        <v>2.1430065572901293</v>
      </c>
      <c r="BY19" s="280">
        <f>Expenses!AB56/1000000</f>
        <v>3.4956026884361773</v>
      </c>
      <c r="BZ19" s="280">
        <f>Expenses!AC56/1000000</f>
        <v>2.4070206041378297</v>
      </c>
      <c r="CA19" s="280">
        <f>Expenses!AD56/1000000</f>
        <v>2.7128669222605724</v>
      </c>
      <c r="CB19" s="280">
        <f>Expenses!AE56/1000000</f>
        <v>2.5593411300709143</v>
      </c>
      <c r="CC19" s="280">
        <f>Expenses!AF56/1000000</f>
        <v>3.9776575618146066</v>
      </c>
      <c r="CD19" s="280">
        <f>Expenses!AG56/1000000</f>
        <v>3.8751343858539009</v>
      </c>
      <c r="CG19" s="104" t="s">
        <v>629</v>
      </c>
      <c r="CH19" s="287">
        <v>199000</v>
      </c>
      <c r="CI19" s="287">
        <v>199000</v>
      </c>
      <c r="CJ19" s="287">
        <v>199000</v>
      </c>
      <c r="CK19" s="287">
        <v>199000</v>
      </c>
      <c r="CL19" s="287">
        <v>199000</v>
      </c>
      <c r="CM19" s="287">
        <v>199000</v>
      </c>
      <c r="CN19" s="287">
        <v>199000</v>
      </c>
      <c r="CO19" s="287">
        <v>199000</v>
      </c>
      <c r="EF19" s="104" t="s">
        <v>536</v>
      </c>
      <c r="EG19" s="321">
        <f>Expenses!Z107</f>
        <v>36.333333333333336</v>
      </c>
      <c r="EH19" s="321">
        <f>Expenses!AA107</f>
        <v>41</v>
      </c>
      <c r="EI19" s="321">
        <f>Expenses!AB107</f>
        <v>49.333333333333336</v>
      </c>
      <c r="EJ19" s="321">
        <f>Expenses!AC107</f>
        <v>57.333333333333336</v>
      </c>
      <c r="EK19" s="321">
        <f>Expenses!AD107</f>
        <v>62</v>
      </c>
      <c r="EL19" s="321">
        <f>Expenses!AE107</f>
        <v>64.365762328846913</v>
      </c>
      <c r="EM19" s="321">
        <f>Expenses!AF107</f>
        <v>71.488121883684528</v>
      </c>
      <c r="EN19" s="321">
        <f>Expenses!AG107</f>
        <v>80.390552598815162</v>
      </c>
      <c r="EZ19" s="340"/>
      <c r="FA19" s="339"/>
      <c r="FB19" s="339"/>
      <c r="FC19" s="339"/>
      <c r="FD19" s="339"/>
      <c r="FE19" s="339"/>
      <c r="FF19" s="339"/>
      <c r="FG19" s="339"/>
      <c r="FH19" s="339"/>
      <c r="FI19" s="339"/>
      <c r="FJ19" s="339"/>
      <c r="HH19" s="388" t="s">
        <v>607</v>
      </c>
      <c r="HI19" s="389">
        <f>Geo!D50/1000000</f>
        <v>0.30933514201657858</v>
      </c>
      <c r="HJ19" s="389">
        <f>Geo!E50/1000000</f>
        <v>0.72753481379462759</v>
      </c>
      <c r="HK19" s="389">
        <f>Geo!Z50/1000000</f>
        <v>0.28600442561651707</v>
      </c>
      <c r="HL19" s="389">
        <f>Geo!AA50/1000000</f>
        <v>0.51601323943405908</v>
      </c>
      <c r="HM19" s="389">
        <f>Geo!AB50/1000000</f>
        <v>0.33858457619627647</v>
      </c>
      <c r="HN19" s="389">
        <f>Geo!AC50/1000000</f>
        <v>0.42500346859498106</v>
      </c>
      <c r="HO19" s="389">
        <f>Geo!AD50/1000000</f>
        <v>0.45286686818514771</v>
      </c>
      <c r="HP19" s="389">
        <f>Geo!AE50/1000000</f>
        <v>0.60254202214315722</v>
      </c>
      <c r="HQ19" s="389">
        <f>Geo!AF50/1000000</f>
        <v>0.59403567363746879</v>
      </c>
      <c r="HR19" s="389">
        <f>Geo!AG50/1000000</f>
        <v>0.90949927660758234</v>
      </c>
    </row>
    <row r="20" spans="2:226" ht="15" customHeight="1" x14ac:dyDescent="0.2">
      <c r="AG20" s="134"/>
      <c r="AH20" s="134"/>
      <c r="AI20" s="134"/>
      <c r="AJ20" s="134"/>
      <c r="AK20" s="134"/>
      <c r="AL20" s="134"/>
      <c r="AM20" s="134"/>
      <c r="AN20" s="134"/>
      <c r="AO20" s="134"/>
      <c r="AQ20" s="134"/>
      <c r="AR20" s="134"/>
      <c r="AS20" s="134"/>
      <c r="AT20" s="134"/>
      <c r="AU20" s="134"/>
      <c r="AV20" s="134"/>
      <c r="AW20" s="134"/>
      <c r="AX20" s="134"/>
      <c r="AY20" s="134"/>
      <c r="BK20" s="163" t="s">
        <v>12</v>
      </c>
      <c r="BL20" s="269">
        <f>Forecast!Z43/1000000</f>
        <v>13.9193967</v>
      </c>
      <c r="BM20" s="269">
        <f>Forecast!AA43/1000000</f>
        <v>18.593695905886413</v>
      </c>
      <c r="BN20" s="269">
        <f>Forecast!AB43/1000000</f>
        <v>21.940119888907983</v>
      </c>
      <c r="BO20" s="269">
        <f>Forecast!AC43/1000000</f>
        <v>23.678515684461086</v>
      </c>
      <c r="BP20" s="269">
        <f>Forecast!AD43/1000000</f>
        <v>25.209041573190092</v>
      </c>
      <c r="BQ20" s="269">
        <f>Forecast!AE43/1000000</f>
        <v>25.85930558628996</v>
      </c>
      <c r="BR20" s="269">
        <f>Forecast!AF43/1000000</f>
        <v>27.84926870999918</v>
      </c>
      <c r="BS20" s="269">
        <f>Forecast!AG43/1000000</f>
        <v>28.582302425372042</v>
      </c>
      <c r="BV20" s="282" t="s">
        <v>577</v>
      </c>
      <c r="BW20" s="284">
        <f>BW19/BW8</f>
        <v>0.18484800754064354</v>
      </c>
      <c r="BX20" s="284">
        <f t="shared" ref="BX20:CD20" si="62">BX19/BX8</f>
        <v>0.15105306651928371</v>
      </c>
      <c r="BY20" s="284">
        <f t="shared" si="62"/>
        <v>0.20207314355623124</v>
      </c>
      <c r="BZ20" s="284">
        <f t="shared" si="62"/>
        <v>0.10296186515245849</v>
      </c>
      <c r="CA20" s="284">
        <f t="shared" si="62"/>
        <v>0.17519053677699584</v>
      </c>
      <c r="CB20" s="284">
        <f t="shared" si="62"/>
        <v>0.12422057559075465</v>
      </c>
      <c r="CC20" s="284">
        <f t="shared" si="62"/>
        <v>0.19582474385541218</v>
      </c>
      <c r="CD20" s="284">
        <f t="shared" si="62"/>
        <v>0.12460547120341789</v>
      </c>
      <c r="CH20" s="106"/>
      <c r="CI20" s="106"/>
      <c r="CJ20" s="106"/>
      <c r="CK20" s="106"/>
      <c r="CL20" s="106"/>
      <c r="CM20" s="106"/>
      <c r="CN20" s="106"/>
      <c r="CO20" s="106"/>
      <c r="EF20" s="322" t="s">
        <v>631</v>
      </c>
      <c r="EG20" s="281">
        <f>Expenses!D108/1000</f>
        <v>147.65319545454545</v>
      </c>
      <c r="EH20" s="281">
        <f>Expenses!E108/1000</f>
        <v>134.56748470588232</v>
      </c>
      <c r="EI20" s="281">
        <f>Expenses!F108/1000</f>
        <v>137.70324130790192</v>
      </c>
      <c r="EJ20" s="281">
        <f>Expenses!G108/1000</f>
        <v>183.89023712580581</v>
      </c>
      <c r="EK20" s="281">
        <f>Expenses!H108/1000</f>
        <v>193.08474898209613</v>
      </c>
      <c r="EL20" s="281">
        <f>Expenses!I108/1000</f>
        <v>202.73898643120094</v>
      </c>
      <c r="EM20" s="281">
        <f>Expenses!J108/1000</f>
        <v>212.875935752761</v>
      </c>
      <c r="EN20" s="281">
        <f>Expenses!K108/1000</f>
        <v>223.51973254039908</v>
      </c>
      <c r="EP20" s="104" t="s">
        <v>544</v>
      </c>
      <c r="EQ20" s="321">
        <f>Expenses!Z134</f>
        <v>35</v>
      </c>
      <c r="ER20" s="321">
        <f>Expenses!AA134</f>
        <v>49</v>
      </c>
      <c r="ES20" s="321">
        <f>Expenses!AB134</f>
        <v>62</v>
      </c>
      <c r="ET20" s="321">
        <f>Expenses!AC134</f>
        <v>73</v>
      </c>
      <c r="EU20" s="321">
        <f>Expenses!AD134</f>
        <v>73</v>
      </c>
      <c r="EV20" s="321">
        <f>Expenses!AE134</f>
        <v>73</v>
      </c>
      <c r="EW20" s="321">
        <f>Expenses!AF134</f>
        <v>75.429784786212224</v>
      </c>
      <c r="EX20" s="321">
        <f>Expenses!AG134</f>
        <v>86.035779865882589</v>
      </c>
      <c r="EZ20" s="110" t="s">
        <v>296</v>
      </c>
      <c r="FA20" s="346">
        <f t="shared" ref="FA20:FH24" si="63">FA13/FA$17</f>
        <v>0.95976860110071394</v>
      </c>
      <c r="FB20" s="346">
        <f t="shared" si="63"/>
        <v>0.96003922336061809</v>
      </c>
      <c r="FC20" s="346">
        <f t="shared" si="63"/>
        <v>0.90014997710417299</v>
      </c>
      <c r="FD20" s="346">
        <f t="shared" si="63"/>
        <v>0.89766393857122495</v>
      </c>
      <c r="FE20" s="346">
        <f t="shared" si="63"/>
        <v>0.89336694382706328</v>
      </c>
      <c r="FF20" s="346">
        <f t="shared" si="63"/>
        <v>0.89295167311215518</v>
      </c>
      <c r="FG20" s="346">
        <f t="shared" si="63"/>
        <v>0.84132881263827819</v>
      </c>
      <c r="FH20" s="346">
        <f t="shared" si="63"/>
        <v>0.84132881263827819</v>
      </c>
      <c r="FI20" s="401">
        <f t="shared" ref="FI20:FJ20" si="64">FI13/FI$17</f>
        <v>0.84132881263827819</v>
      </c>
      <c r="FJ20" s="401">
        <f t="shared" si="64"/>
        <v>0.84132881263827819</v>
      </c>
      <c r="HH20" s="388" t="s">
        <v>608</v>
      </c>
      <c r="HI20" s="390">
        <f>Geo!D51/1000000</f>
        <v>0.34010178209873593</v>
      </c>
      <c r="HJ20" s="390">
        <f>Geo!E51/1000000</f>
        <v>0.6882705643280923</v>
      </c>
      <c r="HK20" s="390">
        <f>Geo!Z51/1000000</f>
        <v>0.26687683738339429</v>
      </c>
      <c r="HL20" s="390">
        <f>Geo!AA51/1000000</f>
        <v>0.47284078248748179</v>
      </c>
      <c r="HM20" s="390">
        <f>Geo!AB51/1000000</f>
        <v>0.44332655112711583</v>
      </c>
      <c r="HN20" s="390">
        <f>Geo!AC51/1000000</f>
        <v>0.62646426921667753</v>
      </c>
      <c r="HO20" s="390">
        <f>Geo!AD51/1000000</f>
        <v>0.54455805532064339</v>
      </c>
      <c r="HP20" s="390">
        <f>Geo!AE51/1000000</f>
        <v>0.72453768398243534</v>
      </c>
      <c r="HQ20" s="390">
        <f>Geo!AF51/1000000</f>
        <v>0.71430906951412443</v>
      </c>
      <c r="HR20" s="390">
        <f>Geo!AG51/1000000</f>
        <v>1.0936440534273562</v>
      </c>
    </row>
    <row r="21" spans="2:226" ht="15" customHeight="1" x14ac:dyDescent="0.2">
      <c r="AG21" s="134"/>
      <c r="AH21" s="134"/>
      <c r="AI21" s="134"/>
      <c r="AJ21" s="134"/>
      <c r="AK21" s="134"/>
      <c r="AL21" s="134"/>
      <c r="AM21" s="134"/>
      <c r="AN21" s="134"/>
      <c r="AO21" s="134"/>
      <c r="AQ21" s="134"/>
      <c r="AR21" s="134"/>
      <c r="AS21" s="134"/>
      <c r="AT21" s="134"/>
      <c r="AU21" s="134"/>
      <c r="AV21" s="134"/>
      <c r="AW21" s="134"/>
      <c r="AX21" s="134"/>
      <c r="AY21" s="134"/>
      <c r="BK21" s="163" t="s">
        <v>13</v>
      </c>
      <c r="BL21" s="269">
        <f>Forecast!Z44/1000000</f>
        <v>8.1129194200000008</v>
      </c>
      <c r="BM21" s="269">
        <f>Forecast!AA44/1000000</f>
        <v>9.2114860650891774</v>
      </c>
      <c r="BN21" s="269">
        <f>Forecast!AB44/1000000</f>
        <v>10.824143673175518</v>
      </c>
      <c r="BO21" s="269">
        <f>Forecast!AC44/1000000</f>
        <v>12.693575850454602</v>
      </c>
      <c r="BP21" s="269">
        <f>Forecast!AD44/1000000</f>
        <v>14.450121402541447</v>
      </c>
      <c r="BQ21" s="269">
        <f>Forecast!AE44/1000000</f>
        <v>15.001501287402686</v>
      </c>
      <c r="BR21" s="269">
        <f>Forecast!AF44/1000000</f>
        <v>16.661484517079376</v>
      </c>
      <c r="BS21" s="269">
        <f>Forecast!AG44/1000000</f>
        <v>18.736342655972141</v>
      </c>
      <c r="CG21" s="282"/>
      <c r="CH21" s="283"/>
      <c r="CI21" s="283"/>
      <c r="CJ21" s="283"/>
      <c r="CK21" s="283"/>
      <c r="CL21" s="283"/>
      <c r="CM21" s="283"/>
      <c r="CN21" s="283"/>
      <c r="CO21" s="283"/>
      <c r="EF21" s="322" t="s">
        <v>630</v>
      </c>
      <c r="EG21" s="281">
        <f>Expenses!D109/1000000</f>
        <v>1.8617628775378787</v>
      </c>
      <c r="EH21" s="281">
        <f>Expenses!E109/1000000</f>
        <v>1.7311271541192297</v>
      </c>
      <c r="EI21" s="281">
        <f>Expenses!F109/1000000</f>
        <v>2.1692181874760688</v>
      </c>
      <c r="EJ21" s="281">
        <f>Expenses!G109/1000000</f>
        <v>2.2489330227977855</v>
      </c>
      <c r="EK21" s="281">
        <f>Expenses!H109/1000000</f>
        <v>2.4738263250775643</v>
      </c>
      <c r="EL21" s="281">
        <f>Expenses!I109/1000000</f>
        <v>2.8449002738391989</v>
      </c>
      <c r="EM21" s="281">
        <f>Expenses!J109/1000000</f>
        <v>3.4138803286070387</v>
      </c>
      <c r="EN21" s="281">
        <f>Expenses!K109/1000000</f>
        <v>4.0966563943284457</v>
      </c>
      <c r="EP21" s="104" t="s">
        <v>545</v>
      </c>
      <c r="EQ21" s="321">
        <f>Expenses!Z135</f>
        <v>32.666666666666664</v>
      </c>
      <c r="ER21" s="321">
        <f>Expenses!AA135</f>
        <v>44.666666666666664</v>
      </c>
      <c r="ES21" s="321">
        <f>Expenses!AB135</f>
        <v>57.333333333333336</v>
      </c>
      <c r="ET21" s="321">
        <f>Expenses!AC135</f>
        <v>69.666666666666671</v>
      </c>
      <c r="EU21" s="321">
        <f>Expenses!AD135</f>
        <v>73</v>
      </c>
      <c r="EV21" s="321">
        <f>Expenses!AE135</f>
        <v>73</v>
      </c>
      <c r="EW21" s="321">
        <f>Expenses!AF135</f>
        <v>73.809928262070741</v>
      </c>
      <c r="EX21" s="321">
        <f>Expenses!AG135</f>
        <v>81.834766934452091</v>
      </c>
      <c r="EZ21" s="110" t="s">
        <v>298</v>
      </c>
      <c r="FA21" s="346">
        <f t="shared" si="63"/>
        <v>1.9999999999999997E-2</v>
      </c>
      <c r="FB21" s="346">
        <f t="shared" si="63"/>
        <v>1.9999999999999997E-2</v>
      </c>
      <c r="FC21" s="346">
        <f t="shared" si="63"/>
        <v>3.0000000000000002E-2</v>
      </c>
      <c r="FD21" s="346">
        <f t="shared" si="63"/>
        <v>2.9999999999999995E-2</v>
      </c>
      <c r="FE21" s="346">
        <f t="shared" si="63"/>
        <v>0.03</v>
      </c>
      <c r="FF21" s="346">
        <f t="shared" si="63"/>
        <v>0.03</v>
      </c>
      <c r="FG21" s="346">
        <f t="shared" si="63"/>
        <v>4.4999999999999998E-2</v>
      </c>
      <c r="FH21" s="346">
        <f t="shared" si="63"/>
        <v>4.5000000000000005E-2</v>
      </c>
      <c r="FI21" s="401">
        <f t="shared" ref="FI21:FJ21" si="65">FI14/FI$17</f>
        <v>4.5000000000000005E-2</v>
      </c>
      <c r="FJ21" s="401">
        <f t="shared" si="65"/>
        <v>4.4999999999999998E-2</v>
      </c>
      <c r="HH21" s="388" t="s">
        <v>313</v>
      </c>
      <c r="HI21" s="391">
        <f>Geo!D52/1000000</f>
        <v>0.34248895409247909</v>
      </c>
      <c r="HJ21" s="391">
        <f>Geo!E52/1000000</f>
        <v>0.71284751373755162</v>
      </c>
      <c r="HK21" s="391">
        <f>Geo!Z52/1000000</f>
        <v>0.23490595092756941</v>
      </c>
      <c r="HL21" s="391">
        <f>Geo!AA52/1000000</f>
        <v>0.53840950980066005</v>
      </c>
      <c r="HM21" s="391">
        <f>Geo!AB52/1000000</f>
        <v>0.44517220600994095</v>
      </c>
      <c r="HN21" s="391">
        <f>Geo!AC52/1000000</f>
        <v>0.52629892885500817</v>
      </c>
      <c r="HO21" s="391">
        <f>Geo!AD52/1000000</f>
        <v>0.62981382954268017</v>
      </c>
      <c r="HP21" s="391">
        <f>Geo!AE52/1000000</f>
        <v>0.83797099122566798</v>
      </c>
      <c r="HQ21" s="391">
        <f>Geo!AF52/1000000</f>
        <v>0.8261409892887589</v>
      </c>
      <c r="HR21" s="391">
        <f>Geo!AG52/1000000</f>
        <v>1.2648644946406897</v>
      </c>
    </row>
    <row r="22" spans="2:226" ht="15" customHeight="1" x14ac:dyDescent="0.2">
      <c r="AG22" s="134"/>
      <c r="AH22" s="134"/>
      <c r="AI22" s="134"/>
      <c r="AJ22" s="134"/>
      <c r="AK22" s="134"/>
      <c r="AL22" s="134"/>
      <c r="AM22" s="134"/>
      <c r="AN22" s="134"/>
      <c r="AO22" s="134"/>
      <c r="AQ22" s="134"/>
      <c r="AR22" s="134"/>
      <c r="AS22" s="134"/>
      <c r="AT22" s="134"/>
      <c r="AU22" s="134"/>
      <c r="AV22" s="134"/>
      <c r="AW22" s="134"/>
      <c r="AX22" s="134"/>
      <c r="AY22" s="134"/>
      <c r="BK22" s="163" t="s">
        <v>14</v>
      </c>
      <c r="BL22" s="269">
        <f>Forecast!Z45/1000000</f>
        <v>6.0348334900000005</v>
      </c>
      <c r="BM22" s="269">
        <f>Forecast!AA45/1000000</f>
        <v>7.784350445780186</v>
      </c>
      <c r="BN22" s="269">
        <f>Forecast!AB45/1000000</f>
        <v>8.4473045198474566</v>
      </c>
      <c r="BO22" s="269">
        <f>Forecast!AC45/1000000</f>
        <v>9.8865870575417816</v>
      </c>
      <c r="BP22" s="269">
        <f>Forecast!AD45/1000000</f>
        <v>11.838806957696271</v>
      </c>
      <c r="BQ22" s="269">
        <f>Forecast!AE45/1000000</f>
        <v>11.929071630307703</v>
      </c>
      <c r="BR22" s="269">
        <f>Forecast!AF45/1000000</f>
        <v>12.139424346230891</v>
      </c>
      <c r="BS22" s="269">
        <f>Forecast!AG45/1000000</f>
        <v>13.192439445593026</v>
      </c>
      <c r="EG22" s="321"/>
      <c r="EH22" s="321"/>
      <c r="EI22" s="321"/>
      <c r="EJ22" s="321"/>
      <c r="EK22" s="321"/>
      <c r="EL22" s="321"/>
      <c r="EM22" s="321"/>
      <c r="EN22" s="321"/>
      <c r="EP22" s="322" t="s">
        <v>631</v>
      </c>
      <c r="EQ22" s="281">
        <f>Expenses!Z136/1000</f>
        <v>174.05766122448981</v>
      </c>
      <c r="ER22" s="281">
        <f>Expenses!AA136/1000</f>
        <v>215.3992934703771</v>
      </c>
      <c r="ES22" s="281">
        <f>Expenses!AB136/1000</f>
        <v>180.59068324231765</v>
      </c>
      <c r="ET22" s="281">
        <f>Expenses!AC136/1000</f>
        <v>173.63418172494451</v>
      </c>
      <c r="EU22" s="281">
        <f>Expenses!AD136/1000</f>
        <v>194.0226957657157</v>
      </c>
      <c r="EV22" s="281">
        <f>Expenses!AE136/1000</f>
        <v>194.0226957657157</v>
      </c>
      <c r="EW22" s="281">
        <f>Expenses!AF136/1000</f>
        <v>194.0226957657157</v>
      </c>
      <c r="EX22" s="281">
        <f>Expenses!AG136/1000</f>
        <v>194.02269576571564</v>
      </c>
      <c r="EZ22" s="110" t="s">
        <v>299</v>
      </c>
      <c r="FA22" s="346">
        <f t="shared" si="63"/>
        <v>6.7437996330953235E-3</v>
      </c>
      <c r="FB22" s="346">
        <f t="shared" si="63"/>
        <v>6.6535922131273038E-3</v>
      </c>
      <c r="FC22" s="346">
        <f t="shared" si="63"/>
        <v>3.4962210158264E-2</v>
      </c>
      <c r="FD22" s="346">
        <f t="shared" si="63"/>
        <v>3.5807478158068382E-2</v>
      </c>
      <c r="FE22" s="346">
        <f t="shared" si="63"/>
        <v>3.7017987864213307E-2</v>
      </c>
      <c r="FF22" s="346">
        <f t="shared" si="63"/>
        <v>3.7074569841849522E-2</v>
      </c>
      <c r="FG22" s="346">
        <f t="shared" si="63"/>
        <v>7.6084805707314115E-2</v>
      </c>
      <c r="FH22" s="346">
        <f t="shared" si="63"/>
        <v>7.6084805707314129E-2</v>
      </c>
      <c r="FI22" s="401">
        <f t="shared" ref="FI22:FJ22" si="66">FI15/FI$17</f>
        <v>7.6084805707314102E-2</v>
      </c>
      <c r="FJ22" s="401">
        <f t="shared" si="66"/>
        <v>7.6084805707314115E-2</v>
      </c>
      <c r="HH22" s="392" t="s">
        <v>706</v>
      </c>
      <c r="HI22" s="393">
        <f>SUM(HI19:HI21)</f>
        <v>0.99192587820779354</v>
      </c>
      <c r="HJ22" s="393">
        <f t="shared" ref="HJ22:HR22" si="67">SUM(HJ19:HJ21)</f>
        <v>2.1286528918602716</v>
      </c>
      <c r="HK22" s="393">
        <f t="shared" si="67"/>
        <v>0.78778721392748075</v>
      </c>
      <c r="HL22" s="393">
        <f t="shared" si="67"/>
        <v>1.527263531722201</v>
      </c>
      <c r="HM22" s="393">
        <f t="shared" si="67"/>
        <v>1.2270833333333333</v>
      </c>
      <c r="HN22" s="393">
        <f t="shared" si="67"/>
        <v>1.5777666666666668</v>
      </c>
      <c r="HO22" s="393">
        <f t="shared" si="67"/>
        <v>1.6272387530484713</v>
      </c>
      <c r="HP22" s="393">
        <f t="shared" si="67"/>
        <v>2.1650506973512607</v>
      </c>
      <c r="HQ22" s="393">
        <f t="shared" si="67"/>
        <v>2.1344857324403521</v>
      </c>
      <c r="HR22" s="393">
        <f t="shared" si="67"/>
        <v>3.2680078246756281</v>
      </c>
    </row>
    <row r="23" spans="2:226" ht="15" customHeight="1" x14ac:dyDescent="0.2">
      <c r="AG23" s="134"/>
      <c r="AH23" s="134"/>
      <c r="AI23" s="134"/>
      <c r="AJ23" s="134"/>
      <c r="AK23" s="134"/>
      <c r="AL23" s="134"/>
      <c r="AM23" s="134"/>
      <c r="AN23" s="134"/>
      <c r="AO23" s="134"/>
      <c r="AQ23" s="134"/>
      <c r="AR23" s="134"/>
      <c r="AS23" s="134"/>
      <c r="AT23" s="134"/>
      <c r="AU23" s="134"/>
      <c r="AV23" s="134"/>
      <c r="AW23" s="134"/>
      <c r="AX23" s="134"/>
      <c r="AY23" s="134"/>
      <c r="BK23" s="163" t="s">
        <v>15</v>
      </c>
      <c r="BL23" s="269">
        <f>Forecast!Z46/1000000</f>
        <v>-0.87072618110277789</v>
      </c>
      <c r="BM23" s="269">
        <f>Forecast!AA46/1000000</f>
        <v>-2.3422024158939241</v>
      </c>
      <c r="BN23" s="269">
        <f>Forecast!AB46/1000000</f>
        <v>-3.1911735350808201</v>
      </c>
      <c r="BO23" s="269">
        <f>Forecast!AC46/1000000</f>
        <v>-3.8983320762013132</v>
      </c>
      <c r="BP23" s="269">
        <f>Forecast!AD46/1000000</f>
        <v>-2.7294547034360068</v>
      </c>
      <c r="BQ23" s="269">
        <f>Forecast!AE46/1000000</f>
        <v>-4.5147163732379685</v>
      </c>
      <c r="BR23" s="269">
        <f>Forecast!AF46/1000000</f>
        <v>-4.2093882847354696</v>
      </c>
      <c r="BS23" s="269">
        <f>Forecast!AG46/1000000</f>
        <v>-7.9923295249309581</v>
      </c>
      <c r="CH23" s="280"/>
      <c r="CI23" s="280"/>
      <c r="CJ23" s="280"/>
      <c r="CK23" s="280"/>
      <c r="CL23" s="280"/>
      <c r="CM23" s="280"/>
      <c r="CN23" s="280"/>
      <c r="CO23" s="280"/>
      <c r="EF23" s="104" t="s">
        <v>537</v>
      </c>
      <c r="EG23" s="321">
        <f>Expenses!Z111</f>
        <v>152</v>
      </c>
      <c r="EH23" s="321">
        <f>Expenses!AA111</f>
        <v>170</v>
      </c>
      <c r="EI23" s="321">
        <f>Expenses!AB111</f>
        <v>207</v>
      </c>
      <c r="EJ23" s="321">
        <f>Expenses!AC111</f>
        <v>248</v>
      </c>
      <c r="EK23" s="321">
        <f>Expenses!AD111</f>
        <v>250.02173913043478</v>
      </c>
      <c r="EL23" s="321">
        <f>Expenses!AE111</f>
        <v>270.32554110288612</v>
      </c>
      <c r="EM23" s="321">
        <f>Expenses!AF111</f>
        <v>298.81067940223949</v>
      </c>
      <c r="EN23" s="321">
        <f>Expenses!AG111</f>
        <v>340.82570840537682</v>
      </c>
      <c r="EP23" s="322" t="s">
        <v>542</v>
      </c>
      <c r="EQ23" s="281">
        <f>Expenses!Z137/1000000</f>
        <v>2.6011663762143971</v>
      </c>
      <c r="ER23" s="281">
        <f>Expenses!AA137/1000000</f>
        <v>2.1180245099249921</v>
      </c>
      <c r="ES23" s="281">
        <f>Expenses!AB137/1000000</f>
        <v>1.8937496285994184</v>
      </c>
      <c r="ET23" s="281">
        <f>Expenses!AC137/1000000</f>
        <v>1.8036196328531964</v>
      </c>
      <c r="EU23" s="281">
        <f>Expenses!AD137/1000000</f>
        <v>1.9666470175464166</v>
      </c>
      <c r="EV23" s="281">
        <f>Expenses!AE137/1000000</f>
        <v>2.1812290038737983</v>
      </c>
      <c r="EW23" s="281">
        <f>Expenses!AF137/1000000</f>
        <v>2.3960082608167381</v>
      </c>
      <c r="EX23" s="281">
        <f>Expenses!AG137/1000000</f>
        <v>2.430168408321784</v>
      </c>
      <c r="EZ23" s="110" t="s">
        <v>300</v>
      </c>
      <c r="FA23" s="347">
        <f t="shared" si="63"/>
        <v>1.3487599266190647E-2</v>
      </c>
      <c r="FB23" s="347">
        <f t="shared" si="63"/>
        <v>1.3307184426254608E-2</v>
      </c>
      <c r="FC23" s="347">
        <f t="shared" si="63"/>
        <v>3.4887812737563084E-2</v>
      </c>
      <c r="FD23" s="347">
        <f t="shared" si="63"/>
        <v>3.6528583270706572E-2</v>
      </c>
      <c r="FE23" s="347">
        <f t="shared" si="63"/>
        <v>3.9615068308723501E-2</v>
      </c>
      <c r="FF23" s="347">
        <f t="shared" si="63"/>
        <v>3.997375704599529E-2</v>
      </c>
      <c r="FG23" s="347">
        <f t="shared" si="63"/>
        <v>3.7586381654407704E-2</v>
      </c>
      <c r="FH23" s="347">
        <f t="shared" si="63"/>
        <v>3.7586381654407704E-2</v>
      </c>
      <c r="FI23" s="402">
        <f t="shared" ref="FI23:FJ23" si="68">FI16/FI$17</f>
        <v>3.7586381654407704E-2</v>
      </c>
      <c r="FJ23" s="402">
        <f t="shared" si="68"/>
        <v>3.7586381654407704E-2</v>
      </c>
      <c r="HH23" s="385" t="s">
        <v>708</v>
      </c>
      <c r="HI23" s="386"/>
      <c r="HJ23" s="387">
        <f>HJ22/HI22-1</f>
        <v>1.1459797940812981</v>
      </c>
      <c r="HK23" s="409">
        <f>(Geo!Z50+Geo!Z51+Geo!Z52)/(Geo!V50+Geo!V51+Geo!V52)-1</f>
        <v>2.0363048923978777</v>
      </c>
      <c r="HL23" s="409">
        <f>(Geo!AA50+Geo!AA51+Geo!AA52)/(Geo!W50+Geo!W51+Geo!W52)-1</f>
        <v>0.87710773643304196</v>
      </c>
      <c r="HM23" s="409">
        <f>(Geo!AB50+Geo!AB51+Geo!AB52)/(Geo!X50+Geo!X51+Geo!X52)-1</f>
        <v>1.1868164704631874</v>
      </c>
      <c r="HN23" s="409">
        <f>(Geo!AC50+Geo!AC51+Geo!AC52)/(Geo!Y50+Geo!Y51+Geo!Y52)-1</f>
        <v>0.63277580929130584</v>
      </c>
      <c r="HO23" s="409">
        <f>(Geo!AD50+Geo!AD51+Geo!AD52)/(Geo!Z50+Geo!Z51+Geo!Z52)-1</f>
        <v>1.0655815736535494</v>
      </c>
      <c r="HP23" s="409">
        <f>(Geo!AE50+Geo!AE51+Geo!AE52)/(Geo!AA50+Geo!AA51+Geo!AA52)-1</f>
        <v>0.41760125373377188</v>
      </c>
      <c r="HQ23" s="409">
        <f>(Geo!AF50+Geo!AF51+Geo!AF52)/(Geo!AB50+Geo!AB51+Geo!AB52)-1</f>
        <v>0.73947903492592393</v>
      </c>
      <c r="HR23" s="409">
        <f>(Geo!AG50+Geo!AG51+Geo!AG52)/(Geo!AC50+Geo!AC51+Geo!AC52)-1</f>
        <v>1.0712871514644928</v>
      </c>
    </row>
    <row r="24" spans="2:226" ht="15" customHeight="1" x14ac:dyDescent="0.25">
      <c r="AG24" s="134"/>
      <c r="AH24" s="134"/>
      <c r="AI24" s="134"/>
      <c r="AJ24" s="134"/>
      <c r="AK24" s="134"/>
      <c r="AL24" s="134"/>
      <c r="AM24" s="134"/>
      <c r="AN24" s="134"/>
      <c r="AO24" s="134"/>
      <c r="AQ24" s="134"/>
      <c r="AR24" s="134"/>
      <c r="AS24" s="134"/>
      <c r="AT24" s="134"/>
      <c r="AU24" s="134"/>
      <c r="AV24" s="134"/>
      <c r="AW24" s="134"/>
      <c r="AX24" s="134"/>
      <c r="AY24" s="134"/>
      <c r="BK24" s="161"/>
      <c r="BL24" s="270"/>
      <c r="BM24" s="270"/>
      <c r="BN24" s="270"/>
      <c r="BO24" s="270"/>
      <c r="BP24" s="270"/>
      <c r="BQ24" s="271"/>
      <c r="BR24" s="271"/>
      <c r="BS24" s="271"/>
      <c r="CG24" s="282"/>
      <c r="CH24" s="283"/>
      <c r="CI24" s="283"/>
      <c r="CJ24" s="283"/>
      <c r="CK24" s="283"/>
      <c r="CL24" s="283"/>
      <c r="CM24" s="283"/>
      <c r="CN24" s="283"/>
      <c r="CO24" s="283"/>
      <c r="EF24" s="104" t="s">
        <v>538</v>
      </c>
      <c r="EG24" s="321">
        <f>Expenses!Z112</f>
        <v>149.66666666666666</v>
      </c>
      <c r="EH24" s="321">
        <f>Expenses!AA112</f>
        <v>163.33333333333334</v>
      </c>
      <c r="EI24" s="321">
        <f>Expenses!AB112</f>
        <v>194</v>
      </c>
      <c r="EJ24" s="321">
        <f>Expenses!AC112</f>
        <v>235</v>
      </c>
      <c r="EK24" s="321">
        <f>Expenses!AD112</f>
        <v>250.02173913043478</v>
      </c>
      <c r="EL24" s="321">
        <f>Expenses!AE112</f>
        <v>259.56193286958916</v>
      </c>
      <c r="EM24" s="321">
        <f>Expenses!AF112</f>
        <v>288.28362194398869</v>
      </c>
      <c r="EN24" s="321">
        <f>Expenses!AG112</f>
        <v>324.18364145826553</v>
      </c>
      <c r="EZ24" s="343" t="s">
        <v>653</v>
      </c>
      <c r="FA24" s="348">
        <f t="shared" si="63"/>
        <v>1</v>
      </c>
      <c r="FB24" s="348">
        <f t="shared" si="63"/>
        <v>1</v>
      </c>
      <c r="FC24" s="348">
        <f t="shared" si="63"/>
        <v>1</v>
      </c>
      <c r="FD24" s="348">
        <f t="shared" si="63"/>
        <v>1</v>
      </c>
      <c r="FE24" s="348">
        <f t="shared" si="63"/>
        <v>1</v>
      </c>
      <c r="FF24" s="348">
        <f t="shared" si="63"/>
        <v>1</v>
      </c>
      <c r="FG24" s="348">
        <f t="shared" si="63"/>
        <v>1</v>
      </c>
      <c r="FH24" s="348">
        <f t="shared" si="63"/>
        <v>1</v>
      </c>
      <c r="FI24" s="403">
        <f t="shared" ref="FI24:FJ24" si="69">FI17/FI$17</f>
        <v>1</v>
      </c>
      <c r="FJ24" s="403">
        <f t="shared" si="69"/>
        <v>1</v>
      </c>
      <c r="HH24" s="385" t="s">
        <v>709</v>
      </c>
      <c r="HI24" s="386">
        <f>Geo!D31</f>
        <v>0</v>
      </c>
      <c r="HJ24" s="387">
        <f>Geo!E31</f>
        <v>0</v>
      </c>
      <c r="HK24" s="387">
        <f>Geo!Z31</f>
        <v>0</v>
      </c>
      <c r="HL24" s="387">
        <f>Geo!AA31</f>
        <v>0</v>
      </c>
      <c r="HM24" s="387">
        <f>Geo!AB31</f>
        <v>0</v>
      </c>
      <c r="HN24" s="387">
        <f>Geo!AC31</f>
        <v>0</v>
      </c>
      <c r="HO24" s="387">
        <f>Geo!AD31</f>
        <v>9.9999999999999992E-2</v>
      </c>
      <c r="HP24" s="387">
        <f>Geo!AE31</f>
        <v>0.1</v>
      </c>
      <c r="HQ24" s="387">
        <f>Geo!AF31</f>
        <v>0.1</v>
      </c>
      <c r="HR24" s="387">
        <f>Geo!AG31</f>
        <v>0.1</v>
      </c>
    </row>
    <row r="25" spans="2:226" ht="15" customHeight="1" thickBot="1" x14ac:dyDescent="0.3">
      <c r="AG25" s="134"/>
      <c r="AH25" s="134"/>
      <c r="AI25" s="134"/>
      <c r="AJ25" s="134"/>
      <c r="AK25" s="134"/>
      <c r="AL25" s="134"/>
      <c r="AM25" s="134"/>
      <c r="AN25" s="134"/>
      <c r="AO25" s="134"/>
      <c r="AQ25" s="134"/>
      <c r="AR25" s="134"/>
      <c r="AS25" s="134"/>
      <c r="AT25" s="134"/>
      <c r="AU25" s="134"/>
      <c r="AV25" s="134"/>
      <c r="AW25" s="134"/>
      <c r="AX25" s="134"/>
      <c r="AY25" s="134"/>
      <c r="BK25" s="162" t="s">
        <v>291</v>
      </c>
      <c r="BL25" s="273">
        <f>Forecast!Z48/1000000</f>
        <v>-13.070546927785221</v>
      </c>
      <c r="BM25" s="273">
        <f>Forecast!AA48/1000000</f>
        <v>-17.715701364922939</v>
      </c>
      <c r="BN25" s="273">
        <f>Forecast!AB48/1000000</f>
        <v>-20.464231862110765</v>
      </c>
      <c r="BO25" s="273">
        <f>Forecast!AC48/1000000</f>
        <v>-21.970137249156593</v>
      </c>
      <c r="BP25" s="273">
        <f>Forecast!AD48/1000000</f>
        <v>-23.060467917583562</v>
      </c>
      <c r="BQ25" s="274">
        <f>Forecast!AE48/1000000</f>
        <v>-19.024344913929482</v>
      </c>
      <c r="BR25" s="274">
        <f>Forecast!AF48/1000000</f>
        <v>-20.142011873233216</v>
      </c>
      <c r="BS25" s="274">
        <f>Forecast!AG48/1000000</f>
        <v>-14.61168208889543</v>
      </c>
      <c r="EF25" s="322" t="s">
        <v>631</v>
      </c>
      <c r="EG25" s="281">
        <f>Expenses!Z113/1000</f>
        <v>41.453128663697107</v>
      </c>
      <c r="EH25" s="281">
        <f>Expenses!AA113/1000</f>
        <v>41.957186999327227</v>
      </c>
      <c r="EI25" s="281">
        <f>Expenses!AB113/1000</f>
        <v>41.478472335368764</v>
      </c>
      <c r="EJ25" s="281">
        <f>Expenses!AC113/1000</f>
        <v>40.668288938429804</v>
      </c>
      <c r="EK25" s="281">
        <f>Expenses!AD113/1000</f>
        <v>43.388250471909416</v>
      </c>
      <c r="EL25" s="281">
        <f>Expenses!AE113/1000</f>
        <v>43.388250471909409</v>
      </c>
      <c r="EM25" s="281">
        <f>Expenses!AF113/1000</f>
        <v>43.388250471909416</v>
      </c>
      <c r="EN25" s="281">
        <f>Expenses!AG113/1000</f>
        <v>43.388250471909402</v>
      </c>
      <c r="EP25" s="104" t="s">
        <v>546</v>
      </c>
      <c r="EQ25" s="321">
        <f>Expenses!Z139</f>
        <v>32</v>
      </c>
      <c r="ER25" s="321">
        <f>Expenses!AA139</f>
        <v>42</v>
      </c>
      <c r="ES25" s="321">
        <f>Expenses!AB139</f>
        <v>45</v>
      </c>
      <c r="ET25" s="321">
        <f>Expenses!AC139</f>
        <v>49</v>
      </c>
      <c r="EU25" s="321">
        <f>Expenses!AD139</f>
        <v>49</v>
      </c>
      <c r="EV25" s="321">
        <f>Expenses!AE139</f>
        <v>49</v>
      </c>
      <c r="EW25" s="321">
        <f>Expenses!AF139</f>
        <v>49.029703730713301</v>
      </c>
      <c r="EX25" s="321">
        <f>Expenses!AG139</f>
        <v>53.626605236214751</v>
      </c>
    </row>
    <row r="26" spans="2:226" ht="15" customHeight="1" thickTop="1" x14ac:dyDescent="0.2">
      <c r="AG26" s="134"/>
      <c r="AH26" s="134"/>
      <c r="AI26" s="134"/>
      <c r="AJ26" s="134"/>
      <c r="AK26" s="134"/>
      <c r="AL26" s="134"/>
      <c r="AM26" s="134"/>
      <c r="AN26" s="134"/>
      <c r="AO26" s="134"/>
      <c r="AQ26" s="134"/>
      <c r="AR26" s="134"/>
      <c r="AS26" s="134"/>
      <c r="AT26" s="134"/>
      <c r="AU26" s="134"/>
      <c r="AV26" s="134"/>
      <c r="AW26" s="134"/>
      <c r="AX26" s="134"/>
      <c r="AY26" s="134"/>
      <c r="CH26" s="280"/>
      <c r="CI26" s="280"/>
      <c r="CJ26" s="280"/>
      <c r="CK26" s="280"/>
      <c r="CL26" s="280"/>
      <c r="CM26" s="280"/>
      <c r="CN26" s="280"/>
      <c r="CO26" s="280"/>
      <c r="EF26" s="322" t="s">
        <v>541</v>
      </c>
      <c r="EG26" s="323">
        <f>Expenses!Z114</f>
        <v>4.1192660550458706</v>
      </c>
      <c r="EH26" s="323">
        <f>Expenses!AA114</f>
        <v>3.9837398373983741</v>
      </c>
      <c r="EI26" s="323">
        <f>Expenses!AB114</f>
        <v>3.9324324324324325</v>
      </c>
      <c r="EJ26" s="323">
        <f>Expenses!AC114</f>
        <v>4.0988372093023253</v>
      </c>
      <c r="EK26" s="323">
        <f>Expenses!AD114</f>
        <v>4.0326086956521738</v>
      </c>
      <c r="EL26" s="323">
        <f>Expenses!AE114</f>
        <v>4.0326086956521738</v>
      </c>
      <c r="EM26" s="323">
        <f>Expenses!AF114</f>
        <v>4.0326086956521738</v>
      </c>
      <c r="EN26" s="323">
        <f>Expenses!AG114</f>
        <v>4.0326086956521747</v>
      </c>
      <c r="EP26" s="104" t="s">
        <v>547</v>
      </c>
      <c r="EQ26" s="321">
        <f>Expenses!Z140</f>
        <v>29.333333333333332</v>
      </c>
      <c r="ER26" s="321">
        <f>Expenses!AA140</f>
        <v>39.666666666666664</v>
      </c>
      <c r="ES26" s="321">
        <f>Expenses!AB140</f>
        <v>44.666666666666664</v>
      </c>
      <c r="ET26" s="321">
        <f>Expenses!AC140</f>
        <v>48.666666666666664</v>
      </c>
      <c r="EU26" s="321">
        <f>Expenses!AD140</f>
        <v>49</v>
      </c>
      <c r="EV26" s="321">
        <f>Expenses!AE140</f>
        <v>49</v>
      </c>
      <c r="EW26" s="321">
        <f>Expenses!AF140</f>
        <v>49.0099012435711</v>
      </c>
      <c r="EX26" s="321">
        <f>Expenses!AG140</f>
        <v>51.846105606729971</v>
      </c>
      <c r="FA26" s="341"/>
      <c r="FB26" s="341"/>
      <c r="FC26" s="341"/>
      <c r="FD26" s="341"/>
      <c r="FE26" s="341"/>
      <c r="FF26" s="341"/>
      <c r="FG26" s="341"/>
      <c r="FH26" s="341"/>
      <c r="FI26" s="341"/>
      <c r="FJ26" s="341"/>
      <c r="HH26" s="161"/>
      <c r="HI26" s="270"/>
      <c r="HJ26" s="270"/>
      <c r="HK26" s="270"/>
      <c r="HL26" s="270"/>
      <c r="HM26" s="270"/>
      <c r="HN26" s="270"/>
      <c r="HO26" s="270"/>
      <c r="HP26" s="168"/>
      <c r="HQ26" s="168"/>
      <c r="HR26" s="168"/>
    </row>
    <row r="27" spans="2:226" ht="15" customHeight="1" x14ac:dyDescent="0.25">
      <c r="BK27" s="275" t="s">
        <v>294</v>
      </c>
      <c r="BL27" s="276">
        <f t="shared" ref="BL27:BS27" si="70">BB7</f>
        <v>-11.253809704400005</v>
      </c>
      <c r="BM27" s="276">
        <f t="shared" si="70"/>
        <v>-12.134914596599996</v>
      </c>
      <c r="BN27" s="276">
        <f t="shared" si="70"/>
        <v>-16.785130911543785</v>
      </c>
      <c r="BO27" s="276">
        <f t="shared" si="70"/>
        <v>-14.11549508236596</v>
      </c>
      <c r="BP27" s="276">
        <f t="shared" si="70"/>
        <v>-17.838342746171296</v>
      </c>
      <c r="BQ27" s="277">
        <f t="shared" si="70"/>
        <v>-14.645224092926949</v>
      </c>
      <c r="BR27" s="277">
        <f t="shared" si="70"/>
        <v>-14.581388674406798</v>
      </c>
      <c r="BS27" s="277">
        <f t="shared" si="70"/>
        <v>-11.372822801440179</v>
      </c>
      <c r="CG27" s="282"/>
      <c r="CH27" s="284"/>
      <c r="CI27" s="284"/>
      <c r="CJ27" s="284"/>
      <c r="CK27" s="284"/>
      <c r="CL27" s="284"/>
      <c r="CM27" s="284"/>
      <c r="CN27" s="284"/>
      <c r="CO27" s="284"/>
      <c r="EG27" s="321"/>
      <c r="EH27" s="321"/>
      <c r="EI27" s="321"/>
      <c r="EJ27" s="321"/>
      <c r="EK27" s="321"/>
      <c r="EL27" s="321"/>
      <c r="EM27" s="321"/>
      <c r="EN27" s="321"/>
      <c r="EP27" s="322" t="s">
        <v>631</v>
      </c>
      <c r="EQ27" s="281">
        <f>Expenses!Z141/1000</f>
        <v>169.39793181818183</v>
      </c>
      <c r="ER27" s="281">
        <f>Expenses!AA141/1000</f>
        <v>174.73820679576889</v>
      </c>
      <c r="ES27" s="281">
        <f>Expenses!AB141/1000</f>
        <v>163.48924493174275</v>
      </c>
      <c r="ET27" s="281">
        <f>Expenses!AC141/1000</f>
        <v>157.48407127734947</v>
      </c>
      <c r="EU27" s="281">
        <f>Expenses!AD141/1000</f>
        <v>173.78060108387106</v>
      </c>
      <c r="EV27" s="281">
        <f>Expenses!AE141/1000</f>
        <v>173.78060108387106</v>
      </c>
      <c r="EW27" s="281">
        <f>Expenses!AF141/1000</f>
        <v>173.78060108387103</v>
      </c>
      <c r="EX27" s="281">
        <f>Expenses!AG141/1000</f>
        <v>173.78060108387103</v>
      </c>
      <c r="EZ27" s="337"/>
      <c r="FA27" s="337"/>
      <c r="FB27" s="337"/>
      <c r="FC27" s="337"/>
      <c r="FD27" s="337"/>
      <c r="FE27" s="337"/>
      <c r="FF27" s="337"/>
      <c r="FG27" s="337"/>
      <c r="FH27" s="337"/>
      <c r="FI27" s="337"/>
      <c r="FJ27" s="337"/>
      <c r="HH27" s="353" t="s">
        <v>664</v>
      </c>
      <c r="HI27" s="383"/>
      <c r="HJ27" s="383"/>
      <c r="HK27" s="383"/>
      <c r="HL27" s="383"/>
      <c r="HM27" s="383"/>
      <c r="HN27" s="383"/>
      <c r="HO27" s="383"/>
      <c r="HP27" s="383"/>
      <c r="HQ27" s="383"/>
      <c r="HR27" s="383"/>
    </row>
    <row r="28" spans="2:226" ht="15" customHeight="1" x14ac:dyDescent="0.25">
      <c r="B28" s="114" t="s">
        <v>17</v>
      </c>
      <c r="C28" s="119">
        <f>C5/1000000</f>
        <v>89.817779738021954</v>
      </c>
      <c r="D28" s="119">
        <f t="shared" ref="D28:J28" si="71">D5/1000000</f>
        <v>102.57735482989797</v>
      </c>
      <c r="E28" s="119">
        <f t="shared" si="71"/>
        <v>118.37605483999998</v>
      </c>
      <c r="F28" s="119">
        <f t="shared" si="71"/>
        <v>139.39109748368568</v>
      </c>
      <c r="G28" s="119">
        <f t="shared" si="71"/>
        <v>152.23480850887677</v>
      </c>
      <c r="H28" s="119">
        <f t="shared" si="71"/>
        <v>170.25565062664873</v>
      </c>
      <c r="I28" s="119">
        <f t="shared" si="71"/>
        <v>188.20118916659629</v>
      </c>
      <c r="J28" s="119">
        <f t="shared" si="71"/>
        <v>215.39984390173402</v>
      </c>
      <c r="EF28" s="104" t="s">
        <v>633</v>
      </c>
      <c r="EG28" s="317">
        <f>CH38/CH40</f>
        <v>0.33628318584070799</v>
      </c>
      <c r="EH28" s="317">
        <f t="shared" ref="EH28:EN28" si="72">CI38/CI40</f>
        <v>0.31804733727810652</v>
      </c>
      <c r="EI28" s="317">
        <f t="shared" si="72"/>
        <v>0.32496863237139273</v>
      </c>
      <c r="EJ28" s="317">
        <f t="shared" si="72"/>
        <v>0.33805888767720826</v>
      </c>
      <c r="EK28" s="317">
        <f t="shared" si="72"/>
        <v>0.3323811083486764</v>
      </c>
      <c r="EL28" s="317">
        <f t="shared" si="72"/>
        <v>0.34093926572405292</v>
      </c>
      <c r="EM28" s="317">
        <f t="shared" si="72"/>
        <v>0.35588556570712554</v>
      </c>
      <c r="EN28" s="317">
        <f t="shared" si="72"/>
        <v>0.37112957866742374</v>
      </c>
      <c r="EP28" s="322" t="s">
        <v>632</v>
      </c>
      <c r="EQ28" s="323">
        <f>Expenses!Z142</f>
        <v>16.65625</v>
      </c>
      <c r="ER28" s="323">
        <f>Expenses!AA142</f>
        <v>15.095238095238095</v>
      </c>
      <c r="ES28" s="323">
        <f>Expenses!AB142</f>
        <v>16.711111111111112</v>
      </c>
      <c r="ET28" s="323">
        <f>Expenses!AC142</f>
        <v>17.714285714285715</v>
      </c>
      <c r="EU28" s="323">
        <f>Expenses!AD142</f>
        <v>18.158100248641961</v>
      </c>
      <c r="EV28" s="323">
        <f>Expenses!AE142</f>
        <v>19.193939968042557</v>
      </c>
      <c r="EW28" s="323">
        <f>Expenses!AF142</f>
        <v>20.37142857142857</v>
      </c>
      <c r="EX28" s="323">
        <f>Expenses!AG142</f>
        <v>20.37142857142857</v>
      </c>
      <c r="EZ28" s="337"/>
      <c r="FA28" s="339"/>
      <c r="FB28" s="339"/>
      <c r="FC28" s="339"/>
      <c r="FD28" s="339"/>
      <c r="FE28" s="339"/>
      <c r="FF28" s="339"/>
      <c r="FG28" s="339"/>
      <c r="FH28" s="339"/>
      <c r="FI28" s="339"/>
      <c r="FJ28" s="339"/>
      <c r="HH28" s="359"/>
      <c r="HI28" s="112"/>
      <c r="HJ28" s="112"/>
      <c r="HK28" s="112"/>
      <c r="HL28" s="112"/>
      <c r="HM28" s="112"/>
      <c r="HN28" s="112"/>
      <c r="HO28" s="112"/>
      <c r="HP28" s="112"/>
      <c r="HQ28" s="112"/>
      <c r="HR28" s="112"/>
    </row>
    <row r="29" spans="2:226" ht="15" customHeight="1" x14ac:dyDescent="0.2">
      <c r="B29" s="115" t="s">
        <v>264</v>
      </c>
      <c r="C29" s="120">
        <f>C6</f>
        <v>0.49981695448003283</v>
      </c>
      <c r="D29" s="120">
        <f t="shared" ref="D29:J29" si="73">D6</f>
        <v>0.54102767961623499</v>
      </c>
      <c r="E29" s="120">
        <f t="shared" si="73"/>
        <v>0.61565538070749648</v>
      </c>
      <c r="F29" s="120">
        <f t="shared" si="73"/>
        <v>0.68986697932754537</v>
      </c>
      <c r="G29" s="120">
        <f t="shared" si="73"/>
        <v>0.69492954460587986</v>
      </c>
      <c r="H29" s="120">
        <f t="shared" si="73"/>
        <v>0.65977813435509569</v>
      </c>
      <c r="I29" s="120">
        <f t="shared" si="73"/>
        <v>0.58985860291571401</v>
      </c>
      <c r="J29" s="120">
        <f t="shared" si="73"/>
        <v>0.54529125453614014</v>
      </c>
      <c r="EZ29" s="340"/>
      <c r="FA29" s="342"/>
      <c r="FB29" s="342"/>
      <c r="FC29" s="342"/>
      <c r="FD29" s="342"/>
      <c r="FE29" s="342"/>
      <c r="FF29" s="342"/>
      <c r="FG29" s="342"/>
      <c r="FH29" s="342"/>
      <c r="FI29" s="342"/>
      <c r="FJ29" s="342"/>
      <c r="HH29" s="388" t="s">
        <v>607</v>
      </c>
      <c r="HI29" s="389">
        <f>Geo!D55/1000000</f>
        <v>7.2811724164035002E-2</v>
      </c>
      <c r="HJ29" s="389">
        <f>Geo!E55/1000000</f>
        <v>0.13290713349627239</v>
      </c>
      <c r="HK29" s="389">
        <f>Geo!Z55/1000000</f>
        <v>5.4153799948862158E-2</v>
      </c>
      <c r="HL29" s="389">
        <f>Geo!AA55/1000000</f>
        <v>6.8385383177643227E-2</v>
      </c>
      <c r="HM29" s="389">
        <f>Geo!AB55/1000000</f>
        <v>5.2167317979307473E-2</v>
      </c>
      <c r="HN29" s="389">
        <f>Geo!AC55/1000000</f>
        <v>0.15302757964029118</v>
      </c>
      <c r="HO29" s="389">
        <f>Geo!AD55/1000000</f>
        <v>0.17238406141313259</v>
      </c>
      <c r="HP29" s="389">
        <f>Geo!AE55/1000000</f>
        <v>0.22935800396564673</v>
      </c>
      <c r="HQ29" s="389">
        <f>Geo!AF55/1000000</f>
        <v>0.22612005699663465</v>
      </c>
      <c r="HR29" s="389">
        <f>Geo!AG55/1000000</f>
        <v>0.34620147811259788</v>
      </c>
    </row>
    <row r="30" spans="2:226" ht="15" customHeight="1" x14ac:dyDescent="0.2">
      <c r="EP30" s="104" t="s">
        <v>552</v>
      </c>
      <c r="EQ30" s="321">
        <f>Expenses!Z144</f>
        <v>530.33333333333337</v>
      </c>
      <c r="ER30" s="321">
        <f>Expenses!AA144</f>
        <v>639</v>
      </c>
      <c r="ES30" s="321">
        <f>Expenses!AB144</f>
        <v>763</v>
      </c>
      <c r="ET30" s="321">
        <f>Expenses!AC144</f>
        <v>880.66666666666663</v>
      </c>
      <c r="EU30" s="321">
        <f>Expenses!AD144</f>
        <v>930.95764222957087</v>
      </c>
      <c r="EV30" s="321">
        <f>Expenses!AE144</f>
        <v>967.06351127414462</v>
      </c>
      <c r="EW30" s="321">
        <f>Expenses!AF144</f>
        <v>1024.2582805104887</v>
      </c>
      <c r="EX30" s="321">
        <f>Expenses!AG144</f>
        <v>1108.025342680972</v>
      </c>
      <c r="HH30" s="388" t="s">
        <v>608</v>
      </c>
      <c r="HI30" s="390">
        <f>Geo!D56/1000000</f>
        <v>7.6365244320170472E-2</v>
      </c>
      <c r="HJ30" s="390">
        <f>Geo!E56/1000000</f>
        <v>0.11193066797517184</v>
      </c>
      <c r="HK30" s="390">
        <f>Geo!Z56/1000000</f>
        <v>5.4655748711196897E-2</v>
      </c>
      <c r="HL30" s="390">
        <f>Geo!AA56/1000000</f>
        <v>5.9970318836678999E-2</v>
      </c>
      <c r="HM30" s="390">
        <f>Geo!AB56/1000000</f>
        <v>6.830540664649537E-2</v>
      </c>
      <c r="HN30" s="390">
        <f>Geo!AC56/1000000</f>
        <v>0.22556594929984061</v>
      </c>
      <c r="HO30" s="390">
        <f>Geo!AD56/1000000</f>
        <v>0.20728637011491705</v>
      </c>
      <c r="HP30" s="390">
        <f>Geo!AE56/1000000</f>
        <v>0.27579573023808418</v>
      </c>
      <c r="HQ30" s="390">
        <f>Geo!AF56/1000000</f>
        <v>0.27190220163498108</v>
      </c>
      <c r="HR30" s="390">
        <f>Geo!AG56/1000000</f>
        <v>0.4162963045312742</v>
      </c>
    </row>
    <row r="31" spans="2:226" ht="15" customHeight="1" x14ac:dyDescent="0.2">
      <c r="EP31" s="322" t="s">
        <v>553</v>
      </c>
      <c r="EQ31" s="325">
        <f>Expenses!Z145</f>
        <v>7676.5637460716525</v>
      </c>
      <c r="ER31" s="325">
        <f>Expenses!AA145</f>
        <v>7043.0631820552953</v>
      </c>
      <c r="ES31" s="325">
        <f>Expenses!AB145</f>
        <v>7284.1551245085193</v>
      </c>
      <c r="ET31" s="325">
        <f>Expenses!AC145</f>
        <v>8441.0702043906131</v>
      </c>
      <c r="EU31" s="325">
        <f>Expenses!AD145</f>
        <v>10000.000000000002</v>
      </c>
      <c r="EV31" s="325">
        <f>Expenses!AE145</f>
        <v>10000</v>
      </c>
      <c r="EW31" s="325">
        <f>Expenses!AF145</f>
        <v>9999.9999999999982</v>
      </c>
      <c r="EX31" s="325">
        <f>Expenses!AG145</f>
        <v>10000</v>
      </c>
      <c r="EZ31" s="110"/>
      <c r="FA31" s="280"/>
      <c r="FB31" s="280"/>
      <c r="FC31" s="280"/>
      <c r="FD31" s="280"/>
      <c r="FE31" s="280"/>
      <c r="FF31" s="280"/>
      <c r="FG31" s="280"/>
      <c r="FH31" s="280"/>
      <c r="FI31" s="280"/>
      <c r="FJ31" s="280"/>
      <c r="HH31" s="388" t="s">
        <v>313</v>
      </c>
      <c r="HI31" s="391">
        <f>Geo!D57/1000000</f>
        <v>7.8017007389959092E-2</v>
      </c>
      <c r="HJ31" s="391">
        <f>Geo!E57/1000000</f>
        <v>0.10539514169631389</v>
      </c>
      <c r="HK31" s="391">
        <f>Geo!Z57/1000000</f>
        <v>5.0039470395718641E-2</v>
      </c>
      <c r="HL31" s="391">
        <f>Geo!AA57/1000000</f>
        <v>7.3322237494812023E-2</v>
      </c>
      <c r="HM31" s="391">
        <f>Geo!AB57/1000000</f>
        <v>6.8589775374197193E-2</v>
      </c>
      <c r="HN31" s="391">
        <f>Geo!AC57/1000000</f>
        <v>0.18950022105986825</v>
      </c>
      <c r="HO31" s="391">
        <f>Geo!AD57/1000000</f>
        <v>0.23973903479805564</v>
      </c>
      <c r="HP31" s="391">
        <f>Geo!AE57/1000000</f>
        <v>0.31897419078759326</v>
      </c>
      <c r="HQ31" s="391">
        <f>Geo!AF57/1000000</f>
        <v>0.31447109302603243</v>
      </c>
      <c r="HR31" s="391">
        <f>Geo!AG57/1000000</f>
        <v>0.48147147438104987</v>
      </c>
    </row>
    <row r="32" spans="2:226" ht="15" customHeight="1" x14ac:dyDescent="0.2">
      <c r="EZ32" s="110"/>
      <c r="FA32" s="110"/>
      <c r="FB32" s="110"/>
      <c r="FC32" s="110"/>
      <c r="FD32" s="110"/>
      <c r="FE32" s="110"/>
      <c r="FF32" s="110"/>
      <c r="FG32" s="110"/>
      <c r="FH32" s="110"/>
      <c r="FI32" s="110"/>
      <c r="FJ32" s="110"/>
      <c r="HH32" s="392" t="s">
        <v>707</v>
      </c>
      <c r="HI32" s="393">
        <f>SUM(HI29:HI31)</f>
        <v>0.22719397587416457</v>
      </c>
      <c r="HJ32" s="393">
        <f t="shared" ref="HJ32:HR32" si="74">SUM(HJ29:HJ31)</f>
        <v>0.3502329431677581</v>
      </c>
      <c r="HK32" s="393">
        <f t="shared" si="74"/>
        <v>0.1588490190557777</v>
      </c>
      <c r="HL32" s="393">
        <f t="shared" si="74"/>
        <v>0.20167793950913426</v>
      </c>
      <c r="HM32" s="393">
        <f t="shared" si="74"/>
        <v>0.18906250000000002</v>
      </c>
      <c r="HN32" s="393">
        <f t="shared" si="74"/>
        <v>0.56809375000000006</v>
      </c>
      <c r="HO32" s="393">
        <f t="shared" si="74"/>
        <v>0.61940946632610527</v>
      </c>
      <c r="HP32" s="393">
        <f t="shared" si="74"/>
        <v>0.82412792499132415</v>
      </c>
      <c r="HQ32" s="393">
        <f t="shared" si="74"/>
        <v>0.81249335165764824</v>
      </c>
      <c r="HR32" s="393">
        <f t="shared" si="74"/>
        <v>1.2439692570249221</v>
      </c>
    </row>
    <row r="33" spans="2:226" ht="15" customHeight="1" x14ac:dyDescent="0.2">
      <c r="EZ33" s="110"/>
      <c r="FA33" s="110"/>
      <c r="FB33" s="110"/>
      <c r="FC33" s="110"/>
      <c r="FD33" s="110"/>
      <c r="FE33" s="110"/>
      <c r="FF33" s="110"/>
      <c r="FG33" s="110"/>
      <c r="FH33" s="110"/>
      <c r="FI33" s="110"/>
      <c r="FJ33" s="110"/>
      <c r="HH33" s="385" t="s">
        <v>708</v>
      </c>
      <c r="HI33" s="386"/>
      <c r="HJ33" s="387">
        <f>HJ32/HI32-1</f>
        <v>0.54155910965588649</v>
      </c>
      <c r="HK33" s="409">
        <f>(Geo!Z55+Geo!Z56+Geo!Z57)/(Geo!V55+Geo!V56+Geo!V57)-1</f>
        <v>3.423284883505727</v>
      </c>
      <c r="HL33" s="409">
        <f>(Geo!AA55+Geo!AA56+Geo!AA57)/(Geo!W55+Geo!W56+Geo!W57)-1</f>
        <v>0.34631442226533071</v>
      </c>
      <c r="HM33" s="409">
        <f>(Geo!AB55+Geo!AB56+Geo!AB57)/(Geo!X55+Geo!X56+Geo!X57)-1</f>
        <v>-1.6213448049999246E-2</v>
      </c>
      <c r="HN33" s="409">
        <f>(Geo!AC55+Geo!AC56+Geo!AC57)/(Geo!Y55+Geo!Y56+Geo!Y57)-1</f>
        <v>4.7983135277436082</v>
      </c>
      <c r="HO33" s="409">
        <f>(Geo!AD55+Geo!AD56+Geo!AD57)/(Geo!Z55+Geo!Z56+Geo!Z57)-1</f>
        <v>2.8993597191091749</v>
      </c>
      <c r="HP33" s="409">
        <f>(Geo!AE55+Geo!AE56+Geo!AE57)/(Geo!AA55+Geo!AA56+Geo!AA57)-1</f>
        <v>3.0863563312733975</v>
      </c>
      <c r="HQ33" s="409">
        <f>(Geo!AF55+Geo!AF56+Geo!AF57)/(Geo!AB55+Geo!AB56+Geo!AB57)-1</f>
        <v>3.2974854963710305</v>
      </c>
      <c r="HR33" s="409">
        <f>(Geo!AG55+Geo!AG56+Geo!AG57)/(Geo!AC55+Geo!AC56+Geo!AC57)-1</f>
        <v>1.1897252997853291</v>
      </c>
    </row>
    <row r="34" spans="2:226" ht="15" customHeight="1" x14ac:dyDescent="0.25">
      <c r="K34" s="116"/>
      <c r="EZ34" s="110"/>
      <c r="FA34" s="110"/>
      <c r="FB34" s="110"/>
      <c r="FC34" s="110"/>
      <c r="FD34" s="110"/>
      <c r="FE34" s="110"/>
      <c r="FF34" s="110"/>
      <c r="FG34" s="110"/>
      <c r="FH34" s="110"/>
      <c r="FI34" s="110"/>
      <c r="FJ34" s="110"/>
      <c r="HH34" s="385" t="s">
        <v>709</v>
      </c>
      <c r="HI34" s="386">
        <f>Geo!D32</f>
        <v>0</v>
      </c>
      <c r="HJ34" s="387">
        <f>Geo!E32</f>
        <v>0</v>
      </c>
      <c r="HK34" s="387">
        <f>Geo!Z32</f>
        <v>0.25</v>
      </c>
      <c r="HL34" s="387">
        <f>Geo!AA32</f>
        <v>0.25</v>
      </c>
      <c r="HM34" s="387">
        <f>Geo!AB32</f>
        <v>0.25</v>
      </c>
      <c r="HN34" s="387">
        <f>Geo!AC32</f>
        <v>0.25</v>
      </c>
      <c r="HO34" s="387">
        <f>Geo!AD32</f>
        <v>0.5</v>
      </c>
      <c r="HP34" s="387">
        <f>Geo!AE32</f>
        <v>0.5</v>
      </c>
      <c r="HQ34" s="387">
        <f>Geo!AF32</f>
        <v>0.5</v>
      </c>
      <c r="HR34" s="387">
        <f>Geo!AG32</f>
        <v>0.5</v>
      </c>
    </row>
    <row r="35" spans="2:226" ht="15" customHeight="1" x14ac:dyDescent="0.2">
      <c r="K35" s="117"/>
      <c r="EZ35" s="110"/>
      <c r="FA35" s="110"/>
      <c r="FB35" s="110"/>
      <c r="FC35" s="110"/>
      <c r="FD35" s="110"/>
      <c r="FE35" s="110"/>
      <c r="FF35" s="110"/>
      <c r="FG35" s="110"/>
      <c r="FH35" s="110"/>
      <c r="FI35" s="110"/>
      <c r="FJ35" s="110"/>
    </row>
    <row r="36" spans="2:226" ht="15" customHeight="1" x14ac:dyDescent="0.25">
      <c r="K36" s="117"/>
      <c r="CH36" s="145" t="s">
        <v>206</v>
      </c>
      <c r="CI36" s="145" t="s">
        <v>207</v>
      </c>
      <c r="CJ36" s="145" t="s">
        <v>208</v>
      </c>
      <c r="CK36" s="145" t="s">
        <v>209</v>
      </c>
      <c r="CL36" s="145" t="s">
        <v>210</v>
      </c>
      <c r="CM36" s="145" t="s">
        <v>211</v>
      </c>
      <c r="CN36" s="145" t="s">
        <v>212</v>
      </c>
      <c r="CO36" s="142" t="s">
        <v>213</v>
      </c>
      <c r="EZ36" s="110"/>
      <c r="FA36" s="110"/>
      <c r="FB36" s="110"/>
      <c r="FC36" s="110"/>
      <c r="FD36" s="110"/>
      <c r="FE36" s="110"/>
      <c r="FF36" s="110"/>
      <c r="FG36" s="110"/>
      <c r="FH36" s="110"/>
      <c r="FI36" s="110"/>
      <c r="FJ36" s="110"/>
    </row>
    <row r="37" spans="2:226" ht="15" customHeight="1" outlineLevel="1" x14ac:dyDescent="0.2">
      <c r="K37" s="117"/>
      <c r="AQ37" s="104" t="s">
        <v>31</v>
      </c>
      <c r="AR37" s="154">
        <f t="shared" ref="AR37:AY37" si="75">N6</f>
        <v>21.867270721111996</v>
      </c>
      <c r="AS37" s="154">
        <f t="shared" si="75"/>
        <v>24.179351</v>
      </c>
      <c r="AT37" s="154">
        <f t="shared" si="75"/>
        <v>27.491748288048118</v>
      </c>
      <c r="AU37" s="154">
        <f t="shared" si="75"/>
        <v>31.311010065938678</v>
      </c>
      <c r="AV37" s="154">
        <f t="shared" si="75"/>
        <v>36.636574517324256</v>
      </c>
      <c r="AW37" s="154">
        <f t="shared" si="75"/>
        <v>41.230698006518288</v>
      </c>
      <c r="AX37" s="154">
        <f t="shared" si="75"/>
        <v>45.364273723724814</v>
      </c>
      <c r="AY37" s="154">
        <f t="shared" si="75"/>
        <v>52.405469982133177</v>
      </c>
      <c r="CG37" s="104" t="s">
        <v>282</v>
      </c>
      <c r="CH37" s="285">
        <f>SUM(CH7:CH10)</f>
        <v>308</v>
      </c>
      <c r="CI37" s="285">
        <f t="shared" ref="CI37:CO37" si="76">SUM(CI7:CI10)</f>
        <v>370</v>
      </c>
      <c r="CJ37" s="285">
        <f t="shared" si="76"/>
        <v>431</v>
      </c>
      <c r="CK37" s="285">
        <f t="shared" si="76"/>
        <v>485</v>
      </c>
      <c r="CL37" s="285">
        <f t="shared" si="76"/>
        <v>504.72517305302142</v>
      </c>
      <c r="CM37" s="285">
        <f t="shared" si="76"/>
        <v>530.14261225986365</v>
      </c>
      <c r="CN37" s="285">
        <f t="shared" si="76"/>
        <v>550.46603810529189</v>
      </c>
      <c r="CO37" s="285">
        <f t="shared" si="76"/>
        <v>581.07164348337449</v>
      </c>
      <c r="EZ37" s="110"/>
      <c r="FA37" s="110"/>
      <c r="FB37" s="110"/>
      <c r="FC37" s="110"/>
      <c r="FD37" s="110"/>
      <c r="FE37" s="110"/>
      <c r="FF37" s="110"/>
      <c r="FG37" s="110"/>
      <c r="FH37" s="110"/>
      <c r="FI37" s="110"/>
      <c r="FJ37" s="110"/>
      <c r="HH37" s="161"/>
      <c r="HI37" s="161"/>
      <c r="HJ37" s="161"/>
      <c r="HK37" s="161"/>
      <c r="HL37" s="161"/>
      <c r="HM37" s="161"/>
      <c r="HN37" s="161"/>
      <c r="HO37" s="161"/>
      <c r="HP37" s="161"/>
      <c r="HQ37" s="161"/>
      <c r="HR37" s="161"/>
    </row>
    <row r="38" spans="2:226" ht="15" customHeight="1" x14ac:dyDescent="0.2">
      <c r="K38" s="112"/>
      <c r="CG38" s="104" t="s">
        <v>13</v>
      </c>
      <c r="CH38" s="285">
        <f t="shared" ref="CH38:CN38" si="77">SUM(CH11:CH12)</f>
        <v>190</v>
      </c>
      <c r="CI38" s="285">
        <f t="shared" si="77"/>
        <v>215</v>
      </c>
      <c r="CJ38" s="285">
        <f t="shared" si="77"/>
        <v>259</v>
      </c>
      <c r="CK38" s="117">
        <f t="shared" si="77"/>
        <v>310</v>
      </c>
      <c r="CL38" s="285">
        <f t="shared" si="77"/>
        <v>312.02173913043475</v>
      </c>
      <c r="CM38" s="285">
        <f t="shared" si="77"/>
        <v>337.36044617422175</v>
      </c>
      <c r="CN38" s="285">
        <f t="shared" si="77"/>
        <v>372.90928453702662</v>
      </c>
      <c r="CO38" s="285">
        <f>SUM(CO11:CO12)</f>
        <v>425.34313474848909</v>
      </c>
      <c r="HI38" s="161"/>
      <c r="HJ38" s="161"/>
      <c r="HK38" s="161"/>
      <c r="HL38" s="161"/>
      <c r="HM38" s="161"/>
      <c r="HN38" s="161"/>
      <c r="HO38" s="161"/>
      <c r="HP38" s="161"/>
      <c r="HQ38" s="161"/>
      <c r="HR38" s="161"/>
    </row>
    <row r="39" spans="2:226" ht="15" customHeight="1" x14ac:dyDescent="0.25">
      <c r="K39" s="118"/>
      <c r="CG39" s="104" t="s">
        <v>14</v>
      </c>
      <c r="CH39" s="288">
        <f>SUM(CH13:CH14)</f>
        <v>67</v>
      </c>
      <c r="CI39" s="288">
        <f t="shared" ref="CI39:CO39" si="78">SUM(CI13:CI14)</f>
        <v>91</v>
      </c>
      <c r="CJ39" s="288">
        <f t="shared" si="78"/>
        <v>107</v>
      </c>
      <c r="CK39" s="326">
        <f t="shared" si="78"/>
        <v>122</v>
      </c>
      <c r="CL39" s="288">
        <f t="shared" si="78"/>
        <v>122</v>
      </c>
      <c r="CM39" s="288">
        <f t="shared" si="78"/>
        <v>122</v>
      </c>
      <c r="CN39" s="288">
        <f t="shared" si="78"/>
        <v>124.45948851692552</v>
      </c>
      <c r="CO39" s="288">
        <f t="shared" si="78"/>
        <v>139.66238510209735</v>
      </c>
      <c r="HI39" s="142" t="s">
        <v>252</v>
      </c>
      <c r="HJ39" s="145" t="s">
        <v>253</v>
      </c>
      <c r="HK39" s="145" t="s">
        <v>206</v>
      </c>
      <c r="HL39" s="145" t="s">
        <v>207</v>
      </c>
      <c r="HM39" s="145" t="s">
        <v>208</v>
      </c>
      <c r="HN39" s="145" t="s">
        <v>209</v>
      </c>
      <c r="HO39" s="145" t="s">
        <v>210</v>
      </c>
      <c r="HP39" s="145" t="s">
        <v>211</v>
      </c>
      <c r="HQ39" s="145" t="s">
        <v>212</v>
      </c>
      <c r="HR39" s="145" t="s">
        <v>213</v>
      </c>
    </row>
    <row r="40" spans="2:226" ht="15" customHeight="1" x14ac:dyDescent="0.2">
      <c r="K40" s="117"/>
      <c r="CH40" s="285">
        <f>SUM(CH37:CH39)</f>
        <v>565</v>
      </c>
      <c r="CI40" s="285">
        <f t="shared" ref="CI40:CO40" si="79">SUM(CI37:CI39)</f>
        <v>676</v>
      </c>
      <c r="CJ40" s="285">
        <f t="shared" si="79"/>
        <v>797</v>
      </c>
      <c r="CK40" s="117">
        <f t="shared" si="79"/>
        <v>917</v>
      </c>
      <c r="CL40" s="285">
        <f t="shared" si="79"/>
        <v>938.74691218345617</v>
      </c>
      <c r="CM40" s="285">
        <f t="shared" si="79"/>
        <v>989.50305843408546</v>
      </c>
      <c r="CN40" s="285">
        <f t="shared" si="79"/>
        <v>1047.8348111592441</v>
      </c>
      <c r="CO40" s="285">
        <f t="shared" si="79"/>
        <v>1146.0771633339609</v>
      </c>
      <c r="HH40" s="161" t="s">
        <v>665</v>
      </c>
      <c r="HI40" s="280">
        <f t="shared" ref="HI40:HK40" si="80">HI13</f>
        <v>17.690805445918045</v>
      </c>
      <c r="HJ40" s="154">
        <f t="shared" si="80"/>
        <v>25.257922055886969</v>
      </c>
      <c r="HK40" s="154">
        <f t="shared" si="80"/>
        <v>8.1220080131897419</v>
      </c>
      <c r="HL40" s="154">
        <f t="shared" ref="HL40:HR40" si="81">HL13</f>
        <v>12.458169103028665</v>
      </c>
      <c r="HM40" s="154">
        <f t="shared" si="81"/>
        <v>15.882554166666665</v>
      </c>
      <c r="HN40" s="154">
        <f t="shared" si="81"/>
        <v>21.231927083333336</v>
      </c>
      <c r="HO40" s="154">
        <f t="shared" si="81"/>
        <v>13.238588438778052</v>
      </c>
      <c r="HP40" s="154">
        <f t="shared" si="81"/>
        <v>17.61401950244052</v>
      </c>
      <c r="HQ40" s="154">
        <f t="shared" si="81"/>
        <v>17.365354707343201</v>
      </c>
      <c r="HR40" s="154">
        <f t="shared" si="81"/>
        <v>26.587254343922496</v>
      </c>
    </row>
    <row r="41" spans="2:226" ht="15" customHeight="1" x14ac:dyDescent="0.25">
      <c r="B41" s="103" t="s">
        <v>285</v>
      </c>
      <c r="C41" s="103"/>
      <c r="D41" s="103"/>
      <c r="E41" s="103"/>
      <c r="F41" s="103"/>
      <c r="G41" s="103"/>
      <c r="H41" s="103"/>
      <c r="I41" s="103"/>
      <c r="J41" s="103"/>
      <c r="K41" s="103"/>
      <c r="L41" s="103"/>
      <c r="M41" s="103"/>
      <c r="N41" s="103"/>
      <c r="O41" s="103"/>
      <c r="P41" s="103"/>
      <c r="Q41" s="103"/>
      <c r="R41" s="103"/>
      <c r="S41" s="103"/>
      <c r="T41" s="103"/>
      <c r="U41" s="103"/>
      <c r="V41" s="103"/>
      <c r="W41" s="103"/>
      <c r="X41" s="103"/>
      <c r="Y41" s="103"/>
      <c r="Z41" s="103"/>
      <c r="AA41" s="103"/>
      <c r="AB41" s="103"/>
      <c r="AC41" s="103"/>
      <c r="AD41" s="103"/>
      <c r="AE41" s="103"/>
      <c r="AF41" s="103"/>
      <c r="AG41" s="103"/>
      <c r="AH41" s="103"/>
      <c r="HH41" s="161" t="s">
        <v>314</v>
      </c>
      <c r="HI41" s="320">
        <f t="shared" ref="HI41:HK41" si="82">HI22</f>
        <v>0.99192587820779354</v>
      </c>
      <c r="HJ41" s="154">
        <f t="shared" si="82"/>
        <v>2.1286528918602716</v>
      </c>
      <c r="HK41" s="154">
        <f t="shared" si="82"/>
        <v>0.78778721392748075</v>
      </c>
      <c r="HL41" s="154">
        <f t="shared" ref="HL41:HR41" si="83">HL22</f>
        <v>1.527263531722201</v>
      </c>
      <c r="HM41" s="154">
        <f t="shared" si="83"/>
        <v>1.2270833333333333</v>
      </c>
      <c r="HN41" s="154">
        <f t="shared" si="83"/>
        <v>1.5777666666666668</v>
      </c>
      <c r="HO41" s="154">
        <f t="shared" si="83"/>
        <v>1.6272387530484713</v>
      </c>
      <c r="HP41" s="154">
        <f t="shared" si="83"/>
        <v>2.1650506973512607</v>
      </c>
      <c r="HQ41" s="154">
        <f t="shared" si="83"/>
        <v>2.1344857324403521</v>
      </c>
      <c r="HR41" s="154">
        <f t="shared" si="83"/>
        <v>3.2680078246756281</v>
      </c>
    </row>
    <row r="42" spans="2:226" ht="15" customHeight="1" x14ac:dyDescent="0.2">
      <c r="K42" s="112"/>
      <c r="CH42" s="317">
        <f>CH38/CH40</f>
        <v>0.33628318584070799</v>
      </c>
      <c r="CI42" s="317">
        <f t="shared" ref="CI42:CO42" si="84">CI38/CI40</f>
        <v>0.31804733727810652</v>
      </c>
      <c r="CJ42" s="317">
        <f t="shared" si="84"/>
        <v>0.32496863237139273</v>
      </c>
      <c r="CK42" s="317">
        <f t="shared" si="84"/>
        <v>0.33805888767720826</v>
      </c>
      <c r="CL42" s="317">
        <f t="shared" si="84"/>
        <v>0.3323811083486764</v>
      </c>
      <c r="CM42" s="317">
        <f t="shared" si="84"/>
        <v>0.34093926572405292</v>
      </c>
      <c r="CN42" s="317">
        <f t="shared" si="84"/>
        <v>0.35588556570712554</v>
      </c>
      <c r="CO42" s="317">
        <f t="shared" si="84"/>
        <v>0.37112957866742374</v>
      </c>
      <c r="HH42" s="161" t="s">
        <v>664</v>
      </c>
      <c r="HI42" s="345">
        <f t="shared" ref="HI42:HK42" si="85">HI32</f>
        <v>0.22719397587416457</v>
      </c>
      <c r="HJ42" s="384">
        <f t="shared" si="85"/>
        <v>0.3502329431677581</v>
      </c>
      <c r="HK42" s="384">
        <f t="shared" si="85"/>
        <v>0.1588490190557777</v>
      </c>
      <c r="HL42" s="384">
        <f t="shared" ref="HL42:HR42" si="86">HL32</f>
        <v>0.20167793950913426</v>
      </c>
      <c r="HM42" s="384">
        <f t="shared" si="86"/>
        <v>0.18906250000000002</v>
      </c>
      <c r="HN42" s="384">
        <f t="shared" si="86"/>
        <v>0.56809375000000006</v>
      </c>
      <c r="HO42" s="384">
        <f t="shared" si="86"/>
        <v>0.61940946632610527</v>
      </c>
      <c r="HP42" s="384">
        <f t="shared" si="86"/>
        <v>0.82412792499132415</v>
      </c>
      <c r="HQ42" s="384">
        <f t="shared" si="86"/>
        <v>0.81249335165764824</v>
      </c>
      <c r="HR42" s="384">
        <f t="shared" si="86"/>
        <v>1.2439692570249221</v>
      </c>
    </row>
    <row r="43" spans="2:226" ht="15" customHeight="1" x14ac:dyDescent="0.25">
      <c r="C43" s="278" t="s">
        <v>194</v>
      </c>
      <c r="D43" s="278" t="s">
        <v>195</v>
      </c>
      <c r="E43" s="278" t="s">
        <v>196</v>
      </c>
      <c r="F43" s="278" t="s">
        <v>197</v>
      </c>
      <c r="G43" s="279" t="s">
        <v>198</v>
      </c>
      <c r="H43" s="279" t="s">
        <v>199</v>
      </c>
      <c r="I43" s="279" t="s">
        <v>200</v>
      </c>
      <c r="J43" s="279" t="s">
        <v>201</v>
      </c>
      <c r="K43" s="278" t="s">
        <v>202</v>
      </c>
      <c r="L43" s="278" t="s">
        <v>203</v>
      </c>
      <c r="M43" s="278" t="s">
        <v>204</v>
      </c>
      <c r="N43" s="278" t="s">
        <v>205</v>
      </c>
      <c r="O43" s="279" t="s">
        <v>206</v>
      </c>
      <c r="P43" s="279" t="s">
        <v>207</v>
      </c>
      <c r="Q43" s="279" t="s">
        <v>208</v>
      </c>
      <c r="R43" s="279" t="s">
        <v>209</v>
      </c>
      <c r="S43" s="278" t="s">
        <v>210</v>
      </c>
      <c r="T43" s="278" t="s">
        <v>211</v>
      </c>
      <c r="U43" s="278" t="s">
        <v>212</v>
      </c>
      <c r="V43" s="278" t="s">
        <v>213</v>
      </c>
      <c r="W43" s="279" t="s">
        <v>214</v>
      </c>
      <c r="X43" s="279" t="s">
        <v>215</v>
      </c>
      <c r="Y43" s="279" t="s">
        <v>216</v>
      </c>
      <c r="Z43" s="279" t="s">
        <v>217</v>
      </c>
      <c r="AA43" s="278" t="s">
        <v>236</v>
      </c>
      <c r="AB43" s="278" t="s">
        <v>237</v>
      </c>
      <c r="AC43" s="278" t="s">
        <v>238</v>
      </c>
      <c r="AD43" s="278" t="s">
        <v>239</v>
      </c>
      <c r="AE43" s="279" t="s">
        <v>240</v>
      </c>
      <c r="AF43" s="279" t="s">
        <v>241</v>
      </c>
      <c r="AG43" s="279" t="s">
        <v>242</v>
      </c>
      <c r="AH43" s="279" t="s">
        <v>243</v>
      </c>
      <c r="HH43" s="161"/>
      <c r="HI43" s="344">
        <f t="shared" ref="HI43:HK43" si="87">SUM(HI40:HI42)</f>
        <v>18.909925300000005</v>
      </c>
      <c r="HJ43" s="344">
        <f t="shared" si="87"/>
        <v>27.736807890914999</v>
      </c>
      <c r="HK43" s="344">
        <f t="shared" si="87"/>
        <v>9.0686442461729992</v>
      </c>
      <c r="HL43" s="344">
        <f t="shared" ref="HL43" si="88">SUM(HL40:HL42)</f>
        <v>14.187110574259998</v>
      </c>
      <c r="HM43" s="344">
        <f t="shared" ref="HM43" si="89">SUM(HM40:HM42)</f>
        <v>17.298699999999997</v>
      </c>
      <c r="HN43" s="344">
        <f t="shared" ref="HN43" si="90">SUM(HN40:HN42)</f>
        <v>23.3777875</v>
      </c>
      <c r="HO43" s="344">
        <f t="shared" ref="HO43" si="91">SUM(HO40:HO42)</f>
        <v>15.48523665815263</v>
      </c>
      <c r="HP43" s="344">
        <f t="shared" ref="HP43" si="92">SUM(HP40:HP42)</f>
        <v>20.603198124783106</v>
      </c>
      <c r="HQ43" s="344">
        <f t="shared" ref="HQ43" si="93">SUM(HQ40:HQ42)</f>
        <v>20.312333791441201</v>
      </c>
      <c r="HR43" s="344">
        <f t="shared" ref="HR43" si="94">SUM(HR40:HR42)</f>
        <v>31.099231425623046</v>
      </c>
    </row>
    <row r="44" spans="2:226" ht="15" customHeight="1" x14ac:dyDescent="0.2">
      <c r="B44" s="104" t="s">
        <v>286</v>
      </c>
      <c r="C44" s="125">
        <f>Forecast!N68/1000000</f>
        <v>28.212770124567442</v>
      </c>
      <c r="D44" s="125">
        <f>Forecast!O68/1000000</f>
        <v>23.776766444567443</v>
      </c>
      <c r="E44" s="125">
        <f>Forecast!P68/1000000</f>
        <v>67.665568374567442</v>
      </c>
      <c r="F44" s="125">
        <f>Forecast!Q68/1000000</f>
        <v>63.401484154567441</v>
      </c>
      <c r="G44" s="125">
        <f>Forecast!R68/1000000</f>
        <v>48.175318490000002</v>
      </c>
      <c r="H44" s="125">
        <f>Forecast!S68/1000000</f>
        <v>41.42953945</v>
      </c>
      <c r="I44" s="125">
        <f>Forecast!T68/1000000</f>
        <v>132.45970020000001</v>
      </c>
      <c r="J44" s="125">
        <f>Forecast!U68/1000000</f>
        <v>127.94848899999998</v>
      </c>
      <c r="K44" s="125">
        <f>Forecast!V68/1000000</f>
        <v>113.9302319998</v>
      </c>
      <c r="L44" s="125">
        <f>Forecast!W68/1000000</f>
        <v>103.35298040773998</v>
      </c>
      <c r="M44" s="125">
        <f>Forecast!X68/1000000</f>
        <v>98.528151126639983</v>
      </c>
      <c r="N44" s="125">
        <f>Forecast!Y68/1000000</f>
        <v>96.304544183695583</v>
      </c>
      <c r="O44" s="125">
        <f>Forecast!Z68/1000000</f>
        <v>86.058441699295585</v>
      </c>
      <c r="P44" s="125">
        <f>Forecast!AA68/1000000</f>
        <v>224.13640230269559</v>
      </c>
      <c r="Q44" s="125">
        <f>Forecast!AB68/1000000</f>
        <v>208.15127139115179</v>
      </c>
      <c r="R44" s="125">
        <f>Forecast!AC68/1000000</f>
        <v>194.03577630878581</v>
      </c>
      <c r="S44" s="125">
        <f>Forecast!AD68/1000000</f>
        <v>176.19743356261449</v>
      </c>
      <c r="T44" s="125">
        <f>Forecast!AE68/1000000</f>
        <v>161.55220946968754</v>
      </c>
      <c r="U44" s="125">
        <f>Forecast!AF68/1000000</f>
        <v>146.97082079528079</v>
      </c>
      <c r="V44" s="125">
        <f>Forecast!AG68/1000000</f>
        <v>135.59799799384064</v>
      </c>
      <c r="W44" s="125">
        <f>Forecast!AH68/1000000</f>
        <v>121.3009306733999</v>
      </c>
      <c r="X44" s="125">
        <f>Forecast!AI68/1000000</f>
        <v>109.74258170301623</v>
      </c>
      <c r="Y44" s="125">
        <f>Forecast!AJ68/1000000</f>
        <v>95.998271173080923</v>
      </c>
      <c r="Z44" s="125">
        <f>Forecast!AK68/1000000</f>
        <v>84.08376634412393</v>
      </c>
      <c r="AA44" s="125">
        <f>Forecast!AL68/1000000</f>
        <v>69.977267908963654</v>
      </c>
      <c r="AB44" s="125">
        <f>Forecast!AM68/1000000</f>
        <v>64.633235970212311</v>
      </c>
      <c r="AC44" s="125">
        <f>Forecast!AN68/1000000</f>
        <v>60.513241371965705</v>
      </c>
      <c r="AD44" s="125">
        <f>Forecast!AO68/1000000</f>
        <v>64.188915367398707</v>
      </c>
      <c r="AE44" s="125">
        <f>Forecast!AP68/1000000</f>
        <v>65.523038768940296</v>
      </c>
      <c r="AF44" s="125">
        <f>Forecast!AQ68/1000000</f>
        <v>77.369436190915437</v>
      </c>
      <c r="AG44" s="125">
        <f>Forecast!AR68/1000000</f>
        <v>90.319031919203695</v>
      </c>
      <c r="AH44" s="125">
        <f>Forecast!AS68/1000000</f>
        <v>112.98298437855232</v>
      </c>
      <c r="CI44" s="285">
        <f t="shared" ref="CI44:CK44" si="95">CI38-CH38</f>
        <v>25</v>
      </c>
      <c r="CJ44" s="285">
        <f t="shared" si="95"/>
        <v>44</v>
      </c>
      <c r="CK44" s="117">
        <f t="shared" si="95"/>
        <v>51</v>
      </c>
      <c r="CL44" s="285">
        <f>CL38-CK38</f>
        <v>2.021739130434753</v>
      </c>
      <c r="CM44" s="285">
        <f t="shared" ref="CM44:CO44" si="96">CM38-CL38</f>
        <v>25.338707043786997</v>
      </c>
      <c r="CN44" s="285">
        <f t="shared" si="96"/>
        <v>35.548838362804872</v>
      </c>
      <c r="CO44" s="285">
        <f t="shared" si="96"/>
        <v>52.43385021146247</v>
      </c>
      <c r="HH44" s="161"/>
      <c r="HI44" s="161"/>
      <c r="HJ44" s="161"/>
      <c r="HK44" s="161"/>
      <c r="HL44" s="161"/>
      <c r="HM44" s="161"/>
      <c r="HN44" s="161"/>
      <c r="HO44" s="161"/>
      <c r="HP44" s="161"/>
      <c r="HQ44" s="161"/>
      <c r="HR44" s="161"/>
    </row>
    <row r="45" spans="2:226" ht="15" customHeight="1" x14ac:dyDescent="0.2">
      <c r="B45" s="104" t="s">
        <v>61</v>
      </c>
      <c r="C45" s="125">
        <f>Forecast!N67/1000000</f>
        <v>0</v>
      </c>
      <c r="D45" s="125">
        <f>Forecast!O67/1000000</f>
        <v>0</v>
      </c>
      <c r="E45" s="125">
        <f>Forecast!P67/1000000</f>
        <v>50.019551</v>
      </c>
      <c r="F45" s="125">
        <f>Forecast!Q67/1000000</f>
        <v>4.4696309999999996E-2</v>
      </c>
      <c r="G45" s="125">
        <f>Forecast!R67/1000000</f>
        <v>0.128889</v>
      </c>
      <c r="H45" s="125">
        <f>Forecast!S67/1000000</f>
        <v>0.54723757000000006</v>
      </c>
      <c r="I45" s="125">
        <f>Forecast!T67/1000000</f>
        <v>100.21832292000001</v>
      </c>
      <c r="J45" s="157">
        <f>Forecast!U67/1000000</f>
        <v>0.21289965999999999</v>
      </c>
      <c r="K45" s="125">
        <f>Forecast!V67/1000000</f>
        <v>6.3894000000000006E-2</v>
      </c>
      <c r="L45" s="125">
        <f>Forecast!W67/1000000</f>
        <v>0.18886800000000001</v>
      </c>
      <c r="M45" s="125">
        <f>Forecast!X67/1000000</f>
        <v>0.474051</v>
      </c>
      <c r="N45" s="157">
        <f>Forecast!Y67/1000000</f>
        <v>1.1467990100000001</v>
      </c>
      <c r="O45" s="125">
        <f>Forecast!Z67/1000000</f>
        <v>1.0077072200000001</v>
      </c>
      <c r="P45" s="125">
        <f>Forecast!AA67/1000000</f>
        <v>150.21287519999998</v>
      </c>
      <c r="Q45" s="125">
        <f>Forecast!AB67/1000000</f>
        <v>0.8</v>
      </c>
      <c r="R45" s="125">
        <f>Forecast!AC67/1000000</f>
        <v>0</v>
      </c>
      <c r="S45" s="125">
        <f>Forecast!AD67/1000000</f>
        <v>0</v>
      </c>
      <c r="T45" s="125">
        <f>Forecast!AE67/1000000</f>
        <v>0</v>
      </c>
      <c r="U45" s="125">
        <f>Forecast!AF67/1000000</f>
        <v>0</v>
      </c>
      <c r="V45" s="125">
        <f>Forecast!AG67/1000000</f>
        <v>0</v>
      </c>
      <c r="W45" s="125">
        <f>Forecast!AH67/1000000</f>
        <v>0</v>
      </c>
      <c r="X45" s="125">
        <f>Forecast!AI67/1000000</f>
        <v>0</v>
      </c>
      <c r="Y45" s="125">
        <f>Forecast!AJ67/1000000</f>
        <v>0</v>
      </c>
      <c r="Z45" s="125">
        <f>Forecast!AK67/1000000</f>
        <v>0</v>
      </c>
      <c r="AA45" s="125">
        <f>Forecast!AL67/1000000</f>
        <v>0</v>
      </c>
      <c r="AB45" s="125">
        <f>Forecast!AM67/1000000</f>
        <v>0</v>
      </c>
      <c r="AC45" s="125">
        <f>Forecast!AN67/1000000</f>
        <v>0</v>
      </c>
      <c r="AD45" s="125">
        <f>Forecast!AO67/1000000</f>
        <v>0</v>
      </c>
      <c r="AE45" s="125">
        <f>Forecast!AP67/1000000</f>
        <v>0</v>
      </c>
      <c r="AF45" s="125">
        <f>Forecast!AQ67/1000000</f>
        <v>0</v>
      </c>
      <c r="AG45" s="125">
        <f>Forecast!AR67/1000000</f>
        <v>0</v>
      </c>
      <c r="AH45" s="158">
        <v>0</v>
      </c>
      <c r="HH45" s="161"/>
      <c r="HI45" s="161"/>
      <c r="HJ45" s="161"/>
      <c r="HK45" s="161"/>
      <c r="HL45" s="161"/>
      <c r="HM45" s="161"/>
      <c r="HN45" s="161"/>
      <c r="HO45" s="161"/>
      <c r="HP45" s="161"/>
      <c r="HQ45" s="161"/>
      <c r="HR45" s="161"/>
    </row>
    <row r="46" spans="2:226" x14ac:dyDescent="0.2">
      <c r="B46" s="104" t="s">
        <v>279</v>
      </c>
      <c r="C46" s="125">
        <f>SUM(Forecast!N64:N66)/1000000</f>
        <v>-5.3882298754325575</v>
      </c>
      <c r="D46" s="125">
        <f>SUM(Forecast!O64:O66)/1000000</f>
        <v>-4.4360036799999998</v>
      </c>
      <c r="E46" s="125">
        <f>SUM(Forecast!P64:P66)/1000000</f>
        <v>-6.130749070000002</v>
      </c>
      <c r="F46" s="125">
        <f>SUM(Forecast!Q64:Q66)/1000000</f>
        <v>-4.3087805299999937</v>
      </c>
      <c r="G46" s="125">
        <f>SUM(Forecast!R64:R66)/1000000</f>
        <v>-15.35505466456744</v>
      </c>
      <c r="H46" s="125">
        <f>SUM(Forecast!S64:S66)/1000000</f>
        <v>-7.2930166099999996</v>
      </c>
      <c r="I46" s="125">
        <f>SUM(Forecast!T64:T66)/1000000</f>
        <v>-9.1881621699999982</v>
      </c>
      <c r="J46" s="125">
        <f>SUM(Forecast!U64:U66)/1000000</f>
        <v>-4.7241108600000068</v>
      </c>
      <c r="K46" s="125">
        <f>SUM(Forecast!V64:V66)/1000000</f>
        <v>-14.082151000200003</v>
      </c>
      <c r="L46" s="125">
        <f>SUM(Forecast!W64:W66)/1000000</f>
        <v>-10.766119592060011</v>
      </c>
      <c r="M46" s="125">
        <f>SUM(Forecast!X64:X66)/1000000</f>
        <v>-5.2988802810999971</v>
      </c>
      <c r="N46" s="125">
        <f>SUM(Forecast!Y64:Y66)/1000000</f>
        <v>-3.3704059529444015</v>
      </c>
      <c r="O46" s="125">
        <f>SUM(Forecast!Z64:Z66)/1000000</f>
        <v>-11.253809704400004</v>
      </c>
      <c r="P46" s="125">
        <f>SUM(Forecast!AA64:AA66)/1000000</f>
        <v>-12.13491459660001</v>
      </c>
      <c r="Q46" s="125">
        <f>SUM(Forecast!AB64:AB66)/1000000</f>
        <v>-16.785130911543771</v>
      </c>
      <c r="R46" s="125">
        <f>SUM(Forecast!AC64:AC66)/1000000</f>
        <v>-14.115495082365944</v>
      </c>
      <c r="S46" s="125">
        <f>SUM(Forecast!AD64:AD66)/1000000</f>
        <v>-17.838342746171275</v>
      </c>
      <c r="T46" s="125">
        <f>SUM(Forecast!AE64:AE66)/1000000</f>
        <v>-14.645224092926934</v>
      </c>
      <c r="U46" s="125">
        <f>SUM(Forecast!AF64:AF66)/1000000</f>
        <v>-14.581388674406789</v>
      </c>
      <c r="V46" s="125">
        <f>SUM(Forecast!AG64:AG66)/1000000</f>
        <v>-11.372822801440165</v>
      </c>
      <c r="W46" s="125">
        <f>SUM(Forecast!AH64:AH66)/1000000</f>
        <v>-14.297067320440725</v>
      </c>
      <c r="X46" s="125">
        <f>SUM(Forecast!AI64:AI66)/1000000</f>
        <v>-11.558348970383719</v>
      </c>
      <c r="Y46" s="125">
        <f>SUM(Forecast!AJ64:AJ66)/1000000</f>
        <v>-13.744310529935271</v>
      </c>
      <c r="Z46" s="125">
        <f>SUM(Forecast!AK64:AK66)/1000000</f>
        <v>-11.914504828956991</v>
      </c>
      <c r="AA46" s="125">
        <f>SUM(Forecast!AL64:AL66)/1000000</f>
        <v>-14.10649843516028</v>
      </c>
      <c r="AB46" s="125">
        <f>SUM(Forecast!AM64:AM66)/1000000</f>
        <v>-5.34403193875134</v>
      </c>
      <c r="AC46" s="125">
        <f>SUM(Forecast!AN64:AN66)/1000000</f>
        <v>-4.1199945982466044</v>
      </c>
      <c r="AD46" s="158">
        <v>-5.4</v>
      </c>
      <c r="AE46" s="125">
        <f>SUM(Forecast!AP64:AP66)/1000000</f>
        <v>1.3341234015416206</v>
      </c>
      <c r="AF46" s="125">
        <f>SUM(Forecast!AQ64:AQ66)/1000000</f>
        <v>11.846397421975135</v>
      </c>
      <c r="AG46" s="125">
        <f>SUM(Forecast!AR64:AR66)/1000000</f>
        <v>12.949595728288264</v>
      </c>
      <c r="AH46" s="125">
        <f>SUM(Forecast!AS64:AS66)/1000000</f>
        <v>22.663952459348618</v>
      </c>
    </row>
  </sheetData>
  <phoneticPr fontId="9" type="noConversion"/>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1045D6-0D25-4745-A4C7-2618387A8C95}">
  <sheetPr>
    <tabColor theme="1"/>
  </sheetPr>
  <dimension ref="A1"/>
  <sheetViews>
    <sheetView workbookViewId="0"/>
  </sheetViews>
  <sheetFormatPr defaultColWidth="8.85546875" defaultRowHeight="15" x14ac:dyDescent="0.25"/>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164BD6-F3CA-4714-A577-9E4590F23DCD}">
  <dimension ref="B1:FB130"/>
  <sheetViews>
    <sheetView showGridLines="0" zoomScaleNormal="100" workbookViewId="0">
      <pane xSplit="3" ySplit="5" topLeftCell="G16" activePane="bottomRight" state="frozen"/>
      <selection pane="topRight" activeCell="C1" sqref="C1"/>
      <selection pane="bottomLeft" activeCell="A4" sqref="A4"/>
      <selection pane="bottomRight" activeCell="G34" sqref="G34"/>
    </sheetView>
  </sheetViews>
  <sheetFormatPr defaultColWidth="8.85546875" defaultRowHeight="15" outlineLevelRow="1" outlineLevelCol="1" x14ac:dyDescent="0.25"/>
  <cols>
    <col min="1" max="1" width="2.7109375" customWidth="1"/>
    <col min="2" max="2" width="5.140625" bestFit="1" customWidth="1"/>
    <col min="3" max="3" width="30.28515625" bestFit="1" customWidth="1"/>
    <col min="4" max="11" width="13.85546875" customWidth="1"/>
    <col min="12" max="12" width="14.42578125" customWidth="1" outlineLevel="1"/>
    <col min="13" max="13" width="9.140625" customWidth="1"/>
    <col min="14" max="47" width="13.85546875" customWidth="1"/>
    <col min="48" max="49" width="14.42578125" bestFit="1" customWidth="1"/>
    <col min="50" max="50" width="9.140625" customWidth="1"/>
    <col min="51" max="70" width="11.85546875" bestFit="1" customWidth="1"/>
    <col min="71" max="82" width="12.85546875" bestFit="1" customWidth="1"/>
    <col min="83" max="85" width="11.85546875" bestFit="1" customWidth="1"/>
    <col min="86" max="91" width="12.28515625" bestFit="1" customWidth="1"/>
    <col min="92" max="98" width="12.85546875" bestFit="1" customWidth="1"/>
    <col min="99" max="99" width="13.7109375" bestFit="1" customWidth="1"/>
    <col min="100" max="110" width="12.85546875" bestFit="1" customWidth="1"/>
    <col min="111" max="127" width="12.42578125" bestFit="1" customWidth="1"/>
    <col min="128" max="158" width="13.7109375" bestFit="1" customWidth="1"/>
  </cols>
  <sheetData>
    <row r="1" spans="3:158" s="99" customFormat="1" x14ac:dyDescent="0.25"/>
    <row r="2" spans="3:158" outlineLevel="1" x14ac:dyDescent="0.25">
      <c r="D2" s="66" t="s">
        <v>36</v>
      </c>
      <c r="E2" s="66" t="s">
        <v>37</v>
      </c>
      <c r="F2" s="66" t="s">
        <v>38</v>
      </c>
      <c r="G2" s="66" t="s">
        <v>39</v>
      </c>
      <c r="H2" s="66" t="s">
        <v>40</v>
      </c>
      <c r="I2" s="66" t="s">
        <v>41</v>
      </c>
      <c r="J2" s="66" t="s">
        <v>233</v>
      </c>
      <c r="K2" s="66" t="s">
        <v>234</v>
      </c>
      <c r="L2" s="66" t="s">
        <v>235</v>
      </c>
      <c r="AY2" s="66" t="s">
        <v>36</v>
      </c>
      <c r="AZ2" s="66" t="s">
        <v>36</v>
      </c>
      <c r="BA2" s="66" t="s">
        <v>36</v>
      </c>
      <c r="BB2" s="66" t="s">
        <v>36</v>
      </c>
      <c r="BC2" s="66" t="s">
        <v>36</v>
      </c>
      <c r="BD2" s="66" t="s">
        <v>36</v>
      </c>
      <c r="BE2" s="66" t="s">
        <v>36</v>
      </c>
      <c r="BF2" s="66" t="s">
        <v>36</v>
      </c>
      <c r="BG2" s="66" t="s">
        <v>36</v>
      </c>
      <c r="BH2" s="66" t="s">
        <v>36</v>
      </c>
      <c r="BI2" s="66" t="s">
        <v>36</v>
      </c>
      <c r="BJ2" s="66" t="s">
        <v>36</v>
      </c>
      <c r="BK2" s="66" t="s">
        <v>37</v>
      </c>
      <c r="BL2" s="66" t="s">
        <v>37</v>
      </c>
      <c r="BM2" s="66" t="s">
        <v>37</v>
      </c>
      <c r="BN2" s="66" t="s">
        <v>37</v>
      </c>
      <c r="BO2" s="66" t="s">
        <v>37</v>
      </c>
      <c r="BP2" s="66" t="s">
        <v>37</v>
      </c>
      <c r="BQ2" s="66" t="s">
        <v>37</v>
      </c>
      <c r="BR2" s="66" t="s">
        <v>37</v>
      </c>
      <c r="BS2" s="66" t="s">
        <v>37</v>
      </c>
      <c r="BT2" s="66" t="s">
        <v>37</v>
      </c>
      <c r="BU2" s="66" t="s">
        <v>37</v>
      </c>
      <c r="BV2" s="66" t="s">
        <v>37</v>
      </c>
      <c r="BW2" s="66" t="s">
        <v>38</v>
      </c>
      <c r="BX2" s="66" t="s">
        <v>38</v>
      </c>
      <c r="BY2" s="66" t="s">
        <v>38</v>
      </c>
      <c r="BZ2" s="66" t="s">
        <v>38</v>
      </c>
      <c r="CA2" s="66" t="s">
        <v>38</v>
      </c>
      <c r="CB2" s="66" t="s">
        <v>38</v>
      </c>
      <c r="CC2" s="66" t="s">
        <v>38</v>
      </c>
      <c r="CD2" s="66" t="s">
        <v>38</v>
      </c>
      <c r="CE2" s="66" t="s">
        <v>38</v>
      </c>
      <c r="CF2" s="66" t="s">
        <v>38</v>
      </c>
      <c r="CG2" s="66" t="s">
        <v>38</v>
      </c>
      <c r="CH2" s="66" t="s">
        <v>38</v>
      </c>
      <c r="CI2" s="66" t="s">
        <v>39</v>
      </c>
      <c r="CJ2" s="66" t="s">
        <v>39</v>
      </c>
      <c r="CK2" s="66" t="s">
        <v>39</v>
      </c>
      <c r="CL2" s="66" t="s">
        <v>39</v>
      </c>
      <c r="CM2" s="66" t="s">
        <v>39</v>
      </c>
      <c r="CN2" s="66" t="s">
        <v>39</v>
      </c>
      <c r="CO2" s="66" t="s">
        <v>39</v>
      </c>
      <c r="CP2" s="66" t="s">
        <v>39</v>
      </c>
      <c r="CQ2" s="66" t="s">
        <v>39</v>
      </c>
      <c r="CR2" s="66" t="s">
        <v>39</v>
      </c>
      <c r="CS2" s="66" t="s">
        <v>39</v>
      </c>
      <c r="CT2" s="66" t="s">
        <v>39</v>
      </c>
      <c r="CU2" s="66" t="s">
        <v>40</v>
      </c>
      <c r="CV2" s="66" t="s">
        <v>40</v>
      </c>
      <c r="CW2" s="66" t="s">
        <v>40</v>
      </c>
      <c r="CX2" s="66" t="s">
        <v>40</v>
      </c>
      <c r="CY2" s="66" t="s">
        <v>40</v>
      </c>
      <c r="CZ2" s="66" t="s">
        <v>40</v>
      </c>
      <c r="DA2" s="66" t="s">
        <v>40</v>
      </c>
      <c r="DB2" s="66" t="s">
        <v>40</v>
      </c>
      <c r="DC2" s="66" t="s">
        <v>40</v>
      </c>
      <c r="DD2" s="66" t="s">
        <v>40</v>
      </c>
      <c r="DE2" s="66" t="s">
        <v>40</v>
      </c>
      <c r="DF2" s="66" t="s">
        <v>40</v>
      </c>
      <c r="DG2" s="66" t="s">
        <v>41</v>
      </c>
      <c r="DH2" s="66" t="s">
        <v>41</v>
      </c>
      <c r="DI2" s="66" t="s">
        <v>41</v>
      </c>
      <c r="DJ2" s="66" t="s">
        <v>41</v>
      </c>
      <c r="DK2" s="66" t="s">
        <v>41</v>
      </c>
      <c r="DL2" s="66" t="s">
        <v>41</v>
      </c>
      <c r="DM2" s="66" t="s">
        <v>41</v>
      </c>
      <c r="DN2" s="66" t="s">
        <v>41</v>
      </c>
      <c r="DO2" s="66" t="s">
        <v>41</v>
      </c>
      <c r="DP2" s="66" t="s">
        <v>41</v>
      </c>
      <c r="DQ2" s="66" t="s">
        <v>41</v>
      </c>
      <c r="DR2" s="66" t="s">
        <v>41</v>
      </c>
      <c r="DS2" s="66" t="s">
        <v>233</v>
      </c>
      <c r="DT2" s="66" t="s">
        <v>233</v>
      </c>
      <c r="DU2" s="66" t="s">
        <v>233</v>
      </c>
      <c r="DV2" s="66" t="s">
        <v>233</v>
      </c>
      <c r="DW2" s="66" t="s">
        <v>233</v>
      </c>
      <c r="DX2" s="66" t="s">
        <v>233</v>
      </c>
      <c r="DY2" s="66" t="s">
        <v>233</v>
      </c>
      <c r="DZ2" s="66" t="s">
        <v>233</v>
      </c>
      <c r="EA2" s="66" t="s">
        <v>233</v>
      </c>
      <c r="EB2" s="66" t="s">
        <v>233</v>
      </c>
      <c r="EC2" s="66" t="s">
        <v>233</v>
      </c>
      <c r="ED2" s="66" t="s">
        <v>233</v>
      </c>
      <c r="EE2" s="66" t="s">
        <v>234</v>
      </c>
      <c r="EF2" s="66" t="s">
        <v>234</v>
      </c>
      <c r="EG2" s="66" t="s">
        <v>234</v>
      </c>
      <c r="EH2" s="66" t="s">
        <v>234</v>
      </c>
      <c r="EI2" s="66" t="s">
        <v>234</v>
      </c>
      <c r="EJ2" s="66" t="s">
        <v>234</v>
      </c>
      <c r="EK2" s="66" t="s">
        <v>234</v>
      </c>
      <c r="EL2" s="66" t="s">
        <v>234</v>
      </c>
      <c r="EM2" s="66" t="s">
        <v>234</v>
      </c>
      <c r="EN2" s="66" t="s">
        <v>234</v>
      </c>
      <c r="EO2" s="66" t="s">
        <v>234</v>
      </c>
      <c r="EP2" s="66" t="s">
        <v>234</v>
      </c>
      <c r="EQ2" s="66" t="s">
        <v>235</v>
      </c>
      <c r="ER2" s="66" t="s">
        <v>235</v>
      </c>
      <c r="ES2" s="66" t="s">
        <v>235</v>
      </c>
      <c r="ET2" s="66" t="s">
        <v>235</v>
      </c>
      <c r="EU2" s="66" t="s">
        <v>235</v>
      </c>
      <c r="EV2" s="66" t="s">
        <v>235</v>
      </c>
      <c r="EW2" s="66" t="s">
        <v>235</v>
      </c>
      <c r="EX2" s="66" t="s">
        <v>235</v>
      </c>
      <c r="EY2" s="66" t="s">
        <v>235</v>
      </c>
      <c r="EZ2" s="66" t="s">
        <v>235</v>
      </c>
      <c r="FA2" s="66" t="s">
        <v>235</v>
      </c>
      <c r="FB2" s="66" t="s">
        <v>235</v>
      </c>
    </row>
    <row r="4" spans="3:158" s="1" customFormat="1" x14ac:dyDescent="0.25">
      <c r="D4" s="25" t="s">
        <v>53</v>
      </c>
      <c r="E4" s="25"/>
      <c r="F4" s="25"/>
      <c r="G4" s="94" t="s">
        <v>54</v>
      </c>
      <c r="H4" s="94"/>
      <c r="I4" s="94"/>
      <c r="J4" s="94"/>
      <c r="K4" s="94"/>
      <c r="L4" s="94"/>
      <c r="N4" s="71" t="s">
        <v>36</v>
      </c>
      <c r="O4" s="71"/>
      <c r="P4" s="71"/>
      <c r="Q4" s="71"/>
      <c r="R4" s="69" t="s">
        <v>37</v>
      </c>
      <c r="S4" s="69"/>
      <c r="T4" s="69"/>
      <c r="U4" s="69"/>
      <c r="V4" s="71" t="s">
        <v>38</v>
      </c>
      <c r="W4" s="71"/>
      <c r="X4" s="71"/>
      <c r="Y4" s="71"/>
      <c r="Z4" s="69" t="s">
        <v>39</v>
      </c>
      <c r="AA4" s="69"/>
      <c r="AB4" s="69"/>
      <c r="AC4" s="69"/>
      <c r="AD4" s="71" t="s">
        <v>40</v>
      </c>
      <c r="AE4" s="71"/>
      <c r="AF4" s="71"/>
      <c r="AG4" s="71"/>
      <c r="AH4" s="69" t="s">
        <v>41</v>
      </c>
      <c r="AI4" s="69"/>
      <c r="AJ4" s="69"/>
      <c r="AK4" s="69"/>
      <c r="AL4" s="71" t="s">
        <v>233</v>
      </c>
      <c r="AM4" s="71"/>
      <c r="AN4" s="71"/>
      <c r="AO4" s="71"/>
      <c r="AP4" s="69" t="s">
        <v>234</v>
      </c>
      <c r="AQ4" s="69"/>
      <c r="AR4" s="69"/>
      <c r="AS4" s="69"/>
      <c r="AT4" s="71" t="s">
        <v>235</v>
      </c>
      <c r="AU4" s="71"/>
      <c r="AV4" s="71"/>
      <c r="AW4" s="71"/>
      <c r="AY4" s="71" t="s">
        <v>36</v>
      </c>
      <c r="AZ4" s="71"/>
      <c r="BA4" s="71"/>
      <c r="BB4" s="71"/>
      <c r="BC4" s="71"/>
      <c r="BD4" s="71"/>
      <c r="BE4" s="71"/>
      <c r="BF4" s="71"/>
      <c r="BG4" s="71"/>
      <c r="BH4" s="71"/>
      <c r="BI4" s="71"/>
      <c r="BJ4" s="71"/>
      <c r="BK4" s="69" t="s">
        <v>37</v>
      </c>
      <c r="BL4" s="69"/>
      <c r="BM4" s="69"/>
      <c r="BN4" s="69"/>
      <c r="BO4" s="69"/>
      <c r="BP4" s="69"/>
      <c r="BQ4" s="69"/>
      <c r="BR4" s="69"/>
      <c r="BS4" s="69"/>
      <c r="BT4" s="69"/>
      <c r="BU4" s="69"/>
      <c r="BV4" s="69"/>
      <c r="BW4" s="71" t="s">
        <v>38</v>
      </c>
      <c r="BX4" s="71"/>
      <c r="BY4" s="71"/>
      <c r="BZ4" s="71"/>
      <c r="CA4" s="71"/>
      <c r="CB4" s="71"/>
      <c r="CC4" s="71"/>
      <c r="CD4" s="71"/>
      <c r="CE4" s="71"/>
      <c r="CF4" s="71"/>
      <c r="CG4" s="71"/>
      <c r="CH4" s="71"/>
      <c r="CI4" s="69" t="s">
        <v>39</v>
      </c>
      <c r="CJ4" s="69"/>
      <c r="CK4" s="69"/>
      <c r="CL4" s="69"/>
      <c r="CM4" s="69"/>
      <c r="CN4" s="69"/>
      <c r="CO4" s="69"/>
      <c r="CP4" s="69"/>
      <c r="CQ4" s="69"/>
      <c r="CR4" s="69"/>
      <c r="CS4" s="69"/>
      <c r="CT4" s="69"/>
      <c r="CU4" s="71" t="s">
        <v>40</v>
      </c>
      <c r="CV4" s="71"/>
      <c r="CW4" s="71"/>
      <c r="CX4" s="71"/>
      <c r="CY4" s="71"/>
      <c r="CZ4" s="71"/>
      <c r="DA4" s="71"/>
      <c r="DB4" s="71"/>
      <c r="DC4" s="71"/>
      <c r="DD4" s="71"/>
      <c r="DE4" s="71"/>
      <c r="DF4" s="71"/>
      <c r="DG4" s="69" t="s">
        <v>41</v>
      </c>
      <c r="DH4" s="69"/>
      <c r="DI4" s="69"/>
      <c r="DJ4" s="69"/>
      <c r="DK4" s="69"/>
      <c r="DL4" s="69"/>
      <c r="DM4" s="69"/>
      <c r="DN4" s="69"/>
      <c r="DO4" s="69"/>
      <c r="DP4" s="69"/>
      <c r="DQ4" s="69"/>
      <c r="DR4" s="69"/>
      <c r="DS4" s="71" t="s">
        <v>233</v>
      </c>
      <c r="DT4" s="71"/>
      <c r="DU4" s="71"/>
      <c r="DV4" s="71"/>
      <c r="DW4" s="71"/>
      <c r="DX4" s="71"/>
      <c r="DY4" s="71"/>
      <c r="DZ4" s="71"/>
      <c r="EA4" s="71"/>
      <c r="EB4" s="71"/>
      <c r="EC4" s="71"/>
      <c r="ED4" s="71"/>
      <c r="EE4" s="69" t="s">
        <v>234</v>
      </c>
      <c r="EF4" s="69"/>
      <c r="EG4" s="69"/>
      <c r="EH4" s="69"/>
      <c r="EI4" s="69"/>
      <c r="EJ4" s="69"/>
      <c r="EK4" s="69"/>
      <c r="EL4" s="69"/>
      <c r="EM4" s="69"/>
      <c r="EN4" s="69"/>
      <c r="EO4" s="69"/>
      <c r="EP4" s="69"/>
      <c r="EQ4" s="71" t="s">
        <v>235</v>
      </c>
      <c r="ER4" s="71"/>
      <c r="ES4" s="71"/>
      <c r="ET4" s="71"/>
      <c r="EU4" s="71"/>
      <c r="EV4" s="71"/>
      <c r="EW4" s="71"/>
      <c r="EX4" s="71"/>
      <c r="EY4" s="71"/>
      <c r="EZ4" s="71"/>
      <c r="FA4" s="71"/>
      <c r="FB4" s="71"/>
    </row>
    <row r="5" spans="3:158" x14ac:dyDescent="0.25">
      <c r="D5" s="26" t="s">
        <v>36</v>
      </c>
      <c r="E5" s="26" t="s">
        <v>37</v>
      </c>
      <c r="F5" s="26" t="s">
        <v>38</v>
      </c>
      <c r="G5" s="95" t="s">
        <v>39</v>
      </c>
      <c r="H5" s="95" t="s">
        <v>40</v>
      </c>
      <c r="I5" s="95" t="s">
        <v>41</v>
      </c>
      <c r="J5" s="95" t="s">
        <v>233</v>
      </c>
      <c r="K5" s="95" t="s">
        <v>234</v>
      </c>
      <c r="L5" s="96" t="s">
        <v>235</v>
      </c>
      <c r="M5" s="24"/>
      <c r="N5" s="72" t="s">
        <v>194</v>
      </c>
      <c r="O5" s="72" t="s">
        <v>195</v>
      </c>
      <c r="P5" s="72" t="s">
        <v>196</v>
      </c>
      <c r="Q5" s="72" t="s">
        <v>197</v>
      </c>
      <c r="R5" s="70" t="s">
        <v>198</v>
      </c>
      <c r="S5" s="70" t="s">
        <v>199</v>
      </c>
      <c r="T5" s="70" t="s">
        <v>200</v>
      </c>
      <c r="U5" s="70" t="s">
        <v>201</v>
      </c>
      <c r="V5" s="72" t="s">
        <v>202</v>
      </c>
      <c r="W5" s="72" t="s">
        <v>203</v>
      </c>
      <c r="X5" s="72" t="s">
        <v>204</v>
      </c>
      <c r="Y5" s="72" t="s">
        <v>205</v>
      </c>
      <c r="Z5" s="70" t="s">
        <v>206</v>
      </c>
      <c r="AA5" s="70" t="s">
        <v>207</v>
      </c>
      <c r="AB5" s="70" t="s">
        <v>208</v>
      </c>
      <c r="AC5" s="70" t="s">
        <v>209</v>
      </c>
      <c r="AD5" s="72" t="s">
        <v>210</v>
      </c>
      <c r="AE5" s="72" t="s">
        <v>211</v>
      </c>
      <c r="AF5" s="72" t="s">
        <v>212</v>
      </c>
      <c r="AG5" s="72" t="s">
        <v>213</v>
      </c>
      <c r="AH5" s="70" t="s">
        <v>214</v>
      </c>
      <c r="AI5" s="70" t="s">
        <v>215</v>
      </c>
      <c r="AJ5" s="70" t="s">
        <v>216</v>
      </c>
      <c r="AK5" s="70" t="s">
        <v>217</v>
      </c>
      <c r="AL5" s="72" t="s">
        <v>236</v>
      </c>
      <c r="AM5" s="72" t="s">
        <v>237</v>
      </c>
      <c r="AN5" s="72" t="s">
        <v>238</v>
      </c>
      <c r="AO5" s="72" t="s">
        <v>239</v>
      </c>
      <c r="AP5" s="70" t="s">
        <v>240</v>
      </c>
      <c r="AQ5" s="70" t="s">
        <v>241</v>
      </c>
      <c r="AR5" s="70" t="s">
        <v>242</v>
      </c>
      <c r="AS5" s="70" t="s">
        <v>243</v>
      </c>
      <c r="AT5" s="72" t="s">
        <v>244</v>
      </c>
      <c r="AU5" s="72" t="s">
        <v>245</v>
      </c>
      <c r="AV5" s="72" t="s">
        <v>246</v>
      </c>
      <c r="AW5" s="72" t="s">
        <v>247</v>
      </c>
      <c r="AX5" s="24"/>
      <c r="AY5" s="72">
        <v>43132</v>
      </c>
      <c r="AZ5" s="72">
        <v>43160</v>
      </c>
      <c r="BA5" s="73">
        <v>43191</v>
      </c>
      <c r="BB5" s="73">
        <v>43221</v>
      </c>
      <c r="BC5" s="73">
        <v>43252</v>
      </c>
      <c r="BD5" s="73">
        <v>43282</v>
      </c>
      <c r="BE5" s="73">
        <v>43313</v>
      </c>
      <c r="BF5" s="73">
        <v>43344</v>
      </c>
      <c r="BG5" s="74">
        <v>43374</v>
      </c>
      <c r="BH5" s="73">
        <v>43405</v>
      </c>
      <c r="BI5" s="73">
        <v>43435</v>
      </c>
      <c r="BJ5" s="73">
        <v>43466</v>
      </c>
      <c r="BK5" s="75">
        <v>43497</v>
      </c>
      <c r="BL5" s="75">
        <v>43525</v>
      </c>
      <c r="BM5" s="75">
        <v>43556</v>
      </c>
      <c r="BN5" s="75">
        <v>43586</v>
      </c>
      <c r="BO5" s="75">
        <v>43617</v>
      </c>
      <c r="BP5" s="75">
        <v>43647</v>
      </c>
      <c r="BQ5" s="75">
        <v>43678</v>
      </c>
      <c r="BR5" s="75">
        <v>43709</v>
      </c>
      <c r="BS5" s="75">
        <v>43739</v>
      </c>
      <c r="BT5" s="75">
        <v>43770</v>
      </c>
      <c r="BU5" s="75">
        <v>43800</v>
      </c>
      <c r="BV5" s="75">
        <v>43831</v>
      </c>
      <c r="BW5" s="73">
        <v>43862</v>
      </c>
      <c r="BX5" s="73">
        <v>43891</v>
      </c>
      <c r="BY5" s="73">
        <v>43922</v>
      </c>
      <c r="BZ5" s="73">
        <v>43952</v>
      </c>
      <c r="CA5" s="73">
        <v>43983</v>
      </c>
      <c r="CB5" s="73">
        <v>44013</v>
      </c>
      <c r="CC5" s="73">
        <v>44044</v>
      </c>
      <c r="CD5" s="73">
        <v>44075</v>
      </c>
      <c r="CE5" s="73">
        <v>44105</v>
      </c>
      <c r="CF5" s="73">
        <v>44136</v>
      </c>
      <c r="CG5" s="73">
        <v>44166</v>
      </c>
      <c r="CH5" s="73">
        <v>44197</v>
      </c>
      <c r="CI5" s="75">
        <v>44228</v>
      </c>
      <c r="CJ5" s="75">
        <v>44256</v>
      </c>
      <c r="CK5" s="75">
        <v>44287</v>
      </c>
      <c r="CL5" s="75">
        <v>44317</v>
      </c>
      <c r="CM5" s="75">
        <v>44348</v>
      </c>
      <c r="CN5" s="75">
        <v>44378</v>
      </c>
      <c r="CO5" s="75">
        <v>44409</v>
      </c>
      <c r="CP5" s="75">
        <v>44440</v>
      </c>
      <c r="CQ5" s="75">
        <v>44470</v>
      </c>
      <c r="CR5" s="75">
        <v>44501</v>
      </c>
      <c r="CS5" s="75">
        <v>44531</v>
      </c>
      <c r="CT5" s="75">
        <v>44562</v>
      </c>
      <c r="CU5" s="73">
        <v>44593</v>
      </c>
      <c r="CV5" s="73">
        <v>44621</v>
      </c>
      <c r="CW5" s="73">
        <v>44652</v>
      </c>
      <c r="CX5" s="73">
        <v>44682</v>
      </c>
      <c r="CY5" s="73">
        <v>44713</v>
      </c>
      <c r="CZ5" s="73">
        <v>44743</v>
      </c>
      <c r="DA5" s="73">
        <v>44774</v>
      </c>
      <c r="DB5" s="73">
        <v>44805</v>
      </c>
      <c r="DC5" s="73">
        <v>44835</v>
      </c>
      <c r="DD5" s="73">
        <v>44866</v>
      </c>
      <c r="DE5" s="73">
        <v>44896</v>
      </c>
      <c r="DF5" s="73">
        <v>44927</v>
      </c>
      <c r="DG5" s="75">
        <v>44958</v>
      </c>
      <c r="DH5" s="75">
        <v>44986</v>
      </c>
      <c r="DI5" s="75">
        <v>45017</v>
      </c>
      <c r="DJ5" s="75">
        <v>45047</v>
      </c>
      <c r="DK5" s="75">
        <v>45078</v>
      </c>
      <c r="DL5" s="75">
        <v>45108</v>
      </c>
      <c r="DM5" s="75">
        <v>45139</v>
      </c>
      <c r="DN5" s="75">
        <v>45170</v>
      </c>
      <c r="DO5" s="75">
        <v>45200</v>
      </c>
      <c r="DP5" s="75">
        <v>45231</v>
      </c>
      <c r="DQ5" s="75">
        <v>45261</v>
      </c>
      <c r="DR5" s="75">
        <v>45292</v>
      </c>
      <c r="DS5" s="73">
        <v>45323</v>
      </c>
      <c r="DT5" s="73">
        <v>45352</v>
      </c>
      <c r="DU5" s="73">
        <v>45383</v>
      </c>
      <c r="DV5" s="73">
        <v>45413</v>
      </c>
      <c r="DW5" s="73">
        <v>45444</v>
      </c>
      <c r="DX5" s="73">
        <v>45474</v>
      </c>
      <c r="DY5" s="73">
        <v>45505</v>
      </c>
      <c r="DZ5" s="73">
        <v>45536</v>
      </c>
      <c r="EA5" s="73">
        <v>45566</v>
      </c>
      <c r="EB5" s="73">
        <v>45597</v>
      </c>
      <c r="EC5" s="73">
        <v>45627</v>
      </c>
      <c r="ED5" s="73">
        <v>45658</v>
      </c>
      <c r="EE5" s="75">
        <v>45689</v>
      </c>
      <c r="EF5" s="75">
        <v>45717</v>
      </c>
      <c r="EG5" s="75">
        <v>45748</v>
      </c>
      <c r="EH5" s="75">
        <v>45778</v>
      </c>
      <c r="EI5" s="75">
        <v>45809</v>
      </c>
      <c r="EJ5" s="75">
        <v>45839</v>
      </c>
      <c r="EK5" s="75">
        <v>45870</v>
      </c>
      <c r="EL5" s="75">
        <v>45901</v>
      </c>
      <c r="EM5" s="75">
        <v>45931</v>
      </c>
      <c r="EN5" s="75">
        <v>45962</v>
      </c>
      <c r="EO5" s="75">
        <v>45992</v>
      </c>
      <c r="EP5" s="75">
        <v>46023</v>
      </c>
      <c r="EQ5" s="73">
        <v>46054</v>
      </c>
      <c r="ER5" s="73">
        <v>46082</v>
      </c>
      <c r="ES5" s="73">
        <v>46113</v>
      </c>
      <c r="ET5" s="73">
        <v>46143</v>
      </c>
      <c r="EU5" s="73">
        <v>46174</v>
      </c>
      <c r="EV5" s="73">
        <v>46204</v>
      </c>
      <c r="EW5" s="73">
        <v>46235</v>
      </c>
      <c r="EX5" s="73">
        <v>46266</v>
      </c>
      <c r="EY5" s="73">
        <v>46296</v>
      </c>
      <c r="EZ5" s="73">
        <v>46327</v>
      </c>
      <c r="FA5" s="73">
        <v>46357</v>
      </c>
      <c r="FB5" s="73">
        <v>46388</v>
      </c>
    </row>
    <row r="7" spans="3:158" x14ac:dyDescent="0.25">
      <c r="C7" s="3" t="s">
        <v>17</v>
      </c>
      <c r="D7" s="4"/>
      <c r="E7" s="4"/>
      <c r="F7" s="4"/>
      <c r="G7" s="4"/>
      <c r="H7" s="4"/>
      <c r="I7" s="4"/>
      <c r="J7" s="4"/>
      <c r="K7" s="4"/>
      <c r="L7" s="4"/>
      <c r="M7" s="3"/>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3"/>
      <c r="AY7" s="4"/>
      <c r="AZ7" s="4"/>
      <c r="BA7" s="4"/>
      <c r="BB7" s="4"/>
      <c r="BC7" s="4"/>
      <c r="BD7" s="4"/>
      <c r="BE7" s="4"/>
      <c r="BF7" s="4"/>
      <c r="BG7" s="4"/>
      <c r="BH7" s="4"/>
      <c r="BI7" s="4"/>
      <c r="BJ7" s="4"/>
      <c r="BK7" s="4"/>
      <c r="BL7" s="4"/>
      <c r="BM7" s="4"/>
      <c r="BN7" s="4"/>
      <c r="BO7" s="4"/>
      <c r="BP7" s="4"/>
      <c r="BQ7" s="4"/>
      <c r="BR7" s="4"/>
      <c r="BS7" s="4"/>
      <c r="BT7" s="4"/>
      <c r="BU7" s="4"/>
      <c r="BV7" s="4"/>
      <c r="BW7" s="4"/>
      <c r="BX7" s="4"/>
      <c r="BY7" s="4"/>
      <c r="BZ7" s="4"/>
      <c r="CA7" s="4"/>
      <c r="CB7" s="4"/>
      <c r="CC7" s="4"/>
      <c r="CD7" s="4"/>
      <c r="CE7" s="4"/>
      <c r="CF7" s="4"/>
      <c r="CG7" s="4"/>
      <c r="CH7" s="4"/>
      <c r="CI7" s="4"/>
      <c r="CJ7" s="4"/>
      <c r="CK7" s="4"/>
      <c r="CL7" s="4"/>
      <c r="CM7" s="4"/>
      <c r="CN7" s="4"/>
      <c r="CO7" s="4"/>
      <c r="CP7" s="4"/>
      <c r="CQ7" s="4"/>
      <c r="CR7" s="4"/>
      <c r="CS7" s="4"/>
      <c r="CT7" s="4"/>
      <c r="CU7" s="4"/>
      <c r="CV7" s="4"/>
      <c r="CW7" s="4"/>
      <c r="CX7" s="4"/>
      <c r="CY7" s="4"/>
      <c r="CZ7" s="4"/>
      <c r="DA7" s="4"/>
      <c r="DB7" s="4"/>
      <c r="DC7" s="4"/>
      <c r="DD7" s="4"/>
      <c r="DE7" s="4"/>
      <c r="DF7" s="4"/>
      <c r="DG7" s="4"/>
      <c r="DH7" s="4"/>
      <c r="DI7" s="4"/>
      <c r="DJ7" s="4"/>
      <c r="DK7" s="4"/>
      <c r="DL7" s="4"/>
      <c r="DM7" s="4"/>
      <c r="DN7" s="4"/>
      <c r="DO7" s="4"/>
      <c r="DP7" s="4"/>
      <c r="DQ7" s="4"/>
      <c r="DR7" s="4"/>
      <c r="DS7" s="4"/>
      <c r="DT7" s="4"/>
      <c r="DU7" s="4"/>
      <c r="DV7" s="4"/>
      <c r="DW7" s="4"/>
      <c r="DX7" s="4"/>
      <c r="DY7" s="4"/>
      <c r="DZ7" s="4"/>
      <c r="EA7" s="4"/>
      <c r="EB7" s="4"/>
      <c r="EC7" s="4"/>
      <c r="ED7" s="4"/>
      <c r="EE7" s="4"/>
      <c r="EF7" s="4"/>
      <c r="EG7" s="4"/>
      <c r="EH7" s="4"/>
      <c r="EI7" s="4"/>
      <c r="EJ7" s="4"/>
      <c r="EK7" s="4"/>
      <c r="EL7" s="4"/>
      <c r="EM7" s="4"/>
      <c r="EN7" s="4"/>
      <c r="EO7" s="4"/>
      <c r="EP7" s="4"/>
      <c r="EQ7" s="4"/>
      <c r="ER7" s="4"/>
      <c r="ES7" s="4"/>
      <c r="ET7" s="4"/>
      <c r="EU7" s="4"/>
      <c r="EV7" s="4"/>
      <c r="EW7" s="4"/>
      <c r="EX7" s="4"/>
      <c r="EY7" s="4"/>
      <c r="EZ7" s="4"/>
      <c r="FA7" s="4"/>
      <c r="FB7" s="4"/>
    </row>
    <row r="8" spans="3:158" x14ac:dyDescent="0.25">
      <c r="C8" s="1"/>
      <c r="M8" s="1"/>
      <c r="AX8" s="1"/>
    </row>
    <row r="9" spans="3:158" x14ac:dyDescent="0.25">
      <c r="C9" s="1" t="s">
        <v>18</v>
      </c>
      <c r="D9" s="22">
        <f>AY9</f>
        <v>13606240.259999994</v>
      </c>
      <c r="E9" s="22">
        <f>BK9</f>
        <v>30891265.889999997</v>
      </c>
      <c r="F9" s="22">
        <f>BW9</f>
        <v>55804297.42999997</v>
      </c>
      <c r="G9" s="22">
        <f>CI9</f>
        <v>82486431.199999958</v>
      </c>
      <c r="H9" s="53">
        <f>G14</f>
        <v>139753842.15791994</v>
      </c>
      <c r="I9" s="53">
        <f>H14</f>
        <v>216111472.94072866</v>
      </c>
      <c r="J9" s="53">
        <f>I14</f>
        <v>327799305.54458565</v>
      </c>
      <c r="K9" s="53">
        <f t="shared" ref="K9:L9" si="0">J14</f>
        <v>489688397.82248545</v>
      </c>
      <c r="L9" s="53">
        <f t="shared" si="0"/>
        <v>720349010.2787658</v>
      </c>
      <c r="M9" s="1"/>
      <c r="N9" s="22">
        <f>AY9</f>
        <v>13606240.259999994</v>
      </c>
      <c r="O9" s="22">
        <f>BB9</f>
        <v>16617334.699999999</v>
      </c>
      <c r="P9" s="22">
        <f>BE9</f>
        <v>20500762.499999996</v>
      </c>
      <c r="Q9" s="22">
        <f>BH9</f>
        <v>24541790.959999993</v>
      </c>
      <c r="R9" s="22">
        <f>BK9</f>
        <v>30891265.889999997</v>
      </c>
      <c r="S9" s="22">
        <f>BN9</f>
        <v>35874662.659999996</v>
      </c>
      <c r="T9" s="22">
        <f>BQ9</f>
        <v>42633457.509999998</v>
      </c>
      <c r="U9" s="22">
        <f>BT9</f>
        <v>48122219.819999985</v>
      </c>
      <c r="V9" s="22">
        <f>BW9</f>
        <v>55804297.42999997</v>
      </c>
      <c r="W9" s="22">
        <f>BZ9</f>
        <v>59901771.709999964</v>
      </c>
      <c r="X9" s="22">
        <f>CC9</f>
        <v>66614252.029999956</v>
      </c>
      <c r="Y9" s="22">
        <f>CF9</f>
        <v>73268133.959999964</v>
      </c>
      <c r="Z9" s="22">
        <f>CI9</f>
        <v>82486431.199999958</v>
      </c>
      <c r="AA9" s="22">
        <f>CL9</f>
        <v>89817779.909999967</v>
      </c>
      <c r="AB9" s="22">
        <f>CO9</f>
        <v>102577354.83999997</v>
      </c>
      <c r="AC9" s="22">
        <f>CR9</f>
        <v>118013309.98368569</v>
      </c>
      <c r="AD9" s="22">
        <f>CU9</f>
        <v>139042213.1189253</v>
      </c>
      <c r="AE9" s="22">
        <f>CX9</f>
        <v>152234808.50887677</v>
      </c>
      <c r="AF9" s="22">
        <f>DA9</f>
        <v>170255650.62664869</v>
      </c>
      <c r="AG9" s="22">
        <f>DD9</f>
        <v>188201189.16659623</v>
      </c>
      <c r="AH9" s="22">
        <f>DG9</f>
        <v>215399843.90173399</v>
      </c>
      <c r="AI9" s="22">
        <f>DJ9</f>
        <v>235362513.59087151</v>
      </c>
      <c r="AJ9" s="22">
        <f>DM9</f>
        <v>263274227.10265484</v>
      </c>
      <c r="AK9" s="22">
        <f>DP9</f>
        <v>289544296.78768539</v>
      </c>
      <c r="AL9" s="22">
        <f>DS9</f>
        <v>327087676.50559103</v>
      </c>
      <c r="AM9" s="22">
        <f>DV9</f>
        <v>356021559.01491714</v>
      </c>
      <c r="AN9" s="22">
        <f>DY9</f>
        <v>396480040.10843301</v>
      </c>
      <c r="AO9" s="22">
        <f>EB9</f>
        <v>434559264.85031605</v>
      </c>
      <c r="AP9" s="22">
        <f>EE9</f>
        <v>488976768.78349102</v>
      </c>
      <c r="AQ9" s="22">
        <f>EH9</f>
        <v>530201102.04517257</v>
      </c>
      <c r="AR9" s="22">
        <f>EK9</f>
        <v>587847173.30733049</v>
      </c>
      <c r="AS9" s="22">
        <f>EN9</f>
        <v>642103410.65155625</v>
      </c>
      <c r="AT9" s="22">
        <f>EQ9</f>
        <v>719637381.23977149</v>
      </c>
      <c r="AU9" s="22">
        <f>ET9</f>
        <v>777350719.54217076</v>
      </c>
      <c r="AV9" s="22">
        <f>EW9</f>
        <v>858054399.01653421</v>
      </c>
      <c r="AW9" s="22">
        <f>EZ9</f>
        <v>934012379.47927368</v>
      </c>
      <c r="AX9" s="1"/>
      <c r="AY9" s="18">
        <f>ARR!AY40</f>
        <v>13606240.259999994</v>
      </c>
      <c r="AZ9" s="22">
        <v>13641474</v>
      </c>
      <c r="BA9" s="22">
        <v>14645354.83</v>
      </c>
      <c r="BB9" s="22">
        <v>16617334.699999999</v>
      </c>
      <c r="BC9" s="22">
        <v>17218936.129999999</v>
      </c>
      <c r="BD9" s="22">
        <v>18721499.779999997</v>
      </c>
      <c r="BE9" s="22">
        <v>20500762.499999996</v>
      </c>
      <c r="BF9" s="22">
        <v>21216639.169999994</v>
      </c>
      <c r="BG9" s="22">
        <v>22270688.629999995</v>
      </c>
      <c r="BH9" s="22">
        <v>24541790.959999993</v>
      </c>
      <c r="BI9" s="22">
        <v>25630303.129999995</v>
      </c>
      <c r="BJ9" s="22">
        <v>28413585.799999997</v>
      </c>
      <c r="BK9" s="22">
        <v>30891265.889999997</v>
      </c>
      <c r="BL9" s="22">
        <v>31568879.219999999</v>
      </c>
      <c r="BM9" s="22">
        <v>32800760.799999997</v>
      </c>
      <c r="BN9" s="22">
        <v>35874662.659999996</v>
      </c>
      <c r="BO9" s="22">
        <v>36977029.419999994</v>
      </c>
      <c r="BP9" s="22">
        <v>39904509.799999997</v>
      </c>
      <c r="BQ9" s="22">
        <v>42633457.509999998</v>
      </c>
      <c r="BR9" s="22">
        <v>43737632.909999996</v>
      </c>
      <c r="BS9" s="22">
        <v>44858642.579999998</v>
      </c>
      <c r="BT9" s="22">
        <v>48122219.819999985</v>
      </c>
      <c r="BU9" s="22">
        <v>48687682.359999985</v>
      </c>
      <c r="BV9" s="22">
        <v>51835095.119999982</v>
      </c>
      <c r="BW9" s="22">
        <v>55804297.42999997</v>
      </c>
      <c r="BX9" s="22">
        <v>56616372.92999997</v>
      </c>
      <c r="BY9" s="22">
        <v>57971565.299999967</v>
      </c>
      <c r="BZ9" s="22">
        <v>59901771.709999964</v>
      </c>
      <c r="CA9" s="22">
        <v>61058337.499999963</v>
      </c>
      <c r="CB9" s="22">
        <v>62448942.249999963</v>
      </c>
      <c r="CC9" s="22">
        <v>66614252.029999956</v>
      </c>
      <c r="CD9" s="22">
        <v>66977209.339999959</v>
      </c>
      <c r="CE9" s="22">
        <v>69935816.019999966</v>
      </c>
      <c r="CF9" s="22">
        <v>73268133.959999964</v>
      </c>
      <c r="CG9" s="22">
        <v>74547972.339999959</v>
      </c>
      <c r="CH9" s="22">
        <v>77650308.779999956</v>
      </c>
      <c r="CI9" s="22">
        <v>82486431.199999958</v>
      </c>
      <c r="CJ9" s="22">
        <v>83536383.209999964</v>
      </c>
      <c r="CK9" s="22">
        <v>85225816.189999968</v>
      </c>
      <c r="CL9" s="22">
        <v>89817779.909999967</v>
      </c>
      <c r="CM9" s="22">
        <v>91934100.409999967</v>
      </c>
      <c r="CN9" s="22">
        <v>95683616.549999967</v>
      </c>
      <c r="CO9" s="22">
        <v>102577354.83999997</v>
      </c>
      <c r="CP9" s="22">
        <v>104867489.06829998</v>
      </c>
      <c r="CQ9" s="22">
        <v>110380742.21079998</v>
      </c>
      <c r="CR9" s="22">
        <v>118013309.98368569</v>
      </c>
      <c r="CS9" s="22">
        <v>119971054.34142223</v>
      </c>
      <c r="CT9" s="22">
        <v>128283245.1912102</v>
      </c>
      <c r="CU9" s="18">
        <f t="shared" ref="CU9" si="1">CT14</f>
        <v>139042213.1189253</v>
      </c>
      <c r="CV9" s="18">
        <f t="shared" ref="CV9" si="2">CU14</f>
        <v>140592975.64597401</v>
      </c>
      <c r="CW9" s="18">
        <f t="shared" ref="CW9" si="3">CV14</f>
        <v>144464210.38279027</v>
      </c>
      <c r="CX9" s="18">
        <f t="shared" ref="CX9" si="4">CW14</f>
        <v>152234808.50887677</v>
      </c>
      <c r="CY9" s="18">
        <f t="shared" ref="CY9" si="5">CX14</f>
        <v>155034147.1781565</v>
      </c>
      <c r="CZ9" s="18">
        <f t="shared" ref="CZ9" si="6">CY14</f>
        <v>161409775.10244256</v>
      </c>
      <c r="DA9" s="18">
        <f t="shared" ref="DA9" si="7">CZ14</f>
        <v>170255650.62664869</v>
      </c>
      <c r="DB9" s="18">
        <f t="shared" ref="DB9" si="8">DA14</f>
        <v>172906202.74068263</v>
      </c>
      <c r="DC9" s="18">
        <f t="shared" ref="DC9" si="9">DB14</f>
        <v>178412970.90133187</v>
      </c>
      <c r="DD9" s="18">
        <f t="shared" ref="DD9" si="10">DC14</f>
        <v>188201189.16659623</v>
      </c>
      <c r="DE9" s="18">
        <f t="shared" ref="DE9" si="11">DD14</f>
        <v>192053254.85622305</v>
      </c>
      <c r="DF9" s="18">
        <f t="shared" ref="DF9" si="12">DE14</f>
        <v>202763024.52905649</v>
      </c>
      <c r="DG9" s="18">
        <f t="shared" ref="DG9:DR9" si="13">DF14</f>
        <v>215399843.90173399</v>
      </c>
      <c r="DH9" s="18">
        <f t="shared" si="13"/>
        <v>217877682.24257982</v>
      </c>
      <c r="DI9" s="18">
        <f t="shared" si="13"/>
        <v>223767136.37511584</v>
      </c>
      <c r="DJ9" s="18">
        <f t="shared" si="13"/>
        <v>235362513.59087151</v>
      </c>
      <c r="DK9" s="18">
        <f t="shared" si="13"/>
        <v>239942431.4496308</v>
      </c>
      <c r="DL9" s="18">
        <f t="shared" si="13"/>
        <v>249809187.74114755</v>
      </c>
      <c r="DM9" s="18">
        <f t="shared" si="13"/>
        <v>263274227.10265484</v>
      </c>
      <c r="DN9" s="18">
        <f t="shared" si="13"/>
        <v>267117874.67345858</v>
      </c>
      <c r="DO9" s="18">
        <f t="shared" si="13"/>
        <v>275188649.68251938</v>
      </c>
      <c r="DP9" s="18">
        <f t="shared" si="13"/>
        <v>289544296.78768539</v>
      </c>
      <c r="DQ9" s="18">
        <f t="shared" si="13"/>
        <v>294412729.0389151</v>
      </c>
      <c r="DR9" s="18">
        <f t="shared" si="13"/>
        <v>309324877.86425197</v>
      </c>
      <c r="DS9" s="18">
        <f t="shared" ref="DS9" si="14">DR14</f>
        <v>327087676.50559103</v>
      </c>
      <c r="DT9" s="18">
        <f t="shared" ref="DT9" si="15">DS14</f>
        <v>330677947.23352331</v>
      </c>
      <c r="DU9" s="18">
        <f t="shared" ref="DU9" si="16">DT14</f>
        <v>339214373.79259795</v>
      </c>
      <c r="DV9" s="18">
        <f t="shared" ref="DV9" si="17">DU14</f>
        <v>356021559.01491714</v>
      </c>
      <c r="DW9" s="18">
        <f t="shared" ref="DW9" si="18">DV14</f>
        <v>362658387.42853659</v>
      </c>
      <c r="DX9" s="18">
        <f t="shared" ref="DX9" si="19">DW14</f>
        <v>376961863.96653599</v>
      </c>
      <c r="DY9" s="18">
        <f t="shared" ref="DY9" si="20">DX14</f>
        <v>396480040.10843301</v>
      </c>
      <c r="DZ9" s="18">
        <f t="shared" ref="DZ9" si="21">DY14</f>
        <v>402049241.87399119</v>
      </c>
      <c r="EA9" s="18">
        <f t="shared" ref="EA9" si="22">DZ14</f>
        <v>413748659.44863105</v>
      </c>
      <c r="EB9" s="18">
        <f t="shared" ref="EB9" si="23">EA14</f>
        <v>434559264.85031605</v>
      </c>
      <c r="EC9" s="18">
        <f t="shared" ref="EC9" si="24">EB14</f>
        <v>441614473.51745826</v>
      </c>
      <c r="ED9" s="18">
        <f t="shared" ref="ED9" si="25">EC14</f>
        <v>463228644.21390212</v>
      </c>
      <c r="EE9" s="18">
        <f t="shared" ref="EE9" si="26">ED14</f>
        <v>488976768.78349102</v>
      </c>
      <c r="EF9" s="18">
        <f t="shared" ref="EF9" si="27">EE14</f>
        <v>494091508.64536017</v>
      </c>
      <c r="EG9" s="18">
        <f t="shared" ref="EG9" si="28">EF14</f>
        <v>506254150.95448685</v>
      </c>
      <c r="EH9" s="18">
        <f t="shared" ref="EH9" si="29">EG14</f>
        <v>530201102.04517257</v>
      </c>
      <c r="EI9" s="18">
        <f t="shared" ref="EI9" si="30">EH14</f>
        <v>539656402.4753902</v>
      </c>
      <c r="EJ9" s="18">
        <f t="shared" ref="EJ9" si="31">EI14</f>
        <v>560037070.48058116</v>
      </c>
      <c r="EK9" s="18">
        <f t="shared" ref="EK9" si="32">EJ14</f>
        <v>587847173.30733049</v>
      </c>
      <c r="EL9" s="18">
        <f t="shared" ref="EL9" si="33">EK14</f>
        <v>595781087.08054543</v>
      </c>
      <c r="EM9" s="18">
        <f t="shared" ref="EM9" si="34">EL14</f>
        <v>612451032.33416188</v>
      </c>
      <c r="EN9" s="18">
        <f t="shared" ref="EN9" si="35">EM14</f>
        <v>642103410.65155625</v>
      </c>
      <c r="EO9" s="18">
        <f t="shared" ref="EO9" si="36">EN14</f>
        <v>652154921.44038045</v>
      </c>
      <c r="EP9" s="18">
        <f t="shared" ref="EP9" si="37">EO14</f>
        <v>682950571.58541977</v>
      </c>
      <c r="EQ9" s="18">
        <f t="shared" ref="EQ9" si="38">EP14</f>
        <v>719637381.23977149</v>
      </c>
      <c r="ER9" s="18">
        <f t="shared" ref="ER9" si="39">EQ14</f>
        <v>726797859.41688526</v>
      </c>
      <c r="ES9" s="18">
        <f t="shared" ref="ES9" si="40">ER14</f>
        <v>743825359.28313458</v>
      </c>
      <c r="ET9" s="18">
        <f t="shared" ref="ET9" si="41">ES14</f>
        <v>777350719.54217076</v>
      </c>
      <c r="EU9" s="18">
        <f t="shared" ref="EU9" si="42">ET14</f>
        <v>790587893.96968818</v>
      </c>
      <c r="EV9" s="18">
        <f t="shared" ref="EV9" si="43">EU14</f>
        <v>819120627.49284482</v>
      </c>
      <c r="EW9" s="18">
        <f t="shared" ref="EW9" si="44">EV14</f>
        <v>858054399.01653421</v>
      </c>
      <c r="EX9" s="18">
        <f t="shared" ref="EX9" si="45">EW14</f>
        <v>869161630.01448393</v>
      </c>
      <c r="EY9" s="18">
        <f t="shared" ref="EY9" si="46">EX14</f>
        <v>892499358.60425174</v>
      </c>
      <c r="EZ9" s="18">
        <f t="shared" ref="EZ9" si="47">EY14</f>
        <v>934012379.47927368</v>
      </c>
      <c r="FA9" s="18">
        <f t="shared" ref="FA9" si="48">EZ14</f>
        <v>948084250.49758077</v>
      </c>
      <c r="FB9" s="18">
        <f t="shared" ref="FB9" si="49">FA14</f>
        <v>991197647.68886113</v>
      </c>
    </row>
    <row r="10" spans="3:158" outlineLevel="1" x14ac:dyDescent="0.25">
      <c r="C10" s="2" t="s">
        <v>19</v>
      </c>
      <c r="D10" s="20">
        <f t="shared" ref="D10:L13" si="50">SUMIF($AY$2:$FB$2,D$2,$AY10:$FB10)</f>
        <v>0</v>
      </c>
      <c r="E10" s="20">
        <f t="shared" si="50"/>
        <v>0</v>
      </c>
      <c r="F10" s="20">
        <f t="shared" si="50"/>
        <v>0</v>
      </c>
      <c r="G10" s="20">
        <f t="shared" si="50"/>
        <v>0</v>
      </c>
      <c r="H10" s="20">
        <f t="shared" si="50"/>
        <v>0</v>
      </c>
      <c r="I10" s="50">
        <f t="shared" si="50"/>
        <v>0</v>
      </c>
      <c r="J10" s="50">
        <f t="shared" si="50"/>
        <v>0</v>
      </c>
      <c r="K10" s="50">
        <f t="shared" si="50"/>
        <v>0</v>
      </c>
      <c r="L10" s="50">
        <f t="shared" si="50"/>
        <v>0</v>
      </c>
      <c r="M10" s="2"/>
      <c r="N10" s="20">
        <f>SUM(AY10:BA10)</f>
        <v>0</v>
      </c>
      <c r="O10" s="20">
        <f>SUM(BB10:BD10)</f>
        <v>0</v>
      </c>
      <c r="P10" s="20">
        <f>SUM(BE10:BG10)</f>
        <v>0</v>
      </c>
      <c r="Q10" s="20">
        <f>SUM(BH10:BJ10)</f>
        <v>0</v>
      </c>
      <c r="R10" s="20">
        <f>SUM(BK10:BM10)</f>
        <v>0</v>
      </c>
      <c r="S10" s="20">
        <f>SUM(BN10:BP10)</f>
        <v>0</v>
      </c>
      <c r="T10" s="20">
        <f>SUM(BQ10:BS10)</f>
        <v>0</v>
      </c>
      <c r="U10" s="20">
        <f>SUM(BT10:BV10)</f>
        <v>0</v>
      </c>
      <c r="V10" s="20">
        <f>SUM(BW10:BY10)</f>
        <v>0</v>
      </c>
      <c r="W10" s="20">
        <f>SUM(BZ10:CB10)</f>
        <v>0</v>
      </c>
      <c r="X10" s="20">
        <f>SUM(CC10:CE10)</f>
        <v>0</v>
      </c>
      <c r="Y10" s="20">
        <f>SUM(CF10:CH10)</f>
        <v>0</v>
      </c>
      <c r="Z10" s="20">
        <f>SUM(CI10:CK10)</f>
        <v>0</v>
      </c>
      <c r="AA10" s="20">
        <f>SUM(CL10:CN10)</f>
        <v>0</v>
      </c>
      <c r="AB10" s="20">
        <f>SUM(CO10:CQ10)</f>
        <v>0</v>
      </c>
      <c r="AC10" s="20">
        <f>SUM(CR10:CT10)</f>
        <v>0</v>
      </c>
      <c r="AD10" s="20">
        <f>SUM(CU10:CW10)</f>
        <v>0</v>
      </c>
      <c r="AE10" s="20">
        <f>SUM(CX10:CZ10)</f>
        <v>0</v>
      </c>
      <c r="AF10" s="20">
        <f>SUM(DA10:DC10)</f>
        <v>0</v>
      </c>
      <c r="AG10" s="20">
        <f>SUM(DD10:DF10)</f>
        <v>0</v>
      </c>
      <c r="AH10" s="20">
        <f>SUM(DG10:DI10)</f>
        <v>0</v>
      </c>
      <c r="AI10" s="20">
        <f>SUM(DJ10:DL10)</f>
        <v>0</v>
      </c>
      <c r="AJ10" s="20">
        <f>SUM(DM10:DO10)</f>
        <v>0</v>
      </c>
      <c r="AK10" s="20">
        <f>SUM(DP10:DR10)</f>
        <v>0</v>
      </c>
      <c r="AL10" s="20">
        <f>SUM(DS10:DU10)</f>
        <v>0</v>
      </c>
      <c r="AM10" s="20">
        <f>SUM(DV10:DX10)</f>
        <v>0</v>
      </c>
      <c r="AN10" s="20">
        <f>SUM(DY10:EA10)</f>
        <v>0</v>
      </c>
      <c r="AO10" s="20">
        <f>SUM(EB10:ED10)</f>
        <v>0</v>
      </c>
      <c r="AP10" s="20">
        <f>SUM(EE10:EG10)</f>
        <v>0</v>
      </c>
      <c r="AQ10" s="20">
        <f>SUM(EH10:EJ10)</f>
        <v>0</v>
      </c>
      <c r="AR10" s="20">
        <f>SUM(EK10:EM10)</f>
        <v>0</v>
      </c>
      <c r="AS10" s="20">
        <f>SUM(EN10:EP10)</f>
        <v>0</v>
      </c>
      <c r="AT10" s="20">
        <f>SUM(EQ10:ES10)</f>
        <v>0</v>
      </c>
      <c r="AU10" s="20">
        <f>SUM(ET10:EV10)</f>
        <v>0</v>
      </c>
      <c r="AV10" s="20">
        <f>SUM(EW10:EY10)</f>
        <v>0</v>
      </c>
      <c r="AW10" s="20">
        <f>SUM(EZ10:FB10)</f>
        <v>0</v>
      </c>
      <c r="AX10" s="2"/>
      <c r="AY10" s="16">
        <v>0</v>
      </c>
      <c r="AZ10" s="16">
        <v>0</v>
      </c>
      <c r="BA10" s="16">
        <v>0</v>
      </c>
      <c r="BB10" s="16">
        <v>0</v>
      </c>
      <c r="BC10" s="16">
        <v>0</v>
      </c>
      <c r="BD10" s="16">
        <v>0</v>
      </c>
      <c r="BE10" s="16">
        <v>0</v>
      </c>
      <c r="BF10" s="16">
        <v>0</v>
      </c>
      <c r="BG10" s="16">
        <v>0</v>
      </c>
      <c r="BH10" s="16">
        <v>0</v>
      </c>
      <c r="BI10" s="16">
        <v>0</v>
      </c>
      <c r="BJ10" s="16">
        <v>0</v>
      </c>
      <c r="BK10" s="16">
        <v>0</v>
      </c>
      <c r="BL10" s="16">
        <v>0</v>
      </c>
      <c r="BM10" s="16">
        <v>0</v>
      </c>
      <c r="BN10" s="16">
        <v>0</v>
      </c>
      <c r="BO10" s="16">
        <v>0</v>
      </c>
      <c r="BP10" s="16">
        <v>0</v>
      </c>
      <c r="BQ10" s="16">
        <v>0</v>
      </c>
      <c r="BR10" s="16">
        <v>0</v>
      </c>
      <c r="BS10" s="16">
        <v>0</v>
      </c>
      <c r="BT10" s="16">
        <v>0</v>
      </c>
      <c r="BU10" s="16">
        <v>0</v>
      </c>
      <c r="BV10" s="16">
        <v>0</v>
      </c>
      <c r="BW10" s="16">
        <v>0</v>
      </c>
      <c r="BX10" s="16">
        <v>0</v>
      </c>
      <c r="BY10" s="16">
        <v>0</v>
      </c>
      <c r="BZ10" s="16">
        <v>0</v>
      </c>
      <c r="CA10" s="16">
        <v>0</v>
      </c>
      <c r="CB10" s="16">
        <v>0</v>
      </c>
      <c r="CC10" s="16">
        <v>0</v>
      </c>
      <c r="CD10" s="16">
        <v>0</v>
      </c>
      <c r="CE10" s="16">
        <v>0</v>
      </c>
      <c r="CF10" s="16">
        <v>0</v>
      </c>
      <c r="CG10" s="16">
        <v>0</v>
      </c>
      <c r="CH10" s="16">
        <v>0</v>
      </c>
      <c r="CI10" s="16">
        <v>0</v>
      </c>
      <c r="CJ10" s="16">
        <v>0</v>
      </c>
      <c r="CK10" s="16">
        <v>0</v>
      </c>
      <c r="CL10" s="16">
        <v>0</v>
      </c>
      <c r="CM10" s="16">
        <v>0</v>
      </c>
      <c r="CN10" s="16">
        <v>0</v>
      </c>
      <c r="CO10" s="16">
        <v>0</v>
      </c>
      <c r="CP10" s="16">
        <v>0</v>
      </c>
      <c r="CQ10" s="16">
        <v>0</v>
      </c>
      <c r="CR10" s="16">
        <v>0</v>
      </c>
      <c r="CS10" s="16">
        <v>0</v>
      </c>
      <c r="CT10" s="16">
        <v>0</v>
      </c>
      <c r="CU10" s="16">
        <v>0</v>
      </c>
      <c r="CV10" s="16">
        <v>0</v>
      </c>
      <c r="CW10" s="16">
        <v>0</v>
      </c>
      <c r="CX10" s="16">
        <v>0</v>
      </c>
      <c r="CY10" s="16">
        <v>0</v>
      </c>
      <c r="CZ10" s="16">
        <v>0</v>
      </c>
      <c r="DA10" s="16">
        <v>0</v>
      </c>
      <c r="DB10" s="16">
        <v>0</v>
      </c>
      <c r="DC10" s="16">
        <v>0</v>
      </c>
      <c r="DD10" s="16">
        <v>0</v>
      </c>
      <c r="DE10" s="16">
        <v>0</v>
      </c>
      <c r="DF10" s="16">
        <v>0</v>
      </c>
      <c r="DG10" s="16">
        <v>0</v>
      </c>
      <c r="DH10" s="16">
        <v>0</v>
      </c>
      <c r="DI10" s="16">
        <v>0</v>
      </c>
      <c r="DJ10" s="16">
        <v>0</v>
      </c>
      <c r="DK10" s="16">
        <v>0</v>
      </c>
      <c r="DL10" s="16">
        <v>0</v>
      </c>
      <c r="DM10" s="16">
        <v>0</v>
      </c>
      <c r="DN10" s="16">
        <v>0</v>
      </c>
      <c r="DO10" s="16">
        <v>0</v>
      </c>
      <c r="DP10" s="16">
        <v>0</v>
      </c>
      <c r="DQ10" s="16">
        <v>0</v>
      </c>
      <c r="DR10" s="16">
        <v>0</v>
      </c>
      <c r="DS10" s="16">
        <v>0</v>
      </c>
      <c r="DT10" s="16">
        <v>0</v>
      </c>
      <c r="DU10" s="16">
        <v>0</v>
      </c>
      <c r="DV10" s="16">
        <v>0</v>
      </c>
      <c r="DW10" s="16">
        <v>0</v>
      </c>
      <c r="DX10" s="16">
        <v>0</v>
      </c>
      <c r="DY10" s="16">
        <v>0</v>
      </c>
      <c r="DZ10" s="16">
        <v>0</v>
      </c>
      <c r="EA10" s="16">
        <v>0</v>
      </c>
      <c r="EB10" s="16">
        <v>0</v>
      </c>
      <c r="EC10" s="16">
        <v>0</v>
      </c>
      <c r="ED10" s="16">
        <v>0</v>
      </c>
      <c r="EE10" s="16">
        <v>0</v>
      </c>
      <c r="EF10" s="16">
        <v>0</v>
      </c>
      <c r="EG10" s="16">
        <v>0</v>
      </c>
      <c r="EH10" s="16">
        <v>0</v>
      </c>
      <c r="EI10" s="16">
        <v>0</v>
      </c>
      <c r="EJ10" s="16">
        <v>0</v>
      </c>
      <c r="EK10" s="16">
        <v>0</v>
      </c>
      <c r="EL10" s="16">
        <v>0</v>
      </c>
      <c r="EM10" s="16">
        <v>0</v>
      </c>
      <c r="EN10" s="16">
        <v>0</v>
      </c>
      <c r="EO10" s="16">
        <v>0</v>
      </c>
      <c r="EP10" s="16">
        <v>0</v>
      </c>
      <c r="EQ10" s="16">
        <v>0</v>
      </c>
      <c r="ER10" s="16">
        <v>0</v>
      </c>
      <c r="ES10" s="16">
        <v>0</v>
      </c>
      <c r="ET10" s="16">
        <v>0</v>
      </c>
      <c r="EU10" s="16">
        <v>0</v>
      </c>
      <c r="EV10" s="16">
        <v>0</v>
      </c>
      <c r="EW10" s="16">
        <v>0</v>
      </c>
      <c r="EX10" s="16">
        <v>0</v>
      </c>
      <c r="EY10" s="16">
        <v>0</v>
      </c>
      <c r="EZ10" s="16">
        <v>0</v>
      </c>
      <c r="FA10" s="16">
        <v>0</v>
      </c>
      <c r="FB10" s="16">
        <v>0</v>
      </c>
    </row>
    <row r="11" spans="3:158" x14ac:dyDescent="0.25">
      <c r="C11" s="2" t="s">
        <v>20</v>
      </c>
      <c r="D11" s="20">
        <f t="shared" si="50"/>
        <v>12911272.049999999</v>
      </c>
      <c r="E11" s="20">
        <f t="shared" si="50"/>
        <v>17026778.394505002</v>
      </c>
      <c r="F11" s="20">
        <f t="shared" si="50"/>
        <v>17383704.05099</v>
      </c>
      <c r="G11" s="20">
        <f t="shared" si="50"/>
        <v>32846050.17212633</v>
      </c>
      <c r="H11" s="20">
        <f t="shared" si="50"/>
        <v>38010620.603182659</v>
      </c>
      <c r="I11" s="50">
        <f t="shared" si="50"/>
        <v>51979870.170452811</v>
      </c>
      <c r="J11" s="50">
        <f t="shared" si="50"/>
        <v>68044908.272858322</v>
      </c>
      <c r="K11" s="50">
        <f t="shared" si="50"/>
        <v>87983414.927973107</v>
      </c>
      <c r="L11" s="50">
        <f t="shared" si="50"/>
        <v>113094350.77625734</v>
      </c>
      <c r="M11" s="2"/>
      <c r="N11" s="20">
        <f t="shared" ref="N11:N13" si="51">SUM(AY11:BA11)</f>
        <v>2341946.9300000002</v>
      </c>
      <c r="O11" s="20">
        <f>SUM(BB11:BD11)</f>
        <v>2915015.78</v>
      </c>
      <c r="P11" s="20">
        <f>SUM(BE11:BG11)</f>
        <v>2838288.5</v>
      </c>
      <c r="Q11" s="20">
        <f>SUM(BH11:BJ11)</f>
        <v>4816020.84</v>
      </c>
      <c r="R11" s="20">
        <f>SUM(BK11:BM11)</f>
        <v>3891556.9800000004</v>
      </c>
      <c r="S11" s="20">
        <f>SUM(BN11:BP11)</f>
        <v>4234592.8499999996</v>
      </c>
      <c r="T11" s="20">
        <f>SUM(BQ11:BS11)</f>
        <v>4036721.4499999997</v>
      </c>
      <c r="U11" s="20">
        <f>SUM(BT11:BV11)</f>
        <v>4863907.1145050004</v>
      </c>
      <c r="V11" s="20">
        <f>SUM(BW11:BY11)</f>
        <v>3013263.4049450001</v>
      </c>
      <c r="W11" s="20">
        <f>SUM(BZ11:CB11)</f>
        <v>4701734.8787900005</v>
      </c>
      <c r="X11" s="20">
        <f>SUM(CC11:CE11)</f>
        <v>3805111.5429290002</v>
      </c>
      <c r="Y11" s="20">
        <f>SUM(CF11:CH11)</f>
        <v>5863594.2243259996</v>
      </c>
      <c r="Z11" s="20">
        <f>SUM(CI11:CK11)</f>
        <v>5060571.727554</v>
      </c>
      <c r="AA11" s="20">
        <f>SUM(CL11:CN11)</f>
        <v>6782430.6262389999</v>
      </c>
      <c r="AB11" s="20">
        <f>SUM(CO11:CQ11)</f>
        <v>8865992.3166666664</v>
      </c>
      <c r="AC11" s="20">
        <f>SUM(CR11:CT11)</f>
        <v>12137055.501666665</v>
      </c>
      <c r="AD11" s="20">
        <f>SUM(CU11:CW11)</f>
        <v>6726896.6350118387</v>
      </c>
      <c r="AE11" s="20">
        <f>SUM(CX11:CZ11)</f>
        <v>8950175.3958095461</v>
      </c>
      <c r="AF11" s="20">
        <f>SUM(DA11:DC11)</f>
        <v>8823821.8664191831</v>
      </c>
      <c r="AG11" s="20">
        <f>SUM(DD11:DF11)</f>
        <v>13509726.705942094</v>
      </c>
      <c r="AH11" s="20">
        <f>SUM(DG11:DI11)</f>
        <v>9479783.7680577096</v>
      </c>
      <c r="AI11" s="20">
        <f>SUM(DJ11:DL11)</f>
        <v>12863204.883443639</v>
      </c>
      <c r="AJ11" s="20">
        <f>SUM(DM11:DO11)</f>
        <v>12066656.83814875</v>
      </c>
      <c r="AK11" s="20">
        <f>SUM(DP11:DR11)</f>
        <v>17570224.680802718</v>
      </c>
      <c r="AL11" s="20">
        <f>SUM(DS11:DU11)</f>
        <v>12409631.167387711</v>
      </c>
      <c r="AM11" s="20">
        <f>SUM(DV11:DX11)</f>
        <v>16838741.488170221</v>
      </c>
      <c r="AN11" s="20">
        <f>SUM(DY11:EA11)</f>
        <v>15796010.167386256</v>
      </c>
      <c r="AO11" s="20">
        <f>SUM(EB11:ED11)</f>
        <v>23000525.449914131</v>
      </c>
      <c r="AP11" s="20">
        <f>SUM(EE11:EG11)</f>
        <v>16045899.036635084</v>
      </c>
      <c r="AQ11" s="20">
        <f>SUM(EH11:EJ11)</f>
        <v>21772826.458633158</v>
      </c>
      <c r="AR11" s="20">
        <f>SUM(EK11:EM11)</f>
        <v>20424554.195746984</v>
      </c>
      <c r="AS11" s="20">
        <f>SUM(EN11:EP11)</f>
        <v>29740135.236957874</v>
      </c>
      <c r="AT11" s="20">
        <f>SUM(EQ11:ES11)</f>
        <v>20625484.196711481</v>
      </c>
      <c r="AU11" s="20">
        <f>SUM(ET11:EV11)</f>
        <v>27986907.247451641</v>
      </c>
      <c r="AV11" s="20">
        <f>SUM(EW11:EY11)</f>
        <v>26253830.890213452</v>
      </c>
      <c r="AW11" s="20">
        <f>SUM(EZ11:FB11)</f>
        <v>38228128.441880763</v>
      </c>
      <c r="AX11" s="2"/>
      <c r="AY11" s="55">
        <f>ARR!AY41</f>
        <v>158950</v>
      </c>
      <c r="AZ11" s="16">
        <f>ARR!AZ41</f>
        <v>805008.33</v>
      </c>
      <c r="BA11" s="16">
        <f>ARR!BA41</f>
        <v>1377988.6</v>
      </c>
      <c r="BB11" s="16">
        <f>ARR!BB41</f>
        <v>524153.43</v>
      </c>
      <c r="BC11" s="16">
        <f>ARR!BC41</f>
        <v>1152003.3499999999</v>
      </c>
      <c r="BD11" s="16">
        <f>ARR!BD41</f>
        <v>1238859</v>
      </c>
      <c r="BE11" s="16">
        <f>ARR!BE41</f>
        <v>443916.67</v>
      </c>
      <c r="BF11" s="16">
        <f>ARR!BF41</f>
        <v>857888.5</v>
      </c>
      <c r="BG11" s="16">
        <f>ARR!BG41</f>
        <v>1536483.33</v>
      </c>
      <c r="BH11" s="16">
        <f>ARR!BH41</f>
        <v>1097930.17</v>
      </c>
      <c r="BI11" s="16">
        <f>ARR!BI41</f>
        <v>1724341.67</v>
      </c>
      <c r="BJ11" s="16">
        <f>ARR!BJ41</f>
        <v>1993749</v>
      </c>
      <c r="BK11" s="16">
        <f>ARR!BK41</f>
        <v>483083.33</v>
      </c>
      <c r="BL11" s="16">
        <f>ARR!BL41</f>
        <v>1104417.33</v>
      </c>
      <c r="BM11" s="16">
        <f>ARR!BM41</f>
        <v>2304056.3200000003</v>
      </c>
      <c r="BN11" s="16">
        <f>ARR!BN41</f>
        <v>1153261.8999999999</v>
      </c>
      <c r="BO11" s="16">
        <f>ARR!BO41</f>
        <v>1125259.95</v>
      </c>
      <c r="BP11" s="16">
        <f>ARR!BP41</f>
        <v>1956071</v>
      </c>
      <c r="BQ11" s="16">
        <f>ARR!BQ41</f>
        <v>823585.39999999991</v>
      </c>
      <c r="BR11" s="16">
        <f>ARR!BR41</f>
        <v>922673.67</v>
      </c>
      <c r="BS11" s="16">
        <f>ARR!BS41</f>
        <v>2290462.38</v>
      </c>
      <c r="BT11" s="16">
        <f>ARR!BT41</f>
        <v>401754.48</v>
      </c>
      <c r="BU11" s="16">
        <f>ARR!BU41</f>
        <v>1832079.97</v>
      </c>
      <c r="BV11" s="16">
        <f>ARR!BV41</f>
        <v>2630072.6645050002</v>
      </c>
      <c r="BW11" s="16">
        <f>ARR!BW41</f>
        <v>460126.86</v>
      </c>
      <c r="BX11" s="16">
        <f>ARR!BX41</f>
        <v>1056671.1052009999</v>
      </c>
      <c r="BY11" s="16">
        <f>ARR!BY41</f>
        <v>1496465.4397440001</v>
      </c>
      <c r="BZ11" s="16">
        <f>ARR!BZ41</f>
        <v>813288.69007300003</v>
      </c>
      <c r="CA11" s="16">
        <f>ARR!CA41</f>
        <v>1215914.9085339999</v>
      </c>
      <c r="CB11" s="16">
        <f>ARR!CB41</f>
        <v>2672531.280183</v>
      </c>
      <c r="CC11" s="16">
        <f>ARR!CC41</f>
        <v>538978.22</v>
      </c>
      <c r="CD11" s="16">
        <f>ARR!CD41</f>
        <v>1483273.569193</v>
      </c>
      <c r="CE11" s="16">
        <f>ARR!CE41</f>
        <v>1782859.753736</v>
      </c>
      <c r="CF11" s="16">
        <f>ARR!CF41</f>
        <v>705305.24714399991</v>
      </c>
      <c r="CG11" s="16">
        <f>ARR!CG41</f>
        <v>2031227.700807</v>
      </c>
      <c r="CH11" s="16">
        <f>ARR!CH41</f>
        <v>3127061.2763749999</v>
      </c>
      <c r="CI11" s="16">
        <f>ARR!CI41</f>
        <v>773993.60098500003</v>
      </c>
      <c r="CJ11" s="16">
        <f>ARR!CJ41</f>
        <v>1119676.8281129999</v>
      </c>
      <c r="CK11" s="16">
        <f>ARR!CK41</f>
        <v>3166901.2984560002</v>
      </c>
      <c r="CL11" s="16">
        <f>ARR!CL41</f>
        <v>1118860.9245460001</v>
      </c>
      <c r="CM11" s="16">
        <f>ARR!CM41</f>
        <v>1905527.3358809999</v>
      </c>
      <c r="CN11" s="16">
        <f>ARR!CN41</f>
        <v>3758042.3658119999</v>
      </c>
      <c r="CO11" s="16">
        <f>ARR!CO41</f>
        <v>1329898.8475000001</v>
      </c>
      <c r="CP11" s="16">
        <f>ARR!CP41</f>
        <v>3103097.3108333331</v>
      </c>
      <c r="CQ11" s="16">
        <f>ARR!CQ41</f>
        <v>4432996.1583333332</v>
      </c>
      <c r="CR11" s="16">
        <f>ARR!CR41</f>
        <v>1213705.5501666667</v>
      </c>
      <c r="CS11" s="16">
        <f>ARR!CS41</f>
        <v>4854822.200666667</v>
      </c>
      <c r="CT11" s="16">
        <f>ARR!CT41</f>
        <v>6068527.7508333325</v>
      </c>
      <c r="CU11" s="16">
        <f>ARR!CU41</f>
        <v>889228.95587280195</v>
      </c>
      <c r="CV11" s="16">
        <f>ARR!CV41</f>
        <v>1954336.1399159036</v>
      </c>
      <c r="CW11" s="16">
        <f>ARR!CW41</f>
        <v>3883331.5392231327</v>
      </c>
      <c r="CX11" s="16">
        <f>ARR!CX41</f>
        <v>1552709.6653509592</v>
      </c>
      <c r="CY11" s="16">
        <f>ARR!CY41</f>
        <v>3045431.7206775276</v>
      </c>
      <c r="CZ11" s="16">
        <f>ARR!CZ41</f>
        <v>4352034.0097810579</v>
      </c>
      <c r="DA11" s="16">
        <f>ARR!DA41</f>
        <v>1490960.9447708859</v>
      </c>
      <c r="DB11" s="16">
        <f>ARR!DB41</f>
        <v>2658531.0290329838</v>
      </c>
      <c r="DC11" s="16">
        <f>ARR!DC41</f>
        <v>4674329.8926153136</v>
      </c>
      <c r="DD11" s="16">
        <f>ARR!DD41</f>
        <v>2007165.2860361105</v>
      </c>
      <c r="DE11" s="16">
        <f>ARR!DE41</f>
        <v>5353970.7476564199</v>
      </c>
      <c r="DF11" s="16">
        <f>ARR!DF41</f>
        <v>6148590.672249563</v>
      </c>
      <c r="DG11" s="16">
        <f>ARR!DG41</f>
        <v>1309592.4694584117</v>
      </c>
      <c r="DH11" s="16">
        <f>ARR!DH41</f>
        <v>2766136.2528961734</v>
      </c>
      <c r="DI11" s="16">
        <f>ARR!DI41</f>
        <v>5404055.0457031243</v>
      </c>
      <c r="DJ11" s="16">
        <f>ARR!DJ41</f>
        <v>2331264.102174053</v>
      </c>
      <c r="DK11" s="16">
        <f>ARR!DK41</f>
        <v>4372575.1201254334</v>
      </c>
      <c r="DL11" s="16">
        <f>ARR!DL41</f>
        <v>6159365.6611441514</v>
      </c>
      <c r="DM11" s="16">
        <f>ARR!DM41</f>
        <v>2038902.6832126281</v>
      </c>
      <c r="DN11" s="16">
        <f>ARR!DN41</f>
        <v>3635565.4167268206</v>
      </c>
      <c r="DO11" s="16">
        <f>ARR!DO41</f>
        <v>6392188.7382093016</v>
      </c>
      <c r="DP11" s="16">
        <f>ARR!DP41</f>
        <v>2443333.5784978005</v>
      </c>
      <c r="DQ11" s="16">
        <f>ARR!DQ41</f>
        <v>7020120.5559306229</v>
      </c>
      <c r="DR11" s="16">
        <f>ARR!DR41</f>
        <v>8106770.5463742968</v>
      </c>
      <c r="DS11" s="16">
        <f>ARR!DS41</f>
        <v>1714338.6308374722</v>
      </c>
      <c r="DT11" s="16">
        <f>ARR!DT41</f>
        <v>3621045.7429256882</v>
      </c>
      <c r="DU11" s="16">
        <f>ARR!DU41</f>
        <v>7074246.7936245501</v>
      </c>
      <c r="DV11" s="16">
        <f>ARR!DV41</f>
        <v>3051770.8388277609</v>
      </c>
      <c r="DW11" s="16">
        <f>ARR!DW41</f>
        <v>5723974.9154711235</v>
      </c>
      <c r="DX11" s="16">
        <f>ARR!DX41</f>
        <v>8062995.7338713389</v>
      </c>
      <c r="DY11" s="16">
        <f>ARR!DY41</f>
        <v>2669051.4155102861</v>
      </c>
      <c r="DZ11" s="16">
        <f>ARR!DZ41</f>
        <v>4759183.0162317883</v>
      </c>
      <c r="EA11" s="16">
        <f>ARR!EA41</f>
        <v>8367775.7356441831</v>
      </c>
      <c r="EB11" s="16">
        <f>ARR!EB41</f>
        <v>3198476.8081122204</v>
      </c>
      <c r="EC11" s="16">
        <f>ARR!EC41</f>
        <v>9189777.8452751581</v>
      </c>
      <c r="ED11" s="16">
        <f>ARR!ED41</f>
        <v>10612270.796526752</v>
      </c>
      <c r="EE11" s="16">
        <f>ARR!EE41</f>
        <v>2216673.8248685515</v>
      </c>
      <c r="EF11" s="16">
        <f>ARR!EF41</f>
        <v>4682083.9084014324</v>
      </c>
      <c r="EG11" s="16">
        <f>ARR!EG41</f>
        <v>9147141.3033651002</v>
      </c>
      <c r="EH11" s="16">
        <f>ARR!EH41</f>
        <v>3946000.1753690718</v>
      </c>
      <c r="EI11" s="16">
        <f>ARR!EI41</f>
        <v>7401213.0048838193</v>
      </c>
      <c r="EJ11" s="16">
        <f>ARR!EJ41</f>
        <v>10425613.278380267</v>
      </c>
      <c r="EK11" s="16">
        <f>ARR!EK41</f>
        <v>3451136.3761894451</v>
      </c>
      <c r="EL11" s="16">
        <f>ARR!EL41</f>
        <v>6153717.9586779792</v>
      </c>
      <c r="EM11" s="16">
        <f>ARR!EM41</f>
        <v>10819699.860879559</v>
      </c>
      <c r="EN11" s="16">
        <f>ARR!EN41</f>
        <v>4135693.9011098077</v>
      </c>
      <c r="EO11" s="16">
        <f>ARR!EO41</f>
        <v>11882564.879277699</v>
      </c>
      <c r="EP11" s="16">
        <f>ARR!EP41</f>
        <v>13721876.456570368</v>
      </c>
      <c r="EQ11" s="16">
        <f>ARR!EQ41</f>
        <v>2849324.3563171532</v>
      </c>
      <c r="ER11" s="16">
        <f>ARR!ER41</f>
        <v>6018375.6260666456</v>
      </c>
      <c r="ES11" s="16">
        <f>ARR!ES41</f>
        <v>11757784.214327682</v>
      </c>
      <c r="ET11" s="16">
        <f>ARR!ET41</f>
        <v>5072209.66998949</v>
      </c>
      <c r="EU11" s="16">
        <f>ARR!EU41</f>
        <v>9513558.6681803651</v>
      </c>
      <c r="EV11" s="16">
        <f>ARR!EV41</f>
        <v>13401138.909281785</v>
      </c>
      <c r="EW11" s="16">
        <f>ARR!EW41</f>
        <v>4436109.1033462379</v>
      </c>
      <c r="EX11" s="16">
        <f>ARR!EX41</f>
        <v>7910021.8827220555</v>
      </c>
      <c r="EY11" s="16">
        <f>ARR!EY41</f>
        <v>13907699.904145161</v>
      </c>
      <c r="EZ11" s="16">
        <f>ARR!EZ41</f>
        <v>5316042.9967197664</v>
      </c>
      <c r="FA11" s="16">
        <f>ARR!FA41</f>
        <v>15273912.267201727</v>
      </c>
      <c r="FB11" s="16">
        <f>ARR!FB41</f>
        <v>17638173.177959271</v>
      </c>
    </row>
    <row r="12" spans="3:158" x14ac:dyDescent="0.25">
      <c r="C12" s="2" t="s">
        <v>21</v>
      </c>
      <c r="D12" s="20">
        <f t="shared" si="50"/>
        <v>5998653.25</v>
      </c>
      <c r="E12" s="20">
        <f t="shared" si="50"/>
        <v>10710029.496410001</v>
      </c>
      <c r="F12" s="20">
        <f t="shared" si="50"/>
        <v>14958265.513111997</v>
      </c>
      <c r="G12" s="20">
        <f t="shared" si="50"/>
        <v>31086192.148306668</v>
      </c>
      <c r="H12" s="20">
        <f t="shared" si="50"/>
        <v>49489379.396817319</v>
      </c>
      <c r="I12" s="50">
        <f t="shared" si="50"/>
        <v>77082629.829547167</v>
      </c>
      <c r="J12" s="50">
        <f t="shared" si="50"/>
        <v>119095716.72714165</v>
      </c>
      <c r="K12" s="50">
        <f t="shared" si="50"/>
        <v>178691975.69702691</v>
      </c>
      <c r="L12" s="50">
        <f t="shared" si="50"/>
        <v>260251196.0987426</v>
      </c>
      <c r="M12" s="2"/>
      <c r="N12" s="20">
        <f t="shared" si="51"/>
        <v>1070661.17</v>
      </c>
      <c r="O12" s="20">
        <f>SUM(BB12:BD12)</f>
        <v>1264963.02</v>
      </c>
      <c r="P12" s="20">
        <f>SUM(BE12:BG12)</f>
        <v>1464777.96</v>
      </c>
      <c r="Q12" s="20">
        <f>SUM(BH12:BJ12)</f>
        <v>2198251.1</v>
      </c>
      <c r="R12" s="20">
        <f>SUM(BK12:BM12)</f>
        <v>1796767.31</v>
      </c>
      <c r="S12" s="20">
        <f>SUM(BN12:BP12)</f>
        <v>3269955</v>
      </c>
      <c r="T12" s="20">
        <f>SUM(BQ12:BS12)</f>
        <v>1976416.8599999999</v>
      </c>
      <c r="U12" s="20">
        <f>SUM(BT12:BV12)</f>
        <v>3666890.3264100002</v>
      </c>
      <c r="V12" s="20">
        <f>SUM(BW12:BY12)</f>
        <v>2212349.6687179999</v>
      </c>
      <c r="W12" s="20">
        <f>SUM(BZ12:CB12)</f>
        <v>3409170.7704760004</v>
      </c>
      <c r="X12" s="20">
        <f>SUM(CC12:CE12)</f>
        <v>4347463.5640289998</v>
      </c>
      <c r="Y12" s="20">
        <f>SUM(CF12:CH12)</f>
        <v>4989281.5098890001</v>
      </c>
      <c r="Z12" s="20">
        <f>SUM(CI12:CK12)</f>
        <v>4008072.518619</v>
      </c>
      <c r="AA12" s="20">
        <f>SUM(CL12:CN12)</f>
        <v>7404679.9480209993</v>
      </c>
      <c r="AB12" s="20">
        <f>SUM(CO12:CQ12)</f>
        <v>8432707.6833333336</v>
      </c>
      <c r="AC12" s="20">
        <f>SUM(CR12:CT12)</f>
        <v>11240731.998333335</v>
      </c>
      <c r="AD12" s="20">
        <f>SUM(CU12:CW12)</f>
        <v>8758340.0231407918</v>
      </c>
      <c r="AE12" s="20">
        <f>SUM(CX12:CZ12)</f>
        <v>11653022.72897356</v>
      </c>
      <c r="AF12" s="20">
        <f>SUM(DA12:DC12)</f>
        <v>11488511.925022021</v>
      </c>
      <c r="AG12" s="20">
        <f>SUM(DD12:DF12)</f>
        <v>17589504.71968095</v>
      </c>
      <c r="AH12" s="20">
        <f>SUM(DG12:DI12)</f>
        <v>14057877.802717423</v>
      </c>
      <c r="AI12" s="20">
        <f>SUM(DJ12:DL12)</f>
        <v>19075262.350611441</v>
      </c>
      <c r="AJ12" s="20">
        <f>SUM(DM12:DO12)</f>
        <v>17894035.504227027</v>
      </c>
      <c r="AK12" s="20">
        <f>SUM(DP12:DR12)</f>
        <v>26055454.171991274</v>
      </c>
      <c r="AL12" s="20">
        <f>SUM(DS12:DU12)</f>
        <v>21719978.110236228</v>
      </c>
      <c r="AM12" s="20">
        <f>SUM(DV12:DX12)</f>
        <v>29472036.001209646</v>
      </c>
      <c r="AN12" s="20">
        <f>SUM(DY12:EA12)</f>
        <v>27646993.729058623</v>
      </c>
      <c r="AO12" s="20">
        <f>SUM(EB12:ED12)</f>
        <v>40256708.886637159</v>
      </c>
      <c r="AP12" s="20">
        <f>SUM(EE12:EG12)</f>
        <v>32588794.183979034</v>
      </c>
      <c r="AQ12" s="20">
        <f>SUM(EH12:EJ12)</f>
        <v>44220031.463733159</v>
      </c>
      <c r="AR12" s="20">
        <f>SUM(EK12:EM12)</f>
        <v>41481726.35668698</v>
      </c>
      <c r="AS12" s="20">
        <f>SUM(EN12:EP12)</f>
        <v>60401423.692627713</v>
      </c>
      <c r="AT12" s="20">
        <f>SUM(EQ12:ES12)</f>
        <v>47463086.312148288</v>
      </c>
      <c r="AU12" s="20">
        <f>SUM(ET12:EV12)</f>
        <v>64403093.8438612</v>
      </c>
      <c r="AV12" s="20">
        <f>SUM(EW12:EY12)</f>
        <v>60414961.883194089</v>
      </c>
      <c r="AW12" s="20">
        <f>SUM(EZ12:FB12)</f>
        <v>87970054.059539065</v>
      </c>
      <c r="AX12" s="2"/>
      <c r="AY12" s="55">
        <f>ARR!AY42</f>
        <v>88689</v>
      </c>
      <c r="AZ12" s="16">
        <f>ARR!AZ42</f>
        <v>277024.5</v>
      </c>
      <c r="BA12" s="16">
        <f>ARR!BA42</f>
        <v>704947.67</v>
      </c>
      <c r="BB12" s="16">
        <f>ARR!BB42</f>
        <v>132448</v>
      </c>
      <c r="BC12" s="16">
        <f>ARR!BC42</f>
        <v>369660.3</v>
      </c>
      <c r="BD12" s="16">
        <f>ARR!BD42</f>
        <v>762854.72</v>
      </c>
      <c r="BE12" s="16">
        <f>ARR!BE42</f>
        <v>334210</v>
      </c>
      <c r="BF12" s="16">
        <f>ARR!BF42</f>
        <v>256613.96000000002</v>
      </c>
      <c r="BG12" s="16">
        <f>ARR!BG42</f>
        <v>873954</v>
      </c>
      <c r="BH12" s="16">
        <f>ARR!BH42</f>
        <v>99082</v>
      </c>
      <c r="BI12" s="16">
        <f>ARR!BI42</f>
        <v>1365788</v>
      </c>
      <c r="BJ12" s="16">
        <f>ARR!BJ42</f>
        <v>733381.1</v>
      </c>
      <c r="BK12" s="16">
        <f>ARR!BK42</f>
        <v>303930</v>
      </c>
      <c r="BL12" s="16">
        <f>ARR!BL42</f>
        <v>303274</v>
      </c>
      <c r="BM12" s="16">
        <f>ARR!BM42</f>
        <v>1189563.31</v>
      </c>
      <c r="BN12" s="16">
        <f>ARR!BN42</f>
        <v>172863.86</v>
      </c>
      <c r="BO12" s="16">
        <f>ARR!BO42</f>
        <v>1990309.4300000002</v>
      </c>
      <c r="BP12" s="16">
        <f>ARR!BP42</f>
        <v>1106781.71</v>
      </c>
      <c r="BQ12" s="16">
        <f>ARR!BQ42</f>
        <v>398420</v>
      </c>
      <c r="BR12" s="16">
        <f>ARR!BR42</f>
        <v>385315</v>
      </c>
      <c r="BS12" s="16">
        <f>ARR!BS42</f>
        <v>1192681.8599999999</v>
      </c>
      <c r="BT12" s="16">
        <f>ARR!BT42</f>
        <v>395651.06</v>
      </c>
      <c r="BU12" s="16">
        <f>ARR!BU42</f>
        <v>1513856.5</v>
      </c>
      <c r="BV12" s="16">
        <f>ARR!BV42</f>
        <v>1757382.7664100002</v>
      </c>
      <c r="BW12" s="16">
        <f>ARR!BW42</f>
        <v>643142.64</v>
      </c>
      <c r="BX12" s="16">
        <f>ARR!BX42</f>
        <v>614583.27</v>
      </c>
      <c r="BY12" s="16">
        <f>ARR!BY42</f>
        <v>954623.75871800003</v>
      </c>
      <c r="BZ12" s="16">
        <f>ARR!BZ42</f>
        <v>868961.53948700009</v>
      </c>
      <c r="CA12" s="16">
        <f>ARR!CA42</f>
        <v>710580.63098899997</v>
      </c>
      <c r="CB12" s="16">
        <f>ARR!CB42</f>
        <v>1829628.6</v>
      </c>
      <c r="CC12" s="16">
        <f>ARR!CC42</f>
        <v>511109.42717899999</v>
      </c>
      <c r="CD12" s="16">
        <f>ARR!CD42</f>
        <v>1871585.014798</v>
      </c>
      <c r="CE12" s="16">
        <f>ARR!CE42</f>
        <v>1964769.1220519999</v>
      </c>
      <c r="CF12" s="16">
        <f>ARR!CF42</f>
        <v>878364.7290109999</v>
      </c>
      <c r="CG12" s="16">
        <f>ARR!CG42</f>
        <v>1886001.1308790001</v>
      </c>
      <c r="CH12" s="16">
        <f>ARR!CH42</f>
        <v>2224915.6499990001</v>
      </c>
      <c r="CI12" s="16">
        <f>ARR!CI42</f>
        <v>693251.33886200003</v>
      </c>
      <c r="CJ12" s="16">
        <f>ARR!CJ42</f>
        <v>1128856.5392749999</v>
      </c>
      <c r="CK12" s="16">
        <f>ARR!CK42</f>
        <v>2185964.6404820001</v>
      </c>
      <c r="CL12" s="16">
        <f>ARR!CL42</f>
        <v>1487367.08088</v>
      </c>
      <c r="CM12" s="16">
        <f>ARR!CM42</f>
        <v>2320255.4680349999</v>
      </c>
      <c r="CN12" s="16">
        <f>ARR!CN42</f>
        <v>3597057.3991059996</v>
      </c>
      <c r="CO12" s="16">
        <f>ARR!CO42</f>
        <v>1264906.1524999999</v>
      </c>
      <c r="CP12" s="16">
        <f>ARR!CP42</f>
        <v>2951447.6891666669</v>
      </c>
      <c r="CQ12" s="16">
        <f>ARR!CQ42</f>
        <v>4216353.8416666668</v>
      </c>
      <c r="CR12" s="16">
        <f>ARR!CR42</f>
        <v>1124073.1998333335</v>
      </c>
      <c r="CS12" s="16">
        <f>ARR!CS42</f>
        <v>4496292.799333334</v>
      </c>
      <c r="CT12" s="16">
        <f>ARR!CT42</f>
        <v>5620365.9991666665</v>
      </c>
      <c r="CU12" s="16">
        <f>ARR!CU42</f>
        <v>1157765.6052303459</v>
      </c>
      <c r="CV12" s="16">
        <f>ARR!CV42</f>
        <v>2544522.5876977993</v>
      </c>
      <c r="CW12" s="16">
        <f>ARR!CW42</f>
        <v>5056051.8302126471</v>
      </c>
      <c r="CX12" s="16">
        <f>ARR!CX42</f>
        <v>2021609.6580971056</v>
      </c>
      <c r="CY12" s="16">
        <f>ARR!CY42</f>
        <v>3965116.1559591256</v>
      </c>
      <c r="CZ12" s="16">
        <f>ARR!CZ42</f>
        <v>5666296.9149173293</v>
      </c>
      <c r="DA12" s="16">
        <f>ARR!DA42</f>
        <v>1941213.5527044078</v>
      </c>
      <c r="DB12" s="16">
        <f>ARR!DB42</f>
        <v>3461376.0219165729</v>
      </c>
      <c r="DC12" s="16">
        <f>ARR!DC42</f>
        <v>6085922.3504010411</v>
      </c>
      <c r="DD12" s="16">
        <f>ARR!DD42</f>
        <v>2613305.5124189467</v>
      </c>
      <c r="DE12" s="16">
        <f>ARR!DE42</f>
        <v>6970806.7220571656</v>
      </c>
      <c r="DF12" s="16">
        <f>ARR!DF42</f>
        <v>8005392.4852048401</v>
      </c>
      <c r="DG12" s="16">
        <f>ARR!DG42</f>
        <v>1942037.0081687318</v>
      </c>
      <c r="DH12" s="16">
        <f>ARR!DH42</f>
        <v>4101992.8703340385</v>
      </c>
      <c r="DI12" s="16">
        <f>ARR!DI42</f>
        <v>8013847.9242146527</v>
      </c>
      <c r="DJ12" s="16">
        <f>ARR!DJ42</f>
        <v>3457106.8999118418</v>
      </c>
      <c r="DK12" s="16">
        <f>ARR!DK42</f>
        <v>6484232.9979136307</v>
      </c>
      <c r="DL12" s="16">
        <f>ARR!DL42</f>
        <v>9133922.4527859688</v>
      </c>
      <c r="DM12" s="16">
        <f>ARR!DM42</f>
        <v>3023554.7005634308</v>
      </c>
      <c r="DN12" s="16">
        <f>ARR!DN42</f>
        <v>5391297.483423776</v>
      </c>
      <c r="DO12" s="16">
        <f>ARR!DO42</f>
        <v>9479183.3202398214</v>
      </c>
      <c r="DP12" s="16">
        <f>ARR!DP42</f>
        <v>3623298.3492234088</v>
      </c>
      <c r="DQ12" s="16">
        <f>ARR!DQ42</f>
        <v>10410363.711896917</v>
      </c>
      <c r="DR12" s="16">
        <f>ARR!DR42</f>
        <v>12021792.110870948</v>
      </c>
      <c r="DS12" s="16">
        <f>ARR!DS42</f>
        <v>3000524.1117218863</v>
      </c>
      <c r="DT12" s="16">
        <f>ARR!DT42</f>
        <v>6337741.4857581183</v>
      </c>
      <c r="DU12" s="16">
        <f>ARR!DU42</f>
        <v>12381712.512756225</v>
      </c>
      <c r="DV12" s="16">
        <f>ARR!DV42</f>
        <v>5341367.1141967885</v>
      </c>
      <c r="DW12" s="16">
        <f>ARR!DW42</f>
        <v>10018396.855685521</v>
      </c>
      <c r="DX12" s="16">
        <f>ARR!DX42</f>
        <v>14112272.031327337</v>
      </c>
      <c r="DY12" s="16">
        <f>ARR!DY42</f>
        <v>4671511.7909650002</v>
      </c>
      <c r="DZ12" s="16">
        <f>ARR!DZ42</f>
        <v>8329768.1889865752</v>
      </c>
      <c r="EA12" s="16">
        <f>ARR!EA42</f>
        <v>14645713.749107048</v>
      </c>
      <c r="EB12" s="16">
        <f>ARR!EB42</f>
        <v>5598139.4870835338</v>
      </c>
      <c r="EC12" s="16">
        <f>ARR!EC42</f>
        <v>16084424.343074773</v>
      </c>
      <c r="ED12" s="16">
        <f>ARR!ED42</f>
        <v>18574145.056478851</v>
      </c>
      <c r="EE12" s="16">
        <f>ARR!EE42</f>
        <v>4502005.583278534</v>
      </c>
      <c r="EF12" s="16">
        <f>ARR!EF42</f>
        <v>9509187.8924729936</v>
      </c>
      <c r="EG12" s="16">
        <f>ARR!EG42</f>
        <v>18577600.708227508</v>
      </c>
      <c r="EH12" s="16">
        <f>ARR!EH42</f>
        <v>8014221.4076909106</v>
      </c>
      <c r="EI12" s="16">
        <f>ARR!EI42</f>
        <v>15031666.769014399</v>
      </c>
      <c r="EJ12" s="16">
        <f>ARR!EJ42</f>
        <v>21174143.287027851</v>
      </c>
      <c r="EK12" s="16">
        <f>ARR!EK42</f>
        <v>7009166.1930378377</v>
      </c>
      <c r="EL12" s="16">
        <f>ARR!EL42</f>
        <v>12498037.508758191</v>
      </c>
      <c r="EM12" s="16">
        <f>ARR!EM42</f>
        <v>21974522.654890947</v>
      </c>
      <c r="EN12" s="16">
        <f>ARR!EN42</f>
        <v>8399484.3195441421</v>
      </c>
      <c r="EO12" s="16">
        <f>ARR!EO42</f>
        <v>24133173.239120957</v>
      </c>
      <c r="EP12" s="16">
        <f>ARR!EP42</f>
        <v>27868766.133962616</v>
      </c>
      <c r="EQ12" s="16">
        <f>ARR!EQ42</f>
        <v>6556826.8150887657</v>
      </c>
      <c r="ER12" s="16">
        <f>ARR!ER42</f>
        <v>13849404.89515755</v>
      </c>
      <c r="ES12" s="16">
        <f>ARR!ES42</f>
        <v>27056854.601901967</v>
      </c>
      <c r="ET12" s="16">
        <f>ARR!ET42</f>
        <v>11672100.546294484</v>
      </c>
      <c r="EU12" s="16">
        <f>ARR!EU42</f>
        <v>21892473.01527714</v>
      </c>
      <c r="EV12" s="16">
        <f>ARR!EV42</f>
        <v>30838520.282289572</v>
      </c>
      <c r="EW12" s="16">
        <f>ARR!EW42</f>
        <v>10208314.493571959</v>
      </c>
      <c r="EX12" s="16">
        <f>ARR!EX42</f>
        <v>18202435.771688584</v>
      </c>
      <c r="EY12" s="16">
        <f>ARR!EY42</f>
        <v>32004211.617933545</v>
      </c>
      <c r="EZ12" s="16">
        <f>ARR!EZ42</f>
        <v>12233206.512195762</v>
      </c>
      <c r="FA12" s="16">
        <f>ARR!FA42</f>
        <v>35148121.098556384</v>
      </c>
      <c r="FB12" s="16">
        <f>ARR!FB42</f>
        <v>40588726.448786914</v>
      </c>
    </row>
    <row r="13" spans="3:158" x14ac:dyDescent="0.25">
      <c r="C13" s="2" t="s">
        <v>22</v>
      </c>
      <c r="D13" s="29">
        <f t="shared" si="50"/>
        <v>-1453745.41</v>
      </c>
      <c r="E13" s="29">
        <f t="shared" si="50"/>
        <v>-2928988.9899999998</v>
      </c>
      <c r="F13" s="29">
        <f t="shared" si="50"/>
        <v>-5725779.1366670001</v>
      </c>
      <c r="G13" s="29">
        <f t="shared" si="50"/>
        <v>-6664831.3625129992</v>
      </c>
      <c r="H13" s="51">
        <f t="shared" si="50"/>
        <v>-11142369.217191266</v>
      </c>
      <c r="I13" s="51">
        <f t="shared" si="50"/>
        <v>-17374667.396143004</v>
      </c>
      <c r="J13" s="51">
        <f t="shared" si="50"/>
        <v>-25251532.722100113</v>
      </c>
      <c r="K13" s="51">
        <f t="shared" si="50"/>
        <v>-36014778.168719642</v>
      </c>
      <c r="L13" s="51">
        <f t="shared" si="50"/>
        <v>-50424228.841166675</v>
      </c>
      <c r="M13" s="2"/>
      <c r="N13" s="29">
        <f t="shared" si="51"/>
        <v>-251059.4</v>
      </c>
      <c r="O13" s="29">
        <f>SUM(BB13:BD13)</f>
        <v>-275851</v>
      </c>
      <c r="P13" s="29">
        <f>SUM(BE13:BG13)</f>
        <v>-262038</v>
      </c>
      <c r="Q13" s="29">
        <f>SUM(BH13:BJ13)</f>
        <v>-664797.01</v>
      </c>
      <c r="R13" s="29">
        <f>SUM(BK13:BM13)</f>
        <v>-716915.98</v>
      </c>
      <c r="S13" s="29">
        <f>SUM(BN13:BP13)</f>
        <v>-739753</v>
      </c>
      <c r="T13" s="29">
        <f>SUM(BQ13:BS13)</f>
        <v>-571876</v>
      </c>
      <c r="U13" s="29">
        <f>SUM(BT13:BV13)</f>
        <v>-900444.01</v>
      </c>
      <c r="V13" s="29">
        <f>SUM(BW13:BY13)</f>
        <v>-1144082.79</v>
      </c>
      <c r="W13" s="29">
        <f>SUM(BZ13:CB13)</f>
        <v>-1448425.3430770002</v>
      </c>
      <c r="X13" s="29">
        <f>SUM(CC13:CE13)</f>
        <v>-1498693.19359</v>
      </c>
      <c r="Y13" s="29">
        <f>SUM(CF13:CH13)</f>
        <v>-1634577.81</v>
      </c>
      <c r="Z13" s="29">
        <f>SUM(CI13:CK13)</f>
        <v>-1737295.7081510001</v>
      </c>
      <c r="AA13" s="29">
        <f>SUM(CL13:CN13)</f>
        <v>-1427535.6543620001</v>
      </c>
      <c r="AB13" s="29">
        <f>SUM(CO13:CQ13)</f>
        <v>-1500000</v>
      </c>
      <c r="AC13" s="29">
        <f>SUM(CR13:CT13)</f>
        <v>-2000000</v>
      </c>
      <c r="AD13" s="29">
        <f>SUM(CU13:CW13)</f>
        <v>-2292641.2682011817</v>
      </c>
      <c r="AE13" s="29">
        <f>SUM(CX13:CZ13)</f>
        <v>-2582356.0070111896</v>
      </c>
      <c r="AF13" s="29">
        <f>SUM(DA13:DC13)</f>
        <v>-2366795.2514936225</v>
      </c>
      <c r="AG13" s="29">
        <f>SUM(DD13:DF13)</f>
        <v>-3900576.6904852721</v>
      </c>
      <c r="AH13" s="29">
        <f>SUM(DG13:DI13)</f>
        <v>-3574991.8816375588</v>
      </c>
      <c r="AI13" s="29">
        <f>SUM(DJ13:DL13)</f>
        <v>-4026753.7222717716</v>
      </c>
      <c r="AJ13" s="29">
        <f>SUM(DM13:DO13)</f>
        <v>-3690622.6573452479</v>
      </c>
      <c r="AK13" s="29">
        <f>SUM(DP13:DR13)</f>
        <v>-6082299.1348884236</v>
      </c>
      <c r="AL13" s="29">
        <f>SUM(DS13:DU13)</f>
        <v>-5195726.768297906</v>
      </c>
      <c r="AM13" s="29">
        <f>SUM(DV13:DX13)</f>
        <v>-5852296.3958640369</v>
      </c>
      <c r="AN13" s="29">
        <f>SUM(DY13:EA13)</f>
        <v>-5363779.1545618698</v>
      </c>
      <c r="AO13" s="29">
        <f>SUM(EB13:ED13)</f>
        <v>-8839730.4033762999</v>
      </c>
      <c r="AP13" s="29">
        <f>SUM(EE13:EG13)</f>
        <v>-7410359.9589326279</v>
      </c>
      <c r="AQ13" s="29">
        <f>SUM(EH13:EJ13)</f>
        <v>-8346786.6602083854</v>
      </c>
      <c r="AR13" s="29">
        <f>SUM(EK13:EM13)</f>
        <v>-7650043.2082081707</v>
      </c>
      <c r="AS13" s="29">
        <f>SUM(EN13:EP13)</f>
        <v>-12607588.34137046</v>
      </c>
      <c r="AT13" s="29">
        <f>SUM(EQ13:ES13)</f>
        <v>-10375232.206460688</v>
      </c>
      <c r="AU13" s="29">
        <f>SUM(ET13:EV13)</f>
        <v>-11686321.616949379</v>
      </c>
      <c r="AV13" s="29">
        <f>SUM(EW13:EY13)</f>
        <v>-10710812.310668061</v>
      </c>
      <c r="AW13" s="29">
        <f>SUM(EZ13:FB13)</f>
        <v>-17651862.707088545</v>
      </c>
      <c r="AX13" s="2"/>
      <c r="AY13" s="83">
        <f>SUM(ARR!AY43:AY44)</f>
        <v>-61951</v>
      </c>
      <c r="AZ13" s="27">
        <f>SUM(ARR!AZ43:AZ44)</f>
        <v>-78152</v>
      </c>
      <c r="BA13" s="27">
        <f>SUM(ARR!BA43:BA44)</f>
        <v>-110956.4</v>
      </c>
      <c r="BB13" s="27">
        <f>SUM(ARR!BB43:BB44)</f>
        <v>-55000</v>
      </c>
      <c r="BC13" s="27">
        <f>SUM(ARR!BC43:BC44)</f>
        <v>-19100</v>
      </c>
      <c r="BD13" s="27">
        <f>SUM(ARR!BD43:BD44)</f>
        <v>-201751</v>
      </c>
      <c r="BE13" s="27">
        <f>SUM(ARR!BE43:BE44)</f>
        <v>-62250</v>
      </c>
      <c r="BF13" s="27">
        <f>SUM(ARR!BF43:BF44)</f>
        <v>-60453</v>
      </c>
      <c r="BG13" s="27">
        <f>SUM(ARR!BG43:BG44)</f>
        <v>-139335</v>
      </c>
      <c r="BH13" s="27">
        <f>SUM(ARR!BH43:BH44)</f>
        <v>-108500</v>
      </c>
      <c r="BI13" s="27">
        <f>SUM(ARR!BI43:BI44)</f>
        <v>-306847</v>
      </c>
      <c r="BJ13" s="27">
        <f>SUM(ARR!BJ43:BJ44)</f>
        <v>-249450.01</v>
      </c>
      <c r="BK13" s="27">
        <f>SUM(ARR!BK43:BK44)</f>
        <v>-109400</v>
      </c>
      <c r="BL13" s="27">
        <f>SUM(ARR!BL43:BL44)</f>
        <v>-175810.21</v>
      </c>
      <c r="BM13" s="27">
        <f>SUM(ARR!BM43:BM44)</f>
        <v>-431705.77</v>
      </c>
      <c r="BN13" s="27">
        <f>SUM(ARR!BN43:BN44)</f>
        <v>-223759</v>
      </c>
      <c r="BO13" s="27">
        <f>SUM(ARR!BO43:BO44)</f>
        <v>-188089</v>
      </c>
      <c r="BP13" s="27">
        <f>SUM(ARR!BP43:BP44)</f>
        <v>-327905</v>
      </c>
      <c r="BQ13" s="27">
        <f>SUM(ARR!BQ43:BQ44)</f>
        <v>-117830</v>
      </c>
      <c r="BR13" s="27">
        <f>SUM(ARR!BR43:BR44)</f>
        <v>-186979</v>
      </c>
      <c r="BS13" s="27">
        <f>SUM(ARR!BS43:BS44)</f>
        <v>-267067</v>
      </c>
      <c r="BT13" s="27">
        <f>SUM(ARR!BT43:BT44)</f>
        <v>-231943</v>
      </c>
      <c r="BU13" s="27">
        <f>SUM(ARR!BU43:BU44)</f>
        <v>-238523.71000000002</v>
      </c>
      <c r="BV13" s="27">
        <f>SUM(ARR!BV43:BV44)</f>
        <v>-429977.3</v>
      </c>
      <c r="BW13" s="27">
        <f>SUM(ARR!BW43:BW44)</f>
        <v>-307138</v>
      </c>
      <c r="BX13" s="27">
        <f>SUM(ARR!BX43:BX44)</f>
        <v>-316062</v>
      </c>
      <c r="BY13" s="27">
        <f>SUM(ARR!BY43:BY44)</f>
        <v>-520882.79000000004</v>
      </c>
      <c r="BZ13" s="27">
        <f>SUM(ARR!BZ43:BZ44)</f>
        <v>-540684.43769199995</v>
      </c>
      <c r="CA13" s="27">
        <f>SUM(ARR!CA43:CA44)</f>
        <v>-535890.78538500005</v>
      </c>
      <c r="CB13" s="27">
        <f>SUM(ARR!CB43:CB44)</f>
        <v>-371850.12</v>
      </c>
      <c r="CC13" s="27">
        <f>SUM(ARR!CC43:CC44)</f>
        <v>-729445.28</v>
      </c>
      <c r="CD13" s="27">
        <f>SUM(ARR!CD43:CD44)</f>
        <v>-341607.93</v>
      </c>
      <c r="CE13" s="27">
        <f>SUM(ARR!CE43:CE44)</f>
        <v>-427639.98359000002</v>
      </c>
      <c r="CF13" s="27">
        <f>SUM(ARR!CF43:CF44)</f>
        <v>-303831.58999999997</v>
      </c>
      <c r="CG13" s="27">
        <f>SUM(ARR!CG43:CG44)</f>
        <v>-814892.3899999999</v>
      </c>
      <c r="CH13" s="27">
        <f>SUM(ARR!CH43:CH44)</f>
        <v>-515853.83</v>
      </c>
      <c r="CI13" s="27">
        <f>SUM(ARR!CI43:CI44)</f>
        <v>-417292.93294099998</v>
      </c>
      <c r="CJ13" s="27">
        <f>SUM(ARR!CJ43:CJ44)</f>
        <v>-559101.165882</v>
      </c>
      <c r="CK13" s="27">
        <f>SUM(ARR!CK43:CK44)</f>
        <v>-760901.60932799999</v>
      </c>
      <c r="CL13" s="27">
        <f>SUM(ARR!CL43:CL44)</f>
        <v>-489907.50051899999</v>
      </c>
      <c r="CM13" s="27">
        <f>SUM(ARR!CM43:CM44)</f>
        <v>-476266.67207800003</v>
      </c>
      <c r="CN13" s="27">
        <f>SUM(ARR!CN43:CN44)</f>
        <v>-461361.48176500003</v>
      </c>
      <c r="CO13" s="27">
        <f>SUM(ARR!CO43:CO44)</f>
        <v>-245340.17957470249</v>
      </c>
      <c r="CP13" s="27">
        <f>SUM(ARR!CP43:CP44)</f>
        <v>-435882.44707680406</v>
      </c>
      <c r="CQ13" s="27">
        <f>SUM(ARR!CQ43:CQ44)</f>
        <v>-818777.37334849336</v>
      </c>
      <c r="CR13" s="27">
        <f>SUM(ARR!CR43:CR44)</f>
        <v>-286593.98962799675</v>
      </c>
      <c r="CS13" s="27">
        <f>SUM(ARR!CS43:CS44)</f>
        <v>-783480.18808709399</v>
      </c>
      <c r="CT13" s="27">
        <f>SUM(ARR!CT43:CT44)</f>
        <v>-929925.8222849092</v>
      </c>
      <c r="CU13" s="27">
        <f>SUM(ARR!CU43:CU44)</f>
        <v>-496232.03405444184</v>
      </c>
      <c r="CV13" s="27">
        <f>SUM(ARR!CV43:CV44)</f>
        <v>-627623.99079744681</v>
      </c>
      <c r="CW13" s="27">
        <f>SUM(ARR!CW43:CW44)</f>
        <v>-1168785.2433492932</v>
      </c>
      <c r="CX13" s="27">
        <f>SUM(ARR!CX43:CX44)</f>
        <v>-774980.65416835737</v>
      </c>
      <c r="CY13" s="27">
        <f>SUM(ARR!CY43:CY44)</f>
        <v>-634919.95235058782</v>
      </c>
      <c r="CZ13" s="27">
        <f>SUM(ARR!CZ43:CZ44)</f>
        <v>-1172455.4004922444</v>
      </c>
      <c r="DA13" s="27">
        <f>SUM(ARR!DA43:DA44)</f>
        <v>-781622.38344133273</v>
      </c>
      <c r="DB13" s="27">
        <f>SUM(ARR!DB43:DB44)</f>
        <v>-613138.8903003044</v>
      </c>
      <c r="DC13" s="27">
        <f>SUM(ARR!DC43:DC44)</f>
        <v>-972033.97775198543</v>
      </c>
      <c r="DD13" s="27">
        <f>SUM(ARR!DD43:DD44)</f>
        <v>-768405.10882825672</v>
      </c>
      <c r="DE13" s="27">
        <f>SUM(ARR!DE43:DE44)</f>
        <v>-1615007.796880119</v>
      </c>
      <c r="DF13" s="27">
        <f>SUM(ARR!DF43:DF44)</f>
        <v>-1517163.7847768962</v>
      </c>
      <c r="DG13" s="27">
        <f>SUM(ARR!DG43:DG44)</f>
        <v>-773791.13678130368</v>
      </c>
      <c r="DH13" s="27">
        <f>SUM(ARR!DH43:DH44)</f>
        <v>-978674.99069415987</v>
      </c>
      <c r="DI13" s="27">
        <f>SUM(ARR!DI43:DI44)</f>
        <v>-1822525.7541620953</v>
      </c>
      <c r="DJ13" s="27">
        <f>SUM(ARR!DJ43:DJ44)</f>
        <v>-1208453.143326618</v>
      </c>
      <c r="DK13" s="27">
        <f>SUM(ARR!DK43:DK44)</f>
        <v>-990051.82652233262</v>
      </c>
      <c r="DL13" s="27">
        <f>SUM(ARR!DL43:DL44)</f>
        <v>-1828248.7524228212</v>
      </c>
      <c r="DM13" s="27">
        <f>SUM(ARR!DM43:DM44)</f>
        <v>-1218809.8129723459</v>
      </c>
      <c r="DN13" s="27">
        <f>SUM(ARR!DN43:DN44)</f>
        <v>-956087.89108977257</v>
      </c>
      <c r="DO13" s="27">
        <f>SUM(ARR!DO43:DO44)</f>
        <v>-1515724.9532831297</v>
      </c>
      <c r="DP13" s="27">
        <f>SUM(ARR!DP43:DP44)</f>
        <v>-1198199.6764915544</v>
      </c>
      <c r="DQ13" s="27">
        <f>SUM(ARR!DQ43:DQ44)</f>
        <v>-2518335.4424906662</v>
      </c>
      <c r="DR13" s="27">
        <f>SUM(ARR!DR43:DR44)</f>
        <v>-2365764.0159062026</v>
      </c>
      <c r="DS13" s="27">
        <f>SUM(ARR!DS43:DS44)</f>
        <v>-1124592.0146270934</v>
      </c>
      <c r="DT13" s="27">
        <f>SUM(ARR!DT43:DT44)</f>
        <v>-1422360.6696091713</v>
      </c>
      <c r="DU13" s="27">
        <f>SUM(ARR!DU43:DU44)</f>
        <v>-2648774.0840616412</v>
      </c>
      <c r="DV13" s="27">
        <f>SUM(ARR!DV43:DV44)</f>
        <v>-1756309.5394051063</v>
      </c>
      <c r="DW13" s="27">
        <f>SUM(ARR!DW43:DW44)</f>
        <v>-1438895.2331572967</v>
      </c>
      <c r="DX13" s="27">
        <f>SUM(ARR!DX43:DX44)</f>
        <v>-2657091.6233016336</v>
      </c>
      <c r="DY13" s="27">
        <f>SUM(ARR!DY43:DY44)</f>
        <v>-1771361.4409171392</v>
      </c>
      <c r="DZ13" s="27">
        <f>SUM(ARR!DZ43:DZ44)</f>
        <v>-1389533.6305785347</v>
      </c>
      <c r="EA13" s="27">
        <f>SUM(ARR!EA43:EA44)</f>
        <v>-2202884.0830661962</v>
      </c>
      <c r="EB13" s="27">
        <f>SUM(ARR!EB43:EB44)</f>
        <v>-1741407.6280535222</v>
      </c>
      <c r="EC13" s="27">
        <f>SUM(ARR!EC43:EC44)</f>
        <v>-3660031.491906099</v>
      </c>
      <c r="ED13" s="27">
        <f>SUM(ARR!ED43:ED44)</f>
        <v>-3438291.2834166782</v>
      </c>
      <c r="EE13" s="27">
        <f>SUM(ARR!EE43:EE44)</f>
        <v>-1603939.5462779589</v>
      </c>
      <c r="EF13" s="27">
        <f>SUM(ARR!EF43:EF44)</f>
        <v>-2028629.4917477586</v>
      </c>
      <c r="EG13" s="27">
        <f>SUM(ARR!EG43:EG44)</f>
        <v>-3777790.9209069107</v>
      </c>
      <c r="EH13" s="27">
        <f>SUM(ARR!EH43:EH44)</f>
        <v>-2504921.1528424183</v>
      </c>
      <c r="EI13" s="27">
        <f>SUM(ARR!EI43:EI44)</f>
        <v>-2052211.7687071748</v>
      </c>
      <c r="EJ13" s="27">
        <f>SUM(ARR!EJ43:EJ44)</f>
        <v>-3789653.7386587919</v>
      </c>
      <c r="EK13" s="27">
        <f>SUM(ARR!EK43:EK44)</f>
        <v>-2526388.7960124053</v>
      </c>
      <c r="EL13" s="27">
        <f>SUM(ARR!EL43:EL44)</f>
        <v>-1981810.2138197471</v>
      </c>
      <c r="EM13" s="27">
        <f>SUM(ARR!EM43:EM44)</f>
        <v>-3141844.1983760186</v>
      </c>
      <c r="EN13" s="27">
        <f>SUM(ARR!EN43:EN44)</f>
        <v>-2483667.4318297724</v>
      </c>
      <c r="EO13" s="27">
        <f>SUM(ARR!EO43:EO44)</f>
        <v>-5220087.9733594004</v>
      </c>
      <c r="EP13" s="27">
        <f>SUM(ARR!EP43:EP44)</f>
        <v>-4903832.9361812863</v>
      </c>
      <c r="EQ13" s="27">
        <f>SUM(ARR!EQ43:EQ44)</f>
        <v>-2245672.9942921679</v>
      </c>
      <c r="ER13" s="27">
        <f>SUM(ARR!ER43:ER44)</f>
        <v>-2840280.6549749514</v>
      </c>
      <c r="ES13" s="27">
        <f>SUM(ARR!ES43:ES44)</f>
        <v>-5289278.557193568</v>
      </c>
      <c r="ET13" s="27">
        <f>SUM(ARR!ET43:ET44)</f>
        <v>-3507135.7887665574</v>
      </c>
      <c r="EU13" s="27">
        <f>SUM(ARR!EU43:EU44)</f>
        <v>-2873298.1603008667</v>
      </c>
      <c r="EV13" s="27">
        <f>SUM(ARR!EV43:EV44)</f>
        <v>-5305887.6678819545</v>
      </c>
      <c r="EW13" s="27">
        <f>SUM(ARR!EW43:EW44)</f>
        <v>-3537192.598968545</v>
      </c>
      <c r="EX13" s="27">
        <f>SUM(ARR!EX43:EX44)</f>
        <v>-2774729.0646427721</v>
      </c>
      <c r="EY13" s="27">
        <f>SUM(ARR!EY43:EY44)</f>
        <v>-4398890.6470567435</v>
      </c>
      <c r="EZ13" s="27">
        <f>SUM(ARR!EZ43:EZ44)</f>
        <v>-3477378.4906083578</v>
      </c>
      <c r="FA13" s="27">
        <f>SUM(ARR!FA43:FA44)</f>
        <v>-7308636.1744777607</v>
      </c>
      <c r="FB13" s="27">
        <f>SUM(ARR!FB43:FB44)</f>
        <v>-6865848.0420024255</v>
      </c>
    </row>
    <row r="14" spans="3:158" x14ac:dyDescent="0.25">
      <c r="C14" s="1" t="s">
        <v>24</v>
      </c>
      <c r="D14" s="22">
        <f t="shared" ref="D14:I14" si="52">SUM(D9:D13)</f>
        <v>31062420.149999995</v>
      </c>
      <c r="E14" s="22">
        <f t="shared" si="52"/>
        <v>55699084.79091499</v>
      </c>
      <c r="F14" s="22">
        <f t="shared" si="52"/>
        <v>82420487.857434958</v>
      </c>
      <c r="G14" s="22">
        <f t="shared" si="52"/>
        <v>139753842.15791994</v>
      </c>
      <c r="H14" s="22">
        <f t="shared" si="52"/>
        <v>216111472.94072866</v>
      </c>
      <c r="I14" s="53">
        <f t="shared" si="52"/>
        <v>327799305.54458565</v>
      </c>
      <c r="J14" s="53">
        <f t="shared" ref="J14" si="53">SUM(J9:J13)</f>
        <v>489688397.82248545</v>
      </c>
      <c r="K14" s="53">
        <f t="shared" ref="K14" si="54">SUM(K9:K13)</f>
        <v>720349010.2787658</v>
      </c>
      <c r="L14" s="53">
        <f t="shared" ref="L14" si="55">SUM(L9:L13)</f>
        <v>1043270328.3125989</v>
      </c>
      <c r="M14" s="1"/>
      <c r="N14" s="22">
        <f t="shared" ref="N14:AK14" si="56">SUM(N9:N13)</f>
        <v>16767788.959999992</v>
      </c>
      <c r="O14" s="22">
        <f t="shared" si="56"/>
        <v>20521462.5</v>
      </c>
      <c r="P14" s="22">
        <f t="shared" si="56"/>
        <v>24541790.959999997</v>
      </c>
      <c r="Q14" s="22">
        <f t="shared" si="56"/>
        <v>30891265.889999993</v>
      </c>
      <c r="R14" s="22">
        <f t="shared" si="56"/>
        <v>35862674.200000003</v>
      </c>
      <c r="S14" s="22">
        <f t="shared" si="56"/>
        <v>42639457.509999998</v>
      </c>
      <c r="T14" s="22">
        <f t="shared" si="56"/>
        <v>48074719.82</v>
      </c>
      <c r="U14" s="22">
        <f t="shared" si="56"/>
        <v>55752573.250914991</v>
      </c>
      <c r="V14" s="22">
        <f t="shared" si="56"/>
        <v>59885827.713662975</v>
      </c>
      <c r="W14" s="22">
        <f t="shared" si="56"/>
        <v>66564252.016188964</v>
      </c>
      <c r="X14" s="22">
        <f t="shared" si="56"/>
        <v>73268133.943367943</v>
      </c>
      <c r="Y14" s="22">
        <f t="shared" si="56"/>
        <v>82486431.884214967</v>
      </c>
      <c r="Z14" s="22">
        <f t="shared" si="56"/>
        <v>89817779.738021955</v>
      </c>
      <c r="AA14" s="22">
        <f t="shared" si="56"/>
        <v>102577354.82989797</v>
      </c>
      <c r="AB14" s="22">
        <f t="shared" si="56"/>
        <v>118376054.83999997</v>
      </c>
      <c r="AC14" s="22">
        <f t="shared" si="56"/>
        <v>139391097.48368567</v>
      </c>
      <c r="AD14" s="22">
        <f t="shared" si="56"/>
        <v>152234808.50887677</v>
      </c>
      <c r="AE14" s="22">
        <f t="shared" si="56"/>
        <v>170255650.62664872</v>
      </c>
      <c r="AF14" s="22">
        <f t="shared" si="56"/>
        <v>188201189.16659629</v>
      </c>
      <c r="AG14" s="22">
        <f t="shared" si="56"/>
        <v>215399843.90173402</v>
      </c>
      <c r="AH14" s="22">
        <f t="shared" si="56"/>
        <v>235362513.59087154</v>
      </c>
      <c r="AI14" s="22">
        <f t="shared" si="56"/>
        <v>263274227.10265484</v>
      </c>
      <c r="AJ14" s="22">
        <f t="shared" si="56"/>
        <v>289544296.78768539</v>
      </c>
      <c r="AK14" s="22">
        <f t="shared" si="56"/>
        <v>327087676.50559098</v>
      </c>
      <c r="AL14" s="22">
        <f t="shared" ref="AL14" si="57">SUM(AL9:AL13)</f>
        <v>356021559.01491708</v>
      </c>
      <c r="AM14" s="22">
        <f t="shared" ref="AM14" si="58">SUM(AM9:AM13)</f>
        <v>396480040.10843301</v>
      </c>
      <c r="AN14" s="22">
        <f t="shared" ref="AN14" si="59">SUM(AN9:AN13)</f>
        <v>434559264.85031599</v>
      </c>
      <c r="AO14" s="22">
        <f t="shared" ref="AO14" si="60">SUM(AO9:AO13)</f>
        <v>488976768.78349108</v>
      </c>
      <c r="AP14" s="22">
        <f t="shared" ref="AP14" si="61">SUM(AP9:AP13)</f>
        <v>530201102.04517245</v>
      </c>
      <c r="AQ14" s="22">
        <f t="shared" ref="AQ14" si="62">SUM(AQ9:AQ13)</f>
        <v>587847173.30733061</v>
      </c>
      <c r="AR14" s="22">
        <f t="shared" ref="AR14" si="63">SUM(AR9:AR13)</f>
        <v>642103410.65155625</v>
      </c>
      <c r="AS14" s="22">
        <f t="shared" ref="AS14" si="64">SUM(AS9:AS13)</f>
        <v>719637381.23977137</v>
      </c>
      <c r="AT14" s="22">
        <f t="shared" ref="AT14" si="65">SUM(AT9:AT13)</f>
        <v>777350719.54217052</v>
      </c>
      <c r="AU14" s="22">
        <f t="shared" ref="AU14" si="66">SUM(AU9:AU13)</f>
        <v>858054399.01653433</v>
      </c>
      <c r="AV14" s="22">
        <f t="shared" ref="AV14" si="67">SUM(AV9:AV13)</f>
        <v>934012379.47927368</v>
      </c>
      <c r="AW14" s="22">
        <f t="shared" ref="AW14" si="68">SUM(AW9:AW13)</f>
        <v>1042558699.273605</v>
      </c>
      <c r="AX14" s="1"/>
      <c r="AY14" s="18">
        <f>SUM(AY9:AY13)</f>
        <v>13791928.259999994</v>
      </c>
      <c r="AZ14" s="18">
        <f t="shared" ref="AZ14:DK14" si="69">SUM(AZ9:AZ13)</f>
        <v>14645354.83</v>
      </c>
      <c r="BA14" s="18">
        <f t="shared" si="69"/>
        <v>16617334.699999999</v>
      </c>
      <c r="BB14" s="18">
        <f t="shared" si="69"/>
        <v>17218936.129999999</v>
      </c>
      <c r="BC14" s="18">
        <f t="shared" si="69"/>
        <v>18721499.780000001</v>
      </c>
      <c r="BD14" s="18">
        <f t="shared" si="69"/>
        <v>20521462.499999996</v>
      </c>
      <c r="BE14" s="18">
        <f t="shared" si="69"/>
        <v>21216639.169999998</v>
      </c>
      <c r="BF14" s="18">
        <f t="shared" si="69"/>
        <v>22270688.629999995</v>
      </c>
      <c r="BG14" s="18">
        <f t="shared" si="69"/>
        <v>24541790.959999993</v>
      </c>
      <c r="BH14" s="18">
        <f t="shared" si="69"/>
        <v>25630303.129999995</v>
      </c>
      <c r="BI14" s="18">
        <f t="shared" si="69"/>
        <v>28413585.799999997</v>
      </c>
      <c r="BJ14" s="18">
        <f t="shared" si="69"/>
        <v>30891265.889999997</v>
      </c>
      <c r="BK14" s="18">
        <f t="shared" si="69"/>
        <v>31568879.219999995</v>
      </c>
      <c r="BL14" s="18">
        <f t="shared" si="69"/>
        <v>32800760.339999996</v>
      </c>
      <c r="BM14" s="18">
        <f t="shared" si="69"/>
        <v>35862674.659999996</v>
      </c>
      <c r="BN14" s="18">
        <f t="shared" si="69"/>
        <v>36977029.419999994</v>
      </c>
      <c r="BO14" s="18">
        <f t="shared" si="69"/>
        <v>39904509.799999997</v>
      </c>
      <c r="BP14" s="18">
        <f t="shared" si="69"/>
        <v>42639457.509999998</v>
      </c>
      <c r="BQ14" s="18">
        <f t="shared" si="69"/>
        <v>43737632.909999996</v>
      </c>
      <c r="BR14" s="18">
        <f t="shared" si="69"/>
        <v>44858642.579999998</v>
      </c>
      <c r="BS14" s="18">
        <f t="shared" si="69"/>
        <v>48074719.82</v>
      </c>
      <c r="BT14" s="18">
        <f t="shared" si="69"/>
        <v>48687682.359999985</v>
      </c>
      <c r="BU14" s="18">
        <f t="shared" si="69"/>
        <v>51795095.119999982</v>
      </c>
      <c r="BV14" s="18">
        <f t="shared" si="69"/>
        <v>55792573.250914983</v>
      </c>
      <c r="BW14" s="18">
        <f t="shared" si="69"/>
        <v>56600428.92999997</v>
      </c>
      <c r="BX14" s="18">
        <f t="shared" si="69"/>
        <v>57971565.305200972</v>
      </c>
      <c r="BY14" s="18">
        <f t="shared" si="69"/>
        <v>59901771.70846197</v>
      </c>
      <c r="BZ14" s="18">
        <f t="shared" si="69"/>
        <v>61043337.501867957</v>
      </c>
      <c r="CA14" s="18">
        <f t="shared" si="69"/>
        <v>62448942.254137963</v>
      </c>
      <c r="CB14" s="18">
        <f t="shared" si="69"/>
        <v>66579252.010182969</v>
      </c>
      <c r="CC14" s="18">
        <f t="shared" si="69"/>
        <v>66934894.397178948</v>
      </c>
      <c r="CD14" s="18">
        <f t="shared" si="69"/>
        <v>69990459.993990958</v>
      </c>
      <c r="CE14" s="18">
        <f t="shared" si="69"/>
        <v>73255804.912197962</v>
      </c>
      <c r="CF14" s="18">
        <f t="shared" si="69"/>
        <v>74547972.346154958</v>
      </c>
      <c r="CG14" s="18">
        <f t="shared" si="69"/>
        <v>77650308.781685963</v>
      </c>
      <c r="CH14" s="18">
        <f t="shared" si="69"/>
        <v>82486431.876373962</v>
      </c>
      <c r="CI14" s="18">
        <f t="shared" si="69"/>
        <v>83536383.206905961</v>
      </c>
      <c r="CJ14" s="18">
        <f t="shared" si="69"/>
        <v>85225815.411505967</v>
      </c>
      <c r="CK14" s="18">
        <f t="shared" si="69"/>
        <v>89817780.519609958</v>
      </c>
      <c r="CL14" s="18">
        <f t="shared" si="69"/>
        <v>91934100.414906979</v>
      </c>
      <c r="CM14" s="18">
        <f t="shared" si="69"/>
        <v>95683616.54183796</v>
      </c>
      <c r="CN14" s="18">
        <f t="shared" si="69"/>
        <v>102577354.83315296</v>
      </c>
      <c r="CO14" s="18">
        <f t="shared" si="69"/>
        <v>104926819.66042528</v>
      </c>
      <c r="CP14" s="18">
        <f t="shared" si="69"/>
        <v>110486151.62122318</v>
      </c>
      <c r="CQ14" s="18">
        <f t="shared" si="69"/>
        <v>118211314.83745149</v>
      </c>
      <c r="CR14" s="18">
        <f t="shared" si="69"/>
        <v>120064494.74405769</v>
      </c>
      <c r="CS14" s="18">
        <f t="shared" si="69"/>
        <v>128538689.15333514</v>
      </c>
      <c r="CT14" s="18">
        <f t="shared" si="69"/>
        <v>139042213.1189253</v>
      </c>
      <c r="CU14" s="18">
        <f t="shared" si="69"/>
        <v>140592975.64597401</v>
      </c>
      <c r="CV14" s="18">
        <f t="shared" si="69"/>
        <v>144464210.38279027</v>
      </c>
      <c r="CW14" s="18">
        <f t="shared" si="69"/>
        <v>152234808.50887677</v>
      </c>
      <c r="CX14" s="18">
        <f t="shared" si="69"/>
        <v>155034147.1781565</v>
      </c>
      <c r="CY14" s="18">
        <f t="shared" si="69"/>
        <v>161409775.10244256</v>
      </c>
      <c r="CZ14" s="18">
        <f t="shared" si="69"/>
        <v>170255650.62664869</v>
      </c>
      <c r="DA14" s="18">
        <f t="shared" si="69"/>
        <v>172906202.74068263</v>
      </c>
      <c r="DB14" s="18">
        <f t="shared" si="69"/>
        <v>178412970.90133187</v>
      </c>
      <c r="DC14" s="18">
        <f t="shared" si="69"/>
        <v>188201189.16659623</v>
      </c>
      <c r="DD14" s="18">
        <f t="shared" si="69"/>
        <v>192053254.85622305</v>
      </c>
      <c r="DE14" s="18">
        <f t="shared" si="69"/>
        <v>202763024.52905649</v>
      </c>
      <c r="DF14" s="18">
        <f t="shared" si="69"/>
        <v>215399843.90173399</v>
      </c>
      <c r="DG14" s="18">
        <f t="shared" si="69"/>
        <v>217877682.24257982</v>
      </c>
      <c r="DH14" s="18">
        <f t="shared" si="69"/>
        <v>223767136.37511584</v>
      </c>
      <c r="DI14" s="18">
        <f t="shared" si="69"/>
        <v>235362513.59087151</v>
      </c>
      <c r="DJ14" s="18">
        <f t="shared" si="69"/>
        <v>239942431.4496308</v>
      </c>
      <c r="DK14" s="18">
        <f t="shared" si="69"/>
        <v>249809187.74114755</v>
      </c>
      <c r="DL14" s="18">
        <f t="shared" ref="DL14:FB14" si="70">SUM(DL9:DL13)</f>
        <v>263274227.10265484</v>
      </c>
      <c r="DM14" s="18">
        <f t="shared" si="70"/>
        <v>267117874.67345858</v>
      </c>
      <c r="DN14" s="18">
        <f t="shared" si="70"/>
        <v>275188649.68251938</v>
      </c>
      <c r="DO14" s="18">
        <f t="shared" si="70"/>
        <v>289544296.78768539</v>
      </c>
      <c r="DP14" s="18">
        <f t="shared" si="70"/>
        <v>294412729.0389151</v>
      </c>
      <c r="DQ14" s="18">
        <f t="shared" si="70"/>
        <v>309324877.86425197</v>
      </c>
      <c r="DR14" s="18">
        <f t="shared" si="70"/>
        <v>327087676.50559103</v>
      </c>
      <c r="DS14" s="18">
        <f t="shared" si="70"/>
        <v>330677947.23352331</v>
      </c>
      <c r="DT14" s="18">
        <f t="shared" si="70"/>
        <v>339214373.79259795</v>
      </c>
      <c r="DU14" s="18">
        <f t="shared" si="70"/>
        <v>356021559.01491714</v>
      </c>
      <c r="DV14" s="18">
        <f t="shared" si="70"/>
        <v>362658387.42853659</v>
      </c>
      <c r="DW14" s="18">
        <f t="shared" si="70"/>
        <v>376961863.96653599</v>
      </c>
      <c r="DX14" s="18">
        <f t="shared" si="70"/>
        <v>396480040.10843301</v>
      </c>
      <c r="DY14" s="18">
        <f t="shared" si="70"/>
        <v>402049241.87399119</v>
      </c>
      <c r="DZ14" s="18">
        <f t="shared" si="70"/>
        <v>413748659.44863105</v>
      </c>
      <c r="EA14" s="18">
        <f t="shared" si="70"/>
        <v>434559264.85031605</v>
      </c>
      <c r="EB14" s="18">
        <f t="shared" si="70"/>
        <v>441614473.51745826</v>
      </c>
      <c r="EC14" s="18">
        <f t="shared" si="70"/>
        <v>463228644.21390212</v>
      </c>
      <c r="ED14" s="18">
        <f t="shared" si="70"/>
        <v>488976768.78349102</v>
      </c>
      <c r="EE14" s="18">
        <f t="shared" si="70"/>
        <v>494091508.64536017</v>
      </c>
      <c r="EF14" s="18">
        <f t="shared" si="70"/>
        <v>506254150.95448685</v>
      </c>
      <c r="EG14" s="18">
        <f t="shared" si="70"/>
        <v>530201102.04517257</v>
      </c>
      <c r="EH14" s="18">
        <f t="shared" si="70"/>
        <v>539656402.4753902</v>
      </c>
      <c r="EI14" s="18">
        <f t="shared" si="70"/>
        <v>560037070.48058116</v>
      </c>
      <c r="EJ14" s="18">
        <f t="shared" si="70"/>
        <v>587847173.30733049</v>
      </c>
      <c r="EK14" s="18">
        <f t="shared" si="70"/>
        <v>595781087.08054543</v>
      </c>
      <c r="EL14" s="18">
        <f t="shared" si="70"/>
        <v>612451032.33416188</v>
      </c>
      <c r="EM14" s="18">
        <f t="shared" si="70"/>
        <v>642103410.65155625</v>
      </c>
      <c r="EN14" s="18">
        <f t="shared" si="70"/>
        <v>652154921.44038045</v>
      </c>
      <c r="EO14" s="18">
        <f t="shared" si="70"/>
        <v>682950571.58541977</v>
      </c>
      <c r="EP14" s="18">
        <f t="shared" si="70"/>
        <v>719637381.23977149</v>
      </c>
      <c r="EQ14" s="18">
        <f t="shared" si="70"/>
        <v>726797859.41688526</v>
      </c>
      <c r="ER14" s="18">
        <f t="shared" si="70"/>
        <v>743825359.28313458</v>
      </c>
      <c r="ES14" s="18">
        <f t="shared" si="70"/>
        <v>777350719.54217076</v>
      </c>
      <c r="ET14" s="18">
        <f t="shared" si="70"/>
        <v>790587893.96968818</v>
      </c>
      <c r="EU14" s="18">
        <f t="shared" si="70"/>
        <v>819120627.49284482</v>
      </c>
      <c r="EV14" s="18">
        <f t="shared" si="70"/>
        <v>858054399.01653421</v>
      </c>
      <c r="EW14" s="18">
        <f t="shared" si="70"/>
        <v>869161630.01448393</v>
      </c>
      <c r="EX14" s="18">
        <f t="shared" si="70"/>
        <v>892499358.60425174</v>
      </c>
      <c r="EY14" s="18">
        <f t="shared" si="70"/>
        <v>934012379.47927368</v>
      </c>
      <c r="EZ14" s="18">
        <f t="shared" si="70"/>
        <v>948084250.49758077</v>
      </c>
      <c r="FA14" s="18">
        <f t="shared" si="70"/>
        <v>991197647.68886113</v>
      </c>
      <c r="FB14" s="18">
        <f t="shared" si="70"/>
        <v>1042558699.2736049</v>
      </c>
    </row>
    <row r="15" spans="3:158" x14ac:dyDescent="0.25">
      <c r="C15" s="28" t="s">
        <v>218</v>
      </c>
      <c r="D15" s="76">
        <f t="shared" ref="D15:I15" si="71">D14/D9-1</f>
        <v>1.2829539649772439</v>
      </c>
      <c r="E15" s="76">
        <f t="shared" si="71"/>
        <v>0.80306902893693599</v>
      </c>
      <c r="F15" s="76">
        <f t="shared" si="71"/>
        <v>0.47695592728896763</v>
      </c>
      <c r="G15" s="76">
        <f t="shared" si="71"/>
        <v>0.6942646217663011</v>
      </c>
      <c r="H15" s="76">
        <f t="shared" si="71"/>
        <v>0.54637231866960501</v>
      </c>
      <c r="I15" s="76">
        <f t="shared" si="71"/>
        <v>0.51680658636058996</v>
      </c>
      <c r="J15" s="76">
        <f t="shared" ref="J15" si="72">J14/J9-1</f>
        <v>0.49386648946356737</v>
      </c>
      <c r="K15" s="76">
        <f t="shared" ref="K15" si="73">K14/K9-1</f>
        <v>0.47103548599878398</v>
      </c>
      <c r="L15" s="76">
        <f t="shared" ref="L15" si="74">L14/L9-1</f>
        <v>0.44828453072888474</v>
      </c>
      <c r="M15" s="1"/>
      <c r="N15" s="77">
        <v>1.771457489624257</v>
      </c>
      <c r="O15" s="77">
        <v>1.7009522547263956</v>
      </c>
      <c r="P15" s="77">
        <v>1.4099272881566804</v>
      </c>
      <c r="Q15" s="77">
        <f>Q14/N9-1</f>
        <v>1.270374864746068</v>
      </c>
      <c r="R15" s="77">
        <f>R14/N14-1</f>
        <v>1.1387837290623928</v>
      </c>
      <c r="S15" s="77">
        <f t="shared" ref="S15:AK15" si="75">S14/O14-1</f>
        <v>1.0777981837308133</v>
      </c>
      <c r="T15" s="77">
        <f t="shared" si="75"/>
        <v>0.95889207508757979</v>
      </c>
      <c r="U15" s="77">
        <f t="shared" si="75"/>
        <v>0.80480053648312966</v>
      </c>
      <c r="V15" s="77">
        <f t="shared" si="75"/>
        <v>0.66986509092127244</v>
      </c>
      <c r="W15" s="77">
        <f t="shared" si="75"/>
        <v>0.56109518983861406</v>
      </c>
      <c r="X15" s="77">
        <f t="shared" si="75"/>
        <v>0.52404702965917238</v>
      </c>
      <c r="Y15" s="77">
        <f t="shared" si="75"/>
        <v>0.47950896388197162</v>
      </c>
      <c r="Z15" s="77">
        <f t="shared" si="75"/>
        <v>0.49981695448003283</v>
      </c>
      <c r="AA15" s="77">
        <f t="shared" si="75"/>
        <v>0.54102767961623499</v>
      </c>
      <c r="AB15" s="77">
        <f t="shared" si="75"/>
        <v>0.61565538070749648</v>
      </c>
      <c r="AC15" s="77">
        <f t="shared" si="75"/>
        <v>0.68986697932754537</v>
      </c>
      <c r="AD15" s="77">
        <f t="shared" si="75"/>
        <v>0.69492954460587986</v>
      </c>
      <c r="AE15" s="77">
        <f t="shared" si="75"/>
        <v>0.65977813435509569</v>
      </c>
      <c r="AF15" s="77">
        <f t="shared" si="75"/>
        <v>0.58985860291571401</v>
      </c>
      <c r="AG15" s="77">
        <f t="shared" si="75"/>
        <v>0.54529125453614014</v>
      </c>
      <c r="AH15" s="77">
        <f t="shared" si="75"/>
        <v>0.54604926360943007</v>
      </c>
      <c r="AI15" s="77">
        <f t="shared" si="75"/>
        <v>0.54634648620259463</v>
      </c>
      <c r="AJ15" s="77">
        <f t="shared" si="75"/>
        <v>0.53848282292934857</v>
      </c>
      <c r="AK15" s="77">
        <f t="shared" si="75"/>
        <v>0.51851399045028668</v>
      </c>
      <c r="AL15" s="77">
        <f>AL14/AJ14-1</f>
        <v>0.2295927185054436</v>
      </c>
      <c r="AM15" s="77">
        <f t="shared" ref="AM15:AW15" si="76">AM14/AK14-1</f>
        <v>0.21215217994205271</v>
      </c>
      <c r="AN15" s="77">
        <f t="shared" si="76"/>
        <v>0.22059817403391646</v>
      </c>
      <c r="AO15" s="77">
        <f t="shared" si="76"/>
        <v>0.23329479246864793</v>
      </c>
      <c r="AP15" s="77">
        <f t="shared" si="76"/>
        <v>0.22008928339797396</v>
      </c>
      <c r="AQ15" s="77">
        <f t="shared" si="76"/>
        <v>0.20219857227535765</v>
      </c>
      <c r="AR15" s="77">
        <f t="shared" si="76"/>
        <v>0.21105634857177247</v>
      </c>
      <c r="AS15" s="77">
        <f t="shared" si="76"/>
        <v>0.22419127609471379</v>
      </c>
      <c r="AT15" s="77">
        <f t="shared" si="76"/>
        <v>0.21063166251270315</v>
      </c>
      <c r="AU15" s="77">
        <f t="shared" si="76"/>
        <v>0.19234272897039051</v>
      </c>
      <c r="AV15" s="77">
        <f t="shared" si="76"/>
        <v>0.20153279079663133</v>
      </c>
      <c r="AW15" s="77">
        <f t="shared" si="76"/>
        <v>0.21502634386414399</v>
      </c>
      <c r="AX15" s="77"/>
      <c r="AY15" s="77"/>
      <c r="AZ15" s="77"/>
      <c r="BA15" s="77"/>
      <c r="BB15" s="77"/>
      <c r="BC15" s="77"/>
      <c r="BD15" s="77"/>
      <c r="BE15" s="77"/>
      <c r="BF15" s="77"/>
      <c r="BG15" s="77"/>
      <c r="BH15" s="77"/>
      <c r="BI15" s="77"/>
      <c r="BJ15" s="77">
        <f>BJ14/AY9-1</f>
        <v>1.2703748647460684</v>
      </c>
      <c r="BK15" s="77">
        <f>BK14/AY14-1</f>
        <v>1.2889387636649445</v>
      </c>
      <c r="BL15" s="77">
        <f t="shared" ref="BL15:DR15" si="77">BL14/AZ14-1</f>
        <v>1.2396698967518289</v>
      </c>
      <c r="BM15" s="77">
        <f t="shared" si="77"/>
        <v>1.1581484219608336</v>
      </c>
      <c r="BN15" s="77">
        <f t="shared" si="77"/>
        <v>1.1474630686140999</v>
      </c>
      <c r="BO15" s="77">
        <f t="shared" si="77"/>
        <v>1.1314803978808152</v>
      </c>
      <c r="BP15" s="77">
        <f t="shared" si="77"/>
        <v>1.0777981837308137</v>
      </c>
      <c r="BQ15" s="77">
        <f t="shared" si="77"/>
        <v>1.0614779070119802</v>
      </c>
      <c r="BR15" s="77">
        <f t="shared" si="77"/>
        <v>1.014245869324967</v>
      </c>
      <c r="BS15" s="77">
        <f t="shared" si="77"/>
        <v>0.95889207508758001</v>
      </c>
      <c r="BT15" s="77">
        <f t="shared" si="77"/>
        <v>0.8996139886855874</v>
      </c>
      <c r="BU15" s="77">
        <f t="shared" si="77"/>
        <v>0.82289892886381089</v>
      </c>
      <c r="BV15" s="77">
        <f t="shared" si="77"/>
        <v>0.80609540086785314</v>
      </c>
      <c r="BW15" s="77">
        <f t="shared" si="77"/>
        <v>0.79291854283320928</v>
      </c>
      <c r="BX15" s="77">
        <f t="shared" si="77"/>
        <v>0.7673848015805167</v>
      </c>
      <c r="BY15" s="77">
        <f t="shared" si="77"/>
        <v>0.67030965415622945</v>
      </c>
      <c r="BZ15" s="77">
        <f t="shared" si="77"/>
        <v>0.65084482067267069</v>
      </c>
      <c r="CA15" s="77">
        <f t="shared" si="77"/>
        <v>0.56495951377751208</v>
      </c>
      <c r="CB15" s="77">
        <f t="shared" si="77"/>
        <v>0.56144697653736575</v>
      </c>
      <c r="CC15" s="77">
        <f t="shared" si="77"/>
        <v>0.53037304361926774</v>
      </c>
      <c r="CD15" s="77">
        <f t="shared" si="77"/>
        <v>0.5602447146984304</v>
      </c>
      <c r="CE15" s="77">
        <f t="shared" si="77"/>
        <v>0.52379057405805507</v>
      </c>
      <c r="CF15" s="77">
        <f t="shared" si="77"/>
        <v>0.53114645702258434</v>
      </c>
      <c r="CG15" s="77">
        <f t="shared" si="77"/>
        <v>0.49918266588340199</v>
      </c>
      <c r="CH15" s="77">
        <f t="shared" si="77"/>
        <v>0.47844824266142272</v>
      </c>
      <c r="CI15" s="77">
        <f t="shared" si="77"/>
        <v>0.47589664576957125</v>
      </c>
      <c r="CJ15" s="77">
        <f t="shared" si="77"/>
        <v>0.47013134737384532</v>
      </c>
      <c r="CK15" s="77">
        <f t="shared" si="77"/>
        <v>0.49941776274577077</v>
      </c>
      <c r="CL15" s="77">
        <f t="shared" si="77"/>
        <v>0.50604642827882329</v>
      </c>
      <c r="CM15" s="77">
        <f t="shared" si="77"/>
        <v>0.53218954698144327</v>
      </c>
      <c r="CN15" s="77">
        <f t="shared" si="77"/>
        <v>0.54068049333843926</v>
      </c>
      <c r="CO15" s="77">
        <f t="shared" si="77"/>
        <v>0.56759520733400226</v>
      </c>
      <c r="CP15" s="77">
        <f t="shared" si="77"/>
        <v>0.57858873381756593</v>
      </c>
      <c r="CQ15" s="77">
        <f t="shared" si="77"/>
        <v>0.61367846519652258</v>
      </c>
      <c r="CR15" s="77">
        <f t="shared" si="77"/>
        <v>0.61056687345635607</v>
      </c>
      <c r="CS15" s="77">
        <f t="shared" si="77"/>
        <v>0.65535322615035541</v>
      </c>
      <c r="CT15" s="77">
        <f t="shared" si="77"/>
        <v>0.6856373824887223</v>
      </c>
      <c r="CU15" s="77">
        <f t="shared" ref="CU15" si="78">CU14/CI14-1</f>
        <v>0.68301487625754875</v>
      </c>
      <c r="CV15" s="77">
        <f t="shared" ref="CV15" si="79">CV14/CJ14-1</f>
        <v>0.69507571954878333</v>
      </c>
      <c r="CW15" s="77">
        <f t="shared" ref="CW15" si="80">CW14/CK14-1</f>
        <v>0.69492952985672218</v>
      </c>
      <c r="CX15" s="77">
        <f t="shared" ref="CX15" si="81">CX14/CL14-1</f>
        <v>0.68636171429832071</v>
      </c>
      <c r="CY15" s="77">
        <f t="shared" ref="CY15" si="82">CY14/CM14-1</f>
        <v>0.68691131184266685</v>
      </c>
      <c r="CZ15" s="77">
        <f t="shared" ref="CZ15" si="83">CZ14/CN14-1</f>
        <v>0.65977813430242715</v>
      </c>
      <c r="DA15" s="77">
        <f t="shared" ref="DA15" si="84">DA14/CO14-1</f>
        <v>0.64787423558875679</v>
      </c>
      <c r="DB15" s="77">
        <f t="shared" ref="DB15" si="85">DB14/CP14-1</f>
        <v>0.61479939597299449</v>
      </c>
      <c r="DC15" s="77">
        <f t="shared" ref="DC15" si="86">DC14/CQ14-1</f>
        <v>0.59207423947010085</v>
      </c>
      <c r="DD15" s="77">
        <f t="shared" ref="DD15" si="87">DD14/CR14-1</f>
        <v>0.59958408408434405</v>
      </c>
      <c r="DE15" s="77">
        <f t="shared" ref="DE15" si="88">DE14/CS14-1</f>
        <v>0.57744742742146982</v>
      </c>
      <c r="DF15" s="77">
        <f t="shared" ref="DF15" si="89">DF14/CT14-1</f>
        <v>0.54916869539107971</v>
      </c>
      <c r="DG15" s="77">
        <f t="shared" si="77"/>
        <v>0.5497053194977235</v>
      </c>
      <c r="DH15" s="77">
        <f t="shared" si="77"/>
        <v>0.54894513860695815</v>
      </c>
      <c r="DI15" s="77">
        <f t="shared" si="77"/>
        <v>0.54604926360942985</v>
      </c>
      <c r="DJ15" s="77">
        <f t="shared" si="77"/>
        <v>0.54767472725800515</v>
      </c>
      <c r="DK15" s="77">
        <f t="shared" si="77"/>
        <v>0.54767075031608337</v>
      </c>
      <c r="DL15" s="77">
        <f t="shared" si="77"/>
        <v>0.54634648620259507</v>
      </c>
      <c r="DM15" s="77">
        <f t="shared" si="77"/>
        <v>0.54487155717641089</v>
      </c>
      <c r="DN15" s="77">
        <f t="shared" si="77"/>
        <v>0.54242512913877539</v>
      </c>
      <c r="DO15" s="77">
        <f t="shared" si="77"/>
        <v>0.53848282292934901</v>
      </c>
      <c r="DP15" s="77">
        <f t="shared" si="77"/>
        <v>0.53297443076047579</v>
      </c>
      <c r="DQ15" s="77">
        <f t="shared" si="77"/>
        <v>0.525548746289908</v>
      </c>
      <c r="DR15" s="77">
        <f t="shared" si="77"/>
        <v>0.51851399045028712</v>
      </c>
      <c r="DS15" s="77">
        <f t="shared" ref="DS15" si="90">DS14/DG14-1</f>
        <v>0.51772289768235358</v>
      </c>
      <c r="DT15" s="77">
        <f t="shared" ref="DT15" si="91">DT14/DH14-1</f>
        <v>0.51592579360693147</v>
      </c>
      <c r="DU15" s="77">
        <f t="shared" ref="DU15" si="92">DU14/DI14-1</f>
        <v>0.51265192397539616</v>
      </c>
      <c r="DV15" s="77">
        <f t="shared" ref="DV15" si="93">DV14/DJ14-1</f>
        <v>0.51143916162517744</v>
      </c>
      <c r="DW15" s="77">
        <f t="shared" ref="DW15" si="94">DW14/DK14-1</f>
        <v>0.5089991980484887</v>
      </c>
      <c r="DX15" s="77">
        <f t="shared" ref="DX15" si="95">DX14/DL14-1</f>
        <v>0.50595842392821488</v>
      </c>
      <c r="DY15" s="77">
        <f t="shared" ref="DY15" si="96">DY14/DM14-1</f>
        <v>0.50513791847693112</v>
      </c>
      <c r="DZ15" s="77">
        <f t="shared" ref="DZ15" si="97">DZ14/DN14-1</f>
        <v>0.50350917425542829</v>
      </c>
      <c r="EA15" s="77">
        <f t="shared" ref="EA15" si="98">EA14/DO14-1</f>
        <v>0.50083862701314397</v>
      </c>
      <c r="EB15" s="77">
        <f t="shared" ref="EB15" si="99">EB14/DP14-1</f>
        <v>0.49998430760473744</v>
      </c>
      <c r="EC15" s="77">
        <f t="shared" ref="EC15" si="100">EC14/DQ14-1</f>
        <v>0.49754732762617038</v>
      </c>
      <c r="ED15" s="77">
        <f t="shared" ref="ED15" si="101">ED14/DR14-1</f>
        <v>0.49494097120205249</v>
      </c>
      <c r="EE15" s="77">
        <f t="shared" ref="EE15" si="102">EE14/DS14-1</f>
        <v>0.49417737946835305</v>
      </c>
      <c r="EF15" s="77">
        <f t="shared" ref="EF15" si="103">EF14/DT14-1</f>
        <v>0.49243130618049857</v>
      </c>
      <c r="EG15" s="77">
        <f t="shared" ref="EG15" si="104">EG14/DU14-1</f>
        <v>0.48923875147391671</v>
      </c>
      <c r="EH15" s="77">
        <f t="shared" ref="EH15" si="105">EH14/DV14-1</f>
        <v>0.48805713912168058</v>
      </c>
      <c r="EI15" s="77">
        <f t="shared" ref="EI15" si="106">EI14/DW14-1</f>
        <v>0.4856597550416859</v>
      </c>
      <c r="EJ15" s="77">
        <f t="shared" ref="EJ15" si="107">EJ14/DX14-1</f>
        <v>0.48266523870044153</v>
      </c>
      <c r="EK15" s="77">
        <f t="shared" ref="EK15" si="108">EK14/DY14-1</f>
        <v>0.48186098872752736</v>
      </c>
      <c r="EL15" s="77">
        <f t="shared" ref="EL15" si="109">EL14/DZ14-1</f>
        <v>0.48024898292196339</v>
      </c>
      <c r="EM15" s="77">
        <f t="shared" ref="EM15" si="110">EM14/EA14-1</f>
        <v>0.47759687248350069</v>
      </c>
      <c r="EN15" s="77">
        <f t="shared" ref="EN15" si="111">EN14/EB14-1</f>
        <v>0.47675169304567411</v>
      </c>
      <c r="EO15" s="77">
        <f t="shared" ref="EO15" si="112">EO14/EC14-1</f>
        <v>0.47432716028255384</v>
      </c>
      <c r="EP15" s="77">
        <f t="shared" ref="EP15" si="113">EP14/ED14-1</f>
        <v>0.47172100431301334</v>
      </c>
      <c r="EQ15" s="77">
        <f t="shared" ref="EQ15" si="114">EQ14/EE14-1</f>
        <v>0.47097824330058002</v>
      </c>
      <c r="ER15" s="77">
        <f t="shared" ref="ER15" si="115">ER14/EF14-1</f>
        <v>0.46927261313459501</v>
      </c>
      <c r="ES15" s="77">
        <f t="shared" ref="ES15" si="116">ES14/EG14-1</f>
        <v>0.46614316066800887</v>
      </c>
      <c r="ET15" s="77">
        <f t="shared" ref="ET15" si="117">ET14/EH14-1</f>
        <v>0.46498381255791954</v>
      </c>
      <c r="EU15" s="77">
        <f t="shared" ref="EU15" si="118">EU14/EI14-1</f>
        <v>0.46261858485535234</v>
      </c>
      <c r="EV15" s="77">
        <f t="shared" ref="EV15" si="119">EV14/EJ14-1</f>
        <v>0.45965556692051579</v>
      </c>
      <c r="EW15" s="77">
        <f t="shared" ref="EW15" si="120">EW14/EK14-1</f>
        <v>0.45886072730767857</v>
      </c>
      <c r="EX15" s="77">
        <f t="shared" ref="EX15" si="121">EX14/EL14-1</f>
        <v>0.45725831370187242</v>
      </c>
      <c r="EY15" s="77">
        <f t="shared" ref="EY15" si="122">EY14/EM14-1</f>
        <v>0.45461364008565397</v>
      </c>
      <c r="EZ15" s="77">
        <f t="shared" ref="EZ15" si="123">EZ14/EN14-1</f>
        <v>0.45377151858886022</v>
      </c>
      <c r="FA15" s="77">
        <f t="shared" ref="FA15" si="124">FA14/EO14-1</f>
        <v>0.45134609871966047</v>
      </c>
      <c r="FB15" s="77">
        <f t="shared" ref="FB15" si="125">FB14/EP14-1</f>
        <v>0.44872782661388899</v>
      </c>
    </row>
    <row r="16" spans="3:158" x14ac:dyDescent="0.25">
      <c r="AY16" s="16"/>
    </row>
    <row r="17" spans="3:158" x14ac:dyDescent="0.25">
      <c r="C17" s="5" t="s">
        <v>63</v>
      </c>
      <c r="D17" s="50">
        <f t="shared" ref="D17:L17" si="126">SUMIF($AY$2:$FB$2,D$2,$AY17:$FB17)</f>
        <v>0</v>
      </c>
      <c r="E17" s="50">
        <f t="shared" si="126"/>
        <v>3132525.72</v>
      </c>
      <c r="F17" s="50">
        <f t="shared" si="126"/>
        <v>3519742.9099999997</v>
      </c>
      <c r="G17" s="50">
        <f t="shared" si="126"/>
        <v>6601121.102357273</v>
      </c>
      <c r="H17" s="50">
        <f t="shared" si="126"/>
        <v>13125000</v>
      </c>
      <c r="I17" s="50">
        <f t="shared" si="126"/>
        <v>19359375.000000004</v>
      </c>
      <c r="J17" s="50">
        <f t="shared" si="126"/>
        <v>28071093.750000007</v>
      </c>
      <c r="K17" s="50">
        <f t="shared" si="126"/>
        <v>40001308.593750007</v>
      </c>
      <c r="L17" s="50">
        <f t="shared" si="126"/>
        <v>50401648.828125015</v>
      </c>
      <c r="M17" s="5"/>
      <c r="N17" s="20">
        <f t="shared" ref="N17" si="127">SUM(AY17:BA17)</f>
        <v>0</v>
      </c>
      <c r="O17" s="20">
        <f>SUM(BB17:BD17)</f>
        <v>0</v>
      </c>
      <c r="P17" s="20">
        <f>SUM(BE17:BG17)</f>
        <v>0</v>
      </c>
      <c r="Q17" s="20">
        <f>SUM(BH17:BJ17)</f>
        <v>0</v>
      </c>
      <c r="R17" s="20">
        <f>SUM(BK17:BM17)</f>
        <v>497641.22</v>
      </c>
      <c r="S17" s="20">
        <f>SUM(BN17:BP17)</f>
        <v>684255</v>
      </c>
      <c r="T17" s="20">
        <f>SUM(BQ17:BS17)</f>
        <v>781124</v>
      </c>
      <c r="U17" s="20">
        <f>SUM(BT17:BV17)</f>
        <v>1169505.5</v>
      </c>
      <c r="V17" s="20">
        <f>SUM(BW17:BY17)</f>
        <v>589617</v>
      </c>
      <c r="W17" s="20">
        <f>SUM(BZ17:CB17)</f>
        <v>884264</v>
      </c>
      <c r="X17" s="20">
        <f>SUM(CC17:CE17)</f>
        <v>862790.23</v>
      </c>
      <c r="Y17" s="20">
        <f>SUM(CF17:CH17)</f>
        <v>1183071.68</v>
      </c>
      <c r="Z17" s="20">
        <f>SUM(CI17:CK17)</f>
        <v>968675.86009999993</v>
      </c>
      <c r="AA17" s="20">
        <f>SUM(CL17:CN17)</f>
        <v>1549624.9901999999</v>
      </c>
      <c r="AB17" s="20">
        <f>SUM(CO17:CQ17)</f>
        <v>1785940.4264563639</v>
      </c>
      <c r="AC17" s="20">
        <f>SUM(CR17:CT17)</f>
        <v>2296879.8256009091</v>
      </c>
      <c r="AD17" s="20">
        <f>SUM(CU17:CW17)</f>
        <v>2322785.498722895</v>
      </c>
      <c r="AE17" s="20">
        <f>SUM(CX17:CZ17)</f>
        <v>3090479.7187174661</v>
      </c>
      <c r="AF17" s="20">
        <f>SUM(DA17:DC17)</f>
        <v>3046850.0687161814</v>
      </c>
      <c r="AG17" s="20">
        <f>SUM(DD17:DF17)</f>
        <v>4664884.7138434574</v>
      </c>
      <c r="AH17" s="20">
        <f>SUM(DG17:DI17)</f>
        <v>3530649.2356162705</v>
      </c>
      <c r="AI17" s="20">
        <f>SUM(DJ17:DL17)</f>
        <v>4790770.0851082634</v>
      </c>
      <c r="AJ17" s="20">
        <f>SUM(DM17:DO17)</f>
        <v>4494103.8513563676</v>
      </c>
      <c r="AK17" s="20">
        <f>SUM(DP17:DR17)</f>
        <v>6543851.8279191004</v>
      </c>
      <c r="AL17" s="20">
        <f>SUM(DS17:DU17)</f>
        <v>5119441.3916435931</v>
      </c>
      <c r="AM17" s="20">
        <f>SUM(DV17:DX17)</f>
        <v>6946616.623406982</v>
      </c>
      <c r="AN17" s="20">
        <f>SUM(DY17:EA17)</f>
        <v>6516450.584466733</v>
      </c>
      <c r="AO17" s="20">
        <f>SUM(EB17:ED17)</f>
        <v>9488585.1504826955</v>
      </c>
      <c r="AP17" s="20">
        <f>SUM(EE17:EG17)</f>
        <v>7295203.9830921199</v>
      </c>
      <c r="AQ17" s="20">
        <f>SUM(EH17:EJ17)</f>
        <v>9898928.6883549504</v>
      </c>
      <c r="AR17" s="20">
        <f>SUM(EK17:EM17)</f>
        <v>9285942.0828650966</v>
      </c>
      <c r="AS17" s="20">
        <f>SUM(EN17:EP17)</f>
        <v>13521233.839437842</v>
      </c>
      <c r="AT17" s="20">
        <f>SUM(EQ17:ES17)</f>
        <v>9191957.0186960697</v>
      </c>
      <c r="AU17" s="20">
        <f>SUM(ET17:EV17)</f>
        <v>12472650.147327237</v>
      </c>
      <c r="AV17" s="20">
        <f>SUM(EW17:EY17)</f>
        <v>11700287.024410021</v>
      </c>
      <c r="AW17" s="20">
        <f>SUM(EZ17:FB17)</f>
        <v>17036754.63769168</v>
      </c>
      <c r="AX17" s="5"/>
      <c r="AY17" s="16">
        <v>0</v>
      </c>
      <c r="AZ17" s="16">
        <v>0</v>
      </c>
      <c r="BA17" s="16">
        <v>0</v>
      </c>
      <c r="BB17" s="16">
        <v>0</v>
      </c>
      <c r="BC17" s="16">
        <v>0</v>
      </c>
      <c r="BD17" s="16">
        <v>0</v>
      </c>
      <c r="BE17" s="16">
        <v>0</v>
      </c>
      <c r="BF17" s="16">
        <v>0</v>
      </c>
      <c r="BG17" s="16">
        <v>0</v>
      </c>
      <c r="BH17" s="16">
        <v>0</v>
      </c>
      <c r="BI17" s="16">
        <v>0</v>
      </c>
      <c r="BJ17" s="16">
        <v>0</v>
      </c>
      <c r="BK17" s="16">
        <v>63500</v>
      </c>
      <c r="BL17" s="16">
        <v>152500</v>
      </c>
      <c r="BM17" s="16">
        <v>281641.21999999997</v>
      </c>
      <c r="BN17" s="16">
        <v>132469</v>
      </c>
      <c r="BO17" s="16">
        <v>172216</v>
      </c>
      <c r="BP17" s="16">
        <v>379570</v>
      </c>
      <c r="BQ17" s="16">
        <v>111048</v>
      </c>
      <c r="BR17" s="16">
        <v>133250</v>
      </c>
      <c r="BS17" s="16">
        <v>536826</v>
      </c>
      <c r="BT17" s="16">
        <v>115999.8</v>
      </c>
      <c r="BU17" s="16">
        <v>442806.7</v>
      </c>
      <c r="BV17" s="16">
        <v>610699</v>
      </c>
      <c r="BW17" s="16">
        <v>100500</v>
      </c>
      <c r="BX17" s="16">
        <v>225023</v>
      </c>
      <c r="BY17" s="16">
        <v>264094</v>
      </c>
      <c r="BZ17" s="16">
        <v>217128</v>
      </c>
      <c r="CA17" s="16">
        <v>194357</v>
      </c>
      <c r="CB17" s="16">
        <v>472779</v>
      </c>
      <c r="CC17" s="16">
        <v>218970</v>
      </c>
      <c r="CD17" s="16">
        <v>263114</v>
      </c>
      <c r="CE17" s="16">
        <v>380706.23</v>
      </c>
      <c r="CF17" s="16">
        <v>191087.9</v>
      </c>
      <c r="CG17" s="16">
        <v>405546.61</v>
      </c>
      <c r="CH17" s="16">
        <v>586437.16999999993</v>
      </c>
      <c r="CI17" s="16">
        <v>190225.86</v>
      </c>
      <c r="CJ17" s="16">
        <v>262780</v>
      </c>
      <c r="CK17" s="16">
        <v>515670.0001</v>
      </c>
      <c r="CL17" s="16">
        <v>367499.98790000001</v>
      </c>
      <c r="CM17" s="16">
        <v>454325.0024</v>
      </c>
      <c r="CN17" s="16">
        <v>727799.99989999994</v>
      </c>
      <c r="CO17" s="16">
        <v>349843.5639684546</v>
      </c>
      <c r="CP17" s="16">
        <v>622476.64925972722</v>
      </c>
      <c r="CQ17" s="16">
        <v>813620.21322818194</v>
      </c>
      <c r="CR17" s="16">
        <v>338212.9825600909</v>
      </c>
      <c r="CS17" s="16">
        <v>878776.93024036358</v>
      </c>
      <c r="CT17" s="16">
        <v>1079889.9128004545</v>
      </c>
      <c r="CU17" s="16">
        <f t="shared" ref="CU17:DF17" si="128">CU20*CU21</f>
        <v>307049.18416547222</v>
      </c>
      <c r="CV17" s="16">
        <f t="shared" si="128"/>
        <v>674828.80914205546</v>
      </c>
      <c r="CW17" s="16">
        <f t="shared" si="128"/>
        <v>1340907.5054153672</v>
      </c>
      <c r="CX17" s="16">
        <f t="shared" si="128"/>
        <v>536147.8985172098</v>
      </c>
      <c r="CY17" s="16">
        <f t="shared" si="128"/>
        <v>1051582.1814954982</v>
      </c>
      <c r="CZ17" s="16">
        <f t="shared" si="128"/>
        <v>1502749.6387047581</v>
      </c>
      <c r="DA17" s="16">
        <f t="shared" si="128"/>
        <v>514826.17462129414</v>
      </c>
      <c r="DB17" s="16">
        <f t="shared" si="128"/>
        <v>917986.05764243368</v>
      </c>
      <c r="DC17" s="16">
        <f t="shared" si="128"/>
        <v>1614037.8364524534</v>
      </c>
      <c r="DD17" s="16">
        <f t="shared" si="128"/>
        <v>693070.61976825865</v>
      </c>
      <c r="DE17" s="16">
        <f t="shared" si="128"/>
        <v>1848716.6204570381</v>
      </c>
      <c r="DF17" s="16">
        <f t="shared" si="128"/>
        <v>2123097.4736181605</v>
      </c>
      <c r="DG17" s="16">
        <f>DG20*DG21</f>
        <v>487744.42164407158</v>
      </c>
      <c r="DH17" s="16">
        <f t="shared" ref="DH17:DR17" si="129">DH20*DH21</f>
        <v>1030219.368484532</v>
      </c>
      <c r="DI17" s="16">
        <f t="shared" si="129"/>
        <v>2012685.4454876669</v>
      </c>
      <c r="DJ17" s="16">
        <f t="shared" si="129"/>
        <v>868255.65031288436</v>
      </c>
      <c r="DK17" s="16">
        <f t="shared" si="129"/>
        <v>1628521.21770586</v>
      </c>
      <c r="DL17" s="16">
        <f t="shared" si="129"/>
        <v>2293993.2170895184</v>
      </c>
      <c r="DM17" s="16">
        <f t="shared" si="129"/>
        <v>759368.60756640905</v>
      </c>
      <c r="DN17" s="16">
        <f t="shared" si="129"/>
        <v>1354029.4350225898</v>
      </c>
      <c r="DO17" s="16">
        <f t="shared" si="129"/>
        <v>2380705.808767369</v>
      </c>
      <c r="DP17" s="16">
        <f t="shared" si="129"/>
        <v>909994.78915818164</v>
      </c>
      <c r="DQ17" s="16">
        <f t="shared" si="129"/>
        <v>2614572.6401741314</v>
      </c>
      <c r="DR17" s="16">
        <f t="shared" si="129"/>
        <v>3019284.3985867873</v>
      </c>
      <c r="DS17" s="16">
        <f t="shared" ref="DS17:EQ17" si="130">DS20*DS21</f>
        <v>707229.41138390393</v>
      </c>
      <c r="DT17" s="16">
        <f t="shared" si="130"/>
        <v>1493818.0843025714</v>
      </c>
      <c r="DU17" s="16">
        <f t="shared" si="130"/>
        <v>2918393.8959571174</v>
      </c>
      <c r="DV17" s="16">
        <f t="shared" si="130"/>
        <v>1258970.6929536827</v>
      </c>
      <c r="DW17" s="16">
        <f t="shared" si="130"/>
        <v>2361355.7656734972</v>
      </c>
      <c r="DX17" s="16">
        <f t="shared" si="130"/>
        <v>3326290.1647798023</v>
      </c>
      <c r="DY17" s="16">
        <f t="shared" si="130"/>
        <v>1101084.4809712931</v>
      </c>
      <c r="DZ17" s="16">
        <f t="shared" si="130"/>
        <v>1963342.6807827549</v>
      </c>
      <c r="EA17" s="16">
        <f t="shared" si="130"/>
        <v>3452023.4227126851</v>
      </c>
      <c r="EB17" s="16">
        <f t="shared" si="130"/>
        <v>1319492.4442793634</v>
      </c>
      <c r="EC17" s="16">
        <f t="shared" si="130"/>
        <v>3791130.3282524906</v>
      </c>
      <c r="ED17" s="16">
        <f t="shared" si="130"/>
        <v>4377962.3779508416</v>
      </c>
      <c r="EE17" s="16">
        <f t="shared" si="130"/>
        <v>1007801.911222063</v>
      </c>
      <c r="EF17" s="16">
        <f t="shared" si="130"/>
        <v>2128690.7701311642</v>
      </c>
      <c r="EG17" s="16">
        <f t="shared" si="130"/>
        <v>4158711.3017388922</v>
      </c>
      <c r="EH17" s="16">
        <f t="shared" si="130"/>
        <v>1794033.2374589976</v>
      </c>
      <c r="EI17" s="16">
        <f t="shared" si="130"/>
        <v>3364931.9660847336</v>
      </c>
      <c r="EJ17" s="16">
        <f t="shared" si="130"/>
        <v>4739963.4848112185</v>
      </c>
      <c r="EK17" s="16">
        <f t="shared" si="130"/>
        <v>1569045.3853840928</v>
      </c>
      <c r="EL17" s="16">
        <f t="shared" si="130"/>
        <v>2797763.3201154261</v>
      </c>
      <c r="EM17" s="16">
        <f t="shared" si="130"/>
        <v>4919133.377365577</v>
      </c>
      <c r="EN17" s="16">
        <f t="shared" si="130"/>
        <v>1880276.733098093</v>
      </c>
      <c r="EO17" s="16">
        <f t="shared" si="130"/>
        <v>5402360.7177598001</v>
      </c>
      <c r="EP17" s="16">
        <f t="shared" si="130"/>
        <v>6238596.3885799488</v>
      </c>
      <c r="EQ17" s="16">
        <f t="shared" si="130"/>
        <v>1269830.4081397995</v>
      </c>
      <c r="ER17" s="16">
        <f t="shared" ref="ER17:FB17" si="131">ER20*ER21</f>
        <v>2682150.3703652672</v>
      </c>
      <c r="ES17" s="16">
        <f t="shared" si="131"/>
        <v>5239976.2401910042</v>
      </c>
      <c r="ET17" s="16">
        <f t="shared" si="131"/>
        <v>2260481.8791983374</v>
      </c>
      <c r="EU17" s="16">
        <f t="shared" si="131"/>
        <v>4239814.2772667641</v>
      </c>
      <c r="EV17" s="16">
        <f t="shared" si="131"/>
        <v>5972353.9908621358</v>
      </c>
      <c r="EW17" s="16">
        <f t="shared" si="131"/>
        <v>1976997.185583957</v>
      </c>
      <c r="EX17" s="16">
        <f t="shared" si="131"/>
        <v>3525181.7833454371</v>
      </c>
      <c r="EY17" s="16">
        <f t="shared" si="131"/>
        <v>6198108.0554806273</v>
      </c>
      <c r="EZ17" s="16">
        <f t="shared" si="131"/>
        <v>2369148.6837035972</v>
      </c>
      <c r="FA17" s="16">
        <f t="shared" si="131"/>
        <v>6806974.5043773474</v>
      </c>
      <c r="FB17" s="16">
        <f t="shared" si="131"/>
        <v>7860631.4496107362</v>
      </c>
    </row>
    <row r="18" spans="3:158" outlineLevel="1" x14ac:dyDescent="0.25"/>
    <row r="19" spans="3:158" outlineLevel="1" x14ac:dyDescent="0.25">
      <c r="C19" s="7" t="s">
        <v>184</v>
      </c>
      <c r="CW19" s="20">
        <f>SUM(CU21:CW21)</f>
        <v>15485236.658152632</v>
      </c>
      <c r="CZ19" s="20">
        <f>SUM(CX21:CZ21)</f>
        <v>20603198.124783106</v>
      </c>
    </row>
    <row r="20" spans="3:158" outlineLevel="1" x14ac:dyDescent="0.25">
      <c r="C20" s="2" t="s">
        <v>222</v>
      </c>
      <c r="D20" s="60">
        <f>IFERROR(D17/SUM(D11:D12),"")</f>
        <v>0</v>
      </c>
      <c r="E20" s="60">
        <f>IFERROR(E17/SUM(E11:E12),"")</f>
        <v>0.11293749923638607</v>
      </c>
      <c r="F20" s="60">
        <f>IFERROR(F17/SUM(F11:F12),"")</f>
        <v>0.10882895993776279</v>
      </c>
      <c r="G20" s="60">
        <f>IFERROR(G17/SUM(G11:G12),"")</f>
        <v>0.10325183135720438</v>
      </c>
      <c r="H20" s="62">
        <v>0.15</v>
      </c>
      <c r="I20" s="62">
        <v>0.15</v>
      </c>
      <c r="J20" s="62">
        <v>0.15</v>
      </c>
      <c r="K20" s="62">
        <v>0.15</v>
      </c>
      <c r="L20" s="62">
        <v>0.13500000000000001</v>
      </c>
      <c r="M20" s="61"/>
      <c r="N20" s="60">
        <f t="shared" ref="N20:AW20" si="132">IFERROR(N17/SUM(N11:N12),"")</f>
        <v>0</v>
      </c>
      <c r="O20" s="60">
        <f t="shared" si="132"/>
        <v>0</v>
      </c>
      <c r="P20" s="60">
        <f t="shared" si="132"/>
        <v>0</v>
      </c>
      <c r="Q20" s="60">
        <f t="shared" si="132"/>
        <v>0</v>
      </c>
      <c r="R20" s="60">
        <f t="shared" si="132"/>
        <v>8.7484678198612317E-2</v>
      </c>
      <c r="S20" s="60">
        <f t="shared" si="132"/>
        <v>9.1178711053191572E-2</v>
      </c>
      <c r="T20" s="60">
        <f t="shared" si="132"/>
        <v>0.12990288260972996</v>
      </c>
      <c r="U20" s="60">
        <f t="shared" si="132"/>
        <v>0.13709216613102007</v>
      </c>
      <c r="V20" s="60">
        <f t="shared" si="132"/>
        <v>0.11283211973187597</v>
      </c>
      <c r="W20" s="60">
        <f t="shared" si="132"/>
        <v>0.1090216109319459</v>
      </c>
      <c r="X20" s="60">
        <f t="shared" si="132"/>
        <v>0.10583039330280222</v>
      </c>
      <c r="Y20" s="60">
        <f t="shared" si="132"/>
        <v>0.10900997200863766</v>
      </c>
      <c r="Z20" s="60">
        <f t="shared" si="132"/>
        <v>0.10681595107325823</v>
      </c>
      <c r="AA20" s="60">
        <f t="shared" si="132"/>
        <v>0.10922766704952029</v>
      </c>
      <c r="AB20" s="60">
        <f t="shared" si="132"/>
        <v>0.1032413086796328</v>
      </c>
      <c r="AC20" s="60">
        <f t="shared" si="132"/>
        <v>9.8250522022279019E-2</v>
      </c>
      <c r="AD20" s="60">
        <f t="shared" si="132"/>
        <v>0.15000000000000002</v>
      </c>
      <c r="AE20" s="60">
        <f t="shared" si="132"/>
        <v>0.15000000000000002</v>
      </c>
      <c r="AF20" s="60">
        <f t="shared" si="132"/>
        <v>0.15000000000000005</v>
      </c>
      <c r="AG20" s="60">
        <f t="shared" si="132"/>
        <v>0.15000000000000002</v>
      </c>
      <c r="AH20" s="60">
        <f t="shared" si="132"/>
        <v>0.15000000000000002</v>
      </c>
      <c r="AI20" s="60">
        <f t="shared" si="132"/>
        <v>0.15000000000000005</v>
      </c>
      <c r="AJ20" s="60">
        <f t="shared" si="132"/>
        <v>0.15000000000000002</v>
      </c>
      <c r="AK20" s="60">
        <f t="shared" si="132"/>
        <v>0.15000000000000005</v>
      </c>
      <c r="AL20" s="60">
        <f t="shared" si="132"/>
        <v>0.15000000000000008</v>
      </c>
      <c r="AM20" s="60">
        <f t="shared" si="132"/>
        <v>0.15000000000000005</v>
      </c>
      <c r="AN20" s="60">
        <f t="shared" si="132"/>
        <v>0.15000000000000002</v>
      </c>
      <c r="AO20" s="60">
        <f t="shared" si="132"/>
        <v>0.15000000000000002</v>
      </c>
      <c r="AP20" s="60">
        <f t="shared" si="132"/>
        <v>0.15000000000000005</v>
      </c>
      <c r="AQ20" s="60">
        <f t="shared" si="132"/>
        <v>0.15000000000000002</v>
      </c>
      <c r="AR20" s="60">
        <f t="shared" si="132"/>
        <v>0.15000000000000002</v>
      </c>
      <c r="AS20" s="60">
        <f t="shared" si="132"/>
        <v>0.15000000000000005</v>
      </c>
      <c r="AT20" s="60">
        <f t="shared" si="132"/>
        <v>0.13500000000000001</v>
      </c>
      <c r="AU20" s="60">
        <f t="shared" si="132"/>
        <v>0.13500000000000004</v>
      </c>
      <c r="AV20" s="60">
        <f t="shared" si="132"/>
        <v>0.13500000000000001</v>
      </c>
      <c r="AW20" s="60">
        <f t="shared" si="132"/>
        <v>0.13500000000000004</v>
      </c>
      <c r="AX20" s="61"/>
      <c r="AY20" s="60">
        <f t="shared" ref="AY20:CT20" si="133">IFERROR(AY17/SUM(AY11:AY12),"")</f>
        <v>0</v>
      </c>
      <c r="AZ20" s="60">
        <f t="shared" si="133"/>
        <v>0</v>
      </c>
      <c r="BA20" s="60">
        <f t="shared" si="133"/>
        <v>0</v>
      </c>
      <c r="BB20" s="60">
        <f t="shared" si="133"/>
        <v>0</v>
      </c>
      <c r="BC20" s="60">
        <f t="shared" si="133"/>
        <v>0</v>
      </c>
      <c r="BD20" s="60">
        <f t="shared" si="133"/>
        <v>0</v>
      </c>
      <c r="BE20" s="60">
        <f t="shared" si="133"/>
        <v>0</v>
      </c>
      <c r="BF20" s="60">
        <f t="shared" si="133"/>
        <v>0</v>
      </c>
      <c r="BG20" s="60">
        <f t="shared" si="133"/>
        <v>0</v>
      </c>
      <c r="BH20" s="60">
        <f t="shared" si="133"/>
        <v>0</v>
      </c>
      <c r="BI20" s="60">
        <f t="shared" si="133"/>
        <v>0</v>
      </c>
      <c r="BJ20" s="60">
        <f t="shared" si="133"/>
        <v>0</v>
      </c>
      <c r="BK20" s="60">
        <f t="shared" si="133"/>
        <v>8.0684783318727263E-2</v>
      </c>
      <c r="BL20" s="60">
        <f t="shared" si="133"/>
        <v>0.10833340857473349</v>
      </c>
      <c r="BM20" s="60">
        <f t="shared" si="133"/>
        <v>8.0615879754488307E-2</v>
      </c>
      <c r="BN20" s="60">
        <f t="shared" si="133"/>
        <v>9.9891732741847969E-2</v>
      </c>
      <c r="BO20" s="60">
        <f t="shared" si="133"/>
        <v>5.5275931617995294E-2</v>
      </c>
      <c r="BP20" s="60">
        <f t="shared" si="133"/>
        <v>0.12392695174688959</v>
      </c>
      <c r="BQ20" s="60">
        <f t="shared" si="133"/>
        <v>9.0873575517751395E-2</v>
      </c>
      <c r="BR20" s="60">
        <f t="shared" si="133"/>
        <v>0.10187397112545325</v>
      </c>
      <c r="BS20" s="60">
        <f t="shared" si="133"/>
        <v>0.15412109376211192</v>
      </c>
      <c r="BT20" s="60">
        <f t="shared" si="133"/>
        <v>0.14547152506615391</v>
      </c>
      <c r="BU20" s="60">
        <f t="shared" si="133"/>
        <v>0.1323416340896634</v>
      </c>
      <c r="BV20" s="60">
        <f t="shared" si="133"/>
        <v>0.13919206921097754</v>
      </c>
      <c r="BW20" s="60">
        <f t="shared" si="133"/>
        <v>9.1092883470448513E-2</v>
      </c>
      <c r="BX20" s="60">
        <f t="shared" si="133"/>
        <v>0.13464317780645255</v>
      </c>
      <c r="BY20" s="60">
        <f t="shared" si="133"/>
        <v>0.10774556885392529</v>
      </c>
      <c r="BZ20" s="60">
        <f t="shared" si="133"/>
        <v>0.12906997792878339</v>
      </c>
      <c r="CA20" s="60">
        <f t="shared" si="133"/>
        <v>0.100886296392943</v>
      </c>
      <c r="CB20" s="60">
        <f t="shared" si="133"/>
        <v>0.10501159722936869</v>
      </c>
      <c r="CC20" s="60">
        <f t="shared" si="133"/>
        <v>0.20852545079284598</v>
      </c>
      <c r="CD20" s="60">
        <f t="shared" si="133"/>
        <v>7.8427746926666236E-2</v>
      </c>
      <c r="CE20" s="60">
        <f t="shared" si="133"/>
        <v>0.10158589407280899</v>
      </c>
      <c r="CF20" s="60">
        <f t="shared" si="133"/>
        <v>0.12066144012147231</v>
      </c>
      <c r="CG20" s="60">
        <f t="shared" si="133"/>
        <v>0.10352895565344089</v>
      </c>
      <c r="CH20" s="60">
        <f t="shared" si="133"/>
        <v>0.1095739346539588</v>
      </c>
      <c r="CI20" s="60">
        <f t="shared" si="133"/>
        <v>0.12964833262252462</v>
      </c>
      <c r="CJ20" s="60">
        <f t="shared" si="133"/>
        <v>0.11686728950135945</v>
      </c>
      <c r="CK20" s="60">
        <f t="shared" si="133"/>
        <v>9.6335310090412629E-2</v>
      </c>
      <c r="CL20" s="60">
        <f t="shared" si="133"/>
        <v>0.14100837959491208</v>
      </c>
      <c r="CM20" s="60">
        <f t="shared" si="133"/>
        <v>0.10751262511148954</v>
      </c>
      <c r="CN20" s="60">
        <f t="shared" si="133"/>
        <v>9.8951750915932543E-2</v>
      </c>
      <c r="CO20" s="60">
        <f t="shared" si="133"/>
        <v>0.1348246068465471</v>
      </c>
      <c r="CP20" s="60">
        <f t="shared" si="133"/>
        <v>0.10281146630501999</v>
      </c>
      <c r="CQ20" s="60">
        <f t="shared" si="133"/>
        <v>9.4067208891787463E-2</v>
      </c>
      <c r="CR20" s="60">
        <f t="shared" si="133"/>
        <v>0.14467279359096361</v>
      </c>
      <c r="CS20" s="60">
        <f t="shared" si="133"/>
        <v>9.3975630739260893E-2</v>
      </c>
      <c r="CT20" s="60">
        <f t="shared" si="133"/>
        <v>9.2385980734956588E-2</v>
      </c>
      <c r="CU20" s="85">
        <f t="shared" ref="CU20:DF20" si="134">INDEX($D20:$L20,1,MATCH(CU$2,$D$2:$L$2,0))</f>
        <v>0.15</v>
      </c>
      <c r="CV20" s="85">
        <f t="shared" si="134"/>
        <v>0.15</v>
      </c>
      <c r="CW20" s="85">
        <f t="shared" si="134"/>
        <v>0.15</v>
      </c>
      <c r="CX20" s="85">
        <f t="shared" si="134"/>
        <v>0.15</v>
      </c>
      <c r="CY20" s="85">
        <f t="shared" si="134"/>
        <v>0.15</v>
      </c>
      <c r="CZ20" s="85">
        <f t="shared" si="134"/>
        <v>0.15</v>
      </c>
      <c r="DA20" s="85">
        <f t="shared" si="134"/>
        <v>0.15</v>
      </c>
      <c r="DB20" s="85">
        <f t="shared" si="134"/>
        <v>0.15</v>
      </c>
      <c r="DC20" s="85">
        <f t="shared" si="134"/>
        <v>0.15</v>
      </c>
      <c r="DD20" s="85">
        <f t="shared" si="134"/>
        <v>0.15</v>
      </c>
      <c r="DE20" s="85">
        <f t="shared" si="134"/>
        <v>0.15</v>
      </c>
      <c r="DF20" s="85">
        <f t="shared" si="134"/>
        <v>0.15</v>
      </c>
      <c r="DG20" s="85">
        <f t="shared" ref="DG20" si="135">INDEX($D20:$L20,1,MATCH(DG$2,$D$2:$L$2,0))</f>
        <v>0.15</v>
      </c>
      <c r="DH20" s="85">
        <f t="shared" ref="DH20:FB20" si="136">INDEX($D20:$L20,1,MATCH(DH$2,$D$2:$L$2,0))</f>
        <v>0.15</v>
      </c>
      <c r="DI20" s="85">
        <f t="shared" si="136"/>
        <v>0.15</v>
      </c>
      <c r="DJ20" s="85">
        <f t="shared" si="136"/>
        <v>0.15</v>
      </c>
      <c r="DK20" s="85">
        <f t="shared" si="136"/>
        <v>0.15</v>
      </c>
      <c r="DL20" s="85">
        <f t="shared" si="136"/>
        <v>0.15</v>
      </c>
      <c r="DM20" s="85">
        <f t="shared" si="136"/>
        <v>0.15</v>
      </c>
      <c r="DN20" s="85">
        <f t="shared" si="136"/>
        <v>0.15</v>
      </c>
      <c r="DO20" s="85">
        <f t="shared" si="136"/>
        <v>0.15</v>
      </c>
      <c r="DP20" s="85">
        <f t="shared" si="136"/>
        <v>0.15</v>
      </c>
      <c r="DQ20" s="85">
        <f t="shared" si="136"/>
        <v>0.15</v>
      </c>
      <c r="DR20" s="85">
        <f t="shared" si="136"/>
        <v>0.15</v>
      </c>
      <c r="DS20" s="85">
        <f t="shared" si="136"/>
        <v>0.15</v>
      </c>
      <c r="DT20" s="85">
        <f t="shared" si="136"/>
        <v>0.15</v>
      </c>
      <c r="DU20" s="85">
        <f t="shared" si="136"/>
        <v>0.15</v>
      </c>
      <c r="DV20" s="85">
        <f t="shared" si="136"/>
        <v>0.15</v>
      </c>
      <c r="DW20" s="85">
        <f t="shared" si="136"/>
        <v>0.15</v>
      </c>
      <c r="DX20" s="85">
        <f t="shared" si="136"/>
        <v>0.15</v>
      </c>
      <c r="DY20" s="85">
        <f t="shared" si="136"/>
        <v>0.15</v>
      </c>
      <c r="DZ20" s="85">
        <f t="shared" si="136"/>
        <v>0.15</v>
      </c>
      <c r="EA20" s="85">
        <f t="shared" si="136"/>
        <v>0.15</v>
      </c>
      <c r="EB20" s="85">
        <f t="shared" si="136"/>
        <v>0.15</v>
      </c>
      <c r="EC20" s="85">
        <f t="shared" si="136"/>
        <v>0.15</v>
      </c>
      <c r="ED20" s="85">
        <f t="shared" si="136"/>
        <v>0.15</v>
      </c>
      <c r="EE20" s="85">
        <f t="shared" si="136"/>
        <v>0.15</v>
      </c>
      <c r="EF20" s="85">
        <f t="shared" si="136"/>
        <v>0.15</v>
      </c>
      <c r="EG20" s="85">
        <f t="shared" si="136"/>
        <v>0.15</v>
      </c>
      <c r="EH20" s="85">
        <f t="shared" si="136"/>
        <v>0.15</v>
      </c>
      <c r="EI20" s="85">
        <f t="shared" si="136"/>
        <v>0.15</v>
      </c>
      <c r="EJ20" s="85">
        <f t="shared" si="136"/>
        <v>0.15</v>
      </c>
      <c r="EK20" s="85">
        <f t="shared" si="136"/>
        <v>0.15</v>
      </c>
      <c r="EL20" s="85">
        <f t="shared" si="136"/>
        <v>0.15</v>
      </c>
      <c r="EM20" s="85">
        <f t="shared" si="136"/>
        <v>0.15</v>
      </c>
      <c r="EN20" s="85">
        <f t="shared" si="136"/>
        <v>0.15</v>
      </c>
      <c r="EO20" s="85">
        <f t="shared" si="136"/>
        <v>0.15</v>
      </c>
      <c r="EP20" s="85">
        <f t="shared" si="136"/>
        <v>0.15</v>
      </c>
      <c r="EQ20" s="85">
        <f t="shared" si="136"/>
        <v>0.13500000000000001</v>
      </c>
      <c r="ER20" s="85">
        <f t="shared" si="136"/>
        <v>0.13500000000000001</v>
      </c>
      <c r="ES20" s="85">
        <f t="shared" si="136"/>
        <v>0.13500000000000001</v>
      </c>
      <c r="ET20" s="85">
        <f t="shared" si="136"/>
        <v>0.13500000000000001</v>
      </c>
      <c r="EU20" s="85">
        <f t="shared" si="136"/>
        <v>0.13500000000000001</v>
      </c>
      <c r="EV20" s="85">
        <f t="shared" si="136"/>
        <v>0.13500000000000001</v>
      </c>
      <c r="EW20" s="85">
        <f t="shared" si="136"/>
        <v>0.13500000000000001</v>
      </c>
      <c r="EX20" s="85">
        <f t="shared" si="136"/>
        <v>0.13500000000000001</v>
      </c>
      <c r="EY20" s="85">
        <f t="shared" si="136"/>
        <v>0.13500000000000001</v>
      </c>
      <c r="EZ20" s="85">
        <f t="shared" si="136"/>
        <v>0.13500000000000001</v>
      </c>
      <c r="FA20" s="85">
        <f t="shared" si="136"/>
        <v>0.13500000000000001</v>
      </c>
      <c r="FB20" s="85">
        <f t="shared" si="136"/>
        <v>0.13500000000000001</v>
      </c>
    </row>
    <row r="21" spans="3:158" outlineLevel="1" x14ac:dyDescent="0.25">
      <c r="C21" s="2" t="s">
        <v>249</v>
      </c>
      <c r="D21" s="20">
        <f t="shared" ref="D21" si="137">SUM(AY21:BJ21)</f>
        <v>18909925.300000001</v>
      </c>
      <c r="E21" s="20">
        <f t="shared" ref="E21" si="138">SUM(BK21:BV21)</f>
        <v>27736807.890914999</v>
      </c>
      <c r="F21" s="20">
        <f t="shared" ref="F21" si="139">SUM(BW21:CH21)</f>
        <v>32341969.564102001</v>
      </c>
      <c r="G21" s="20">
        <f t="shared" ref="G21" si="140">SUM(CI21:CT21)</f>
        <v>63932242.320432998</v>
      </c>
      <c r="H21" s="59">
        <v>87500000</v>
      </c>
      <c r="I21" s="59">
        <f>H21*1.475</f>
        <v>129062500.00000001</v>
      </c>
      <c r="J21" s="59">
        <f>I21*1.45</f>
        <v>187140625.00000003</v>
      </c>
      <c r="K21" s="59">
        <f>J21*1.425</f>
        <v>266675390.62500006</v>
      </c>
      <c r="L21" s="59">
        <f t="shared" ref="L21" si="141">K21*1.4</f>
        <v>373345546.87500006</v>
      </c>
      <c r="N21" s="20">
        <f t="shared" ref="N21:N22" si="142">SUM(AY21:BA21)</f>
        <v>3412608.1</v>
      </c>
      <c r="O21" s="20">
        <f>SUM(BB21:BD21)</f>
        <v>4179978.8</v>
      </c>
      <c r="P21" s="20">
        <f>SUM(BE21:BG21)</f>
        <v>4303066.46</v>
      </c>
      <c r="Q21" s="20">
        <f>SUM(BH21:BJ21)</f>
        <v>7014271.9399999995</v>
      </c>
      <c r="R21" s="20">
        <f>SUM(BK21:BM21)</f>
        <v>5688324.290000001</v>
      </c>
      <c r="S21" s="20">
        <f>SUM(BN21:BP21)</f>
        <v>7504547.8499999996</v>
      </c>
      <c r="T21" s="20">
        <f>SUM(BQ21:BS21)</f>
        <v>6013138.3099999996</v>
      </c>
      <c r="U21" s="20">
        <f>SUM(BT21:BV21)</f>
        <v>8530797.4409149997</v>
      </c>
      <c r="V21" s="20">
        <f>SUM(BW21:BY21)</f>
        <v>5225613.073663</v>
      </c>
      <c r="W21" s="20">
        <f>SUM(BZ21:CB21)</f>
        <v>8110905.6492659999</v>
      </c>
      <c r="X21" s="20">
        <f>SUM(CC21:CE21)</f>
        <v>8152575.106958</v>
      </c>
      <c r="Y21" s="20">
        <f>SUM(CF21:CH21)</f>
        <v>10852875.734214999</v>
      </c>
      <c r="Z21" s="20">
        <f>SUM(CI21:CK21)</f>
        <v>9068644.246173</v>
      </c>
      <c r="AA21" s="20">
        <f>SUM(CL21:CN21)</f>
        <v>14187110.57426</v>
      </c>
      <c r="AB21" s="20">
        <f>SUM(CO21:CQ21)</f>
        <v>17298700</v>
      </c>
      <c r="AC21" s="20">
        <f>SUM(CR21:CT21)</f>
        <v>23377787.5</v>
      </c>
      <c r="AD21" s="20">
        <f>SUM(CU21:CW21)</f>
        <v>15485236.658152632</v>
      </c>
      <c r="AE21" s="20">
        <f>SUM(CX21:CZ21)</f>
        <v>20603198.124783106</v>
      </c>
      <c r="AF21" s="20">
        <f>SUM(DA21:DC21)</f>
        <v>20312333.79144121</v>
      </c>
      <c r="AG21" s="20">
        <f>SUM(DD21:DF21)</f>
        <v>31099231.425623048</v>
      </c>
      <c r="AH21" s="20">
        <f>SUM(DG21:DI21)</f>
        <v>23537661.570775136</v>
      </c>
      <c r="AI21" s="20">
        <f>SUM(DJ21:DL21)</f>
        <v>31938467.234055087</v>
      </c>
      <c r="AJ21" s="20">
        <f>SUM(DM21:DO21)</f>
        <v>29960692.342375785</v>
      </c>
      <c r="AK21" s="20">
        <f>SUM(DP21:DR21)</f>
        <v>43625678.852794006</v>
      </c>
      <c r="AL21" s="20">
        <f>SUM(DS21:DU21)</f>
        <v>34129609.277623951</v>
      </c>
      <c r="AM21" s="20">
        <f>SUM(DV21:DX21)</f>
        <v>46310777.489379883</v>
      </c>
      <c r="AN21" s="20">
        <f>SUM(DY21:EA21)</f>
        <v>43443003.896444887</v>
      </c>
      <c r="AO21" s="20">
        <f>SUM(EB21:ED21)</f>
        <v>63257234.336551309</v>
      </c>
      <c r="AP21" s="20">
        <f>SUM(EE21:EG21)</f>
        <v>48634693.220614135</v>
      </c>
      <c r="AQ21" s="20">
        <f>SUM(EH21:EJ21)</f>
        <v>65992857.922366336</v>
      </c>
      <c r="AR21" s="20">
        <f>SUM(EK21:EM21)</f>
        <v>61906280.552433975</v>
      </c>
      <c r="AS21" s="20">
        <f>SUM(EN21:EP21)</f>
        <v>90141558.929585606</v>
      </c>
      <c r="AT21" s="20">
        <f>SUM(EQ21:ES21)</f>
        <v>68088570.508859783</v>
      </c>
      <c r="AU21" s="20">
        <f>SUM(ET21:EV21)</f>
        <v>92390001.091312855</v>
      </c>
      <c r="AV21" s="20">
        <f>SUM(EW21:EY21)</f>
        <v>86668792.773407549</v>
      </c>
      <c r="AW21" s="20">
        <f>SUM(EZ21:FB21)</f>
        <v>126198182.50141986</v>
      </c>
      <c r="AY21" s="20">
        <f t="shared" ref="AY21:CT21" si="143">SUM(AY11:AY12)</f>
        <v>247639</v>
      </c>
      <c r="AZ21" s="20">
        <f t="shared" si="143"/>
        <v>1082032.83</v>
      </c>
      <c r="BA21" s="20">
        <f t="shared" si="143"/>
        <v>2082936.27</v>
      </c>
      <c r="BB21" s="20">
        <f t="shared" si="143"/>
        <v>656601.42999999993</v>
      </c>
      <c r="BC21" s="20">
        <f t="shared" si="143"/>
        <v>1521663.65</v>
      </c>
      <c r="BD21" s="20">
        <f t="shared" si="143"/>
        <v>2001713.72</v>
      </c>
      <c r="BE21" s="20">
        <f t="shared" si="143"/>
        <v>778126.66999999993</v>
      </c>
      <c r="BF21" s="20">
        <f t="shared" si="143"/>
        <v>1114502.46</v>
      </c>
      <c r="BG21" s="20">
        <f t="shared" si="143"/>
        <v>2410437.33</v>
      </c>
      <c r="BH21" s="20">
        <f t="shared" si="143"/>
        <v>1197012.17</v>
      </c>
      <c r="BI21" s="20">
        <f t="shared" si="143"/>
        <v>3090129.67</v>
      </c>
      <c r="BJ21" s="20">
        <f t="shared" si="143"/>
        <v>2727130.1</v>
      </c>
      <c r="BK21" s="20">
        <f t="shared" si="143"/>
        <v>787013.33000000007</v>
      </c>
      <c r="BL21" s="20">
        <f t="shared" si="143"/>
        <v>1407691.33</v>
      </c>
      <c r="BM21" s="20">
        <f t="shared" si="143"/>
        <v>3493619.6300000004</v>
      </c>
      <c r="BN21" s="20">
        <f t="shared" si="143"/>
        <v>1326125.7599999998</v>
      </c>
      <c r="BO21" s="20">
        <f t="shared" si="143"/>
        <v>3115569.38</v>
      </c>
      <c r="BP21" s="20">
        <f t="shared" si="143"/>
        <v>3062852.71</v>
      </c>
      <c r="BQ21" s="20">
        <f t="shared" si="143"/>
        <v>1222005.3999999999</v>
      </c>
      <c r="BR21" s="20">
        <f t="shared" si="143"/>
        <v>1307988.67</v>
      </c>
      <c r="BS21" s="20">
        <f t="shared" si="143"/>
        <v>3483144.2399999998</v>
      </c>
      <c r="BT21" s="20">
        <f t="shared" si="143"/>
        <v>797405.54</v>
      </c>
      <c r="BU21" s="20">
        <f t="shared" si="143"/>
        <v>3345936.4699999997</v>
      </c>
      <c r="BV21" s="20">
        <f t="shared" si="143"/>
        <v>4387455.4309149999</v>
      </c>
      <c r="BW21" s="20">
        <f t="shared" si="143"/>
        <v>1103269.5</v>
      </c>
      <c r="BX21" s="20">
        <f t="shared" si="143"/>
        <v>1671254.3752009999</v>
      </c>
      <c r="BY21" s="20">
        <f t="shared" si="143"/>
        <v>2451089.1984620001</v>
      </c>
      <c r="BZ21" s="20">
        <f t="shared" si="143"/>
        <v>1682250.2295600001</v>
      </c>
      <c r="CA21" s="20">
        <f t="shared" si="143"/>
        <v>1926495.5395229999</v>
      </c>
      <c r="CB21" s="20">
        <f t="shared" si="143"/>
        <v>4502159.8801830001</v>
      </c>
      <c r="CC21" s="20">
        <f t="shared" si="143"/>
        <v>1050087.6471790001</v>
      </c>
      <c r="CD21" s="20">
        <f t="shared" si="143"/>
        <v>3354858.583991</v>
      </c>
      <c r="CE21" s="20">
        <f t="shared" si="143"/>
        <v>3747628.8757879999</v>
      </c>
      <c r="CF21" s="20">
        <f t="shared" si="143"/>
        <v>1583669.9761549998</v>
      </c>
      <c r="CG21" s="20">
        <f t="shared" si="143"/>
        <v>3917228.8316860003</v>
      </c>
      <c r="CH21" s="20">
        <f t="shared" si="143"/>
        <v>5351976.9263739996</v>
      </c>
      <c r="CI21" s="20">
        <f t="shared" si="143"/>
        <v>1467244.9398469999</v>
      </c>
      <c r="CJ21" s="20">
        <f t="shared" si="143"/>
        <v>2248533.3673879998</v>
      </c>
      <c r="CK21" s="20">
        <f t="shared" si="143"/>
        <v>5352865.9389380002</v>
      </c>
      <c r="CL21" s="20">
        <f t="shared" si="143"/>
        <v>2606228.0054259999</v>
      </c>
      <c r="CM21" s="20">
        <f t="shared" si="143"/>
        <v>4225782.8039159998</v>
      </c>
      <c r="CN21" s="20">
        <f t="shared" si="143"/>
        <v>7355099.7649179995</v>
      </c>
      <c r="CO21" s="20">
        <f t="shared" si="143"/>
        <v>2594805</v>
      </c>
      <c r="CP21" s="20">
        <f t="shared" si="143"/>
        <v>6054545</v>
      </c>
      <c r="CQ21" s="20">
        <f t="shared" si="143"/>
        <v>8649350</v>
      </c>
      <c r="CR21" s="20">
        <f t="shared" si="143"/>
        <v>2337778.75</v>
      </c>
      <c r="CS21" s="20">
        <f t="shared" si="143"/>
        <v>9351115</v>
      </c>
      <c r="CT21" s="20">
        <f t="shared" si="143"/>
        <v>11688893.75</v>
      </c>
      <c r="CU21" s="20">
        <f t="shared" ref="CU21:DZ21" si="144">INDEX($D21:$L21,1,MATCH(CU$2,$D$2:$L$2,0))*CU23</f>
        <v>2046994.5611031482</v>
      </c>
      <c r="CV21" s="20">
        <f t="shared" si="144"/>
        <v>4498858.7276137033</v>
      </c>
      <c r="CW21" s="20">
        <f t="shared" si="144"/>
        <v>8939383.3694357816</v>
      </c>
      <c r="CX21" s="20">
        <f t="shared" si="144"/>
        <v>3574319.3234480652</v>
      </c>
      <c r="CY21" s="20">
        <f t="shared" si="144"/>
        <v>7010547.8766366541</v>
      </c>
      <c r="CZ21" s="20">
        <f t="shared" si="144"/>
        <v>10018330.924698388</v>
      </c>
      <c r="DA21" s="20">
        <f t="shared" si="144"/>
        <v>3432174.4974752944</v>
      </c>
      <c r="DB21" s="20">
        <f t="shared" si="144"/>
        <v>6119907.0509495577</v>
      </c>
      <c r="DC21" s="20">
        <f t="shared" si="144"/>
        <v>10760252.243016357</v>
      </c>
      <c r="DD21" s="20">
        <f t="shared" si="144"/>
        <v>4620470.7984550577</v>
      </c>
      <c r="DE21" s="20">
        <f t="shared" si="144"/>
        <v>12324777.469713587</v>
      </c>
      <c r="DF21" s="20">
        <f t="shared" si="144"/>
        <v>14153983.157454405</v>
      </c>
      <c r="DG21" s="20">
        <f t="shared" si="144"/>
        <v>3251629.4776271442</v>
      </c>
      <c r="DH21" s="20">
        <f t="shared" si="144"/>
        <v>6868129.1232302133</v>
      </c>
      <c r="DI21" s="20">
        <f t="shared" si="144"/>
        <v>13417902.96991778</v>
      </c>
      <c r="DJ21" s="20">
        <f t="shared" si="144"/>
        <v>5788371.0020858962</v>
      </c>
      <c r="DK21" s="20">
        <f t="shared" si="144"/>
        <v>10856808.118039068</v>
      </c>
      <c r="DL21" s="20">
        <f t="shared" si="144"/>
        <v>15293288.113930125</v>
      </c>
      <c r="DM21" s="20">
        <f t="shared" si="144"/>
        <v>5062457.3837760603</v>
      </c>
      <c r="DN21" s="20">
        <f t="shared" si="144"/>
        <v>9026862.900150599</v>
      </c>
      <c r="DO21" s="20">
        <f t="shared" si="144"/>
        <v>15871372.058449127</v>
      </c>
      <c r="DP21" s="20">
        <f t="shared" si="144"/>
        <v>6066631.9277212108</v>
      </c>
      <c r="DQ21" s="20">
        <f t="shared" si="144"/>
        <v>17430484.267827544</v>
      </c>
      <c r="DR21" s="20">
        <f t="shared" si="144"/>
        <v>20128562.657245249</v>
      </c>
      <c r="DS21" s="20">
        <f t="shared" si="144"/>
        <v>4714862.7425593594</v>
      </c>
      <c r="DT21" s="20">
        <f t="shared" si="144"/>
        <v>9958787.2286838088</v>
      </c>
      <c r="DU21" s="20">
        <f t="shared" si="144"/>
        <v>19455959.306380782</v>
      </c>
      <c r="DV21" s="20">
        <f t="shared" si="144"/>
        <v>8393137.9530245513</v>
      </c>
      <c r="DW21" s="20">
        <f t="shared" si="144"/>
        <v>15742371.771156648</v>
      </c>
      <c r="DX21" s="20">
        <f t="shared" si="144"/>
        <v>22175267.765198682</v>
      </c>
      <c r="DY21" s="20">
        <f t="shared" si="144"/>
        <v>7340563.2064752877</v>
      </c>
      <c r="DZ21" s="20">
        <f t="shared" si="144"/>
        <v>13088951.205218367</v>
      </c>
      <c r="EA21" s="20">
        <f t="shared" ref="EA21:FB21" si="145">INDEX($D21:$L21,1,MATCH(EA$2,$D$2:$L$2,0))*EA23</f>
        <v>23013489.484751236</v>
      </c>
      <c r="EB21" s="20">
        <f t="shared" si="145"/>
        <v>8796616.2951957565</v>
      </c>
      <c r="EC21" s="20">
        <f t="shared" si="145"/>
        <v>25274202.18834994</v>
      </c>
      <c r="ED21" s="20">
        <f t="shared" si="145"/>
        <v>29186415.85300561</v>
      </c>
      <c r="EE21" s="20">
        <f t="shared" si="145"/>
        <v>6718679.4081470873</v>
      </c>
      <c r="EF21" s="20">
        <f t="shared" si="145"/>
        <v>14191271.800874429</v>
      </c>
      <c r="EG21" s="20">
        <f t="shared" si="145"/>
        <v>27724742.011592615</v>
      </c>
      <c r="EH21" s="20">
        <f t="shared" si="145"/>
        <v>11960221.583059985</v>
      </c>
      <c r="EI21" s="20">
        <f t="shared" si="145"/>
        <v>22432879.773898225</v>
      </c>
      <c r="EJ21" s="20">
        <f t="shared" si="145"/>
        <v>31599756.565408122</v>
      </c>
      <c r="EK21" s="20">
        <f t="shared" si="145"/>
        <v>10460302.569227286</v>
      </c>
      <c r="EL21" s="20">
        <f t="shared" si="145"/>
        <v>18651755.467436176</v>
      </c>
      <c r="EM21" s="20">
        <f t="shared" si="145"/>
        <v>32794222.515770514</v>
      </c>
      <c r="EN21" s="20">
        <f t="shared" si="145"/>
        <v>12535178.220653953</v>
      </c>
      <c r="EO21" s="20">
        <f t="shared" si="145"/>
        <v>36015738.118398666</v>
      </c>
      <c r="EP21" s="20">
        <f t="shared" si="145"/>
        <v>41590642.590532996</v>
      </c>
      <c r="EQ21" s="20">
        <f t="shared" si="145"/>
        <v>9406151.1714059208</v>
      </c>
      <c r="ER21" s="20">
        <f t="shared" si="145"/>
        <v>19867780.521224201</v>
      </c>
      <c r="ES21" s="20">
        <f t="shared" si="145"/>
        <v>38814638.816229656</v>
      </c>
      <c r="ET21" s="20">
        <f t="shared" si="145"/>
        <v>16744310.216283979</v>
      </c>
      <c r="EU21" s="20">
        <f t="shared" si="145"/>
        <v>31406031.683457512</v>
      </c>
      <c r="EV21" s="20">
        <f t="shared" si="145"/>
        <v>44239659.19157137</v>
      </c>
      <c r="EW21" s="20">
        <f t="shared" si="145"/>
        <v>14644423.596918199</v>
      </c>
      <c r="EX21" s="20">
        <f t="shared" si="145"/>
        <v>26112457.654410645</v>
      </c>
      <c r="EY21" s="20">
        <f t="shared" si="145"/>
        <v>45911911.522078715</v>
      </c>
      <c r="EZ21" s="20">
        <f t="shared" si="145"/>
        <v>17549249.508915532</v>
      </c>
      <c r="FA21" s="20">
        <f t="shared" si="145"/>
        <v>50422033.365758128</v>
      </c>
      <c r="FB21" s="20">
        <f t="shared" si="145"/>
        <v>58226899.626746193</v>
      </c>
    </row>
    <row r="22" spans="3:158" outlineLevel="1" x14ac:dyDescent="0.25">
      <c r="C22" s="2" t="s">
        <v>193</v>
      </c>
      <c r="D22" s="19">
        <f t="shared" ref="D22:L23" si="146">SUMIF($AY$2:$FB$2,D$2,$AY22:$FB22)</f>
        <v>1</v>
      </c>
      <c r="E22" s="19">
        <f t="shared" si="146"/>
        <v>1</v>
      </c>
      <c r="F22" s="19">
        <f t="shared" si="146"/>
        <v>0.99999999999999989</v>
      </c>
      <c r="G22" s="19">
        <f t="shared" si="146"/>
        <v>1</v>
      </c>
      <c r="H22" s="19">
        <f t="shared" si="146"/>
        <v>1</v>
      </c>
      <c r="I22" s="67">
        <f t="shared" si="146"/>
        <v>1</v>
      </c>
      <c r="J22" s="67">
        <f t="shared" si="146"/>
        <v>1</v>
      </c>
      <c r="K22" s="67">
        <f t="shared" si="146"/>
        <v>1</v>
      </c>
      <c r="L22" s="67">
        <f t="shared" si="146"/>
        <v>1</v>
      </c>
      <c r="M22" s="61"/>
      <c r="N22" s="67">
        <f t="shared" si="142"/>
        <v>0.17269832686866404</v>
      </c>
      <c r="O22" s="67">
        <f>SUM(BB22:BD22)</f>
        <v>0.18975193187368344</v>
      </c>
      <c r="P22" s="67">
        <f>SUM(BE22:BG22)</f>
        <v>0.18025026816765669</v>
      </c>
      <c r="Q22" s="67">
        <f>SUM(BH22:BJ22)</f>
        <v>0.45729947308999597</v>
      </c>
      <c r="R22" s="67">
        <f>SUM(BK22:BM22)</f>
        <v>0.24476567936842947</v>
      </c>
      <c r="S22" s="67">
        <f>SUM(BN22:BP22)</f>
        <v>0.25256257450117631</v>
      </c>
      <c r="T22" s="67">
        <f>SUM(BQ22:BS22)</f>
        <v>0.19524689302434015</v>
      </c>
      <c r="U22" s="67">
        <f>SUM(BT22:BV22)</f>
        <v>0.30742485310605422</v>
      </c>
      <c r="V22" s="67">
        <f>SUM(BW22:BY22)</f>
        <v>0.19981259540268881</v>
      </c>
      <c r="W22" s="67">
        <f>SUM(BZ22:CB22)</f>
        <v>0.25296563288679946</v>
      </c>
      <c r="X22" s="67">
        <f>SUM(CC22:CE22)</f>
        <v>0.26174484866043846</v>
      </c>
      <c r="Y22" s="67">
        <f>SUM(CF22:CH22)</f>
        <v>0.28547692305007322</v>
      </c>
      <c r="Z22" s="67">
        <f>SUM(CI22:CK22)</f>
        <v>0.26066611646358989</v>
      </c>
      <c r="AA22" s="67">
        <f>SUM(CL22:CN22)</f>
        <v>0.21418931353482024</v>
      </c>
      <c r="AB22" s="67">
        <f>SUM(CO22:CQ22)</f>
        <v>0.22506195857210998</v>
      </c>
      <c r="AC22" s="67">
        <f>SUM(CR22:CT22)</f>
        <v>0.30008261142948001</v>
      </c>
      <c r="AD22" s="67">
        <f>SUM(CU22:CW22)</f>
        <v>0.20575886721326075</v>
      </c>
      <c r="AE22" s="67">
        <f>SUM(CX22:CZ22)</f>
        <v>0.23176004642055306</v>
      </c>
      <c r="AF22" s="67">
        <f>SUM(DA22:DC22)</f>
        <v>0.21241400328414511</v>
      </c>
      <c r="AG22" s="67">
        <f>SUM(DD22:DF22)</f>
        <v>0.35006708308204115</v>
      </c>
      <c r="AH22" s="67">
        <f>SUM(DG22:DI22)</f>
        <v>0.20575886721326075</v>
      </c>
      <c r="AI22" s="67">
        <f>SUM(DJ22:DL22)</f>
        <v>0.23176004642055306</v>
      </c>
      <c r="AJ22" s="67">
        <f>SUM(DM22:DO22)</f>
        <v>0.21241400328414511</v>
      </c>
      <c r="AK22" s="67">
        <f>SUM(DP22:DR22)</f>
        <v>0.35006708308204115</v>
      </c>
      <c r="AL22" s="67">
        <f>SUM(DS22:DU22)</f>
        <v>0.20575886721326075</v>
      </c>
      <c r="AM22" s="67">
        <f>SUM(DV22:DX22)</f>
        <v>0.23176004642055306</v>
      </c>
      <c r="AN22" s="67">
        <f>SUM(DY22:EA22)</f>
        <v>0.21241400328414511</v>
      </c>
      <c r="AO22" s="67">
        <f>SUM(EB22:ED22)</f>
        <v>0.35006708308204115</v>
      </c>
      <c r="AP22" s="67">
        <f>SUM(EE22:EG22)</f>
        <v>0.20575886721326075</v>
      </c>
      <c r="AQ22" s="67">
        <f>SUM(EH22:EJ22)</f>
        <v>0.23176004642055306</v>
      </c>
      <c r="AR22" s="67">
        <f>SUM(EK22:EM22)</f>
        <v>0.21241400328414511</v>
      </c>
      <c r="AS22" s="67">
        <f>SUM(EN22:EP22)</f>
        <v>0.35006708308204115</v>
      </c>
      <c r="AT22" s="67">
        <f>SUM(EQ22:ES22)</f>
        <v>0.20575886721326075</v>
      </c>
      <c r="AU22" s="67">
        <f>SUM(ET22:EV22)</f>
        <v>0.23176004642055306</v>
      </c>
      <c r="AV22" s="67">
        <f>SUM(EW22:EY22)</f>
        <v>0.21241400328414511</v>
      </c>
      <c r="AW22" s="67">
        <f>SUM(EZ22:FB22)</f>
        <v>0.35006708308204115</v>
      </c>
      <c r="AX22" s="61"/>
      <c r="AY22" s="19">
        <f t="shared" ref="AY22:CT22" si="147">AY13/SUMIF($AY$2:$DR$2,AY$2,$AY$13:$DR$13)</f>
        <v>4.2614751918632031E-2</v>
      </c>
      <c r="AZ22" s="19">
        <f t="shared" si="147"/>
        <v>5.3759069134395411E-2</v>
      </c>
      <c r="BA22" s="19">
        <f t="shared" si="147"/>
        <v>7.6324505815636587E-2</v>
      </c>
      <c r="BB22" s="19">
        <f t="shared" si="147"/>
        <v>3.7833309478858476E-2</v>
      </c>
      <c r="BC22" s="19">
        <f t="shared" si="147"/>
        <v>1.3138476564476307E-2</v>
      </c>
      <c r="BD22" s="19">
        <f t="shared" si="147"/>
        <v>0.13878014583034867</v>
      </c>
      <c r="BE22" s="19">
        <f t="shared" si="147"/>
        <v>4.2820427546526187E-2</v>
      </c>
      <c r="BF22" s="19">
        <f t="shared" si="147"/>
        <v>4.1584310144098753E-2</v>
      </c>
      <c r="BG22" s="19">
        <f t="shared" si="147"/>
        <v>9.5845530477031746E-2</v>
      </c>
      <c r="BH22" s="19">
        <f t="shared" si="147"/>
        <v>7.4634801426475356E-2</v>
      </c>
      <c r="BI22" s="19">
        <f t="shared" si="147"/>
        <v>0.21107340933925978</v>
      </c>
      <c r="BJ22" s="19">
        <f t="shared" si="147"/>
        <v>0.17159126232426078</v>
      </c>
      <c r="BK22" s="19">
        <f t="shared" si="147"/>
        <v>3.7350772015022154E-2</v>
      </c>
      <c r="BL22" s="19">
        <f t="shared" si="147"/>
        <v>6.0024196267122194E-2</v>
      </c>
      <c r="BM22" s="19">
        <f t="shared" si="147"/>
        <v>0.14739071108628513</v>
      </c>
      <c r="BN22" s="19">
        <f t="shared" si="147"/>
        <v>7.639461970118229E-2</v>
      </c>
      <c r="BO22" s="19">
        <f t="shared" si="147"/>
        <v>6.4216356101768762E-2</v>
      </c>
      <c r="BP22" s="19">
        <f t="shared" si="147"/>
        <v>0.11195159869822523</v>
      </c>
      <c r="BQ22" s="19">
        <f t="shared" si="147"/>
        <v>4.0228898231536206E-2</v>
      </c>
      <c r="BR22" s="19">
        <f t="shared" si="147"/>
        <v>6.3837385745857664E-2</v>
      </c>
      <c r="BS22" s="19">
        <f t="shared" si="147"/>
        <v>9.1180609046946276E-2</v>
      </c>
      <c r="BT22" s="19">
        <f t="shared" si="147"/>
        <v>7.9188757892872802E-2</v>
      </c>
      <c r="BU22" s="19">
        <f t="shared" si="147"/>
        <v>8.1435509253996896E-2</v>
      </c>
      <c r="BV22" s="19">
        <f t="shared" si="147"/>
        <v>0.14680058595918452</v>
      </c>
      <c r="BW22" s="19">
        <f t="shared" si="147"/>
        <v>5.3641258712397055E-2</v>
      </c>
      <c r="BX22" s="19">
        <f t="shared" si="147"/>
        <v>5.5199823894007377E-2</v>
      </c>
      <c r="BY22" s="19">
        <f t="shared" si="147"/>
        <v>9.0971512796284362E-2</v>
      </c>
      <c r="BZ22" s="19">
        <f t="shared" si="147"/>
        <v>9.4429845229191747E-2</v>
      </c>
      <c r="CA22" s="19">
        <f t="shared" si="147"/>
        <v>9.3592639987323076E-2</v>
      </c>
      <c r="CB22" s="19">
        <f t="shared" si="147"/>
        <v>6.4943147670284654E-2</v>
      </c>
      <c r="CC22" s="19">
        <f t="shared" si="147"/>
        <v>0.12739668481600097</v>
      </c>
      <c r="CD22" s="19">
        <f t="shared" si="147"/>
        <v>5.9661387882112997E-2</v>
      </c>
      <c r="CE22" s="19">
        <f t="shared" si="147"/>
        <v>7.4686775962324495E-2</v>
      </c>
      <c r="CF22" s="19">
        <f t="shared" si="147"/>
        <v>5.3063798436497431E-2</v>
      </c>
      <c r="CG22" s="19">
        <f t="shared" si="147"/>
        <v>0.1423199132466629</v>
      </c>
      <c r="CH22" s="19">
        <f t="shared" si="147"/>
        <v>9.0093211366912881E-2</v>
      </c>
      <c r="CI22" s="19">
        <f t="shared" si="147"/>
        <v>6.2611176524001069E-2</v>
      </c>
      <c r="CJ22" s="19">
        <f t="shared" si="147"/>
        <v>8.3888268955568723E-2</v>
      </c>
      <c r="CK22" s="19">
        <f t="shared" si="147"/>
        <v>0.1141666709840201</v>
      </c>
      <c r="CL22" s="19">
        <f t="shared" si="147"/>
        <v>7.3506361057315422E-2</v>
      </c>
      <c r="CM22" s="19">
        <f t="shared" si="147"/>
        <v>7.145967334699703E-2</v>
      </c>
      <c r="CN22" s="19">
        <f t="shared" si="147"/>
        <v>6.9223279130507812E-2</v>
      </c>
      <c r="CO22" s="19">
        <f t="shared" si="147"/>
        <v>3.6811160887677143E-2</v>
      </c>
      <c r="CP22" s="19">
        <f t="shared" si="147"/>
        <v>6.540037149753973E-2</v>
      </c>
      <c r="CQ22" s="19">
        <f t="shared" si="147"/>
        <v>0.1228504261868931</v>
      </c>
      <c r="CR22" s="19">
        <f t="shared" si="147"/>
        <v>4.3000936413781284E-2</v>
      </c>
      <c r="CS22" s="19">
        <f t="shared" si="147"/>
        <v>0.11755439042221766</v>
      </c>
      <c r="CT22" s="19">
        <f t="shared" si="147"/>
        <v>0.13952728459348104</v>
      </c>
      <c r="CU22" s="97">
        <f>AVERAGE(AY22,BK22,BW22)</f>
        <v>4.4535594215350416E-2</v>
      </c>
      <c r="CV22" s="97">
        <f t="shared" ref="CV22:DF23" si="148">AVERAGE(AZ22,BL22,BX22)</f>
        <v>5.6327696431841656E-2</v>
      </c>
      <c r="CW22" s="97">
        <f t="shared" si="148"/>
        <v>0.10489557656606868</v>
      </c>
      <c r="CX22" s="97">
        <f t="shared" si="148"/>
        <v>6.9552591469744171E-2</v>
      </c>
      <c r="CY22" s="97">
        <f t="shared" si="148"/>
        <v>5.6982490884522709E-2</v>
      </c>
      <c r="CZ22" s="97">
        <f t="shared" si="148"/>
        <v>0.10522496406628618</v>
      </c>
      <c r="DA22" s="97">
        <f t="shared" si="148"/>
        <v>7.0148670198021124E-2</v>
      </c>
      <c r="DB22" s="97">
        <f t="shared" si="148"/>
        <v>5.5027694590689812E-2</v>
      </c>
      <c r="DC22" s="97">
        <f t="shared" si="148"/>
        <v>8.7237638495434158E-2</v>
      </c>
      <c r="DD22" s="97">
        <f t="shared" si="148"/>
        <v>6.8962452585281872E-2</v>
      </c>
      <c r="DE22" s="97">
        <f t="shared" si="148"/>
        <v>0.14494294394663987</v>
      </c>
      <c r="DF22" s="97">
        <f t="shared" si="148"/>
        <v>0.1361616865501194</v>
      </c>
      <c r="DG22" s="97">
        <f>AVERAGE(AY22,BK22,BW22)</f>
        <v>4.4535594215350416E-2</v>
      </c>
      <c r="DH22" s="97">
        <f t="shared" ref="DH22:DR22" si="149">AVERAGE(AZ22,BL22,BX22)</f>
        <v>5.6327696431841656E-2</v>
      </c>
      <c r="DI22" s="97">
        <f t="shared" si="149"/>
        <v>0.10489557656606868</v>
      </c>
      <c r="DJ22" s="97">
        <f t="shared" si="149"/>
        <v>6.9552591469744171E-2</v>
      </c>
      <c r="DK22" s="97">
        <f t="shared" si="149"/>
        <v>5.6982490884522709E-2</v>
      </c>
      <c r="DL22" s="97">
        <f t="shared" si="149"/>
        <v>0.10522496406628618</v>
      </c>
      <c r="DM22" s="97">
        <f t="shared" si="149"/>
        <v>7.0148670198021124E-2</v>
      </c>
      <c r="DN22" s="97">
        <f t="shared" si="149"/>
        <v>5.5027694590689812E-2</v>
      </c>
      <c r="DO22" s="97">
        <f t="shared" si="149"/>
        <v>8.7237638495434158E-2</v>
      </c>
      <c r="DP22" s="97">
        <f t="shared" si="149"/>
        <v>6.8962452585281872E-2</v>
      </c>
      <c r="DQ22" s="97">
        <f t="shared" si="149"/>
        <v>0.14494294394663987</v>
      </c>
      <c r="DR22" s="97">
        <f t="shared" si="149"/>
        <v>0.1361616865501194</v>
      </c>
      <c r="DS22" s="97">
        <f>DG22</f>
        <v>4.4535594215350416E-2</v>
      </c>
      <c r="DT22" s="97">
        <f t="shared" ref="DT22:DT23" si="150">DH22</f>
        <v>5.6327696431841656E-2</v>
      </c>
      <c r="DU22" s="97">
        <f t="shared" ref="DU22:DU23" si="151">DI22</f>
        <v>0.10489557656606868</v>
      </c>
      <c r="DV22" s="97">
        <f t="shared" ref="DV22:DV23" si="152">DJ22</f>
        <v>6.9552591469744171E-2</v>
      </c>
      <c r="DW22" s="97">
        <f t="shared" ref="DW22:DW23" si="153">DK22</f>
        <v>5.6982490884522709E-2</v>
      </c>
      <c r="DX22" s="97">
        <f t="shared" ref="DX22:DX23" si="154">DL22</f>
        <v>0.10522496406628618</v>
      </c>
      <c r="DY22" s="97">
        <f t="shared" ref="DY22:DY23" si="155">DM22</f>
        <v>7.0148670198021124E-2</v>
      </c>
      <c r="DZ22" s="97">
        <f t="shared" ref="DZ22:DZ23" si="156">DN22</f>
        <v>5.5027694590689812E-2</v>
      </c>
      <c r="EA22" s="97">
        <f t="shared" ref="EA22:EA23" si="157">DO22</f>
        <v>8.7237638495434158E-2</v>
      </c>
      <c r="EB22" s="97">
        <f t="shared" ref="EB22:EB23" si="158">DP22</f>
        <v>6.8962452585281872E-2</v>
      </c>
      <c r="EC22" s="97">
        <f t="shared" ref="EC22:EC23" si="159">DQ22</f>
        <v>0.14494294394663987</v>
      </c>
      <c r="ED22" s="97">
        <f t="shared" ref="ED22:ED23" si="160">DR22</f>
        <v>0.1361616865501194</v>
      </c>
      <c r="EE22" s="97">
        <f t="shared" ref="EE22:EE23" si="161">DS22</f>
        <v>4.4535594215350416E-2</v>
      </c>
      <c r="EF22" s="97">
        <f t="shared" ref="EF22:EF23" si="162">DT22</f>
        <v>5.6327696431841656E-2</v>
      </c>
      <c r="EG22" s="97">
        <f t="shared" ref="EG22:EG23" si="163">DU22</f>
        <v>0.10489557656606868</v>
      </c>
      <c r="EH22" s="97">
        <f t="shared" ref="EH22:EH23" si="164">DV22</f>
        <v>6.9552591469744171E-2</v>
      </c>
      <c r="EI22" s="97">
        <f t="shared" ref="EI22:EI23" si="165">DW22</f>
        <v>5.6982490884522709E-2</v>
      </c>
      <c r="EJ22" s="97">
        <f t="shared" ref="EJ22:EJ23" si="166">DX22</f>
        <v>0.10522496406628618</v>
      </c>
      <c r="EK22" s="97">
        <f t="shared" ref="EK22:EK23" si="167">DY22</f>
        <v>7.0148670198021124E-2</v>
      </c>
      <c r="EL22" s="97">
        <f t="shared" ref="EL22:EL23" si="168">DZ22</f>
        <v>5.5027694590689812E-2</v>
      </c>
      <c r="EM22" s="97">
        <f t="shared" ref="EM22:EM23" si="169">EA22</f>
        <v>8.7237638495434158E-2</v>
      </c>
      <c r="EN22" s="97">
        <f t="shared" ref="EN22:EN23" si="170">EB22</f>
        <v>6.8962452585281872E-2</v>
      </c>
      <c r="EO22" s="97">
        <f t="shared" ref="EO22:EO23" si="171">EC22</f>
        <v>0.14494294394663987</v>
      </c>
      <c r="EP22" s="97">
        <f t="shared" ref="EP22:EP23" si="172">ED22</f>
        <v>0.1361616865501194</v>
      </c>
      <c r="EQ22" s="97">
        <f t="shared" ref="EQ22:EQ23" si="173">EE22</f>
        <v>4.4535594215350416E-2</v>
      </c>
      <c r="ER22" s="97">
        <f t="shared" ref="ER22:ER23" si="174">EF22</f>
        <v>5.6327696431841656E-2</v>
      </c>
      <c r="ES22" s="97">
        <f t="shared" ref="ES22:ES23" si="175">EG22</f>
        <v>0.10489557656606868</v>
      </c>
      <c r="ET22" s="97">
        <f t="shared" ref="ET22:ET23" si="176">EH22</f>
        <v>6.9552591469744171E-2</v>
      </c>
      <c r="EU22" s="97">
        <f t="shared" ref="EU22:EU23" si="177">EI22</f>
        <v>5.6982490884522709E-2</v>
      </c>
      <c r="EV22" s="97">
        <f t="shared" ref="EV22:EV23" si="178">EJ22</f>
        <v>0.10522496406628618</v>
      </c>
      <c r="EW22" s="97">
        <f t="shared" ref="EW22:EW23" si="179">EK22</f>
        <v>7.0148670198021124E-2</v>
      </c>
      <c r="EX22" s="97">
        <f t="shared" ref="EX22:EX23" si="180">EL22</f>
        <v>5.5027694590689812E-2</v>
      </c>
      <c r="EY22" s="97">
        <f t="shared" ref="EY22:EY23" si="181">EM22</f>
        <v>8.7237638495434158E-2</v>
      </c>
      <c r="EZ22" s="97">
        <f t="shared" ref="EZ22:EZ23" si="182">EN22</f>
        <v>6.8962452585281872E-2</v>
      </c>
      <c r="FA22" s="97">
        <f t="shared" ref="FA22:FA23" si="183">EO22</f>
        <v>0.14494294394663987</v>
      </c>
      <c r="FB22" s="97">
        <f t="shared" ref="FB22:FB23" si="184">EP22</f>
        <v>0.1361616865501194</v>
      </c>
    </row>
    <row r="23" spans="3:158" outlineLevel="1" x14ac:dyDescent="0.25">
      <c r="C23" s="2" t="s">
        <v>221</v>
      </c>
      <c r="D23" s="19">
        <f t="shared" si="146"/>
        <v>0.99999999999999989</v>
      </c>
      <c r="E23" s="19">
        <f t="shared" si="146"/>
        <v>1</v>
      </c>
      <c r="F23" s="19">
        <f t="shared" si="146"/>
        <v>0.99999999999999978</v>
      </c>
      <c r="G23" s="19">
        <f t="shared" si="146"/>
        <v>0.99999999999999978</v>
      </c>
      <c r="H23" s="19">
        <f t="shared" si="146"/>
        <v>0.99999999999999989</v>
      </c>
      <c r="I23" s="67">
        <f t="shared" si="146"/>
        <v>1</v>
      </c>
      <c r="J23" s="67">
        <f t="shared" si="146"/>
        <v>1</v>
      </c>
      <c r="K23" s="67">
        <f t="shared" si="146"/>
        <v>1</v>
      </c>
      <c r="L23" s="67">
        <f t="shared" si="146"/>
        <v>1</v>
      </c>
      <c r="M23" s="61"/>
      <c r="N23" s="67">
        <f t="shared" ref="N23" si="185">SUM(AY23:BA23)</f>
        <v>0.18046650348216869</v>
      </c>
      <c r="O23" s="67">
        <f>SUM(BB23:BD23)</f>
        <v>0.22104681714422211</v>
      </c>
      <c r="P23" s="67">
        <f>SUM(BE23:BG23)</f>
        <v>0.22755597347600309</v>
      </c>
      <c r="Q23" s="67">
        <f>SUM(BH23:BJ23)</f>
        <v>0.37093070589760602</v>
      </c>
      <c r="R23" s="67">
        <f>SUM(BK23:BM23)</f>
        <v>0.20508215337436764</v>
      </c>
      <c r="S23" s="67">
        <f>SUM(BN23:BP23)</f>
        <v>0.27056277995342293</v>
      </c>
      <c r="T23" s="67">
        <f>SUM(BQ23:BS23)</f>
        <v>0.21679273021065851</v>
      </c>
      <c r="U23" s="67">
        <f>SUM(BT23:BV23)</f>
        <v>0.30756233646155096</v>
      </c>
      <c r="V23" s="67">
        <f>SUM(BW23:BY23)</f>
        <v>0.1615737428515539</v>
      </c>
      <c r="W23" s="67">
        <f>SUM(BZ23:CB23)</f>
        <v>0.25078576718063295</v>
      </c>
      <c r="X23" s="67">
        <f>SUM(CC23:CE23)</f>
        <v>0.25207416916275127</v>
      </c>
      <c r="Y23" s="67">
        <f>SUM(CF23:CH23)</f>
        <v>0.33556632080506188</v>
      </c>
      <c r="Z23" s="67">
        <f>SUM(CI23:CK23)</f>
        <v>0.14184774250088558</v>
      </c>
      <c r="AA23" s="67">
        <f>SUM(CL23:CN23)</f>
        <v>0.22190854034421598</v>
      </c>
      <c r="AB23" s="67">
        <f>SUM(CO23:CQ23)</f>
        <v>0.27057865283838584</v>
      </c>
      <c r="AC23" s="67">
        <f>SUM(CR23:CT23)</f>
        <v>0.36566506431651258</v>
      </c>
      <c r="AD23" s="67">
        <f>SUM(CU23:CW23)</f>
        <v>0.17697413323603009</v>
      </c>
      <c r="AE23" s="67">
        <f>SUM(CX23:CZ23)</f>
        <v>0.23546512142609266</v>
      </c>
      <c r="AF23" s="67">
        <f>SUM(DA23:DC23)</f>
        <v>0.23214095761647097</v>
      </c>
      <c r="AG23" s="67">
        <f>SUM(DD23:DF23)</f>
        <v>0.35541978772140626</v>
      </c>
      <c r="AH23" s="67">
        <f>SUM(DG23:DI23)</f>
        <v>0.18237413323603008</v>
      </c>
      <c r="AI23" s="67">
        <f>SUM(DJ23:DL23)</f>
        <v>0.24746512142609267</v>
      </c>
      <c r="AJ23" s="67">
        <f>SUM(DM23:DO23)</f>
        <v>0.23214095761647097</v>
      </c>
      <c r="AK23" s="67">
        <f>SUM(DP23:DR23)</f>
        <v>0.33801978772140628</v>
      </c>
      <c r="AL23" s="67">
        <f>SUM(DS23:DU23)</f>
        <v>0.18237413323603008</v>
      </c>
      <c r="AM23" s="67">
        <f>SUM(DV23:DX23)</f>
        <v>0.24746512142609267</v>
      </c>
      <c r="AN23" s="67">
        <f>SUM(DY23:EA23)</f>
        <v>0.23214095761647097</v>
      </c>
      <c r="AO23" s="67">
        <f>SUM(EB23:ED23)</f>
        <v>0.33801978772140628</v>
      </c>
      <c r="AP23" s="67">
        <f>SUM(EE23:EG23)</f>
        <v>0.18237413323603008</v>
      </c>
      <c r="AQ23" s="67">
        <f>SUM(EH23:EJ23)</f>
        <v>0.24746512142609267</v>
      </c>
      <c r="AR23" s="67">
        <f>SUM(EK23:EM23)</f>
        <v>0.23214095761647097</v>
      </c>
      <c r="AS23" s="67">
        <f>SUM(EN23:EP23)</f>
        <v>0.33801978772140628</v>
      </c>
      <c r="AT23" s="67">
        <f>SUM(EQ23:ES23)</f>
        <v>0.18237413323603008</v>
      </c>
      <c r="AU23" s="67">
        <f>SUM(ET23:EV23)</f>
        <v>0.24746512142609267</v>
      </c>
      <c r="AV23" s="67">
        <f>SUM(EW23:EY23)</f>
        <v>0.23214095761647097</v>
      </c>
      <c r="AW23" s="67">
        <f>SUM(EZ23:FB23)</f>
        <v>0.33801978772140628</v>
      </c>
      <c r="AX23" s="61"/>
      <c r="AY23" s="19">
        <f t="shared" ref="AY23:CT23" si="186">AY21/SUMIF($AY$2:$DR$2,AY$2,$AY$21:$DR$21)</f>
        <v>1.3095715401900609E-2</v>
      </c>
      <c r="AZ23" s="19">
        <f t="shared" si="186"/>
        <v>5.7220365116936768E-2</v>
      </c>
      <c r="BA23" s="19">
        <f t="shared" si="186"/>
        <v>0.11015042296333132</v>
      </c>
      <c r="BB23" s="19">
        <f t="shared" si="186"/>
        <v>3.4722581902531358E-2</v>
      </c>
      <c r="BC23" s="19">
        <f t="shared" si="186"/>
        <v>8.0469046062281363E-2</v>
      </c>
      <c r="BD23" s="19">
        <f t="shared" si="186"/>
        <v>0.10585518917940939</v>
      </c>
      <c r="BE23" s="19">
        <f t="shared" si="186"/>
        <v>4.1149113899461034E-2</v>
      </c>
      <c r="BF23" s="19">
        <f t="shared" si="186"/>
        <v>5.8937433243059924E-2</v>
      </c>
      <c r="BG23" s="19">
        <f t="shared" si="186"/>
        <v>0.12746942633348213</v>
      </c>
      <c r="BH23" s="19">
        <f t="shared" si="186"/>
        <v>6.3300734984923487E-2</v>
      </c>
      <c r="BI23" s="19">
        <f t="shared" si="186"/>
        <v>0.16341310824744504</v>
      </c>
      <c r="BJ23" s="19">
        <f t="shared" si="186"/>
        <v>0.14421686266523751</v>
      </c>
      <c r="BK23" s="19">
        <f t="shared" si="186"/>
        <v>2.8374329630691961E-2</v>
      </c>
      <c r="BL23" s="19">
        <f t="shared" si="186"/>
        <v>5.0751742433240842E-2</v>
      </c>
      <c r="BM23" s="19">
        <f t="shared" si="186"/>
        <v>0.12595608131043484</v>
      </c>
      <c r="BN23" s="19">
        <f t="shared" si="186"/>
        <v>4.7811044631215951E-2</v>
      </c>
      <c r="BO23" s="19">
        <f t="shared" si="186"/>
        <v>0.11232616933617957</v>
      </c>
      <c r="BP23" s="19">
        <f t="shared" si="186"/>
        <v>0.11042556598602742</v>
      </c>
      <c r="BQ23" s="19">
        <f t="shared" si="186"/>
        <v>4.4057175029151761E-2</v>
      </c>
      <c r="BR23" s="19">
        <f t="shared" si="186"/>
        <v>4.715714494415281E-2</v>
      </c>
      <c r="BS23" s="19">
        <f t="shared" si="186"/>
        <v>0.12557841023735394</v>
      </c>
      <c r="BT23" s="19">
        <f t="shared" si="186"/>
        <v>2.8749001800642847E-2</v>
      </c>
      <c r="BU23" s="19">
        <f t="shared" si="186"/>
        <v>0.12063163443894127</v>
      </c>
      <c r="BV23" s="19">
        <f t="shared" si="186"/>
        <v>0.15818170022196681</v>
      </c>
      <c r="BW23" s="19">
        <f t="shared" si="186"/>
        <v>3.4112625633801075E-2</v>
      </c>
      <c r="BX23" s="19">
        <f t="shared" si="186"/>
        <v>5.167447739657792E-2</v>
      </c>
      <c r="BY23" s="19">
        <f t="shared" si="186"/>
        <v>7.5786639821174923E-2</v>
      </c>
      <c r="BZ23" s="19">
        <f t="shared" si="186"/>
        <v>5.2014464555900621E-2</v>
      </c>
      <c r="CA23" s="19">
        <f t="shared" si="186"/>
        <v>5.9566426086224367E-2</v>
      </c>
      <c r="CB23" s="19">
        <f t="shared" si="186"/>
        <v>0.13920487653850794</v>
      </c>
      <c r="CC23" s="19">
        <f t="shared" si="186"/>
        <v>3.2468265270540163E-2</v>
      </c>
      <c r="CD23" s="19">
        <f t="shared" si="186"/>
        <v>0.1037308064167721</v>
      </c>
      <c r="CE23" s="19">
        <f t="shared" si="186"/>
        <v>0.11587509747543898</v>
      </c>
      <c r="CF23" s="19">
        <f t="shared" si="186"/>
        <v>4.8966404875749922E-2</v>
      </c>
      <c r="CG23" s="19">
        <f t="shared" si="186"/>
        <v>0.1211190562752224</v>
      </c>
      <c r="CH23" s="19">
        <f t="shared" si="186"/>
        <v>0.16548085965408957</v>
      </c>
      <c r="CI23" s="19">
        <f t="shared" si="186"/>
        <v>2.2949999665162105E-2</v>
      </c>
      <c r="CJ23" s="19">
        <f t="shared" si="186"/>
        <v>3.5170569430651104E-2</v>
      </c>
      <c r="CK23" s="19">
        <f t="shared" si="186"/>
        <v>8.372717340507238E-2</v>
      </c>
      <c r="CL23" s="19">
        <f t="shared" si="186"/>
        <v>4.0765471549760408E-2</v>
      </c>
      <c r="CM23" s="19">
        <f t="shared" si="186"/>
        <v>6.6097834997497384E-2</v>
      </c>
      <c r="CN23" s="19">
        <f t="shared" si="186"/>
        <v>0.11504523379695819</v>
      </c>
      <c r="CO23" s="19">
        <f t="shared" si="186"/>
        <v>4.0586797925757874E-2</v>
      </c>
      <c r="CP23" s="19">
        <f t="shared" si="186"/>
        <v>9.4702528493435051E-2</v>
      </c>
      <c r="CQ23" s="19">
        <f t="shared" si="186"/>
        <v>0.13528932641919292</v>
      </c>
      <c r="CR23" s="19">
        <f t="shared" si="186"/>
        <v>3.6566506431651255E-2</v>
      </c>
      <c r="CS23" s="19">
        <f t="shared" si="186"/>
        <v>0.14626602572660502</v>
      </c>
      <c r="CT23" s="19">
        <f t="shared" si="186"/>
        <v>0.18283253215825629</v>
      </c>
      <c r="CU23" s="423">
        <v>2.3394223555464552E-2</v>
      </c>
      <c r="CV23" s="423">
        <v>5.1415528315585178E-2</v>
      </c>
      <c r="CW23" s="423">
        <v>0.10216438136498036</v>
      </c>
      <c r="CX23" s="423">
        <v>4.0849363696549318E-2</v>
      </c>
      <c r="CY23" s="423">
        <v>8.0120547161561764E-2</v>
      </c>
      <c r="CZ23" s="423">
        <v>0.11449521056798158</v>
      </c>
      <c r="DA23" s="97">
        <f t="shared" si="148"/>
        <v>3.9224851399717653E-2</v>
      </c>
      <c r="DB23" s="97">
        <f t="shared" si="148"/>
        <v>6.9941794867994941E-2</v>
      </c>
      <c r="DC23" s="97">
        <f t="shared" si="148"/>
        <v>0.12297431134875836</v>
      </c>
      <c r="DD23" s="423">
        <v>5.280538055377209E-2</v>
      </c>
      <c r="DE23" s="423">
        <v>0.14085459965386957</v>
      </c>
      <c r="DF23" s="423">
        <v>0.16175980751376462</v>
      </c>
      <c r="DG23" s="97">
        <f>AVERAGE(AY23,BK23,BW23)</f>
        <v>2.5194223555464551E-2</v>
      </c>
      <c r="DH23" s="97">
        <f t="shared" ref="DH23" si="187">AVERAGE(AZ23,BL23,BX23)</f>
        <v>5.3215528315585181E-2</v>
      </c>
      <c r="DI23" s="97">
        <f t="shared" ref="DI23" si="188">AVERAGE(BA23,BM23,BY23)</f>
        <v>0.10396438136498036</v>
      </c>
      <c r="DJ23" s="97">
        <f t="shared" ref="DJ23" si="189">AVERAGE(BB23,BN23,BZ23)</f>
        <v>4.4849363696549314E-2</v>
      </c>
      <c r="DK23" s="97">
        <f t="shared" ref="DK23" si="190">AVERAGE(BC23,BO23,CA23)</f>
        <v>8.4120547161561768E-2</v>
      </c>
      <c r="DL23" s="97">
        <f t="shared" ref="DL23" si="191">AVERAGE(BD23,BP23,CB23)</f>
        <v>0.11849521056798158</v>
      </c>
      <c r="DM23" s="97">
        <f t="shared" ref="DM23" si="192">AVERAGE(BE23,BQ23,CC23)</f>
        <v>3.9224851399717653E-2</v>
      </c>
      <c r="DN23" s="97">
        <f t="shared" ref="DN23" si="193">AVERAGE(BF23,BR23,CD23)</f>
        <v>6.9941794867994941E-2</v>
      </c>
      <c r="DO23" s="97">
        <f t="shared" ref="DO23" si="194">AVERAGE(BG23,BS23,CE23)</f>
        <v>0.12297431134875836</v>
      </c>
      <c r="DP23" s="97">
        <f t="shared" ref="DP23" si="195">AVERAGE(BH23,BT23,CF23)</f>
        <v>4.700538055377209E-2</v>
      </c>
      <c r="DQ23" s="97">
        <f t="shared" ref="DQ23" si="196">AVERAGE(BI23,BU23,CG23)</f>
        <v>0.13505459965386957</v>
      </c>
      <c r="DR23" s="97">
        <f t="shared" ref="DR23" si="197">AVERAGE(BJ23,BV23,CH23)</f>
        <v>0.15595980751376462</v>
      </c>
      <c r="DS23" s="97">
        <f t="shared" ref="DS23" si="198">DG23</f>
        <v>2.5194223555464551E-2</v>
      </c>
      <c r="DT23" s="97">
        <f t="shared" si="150"/>
        <v>5.3215528315585181E-2</v>
      </c>
      <c r="DU23" s="97">
        <f t="shared" si="151"/>
        <v>0.10396438136498036</v>
      </c>
      <c r="DV23" s="97">
        <f t="shared" si="152"/>
        <v>4.4849363696549314E-2</v>
      </c>
      <c r="DW23" s="97">
        <f t="shared" si="153"/>
        <v>8.4120547161561768E-2</v>
      </c>
      <c r="DX23" s="97">
        <f t="shared" si="154"/>
        <v>0.11849521056798158</v>
      </c>
      <c r="DY23" s="97">
        <f t="shared" si="155"/>
        <v>3.9224851399717653E-2</v>
      </c>
      <c r="DZ23" s="97">
        <f t="shared" si="156"/>
        <v>6.9941794867994941E-2</v>
      </c>
      <c r="EA23" s="97">
        <f t="shared" si="157"/>
        <v>0.12297431134875836</v>
      </c>
      <c r="EB23" s="97">
        <f t="shared" si="158"/>
        <v>4.700538055377209E-2</v>
      </c>
      <c r="EC23" s="97">
        <f t="shared" si="159"/>
        <v>0.13505459965386957</v>
      </c>
      <c r="ED23" s="97">
        <f t="shared" si="160"/>
        <v>0.15595980751376462</v>
      </c>
      <c r="EE23" s="97">
        <f t="shared" si="161"/>
        <v>2.5194223555464551E-2</v>
      </c>
      <c r="EF23" s="97">
        <f t="shared" si="162"/>
        <v>5.3215528315585181E-2</v>
      </c>
      <c r="EG23" s="97">
        <f t="shared" si="163"/>
        <v>0.10396438136498036</v>
      </c>
      <c r="EH23" s="97">
        <f t="shared" si="164"/>
        <v>4.4849363696549314E-2</v>
      </c>
      <c r="EI23" s="97">
        <f t="shared" si="165"/>
        <v>8.4120547161561768E-2</v>
      </c>
      <c r="EJ23" s="97">
        <f t="shared" si="166"/>
        <v>0.11849521056798158</v>
      </c>
      <c r="EK23" s="97">
        <f t="shared" si="167"/>
        <v>3.9224851399717653E-2</v>
      </c>
      <c r="EL23" s="97">
        <f t="shared" si="168"/>
        <v>6.9941794867994941E-2</v>
      </c>
      <c r="EM23" s="97">
        <f t="shared" si="169"/>
        <v>0.12297431134875836</v>
      </c>
      <c r="EN23" s="97">
        <f t="shared" si="170"/>
        <v>4.700538055377209E-2</v>
      </c>
      <c r="EO23" s="97">
        <f t="shared" si="171"/>
        <v>0.13505459965386957</v>
      </c>
      <c r="EP23" s="97">
        <f t="shared" si="172"/>
        <v>0.15595980751376462</v>
      </c>
      <c r="EQ23" s="97">
        <f t="shared" si="173"/>
        <v>2.5194223555464551E-2</v>
      </c>
      <c r="ER23" s="97">
        <f t="shared" si="174"/>
        <v>5.3215528315585181E-2</v>
      </c>
      <c r="ES23" s="97">
        <f t="shared" si="175"/>
        <v>0.10396438136498036</v>
      </c>
      <c r="ET23" s="97">
        <f t="shared" si="176"/>
        <v>4.4849363696549314E-2</v>
      </c>
      <c r="EU23" s="97">
        <f t="shared" si="177"/>
        <v>8.4120547161561768E-2</v>
      </c>
      <c r="EV23" s="97">
        <f t="shared" si="178"/>
        <v>0.11849521056798158</v>
      </c>
      <c r="EW23" s="97">
        <f t="shared" si="179"/>
        <v>3.9224851399717653E-2</v>
      </c>
      <c r="EX23" s="97">
        <f t="shared" si="180"/>
        <v>6.9941794867994941E-2</v>
      </c>
      <c r="EY23" s="97">
        <f t="shared" si="181"/>
        <v>0.12297431134875836</v>
      </c>
      <c r="EZ23" s="97">
        <f t="shared" si="182"/>
        <v>4.700538055377209E-2</v>
      </c>
      <c r="FA23" s="97">
        <f t="shared" si="183"/>
        <v>0.13505459965386957</v>
      </c>
      <c r="FB23" s="97">
        <f t="shared" si="184"/>
        <v>0.15595980751376462</v>
      </c>
    </row>
    <row r="24" spans="3:158" outlineLevel="1" collapsed="1" x14ac:dyDescent="0.25">
      <c r="C24" s="2"/>
      <c r="M24" s="2"/>
      <c r="AX24" s="2"/>
      <c r="CU24" s="424"/>
    </row>
    <row r="25" spans="3:158" x14ac:dyDescent="0.25">
      <c r="C25" s="2"/>
      <c r="M25" s="2"/>
      <c r="AX25" s="2"/>
    </row>
    <row r="26" spans="3:158" x14ac:dyDescent="0.25">
      <c r="C26" s="3" t="s">
        <v>52</v>
      </c>
      <c r="D26" s="4"/>
      <c r="E26" s="4"/>
      <c r="F26" s="4"/>
      <c r="G26" s="4"/>
      <c r="H26" s="4"/>
      <c r="I26" s="4"/>
      <c r="J26" s="4"/>
      <c r="K26" s="4"/>
      <c r="L26" s="4"/>
      <c r="M26" s="3"/>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3"/>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row>
    <row r="27" spans="3:158" x14ac:dyDescent="0.25">
      <c r="C27" s="1"/>
      <c r="M27" s="1"/>
      <c r="AX27" s="1"/>
    </row>
    <row r="28" spans="3:158" x14ac:dyDescent="0.25">
      <c r="C28" s="1" t="s">
        <v>31</v>
      </c>
      <c r="D28" s="22">
        <f t="shared" ref="D28:L28" si="199">SUM(D29:D31)</f>
        <v>20965000</v>
      </c>
      <c r="E28" s="22">
        <f t="shared" si="199"/>
        <v>43119491</v>
      </c>
      <c r="F28" s="22">
        <f t="shared" si="199"/>
        <v>67821970.310000002</v>
      </c>
      <c r="G28" s="22">
        <f t="shared" si="199"/>
        <v>104849380.0750988</v>
      </c>
      <c r="H28" s="22">
        <f t="shared" si="199"/>
        <v>175637016.22970057</v>
      </c>
      <c r="I28" s="53">
        <f t="shared" si="199"/>
        <v>269647470.8612994</v>
      </c>
      <c r="J28" s="53">
        <f t="shared" si="199"/>
        <v>404953091.08935434</v>
      </c>
      <c r="K28" s="53">
        <f t="shared" si="199"/>
        <v>598731276.9013474</v>
      </c>
      <c r="L28" s="53">
        <f t="shared" si="199"/>
        <v>866428299.06337833</v>
      </c>
      <c r="M28" s="1"/>
      <c r="N28" s="22">
        <f t="shared" ref="N28:N31" si="200">SUM(AY28:BA28)</f>
        <v>3532708</v>
      </c>
      <c r="O28" s="22">
        <f>SUM(BB28:BD28)</f>
        <v>4680107</v>
      </c>
      <c r="P28" s="22">
        <f>SUM(BE28:BG28)</f>
        <v>5780024</v>
      </c>
      <c r="Q28" s="22">
        <f>SUM(BH28:BJ28)</f>
        <v>6972161</v>
      </c>
      <c r="R28" s="22">
        <f>SUM(BK28:BM28)</f>
        <v>8438601</v>
      </c>
      <c r="S28" s="22">
        <f>SUM(BN28:BP28)</f>
        <v>9889928</v>
      </c>
      <c r="T28" s="22">
        <f>SUM(BQ28:BS28)</f>
        <v>11589679</v>
      </c>
      <c r="U28" s="22">
        <f>SUM(BT28:BV28)</f>
        <v>13201283</v>
      </c>
      <c r="V28" s="22">
        <f>SUM(BW28:BY28)</f>
        <v>14969065.309999999</v>
      </c>
      <c r="W28" s="22">
        <f>SUM(BZ28:CB28)</f>
        <v>15811255</v>
      </c>
      <c r="X28" s="22">
        <f>SUM(CC28:CE28)</f>
        <v>17624187</v>
      </c>
      <c r="Y28" s="22">
        <f>SUM(CF28:CH28)</f>
        <v>19417463</v>
      </c>
      <c r="Z28" s="22">
        <f>SUM(CI28:CK28)</f>
        <v>21867270.721111998</v>
      </c>
      <c r="AA28" s="22">
        <f>SUM(CL28:CN28)</f>
        <v>24179351</v>
      </c>
      <c r="AB28" s="22">
        <f>SUM(CO28:CQ28)</f>
        <v>27491748.288048118</v>
      </c>
      <c r="AC28" s="22">
        <f>SUM(CR28:CT28)</f>
        <v>31311010.065938678</v>
      </c>
      <c r="AD28" s="22">
        <f>SUM(CU28:CW28)</f>
        <v>36636574.517324254</v>
      </c>
      <c r="AE28" s="22">
        <f>SUM(CX28:CZ28)</f>
        <v>41230698.006518289</v>
      </c>
      <c r="AF28" s="22">
        <f>SUM(DA28:DC28)</f>
        <v>45364273.723724812</v>
      </c>
      <c r="AG28" s="22">
        <f>SUM(DD28:DF28)</f>
        <v>52405469.98213318</v>
      </c>
      <c r="AH28" s="22">
        <f>SUM(DG28:DI28)</f>
        <v>56661163.556531444</v>
      </c>
      <c r="AI28" s="22">
        <f>SUM(DJ28:DL28)</f>
        <v>63800734.933778659</v>
      </c>
      <c r="AJ28" s="22">
        <f>SUM(DM28:DO28)</f>
        <v>69760908.336570144</v>
      </c>
      <c r="AK28" s="22">
        <f>SUM(DP28:DR28)</f>
        <v>79424664.03441909</v>
      </c>
      <c r="AL28" s="22">
        <f>SUM(DS28:DU28)</f>
        <v>85654693.775721267</v>
      </c>
      <c r="AM28" s="22">
        <f>SUM(DV28:DX28)</f>
        <v>96003877.98984322</v>
      </c>
      <c r="AN28" s="22">
        <f>SUM(DY28:EA28)</f>
        <v>104643021.6536822</v>
      </c>
      <c r="AO28" s="22">
        <f>SUM(EB28:ED28)</f>
        <v>118651497.67010769</v>
      </c>
      <c r="AP28" s="22">
        <f>SUM(EE28:EG28)</f>
        <v>127478877.75473946</v>
      </c>
      <c r="AQ28" s="22">
        <f>SUM(EH28:EJ28)</f>
        <v>142224746.8743203</v>
      </c>
      <c r="AR28" s="22">
        <f>SUM(EK28:EM28)</f>
        <v>154533854.74981341</v>
      </c>
      <c r="AS28" s="22">
        <f>SUM(EN28:EP28)</f>
        <v>174493797.52247423</v>
      </c>
      <c r="AT28" s="22">
        <f>SUM(EQ28:ES28)</f>
        <v>185862702.43795952</v>
      </c>
      <c r="AU28" s="22">
        <f>SUM(ET28:EV28)</f>
        <v>206178655.85044083</v>
      </c>
      <c r="AV28" s="22">
        <f>SUM(EW28:EY28)</f>
        <v>223488454.40171179</v>
      </c>
      <c r="AW28" s="22">
        <f>SUM(EZ28:FB28)</f>
        <v>250898486.37326622</v>
      </c>
      <c r="AX28" s="1"/>
      <c r="AY28" s="18">
        <f>SUM(AY29:AY31)</f>
        <v>1110719</v>
      </c>
      <c r="AZ28" s="22">
        <f t="shared" ref="AZ28:DF28" si="201">SUM(AZ29:AZ31)</f>
        <v>1156074</v>
      </c>
      <c r="BA28" s="22">
        <f t="shared" si="201"/>
        <v>1265915</v>
      </c>
      <c r="BB28" s="22">
        <f t="shared" si="201"/>
        <v>1459062</v>
      </c>
      <c r="BC28" s="22">
        <f t="shared" si="201"/>
        <v>1558562</v>
      </c>
      <c r="BD28" s="22">
        <f t="shared" si="201"/>
        <v>1662483</v>
      </c>
      <c r="BE28" s="22">
        <f t="shared" si="201"/>
        <v>1845702</v>
      </c>
      <c r="BF28" s="22">
        <f t="shared" si="201"/>
        <v>1882998</v>
      </c>
      <c r="BG28" s="22">
        <f t="shared" si="201"/>
        <v>2051324</v>
      </c>
      <c r="BH28" s="22">
        <f t="shared" si="201"/>
        <v>2194626</v>
      </c>
      <c r="BI28" s="22">
        <f t="shared" si="201"/>
        <v>2272964</v>
      </c>
      <c r="BJ28" s="22">
        <f t="shared" si="201"/>
        <v>2504571</v>
      </c>
      <c r="BK28" s="22">
        <f t="shared" si="201"/>
        <v>2780417</v>
      </c>
      <c r="BL28" s="22">
        <f t="shared" si="201"/>
        <v>2784719</v>
      </c>
      <c r="BM28" s="22">
        <f t="shared" si="201"/>
        <v>2873465</v>
      </c>
      <c r="BN28" s="22">
        <f t="shared" si="201"/>
        <v>3142807</v>
      </c>
      <c r="BO28" s="22">
        <f t="shared" si="201"/>
        <v>3297539</v>
      </c>
      <c r="BP28" s="22">
        <f t="shared" si="201"/>
        <v>3449582</v>
      </c>
      <c r="BQ28" s="22">
        <f t="shared" si="201"/>
        <v>3697321</v>
      </c>
      <c r="BR28" s="22">
        <f t="shared" si="201"/>
        <v>3863495</v>
      </c>
      <c r="BS28" s="22">
        <f t="shared" si="201"/>
        <v>4028863</v>
      </c>
      <c r="BT28" s="22">
        <f t="shared" si="201"/>
        <v>4228579</v>
      </c>
      <c r="BU28" s="22">
        <f t="shared" si="201"/>
        <v>4418536</v>
      </c>
      <c r="BV28" s="22">
        <f t="shared" si="201"/>
        <v>4554168</v>
      </c>
      <c r="BW28" s="22">
        <f t="shared" si="201"/>
        <v>5038674.3099999996</v>
      </c>
      <c r="BX28" s="22">
        <f t="shared" si="201"/>
        <v>4972003</v>
      </c>
      <c r="BY28" s="22">
        <f t="shared" si="201"/>
        <v>4958388</v>
      </c>
      <c r="BZ28" s="22">
        <f t="shared" si="201"/>
        <v>5209041</v>
      </c>
      <c r="CA28" s="22">
        <f t="shared" si="201"/>
        <v>5232976</v>
      </c>
      <c r="CB28" s="22">
        <f t="shared" si="201"/>
        <v>5369238</v>
      </c>
      <c r="CC28" s="22">
        <f t="shared" si="201"/>
        <v>5693605</v>
      </c>
      <c r="CD28" s="22">
        <f t="shared" si="201"/>
        <v>5900426</v>
      </c>
      <c r="CE28" s="22">
        <f t="shared" si="201"/>
        <v>6030156</v>
      </c>
      <c r="CF28" s="22">
        <f t="shared" si="201"/>
        <v>6337222</v>
      </c>
      <c r="CG28" s="22">
        <f t="shared" si="201"/>
        <v>6446739</v>
      </c>
      <c r="CH28" s="22">
        <f t="shared" si="201"/>
        <v>6633502</v>
      </c>
      <c r="CI28" s="22">
        <f t="shared" si="201"/>
        <v>7091333.7211119998</v>
      </c>
      <c r="CJ28" s="22">
        <f t="shared" si="201"/>
        <v>7310929</v>
      </c>
      <c r="CK28" s="22">
        <f t="shared" si="201"/>
        <v>7465008</v>
      </c>
      <c r="CL28" s="22">
        <f t="shared" si="201"/>
        <v>7788696</v>
      </c>
      <c r="CM28" s="22">
        <f t="shared" si="201"/>
        <v>8085301</v>
      </c>
      <c r="CN28" s="22">
        <f t="shared" si="201"/>
        <v>8305354</v>
      </c>
      <c r="CO28" s="22">
        <f t="shared" si="201"/>
        <v>8818551.2146404143</v>
      </c>
      <c r="CP28" s="22">
        <f t="shared" si="201"/>
        <v>9157147.6619354822</v>
      </c>
      <c r="CQ28" s="22">
        <f t="shared" si="201"/>
        <v>9516049.4114722256</v>
      </c>
      <c r="CR28" s="22">
        <f t="shared" si="201"/>
        <v>10122153.744217286</v>
      </c>
      <c r="CS28" s="22">
        <f t="shared" si="201"/>
        <v>10259084.304523658</v>
      </c>
      <c r="CT28" s="22">
        <f t="shared" si="201"/>
        <v>10929772.017197732</v>
      </c>
      <c r="CU28" s="18">
        <f t="shared" si="201"/>
        <v>11383189.341780873</v>
      </c>
      <c r="CV28" s="18">
        <f t="shared" si="201"/>
        <v>12020018.548468281</v>
      </c>
      <c r="CW28" s="18">
        <f t="shared" si="201"/>
        <v>13233366.627075097</v>
      </c>
      <c r="CX28" s="18">
        <f t="shared" si="201"/>
        <v>12730230.735739851</v>
      </c>
      <c r="CY28" s="18">
        <f t="shared" si="201"/>
        <v>13697796.19643891</v>
      </c>
      <c r="CZ28" s="18">
        <f t="shared" si="201"/>
        <v>14802671.074339529</v>
      </c>
      <c r="DA28" s="18">
        <f t="shared" si="201"/>
        <v>14122933.573673094</v>
      </c>
      <c r="DB28" s="18">
        <f t="shared" si="201"/>
        <v>14920812.153083408</v>
      </c>
      <c r="DC28" s="18">
        <f t="shared" si="201"/>
        <v>16320527.99696831</v>
      </c>
      <c r="DD28" s="18">
        <f t="shared" si="201"/>
        <v>15795970.691433053</v>
      </c>
      <c r="DE28" s="18">
        <f t="shared" si="201"/>
        <v>17682123.896206796</v>
      </c>
      <c r="DF28" s="18">
        <f t="shared" si="201"/>
        <v>18927375.39449333</v>
      </c>
      <c r="DG28" s="18">
        <f>SUM(DG29:DG31)</f>
        <v>17651306.876643468</v>
      </c>
      <c r="DH28" s="18">
        <f t="shared" ref="DH28:DR28" si="202">SUM(DH29:DH31)</f>
        <v>18604801.205270231</v>
      </c>
      <c r="DI28" s="18">
        <f t="shared" si="202"/>
        <v>20405055.474617749</v>
      </c>
      <c r="DJ28" s="18">
        <f t="shared" si="202"/>
        <v>19736882.169802427</v>
      </c>
      <c r="DK28" s="18">
        <f t="shared" si="202"/>
        <v>21200594.927485932</v>
      </c>
      <c r="DL28" s="18">
        <f t="shared" si="202"/>
        <v>22863257.8364903</v>
      </c>
      <c r="DM28" s="18">
        <f t="shared" si="202"/>
        <v>21785743.846012998</v>
      </c>
      <c r="DN28" s="18">
        <f t="shared" si="202"/>
        <v>22958529.81643936</v>
      </c>
      <c r="DO28" s="18">
        <f t="shared" si="202"/>
        <v>25016634.674117781</v>
      </c>
      <c r="DP28" s="18">
        <f t="shared" si="202"/>
        <v>24077600.904316656</v>
      </c>
      <c r="DQ28" s="18">
        <f t="shared" si="202"/>
        <v>26789780.727432624</v>
      </c>
      <c r="DR28" s="18">
        <f t="shared" si="202"/>
        <v>28557282.402669802</v>
      </c>
      <c r="DS28" s="18">
        <f t="shared" ref="DS28:EQ28" si="203">SUM(DS29:DS31)</f>
        <v>26760064.301693857</v>
      </c>
      <c r="DT28" s="18">
        <f t="shared" si="203"/>
        <v>28142371.805487551</v>
      </c>
      <c r="DU28" s="18">
        <f t="shared" si="203"/>
        <v>30752257.668539859</v>
      </c>
      <c r="DV28" s="18">
        <f t="shared" si="203"/>
        <v>29783086.230512705</v>
      </c>
      <c r="DW28" s="18">
        <f t="shared" si="203"/>
        <v>31905207.442462493</v>
      </c>
      <c r="DX28" s="18">
        <f t="shared" si="203"/>
        <v>34315584.31686803</v>
      </c>
      <c r="DY28" s="18">
        <f t="shared" si="203"/>
        <v>32752866.140919469</v>
      </c>
      <c r="DZ28" s="18">
        <f t="shared" si="203"/>
        <v>34453152.509146333</v>
      </c>
      <c r="EA28" s="18">
        <f t="shared" si="203"/>
        <v>37437003.003616385</v>
      </c>
      <c r="EB28" s="18">
        <f t="shared" si="203"/>
        <v>36075086.607730627</v>
      </c>
      <c r="EC28" s="18">
        <f t="shared" si="203"/>
        <v>40007080.188325509</v>
      </c>
      <c r="ED28" s="18">
        <f t="shared" si="203"/>
        <v>42569330.874051549</v>
      </c>
      <c r="EE28" s="18">
        <f t="shared" si="203"/>
        <v>39940250.90308331</v>
      </c>
      <c r="EF28" s="18">
        <f t="shared" si="203"/>
        <v>41909899.61852251</v>
      </c>
      <c r="EG28" s="18">
        <f t="shared" si="203"/>
        <v>45628727.233133636</v>
      </c>
      <c r="EH28" s="18">
        <f t="shared" si="203"/>
        <v>44247485.70926892</v>
      </c>
      <c r="EI28" s="18">
        <f t="shared" si="203"/>
        <v>47271367.337442167</v>
      </c>
      <c r="EJ28" s="18">
        <f t="shared" si="203"/>
        <v>50705893.827609204</v>
      </c>
      <c r="EK28" s="18">
        <f t="shared" si="203"/>
        <v>48478846.726208776</v>
      </c>
      <c r="EL28" s="18">
        <f t="shared" si="203"/>
        <v>50901618.542502671</v>
      </c>
      <c r="EM28" s="18">
        <f t="shared" si="203"/>
        <v>55153389.481101967</v>
      </c>
      <c r="EN28" s="18">
        <f t="shared" si="203"/>
        <v>53212487.853578344</v>
      </c>
      <c r="EO28" s="18">
        <f t="shared" si="203"/>
        <v>58815219.801231988</v>
      </c>
      <c r="EP28" s="18">
        <f t="shared" si="203"/>
        <v>62466089.867663898</v>
      </c>
      <c r="EQ28" s="18">
        <f t="shared" si="203"/>
        <v>58559878.261259757</v>
      </c>
      <c r="ER28" s="18">
        <f t="shared" ref="ER28:FB28" si="204">SUM(ER29:ER31)</f>
        <v>61176138.716696374</v>
      </c>
      <c r="ES28" s="18">
        <f t="shared" si="204"/>
        <v>66126685.460003398</v>
      </c>
      <c r="ET28" s="18">
        <f t="shared" si="204"/>
        <v>64490877.314883865</v>
      </c>
      <c r="EU28" s="18">
        <f t="shared" si="204"/>
        <v>68526362.421474829</v>
      </c>
      <c r="EV28" s="18">
        <f t="shared" si="204"/>
        <v>73161416.114082128</v>
      </c>
      <c r="EW28" s="18">
        <f t="shared" si="204"/>
        <v>70443066.238169789</v>
      </c>
      <c r="EX28" s="18">
        <f t="shared" si="204"/>
        <v>73680112.934746787</v>
      </c>
      <c r="EY28" s="18">
        <f t="shared" si="204"/>
        <v>79365275.228795201</v>
      </c>
      <c r="EZ28" s="18">
        <f t="shared" si="204"/>
        <v>77030889.604642108</v>
      </c>
      <c r="FA28" s="18">
        <f t="shared" si="204"/>
        <v>84430891.22135964</v>
      </c>
      <c r="FB28" s="18">
        <f t="shared" si="204"/>
        <v>89436705.547264457</v>
      </c>
    </row>
    <row r="29" spans="3:158" x14ac:dyDescent="0.25">
      <c r="C29" s="2" t="s">
        <v>0</v>
      </c>
      <c r="D29" s="50">
        <f t="shared" ref="D29:L31" si="205">SUMIF($AY$2:$FB$2,D$2,$AY29:$FB29)</f>
        <v>19713700</v>
      </c>
      <c r="E29" s="50">
        <f t="shared" si="205"/>
        <v>40419920</v>
      </c>
      <c r="F29" s="50">
        <f t="shared" si="205"/>
        <v>64239584.310000002</v>
      </c>
      <c r="G29" s="50">
        <f t="shared" si="205"/>
        <v>99185125.011610255</v>
      </c>
      <c r="H29" s="50">
        <f t="shared" si="205"/>
        <v>163824516.22970057</v>
      </c>
      <c r="I29" s="50">
        <f t="shared" si="205"/>
        <v>252224033.36129937</v>
      </c>
      <c r="J29" s="50">
        <f t="shared" si="205"/>
        <v>379689106.71435434</v>
      </c>
      <c r="K29" s="50">
        <f t="shared" si="205"/>
        <v>562730099.1669724</v>
      </c>
      <c r="L29" s="50">
        <f t="shared" si="205"/>
        <v>821066815.11806583</v>
      </c>
      <c r="M29" s="2"/>
      <c r="N29" s="16">
        <f t="shared" si="200"/>
        <v>3465852</v>
      </c>
      <c r="O29" s="16">
        <f>SUM(BB29:BD29)</f>
        <v>4455495</v>
      </c>
      <c r="P29" s="16">
        <f>SUM(BE29:BG29)</f>
        <v>5387049</v>
      </c>
      <c r="Q29" s="16">
        <f>SUM(BH29:BJ29)</f>
        <v>6405304</v>
      </c>
      <c r="R29" s="16">
        <f>SUM(BK29:BM29)</f>
        <v>7893746</v>
      </c>
      <c r="S29" s="16">
        <f>SUM(BN29:BP29)</f>
        <v>9292873</v>
      </c>
      <c r="T29" s="16">
        <f>SUM(BQ29:BS29)</f>
        <v>10939757</v>
      </c>
      <c r="U29" s="16">
        <f>SUM(BT29:BV29)</f>
        <v>12293544</v>
      </c>
      <c r="V29" s="16">
        <f>SUM(BW29:BY29)</f>
        <v>14083520.309999999</v>
      </c>
      <c r="W29" s="16">
        <f>SUM(BZ29:CB29)</f>
        <v>15021986</v>
      </c>
      <c r="X29" s="16">
        <f>SUM(CC29:CE29)</f>
        <v>16643571</v>
      </c>
      <c r="Y29" s="16">
        <f>SUM(CF29:CH29)</f>
        <v>18490507</v>
      </c>
      <c r="Z29" s="16">
        <f>SUM(CI29:CK29)</f>
        <v>20816942.379999999</v>
      </c>
      <c r="AA29" s="16">
        <f>SUM(CL29:CN29)</f>
        <v>23022949</v>
      </c>
      <c r="AB29" s="16">
        <f>SUM(CO29:CQ29)</f>
        <v>25897843.698182579</v>
      </c>
      <c r="AC29" s="16">
        <f>SUM(CR29:CT29)</f>
        <v>29447389.933427677</v>
      </c>
      <c r="AD29" s="16">
        <f>SUM(CU29:CW29)</f>
        <v>34546067.568473645</v>
      </c>
      <c r="AE29" s="16">
        <f>SUM(CX29:CZ29)</f>
        <v>38449266.259672567</v>
      </c>
      <c r="AF29" s="16">
        <f>SUM(DA29:DC29)</f>
        <v>42622108.661880247</v>
      </c>
      <c r="AG29" s="16">
        <f>SUM(DD29:DF29)</f>
        <v>48207073.739674069</v>
      </c>
      <c r="AH29" s="16">
        <f>SUM(DG29:DI29)</f>
        <v>53483579.24447681</v>
      </c>
      <c r="AI29" s="16">
        <f>SUM(DJ29:DL29)</f>
        <v>59489041.857181221</v>
      </c>
      <c r="AJ29" s="16">
        <f>SUM(DM29:DO29)</f>
        <v>65716214.870349407</v>
      </c>
      <c r="AK29" s="16">
        <f>SUM(DP29:DR29)</f>
        <v>73535197.389291897</v>
      </c>
      <c r="AL29" s="16">
        <f>SUM(DS29:DU29)</f>
        <v>81047196.523242041</v>
      </c>
      <c r="AM29" s="16">
        <f>SUM(DV29:DX29)</f>
        <v>89751923.028776944</v>
      </c>
      <c r="AN29" s="16">
        <f>SUM(DY29:EA29)</f>
        <v>98778216.127662122</v>
      </c>
      <c r="AO29" s="16">
        <f>SUM(EB29:ED29)</f>
        <v>110111771.03467326</v>
      </c>
      <c r="AP29" s="16">
        <f>SUM(EE29:EG29)</f>
        <v>120913194.16995655</v>
      </c>
      <c r="AQ29" s="16">
        <f>SUM(EH29:EJ29)</f>
        <v>133315711.05480084</v>
      </c>
      <c r="AR29" s="16">
        <f>SUM(EK29:EM29)</f>
        <v>146176506.87523484</v>
      </c>
      <c r="AS29" s="16">
        <f>SUM(EN29:EP29)</f>
        <v>162324687.06698018</v>
      </c>
      <c r="AT29" s="16">
        <f>SUM(EQ29:ES29)</f>
        <v>177589941.12113309</v>
      </c>
      <c r="AU29" s="16">
        <f>SUM(ET29:EV29)</f>
        <v>194953270.7178463</v>
      </c>
      <c r="AV29" s="16">
        <f>SUM(EW29:EY29)</f>
        <v>212958196.07974273</v>
      </c>
      <c r="AW29" s="16">
        <f>SUM(EZ29:FB29)</f>
        <v>235565407.19934368</v>
      </c>
      <c r="AX29" s="2"/>
      <c r="AY29" s="16">
        <v>1098069</v>
      </c>
      <c r="AZ29" s="16">
        <v>1140048</v>
      </c>
      <c r="BA29" s="16">
        <v>1227735</v>
      </c>
      <c r="BB29" s="16">
        <v>1453867</v>
      </c>
      <c r="BC29" s="16">
        <v>1439738</v>
      </c>
      <c r="BD29" s="16">
        <v>1561890</v>
      </c>
      <c r="BE29" s="16">
        <v>1692687</v>
      </c>
      <c r="BF29" s="16">
        <v>1747361</v>
      </c>
      <c r="BG29" s="16">
        <v>1947001</v>
      </c>
      <c r="BH29" s="16">
        <v>2029419</v>
      </c>
      <c r="BI29" s="16">
        <v>2083742</v>
      </c>
      <c r="BJ29" s="16">
        <v>2292143</v>
      </c>
      <c r="BK29" s="16">
        <v>2530196</v>
      </c>
      <c r="BL29" s="16">
        <v>2594958</v>
      </c>
      <c r="BM29" s="16">
        <v>2768592</v>
      </c>
      <c r="BN29" s="16">
        <v>2924581</v>
      </c>
      <c r="BO29" s="16">
        <v>3088258</v>
      </c>
      <c r="BP29" s="16">
        <v>3280034</v>
      </c>
      <c r="BQ29" s="16">
        <v>3493109</v>
      </c>
      <c r="BR29" s="16">
        <v>3610885</v>
      </c>
      <c r="BS29" s="16">
        <v>3835763</v>
      </c>
      <c r="BT29" s="16">
        <v>3956020</v>
      </c>
      <c r="BU29" s="16">
        <v>4133582</v>
      </c>
      <c r="BV29" s="16">
        <v>4203942</v>
      </c>
      <c r="BW29" s="16">
        <v>4638943.3099999996</v>
      </c>
      <c r="BX29" s="16">
        <v>4698460</v>
      </c>
      <c r="BY29" s="16">
        <v>4746117</v>
      </c>
      <c r="BZ29" s="16">
        <v>4914182</v>
      </c>
      <c r="CA29" s="16">
        <v>4969103</v>
      </c>
      <c r="CB29" s="16">
        <v>5138701</v>
      </c>
      <c r="CC29" s="16">
        <v>5352375</v>
      </c>
      <c r="CD29" s="16">
        <v>5573901</v>
      </c>
      <c r="CE29" s="16">
        <v>5717295</v>
      </c>
      <c r="CF29" s="16">
        <v>6023768</v>
      </c>
      <c r="CG29" s="16">
        <v>6143071</v>
      </c>
      <c r="CH29" s="16">
        <v>6323668</v>
      </c>
      <c r="CI29" s="16">
        <v>6691585.3799999999</v>
      </c>
      <c r="CJ29" s="16">
        <v>6919358</v>
      </c>
      <c r="CK29" s="16">
        <v>7205999</v>
      </c>
      <c r="CL29" s="16">
        <v>7416491</v>
      </c>
      <c r="CM29" s="16">
        <v>7668693</v>
      </c>
      <c r="CN29" s="16">
        <v>7937765</v>
      </c>
      <c r="CO29" s="16">
        <v>8302009.5512404144</v>
      </c>
      <c r="CP29" s="16">
        <v>8646491.473179331</v>
      </c>
      <c r="CQ29" s="16">
        <v>8949342.6737628318</v>
      </c>
      <c r="CR29" s="16">
        <v>9526840.2687318306</v>
      </c>
      <c r="CS29" s="16">
        <v>9667647.6895076577</v>
      </c>
      <c r="CT29" s="16">
        <v>10252901.975188186</v>
      </c>
      <c r="CU29" s="16">
        <f t="shared" ref="CU29:DZ29" si="206">CU52*CU14</f>
        <v>11106845.076031948</v>
      </c>
      <c r="CV29" s="16">
        <f t="shared" si="206"/>
        <v>11412672.620240431</v>
      </c>
      <c r="CW29" s="16">
        <f t="shared" si="206"/>
        <v>12026549.872201266</v>
      </c>
      <c r="CX29" s="16">
        <f t="shared" si="206"/>
        <v>12247697.627074363</v>
      </c>
      <c r="CY29" s="16">
        <f t="shared" si="206"/>
        <v>12751372.233092962</v>
      </c>
      <c r="CZ29" s="16">
        <f t="shared" si="206"/>
        <v>13450196.399505246</v>
      </c>
      <c r="DA29" s="16">
        <f t="shared" si="206"/>
        <v>13659590.016513929</v>
      </c>
      <c r="DB29" s="16">
        <f t="shared" si="206"/>
        <v>14094624.701205218</v>
      </c>
      <c r="DC29" s="16">
        <f t="shared" si="206"/>
        <v>14867893.944161102</v>
      </c>
      <c r="DD29" s="16">
        <f t="shared" si="206"/>
        <v>15172207.133641621</v>
      </c>
      <c r="DE29" s="16">
        <f t="shared" si="206"/>
        <v>16018278.937795462</v>
      </c>
      <c r="DF29" s="16">
        <f t="shared" si="206"/>
        <v>17016587.668236986</v>
      </c>
      <c r="DG29" s="16">
        <f t="shared" si="206"/>
        <v>17212336.897163805</v>
      </c>
      <c r="DH29" s="16">
        <f t="shared" si="206"/>
        <v>17677603.773634151</v>
      </c>
      <c r="DI29" s="16">
        <f t="shared" si="206"/>
        <v>18593638.573678851</v>
      </c>
      <c r="DJ29" s="16">
        <f t="shared" si="206"/>
        <v>18955452.084520832</v>
      </c>
      <c r="DK29" s="16">
        <f t="shared" si="206"/>
        <v>19734925.831550658</v>
      </c>
      <c r="DL29" s="16">
        <f t="shared" si="206"/>
        <v>20798663.941109732</v>
      </c>
      <c r="DM29" s="16">
        <f t="shared" si="206"/>
        <v>21102312.099203229</v>
      </c>
      <c r="DN29" s="16">
        <f t="shared" si="206"/>
        <v>21739903.32491903</v>
      </c>
      <c r="DO29" s="16">
        <f t="shared" si="206"/>
        <v>22873999.446227148</v>
      </c>
      <c r="DP29" s="16">
        <f t="shared" si="206"/>
        <v>23258605.594074294</v>
      </c>
      <c r="DQ29" s="16">
        <f t="shared" si="206"/>
        <v>24436665.351275906</v>
      </c>
      <c r="DR29" s="16">
        <f t="shared" si="206"/>
        <v>25839926.443941694</v>
      </c>
      <c r="DS29" s="16">
        <f t="shared" si="206"/>
        <v>26123557.831448343</v>
      </c>
      <c r="DT29" s="16">
        <f t="shared" si="206"/>
        <v>26797935.529615238</v>
      </c>
      <c r="DU29" s="16">
        <f t="shared" si="206"/>
        <v>28125703.162178453</v>
      </c>
      <c r="DV29" s="16">
        <f t="shared" si="206"/>
        <v>28650012.60685439</v>
      </c>
      <c r="DW29" s="16">
        <f t="shared" si="206"/>
        <v>29779987.253356345</v>
      </c>
      <c r="DX29" s="16">
        <f t="shared" si="206"/>
        <v>31321923.168566208</v>
      </c>
      <c r="DY29" s="16">
        <f t="shared" si="206"/>
        <v>31761890.108045306</v>
      </c>
      <c r="DZ29" s="16">
        <f t="shared" si="206"/>
        <v>32686144.096441854</v>
      </c>
      <c r="EA29" s="16">
        <f t="shared" ref="EA29:FB29" si="207">EA52*EA14</f>
        <v>34330181.92317497</v>
      </c>
      <c r="EB29" s="16">
        <f t="shared" si="207"/>
        <v>34887543.407879204</v>
      </c>
      <c r="EC29" s="16">
        <f t="shared" si="207"/>
        <v>36595062.892898269</v>
      </c>
      <c r="ED29" s="16">
        <f t="shared" si="207"/>
        <v>38629164.733895794</v>
      </c>
      <c r="EE29" s="16">
        <f t="shared" si="207"/>
        <v>39033229.182983451</v>
      </c>
      <c r="EF29" s="16">
        <f t="shared" si="207"/>
        <v>39994077.925404459</v>
      </c>
      <c r="EG29" s="16">
        <f t="shared" si="207"/>
        <v>41885887.061568633</v>
      </c>
      <c r="EH29" s="16">
        <f t="shared" si="207"/>
        <v>42632855.795555823</v>
      </c>
      <c r="EI29" s="16">
        <f t="shared" si="207"/>
        <v>44242928.56796591</v>
      </c>
      <c r="EJ29" s="16">
        <f t="shared" si="207"/>
        <v>46439926.691279106</v>
      </c>
      <c r="EK29" s="16">
        <f t="shared" si="207"/>
        <v>47066705.87936309</v>
      </c>
      <c r="EL29" s="16">
        <f t="shared" si="207"/>
        <v>48383631.55439879</v>
      </c>
      <c r="EM29" s="16">
        <f t="shared" si="207"/>
        <v>50726169.441472948</v>
      </c>
      <c r="EN29" s="16">
        <f t="shared" si="207"/>
        <v>51520238.793790057</v>
      </c>
      <c r="EO29" s="16">
        <f t="shared" si="207"/>
        <v>53953095.155248165</v>
      </c>
      <c r="EP29" s="16">
        <f t="shared" si="207"/>
        <v>56851353.117941946</v>
      </c>
      <c r="EQ29" s="16">
        <f t="shared" si="207"/>
        <v>57417030.893933937</v>
      </c>
      <c r="ER29" s="16">
        <f t="shared" si="207"/>
        <v>58762203.383367635</v>
      </c>
      <c r="ES29" s="16">
        <f t="shared" si="207"/>
        <v>61410706.843831494</v>
      </c>
      <c r="ET29" s="16">
        <f t="shared" si="207"/>
        <v>62456443.623605363</v>
      </c>
      <c r="EU29" s="16">
        <f t="shared" si="207"/>
        <v>64710529.571934745</v>
      </c>
      <c r="EV29" s="16">
        <f t="shared" si="207"/>
        <v>67786297.522306204</v>
      </c>
      <c r="EW29" s="16">
        <f t="shared" si="207"/>
        <v>68663768.771144226</v>
      </c>
      <c r="EX29" s="16">
        <f t="shared" si="207"/>
        <v>70507449.32973589</v>
      </c>
      <c r="EY29" s="16">
        <f t="shared" si="207"/>
        <v>73786977.978862628</v>
      </c>
      <c r="EZ29" s="16">
        <f t="shared" si="207"/>
        <v>74898655.789308876</v>
      </c>
      <c r="FA29" s="16">
        <f t="shared" si="207"/>
        <v>78304614.16742003</v>
      </c>
      <c r="FB29" s="16">
        <f t="shared" si="207"/>
        <v>82362137.242614791</v>
      </c>
    </row>
    <row r="30" spans="3:158" x14ac:dyDescent="0.25">
      <c r="C30" s="2" t="s">
        <v>1</v>
      </c>
      <c r="D30" s="50">
        <f t="shared" si="205"/>
        <v>1217695</v>
      </c>
      <c r="E30" s="50">
        <f t="shared" si="205"/>
        <v>2680076</v>
      </c>
      <c r="F30" s="50">
        <f t="shared" si="205"/>
        <v>3539607</v>
      </c>
      <c r="G30" s="50">
        <f t="shared" si="205"/>
        <v>5634818.8723765453</v>
      </c>
      <c r="H30" s="50">
        <f t="shared" si="205"/>
        <v>11812500</v>
      </c>
      <c r="I30" s="50">
        <f t="shared" si="205"/>
        <v>17423437.500000004</v>
      </c>
      <c r="J30" s="50">
        <f t="shared" si="205"/>
        <v>25263984.375000004</v>
      </c>
      <c r="K30" s="50">
        <f t="shared" si="205"/>
        <v>36001177.734375</v>
      </c>
      <c r="L30" s="50">
        <f t="shared" si="205"/>
        <v>45361483.945312515</v>
      </c>
      <c r="M30" s="2"/>
      <c r="N30" s="16">
        <f t="shared" si="200"/>
        <v>66755</v>
      </c>
      <c r="O30" s="16">
        <f>SUM(BB30:BD30)</f>
        <v>224387</v>
      </c>
      <c r="P30" s="16">
        <f>SUM(BE30:BG30)</f>
        <v>392750</v>
      </c>
      <c r="Q30" s="16">
        <f>SUM(BH30:BJ30)</f>
        <v>533803</v>
      </c>
      <c r="R30" s="16">
        <f>SUM(BK30:BM30)</f>
        <v>544732</v>
      </c>
      <c r="S30" s="16">
        <f>SUM(BN30:BP30)</f>
        <v>613804</v>
      </c>
      <c r="T30" s="16">
        <f>SUM(BQ30:BS30)</f>
        <v>652511</v>
      </c>
      <c r="U30" s="16">
        <f>SUM(BT30:BV30)</f>
        <v>869029</v>
      </c>
      <c r="V30" s="16">
        <f>SUM(BW30:BY30)</f>
        <v>875546</v>
      </c>
      <c r="W30" s="16">
        <f>SUM(BZ30:CB30)</f>
        <v>779242</v>
      </c>
      <c r="X30" s="16">
        <f>SUM(CC30:CE30)</f>
        <v>970220</v>
      </c>
      <c r="Y30" s="16">
        <f>SUM(CF30:CH30)</f>
        <v>914599</v>
      </c>
      <c r="Z30" s="16">
        <f>SUM(CI30:CK30)</f>
        <v>1040095.15</v>
      </c>
      <c r="AA30" s="16">
        <f>SUM(CL30:CN30)</f>
        <v>1137199</v>
      </c>
      <c r="AB30" s="16">
        <f>SUM(CO30:CQ30)</f>
        <v>1593904.5898655455</v>
      </c>
      <c r="AC30" s="16">
        <f>SUM(CR30:CT30)</f>
        <v>1863620.1325110001</v>
      </c>
      <c r="AD30" s="16">
        <f>SUM(CU30:CW30)</f>
        <v>2090506.9488506054</v>
      </c>
      <c r="AE30" s="16">
        <f>SUM(CX30:CZ30)</f>
        <v>2781431.7468457194</v>
      </c>
      <c r="AF30" s="16">
        <f>SUM(DA30:DC30)</f>
        <v>2742165.0618445631</v>
      </c>
      <c r="AG30" s="16">
        <f>SUM(DD30:DF30)</f>
        <v>4198396.2424591118</v>
      </c>
      <c r="AH30" s="16">
        <f>SUM(DG30:DI30)</f>
        <v>3177584.3120546434</v>
      </c>
      <c r="AI30" s="16">
        <f>SUM(DJ30:DL30)</f>
        <v>4311693.0765974363</v>
      </c>
      <c r="AJ30" s="16">
        <f>SUM(DM30:DO30)</f>
        <v>4044693.4662207309</v>
      </c>
      <c r="AK30" s="16">
        <f>SUM(DP30:DR30)</f>
        <v>5889466.6451271903</v>
      </c>
      <c r="AL30" s="16">
        <f>SUM(DS30:DU30)</f>
        <v>4607497.2524792338</v>
      </c>
      <c r="AM30" s="16">
        <f>SUM(DV30:DX30)</f>
        <v>6251954.9610662842</v>
      </c>
      <c r="AN30" s="16">
        <f>SUM(DY30:EA30)</f>
        <v>5864805.5260200594</v>
      </c>
      <c r="AO30" s="16">
        <f>SUM(EB30:ED30)</f>
        <v>8539726.6354344264</v>
      </c>
      <c r="AP30" s="16">
        <f>SUM(EE30:EG30)</f>
        <v>6565683.5847829077</v>
      </c>
      <c r="AQ30" s="16">
        <f>SUM(EH30:EJ30)</f>
        <v>8909035.8195194565</v>
      </c>
      <c r="AR30" s="16">
        <f>SUM(EK30:EM30)</f>
        <v>8357347.8745785868</v>
      </c>
      <c r="AS30" s="16">
        <f>SUM(EN30:EP30)</f>
        <v>12169110.455494057</v>
      </c>
      <c r="AT30" s="16">
        <f>SUM(EQ30:ES30)</f>
        <v>8272761.3168264646</v>
      </c>
      <c r="AU30" s="16">
        <f>SUM(ET30:EV30)</f>
        <v>11225385.132594515</v>
      </c>
      <c r="AV30" s="16">
        <f>SUM(EW30:EY30)</f>
        <v>10530258.321969019</v>
      </c>
      <c r="AW30" s="16">
        <f>SUM(EZ30:FB30)</f>
        <v>15333079.173922513</v>
      </c>
      <c r="AX30" s="2"/>
      <c r="AY30" s="16">
        <v>12650</v>
      </c>
      <c r="AZ30" s="16">
        <v>16000</v>
      </c>
      <c r="BA30" s="16">
        <v>38105</v>
      </c>
      <c r="BB30" s="16">
        <v>5120</v>
      </c>
      <c r="BC30" s="16">
        <v>118749</v>
      </c>
      <c r="BD30" s="16">
        <v>100518</v>
      </c>
      <c r="BE30" s="16">
        <v>152940</v>
      </c>
      <c r="BF30" s="16">
        <v>135562</v>
      </c>
      <c r="BG30" s="16">
        <v>104248</v>
      </c>
      <c r="BH30" s="16">
        <v>165132</v>
      </c>
      <c r="BI30" s="16">
        <v>189147</v>
      </c>
      <c r="BJ30" s="16">
        <v>179524</v>
      </c>
      <c r="BK30" s="16">
        <v>230146</v>
      </c>
      <c r="BL30" s="16">
        <v>169713</v>
      </c>
      <c r="BM30" s="16">
        <v>144873</v>
      </c>
      <c r="BN30" s="16">
        <v>224892</v>
      </c>
      <c r="BO30" s="16">
        <v>215948</v>
      </c>
      <c r="BP30" s="16">
        <v>172964</v>
      </c>
      <c r="BQ30" s="16">
        <v>204212</v>
      </c>
      <c r="BR30" s="16">
        <v>255199</v>
      </c>
      <c r="BS30" s="16">
        <v>193100</v>
      </c>
      <c r="BT30" s="16">
        <v>270475</v>
      </c>
      <c r="BU30" s="16">
        <v>281661</v>
      </c>
      <c r="BV30" s="16">
        <v>316893</v>
      </c>
      <c r="BW30" s="16">
        <v>396398</v>
      </c>
      <c r="BX30" s="16">
        <v>270210</v>
      </c>
      <c r="BY30" s="16">
        <v>208938</v>
      </c>
      <c r="BZ30" s="16">
        <v>291526</v>
      </c>
      <c r="CA30" s="16">
        <v>260539</v>
      </c>
      <c r="CB30" s="16">
        <v>227177</v>
      </c>
      <c r="CC30" s="16">
        <v>337063</v>
      </c>
      <c r="CD30" s="16">
        <v>324489</v>
      </c>
      <c r="CE30" s="16">
        <v>308668</v>
      </c>
      <c r="CF30" s="16">
        <v>309140</v>
      </c>
      <c r="CG30" s="16">
        <v>298689</v>
      </c>
      <c r="CH30" s="16">
        <v>306770</v>
      </c>
      <c r="CI30" s="16">
        <v>396476.15</v>
      </c>
      <c r="CJ30" s="16">
        <v>388299</v>
      </c>
      <c r="CK30" s="16">
        <v>255320</v>
      </c>
      <c r="CL30" s="16">
        <v>361185</v>
      </c>
      <c r="CM30" s="16">
        <v>412503</v>
      </c>
      <c r="CN30" s="16">
        <v>363511</v>
      </c>
      <c r="CO30" s="16">
        <v>516541.66339999996</v>
      </c>
      <c r="CP30" s="16">
        <v>510656.18875615153</v>
      </c>
      <c r="CQ30" s="16">
        <v>566706.73770939396</v>
      </c>
      <c r="CR30" s="16">
        <v>595313.47548545455</v>
      </c>
      <c r="CS30" s="16">
        <v>591436.61501600011</v>
      </c>
      <c r="CT30" s="16">
        <v>676870.04200954549</v>
      </c>
      <c r="CU30" s="16">
        <f t="shared" ref="CU30:DZ30" si="208">CU17*CU53</f>
        <v>276344.26574892498</v>
      </c>
      <c r="CV30" s="16">
        <f t="shared" si="208"/>
        <v>607345.92822784989</v>
      </c>
      <c r="CW30" s="16">
        <f t="shared" si="208"/>
        <v>1206816.7548738306</v>
      </c>
      <c r="CX30" s="16">
        <f t="shared" si="208"/>
        <v>482533.10866548883</v>
      </c>
      <c r="CY30" s="16">
        <f t="shared" si="208"/>
        <v>946423.96334594837</v>
      </c>
      <c r="CZ30" s="16">
        <f t="shared" si="208"/>
        <v>1352474.6748342824</v>
      </c>
      <c r="DA30" s="16">
        <f t="shared" si="208"/>
        <v>463343.55715916475</v>
      </c>
      <c r="DB30" s="16">
        <f t="shared" si="208"/>
        <v>826187.45187819027</v>
      </c>
      <c r="DC30" s="16">
        <f t="shared" si="208"/>
        <v>1452634.0528072082</v>
      </c>
      <c r="DD30" s="16">
        <f t="shared" si="208"/>
        <v>623763.55779143283</v>
      </c>
      <c r="DE30" s="16">
        <f t="shared" si="208"/>
        <v>1663844.9584113343</v>
      </c>
      <c r="DF30" s="16">
        <f t="shared" si="208"/>
        <v>1910787.7262563445</v>
      </c>
      <c r="DG30" s="16">
        <f t="shared" si="208"/>
        <v>438969.97947966441</v>
      </c>
      <c r="DH30" s="16">
        <f t="shared" si="208"/>
        <v>927197.43163607887</v>
      </c>
      <c r="DI30" s="16">
        <f t="shared" si="208"/>
        <v>1811416.9009389002</v>
      </c>
      <c r="DJ30" s="16">
        <f t="shared" si="208"/>
        <v>781430.08528159594</v>
      </c>
      <c r="DK30" s="16">
        <f t="shared" si="208"/>
        <v>1465669.0959352741</v>
      </c>
      <c r="DL30" s="16">
        <f t="shared" si="208"/>
        <v>2064593.8953805666</v>
      </c>
      <c r="DM30" s="16">
        <f t="shared" si="208"/>
        <v>683431.74680976814</v>
      </c>
      <c r="DN30" s="16">
        <f t="shared" si="208"/>
        <v>1218626.4915203308</v>
      </c>
      <c r="DO30" s="16">
        <f t="shared" si="208"/>
        <v>2142635.2278906321</v>
      </c>
      <c r="DP30" s="16">
        <f t="shared" si="208"/>
        <v>818995.31024236348</v>
      </c>
      <c r="DQ30" s="16">
        <f t="shared" si="208"/>
        <v>2353115.3761567185</v>
      </c>
      <c r="DR30" s="16">
        <f t="shared" si="208"/>
        <v>2717355.9587281086</v>
      </c>
      <c r="DS30" s="16">
        <f t="shared" si="208"/>
        <v>636506.4702455136</v>
      </c>
      <c r="DT30" s="16">
        <f t="shared" si="208"/>
        <v>1344436.2758723143</v>
      </c>
      <c r="DU30" s="16">
        <f t="shared" si="208"/>
        <v>2626554.5063614058</v>
      </c>
      <c r="DV30" s="16">
        <f t="shared" si="208"/>
        <v>1133073.6236583146</v>
      </c>
      <c r="DW30" s="16">
        <f t="shared" si="208"/>
        <v>2125220.1891061477</v>
      </c>
      <c r="DX30" s="16">
        <f t="shared" si="208"/>
        <v>2993661.1483018221</v>
      </c>
      <c r="DY30" s="16">
        <f t="shared" si="208"/>
        <v>990976.03287416382</v>
      </c>
      <c r="DZ30" s="16">
        <f t="shared" si="208"/>
        <v>1767008.4127044794</v>
      </c>
      <c r="EA30" s="16">
        <f t="shared" ref="EA30:FB30" si="209">EA17*EA53</f>
        <v>3106821.0804414167</v>
      </c>
      <c r="EB30" s="16">
        <f t="shared" si="209"/>
        <v>1187543.199851427</v>
      </c>
      <c r="EC30" s="16">
        <f t="shared" si="209"/>
        <v>3412017.2954272418</v>
      </c>
      <c r="ED30" s="16">
        <f t="shared" si="209"/>
        <v>3940166.1401557573</v>
      </c>
      <c r="EE30" s="16">
        <f t="shared" si="209"/>
        <v>907021.72009985673</v>
      </c>
      <c r="EF30" s="16">
        <f t="shared" si="209"/>
        <v>1915821.6931180479</v>
      </c>
      <c r="EG30" s="16">
        <f t="shared" si="209"/>
        <v>3742840.1715650032</v>
      </c>
      <c r="EH30" s="16">
        <f t="shared" si="209"/>
        <v>1614629.9137130978</v>
      </c>
      <c r="EI30" s="16">
        <f t="shared" si="209"/>
        <v>3028438.7694762605</v>
      </c>
      <c r="EJ30" s="16">
        <f t="shared" si="209"/>
        <v>4265967.136330097</v>
      </c>
      <c r="EK30" s="16">
        <f t="shared" si="209"/>
        <v>1412140.8468456836</v>
      </c>
      <c r="EL30" s="16">
        <f t="shared" si="209"/>
        <v>2517986.9881038833</v>
      </c>
      <c r="EM30" s="16">
        <f t="shared" si="209"/>
        <v>4427220.0396290198</v>
      </c>
      <c r="EN30" s="16">
        <f t="shared" si="209"/>
        <v>1692249.0597882837</v>
      </c>
      <c r="EO30" s="16">
        <f t="shared" si="209"/>
        <v>4862124.6459838198</v>
      </c>
      <c r="EP30" s="16">
        <f t="shared" si="209"/>
        <v>5614736.7497219536</v>
      </c>
      <c r="EQ30" s="16">
        <f t="shared" si="209"/>
        <v>1142847.3673258196</v>
      </c>
      <c r="ER30" s="16">
        <f t="shared" si="209"/>
        <v>2413935.3333287407</v>
      </c>
      <c r="ES30" s="16">
        <f t="shared" si="209"/>
        <v>4715978.6161719039</v>
      </c>
      <c r="ET30" s="16">
        <f t="shared" si="209"/>
        <v>2034433.6912785037</v>
      </c>
      <c r="EU30" s="16">
        <f t="shared" si="209"/>
        <v>3815832.8495400879</v>
      </c>
      <c r="EV30" s="16">
        <f t="shared" si="209"/>
        <v>5375118.5917759221</v>
      </c>
      <c r="EW30" s="16">
        <f t="shared" si="209"/>
        <v>1779297.4670255613</v>
      </c>
      <c r="EX30" s="16">
        <f t="shared" si="209"/>
        <v>3172663.6050108937</v>
      </c>
      <c r="EY30" s="16">
        <f t="shared" si="209"/>
        <v>5578297.2499325648</v>
      </c>
      <c r="EZ30" s="16">
        <f t="shared" si="209"/>
        <v>2132233.8153332374</v>
      </c>
      <c r="FA30" s="16">
        <f t="shared" si="209"/>
        <v>6126277.0539396126</v>
      </c>
      <c r="FB30" s="16">
        <f t="shared" si="209"/>
        <v>7074568.3046496632</v>
      </c>
    </row>
    <row r="31" spans="3:158" x14ac:dyDescent="0.25">
      <c r="C31" s="2" t="s">
        <v>2</v>
      </c>
      <c r="D31" s="50">
        <f t="shared" si="205"/>
        <v>33605</v>
      </c>
      <c r="E31" s="50">
        <f t="shared" si="205"/>
        <v>19495</v>
      </c>
      <c r="F31" s="50">
        <f t="shared" si="205"/>
        <v>42779</v>
      </c>
      <c r="G31" s="50">
        <f>SUMIF($AY$2:$FB$2,G$2,$AY31:$FB31)</f>
        <v>29436.191112</v>
      </c>
      <c r="H31" s="50">
        <f t="shared" si="205"/>
        <v>0</v>
      </c>
      <c r="I31" s="50">
        <f t="shared" si="205"/>
        <v>0</v>
      </c>
      <c r="J31" s="50">
        <f t="shared" si="205"/>
        <v>0</v>
      </c>
      <c r="K31" s="50">
        <f t="shared" si="205"/>
        <v>0</v>
      </c>
      <c r="L31" s="50">
        <f t="shared" si="205"/>
        <v>0</v>
      </c>
      <c r="M31" s="2"/>
      <c r="N31" s="16">
        <f t="shared" si="200"/>
        <v>101</v>
      </c>
      <c r="O31" s="16">
        <f>SUM(BB31:BD31)</f>
        <v>225</v>
      </c>
      <c r="P31" s="16">
        <f>SUM(BE31:BG31)</f>
        <v>225</v>
      </c>
      <c r="Q31" s="16">
        <f>SUM(BH31:BJ31)</f>
        <v>33054</v>
      </c>
      <c r="R31" s="16">
        <f>SUM(BK31:BM31)</f>
        <v>123</v>
      </c>
      <c r="S31" s="16">
        <f>SUM(BN31:BP31)</f>
        <v>-16749</v>
      </c>
      <c r="T31" s="16">
        <f>SUM(BQ31:BS31)</f>
        <v>-2589</v>
      </c>
      <c r="U31" s="16">
        <f>SUM(BT31:BV31)</f>
        <v>38710</v>
      </c>
      <c r="V31" s="16">
        <f>SUM(BW31:BY31)</f>
        <v>9999</v>
      </c>
      <c r="W31" s="16">
        <f>SUM(BZ31:CB31)</f>
        <v>10027</v>
      </c>
      <c r="X31" s="16">
        <f>SUM(CC31:CE31)</f>
        <v>10396</v>
      </c>
      <c r="Y31" s="16">
        <f>SUM(CF31:CH31)</f>
        <v>12357</v>
      </c>
      <c r="Z31" s="16">
        <f>SUM(CI31:CK31)</f>
        <v>10233.191112</v>
      </c>
      <c r="AA31" s="16">
        <f>SUM(CL31:CN31)</f>
        <v>19203</v>
      </c>
      <c r="AB31" s="16">
        <f>SUM(CO31:CQ31)</f>
        <v>0</v>
      </c>
      <c r="AC31" s="16">
        <f>SUM(CR31:CT31)</f>
        <v>0</v>
      </c>
      <c r="AD31" s="16">
        <f>SUM(CU31:CW31)</f>
        <v>0</v>
      </c>
      <c r="AE31" s="16">
        <f>SUM(CX31:CZ31)</f>
        <v>0</v>
      </c>
      <c r="AF31" s="16">
        <f>SUM(DA31:DC31)</f>
        <v>0</v>
      </c>
      <c r="AG31" s="16">
        <f>SUM(DD31:DF31)</f>
        <v>0</v>
      </c>
      <c r="AH31" s="16">
        <f>SUM(DG31:DI31)</f>
        <v>0</v>
      </c>
      <c r="AI31" s="16">
        <f>SUM(DJ31:DL31)</f>
        <v>0</v>
      </c>
      <c r="AJ31" s="16">
        <f>SUM(DM31:DO31)</f>
        <v>0</v>
      </c>
      <c r="AK31" s="16">
        <f>SUM(DP31:DR31)</f>
        <v>0</v>
      </c>
      <c r="AL31" s="16">
        <f>SUM(DS31:DU31)</f>
        <v>0</v>
      </c>
      <c r="AM31" s="16">
        <f>SUM(DV31:DX31)</f>
        <v>0</v>
      </c>
      <c r="AN31" s="16">
        <f>SUM(DY31:EA31)</f>
        <v>0</v>
      </c>
      <c r="AO31" s="16">
        <f>SUM(EB31:ED31)</f>
        <v>0</v>
      </c>
      <c r="AP31" s="16">
        <f>SUM(EE31:EG31)</f>
        <v>0</v>
      </c>
      <c r="AQ31" s="16">
        <f>SUM(EH31:EJ31)</f>
        <v>0</v>
      </c>
      <c r="AR31" s="16">
        <f>SUM(EK31:EM31)</f>
        <v>0</v>
      </c>
      <c r="AS31" s="16">
        <f>SUM(EN31:EP31)</f>
        <v>0</v>
      </c>
      <c r="AT31" s="16">
        <f>SUM(EQ31:ES31)</f>
        <v>0</v>
      </c>
      <c r="AU31" s="16">
        <f>SUM(ET31:EV31)</f>
        <v>0</v>
      </c>
      <c r="AV31" s="16">
        <f>SUM(EW31:EY31)</f>
        <v>0</v>
      </c>
      <c r="AW31" s="16">
        <f>SUM(EZ31:FB31)</f>
        <v>0</v>
      </c>
      <c r="AX31" s="2"/>
      <c r="AY31" s="16">
        <v>0</v>
      </c>
      <c r="AZ31" s="16">
        <v>26</v>
      </c>
      <c r="BA31" s="16">
        <v>75</v>
      </c>
      <c r="BB31" s="16">
        <v>75</v>
      </c>
      <c r="BC31" s="16">
        <v>75</v>
      </c>
      <c r="BD31" s="16">
        <v>75</v>
      </c>
      <c r="BE31" s="16">
        <v>75</v>
      </c>
      <c r="BF31" s="16">
        <v>75</v>
      </c>
      <c r="BG31" s="16">
        <v>75</v>
      </c>
      <c r="BH31" s="16">
        <v>75</v>
      </c>
      <c r="BI31" s="16">
        <v>75</v>
      </c>
      <c r="BJ31" s="16">
        <v>32904</v>
      </c>
      <c r="BK31" s="16">
        <v>20075</v>
      </c>
      <c r="BL31" s="16">
        <v>20048</v>
      </c>
      <c r="BM31" s="16">
        <v>-40000</v>
      </c>
      <c r="BN31" s="16">
        <v>-6666</v>
      </c>
      <c r="BO31" s="16">
        <v>-6667</v>
      </c>
      <c r="BP31" s="16">
        <v>-3416</v>
      </c>
      <c r="BQ31" s="16">
        <v>0</v>
      </c>
      <c r="BR31" s="16">
        <v>-2589</v>
      </c>
      <c r="BS31" s="16">
        <v>0</v>
      </c>
      <c r="BT31" s="16">
        <v>2084</v>
      </c>
      <c r="BU31" s="16">
        <v>3293</v>
      </c>
      <c r="BV31" s="16">
        <v>33333</v>
      </c>
      <c r="BW31" s="16">
        <v>3333</v>
      </c>
      <c r="BX31" s="16">
        <v>3333</v>
      </c>
      <c r="BY31" s="16">
        <v>3333</v>
      </c>
      <c r="BZ31" s="16">
        <v>3333</v>
      </c>
      <c r="CA31" s="16">
        <v>3334</v>
      </c>
      <c r="CB31" s="16">
        <v>3360</v>
      </c>
      <c r="CC31" s="16">
        <v>4167</v>
      </c>
      <c r="CD31" s="16">
        <v>2036</v>
      </c>
      <c r="CE31" s="16">
        <v>4193</v>
      </c>
      <c r="CF31" s="16">
        <v>4314</v>
      </c>
      <c r="CG31" s="16">
        <v>4979</v>
      </c>
      <c r="CH31" s="16">
        <v>3064</v>
      </c>
      <c r="CI31" s="16">
        <v>3272.191112</v>
      </c>
      <c r="CJ31" s="16">
        <v>3272</v>
      </c>
      <c r="CK31" s="16">
        <v>3689</v>
      </c>
      <c r="CL31" s="16">
        <v>11020</v>
      </c>
      <c r="CM31" s="16">
        <v>4105</v>
      </c>
      <c r="CN31" s="16">
        <v>4078</v>
      </c>
      <c r="CO31" s="16">
        <v>0</v>
      </c>
      <c r="CP31" s="16">
        <v>0</v>
      </c>
      <c r="CQ31" s="16">
        <v>0</v>
      </c>
      <c r="CR31" s="16">
        <v>0</v>
      </c>
      <c r="CS31" s="16">
        <v>0</v>
      </c>
      <c r="CT31" s="16">
        <v>0</v>
      </c>
      <c r="CU31" s="16">
        <v>0</v>
      </c>
      <c r="CV31" s="16">
        <v>0</v>
      </c>
      <c r="CW31" s="16">
        <v>0</v>
      </c>
      <c r="CX31" s="16">
        <v>0</v>
      </c>
      <c r="CY31" s="16">
        <v>0</v>
      </c>
      <c r="CZ31" s="16">
        <v>0</v>
      </c>
      <c r="DA31" s="16">
        <v>0</v>
      </c>
      <c r="DB31" s="16">
        <v>0</v>
      </c>
      <c r="DC31" s="16">
        <v>0</v>
      </c>
      <c r="DD31" s="16">
        <v>0</v>
      </c>
      <c r="DE31" s="16">
        <v>0</v>
      </c>
      <c r="DF31" s="16">
        <v>0</v>
      </c>
      <c r="DG31" s="16">
        <v>0</v>
      </c>
      <c r="DH31" s="16">
        <v>0</v>
      </c>
      <c r="DI31" s="16">
        <v>0</v>
      </c>
      <c r="DJ31" s="16">
        <v>0</v>
      </c>
      <c r="DK31" s="16">
        <v>0</v>
      </c>
      <c r="DL31" s="16">
        <v>0</v>
      </c>
      <c r="DM31" s="16">
        <v>0</v>
      </c>
      <c r="DN31" s="16">
        <v>0</v>
      </c>
      <c r="DO31" s="16">
        <v>0</v>
      </c>
      <c r="DP31" s="16">
        <v>0</v>
      </c>
      <c r="DQ31" s="16">
        <v>0</v>
      </c>
      <c r="DR31" s="16">
        <v>0</v>
      </c>
      <c r="DS31" s="16">
        <v>0</v>
      </c>
      <c r="DT31" s="16">
        <v>0</v>
      </c>
      <c r="DU31" s="16">
        <v>0</v>
      </c>
      <c r="DV31" s="16">
        <v>0</v>
      </c>
      <c r="DW31" s="16">
        <v>0</v>
      </c>
      <c r="DX31" s="16">
        <v>0</v>
      </c>
      <c r="DY31" s="16">
        <v>0</v>
      </c>
      <c r="DZ31" s="16">
        <v>0</v>
      </c>
      <c r="EA31" s="16">
        <v>0</v>
      </c>
      <c r="EB31" s="16">
        <v>0</v>
      </c>
      <c r="EC31" s="16">
        <v>0</v>
      </c>
      <c r="ED31" s="16">
        <v>0</v>
      </c>
      <c r="EE31" s="16">
        <v>0</v>
      </c>
      <c r="EF31" s="16">
        <v>0</v>
      </c>
      <c r="EG31" s="16">
        <v>0</v>
      </c>
      <c r="EH31" s="16">
        <v>0</v>
      </c>
      <c r="EI31" s="16">
        <v>0</v>
      </c>
      <c r="EJ31" s="16">
        <v>0</v>
      </c>
      <c r="EK31" s="16">
        <v>0</v>
      </c>
      <c r="EL31" s="16">
        <v>0</v>
      </c>
      <c r="EM31" s="16">
        <v>0</v>
      </c>
      <c r="EN31" s="16">
        <v>0</v>
      </c>
      <c r="EO31" s="16">
        <v>0</v>
      </c>
      <c r="EP31" s="16">
        <v>0</v>
      </c>
      <c r="EQ31" s="16">
        <v>0</v>
      </c>
      <c r="ER31" s="16">
        <v>0</v>
      </c>
      <c r="ES31" s="16">
        <v>0</v>
      </c>
      <c r="ET31" s="16">
        <v>0</v>
      </c>
      <c r="EU31" s="16">
        <v>0</v>
      </c>
      <c r="EV31" s="16">
        <v>0</v>
      </c>
      <c r="EW31" s="16">
        <v>0</v>
      </c>
      <c r="EX31" s="16">
        <v>0</v>
      </c>
      <c r="EY31" s="16">
        <v>0</v>
      </c>
      <c r="EZ31" s="16">
        <v>0</v>
      </c>
      <c r="FA31" s="16">
        <v>0</v>
      </c>
      <c r="FB31" s="16">
        <v>0</v>
      </c>
    </row>
    <row r="32" spans="3:158" x14ac:dyDescent="0.25">
      <c r="D32" s="16"/>
      <c r="E32" s="16"/>
      <c r="F32" s="16"/>
      <c r="G32" s="16"/>
      <c r="H32" s="16"/>
      <c r="I32" s="55"/>
      <c r="J32" s="55"/>
      <c r="K32" s="55"/>
      <c r="L32" s="55"/>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Y32" s="16"/>
      <c r="AZ32" s="16"/>
      <c r="BA32" s="16"/>
      <c r="BB32" s="16"/>
      <c r="BC32" s="16"/>
      <c r="BD32" s="16"/>
      <c r="BE32" s="16"/>
      <c r="BF32" s="16"/>
      <c r="BG32" s="16"/>
      <c r="BH32" s="16"/>
      <c r="BI32" s="16"/>
      <c r="BJ32" s="16"/>
      <c r="BK32" s="16"/>
      <c r="BL32" s="16"/>
      <c r="BM32" s="16"/>
      <c r="BN32" s="16"/>
      <c r="BO32" s="16"/>
      <c r="BP32" s="16"/>
      <c r="BQ32" s="16"/>
      <c r="BR32" s="16"/>
      <c r="BS32" s="16"/>
      <c r="BT32" s="16"/>
      <c r="BU32" s="16"/>
      <c r="BV32" s="16"/>
      <c r="BW32" s="16"/>
      <c r="BX32" s="16"/>
      <c r="BY32" s="16"/>
      <c r="BZ32" s="16"/>
      <c r="CA32" s="16"/>
      <c r="CB32" s="16"/>
      <c r="CC32" s="16"/>
      <c r="CD32" s="16"/>
      <c r="CE32" s="16"/>
      <c r="CF32" s="16"/>
      <c r="CG32" s="16"/>
      <c r="CH32" s="16"/>
      <c r="CI32" s="16"/>
      <c r="CJ32" s="16"/>
      <c r="CK32" s="16"/>
      <c r="CL32" s="16"/>
      <c r="CM32" s="16"/>
      <c r="CN32" s="16"/>
      <c r="CO32" s="16"/>
      <c r="CP32" s="16"/>
      <c r="CQ32" s="16"/>
      <c r="CR32" s="16"/>
      <c r="CS32" s="16"/>
      <c r="CT32" s="16"/>
      <c r="CU32" s="16"/>
      <c r="CV32" s="16"/>
      <c r="CW32" s="16"/>
      <c r="CX32" s="16"/>
      <c r="CY32" s="16"/>
      <c r="CZ32" s="16"/>
      <c r="DA32" s="16"/>
      <c r="DB32" s="16"/>
      <c r="DC32" s="16"/>
      <c r="DD32" s="16"/>
      <c r="DE32" s="16"/>
      <c r="DF32" s="16"/>
      <c r="DG32" s="16"/>
      <c r="DH32" s="16"/>
      <c r="DI32" s="16"/>
      <c r="DJ32" s="16"/>
      <c r="DK32" s="16"/>
      <c r="DL32" s="16"/>
      <c r="DM32" s="16"/>
      <c r="DN32" s="16"/>
      <c r="DO32" s="16"/>
      <c r="DP32" s="16"/>
      <c r="DQ32" s="16"/>
      <c r="DR32" s="16"/>
      <c r="DS32" s="16"/>
      <c r="DT32" s="16"/>
      <c r="DU32" s="16"/>
      <c r="DV32" s="16"/>
      <c r="DW32" s="16"/>
      <c r="DX32" s="16"/>
      <c r="DY32" s="16"/>
      <c r="DZ32" s="16"/>
      <c r="EA32" s="16"/>
      <c r="EB32" s="16"/>
      <c r="EC32" s="16"/>
      <c r="ED32" s="16"/>
      <c r="EE32" s="16"/>
      <c r="EF32" s="16"/>
      <c r="EG32" s="16"/>
      <c r="EH32" s="16"/>
      <c r="EI32" s="16"/>
      <c r="EJ32" s="16"/>
      <c r="EK32" s="16"/>
      <c r="EL32" s="16"/>
      <c r="EM32" s="16"/>
      <c r="EN32" s="16"/>
      <c r="EO32" s="16"/>
      <c r="EP32" s="16"/>
      <c r="EQ32" s="16"/>
      <c r="ER32" s="16"/>
      <c r="ES32" s="16"/>
      <c r="ET32" s="16"/>
      <c r="EU32" s="16"/>
      <c r="EV32" s="16"/>
      <c r="EW32" s="16"/>
      <c r="EX32" s="16"/>
      <c r="EY32" s="16"/>
      <c r="EZ32" s="16"/>
      <c r="FA32" s="16"/>
      <c r="FB32" s="16"/>
    </row>
    <row r="33" spans="3:158" x14ac:dyDescent="0.25">
      <c r="C33" s="1" t="s">
        <v>3</v>
      </c>
      <c r="D33" s="22">
        <f t="shared" ref="D33:L33" si="210">SUM(D34:D35)</f>
        <v>8151419.6599999992</v>
      </c>
      <c r="E33" s="22">
        <f t="shared" si="210"/>
        <v>17966179.629999999</v>
      </c>
      <c r="F33" s="22">
        <f t="shared" si="210"/>
        <v>24621037.473999996</v>
      </c>
      <c r="G33" s="22">
        <f t="shared" si="210"/>
        <v>37245502.986208946</v>
      </c>
      <c r="H33" s="22">
        <f t="shared" si="210"/>
        <v>50472301.372007795</v>
      </c>
      <c r="I33" s="22">
        <f t="shared" si="210"/>
        <v>74164447.597519487</v>
      </c>
      <c r="J33" s="22">
        <f t="shared" si="210"/>
        <v>106536912.29511963</v>
      </c>
      <c r="K33" s="22">
        <f t="shared" si="210"/>
        <v>150316623.61180785</v>
      </c>
      <c r="L33" s="22">
        <f t="shared" si="210"/>
        <v>202982702.80887061</v>
      </c>
      <c r="M33" s="1"/>
      <c r="N33" s="22">
        <f t="shared" ref="N33:N35" si="211">SUM(AY33:BA33)</f>
        <v>1339394.58</v>
      </c>
      <c r="O33" s="22">
        <f>SUM(BB33:BD33)</f>
        <v>1677658.19</v>
      </c>
      <c r="P33" s="22">
        <f>SUM(BE33:BG33)</f>
        <v>2429917.33</v>
      </c>
      <c r="Q33" s="22">
        <f>SUM(BH33:BJ33)</f>
        <v>2704449.56</v>
      </c>
      <c r="R33" s="22">
        <f>SUM(BK33:BM33)</f>
        <v>3305014.5500000003</v>
      </c>
      <c r="S33" s="22">
        <f>SUM(BN33:BP33)</f>
        <v>4060049.73</v>
      </c>
      <c r="T33" s="22">
        <f>SUM(BQ33:BS33)</f>
        <v>5291381.6400000006</v>
      </c>
      <c r="U33" s="22">
        <f>SUM(BT33:BV33)</f>
        <v>5309733.71</v>
      </c>
      <c r="V33" s="22">
        <f>SUM(BW33:BY33)</f>
        <v>6074623.5600000005</v>
      </c>
      <c r="W33" s="22">
        <f>SUM(BZ33:CB33)</f>
        <v>5848824.2960000001</v>
      </c>
      <c r="X33" s="22">
        <f>SUM(CC33:CE33)</f>
        <v>6366451.284</v>
      </c>
      <c r="Y33" s="22">
        <f>SUM(CF33:CH33)</f>
        <v>6331138.3339999998</v>
      </c>
      <c r="Z33" s="22">
        <f>SUM(CI33:CK33)</f>
        <v>7741394.2200000007</v>
      </c>
      <c r="AA33" s="22">
        <f>SUM(CL33:CN33)</f>
        <v>8647722.3640610911</v>
      </c>
      <c r="AB33" s="22">
        <f>SUM(CO33:CQ33)</f>
        <v>9935585.6033087447</v>
      </c>
      <c r="AC33" s="22">
        <f>SUM(CR33:CT33)</f>
        <v>10920800.798839109</v>
      </c>
      <c r="AD33" s="22">
        <f>SUM(CU33:CW33)</f>
        <v>10928527.204916008</v>
      </c>
      <c r="AE33" s="22">
        <f>SUM(CX33:CZ33)</f>
        <v>11979880.789685393</v>
      </c>
      <c r="AF33" s="22">
        <f>SUM(DA33:DC33)</f>
        <v>13065496.308384046</v>
      </c>
      <c r="AG33" s="22">
        <f>SUM(DD33:DF33)</f>
        <v>14498397.069022354</v>
      </c>
      <c r="AH33" s="22">
        <f>SUM(DG33:DI33)</f>
        <v>15882059.755705304</v>
      </c>
      <c r="AI33" s="22">
        <f>SUM(DJ33:DL33)</f>
        <v>17604688.573269922</v>
      </c>
      <c r="AJ33" s="22">
        <f>SUM(DM33:DO33)</f>
        <v>19282284.633257814</v>
      </c>
      <c r="AK33" s="22">
        <f>SUM(DP33:DR33)</f>
        <v>21395414.635286443</v>
      </c>
      <c r="AL33" s="22">
        <f>SUM(DS33:DU33)</f>
        <v>23201292.626923773</v>
      </c>
      <c r="AM33" s="22">
        <f>SUM(DV33:DX33)</f>
        <v>25402298.132585123</v>
      </c>
      <c r="AN33" s="22">
        <f>SUM(DY33:EA33)</f>
        <v>27598112.961709842</v>
      </c>
      <c r="AO33" s="22">
        <f>SUM(EB33:ED33)</f>
        <v>30335208.573900886</v>
      </c>
      <c r="AP33" s="22">
        <f>SUM(EE33:EG33)</f>
        <v>32775744.820718516</v>
      </c>
      <c r="AQ33" s="22">
        <f>SUM(EH33:EJ33)</f>
        <v>35874545.125966787</v>
      </c>
      <c r="AR33" s="22">
        <f>SUM(EK33:EM33)</f>
        <v>38923193.426080197</v>
      </c>
      <c r="AS33" s="22">
        <f>SUM(EN33:EP33)</f>
        <v>42743140.239042334</v>
      </c>
      <c r="AT33" s="22">
        <f>SUM(EQ33:ES33)</f>
        <v>45483844.385576278</v>
      </c>
      <c r="AU33" s="22">
        <f>SUM(ET33:EV33)</f>
        <v>48795955.926098645</v>
      </c>
      <c r="AV33" s="22">
        <f>SUM(EW33:EY33)</f>
        <v>52239958.19015792</v>
      </c>
      <c r="AW33" s="22">
        <f>SUM(EZ33:FB33)</f>
        <v>56462944.307037771</v>
      </c>
      <c r="AX33" s="1"/>
      <c r="AY33" s="18">
        <f>SUM(AY34:AY35)</f>
        <v>433035.21</v>
      </c>
      <c r="AZ33" s="22">
        <f t="shared" ref="AZ33:DF33" si="212">SUM(AZ34:AZ35)</f>
        <v>456294.06000000006</v>
      </c>
      <c r="BA33" s="22">
        <f t="shared" si="212"/>
        <v>450065.31</v>
      </c>
      <c r="BB33" s="22">
        <f t="shared" si="212"/>
        <v>498821.47999999992</v>
      </c>
      <c r="BC33" s="22">
        <f t="shared" si="212"/>
        <v>600682.07999999996</v>
      </c>
      <c r="BD33" s="22">
        <f t="shared" si="212"/>
        <v>578154.63</v>
      </c>
      <c r="BE33" s="22">
        <f t="shared" si="212"/>
        <v>713348.09</v>
      </c>
      <c r="BF33" s="22">
        <f t="shared" si="212"/>
        <v>828745.35000000009</v>
      </c>
      <c r="BG33" s="22">
        <f t="shared" si="212"/>
        <v>887823.8899999999</v>
      </c>
      <c r="BH33" s="22">
        <f t="shared" si="212"/>
        <v>867887.98</v>
      </c>
      <c r="BI33" s="22">
        <f t="shared" si="212"/>
        <v>843683.7</v>
      </c>
      <c r="BJ33" s="22">
        <f t="shared" si="212"/>
        <v>992877.88000000012</v>
      </c>
      <c r="BK33" s="22">
        <f t="shared" si="212"/>
        <v>967262.17</v>
      </c>
      <c r="BL33" s="22">
        <f t="shared" si="212"/>
        <v>1086936.8099999998</v>
      </c>
      <c r="BM33" s="22">
        <f t="shared" si="212"/>
        <v>1250815.5700000003</v>
      </c>
      <c r="BN33" s="22">
        <f t="shared" si="212"/>
        <v>1238974.75</v>
      </c>
      <c r="BO33" s="22">
        <f t="shared" si="212"/>
        <v>1361463.31</v>
      </c>
      <c r="BP33" s="22">
        <f t="shared" si="212"/>
        <v>1459611.67</v>
      </c>
      <c r="BQ33" s="22">
        <f t="shared" si="212"/>
        <v>1607535.1199999999</v>
      </c>
      <c r="BR33" s="22">
        <f t="shared" si="212"/>
        <v>1694399.38</v>
      </c>
      <c r="BS33" s="22">
        <f t="shared" si="212"/>
        <v>1989447.1400000001</v>
      </c>
      <c r="BT33" s="22">
        <f t="shared" si="212"/>
        <v>1668889.1099999999</v>
      </c>
      <c r="BU33" s="22">
        <f t="shared" si="212"/>
        <v>1715982.1099999999</v>
      </c>
      <c r="BV33" s="22">
        <f t="shared" si="212"/>
        <v>1924862.49</v>
      </c>
      <c r="BW33" s="22">
        <f t="shared" si="212"/>
        <v>1771573.8000000003</v>
      </c>
      <c r="BX33" s="22">
        <f t="shared" si="212"/>
        <v>1863797.63</v>
      </c>
      <c r="BY33" s="22">
        <f t="shared" si="212"/>
        <v>2439252.13</v>
      </c>
      <c r="BZ33" s="22">
        <f t="shared" si="212"/>
        <v>2085642.18</v>
      </c>
      <c r="CA33" s="22">
        <f t="shared" si="212"/>
        <v>1804012.43</v>
      </c>
      <c r="CB33" s="22">
        <f t="shared" si="212"/>
        <v>1959169.6860000002</v>
      </c>
      <c r="CC33" s="22">
        <f t="shared" si="212"/>
        <v>2011265.5200000003</v>
      </c>
      <c r="CD33" s="22">
        <f t="shared" si="212"/>
        <v>2091335.6799999997</v>
      </c>
      <c r="CE33" s="22">
        <f t="shared" si="212"/>
        <v>2263850.0840000003</v>
      </c>
      <c r="CF33" s="22">
        <f t="shared" si="212"/>
        <v>2027724.02</v>
      </c>
      <c r="CG33" s="22">
        <f t="shared" si="212"/>
        <v>1813681.0899999999</v>
      </c>
      <c r="CH33" s="22">
        <f t="shared" si="212"/>
        <v>2489733.2239999999</v>
      </c>
      <c r="CI33" s="22">
        <f t="shared" si="212"/>
        <v>2280506.02</v>
      </c>
      <c r="CJ33" s="22">
        <f t="shared" si="212"/>
        <v>2619550.63</v>
      </c>
      <c r="CK33" s="22">
        <f t="shared" si="212"/>
        <v>2841337.5700000003</v>
      </c>
      <c r="CL33" s="22">
        <f t="shared" si="212"/>
        <v>2680053.31</v>
      </c>
      <c r="CM33" s="22">
        <f t="shared" si="212"/>
        <v>2990854.5235487726</v>
      </c>
      <c r="CN33" s="22">
        <f t="shared" si="212"/>
        <v>2976814.530512318</v>
      </c>
      <c r="CO33" s="22">
        <f t="shared" si="212"/>
        <v>3207165.8608305519</v>
      </c>
      <c r="CP33" s="22">
        <f t="shared" si="212"/>
        <v>3328096.6620371314</v>
      </c>
      <c r="CQ33" s="22">
        <f t="shared" si="212"/>
        <v>3400323.0804410605</v>
      </c>
      <c r="CR33" s="22">
        <f t="shared" si="212"/>
        <v>3483029.088768207</v>
      </c>
      <c r="CS33" s="22">
        <f t="shared" si="212"/>
        <v>3667154.1096383734</v>
      </c>
      <c r="CT33" s="22">
        <f t="shared" si="212"/>
        <v>3770617.6004325282</v>
      </c>
      <c r="CU33" s="18">
        <f t="shared" si="212"/>
        <v>3542396.4829570847</v>
      </c>
      <c r="CV33" s="18">
        <f t="shared" si="212"/>
        <v>3619162.9468335342</v>
      </c>
      <c r="CW33" s="18">
        <f t="shared" si="212"/>
        <v>3766967.7751253895</v>
      </c>
      <c r="CX33" s="18">
        <f t="shared" si="212"/>
        <v>3854784.2892286209</v>
      </c>
      <c r="CY33" s="18">
        <f t="shared" si="212"/>
        <v>3975290.4864950115</v>
      </c>
      <c r="CZ33" s="18">
        <f t="shared" si="212"/>
        <v>4149806.0139617608</v>
      </c>
      <c r="DA33" s="18">
        <f t="shared" si="212"/>
        <v>4223691.4365809159</v>
      </c>
      <c r="DB33" s="18">
        <f t="shared" si="212"/>
        <v>4329009.8153492017</v>
      </c>
      <c r="DC33" s="18">
        <f t="shared" si="212"/>
        <v>4512795.0564539274</v>
      </c>
      <c r="DD33" s="18">
        <f t="shared" si="212"/>
        <v>4623422.0569743048</v>
      </c>
      <c r="DE33" s="18">
        <f t="shared" si="212"/>
        <v>4813096.2700916836</v>
      </c>
      <c r="DF33" s="18">
        <f t="shared" si="212"/>
        <v>5061878.7419563644</v>
      </c>
      <c r="DG33" s="18">
        <f>SUM(DG34:DG35)</f>
        <v>5129327.8522130772</v>
      </c>
      <c r="DH33" s="18">
        <f t="shared" ref="DH33:DR33" si="213">SUM(DH34:DH35)</f>
        <v>5261123.6445706869</v>
      </c>
      <c r="DI33" s="18">
        <f t="shared" si="213"/>
        <v>5491608.2589215422</v>
      </c>
      <c r="DJ33" s="18">
        <f t="shared" si="213"/>
        <v>5644770.2156551192</v>
      </c>
      <c r="DK33" s="18">
        <f t="shared" si="213"/>
        <v>5843011.4172604419</v>
      </c>
      <c r="DL33" s="18">
        <f t="shared" si="213"/>
        <v>6116906.9403543621</v>
      </c>
      <c r="DM33" s="18">
        <f t="shared" si="213"/>
        <v>6223596.47286902</v>
      </c>
      <c r="DN33" s="18">
        <f t="shared" si="213"/>
        <v>6390893.4860205762</v>
      </c>
      <c r="DO33" s="18">
        <f t="shared" si="213"/>
        <v>6667794.6743682185</v>
      </c>
      <c r="DP33" s="18">
        <f t="shared" si="213"/>
        <v>6834086.0789837847</v>
      </c>
      <c r="DQ33" s="18">
        <f t="shared" si="213"/>
        <v>7103627.6425941503</v>
      </c>
      <c r="DR33" s="18">
        <f t="shared" si="213"/>
        <v>7457700.913708508</v>
      </c>
      <c r="DS33" s="18">
        <f t="shared" ref="DS33:EQ33" si="214">SUM(DS34:DS35)</f>
        <v>7527073.8216304742</v>
      </c>
      <c r="DT33" s="18">
        <f t="shared" si="214"/>
        <v>7688582.507614607</v>
      </c>
      <c r="DU33" s="18">
        <f t="shared" si="214"/>
        <v>7985636.2976786913</v>
      </c>
      <c r="DV33" s="18">
        <f t="shared" si="214"/>
        <v>8179834.1948348237</v>
      </c>
      <c r="DW33" s="18">
        <f t="shared" si="214"/>
        <v>8432456.6397750247</v>
      </c>
      <c r="DX33" s="18">
        <f t="shared" si="214"/>
        <v>8790007.2979752738</v>
      </c>
      <c r="DY33" s="18">
        <f t="shared" si="214"/>
        <v>8939026.4469907582</v>
      </c>
      <c r="DZ33" s="18">
        <f t="shared" si="214"/>
        <v>9149161.0862711519</v>
      </c>
      <c r="EA33" s="18">
        <f t="shared" si="214"/>
        <v>9509925.428447932</v>
      </c>
      <c r="EB33" s="18">
        <f t="shared" si="214"/>
        <v>9722814.0316445697</v>
      </c>
      <c r="EC33" s="18">
        <f t="shared" si="214"/>
        <v>10072133.569326937</v>
      </c>
      <c r="ED33" s="18">
        <f t="shared" si="214"/>
        <v>10540260.972929383</v>
      </c>
      <c r="EE33" s="18">
        <f t="shared" si="214"/>
        <v>10633672.988333281</v>
      </c>
      <c r="EF33" s="18">
        <f t="shared" si="214"/>
        <v>10864438.141329432</v>
      </c>
      <c r="EG33" s="18">
        <f t="shared" si="214"/>
        <v>11277633.691055801</v>
      </c>
      <c r="EH33" s="18">
        <f t="shared" si="214"/>
        <v>11557440.776257496</v>
      </c>
      <c r="EI33" s="18">
        <f t="shared" si="214"/>
        <v>11910594.655432925</v>
      </c>
      <c r="EJ33" s="18">
        <f t="shared" si="214"/>
        <v>12406509.69427637</v>
      </c>
      <c r="EK33" s="18">
        <f t="shared" si="214"/>
        <v>12610780.364044871</v>
      </c>
      <c r="EL33" s="18">
        <f t="shared" si="214"/>
        <v>12906781.847135946</v>
      </c>
      <c r="EM33" s="18">
        <f t="shared" si="214"/>
        <v>13405631.214899383</v>
      </c>
      <c r="EN33" s="18">
        <f t="shared" si="214"/>
        <v>13711575.0630248</v>
      </c>
      <c r="EO33" s="18">
        <f t="shared" si="214"/>
        <v>14193063.741497008</v>
      </c>
      <c r="EP33" s="18">
        <f t="shared" si="214"/>
        <v>14838501.43452053</v>
      </c>
      <c r="EQ33" s="18">
        <f t="shared" si="214"/>
        <v>14864266.050917929</v>
      </c>
      <c r="ER33" s="18">
        <f t="shared" ref="ER33:FB33" si="215">SUM(ER34:ER35)</f>
        <v>15081439.693224264</v>
      </c>
      <c r="ES33" s="18">
        <f t="shared" si="215"/>
        <v>15538138.641434083</v>
      </c>
      <c r="ET33" s="18">
        <f t="shared" si="215"/>
        <v>15826050.166581387</v>
      </c>
      <c r="EU33" s="18">
        <f t="shared" si="215"/>
        <v>16202450.81651671</v>
      </c>
      <c r="EV33" s="18">
        <f t="shared" si="215"/>
        <v>16767454.943000551</v>
      </c>
      <c r="EW33" s="18">
        <f t="shared" si="215"/>
        <v>17024926.732496426</v>
      </c>
      <c r="EX33" s="18">
        <f t="shared" si="215"/>
        <v>17325043.13886597</v>
      </c>
      <c r="EY33" s="18">
        <f t="shared" si="215"/>
        <v>17889988.318795521</v>
      </c>
      <c r="EZ33" s="18">
        <f t="shared" si="215"/>
        <v>18209871.442834273</v>
      </c>
      <c r="FA33" s="18">
        <f t="shared" si="215"/>
        <v>18748421.038520068</v>
      </c>
      <c r="FB33" s="18">
        <f t="shared" si="215"/>
        <v>19504651.825683426</v>
      </c>
    </row>
    <row r="34" spans="3:158" x14ac:dyDescent="0.25">
      <c r="C34" s="2" t="s">
        <v>4</v>
      </c>
      <c r="D34" s="50">
        <f t="shared" ref="D34:L35" si="216">SUMIF($AY$2:$FB$2,D$2,$AY34:$FB34)</f>
        <v>7199227.5299999993</v>
      </c>
      <c r="E34" s="50">
        <f t="shared" si="216"/>
        <v>15574148.279999999</v>
      </c>
      <c r="F34" s="50">
        <f>SUMIF($AY$2:$FB$2,F$2,$AY34:$FB34)</f>
        <v>22066794.163999997</v>
      </c>
      <c r="G34" s="50">
        <f t="shared" si="216"/>
        <v>32317451.906568326</v>
      </c>
      <c r="H34" s="50">
        <f t="shared" si="216"/>
        <v>41022301.372007795</v>
      </c>
      <c r="I34" s="50">
        <f t="shared" si="216"/>
        <v>60225697.59751948</v>
      </c>
      <c r="J34" s="50">
        <f t="shared" si="216"/>
        <v>86325724.795119628</v>
      </c>
      <c r="K34" s="50">
        <f t="shared" si="216"/>
        <v>121515681.42430785</v>
      </c>
      <c r="L34" s="50">
        <f t="shared" si="216"/>
        <v>166693515.65262061</v>
      </c>
      <c r="M34" s="2"/>
      <c r="N34" s="16">
        <f t="shared" si="211"/>
        <v>1180571.48</v>
      </c>
      <c r="O34" s="16">
        <f>SUM(BB34:BD34)</f>
        <v>1511098.9</v>
      </c>
      <c r="P34" s="16">
        <f>SUM(BE34:BG34)</f>
        <v>2186340.4</v>
      </c>
      <c r="Q34" s="16">
        <f>SUM(BH34:BJ34)</f>
        <v>2321216.75</v>
      </c>
      <c r="R34" s="16">
        <f>SUM(BK34:BM34)</f>
        <v>2802222.1</v>
      </c>
      <c r="S34" s="16">
        <f>SUM(BN34:BP34)</f>
        <v>3468795.6799999997</v>
      </c>
      <c r="T34" s="16">
        <f>SUM(BQ34:BS34)</f>
        <v>4631892.1099999994</v>
      </c>
      <c r="U34" s="16">
        <f>SUM(BT34:BV34)</f>
        <v>4671238.3900000006</v>
      </c>
      <c r="V34" s="16">
        <f>SUM(BW34:BY34)</f>
        <v>5360841.4000000004</v>
      </c>
      <c r="W34" s="16">
        <f>SUM(BZ34:CB34)</f>
        <v>5149615.3059999999</v>
      </c>
      <c r="X34" s="16">
        <f>SUM(CC34:CE34)</f>
        <v>5794625.8040000005</v>
      </c>
      <c r="Y34" s="16">
        <f>SUM(CF34:CH34)</f>
        <v>5761711.6540000001</v>
      </c>
      <c r="Z34" s="16">
        <f>SUM(CI34:CK34)</f>
        <v>7124170.6100000003</v>
      </c>
      <c r="AA34" s="16">
        <f>SUM(CL34:CN34)</f>
        <v>7652398.3069790276</v>
      </c>
      <c r="AB34" s="16">
        <f>SUM(CO34:CQ34)</f>
        <v>8546847.4116935022</v>
      </c>
      <c r="AC34" s="16">
        <f>SUM(CR34:CT34)</f>
        <v>8994035.5778957941</v>
      </c>
      <c r="AD34" s="16">
        <f>SUM(CU34:CW34)</f>
        <v>8749068.9175087456</v>
      </c>
      <c r="AE34" s="16">
        <f>SUM(CX34:CZ34)</f>
        <v>9663141.2178335767</v>
      </c>
      <c r="AF34" s="16">
        <f>SUM(DA34:DC34)</f>
        <v>10657235.88023586</v>
      </c>
      <c r="AG34" s="16">
        <f>SUM(DD34:DF34)</f>
        <v>11952855.356429614</v>
      </c>
      <c r="AH34" s="16">
        <f>SUM(DG34:DI34)</f>
        <v>12906585.757186662</v>
      </c>
      <c r="AI34" s="16">
        <f>SUM(DJ34:DL34)</f>
        <v>14247304.448640261</v>
      </c>
      <c r="AJ34" s="16">
        <f>SUM(DM34:DO34)</f>
        <v>15670293.757887475</v>
      </c>
      <c r="AK34" s="16">
        <f>SUM(DP34:DR34)</f>
        <v>17401513.633805089</v>
      </c>
      <c r="AL34" s="16">
        <f>SUM(DS34:DU34)</f>
        <v>18632183.938127588</v>
      </c>
      <c r="AM34" s="16">
        <f>SUM(DV34:DX34)</f>
        <v>20470423.304136075</v>
      </c>
      <c r="AN34" s="16">
        <f>SUM(DY34:EA34)</f>
        <v>22424394.040158886</v>
      </c>
      <c r="AO34" s="16">
        <f>SUM(EB34:ED34)</f>
        <v>24798723.512697071</v>
      </c>
      <c r="AP34" s="16">
        <f>SUM(EE34:EG34)</f>
        <v>26415481.329665173</v>
      </c>
      <c r="AQ34" s="16">
        <f>SUM(EH34:EJ34)</f>
        <v>28884302.593047205</v>
      </c>
      <c r="AR34" s="16">
        <f>SUM(EK34:EM34)</f>
        <v>31512964.865249787</v>
      </c>
      <c r="AS34" s="16">
        <f>SUM(EN34:EP34)</f>
        <v>34702932.636345677</v>
      </c>
      <c r="AT34" s="16">
        <f>SUM(EQ34:ES34)</f>
        <v>36684605.02423232</v>
      </c>
      <c r="AU34" s="16">
        <f>SUM(ET34:EV34)</f>
        <v>39791923.493965782</v>
      </c>
      <c r="AV34" s="16">
        <f>SUM(EW34:EY34)</f>
        <v>43099397.044165775</v>
      </c>
      <c r="AW34" s="16">
        <f>SUM(EZ34:FB34)</f>
        <v>47117590.090256721</v>
      </c>
      <c r="AX34" s="2"/>
      <c r="AY34" s="16">
        <f>Expenses!AY16</f>
        <v>382304.89</v>
      </c>
      <c r="AZ34" s="16">
        <f>Expenses!AZ16</f>
        <v>393742.84</v>
      </c>
      <c r="BA34" s="16">
        <f>Expenses!BA16</f>
        <v>404523.75</v>
      </c>
      <c r="BB34" s="16">
        <f>Expenses!BB16</f>
        <v>447141.29999999993</v>
      </c>
      <c r="BC34" s="16">
        <f>Expenses!BC16</f>
        <v>542963.23</v>
      </c>
      <c r="BD34" s="16">
        <f>Expenses!BD16</f>
        <v>520994.37</v>
      </c>
      <c r="BE34" s="16">
        <f>Expenses!BE16</f>
        <v>655068.74</v>
      </c>
      <c r="BF34" s="16">
        <f>Expenses!BF16</f>
        <v>748231.26</v>
      </c>
      <c r="BG34" s="16">
        <f>Expenses!BG16</f>
        <v>783040.39999999991</v>
      </c>
      <c r="BH34" s="16">
        <f>Expenses!BH16</f>
        <v>765083.02</v>
      </c>
      <c r="BI34" s="16">
        <f>Expenses!BI16</f>
        <v>713986.41999999993</v>
      </c>
      <c r="BJ34" s="16">
        <f>Expenses!BJ16</f>
        <v>842147.31</v>
      </c>
      <c r="BK34" s="16">
        <f>Expenses!BK16</f>
        <v>809163.06</v>
      </c>
      <c r="BL34" s="16">
        <f>Expenses!BL16</f>
        <v>928864.85999999987</v>
      </c>
      <c r="BM34" s="16">
        <f>Expenses!BM16</f>
        <v>1064194.1800000002</v>
      </c>
      <c r="BN34" s="16">
        <f>Expenses!BN16</f>
        <v>1067050.55</v>
      </c>
      <c r="BO34" s="16">
        <f>Expenses!BO16</f>
        <v>1164477.6200000001</v>
      </c>
      <c r="BP34" s="16">
        <f>Expenses!BP16</f>
        <v>1237267.51</v>
      </c>
      <c r="BQ34" s="16">
        <f>Expenses!BQ16</f>
        <v>1404176.4</v>
      </c>
      <c r="BR34" s="16">
        <f>Expenses!BR16</f>
        <v>1466811.63</v>
      </c>
      <c r="BS34" s="16">
        <f>Expenses!BS16</f>
        <v>1760904.08</v>
      </c>
      <c r="BT34" s="16">
        <f>Expenses!BT16</f>
        <v>1469949.23</v>
      </c>
      <c r="BU34" s="16">
        <f>Expenses!BU16</f>
        <v>1501241.8499999999</v>
      </c>
      <c r="BV34" s="16">
        <f>Expenses!BV16</f>
        <v>1700047.31</v>
      </c>
      <c r="BW34" s="16">
        <f>Expenses!BW16</f>
        <v>1496591.2000000002</v>
      </c>
      <c r="BX34" s="16">
        <f>Expenses!BX16</f>
        <v>1635874.8599999999</v>
      </c>
      <c r="BY34" s="16">
        <f>Expenses!BY16</f>
        <v>2228375.34</v>
      </c>
      <c r="BZ34" s="16">
        <f>Expenses!BZ16</f>
        <v>1841103.52</v>
      </c>
      <c r="CA34" s="16">
        <f>Expenses!CA16</f>
        <v>1554036.46</v>
      </c>
      <c r="CB34" s="16">
        <f>Expenses!CB16</f>
        <v>1754475.3260000001</v>
      </c>
      <c r="CC34" s="16">
        <f>Expenses!CC16</f>
        <v>1823877.0700000003</v>
      </c>
      <c r="CD34" s="16">
        <f>Expenses!CD16</f>
        <v>1904495.0099999998</v>
      </c>
      <c r="CE34" s="16">
        <f>Expenses!CE16</f>
        <v>2066253.7240000002</v>
      </c>
      <c r="CF34" s="16">
        <f>Expenses!CF16</f>
        <v>1834294.57</v>
      </c>
      <c r="CG34" s="16">
        <f>Expenses!CG16</f>
        <v>1639402.2</v>
      </c>
      <c r="CH34" s="16">
        <f>Expenses!CH16</f>
        <v>2288014.8840000001</v>
      </c>
      <c r="CI34" s="16">
        <f>Expenses!CI16</f>
        <v>2101704.2999999998</v>
      </c>
      <c r="CJ34" s="16">
        <f>Expenses!CJ16</f>
        <v>2435711.7799999998</v>
      </c>
      <c r="CK34" s="16">
        <f>Expenses!CK16</f>
        <v>2586754.5300000003</v>
      </c>
      <c r="CL34" s="16">
        <f>Expenses!CL16</f>
        <v>2403657.9500000002</v>
      </c>
      <c r="CM34" s="16">
        <f>Expenses!CM16</f>
        <v>2642766.4631761736</v>
      </c>
      <c r="CN34" s="16">
        <f>Expenses!CN16</f>
        <v>2605973.8938028542</v>
      </c>
      <c r="CO34" s="16">
        <f>Expenses!CO16</f>
        <v>2794102.5774540864</v>
      </c>
      <c r="CP34" s="16">
        <f>Expenses!CP16</f>
        <v>2854207.7654557074</v>
      </c>
      <c r="CQ34" s="16">
        <f>Expenses!CQ16</f>
        <v>2898537.0687837088</v>
      </c>
      <c r="CR34" s="16">
        <f>Expenses!CR16</f>
        <v>2917766.7937582615</v>
      </c>
      <c r="CS34" s="16">
        <f>Expenses!CS16</f>
        <v>3006512.0047775814</v>
      </c>
      <c r="CT34" s="16">
        <f>Expenses!CT16</f>
        <v>3069756.7793599507</v>
      </c>
      <c r="CU34" s="55">
        <f>Expenses!CU16</f>
        <v>2831163.8632040587</v>
      </c>
      <c r="CV34" s="16">
        <f>Expenses!CV16</f>
        <v>2892676.8510311134</v>
      </c>
      <c r="CW34" s="16">
        <f>Expenses!CW16</f>
        <v>3025228.2032735739</v>
      </c>
      <c r="CX34" s="16">
        <f>Expenses!CX16</f>
        <v>3097791.2413274106</v>
      </c>
      <c r="CY34" s="16">
        <f>Expenses!CY16</f>
        <v>3203043.9625444063</v>
      </c>
      <c r="CZ34" s="16">
        <f>Expenses!CZ16</f>
        <v>3362306.0139617608</v>
      </c>
      <c r="DA34" s="16">
        <f>Expenses!DA16</f>
        <v>3436191.4365809159</v>
      </c>
      <c r="DB34" s="16">
        <f>Expenses!DB16</f>
        <v>3526256.3392998064</v>
      </c>
      <c r="DC34" s="16">
        <f>Expenses!DC16</f>
        <v>3694788.1043551378</v>
      </c>
      <c r="DD34" s="16">
        <f>Expenses!DD16</f>
        <v>3790161.6288261199</v>
      </c>
      <c r="DE34" s="16">
        <f>Expenses!DE16</f>
        <v>3964582.3658941044</v>
      </c>
      <c r="DF34" s="16">
        <f>Expenses!DF16</f>
        <v>4198111.3617093908</v>
      </c>
      <c r="DG34" s="16">
        <f>Expenses!DG16</f>
        <v>4179937.6444969755</v>
      </c>
      <c r="DH34" s="16">
        <f>Expenses!DH16</f>
        <v>4269298.9783978052</v>
      </c>
      <c r="DI34" s="16">
        <f>Expenses!DI16</f>
        <v>4457349.1342918808</v>
      </c>
      <c r="DJ34" s="16">
        <f>Expenses!DJ16</f>
        <v>4568076.6325686779</v>
      </c>
      <c r="DK34" s="16">
        <f>Expenses!DK16</f>
        <v>4723883.3757172208</v>
      </c>
      <c r="DL34" s="16">
        <f>Expenses!DL16</f>
        <v>4955344.4403543621</v>
      </c>
      <c r="DM34" s="16">
        <f>Expenses!DM16</f>
        <v>5062033.97286902</v>
      </c>
      <c r="DN34" s="16">
        <f>Expenses!DN16</f>
        <v>5186896.5275637964</v>
      </c>
      <c r="DO34" s="16">
        <f>Expenses!DO16</f>
        <v>5421363.2574546589</v>
      </c>
      <c r="DP34" s="16">
        <f>Expenses!DP16</f>
        <v>5545220.2036134452</v>
      </c>
      <c r="DQ34" s="16">
        <f>Expenses!DQ16</f>
        <v>5772327.3087670319</v>
      </c>
      <c r="DR34" s="16">
        <f>Expenses!DR16</f>
        <v>6083966.1214246098</v>
      </c>
      <c r="DS34" s="16">
        <f>Expenses!DS16</f>
        <v>6044344.9408820635</v>
      </c>
      <c r="DT34" s="16">
        <f>Expenses!DT16</f>
        <v>6165546.2780158781</v>
      </c>
      <c r="DU34" s="16">
        <f>Expenses!DU16</f>
        <v>6422292.7192296451</v>
      </c>
      <c r="DV34" s="16">
        <f>Expenses!DV16</f>
        <v>6576183.2675354593</v>
      </c>
      <c r="DW34" s="16">
        <f>Expenses!DW16</f>
        <v>6788498.363625343</v>
      </c>
      <c r="DX34" s="16">
        <f>Expenses!DX16</f>
        <v>7105741.6729752738</v>
      </c>
      <c r="DY34" s="16">
        <f>Expenses!DY16</f>
        <v>7254760.8219907582</v>
      </c>
      <c r="DZ34" s="16">
        <f>Expenses!DZ16</f>
        <v>7424588.1124208327</v>
      </c>
      <c r="EA34" s="16">
        <f>Expenses!EA16</f>
        <v>7745045.1057472955</v>
      </c>
      <c r="EB34" s="16">
        <f>Expenses!EB16</f>
        <v>7917626.3600936159</v>
      </c>
      <c r="EC34" s="16">
        <f>Expenses!EC16</f>
        <v>8226638.5489256643</v>
      </c>
      <c r="ED34" s="16">
        <f>Expenses!ED16</f>
        <v>8654458.6036777925</v>
      </c>
      <c r="EE34" s="16">
        <f>Expenses!EE16</f>
        <v>8583582.8293006402</v>
      </c>
      <c r="EF34" s="16">
        <f>Expenses!EF16</f>
        <v>8744350.3109783195</v>
      </c>
      <c r="EG34" s="16">
        <f>Expenses!EG16</f>
        <v>9087548.1893862151</v>
      </c>
      <c r="EH34" s="16">
        <f>Expenses!EH16</f>
        <v>9297357.6032694392</v>
      </c>
      <c r="EI34" s="16">
        <f>Expenses!EI16</f>
        <v>9580513.8111263961</v>
      </c>
      <c r="EJ34" s="16">
        <f>Expenses!EJ16</f>
        <v>10006431.17865137</v>
      </c>
      <c r="EK34" s="16">
        <f>Expenses!EK16</f>
        <v>10210701.848419871</v>
      </c>
      <c r="EL34" s="16">
        <f>Expenses!EL16</f>
        <v>10436705.660192475</v>
      </c>
      <c r="EM34" s="16">
        <f>Expenses!EM16</f>
        <v>10865557.356637441</v>
      </c>
      <c r="EN34" s="16">
        <f>Expenses!EN16</f>
        <v>11101503.533444384</v>
      </c>
      <c r="EO34" s="16">
        <f>Expenses!EO16</f>
        <v>11512994.540598121</v>
      </c>
      <c r="EP34" s="16">
        <f>Expenses!EP16</f>
        <v>12088434.562303171</v>
      </c>
      <c r="EQ34" s="16">
        <f>Expenses!EQ16</f>
        <v>11953941.04944649</v>
      </c>
      <c r="ER34" s="16">
        <f>Expenses!ER16</f>
        <v>12148359.906109612</v>
      </c>
      <c r="ES34" s="16">
        <f>Expenses!ES16</f>
        <v>12582304.068676218</v>
      </c>
      <c r="ET34" s="16">
        <f>Expenses!ET16</f>
        <v>12847460.808180312</v>
      </c>
      <c r="EU34" s="16">
        <f>Expenses!EU16</f>
        <v>13201106.672472423</v>
      </c>
      <c r="EV34" s="16">
        <f>Expenses!EV16</f>
        <v>13743356.013313049</v>
      </c>
      <c r="EW34" s="16">
        <f>Expenses!EW16</f>
        <v>14000827.802808926</v>
      </c>
      <c r="EX34" s="16">
        <f>Expenses!EX16</f>
        <v>14278189.423535254</v>
      </c>
      <c r="EY34" s="16">
        <f>Expenses!EY16</f>
        <v>14820379.817821592</v>
      </c>
      <c r="EZ34" s="16">
        <f>Expenses!EZ16</f>
        <v>15117508.156217135</v>
      </c>
      <c r="FA34" s="16">
        <f>Expenses!FA16</f>
        <v>15633302.966259718</v>
      </c>
      <c r="FB34" s="16">
        <f>Expenses!FB16</f>
        <v>16366778.967779864</v>
      </c>
    </row>
    <row r="35" spans="3:158" x14ac:dyDescent="0.25">
      <c r="C35" s="2" t="s">
        <v>5</v>
      </c>
      <c r="D35" s="50">
        <f t="shared" si="216"/>
        <v>952192.13000000012</v>
      </c>
      <c r="E35" s="50">
        <f t="shared" si="216"/>
        <v>2392031.35</v>
      </c>
      <c r="F35" s="50">
        <f t="shared" si="216"/>
        <v>2554243.31</v>
      </c>
      <c r="G35" s="50">
        <f t="shared" si="216"/>
        <v>4928051.0796406185</v>
      </c>
      <c r="H35" s="50">
        <f t="shared" si="216"/>
        <v>9450000.0000000019</v>
      </c>
      <c r="I35" s="50">
        <f t="shared" si="216"/>
        <v>13938750.000000004</v>
      </c>
      <c r="J35" s="50">
        <f t="shared" si="216"/>
        <v>20211187.500000004</v>
      </c>
      <c r="K35" s="50">
        <f t="shared" si="216"/>
        <v>28800942.1875</v>
      </c>
      <c r="L35" s="50">
        <f t="shared" si="216"/>
        <v>36289187.156250015</v>
      </c>
      <c r="M35" s="2"/>
      <c r="N35" s="16">
        <f t="shared" si="211"/>
        <v>158823.1</v>
      </c>
      <c r="O35" s="16">
        <f>SUM(BB35:BD35)</f>
        <v>166559.29</v>
      </c>
      <c r="P35" s="16">
        <f>SUM(BE35:BG35)</f>
        <v>243576.93000000002</v>
      </c>
      <c r="Q35" s="16">
        <f>SUM(BH35:BJ35)</f>
        <v>383232.81</v>
      </c>
      <c r="R35" s="16">
        <f>SUM(BK35:BM35)</f>
        <v>502792.44999999995</v>
      </c>
      <c r="S35" s="16">
        <f>SUM(BN35:BP35)</f>
        <v>591254.05000000005</v>
      </c>
      <c r="T35" s="16">
        <f>SUM(BQ35:BS35)</f>
        <v>659489.53</v>
      </c>
      <c r="U35" s="16">
        <f>SUM(BT35:BV35)</f>
        <v>638495.32000000007</v>
      </c>
      <c r="V35" s="16">
        <f>SUM(BW35:BY35)</f>
        <v>713782.15999999992</v>
      </c>
      <c r="W35" s="16">
        <f>SUM(BZ35:CB35)</f>
        <v>699208.99</v>
      </c>
      <c r="X35" s="16">
        <f>SUM(CC35:CE35)</f>
        <v>571825.48</v>
      </c>
      <c r="Y35" s="16">
        <f>SUM(CF35:CH35)</f>
        <v>569426.67999999993</v>
      </c>
      <c r="Z35" s="16">
        <f>SUM(CI35:CK35)</f>
        <v>617223.60999999987</v>
      </c>
      <c r="AA35" s="16">
        <f>SUM(CL35:CN35)</f>
        <v>995324.05708206259</v>
      </c>
      <c r="AB35" s="16">
        <f>SUM(CO35:CQ35)</f>
        <v>1388738.1916152411</v>
      </c>
      <c r="AC35" s="16">
        <f>SUM(CR35:CT35)</f>
        <v>1926765.220943315</v>
      </c>
      <c r="AD35" s="16">
        <f>SUM(CU35:CW35)</f>
        <v>2179458.2874072623</v>
      </c>
      <c r="AE35" s="16">
        <f>SUM(CX35:CZ35)</f>
        <v>2316739.5718518151</v>
      </c>
      <c r="AF35" s="16">
        <f>SUM(DA35:DC35)</f>
        <v>2408260.4281481844</v>
      </c>
      <c r="AG35" s="16">
        <f>SUM(DD35:DF35)</f>
        <v>2545541.7125927377</v>
      </c>
      <c r="AH35" s="16">
        <f>SUM(DG35:DI35)</f>
        <v>2975473.9985186458</v>
      </c>
      <c r="AI35" s="16">
        <f>SUM(DJ35:DL35)</f>
        <v>3357384.1246296624</v>
      </c>
      <c r="AJ35" s="16">
        <f>SUM(DM35:DO35)</f>
        <v>3611990.8753703395</v>
      </c>
      <c r="AK35" s="16">
        <f>SUM(DP35:DR35)</f>
        <v>3993901.0014813561</v>
      </c>
      <c r="AL35" s="16">
        <f>SUM(DS35:DU35)</f>
        <v>4569108.6887961859</v>
      </c>
      <c r="AM35" s="16">
        <f>SUM(DV35:DX35)</f>
        <v>4931874.8284490462</v>
      </c>
      <c r="AN35" s="16">
        <f>SUM(DY35:EA35)</f>
        <v>5173718.9215509556</v>
      </c>
      <c r="AO35" s="16">
        <f>SUM(EB35:ED35)</f>
        <v>5536485.061203815</v>
      </c>
      <c r="AP35" s="16">
        <f>SUM(EE35:EG35)</f>
        <v>6360263.4910533391</v>
      </c>
      <c r="AQ35" s="16">
        <f>SUM(EH35:EJ35)</f>
        <v>6990242.5329195848</v>
      </c>
      <c r="AR35" s="16">
        <f>SUM(EK35:EM35)</f>
        <v>7410228.5608304152</v>
      </c>
      <c r="AS35" s="16">
        <f>SUM(EN35:EP35)</f>
        <v>8040207.6026966628</v>
      </c>
      <c r="AT35" s="16">
        <f>SUM(EQ35:ES35)</f>
        <v>8799239.3613439556</v>
      </c>
      <c r="AU35" s="16">
        <f>SUM(ET35:EV35)</f>
        <v>9004032.4321328644</v>
      </c>
      <c r="AV35" s="16">
        <f>SUM(EW35:EY35)</f>
        <v>9140561.1459921431</v>
      </c>
      <c r="AW35" s="16">
        <f>SUM(EZ35:FB35)</f>
        <v>9345354.2167810556</v>
      </c>
      <c r="AX35" s="2"/>
      <c r="AY35" s="16">
        <f>Expenses!AY17</f>
        <v>50730.32</v>
      </c>
      <c r="AZ35" s="16">
        <f>Expenses!AZ17</f>
        <v>62551.22</v>
      </c>
      <c r="BA35" s="16">
        <f>Expenses!BA17</f>
        <v>45541.56</v>
      </c>
      <c r="BB35" s="16">
        <f>Expenses!BB17</f>
        <v>51680.179999999993</v>
      </c>
      <c r="BC35" s="16">
        <f>Expenses!BC17</f>
        <v>57718.850000000006</v>
      </c>
      <c r="BD35" s="16">
        <f>Expenses!BD17</f>
        <v>57160.26</v>
      </c>
      <c r="BE35" s="16">
        <f>Expenses!BE17</f>
        <v>58279.35</v>
      </c>
      <c r="BF35" s="16">
        <f>Expenses!BF17</f>
        <v>80514.090000000026</v>
      </c>
      <c r="BG35" s="16">
        <f>Expenses!BG17</f>
        <v>104783.48999999999</v>
      </c>
      <c r="BH35" s="16">
        <f>Expenses!BH17</f>
        <v>102804.95999999999</v>
      </c>
      <c r="BI35" s="16">
        <f>Expenses!BI17</f>
        <v>129697.28</v>
      </c>
      <c r="BJ35" s="16">
        <f>Expenses!BJ17</f>
        <v>150730.57</v>
      </c>
      <c r="BK35" s="16">
        <f>Expenses!BK17</f>
        <v>158099.10999999999</v>
      </c>
      <c r="BL35" s="16">
        <f>Expenses!BL17</f>
        <v>158071.94999999998</v>
      </c>
      <c r="BM35" s="16">
        <f>Expenses!BM17</f>
        <v>186621.39</v>
      </c>
      <c r="BN35" s="16">
        <f>Expenses!BN17</f>
        <v>171924.2</v>
      </c>
      <c r="BO35" s="16">
        <f>Expenses!BO17</f>
        <v>196985.69</v>
      </c>
      <c r="BP35" s="16">
        <f>Expenses!BP17</f>
        <v>222344.16</v>
      </c>
      <c r="BQ35" s="16">
        <f>Expenses!BQ17</f>
        <v>203358.72</v>
      </c>
      <c r="BR35" s="16">
        <f>Expenses!BR17</f>
        <v>227587.74999999997</v>
      </c>
      <c r="BS35" s="16">
        <f>Expenses!BS17</f>
        <v>228543.06</v>
      </c>
      <c r="BT35" s="16">
        <f>Expenses!BT17</f>
        <v>198939.88</v>
      </c>
      <c r="BU35" s="16">
        <f>Expenses!BU17</f>
        <v>214740.26</v>
      </c>
      <c r="BV35" s="16">
        <f>Expenses!BV17</f>
        <v>224815.18000000002</v>
      </c>
      <c r="BW35" s="16">
        <f>Expenses!BW17</f>
        <v>274982.59999999998</v>
      </c>
      <c r="BX35" s="16">
        <f>Expenses!BX17</f>
        <v>227922.77</v>
      </c>
      <c r="BY35" s="16">
        <f>Expenses!BY17</f>
        <v>210876.78999999998</v>
      </c>
      <c r="BZ35" s="16">
        <f>Expenses!BZ17</f>
        <v>244538.66</v>
      </c>
      <c r="CA35" s="16">
        <f>Expenses!CA17</f>
        <v>249975.96999999997</v>
      </c>
      <c r="CB35" s="16">
        <f>Expenses!CB17</f>
        <v>204694.36</v>
      </c>
      <c r="CC35" s="16">
        <f>Expenses!CC17</f>
        <v>187388.45</v>
      </c>
      <c r="CD35" s="16">
        <f>Expenses!CD17</f>
        <v>186840.67</v>
      </c>
      <c r="CE35" s="16">
        <f>Expenses!CE17</f>
        <v>197596.36000000002</v>
      </c>
      <c r="CF35" s="16">
        <f>Expenses!CF17</f>
        <v>193429.44999999998</v>
      </c>
      <c r="CG35" s="16">
        <f>Expenses!CG17</f>
        <v>174278.89</v>
      </c>
      <c r="CH35" s="16">
        <f>Expenses!CH17</f>
        <v>201718.34</v>
      </c>
      <c r="CI35" s="16">
        <f>Expenses!CI17</f>
        <v>178801.72</v>
      </c>
      <c r="CJ35" s="16">
        <f>Expenses!CJ17</f>
        <v>183838.84999999998</v>
      </c>
      <c r="CK35" s="16">
        <f>Expenses!CK17</f>
        <v>254583.03999999998</v>
      </c>
      <c r="CL35" s="16">
        <f>Expenses!CL17</f>
        <v>276395.36</v>
      </c>
      <c r="CM35" s="16">
        <f>Expenses!CM17</f>
        <v>348088.06037259905</v>
      </c>
      <c r="CN35" s="16">
        <f>Expenses!CN17</f>
        <v>370840.63670946361</v>
      </c>
      <c r="CO35" s="16">
        <f>Expenses!CO17</f>
        <v>413063.28337646555</v>
      </c>
      <c r="CP35" s="16">
        <f>Expenses!CP17</f>
        <v>473888.89658142399</v>
      </c>
      <c r="CQ35" s="16">
        <f>Expenses!CQ17</f>
        <v>501786.01165735169</v>
      </c>
      <c r="CR35" s="16">
        <f>Expenses!CR17</f>
        <v>565262.29500994552</v>
      </c>
      <c r="CS35" s="16">
        <f>Expenses!CS17</f>
        <v>660642.10486079217</v>
      </c>
      <c r="CT35" s="16">
        <f>Expenses!CT17</f>
        <v>700860.82107257727</v>
      </c>
      <c r="CU35" s="55">
        <f>Expenses!CU17</f>
        <v>711232.61975302594</v>
      </c>
      <c r="CV35" s="16">
        <f>Expenses!CV17</f>
        <v>726486.09580242075</v>
      </c>
      <c r="CW35" s="16">
        <f>Expenses!CW17</f>
        <v>741739.57185181545</v>
      </c>
      <c r="CX35" s="16">
        <f>Expenses!CX17</f>
        <v>756993.04790121026</v>
      </c>
      <c r="CY35" s="16">
        <f>Expenses!CY17</f>
        <v>772246.52395060507</v>
      </c>
      <c r="CZ35" s="16">
        <f>Expenses!CZ17</f>
        <v>787500</v>
      </c>
      <c r="DA35" s="16">
        <f>Expenses!DA17</f>
        <v>787500</v>
      </c>
      <c r="DB35" s="16">
        <f>Expenses!DB17</f>
        <v>802753.47604939493</v>
      </c>
      <c r="DC35" s="16">
        <f>Expenses!DC17</f>
        <v>818006.95209878962</v>
      </c>
      <c r="DD35" s="16">
        <f>Expenses!DD17</f>
        <v>833260.42814818444</v>
      </c>
      <c r="DE35" s="16">
        <f>Expenses!DE17</f>
        <v>848513.90419757925</v>
      </c>
      <c r="DF35" s="16">
        <f>Expenses!DF17</f>
        <v>863767.38024697395</v>
      </c>
      <c r="DG35" s="16">
        <f>Expenses!DG17</f>
        <v>949390.20771610225</v>
      </c>
      <c r="DH35" s="16">
        <f>Expenses!DH17</f>
        <v>991824.66617288196</v>
      </c>
      <c r="DI35" s="16">
        <f>Expenses!DI17</f>
        <v>1034259.1246296614</v>
      </c>
      <c r="DJ35" s="16">
        <f>Expenses!DJ17</f>
        <v>1076693.583086441</v>
      </c>
      <c r="DK35" s="16">
        <f>Expenses!DK17</f>
        <v>1119128.0415432209</v>
      </c>
      <c r="DL35" s="16">
        <f>Expenses!DL17</f>
        <v>1161562.5000000002</v>
      </c>
      <c r="DM35" s="16">
        <f>Expenses!DM17</f>
        <v>1161562.5000000002</v>
      </c>
      <c r="DN35" s="16">
        <f>Expenses!DN17</f>
        <v>1203996.9584567798</v>
      </c>
      <c r="DO35" s="16">
        <f>Expenses!DO17</f>
        <v>1246431.4169135594</v>
      </c>
      <c r="DP35" s="16">
        <f>Expenses!DP17</f>
        <v>1288865.8753703393</v>
      </c>
      <c r="DQ35" s="16">
        <f>Expenses!DQ17</f>
        <v>1331300.3338271186</v>
      </c>
      <c r="DR35" s="16">
        <f>Expenses!DR17</f>
        <v>1373734.792283898</v>
      </c>
      <c r="DS35" s="16">
        <f>Expenses!DS17</f>
        <v>1482728.8807484107</v>
      </c>
      <c r="DT35" s="16">
        <f>Expenses!DT17</f>
        <v>1523036.2295987287</v>
      </c>
      <c r="DU35" s="16">
        <f>Expenses!DU17</f>
        <v>1563343.5784490462</v>
      </c>
      <c r="DV35" s="16">
        <f>Expenses!DV17</f>
        <v>1603650.9272993642</v>
      </c>
      <c r="DW35" s="16">
        <f>Expenses!DW17</f>
        <v>1643958.2761496818</v>
      </c>
      <c r="DX35" s="16">
        <f>Expenses!DX17</f>
        <v>1684265.6250000002</v>
      </c>
      <c r="DY35" s="16">
        <f>Expenses!DY17</f>
        <v>1684265.6250000002</v>
      </c>
      <c r="DZ35" s="16">
        <f>Expenses!DZ17</f>
        <v>1724572.9738503189</v>
      </c>
      <c r="EA35" s="16">
        <f>Expenses!EA17</f>
        <v>1764880.3227006365</v>
      </c>
      <c r="EB35" s="16">
        <f>Expenses!EB17</f>
        <v>1805187.671550954</v>
      </c>
      <c r="EC35" s="16">
        <f>Expenses!EC17</f>
        <v>1845495.020401272</v>
      </c>
      <c r="ED35" s="16">
        <f>Expenses!ED17</f>
        <v>1885802.3692515895</v>
      </c>
      <c r="EE35" s="16">
        <f>Expenses!EE17</f>
        <v>2050090.159032641</v>
      </c>
      <c r="EF35" s="16">
        <f>Expenses!EF17</f>
        <v>2120087.8303511129</v>
      </c>
      <c r="EG35" s="16">
        <f>Expenses!EG17</f>
        <v>2190085.5016695848</v>
      </c>
      <c r="EH35" s="16">
        <f>Expenses!EH17</f>
        <v>2260083.1729880567</v>
      </c>
      <c r="EI35" s="16">
        <f>Expenses!EI17</f>
        <v>2330080.8443065281</v>
      </c>
      <c r="EJ35" s="16">
        <f>Expenses!EJ17</f>
        <v>2400078.515625</v>
      </c>
      <c r="EK35" s="16">
        <f>Expenses!EK17</f>
        <v>2400078.515625</v>
      </c>
      <c r="EL35" s="16">
        <f>Expenses!EL17</f>
        <v>2470076.1869434719</v>
      </c>
      <c r="EM35" s="16">
        <f>Expenses!EM17</f>
        <v>2540073.8582619438</v>
      </c>
      <c r="EN35" s="16">
        <f>Expenses!EN17</f>
        <v>2610071.5295804157</v>
      </c>
      <c r="EO35" s="16">
        <f>Expenses!EO17</f>
        <v>2680069.2008988871</v>
      </c>
      <c r="EP35" s="16">
        <f>Expenses!EP17</f>
        <v>2750066.8722173595</v>
      </c>
      <c r="EQ35" s="16">
        <f>Expenses!EQ17</f>
        <v>2910325.0014714394</v>
      </c>
      <c r="ER35" s="16">
        <f>Expenses!ER17</f>
        <v>2933079.7871146519</v>
      </c>
      <c r="ES35" s="16">
        <f>Expenses!ES17</f>
        <v>2955834.5727578639</v>
      </c>
      <c r="ET35" s="16">
        <f>Expenses!ET17</f>
        <v>2978589.3584010755</v>
      </c>
      <c r="EU35" s="16">
        <f>Expenses!EU17</f>
        <v>3001344.144044288</v>
      </c>
      <c r="EV35" s="16">
        <f>Expenses!EV17</f>
        <v>3024098.9296875014</v>
      </c>
      <c r="EW35" s="16">
        <f>Expenses!EW17</f>
        <v>3024098.9296875014</v>
      </c>
      <c r="EX35" s="16">
        <f>Expenses!EX17</f>
        <v>3046853.7153307148</v>
      </c>
      <c r="EY35" s="16">
        <f>Expenses!EY17</f>
        <v>3069608.5009739273</v>
      </c>
      <c r="EZ35" s="16">
        <f>Expenses!EZ17</f>
        <v>3092363.2866171394</v>
      </c>
      <c r="FA35" s="16">
        <f>Expenses!FA17</f>
        <v>3115118.0722603514</v>
      </c>
      <c r="FB35" s="16">
        <f>Expenses!FB17</f>
        <v>3137872.8579035639</v>
      </c>
    </row>
    <row r="36" spans="3:158" x14ac:dyDescent="0.25">
      <c r="D36" s="16"/>
      <c r="E36" s="16"/>
      <c r="F36" s="16"/>
      <c r="G36" s="16"/>
      <c r="H36" s="16"/>
      <c r="I36" s="55"/>
      <c r="J36" s="55"/>
      <c r="K36" s="55"/>
      <c r="L36" s="55"/>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Y36" s="16"/>
      <c r="AZ36" s="16"/>
      <c r="BA36" s="16"/>
      <c r="BB36" s="16"/>
      <c r="BC36" s="16"/>
      <c r="BD36" s="16"/>
      <c r="BE36" s="16"/>
      <c r="BF36" s="16"/>
      <c r="BG36" s="16"/>
      <c r="BH36" s="16"/>
      <c r="BI36" s="16"/>
      <c r="BJ36" s="16"/>
      <c r="BK36" s="16"/>
      <c r="BL36" s="16"/>
      <c r="BM36" s="16"/>
      <c r="BN36" s="16"/>
      <c r="BO36" s="16"/>
      <c r="BP36" s="16"/>
      <c r="BQ36" s="16"/>
      <c r="BR36" s="16"/>
      <c r="BS36" s="16"/>
      <c r="BT36" s="16"/>
      <c r="BU36" s="16"/>
      <c r="BV36" s="16"/>
      <c r="BW36" s="16"/>
      <c r="BX36" s="16"/>
      <c r="BY36" s="16"/>
      <c r="BZ36" s="16"/>
      <c r="CA36" s="16"/>
      <c r="CB36" s="16"/>
      <c r="CC36" s="16"/>
      <c r="CD36" s="16"/>
      <c r="CE36" s="16"/>
      <c r="CF36" s="16"/>
      <c r="CG36" s="16"/>
      <c r="CH36" s="16"/>
      <c r="CI36" s="16"/>
      <c r="CJ36" s="16"/>
      <c r="CK36" s="16"/>
      <c r="CL36" s="16"/>
      <c r="CM36" s="16"/>
      <c r="CN36" s="16"/>
      <c r="CO36" s="16"/>
      <c r="CP36" s="16"/>
      <c r="CQ36" s="16"/>
      <c r="CR36" s="16"/>
      <c r="CS36" s="16"/>
      <c r="CT36" s="16"/>
      <c r="CU36" s="16"/>
      <c r="CV36" s="16"/>
      <c r="CW36" s="16"/>
      <c r="CX36" s="16"/>
      <c r="CY36" s="16"/>
      <c r="CZ36" s="16"/>
      <c r="DA36" s="16"/>
      <c r="DB36" s="16"/>
      <c r="DC36" s="16"/>
      <c r="DD36" s="16"/>
      <c r="DE36" s="16"/>
      <c r="DF36" s="16"/>
      <c r="DG36" s="16"/>
      <c r="DH36" s="16"/>
      <c r="DI36" s="16"/>
      <c r="DJ36" s="16"/>
      <c r="DK36" s="16"/>
      <c r="DL36" s="16"/>
      <c r="DM36" s="16"/>
      <c r="DN36" s="16"/>
      <c r="DO36" s="16"/>
      <c r="DP36" s="16"/>
      <c r="DQ36" s="16"/>
      <c r="DR36" s="16"/>
      <c r="DS36" s="16"/>
      <c r="DT36" s="16"/>
      <c r="DU36" s="16"/>
      <c r="DV36" s="16"/>
      <c r="DW36" s="16"/>
      <c r="DX36" s="16"/>
      <c r="DY36" s="16"/>
      <c r="DZ36" s="16"/>
      <c r="EA36" s="16"/>
      <c r="EB36" s="16"/>
      <c r="EC36" s="16"/>
      <c r="ED36" s="16"/>
      <c r="EE36" s="16"/>
      <c r="EF36" s="16"/>
      <c r="EG36" s="16"/>
      <c r="EH36" s="16"/>
      <c r="EI36" s="16"/>
      <c r="EJ36" s="16"/>
      <c r="EK36" s="16"/>
      <c r="EL36" s="16"/>
      <c r="EM36" s="16"/>
      <c r="EN36" s="16"/>
      <c r="EO36" s="16"/>
      <c r="EP36" s="16"/>
      <c r="EQ36" s="16"/>
      <c r="ER36" s="16"/>
      <c r="ES36" s="16"/>
      <c r="ET36" s="16"/>
      <c r="EU36" s="16"/>
      <c r="EV36" s="16"/>
      <c r="EW36" s="16"/>
      <c r="EX36" s="16"/>
      <c r="EY36" s="16"/>
      <c r="EZ36" s="16"/>
      <c r="FA36" s="16"/>
      <c r="FB36" s="16"/>
    </row>
    <row r="37" spans="3:158" x14ac:dyDescent="0.25">
      <c r="C37" s="1" t="s">
        <v>6</v>
      </c>
      <c r="D37" s="22">
        <f t="shared" ref="D37:I37" si="217">D28-D33</f>
        <v>12813580.34</v>
      </c>
      <c r="E37" s="22">
        <f t="shared" si="217"/>
        <v>25153311.370000001</v>
      </c>
      <c r="F37" s="22">
        <f t="shared" si="217"/>
        <v>43200932.83600001</v>
      </c>
      <c r="G37" s="22">
        <f t="shared" si="217"/>
        <v>67603877.088889852</v>
      </c>
      <c r="H37" s="22">
        <f t="shared" si="217"/>
        <v>125164714.85769278</v>
      </c>
      <c r="I37" s="53">
        <f t="shared" si="217"/>
        <v>195483023.26377991</v>
      </c>
      <c r="J37" s="53">
        <f t="shared" ref="J37:L37" si="218">J28-J33</f>
        <v>298416178.79423469</v>
      </c>
      <c r="K37" s="53">
        <f t="shared" si="218"/>
        <v>448414653.28953958</v>
      </c>
      <c r="L37" s="53">
        <f t="shared" si="218"/>
        <v>663445596.25450778</v>
      </c>
      <c r="M37" s="1"/>
      <c r="N37" s="22">
        <f t="shared" ref="N37" si="219">SUM(AY37:BA37)</f>
        <v>2193313.42</v>
      </c>
      <c r="O37" s="22">
        <f>SUM(BB37:BD37)</f>
        <v>3002448.81</v>
      </c>
      <c r="P37" s="22">
        <f>SUM(BE37:BG37)</f>
        <v>3350106.67</v>
      </c>
      <c r="Q37" s="22">
        <f>SUM(BH37:BJ37)</f>
        <v>4267711.4400000004</v>
      </c>
      <c r="R37" s="22">
        <f>SUM(BK37:BM37)</f>
        <v>5133586.45</v>
      </c>
      <c r="S37" s="22">
        <f>SUM(BN37:BP37)</f>
        <v>5829878.2699999996</v>
      </c>
      <c r="T37" s="22">
        <f>SUM(BQ37:BS37)</f>
        <v>6298297.3599999994</v>
      </c>
      <c r="U37" s="22">
        <f>SUM(BT37:BV37)</f>
        <v>7891549.29</v>
      </c>
      <c r="V37" s="22">
        <f>SUM(BW37:BY37)</f>
        <v>8894441.75</v>
      </c>
      <c r="W37" s="22">
        <f>SUM(BZ37:CB37)</f>
        <v>9962430.7039999999</v>
      </c>
      <c r="X37" s="22">
        <f>SUM(CC37:CE37)</f>
        <v>11257735.716</v>
      </c>
      <c r="Y37" s="22">
        <f>SUM(CF37:CH37)</f>
        <v>13086324.666000001</v>
      </c>
      <c r="Z37" s="22">
        <f>SUM(CI37:CK37)</f>
        <v>14125876.501111999</v>
      </c>
      <c r="AA37" s="22">
        <f>SUM(CL37:CN37)</f>
        <v>15531628.635938909</v>
      </c>
      <c r="AB37" s="22">
        <f>SUM(CO37:CQ37)</f>
        <v>17556162.684739377</v>
      </c>
      <c r="AC37" s="22">
        <f>SUM(CR37:CT37)</f>
        <v>20390209.267099567</v>
      </c>
      <c r="AD37" s="22">
        <f>SUM(CU37:CW37)</f>
        <v>25708047.312408242</v>
      </c>
      <c r="AE37" s="22">
        <f>SUM(CX37:CZ37)</f>
        <v>29250817.216832899</v>
      </c>
      <c r="AF37" s="22">
        <f>SUM(DA37:DC37)</f>
        <v>32298777.415340766</v>
      </c>
      <c r="AG37" s="22">
        <f>SUM(DD37:DF37)</f>
        <v>37907072.91311083</v>
      </c>
      <c r="AH37" s="22">
        <f>SUM(DG37:DI37)</f>
        <v>40779103.800826147</v>
      </c>
      <c r="AI37" s="22">
        <f>SUM(DJ37:DL37)</f>
        <v>46196046.36050874</v>
      </c>
      <c r="AJ37" s="22">
        <f>SUM(DM37:DO37)</f>
        <v>50478623.703312322</v>
      </c>
      <c r="AK37" s="22">
        <f>SUM(DP37:DR37)</f>
        <v>58029249.399132639</v>
      </c>
      <c r="AL37" s="22">
        <f>SUM(DS37:DU37)</f>
        <v>62453401.148797497</v>
      </c>
      <c r="AM37" s="22">
        <f>SUM(DV37:DX37)</f>
        <v>70601579.857258111</v>
      </c>
      <c r="AN37" s="22">
        <f>SUM(DY37:EA37)</f>
        <v>77044908.691972345</v>
      </c>
      <c r="AO37" s="22">
        <f>SUM(EB37:ED37)</f>
        <v>88316289.096206799</v>
      </c>
      <c r="AP37" s="22">
        <f>SUM(EE37:EG37)</f>
        <v>94703132.934020951</v>
      </c>
      <c r="AQ37" s="22">
        <f>SUM(EH37:EJ37)</f>
        <v>106350201.7483535</v>
      </c>
      <c r="AR37" s="22">
        <f>SUM(EK37:EM37)</f>
        <v>115610661.32373321</v>
      </c>
      <c r="AS37" s="22">
        <f>SUM(EN37:EP37)</f>
        <v>131750657.28343189</v>
      </c>
      <c r="AT37" s="22">
        <f>SUM(EQ37:ES37)</f>
        <v>140378858.05238324</v>
      </c>
      <c r="AU37" s="22">
        <f>SUM(ET37:EV37)</f>
        <v>157382699.92434216</v>
      </c>
      <c r="AV37" s="22">
        <f>SUM(EW37:EY37)</f>
        <v>171248496.21155387</v>
      </c>
      <c r="AW37" s="22">
        <f>SUM(EZ37:FB37)</f>
        <v>194435542.06622845</v>
      </c>
      <c r="AX37" s="1"/>
      <c r="AY37" s="22">
        <f>AY28-AY33</f>
        <v>677683.79</v>
      </c>
      <c r="AZ37" s="22">
        <f t="shared" ref="AZ37:DF37" si="220">AZ28-AZ33</f>
        <v>699779.94</v>
      </c>
      <c r="BA37" s="22">
        <f t="shared" si="220"/>
        <v>815849.69</v>
      </c>
      <c r="BB37" s="22">
        <f t="shared" si="220"/>
        <v>960240.52</v>
      </c>
      <c r="BC37" s="22">
        <f t="shared" si="220"/>
        <v>957879.92</v>
      </c>
      <c r="BD37" s="22">
        <f t="shared" si="220"/>
        <v>1084328.3700000001</v>
      </c>
      <c r="BE37" s="22">
        <f t="shared" si="220"/>
        <v>1132353.9100000001</v>
      </c>
      <c r="BF37" s="22">
        <f t="shared" si="220"/>
        <v>1054252.6499999999</v>
      </c>
      <c r="BG37" s="22">
        <f t="shared" si="220"/>
        <v>1163500.1100000001</v>
      </c>
      <c r="BH37" s="22">
        <f t="shared" si="220"/>
        <v>1326738.02</v>
      </c>
      <c r="BI37" s="22">
        <f t="shared" si="220"/>
        <v>1429280.3</v>
      </c>
      <c r="BJ37" s="22">
        <f t="shared" si="220"/>
        <v>1511693.1199999999</v>
      </c>
      <c r="BK37" s="22">
        <f t="shared" si="220"/>
        <v>1813154.83</v>
      </c>
      <c r="BL37" s="22">
        <f t="shared" si="220"/>
        <v>1697782.1900000002</v>
      </c>
      <c r="BM37" s="22">
        <f t="shared" si="220"/>
        <v>1622649.4299999997</v>
      </c>
      <c r="BN37" s="22">
        <f t="shared" si="220"/>
        <v>1903832.25</v>
      </c>
      <c r="BO37" s="22">
        <f t="shared" si="220"/>
        <v>1936075.69</v>
      </c>
      <c r="BP37" s="22">
        <f t="shared" si="220"/>
        <v>1989970.33</v>
      </c>
      <c r="BQ37" s="22">
        <f t="shared" si="220"/>
        <v>2089785.8800000001</v>
      </c>
      <c r="BR37" s="22">
        <f t="shared" si="220"/>
        <v>2169095.62</v>
      </c>
      <c r="BS37" s="22">
        <f t="shared" si="220"/>
        <v>2039415.8599999999</v>
      </c>
      <c r="BT37" s="22">
        <f t="shared" si="220"/>
        <v>2559689.89</v>
      </c>
      <c r="BU37" s="22">
        <f t="shared" si="220"/>
        <v>2702553.89</v>
      </c>
      <c r="BV37" s="22">
        <f t="shared" si="220"/>
        <v>2629305.5099999998</v>
      </c>
      <c r="BW37" s="22">
        <f t="shared" si="220"/>
        <v>3267100.5099999993</v>
      </c>
      <c r="BX37" s="22">
        <f t="shared" si="220"/>
        <v>3108205.37</v>
      </c>
      <c r="BY37" s="22">
        <f t="shared" si="220"/>
        <v>2519135.87</v>
      </c>
      <c r="BZ37" s="22">
        <f t="shared" si="220"/>
        <v>3123398.8200000003</v>
      </c>
      <c r="CA37" s="22">
        <f t="shared" si="220"/>
        <v>3428963.5700000003</v>
      </c>
      <c r="CB37" s="22">
        <f t="shared" si="220"/>
        <v>3410068.3139999998</v>
      </c>
      <c r="CC37" s="22">
        <f t="shared" si="220"/>
        <v>3682339.4799999995</v>
      </c>
      <c r="CD37" s="22">
        <f t="shared" si="220"/>
        <v>3809090.3200000003</v>
      </c>
      <c r="CE37" s="22">
        <f t="shared" si="220"/>
        <v>3766305.9159999997</v>
      </c>
      <c r="CF37" s="22">
        <f t="shared" si="220"/>
        <v>4309497.9800000004</v>
      </c>
      <c r="CG37" s="22">
        <f t="shared" si="220"/>
        <v>4633057.91</v>
      </c>
      <c r="CH37" s="22">
        <f t="shared" si="220"/>
        <v>4143768.7760000001</v>
      </c>
      <c r="CI37" s="22">
        <f t="shared" si="220"/>
        <v>4810827.7011120003</v>
      </c>
      <c r="CJ37" s="22">
        <f t="shared" si="220"/>
        <v>4691378.37</v>
      </c>
      <c r="CK37" s="22">
        <f t="shared" si="220"/>
        <v>4623670.43</v>
      </c>
      <c r="CL37" s="22">
        <f t="shared" si="220"/>
        <v>5108642.6899999995</v>
      </c>
      <c r="CM37" s="22">
        <f t="shared" si="220"/>
        <v>5094446.4764512274</v>
      </c>
      <c r="CN37" s="22">
        <f t="shared" si="220"/>
        <v>5328539.469487682</v>
      </c>
      <c r="CO37" s="22">
        <f t="shared" si="220"/>
        <v>5611385.3538098624</v>
      </c>
      <c r="CP37" s="22">
        <f t="shared" si="220"/>
        <v>5829050.9998983508</v>
      </c>
      <c r="CQ37" s="22">
        <f t="shared" si="220"/>
        <v>6115726.3310311651</v>
      </c>
      <c r="CR37" s="22">
        <f t="shared" si="220"/>
        <v>6639124.6554490793</v>
      </c>
      <c r="CS37" s="22">
        <f t="shared" si="220"/>
        <v>6591930.1948852846</v>
      </c>
      <c r="CT37" s="22">
        <f t="shared" si="220"/>
        <v>7159154.4167652037</v>
      </c>
      <c r="CU37" s="18">
        <f t="shared" si="220"/>
        <v>7840792.8588237884</v>
      </c>
      <c r="CV37" s="18">
        <f t="shared" si="220"/>
        <v>8400855.6016347464</v>
      </c>
      <c r="CW37" s="18">
        <f t="shared" si="220"/>
        <v>9466398.8519497067</v>
      </c>
      <c r="CX37" s="18">
        <f t="shared" si="220"/>
        <v>8875446.4465112314</v>
      </c>
      <c r="CY37" s="18">
        <f t="shared" si="220"/>
        <v>9722505.709943898</v>
      </c>
      <c r="CZ37" s="18">
        <f t="shared" si="220"/>
        <v>10652865.060377769</v>
      </c>
      <c r="DA37" s="18">
        <f t="shared" si="220"/>
        <v>9899242.1370921768</v>
      </c>
      <c r="DB37" s="18">
        <f t="shared" si="220"/>
        <v>10591802.337734208</v>
      </c>
      <c r="DC37" s="18">
        <f t="shared" si="220"/>
        <v>11807732.940514382</v>
      </c>
      <c r="DD37" s="18">
        <f t="shared" si="220"/>
        <v>11172548.634458749</v>
      </c>
      <c r="DE37" s="18">
        <f t="shared" si="220"/>
        <v>12869027.626115113</v>
      </c>
      <c r="DF37" s="18">
        <f t="shared" si="220"/>
        <v>13865496.652536966</v>
      </c>
      <c r="DG37" s="18">
        <f>DG28-DG33</f>
        <v>12521979.02443039</v>
      </c>
      <c r="DH37" s="18">
        <f t="shared" ref="DH37:DR37" si="221">DH28-DH33</f>
        <v>13343677.560699545</v>
      </c>
      <c r="DI37" s="18">
        <f t="shared" si="221"/>
        <v>14913447.215696208</v>
      </c>
      <c r="DJ37" s="18">
        <f t="shared" si="221"/>
        <v>14092111.954147309</v>
      </c>
      <c r="DK37" s="18">
        <f t="shared" si="221"/>
        <v>15357583.51022549</v>
      </c>
      <c r="DL37" s="18">
        <f t="shared" si="221"/>
        <v>16746350.896135937</v>
      </c>
      <c r="DM37" s="18">
        <f t="shared" si="221"/>
        <v>15562147.373143978</v>
      </c>
      <c r="DN37" s="18">
        <f t="shared" si="221"/>
        <v>16567636.330418784</v>
      </c>
      <c r="DO37" s="18">
        <f t="shared" si="221"/>
        <v>18348839.999749564</v>
      </c>
      <c r="DP37" s="18">
        <f t="shared" si="221"/>
        <v>17243514.825332873</v>
      </c>
      <c r="DQ37" s="18">
        <f t="shared" si="221"/>
        <v>19686153.084838472</v>
      </c>
      <c r="DR37" s="18">
        <f t="shared" si="221"/>
        <v>21099581.488961294</v>
      </c>
      <c r="DS37" s="18">
        <f t="shared" ref="DS37:EQ37" si="222">DS28-DS33</f>
        <v>19232990.480063383</v>
      </c>
      <c r="DT37" s="18">
        <f t="shared" si="222"/>
        <v>20453789.297872946</v>
      </c>
      <c r="DU37" s="18">
        <f t="shared" si="222"/>
        <v>22766621.370861169</v>
      </c>
      <c r="DV37" s="18">
        <f t="shared" si="222"/>
        <v>21603252.03567788</v>
      </c>
      <c r="DW37" s="18">
        <f t="shared" si="222"/>
        <v>23472750.802687466</v>
      </c>
      <c r="DX37" s="18">
        <f t="shared" si="222"/>
        <v>25525577.018892758</v>
      </c>
      <c r="DY37" s="18">
        <f t="shared" si="222"/>
        <v>23813839.693928711</v>
      </c>
      <c r="DZ37" s="18">
        <f t="shared" si="222"/>
        <v>25303991.422875181</v>
      </c>
      <c r="EA37" s="18">
        <f t="shared" si="222"/>
        <v>27927077.575168453</v>
      </c>
      <c r="EB37" s="18">
        <f t="shared" si="222"/>
        <v>26352272.576086059</v>
      </c>
      <c r="EC37" s="18">
        <f t="shared" si="222"/>
        <v>29934946.618998572</v>
      </c>
      <c r="ED37" s="18">
        <f t="shared" si="222"/>
        <v>32029069.901122168</v>
      </c>
      <c r="EE37" s="18">
        <f t="shared" si="222"/>
        <v>29306577.914750028</v>
      </c>
      <c r="EF37" s="18">
        <f t="shared" si="222"/>
        <v>31045461.47719308</v>
      </c>
      <c r="EG37" s="18">
        <f t="shared" si="222"/>
        <v>34351093.542077839</v>
      </c>
      <c r="EH37" s="18">
        <f t="shared" si="222"/>
        <v>32690044.933011424</v>
      </c>
      <c r="EI37" s="18">
        <f t="shared" si="222"/>
        <v>35360772.682009242</v>
      </c>
      <c r="EJ37" s="18">
        <f t="shared" si="222"/>
        <v>38299384.133332834</v>
      </c>
      <c r="EK37" s="18">
        <f t="shared" si="222"/>
        <v>35868066.362163901</v>
      </c>
      <c r="EL37" s="18">
        <f t="shared" si="222"/>
        <v>37994836.695366725</v>
      </c>
      <c r="EM37" s="18">
        <f t="shared" si="222"/>
        <v>41747758.266202584</v>
      </c>
      <c r="EN37" s="18">
        <f t="shared" si="222"/>
        <v>39500912.79055354</v>
      </c>
      <c r="EO37" s="18">
        <f t="shared" si="222"/>
        <v>44622156.059734978</v>
      </c>
      <c r="EP37" s="18">
        <f t="shared" si="222"/>
        <v>47627588.43314337</v>
      </c>
      <c r="EQ37" s="18">
        <f t="shared" si="222"/>
        <v>43695612.210341826</v>
      </c>
      <c r="ER37" s="18">
        <f t="shared" ref="ER37:FB37" si="223">ER28-ER33</f>
        <v>46094699.023472108</v>
      </c>
      <c r="ES37" s="18">
        <f t="shared" si="223"/>
        <v>50588546.818569317</v>
      </c>
      <c r="ET37" s="18">
        <f t="shared" si="223"/>
        <v>48664827.148302481</v>
      </c>
      <c r="EU37" s="18">
        <f t="shared" si="223"/>
        <v>52323911.604958117</v>
      </c>
      <c r="EV37" s="18">
        <f t="shared" si="223"/>
        <v>56393961.171081573</v>
      </c>
      <c r="EW37" s="18">
        <f t="shared" si="223"/>
        <v>53418139.505673364</v>
      </c>
      <c r="EX37" s="18">
        <f t="shared" si="223"/>
        <v>56355069.795880817</v>
      </c>
      <c r="EY37" s="18">
        <f t="shared" si="223"/>
        <v>61475286.909999683</v>
      </c>
      <c r="EZ37" s="18">
        <f t="shared" si="223"/>
        <v>58821018.161807835</v>
      </c>
      <c r="FA37" s="18">
        <f t="shared" si="223"/>
        <v>65682470.182839572</v>
      </c>
      <c r="FB37" s="18">
        <f t="shared" si="223"/>
        <v>69932053.721581027</v>
      </c>
    </row>
    <row r="38" spans="3:158" x14ac:dyDescent="0.25">
      <c r="C38" s="2" t="s">
        <v>7</v>
      </c>
      <c r="D38" s="19">
        <f>IFERROR((D28-D33)/D28,"")</f>
        <v>0.61118914094920107</v>
      </c>
      <c r="E38" s="19">
        <f t="shared" ref="E38:H38" si="224">IFERROR((E28-E33)/E28,"")</f>
        <v>0.58333970987737316</v>
      </c>
      <c r="F38" s="19">
        <f t="shared" si="224"/>
        <v>0.63697549095872041</v>
      </c>
      <c r="G38" s="19">
        <f t="shared" si="224"/>
        <v>0.64477135716461365</v>
      </c>
      <c r="H38" s="19">
        <f t="shared" si="224"/>
        <v>0.71263289222586546</v>
      </c>
      <c r="I38" s="67">
        <f t="shared" ref="I38:L38" si="225">IFERROR((I28-I33)/I28,"")</f>
        <v>0.72495774812711666</v>
      </c>
      <c r="J38" s="67">
        <f t="shared" si="225"/>
        <v>0.73691542393582599</v>
      </c>
      <c r="K38" s="67">
        <f t="shared" si="225"/>
        <v>0.74894142094972704</v>
      </c>
      <c r="L38" s="67">
        <f t="shared" si="225"/>
        <v>0.7657247541102965</v>
      </c>
      <c r="M38" s="2"/>
      <c r="N38" s="19">
        <f>IFERROR((N28-N33)/N28,"")</f>
        <v>0.62085896145393282</v>
      </c>
      <c r="O38" s="19">
        <f t="shared" ref="O38:AK38" si="226">IFERROR((O28-O33)/O28,"")</f>
        <v>0.64153422346967715</v>
      </c>
      <c r="P38" s="19">
        <f t="shared" si="226"/>
        <v>0.57960082345678843</v>
      </c>
      <c r="Q38" s="19">
        <f t="shared" si="226"/>
        <v>0.61210741404279101</v>
      </c>
      <c r="R38" s="19">
        <f t="shared" si="226"/>
        <v>0.60834567838910725</v>
      </c>
      <c r="S38" s="19">
        <f t="shared" si="226"/>
        <v>0.5894763106465486</v>
      </c>
      <c r="T38" s="19">
        <f t="shared" si="226"/>
        <v>0.54344019018990941</v>
      </c>
      <c r="U38" s="19">
        <f t="shared" si="226"/>
        <v>0.59778654014159083</v>
      </c>
      <c r="V38" s="19">
        <f t="shared" si="226"/>
        <v>0.59418818515395999</v>
      </c>
      <c r="W38" s="19">
        <f t="shared" si="226"/>
        <v>0.6300847531710797</v>
      </c>
      <c r="X38" s="19">
        <f t="shared" si="226"/>
        <v>0.63876624300457097</v>
      </c>
      <c r="Y38" s="19">
        <f t="shared" si="226"/>
        <v>0.67394616207070934</v>
      </c>
      <c r="Z38" s="19">
        <f t="shared" si="226"/>
        <v>0.64598260483755821</v>
      </c>
      <c r="AA38" s="19">
        <f t="shared" si="226"/>
        <v>0.64235093141825472</v>
      </c>
      <c r="AB38" s="19">
        <f t="shared" si="226"/>
        <v>0.63859753482363346</v>
      </c>
      <c r="AC38" s="19">
        <f t="shared" si="226"/>
        <v>0.65121531449031156</v>
      </c>
      <c r="AD38" s="19">
        <f t="shared" si="226"/>
        <v>0.70170444838536261</v>
      </c>
      <c r="AE38" s="19">
        <f t="shared" si="226"/>
        <v>0.70944268787805986</v>
      </c>
      <c r="AF38" s="19">
        <f t="shared" si="226"/>
        <v>0.71198709389783543</v>
      </c>
      <c r="AG38" s="19">
        <f t="shared" si="226"/>
        <v>0.72334191308721474</v>
      </c>
      <c r="AH38" s="19">
        <f t="shared" si="226"/>
        <v>0.71970113639019073</v>
      </c>
      <c r="AI38" s="19">
        <f t="shared" si="226"/>
        <v>0.72406762098363708</v>
      </c>
      <c r="AJ38" s="19">
        <f t="shared" si="226"/>
        <v>0.72359470234779566</v>
      </c>
      <c r="AK38" s="19">
        <f t="shared" si="226"/>
        <v>0.7306200171521704</v>
      </c>
      <c r="AL38" s="19">
        <f t="shared" ref="AL38" si="227">IFERROR((AL28-AL33)/AL28,"")</f>
        <v>0.72912993317477537</v>
      </c>
      <c r="AM38" s="19">
        <f t="shared" ref="AM38:AM40" si="228">IFERROR((AM28-AM33)/AM28,"")</f>
        <v>0.73540341635707074</v>
      </c>
      <c r="AN38" s="19">
        <f t="shared" ref="AN38:AN40" si="229">IFERROR((AN28-AN33)/AN28,"")</f>
        <v>0.73626418154240381</v>
      </c>
      <c r="AO38" s="19">
        <f t="shared" ref="AO38:AO40" si="230">IFERROR((AO28-AO33)/AO28,"")</f>
        <v>0.74433353839120275</v>
      </c>
      <c r="AP38" s="19">
        <f t="shared" ref="AP38:AP40" si="231">IFERROR((AP28-AP33)/AP28,"")</f>
        <v>0.74289274115060244</v>
      </c>
      <c r="AQ38" s="19">
        <f t="shared" ref="AQ38:AQ40" si="232">IFERROR((AQ28-AQ33)/AQ28,"")</f>
        <v>0.74776158218324662</v>
      </c>
      <c r="AR38" s="19">
        <f t="shared" ref="AR38:AR40" si="233">IFERROR((AR28-AR33)/AR28,"")</f>
        <v>0.7481251374393274</v>
      </c>
      <c r="AS38" s="19">
        <f t="shared" ref="AS38:AS40" si="234">IFERROR((AS28-AS33)/AS28,"")</f>
        <v>0.75504493084611124</v>
      </c>
      <c r="AT38" s="19">
        <f t="shared" ref="AT38:AT40" si="235">IFERROR((AT28-AT33)/AT28,"")</f>
        <v>0.75528256186440279</v>
      </c>
      <c r="AU38" s="19">
        <f t="shared" ref="AU38:AU40" si="236">IFERROR((AU28-AU33)/AU28,"")</f>
        <v>0.76333168084336256</v>
      </c>
      <c r="AV38" s="19">
        <f t="shared" ref="AV38:AV40" si="237">IFERROR((AV28-AV33)/AV28,"")</f>
        <v>0.76625209418532814</v>
      </c>
      <c r="AW38" s="19">
        <f t="shared" ref="AW38:AW40" si="238">IFERROR((AW28-AW33)/AW28,"")</f>
        <v>0.77495701499355873</v>
      </c>
      <c r="AX38" s="2"/>
      <c r="AY38" s="19">
        <f>(AY28-AY33)/AY28</f>
        <v>0.61013072613325248</v>
      </c>
      <c r="AZ38" s="19">
        <f t="shared" ref="AZ38:BT38" si="239">(AZ28-AZ33)/AZ28</f>
        <v>0.60530722081804444</v>
      </c>
      <c r="BA38" s="19">
        <f t="shared" si="239"/>
        <v>0.64447430514686999</v>
      </c>
      <c r="BB38" s="19">
        <f t="shared" si="239"/>
        <v>0.65812180702396472</v>
      </c>
      <c r="BC38" s="19">
        <f t="shared" si="239"/>
        <v>0.61459211760584442</v>
      </c>
      <c r="BD38" s="19">
        <f t="shared" si="239"/>
        <v>0.65223426044055799</v>
      </c>
      <c r="BE38" s="19">
        <f t="shared" si="239"/>
        <v>0.6135085241279471</v>
      </c>
      <c r="BF38" s="19">
        <f t="shared" si="239"/>
        <v>0.55987985648418104</v>
      </c>
      <c r="BG38" s="19">
        <f t="shared" si="239"/>
        <v>0.56719470449329312</v>
      </c>
      <c r="BH38" s="19">
        <f t="shared" si="239"/>
        <v>0.60453946139342196</v>
      </c>
      <c r="BI38" s="19">
        <f t="shared" si="239"/>
        <v>0.62881783433437577</v>
      </c>
      <c r="BJ38" s="19">
        <f t="shared" si="239"/>
        <v>0.603573673894651</v>
      </c>
      <c r="BK38" s="19">
        <f t="shared" si="239"/>
        <v>0.65211615020336877</v>
      </c>
      <c r="BL38" s="19">
        <f t="shared" si="239"/>
        <v>0.60967810037565739</v>
      </c>
      <c r="BM38" s="19">
        <f t="shared" si="239"/>
        <v>0.5647013031305409</v>
      </c>
      <c r="BN38" s="19">
        <f t="shared" si="239"/>
        <v>0.60577447167452536</v>
      </c>
      <c r="BO38" s="19">
        <f t="shared" si="239"/>
        <v>0.58712745777987763</v>
      </c>
      <c r="BP38" s="19">
        <f t="shared" si="239"/>
        <v>0.57687288778756385</v>
      </c>
      <c r="BQ38" s="19">
        <f t="shared" si="239"/>
        <v>0.56521624170581897</v>
      </c>
      <c r="BR38" s="19">
        <f t="shared" si="239"/>
        <v>0.56143352586194628</v>
      </c>
      <c r="BS38" s="19">
        <f t="shared" si="239"/>
        <v>0.50620134266168892</v>
      </c>
      <c r="BT38" s="19">
        <f t="shared" si="239"/>
        <v>0.60533098471141256</v>
      </c>
      <c r="BU38" s="19">
        <f t="shared" ref="BU38:DF38" si="240">(BU28-BU33)/BU28</f>
        <v>0.6116401201664986</v>
      </c>
      <c r="BV38" s="19">
        <f t="shared" si="240"/>
        <v>0.57734047360571672</v>
      </c>
      <c r="BW38" s="19">
        <f t="shared" si="240"/>
        <v>0.64840478050267147</v>
      </c>
      <c r="BX38" s="19">
        <f t="shared" si="240"/>
        <v>0.625141491266196</v>
      </c>
      <c r="BY38" s="19">
        <f t="shared" si="240"/>
        <v>0.5080554143806415</v>
      </c>
      <c r="BZ38" s="19">
        <f t="shared" si="240"/>
        <v>0.59961110308020238</v>
      </c>
      <c r="CA38" s="19">
        <f t="shared" si="240"/>
        <v>0.65526071015804399</v>
      </c>
      <c r="CB38" s="19">
        <f t="shared" si="240"/>
        <v>0.63511215446214153</v>
      </c>
      <c r="CC38" s="19">
        <f t="shared" si="240"/>
        <v>0.6467500783774075</v>
      </c>
      <c r="CD38" s="19">
        <f t="shared" si="240"/>
        <v>0.64556191705480248</v>
      </c>
      <c r="CE38" s="19">
        <f t="shared" si="240"/>
        <v>0.62457852102001998</v>
      </c>
      <c r="CF38" s="19">
        <f t="shared" si="240"/>
        <v>0.68002951135371315</v>
      </c>
      <c r="CG38" s="19">
        <f t="shared" si="240"/>
        <v>0.71866689655033344</v>
      </c>
      <c r="CH38" s="19">
        <f t="shared" si="240"/>
        <v>0.62467287655901815</v>
      </c>
      <c r="CI38" s="19">
        <f t="shared" si="240"/>
        <v>0.67840943471457571</v>
      </c>
      <c r="CJ38" s="19">
        <f t="shared" si="240"/>
        <v>0.64169387638698172</v>
      </c>
      <c r="CK38" s="19">
        <f t="shared" si="240"/>
        <v>0.61937916610404165</v>
      </c>
      <c r="CL38" s="19">
        <f t="shared" si="240"/>
        <v>0.65590474836866142</v>
      </c>
      <c r="CM38" s="19">
        <f t="shared" si="240"/>
        <v>0.63008742364090431</v>
      </c>
      <c r="CN38" s="19">
        <f t="shared" si="240"/>
        <v>0.64157885015950944</v>
      </c>
      <c r="CO38" s="19">
        <f t="shared" si="240"/>
        <v>0.63631601350729039</v>
      </c>
      <c r="CP38" s="19">
        <f t="shared" si="240"/>
        <v>0.63655749749767665</v>
      </c>
      <c r="CQ38" s="19">
        <f t="shared" si="240"/>
        <v>0.64267492386685732</v>
      </c>
      <c r="CR38" s="19">
        <f t="shared" si="240"/>
        <v>0.65590039661687261</v>
      </c>
      <c r="CS38" s="19">
        <f t="shared" si="240"/>
        <v>0.64254566969282312</v>
      </c>
      <c r="CT38" s="19">
        <f t="shared" si="240"/>
        <v>0.65501406667041617</v>
      </c>
      <c r="CU38" s="19">
        <f t="shared" si="240"/>
        <v>0.68880457167174858</v>
      </c>
      <c r="CV38" s="19">
        <f t="shared" si="240"/>
        <v>0.69890537753831283</v>
      </c>
      <c r="CW38" s="19">
        <f t="shared" si="240"/>
        <v>0.71534320167490262</v>
      </c>
      <c r="CX38" s="19">
        <f t="shared" si="240"/>
        <v>0.69719446809346552</v>
      </c>
      <c r="CY38" s="19">
        <f t="shared" si="240"/>
        <v>0.7097861269443847</v>
      </c>
      <c r="CZ38" s="19">
        <f t="shared" si="240"/>
        <v>0.71965829726802077</v>
      </c>
      <c r="DA38" s="19">
        <f t="shared" si="240"/>
        <v>0.70093384532697911</v>
      </c>
      <c r="DB38" s="19">
        <f t="shared" si="240"/>
        <v>0.70986768207154161</v>
      </c>
      <c r="DC38" s="19">
        <f t="shared" si="240"/>
        <v>0.72348964094224022</v>
      </c>
      <c r="DD38" s="19">
        <f t="shared" si="240"/>
        <v>0.70730370755360938</v>
      </c>
      <c r="DE38" s="19">
        <f t="shared" si="240"/>
        <v>0.72779874757442475</v>
      </c>
      <c r="DF38" s="19">
        <f t="shared" si="240"/>
        <v>0.73256309253373553</v>
      </c>
      <c r="DG38" s="19">
        <f t="shared" ref="DG38:DR38" si="241">(DG28-DG33)/DG28</f>
        <v>0.70940804054569484</v>
      </c>
      <c r="DH38" s="19">
        <f t="shared" si="241"/>
        <v>0.71721688468886446</v>
      </c>
      <c r="DI38" s="19">
        <f t="shared" si="241"/>
        <v>0.73087021175940148</v>
      </c>
      <c r="DJ38" s="19">
        <f t="shared" si="241"/>
        <v>0.71399888963761171</v>
      </c>
      <c r="DK38" s="19">
        <f t="shared" si="241"/>
        <v>0.72439398812883526</v>
      </c>
      <c r="DL38" s="19">
        <f t="shared" si="241"/>
        <v>0.73245689725846352</v>
      </c>
      <c r="DM38" s="19">
        <f t="shared" si="241"/>
        <v>0.71432710689802781</v>
      </c>
      <c r="DN38" s="19">
        <f t="shared" si="241"/>
        <v>0.72163315608108303</v>
      </c>
      <c r="DO38" s="19">
        <f t="shared" si="241"/>
        <v>0.73346556156625176</v>
      </c>
      <c r="DP38" s="19">
        <f t="shared" si="241"/>
        <v>0.716164159953388</v>
      </c>
      <c r="DQ38" s="19">
        <f t="shared" si="241"/>
        <v>0.73483815657662077</v>
      </c>
      <c r="DR38" s="19">
        <f t="shared" si="241"/>
        <v>0.73885116908003501</v>
      </c>
      <c r="DS38" s="19">
        <f t="shared" ref="DS38:EQ38" si="242">(DS28-DS33)/DS28</f>
        <v>0.71871989032724315</v>
      </c>
      <c r="DT38" s="19">
        <f t="shared" si="242"/>
        <v>0.72679692526429529</v>
      </c>
      <c r="DU38" s="19">
        <f t="shared" si="242"/>
        <v>0.74032357611753019</v>
      </c>
      <c r="DV38" s="19">
        <f t="shared" si="242"/>
        <v>0.72535303656829886</v>
      </c>
      <c r="DW38" s="19">
        <f t="shared" si="242"/>
        <v>0.73570281105421342</v>
      </c>
      <c r="DX38" s="19">
        <f t="shared" si="242"/>
        <v>0.74384794917641861</v>
      </c>
      <c r="DY38" s="19">
        <f t="shared" si="242"/>
        <v>0.72707651267737838</v>
      </c>
      <c r="DZ38" s="19">
        <f t="shared" si="242"/>
        <v>0.73444633016260819</v>
      </c>
      <c r="EA38" s="19">
        <f t="shared" si="242"/>
        <v>0.74597524733672504</v>
      </c>
      <c r="EB38" s="19">
        <f t="shared" si="242"/>
        <v>0.73048397257177922</v>
      </c>
      <c r="EC38" s="19">
        <f t="shared" si="242"/>
        <v>0.74824122325562537</v>
      </c>
      <c r="ED38" s="19">
        <f t="shared" si="242"/>
        <v>0.75239777660319596</v>
      </c>
      <c r="EE38" s="19">
        <f t="shared" si="242"/>
        <v>0.73376048602858468</v>
      </c>
      <c r="EF38" s="19">
        <f t="shared" si="242"/>
        <v>0.74076678206769597</v>
      </c>
      <c r="EG38" s="19">
        <f t="shared" si="242"/>
        <v>0.75283917884813456</v>
      </c>
      <c r="EH38" s="19">
        <f t="shared" si="242"/>
        <v>0.73880005629706424</v>
      </c>
      <c r="EI38" s="19">
        <f t="shared" si="242"/>
        <v>0.74803786464626087</v>
      </c>
      <c r="EJ38" s="19">
        <f t="shared" si="242"/>
        <v>0.75532411012305112</v>
      </c>
      <c r="EK38" s="19">
        <f t="shared" si="242"/>
        <v>0.73987045452491762</v>
      </c>
      <c r="EL38" s="19">
        <f t="shared" si="242"/>
        <v>0.74643671033055992</v>
      </c>
      <c r="EM38" s="19">
        <f t="shared" si="242"/>
        <v>0.75693912303444644</v>
      </c>
      <c r="EN38" s="19">
        <f t="shared" si="242"/>
        <v>0.74232411194992176</v>
      </c>
      <c r="EO38" s="19">
        <f t="shared" si="242"/>
        <v>0.75868382725656813</v>
      </c>
      <c r="EP38" s="19">
        <f t="shared" si="242"/>
        <v>0.76245509418059787</v>
      </c>
      <c r="EQ38" s="19">
        <f t="shared" si="242"/>
        <v>0.74616979248825765</v>
      </c>
      <c r="ER38" s="19">
        <f t="shared" ref="ER38:FB38" si="243">(ER28-ER33)/ER28</f>
        <v>0.75347512919921844</v>
      </c>
      <c r="ES38" s="19">
        <f t="shared" si="243"/>
        <v>0.7650246865793342</v>
      </c>
      <c r="ET38" s="19">
        <f t="shared" si="243"/>
        <v>0.75460017252814005</v>
      </c>
      <c r="EU38" s="19">
        <f t="shared" si="243"/>
        <v>0.7635588663401871</v>
      </c>
      <c r="EV38" s="19">
        <f t="shared" si="243"/>
        <v>0.77081560426803775</v>
      </c>
      <c r="EW38" s="19">
        <f t="shared" si="243"/>
        <v>0.75831650094652725</v>
      </c>
      <c r="EX38" s="19">
        <f t="shared" si="243"/>
        <v>0.76486133844271487</v>
      </c>
      <c r="EY38" s="19">
        <f t="shared" si="243"/>
        <v>0.77458670347677827</v>
      </c>
      <c r="EZ38" s="19">
        <f t="shared" si="243"/>
        <v>0.76360299697568479</v>
      </c>
      <c r="FA38" s="19">
        <f t="shared" si="243"/>
        <v>0.77794358477910963</v>
      </c>
      <c r="FB38" s="19">
        <f t="shared" si="243"/>
        <v>0.78191670068419683</v>
      </c>
    </row>
    <row r="39" spans="3:158" x14ac:dyDescent="0.25">
      <c r="C39" s="2" t="s">
        <v>8</v>
      </c>
      <c r="D39" s="19">
        <f t="shared" ref="D39:G39" si="244">IFERROR((D29-D34)/D29,"")</f>
        <v>0.63481094213668665</v>
      </c>
      <c r="E39" s="19">
        <f t="shared" si="244"/>
        <v>0.61469126410937969</v>
      </c>
      <c r="F39" s="19">
        <f t="shared" si="244"/>
        <v>0.65649226406085381</v>
      </c>
      <c r="G39" s="19">
        <f t="shared" si="244"/>
        <v>0.67417037683034264</v>
      </c>
      <c r="H39" s="19">
        <f>IFERROR((H29-H34)/H29,"")</f>
        <v>0.74959607807118522</v>
      </c>
      <c r="I39" s="67">
        <f t="shared" ref="I39:L39" si="245">IFERROR((I29-I34)/I29,"")</f>
        <v>0.76122141575918367</v>
      </c>
      <c r="J39" s="67">
        <f t="shared" si="245"/>
        <v>0.77264102849265115</v>
      </c>
      <c r="K39" s="67">
        <f t="shared" si="245"/>
        <v>0.78406045526231594</v>
      </c>
      <c r="L39" s="67">
        <f t="shared" si="245"/>
        <v>0.79697935346631843</v>
      </c>
      <c r="M39" s="2"/>
      <c r="N39" s="19">
        <f t="shared" ref="N39:AK39" si="246">IFERROR((N29-N34)/N29,"")</f>
        <v>0.6593704866797544</v>
      </c>
      <c r="O39" s="19">
        <f t="shared" si="246"/>
        <v>0.66084601149816125</v>
      </c>
      <c r="P39" s="19">
        <f t="shared" si="246"/>
        <v>0.59414878164278817</v>
      </c>
      <c r="Q39" s="19">
        <f t="shared" si="246"/>
        <v>0.63761021334818768</v>
      </c>
      <c r="R39" s="19">
        <f t="shared" si="246"/>
        <v>0.6450073133845452</v>
      </c>
      <c r="S39" s="19">
        <f t="shared" si="246"/>
        <v>0.6267251602383892</v>
      </c>
      <c r="T39" s="19">
        <f t="shared" si="246"/>
        <v>0.57660009175706561</v>
      </c>
      <c r="U39" s="19">
        <f t="shared" si="246"/>
        <v>0.62002508064395423</v>
      </c>
      <c r="V39" s="19">
        <f t="shared" si="246"/>
        <v>0.61935359327784423</v>
      </c>
      <c r="W39" s="19">
        <f t="shared" si="246"/>
        <v>0.65719477397995174</v>
      </c>
      <c r="X39" s="19">
        <f t="shared" si="246"/>
        <v>0.65183999251122238</v>
      </c>
      <c r="Y39" s="19">
        <f t="shared" si="246"/>
        <v>0.68839623196919375</v>
      </c>
      <c r="Z39" s="19">
        <f t="shared" si="246"/>
        <v>0.65777055631164216</v>
      </c>
      <c r="AA39" s="19">
        <f t="shared" si="246"/>
        <v>0.66761867443744816</v>
      </c>
      <c r="AB39" s="19">
        <f t="shared" si="246"/>
        <v>0.66997841552757187</v>
      </c>
      <c r="AC39" s="19">
        <f t="shared" si="246"/>
        <v>0.69457274148137416</v>
      </c>
      <c r="AD39" s="19">
        <f t="shared" si="246"/>
        <v>0.7467419728694954</v>
      </c>
      <c r="AE39" s="19">
        <f t="shared" si="246"/>
        <v>0.7486781372478688</v>
      </c>
      <c r="AF39" s="19">
        <f t="shared" si="246"/>
        <v>0.74995991013069407</v>
      </c>
      <c r="AG39" s="19">
        <f t="shared" si="246"/>
        <v>0.75205183743412951</v>
      </c>
      <c r="AH39" s="19">
        <f t="shared" si="246"/>
        <v>0.7586813384685821</v>
      </c>
      <c r="AI39" s="19">
        <f t="shared" si="246"/>
        <v>0.76050539723190391</v>
      </c>
      <c r="AJ39" s="19">
        <f t="shared" si="246"/>
        <v>0.7615460082598613</v>
      </c>
      <c r="AK39" s="19">
        <f t="shared" si="246"/>
        <v>0.76335803463364227</v>
      </c>
      <c r="AL39" s="19">
        <f t="shared" ref="AL39" si="247">IFERROR((AL29-AL34)/AL29,"")</f>
        <v>0.77010699027961549</v>
      </c>
      <c r="AM39" s="19">
        <f t="shared" si="228"/>
        <v>0.77192217600092328</v>
      </c>
      <c r="AN39" s="19">
        <f t="shared" si="229"/>
        <v>0.77298239511455302</v>
      </c>
      <c r="AO39" s="19">
        <f t="shared" si="230"/>
        <v>0.77478589909440143</v>
      </c>
      <c r="AP39" s="19">
        <f t="shared" si="231"/>
        <v>0.78153350830732871</v>
      </c>
      <c r="AQ39" s="19">
        <f t="shared" si="232"/>
        <v>0.78333909511104804</v>
      </c>
      <c r="AR39" s="19">
        <f t="shared" si="233"/>
        <v>0.78441840252656436</v>
      </c>
      <c r="AS39" s="19">
        <f t="shared" si="234"/>
        <v>0.78621284745168685</v>
      </c>
      <c r="AT39" s="19">
        <f t="shared" si="235"/>
        <v>0.79343083964868277</v>
      </c>
      <c r="AU39" s="19">
        <f t="shared" si="236"/>
        <v>0.79588994148471515</v>
      </c>
      <c r="AV39" s="19">
        <f t="shared" si="237"/>
        <v>0.79761569248066366</v>
      </c>
      <c r="AW39" s="19">
        <f t="shared" si="238"/>
        <v>0.79998086030354976</v>
      </c>
      <c r="AX39" s="2"/>
      <c r="AY39" s="19">
        <f>(AY29-AY34)/AY29</f>
        <v>0.65183891904789226</v>
      </c>
      <c r="AZ39" s="19">
        <f t="shared" ref="AZ39:BT39" si="248">(AZ29-AZ34)/AZ29</f>
        <v>0.65462608591918925</v>
      </c>
      <c r="BA39" s="19">
        <f t="shared" si="248"/>
        <v>0.67051216264096081</v>
      </c>
      <c r="BB39" s="19">
        <f t="shared" si="248"/>
        <v>0.69244690195182923</v>
      </c>
      <c r="BC39" s="19">
        <f t="shared" si="248"/>
        <v>0.62287358533288695</v>
      </c>
      <c r="BD39" s="19">
        <f t="shared" si="248"/>
        <v>0.66643337879108</v>
      </c>
      <c r="BE39" s="19">
        <f t="shared" si="248"/>
        <v>0.61300066698686762</v>
      </c>
      <c r="BF39" s="19">
        <f t="shared" si="248"/>
        <v>0.57179354466535537</v>
      </c>
      <c r="BG39" s="19">
        <f t="shared" si="248"/>
        <v>0.59782229182214086</v>
      </c>
      <c r="BH39" s="19">
        <f t="shared" si="248"/>
        <v>0.62300391392807497</v>
      </c>
      <c r="BI39" s="19">
        <f t="shared" si="248"/>
        <v>0.65735373189195212</v>
      </c>
      <c r="BJ39" s="19">
        <f t="shared" si="248"/>
        <v>0.63259390448152664</v>
      </c>
      <c r="BK39" s="19">
        <f t="shared" si="248"/>
        <v>0.68019747877239545</v>
      </c>
      <c r="BL39" s="19">
        <f t="shared" si="248"/>
        <v>0.64205013722765458</v>
      </c>
      <c r="BM39" s="19">
        <f t="shared" si="248"/>
        <v>0.61561899333668513</v>
      </c>
      <c r="BN39" s="19">
        <f t="shared" si="248"/>
        <v>0.63514412833838418</v>
      </c>
      <c r="BO39" s="19">
        <f t="shared" si="248"/>
        <v>0.62293382871508785</v>
      </c>
      <c r="BP39" s="19">
        <f t="shared" si="248"/>
        <v>0.62278820585396366</v>
      </c>
      <c r="BQ39" s="19">
        <f t="shared" si="248"/>
        <v>0.59801529239425399</v>
      </c>
      <c r="BR39" s="19">
        <f t="shared" si="248"/>
        <v>0.59378057456828459</v>
      </c>
      <c r="BS39" s="19">
        <f t="shared" si="248"/>
        <v>0.54092469216685179</v>
      </c>
      <c r="BT39" s="19">
        <f t="shared" si="248"/>
        <v>0.62842725011501455</v>
      </c>
      <c r="BU39" s="19">
        <f t="shared" ref="BU39:DF39" si="249">(BU29-BU34)/BU29</f>
        <v>0.63681817610005087</v>
      </c>
      <c r="BV39" s="19">
        <f t="shared" si="249"/>
        <v>0.59560638324696202</v>
      </c>
      <c r="BW39" s="19">
        <f t="shared" si="249"/>
        <v>0.67738532247767425</v>
      </c>
      <c r="BX39" s="19">
        <f t="shared" si="249"/>
        <v>0.6518274370751268</v>
      </c>
      <c r="BY39" s="19">
        <f t="shared" si="249"/>
        <v>0.53048453293502884</v>
      </c>
      <c r="BZ39" s="19">
        <f t="shared" si="249"/>
        <v>0.62534893498043009</v>
      </c>
      <c r="CA39" s="19">
        <f t="shared" si="249"/>
        <v>0.68726016345404795</v>
      </c>
      <c r="CB39" s="19">
        <f t="shared" si="249"/>
        <v>0.65857610201488659</v>
      </c>
      <c r="CC39" s="19">
        <f t="shared" si="249"/>
        <v>0.65923967023984675</v>
      </c>
      <c r="CD39" s="19">
        <f t="shared" si="249"/>
        <v>0.65831918973803094</v>
      </c>
      <c r="CE39" s="19">
        <f t="shared" si="249"/>
        <v>0.63859592272219634</v>
      </c>
      <c r="CF39" s="19">
        <f t="shared" si="249"/>
        <v>0.69549050195824269</v>
      </c>
      <c r="CG39" s="19">
        <f t="shared" si="249"/>
        <v>0.73312986289756377</v>
      </c>
      <c r="CH39" s="19">
        <f t="shared" si="249"/>
        <v>0.63818232013445364</v>
      </c>
      <c r="CI39" s="19">
        <f t="shared" si="249"/>
        <v>0.68591833165849858</v>
      </c>
      <c r="CJ39" s="19">
        <f t="shared" si="249"/>
        <v>0.64798587094351823</v>
      </c>
      <c r="CK39" s="19">
        <f t="shared" si="249"/>
        <v>0.64102763128332374</v>
      </c>
      <c r="CL39" s="19">
        <f t="shared" si="249"/>
        <v>0.67590361129002918</v>
      </c>
      <c r="CM39" s="19">
        <f t="shared" si="249"/>
        <v>0.65538241481616566</v>
      </c>
      <c r="CN39" s="19">
        <f t="shared" si="249"/>
        <v>0.67169928893046671</v>
      </c>
      <c r="CO39" s="19">
        <f t="shared" si="249"/>
        <v>0.66344262070421056</v>
      </c>
      <c r="CP39" s="19">
        <f t="shared" si="249"/>
        <v>0.66989989242350911</v>
      </c>
      <c r="CQ39" s="19">
        <f t="shared" si="249"/>
        <v>0.67611732230552835</v>
      </c>
      <c r="CR39" s="19">
        <f t="shared" si="249"/>
        <v>0.69373194979087627</v>
      </c>
      <c r="CS39" s="19">
        <f t="shared" si="249"/>
        <v>0.68901307729277694</v>
      </c>
      <c r="CT39" s="19">
        <f t="shared" si="249"/>
        <v>0.70059630075575685</v>
      </c>
      <c r="CU39" s="19">
        <f t="shared" si="249"/>
        <v>0.74509738419656379</v>
      </c>
      <c r="CV39" s="19">
        <f t="shared" si="249"/>
        <v>0.74653817319696558</v>
      </c>
      <c r="CW39" s="19">
        <f t="shared" si="249"/>
        <v>0.74845419214813813</v>
      </c>
      <c r="CX39" s="19">
        <f t="shared" si="249"/>
        <v>0.74707154473837323</v>
      </c>
      <c r="CY39" s="19">
        <f t="shared" si="249"/>
        <v>0.7488079005150744</v>
      </c>
      <c r="CZ39" s="19">
        <f t="shared" si="249"/>
        <v>0.75001807303829116</v>
      </c>
      <c r="DA39" s="19">
        <f t="shared" si="249"/>
        <v>0.74844110017748045</v>
      </c>
      <c r="DB39" s="19">
        <f t="shared" si="249"/>
        <v>0.74981552087738235</v>
      </c>
      <c r="DC39" s="19">
        <f t="shared" si="249"/>
        <v>0.75149216706605915</v>
      </c>
      <c r="DD39" s="19">
        <f t="shared" si="249"/>
        <v>0.75019049005585192</v>
      </c>
      <c r="DE39" s="19">
        <f t="shared" si="249"/>
        <v>0.75249635861068764</v>
      </c>
      <c r="DF39" s="19">
        <f t="shared" si="249"/>
        <v>0.75329299601320499</v>
      </c>
      <c r="DG39" s="19">
        <f t="shared" ref="DG39:DR39" si="250">(DG29-DG34)/DG29</f>
        <v>0.75715455318645708</v>
      </c>
      <c r="DH39" s="19">
        <f t="shared" si="250"/>
        <v>0.75849108097074824</v>
      </c>
      <c r="DI39" s="19">
        <f t="shared" si="250"/>
        <v>0.76027558475823542</v>
      </c>
      <c r="DJ39" s="19">
        <f t="shared" si="250"/>
        <v>0.75900988210674203</v>
      </c>
      <c r="DK39" s="19">
        <f t="shared" si="250"/>
        <v>0.76063333523326215</v>
      </c>
      <c r="DL39" s="19">
        <f t="shared" si="250"/>
        <v>0.76174698267229346</v>
      </c>
      <c r="DM39" s="19">
        <f t="shared" si="250"/>
        <v>0.7601194623095282</v>
      </c>
      <c r="DN39" s="19">
        <f t="shared" si="250"/>
        <v>0.76141124226535106</v>
      </c>
      <c r="DO39" s="19">
        <f t="shared" si="250"/>
        <v>0.76299014651113573</v>
      </c>
      <c r="DP39" s="19">
        <f t="shared" si="250"/>
        <v>0.76158415081314124</v>
      </c>
      <c r="DQ39" s="19">
        <f t="shared" si="250"/>
        <v>0.76378416507366698</v>
      </c>
      <c r="DR39" s="19">
        <f t="shared" si="250"/>
        <v>0.76455172445542974</v>
      </c>
      <c r="DS39" s="19">
        <f t="shared" ref="DS39:EQ39" si="251">(DS29-DS34)/DS29</f>
        <v>0.76862474170322637</v>
      </c>
      <c r="DT39" s="19">
        <f t="shared" si="251"/>
        <v>0.76992457977958262</v>
      </c>
      <c r="DU39" s="19">
        <f t="shared" si="251"/>
        <v>0.77165752329115411</v>
      </c>
      <c r="DV39" s="19">
        <f t="shared" si="251"/>
        <v>0.77046490841815074</v>
      </c>
      <c r="DW39" s="19">
        <f t="shared" si="251"/>
        <v>0.77204495401990991</v>
      </c>
      <c r="DX39" s="19">
        <f t="shared" si="251"/>
        <v>0.77313839783291483</v>
      </c>
      <c r="DY39" s="19">
        <f t="shared" si="251"/>
        <v>0.77158913410656493</v>
      </c>
      <c r="DZ39" s="19">
        <f t="shared" si="251"/>
        <v>0.77285212686714377</v>
      </c>
      <c r="EA39" s="19">
        <f t="shared" si="251"/>
        <v>0.77439545403285737</v>
      </c>
      <c r="EB39" s="19">
        <f t="shared" si="251"/>
        <v>0.77305291268213938</v>
      </c>
      <c r="EC39" s="19">
        <f t="shared" si="251"/>
        <v>0.77519813060569576</v>
      </c>
      <c r="ED39" s="19">
        <f t="shared" si="251"/>
        <v>0.77596050384998883</v>
      </c>
      <c r="EE39" s="19">
        <f t="shared" si="251"/>
        <v>0.78009549788817734</v>
      </c>
      <c r="EF39" s="19">
        <f t="shared" si="251"/>
        <v>0.78135887199880005</v>
      </c>
      <c r="EG39" s="19">
        <f t="shared" si="251"/>
        <v>0.78304033107790449</v>
      </c>
      <c r="EH39" s="19">
        <f t="shared" si="251"/>
        <v>0.78192036564816225</v>
      </c>
      <c r="EI39" s="19">
        <f t="shared" si="251"/>
        <v>0.78345660829371122</v>
      </c>
      <c r="EJ39" s="19">
        <f t="shared" si="251"/>
        <v>0.78452956557895548</v>
      </c>
      <c r="EK39" s="19">
        <f t="shared" si="251"/>
        <v>0.78305892333763538</v>
      </c>
      <c r="EL39" s="19">
        <f t="shared" si="251"/>
        <v>0.78429263523846371</v>
      </c>
      <c r="EM39" s="19">
        <f t="shared" si="251"/>
        <v>0.78579976615080405</v>
      </c>
      <c r="EN39" s="19">
        <f t="shared" si="251"/>
        <v>0.78452150468715431</v>
      </c>
      <c r="EO39" s="19">
        <f t="shared" si="251"/>
        <v>0.7866110459933785</v>
      </c>
      <c r="EP39" s="19">
        <f t="shared" si="251"/>
        <v>0.78736768960934134</v>
      </c>
      <c r="EQ39" s="19">
        <f t="shared" si="251"/>
        <v>0.79180495989893795</v>
      </c>
      <c r="ER39" s="19">
        <f t="shared" ref="ER39:FB39" si="252">(ER29-ER34)/ER29</f>
        <v>0.7932623488119892</v>
      </c>
      <c r="ES39" s="19">
        <f t="shared" si="252"/>
        <v>0.79511220900496649</v>
      </c>
      <c r="ET39" s="19">
        <f t="shared" si="252"/>
        <v>0.79429727242227055</v>
      </c>
      <c r="EU39" s="19">
        <f t="shared" si="252"/>
        <v>0.79599754847010551</v>
      </c>
      <c r="EV39" s="19">
        <f t="shared" si="252"/>
        <v>0.79725465889635627</v>
      </c>
      <c r="EW39" s="19">
        <f t="shared" si="252"/>
        <v>0.79609584423666624</v>
      </c>
      <c r="EX39" s="19">
        <f t="shared" si="252"/>
        <v>0.79749388810306099</v>
      </c>
      <c r="EY39" s="19">
        <f t="shared" si="252"/>
        <v>0.79914640463975761</v>
      </c>
      <c r="EZ39" s="19">
        <f t="shared" si="252"/>
        <v>0.79816048770297121</v>
      </c>
      <c r="FA39" s="19">
        <f t="shared" si="252"/>
        <v>0.80035272336781116</v>
      </c>
      <c r="FB39" s="19">
        <f t="shared" si="252"/>
        <v>0.80128273117090065</v>
      </c>
    </row>
    <row r="40" spans="3:158" x14ac:dyDescent="0.25">
      <c r="C40" s="2" t="s">
        <v>9</v>
      </c>
      <c r="D40" s="19">
        <f t="shared" ref="D40:H40" si="253">IFERROR((D30-D35)/D30,"")</f>
        <v>0.21803725070727881</v>
      </c>
      <c r="E40" s="19">
        <f t="shared" si="253"/>
        <v>0.10747629917957546</v>
      </c>
      <c r="F40" s="19">
        <f t="shared" si="253"/>
        <v>0.27838223000463042</v>
      </c>
      <c r="G40" s="19">
        <f t="shared" si="253"/>
        <v>0.1254286621706156</v>
      </c>
      <c r="H40" s="67">
        <f t="shared" si="253"/>
        <v>0.19999999999999984</v>
      </c>
      <c r="I40" s="67">
        <f t="shared" ref="I40:L40" si="254">IFERROR((I30-I35)/I30,"")</f>
        <v>0.19999999999999996</v>
      </c>
      <c r="J40" s="67">
        <f t="shared" si="254"/>
        <v>0.19999999999999998</v>
      </c>
      <c r="K40" s="67">
        <f t="shared" si="254"/>
        <v>0.2</v>
      </c>
      <c r="L40" s="67">
        <f t="shared" si="254"/>
        <v>0.19999999999999993</v>
      </c>
      <c r="M40" s="2"/>
      <c r="N40" s="19">
        <f t="shared" ref="N40:AK40" si="255">IFERROR((N30-N35)/N30,"")</f>
        <v>-1.3791940678600856</v>
      </c>
      <c r="O40" s="19">
        <f t="shared" si="255"/>
        <v>0.25771417238966604</v>
      </c>
      <c r="P40" s="19">
        <f t="shared" si="255"/>
        <v>0.37981685550604705</v>
      </c>
      <c r="Q40" s="19">
        <f t="shared" si="255"/>
        <v>0.28207070773300263</v>
      </c>
      <c r="R40" s="19">
        <f t="shared" si="255"/>
        <v>7.699116262675966E-2</v>
      </c>
      <c r="S40" s="19">
        <f t="shared" si="255"/>
        <v>3.6738030381033612E-2</v>
      </c>
      <c r="T40" s="19">
        <f t="shared" si="255"/>
        <v>-1.0694884837190527E-2</v>
      </c>
      <c r="U40" s="19">
        <f t="shared" si="255"/>
        <v>0.26527731525645282</v>
      </c>
      <c r="V40" s="19">
        <f t="shared" si="255"/>
        <v>0.18475767121316308</v>
      </c>
      <c r="W40" s="19">
        <f t="shared" si="255"/>
        <v>0.10270623246693583</v>
      </c>
      <c r="X40" s="19">
        <f t="shared" si="255"/>
        <v>0.41062286904001155</v>
      </c>
      <c r="Y40" s="19">
        <f t="shared" si="255"/>
        <v>0.37740290553565015</v>
      </c>
      <c r="Z40" s="19">
        <f t="shared" si="255"/>
        <v>0.40657005274950098</v>
      </c>
      <c r="AA40" s="19">
        <f t="shared" si="255"/>
        <v>0.12475823749223963</v>
      </c>
      <c r="AB40" s="19">
        <f t="shared" si="255"/>
        <v>0.12871937226030028</v>
      </c>
      <c r="AC40" s="19">
        <f t="shared" si="255"/>
        <v>-3.3883025478606804E-2</v>
      </c>
      <c r="AD40" s="19">
        <f t="shared" si="255"/>
        <v>-4.2550128142632454E-2</v>
      </c>
      <c r="AE40" s="19">
        <f t="shared" si="255"/>
        <v>0.16706941506685832</v>
      </c>
      <c r="AF40" s="19">
        <f t="shared" si="255"/>
        <v>0.12176678871102389</v>
      </c>
      <c r="AG40" s="19">
        <f t="shared" si="255"/>
        <v>0.39368712108465814</v>
      </c>
      <c r="AH40" s="19">
        <f t="shared" si="255"/>
        <v>6.3605019942118229E-2</v>
      </c>
      <c r="AI40" s="19">
        <f t="shared" si="255"/>
        <v>0.22133044607174704</v>
      </c>
      <c r="AJ40" s="19">
        <f t="shared" si="255"/>
        <v>0.10698031741196418</v>
      </c>
      <c r="AK40" s="19">
        <f t="shared" si="255"/>
        <v>0.32185692828639784</v>
      </c>
      <c r="AL40" s="19">
        <f t="shared" ref="AL40" si="256">IFERROR((AL30-AL35)/AL30,"")</f>
        <v>8.3317605154059528E-3</v>
      </c>
      <c r="AM40" s="19">
        <f t="shared" si="228"/>
        <v>0.21114677582259733</v>
      </c>
      <c r="AN40" s="19">
        <f t="shared" si="229"/>
        <v>0.11783623538802743</v>
      </c>
      <c r="AO40" s="19">
        <f t="shared" si="230"/>
        <v>0.35167888884979898</v>
      </c>
      <c r="AP40" s="19">
        <f t="shared" si="231"/>
        <v>3.1286931676949035E-2</v>
      </c>
      <c r="AQ40" s="19">
        <f t="shared" si="232"/>
        <v>0.21537608844223607</v>
      </c>
      <c r="AR40" s="19">
        <f t="shared" si="233"/>
        <v>0.1133277360188778</v>
      </c>
      <c r="AS40" s="19">
        <f t="shared" si="234"/>
        <v>0.33929372799252516</v>
      </c>
      <c r="AT40" s="19">
        <f t="shared" si="235"/>
        <v>-6.3639941291024044E-2</v>
      </c>
      <c r="AU40" s="19">
        <f t="shared" si="236"/>
        <v>0.19788654680645515</v>
      </c>
      <c r="AV40" s="19">
        <f t="shared" si="237"/>
        <v>0.13197180292126215</v>
      </c>
      <c r="AW40" s="19">
        <f t="shared" si="238"/>
        <v>0.39051027450017894</v>
      </c>
      <c r="AX40" s="2"/>
      <c r="AY40" s="19">
        <f>(AY30-AY35)/AY30</f>
        <v>-3.0103019762845848</v>
      </c>
      <c r="AZ40" s="19">
        <f t="shared" ref="AZ40:BT40" si="257">(AZ30-AZ35)/AZ30</f>
        <v>-2.90945125</v>
      </c>
      <c r="BA40" s="19">
        <f t="shared" si="257"/>
        <v>-0.19515969032935304</v>
      </c>
      <c r="BB40" s="19">
        <f t="shared" si="257"/>
        <v>-9.0937851562499983</v>
      </c>
      <c r="BC40" s="19">
        <f t="shared" si="257"/>
        <v>0.51394243319943744</v>
      </c>
      <c r="BD40" s="19">
        <f t="shared" si="257"/>
        <v>0.43134304303706794</v>
      </c>
      <c r="BE40" s="19">
        <f t="shared" si="257"/>
        <v>0.61893978030600227</v>
      </c>
      <c r="BF40" s="19">
        <f t="shared" si="257"/>
        <v>0.40607183428984506</v>
      </c>
      <c r="BG40" s="19">
        <f t="shared" si="257"/>
        <v>-5.136693269894777E-3</v>
      </c>
      <c r="BH40" s="19">
        <f t="shared" si="257"/>
        <v>0.37743768621466467</v>
      </c>
      <c r="BI40" s="19">
        <f t="shared" si="257"/>
        <v>0.31430432414999976</v>
      </c>
      <c r="BJ40" s="19">
        <f t="shared" si="257"/>
        <v>0.16038763619348942</v>
      </c>
      <c r="BK40" s="19">
        <f t="shared" si="257"/>
        <v>0.31304863000008698</v>
      </c>
      <c r="BL40" s="19">
        <f t="shared" si="257"/>
        <v>6.8592565095190211E-2</v>
      </c>
      <c r="BM40" s="19">
        <f t="shared" si="257"/>
        <v>-0.28817233024787237</v>
      </c>
      <c r="BN40" s="19">
        <f t="shared" si="257"/>
        <v>0.23552549668285216</v>
      </c>
      <c r="BO40" s="19">
        <f t="shared" si="257"/>
        <v>8.780961157315649E-2</v>
      </c>
      <c r="BP40" s="19">
        <f t="shared" si="257"/>
        <v>-0.28549385999398719</v>
      </c>
      <c r="BQ40" s="19">
        <f t="shared" si="257"/>
        <v>4.1784028362681861E-3</v>
      </c>
      <c r="BR40" s="19">
        <f t="shared" si="257"/>
        <v>0.10819497725304578</v>
      </c>
      <c r="BS40" s="19">
        <f t="shared" si="257"/>
        <v>-0.1835476954945624</v>
      </c>
      <c r="BT40" s="19">
        <f t="shared" si="257"/>
        <v>0.26447960070246784</v>
      </c>
      <c r="BU40" s="19">
        <f t="shared" ref="BU40:DF40" si="258">(BU30-BU35)/BU30</f>
        <v>0.23759320601716244</v>
      </c>
      <c r="BV40" s="19">
        <f t="shared" si="258"/>
        <v>0.2905643860861552</v>
      </c>
      <c r="BW40" s="19">
        <f t="shared" si="258"/>
        <v>0.30629670179970642</v>
      </c>
      <c r="BX40" s="19">
        <f t="shared" si="258"/>
        <v>0.15649764997594467</v>
      </c>
      <c r="BY40" s="19">
        <f t="shared" si="258"/>
        <v>-9.2792598761354036E-3</v>
      </c>
      <c r="BZ40" s="19">
        <f t="shared" si="258"/>
        <v>0.16117718488230895</v>
      </c>
      <c r="CA40" s="19">
        <f t="shared" si="258"/>
        <v>4.0542989725146819E-2</v>
      </c>
      <c r="CB40" s="19">
        <f t="shared" si="258"/>
        <v>9.8965300184437749E-2</v>
      </c>
      <c r="CC40" s="19">
        <f t="shared" si="258"/>
        <v>0.44405511729261293</v>
      </c>
      <c r="CD40" s="19">
        <f t="shared" si="258"/>
        <v>0.42420029646613594</v>
      </c>
      <c r="CE40" s="19">
        <f t="shared" si="258"/>
        <v>0.3598417717418067</v>
      </c>
      <c r="CF40" s="19">
        <f t="shared" si="258"/>
        <v>0.37429821440124222</v>
      </c>
      <c r="CG40" s="19">
        <f t="shared" si="258"/>
        <v>0.41652056152051126</v>
      </c>
      <c r="CH40" s="19">
        <f t="shared" si="258"/>
        <v>0.34244437200508526</v>
      </c>
      <c r="CI40" s="19">
        <f t="shared" si="258"/>
        <v>0.54902275962879488</v>
      </c>
      <c r="CJ40" s="19">
        <f t="shared" si="258"/>
        <v>0.52655337768060184</v>
      </c>
      <c r="CK40" s="19">
        <f t="shared" si="258"/>
        <v>2.8864170452765976E-3</v>
      </c>
      <c r="CL40" s="19">
        <f t="shared" si="258"/>
        <v>0.23475404571064692</v>
      </c>
      <c r="CM40" s="19">
        <f t="shared" si="258"/>
        <v>0.15615629371762374</v>
      </c>
      <c r="CN40" s="19">
        <f t="shared" si="258"/>
        <v>-2.0163452301205764E-2</v>
      </c>
      <c r="CO40" s="19">
        <f t="shared" si="258"/>
        <v>0.20032920353881065</v>
      </c>
      <c r="CP40" s="19">
        <f t="shared" si="258"/>
        <v>7.200009122436124E-2</v>
      </c>
      <c r="CQ40" s="19">
        <f t="shared" si="258"/>
        <v>0.11455788634955931</v>
      </c>
      <c r="CR40" s="19">
        <f t="shared" si="258"/>
        <v>5.0479590523301157E-2</v>
      </c>
      <c r="CS40" s="19">
        <f t="shared" si="258"/>
        <v>-0.11701252186241436</v>
      </c>
      <c r="CT40" s="19">
        <f t="shared" si="258"/>
        <v>-3.5443700524558669E-2</v>
      </c>
      <c r="CU40" s="19">
        <f t="shared" si="258"/>
        <v>-1.5737194793078233</v>
      </c>
      <c r="CV40" s="19">
        <f t="shared" si="258"/>
        <v>-0.19616525284396841</v>
      </c>
      <c r="CW40" s="19">
        <f t="shared" si="258"/>
        <v>0.38537514593144484</v>
      </c>
      <c r="CX40" s="19">
        <f t="shared" si="258"/>
        <v>-0.56878985981869279</v>
      </c>
      <c r="CY40" s="19">
        <f t="shared" si="258"/>
        <v>0.18403743580156565</v>
      </c>
      <c r="CZ40" s="19">
        <f t="shared" si="258"/>
        <v>0.41773401406093486</v>
      </c>
      <c r="DA40" s="19">
        <f t="shared" si="258"/>
        <v>-0.69960278465571313</v>
      </c>
      <c r="DB40" s="19">
        <f t="shared" si="258"/>
        <v>2.8363993879987365E-2</v>
      </c>
      <c r="DC40" s="19">
        <f t="shared" si="258"/>
        <v>0.43688023110982754</v>
      </c>
      <c r="DD40" s="19">
        <f t="shared" si="258"/>
        <v>-0.3358594258031356</v>
      </c>
      <c r="DE40" s="19">
        <f t="shared" si="258"/>
        <v>0.49002826260461563</v>
      </c>
      <c r="DF40" s="19">
        <f t="shared" si="258"/>
        <v>0.547952204016254</v>
      </c>
      <c r="DG40" s="19">
        <f t="shared" ref="DG40:DR40" si="259">(DG30-DG35)/DG30</f>
        <v>-1.1627679615846791</v>
      </c>
      <c r="DH40" s="19">
        <f t="shared" si="259"/>
        <v>-6.970169710540032E-2</v>
      </c>
      <c r="DI40" s="19">
        <f t="shared" si="259"/>
        <v>0.42903308228294629</v>
      </c>
      <c r="DJ40" s="19">
        <f t="shared" si="259"/>
        <v>-0.37785017926260672</v>
      </c>
      <c r="DK40" s="19">
        <f t="shared" si="259"/>
        <v>0.2364388082911158</v>
      </c>
      <c r="DL40" s="19">
        <f t="shared" si="259"/>
        <v>0.4373893565223928</v>
      </c>
      <c r="DM40" s="19">
        <f t="shared" si="259"/>
        <v>-0.69960278465571313</v>
      </c>
      <c r="DN40" s="19">
        <f t="shared" si="259"/>
        <v>1.2004936020469629E-2</v>
      </c>
      <c r="DO40" s="19">
        <f t="shared" si="259"/>
        <v>0.41827176147913975</v>
      </c>
      <c r="DP40" s="19">
        <f t="shared" si="259"/>
        <v>-0.57371581894520007</v>
      </c>
      <c r="DQ40" s="19">
        <f t="shared" si="259"/>
        <v>0.43423924414556481</v>
      </c>
      <c r="DR40" s="19">
        <f t="shared" si="259"/>
        <v>0.49445902077293868</v>
      </c>
      <c r="DS40" s="19">
        <f t="shared" ref="DS40:EQ40" si="260">(DS30-DS35)/DS30</f>
        <v>-1.3294796676245755</v>
      </c>
      <c r="DT40" s="19">
        <f t="shared" si="260"/>
        <v>-0.13284374791994724</v>
      </c>
      <c r="DU40" s="19">
        <f t="shared" si="260"/>
        <v>0.40479301889121544</v>
      </c>
      <c r="DV40" s="19">
        <f t="shared" si="260"/>
        <v>-0.41531043862949824</v>
      </c>
      <c r="DW40" s="19">
        <f t="shared" si="260"/>
        <v>0.2264527296622762</v>
      </c>
      <c r="DX40" s="19">
        <f t="shared" si="260"/>
        <v>0.43738935652239291</v>
      </c>
      <c r="DY40" s="19">
        <f t="shared" si="260"/>
        <v>-0.69960278465571302</v>
      </c>
      <c r="DZ40" s="19">
        <f t="shared" si="260"/>
        <v>2.4015414159353828E-2</v>
      </c>
      <c r="EA40" s="19">
        <f t="shared" si="260"/>
        <v>0.4319337106950869</v>
      </c>
      <c r="EB40" s="19">
        <f t="shared" si="260"/>
        <v>-0.52010273965342924</v>
      </c>
      <c r="EC40" s="19">
        <f t="shared" si="260"/>
        <v>0.45911908979049149</v>
      </c>
      <c r="ED40" s="19">
        <f t="shared" si="260"/>
        <v>0.52139013884905816</v>
      </c>
      <c r="EE40" s="19">
        <f t="shared" si="260"/>
        <v>-1.2602437335314756</v>
      </c>
      <c r="EF40" s="19">
        <f t="shared" si="260"/>
        <v>-0.10662064114151287</v>
      </c>
      <c r="EG40" s="19">
        <f t="shared" si="260"/>
        <v>0.41485999901677906</v>
      </c>
      <c r="EH40" s="19">
        <f t="shared" si="260"/>
        <v>-0.39975306650341724</v>
      </c>
      <c r="EI40" s="19">
        <f t="shared" si="260"/>
        <v>0.23059998181521985</v>
      </c>
      <c r="EJ40" s="19">
        <f t="shared" si="260"/>
        <v>0.43738935652239308</v>
      </c>
      <c r="EK40" s="19">
        <f t="shared" si="260"/>
        <v>-0.69960278465571257</v>
      </c>
      <c r="EL40" s="19">
        <f t="shared" si="260"/>
        <v>1.9027422058479203E-2</v>
      </c>
      <c r="EM40" s="19">
        <f t="shared" si="260"/>
        <v>0.42625985708295855</v>
      </c>
      <c r="EN40" s="19">
        <f t="shared" si="260"/>
        <v>-0.54236843240259225</v>
      </c>
      <c r="EO40" s="19">
        <f t="shared" si="260"/>
        <v>0.44878640593620728</v>
      </c>
      <c r="EP40" s="19">
        <f t="shared" si="260"/>
        <v>0.51020555463200568</v>
      </c>
      <c r="EQ40" s="19">
        <f t="shared" si="260"/>
        <v>-1.5465561584845666</v>
      </c>
      <c r="ER40" s="19">
        <f t="shared" ref="ER40:FB40" si="261">(ER30-ER35)/ER30</f>
        <v>-0.2150614586141491</v>
      </c>
      <c r="ES40" s="19">
        <f t="shared" si="261"/>
        <v>0.37322986100450128</v>
      </c>
      <c r="ET40" s="19">
        <f t="shared" si="261"/>
        <v>-0.46408770714430797</v>
      </c>
      <c r="EU40" s="19">
        <f t="shared" si="261"/>
        <v>0.21344978609164394</v>
      </c>
      <c r="EV40" s="19">
        <f t="shared" si="261"/>
        <v>0.4373893565223928</v>
      </c>
      <c r="EW40" s="19">
        <f t="shared" si="261"/>
        <v>-0.69960278465571346</v>
      </c>
      <c r="EX40" s="19">
        <f t="shared" si="261"/>
        <v>3.9654342641771145E-2</v>
      </c>
      <c r="EY40" s="19">
        <f t="shared" si="261"/>
        <v>0.44972303134060571</v>
      </c>
      <c r="EZ40" s="19">
        <f t="shared" si="261"/>
        <v>-0.45029277013592789</v>
      </c>
      <c r="FA40" s="19">
        <f t="shared" si="261"/>
        <v>0.49151531267148313</v>
      </c>
      <c r="FB40" s="19">
        <f t="shared" si="261"/>
        <v>0.55645733806241715</v>
      </c>
    </row>
    <row r="41" spans="3:158" x14ac:dyDescent="0.25">
      <c r="D41" s="16"/>
      <c r="E41" s="16"/>
      <c r="F41" s="16"/>
      <c r="G41" s="16"/>
      <c r="H41" s="16"/>
      <c r="I41" s="55"/>
      <c r="J41" s="55"/>
      <c r="K41" s="55"/>
      <c r="L41" s="55"/>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Y41" s="16"/>
      <c r="AZ41" s="16"/>
      <c r="BA41" s="16"/>
      <c r="BB41" s="16"/>
      <c r="BC41" s="16"/>
      <c r="BD41" s="16"/>
      <c r="BE41" s="16"/>
      <c r="BF41" s="16"/>
      <c r="BG41" s="16"/>
      <c r="BH41" s="16"/>
      <c r="BI41" s="16"/>
      <c r="BJ41" s="16"/>
      <c r="BK41" s="16"/>
      <c r="BL41" s="16"/>
      <c r="BM41" s="16"/>
      <c r="BN41" s="16"/>
      <c r="BO41" s="16"/>
      <c r="BP41" s="16"/>
      <c r="BQ41" s="16"/>
      <c r="BR41" s="16"/>
      <c r="BS41" s="16"/>
      <c r="BT41" s="16"/>
      <c r="BU41" s="16"/>
      <c r="BV41" s="16"/>
      <c r="BW41" s="16"/>
      <c r="BX41" s="16"/>
      <c r="BY41" s="16"/>
      <c r="BZ41" s="16"/>
      <c r="CA41" s="16"/>
      <c r="CB41" s="16"/>
      <c r="CC41" s="16"/>
      <c r="CD41" s="16"/>
      <c r="CE41" s="16"/>
      <c r="CF41" s="16"/>
      <c r="CG41" s="16"/>
      <c r="CH41" s="16"/>
      <c r="CI41" s="16"/>
      <c r="CJ41" s="16"/>
      <c r="CK41" s="16"/>
      <c r="CL41" s="16"/>
      <c r="CM41" s="16"/>
      <c r="CN41" s="16"/>
      <c r="CO41" s="16"/>
      <c r="CP41" s="16"/>
      <c r="CQ41" s="16"/>
      <c r="CR41" s="16"/>
      <c r="CS41" s="16"/>
      <c r="CT41" s="16"/>
      <c r="CU41" s="16"/>
      <c r="CV41" s="16"/>
      <c r="CW41" s="16"/>
      <c r="CX41" s="16"/>
      <c r="CY41" s="16"/>
      <c r="CZ41" s="16"/>
      <c r="DA41" s="16"/>
      <c r="DB41" s="16"/>
      <c r="DC41" s="16"/>
      <c r="DD41" s="16"/>
      <c r="DE41" s="16"/>
      <c r="DF41" s="16"/>
      <c r="DG41" s="16"/>
      <c r="DH41" s="16"/>
      <c r="DI41" s="16"/>
      <c r="DJ41" s="16"/>
      <c r="DK41" s="16"/>
      <c r="DL41" s="16"/>
      <c r="DM41" s="16"/>
      <c r="DN41" s="16"/>
      <c r="DO41" s="16"/>
      <c r="DP41" s="16"/>
      <c r="DQ41" s="16"/>
      <c r="DR41" s="16"/>
      <c r="DS41" s="16"/>
      <c r="DT41" s="16"/>
      <c r="DU41" s="16"/>
      <c r="DV41" s="16"/>
      <c r="DW41" s="16"/>
      <c r="DX41" s="16"/>
      <c r="DY41" s="16"/>
      <c r="DZ41" s="16"/>
      <c r="EA41" s="16"/>
      <c r="EB41" s="16"/>
      <c r="EC41" s="16"/>
      <c r="ED41" s="16"/>
      <c r="EE41" s="16"/>
      <c r="EF41" s="16"/>
      <c r="EG41" s="16"/>
      <c r="EH41" s="16"/>
      <c r="EI41" s="16"/>
      <c r="EJ41" s="16"/>
      <c r="EK41" s="16"/>
      <c r="EL41" s="16"/>
      <c r="EM41" s="16"/>
      <c r="EN41" s="16"/>
      <c r="EO41" s="16"/>
      <c r="EP41" s="16"/>
      <c r="EQ41" s="16"/>
      <c r="ER41" s="16"/>
      <c r="ES41" s="16"/>
      <c r="ET41" s="16"/>
      <c r="EU41" s="16"/>
      <c r="EV41" s="16"/>
      <c r="EW41" s="16"/>
      <c r="EX41" s="16"/>
      <c r="EY41" s="16"/>
      <c r="EZ41" s="16"/>
      <c r="FA41" s="16"/>
      <c r="FB41" s="16"/>
    </row>
    <row r="42" spans="3:158" s="1" customFormat="1" x14ac:dyDescent="0.25">
      <c r="C42" s="1" t="s">
        <v>32</v>
      </c>
      <c r="D42" s="22">
        <f t="shared" ref="D42:L42" si="262">SUM(D43:D46)</f>
        <v>42665529.149999999</v>
      </c>
      <c r="E42" s="22">
        <f t="shared" si="262"/>
        <v>64802282.424548991</v>
      </c>
      <c r="F42" s="22">
        <f t="shared" si="262"/>
        <v>78786249.065277994</v>
      </c>
      <c r="G42" s="22">
        <f t="shared" si="262"/>
        <v>140824494.49286538</v>
      </c>
      <c r="H42" s="22">
        <f t="shared" si="262"/>
        <v>202003221.6513344</v>
      </c>
      <c r="I42" s="53">
        <f t="shared" si="262"/>
        <v>274122993.14508611</v>
      </c>
      <c r="J42" s="53">
        <f t="shared" si="262"/>
        <v>361335224.05001068</v>
      </c>
      <c r="K42" s="53">
        <f t="shared" si="262"/>
        <v>469883690.57221079</v>
      </c>
      <c r="L42" s="53">
        <f t="shared" si="262"/>
        <v>644072899.73897016</v>
      </c>
      <c r="N42" s="22">
        <f t="shared" ref="N42:N46" si="263">SUM(AY42:BA42)</f>
        <v>8465664.8699999992</v>
      </c>
      <c r="O42" s="22">
        <f>SUM(BB42:BD42)</f>
        <v>9061842.9199999999</v>
      </c>
      <c r="P42" s="22">
        <f>SUM(BE42:BG42)</f>
        <v>11436258.719999999</v>
      </c>
      <c r="Q42" s="22">
        <f>SUM(BH42:BJ42)</f>
        <v>13701762.639999999</v>
      </c>
      <c r="R42" s="22">
        <f>SUM(BK42:BM42)</f>
        <v>14761478.224617997</v>
      </c>
      <c r="S42" s="22">
        <f>SUM(BN42:BP42)</f>
        <v>15597636.899755999</v>
      </c>
      <c r="T42" s="22">
        <f>SUM(BQ42:BS42)</f>
        <v>16959439.239999998</v>
      </c>
      <c r="U42" s="22">
        <f>SUM(BT42:BV42)</f>
        <v>17483728.060175002</v>
      </c>
      <c r="V42" s="22">
        <f>SUM(BW42:BY42)</f>
        <v>19245652.589999996</v>
      </c>
      <c r="W42" s="22">
        <f>SUM(BZ42:CB42)</f>
        <v>18460268.233999997</v>
      </c>
      <c r="X42" s="22">
        <f>SUM(CC42:CE42)</f>
        <v>19390576.526000001</v>
      </c>
      <c r="Y42" s="22">
        <f>SUM(CF42:CH42)</f>
        <v>21689751.715277988</v>
      </c>
      <c r="Z42" s="22">
        <f>SUM(CI42:CK42)</f>
        <v>27196423.428897221</v>
      </c>
      <c r="AA42" s="22">
        <f>SUM(CL42:CN42)</f>
        <v>33247330.000861853</v>
      </c>
      <c r="AB42" s="22">
        <f>SUM(CO42:CQ42)</f>
        <v>38020394.546850137</v>
      </c>
      <c r="AC42" s="22">
        <f>SUM(CR42:CT42)</f>
        <v>42360346.516256161</v>
      </c>
      <c r="AD42" s="22">
        <f>SUM(CU42:CW42)</f>
        <v>48768515.229991801</v>
      </c>
      <c r="AE42" s="22">
        <f>SUM(CX42:CZ42)</f>
        <v>48275162.130762383</v>
      </c>
      <c r="AF42" s="22">
        <f>SUM(DA42:DC42)</f>
        <v>52440789.288573973</v>
      </c>
      <c r="AG42" s="22">
        <f>SUM(DD42:DF42)</f>
        <v>52518755.002006255</v>
      </c>
      <c r="AH42" s="22">
        <f>SUM(DG42:DI42)</f>
        <v>62378728.646085098</v>
      </c>
      <c r="AI42" s="22">
        <f>SUM(DJ42:DL42)</f>
        <v>63709159.501627922</v>
      </c>
      <c r="AJ42" s="22">
        <f>SUM(DM42:DO42)</f>
        <v>72519325.032916367</v>
      </c>
      <c r="AK42" s="22">
        <f>SUM(DP42:DR42)</f>
        <v>75515779.964456737</v>
      </c>
      <c r="AL42" s="22">
        <f>SUM(DS42:DU42)</f>
        <v>87609089.426178768</v>
      </c>
      <c r="AM42" s="22">
        <f>SUM(DV42:DX42)</f>
        <v>85301665.616912588</v>
      </c>
      <c r="AN42" s="22">
        <f>SUM(DY42:EA42)</f>
        <v>94252384.870915711</v>
      </c>
      <c r="AO42" s="22">
        <f>SUM(EB42:ED42)</f>
        <v>94172084.136003643</v>
      </c>
      <c r="AP42" s="22">
        <f>SUM(EE42:EG42)</f>
        <v>111331360.95285356</v>
      </c>
      <c r="AQ42" s="22">
        <f>SUM(EH42:EJ42)</f>
        <v>110073014.23597614</v>
      </c>
      <c r="AR42" s="22">
        <f>SUM(EK42:EM42)</f>
        <v>123553680.73091921</v>
      </c>
      <c r="AS42" s="22">
        <f>SUM(EN42:EP42)</f>
        <v>124925634.65246187</v>
      </c>
      <c r="AT42" s="22">
        <f>SUM(EQ42:ES42)</f>
        <v>150790626.36188468</v>
      </c>
      <c r="AU42" s="22">
        <f>SUM(ET42:EV42)</f>
        <v>150881988.98699868</v>
      </c>
      <c r="AV42" s="22">
        <f>SUM(EW42:EY42)</f>
        <v>169902840.87017757</v>
      </c>
      <c r="AW42" s="22">
        <f>SUM(EZ42:FB42)</f>
        <v>172497443.5199092</v>
      </c>
      <c r="AY42" s="18">
        <f>SUM(AY43:AY46)</f>
        <v>2483573.44</v>
      </c>
      <c r="AZ42" s="22">
        <f t="shared" ref="AZ42:DF42" si="264">SUM(AZ43:AZ46)</f>
        <v>2851949.98</v>
      </c>
      <c r="BA42" s="22">
        <f t="shared" si="264"/>
        <v>3130141.4499999997</v>
      </c>
      <c r="BB42" s="22">
        <f t="shared" si="264"/>
        <v>2609905.7300000004</v>
      </c>
      <c r="BC42" s="22">
        <f t="shared" si="264"/>
        <v>3027872.18</v>
      </c>
      <c r="BD42" s="22">
        <f t="shared" si="264"/>
        <v>3424065.01</v>
      </c>
      <c r="BE42" s="22">
        <f t="shared" si="264"/>
        <v>3367876.0599999996</v>
      </c>
      <c r="BF42" s="22">
        <f t="shared" si="264"/>
        <v>3626676.92</v>
      </c>
      <c r="BG42" s="22">
        <f t="shared" si="264"/>
        <v>4441705.74</v>
      </c>
      <c r="BH42" s="22">
        <f t="shared" si="264"/>
        <v>3784611.9899999998</v>
      </c>
      <c r="BI42" s="22">
        <f t="shared" si="264"/>
        <v>4137299.63</v>
      </c>
      <c r="BJ42" s="22">
        <f t="shared" si="264"/>
        <v>5779851.0199999996</v>
      </c>
      <c r="BK42" s="22">
        <f t="shared" si="264"/>
        <v>4949309.1382059995</v>
      </c>
      <c r="BL42" s="22">
        <f t="shared" si="264"/>
        <v>4555509.7482059989</v>
      </c>
      <c r="BM42" s="22">
        <f t="shared" si="264"/>
        <v>5256659.3382059988</v>
      </c>
      <c r="BN42" s="22">
        <f t="shared" si="264"/>
        <v>5239605.2165853335</v>
      </c>
      <c r="BO42" s="22">
        <f t="shared" si="264"/>
        <v>5174202.1265853336</v>
      </c>
      <c r="BP42" s="22">
        <f t="shared" si="264"/>
        <v>5183829.5565853333</v>
      </c>
      <c r="BQ42" s="22">
        <f t="shared" si="264"/>
        <v>5238727.6633333331</v>
      </c>
      <c r="BR42" s="22">
        <f t="shared" si="264"/>
        <v>5602249.8833333328</v>
      </c>
      <c r="BS42" s="22">
        <f t="shared" si="264"/>
        <v>6118461.6933333324</v>
      </c>
      <c r="BT42" s="22">
        <f t="shared" si="264"/>
        <v>5185251.4800583329</v>
      </c>
      <c r="BU42" s="22">
        <f t="shared" si="264"/>
        <v>6010953.6000583339</v>
      </c>
      <c r="BV42" s="22">
        <f t="shared" si="264"/>
        <v>6287522.9800583348</v>
      </c>
      <c r="BW42" s="22">
        <f t="shared" si="264"/>
        <v>7286781.209999999</v>
      </c>
      <c r="BX42" s="22">
        <f t="shared" si="264"/>
        <v>5951734.8899999997</v>
      </c>
      <c r="BY42" s="22">
        <f t="shared" si="264"/>
        <v>6007136.4899999993</v>
      </c>
      <c r="BZ42" s="22">
        <f t="shared" si="264"/>
        <v>5665240.5933333328</v>
      </c>
      <c r="CA42" s="22">
        <f t="shared" si="264"/>
        <v>5573561.3033333337</v>
      </c>
      <c r="CB42" s="22">
        <f t="shared" si="264"/>
        <v>7221466.3373333327</v>
      </c>
      <c r="CC42" s="22">
        <f t="shared" si="264"/>
        <v>5893013.1499999994</v>
      </c>
      <c r="CD42" s="22">
        <f t="shared" si="264"/>
        <v>6692172.4000000004</v>
      </c>
      <c r="CE42" s="22">
        <f t="shared" si="264"/>
        <v>6805390.9760000017</v>
      </c>
      <c r="CF42" s="22">
        <f t="shared" si="264"/>
        <v>6416403.3397593293</v>
      </c>
      <c r="CG42" s="22">
        <f t="shared" si="264"/>
        <v>7064235.5997593291</v>
      </c>
      <c r="CH42" s="22">
        <f t="shared" si="264"/>
        <v>8209112.77575933</v>
      </c>
      <c r="CI42" s="22">
        <f t="shared" si="264"/>
        <v>8254291.6296324069</v>
      </c>
      <c r="CJ42" s="22">
        <f t="shared" si="264"/>
        <v>8150002.1596324062</v>
      </c>
      <c r="CK42" s="22">
        <f t="shared" si="264"/>
        <v>10792129.639632408</v>
      </c>
      <c r="CL42" s="22">
        <f t="shared" si="264"/>
        <v>9615439.2813686915</v>
      </c>
      <c r="CM42" s="22">
        <f t="shared" si="264"/>
        <v>11422833.777735444</v>
      </c>
      <c r="CN42" s="22">
        <f t="shared" si="264"/>
        <v>12209056.941757714</v>
      </c>
      <c r="CO42" s="22">
        <f t="shared" si="264"/>
        <v>10982996.159038184</v>
      </c>
      <c r="CP42" s="22">
        <f t="shared" si="264"/>
        <v>12450486.414489863</v>
      </c>
      <c r="CQ42" s="22">
        <f t="shared" si="264"/>
        <v>14586911.973322092</v>
      </c>
      <c r="CR42" s="22">
        <f t="shared" si="264"/>
        <v>12277522.11713225</v>
      </c>
      <c r="CS42" s="22">
        <f t="shared" si="264"/>
        <v>13707220.992807927</v>
      </c>
      <c r="CT42" s="22">
        <f t="shared" si="264"/>
        <v>16375603.406315982</v>
      </c>
      <c r="CU42" s="22">
        <f t="shared" si="264"/>
        <v>17366972.284655485</v>
      </c>
      <c r="CV42" s="22">
        <f t="shared" si="264"/>
        <v>16376111.441365469</v>
      </c>
      <c r="CW42" s="22">
        <f t="shared" si="264"/>
        <v>15025431.503970847</v>
      </c>
      <c r="CX42" s="22">
        <f t="shared" si="264"/>
        <v>17021501.498887714</v>
      </c>
      <c r="CY42" s="22">
        <f t="shared" si="264"/>
        <v>15957142.643949438</v>
      </c>
      <c r="CZ42" s="22">
        <f t="shared" si="264"/>
        <v>15296517.987925228</v>
      </c>
      <c r="DA42" s="22">
        <f t="shared" si="264"/>
        <v>18167022.111926816</v>
      </c>
      <c r="DB42" s="22">
        <f t="shared" si="264"/>
        <v>17621375.352459472</v>
      </c>
      <c r="DC42" s="22">
        <f t="shared" si="264"/>
        <v>16652391.82418769</v>
      </c>
      <c r="DD42" s="22">
        <f t="shared" si="264"/>
        <v>18960036.687768355</v>
      </c>
      <c r="DE42" s="22">
        <f t="shared" si="264"/>
        <v>16452629.623944031</v>
      </c>
      <c r="DF42" s="22">
        <f t="shared" si="264"/>
        <v>17106088.690293871</v>
      </c>
      <c r="DG42" s="22">
        <f t="shared" ref="DG42" si="265">SUM(DG43:DG46)</f>
        <v>22150561.829372305</v>
      </c>
      <c r="DH42" s="22">
        <f t="shared" ref="DH42" si="266">SUM(DH43:DH46)</f>
        <v>20962801.823384646</v>
      </c>
      <c r="DI42" s="22">
        <f t="shared" ref="DI42" si="267">SUM(DI43:DI46)</f>
        <v>19265364.993328147</v>
      </c>
      <c r="DJ42" s="22">
        <f t="shared" ref="DJ42" si="268">SUM(DJ43:DJ46)</f>
        <v>22363865.183367416</v>
      </c>
      <c r="DK42" s="22">
        <f t="shared" ref="DK42" si="269">SUM(DK43:DK46)</f>
        <v>21000672.991665468</v>
      </c>
      <c r="DL42" s="22">
        <f t="shared" ref="DL42" si="270">SUM(DL43:DL46)</f>
        <v>20344621.326595034</v>
      </c>
      <c r="DM42" s="22">
        <f t="shared" ref="DM42" si="271">SUM(DM43:DM46)</f>
        <v>24868344.998708323</v>
      </c>
      <c r="DN42" s="22">
        <f t="shared" ref="DN42" si="272">SUM(DN43:DN46)</f>
        <v>24389783.904956084</v>
      </c>
      <c r="DO42" s="22">
        <f t="shared" ref="DO42" si="273">SUM(DO43:DO46)</f>
        <v>23261196.129251957</v>
      </c>
      <c r="DP42" s="22">
        <f t="shared" ref="DP42" si="274">SUM(DP43:DP46)</f>
        <v>27143527.437598836</v>
      </c>
      <c r="DQ42" s="22">
        <f t="shared" ref="DQ42:EO42" si="275">SUM(DQ43:DQ46)</f>
        <v>23630420.745713096</v>
      </c>
      <c r="DR42" s="22">
        <f t="shared" ref="DR42:EN42" si="276">SUM(DR43:DR46)</f>
        <v>24741831.781144809</v>
      </c>
      <c r="DS42" s="22">
        <f t="shared" si="275"/>
        <v>31554814.852819331</v>
      </c>
      <c r="DT42" s="22">
        <f t="shared" si="276"/>
        <v>29445444.769451335</v>
      </c>
      <c r="DU42" s="22">
        <f t="shared" si="275"/>
        <v>26608829.803908098</v>
      </c>
      <c r="DV42" s="22">
        <f t="shared" si="276"/>
        <v>30714433.897209518</v>
      </c>
      <c r="DW42" s="22">
        <f t="shared" si="275"/>
        <v>28161646.583455998</v>
      </c>
      <c r="DX42" s="22">
        <f t="shared" si="276"/>
        <v>26425585.136247069</v>
      </c>
      <c r="DY42" s="22">
        <f t="shared" si="275"/>
        <v>32901261.354219891</v>
      </c>
      <c r="DZ42" s="22">
        <f t="shared" si="276"/>
        <v>31749985.862409949</v>
      </c>
      <c r="EA42" s="22">
        <f t="shared" si="275"/>
        <v>29601137.65428587</v>
      </c>
      <c r="EB42" s="22">
        <f t="shared" si="276"/>
        <v>34717997.904226981</v>
      </c>
      <c r="EC42" s="22">
        <f t="shared" si="275"/>
        <v>29166571.048201673</v>
      </c>
      <c r="ED42" s="22">
        <f t="shared" si="276"/>
        <v>30287515.183574986</v>
      </c>
      <c r="EE42" s="22">
        <f t="shared" si="275"/>
        <v>40218112.936165556</v>
      </c>
      <c r="EF42" s="22">
        <f t="shared" si="276"/>
        <v>37455964.313608676</v>
      </c>
      <c r="EG42" s="22">
        <f t="shared" si="275"/>
        <v>33657283.703079328</v>
      </c>
      <c r="EH42" s="22">
        <f t="shared" si="276"/>
        <v>39751299.490766034</v>
      </c>
      <c r="EI42" s="22">
        <f t="shared" si="275"/>
        <v>36357153.093812034</v>
      </c>
      <c r="EJ42" s="22">
        <f t="shared" si="276"/>
        <v>33964561.651398078</v>
      </c>
      <c r="EK42" s="22">
        <f t="shared" si="275"/>
        <v>43111201.602070078</v>
      </c>
      <c r="EL42" s="22">
        <f t="shared" si="276"/>
        <v>41658775.85170725</v>
      </c>
      <c r="EM42" s="22">
        <f t="shared" si="275"/>
        <v>38783703.277141884</v>
      </c>
      <c r="EN42" s="22">
        <f t="shared" si="276"/>
        <v>46256966.625515386</v>
      </c>
      <c r="EO42" s="22">
        <f t="shared" si="275"/>
        <v>38494696.660776466</v>
      </c>
      <c r="EP42" s="22">
        <f t="shared" ref="EP42:FB42" si="277">SUM(EP43:EP46)</f>
        <v>40173971.366170019</v>
      </c>
      <c r="EQ42" s="22">
        <f t="shared" si="277"/>
        <v>54390705.836739413</v>
      </c>
      <c r="ER42" s="22">
        <f t="shared" si="277"/>
        <v>50753946.046013087</v>
      </c>
      <c r="ES42" s="22">
        <f t="shared" si="277"/>
        <v>45645974.479132168</v>
      </c>
      <c r="ET42" s="22">
        <f t="shared" si="277"/>
        <v>54405000.470003769</v>
      </c>
      <c r="EU42" s="22">
        <f t="shared" si="277"/>
        <v>49870373.135315485</v>
      </c>
      <c r="EV42" s="22">
        <f t="shared" si="277"/>
        <v>46606615.381679408</v>
      </c>
      <c r="EW42" s="22">
        <f t="shared" si="277"/>
        <v>59214155.006489545</v>
      </c>
      <c r="EX42" s="22">
        <f t="shared" si="277"/>
        <v>57328123.240847155</v>
      </c>
      <c r="EY42" s="22">
        <f t="shared" si="277"/>
        <v>53360562.622840881</v>
      </c>
      <c r="EZ42" s="22">
        <f t="shared" si="277"/>
        <v>63931657.292948395</v>
      </c>
      <c r="FA42" s="22">
        <f t="shared" si="277"/>
        <v>53125174.939558275</v>
      </c>
      <c r="FB42" s="22">
        <f t="shared" si="277"/>
        <v>55440611.28740254</v>
      </c>
    </row>
    <row r="43" spans="3:158" x14ac:dyDescent="0.25">
      <c r="C43" s="2" t="s">
        <v>12</v>
      </c>
      <c r="D43" s="50">
        <f t="shared" ref="D43:L46" si="278">SUMIF($AY$2:$FB$2,D$2,$AY43:$FB43)</f>
        <v>21897839.32</v>
      </c>
      <c r="E43" s="50">
        <f t="shared" si="278"/>
        <v>35972484.089999989</v>
      </c>
      <c r="F43" s="50">
        <f t="shared" si="278"/>
        <v>41965414.965999998</v>
      </c>
      <c r="G43" s="50">
        <f t="shared" si="278"/>
        <v>78131728.179255486</v>
      </c>
      <c r="H43" s="50">
        <f t="shared" si="278"/>
        <v>107499918.29485127</v>
      </c>
      <c r="I43" s="50">
        <f t="shared" si="278"/>
        <v>152744986.91895646</v>
      </c>
      <c r="J43" s="50">
        <f t="shared" si="278"/>
        <v>205764168.63084328</v>
      </c>
      <c r="K43" s="50">
        <f t="shared" si="278"/>
        <v>272851453.68555015</v>
      </c>
      <c r="L43" s="50">
        <f t="shared" si="278"/>
        <v>397892912.84112912</v>
      </c>
      <c r="M43" s="2"/>
      <c r="N43" s="16">
        <f t="shared" si="263"/>
        <v>4255105.68</v>
      </c>
      <c r="O43" s="16">
        <f>SUM(BB43:BD43)</f>
        <v>4541925.12</v>
      </c>
      <c r="P43" s="16">
        <f>SUM(BE43:BG43)</f>
        <v>5790073.8700000001</v>
      </c>
      <c r="Q43" s="16">
        <f>SUM(BH43:BJ43)</f>
        <v>7310734.6500000004</v>
      </c>
      <c r="R43" s="16">
        <f>SUM(BK43:BM43)</f>
        <v>7622718.6499999985</v>
      </c>
      <c r="S43" s="16">
        <f>SUM(BN43:BP43)</f>
        <v>8985839.8499999996</v>
      </c>
      <c r="T43" s="16">
        <f>SUM(BQ43:BS43)</f>
        <v>9247463.6500000004</v>
      </c>
      <c r="U43" s="16">
        <f>SUM(BT43:BV43)</f>
        <v>10116461.939999999</v>
      </c>
      <c r="V43" s="16">
        <f>SUM(BW43:BY43)</f>
        <v>9626274.1999999993</v>
      </c>
      <c r="W43" s="16">
        <f>SUM(BZ43:CB43)</f>
        <v>9989832.2239999995</v>
      </c>
      <c r="X43" s="16">
        <f>SUM(CC43:CE43)</f>
        <v>10258787.905999999</v>
      </c>
      <c r="Y43" s="16">
        <f>SUM(CF43:CH43)</f>
        <v>12090520.636000002</v>
      </c>
      <c r="Z43" s="16">
        <f>SUM(CI43:CK43)</f>
        <v>13919396.699999999</v>
      </c>
      <c r="AA43" s="16">
        <f>SUM(CL43:CN43)</f>
        <v>18593695.905886412</v>
      </c>
      <c r="AB43" s="16">
        <f>SUM(CO43:CQ43)</f>
        <v>21940119.888907984</v>
      </c>
      <c r="AC43" s="16">
        <f>SUM(CR43:CT43)</f>
        <v>23678515.684461087</v>
      </c>
      <c r="AD43" s="16">
        <f>SUM(CU43:CW43)</f>
        <v>25209041.573190093</v>
      </c>
      <c r="AE43" s="16">
        <f>SUM(CX43:CZ43)</f>
        <v>25859305.586289961</v>
      </c>
      <c r="AF43" s="16">
        <f>SUM(DA43:DC43)</f>
        <v>27849268.709999181</v>
      </c>
      <c r="AG43" s="16">
        <f>SUM(DD43:DF43)</f>
        <v>28582302.425372042</v>
      </c>
      <c r="AH43" s="16">
        <f>SUM(DG43:DI43)</f>
        <v>32596499.219090432</v>
      </c>
      <c r="AI43" s="16">
        <f>SUM(DJ43:DL43)</f>
        <v>35907348.033131413</v>
      </c>
      <c r="AJ43" s="16">
        <f>SUM(DM43:DO43)</f>
        <v>40410411.923171528</v>
      </c>
      <c r="AK43" s="16">
        <f>SUM(DP43:DR43)</f>
        <v>43830727.743563086</v>
      </c>
      <c r="AL43" s="16">
        <f>SUM(DS43:DU43)</f>
        <v>48106224.106616788</v>
      </c>
      <c r="AM43" s="16">
        <f>SUM(DV43:DX43)</f>
        <v>49329342.607542127</v>
      </c>
      <c r="AN43" s="16">
        <f>SUM(DY43:EA43)</f>
        <v>53473357.203628488</v>
      </c>
      <c r="AO43" s="16">
        <f>SUM(EB43:ED43)</f>
        <v>54855244.713055819</v>
      </c>
      <c r="AP43" s="16">
        <f>SUM(EE43:EG43)</f>
        <v>60619355.550919265</v>
      </c>
      <c r="AQ43" s="16">
        <f>SUM(EH43:EJ43)</f>
        <v>64493525.858985275</v>
      </c>
      <c r="AR43" s="16">
        <f>SUM(EK43:EM43)</f>
        <v>71819041.208150133</v>
      </c>
      <c r="AS43" s="16">
        <f>SUM(EN43:EP43)</f>
        <v>75919531.067495465</v>
      </c>
      <c r="AT43" s="16">
        <f>SUM(EQ43:ES43)</f>
        <v>85945325.756611317</v>
      </c>
      <c r="AU43" s="16">
        <f>SUM(ET43:EV43)</f>
        <v>93548801.88591218</v>
      </c>
      <c r="AV43" s="16">
        <f>SUM(EW43:EY43)</f>
        <v>105243374.47256416</v>
      </c>
      <c r="AW43" s="16">
        <f>SUM(EZ43:FB43)</f>
        <v>113155410.72604148</v>
      </c>
      <c r="AX43" s="2"/>
      <c r="AY43" s="16">
        <f>Expenses!AY20</f>
        <v>1101901.5599999998</v>
      </c>
      <c r="AZ43" s="16">
        <f>Expenses!AZ20</f>
        <v>1475476.4000000001</v>
      </c>
      <c r="BA43" s="16">
        <f>Expenses!BA20</f>
        <v>1677727.7199999997</v>
      </c>
      <c r="BB43" s="16">
        <f>Expenses!BB20</f>
        <v>1180946.5300000003</v>
      </c>
      <c r="BC43" s="16">
        <f>Expenses!BC20</f>
        <v>1495305.8699999999</v>
      </c>
      <c r="BD43" s="16">
        <f>Expenses!BD20</f>
        <v>1865672.7199999997</v>
      </c>
      <c r="BE43" s="16">
        <f>Expenses!BE20</f>
        <v>1518966.61</v>
      </c>
      <c r="BF43" s="16">
        <f>Expenses!BF20</f>
        <v>1886019.46</v>
      </c>
      <c r="BG43" s="16">
        <f>Expenses!BG20</f>
        <v>2385087.7999999998</v>
      </c>
      <c r="BH43" s="16">
        <f>Expenses!BH20</f>
        <v>1783761.27</v>
      </c>
      <c r="BI43" s="16">
        <f>Expenses!BI20</f>
        <v>2315586.14</v>
      </c>
      <c r="BJ43" s="16">
        <f>Expenses!BJ20</f>
        <v>3211387.24</v>
      </c>
      <c r="BK43" s="16">
        <f>Expenses!BK20</f>
        <v>2315871.44</v>
      </c>
      <c r="BL43" s="16">
        <f>Expenses!BL20</f>
        <v>2420663.9599999995</v>
      </c>
      <c r="BM43" s="16">
        <f>Expenses!BM20</f>
        <v>2886183.2499999991</v>
      </c>
      <c r="BN43" s="16">
        <f>Expenses!BN20</f>
        <v>3150093.08</v>
      </c>
      <c r="BO43" s="16">
        <f>Expenses!BO20</f>
        <v>2927963.9099999992</v>
      </c>
      <c r="BP43" s="16">
        <f>Expenses!BP20</f>
        <v>2907782.86</v>
      </c>
      <c r="BQ43" s="16">
        <f>Expenses!BQ20</f>
        <v>2722517.3800000004</v>
      </c>
      <c r="BR43" s="16">
        <f>Expenses!BR20</f>
        <v>3170981.01</v>
      </c>
      <c r="BS43" s="16">
        <f>Expenses!BS20</f>
        <v>3353965.2599999993</v>
      </c>
      <c r="BT43" s="16">
        <f>Expenses!BT20</f>
        <v>2737065.86</v>
      </c>
      <c r="BU43" s="16">
        <f>Expenses!BU20</f>
        <v>3484610.01</v>
      </c>
      <c r="BV43" s="16">
        <f>Expenses!BV20</f>
        <v>3894786.0700000003</v>
      </c>
      <c r="BW43" s="16">
        <f>Expenses!BW20</f>
        <v>3483849.1399999997</v>
      </c>
      <c r="BX43" s="16">
        <f>Expenses!BX20</f>
        <v>3128988.9799999995</v>
      </c>
      <c r="BY43" s="16">
        <f>Expenses!BY20</f>
        <v>3013436.0799999996</v>
      </c>
      <c r="BZ43" s="16">
        <f>Expenses!BZ20</f>
        <v>3039587.4000000004</v>
      </c>
      <c r="CA43" s="16">
        <f>Expenses!CA20</f>
        <v>2862137.0000000005</v>
      </c>
      <c r="CB43" s="16">
        <f>Expenses!CB20</f>
        <v>4088107.824</v>
      </c>
      <c r="CC43" s="16">
        <f>Expenses!CC20</f>
        <v>2855471.0199999996</v>
      </c>
      <c r="CD43" s="16">
        <f>Expenses!CD20</f>
        <v>3641119.3899999997</v>
      </c>
      <c r="CE43" s="16">
        <f>Expenses!CE20</f>
        <v>3762197.4960000012</v>
      </c>
      <c r="CF43" s="16">
        <f>Expenses!CF20</f>
        <v>3270313.31</v>
      </c>
      <c r="CG43" s="16">
        <f>Expenses!CG20</f>
        <v>4043817.69</v>
      </c>
      <c r="CH43" s="16">
        <f>Expenses!CH20</f>
        <v>4776389.6360000018</v>
      </c>
      <c r="CI43" s="16">
        <f>Expenses!CI20</f>
        <v>4120621.6100000003</v>
      </c>
      <c r="CJ43" s="16">
        <f>Expenses!CJ20</f>
        <v>4030975.8099999996</v>
      </c>
      <c r="CK43" s="16">
        <f>Expenses!CK20</f>
        <v>5767799.2800000003</v>
      </c>
      <c r="CL43" s="16">
        <f>Expenses!CL20</f>
        <v>4982542.2100000009</v>
      </c>
      <c r="CM43" s="16">
        <f>Expenses!CM20</f>
        <v>6616786.0435712598</v>
      </c>
      <c r="CN43" s="16">
        <f>Expenses!CN20</f>
        <v>6994367.6523151491</v>
      </c>
      <c r="CO43" s="16">
        <f>Expenses!CO20</f>
        <v>5988981.0397350071</v>
      </c>
      <c r="CP43" s="16">
        <f>Expenses!CP20</f>
        <v>7123780.5549263312</v>
      </c>
      <c r="CQ43" s="16">
        <f>Expenses!CQ20</f>
        <v>8827358.2942466456</v>
      </c>
      <c r="CR43" s="16">
        <f>Expenses!CR20</f>
        <v>6704641.0531731145</v>
      </c>
      <c r="CS43" s="16">
        <f>Expenses!CS20</f>
        <v>7788171.19195484</v>
      </c>
      <c r="CT43" s="16">
        <f>Expenses!CT20</f>
        <v>9185703.4393331334</v>
      </c>
      <c r="CU43" s="55">
        <f>Expenses!CU20</f>
        <v>8359530.3854167694</v>
      </c>
      <c r="CV43" s="16">
        <f>Expenses!CV20</f>
        <v>8275568.7528793737</v>
      </c>
      <c r="CW43" s="16">
        <f>Expenses!CW20</f>
        <v>8573942.434893949</v>
      </c>
      <c r="CX43" s="16">
        <f>Expenses!CX20</f>
        <v>8517115.7872654852</v>
      </c>
      <c r="CY43" s="16">
        <f>Expenses!CY20</f>
        <v>8579610.6168341339</v>
      </c>
      <c r="CZ43" s="16">
        <f>Expenses!CZ20</f>
        <v>8762579.18219034</v>
      </c>
      <c r="DA43" s="16">
        <f>Expenses!DA20</f>
        <v>8940547.3885129802</v>
      </c>
      <c r="DB43" s="16">
        <f>Expenses!DB20</f>
        <v>9244074.823742114</v>
      </c>
      <c r="DC43" s="16">
        <f>Expenses!DC20</f>
        <v>9664646.4977440853</v>
      </c>
      <c r="DD43" s="16">
        <f>Expenses!DD20</f>
        <v>9289346.2098136209</v>
      </c>
      <c r="DE43" s="16">
        <f>Expenses!DE20</f>
        <v>9285902.0705159809</v>
      </c>
      <c r="DF43" s="16">
        <f>Expenses!DF20</f>
        <v>10007054.145042442</v>
      </c>
      <c r="DG43" s="16">
        <f>Expenses!DG20</f>
        <v>10540302.843769122</v>
      </c>
      <c r="DH43" s="16">
        <f>Expenses!DH20</f>
        <v>10677547.45143361</v>
      </c>
      <c r="DI43" s="16">
        <f>Expenses!DI20</f>
        <v>11378648.923887698</v>
      </c>
      <c r="DJ43" s="16">
        <f>Expenses!DJ20</f>
        <v>11556109.546751279</v>
      </c>
      <c r="DK43" s="16">
        <f>Expenses!DK20</f>
        <v>11909900.456905976</v>
      </c>
      <c r="DL43" s="16">
        <f>Expenses!DL20</f>
        <v>12441338.029474158</v>
      </c>
      <c r="DM43" s="16">
        <f>Expenses!DM20</f>
        <v>12704256.538972359</v>
      </c>
      <c r="DN43" s="16">
        <f>Expenses!DN20</f>
        <v>13412597.140273683</v>
      </c>
      <c r="DO43" s="16">
        <f>Expenses!DO20</f>
        <v>14293558.243925488</v>
      </c>
      <c r="DP43" s="16">
        <f>Expenses!DP20</f>
        <v>13999902.492087089</v>
      </c>
      <c r="DQ43" s="16">
        <f>Expenses!DQ20</f>
        <v>14253993.845876213</v>
      </c>
      <c r="DR43" s="16">
        <f>Expenses!DR20</f>
        <v>15576831.405599784</v>
      </c>
      <c r="DS43" s="16">
        <f>Expenses!DS20</f>
        <v>15961385.01944557</v>
      </c>
      <c r="DT43" s="16">
        <f>Expenses!DT20</f>
        <v>15762878.018024068</v>
      </c>
      <c r="DU43" s="16">
        <f>Expenses!DU20</f>
        <v>16381961.069147147</v>
      </c>
      <c r="DV43" s="16">
        <f>Expenses!DV20</f>
        <v>16241765.190507986</v>
      </c>
      <c r="DW43" s="16">
        <f>Expenses!DW20</f>
        <v>16357251.981144976</v>
      </c>
      <c r="DX43" s="16">
        <f>Expenses!DX20</f>
        <v>16730325.43588917</v>
      </c>
      <c r="DY43" s="16">
        <f>Expenses!DY20</f>
        <v>17111432.216702722</v>
      </c>
      <c r="DZ43" s="16">
        <f>Expenses!DZ20</f>
        <v>17741019.150450043</v>
      </c>
      <c r="EA43" s="16">
        <f>Expenses!EA20</f>
        <v>18620905.836475722</v>
      </c>
      <c r="EB43" s="16">
        <f>Expenses!EB20</f>
        <v>17797598.280271113</v>
      </c>
      <c r="EC43" s="16">
        <f>Expenses!EC20</f>
        <v>17768521.809193362</v>
      </c>
      <c r="ED43" s="16">
        <f>Expenses!ED20</f>
        <v>19289124.623591349</v>
      </c>
      <c r="EE43" s="16">
        <f>Expenses!EE20</f>
        <v>19864167.767156921</v>
      </c>
      <c r="EF43" s="16">
        <f>Expenses!EF20</f>
        <v>19818096.672087073</v>
      </c>
      <c r="EG43" s="16">
        <f>Expenses!EG20</f>
        <v>20937091.111675274</v>
      </c>
      <c r="EH43" s="16">
        <f>Expenses!EH20</f>
        <v>20974114.228208695</v>
      </c>
      <c r="EI43" s="16">
        <f>Expenses!EI20</f>
        <v>21375488.144454487</v>
      </c>
      <c r="EJ43" s="16">
        <f>Expenses!EJ20</f>
        <v>22143923.486322094</v>
      </c>
      <c r="EK43" s="16">
        <f>Expenses!EK20</f>
        <v>22686816.562033638</v>
      </c>
      <c r="EL43" s="16">
        <f>Expenses!EL20</f>
        <v>23820787.705878776</v>
      </c>
      <c r="EM43" s="16">
        <f>Expenses!EM20</f>
        <v>25311436.94023772</v>
      </c>
      <c r="EN43" s="16">
        <f>Expenses!EN20</f>
        <v>24375035.40556585</v>
      </c>
      <c r="EO43" s="16">
        <f>Expenses!EO20</f>
        <v>24570412.882512063</v>
      </c>
      <c r="EP43" s="16">
        <f>Expenses!EP20</f>
        <v>26974082.77941756</v>
      </c>
      <c r="EQ43" s="16">
        <f>Expenses!EQ20</f>
        <v>27926822.339843079</v>
      </c>
      <c r="ER43" s="16">
        <f>Expenses!ER20</f>
        <v>28104808.480879989</v>
      </c>
      <c r="ES43" s="16">
        <f>Expenses!ES20</f>
        <v>29913694.935888238</v>
      </c>
      <c r="ET43" s="16">
        <f>Expenses!ET20</f>
        <v>30207718.775601588</v>
      </c>
      <c r="EU43" s="16">
        <f>Expenses!EU20</f>
        <v>31011768.866563834</v>
      </c>
      <c r="EV43" s="16">
        <f>Expenses!EV20</f>
        <v>32329314.243746765</v>
      </c>
      <c r="EW43" s="16">
        <f>Expenses!EW20</f>
        <v>33085392.686141692</v>
      </c>
      <c r="EX43" s="16">
        <f>Expenses!EX20</f>
        <v>34914865.2254875</v>
      </c>
      <c r="EY43" s="16">
        <f>Expenses!EY20</f>
        <v>37243116.560934953</v>
      </c>
      <c r="EZ43" s="16">
        <f>Expenses!EZ20</f>
        <v>36173512.964894123</v>
      </c>
      <c r="FA43" s="16">
        <f>Expenses!FA20</f>
        <v>36688246.875936426</v>
      </c>
      <c r="FB43" s="16">
        <f>Expenses!FB20</f>
        <v>40293650.885210931</v>
      </c>
    </row>
    <row r="44" spans="3:158" x14ac:dyDescent="0.25">
      <c r="C44" s="2" t="s">
        <v>13</v>
      </c>
      <c r="D44" s="50">
        <f t="shared" si="278"/>
        <v>11212258.129999999</v>
      </c>
      <c r="E44" s="50">
        <f t="shared" si="278"/>
        <v>18344354.129999999</v>
      </c>
      <c r="F44" s="50">
        <f t="shared" si="278"/>
        <v>23430625.959999997</v>
      </c>
      <c r="G44" s="50">
        <f t="shared" si="278"/>
        <v>40842125.008719303</v>
      </c>
      <c r="H44" s="50">
        <f t="shared" si="278"/>
        <v>64849449.862995654</v>
      </c>
      <c r="I44" s="50">
        <f t="shared" si="278"/>
        <v>91582075.091912612</v>
      </c>
      <c r="J44" s="50">
        <f t="shared" si="278"/>
        <v>122784294.96101049</v>
      </c>
      <c r="K44" s="50">
        <f t="shared" si="278"/>
        <v>159593752.96896461</v>
      </c>
      <c r="L44" s="50">
        <f t="shared" si="278"/>
        <v>204279714.31497389</v>
      </c>
      <c r="M44" s="2"/>
      <c r="N44" s="16">
        <f t="shared" si="263"/>
        <v>2330511.27</v>
      </c>
      <c r="O44" s="16">
        <f>SUM(BB44:BD44)</f>
        <v>2534803.06</v>
      </c>
      <c r="P44" s="16">
        <f>SUM(BE44:BG44)</f>
        <v>3002091.31</v>
      </c>
      <c r="Q44" s="16">
        <f>SUM(BH44:BJ44)</f>
        <v>3344852.4899999998</v>
      </c>
      <c r="R44" s="16">
        <f>SUM(BK44:BM44)</f>
        <v>3892519.04</v>
      </c>
      <c r="S44" s="16">
        <f>SUM(BN44:BP44)</f>
        <v>4616561.3999999994</v>
      </c>
      <c r="T44" s="16">
        <f>SUM(BQ44:BS44)</f>
        <v>4971272.5399999991</v>
      </c>
      <c r="U44" s="16">
        <f>SUM(BT44:BV44)</f>
        <v>4864001.1500000004</v>
      </c>
      <c r="V44" s="16">
        <f>SUM(BW44:BY44)</f>
        <v>5086617.08</v>
      </c>
      <c r="W44" s="16">
        <f>SUM(BZ44:CB44)</f>
        <v>5872593.6299999999</v>
      </c>
      <c r="X44" s="16">
        <f>SUM(CC44:CE44)</f>
        <v>6107599.7199999997</v>
      </c>
      <c r="Y44" s="16">
        <f>SUM(CF44:CH44)</f>
        <v>6363815.5299999993</v>
      </c>
      <c r="Z44" s="16">
        <f>SUM(CI44:CK44)</f>
        <v>8112919.4199999999</v>
      </c>
      <c r="AA44" s="16">
        <f>SUM(CL44:CN44)</f>
        <v>9211486.0650891773</v>
      </c>
      <c r="AB44" s="16">
        <f>SUM(CO44:CQ44)</f>
        <v>10824143.673175517</v>
      </c>
      <c r="AC44" s="16">
        <f>SUM(CR44:CT44)</f>
        <v>12693575.850454602</v>
      </c>
      <c r="AD44" s="16">
        <f>SUM(CU44:CW44)</f>
        <v>14450121.402541447</v>
      </c>
      <c r="AE44" s="16">
        <f>SUM(CX44:CZ44)</f>
        <v>15001501.287402686</v>
      </c>
      <c r="AF44" s="16">
        <f>SUM(DA44:DC44)</f>
        <v>16661484.517079376</v>
      </c>
      <c r="AG44" s="16">
        <f>SUM(DD44:DF44)</f>
        <v>18736342.655972142</v>
      </c>
      <c r="AH44" s="16">
        <f>SUM(DG44:DI44)</f>
        <v>20683087.497624896</v>
      </c>
      <c r="AI44" s="16">
        <f>SUM(DJ44:DL44)</f>
        <v>21271760.842431162</v>
      </c>
      <c r="AJ44" s="16">
        <f>SUM(DM44:DO44)</f>
        <v>23475452.272902206</v>
      </c>
      <c r="AK44" s="16">
        <f>SUM(DP44:DR44)</f>
        <v>26151774.478954345</v>
      </c>
      <c r="AL44" s="16">
        <f>SUM(DS44:DU44)</f>
        <v>28740882.554903079</v>
      </c>
      <c r="AM44" s="16">
        <f>SUM(DV44:DX44)</f>
        <v>28863153.324514695</v>
      </c>
      <c r="AN44" s="16">
        <f>SUM(DY44:EA44)</f>
        <v>30892917.70340794</v>
      </c>
      <c r="AO44" s="16">
        <f>SUM(EB44:ED44)</f>
        <v>34287341.37818478</v>
      </c>
      <c r="AP44" s="16">
        <f>SUM(EE44:EG44)</f>
        <v>37627040.487792343</v>
      </c>
      <c r="AQ44" s="16">
        <f>SUM(EH44:EJ44)</f>
        <v>37684533.03222277</v>
      </c>
      <c r="AR44" s="16">
        <f>SUM(EK44:EM44)</f>
        <v>40025151.756922543</v>
      </c>
      <c r="AS44" s="16">
        <f>SUM(EN44:EP44)</f>
        <v>44257027.692026943</v>
      </c>
      <c r="AT44" s="16">
        <f>SUM(EQ44:ES44)</f>
        <v>48496184.591306522</v>
      </c>
      <c r="AU44" s="16">
        <f>SUM(ET44:EV44)</f>
        <v>48496184.591306522</v>
      </c>
      <c r="AV44" s="16">
        <f>SUM(EW44:EY44)</f>
        <v>51051675.53413704</v>
      </c>
      <c r="AW44" s="16">
        <f>SUM(EZ44:FB44)</f>
        <v>56235669.598223761</v>
      </c>
      <c r="AX44" s="2"/>
      <c r="AY44" s="16">
        <f>Expenses!AY21</f>
        <v>762237.13</v>
      </c>
      <c r="AZ44" s="16">
        <f>Expenses!AZ21</f>
        <v>739223.72</v>
      </c>
      <c r="BA44" s="16">
        <f>Expenses!BA21</f>
        <v>829050.41999999993</v>
      </c>
      <c r="BB44" s="16">
        <f>Expenses!BB21</f>
        <v>796057.22</v>
      </c>
      <c r="BC44" s="16">
        <f>Expenses!BC21</f>
        <v>837025.71000000008</v>
      </c>
      <c r="BD44" s="16">
        <f>Expenses!BD21</f>
        <v>901720.12999999989</v>
      </c>
      <c r="BE44" s="16">
        <f>Expenses!BE21</f>
        <v>932565.64999999991</v>
      </c>
      <c r="BF44" s="16">
        <f>Expenses!BF21</f>
        <v>920719.59000000008</v>
      </c>
      <c r="BG44" s="16">
        <f>Expenses!BG21</f>
        <v>1148806.07</v>
      </c>
      <c r="BH44" s="16">
        <f>Expenses!BH21</f>
        <v>1057964.69</v>
      </c>
      <c r="BI44" s="16">
        <f>Expenses!BI21</f>
        <v>1037174.7</v>
      </c>
      <c r="BJ44" s="16">
        <f>Expenses!BJ21</f>
        <v>1249713.0999999999</v>
      </c>
      <c r="BK44" s="16">
        <f>Expenses!BK21</f>
        <v>1279492.6299999999</v>
      </c>
      <c r="BL44" s="16">
        <f>Expenses!BL21</f>
        <v>1284218.48</v>
      </c>
      <c r="BM44" s="16">
        <f>Expenses!BM21</f>
        <v>1328807.93</v>
      </c>
      <c r="BN44" s="16">
        <f>Expenses!BN21</f>
        <v>1399002.3599999999</v>
      </c>
      <c r="BO44" s="16">
        <f>Expenses!BO21</f>
        <v>1581251.52</v>
      </c>
      <c r="BP44" s="16">
        <f>Expenses!BP21</f>
        <v>1636307.5199999998</v>
      </c>
      <c r="BQ44" s="16">
        <f>Expenses!BQ21</f>
        <v>1595061.13</v>
      </c>
      <c r="BR44" s="16">
        <f>Expenses!BR21</f>
        <v>1645643.72</v>
      </c>
      <c r="BS44" s="16">
        <f>Expenses!BS21</f>
        <v>1730567.69</v>
      </c>
      <c r="BT44" s="16">
        <f>Expenses!BT21</f>
        <v>1633636.18</v>
      </c>
      <c r="BU44" s="16">
        <f>Expenses!BU21</f>
        <v>1664366.2399999998</v>
      </c>
      <c r="BV44" s="16">
        <f>Expenses!BV21</f>
        <v>1565998.73</v>
      </c>
      <c r="BW44" s="16">
        <f>Expenses!BW21</f>
        <v>1681040.6899999997</v>
      </c>
      <c r="BX44" s="16">
        <f>Expenses!BX21</f>
        <v>1588878.73</v>
      </c>
      <c r="BY44" s="16">
        <f>Expenses!BY21</f>
        <v>1816697.66</v>
      </c>
      <c r="BZ44" s="16">
        <f>Expenses!BZ21</f>
        <v>1812507.8800000001</v>
      </c>
      <c r="CA44" s="16">
        <f>Expenses!CA21</f>
        <v>1888285.8200000003</v>
      </c>
      <c r="CB44" s="16">
        <f>Expenses!CB21</f>
        <v>2171799.9299999997</v>
      </c>
      <c r="CC44" s="16">
        <f>Expenses!CC21</f>
        <v>2057336.25</v>
      </c>
      <c r="CD44" s="16">
        <f>Expenses!CD21</f>
        <v>2061086.85</v>
      </c>
      <c r="CE44" s="16">
        <f>Expenses!CE21</f>
        <v>1989176.6199999999</v>
      </c>
      <c r="CF44" s="16">
        <f>Expenses!CF21</f>
        <v>2032100.77</v>
      </c>
      <c r="CG44" s="16">
        <f>Expenses!CG21</f>
        <v>2025268.7399999995</v>
      </c>
      <c r="CH44" s="16">
        <f>Expenses!CH21</f>
        <v>2306446.02</v>
      </c>
      <c r="CI44" s="16">
        <f>Expenses!CI21</f>
        <v>2467252.9399999995</v>
      </c>
      <c r="CJ44" s="16">
        <f>Expenses!CJ21</f>
        <v>2578609.33</v>
      </c>
      <c r="CK44" s="16">
        <f>Expenses!CK21</f>
        <v>3067057.15</v>
      </c>
      <c r="CL44" s="16">
        <f>Expenses!CL21</f>
        <v>2955682.11</v>
      </c>
      <c r="CM44" s="16">
        <f>Expenses!CM21</f>
        <v>3077863.3234469071</v>
      </c>
      <c r="CN44" s="16">
        <f>Expenses!CN21</f>
        <v>3177940.6316422718</v>
      </c>
      <c r="CO44" s="16">
        <f>Expenses!CO21</f>
        <v>3386816.3110165456</v>
      </c>
      <c r="CP44" s="16">
        <f>Expenses!CP21</f>
        <v>3622682.1077233544</v>
      </c>
      <c r="CQ44" s="16">
        <f>Expenses!CQ21</f>
        <v>3814645.2544356179</v>
      </c>
      <c r="CR44" s="16">
        <f>Expenses!CR21</f>
        <v>3965208.1616100431</v>
      </c>
      <c r="CS44" s="16">
        <f>Expenses!CS21</f>
        <v>4188708.1021237718</v>
      </c>
      <c r="CT44" s="16">
        <f>Expenses!CT21</f>
        <v>4539659.5867207879</v>
      </c>
      <c r="CU44" s="55">
        <f>Expenses!CU21</f>
        <v>4816707.1341804825</v>
      </c>
      <c r="CV44" s="16">
        <f>Expenses!CV21</f>
        <v>4816707.1341804825</v>
      </c>
      <c r="CW44" s="16">
        <f>Expenses!CW21</f>
        <v>4816707.1341804825</v>
      </c>
      <c r="CX44" s="16">
        <f>Expenses!CX21</f>
        <v>4824785.7591929911</v>
      </c>
      <c r="CY44" s="16">
        <f>Expenses!CY21</f>
        <v>4968852.5363352802</v>
      </c>
      <c r="CZ44" s="16">
        <f>Expenses!CZ21</f>
        <v>5207862.9918744154</v>
      </c>
      <c r="DA44" s="16">
        <f>Expenses!DA21</f>
        <v>5388381.7176485537</v>
      </c>
      <c r="DB44" s="16">
        <f>Expenses!DB21</f>
        <v>5516469.2512767622</v>
      </c>
      <c r="DC44" s="16">
        <f>Expenses!DC21</f>
        <v>5756633.5481540607</v>
      </c>
      <c r="DD44" s="16">
        <f>Expenses!DD21</f>
        <v>5970815.4450194873</v>
      </c>
      <c r="DE44" s="16">
        <f>Expenses!DE21</f>
        <v>6199467.6878971299</v>
      </c>
      <c r="DF44" s="16">
        <f>Expenses!DF21</f>
        <v>6566059.5230555227</v>
      </c>
      <c r="DG44" s="16">
        <f>Expenses!DG21</f>
        <v>6894362.4992082994</v>
      </c>
      <c r="DH44" s="16">
        <f>Expenses!DH21</f>
        <v>6894362.4992082994</v>
      </c>
      <c r="DI44" s="16">
        <f>Expenses!DI21</f>
        <v>6894362.4992082994</v>
      </c>
      <c r="DJ44" s="16">
        <f>Expenses!DJ21</f>
        <v>6894362.4992082994</v>
      </c>
      <c r="DK44" s="16">
        <f>Expenses!DK21</f>
        <v>7021448.0740821473</v>
      </c>
      <c r="DL44" s="16">
        <f>Expenses!DL21</f>
        <v>7355950.2691407157</v>
      </c>
      <c r="DM44" s="16">
        <f>Expenses!DM21</f>
        <v>7604100.6412141649</v>
      </c>
      <c r="DN44" s="16">
        <f>Expenses!DN21</f>
        <v>7774914.7767864326</v>
      </c>
      <c r="DO44" s="16">
        <f>Expenses!DO21</f>
        <v>8096436.854901609</v>
      </c>
      <c r="DP44" s="16">
        <f>Expenses!DP21</f>
        <v>8372047.7353638262</v>
      </c>
      <c r="DQ44" s="16">
        <f>Expenses!DQ21</f>
        <v>8655637.0436212849</v>
      </c>
      <c r="DR44" s="16">
        <f>Expenses!DR21</f>
        <v>9124089.6999692302</v>
      </c>
      <c r="DS44" s="16">
        <f>Expenses!DS21</f>
        <v>9580294.1849676929</v>
      </c>
      <c r="DT44" s="16">
        <f>Expenses!DT21</f>
        <v>9580294.1849676929</v>
      </c>
      <c r="DU44" s="16">
        <f>Expenses!DU21</f>
        <v>9580294.1849676929</v>
      </c>
      <c r="DV44" s="16">
        <f>Expenses!DV21</f>
        <v>9580294.1849676929</v>
      </c>
      <c r="DW44" s="16">
        <f>Expenses!DW21</f>
        <v>9580294.1849676929</v>
      </c>
      <c r="DX44" s="16">
        <f>Expenses!DX21</f>
        <v>9702564.9545793105</v>
      </c>
      <c r="DY44" s="16">
        <f>Expenses!DY21</f>
        <v>10017277.556010287</v>
      </c>
      <c r="DZ44" s="16">
        <f>Expenses!DZ21</f>
        <v>10233906.497293945</v>
      </c>
      <c r="EA44" s="16">
        <f>Expenses!EA21</f>
        <v>10641733.650103707</v>
      </c>
      <c r="EB44" s="16">
        <f>Expenses!EB21</f>
        <v>10991300.785774209</v>
      </c>
      <c r="EC44" s="16">
        <f>Expenses!EC21</f>
        <v>11350948.374063795</v>
      </c>
      <c r="ED44" s="16">
        <f>Expenses!ED21</f>
        <v>11945092.218346773</v>
      </c>
      <c r="EE44" s="16">
        <f>Expenses!EE21</f>
        <v>12542346.829264114</v>
      </c>
      <c r="EF44" s="16">
        <f>Expenses!EF21</f>
        <v>12542346.829264114</v>
      </c>
      <c r="EG44" s="16">
        <f>Expenses!EG21</f>
        <v>12542346.829264114</v>
      </c>
      <c r="EH44" s="16">
        <f>Expenses!EH21</f>
        <v>12542346.829264114</v>
      </c>
      <c r="EI44" s="16">
        <f>Expenses!EI21</f>
        <v>12542346.829264114</v>
      </c>
      <c r="EJ44" s="16">
        <f>Expenses!EJ21</f>
        <v>12599839.373694541</v>
      </c>
      <c r="EK44" s="16">
        <f>Expenses!EK21</f>
        <v>12992186.311260341</v>
      </c>
      <c r="EL44" s="16">
        <f>Expenses!EL21</f>
        <v>13262252.455463268</v>
      </c>
      <c r="EM44" s="16">
        <f>Expenses!EM21</f>
        <v>13770712.990198934</v>
      </c>
      <c r="EN44" s="16">
        <f>Expenses!EN21</f>
        <v>14206525.771807043</v>
      </c>
      <c r="EO44" s="16">
        <f>Expenses!EO21</f>
        <v>14654887.764249574</v>
      </c>
      <c r="EP44" s="16">
        <f>Expenses!EP21</f>
        <v>15395614.155970326</v>
      </c>
      <c r="EQ44" s="16">
        <f>Expenses!EQ21</f>
        <v>16165394.863768842</v>
      </c>
      <c r="ER44" s="16">
        <f>Expenses!ER21</f>
        <v>16165394.863768842</v>
      </c>
      <c r="ES44" s="16">
        <f>Expenses!ES21</f>
        <v>16165394.863768842</v>
      </c>
      <c r="ET44" s="16">
        <f>Expenses!ET21</f>
        <v>16165394.863768842</v>
      </c>
      <c r="EU44" s="16">
        <f>Expenses!EU21</f>
        <v>16165394.863768842</v>
      </c>
      <c r="EV44" s="16">
        <f>Expenses!EV21</f>
        <v>16165394.863768842</v>
      </c>
      <c r="EW44" s="16">
        <f>Expenses!EW21</f>
        <v>16589054.224179275</v>
      </c>
      <c r="EX44" s="16">
        <f>Expenses!EX21</f>
        <v>16919880.995553598</v>
      </c>
      <c r="EY44" s="16">
        <f>Expenses!EY21</f>
        <v>17542740.314404171</v>
      </c>
      <c r="EZ44" s="16">
        <f>Expenses!EZ21</f>
        <v>18076605.66197212</v>
      </c>
      <c r="FA44" s="16">
        <f>Expenses!FA21</f>
        <v>18625841.83116474</v>
      </c>
      <c r="FB44" s="16">
        <f>Expenses!FB21</f>
        <v>19533222.1050869</v>
      </c>
    </row>
    <row r="45" spans="3:158" x14ac:dyDescent="0.25">
      <c r="C45" s="2" t="s">
        <v>14</v>
      </c>
      <c r="D45" s="50">
        <f t="shared" si="278"/>
        <v>9555431.7000000011</v>
      </c>
      <c r="E45" s="50">
        <f t="shared" si="278"/>
        <v>14377398.870000003</v>
      </c>
      <c r="F45" s="50">
        <f t="shared" si="278"/>
        <v>16501535.249999998</v>
      </c>
      <c r="G45" s="50">
        <f t="shared" si="278"/>
        <v>32153075.513169423</v>
      </c>
      <c r="H45" s="50">
        <f t="shared" si="278"/>
        <v>49099742.379827887</v>
      </c>
      <c r="I45" s="50">
        <f t="shared" si="278"/>
        <v>60388487.041385069</v>
      </c>
      <c r="J45" s="50">
        <f t="shared" si="278"/>
        <v>75862664.803885713</v>
      </c>
      <c r="K45" s="50">
        <f t="shared" si="278"/>
        <v>93686112.431114972</v>
      </c>
      <c r="L45" s="50">
        <f t="shared" si="278"/>
        <v>116659090.10749699</v>
      </c>
      <c r="M45" s="2"/>
      <c r="N45" s="16">
        <f t="shared" si="263"/>
        <v>1880047.92</v>
      </c>
      <c r="O45" s="16">
        <f>SUM(BB45:BD45)</f>
        <v>1985114.7400000002</v>
      </c>
      <c r="P45" s="16">
        <f>SUM(BE45:BG45)</f>
        <v>2644093.54</v>
      </c>
      <c r="Q45" s="16">
        <f>SUM(BH45:BJ45)</f>
        <v>3046175.5</v>
      </c>
      <c r="R45" s="16">
        <f>SUM(BK45:BM45)</f>
        <v>4000997.91</v>
      </c>
      <c r="S45" s="16">
        <f>SUM(BN45:BP45)</f>
        <v>3259350.52</v>
      </c>
      <c r="T45" s="16">
        <f>SUM(BQ45:BS45)</f>
        <v>3416674.05</v>
      </c>
      <c r="U45" s="16">
        <f>SUM(BT45:BV45)</f>
        <v>3700376.3900000006</v>
      </c>
      <c r="V45" s="16">
        <f>SUM(BW45:BY45)</f>
        <v>4894012.9399999995</v>
      </c>
      <c r="W45" s="16">
        <f>SUM(BZ45:CB45)</f>
        <v>3536406.38</v>
      </c>
      <c r="X45" s="16">
        <f>SUM(CC45:CE45)</f>
        <v>3683483.9</v>
      </c>
      <c r="Y45" s="16">
        <f>SUM(CF45:CH45)</f>
        <v>4387632.03</v>
      </c>
      <c r="Z45" s="16">
        <f>SUM(CI45:CK45)</f>
        <v>6034833.4900000002</v>
      </c>
      <c r="AA45" s="16">
        <f>SUM(CL45:CN45)</f>
        <v>7784350.445780186</v>
      </c>
      <c r="AB45" s="16">
        <f>SUM(CO45:CQ45)</f>
        <v>8447304.5198474564</v>
      </c>
      <c r="AC45" s="16">
        <f>SUM(CR45:CT45)</f>
        <v>9886587.057541782</v>
      </c>
      <c r="AD45" s="16">
        <f>SUM(CU45:CW45)</f>
        <v>11838806.95769627</v>
      </c>
      <c r="AE45" s="16">
        <f>SUM(CX45:CZ45)</f>
        <v>11929071.630307704</v>
      </c>
      <c r="AF45" s="16">
        <f>SUM(DA45:DC45)</f>
        <v>12139424.346230891</v>
      </c>
      <c r="AG45" s="16">
        <f>SUM(DD45:DF45)</f>
        <v>13192439.445593026</v>
      </c>
      <c r="AH45" s="16">
        <f>SUM(DG45:DI45)</f>
        <v>13960033.919779833</v>
      </c>
      <c r="AI45" s="16">
        <f>SUM(DJ45:DL45)</f>
        <v>14225526.683408018</v>
      </c>
      <c r="AJ45" s="16">
        <f>SUM(DM45:DO45)</f>
        <v>15273669.891698185</v>
      </c>
      <c r="AK45" s="16">
        <f>SUM(DP45:DR45)</f>
        <v>16929256.54649904</v>
      </c>
      <c r="AL45" s="16">
        <f>SUM(DS45:DU45)</f>
        <v>18024460.273198582</v>
      </c>
      <c r="AM45" s="16">
        <f>SUM(DV45:DX45)</f>
        <v>18171554.952088583</v>
      </c>
      <c r="AN45" s="16">
        <f>SUM(DY45:EA45)</f>
        <v>19037249.083440833</v>
      </c>
      <c r="AO45" s="16">
        <f>SUM(EB45:ED45)</f>
        <v>20629400.495157715</v>
      </c>
      <c r="AP45" s="16">
        <f>SUM(EE45:EG45)</f>
        <v>22150111.568999872</v>
      </c>
      <c r="AQ45" s="16">
        <f>SUM(EH45:EJ45)</f>
        <v>22374970.555763744</v>
      </c>
      <c r="AR45" s="16">
        <f>SUM(EK45:EM45)</f>
        <v>23465977.216410615</v>
      </c>
      <c r="AS45" s="16">
        <f>SUM(EN45:EP45)</f>
        <v>25695053.089940745</v>
      </c>
      <c r="AT45" s="16">
        <f>SUM(EQ45:ES45)</f>
        <v>27625265.330105394</v>
      </c>
      <c r="AU45" s="16">
        <f>SUM(ET45:EV45)</f>
        <v>27924419.376707383</v>
      </c>
      <c r="AV45" s="16">
        <f>SUM(EW45:EY45)</f>
        <v>29181388.341002263</v>
      </c>
      <c r="AW45" s="16">
        <f>SUM(EZ45:FB45)</f>
        <v>31928017.059681952</v>
      </c>
      <c r="AX45" s="2"/>
      <c r="AY45" s="16">
        <f>Expenses!AY22</f>
        <v>619434.75</v>
      </c>
      <c r="AZ45" s="16">
        <f>Expenses!AZ22</f>
        <v>637249.86</v>
      </c>
      <c r="BA45" s="16">
        <f>Expenses!BA22</f>
        <v>623363.30999999994</v>
      </c>
      <c r="BB45" s="16">
        <f>Expenses!BB22</f>
        <v>632901.98</v>
      </c>
      <c r="BC45" s="16">
        <f>Expenses!BC22</f>
        <v>695540.60000000009</v>
      </c>
      <c r="BD45" s="16">
        <f>Expenses!BD22</f>
        <v>656672.16</v>
      </c>
      <c r="BE45" s="16">
        <f>Expenses!BE22</f>
        <v>916343.8</v>
      </c>
      <c r="BF45" s="16">
        <f>Expenses!BF22</f>
        <v>819937.87</v>
      </c>
      <c r="BG45" s="16">
        <f>Expenses!BG22</f>
        <v>907811.87</v>
      </c>
      <c r="BH45" s="16">
        <f>Expenses!BH22</f>
        <v>942886.02999999991</v>
      </c>
      <c r="BI45" s="16">
        <f>Expenses!BI22</f>
        <v>784538.78999999992</v>
      </c>
      <c r="BJ45" s="16">
        <f>Expenses!BJ22</f>
        <v>1318750.68</v>
      </c>
      <c r="BK45" s="16">
        <f>Expenses!BK22</f>
        <v>1605530.8599999999</v>
      </c>
      <c r="BL45" s="16">
        <f>Expenses!BL22</f>
        <v>1102213.1000000001</v>
      </c>
      <c r="BM45" s="16">
        <f>Expenses!BM22</f>
        <v>1293253.9500000002</v>
      </c>
      <c r="BN45" s="16">
        <f>Expenses!BN22</f>
        <v>1111881.3999999999</v>
      </c>
      <c r="BO45" s="16">
        <f>Expenses!BO22</f>
        <v>1086358.3199999998</v>
      </c>
      <c r="BP45" s="16">
        <f>Expenses!BP22</f>
        <v>1061110.8000000003</v>
      </c>
      <c r="BQ45" s="16">
        <f>Expenses!BQ22</f>
        <v>1146472.82</v>
      </c>
      <c r="BR45" s="16">
        <f>Expenses!BR22</f>
        <v>1010948.82</v>
      </c>
      <c r="BS45" s="16">
        <f>Expenses!BS22</f>
        <v>1259252.4099999999</v>
      </c>
      <c r="BT45" s="16">
        <f>Expenses!BT22</f>
        <v>1213586.5800000003</v>
      </c>
      <c r="BU45" s="16">
        <f>Expenses!BU22</f>
        <v>1261014.4899999998</v>
      </c>
      <c r="BV45" s="16">
        <f>Expenses!BV22</f>
        <v>1225775.32</v>
      </c>
      <c r="BW45" s="16">
        <f>Expenses!BW22</f>
        <v>2242308.59</v>
      </c>
      <c r="BX45" s="16">
        <f>Expenses!BX22</f>
        <v>1354284.3900000001</v>
      </c>
      <c r="BY45" s="16">
        <f>Expenses!BY22</f>
        <v>1297419.9599999997</v>
      </c>
      <c r="BZ45" s="16">
        <f>Expenses!BZ22</f>
        <v>1125999.98</v>
      </c>
      <c r="CA45" s="16">
        <f>Expenses!CA22</f>
        <v>1135993.1500000001</v>
      </c>
      <c r="CB45" s="16">
        <f>Expenses!CB22</f>
        <v>1274413.25</v>
      </c>
      <c r="CC45" s="16">
        <f>Expenses!CC22</f>
        <v>1199970.8799999999</v>
      </c>
      <c r="CD45" s="16">
        <f>Expenses!CD22</f>
        <v>1209731.1599999999</v>
      </c>
      <c r="CE45" s="16">
        <f>Expenses!CE22</f>
        <v>1273781.8599999999</v>
      </c>
      <c r="CF45" s="16">
        <f>Expenses!CF22</f>
        <v>1498061.42</v>
      </c>
      <c r="CG45" s="16">
        <f>Expenses!CG22</f>
        <v>1379221.3299999998</v>
      </c>
      <c r="CH45" s="16">
        <f>Expenses!CH22</f>
        <v>1510349.28</v>
      </c>
      <c r="CI45" s="16">
        <f>Expenses!CI22</f>
        <v>1956659.1400000001</v>
      </c>
      <c r="CJ45" s="16">
        <f>Expenses!CJ22</f>
        <v>1830659.0799999998</v>
      </c>
      <c r="CK45" s="16">
        <f>Expenses!CK22</f>
        <v>2247515.27</v>
      </c>
      <c r="CL45" s="16">
        <f>Expenses!CL22</f>
        <v>2457949.1</v>
      </c>
      <c r="CM45" s="16">
        <f>Expenses!CM22</f>
        <v>2508918.5493485848</v>
      </c>
      <c r="CN45" s="16">
        <f>Expenses!CN22</f>
        <v>2817482.7964316015</v>
      </c>
      <c r="CO45" s="16">
        <f>Expenses!CO22</f>
        <v>2670923.3199802372</v>
      </c>
      <c r="CP45" s="16">
        <f>Expenses!CP22</f>
        <v>2767748.2635337845</v>
      </c>
      <c r="CQ45" s="16">
        <f>Expenses!CQ22</f>
        <v>3008632.9363334342</v>
      </c>
      <c r="CR45" s="16">
        <f>Expenses!CR22</f>
        <v>2907116.9277495304</v>
      </c>
      <c r="CS45" s="16">
        <f>Expenses!CS22</f>
        <v>3029785.7241297532</v>
      </c>
      <c r="CT45" s="16">
        <f>Expenses!CT22</f>
        <v>3949684.4056624984</v>
      </c>
      <c r="CU45" s="55">
        <f>Expenses!CU22</f>
        <v>3940399.1956838272</v>
      </c>
      <c r="CV45" s="16">
        <f>Expenses!CV22</f>
        <v>3945647.7178187822</v>
      </c>
      <c r="CW45" s="16">
        <f>Expenses!CW22</f>
        <v>3952760.0441936613</v>
      </c>
      <c r="CX45" s="16">
        <f>Expenses!CX22</f>
        <v>3959958.5299387383</v>
      </c>
      <c r="CY45" s="16">
        <f>Expenses!CY22</f>
        <v>3974056.267633114</v>
      </c>
      <c r="CZ45" s="16">
        <f>Expenses!CZ22</f>
        <v>3995056.8327358523</v>
      </c>
      <c r="DA45" s="16">
        <f>Expenses!DA22</f>
        <v>4007764.8038717918</v>
      </c>
      <c r="DB45" s="16">
        <f>Expenses!DB22</f>
        <v>4020627.1228532884</v>
      </c>
      <c r="DC45" s="16">
        <f>Expenses!DC22</f>
        <v>4111032.4195058104</v>
      </c>
      <c r="DD45" s="16">
        <f>Expenses!DD22</f>
        <v>4237601.8759381874</v>
      </c>
      <c r="DE45" s="16">
        <f>Expenses!DE22</f>
        <v>4372098.4701131675</v>
      </c>
      <c r="DF45" s="16">
        <f>Expenses!DF22</f>
        <v>4582739.0995416706</v>
      </c>
      <c r="DG45" s="16">
        <f>Expenses!DG22</f>
        <v>4635902.8492568973</v>
      </c>
      <c r="DH45" s="16">
        <f>Expenses!DH22</f>
        <v>4652566.8794740671</v>
      </c>
      <c r="DI45" s="16">
        <f>Expenses!DI22</f>
        <v>4671564.1910488689</v>
      </c>
      <c r="DJ45" s="16">
        <f>Expenses!DJ22</f>
        <v>4690192.706196472</v>
      </c>
      <c r="DK45" s="16">
        <f>Expenses!DK22</f>
        <v>4714230.2759315232</v>
      </c>
      <c r="DL45" s="16">
        <f>Expenses!DL22</f>
        <v>4821103.7012800239</v>
      </c>
      <c r="DM45" s="16">
        <f>Expenses!DM22</f>
        <v>4945858.5997709753</v>
      </c>
      <c r="DN45" s="16">
        <f>Expenses!DN22</f>
        <v>5065753.0811189683</v>
      </c>
      <c r="DO45" s="16">
        <f>Expenses!DO22</f>
        <v>5262058.2108082417</v>
      </c>
      <c r="DP45" s="16">
        <f>Expenses!DP22</f>
        <v>5434985.7050494365</v>
      </c>
      <c r="DQ45" s="16">
        <f>Expenses!DQ22</f>
        <v>5611880.3580538351</v>
      </c>
      <c r="DR45" s="16">
        <f>Expenses!DR22</f>
        <v>5882390.4833957683</v>
      </c>
      <c r="DS45" s="16">
        <f>Expenses!DS22</f>
        <v>5998533.253196653</v>
      </c>
      <c r="DT45" s="16">
        <f>Expenses!DT22</f>
        <v>6007133.2674644915</v>
      </c>
      <c r="DU45" s="16">
        <f>Expenses!DU22</f>
        <v>6018793.7525374349</v>
      </c>
      <c r="DV45" s="16">
        <f>Expenses!DV22</f>
        <v>6029970.4838053063</v>
      </c>
      <c r="DW45" s="16">
        <f>Expenses!DW22</f>
        <v>6040529.8205104377</v>
      </c>
      <c r="DX45" s="16">
        <f>Expenses!DX22</f>
        <v>6101054.6477728384</v>
      </c>
      <c r="DY45" s="16">
        <f>Expenses!DY22</f>
        <v>6227147.6121028969</v>
      </c>
      <c r="DZ45" s="16">
        <f>Expenses!DZ22</f>
        <v>6320086.516193985</v>
      </c>
      <c r="EA45" s="16">
        <f>Expenses!EA22</f>
        <v>6490014.9551439527</v>
      </c>
      <c r="EB45" s="16">
        <f>Expenses!EB22</f>
        <v>6651218.8773074653</v>
      </c>
      <c r="EC45" s="16">
        <f>Expenses!EC22</f>
        <v>6838520.8978959983</v>
      </c>
      <c r="ED45" s="16">
        <f>Expenses!ED22</f>
        <v>7139660.7199542522</v>
      </c>
      <c r="EE45" s="16">
        <f>Expenses!EE22</f>
        <v>7362828.6616340661</v>
      </c>
      <c r="EF45" s="16">
        <f>Expenses!EF22</f>
        <v>7381986.0462524565</v>
      </c>
      <c r="EG45" s="16">
        <f>Expenses!EG22</f>
        <v>7405296.8611133499</v>
      </c>
      <c r="EH45" s="16">
        <f>Expenses!EH22</f>
        <v>7427951.4143080218</v>
      </c>
      <c r="EI45" s="16">
        <f>Expenses!EI22</f>
        <v>7449768.7546695219</v>
      </c>
      <c r="EJ45" s="16">
        <f>Expenses!EJ22</f>
        <v>7497250.3867861992</v>
      </c>
      <c r="EK45" s="16">
        <f>Expenses!EK22</f>
        <v>7652036.8074383764</v>
      </c>
      <c r="EL45" s="16">
        <f>Expenses!EL22</f>
        <v>7774436.9051055992</v>
      </c>
      <c r="EM45" s="16">
        <f>Expenses!EM22</f>
        <v>8039503.503866639</v>
      </c>
      <c r="EN45" s="16">
        <f>Expenses!EN22</f>
        <v>8276465.238959725</v>
      </c>
      <c r="EO45" s="16">
        <f>Expenses!EO22</f>
        <v>8519208.2960336525</v>
      </c>
      <c r="EP45" s="16">
        <f>Expenses!EP22</f>
        <v>8899379.5549473688</v>
      </c>
      <c r="EQ45" s="16">
        <f>Expenses!EQ22</f>
        <v>9177840.8916038703</v>
      </c>
      <c r="ER45" s="16">
        <f>Expenses!ER22</f>
        <v>9206589.5970027819</v>
      </c>
      <c r="ES45" s="16">
        <f>Expenses!ES22</f>
        <v>9240834.84149874</v>
      </c>
      <c r="ET45" s="16">
        <f>Expenses!ET22</f>
        <v>9274182.8639491163</v>
      </c>
      <c r="EU45" s="16">
        <f>Expenses!EU22</f>
        <v>9306400.584949078</v>
      </c>
      <c r="EV45" s="16">
        <f>Expenses!EV22</f>
        <v>9343835.9278091844</v>
      </c>
      <c r="EW45" s="16">
        <f>Expenses!EW22</f>
        <v>9508726.0978744831</v>
      </c>
      <c r="EX45" s="16">
        <f>Expenses!EX22</f>
        <v>9670947.0455213226</v>
      </c>
      <c r="EY45" s="16">
        <f>Expenses!EY22</f>
        <v>10001715.197606459</v>
      </c>
      <c r="EZ45" s="16">
        <f>Expenses!EZ22</f>
        <v>10291629.60943</v>
      </c>
      <c r="FA45" s="16">
        <f>Expenses!FA22</f>
        <v>10588342.687987182</v>
      </c>
      <c r="FB45" s="16">
        <f>Expenses!FB22</f>
        <v>11048044.76226477</v>
      </c>
    </row>
    <row r="46" spans="3:158" x14ac:dyDescent="0.25">
      <c r="C46" s="2" t="s">
        <v>15</v>
      </c>
      <c r="D46" s="50">
        <f t="shared" si="278"/>
        <v>0</v>
      </c>
      <c r="E46" s="50">
        <f t="shared" si="278"/>
        <v>-3891954.665450999</v>
      </c>
      <c r="F46" s="50">
        <f t="shared" si="278"/>
        <v>-3111327.1107220119</v>
      </c>
      <c r="G46" s="50">
        <f t="shared" si="278"/>
        <v>-10302434.208278835</v>
      </c>
      <c r="H46" s="50">
        <f t="shared" si="278"/>
        <v>-19445888.886340402</v>
      </c>
      <c r="I46" s="50">
        <f t="shared" si="278"/>
        <v>-30592555.907168016</v>
      </c>
      <c r="J46" s="50">
        <f t="shared" si="278"/>
        <v>-43075904.345728733</v>
      </c>
      <c r="K46" s="50">
        <f t="shared" si="278"/>
        <v>-56247628.513418943</v>
      </c>
      <c r="L46" s="50">
        <f t="shared" si="278"/>
        <v>-74758817.524629831</v>
      </c>
      <c r="M46" s="2"/>
      <c r="N46" s="16">
        <f t="shared" si="263"/>
        <v>0</v>
      </c>
      <c r="O46" s="16">
        <f>SUM(BB46:BD46)</f>
        <v>0</v>
      </c>
      <c r="P46" s="16">
        <f>SUM(BE46:BG46)</f>
        <v>0</v>
      </c>
      <c r="Q46" s="16">
        <f>SUM(BH46:BJ46)</f>
        <v>0</v>
      </c>
      <c r="R46" s="16">
        <f>SUM(BK46:BM46)</f>
        <v>-754757.3753819993</v>
      </c>
      <c r="S46" s="16">
        <f>SUM(BN46:BP46)</f>
        <v>-1264114.8702439996</v>
      </c>
      <c r="T46" s="16">
        <f>SUM(BQ46:BS46)</f>
        <v>-675971</v>
      </c>
      <c r="U46" s="16">
        <f>SUM(BT46:BV46)</f>
        <v>-1197111.4198250002</v>
      </c>
      <c r="V46" s="16">
        <f>SUM(BW46:BY46)</f>
        <v>-361251.62999999995</v>
      </c>
      <c r="W46" s="16">
        <f>SUM(BZ46:CB46)</f>
        <v>-938564</v>
      </c>
      <c r="X46" s="16">
        <f>SUM(CC46:CE46)</f>
        <v>-659295.00000000116</v>
      </c>
      <c r="Y46" s="16">
        <f>SUM(CF46:CH46)</f>
        <v>-1152216.4807220106</v>
      </c>
      <c r="Z46" s="16">
        <f>SUM(CI46:CK46)</f>
        <v>-870726.18110277783</v>
      </c>
      <c r="AA46" s="16">
        <f>SUM(CL46:CN46)</f>
        <v>-2342202.415893924</v>
      </c>
      <c r="AB46" s="16">
        <f>SUM(CO46:CQ46)</f>
        <v>-3191173.5350808203</v>
      </c>
      <c r="AC46" s="16">
        <f>SUM(CR46:CT46)</f>
        <v>-3898332.0762013132</v>
      </c>
      <c r="AD46" s="16">
        <f>SUM(CU46:CW46)</f>
        <v>-2729454.7034360068</v>
      </c>
      <c r="AE46" s="16">
        <f>SUM(CX46:CZ46)</f>
        <v>-4514716.3732379684</v>
      </c>
      <c r="AF46" s="16">
        <f>SUM(DA46:DC46)</f>
        <v>-4209388.2847354691</v>
      </c>
      <c r="AG46" s="16">
        <f>SUM(DD46:DF46)</f>
        <v>-7992329.5249309577</v>
      </c>
      <c r="AH46" s="16">
        <f>SUM(DG46:DI46)</f>
        <v>-4860891.9904100578</v>
      </c>
      <c r="AI46" s="16">
        <f>SUM(DJ46:DL46)</f>
        <v>-7695476.0573426764</v>
      </c>
      <c r="AJ46" s="16">
        <f>SUM(DM46:DO46)</f>
        <v>-6640209.0548555609</v>
      </c>
      <c r="AK46" s="16">
        <f>SUM(DP46:DR46)</f>
        <v>-11395978.804559723</v>
      </c>
      <c r="AL46" s="16">
        <f>SUM(DS46:DU46)</f>
        <v>-7262477.5085396795</v>
      </c>
      <c r="AM46" s="16">
        <f>SUM(DV46:DX46)</f>
        <v>-11062385.267232828</v>
      </c>
      <c r="AN46" s="16">
        <f>SUM(DY46:EA46)</f>
        <v>-9151139.1195615437</v>
      </c>
      <c r="AO46" s="16">
        <f>SUM(EB46:ED46)</f>
        <v>-15599902.450394683</v>
      </c>
      <c r="AP46" s="16">
        <f>SUM(EE46:EG46)</f>
        <v>-9065146.6548579223</v>
      </c>
      <c r="AQ46" s="16">
        <f>SUM(EH46:EJ46)</f>
        <v>-14480015.210995654</v>
      </c>
      <c r="AR46" s="16">
        <f>SUM(EK46:EM46)</f>
        <v>-11756489.450564075</v>
      </c>
      <c r="AS46" s="16">
        <f>SUM(EN46:EP46)</f>
        <v>-20945977.197001293</v>
      </c>
      <c r="AT46" s="16">
        <f>SUM(EQ46:ES46)</f>
        <v>-11276149.316138564</v>
      </c>
      <c r="AU46" s="16">
        <f>SUM(ET46:EV46)</f>
        <v>-19087416.866927426</v>
      </c>
      <c r="AV46" s="16">
        <f>SUM(EW46:EY46)</f>
        <v>-15573597.477525864</v>
      </c>
      <c r="AW46" s="16">
        <f>SUM(EZ46:FB46)</f>
        <v>-28821653.864037976</v>
      </c>
      <c r="AX46" s="2"/>
      <c r="AY46" s="16">
        <f>Expenses!AY23</f>
        <v>0</v>
      </c>
      <c r="AZ46" s="16">
        <f>Expenses!AZ23</f>
        <v>0</v>
      </c>
      <c r="BA46" s="16">
        <f>Expenses!BA23</f>
        <v>0</v>
      </c>
      <c r="BB46" s="16">
        <f>Expenses!BB23</f>
        <v>0</v>
      </c>
      <c r="BC46" s="16">
        <f>Expenses!BC23</f>
        <v>0</v>
      </c>
      <c r="BD46" s="16">
        <f>Expenses!BD23</f>
        <v>0</v>
      </c>
      <c r="BE46" s="16">
        <f>Expenses!BE23</f>
        <v>0</v>
      </c>
      <c r="BF46" s="16">
        <f>Expenses!BF23</f>
        <v>0</v>
      </c>
      <c r="BG46" s="16">
        <f>Expenses!BG23</f>
        <v>0</v>
      </c>
      <c r="BH46" s="16">
        <f>Expenses!BH23</f>
        <v>0</v>
      </c>
      <c r="BI46" s="16">
        <f>Expenses!BI23</f>
        <v>0</v>
      </c>
      <c r="BJ46" s="16">
        <f>Expenses!BJ23</f>
        <v>0</v>
      </c>
      <c r="BK46" s="16">
        <f>Expenses!BK23</f>
        <v>-251585.79179399976</v>
      </c>
      <c r="BL46" s="16">
        <f>Expenses!BL23</f>
        <v>-251585.79179399976</v>
      </c>
      <c r="BM46" s="16">
        <f>Expenses!BM23</f>
        <v>-251585.79179399976</v>
      </c>
      <c r="BN46" s="16">
        <f>Expenses!BN23</f>
        <v>-421371.62341466657</v>
      </c>
      <c r="BO46" s="16">
        <f>Expenses!BO23</f>
        <v>-421371.62341466657</v>
      </c>
      <c r="BP46" s="16">
        <f>Expenses!BP23</f>
        <v>-421371.62341466657</v>
      </c>
      <c r="BQ46" s="16">
        <f>Expenses!BQ23</f>
        <v>-225323.66666666666</v>
      </c>
      <c r="BR46" s="16">
        <f>Expenses!BR23</f>
        <v>-225323.66666666666</v>
      </c>
      <c r="BS46" s="16">
        <f>Expenses!BS23</f>
        <v>-225323.66666666666</v>
      </c>
      <c r="BT46" s="16">
        <f>Expenses!BT23</f>
        <v>-399037.13994166674</v>
      </c>
      <c r="BU46" s="16">
        <f>Expenses!BU23</f>
        <v>-399037.13994166674</v>
      </c>
      <c r="BV46" s="16">
        <f>Expenses!BV23</f>
        <v>-399037.13994166674</v>
      </c>
      <c r="BW46" s="16">
        <f>Expenses!BW23</f>
        <v>-120417.20999999998</v>
      </c>
      <c r="BX46" s="16">
        <f>Expenses!BX23</f>
        <v>-120417.20999999998</v>
      </c>
      <c r="BY46" s="16">
        <f>Expenses!BY23</f>
        <v>-120417.20999999998</v>
      </c>
      <c r="BZ46" s="16">
        <f>Expenses!BZ23</f>
        <v>-312854.66666666669</v>
      </c>
      <c r="CA46" s="16">
        <f>Expenses!CA23</f>
        <v>-312854.66666666669</v>
      </c>
      <c r="CB46" s="16">
        <f>Expenses!CB23</f>
        <v>-312854.66666666669</v>
      </c>
      <c r="CC46" s="16">
        <f>Expenses!CC23</f>
        <v>-219765.00000000038</v>
      </c>
      <c r="CD46" s="16">
        <f>Expenses!CD23</f>
        <v>-219765.00000000038</v>
      </c>
      <c r="CE46" s="16">
        <f>Expenses!CE23</f>
        <v>-219765.00000000038</v>
      </c>
      <c r="CF46" s="16">
        <f>Expenses!CF23</f>
        <v>-384072.1602406702</v>
      </c>
      <c r="CG46" s="16">
        <f>Expenses!CG23</f>
        <v>-384072.1602406702</v>
      </c>
      <c r="CH46" s="16">
        <f>Expenses!CH23</f>
        <v>-384072.1602406702</v>
      </c>
      <c r="CI46" s="16">
        <f>Expenses!CI23</f>
        <v>-290242.06036759261</v>
      </c>
      <c r="CJ46" s="16">
        <f>Expenses!CJ23</f>
        <v>-290242.06036759261</v>
      </c>
      <c r="CK46" s="16">
        <f>Expenses!CK23</f>
        <v>-290242.06036759261</v>
      </c>
      <c r="CL46" s="16">
        <f>Expenses!CL23</f>
        <v>-780734.13863130799</v>
      </c>
      <c r="CM46" s="16">
        <f>Expenses!CM23</f>
        <v>-780734.13863130799</v>
      </c>
      <c r="CN46" s="16">
        <f>Expenses!CN23</f>
        <v>-780734.13863130799</v>
      </c>
      <c r="CO46" s="16">
        <f>Expenses!CO23</f>
        <v>-1063724.5116936069</v>
      </c>
      <c r="CP46" s="16">
        <f>Expenses!CP23</f>
        <v>-1063724.5116936069</v>
      </c>
      <c r="CQ46" s="16">
        <f>Expenses!CQ23</f>
        <v>-1063724.5116936069</v>
      </c>
      <c r="CR46" s="16">
        <f>Expenses!CR23</f>
        <v>-1299444.0254004376</v>
      </c>
      <c r="CS46" s="16">
        <f>Expenses!CS23</f>
        <v>-1299444.0254004376</v>
      </c>
      <c r="CT46" s="16">
        <f>Expenses!CT23</f>
        <v>-1299444.0254004376</v>
      </c>
      <c r="CU46" s="55">
        <f>Expenses!CU23</f>
        <v>250335.56937440927</v>
      </c>
      <c r="CV46" s="16">
        <f>Expenses!CV23</f>
        <v>-661812.16351316939</v>
      </c>
      <c r="CW46" s="16">
        <f>Expenses!CW23</f>
        <v>-2317978.1092972467</v>
      </c>
      <c r="CX46" s="16">
        <f>Expenses!CX23</f>
        <v>-280358.57750950125</v>
      </c>
      <c r="CY46" s="16">
        <f>Expenses!CY23</f>
        <v>-1565376.7768530878</v>
      </c>
      <c r="CZ46" s="16">
        <f>Expenses!CZ23</f>
        <v>-2668981.0188753791</v>
      </c>
      <c r="DA46" s="16">
        <f>Expenses!DA23</f>
        <v>-169671.79810651066</v>
      </c>
      <c r="DB46" s="16">
        <f>Expenses!DB23</f>
        <v>-1159795.8454126893</v>
      </c>
      <c r="DC46" s="16">
        <f>Expenses!DC23</f>
        <v>-2879920.6412162688</v>
      </c>
      <c r="DD46" s="16">
        <f>Expenses!DD23</f>
        <v>-537726.84300294262</v>
      </c>
      <c r="DE46" s="16">
        <f>Expenses!DE23</f>
        <v>-3404838.6045822487</v>
      </c>
      <c r="DF46" s="16">
        <f>Expenses!DF23</f>
        <v>-4049764.0773457666</v>
      </c>
      <c r="DG46" s="16">
        <f>Expenses!DG23</f>
        <v>79993.637137989048</v>
      </c>
      <c r="DH46" s="16">
        <f>Expenses!DH23</f>
        <v>-1261675.006731329</v>
      </c>
      <c r="DI46" s="16">
        <f>Expenses!DI23</f>
        <v>-3679210.6208167179</v>
      </c>
      <c r="DJ46" s="16">
        <f>Expenses!DJ23</f>
        <v>-776799.56878863461</v>
      </c>
      <c r="DK46" s="16">
        <f>Expenses!DK23</f>
        <v>-2644905.8152541774</v>
      </c>
      <c r="DL46" s="16">
        <f>Expenses!DL23</f>
        <v>-4273770.6732998639</v>
      </c>
      <c r="DM46" s="16">
        <f>Expenses!DM23</f>
        <v>-385870.78124917857</v>
      </c>
      <c r="DN46" s="16">
        <f>Expenses!DN23</f>
        <v>-1863481.0932229976</v>
      </c>
      <c r="DO46" s="16">
        <f>Expenses!DO23</f>
        <v>-4390857.1803833842</v>
      </c>
      <c r="DP46" s="16">
        <f>Expenses!DP23</f>
        <v>-663408.49490151624</v>
      </c>
      <c r="DQ46" s="16">
        <f>Expenses!DQ23</f>
        <v>-4891090.5018382324</v>
      </c>
      <c r="DR46" s="16">
        <f>Expenses!DR23</f>
        <v>-5841479.8078199746</v>
      </c>
      <c r="DS46" s="16">
        <f>Expenses!DS23</f>
        <v>14602.395209414419</v>
      </c>
      <c r="DT46" s="16">
        <f>Expenses!DT23</f>
        <v>-1904860.7010049189</v>
      </c>
      <c r="DU46" s="16">
        <f>Expenses!DU23</f>
        <v>-5372219.2027441747</v>
      </c>
      <c r="DV46" s="16">
        <f>Expenses!DV23</f>
        <v>-1137595.9620714665</v>
      </c>
      <c r="DW46" s="16">
        <f>Expenses!DW23</f>
        <v>-3816429.4031671113</v>
      </c>
      <c r="DX46" s="16">
        <f>Expenses!DX23</f>
        <v>-6108359.9019942489</v>
      </c>
      <c r="DY46" s="16">
        <f>Expenses!DY23</f>
        <v>-454596.03059601225</v>
      </c>
      <c r="DZ46" s="16">
        <f>Expenses!DZ23</f>
        <v>-2545026.3015280203</v>
      </c>
      <c r="EA46" s="16">
        <f>Expenses!EA23</f>
        <v>-6151516.7874375116</v>
      </c>
      <c r="EB46" s="16">
        <f>Expenses!EB23</f>
        <v>-722120.03912580805</v>
      </c>
      <c r="EC46" s="16">
        <f>Expenses!EC23</f>
        <v>-6791420.0329514835</v>
      </c>
      <c r="ED46" s="16">
        <f>Expenses!ED23</f>
        <v>-8086362.3783173906</v>
      </c>
      <c r="EE46" s="16">
        <f>Expenses!EE23</f>
        <v>448769.67811045609</v>
      </c>
      <c r="EF46" s="16">
        <f>Expenses!EF23</f>
        <v>-2286465.2339949701</v>
      </c>
      <c r="EG46" s="16">
        <f>Expenses!EG23</f>
        <v>-7227451.0989734093</v>
      </c>
      <c r="EH46" s="16">
        <f>Expenses!EH23</f>
        <v>-1193112.9810147984</v>
      </c>
      <c r="EI46" s="16">
        <f>Expenses!EI23</f>
        <v>-5010450.6345760925</v>
      </c>
      <c r="EJ46" s="16">
        <f>Expenses!EJ23</f>
        <v>-8276451.5954047628</v>
      </c>
      <c r="EK46" s="16">
        <f>Expenses!EK23</f>
        <v>-219838.0786622758</v>
      </c>
      <c r="EL46" s="16">
        <f>Expenses!EL23</f>
        <v>-3198701.2147403881</v>
      </c>
      <c r="EM46" s="16">
        <f>Expenses!EM23</f>
        <v>-8337950.1571614118</v>
      </c>
      <c r="EN46" s="16">
        <f>Expenses!EN23</f>
        <v>-601059.7908172328</v>
      </c>
      <c r="EO46" s="16">
        <f>Expenses!EO23</f>
        <v>-9249812.2820188217</v>
      </c>
      <c r="EP46" s="16">
        <f>Expenses!EP23</f>
        <v>-11095105.124165241</v>
      </c>
      <c r="EQ46" s="16">
        <f>Expenses!EQ23</f>
        <v>1120647.7415236137</v>
      </c>
      <c r="ER46" s="16">
        <f>Expenses!ER23</f>
        <v>-2722846.8956385264</v>
      </c>
      <c r="ES46" s="16">
        <f>Expenses!ES23</f>
        <v>-9673950.1620236505</v>
      </c>
      <c r="ET46" s="16">
        <f>Expenses!ET23</f>
        <v>-1242296.0333157806</v>
      </c>
      <c r="EU46" s="16">
        <f>Expenses!EU23</f>
        <v>-6613191.1799662635</v>
      </c>
      <c r="EV46" s="16">
        <f>Expenses!EV23</f>
        <v>-11231929.653645383</v>
      </c>
      <c r="EW46" s="16">
        <f>Expenses!EW23</f>
        <v>30981.998294092715</v>
      </c>
      <c r="EX46" s="16">
        <f>Expenses!EX23</f>
        <v>-4177570.0257152626</v>
      </c>
      <c r="EY46" s="16">
        <f>Expenses!EY23</f>
        <v>-11427009.450104695</v>
      </c>
      <c r="EZ46" s="16">
        <f>Expenses!EZ23</f>
        <v>-610090.94334784709</v>
      </c>
      <c r="FA46" s="16">
        <f>Expenses!FA23</f>
        <v>-12777256.45553007</v>
      </c>
      <c r="FB46" s="16">
        <f>Expenses!FB23</f>
        <v>-15434306.465160059</v>
      </c>
    </row>
    <row r="47" spans="3:158" x14ac:dyDescent="0.25">
      <c r="D47" s="16"/>
      <c r="E47" s="16"/>
      <c r="F47" s="16"/>
      <c r="G47" s="16"/>
      <c r="H47" s="16"/>
      <c r="I47" s="55"/>
      <c r="J47" s="55"/>
      <c r="K47" s="55"/>
      <c r="L47" s="55"/>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Y47" s="16"/>
      <c r="AZ47" s="16"/>
      <c r="BA47" s="16"/>
      <c r="BB47" s="16"/>
      <c r="BC47" s="16"/>
      <c r="BD47" s="16"/>
      <c r="BE47" s="16"/>
      <c r="BF47" s="16"/>
      <c r="BG47" s="16"/>
      <c r="BH47" s="16"/>
      <c r="BI47" s="16"/>
      <c r="BJ47" s="16"/>
      <c r="BK47" s="16"/>
      <c r="BL47" s="16"/>
      <c r="BM47" s="16"/>
      <c r="BN47" s="16"/>
      <c r="BO47" s="16"/>
      <c r="BP47" s="16"/>
      <c r="BQ47" s="16"/>
      <c r="BR47" s="16"/>
      <c r="BS47" s="16"/>
      <c r="BT47" s="16"/>
      <c r="BU47" s="16"/>
      <c r="BV47" s="16"/>
      <c r="BW47" s="16"/>
      <c r="BX47" s="16"/>
      <c r="BY47" s="16"/>
      <c r="BZ47" s="16"/>
      <c r="CA47" s="16"/>
      <c r="CB47" s="16"/>
      <c r="CC47" s="16"/>
      <c r="CD47" s="16"/>
      <c r="CE47" s="16"/>
      <c r="CF47" s="16"/>
      <c r="CG47" s="16"/>
      <c r="CH47" s="16"/>
      <c r="CI47" s="16"/>
      <c r="CJ47" s="16"/>
      <c r="CK47" s="16"/>
      <c r="CL47" s="16"/>
      <c r="CM47" s="16"/>
      <c r="CN47" s="16"/>
      <c r="CO47" s="16"/>
      <c r="CP47" s="16"/>
      <c r="CQ47" s="16"/>
      <c r="CR47" s="16"/>
      <c r="CS47" s="16"/>
      <c r="CT47" s="16"/>
      <c r="CU47" s="16"/>
      <c r="CV47" s="16"/>
      <c r="CW47" s="16"/>
      <c r="CX47" s="16"/>
      <c r="CY47" s="16"/>
      <c r="CZ47" s="16"/>
      <c r="DA47" s="16"/>
      <c r="DB47" s="16"/>
      <c r="DC47" s="16"/>
      <c r="DD47" s="16"/>
      <c r="DE47" s="16"/>
      <c r="DF47" s="16"/>
      <c r="DG47" s="16"/>
      <c r="DH47" s="16"/>
      <c r="DI47" s="16"/>
      <c r="DJ47" s="16"/>
      <c r="DK47" s="16"/>
      <c r="DL47" s="16"/>
      <c r="DM47" s="16"/>
      <c r="DN47" s="16"/>
      <c r="DO47" s="16"/>
      <c r="DP47" s="16"/>
      <c r="DQ47" s="16"/>
      <c r="DR47" s="16"/>
      <c r="DS47" s="16"/>
      <c r="DT47" s="16"/>
      <c r="DU47" s="16"/>
      <c r="DV47" s="16"/>
      <c r="DW47" s="16"/>
      <c r="DX47" s="16"/>
      <c r="DY47" s="16"/>
      <c r="DZ47" s="16"/>
      <c r="EA47" s="16"/>
      <c r="EB47" s="16"/>
      <c r="EC47" s="16"/>
      <c r="ED47" s="16"/>
      <c r="EE47" s="16"/>
      <c r="EF47" s="16"/>
      <c r="EG47" s="16"/>
      <c r="EH47" s="16"/>
      <c r="EI47" s="16"/>
      <c r="EJ47" s="16"/>
      <c r="EK47" s="16"/>
      <c r="EL47" s="16"/>
      <c r="EM47" s="16"/>
      <c r="EN47" s="16"/>
      <c r="EO47" s="16"/>
      <c r="EP47" s="16"/>
      <c r="EQ47" s="16"/>
      <c r="ER47" s="16"/>
      <c r="ES47" s="16"/>
      <c r="ET47" s="16"/>
      <c r="EU47" s="16"/>
      <c r="EV47" s="16"/>
      <c r="EW47" s="16"/>
      <c r="EX47" s="16"/>
      <c r="EY47" s="16"/>
      <c r="EZ47" s="16"/>
      <c r="FA47" s="16"/>
      <c r="FB47" s="16"/>
    </row>
    <row r="48" spans="3:158" s="1" customFormat="1" ht="15.75" thickBot="1" x14ac:dyDescent="0.3">
      <c r="C48" s="1" t="s">
        <v>16</v>
      </c>
      <c r="D48" s="23">
        <f t="shared" ref="D48:L48" si="279">D28-D33-D42</f>
        <v>-29851948.809999999</v>
      </c>
      <c r="E48" s="23">
        <f t="shared" si="279"/>
        <v>-39648971.054548994</v>
      </c>
      <c r="F48" s="23">
        <f t="shared" si="279"/>
        <v>-35585316.229277983</v>
      </c>
      <c r="G48" s="23">
        <f t="shared" si="279"/>
        <v>-73220617.403975531</v>
      </c>
      <c r="H48" s="23">
        <f t="shared" si="279"/>
        <v>-76838506.793641627</v>
      </c>
      <c r="I48" s="57">
        <f t="shared" si="279"/>
        <v>-78639969.881306201</v>
      </c>
      <c r="J48" s="57">
        <f t="shared" si="279"/>
        <v>-62919045.255775988</v>
      </c>
      <c r="K48" s="57">
        <f t="shared" si="279"/>
        <v>-21469037.282671213</v>
      </c>
      <c r="L48" s="57">
        <f t="shared" si="279"/>
        <v>19372696.51553762</v>
      </c>
      <c r="N48" s="23">
        <f t="shared" ref="N48" si="280">SUM(AY48:BA48)</f>
        <v>-6272351.4499999993</v>
      </c>
      <c r="O48" s="23">
        <f>SUM(BB48:BD48)</f>
        <v>-6059394.1100000003</v>
      </c>
      <c r="P48" s="23">
        <f>SUM(BE48:BG48)</f>
        <v>-8086152.0499999998</v>
      </c>
      <c r="Q48" s="23">
        <f>SUM(BH48:BJ48)</f>
        <v>-9434051.1999999993</v>
      </c>
      <c r="R48" s="23">
        <f>SUM(BK48:BM48)</f>
        <v>-9627891.7746179961</v>
      </c>
      <c r="S48" s="23">
        <f>SUM(BN48:BP48)</f>
        <v>-9767758.6297559999</v>
      </c>
      <c r="T48" s="23">
        <f>SUM(BQ48:BS48)</f>
        <v>-10661141.879999999</v>
      </c>
      <c r="U48" s="23">
        <f>SUM(BT48:BV48)</f>
        <v>-9592178.7701750025</v>
      </c>
      <c r="V48" s="23">
        <f>SUM(BW48:BY48)</f>
        <v>-10351210.839999998</v>
      </c>
      <c r="W48" s="23">
        <f>SUM(BZ48:CB48)</f>
        <v>-8497837.5299999993</v>
      </c>
      <c r="X48" s="23">
        <f>SUM(CC48:CE48)</f>
        <v>-8132840.8100000024</v>
      </c>
      <c r="Y48" s="23">
        <f>SUM(CF48:CH48)</f>
        <v>-8603427.0492779873</v>
      </c>
      <c r="Z48" s="23">
        <f>SUM(CI48:CK48)</f>
        <v>-13070546.927785221</v>
      </c>
      <c r="AA48" s="23">
        <f>SUM(CL48:CN48)</f>
        <v>-17715701.364922941</v>
      </c>
      <c r="AB48" s="23">
        <f>SUM(CO48:CQ48)</f>
        <v>-20464231.862110764</v>
      </c>
      <c r="AC48" s="23">
        <f>SUM(CR48:CT48)</f>
        <v>-21970137.249156594</v>
      </c>
      <c r="AD48" s="23">
        <f>SUM(CU48:CW48)</f>
        <v>-23060467.917583562</v>
      </c>
      <c r="AE48" s="23">
        <f>SUM(CX48:CZ48)</f>
        <v>-19024344.913929481</v>
      </c>
      <c r="AF48" s="23">
        <f>SUM(DA48:DC48)</f>
        <v>-20142011.873233214</v>
      </c>
      <c r="AG48" s="23">
        <f>SUM(DD48:DF48)</f>
        <v>-14611682.088895429</v>
      </c>
      <c r="AH48" s="23">
        <f>SUM(DG48:DI48)</f>
        <v>-21599624.845258955</v>
      </c>
      <c r="AI48" s="23">
        <f>SUM(DJ48:DL48)</f>
        <v>-17513113.141119182</v>
      </c>
      <c r="AJ48" s="23">
        <f>SUM(DM48:DO48)</f>
        <v>-22040701.329604037</v>
      </c>
      <c r="AK48" s="23">
        <f>SUM(DP48:DR48)</f>
        <v>-17486530.565324102</v>
      </c>
      <c r="AL48" s="23">
        <f>SUM(DS48:DU48)</f>
        <v>-25155688.277381267</v>
      </c>
      <c r="AM48" s="23">
        <f>SUM(DV48:DX48)</f>
        <v>-14700085.759654481</v>
      </c>
      <c r="AN48" s="23">
        <f>SUM(DY48:EA48)</f>
        <v>-17207476.178943366</v>
      </c>
      <c r="AO48" s="23">
        <f>SUM(EB48:ED48)</f>
        <v>-5855795.0397968404</v>
      </c>
      <c r="AP48" s="23">
        <f>SUM(EE48:EG48)</f>
        <v>-16628228.018832613</v>
      </c>
      <c r="AQ48" s="23">
        <f>SUM(EH48:EJ48)</f>
        <v>-3722812.4876226448</v>
      </c>
      <c r="AR48" s="23">
        <f>SUM(EK48:EM48)</f>
        <v>-7943019.4071860015</v>
      </c>
      <c r="AS48" s="23">
        <f>SUM(EN48:EP48)</f>
        <v>6825022.6309700161</v>
      </c>
      <c r="AT48" s="23">
        <f>SUM(EQ48:ES48)</f>
        <v>-10411768.309501417</v>
      </c>
      <c r="AU48" s="23">
        <f>SUM(ET48:EV48)</f>
        <v>6500710.937343508</v>
      </c>
      <c r="AV48" s="23">
        <f>SUM(EW48:EY48)</f>
        <v>1345655.3413762823</v>
      </c>
      <c r="AW48" s="23">
        <f>SUM(EZ48:FB48)</f>
        <v>21938098.546319224</v>
      </c>
      <c r="AY48" s="23">
        <f>AY28-AY33-AY42</f>
        <v>-1805889.65</v>
      </c>
      <c r="AZ48" s="23">
        <f t="shared" ref="AZ48:BT48" si="281">AZ28-AZ33-AZ42</f>
        <v>-2152170.04</v>
      </c>
      <c r="BA48" s="23">
        <f t="shared" si="281"/>
        <v>-2314291.7599999998</v>
      </c>
      <c r="BB48" s="23">
        <f t="shared" si="281"/>
        <v>-1649665.2100000004</v>
      </c>
      <c r="BC48" s="23">
        <f t="shared" si="281"/>
        <v>-2069992.2600000002</v>
      </c>
      <c r="BD48" s="23">
        <f t="shared" si="281"/>
        <v>-2339736.6399999997</v>
      </c>
      <c r="BE48" s="23">
        <f t="shared" si="281"/>
        <v>-2235522.1499999994</v>
      </c>
      <c r="BF48" s="23">
        <f t="shared" si="281"/>
        <v>-2572424.27</v>
      </c>
      <c r="BG48" s="23">
        <f t="shared" si="281"/>
        <v>-3278205.63</v>
      </c>
      <c r="BH48" s="23">
        <f t="shared" si="281"/>
        <v>-2457873.9699999997</v>
      </c>
      <c r="BI48" s="23">
        <f t="shared" si="281"/>
        <v>-2708019.33</v>
      </c>
      <c r="BJ48" s="23">
        <f t="shared" si="281"/>
        <v>-4268157.8999999994</v>
      </c>
      <c r="BK48" s="23">
        <f t="shared" si="281"/>
        <v>-3136154.3082059994</v>
      </c>
      <c r="BL48" s="23">
        <f t="shared" si="281"/>
        <v>-2857727.5582059985</v>
      </c>
      <c r="BM48" s="23">
        <f t="shared" si="281"/>
        <v>-3634009.9082059991</v>
      </c>
      <c r="BN48" s="23">
        <f t="shared" si="281"/>
        <v>-3335772.9665853335</v>
      </c>
      <c r="BO48" s="23">
        <f t="shared" si="281"/>
        <v>-3238126.4365853337</v>
      </c>
      <c r="BP48" s="23">
        <f t="shared" si="281"/>
        <v>-3193859.2265853332</v>
      </c>
      <c r="BQ48" s="23">
        <f t="shared" si="281"/>
        <v>-3148941.7833333332</v>
      </c>
      <c r="BR48" s="23">
        <f t="shared" si="281"/>
        <v>-3433154.2633333327</v>
      </c>
      <c r="BS48" s="23">
        <f t="shared" si="281"/>
        <v>-4079045.8333333326</v>
      </c>
      <c r="BT48" s="23">
        <f t="shared" si="281"/>
        <v>-2625561.5900583328</v>
      </c>
      <c r="BU48" s="23">
        <f t="shared" ref="BU48:DR48" si="282">BU28-BU33-BU42</f>
        <v>-3308399.7100583338</v>
      </c>
      <c r="BV48" s="23">
        <f t="shared" si="282"/>
        <v>-3658217.470058335</v>
      </c>
      <c r="BW48" s="23">
        <f t="shared" si="282"/>
        <v>-4019680.6999999997</v>
      </c>
      <c r="BX48" s="23">
        <f t="shared" si="282"/>
        <v>-2843529.5199999996</v>
      </c>
      <c r="BY48" s="23">
        <f t="shared" si="282"/>
        <v>-3488000.6199999992</v>
      </c>
      <c r="BZ48" s="23">
        <f t="shared" si="282"/>
        <v>-2541841.7733333325</v>
      </c>
      <c r="CA48" s="23">
        <f t="shared" si="282"/>
        <v>-2144597.7333333334</v>
      </c>
      <c r="CB48" s="23">
        <f t="shared" si="282"/>
        <v>-3811398.023333333</v>
      </c>
      <c r="CC48" s="23">
        <f t="shared" si="282"/>
        <v>-2210673.67</v>
      </c>
      <c r="CD48" s="23">
        <f t="shared" si="282"/>
        <v>-2883082.08</v>
      </c>
      <c r="CE48" s="23">
        <f t="shared" si="282"/>
        <v>-3039085.0600000019</v>
      </c>
      <c r="CF48" s="23">
        <f t="shared" si="282"/>
        <v>-2106905.3597593289</v>
      </c>
      <c r="CG48" s="23">
        <f t="shared" si="282"/>
        <v>-2431177.689759329</v>
      </c>
      <c r="CH48" s="23">
        <f t="shared" si="282"/>
        <v>-4065343.9997593299</v>
      </c>
      <c r="CI48" s="23">
        <f t="shared" si="282"/>
        <v>-3443463.9285204066</v>
      </c>
      <c r="CJ48" s="23">
        <f t="shared" si="282"/>
        <v>-3458623.7896324061</v>
      </c>
      <c r="CK48" s="23">
        <f t="shared" si="282"/>
        <v>-6168459.2096324079</v>
      </c>
      <c r="CL48" s="23">
        <f t="shared" si="282"/>
        <v>-4506796.591368692</v>
      </c>
      <c r="CM48" s="23">
        <f t="shared" si="282"/>
        <v>-6328387.3012842163</v>
      </c>
      <c r="CN48" s="23">
        <f t="shared" si="282"/>
        <v>-6880517.4722700324</v>
      </c>
      <c r="CO48" s="23">
        <f t="shared" si="282"/>
        <v>-5371610.8052283218</v>
      </c>
      <c r="CP48" s="23">
        <f t="shared" si="282"/>
        <v>-6621435.4145915126</v>
      </c>
      <c r="CQ48" s="23">
        <f t="shared" si="282"/>
        <v>-8471185.6422909275</v>
      </c>
      <c r="CR48" s="23">
        <f t="shared" si="282"/>
        <v>-5638397.4616831709</v>
      </c>
      <c r="CS48" s="23">
        <f t="shared" si="282"/>
        <v>-7115290.797922642</v>
      </c>
      <c r="CT48" s="23">
        <f t="shared" si="282"/>
        <v>-9216448.9895507786</v>
      </c>
      <c r="CU48" s="23">
        <f t="shared" ref="CU48:DF48" si="283">CU28-CU33-CU42</f>
        <v>-9526179.4258316979</v>
      </c>
      <c r="CV48" s="23">
        <f t="shared" si="283"/>
        <v>-7975255.8397307228</v>
      </c>
      <c r="CW48" s="23">
        <f t="shared" si="283"/>
        <v>-5559032.6520211399</v>
      </c>
      <c r="CX48" s="23">
        <f t="shared" si="283"/>
        <v>-8146055.0523764826</v>
      </c>
      <c r="CY48" s="23">
        <f t="shared" si="283"/>
        <v>-6234636.9340055399</v>
      </c>
      <c r="CZ48" s="23">
        <f t="shared" si="283"/>
        <v>-4643652.9275474586</v>
      </c>
      <c r="DA48" s="23">
        <f t="shared" si="283"/>
        <v>-8267779.9748346396</v>
      </c>
      <c r="DB48" s="23">
        <f t="shared" si="283"/>
        <v>-7029573.0147252642</v>
      </c>
      <c r="DC48" s="23">
        <f t="shared" si="283"/>
        <v>-4844658.8836733084</v>
      </c>
      <c r="DD48" s="23">
        <f t="shared" si="283"/>
        <v>-7787488.0533096064</v>
      </c>
      <c r="DE48" s="23">
        <f t="shared" si="283"/>
        <v>-3583601.9978289176</v>
      </c>
      <c r="DF48" s="23">
        <f t="shared" si="283"/>
        <v>-3240592.037756905</v>
      </c>
      <c r="DG48" s="23">
        <f t="shared" si="282"/>
        <v>-9628582.804941915</v>
      </c>
      <c r="DH48" s="23">
        <f t="shared" si="282"/>
        <v>-7619124.2626851015</v>
      </c>
      <c r="DI48" s="23">
        <f t="shared" si="282"/>
        <v>-4351917.7776319385</v>
      </c>
      <c r="DJ48" s="23">
        <f t="shared" si="282"/>
        <v>-8271753.2292201072</v>
      </c>
      <c r="DK48" s="23">
        <f t="shared" si="282"/>
        <v>-5643089.4814399779</v>
      </c>
      <c r="DL48" s="23">
        <f t="shared" si="282"/>
        <v>-3598270.430459097</v>
      </c>
      <c r="DM48" s="23">
        <f t="shared" si="282"/>
        <v>-9306197.6255643442</v>
      </c>
      <c r="DN48" s="23">
        <f t="shared" si="282"/>
        <v>-7822147.5745372996</v>
      </c>
      <c r="DO48" s="23">
        <f t="shared" si="282"/>
        <v>-4912356.1295023933</v>
      </c>
      <c r="DP48" s="23">
        <f t="shared" si="282"/>
        <v>-9900012.6122659631</v>
      </c>
      <c r="DQ48" s="23">
        <f t="shared" si="282"/>
        <v>-3944267.6608746238</v>
      </c>
      <c r="DR48" s="23">
        <f t="shared" si="282"/>
        <v>-3642250.2921835147</v>
      </c>
      <c r="DS48" s="23">
        <f t="shared" ref="DS48:EQ48" si="284">DS28-DS33-DS42</f>
        <v>-12321824.372755948</v>
      </c>
      <c r="DT48" s="23">
        <f t="shared" si="284"/>
        <v>-8991655.4715783894</v>
      </c>
      <c r="DU48" s="23">
        <f t="shared" si="284"/>
        <v>-3842208.4330469295</v>
      </c>
      <c r="DV48" s="23">
        <f t="shared" si="284"/>
        <v>-9111181.8615316376</v>
      </c>
      <c r="DW48" s="23">
        <f t="shared" si="284"/>
        <v>-4688895.7807685323</v>
      </c>
      <c r="DX48" s="23">
        <f t="shared" si="284"/>
        <v>-900008.11735431105</v>
      </c>
      <c r="DY48" s="23">
        <f t="shared" si="284"/>
        <v>-9087421.66029118</v>
      </c>
      <c r="DZ48" s="23">
        <f t="shared" si="284"/>
        <v>-6445994.4395347685</v>
      </c>
      <c r="EA48" s="23">
        <f t="shared" si="284"/>
        <v>-1674060.0791174173</v>
      </c>
      <c r="EB48" s="23">
        <f t="shared" si="284"/>
        <v>-8365725.3281409219</v>
      </c>
      <c r="EC48" s="23">
        <f t="shared" si="284"/>
        <v>768375.5707968995</v>
      </c>
      <c r="ED48" s="23">
        <f t="shared" si="284"/>
        <v>1741554.717547182</v>
      </c>
      <c r="EE48" s="23">
        <f t="shared" si="284"/>
        <v>-10911535.021415528</v>
      </c>
      <c r="EF48" s="23">
        <f t="shared" si="284"/>
        <v>-6410502.8364155963</v>
      </c>
      <c r="EG48" s="23">
        <f t="shared" si="284"/>
        <v>693809.83899851143</v>
      </c>
      <c r="EH48" s="23">
        <f t="shared" si="284"/>
        <v>-7061254.5577546097</v>
      </c>
      <c r="EI48" s="23">
        <f t="shared" si="284"/>
        <v>-996380.41180279106</v>
      </c>
      <c r="EJ48" s="23">
        <f t="shared" si="284"/>
        <v>4334822.481934756</v>
      </c>
      <c r="EK48" s="23">
        <f t="shared" si="284"/>
        <v>-7243135.2399061769</v>
      </c>
      <c r="EL48" s="23">
        <f t="shared" si="284"/>
        <v>-3663939.1563405246</v>
      </c>
      <c r="EM48" s="23">
        <f t="shared" si="284"/>
        <v>2964054.9890606999</v>
      </c>
      <c r="EN48" s="23">
        <f t="shared" si="284"/>
        <v>-6756053.8349618465</v>
      </c>
      <c r="EO48" s="23">
        <f t="shared" si="284"/>
        <v>6127459.3989585117</v>
      </c>
      <c r="EP48" s="23">
        <f t="shared" si="284"/>
        <v>7453617.0669733509</v>
      </c>
      <c r="EQ48" s="23">
        <f t="shared" si="284"/>
        <v>-10695093.626397587</v>
      </c>
      <c r="ER48" s="23">
        <f t="shared" ref="ER48:FB48" si="285">ER28-ER33-ER42</f>
        <v>-4659247.0225409791</v>
      </c>
      <c r="ES48" s="23">
        <f t="shared" si="285"/>
        <v>4942572.3394371495</v>
      </c>
      <c r="ET48" s="23">
        <f t="shared" si="285"/>
        <v>-5740173.3217012882</v>
      </c>
      <c r="EU48" s="23">
        <f t="shared" si="285"/>
        <v>2453538.4696426317</v>
      </c>
      <c r="EV48" s="23">
        <f t="shared" si="285"/>
        <v>9787345.7894021645</v>
      </c>
      <c r="EW48" s="23">
        <f t="shared" si="285"/>
        <v>-5796015.5008161813</v>
      </c>
      <c r="EX48" s="23">
        <f t="shared" si="285"/>
        <v>-973053.44496633857</v>
      </c>
      <c r="EY48" s="23">
        <f t="shared" si="285"/>
        <v>8114724.2871588022</v>
      </c>
      <c r="EZ48" s="23">
        <f t="shared" si="285"/>
        <v>-5110639.1311405599</v>
      </c>
      <c r="FA48" s="23">
        <f t="shared" si="285"/>
        <v>12557295.243281297</v>
      </c>
      <c r="FB48" s="23">
        <f t="shared" si="285"/>
        <v>14491442.434178486</v>
      </c>
    </row>
    <row r="49" spans="3:158" ht="15.75" outlineLevel="1" thickTop="1" x14ac:dyDescent="0.25">
      <c r="C49" s="21" t="s">
        <v>51</v>
      </c>
      <c r="D49" s="20">
        <v>-1758913.6420974918</v>
      </c>
      <c r="E49" s="20">
        <v>-1587825.3900000006</v>
      </c>
      <c r="F49" s="20">
        <v>-283017.77400001884</v>
      </c>
      <c r="G49" s="20">
        <v>766308.96047018468</v>
      </c>
      <c r="H49" s="20"/>
      <c r="I49" s="50"/>
      <c r="J49" s="50"/>
      <c r="K49" s="50"/>
      <c r="L49" s="50"/>
      <c r="M49" s="21"/>
      <c r="N49" s="20"/>
      <c r="O49" s="20"/>
      <c r="P49" s="20"/>
      <c r="Q49" s="20"/>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c r="AS49" s="20"/>
      <c r="AT49" s="20"/>
      <c r="AU49" s="20"/>
      <c r="AV49" s="20"/>
      <c r="AW49" s="20"/>
      <c r="AX49" s="21"/>
      <c r="AY49" s="20">
        <v>29947.20999999973</v>
      </c>
      <c r="AZ49" s="20">
        <v>4677.5299999993294</v>
      </c>
      <c r="BA49" s="20">
        <v>7285.410000000149</v>
      </c>
      <c r="BB49" s="20">
        <v>15841.749999999534</v>
      </c>
      <c r="BC49" s="20">
        <v>34546.030000000261</v>
      </c>
      <c r="BD49" s="20">
        <v>34759.709999999963</v>
      </c>
      <c r="BE49" s="20">
        <v>35630.650000000373</v>
      </c>
      <c r="BF49" s="20">
        <v>105689.26000000024</v>
      </c>
      <c r="BG49" s="20">
        <v>94079.139999999665</v>
      </c>
      <c r="BH49" s="20">
        <v>106999.91000000061</v>
      </c>
      <c r="BI49" s="20">
        <v>106693.11999999918</v>
      </c>
      <c r="BJ49" s="20">
        <v>179.70000000111759</v>
      </c>
      <c r="BK49" s="20">
        <v>9.0221874415874481E-10</v>
      </c>
      <c r="BL49" s="20">
        <v>1.8335413187742233E-9</v>
      </c>
      <c r="BM49" s="20">
        <v>4.3655745685100555E-10</v>
      </c>
      <c r="BN49" s="20">
        <v>-1.1059455573558807E-9</v>
      </c>
      <c r="BO49" s="20">
        <v>-6.4028427004814148E-10</v>
      </c>
      <c r="BP49" s="20">
        <v>-6.4028427004814148E-10</v>
      </c>
      <c r="BQ49" s="20">
        <v>57389.660000000469</v>
      </c>
      <c r="BR49" s="20">
        <v>50816.080000001326</v>
      </c>
      <c r="BS49" s="20">
        <v>46831.690000001196</v>
      </c>
      <c r="BT49" s="20">
        <v>66542.949999999255</v>
      </c>
      <c r="BU49" s="20">
        <v>73333.609999999404</v>
      </c>
      <c r="BV49" s="20">
        <v>52773.729999998119</v>
      </c>
      <c r="BW49" s="20">
        <v>130372.93000000108</v>
      </c>
      <c r="BX49" s="20">
        <v>40805.399999999892</v>
      </c>
      <c r="BY49" s="20">
        <v>52362.169999999911</v>
      </c>
      <c r="BZ49" s="20">
        <v>32443.300000002433</v>
      </c>
      <c r="CA49" s="20">
        <v>41031.35000000085</v>
      </c>
      <c r="CB49" s="20">
        <v>16279.860000001092</v>
      </c>
      <c r="CC49" s="20">
        <v>16369.60000000018</v>
      </c>
      <c r="CD49" s="20">
        <v>8497.1199999969394</v>
      </c>
      <c r="CE49" s="20">
        <v>8067.1499999981315</v>
      </c>
      <c r="CF49" s="20">
        <v>2954.7700000009499</v>
      </c>
      <c r="CG49" s="20">
        <v>2504.3200000007637</v>
      </c>
      <c r="CH49" s="20">
        <v>2057.5299999993294</v>
      </c>
      <c r="CI49" s="20">
        <v>3.7252902984619141E-9</v>
      </c>
      <c r="CJ49" s="20">
        <v>-115.63000000081956</v>
      </c>
      <c r="CK49" s="20">
        <v>9.3132257461547852E-10</v>
      </c>
      <c r="CL49" s="20">
        <v>-1.3969838619232178E-9</v>
      </c>
      <c r="CM49" s="20">
        <v>-3.2596290111541748E-9</v>
      </c>
      <c r="CN49" s="20">
        <v>-1.3969838619232178E-9</v>
      </c>
      <c r="CO49" s="20">
        <v>-14923.556969998172</v>
      </c>
      <c r="CP49" s="20">
        <v>-18636.014999998501</v>
      </c>
      <c r="CQ49" s="20">
        <v>-27114.795000000624</v>
      </c>
      <c r="CR49" s="20">
        <v>-17582.381999997655</v>
      </c>
      <c r="CS49" s="20">
        <v>-21074.999429996358</v>
      </c>
      <c r="CT49" s="20">
        <v>-41255.198249997804</v>
      </c>
      <c r="CU49" s="20"/>
      <c r="CV49" s="20"/>
      <c r="CW49" s="20"/>
      <c r="CX49" s="20"/>
      <c r="CY49" s="20"/>
      <c r="CZ49" s="20"/>
      <c r="DA49" s="20"/>
      <c r="DB49" s="20"/>
      <c r="DC49" s="20"/>
      <c r="DD49" s="20"/>
      <c r="DE49" s="20"/>
      <c r="DF49" s="20"/>
      <c r="DG49" s="20"/>
      <c r="DH49" s="20"/>
      <c r="DI49" s="20"/>
      <c r="DJ49" s="20"/>
      <c r="DK49" s="20"/>
      <c r="DL49" s="20"/>
      <c r="DM49" s="20"/>
      <c r="DN49" s="20"/>
      <c r="DO49" s="20"/>
      <c r="DP49" s="20"/>
      <c r="DQ49" s="20"/>
      <c r="DR49" s="20"/>
      <c r="DS49" s="20"/>
      <c r="DT49" s="20"/>
      <c r="DU49" s="20"/>
      <c r="DV49" s="20"/>
      <c r="DW49" s="20"/>
      <c r="DX49" s="20"/>
      <c r="DY49" s="20"/>
      <c r="DZ49" s="20"/>
      <c r="EA49" s="20"/>
      <c r="EB49" s="20"/>
      <c r="EC49" s="20"/>
      <c r="ED49" s="20"/>
      <c r="EE49" s="20"/>
      <c r="EF49" s="20"/>
      <c r="EG49" s="20"/>
      <c r="EH49" s="20"/>
      <c r="EI49" s="20"/>
      <c r="EJ49" s="20"/>
      <c r="EK49" s="20"/>
      <c r="EL49" s="20"/>
      <c r="EM49" s="20"/>
      <c r="EN49" s="20"/>
      <c r="EO49" s="20"/>
      <c r="EP49" s="20"/>
      <c r="EQ49" s="20"/>
      <c r="ER49" s="20"/>
      <c r="ES49" s="20"/>
      <c r="ET49" s="20"/>
      <c r="EU49" s="20"/>
      <c r="EV49" s="20"/>
      <c r="EW49" s="20"/>
      <c r="EX49" s="20"/>
      <c r="EY49" s="20"/>
      <c r="EZ49" s="20"/>
      <c r="FA49" s="20"/>
      <c r="FB49" s="20"/>
    </row>
    <row r="50" spans="3:158" outlineLevel="1" x14ac:dyDescent="0.25"/>
    <row r="51" spans="3:158" outlineLevel="1" x14ac:dyDescent="0.25">
      <c r="C51" s="7" t="s">
        <v>25</v>
      </c>
    </row>
    <row r="52" spans="3:158" outlineLevel="1" x14ac:dyDescent="0.25">
      <c r="C52" s="2" t="s">
        <v>251</v>
      </c>
      <c r="D52" s="60">
        <f>AVERAGE(AY52:BJ52)</f>
        <v>7.7756890154017558E-2</v>
      </c>
      <c r="E52" s="60">
        <f>AVERAGE(BK52:BV52)</f>
        <v>7.8868761244446597E-2</v>
      </c>
      <c r="F52" s="60">
        <f>AVERAGE(BW52:CH52)</f>
        <v>7.9476745364247689E-2</v>
      </c>
      <c r="G52" s="60">
        <f>AVERAGE(CI52:CT52)</f>
        <v>7.8425733410540835E-2</v>
      </c>
      <c r="H52" s="62">
        <v>7.9000000000000001E-2</v>
      </c>
      <c r="I52" s="62">
        <v>7.9000000000000001E-2</v>
      </c>
      <c r="J52" s="62">
        <v>7.9000000000000001E-2</v>
      </c>
      <c r="K52" s="62">
        <v>7.9000000000000001E-2</v>
      </c>
      <c r="L52" s="62">
        <v>7.9000000000000001E-2</v>
      </c>
      <c r="M52" s="61"/>
      <c r="N52" s="60">
        <f t="shared" ref="N52:AW52" si="286">N29/N14</f>
        <v>0.20669701940237217</v>
      </c>
      <c r="O52" s="60">
        <f t="shared" si="286"/>
        <v>0.21711391183742387</v>
      </c>
      <c r="P52" s="60">
        <f t="shared" si="286"/>
        <v>0.21950512938441233</v>
      </c>
      <c r="Q52" s="60">
        <f t="shared" si="286"/>
        <v>0.2073500005732527</v>
      </c>
      <c r="R52" s="60">
        <f t="shared" si="286"/>
        <v>0.22011035641062146</v>
      </c>
      <c r="S52" s="60">
        <f t="shared" si="286"/>
        <v>0.21794069490261675</v>
      </c>
      <c r="T52" s="60">
        <f t="shared" si="286"/>
        <v>0.22755737404108287</v>
      </c>
      <c r="U52" s="60">
        <f t="shared" si="286"/>
        <v>0.22050182230464568</v>
      </c>
      <c r="V52" s="60">
        <f t="shared" si="286"/>
        <v>0.23517284218460988</v>
      </c>
      <c r="W52" s="60">
        <f t="shared" si="286"/>
        <v>0.22567647866525312</v>
      </c>
      <c r="X52" s="60">
        <f t="shared" si="286"/>
        <v>0.22715975014273632</v>
      </c>
      <c r="Y52" s="60">
        <f t="shared" si="286"/>
        <v>0.22416422407451037</v>
      </c>
      <c r="Z52" s="60">
        <f t="shared" si="286"/>
        <v>0.23176861464086829</v>
      </c>
      <c r="AA52" s="60">
        <f t="shared" si="286"/>
        <v>0.22444475233523528</v>
      </c>
      <c r="AB52" s="60">
        <f t="shared" si="286"/>
        <v>0.21877603315287666</v>
      </c>
      <c r="AC52" s="60">
        <f t="shared" si="286"/>
        <v>0.21125732177317993</v>
      </c>
      <c r="AD52" s="60">
        <f t="shared" si="286"/>
        <v>0.22692620634432153</v>
      </c>
      <c r="AE52" s="60">
        <f t="shared" si="286"/>
        <v>0.22583254134682104</v>
      </c>
      <c r="AF52" s="60">
        <f t="shared" si="286"/>
        <v>0.22647098485733275</v>
      </c>
      <c r="AG52" s="60">
        <f t="shared" si="286"/>
        <v>0.22380273293822006</v>
      </c>
      <c r="AH52" s="60">
        <f t="shared" si="286"/>
        <v>0.22723915728333363</v>
      </c>
      <c r="AI52" s="60">
        <f t="shared" si="286"/>
        <v>0.22595847117988305</v>
      </c>
      <c r="AJ52" s="60">
        <f t="shared" si="286"/>
        <v>0.22696428698278676</v>
      </c>
      <c r="AK52" s="60">
        <f t="shared" si="286"/>
        <v>0.22481800040557304</v>
      </c>
      <c r="AL52" s="60">
        <f t="shared" si="286"/>
        <v>0.22764687831684433</v>
      </c>
      <c r="AM52" s="60">
        <f t="shared" si="286"/>
        <v>0.2263718572168999</v>
      </c>
      <c r="AN52" s="60">
        <f t="shared" si="286"/>
        <v>0.22730666244496317</v>
      </c>
      <c r="AO52" s="60">
        <f t="shared" si="286"/>
        <v>0.22518814402699877</v>
      </c>
      <c r="AP52" s="60">
        <f t="shared" si="286"/>
        <v>0.22805157081634075</v>
      </c>
      <c r="AQ52" s="60">
        <f t="shared" si="286"/>
        <v>0.22678634364224876</v>
      </c>
      <c r="AR52" s="60">
        <f t="shared" si="286"/>
        <v>0.22765259372615132</v>
      </c>
      <c r="AS52" s="60">
        <f t="shared" si="286"/>
        <v>0.22556455695413113</v>
      </c>
      <c r="AT52" s="60">
        <f t="shared" si="286"/>
        <v>0.22845536339855282</v>
      </c>
      <c r="AU52" s="60">
        <f t="shared" si="286"/>
        <v>0.22720385903422149</v>
      </c>
      <c r="AV52" s="60">
        <f t="shared" si="286"/>
        <v>0.22800361189909518</v>
      </c>
      <c r="AW52" s="60">
        <f t="shared" si="286"/>
        <v>0.22594929893489174</v>
      </c>
      <c r="AX52" s="61"/>
      <c r="AY52" s="60">
        <f t="shared" ref="AY52:CT52" si="287">AY29/AY14</f>
        <v>7.9616785941721571E-2</v>
      </c>
      <c r="AZ52" s="60">
        <f t="shared" si="287"/>
        <v>7.78436585001471E-2</v>
      </c>
      <c r="BA52" s="60">
        <f t="shared" si="287"/>
        <v>7.3882786991105134E-2</v>
      </c>
      <c r="BB52" s="60">
        <f t="shared" si="287"/>
        <v>8.443419436738453E-2</v>
      </c>
      <c r="BC52" s="60">
        <f t="shared" si="287"/>
        <v>7.6902920007405506E-2</v>
      </c>
      <c r="BD52" s="60">
        <f t="shared" si="287"/>
        <v>7.6110072564272657E-2</v>
      </c>
      <c r="BE52" s="60">
        <f t="shared" si="287"/>
        <v>7.9781108894637437E-2</v>
      </c>
      <c r="BF52" s="60">
        <f t="shared" si="287"/>
        <v>7.8460124382781618E-2</v>
      </c>
      <c r="BG52" s="60">
        <f t="shared" si="287"/>
        <v>7.9334104148037307E-2</v>
      </c>
      <c r="BH52" s="60">
        <f t="shared" si="287"/>
        <v>7.9180452517730343E-2</v>
      </c>
      <c r="BI52" s="60">
        <f t="shared" si="287"/>
        <v>7.333611514812749E-2</v>
      </c>
      <c r="BJ52" s="60">
        <f t="shared" si="287"/>
        <v>7.4200358384859971E-2</v>
      </c>
      <c r="BK52" s="60">
        <f t="shared" si="287"/>
        <v>8.0148426631409572E-2</v>
      </c>
      <c r="BL52" s="60">
        <f t="shared" si="287"/>
        <v>7.911273925060483E-2</v>
      </c>
      <c r="BM52" s="60">
        <f t="shared" si="287"/>
        <v>7.7199819206122761E-2</v>
      </c>
      <c r="BN52" s="60">
        <f t="shared" si="287"/>
        <v>7.9091832033921144E-2</v>
      </c>
      <c r="BO52" s="60">
        <f t="shared" si="287"/>
        <v>7.7391202535208189E-2</v>
      </c>
      <c r="BP52" s="60">
        <f t="shared" si="287"/>
        <v>7.692485297756782E-2</v>
      </c>
      <c r="BQ52" s="60">
        <f t="shared" si="287"/>
        <v>7.9865067393744341E-2</v>
      </c>
      <c r="BR52" s="60">
        <f t="shared" si="287"/>
        <v>8.0494745099796997E-2</v>
      </c>
      <c r="BS52" s="60">
        <f t="shared" si="287"/>
        <v>7.9787526882356352E-2</v>
      </c>
      <c r="BT52" s="60">
        <f t="shared" si="287"/>
        <v>8.1252994766703474E-2</v>
      </c>
      <c r="BU52" s="60">
        <f t="shared" si="287"/>
        <v>7.9806437084886689E-2</v>
      </c>
      <c r="BV52" s="60">
        <f t="shared" si="287"/>
        <v>7.534949107103707E-2</v>
      </c>
      <c r="BW52" s="60">
        <f t="shared" si="287"/>
        <v>8.195950804078124E-2</v>
      </c>
      <c r="BX52" s="60">
        <f t="shared" si="287"/>
        <v>8.1047664924418963E-2</v>
      </c>
      <c r="BY52" s="60">
        <f t="shared" si="287"/>
        <v>7.9231663181834472E-2</v>
      </c>
      <c r="BZ52" s="60">
        <f t="shared" si="287"/>
        <v>8.0503167112211449E-2</v>
      </c>
      <c r="CA52" s="60">
        <f t="shared" si="287"/>
        <v>7.957065116936772E-2</v>
      </c>
      <c r="CB52" s="60">
        <f t="shared" si="287"/>
        <v>7.7181717199437158E-2</v>
      </c>
      <c r="CC52" s="60">
        <f t="shared" si="287"/>
        <v>7.9963896980848631E-2</v>
      </c>
      <c r="CD52" s="60">
        <f t="shared" si="287"/>
        <v>7.9638010672862386E-2</v>
      </c>
      <c r="CE52" s="60">
        <f t="shared" si="287"/>
        <v>7.8045623918166829E-2</v>
      </c>
      <c r="CF52" s="60">
        <f t="shared" si="287"/>
        <v>8.0803914719897743E-2</v>
      </c>
      <c r="CG52" s="60">
        <f t="shared" si="287"/>
        <v>7.9111997059422637E-2</v>
      </c>
      <c r="CH52" s="60">
        <f t="shared" si="287"/>
        <v>7.6663129391722984E-2</v>
      </c>
      <c r="CI52" s="60">
        <f t="shared" si="287"/>
        <v>8.0103843656075424E-2</v>
      </c>
      <c r="CJ52" s="60">
        <f t="shared" si="287"/>
        <v>8.1188522123143536E-2</v>
      </c>
      <c r="CK52" s="60">
        <f t="shared" si="287"/>
        <v>8.0229092261155474E-2</v>
      </c>
      <c r="CL52" s="60">
        <f t="shared" si="287"/>
        <v>8.0671817818727759E-2</v>
      </c>
      <c r="CM52" s="60">
        <f t="shared" si="287"/>
        <v>8.0146353964859182E-2</v>
      </c>
      <c r="CN52" s="60">
        <f t="shared" si="287"/>
        <v>7.7383210094578464E-2</v>
      </c>
      <c r="CO52" s="60">
        <f t="shared" si="287"/>
        <v>7.9121902084788351E-2</v>
      </c>
      <c r="CP52" s="60">
        <f t="shared" si="287"/>
        <v>7.8258599347562352E-2</v>
      </c>
      <c r="CQ52" s="60">
        <f t="shared" si="287"/>
        <v>7.5706311921737615E-2</v>
      </c>
      <c r="CR52" s="60">
        <f t="shared" si="287"/>
        <v>7.9347689664961002E-2</v>
      </c>
      <c r="CS52" s="60">
        <f t="shared" si="287"/>
        <v>7.5211967332069335E-2</v>
      </c>
      <c r="CT52" s="60">
        <f t="shared" si="287"/>
        <v>7.3739490656831636E-2</v>
      </c>
      <c r="CU52" s="85">
        <f t="shared" ref="CU52:DF53" si="288">INDEX($D52:$L52,1,MATCH(CU$2,$D$2:$L$2,0))</f>
        <v>7.9000000000000001E-2</v>
      </c>
      <c r="CV52" s="85">
        <f t="shared" si="288"/>
        <v>7.9000000000000001E-2</v>
      </c>
      <c r="CW52" s="85">
        <f t="shared" si="288"/>
        <v>7.9000000000000001E-2</v>
      </c>
      <c r="CX52" s="85">
        <f t="shared" si="288"/>
        <v>7.9000000000000001E-2</v>
      </c>
      <c r="CY52" s="85">
        <f t="shared" si="288"/>
        <v>7.9000000000000001E-2</v>
      </c>
      <c r="CZ52" s="85">
        <f t="shared" si="288"/>
        <v>7.9000000000000001E-2</v>
      </c>
      <c r="DA52" s="85">
        <f t="shared" si="288"/>
        <v>7.9000000000000001E-2</v>
      </c>
      <c r="DB52" s="85">
        <f t="shared" si="288"/>
        <v>7.9000000000000001E-2</v>
      </c>
      <c r="DC52" s="85">
        <f t="shared" si="288"/>
        <v>7.9000000000000001E-2</v>
      </c>
      <c r="DD52" s="85">
        <f t="shared" si="288"/>
        <v>7.9000000000000001E-2</v>
      </c>
      <c r="DE52" s="85">
        <f t="shared" si="288"/>
        <v>7.9000000000000001E-2</v>
      </c>
      <c r="DF52" s="85">
        <f t="shared" si="288"/>
        <v>7.9000000000000001E-2</v>
      </c>
      <c r="DG52" s="85">
        <f t="shared" ref="DG52:DV53" si="289">INDEX($D52:$L52,1,MATCH(DG$2,$D$2:$L$2,0))</f>
        <v>7.9000000000000001E-2</v>
      </c>
      <c r="DH52" s="85">
        <f t="shared" si="289"/>
        <v>7.9000000000000001E-2</v>
      </c>
      <c r="DI52" s="85">
        <f t="shared" si="289"/>
        <v>7.9000000000000001E-2</v>
      </c>
      <c r="DJ52" s="85">
        <f t="shared" si="289"/>
        <v>7.9000000000000001E-2</v>
      </c>
      <c r="DK52" s="85">
        <f t="shared" si="289"/>
        <v>7.9000000000000001E-2</v>
      </c>
      <c r="DL52" s="85">
        <f t="shared" si="289"/>
        <v>7.9000000000000001E-2</v>
      </c>
      <c r="DM52" s="85">
        <f t="shared" si="289"/>
        <v>7.9000000000000001E-2</v>
      </c>
      <c r="DN52" s="85">
        <f t="shared" si="289"/>
        <v>7.9000000000000001E-2</v>
      </c>
      <c r="DO52" s="85">
        <f t="shared" si="289"/>
        <v>7.9000000000000001E-2</v>
      </c>
      <c r="DP52" s="85">
        <f t="shared" si="289"/>
        <v>7.9000000000000001E-2</v>
      </c>
      <c r="DQ52" s="85">
        <f t="shared" si="289"/>
        <v>7.9000000000000001E-2</v>
      </c>
      <c r="DR52" s="85">
        <f t="shared" si="289"/>
        <v>7.9000000000000001E-2</v>
      </c>
      <c r="DS52" s="85">
        <f t="shared" si="289"/>
        <v>7.9000000000000001E-2</v>
      </c>
      <c r="DT52" s="85">
        <f t="shared" si="289"/>
        <v>7.9000000000000001E-2</v>
      </c>
      <c r="DU52" s="85">
        <f t="shared" si="289"/>
        <v>7.9000000000000001E-2</v>
      </c>
      <c r="DV52" s="85">
        <f t="shared" si="289"/>
        <v>7.9000000000000001E-2</v>
      </c>
      <c r="DW52" s="85">
        <f t="shared" ref="DW52:EL53" si="290">INDEX($D52:$L52,1,MATCH(DW$2,$D$2:$L$2,0))</f>
        <v>7.9000000000000001E-2</v>
      </c>
      <c r="DX52" s="85">
        <f t="shared" si="290"/>
        <v>7.9000000000000001E-2</v>
      </c>
      <c r="DY52" s="85">
        <f t="shared" si="290"/>
        <v>7.9000000000000001E-2</v>
      </c>
      <c r="DZ52" s="85">
        <f t="shared" si="290"/>
        <v>7.9000000000000001E-2</v>
      </c>
      <c r="EA52" s="85">
        <f t="shared" si="290"/>
        <v>7.9000000000000001E-2</v>
      </c>
      <c r="EB52" s="85">
        <f t="shared" si="290"/>
        <v>7.9000000000000001E-2</v>
      </c>
      <c r="EC52" s="85">
        <f t="shared" si="290"/>
        <v>7.9000000000000001E-2</v>
      </c>
      <c r="ED52" s="85">
        <f t="shared" si="290"/>
        <v>7.9000000000000001E-2</v>
      </c>
      <c r="EE52" s="85">
        <f t="shared" si="290"/>
        <v>7.9000000000000001E-2</v>
      </c>
      <c r="EF52" s="85">
        <f t="shared" si="290"/>
        <v>7.9000000000000001E-2</v>
      </c>
      <c r="EG52" s="85">
        <f t="shared" si="290"/>
        <v>7.9000000000000001E-2</v>
      </c>
      <c r="EH52" s="85">
        <f t="shared" si="290"/>
        <v>7.9000000000000001E-2</v>
      </c>
      <c r="EI52" s="85">
        <f t="shared" si="290"/>
        <v>7.9000000000000001E-2</v>
      </c>
      <c r="EJ52" s="85">
        <f t="shared" si="290"/>
        <v>7.9000000000000001E-2</v>
      </c>
      <c r="EK52" s="85">
        <f t="shared" si="290"/>
        <v>7.9000000000000001E-2</v>
      </c>
      <c r="EL52" s="85">
        <f t="shared" si="290"/>
        <v>7.9000000000000001E-2</v>
      </c>
      <c r="EM52" s="85">
        <f t="shared" ref="EM52:FB53" si="291">INDEX($D52:$L52,1,MATCH(EM$2,$D$2:$L$2,0))</f>
        <v>7.9000000000000001E-2</v>
      </c>
      <c r="EN52" s="85">
        <f t="shared" si="291"/>
        <v>7.9000000000000001E-2</v>
      </c>
      <c r="EO52" s="85">
        <f t="shared" si="291"/>
        <v>7.9000000000000001E-2</v>
      </c>
      <c r="EP52" s="85">
        <f t="shared" si="291"/>
        <v>7.9000000000000001E-2</v>
      </c>
      <c r="EQ52" s="85">
        <f t="shared" si="291"/>
        <v>7.9000000000000001E-2</v>
      </c>
      <c r="ER52" s="85">
        <f t="shared" si="291"/>
        <v>7.9000000000000001E-2</v>
      </c>
      <c r="ES52" s="85">
        <f t="shared" si="291"/>
        <v>7.9000000000000001E-2</v>
      </c>
      <c r="ET52" s="85">
        <f t="shared" si="291"/>
        <v>7.9000000000000001E-2</v>
      </c>
      <c r="EU52" s="85">
        <f t="shared" si="291"/>
        <v>7.9000000000000001E-2</v>
      </c>
      <c r="EV52" s="85">
        <f t="shared" si="291"/>
        <v>7.9000000000000001E-2</v>
      </c>
      <c r="EW52" s="85">
        <f t="shared" si="291"/>
        <v>7.9000000000000001E-2</v>
      </c>
      <c r="EX52" s="85">
        <f t="shared" si="291"/>
        <v>7.9000000000000001E-2</v>
      </c>
      <c r="EY52" s="85">
        <f t="shared" si="291"/>
        <v>7.9000000000000001E-2</v>
      </c>
      <c r="EZ52" s="85">
        <f t="shared" si="291"/>
        <v>7.9000000000000001E-2</v>
      </c>
      <c r="FA52" s="85">
        <f t="shared" si="291"/>
        <v>7.9000000000000001E-2</v>
      </c>
      <c r="FB52" s="85">
        <f t="shared" si="291"/>
        <v>7.9000000000000001E-2</v>
      </c>
    </row>
    <row r="53" spans="3:158" outlineLevel="1" x14ac:dyDescent="0.25">
      <c r="C53" s="2" t="s">
        <v>191</v>
      </c>
      <c r="D53" s="60">
        <f>IFERROR(D30/D17,0)</f>
        <v>0</v>
      </c>
      <c r="E53" s="60">
        <f>IFERROR(E30/E17,0)</f>
        <v>0.85556392494679978</v>
      </c>
      <c r="F53" s="60">
        <f>IFERROR(F30/F17,0)</f>
        <v>1.0056436195790222</v>
      </c>
      <c r="G53" s="60">
        <f>IFERROR(G30/G17,0)</f>
        <v>0.85361543668155715</v>
      </c>
      <c r="H53" s="62">
        <v>0.9</v>
      </c>
      <c r="I53" s="62">
        <v>0.9</v>
      </c>
      <c r="J53" s="62">
        <v>0.9</v>
      </c>
      <c r="K53" s="62">
        <v>0.9</v>
      </c>
      <c r="L53" s="62">
        <v>0.9</v>
      </c>
      <c r="M53" s="61"/>
      <c r="N53" s="60">
        <f t="shared" ref="N53:AW53" si="292">IFERROR(N30/N17,0)</f>
        <v>0</v>
      </c>
      <c r="O53" s="60">
        <f t="shared" si="292"/>
        <v>0</v>
      </c>
      <c r="P53" s="60">
        <f t="shared" si="292"/>
        <v>0</v>
      </c>
      <c r="Q53" s="60">
        <f t="shared" si="292"/>
        <v>0</v>
      </c>
      <c r="R53" s="60">
        <f t="shared" si="292"/>
        <v>1.0946279731409709</v>
      </c>
      <c r="S53" s="60">
        <f t="shared" si="292"/>
        <v>0.89703984625614719</v>
      </c>
      <c r="T53" s="60">
        <f t="shared" si="292"/>
        <v>0.83534880505527931</v>
      </c>
      <c r="U53" s="60">
        <f t="shared" si="292"/>
        <v>0.74307388892142878</v>
      </c>
      <c r="V53" s="60">
        <f t="shared" si="292"/>
        <v>1.4849402239080625</v>
      </c>
      <c r="W53" s="60">
        <f t="shared" si="292"/>
        <v>0.88123230166556599</v>
      </c>
      <c r="X53" s="60">
        <f t="shared" si="292"/>
        <v>1.1245143561720674</v>
      </c>
      <c r="Y53" s="60">
        <f t="shared" si="292"/>
        <v>0.77307150146642012</v>
      </c>
      <c r="Z53" s="60">
        <f t="shared" si="292"/>
        <v>1.0737287805361715</v>
      </c>
      <c r="AA53" s="60">
        <f t="shared" si="292"/>
        <v>0.73385432423442609</v>
      </c>
      <c r="AB53" s="60">
        <f t="shared" si="292"/>
        <v>0.89247354853159744</v>
      </c>
      <c r="AC53" s="60">
        <f t="shared" si="292"/>
        <v>0.81137032583907187</v>
      </c>
      <c r="AD53" s="60">
        <f t="shared" si="292"/>
        <v>0.89999999999999991</v>
      </c>
      <c r="AE53" s="60">
        <f t="shared" si="292"/>
        <v>0.9</v>
      </c>
      <c r="AF53" s="60">
        <f t="shared" si="292"/>
        <v>0.89999999999999991</v>
      </c>
      <c r="AG53" s="60">
        <f t="shared" si="292"/>
        <v>0.9</v>
      </c>
      <c r="AH53" s="60">
        <f t="shared" si="292"/>
        <v>0.9</v>
      </c>
      <c r="AI53" s="60">
        <f t="shared" si="292"/>
        <v>0.8999999999999998</v>
      </c>
      <c r="AJ53" s="60">
        <f t="shared" si="292"/>
        <v>0.9</v>
      </c>
      <c r="AK53" s="60">
        <f t="shared" si="292"/>
        <v>0.9</v>
      </c>
      <c r="AL53" s="60">
        <f t="shared" si="292"/>
        <v>0.9</v>
      </c>
      <c r="AM53" s="60">
        <f t="shared" si="292"/>
        <v>0.9</v>
      </c>
      <c r="AN53" s="60">
        <f t="shared" si="292"/>
        <v>0.89999999999999991</v>
      </c>
      <c r="AO53" s="60">
        <f t="shared" si="292"/>
        <v>0.9</v>
      </c>
      <c r="AP53" s="60">
        <f t="shared" si="292"/>
        <v>0.9</v>
      </c>
      <c r="AQ53" s="60">
        <f t="shared" si="292"/>
        <v>0.90000000000000013</v>
      </c>
      <c r="AR53" s="60">
        <f t="shared" si="292"/>
        <v>0.9</v>
      </c>
      <c r="AS53" s="60">
        <f t="shared" si="292"/>
        <v>0.89999999999999991</v>
      </c>
      <c r="AT53" s="60">
        <f t="shared" si="292"/>
        <v>0.90000000000000024</v>
      </c>
      <c r="AU53" s="60">
        <f t="shared" si="292"/>
        <v>0.90000000000000013</v>
      </c>
      <c r="AV53" s="60">
        <f t="shared" si="292"/>
        <v>0.9</v>
      </c>
      <c r="AW53" s="60">
        <f t="shared" si="292"/>
        <v>0.9</v>
      </c>
      <c r="AX53" s="61"/>
      <c r="AY53" s="60">
        <f t="shared" ref="AY53:CT53" si="293">IFERROR(AY30/AY17,0)</f>
        <v>0</v>
      </c>
      <c r="AZ53" s="60">
        <f t="shared" si="293"/>
        <v>0</v>
      </c>
      <c r="BA53" s="60">
        <f t="shared" si="293"/>
        <v>0</v>
      </c>
      <c r="BB53" s="60">
        <f t="shared" si="293"/>
        <v>0</v>
      </c>
      <c r="BC53" s="60">
        <f t="shared" si="293"/>
        <v>0</v>
      </c>
      <c r="BD53" s="60">
        <f t="shared" si="293"/>
        <v>0</v>
      </c>
      <c r="BE53" s="60">
        <f t="shared" si="293"/>
        <v>0</v>
      </c>
      <c r="BF53" s="60">
        <f t="shared" si="293"/>
        <v>0</v>
      </c>
      <c r="BG53" s="60">
        <f t="shared" si="293"/>
        <v>0</v>
      </c>
      <c r="BH53" s="60">
        <f t="shared" si="293"/>
        <v>0</v>
      </c>
      <c r="BI53" s="60">
        <f t="shared" si="293"/>
        <v>0</v>
      </c>
      <c r="BJ53" s="60">
        <f t="shared" si="293"/>
        <v>0</v>
      </c>
      <c r="BK53" s="60">
        <f t="shared" si="293"/>
        <v>3.6243464566929133</v>
      </c>
      <c r="BL53" s="60">
        <f t="shared" si="293"/>
        <v>1.1128721311475409</v>
      </c>
      <c r="BM53" s="60">
        <f t="shared" si="293"/>
        <v>0.51438848333351206</v>
      </c>
      <c r="BN53" s="60">
        <f t="shared" si="293"/>
        <v>1.6976953098460772</v>
      </c>
      <c r="BO53" s="60">
        <f t="shared" si="293"/>
        <v>1.2539369164305292</v>
      </c>
      <c r="BP53" s="60">
        <f t="shared" si="293"/>
        <v>0.45568406354559104</v>
      </c>
      <c r="BQ53" s="60">
        <f t="shared" si="293"/>
        <v>1.8389525250342194</v>
      </c>
      <c r="BR53" s="60">
        <f t="shared" si="293"/>
        <v>1.915189493433396</v>
      </c>
      <c r="BS53" s="60">
        <f t="shared" si="293"/>
        <v>0.35970686963746168</v>
      </c>
      <c r="BT53" s="60">
        <f t="shared" si="293"/>
        <v>2.3316850546294043</v>
      </c>
      <c r="BU53" s="60">
        <f t="shared" si="293"/>
        <v>0.63608116137357451</v>
      </c>
      <c r="BV53" s="60">
        <f t="shared" si="293"/>
        <v>0.51890211053235713</v>
      </c>
      <c r="BW53" s="60">
        <f t="shared" si="293"/>
        <v>3.9442587064676617</v>
      </c>
      <c r="BX53" s="60">
        <f t="shared" si="293"/>
        <v>1.2008105838069887</v>
      </c>
      <c r="BY53" s="60">
        <f t="shared" si="293"/>
        <v>0.79115012079032465</v>
      </c>
      <c r="BZ53" s="60">
        <f t="shared" si="293"/>
        <v>1.342645812608231</v>
      </c>
      <c r="CA53" s="60">
        <f t="shared" si="293"/>
        <v>1.3405177071059957</v>
      </c>
      <c r="CB53" s="60">
        <f t="shared" si="293"/>
        <v>0.48051415143227599</v>
      </c>
      <c r="CC53" s="60">
        <f t="shared" si="293"/>
        <v>1.5393113211855505</v>
      </c>
      <c r="CD53" s="60">
        <f t="shared" si="293"/>
        <v>1.2332639084199244</v>
      </c>
      <c r="CE53" s="60">
        <f t="shared" si="293"/>
        <v>0.81077738076416561</v>
      </c>
      <c r="CF53" s="60">
        <f t="shared" si="293"/>
        <v>1.6177895094351866</v>
      </c>
      <c r="CG53" s="60">
        <f t="shared" si="293"/>
        <v>0.73650967024480862</v>
      </c>
      <c r="CH53" s="60">
        <f t="shared" si="293"/>
        <v>0.52310804241825259</v>
      </c>
      <c r="CI53" s="60">
        <f t="shared" si="293"/>
        <v>2.0842389672991888</v>
      </c>
      <c r="CJ53" s="60">
        <f t="shared" si="293"/>
        <v>1.4776581170560925</v>
      </c>
      <c r="CK53" s="60">
        <f t="shared" si="293"/>
        <v>0.49512284978860066</v>
      </c>
      <c r="CL53" s="60">
        <f t="shared" si="293"/>
        <v>0.98281635889000796</v>
      </c>
      <c r="CM53" s="60">
        <f t="shared" si="293"/>
        <v>0.9079469494765362</v>
      </c>
      <c r="CN53" s="60">
        <f t="shared" si="293"/>
        <v>0.49946551257206179</v>
      </c>
      <c r="CO53" s="60">
        <f t="shared" si="293"/>
        <v>1.4764932575594745</v>
      </c>
      <c r="CP53" s="60">
        <f t="shared" si="293"/>
        <v>0.82036199970463664</v>
      </c>
      <c r="CQ53" s="60">
        <f t="shared" si="293"/>
        <v>0.69652490006471801</v>
      </c>
      <c r="CR53" s="60">
        <f t="shared" si="293"/>
        <v>1.7601733410091203</v>
      </c>
      <c r="CS53" s="60">
        <f t="shared" si="293"/>
        <v>0.67302246413572786</v>
      </c>
      <c r="CT53" s="60">
        <f t="shared" si="293"/>
        <v>0.62679541126023985</v>
      </c>
      <c r="CU53" s="85">
        <f t="shared" si="288"/>
        <v>0.9</v>
      </c>
      <c r="CV53" s="85">
        <f t="shared" si="288"/>
        <v>0.9</v>
      </c>
      <c r="CW53" s="85">
        <f t="shared" si="288"/>
        <v>0.9</v>
      </c>
      <c r="CX53" s="85">
        <f t="shared" si="288"/>
        <v>0.9</v>
      </c>
      <c r="CY53" s="85">
        <f t="shared" si="288"/>
        <v>0.9</v>
      </c>
      <c r="CZ53" s="85">
        <f t="shared" si="288"/>
        <v>0.9</v>
      </c>
      <c r="DA53" s="85">
        <f t="shared" si="288"/>
        <v>0.9</v>
      </c>
      <c r="DB53" s="85">
        <f t="shared" si="288"/>
        <v>0.9</v>
      </c>
      <c r="DC53" s="85">
        <f t="shared" si="288"/>
        <v>0.9</v>
      </c>
      <c r="DD53" s="85">
        <f t="shared" si="288"/>
        <v>0.9</v>
      </c>
      <c r="DE53" s="85">
        <f t="shared" si="288"/>
        <v>0.9</v>
      </c>
      <c r="DF53" s="85">
        <f t="shared" si="288"/>
        <v>0.9</v>
      </c>
      <c r="DG53" s="85">
        <f t="shared" si="289"/>
        <v>0.9</v>
      </c>
      <c r="DH53" s="85">
        <f t="shared" si="289"/>
        <v>0.9</v>
      </c>
      <c r="DI53" s="85">
        <f t="shared" si="289"/>
        <v>0.9</v>
      </c>
      <c r="DJ53" s="85">
        <f t="shared" si="289"/>
        <v>0.9</v>
      </c>
      <c r="DK53" s="85">
        <f t="shared" si="289"/>
        <v>0.9</v>
      </c>
      <c r="DL53" s="85">
        <f t="shared" si="289"/>
        <v>0.9</v>
      </c>
      <c r="DM53" s="85">
        <f t="shared" si="289"/>
        <v>0.9</v>
      </c>
      <c r="DN53" s="85">
        <f t="shared" si="289"/>
        <v>0.9</v>
      </c>
      <c r="DO53" s="85">
        <f t="shared" si="289"/>
        <v>0.9</v>
      </c>
      <c r="DP53" s="85">
        <f t="shared" si="289"/>
        <v>0.9</v>
      </c>
      <c r="DQ53" s="85">
        <f t="shared" si="289"/>
        <v>0.9</v>
      </c>
      <c r="DR53" s="85">
        <f t="shared" si="289"/>
        <v>0.9</v>
      </c>
      <c r="DS53" s="85">
        <f t="shared" si="289"/>
        <v>0.9</v>
      </c>
      <c r="DT53" s="85">
        <f t="shared" si="289"/>
        <v>0.9</v>
      </c>
      <c r="DU53" s="85">
        <f t="shared" si="289"/>
        <v>0.9</v>
      </c>
      <c r="DV53" s="85">
        <f t="shared" si="289"/>
        <v>0.9</v>
      </c>
      <c r="DW53" s="85">
        <f t="shared" si="290"/>
        <v>0.9</v>
      </c>
      <c r="DX53" s="85">
        <f t="shared" si="290"/>
        <v>0.9</v>
      </c>
      <c r="DY53" s="85">
        <f t="shared" si="290"/>
        <v>0.9</v>
      </c>
      <c r="DZ53" s="85">
        <f t="shared" si="290"/>
        <v>0.9</v>
      </c>
      <c r="EA53" s="85">
        <f t="shared" si="290"/>
        <v>0.9</v>
      </c>
      <c r="EB53" s="85">
        <f t="shared" si="290"/>
        <v>0.9</v>
      </c>
      <c r="EC53" s="85">
        <f t="shared" si="290"/>
        <v>0.9</v>
      </c>
      <c r="ED53" s="85">
        <f t="shared" si="290"/>
        <v>0.9</v>
      </c>
      <c r="EE53" s="85">
        <f t="shared" si="290"/>
        <v>0.9</v>
      </c>
      <c r="EF53" s="85">
        <f t="shared" si="290"/>
        <v>0.9</v>
      </c>
      <c r="EG53" s="85">
        <f t="shared" si="290"/>
        <v>0.9</v>
      </c>
      <c r="EH53" s="85">
        <f t="shared" si="290"/>
        <v>0.9</v>
      </c>
      <c r="EI53" s="85">
        <f t="shared" si="290"/>
        <v>0.9</v>
      </c>
      <c r="EJ53" s="85">
        <f t="shared" si="290"/>
        <v>0.9</v>
      </c>
      <c r="EK53" s="85">
        <f t="shared" si="290"/>
        <v>0.9</v>
      </c>
      <c r="EL53" s="85">
        <f t="shared" si="290"/>
        <v>0.9</v>
      </c>
      <c r="EM53" s="85">
        <f t="shared" si="291"/>
        <v>0.9</v>
      </c>
      <c r="EN53" s="85">
        <f t="shared" si="291"/>
        <v>0.9</v>
      </c>
      <c r="EO53" s="85">
        <f t="shared" si="291"/>
        <v>0.9</v>
      </c>
      <c r="EP53" s="85">
        <f t="shared" si="291"/>
        <v>0.9</v>
      </c>
      <c r="EQ53" s="85">
        <f t="shared" si="291"/>
        <v>0.9</v>
      </c>
      <c r="ER53" s="85">
        <f t="shared" si="291"/>
        <v>0.9</v>
      </c>
      <c r="ES53" s="85">
        <f t="shared" si="291"/>
        <v>0.9</v>
      </c>
      <c r="ET53" s="85">
        <f t="shared" si="291"/>
        <v>0.9</v>
      </c>
      <c r="EU53" s="85">
        <f t="shared" si="291"/>
        <v>0.9</v>
      </c>
      <c r="EV53" s="85">
        <f t="shared" si="291"/>
        <v>0.9</v>
      </c>
      <c r="EW53" s="85">
        <f t="shared" si="291"/>
        <v>0.9</v>
      </c>
      <c r="EX53" s="85">
        <f t="shared" si="291"/>
        <v>0.9</v>
      </c>
      <c r="EY53" s="85">
        <f t="shared" si="291"/>
        <v>0.9</v>
      </c>
      <c r="EZ53" s="85">
        <f t="shared" si="291"/>
        <v>0.9</v>
      </c>
      <c r="FA53" s="85">
        <f t="shared" si="291"/>
        <v>0.9</v>
      </c>
      <c r="FB53" s="85">
        <f t="shared" si="291"/>
        <v>0.9</v>
      </c>
    </row>
    <row r="54" spans="3:158" outlineLevel="1" x14ac:dyDescent="0.25">
      <c r="C54" s="2" t="s">
        <v>188</v>
      </c>
      <c r="D54" s="60">
        <f t="shared" ref="D54:K54" si="294">-D46/D43</f>
        <v>0</v>
      </c>
      <c r="E54" s="60">
        <f t="shared" si="294"/>
        <v>0.10819254671747637</v>
      </c>
      <c r="F54" s="60">
        <f t="shared" si="294"/>
        <v>7.4140267962148856E-2</v>
      </c>
      <c r="G54" s="60">
        <f t="shared" si="294"/>
        <v>0.13185980200824743</v>
      </c>
      <c r="H54" s="60">
        <f t="shared" si="294"/>
        <v>0.1808921271270563</v>
      </c>
      <c r="I54" s="60">
        <f t="shared" si="294"/>
        <v>0.20028517154150424</v>
      </c>
      <c r="J54" s="60">
        <f t="shared" si="294"/>
        <v>0.20934599367983359</v>
      </c>
      <c r="K54" s="60">
        <f t="shared" si="294"/>
        <v>0.20614743939844268</v>
      </c>
      <c r="L54" s="60">
        <f t="shared" ref="L54" si="295">-L46/L43</f>
        <v>0.18788677835656642</v>
      </c>
      <c r="M54" s="61"/>
      <c r="N54" s="60">
        <f t="shared" ref="N54:AK54" si="296">-N46/N43</f>
        <v>0</v>
      </c>
      <c r="O54" s="60">
        <f t="shared" si="296"/>
        <v>0</v>
      </c>
      <c r="P54" s="60">
        <f t="shared" si="296"/>
        <v>0</v>
      </c>
      <c r="Q54" s="60">
        <f t="shared" si="296"/>
        <v>0</v>
      </c>
      <c r="R54" s="60">
        <f t="shared" si="296"/>
        <v>9.9014198219423907E-2</v>
      </c>
      <c r="S54" s="60">
        <f t="shared" si="296"/>
        <v>0.14067854439270913</v>
      </c>
      <c r="T54" s="60">
        <f t="shared" si="296"/>
        <v>7.3097989414643433E-2</v>
      </c>
      <c r="U54" s="60">
        <f t="shared" si="296"/>
        <v>0.11833301275930073</v>
      </c>
      <c r="V54" s="60">
        <f t="shared" si="296"/>
        <v>3.7527668804613938E-2</v>
      </c>
      <c r="W54" s="60">
        <f t="shared" si="296"/>
        <v>9.395192821608693E-2</v>
      </c>
      <c r="X54" s="60">
        <f t="shared" si="296"/>
        <v>6.4266364217784741E-2</v>
      </c>
      <c r="Y54" s="60">
        <f t="shared" si="296"/>
        <v>9.5299161666474522E-2</v>
      </c>
      <c r="Z54" s="60">
        <f t="shared" si="296"/>
        <v>6.2554879343497544E-2</v>
      </c>
      <c r="AA54" s="60">
        <f t="shared" si="296"/>
        <v>0.12596755522673828</v>
      </c>
      <c r="AB54" s="60">
        <f t="shared" si="296"/>
        <v>0.14544922959578474</v>
      </c>
      <c r="AC54" s="60">
        <f t="shared" si="296"/>
        <v>0.16463582971797405</v>
      </c>
      <c r="AD54" s="60">
        <f t="shared" si="296"/>
        <v>0.10827284708589603</v>
      </c>
      <c r="AE54" s="60">
        <f t="shared" si="296"/>
        <v>0.17458768790881887</v>
      </c>
      <c r="AF54" s="60">
        <f t="shared" si="296"/>
        <v>0.15114897014240461</v>
      </c>
      <c r="AG54" s="60">
        <f t="shared" si="296"/>
        <v>0.27962511228053827</v>
      </c>
      <c r="AH54" s="60">
        <f t="shared" si="296"/>
        <v>0.14912312999437782</v>
      </c>
      <c r="AI54" s="60">
        <f t="shared" si="296"/>
        <v>0.21431479847083457</v>
      </c>
      <c r="AJ54" s="60">
        <f t="shared" si="296"/>
        <v>0.16431926176550635</v>
      </c>
      <c r="AK54" s="60">
        <f t="shared" si="296"/>
        <v>0.25999976252352597</v>
      </c>
      <c r="AL54" s="60">
        <f t="shared" ref="AL54" si="297">-AL46/AL43</f>
        <v>0.15096752329686086</v>
      </c>
      <c r="AM54" s="60">
        <f t="shared" ref="AM54" si="298">-AM46/AM43</f>
        <v>0.22425567993564671</v>
      </c>
      <c r="AN54" s="60">
        <f t="shared" ref="AN54" si="299">-AN46/AN43</f>
        <v>0.17113455369397648</v>
      </c>
      <c r="AO54" s="60">
        <f t="shared" ref="AO54" si="300">-AO46/AO43</f>
        <v>0.28438306185665102</v>
      </c>
      <c r="AP54" s="60">
        <f t="shared" ref="AP54" si="301">-AP46/AP43</f>
        <v>0.14954211526124436</v>
      </c>
      <c r="AQ54" s="60">
        <f t="shared" ref="AQ54" si="302">-AQ46/AQ43</f>
        <v>0.22451889578275072</v>
      </c>
      <c r="AR54" s="60">
        <f t="shared" ref="AR54" si="303">-AR46/AR43</f>
        <v>0.16369599555765069</v>
      </c>
      <c r="AS54" s="60">
        <f t="shared" ref="AS54" si="304">-AS46/AS43</f>
        <v>0.27589708343139646</v>
      </c>
      <c r="AT54" s="60">
        <f t="shared" ref="AT54" si="305">-AT46/AT43</f>
        <v>0.13120142621916991</v>
      </c>
      <c r="AU54" s="60">
        <f t="shared" ref="AU54" si="306">-AU46/AU43</f>
        <v>0.20403699974913161</v>
      </c>
      <c r="AV54" s="60">
        <f t="shared" ref="AV54" si="307">-AV46/AV43</f>
        <v>0.14797698720298766</v>
      </c>
      <c r="AW54" s="60">
        <f t="shared" ref="AW54" si="308">-AW46/AW43</f>
        <v>0.25470857892794502</v>
      </c>
      <c r="AX54" s="61"/>
      <c r="AY54" s="60">
        <f t="shared" ref="AY54:DJ54" si="309">-AY46/AY43</f>
        <v>0</v>
      </c>
      <c r="AZ54" s="60">
        <f t="shared" si="309"/>
        <v>0</v>
      </c>
      <c r="BA54" s="60">
        <f t="shared" si="309"/>
        <v>0</v>
      </c>
      <c r="BB54" s="60">
        <f t="shared" si="309"/>
        <v>0</v>
      </c>
      <c r="BC54" s="60">
        <f t="shared" si="309"/>
        <v>0</v>
      </c>
      <c r="BD54" s="60">
        <f t="shared" si="309"/>
        <v>0</v>
      </c>
      <c r="BE54" s="60">
        <f t="shared" si="309"/>
        <v>0</v>
      </c>
      <c r="BF54" s="60">
        <f t="shared" si="309"/>
        <v>0</v>
      </c>
      <c r="BG54" s="60">
        <f t="shared" si="309"/>
        <v>0</v>
      </c>
      <c r="BH54" s="60">
        <f t="shared" si="309"/>
        <v>0</v>
      </c>
      <c r="BI54" s="60">
        <f t="shared" si="309"/>
        <v>0</v>
      </c>
      <c r="BJ54" s="60">
        <f t="shared" si="309"/>
        <v>0</v>
      </c>
      <c r="BK54" s="60">
        <f t="shared" si="309"/>
        <v>0.1086354740805473</v>
      </c>
      <c r="BL54" s="60">
        <f t="shared" si="309"/>
        <v>0.10393255567534447</v>
      </c>
      <c r="BM54" s="60">
        <f t="shared" si="309"/>
        <v>8.7169029130080303E-2</v>
      </c>
      <c r="BN54" s="60">
        <f t="shared" si="309"/>
        <v>0.13376481669381862</v>
      </c>
      <c r="BO54" s="60">
        <f t="shared" si="309"/>
        <v>0.14391284741438862</v>
      </c>
      <c r="BP54" s="60">
        <f t="shared" si="309"/>
        <v>0.14491165389655905</v>
      </c>
      <c r="BQ54" s="60">
        <f t="shared" si="309"/>
        <v>8.2762985581626161E-2</v>
      </c>
      <c r="BR54" s="60">
        <f t="shared" si="309"/>
        <v>7.105803092358054E-2</v>
      </c>
      <c r="BS54" s="60">
        <f t="shared" si="309"/>
        <v>6.7181276250507946E-2</v>
      </c>
      <c r="BT54" s="60">
        <f t="shared" si="309"/>
        <v>0.14579011260681421</v>
      </c>
      <c r="BU54" s="60">
        <f t="shared" si="309"/>
        <v>0.11451414614448253</v>
      </c>
      <c r="BV54" s="60">
        <f t="shared" si="309"/>
        <v>0.10245418689752753</v>
      </c>
      <c r="BW54" s="60">
        <f t="shared" si="309"/>
        <v>3.4564415725532822E-2</v>
      </c>
      <c r="BX54" s="60">
        <f t="shared" si="309"/>
        <v>3.8484382901214309E-2</v>
      </c>
      <c r="BY54" s="60">
        <f t="shared" si="309"/>
        <v>3.9960100962221169E-2</v>
      </c>
      <c r="BZ54" s="60">
        <f t="shared" si="309"/>
        <v>0.10292668888766503</v>
      </c>
      <c r="CA54" s="60">
        <f t="shared" si="309"/>
        <v>0.10930806829535646</v>
      </c>
      <c r="CB54" s="60">
        <f t="shared" si="309"/>
        <v>7.6527988041312167E-2</v>
      </c>
      <c r="CC54" s="60">
        <f t="shared" si="309"/>
        <v>7.6962784234455447E-2</v>
      </c>
      <c r="CD54" s="60">
        <f t="shared" si="309"/>
        <v>6.035643890270799E-2</v>
      </c>
      <c r="CE54" s="60">
        <f t="shared" si="309"/>
        <v>5.8413998795559322E-2</v>
      </c>
      <c r="CF54" s="60">
        <f t="shared" si="309"/>
        <v>0.1174420074878606</v>
      </c>
      <c r="CG54" s="60">
        <f t="shared" si="309"/>
        <v>9.4977615135926216E-2</v>
      </c>
      <c r="CH54" s="60">
        <f t="shared" si="309"/>
        <v>8.0410558917951319E-2</v>
      </c>
      <c r="CI54" s="60">
        <f t="shared" si="309"/>
        <v>7.0436474842346081E-2</v>
      </c>
      <c r="CJ54" s="60">
        <f t="shared" si="309"/>
        <v>7.2002927838853148E-2</v>
      </c>
      <c r="CK54" s="60">
        <f t="shared" si="309"/>
        <v>5.0321109712332536E-2</v>
      </c>
      <c r="CL54" s="60">
        <f t="shared" si="309"/>
        <v>0.15669393368396731</v>
      </c>
      <c r="CM54" s="60">
        <f t="shared" si="309"/>
        <v>0.11799295511298179</v>
      </c>
      <c r="CN54" s="60">
        <f t="shared" si="309"/>
        <v>0.11162326280816587</v>
      </c>
      <c r="CO54" s="60">
        <f t="shared" si="309"/>
        <v>0.17761360482461525</v>
      </c>
      <c r="CP54" s="60">
        <f t="shared" si="309"/>
        <v>0.14932022449203688</v>
      </c>
      <c r="CQ54" s="60">
        <f t="shared" si="309"/>
        <v>0.12050315351840926</v>
      </c>
      <c r="CR54" s="60">
        <f t="shared" si="309"/>
        <v>0.19381261652858328</v>
      </c>
      <c r="CS54" s="60">
        <f t="shared" si="309"/>
        <v>0.16684841580559501</v>
      </c>
      <c r="CT54" s="60">
        <f t="shared" si="309"/>
        <v>0.14146374678679755</v>
      </c>
      <c r="CU54" s="60">
        <f t="shared" si="309"/>
        <v>-2.9946128291024644E-2</v>
      </c>
      <c r="CV54" s="60">
        <f t="shared" si="309"/>
        <v>7.9971804147346448E-2</v>
      </c>
      <c r="CW54" s="60">
        <f t="shared" si="309"/>
        <v>0.27035148963254241</v>
      </c>
      <c r="CX54" s="60">
        <f t="shared" si="309"/>
        <v>3.2917079503449312E-2</v>
      </c>
      <c r="CY54" s="60">
        <f t="shared" si="309"/>
        <v>0.1824531259940454</v>
      </c>
      <c r="CZ54" s="60">
        <f t="shared" si="309"/>
        <v>0.30458851935968773</v>
      </c>
      <c r="DA54" s="60">
        <f t="shared" si="309"/>
        <v>1.897778634052193E-2</v>
      </c>
      <c r="DB54" s="60">
        <f t="shared" si="309"/>
        <v>0.12546370161716083</v>
      </c>
      <c r="DC54" s="60">
        <f t="shared" si="309"/>
        <v>0.29798509877091706</v>
      </c>
      <c r="DD54" s="60">
        <f t="shared" si="309"/>
        <v>5.7886403505433719E-2</v>
      </c>
      <c r="DE54" s="60">
        <f t="shared" si="309"/>
        <v>0.36666751153806376</v>
      </c>
      <c r="DF54" s="60">
        <f t="shared" si="309"/>
        <v>0.40469093288078645</v>
      </c>
      <c r="DG54" s="60">
        <f t="shared" si="309"/>
        <v>-7.5893110780281912E-3</v>
      </c>
      <c r="DH54" s="60">
        <f t="shared" si="309"/>
        <v>0.11816149845926759</v>
      </c>
      <c r="DI54" s="60">
        <f t="shared" si="309"/>
        <v>0.3233433639992872</v>
      </c>
      <c r="DJ54" s="60">
        <f t="shared" si="309"/>
        <v>6.7219816984775208E-2</v>
      </c>
      <c r="DK54" s="60">
        <f t="shared" ref="DK54:FB54" si="310">-DK46/DK43</f>
        <v>0.22207623185637326</v>
      </c>
      <c r="DL54" s="60">
        <f t="shared" si="310"/>
        <v>0.34351374933910528</v>
      </c>
      <c r="DM54" s="60">
        <f t="shared" si="310"/>
        <v>3.0373346135246688E-2</v>
      </c>
      <c r="DN54" s="60">
        <f t="shared" si="310"/>
        <v>0.13893514236907689</v>
      </c>
      <c r="DO54" s="60">
        <f t="shared" si="310"/>
        <v>0.3071913309094621</v>
      </c>
      <c r="DP54" s="60">
        <f t="shared" si="310"/>
        <v>4.7386651105354671E-2</v>
      </c>
      <c r="DQ54" s="60">
        <f t="shared" si="310"/>
        <v>0.34313824986344171</v>
      </c>
      <c r="DR54" s="60">
        <f t="shared" si="310"/>
        <v>0.37501078722082049</v>
      </c>
      <c r="DS54" s="60">
        <f t="shared" si="310"/>
        <v>-9.1485765123919325E-4</v>
      </c>
      <c r="DT54" s="60">
        <f t="shared" si="310"/>
        <v>0.1208447276459797</v>
      </c>
      <c r="DU54" s="60">
        <f t="shared" si="310"/>
        <v>0.32793504880572</v>
      </c>
      <c r="DV54" s="60">
        <f t="shared" si="310"/>
        <v>7.0041399363186235E-2</v>
      </c>
      <c r="DW54" s="60">
        <f t="shared" si="310"/>
        <v>0.23331727160322002</v>
      </c>
      <c r="DX54" s="60">
        <f t="shared" si="310"/>
        <v>0.36510705816223155</v>
      </c>
      <c r="DY54" s="60">
        <f t="shared" si="310"/>
        <v>2.6566801939131333E-2</v>
      </c>
      <c r="DZ54" s="60">
        <f t="shared" si="310"/>
        <v>0.14345434610860333</v>
      </c>
      <c r="EA54" s="60">
        <f t="shared" si="310"/>
        <v>0.33035539954171078</v>
      </c>
      <c r="EB54" s="60">
        <f t="shared" si="310"/>
        <v>4.0574016097794964E-2</v>
      </c>
      <c r="EC54" s="60">
        <f t="shared" si="310"/>
        <v>0.38221637713485146</v>
      </c>
      <c r="ED54" s="60">
        <f t="shared" si="310"/>
        <v>0.41921873263380005</v>
      </c>
      <c r="EE54" s="60">
        <f t="shared" si="310"/>
        <v>-2.2591919448668989E-2</v>
      </c>
      <c r="EF54" s="60">
        <f t="shared" si="310"/>
        <v>0.11537259464554721</v>
      </c>
      <c r="EG54" s="60">
        <f t="shared" si="310"/>
        <v>0.34519843565771768</v>
      </c>
      <c r="EH54" s="60">
        <f t="shared" si="310"/>
        <v>5.688502351198918E-2</v>
      </c>
      <c r="EI54" s="60">
        <f t="shared" si="310"/>
        <v>0.23440169416088727</v>
      </c>
      <c r="EJ54" s="60">
        <f t="shared" si="310"/>
        <v>0.37375723414673911</v>
      </c>
      <c r="EK54" s="60">
        <f t="shared" si="310"/>
        <v>9.6901245735011837E-3</v>
      </c>
      <c r="EL54" s="60">
        <f t="shared" si="310"/>
        <v>0.13428192443656994</v>
      </c>
      <c r="EM54" s="60">
        <f t="shared" si="310"/>
        <v>0.329414334589062</v>
      </c>
      <c r="EN54" s="60">
        <f t="shared" si="310"/>
        <v>2.4658827395179311E-2</v>
      </c>
      <c r="EO54" s="60">
        <f t="shared" si="310"/>
        <v>0.37646141016223439</v>
      </c>
      <c r="EP54" s="60">
        <f t="shared" si="310"/>
        <v>0.4113246487339805</v>
      </c>
      <c r="EQ54" s="60">
        <f t="shared" si="310"/>
        <v>-4.0128007686889254E-2</v>
      </c>
      <c r="ER54" s="60">
        <f t="shared" si="310"/>
        <v>9.6881887577739911E-2</v>
      </c>
      <c r="ES54" s="60">
        <f t="shared" si="310"/>
        <v>0.32339536064525287</v>
      </c>
      <c r="ET54" s="60">
        <f t="shared" si="310"/>
        <v>4.1125119130782171E-2</v>
      </c>
      <c r="EU54" s="60">
        <f t="shared" si="310"/>
        <v>0.21324779016705661</v>
      </c>
      <c r="EV54" s="60">
        <f t="shared" si="310"/>
        <v>0.3474224528538491</v>
      </c>
      <c r="EW54" s="60">
        <f t="shared" si="310"/>
        <v>-9.3642528556325659E-4</v>
      </c>
      <c r="EX54" s="60">
        <f t="shared" si="310"/>
        <v>0.11965018334556476</v>
      </c>
      <c r="EY54" s="60">
        <f t="shared" si="310"/>
        <v>0.30682205210749502</v>
      </c>
      <c r="EZ54" s="60">
        <f t="shared" si="310"/>
        <v>1.6865681360279595E-2</v>
      </c>
      <c r="FA54" s="60">
        <f t="shared" si="310"/>
        <v>0.34826565844743557</v>
      </c>
      <c r="FB54" s="60">
        <f t="shared" si="310"/>
        <v>0.38304561949795785</v>
      </c>
    </row>
    <row r="55" spans="3:158" outlineLevel="1" x14ac:dyDescent="0.25">
      <c r="C55" s="2" t="s">
        <v>189</v>
      </c>
      <c r="D55" s="60">
        <f>D34/D29</f>
        <v>0.36518905786331329</v>
      </c>
      <c r="E55" s="60">
        <f t="shared" ref="E55:L55" si="311">E34/E29</f>
        <v>0.38530873589062026</v>
      </c>
      <c r="F55" s="60">
        <f t="shared" si="311"/>
        <v>0.34350773593914613</v>
      </c>
      <c r="G55" s="60">
        <f t="shared" si="311"/>
        <v>0.32582962316965736</v>
      </c>
      <c r="H55" s="60">
        <f t="shared" si="311"/>
        <v>0.25040392192881483</v>
      </c>
      <c r="I55" s="60">
        <f t="shared" si="311"/>
        <v>0.2387785842408163</v>
      </c>
      <c r="J55" s="60">
        <f t="shared" si="311"/>
        <v>0.22735897150734885</v>
      </c>
      <c r="K55" s="60">
        <f t="shared" si="311"/>
        <v>0.21593954473768412</v>
      </c>
      <c r="L55" s="60">
        <f t="shared" si="311"/>
        <v>0.20302064653368168</v>
      </c>
      <c r="M55" s="61"/>
      <c r="N55" s="60">
        <f t="shared" ref="N55" si="312">N34/N29</f>
        <v>0.34062951332024566</v>
      </c>
      <c r="O55" s="60">
        <f t="shared" ref="O55:O56" si="313">O34/O29</f>
        <v>0.3391539885018387</v>
      </c>
      <c r="P55" s="60">
        <f t="shared" ref="P55:P56" si="314">P34/P29</f>
        <v>0.40585121835721188</v>
      </c>
      <c r="Q55" s="60">
        <f t="shared" ref="Q55:Q56" si="315">Q34/Q29</f>
        <v>0.36238978665181232</v>
      </c>
      <c r="R55" s="60">
        <f t="shared" ref="R55:R56" si="316">R34/R29</f>
        <v>0.35499268661545486</v>
      </c>
      <c r="S55" s="60">
        <f t="shared" ref="S55:S56" si="317">S34/S29</f>
        <v>0.37327483976161085</v>
      </c>
      <c r="T55" s="60">
        <f t="shared" ref="T55:T56" si="318">T34/T29</f>
        <v>0.42339990824293439</v>
      </c>
      <c r="U55" s="60">
        <f t="shared" ref="U55:U56" si="319">U34/U29</f>
        <v>0.37997491935604577</v>
      </c>
      <c r="V55" s="60">
        <f t="shared" ref="V55:V56" si="320">V34/V29</f>
        <v>0.38064640672215572</v>
      </c>
      <c r="W55" s="60">
        <f t="shared" ref="W55:W56" si="321">W34/W29</f>
        <v>0.3428052260200482</v>
      </c>
      <c r="X55" s="60">
        <f t="shared" ref="X55:X56" si="322">X34/X29</f>
        <v>0.34816000748877751</v>
      </c>
      <c r="Y55" s="60">
        <f t="shared" ref="Y55:Y56" si="323">Y34/Y29</f>
        <v>0.31160376803080631</v>
      </c>
      <c r="Z55" s="60">
        <f t="shared" ref="Z55:Z56" si="324">Z34/Z29</f>
        <v>0.34222944368835789</v>
      </c>
      <c r="AA55" s="60">
        <f t="shared" ref="AA55:AA56" si="325">AA34/AA29</f>
        <v>0.33238132556255184</v>
      </c>
      <c r="AB55" s="60">
        <f t="shared" ref="AB55:AB56" si="326">AB34/AB29</f>
        <v>0.33002158447242813</v>
      </c>
      <c r="AC55" s="60">
        <f t="shared" ref="AC55:AC56" si="327">AC34/AC29</f>
        <v>0.30542725851862579</v>
      </c>
      <c r="AD55" s="60">
        <f t="shared" ref="AD55:AD56" si="328">AD34/AD29</f>
        <v>0.25325802713050466</v>
      </c>
      <c r="AE55" s="60">
        <f t="shared" ref="AE55:AE56" si="329">AE34/AE29</f>
        <v>0.2513218627521312</v>
      </c>
      <c r="AF55" s="60">
        <f t="shared" ref="AF55:AF56" si="330">AF34/AF29</f>
        <v>0.25004008986930593</v>
      </c>
      <c r="AG55" s="60">
        <f t="shared" ref="AG55:AG56" si="331">AG34/AG29</f>
        <v>0.24794816256587052</v>
      </c>
      <c r="AH55" s="60">
        <f t="shared" ref="AH55:AH56" si="332">AH34/AH29</f>
        <v>0.24131866153141782</v>
      </c>
      <c r="AI55" s="60">
        <f t="shared" ref="AI55:AI56" si="333">AI34/AI29</f>
        <v>0.23949460276809614</v>
      </c>
      <c r="AJ55" s="60">
        <f t="shared" ref="AJ55:AJ56" si="334">AJ34/AJ29</f>
        <v>0.23845399174013868</v>
      </c>
      <c r="AK55" s="60">
        <f t="shared" ref="AK55:AK56" si="335">AK34/AK29</f>
        <v>0.23664196536635768</v>
      </c>
      <c r="AL55" s="60">
        <f t="shared" ref="AL55:AL56" si="336">AL34/AL29</f>
        <v>0.2298930097203844</v>
      </c>
      <c r="AM55" s="60">
        <f t="shared" ref="AM55:AM56" si="337">AM34/AM29</f>
        <v>0.22807782399907681</v>
      </c>
      <c r="AN55" s="60">
        <f t="shared" ref="AN55:AN56" si="338">AN34/AN29</f>
        <v>0.22701760488544698</v>
      </c>
      <c r="AO55" s="60">
        <f t="shared" ref="AO55:AO56" si="339">AO34/AO29</f>
        <v>0.2252141009055986</v>
      </c>
      <c r="AP55" s="60">
        <f t="shared" ref="AP55:AP56" si="340">AP34/AP29</f>
        <v>0.21846649169267138</v>
      </c>
      <c r="AQ55" s="60">
        <f t="shared" ref="AQ55:AQ56" si="341">AQ34/AQ29</f>
        <v>0.21666090488895196</v>
      </c>
      <c r="AR55" s="60">
        <f t="shared" ref="AR55:AR56" si="342">AR34/AR29</f>
        <v>0.21558159747343572</v>
      </c>
      <c r="AS55" s="60">
        <f t="shared" ref="AS55:AS56" si="343">AS34/AS29</f>
        <v>0.2137871525483131</v>
      </c>
      <c r="AT55" s="60">
        <f t="shared" ref="AT55:AT56" si="344">AT34/AT29</f>
        <v>0.2065691603513172</v>
      </c>
      <c r="AU55" s="60">
        <f t="shared" ref="AU55:AU56" si="345">AU34/AU29</f>
        <v>0.20411005851528488</v>
      </c>
      <c r="AV55" s="60">
        <f t="shared" ref="AV55:AV56" si="346">AV34/AV29</f>
        <v>0.20238430751933631</v>
      </c>
      <c r="AW55" s="60">
        <f t="shared" ref="AW55:AW56" si="347">AW34/AW29</f>
        <v>0.2000191396964503</v>
      </c>
      <c r="AX55" s="61"/>
      <c r="AY55" s="60">
        <f t="shared" ref="AY55:DJ55" si="348">AY34/AY29</f>
        <v>0.34816108095210774</v>
      </c>
      <c r="AZ55" s="60">
        <f t="shared" si="348"/>
        <v>0.34537391408081064</v>
      </c>
      <c r="BA55" s="60">
        <f t="shared" si="348"/>
        <v>0.32948783735903919</v>
      </c>
      <c r="BB55" s="60">
        <f t="shared" si="348"/>
        <v>0.30755309804817077</v>
      </c>
      <c r="BC55" s="60">
        <f t="shared" si="348"/>
        <v>0.37712641466711305</v>
      </c>
      <c r="BD55" s="60">
        <f t="shared" si="348"/>
        <v>0.33356662120891994</v>
      </c>
      <c r="BE55" s="60">
        <f t="shared" si="348"/>
        <v>0.38699933301313238</v>
      </c>
      <c r="BF55" s="60">
        <f t="shared" si="348"/>
        <v>0.42820645533464463</v>
      </c>
      <c r="BG55" s="60">
        <f t="shared" si="348"/>
        <v>0.40217770817785914</v>
      </c>
      <c r="BH55" s="60">
        <f t="shared" si="348"/>
        <v>0.37699608607192503</v>
      </c>
      <c r="BI55" s="60">
        <f t="shared" si="348"/>
        <v>0.34264626810804788</v>
      </c>
      <c r="BJ55" s="60">
        <f t="shared" si="348"/>
        <v>0.36740609551847336</v>
      </c>
      <c r="BK55" s="60">
        <f t="shared" si="348"/>
        <v>0.3198025212276045</v>
      </c>
      <c r="BL55" s="60">
        <f t="shared" si="348"/>
        <v>0.35794986277234542</v>
      </c>
      <c r="BM55" s="60">
        <f t="shared" si="348"/>
        <v>0.38438100666331482</v>
      </c>
      <c r="BN55" s="60">
        <f t="shared" si="348"/>
        <v>0.36485587166161582</v>
      </c>
      <c r="BO55" s="60">
        <f t="shared" si="348"/>
        <v>0.3770661712849121</v>
      </c>
      <c r="BP55" s="60">
        <f t="shared" si="348"/>
        <v>0.37721179414603628</v>
      </c>
      <c r="BQ55" s="60">
        <f t="shared" si="348"/>
        <v>0.40198470760574601</v>
      </c>
      <c r="BR55" s="60">
        <f t="shared" si="348"/>
        <v>0.40621942543171546</v>
      </c>
      <c r="BS55" s="60">
        <f t="shared" si="348"/>
        <v>0.45907530783314821</v>
      </c>
      <c r="BT55" s="60">
        <f t="shared" si="348"/>
        <v>0.3715727498849854</v>
      </c>
      <c r="BU55" s="60">
        <f t="shared" si="348"/>
        <v>0.36318182389994919</v>
      </c>
      <c r="BV55" s="60">
        <f t="shared" si="348"/>
        <v>0.40439361675303798</v>
      </c>
      <c r="BW55" s="60">
        <f t="shared" si="348"/>
        <v>0.32261467752232575</v>
      </c>
      <c r="BX55" s="60">
        <f t="shared" si="348"/>
        <v>0.34817256292487325</v>
      </c>
      <c r="BY55" s="60">
        <f t="shared" si="348"/>
        <v>0.46951546706497116</v>
      </c>
      <c r="BZ55" s="60">
        <f t="shared" si="348"/>
        <v>0.37465106501956991</v>
      </c>
      <c r="CA55" s="60">
        <f t="shared" si="348"/>
        <v>0.31273983654595205</v>
      </c>
      <c r="CB55" s="60">
        <f t="shared" si="348"/>
        <v>0.34142389798511336</v>
      </c>
      <c r="CC55" s="60">
        <f t="shared" si="348"/>
        <v>0.34076032976015325</v>
      </c>
      <c r="CD55" s="60">
        <f t="shared" si="348"/>
        <v>0.34168081026196911</v>
      </c>
      <c r="CE55" s="60">
        <f t="shared" si="348"/>
        <v>0.3614040772778036</v>
      </c>
      <c r="CF55" s="60">
        <f t="shared" si="348"/>
        <v>0.30450949804175725</v>
      </c>
      <c r="CG55" s="60">
        <f t="shared" si="348"/>
        <v>0.26687013710243623</v>
      </c>
      <c r="CH55" s="60">
        <f t="shared" si="348"/>
        <v>0.36181767986554642</v>
      </c>
      <c r="CI55" s="60">
        <f t="shared" si="348"/>
        <v>0.31408166834150142</v>
      </c>
      <c r="CJ55" s="60">
        <f t="shared" si="348"/>
        <v>0.35201412905648177</v>
      </c>
      <c r="CK55" s="60">
        <f t="shared" si="348"/>
        <v>0.35897236871667626</v>
      </c>
      <c r="CL55" s="60">
        <f t="shared" si="348"/>
        <v>0.32409638870997082</v>
      </c>
      <c r="CM55" s="60">
        <f t="shared" si="348"/>
        <v>0.34461758518383429</v>
      </c>
      <c r="CN55" s="60">
        <f t="shared" si="348"/>
        <v>0.32830071106953335</v>
      </c>
      <c r="CO55" s="60">
        <f t="shared" si="348"/>
        <v>0.33655737929578938</v>
      </c>
      <c r="CP55" s="60">
        <f t="shared" si="348"/>
        <v>0.33010010757649078</v>
      </c>
      <c r="CQ55" s="60">
        <f t="shared" si="348"/>
        <v>0.32388267769447171</v>
      </c>
      <c r="CR55" s="60">
        <f t="shared" si="348"/>
        <v>0.30626805020912368</v>
      </c>
      <c r="CS55" s="60">
        <f t="shared" si="348"/>
        <v>0.31098692270722306</v>
      </c>
      <c r="CT55" s="60">
        <f t="shared" si="348"/>
        <v>0.2994036992442432</v>
      </c>
      <c r="CU55" s="60">
        <f t="shared" si="348"/>
        <v>0.25490261580343621</v>
      </c>
      <c r="CV55" s="60">
        <f t="shared" si="348"/>
        <v>0.25346182680303442</v>
      </c>
      <c r="CW55" s="60">
        <f t="shared" si="348"/>
        <v>0.25154580785186192</v>
      </c>
      <c r="CX55" s="60">
        <f t="shared" si="348"/>
        <v>0.25292845526162677</v>
      </c>
      <c r="CY55" s="60">
        <f t="shared" si="348"/>
        <v>0.25119209948492571</v>
      </c>
      <c r="CZ55" s="60">
        <f t="shared" si="348"/>
        <v>0.24998192696170893</v>
      </c>
      <c r="DA55" s="60">
        <f t="shared" si="348"/>
        <v>0.25155889982251955</v>
      </c>
      <c r="DB55" s="60">
        <f t="shared" si="348"/>
        <v>0.25018447912261754</v>
      </c>
      <c r="DC55" s="60">
        <f t="shared" si="348"/>
        <v>0.24850783293394083</v>
      </c>
      <c r="DD55" s="60">
        <f t="shared" si="348"/>
        <v>0.24980950994414802</v>
      </c>
      <c r="DE55" s="60">
        <f t="shared" si="348"/>
        <v>0.24750364138931241</v>
      </c>
      <c r="DF55" s="60">
        <f t="shared" si="348"/>
        <v>0.24670700398679513</v>
      </c>
      <c r="DG55" s="60">
        <f t="shared" si="348"/>
        <v>0.24284544681354295</v>
      </c>
      <c r="DH55" s="60">
        <f t="shared" si="348"/>
        <v>0.24150891902925176</v>
      </c>
      <c r="DI55" s="60">
        <f t="shared" si="348"/>
        <v>0.2397244152417646</v>
      </c>
      <c r="DJ55" s="60">
        <f t="shared" si="348"/>
        <v>0.24099011789325797</v>
      </c>
      <c r="DK55" s="60">
        <f t="shared" ref="DK55:FB55" si="349">DK34/DK29</f>
        <v>0.23936666476673782</v>
      </c>
      <c r="DL55" s="60">
        <f t="shared" si="349"/>
        <v>0.23825301732770654</v>
      </c>
      <c r="DM55" s="60">
        <f t="shared" si="349"/>
        <v>0.23988053769047182</v>
      </c>
      <c r="DN55" s="60">
        <f t="shared" si="349"/>
        <v>0.23858875773464899</v>
      </c>
      <c r="DO55" s="60">
        <f t="shared" si="349"/>
        <v>0.23700985348886427</v>
      </c>
      <c r="DP55" s="60">
        <f t="shared" si="349"/>
        <v>0.23841584918685871</v>
      </c>
      <c r="DQ55" s="60">
        <f t="shared" si="349"/>
        <v>0.23621583492633305</v>
      </c>
      <c r="DR55" s="60">
        <f t="shared" si="349"/>
        <v>0.23544827554457021</v>
      </c>
      <c r="DS55" s="60">
        <f t="shared" si="349"/>
        <v>0.23137525829677361</v>
      </c>
      <c r="DT55" s="60">
        <f t="shared" si="349"/>
        <v>0.23007542022041733</v>
      </c>
      <c r="DU55" s="60">
        <f t="shared" si="349"/>
        <v>0.22834247670884583</v>
      </c>
      <c r="DV55" s="60">
        <f t="shared" si="349"/>
        <v>0.22953509158184929</v>
      </c>
      <c r="DW55" s="60">
        <f t="shared" si="349"/>
        <v>0.22795504598009012</v>
      </c>
      <c r="DX55" s="60">
        <f t="shared" si="349"/>
        <v>0.22686160216708515</v>
      </c>
      <c r="DY55" s="60">
        <f t="shared" si="349"/>
        <v>0.22841086589343507</v>
      </c>
      <c r="DZ55" s="60">
        <f t="shared" si="349"/>
        <v>0.22714787313285625</v>
      </c>
      <c r="EA55" s="60">
        <f t="shared" si="349"/>
        <v>0.22560454596714261</v>
      </c>
      <c r="EB55" s="60">
        <f t="shared" si="349"/>
        <v>0.22694708731786067</v>
      </c>
      <c r="EC55" s="60">
        <f t="shared" si="349"/>
        <v>0.22480186939430419</v>
      </c>
      <c r="ED55" s="60">
        <f t="shared" si="349"/>
        <v>0.22403949615001112</v>
      </c>
      <c r="EE55" s="60">
        <f t="shared" si="349"/>
        <v>0.21990450211182261</v>
      </c>
      <c r="EF55" s="60">
        <f t="shared" si="349"/>
        <v>0.21864112800119989</v>
      </c>
      <c r="EG55" s="60">
        <f t="shared" si="349"/>
        <v>0.21695966892209553</v>
      </c>
      <c r="EH55" s="60">
        <f t="shared" si="349"/>
        <v>0.21807963435183772</v>
      </c>
      <c r="EI55" s="60">
        <f t="shared" si="349"/>
        <v>0.21654339170628878</v>
      </c>
      <c r="EJ55" s="60">
        <f t="shared" si="349"/>
        <v>0.21547043442104452</v>
      </c>
      <c r="EK55" s="60">
        <f t="shared" si="349"/>
        <v>0.21694107666236453</v>
      </c>
      <c r="EL55" s="60">
        <f t="shared" si="349"/>
        <v>0.21570736476153624</v>
      </c>
      <c r="EM55" s="60">
        <f t="shared" si="349"/>
        <v>0.2142002338491959</v>
      </c>
      <c r="EN55" s="60">
        <f t="shared" si="349"/>
        <v>0.21547849531284574</v>
      </c>
      <c r="EO55" s="60">
        <f t="shared" si="349"/>
        <v>0.21338895400662145</v>
      </c>
      <c r="EP55" s="60">
        <f t="shared" si="349"/>
        <v>0.21263231039065864</v>
      </c>
      <c r="EQ55" s="60">
        <f t="shared" si="349"/>
        <v>0.20819504010106196</v>
      </c>
      <c r="ER55" s="60">
        <f t="shared" si="349"/>
        <v>0.20673765118801091</v>
      </c>
      <c r="ES55" s="60">
        <f t="shared" si="349"/>
        <v>0.20488779099503346</v>
      </c>
      <c r="ET55" s="60">
        <f t="shared" si="349"/>
        <v>0.20570272757772945</v>
      </c>
      <c r="EU55" s="60">
        <f t="shared" si="349"/>
        <v>0.20400245152989452</v>
      </c>
      <c r="EV55" s="60">
        <f t="shared" si="349"/>
        <v>0.2027453411036437</v>
      </c>
      <c r="EW55" s="60">
        <f t="shared" si="349"/>
        <v>0.20390415576333376</v>
      </c>
      <c r="EX55" s="60">
        <f t="shared" si="349"/>
        <v>0.20250611189693901</v>
      </c>
      <c r="EY55" s="60">
        <f t="shared" si="349"/>
        <v>0.20085359536024242</v>
      </c>
      <c r="EZ55" s="60">
        <f t="shared" si="349"/>
        <v>0.20183951229702879</v>
      </c>
      <c r="FA55" s="60">
        <f t="shared" si="349"/>
        <v>0.19964727663218881</v>
      </c>
      <c r="FB55" s="60">
        <f t="shared" si="349"/>
        <v>0.1987172688290994</v>
      </c>
    </row>
    <row r="56" spans="3:158" outlineLevel="1" x14ac:dyDescent="0.25">
      <c r="C56" s="2" t="s">
        <v>190</v>
      </c>
      <c r="D56" s="60">
        <f>D35/D30</f>
        <v>0.78196274929272114</v>
      </c>
      <c r="E56" s="60">
        <f t="shared" ref="E56:G56" si="350">E35/E30</f>
        <v>0.89252370082042454</v>
      </c>
      <c r="F56" s="60">
        <f t="shared" si="350"/>
        <v>0.72161776999536953</v>
      </c>
      <c r="G56" s="60">
        <f t="shared" si="350"/>
        <v>0.87457133782938445</v>
      </c>
      <c r="H56" s="60">
        <f t="shared" ref="H56:L56" si="351">H35/H30</f>
        <v>0.80000000000000016</v>
      </c>
      <c r="I56" s="60">
        <f t="shared" si="351"/>
        <v>0.8</v>
      </c>
      <c r="J56" s="60">
        <f t="shared" si="351"/>
        <v>0.8</v>
      </c>
      <c r="K56" s="60">
        <f t="shared" si="351"/>
        <v>0.8</v>
      </c>
      <c r="L56" s="60">
        <f t="shared" si="351"/>
        <v>0.8</v>
      </c>
      <c r="M56" s="61"/>
      <c r="N56" s="60">
        <f t="shared" ref="N56" si="352">N35/N30</f>
        <v>2.3791940678600856</v>
      </c>
      <c r="O56" s="60">
        <f t="shared" si="313"/>
        <v>0.74228582761033401</v>
      </c>
      <c r="P56" s="60">
        <f t="shared" si="314"/>
        <v>0.62018314449395295</v>
      </c>
      <c r="Q56" s="60">
        <f t="shared" si="315"/>
        <v>0.71792929226699742</v>
      </c>
      <c r="R56" s="60">
        <f t="shared" si="316"/>
        <v>0.92300883737324035</v>
      </c>
      <c r="S56" s="60">
        <f t="shared" si="317"/>
        <v>0.96326196961896637</v>
      </c>
      <c r="T56" s="60">
        <f t="shared" si="318"/>
        <v>1.0106948848371906</v>
      </c>
      <c r="U56" s="60">
        <f t="shared" si="319"/>
        <v>0.73472268474354718</v>
      </c>
      <c r="V56" s="60">
        <f t="shared" si="320"/>
        <v>0.81524232878683689</v>
      </c>
      <c r="W56" s="60">
        <f t="shared" si="321"/>
        <v>0.89729376753306422</v>
      </c>
      <c r="X56" s="60">
        <f t="shared" si="322"/>
        <v>0.58937713095998845</v>
      </c>
      <c r="Y56" s="60">
        <f t="shared" si="323"/>
        <v>0.62259709446434985</v>
      </c>
      <c r="Z56" s="60">
        <f t="shared" si="324"/>
        <v>0.59342994725049902</v>
      </c>
      <c r="AA56" s="60">
        <f t="shared" si="325"/>
        <v>0.87524176250776042</v>
      </c>
      <c r="AB56" s="60">
        <f t="shared" si="326"/>
        <v>0.87128062773969972</v>
      </c>
      <c r="AC56" s="60">
        <f t="shared" si="327"/>
        <v>1.0338830254786069</v>
      </c>
      <c r="AD56" s="60">
        <f t="shared" si="328"/>
        <v>1.0425501281426324</v>
      </c>
      <c r="AE56" s="60">
        <f t="shared" si="329"/>
        <v>0.83293058493314165</v>
      </c>
      <c r="AF56" s="60">
        <f t="shared" si="330"/>
        <v>0.87823321128897613</v>
      </c>
      <c r="AG56" s="60">
        <f t="shared" si="331"/>
        <v>0.60631287891534191</v>
      </c>
      <c r="AH56" s="60">
        <f t="shared" si="332"/>
        <v>0.9363949800578818</v>
      </c>
      <c r="AI56" s="60">
        <f t="shared" si="333"/>
        <v>0.77866955392825299</v>
      </c>
      <c r="AJ56" s="60">
        <f t="shared" si="334"/>
        <v>0.89301968258803577</v>
      </c>
      <c r="AK56" s="60">
        <f t="shared" si="335"/>
        <v>0.67814307171360211</v>
      </c>
      <c r="AL56" s="60">
        <f t="shared" si="336"/>
        <v>0.99166823948459404</v>
      </c>
      <c r="AM56" s="60">
        <f t="shared" si="337"/>
        <v>0.78885322417740267</v>
      </c>
      <c r="AN56" s="60">
        <f t="shared" si="338"/>
        <v>0.88216376461197255</v>
      </c>
      <c r="AO56" s="60">
        <f t="shared" si="339"/>
        <v>0.64832111115020108</v>
      </c>
      <c r="AP56" s="60">
        <f t="shared" si="340"/>
        <v>0.96871306832305093</v>
      </c>
      <c r="AQ56" s="60">
        <f t="shared" si="341"/>
        <v>0.7846239115577639</v>
      </c>
      <c r="AR56" s="60">
        <f t="shared" si="342"/>
        <v>0.8866722639811222</v>
      </c>
      <c r="AS56" s="60">
        <f t="shared" si="343"/>
        <v>0.66070627200747489</v>
      </c>
      <c r="AT56" s="60">
        <f t="shared" si="344"/>
        <v>1.063639941291024</v>
      </c>
      <c r="AU56" s="60">
        <f t="shared" si="345"/>
        <v>0.80211345319354488</v>
      </c>
      <c r="AV56" s="60">
        <f t="shared" si="346"/>
        <v>0.8680281970787378</v>
      </c>
      <c r="AW56" s="60">
        <f t="shared" si="347"/>
        <v>0.60948972549982106</v>
      </c>
      <c r="AX56" s="61"/>
      <c r="AY56" s="60">
        <f t="shared" ref="AY56:DJ56" si="353">AY35/AY30</f>
        <v>4.0103019762845848</v>
      </c>
      <c r="AZ56" s="60">
        <f t="shared" si="353"/>
        <v>3.90945125</v>
      </c>
      <c r="BA56" s="60">
        <f t="shared" si="353"/>
        <v>1.1951596903293531</v>
      </c>
      <c r="BB56" s="60">
        <f t="shared" si="353"/>
        <v>10.093785156249998</v>
      </c>
      <c r="BC56" s="60">
        <f t="shared" si="353"/>
        <v>0.48605756680056256</v>
      </c>
      <c r="BD56" s="60">
        <f t="shared" si="353"/>
        <v>0.56865695696293206</v>
      </c>
      <c r="BE56" s="60">
        <f t="shared" si="353"/>
        <v>0.38106021969399761</v>
      </c>
      <c r="BF56" s="60">
        <f t="shared" si="353"/>
        <v>0.59392816571015494</v>
      </c>
      <c r="BG56" s="60">
        <f t="shared" si="353"/>
        <v>1.0051366932698949</v>
      </c>
      <c r="BH56" s="60">
        <f t="shared" si="353"/>
        <v>0.62256231378533533</v>
      </c>
      <c r="BI56" s="60">
        <f t="shared" si="353"/>
        <v>0.68569567585000024</v>
      </c>
      <c r="BJ56" s="60">
        <f t="shared" si="353"/>
        <v>0.83961236380651061</v>
      </c>
      <c r="BK56" s="60">
        <f t="shared" si="353"/>
        <v>0.68695136999991302</v>
      </c>
      <c r="BL56" s="60">
        <f t="shared" si="353"/>
        <v>0.93140743490480982</v>
      </c>
      <c r="BM56" s="60">
        <f t="shared" si="353"/>
        <v>1.2881723302478725</v>
      </c>
      <c r="BN56" s="60">
        <f t="shared" si="353"/>
        <v>0.76447450331714784</v>
      </c>
      <c r="BO56" s="60">
        <f t="shared" si="353"/>
        <v>0.91219038842684352</v>
      </c>
      <c r="BP56" s="60">
        <f t="shared" si="353"/>
        <v>1.2854938599939871</v>
      </c>
      <c r="BQ56" s="60">
        <f t="shared" si="353"/>
        <v>0.99582159716373186</v>
      </c>
      <c r="BR56" s="60">
        <f t="shared" si="353"/>
        <v>0.89180502274695428</v>
      </c>
      <c r="BS56" s="60">
        <f t="shared" si="353"/>
        <v>1.1835476954945623</v>
      </c>
      <c r="BT56" s="60">
        <f t="shared" si="353"/>
        <v>0.7355203992975321</v>
      </c>
      <c r="BU56" s="60">
        <f t="shared" si="353"/>
        <v>0.76240679398283751</v>
      </c>
      <c r="BV56" s="60">
        <f t="shared" si="353"/>
        <v>0.7094356139138448</v>
      </c>
      <c r="BW56" s="60">
        <f t="shared" si="353"/>
        <v>0.69370329820029364</v>
      </c>
      <c r="BX56" s="60">
        <f t="shared" si="353"/>
        <v>0.84350235002405538</v>
      </c>
      <c r="BY56" s="60">
        <f t="shared" si="353"/>
        <v>1.0092792598761353</v>
      </c>
      <c r="BZ56" s="60">
        <f t="shared" si="353"/>
        <v>0.83882281511769108</v>
      </c>
      <c r="CA56" s="60">
        <f t="shared" si="353"/>
        <v>0.95945701027485319</v>
      </c>
      <c r="CB56" s="60">
        <f t="shared" si="353"/>
        <v>0.90103469981556228</v>
      </c>
      <c r="CC56" s="60">
        <f t="shared" si="353"/>
        <v>0.55594488270738707</v>
      </c>
      <c r="CD56" s="60">
        <f t="shared" si="353"/>
        <v>0.575799703533864</v>
      </c>
      <c r="CE56" s="60">
        <f t="shared" si="353"/>
        <v>0.64015822825819335</v>
      </c>
      <c r="CF56" s="60">
        <f t="shared" si="353"/>
        <v>0.62570178559875778</v>
      </c>
      <c r="CG56" s="60">
        <f t="shared" si="353"/>
        <v>0.5834794384794888</v>
      </c>
      <c r="CH56" s="60">
        <f t="shared" si="353"/>
        <v>0.65755562799491474</v>
      </c>
      <c r="CI56" s="60">
        <f t="shared" si="353"/>
        <v>0.45097724037120518</v>
      </c>
      <c r="CJ56" s="60">
        <f t="shared" si="353"/>
        <v>0.47344662231939816</v>
      </c>
      <c r="CK56" s="60">
        <f t="shared" si="353"/>
        <v>0.99711358295472341</v>
      </c>
      <c r="CL56" s="60">
        <f t="shared" si="353"/>
        <v>0.76524595428935305</v>
      </c>
      <c r="CM56" s="60">
        <f t="shared" si="353"/>
        <v>0.84384370628237626</v>
      </c>
      <c r="CN56" s="60">
        <f t="shared" si="353"/>
        <v>1.0201634523012058</v>
      </c>
      <c r="CO56" s="60">
        <f t="shared" si="353"/>
        <v>0.79967079646118933</v>
      </c>
      <c r="CP56" s="60">
        <f t="shared" si="353"/>
        <v>0.92799990877563876</v>
      </c>
      <c r="CQ56" s="60">
        <f t="shared" si="353"/>
        <v>0.88544211365044068</v>
      </c>
      <c r="CR56" s="60">
        <f t="shared" si="353"/>
        <v>0.9495204094766988</v>
      </c>
      <c r="CS56" s="60">
        <f t="shared" si="353"/>
        <v>1.1170125218624143</v>
      </c>
      <c r="CT56" s="60">
        <f t="shared" si="353"/>
        <v>1.0354437005245587</v>
      </c>
      <c r="CU56" s="60">
        <f t="shared" si="353"/>
        <v>2.5737194793078233</v>
      </c>
      <c r="CV56" s="60">
        <f t="shared" si="353"/>
        <v>1.1961652528439684</v>
      </c>
      <c r="CW56" s="60">
        <f t="shared" si="353"/>
        <v>0.61462485406855516</v>
      </c>
      <c r="CX56" s="60">
        <f t="shared" si="353"/>
        <v>1.5687898598186927</v>
      </c>
      <c r="CY56" s="60">
        <f t="shared" si="353"/>
        <v>0.81596256419843438</v>
      </c>
      <c r="CZ56" s="60">
        <f t="shared" si="353"/>
        <v>0.5822659859390652</v>
      </c>
      <c r="DA56" s="60">
        <f t="shared" si="353"/>
        <v>1.6996027846557131</v>
      </c>
      <c r="DB56" s="60">
        <f t="shared" si="353"/>
        <v>0.97163600612001266</v>
      </c>
      <c r="DC56" s="60">
        <f t="shared" si="353"/>
        <v>0.56311976889017246</v>
      </c>
      <c r="DD56" s="60">
        <f t="shared" si="353"/>
        <v>1.3358594258031355</v>
      </c>
      <c r="DE56" s="60">
        <f t="shared" si="353"/>
        <v>0.50997173739538437</v>
      </c>
      <c r="DF56" s="60">
        <f t="shared" si="353"/>
        <v>0.452047795983746</v>
      </c>
      <c r="DG56" s="60">
        <f t="shared" si="353"/>
        <v>2.1627679615846791</v>
      </c>
      <c r="DH56" s="60">
        <f t="shared" si="353"/>
        <v>1.0697016971054003</v>
      </c>
      <c r="DI56" s="60">
        <f t="shared" si="353"/>
        <v>0.57096691771705366</v>
      </c>
      <c r="DJ56" s="60">
        <f t="shared" si="353"/>
        <v>1.3778501792626068</v>
      </c>
      <c r="DK56" s="60">
        <f t="shared" ref="DK56:FB56" si="354">DK35/DK30</f>
        <v>0.76356119170888426</v>
      </c>
      <c r="DL56" s="60">
        <f t="shared" si="354"/>
        <v>0.56261064347760725</v>
      </c>
      <c r="DM56" s="60">
        <f t="shared" si="354"/>
        <v>1.6996027846557131</v>
      </c>
      <c r="DN56" s="60">
        <f t="shared" si="354"/>
        <v>0.98799506397953041</v>
      </c>
      <c r="DO56" s="60">
        <f t="shared" si="354"/>
        <v>0.58172823852086031</v>
      </c>
      <c r="DP56" s="60">
        <f t="shared" si="354"/>
        <v>1.5737158189452001</v>
      </c>
      <c r="DQ56" s="60">
        <f t="shared" si="354"/>
        <v>0.56576075585443519</v>
      </c>
      <c r="DR56" s="60">
        <f t="shared" si="354"/>
        <v>0.50554097922706132</v>
      </c>
      <c r="DS56" s="60">
        <f t="shared" si="354"/>
        <v>2.3294796676245753</v>
      </c>
      <c r="DT56" s="60">
        <f t="shared" si="354"/>
        <v>1.1328437479199471</v>
      </c>
      <c r="DU56" s="60">
        <f t="shared" si="354"/>
        <v>0.59520698110878456</v>
      </c>
      <c r="DV56" s="60">
        <f t="shared" si="354"/>
        <v>1.4153104386294983</v>
      </c>
      <c r="DW56" s="60">
        <f t="shared" si="354"/>
        <v>0.77354727033772386</v>
      </c>
      <c r="DX56" s="60">
        <f t="shared" si="354"/>
        <v>0.56261064347760703</v>
      </c>
      <c r="DY56" s="60">
        <f t="shared" si="354"/>
        <v>1.6996027846557129</v>
      </c>
      <c r="DZ56" s="60">
        <f t="shared" si="354"/>
        <v>0.97598458584064618</v>
      </c>
      <c r="EA56" s="60">
        <f t="shared" si="354"/>
        <v>0.5680662893049131</v>
      </c>
      <c r="EB56" s="60">
        <f t="shared" si="354"/>
        <v>1.5201027396534292</v>
      </c>
      <c r="EC56" s="60">
        <f t="shared" si="354"/>
        <v>0.54088091020950846</v>
      </c>
      <c r="ED56" s="60">
        <f t="shared" si="354"/>
        <v>0.47860986115094184</v>
      </c>
      <c r="EE56" s="60">
        <f t="shared" si="354"/>
        <v>2.2602437335314751</v>
      </c>
      <c r="EF56" s="60">
        <f t="shared" si="354"/>
        <v>1.1066206411415129</v>
      </c>
      <c r="EG56" s="60">
        <f t="shared" si="354"/>
        <v>0.58514000098322094</v>
      </c>
      <c r="EH56" s="60">
        <f t="shared" si="354"/>
        <v>1.3997530665034172</v>
      </c>
      <c r="EI56" s="60">
        <f t="shared" si="354"/>
        <v>0.76940001818478021</v>
      </c>
      <c r="EJ56" s="60">
        <f t="shared" si="354"/>
        <v>0.56261064347760692</v>
      </c>
      <c r="EK56" s="60">
        <f t="shared" si="354"/>
        <v>1.6996027846557125</v>
      </c>
      <c r="EL56" s="60">
        <f t="shared" si="354"/>
        <v>0.98097257794152082</v>
      </c>
      <c r="EM56" s="60">
        <f t="shared" si="354"/>
        <v>0.57374014291704145</v>
      </c>
      <c r="EN56" s="60">
        <f t="shared" si="354"/>
        <v>1.5423684324025924</v>
      </c>
      <c r="EO56" s="60">
        <f t="shared" si="354"/>
        <v>0.55121359406379267</v>
      </c>
      <c r="EP56" s="60">
        <f t="shared" si="354"/>
        <v>0.48979444536799432</v>
      </c>
      <c r="EQ56" s="60">
        <f t="shared" si="354"/>
        <v>2.5465561584845666</v>
      </c>
      <c r="ER56" s="60">
        <f t="shared" si="354"/>
        <v>1.215061458614149</v>
      </c>
      <c r="ES56" s="60">
        <f t="shared" si="354"/>
        <v>0.62677013899549872</v>
      </c>
      <c r="ET56" s="60">
        <f t="shared" si="354"/>
        <v>1.4640877071443079</v>
      </c>
      <c r="EU56" s="60">
        <f t="shared" si="354"/>
        <v>0.78655021390835611</v>
      </c>
      <c r="EV56" s="60">
        <f t="shared" si="354"/>
        <v>0.56261064347760725</v>
      </c>
      <c r="EW56" s="60">
        <f t="shared" si="354"/>
        <v>1.6996027846557134</v>
      </c>
      <c r="EX56" s="60">
        <f t="shared" si="354"/>
        <v>0.96034565735822885</v>
      </c>
      <c r="EY56" s="60">
        <f t="shared" si="354"/>
        <v>0.55027696865939424</v>
      </c>
      <c r="EZ56" s="60">
        <f t="shared" si="354"/>
        <v>1.4502927701359278</v>
      </c>
      <c r="FA56" s="60">
        <f t="shared" si="354"/>
        <v>0.50848468732851682</v>
      </c>
      <c r="FB56" s="60">
        <f t="shared" si="354"/>
        <v>0.44354266193758279</v>
      </c>
    </row>
    <row r="57" spans="3:158" outlineLevel="1" x14ac:dyDescent="0.25">
      <c r="C57" s="2" t="s">
        <v>223</v>
      </c>
      <c r="D57" s="15">
        <f t="shared" ref="D57:L57" si="355">D21/D43</f>
        <v>0.86355210775197155</v>
      </c>
      <c r="E57" s="15">
        <f t="shared" si="355"/>
        <v>0.77105622790797401</v>
      </c>
      <c r="F57" s="15">
        <f t="shared" si="355"/>
        <v>0.77068151453536615</v>
      </c>
      <c r="G57" s="15">
        <f t="shared" si="355"/>
        <v>0.8182622323898302</v>
      </c>
      <c r="H57" s="15">
        <f t="shared" si="355"/>
        <v>0.81395410701619875</v>
      </c>
      <c r="I57" s="15">
        <f t="shared" si="355"/>
        <v>0.84495408067616706</v>
      </c>
      <c r="J57" s="15">
        <f t="shared" si="355"/>
        <v>0.90949083237006478</v>
      </c>
      <c r="K57" s="15">
        <f t="shared" si="355"/>
        <v>0.97736474196077494</v>
      </c>
      <c r="L57" s="15">
        <f t="shared" si="355"/>
        <v>0.93830660166613633</v>
      </c>
      <c r="M57" s="61"/>
      <c r="N57" s="15">
        <f t="shared" ref="N57:AW57" si="356">N21/N43</f>
        <v>0.80200313614772556</v>
      </c>
      <c r="O57" s="15">
        <f t="shared" si="356"/>
        <v>0.9203099323663001</v>
      </c>
      <c r="P57" s="15">
        <f t="shared" si="356"/>
        <v>0.74317988968938664</v>
      </c>
      <c r="Q57" s="15">
        <f t="shared" si="356"/>
        <v>0.95944830113619284</v>
      </c>
      <c r="R57" s="15">
        <f t="shared" si="356"/>
        <v>0.74623301097437222</v>
      </c>
      <c r="S57" s="15">
        <f t="shared" si="356"/>
        <v>0.83515263740205647</v>
      </c>
      <c r="T57" s="15">
        <f t="shared" si="356"/>
        <v>0.65024730429732469</v>
      </c>
      <c r="U57" s="15">
        <f t="shared" si="356"/>
        <v>0.84325898634429108</v>
      </c>
      <c r="V57" s="15">
        <f t="shared" si="356"/>
        <v>0.54284897407794597</v>
      </c>
      <c r="W57" s="15">
        <f t="shared" si="356"/>
        <v>0.81191610303324357</v>
      </c>
      <c r="X57" s="15">
        <f t="shared" si="356"/>
        <v>0.79469184680091198</v>
      </c>
      <c r="Y57" s="15">
        <f t="shared" si="356"/>
        <v>0.89763510281766801</v>
      </c>
      <c r="Z57" s="15">
        <f t="shared" si="356"/>
        <v>0.65151130049860573</v>
      </c>
      <c r="AA57" s="15">
        <f t="shared" si="356"/>
        <v>0.76300648596541965</v>
      </c>
      <c r="AB57" s="15">
        <f t="shared" si="356"/>
        <v>0.78845056852882134</v>
      </c>
      <c r="AC57" s="15">
        <f t="shared" si="356"/>
        <v>0.98729953395438386</v>
      </c>
      <c r="AD57" s="15">
        <f t="shared" si="356"/>
        <v>0.61427312153831493</v>
      </c>
      <c r="AE57" s="15">
        <f t="shared" si="356"/>
        <v>0.79674212658310795</v>
      </c>
      <c r="AF57" s="15">
        <f t="shared" si="356"/>
        <v>0.7293668642777732</v>
      </c>
      <c r="AG57" s="15">
        <f t="shared" si="356"/>
        <v>1.0880590010837186</v>
      </c>
      <c r="AH57" s="15">
        <f t="shared" si="356"/>
        <v>0.72209170109255461</v>
      </c>
      <c r="AI57" s="15">
        <f t="shared" si="356"/>
        <v>0.88946884087863376</v>
      </c>
      <c r="AJ57" s="15">
        <f t="shared" si="356"/>
        <v>0.74141021871633483</v>
      </c>
      <c r="AK57" s="15">
        <f t="shared" si="356"/>
        <v>0.99532180045084484</v>
      </c>
      <c r="AL57" s="15">
        <f t="shared" si="356"/>
        <v>0.709463482354866</v>
      </c>
      <c r="AM57" s="15">
        <f t="shared" si="356"/>
        <v>0.93880791920992013</v>
      </c>
      <c r="AN57" s="15">
        <f t="shared" si="356"/>
        <v>0.81242334815471462</v>
      </c>
      <c r="AO57" s="15">
        <f t="shared" si="356"/>
        <v>1.1531665689843469</v>
      </c>
      <c r="AP57" s="15">
        <f t="shared" si="356"/>
        <v>0.8022964411055441</v>
      </c>
      <c r="AQ57" s="15">
        <f t="shared" si="356"/>
        <v>1.023247791827343</v>
      </c>
      <c r="AR57" s="15">
        <f t="shared" si="356"/>
        <v>0.86197587034075795</v>
      </c>
      <c r="AS57" s="15">
        <f t="shared" si="356"/>
        <v>1.1873302911927393</v>
      </c>
      <c r="AT57" s="15">
        <f t="shared" si="356"/>
        <v>0.79223122269243473</v>
      </c>
      <c r="AU57" s="15">
        <f t="shared" si="356"/>
        <v>0.98761287401614672</v>
      </c>
      <c r="AV57" s="15">
        <f t="shared" si="356"/>
        <v>0.82350830356547711</v>
      </c>
      <c r="AW57" s="15">
        <f t="shared" si="356"/>
        <v>1.1152642343100676</v>
      </c>
      <c r="AX57" s="61"/>
      <c r="AY57" s="15">
        <f t="shared" ref="AY57:CD57" si="357">AY21/AY43</f>
        <v>0.22473786133853921</v>
      </c>
      <c r="AZ57" s="15">
        <f t="shared" si="357"/>
        <v>0.73334472174546472</v>
      </c>
      <c r="BA57" s="15">
        <f t="shared" si="357"/>
        <v>1.2415222358011706</v>
      </c>
      <c r="BB57" s="15">
        <f t="shared" si="357"/>
        <v>0.55599590101678842</v>
      </c>
      <c r="BC57" s="15">
        <f t="shared" si="357"/>
        <v>1.0176270156687073</v>
      </c>
      <c r="BD57" s="15">
        <f t="shared" si="357"/>
        <v>1.0729179338592678</v>
      </c>
      <c r="BE57" s="15">
        <f t="shared" si="357"/>
        <v>0.51227371614179185</v>
      </c>
      <c r="BF57" s="15">
        <f t="shared" si="357"/>
        <v>0.59092839901026262</v>
      </c>
      <c r="BG57" s="15">
        <f t="shared" si="357"/>
        <v>1.0106283424870146</v>
      </c>
      <c r="BH57" s="15">
        <f t="shared" si="357"/>
        <v>0.67106074682291983</v>
      </c>
      <c r="BI57" s="15">
        <f t="shared" si="357"/>
        <v>1.334491348268305</v>
      </c>
      <c r="BJ57" s="15">
        <f t="shared" si="357"/>
        <v>0.84920624521133736</v>
      </c>
      <c r="BK57" s="15">
        <f t="shared" si="357"/>
        <v>0.33983463693476873</v>
      </c>
      <c r="BL57" s="15">
        <f t="shared" si="357"/>
        <v>0.58153108124929509</v>
      </c>
      <c r="BM57" s="15">
        <f t="shared" si="357"/>
        <v>1.2104635525135148</v>
      </c>
      <c r="BN57" s="15">
        <f t="shared" si="357"/>
        <v>0.42097986514100078</v>
      </c>
      <c r="BO57" s="15">
        <f t="shared" si="357"/>
        <v>1.0640736961815902</v>
      </c>
      <c r="BP57" s="15">
        <f t="shared" si="357"/>
        <v>1.0533292399969645</v>
      </c>
      <c r="BQ57" s="15">
        <f t="shared" si="357"/>
        <v>0.4488512760201368</v>
      </c>
      <c r="BR57" s="15">
        <f t="shared" si="357"/>
        <v>0.41248707131172635</v>
      </c>
      <c r="BS57" s="15">
        <f t="shared" si="357"/>
        <v>1.0385153005430952</v>
      </c>
      <c r="BT57" s="15">
        <f t="shared" si="357"/>
        <v>0.29133589792391773</v>
      </c>
      <c r="BU57" s="15">
        <f t="shared" si="357"/>
        <v>0.96020399998793549</v>
      </c>
      <c r="BV57" s="15">
        <f t="shared" si="357"/>
        <v>1.1264945884216433</v>
      </c>
      <c r="BW57" s="15">
        <f t="shared" si="357"/>
        <v>0.31668119245829346</v>
      </c>
      <c r="BX57" s="15">
        <f t="shared" si="357"/>
        <v>0.53411961048229717</v>
      </c>
      <c r="BY57" s="15">
        <f t="shared" si="357"/>
        <v>0.81338682268050644</v>
      </c>
      <c r="BZ57" s="15">
        <f t="shared" si="357"/>
        <v>0.55344690189201329</v>
      </c>
      <c r="CA57" s="15">
        <f t="shared" si="357"/>
        <v>0.67309689910825354</v>
      </c>
      <c r="CB57" s="15">
        <f t="shared" si="357"/>
        <v>1.1012820781663903</v>
      </c>
      <c r="CC57" s="15">
        <f t="shared" si="357"/>
        <v>0.36774586042865887</v>
      </c>
      <c r="CD57" s="15">
        <f t="shared" si="357"/>
        <v>0.92138109868212814</v>
      </c>
      <c r="CE57" s="15">
        <f t="shared" ref="CE57:DJ57" si="358">CE21/CE43</f>
        <v>0.99612763013438532</v>
      </c>
      <c r="CF57" s="15">
        <f t="shared" si="358"/>
        <v>0.48425634672752493</v>
      </c>
      <c r="CG57" s="15">
        <f t="shared" si="358"/>
        <v>0.96869570588529685</v>
      </c>
      <c r="CH57" s="15">
        <f t="shared" si="358"/>
        <v>1.1205067706444536</v>
      </c>
      <c r="CI57" s="15">
        <f t="shared" si="358"/>
        <v>0.3560736895341865</v>
      </c>
      <c r="CJ57" s="15">
        <f t="shared" si="358"/>
        <v>0.55781365936502603</v>
      </c>
      <c r="CK57" s="15">
        <f t="shared" si="358"/>
        <v>0.92806037087649829</v>
      </c>
      <c r="CL57" s="15">
        <f t="shared" si="358"/>
        <v>0.52307193709172795</v>
      </c>
      <c r="CM57" s="15">
        <f t="shared" si="358"/>
        <v>0.6386458283658254</v>
      </c>
      <c r="CN57" s="15">
        <f t="shared" si="358"/>
        <v>1.0515746570004005</v>
      </c>
      <c r="CO57" s="15">
        <f t="shared" si="358"/>
        <v>0.43326318496991129</v>
      </c>
      <c r="CP57" s="15">
        <f t="shared" si="358"/>
        <v>0.84990616335213764</v>
      </c>
      <c r="CQ57" s="15">
        <f t="shared" si="358"/>
        <v>0.97983447727927109</v>
      </c>
      <c r="CR57" s="15">
        <f t="shared" si="358"/>
        <v>0.34868067230737076</v>
      </c>
      <c r="CS57" s="15">
        <f t="shared" si="358"/>
        <v>1.200681747938422</v>
      </c>
      <c r="CT57" s="15">
        <f t="shared" si="358"/>
        <v>1.272509375814183</v>
      </c>
      <c r="CU57" s="15">
        <f t="shared" si="358"/>
        <v>0.2448695640456236</v>
      </c>
      <c r="CV57" s="15">
        <f t="shared" si="358"/>
        <v>0.54363136383204902</v>
      </c>
      <c r="CW57" s="15">
        <f t="shared" si="358"/>
        <v>1.0426222752621446</v>
      </c>
      <c r="CX57" s="15">
        <f t="shared" si="358"/>
        <v>0.41966311281012186</v>
      </c>
      <c r="CY57" s="15">
        <f t="shared" si="358"/>
        <v>0.81711725505131816</v>
      </c>
      <c r="CZ57" s="15">
        <f t="shared" si="358"/>
        <v>1.1433084616296905</v>
      </c>
      <c r="DA57" s="15">
        <f t="shared" si="358"/>
        <v>0.38388863101212695</v>
      </c>
      <c r="DB57" s="15">
        <f t="shared" si="358"/>
        <v>0.66203564636143275</v>
      </c>
      <c r="DC57" s="15">
        <f t="shared" si="358"/>
        <v>1.1133622161481029</v>
      </c>
      <c r="DD57" s="15">
        <f t="shared" si="358"/>
        <v>0.49739461681101038</v>
      </c>
      <c r="DE57" s="15">
        <f t="shared" si="358"/>
        <v>1.3272568864199479</v>
      </c>
      <c r="DF57" s="15">
        <f t="shared" si="358"/>
        <v>1.4144005770635686</v>
      </c>
      <c r="DG57" s="15">
        <f t="shared" si="358"/>
        <v>0.30849488158201621</v>
      </c>
      <c r="DH57" s="15">
        <f t="shared" si="358"/>
        <v>0.64323096239746247</v>
      </c>
      <c r="DI57" s="15">
        <f t="shared" si="358"/>
        <v>1.1792175907412861</v>
      </c>
      <c r="DJ57" s="15">
        <f t="shared" si="358"/>
        <v>0.50089270776367434</v>
      </c>
      <c r="DK57" s="15">
        <f t="shared" ref="DK57:EP57" si="359">DK21/DK43</f>
        <v>0.9115784096871884</v>
      </c>
      <c r="DL57" s="15">
        <f t="shared" si="359"/>
        <v>1.2292317817986742</v>
      </c>
      <c r="DM57" s="15">
        <f t="shared" si="359"/>
        <v>0.39848513513924677</v>
      </c>
      <c r="DN57" s="15">
        <f t="shared" si="359"/>
        <v>0.67301379484856483</v>
      </c>
      <c r="DO57" s="15">
        <f t="shared" si="359"/>
        <v>1.1103863563989871</v>
      </c>
      <c r="DP57" s="15">
        <f t="shared" si="359"/>
        <v>0.43333387008589119</v>
      </c>
      <c r="DQ57" s="15">
        <f t="shared" si="359"/>
        <v>1.2228491506519286</v>
      </c>
      <c r="DR57" s="15">
        <f t="shared" si="359"/>
        <v>1.2922116271996846</v>
      </c>
      <c r="DS57" s="15">
        <f t="shared" si="359"/>
        <v>0.29539183077253617</v>
      </c>
      <c r="DT57" s="15">
        <f t="shared" si="359"/>
        <v>0.63178736886096754</v>
      </c>
      <c r="DU57" s="15">
        <f t="shared" si="359"/>
        <v>1.1876453145175048</v>
      </c>
      <c r="DV57" s="15">
        <f t="shared" si="359"/>
        <v>0.51676267047190594</v>
      </c>
      <c r="DW57" s="15">
        <f t="shared" si="359"/>
        <v>0.96240932091178266</v>
      </c>
      <c r="DX57" s="15">
        <f t="shared" si="359"/>
        <v>1.3254534617497193</v>
      </c>
      <c r="DY57" s="15">
        <f t="shared" si="359"/>
        <v>0.42898590331381237</v>
      </c>
      <c r="DZ57" s="15">
        <f t="shared" si="359"/>
        <v>0.73777899083584131</v>
      </c>
      <c r="EA57" s="15">
        <f t="shared" si="359"/>
        <v>1.2358952720587342</v>
      </c>
      <c r="EB57" s="15">
        <f t="shared" si="359"/>
        <v>0.49425861605983817</v>
      </c>
      <c r="EC57" s="15">
        <f t="shared" si="359"/>
        <v>1.4224144506648364</v>
      </c>
      <c r="ED57" s="15">
        <f t="shared" si="359"/>
        <v>1.5131021455120617</v>
      </c>
      <c r="EE57" s="15">
        <f t="shared" si="359"/>
        <v>0.33823110471588136</v>
      </c>
      <c r="EF57" s="15">
        <f t="shared" si="359"/>
        <v>0.71607642427449747</v>
      </c>
      <c r="EG57" s="15">
        <f t="shared" si="359"/>
        <v>1.3241926427942181</v>
      </c>
      <c r="EH57" s="15">
        <f t="shared" si="359"/>
        <v>0.57023726737286173</v>
      </c>
      <c r="EI57" s="15">
        <f t="shared" si="359"/>
        <v>1.0494674845457534</v>
      </c>
      <c r="EJ57" s="15">
        <f t="shared" si="359"/>
        <v>1.4270170588751685</v>
      </c>
      <c r="EK57" s="15">
        <f t="shared" si="359"/>
        <v>0.46107405772974736</v>
      </c>
      <c r="EL57" s="15">
        <f t="shared" si="359"/>
        <v>0.78300330357392323</v>
      </c>
      <c r="EM57" s="15">
        <f t="shared" si="359"/>
        <v>1.295628635908749</v>
      </c>
      <c r="EN57" s="15">
        <f t="shared" si="359"/>
        <v>0.5142629748874803</v>
      </c>
      <c r="EO57" s="15">
        <f t="shared" si="359"/>
        <v>1.4658173751745454</v>
      </c>
      <c r="EP57" s="15">
        <f t="shared" si="359"/>
        <v>1.5418742105391821</v>
      </c>
      <c r="EQ57" s="15">
        <f t="shared" ref="EQ57:FB57" si="360">EQ21/EQ43</f>
        <v>0.33681423031027075</v>
      </c>
      <c r="ER57" s="15">
        <f t="shared" si="360"/>
        <v>0.70691748476921556</v>
      </c>
      <c r="ES57" s="15">
        <f t="shared" si="360"/>
        <v>1.2975541436595559</v>
      </c>
      <c r="ET57" s="15">
        <f t="shared" si="360"/>
        <v>0.55430568394354085</v>
      </c>
      <c r="EU57" s="15">
        <f t="shared" si="360"/>
        <v>1.0127133288845953</v>
      </c>
      <c r="EV57" s="15">
        <f t="shared" si="360"/>
        <v>1.3684069775816028</v>
      </c>
      <c r="EW57" s="15">
        <f t="shared" si="360"/>
        <v>0.44262505014946468</v>
      </c>
      <c r="EX57" s="15">
        <f t="shared" si="360"/>
        <v>0.74788940142747029</v>
      </c>
      <c r="EY57" s="15">
        <f t="shared" si="360"/>
        <v>1.2327623400410221</v>
      </c>
      <c r="EZ57" s="15">
        <f t="shared" si="360"/>
        <v>0.48514086884364338</v>
      </c>
      <c r="FA57" s="15">
        <f t="shared" si="360"/>
        <v>1.3743374965902118</v>
      </c>
      <c r="FB57" s="15">
        <f t="shared" si="360"/>
        <v>1.4450638834545853</v>
      </c>
    </row>
    <row r="58" spans="3:158" outlineLevel="1" x14ac:dyDescent="0.25">
      <c r="C58" s="2"/>
      <c r="D58" s="16"/>
      <c r="E58" s="16"/>
      <c r="F58" s="16"/>
      <c r="G58" s="16"/>
      <c r="H58" s="16"/>
      <c r="I58" s="16"/>
      <c r="J58" s="16"/>
      <c r="K58" s="16"/>
      <c r="L58" s="16"/>
      <c r="M58" s="61"/>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61"/>
      <c r="AY58" s="16"/>
      <c r="AZ58" s="16"/>
      <c r="BA58" s="16"/>
      <c r="BB58" s="16"/>
      <c r="BC58" s="16"/>
      <c r="BD58" s="16"/>
      <c r="BE58" s="16"/>
      <c r="BF58" s="16"/>
      <c r="BG58" s="16"/>
      <c r="BH58" s="16"/>
      <c r="BI58" s="16"/>
      <c r="BJ58" s="16"/>
      <c r="BK58" s="16"/>
      <c r="BL58" s="16"/>
      <c r="BM58" s="16"/>
      <c r="BN58" s="16"/>
      <c r="BO58" s="16"/>
      <c r="BP58" s="16"/>
      <c r="BQ58" s="16"/>
      <c r="BR58" s="16"/>
      <c r="BS58" s="16"/>
      <c r="BT58" s="16"/>
      <c r="BU58" s="16"/>
      <c r="BV58" s="16"/>
      <c r="BW58" s="16"/>
      <c r="BX58" s="16"/>
      <c r="BY58" s="16"/>
      <c r="BZ58" s="16"/>
      <c r="CA58" s="16"/>
      <c r="CB58" s="16"/>
      <c r="CC58" s="16"/>
      <c r="CD58" s="16"/>
      <c r="CE58" s="16"/>
      <c r="CF58" s="16"/>
      <c r="CG58" s="16"/>
      <c r="CH58" s="16"/>
      <c r="CI58" s="16"/>
      <c r="CJ58" s="16"/>
      <c r="CK58" s="16"/>
      <c r="CL58" s="16"/>
      <c r="CM58" s="16"/>
      <c r="CN58" s="16"/>
      <c r="CO58" s="16"/>
      <c r="CP58" s="16"/>
      <c r="CQ58" s="16"/>
      <c r="CR58" s="16"/>
      <c r="CS58" s="16"/>
      <c r="CT58" s="16"/>
      <c r="CU58" s="16"/>
      <c r="CV58" s="16"/>
      <c r="CW58" s="16"/>
      <c r="CX58" s="16"/>
      <c r="CY58" s="16"/>
      <c r="CZ58" s="16"/>
      <c r="DA58" s="16"/>
      <c r="DB58" s="16"/>
      <c r="DC58" s="16"/>
      <c r="DD58" s="16"/>
      <c r="DE58" s="16"/>
      <c r="DF58" s="16"/>
      <c r="DG58" s="16"/>
      <c r="DH58" s="16"/>
      <c r="DI58" s="16"/>
      <c r="DJ58" s="16"/>
      <c r="DK58" s="16"/>
      <c r="DL58" s="16"/>
      <c r="DM58" s="16"/>
      <c r="DN58" s="16"/>
      <c r="DO58" s="16"/>
      <c r="DP58" s="16"/>
      <c r="DQ58" s="16"/>
      <c r="DR58" s="16"/>
      <c r="DS58" s="16"/>
      <c r="DT58" s="16"/>
      <c r="DU58" s="16"/>
      <c r="DV58" s="16"/>
      <c r="DW58" s="16"/>
      <c r="DX58" s="16"/>
      <c r="DY58" s="16"/>
      <c r="DZ58" s="16"/>
      <c r="EA58" s="16"/>
      <c r="EB58" s="16"/>
      <c r="EC58" s="16"/>
      <c r="ED58" s="16"/>
      <c r="EE58" s="16"/>
      <c r="EF58" s="16"/>
      <c r="EG58" s="16"/>
      <c r="EH58" s="16"/>
      <c r="EI58" s="16"/>
      <c r="EJ58" s="16"/>
      <c r="EK58" s="16"/>
      <c r="EL58" s="16"/>
      <c r="EM58" s="16"/>
      <c r="EN58" s="16"/>
      <c r="EO58" s="16"/>
      <c r="EP58" s="16"/>
      <c r="EQ58" s="16"/>
      <c r="ER58" s="16"/>
      <c r="ES58" s="16"/>
      <c r="ET58" s="16"/>
      <c r="EU58" s="16"/>
      <c r="EV58" s="16"/>
      <c r="EW58" s="16"/>
      <c r="EX58" s="16"/>
      <c r="EY58" s="16"/>
      <c r="EZ58" s="16"/>
      <c r="FA58" s="16"/>
      <c r="FB58" s="16"/>
    </row>
    <row r="59" spans="3:158" outlineLevel="1" collapsed="1" x14ac:dyDescent="0.25">
      <c r="D59" s="20"/>
      <c r="E59" s="20"/>
      <c r="F59" s="20"/>
      <c r="G59" s="20"/>
      <c r="H59" s="20"/>
      <c r="I59" s="20"/>
      <c r="J59" s="20"/>
      <c r="K59" s="20"/>
      <c r="L59" s="20"/>
      <c r="N59" s="20"/>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0"/>
      <c r="AT59" s="20"/>
      <c r="AU59" s="20"/>
      <c r="AV59" s="20"/>
      <c r="AW59" s="20"/>
      <c r="AY59" s="20"/>
    </row>
    <row r="60" spans="3:158" x14ac:dyDescent="0.25">
      <c r="D60" s="20"/>
      <c r="E60" s="20"/>
      <c r="F60" s="20"/>
      <c r="G60" s="20"/>
      <c r="H60" s="20"/>
      <c r="I60" s="20"/>
      <c r="J60" s="20"/>
      <c r="K60" s="20"/>
      <c r="L60" s="20"/>
      <c r="N60" s="20"/>
      <c r="O60" s="20"/>
      <c r="P60" s="20"/>
      <c r="Q60" s="20"/>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c r="AS60" s="20"/>
      <c r="AT60" s="20"/>
      <c r="AU60" s="20"/>
      <c r="AV60" s="20"/>
      <c r="AW60" s="20"/>
      <c r="AY60" s="20"/>
    </row>
    <row r="61" spans="3:158" x14ac:dyDescent="0.25">
      <c r="C61" s="3" t="s">
        <v>57</v>
      </c>
      <c r="D61" s="4"/>
      <c r="E61" s="4"/>
      <c r="F61" s="4"/>
      <c r="G61" s="4"/>
      <c r="H61" s="4"/>
      <c r="I61" s="4"/>
      <c r="J61" s="4"/>
      <c r="K61" s="4"/>
      <c r="L61" s="4"/>
      <c r="M61" s="3"/>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3"/>
      <c r="AY61" s="4"/>
      <c r="AZ61" s="4"/>
      <c r="BA61" s="4"/>
      <c r="BB61" s="4"/>
      <c r="BC61" s="4"/>
      <c r="BD61" s="4"/>
      <c r="BE61" s="4"/>
      <c r="BF61" s="4"/>
      <c r="BG61" s="4"/>
      <c r="BH61" s="4"/>
      <c r="BI61" s="4"/>
      <c r="BJ61" s="4"/>
      <c r="BK61" s="4"/>
      <c r="BL61" s="4"/>
      <c r="BM61" s="4"/>
      <c r="BN61" s="4"/>
      <c r="BO61" s="4"/>
      <c r="BP61" s="4"/>
      <c r="BQ61" s="4"/>
      <c r="BR61" s="4"/>
      <c r="BS61" s="4"/>
      <c r="BT61" s="4"/>
      <c r="BU61" s="4"/>
      <c r="BV61" s="4"/>
      <c r="BW61" s="4"/>
      <c r="BX61" s="4"/>
      <c r="BY61" s="4"/>
      <c r="BZ61" s="4"/>
      <c r="CA61" s="4"/>
      <c r="CB61" s="4"/>
      <c r="CC61" s="4"/>
      <c r="CD61" s="4"/>
      <c r="CE61" s="4"/>
      <c r="CF61" s="4"/>
      <c r="CG61" s="4"/>
      <c r="CH61" s="4"/>
      <c r="CI61" s="4"/>
      <c r="CJ61" s="4"/>
      <c r="CK61" s="4"/>
      <c r="CL61" s="4"/>
      <c r="CM61" s="4"/>
      <c r="CN61" s="4"/>
      <c r="CO61" s="4"/>
      <c r="CP61" s="4"/>
      <c r="CQ61" s="4"/>
      <c r="CR61" s="4"/>
      <c r="CS61" s="4"/>
      <c r="CT61" s="4"/>
      <c r="CU61" s="4"/>
      <c r="CV61" s="4"/>
      <c r="CW61" s="4"/>
      <c r="CX61" s="4"/>
      <c r="CY61" s="4"/>
      <c r="CZ61" s="4"/>
      <c r="DA61" s="4"/>
      <c r="DB61" s="4"/>
      <c r="DC61" s="4"/>
      <c r="DD61" s="4"/>
      <c r="DE61" s="4"/>
      <c r="DF61" s="4"/>
      <c r="DG61" s="4"/>
      <c r="DH61" s="4"/>
      <c r="DI61" s="4"/>
      <c r="DJ61" s="4"/>
      <c r="DK61" s="4"/>
      <c r="DL61" s="4"/>
      <c r="DM61" s="4"/>
      <c r="DN61" s="4"/>
      <c r="DO61" s="4"/>
      <c r="DP61" s="4"/>
      <c r="DQ61" s="4"/>
      <c r="DR61" s="4"/>
      <c r="DS61" s="4"/>
      <c r="DT61" s="4"/>
      <c r="DU61" s="4"/>
      <c r="DV61" s="4"/>
      <c r="DW61" s="4"/>
      <c r="DX61" s="4"/>
      <c r="DY61" s="4"/>
      <c r="DZ61" s="4"/>
      <c r="EA61" s="4"/>
      <c r="EB61" s="4"/>
      <c r="EC61" s="4"/>
      <c r="ED61" s="4"/>
      <c r="EE61" s="4"/>
      <c r="EF61" s="4"/>
      <c r="EG61" s="4"/>
      <c r="EH61" s="4"/>
      <c r="EI61" s="4"/>
      <c r="EJ61" s="4"/>
      <c r="EK61" s="4"/>
      <c r="EL61" s="4"/>
      <c r="EM61" s="4"/>
      <c r="EN61" s="4"/>
      <c r="EO61" s="4"/>
      <c r="EP61" s="4"/>
      <c r="EQ61" s="4"/>
      <c r="ER61" s="4"/>
      <c r="ES61" s="4"/>
      <c r="ET61" s="4"/>
      <c r="EU61" s="4"/>
      <c r="EV61" s="4"/>
      <c r="EW61" s="4"/>
      <c r="EX61" s="4"/>
      <c r="EY61" s="4"/>
      <c r="EZ61" s="4"/>
      <c r="FA61" s="4"/>
      <c r="FB61" s="4"/>
    </row>
    <row r="62" spans="3:158" x14ac:dyDescent="0.25">
      <c r="D62" s="20"/>
      <c r="E62" s="20"/>
      <c r="F62" s="20"/>
      <c r="G62" s="20"/>
      <c r="H62" s="20"/>
      <c r="I62" s="20"/>
      <c r="J62" s="20"/>
      <c r="K62" s="20"/>
      <c r="L62" s="20"/>
      <c r="N62" s="20"/>
      <c r="O62" s="20"/>
      <c r="P62" s="20"/>
      <c r="Q62" s="20"/>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c r="AS62" s="20"/>
      <c r="AT62" s="20"/>
      <c r="AU62" s="20"/>
      <c r="AV62" s="20"/>
      <c r="AW62" s="20"/>
      <c r="AY62" s="20"/>
    </row>
    <row r="63" spans="3:158" x14ac:dyDescent="0.25">
      <c r="C63" t="s">
        <v>58</v>
      </c>
      <c r="D63" s="22">
        <f>AY63</f>
        <v>33601000</v>
      </c>
      <c r="E63" s="22">
        <f>BK63</f>
        <v>63401484.154567443</v>
      </c>
      <c r="F63" s="22">
        <f>BW63</f>
        <v>127948489</v>
      </c>
      <c r="G63" s="22">
        <f>CI63</f>
        <v>96304544.183695585</v>
      </c>
      <c r="H63" s="22">
        <f>CU63</f>
        <v>194035776.3087858</v>
      </c>
      <c r="I63" s="53">
        <f>DG63</f>
        <v>135597997.99384063</v>
      </c>
      <c r="J63" s="53">
        <f>I68</f>
        <v>84083766.34412396</v>
      </c>
      <c r="K63" s="53">
        <f t="shared" ref="K63:L63" si="361">J68</f>
        <v>64188915.367398798</v>
      </c>
      <c r="L63" s="53">
        <f t="shared" si="361"/>
        <v>112982984.37855244</v>
      </c>
      <c r="N63" s="20">
        <f>AY63</f>
        <v>33601000</v>
      </c>
      <c r="O63" s="20">
        <f>BB63</f>
        <v>28212770.124567442</v>
      </c>
      <c r="P63" s="20">
        <f>BE63</f>
        <v>23776766.444567442</v>
      </c>
      <c r="Q63" s="20">
        <f>BH63</f>
        <v>67665568.374567434</v>
      </c>
      <c r="R63" s="20">
        <f>BK63</f>
        <v>63401484.154567443</v>
      </c>
      <c r="S63" s="20">
        <f>BN63</f>
        <v>48175318.490000002</v>
      </c>
      <c r="T63" s="20">
        <f>BQ63</f>
        <v>41429539.450000003</v>
      </c>
      <c r="U63" s="20">
        <f>BT63</f>
        <v>132459700.2</v>
      </c>
      <c r="V63" s="20">
        <f>BW63</f>
        <v>127948489</v>
      </c>
      <c r="W63" s="20">
        <f>BZ63</f>
        <v>113930231.9998</v>
      </c>
      <c r="X63" s="20">
        <f>CC63</f>
        <v>103352980.40773998</v>
      </c>
      <c r="Y63" s="20">
        <f>CF63</f>
        <v>98528151.126639977</v>
      </c>
      <c r="Z63" s="20">
        <f>CI63</f>
        <v>96304544.183695585</v>
      </c>
      <c r="AA63" s="20">
        <f>CL63</f>
        <v>86058441.69929558</v>
      </c>
      <c r="AB63" s="20">
        <f>CO63</f>
        <v>224136402.30269557</v>
      </c>
      <c r="AC63" s="20">
        <f>CR63</f>
        <v>208151271.39115179</v>
      </c>
      <c r="AD63" s="20">
        <f>CU63</f>
        <v>194035776.3087858</v>
      </c>
      <c r="AE63" s="20">
        <f>CX63</f>
        <v>176197433.5626145</v>
      </c>
      <c r="AF63" s="20">
        <f>DA63</f>
        <v>161552209.46968758</v>
      </c>
      <c r="AG63" s="20">
        <f>DD63</f>
        <v>146970820.79528081</v>
      </c>
      <c r="AH63" s="20">
        <f>DG63</f>
        <v>135597997.99384063</v>
      </c>
      <c r="AI63" s="20">
        <f>DJ63</f>
        <v>121300930.67339994</v>
      </c>
      <c r="AJ63" s="20">
        <f>DM63</f>
        <v>109742581.70301619</v>
      </c>
      <c r="AK63" s="20">
        <f>DP63</f>
        <v>95998271.173080921</v>
      </c>
      <c r="AL63" s="20">
        <f>DS63</f>
        <v>84083766.34412393</v>
      </c>
      <c r="AM63" s="20">
        <f>DV63</f>
        <v>69977267.90896365</v>
      </c>
      <c r="AN63" s="20">
        <f>DY63</f>
        <v>64633235.970212311</v>
      </c>
      <c r="AO63" s="20">
        <f>EB63</f>
        <v>60513241.371965706</v>
      </c>
      <c r="AP63" s="20">
        <f>EE63</f>
        <v>64188915.367398679</v>
      </c>
      <c r="AQ63" s="20">
        <f>EH63</f>
        <v>65523038.768940315</v>
      </c>
      <c r="AR63" s="20">
        <f>EK63</f>
        <v>77369436.190915436</v>
      </c>
      <c r="AS63" s="20">
        <f>EN63</f>
        <v>90319031.919203699</v>
      </c>
      <c r="AT63" s="20">
        <f>EQ63</f>
        <v>112982984.37855226</v>
      </c>
      <c r="AU63" s="20">
        <f>ET63</f>
        <v>130543113.44114015</v>
      </c>
      <c r="AV63" s="20">
        <f>EW63</f>
        <v>161379792.29944468</v>
      </c>
      <c r="AW63" s="20">
        <f>EZ63</f>
        <v>194226705.0090161</v>
      </c>
      <c r="AY63" s="22">
        <v>33601000</v>
      </c>
      <c r="AZ63" s="22">
        <f>AY68</f>
        <v>30908000</v>
      </c>
      <c r="BA63" s="22">
        <f t="shared" ref="BA63:DL63" si="362">AZ68</f>
        <v>29751252.227858581</v>
      </c>
      <c r="BB63" s="22">
        <f t="shared" si="362"/>
        <v>28212770.124567442</v>
      </c>
      <c r="BC63" s="22">
        <f t="shared" si="362"/>
        <v>26828045.664567441</v>
      </c>
      <c r="BD63" s="22">
        <f t="shared" si="362"/>
        <v>25053116.18456744</v>
      </c>
      <c r="BE63" s="22">
        <f t="shared" si="362"/>
        <v>23776766.444567442</v>
      </c>
      <c r="BF63" s="22">
        <f t="shared" si="362"/>
        <v>71460969.974567443</v>
      </c>
      <c r="BG63" s="22">
        <f t="shared" si="362"/>
        <v>69370126.044567436</v>
      </c>
      <c r="BH63" s="22">
        <f t="shared" si="362"/>
        <v>67665568.374567434</v>
      </c>
      <c r="BI63" s="22">
        <f t="shared" si="362"/>
        <v>64055153.52456744</v>
      </c>
      <c r="BJ63" s="22">
        <f t="shared" si="362"/>
        <v>61392734.444567442</v>
      </c>
      <c r="BK63" s="22">
        <f t="shared" si="362"/>
        <v>63401484.154567443</v>
      </c>
      <c r="BL63" s="22">
        <f t="shared" si="362"/>
        <v>56750586</v>
      </c>
      <c r="BM63" s="22">
        <f t="shared" si="362"/>
        <v>53238498</v>
      </c>
      <c r="BN63" s="22">
        <f t="shared" si="362"/>
        <v>48175318.490000002</v>
      </c>
      <c r="BO63" s="22">
        <f t="shared" si="362"/>
        <v>44147531.289999999</v>
      </c>
      <c r="BP63" s="22">
        <f t="shared" si="362"/>
        <v>41703546</v>
      </c>
      <c r="BQ63" s="22">
        <f t="shared" si="362"/>
        <v>41429539.450000003</v>
      </c>
      <c r="BR63" s="22">
        <f t="shared" si="362"/>
        <v>38291624.450000003</v>
      </c>
      <c r="BS63" s="22">
        <f t="shared" si="362"/>
        <v>35664372.490000002</v>
      </c>
      <c r="BT63" s="22">
        <f t="shared" si="362"/>
        <v>132459700.2</v>
      </c>
      <c r="BU63" s="22">
        <f t="shared" si="362"/>
        <v>128008357.45999999</v>
      </c>
      <c r="BV63" s="22">
        <f t="shared" si="362"/>
        <v>126099865.05</v>
      </c>
      <c r="BW63" s="22">
        <f t="shared" si="362"/>
        <v>127948489</v>
      </c>
      <c r="BX63" s="22">
        <f t="shared" si="362"/>
        <v>119257943.236</v>
      </c>
      <c r="BY63" s="22">
        <f t="shared" si="362"/>
        <v>115335263.0008</v>
      </c>
      <c r="BZ63" s="22">
        <f t="shared" si="362"/>
        <v>113930231.9998</v>
      </c>
      <c r="CA63" s="22">
        <f t="shared" si="362"/>
        <v>107616850.00053999</v>
      </c>
      <c r="CB63" s="22">
        <f t="shared" si="362"/>
        <v>104613278.82773998</v>
      </c>
      <c r="CC63" s="22">
        <f t="shared" si="362"/>
        <v>103352980.40773998</v>
      </c>
      <c r="CD63" s="22">
        <f t="shared" si="362"/>
        <v>100208376.29277998</v>
      </c>
      <c r="CE63" s="22">
        <f t="shared" si="362"/>
        <v>98942438.337039977</v>
      </c>
      <c r="CF63" s="22">
        <f t="shared" si="362"/>
        <v>98528151.126639977</v>
      </c>
      <c r="CG63" s="22">
        <f t="shared" si="362"/>
        <v>95916201.318802193</v>
      </c>
      <c r="CH63" s="22">
        <f t="shared" si="362"/>
        <v>94172541.173202187</v>
      </c>
      <c r="CI63" s="53">
        <f t="shared" si="362"/>
        <v>96304544.183695585</v>
      </c>
      <c r="CJ63" s="22">
        <f t="shared" si="362"/>
        <v>93950941.221695587</v>
      </c>
      <c r="CK63" s="22">
        <f t="shared" si="362"/>
        <v>90695742.135095581</v>
      </c>
      <c r="CL63" s="22">
        <f t="shared" si="362"/>
        <v>86058441.69929558</v>
      </c>
      <c r="CM63" s="22">
        <f t="shared" si="362"/>
        <v>79600356.420295581</v>
      </c>
      <c r="CN63" s="22">
        <f t="shared" si="362"/>
        <v>75904722.730695575</v>
      </c>
      <c r="CO63" s="22">
        <f t="shared" si="362"/>
        <v>224136402.30269557</v>
      </c>
      <c r="CP63" s="22">
        <f t="shared" si="362"/>
        <v>222040661.61505654</v>
      </c>
      <c r="CQ63" s="22">
        <f t="shared" si="362"/>
        <v>215505050.51987246</v>
      </c>
      <c r="CR63" s="22">
        <f t="shared" si="362"/>
        <v>208151271.39115179</v>
      </c>
      <c r="CS63" s="22">
        <f t="shared" si="362"/>
        <v>205969417.87340602</v>
      </c>
      <c r="CT63" s="22">
        <f t="shared" si="362"/>
        <v>198413424.37425423</v>
      </c>
      <c r="CU63" s="22">
        <f t="shared" ref="CU63" si="363">CT68</f>
        <v>194035776.3087858</v>
      </c>
      <c r="CV63" s="22">
        <f t="shared" ref="CV63" si="364">CU68</f>
        <v>187243160.65266705</v>
      </c>
      <c r="CW63" s="22">
        <f t="shared" ref="CW63" si="365">CV68</f>
        <v>181216667.22463393</v>
      </c>
      <c r="CX63" s="22">
        <f t="shared" ref="CX63" si="366">CW68</f>
        <v>176197433.5626145</v>
      </c>
      <c r="CY63" s="22">
        <f t="shared" ref="CY63" si="367">CX68</f>
        <v>170528632.52353275</v>
      </c>
      <c r="CZ63" s="22">
        <f t="shared" ref="CZ63" si="368">CY68</f>
        <v>165683156.15103489</v>
      </c>
      <c r="DA63" s="22">
        <f t="shared" ref="DA63" si="369">CZ68</f>
        <v>161552209.46968758</v>
      </c>
      <c r="DB63" s="22">
        <f t="shared" ref="DB63" si="370">DA68</f>
        <v>156164948.26494721</v>
      </c>
      <c r="DC63" s="22">
        <f t="shared" ref="DC63" si="371">DB68</f>
        <v>151190843.64555815</v>
      </c>
      <c r="DD63" s="22">
        <f t="shared" ref="DD63" si="372">DC68</f>
        <v>146970820.79528081</v>
      </c>
      <c r="DE63" s="22">
        <f t="shared" ref="DE63" si="373">DD68</f>
        <v>142046011.89313233</v>
      </c>
      <c r="DF63" s="22">
        <f t="shared" ref="DF63" si="374">DE68</f>
        <v>138840701.71494868</v>
      </c>
      <c r="DG63" s="22">
        <f t="shared" si="362"/>
        <v>135597997.99384063</v>
      </c>
      <c r="DH63" s="22">
        <f t="shared" si="362"/>
        <v>129851669.16180989</v>
      </c>
      <c r="DI63" s="22">
        <f t="shared" si="362"/>
        <v>124966686.13819438</v>
      </c>
      <c r="DJ63" s="22">
        <f t="shared" si="362"/>
        <v>121300930.67339994</v>
      </c>
      <c r="DK63" s="22">
        <f t="shared" si="362"/>
        <v>116487608.6590298</v>
      </c>
      <c r="DL63" s="22">
        <f t="shared" si="362"/>
        <v>112734618.25007461</v>
      </c>
      <c r="DM63" s="22">
        <f t="shared" ref="DM63:DR63" si="375">DL68</f>
        <v>109742581.70301619</v>
      </c>
      <c r="DN63" s="22">
        <f t="shared" si="375"/>
        <v>104722440.18793353</v>
      </c>
      <c r="DO63" s="22">
        <f t="shared" si="375"/>
        <v>99954959.068303108</v>
      </c>
      <c r="DP63" s="22">
        <f t="shared" si="375"/>
        <v>95998271.173080921</v>
      </c>
      <c r="DQ63" s="22">
        <f t="shared" si="375"/>
        <v>90596780.466891617</v>
      </c>
      <c r="DR63" s="22">
        <f t="shared" si="375"/>
        <v>87475629.838566735</v>
      </c>
      <c r="DS63" s="22">
        <f t="shared" ref="DS63" si="376">DR68</f>
        <v>84083766.34412393</v>
      </c>
      <c r="DT63" s="22">
        <f t="shared" ref="DT63" si="377">DS68</f>
        <v>77519230.089708582</v>
      </c>
      <c r="DU63" s="22">
        <f t="shared" ref="DU63" si="378">DT68</f>
        <v>72641577.158003479</v>
      </c>
      <c r="DV63" s="22">
        <f t="shared" ref="DV63" si="379">DU68</f>
        <v>69977267.90896365</v>
      </c>
      <c r="DW63" s="22">
        <f t="shared" ref="DW63" si="380">DV68</f>
        <v>66085425.972004257</v>
      </c>
      <c r="DX63" s="22">
        <f t="shared" ref="DX63" si="381">DW68</f>
        <v>64365247.602825098</v>
      </c>
      <c r="DY63" s="22">
        <f t="shared" ref="DY63" si="382">DX68</f>
        <v>64633235.970212311</v>
      </c>
      <c r="DZ63" s="22">
        <f t="shared" ref="DZ63" si="383">DY68</f>
        <v>62064740.345827088</v>
      </c>
      <c r="EA63" s="22">
        <f t="shared" ref="EA63" si="384">DZ68</f>
        <v>60398791.839095652</v>
      </c>
      <c r="EB63" s="22">
        <f t="shared" ref="EB63" si="385">EA68</f>
        <v>60513241.371965706</v>
      </c>
      <c r="EC63" s="22">
        <f t="shared" ref="EC63" si="386">EB68</f>
        <v>59092042.645995073</v>
      </c>
      <c r="ED63" s="22">
        <f t="shared" ref="ED63" si="387">EC68</f>
        <v>61530715.468010381</v>
      </c>
      <c r="EE63" s="22">
        <f t="shared" ref="EE63" si="388">ED68</f>
        <v>64188915.367398679</v>
      </c>
      <c r="EF63" s="22">
        <f t="shared" ref="EF63" si="389">EE68</f>
        <v>62218230.367174149</v>
      </c>
      <c r="EG63" s="22">
        <f t="shared" ref="EG63" si="390">EF68</f>
        <v>62409310.897357404</v>
      </c>
      <c r="EH63" s="22">
        <f t="shared" ref="EH63" si="391">EG68</f>
        <v>65523038.768940315</v>
      </c>
      <c r="EI63" s="22">
        <f t="shared" ref="EI63" si="392">EH68</f>
        <v>66643186.904505059</v>
      </c>
      <c r="EJ63" s="22">
        <f t="shared" ref="EJ63" si="393">EI68</f>
        <v>70623411.309452817</v>
      </c>
      <c r="EK63" s="22">
        <f t="shared" ref="EK63" si="394">EJ68</f>
        <v>77369436.190915436</v>
      </c>
      <c r="EL63" s="22">
        <f t="shared" ref="EL63" si="395">EK68</f>
        <v>80161650.41803652</v>
      </c>
      <c r="EM63" s="22">
        <f t="shared" ref="EM63" si="396">EL68</f>
        <v>84056976.344591975</v>
      </c>
      <c r="EN63" s="22">
        <f t="shared" ref="EN63" si="397">EM68</f>
        <v>90319031.919203699</v>
      </c>
      <c r="EO63" s="22">
        <f t="shared" ref="EO63" si="398">EN68</f>
        <v>94210111.878933847</v>
      </c>
      <c r="EP63" s="22">
        <f t="shared" ref="EP63" si="399">EO68</f>
        <v>103470178.68296283</v>
      </c>
      <c r="EQ63" s="22">
        <f t="shared" ref="EQ63" si="400">EP68</f>
        <v>112982984.37855226</v>
      </c>
      <c r="ER63" s="22">
        <f t="shared" ref="ER63" si="401">EQ68</f>
        <v>115801857.38739155</v>
      </c>
      <c r="ES63" s="22">
        <f t="shared" ref="ES63" si="402">ER68</f>
        <v>121340573.53890008</v>
      </c>
      <c r="ET63" s="22">
        <f t="shared" ref="ET63" si="403">ES68</f>
        <v>130543113.44114015</v>
      </c>
      <c r="EU63" s="22">
        <f t="shared" ref="EU63" si="404">ET68</f>
        <v>137173553.01579887</v>
      </c>
      <c r="EV63" s="22">
        <f t="shared" ref="EV63" si="405">EU68</f>
        <v>147446032.9410882</v>
      </c>
      <c r="EW63" s="22">
        <f t="shared" ref="EW63" si="406">EV68</f>
        <v>161379792.29944468</v>
      </c>
      <c r="EX63" s="22">
        <f t="shared" ref="EX63" si="407">EW68</f>
        <v>170465453.04196346</v>
      </c>
      <c r="EY63" s="22">
        <f t="shared" ref="EY63" si="408">EX68</f>
        <v>180839159.52228552</v>
      </c>
      <c r="EZ63" s="22">
        <f t="shared" ref="EZ63" si="409">EY68</f>
        <v>194226705.0090161</v>
      </c>
      <c r="FA63" s="22">
        <f t="shared" ref="FA63" si="410">EZ68</f>
        <v>204739669.05224741</v>
      </c>
      <c r="FB63" s="22">
        <f t="shared" ref="FB63" si="411">FA68</f>
        <v>222252394.60860664</v>
      </c>
    </row>
    <row r="64" spans="3:158" x14ac:dyDescent="0.25">
      <c r="C64" s="2" t="s">
        <v>59</v>
      </c>
      <c r="D64" s="16">
        <f t="shared" ref="D64:L67" si="412">SUMIF($AY$2:$FB$2,D$2,$AY64:$FB64)</f>
        <v>29264838.484567445</v>
      </c>
      <c r="E64" s="16">
        <f t="shared" si="412"/>
        <v>53158612.749999993</v>
      </c>
      <c r="F64" s="16">
        <f t="shared" si="412"/>
        <v>75848475.110000014</v>
      </c>
      <c r="G64" s="16">
        <f t="shared" si="412"/>
        <v>129557959.38392472</v>
      </c>
      <c r="H64" s="16">
        <f t="shared" si="412"/>
        <v>210764419.47564059</v>
      </c>
      <c r="I64" s="55">
        <f t="shared" si="412"/>
        <v>323576965.0335592</v>
      </c>
      <c r="J64" s="55">
        <f t="shared" si="412"/>
        <v>485943709.30722529</v>
      </c>
      <c r="K64" s="55">
        <f t="shared" si="412"/>
        <v>718477532.28161693</v>
      </c>
      <c r="L64" s="55">
        <f t="shared" si="412"/>
        <v>1039713958.8760539</v>
      </c>
      <c r="N64" s="16">
        <f t="shared" ref="N64:N67" si="413">SUM(AY64:BA64)</f>
        <v>4952147.1645674417</v>
      </c>
      <c r="O64" s="16">
        <f>SUM(BB64:BD64)</f>
        <v>6036298</v>
      </c>
      <c r="P64" s="16">
        <f>SUM(BE64:BG64)</f>
        <v>7100345.0999999996</v>
      </c>
      <c r="Q64" s="16">
        <f>SUM(BH64:BJ64)</f>
        <v>11176048.219999999</v>
      </c>
      <c r="R64" s="16">
        <f>SUM(BK64:BM64)</f>
        <v>8704421.4299999997</v>
      </c>
      <c r="S64" s="16">
        <f>SUM(BN64:BP64)</f>
        <v>12854333.969999999</v>
      </c>
      <c r="T64" s="16">
        <f>SUM(BQ64:BS64)</f>
        <v>12676508.699999999</v>
      </c>
      <c r="U64" s="16">
        <f>SUM(BT64:BV64)</f>
        <v>18923348.649999999</v>
      </c>
      <c r="V64" s="16">
        <f>SUM(BW64:BY64)</f>
        <v>13747351.560000001</v>
      </c>
      <c r="W64" s="16">
        <f>SUM(BZ64:CB64)</f>
        <v>15238808</v>
      </c>
      <c r="X64" s="16">
        <f>SUM(CC64:CE64)</f>
        <v>20224788.990000002</v>
      </c>
      <c r="Y64" s="16">
        <f>SUM(CF64:CH64)</f>
        <v>26637526.559999999</v>
      </c>
      <c r="Z64" s="16">
        <f>SUM(CI64:CK64)</f>
        <v>28145739.890000001</v>
      </c>
      <c r="AA64" s="16">
        <f>SUM(CL64:CN64)</f>
        <v>27626570.609999999</v>
      </c>
      <c r="AB64" s="16">
        <f>SUM(CO64:CQ64)</f>
        <v>32076694.168668225</v>
      </c>
      <c r="AC64" s="16">
        <f>SUM(CR64:CT64)</f>
        <v>41708954.715256467</v>
      </c>
      <c r="AD64" s="16">
        <f>SUM(CU64:CW64)</f>
        <v>43963889.4207891</v>
      </c>
      <c r="AE64" s="16">
        <f>SUM(CX64:CZ64)</f>
        <v>49476837.607821949</v>
      </c>
      <c r="AF64" s="16">
        <f>SUM(DA64:DC64)</f>
        <v>54437128.468469776</v>
      </c>
      <c r="AG64" s="16">
        <f>SUM(DD64:DF64)</f>
        <v>62886563.978559807</v>
      </c>
      <c r="AH64" s="16">
        <f>SUM(DG64:DI64)</f>
        <v>67993396.267837733</v>
      </c>
      <c r="AI64" s="16">
        <f>SUM(DJ64:DL64)</f>
        <v>76560881.920534387</v>
      </c>
      <c r="AJ64" s="16">
        <f>SUM(DM64:DO64)</f>
        <v>83713090.003884166</v>
      </c>
      <c r="AK64" s="16">
        <f>SUM(DP64:DR64)</f>
        <v>95309596.841302902</v>
      </c>
      <c r="AL64" s="16">
        <f>SUM(DS64:DU64)</f>
        <v>102785632.53086552</v>
      </c>
      <c r="AM64" s="16">
        <f>SUM(DV64:DX64)</f>
        <v>115204653.58781189</v>
      </c>
      <c r="AN64" s="16">
        <f>SUM(DY64:EA64)</f>
        <v>125571625.98441863</v>
      </c>
      <c r="AO64" s="16">
        <f>SUM(EB64:ED64)</f>
        <v>142381797.20412922</v>
      </c>
      <c r="AP64" s="16">
        <f>SUM(EE64:EG64)</f>
        <v>152974653.30568734</v>
      </c>
      <c r="AQ64" s="16">
        <f>SUM(EH64:EJ64)</f>
        <v>170669696.24918434</v>
      </c>
      <c r="AR64" s="16">
        <f>SUM(EK64:EM64)</f>
        <v>185440625.69977611</v>
      </c>
      <c r="AS64" s="16">
        <f>SUM(EN64:EP64)</f>
        <v>209392557.02696908</v>
      </c>
      <c r="AT64" s="16">
        <f>SUM(EQ64:ES64)</f>
        <v>223035242.92555144</v>
      </c>
      <c r="AU64" s="16">
        <f>SUM(ET64:EV64)</f>
        <v>247414387.02052897</v>
      </c>
      <c r="AV64" s="16">
        <f>SUM(EW64:EY64)</f>
        <v>268186145.28205413</v>
      </c>
      <c r="AW64" s="16">
        <f>SUM(EZ64:FB64)</f>
        <v>301078183.64791942</v>
      </c>
      <c r="AY64" s="48">
        <f>'Historical P&amp;L Adj'!C53</f>
        <v>1370244</v>
      </c>
      <c r="AZ64" s="48">
        <f>'Historical P&amp;L Adj'!D53</f>
        <v>2077141.2278585816</v>
      </c>
      <c r="BA64" s="48">
        <f>'Historical P&amp;L Adj'!E53</f>
        <v>1504761.9367088601</v>
      </c>
      <c r="BB64" s="48">
        <f>'Historical P&amp;L Adj'!F53</f>
        <v>2399752.5100000002</v>
      </c>
      <c r="BC64" s="48">
        <f>'Historical P&amp;L Adj'!G53</f>
        <v>1375496.99</v>
      </c>
      <c r="BD64" s="48">
        <f>'Historical P&amp;L Adj'!H53</f>
        <v>2261048.5</v>
      </c>
      <c r="BE64" s="48">
        <f>'Historical P&amp;L Adj'!I53</f>
        <v>1995954.78</v>
      </c>
      <c r="BF64" s="48">
        <f>'Historical P&amp;L Adj'!J53</f>
        <v>2296083.36</v>
      </c>
      <c r="BG64" s="48">
        <f>'Historical P&amp;L Adj'!K53</f>
        <v>2808306.96</v>
      </c>
      <c r="BH64" s="48">
        <f>'Historical P&amp;L Adj'!L53</f>
        <v>2195405.69</v>
      </c>
      <c r="BI64" s="48">
        <f>'Historical P&amp;L Adj'!M53</f>
        <v>1823976.53</v>
      </c>
      <c r="BJ64" s="48">
        <f>'Historical P&amp;L Adj'!N53</f>
        <v>7156666</v>
      </c>
      <c r="BK64" s="48">
        <f>'Historical P&amp;L Adj'!O53</f>
        <v>2129583</v>
      </c>
      <c r="BL64" s="48">
        <f>'Historical P&amp;L Adj'!P53</f>
        <v>3375041</v>
      </c>
      <c r="BM64" s="48">
        <f>'Historical P&amp;L Adj'!Q53</f>
        <v>3199797.43</v>
      </c>
      <c r="BN64" s="48">
        <f>'Historical P&amp;L Adj'!R53</f>
        <v>3528815.9899999998</v>
      </c>
      <c r="BO64" s="48">
        <f>'Historical P&amp;L Adj'!S53</f>
        <v>3628605.05</v>
      </c>
      <c r="BP64" s="48">
        <f>'Historical P&amp;L Adj'!T53</f>
        <v>5696912.9299999997</v>
      </c>
      <c r="BQ64" s="48">
        <f>'Historical P&amp;L Adj'!U53</f>
        <v>5078688.9000000004</v>
      </c>
      <c r="BR64" s="48">
        <f>'Historical P&amp;L Adj'!V53</f>
        <v>4104891.1199999996</v>
      </c>
      <c r="BS64" s="48">
        <f>'Historical P&amp;L Adj'!W53</f>
        <v>3492928.6799999997</v>
      </c>
      <c r="BT64" s="48">
        <f>'Historical P&amp;L Adj'!X53</f>
        <v>4231013.3</v>
      </c>
      <c r="BU64" s="48">
        <f>'Historical P&amp;L Adj'!Y53</f>
        <v>5467016.3799999999</v>
      </c>
      <c r="BV64" s="48">
        <f>'Historical P&amp;L Adj'!Z53</f>
        <v>9225318.9700000007</v>
      </c>
      <c r="BW64" s="48">
        <f>'Historical P&amp;L Adj'!AA53</f>
        <v>3995816.56</v>
      </c>
      <c r="BX64" s="48">
        <f>'Historical P&amp;L Adj'!AB53</f>
        <v>5439023</v>
      </c>
      <c r="BY64" s="48">
        <f>'Historical P&amp;L Adj'!AC53</f>
        <v>4312512</v>
      </c>
      <c r="BZ64" s="48">
        <f>'Historical P&amp;L Adj'!AD53</f>
        <v>3285131</v>
      </c>
      <c r="CA64" s="48">
        <f>'Historical P&amp;L Adj'!AE53</f>
        <v>4126570</v>
      </c>
      <c r="CB64" s="48">
        <f>'Historical P&amp;L Adj'!AF53</f>
        <v>7827107</v>
      </c>
      <c r="CC64" s="48">
        <f>'Historical P&amp;L Adj'!AG53</f>
        <v>4974518.99</v>
      </c>
      <c r="CD64" s="48">
        <f>'Historical P&amp;L Adj'!AH53</f>
        <v>6212005</v>
      </c>
      <c r="CE64" s="48">
        <f>'Historical P&amp;L Adj'!AI53</f>
        <v>9038265</v>
      </c>
      <c r="CF64" s="48">
        <f>'Historical P&amp;L Adj'!AJ53</f>
        <v>5860794</v>
      </c>
      <c r="CG64" s="48">
        <f>'Historical P&amp;L Adj'!AK53</f>
        <v>7024999.8099999996</v>
      </c>
      <c r="CH64" s="48">
        <f>'Historical P&amp;L Adj'!AL53</f>
        <v>13751732.75</v>
      </c>
      <c r="CI64" s="54">
        <f>'Historical P&amp;L Adj'!AM53</f>
        <v>8548745.2699999996</v>
      </c>
      <c r="CJ64" s="48">
        <f>'Historical P&amp;L Adj'!AN53</f>
        <v>9589720.2899999991</v>
      </c>
      <c r="CK64" s="48">
        <f>'Historical P&amp;L Adj'!AO53</f>
        <v>10007274.33</v>
      </c>
      <c r="CL64" s="48">
        <f>'Historical P&amp;L Adj'!AP53</f>
        <v>6082815.0899999999</v>
      </c>
      <c r="CM64" s="48">
        <f>'Historical P&amp;L Adj'!AQ53</f>
        <v>9692067.2700000014</v>
      </c>
      <c r="CN64" s="48">
        <f>'Historical P&amp;L Adj'!AR53</f>
        <v>11851688.25</v>
      </c>
      <c r="CO64" s="48">
        <f>'Historical P&amp;L Adj'!AS53</f>
        <v>12479613.754569925</v>
      </c>
      <c r="CP64" s="48">
        <f>'Historical P&amp;L Adj'!AT53</f>
        <v>8755442.9094644766</v>
      </c>
      <c r="CQ64" s="48">
        <f>'Historical P&amp;L Adj'!AU53</f>
        <v>10841637.504633823</v>
      </c>
      <c r="CR64" s="48">
        <f>'Historical P&amp;L Adj'!AV53</f>
        <v>14479977.274683308</v>
      </c>
      <c r="CS64" s="48">
        <f>'Historical P&amp;L Adj'!AW53</f>
        <v>10680207.514773488</v>
      </c>
      <c r="CT64" s="48">
        <f>'Historical P&amp;L Adj'!AX53</f>
        <v>16548769.925799675</v>
      </c>
      <c r="CU64" s="86">
        <f t="shared" ref="CU64:DZ64" si="414">CU28*CU74</f>
        <v>13659827.210137047</v>
      </c>
      <c r="CV64" s="86">
        <f t="shared" si="414"/>
        <v>14424022.258161936</v>
      </c>
      <c r="CW64" s="86">
        <f t="shared" si="414"/>
        <v>15880039.952490116</v>
      </c>
      <c r="CX64" s="86">
        <f t="shared" si="414"/>
        <v>15276276.882887822</v>
      </c>
      <c r="CY64" s="86">
        <f t="shared" si="414"/>
        <v>16437355.435726691</v>
      </c>
      <c r="CZ64" s="86">
        <f t="shared" si="414"/>
        <v>17763205.289207436</v>
      </c>
      <c r="DA64" s="86">
        <f t="shared" si="414"/>
        <v>16947520.288407713</v>
      </c>
      <c r="DB64" s="86">
        <f t="shared" si="414"/>
        <v>17904974.583700091</v>
      </c>
      <c r="DC64" s="86">
        <f t="shared" si="414"/>
        <v>19584633.596361972</v>
      </c>
      <c r="DD64" s="86">
        <f t="shared" si="414"/>
        <v>18955164.829719663</v>
      </c>
      <c r="DE64" s="86">
        <f t="shared" si="414"/>
        <v>21218548.675448153</v>
      </c>
      <c r="DF64" s="86">
        <f t="shared" si="414"/>
        <v>22712850.473391995</v>
      </c>
      <c r="DG64" s="86">
        <f t="shared" si="414"/>
        <v>21181568.251972161</v>
      </c>
      <c r="DH64" s="30">
        <f t="shared" si="414"/>
        <v>22325761.446324278</v>
      </c>
      <c r="DI64" s="30">
        <f t="shared" si="414"/>
        <v>24486066.569541298</v>
      </c>
      <c r="DJ64" s="30">
        <f t="shared" si="414"/>
        <v>23684258.603762913</v>
      </c>
      <c r="DK64" s="30">
        <f t="shared" si="414"/>
        <v>25440713.912983116</v>
      </c>
      <c r="DL64" s="30">
        <f t="shared" si="414"/>
        <v>27435909.403788358</v>
      </c>
      <c r="DM64" s="30">
        <f t="shared" si="414"/>
        <v>26142892.615215596</v>
      </c>
      <c r="DN64" s="30">
        <f t="shared" si="414"/>
        <v>27550235.779727232</v>
      </c>
      <c r="DO64" s="30">
        <f t="shared" si="414"/>
        <v>30019961.608941335</v>
      </c>
      <c r="DP64" s="30">
        <f t="shared" si="414"/>
        <v>28893121.085179988</v>
      </c>
      <c r="DQ64" s="30">
        <f t="shared" si="414"/>
        <v>32147736.872919146</v>
      </c>
      <c r="DR64" s="30">
        <f t="shared" si="414"/>
        <v>34268738.88320376</v>
      </c>
      <c r="DS64" s="30">
        <f t="shared" si="414"/>
        <v>32112077.162032627</v>
      </c>
      <c r="DT64" s="30">
        <f t="shared" si="414"/>
        <v>33770846.166585058</v>
      </c>
      <c r="DU64" s="30">
        <f t="shared" si="414"/>
        <v>36902709.202247828</v>
      </c>
      <c r="DV64" s="30">
        <f t="shared" si="414"/>
        <v>35739703.476615243</v>
      </c>
      <c r="DW64" s="30">
        <f t="shared" si="414"/>
        <v>38286248.930954993</v>
      </c>
      <c r="DX64" s="30">
        <f t="shared" si="414"/>
        <v>41178701.180241637</v>
      </c>
      <c r="DY64" s="30">
        <f t="shared" si="414"/>
        <v>39303439.369103365</v>
      </c>
      <c r="DZ64" s="30">
        <f t="shared" si="414"/>
        <v>41343783.010975599</v>
      </c>
      <c r="EA64" s="30">
        <f t="shared" ref="EA64:FB64" si="415">EA28*EA74</f>
        <v>44924403.604339659</v>
      </c>
      <c r="EB64" s="30">
        <f t="shared" si="415"/>
        <v>43290103.929276749</v>
      </c>
      <c r="EC64" s="30">
        <f t="shared" si="415"/>
        <v>48008496.225990608</v>
      </c>
      <c r="ED64" s="30">
        <f t="shared" si="415"/>
        <v>51083197.048861854</v>
      </c>
      <c r="EE64" s="30">
        <f t="shared" si="415"/>
        <v>47928301.083699971</v>
      </c>
      <c r="EF64" s="30">
        <f t="shared" si="415"/>
        <v>50291879.542227007</v>
      </c>
      <c r="EG64" s="30">
        <f t="shared" si="415"/>
        <v>54754472.679760359</v>
      </c>
      <c r="EH64" s="30">
        <f t="shared" si="415"/>
        <v>53096982.8511227</v>
      </c>
      <c r="EI64" s="30">
        <f t="shared" si="415"/>
        <v>56725640.804930598</v>
      </c>
      <c r="EJ64" s="30">
        <f t="shared" si="415"/>
        <v>60847072.593131043</v>
      </c>
      <c r="EK64" s="30">
        <f t="shared" si="415"/>
        <v>58174616.071450531</v>
      </c>
      <c r="EL64" s="30">
        <f t="shared" si="415"/>
        <v>61081942.251003206</v>
      </c>
      <c r="EM64" s="30">
        <f t="shared" si="415"/>
        <v>66184067.377322361</v>
      </c>
      <c r="EN64" s="30">
        <f t="shared" si="415"/>
        <v>63854985.42429401</v>
      </c>
      <c r="EO64" s="30">
        <f t="shared" si="415"/>
        <v>70578263.761478379</v>
      </c>
      <c r="EP64" s="30">
        <f t="shared" si="415"/>
        <v>74959307.841196671</v>
      </c>
      <c r="EQ64" s="30">
        <f t="shared" si="415"/>
        <v>70271853.913511708</v>
      </c>
      <c r="ER64" s="30">
        <f t="shared" si="415"/>
        <v>73411366.460035652</v>
      </c>
      <c r="ES64" s="30">
        <f t="shared" si="415"/>
        <v>79352022.552004069</v>
      </c>
      <c r="ET64" s="30">
        <f t="shared" si="415"/>
        <v>77389052.777860641</v>
      </c>
      <c r="EU64" s="30">
        <f t="shared" si="415"/>
        <v>82231634.905769795</v>
      </c>
      <c r="EV64" s="30">
        <f t="shared" si="415"/>
        <v>87793699.33689855</v>
      </c>
      <c r="EW64" s="30">
        <f t="shared" si="415"/>
        <v>84531679.485803738</v>
      </c>
      <c r="EX64" s="30">
        <f t="shared" si="415"/>
        <v>88416135.521696135</v>
      </c>
      <c r="EY64" s="30">
        <f t="shared" si="415"/>
        <v>95238330.274554238</v>
      </c>
      <c r="EZ64" s="30">
        <f t="shared" si="415"/>
        <v>92437067.525570527</v>
      </c>
      <c r="FA64" s="30">
        <f t="shared" si="415"/>
        <v>101317069.46563156</v>
      </c>
      <c r="FB64" s="30">
        <f t="shared" si="415"/>
        <v>107324046.65671735</v>
      </c>
    </row>
    <row r="65" spans="3:158" x14ac:dyDescent="0.25">
      <c r="C65" s="2" t="s">
        <v>60</v>
      </c>
      <c r="D65" s="16">
        <f t="shared" si="412"/>
        <v>-48502011.889999993</v>
      </c>
      <c r="E65" s="16">
        <f t="shared" si="412"/>
        <v>-86214411.019999996</v>
      </c>
      <c r="F65" s="16">
        <f t="shared" si="412"/>
        <v>-108985881.03630441</v>
      </c>
      <c r="G65" s="16">
        <f t="shared" si="412"/>
        <v>-183847309.67883444</v>
      </c>
      <c r="H65" s="16">
        <f t="shared" si="412"/>
        <v>-269202197.79058576</v>
      </c>
      <c r="I65" s="55">
        <f t="shared" si="412"/>
        <v>-375091196.68327588</v>
      </c>
      <c r="J65" s="55">
        <f t="shared" si="412"/>
        <v>-505838560.28395051</v>
      </c>
      <c r="K65" s="55">
        <f t="shared" si="412"/>
        <v>-669683463.27046323</v>
      </c>
      <c r="L65" s="55">
        <f t="shared" si="412"/>
        <v>-912596275.87174582</v>
      </c>
      <c r="N65" s="16">
        <f t="shared" si="413"/>
        <v>-10340377.039999999</v>
      </c>
      <c r="O65" s="16">
        <f>SUM(BB65:BD65)</f>
        <v>-10472301.68</v>
      </c>
      <c r="P65" s="16">
        <f>SUM(BE65:BG65)</f>
        <v>-12828438.170000002</v>
      </c>
      <c r="Q65" s="16">
        <f>SUM(BH65:BJ65)</f>
        <v>-14860894.999999993</v>
      </c>
      <c r="R65" s="16">
        <f>SUM(BK65:BM65)</f>
        <v>-20701840.059999995</v>
      </c>
      <c r="S65" s="16">
        <f>SUM(BN65:BP65)</f>
        <v>-20245223.579999998</v>
      </c>
      <c r="T65" s="16">
        <f>SUM(BQ65:BS65)</f>
        <v>-21864670.869999997</v>
      </c>
      <c r="U65" s="16">
        <f>SUM(BT65:BV65)</f>
        <v>-23402676.510000005</v>
      </c>
      <c r="V65" s="16">
        <f>SUM(BW65:BY65)</f>
        <v>-27768804.390200004</v>
      </c>
      <c r="W65" s="16">
        <f>SUM(BZ65:CB65)</f>
        <v>-25685406.86206001</v>
      </c>
      <c r="X65" s="16">
        <f>SUM(CC65:CE65)</f>
        <v>-25523737.2711</v>
      </c>
      <c r="Y65" s="16">
        <f>SUM(CF65:CH65)</f>
        <v>-30007932.5129444</v>
      </c>
      <c r="Z65" s="16">
        <f>SUM(CI65:CK65)</f>
        <v>-39399549.594400004</v>
      </c>
      <c r="AA65" s="16">
        <f>SUM(CL65:CN65)</f>
        <v>-39761485.20660001</v>
      </c>
      <c r="AB65" s="16">
        <f>SUM(CO65:CQ65)</f>
        <v>-48861825.080211997</v>
      </c>
      <c r="AC65" s="16">
        <f>SUM(CR65:CT65)</f>
        <v>-55824449.797622412</v>
      </c>
      <c r="AD65" s="16">
        <f>SUM(CU65:CW65)</f>
        <v>-61802232.166960374</v>
      </c>
      <c r="AE65" s="16">
        <f>SUM(CX65:CZ65)</f>
        <v>-64122061.700748883</v>
      </c>
      <c r="AF65" s="16">
        <f>SUM(DA65:DC65)</f>
        <v>-69018517.142876565</v>
      </c>
      <c r="AG65" s="16">
        <f>SUM(DD65:DF65)</f>
        <v>-74259386.779999971</v>
      </c>
      <c r="AH65" s="16">
        <f>SUM(DG65:DI65)</f>
        <v>-82290463.588278458</v>
      </c>
      <c r="AI65" s="16">
        <f>SUM(DJ65:DL65)</f>
        <v>-88119230.890918106</v>
      </c>
      <c r="AJ65" s="16">
        <f>SUM(DM65:DO65)</f>
        <v>-97457400.533819437</v>
      </c>
      <c r="AK65" s="16">
        <f>SUM(DP65:DR65)</f>
        <v>-107224101.67025989</v>
      </c>
      <c r="AL65" s="16">
        <f>SUM(DS65:DU65)</f>
        <v>-116892130.9660258</v>
      </c>
      <c r="AM65" s="16">
        <f>SUM(DV65:DX65)</f>
        <v>-120548685.52656323</v>
      </c>
      <c r="AN65" s="16">
        <f>SUM(DY65:EA65)</f>
        <v>-129691620.58266523</v>
      </c>
      <c r="AO65" s="16">
        <f>SUM(EB65:ED65)</f>
        <v>-138706123.20869622</v>
      </c>
      <c r="AP65" s="16">
        <f>SUM(EE65:EG65)</f>
        <v>-151640529.90414572</v>
      </c>
      <c r="AQ65" s="16">
        <f>SUM(EH65:EJ65)</f>
        <v>-158823298.8272092</v>
      </c>
      <c r="AR65" s="16">
        <f>SUM(EK65:EM65)</f>
        <v>-172491029.97148785</v>
      </c>
      <c r="AS65" s="16">
        <f>SUM(EN65:EP65)</f>
        <v>-186728604.56762046</v>
      </c>
      <c r="AT65" s="16">
        <f>SUM(EQ65:ES65)</f>
        <v>-205475113.8629635</v>
      </c>
      <c r="AU65" s="16">
        <f>SUM(ET65:EV65)</f>
        <v>-216577708.1622245</v>
      </c>
      <c r="AV65" s="16">
        <f>SUM(EW65:EY65)</f>
        <v>-235339232.57248276</v>
      </c>
      <c r="AW65" s="16">
        <f>SUM(EZ65:FB65)</f>
        <v>-255204221.27407509</v>
      </c>
      <c r="AY65" s="48">
        <f>'Historical P&amp;L Adj'!C54</f>
        <v>-4063244</v>
      </c>
      <c r="AZ65" s="48">
        <f>'Historical P&amp;L Adj'!D54</f>
        <v>-3233889</v>
      </c>
      <c r="BA65" s="48">
        <f>'Historical P&amp;L Adj'!E54</f>
        <v>-3043244.0399999991</v>
      </c>
      <c r="BB65" s="48">
        <f>'Historical P&amp;L Adj'!F54</f>
        <v>-3784476.9700000025</v>
      </c>
      <c r="BC65" s="48">
        <f>'Historical P&amp;L Adj'!G54</f>
        <v>-3150426.4699999988</v>
      </c>
      <c r="BD65" s="48">
        <f>'Historical P&amp;L Adj'!H54</f>
        <v>-3537398.2399999984</v>
      </c>
      <c r="BE65" s="48">
        <f>'Historical P&amp;L Adj'!I54</f>
        <v>-4317188.25</v>
      </c>
      <c r="BF65" s="48">
        <f>'Historical P&amp;L Adj'!J54</f>
        <v>-4010385.2900000066</v>
      </c>
      <c r="BG65" s="48">
        <f>'Historical P&amp;L Adj'!K54</f>
        <v>-4500864.6299999952</v>
      </c>
      <c r="BH65" s="48">
        <f>'Historical P&amp;L Adj'!L54</f>
        <v>-5623413.099999994</v>
      </c>
      <c r="BI65" s="48">
        <f>'Historical P&amp;L Adj'!M54</f>
        <v>-4258012.6099999994</v>
      </c>
      <c r="BJ65" s="48">
        <f>'Historical P&amp;L Adj'!N54</f>
        <v>-4979469.2899999991</v>
      </c>
      <c r="BK65" s="48">
        <f>'Historical P&amp;L Adj'!O54</f>
        <v>-8778053.2299999967</v>
      </c>
      <c r="BL65" s="48">
        <f>'Historical P&amp;L Adj'!P54</f>
        <v>-6979857.0300000012</v>
      </c>
      <c r="BM65" s="48">
        <f>'Historical P&amp;L Adj'!Q54</f>
        <v>-4943929.799999997</v>
      </c>
      <c r="BN65" s="48">
        <f>'Historical P&amp;L Adj'!R54</f>
        <v>-7988398.8100000024</v>
      </c>
      <c r="BO65" s="48">
        <f>'Historical P&amp;L Adj'!S54</f>
        <v>-6076798.2899999991</v>
      </c>
      <c r="BP65" s="48">
        <f>'Historical P&amp;L Adj'!T54</f>
        <v>-6180026.4799999967</v>
      </c>
      <c r="BQ65" s="48">
        <f>'Historical P&amp;L Adj'!U54</f>
        <v>-8335095.25</v>
      </c>
      <c r="BR65" s="48">
        <f>'Historical P&amp;L Adj'!V54</f>
        <v>-6806375.4499999955</v>
      </c>
      <c r="BS65" s="48">
        <f>'Historical P&amp;L Adj'!W54</f>
        <v>-6723200.1700000018</v>
      </c>
      <c r="BT65" s="48">
        <f>'Historical P&amp;L Adj'!X54</f>
        <v>-8685847.0400000066</v>
      </c>
      <c r="BU65" s="48">
        <f>'Historical P&amp;L Adj'!Y54</f>
        <v>-7325175.4499999881</v>
      </c>
      <c r="BV65" s="48">
        <f>'Historical P&amp;L Adj'!Z54</f>
        <v>-7391654.0200000107</v>
      </c>
      <c r="BW65" s="48">
        <f>'Historical P&amp;L Adj'!AA54</f>
        <v>-12649912.324000001</v>
      </c>
      <c r="BX65" s="48">
        <f>'Historical P&amp;L Adj'!AB54</f>
        <v>-9383193.7952000052</v>
      </c>
      <c r="BY65" s="48">
        <f>'Historical P&amp;L Adj'!AC54</f>
        <v>-5735698.2709999979</v>
      </c>
      <c r="BZ65" s="48">
        <f>'Historical P&amp;L Adj'!AD54</f>
        <v>-9226000.2692600042</v>
      </c>
      <c r="CA65" s="48">
        <f>'Historical P&amp;L Adj'!AE54</f>
        <v>-7140569.1728000045</v>
      </c>
      <c r="CB65" s="48">
        <f>'Historical P&amp;L Adj'!AF54</f>
        <v>-9318837.4200000018</v>
      </c>
      <c r="CC65" s="48">
        <f>'Historical P&amp;L Adj'!AG54</f>
        <v>-8255734.1049599946</v>
      </c>
      <c r="CD65" s="48">
        <f>'Historical P&amp;L Adj'!AH54</f>
        <v>-7688250.9557400048</v>
      </c>
      <c r="CE65" s="48">
        <f>'Historical P&amp;L Adj'!AI54</f>
        <v>-9579752.2104000002</v>
      </c>
      <c r="CF65" s="48">
        <f>'Historical P&amp;L Adj'!AJ54</f>
        <v>-8496422.8078377843</v>
      </c>
      <c r="CG65" s="48">
        <f>'Historical P&amp;L Adj'!AK54</f>
        <v>-9792733.5756000131</v>
      </c>
      <c r="CH65" s="48">
        <f>'Historical P&amp;L Adj'!AL54</f>
        <v>-11718776.129506603</v>
      </c>
      <c r="CI65" s="54">
        <f>'Historical P&amp;L Adj'!AM54</f>
        <v>-11566630.971999988</v>
      </c>
      <c r="CJ65" s="48">
        <f>'Historical P&amp;L Adj'!AN54</f>
        <v>-13095787.686600015</v>
      </c>
      <c r="CK65" s="48">
        <f>'Historical P&amp;L Adj'!AO54</f>
        <v>-14737130.935800001</v>
      </c>
      <c r="CL65" s="48">
        <f>'Historical P&amp;L Adj'!AP54</f>
        <v>-12851858.849000007</v>
      </c>
      <c r="CM65" s="48">
        <f>'Historical P&amp;L Adj'!AQ54</f>
        <v>-13534714.239600003</v>
      </c>
      <c r="CN65" s="48">
        <f>'Historical P&amp;L Adj'!AR54</f>
        <v>-13374912.118000001</v>
      </c>
      <c r="CO65" s="48">
        <f>'Historical P&amp;L Adj'!AS54</f>
        <v>-14575354.442208957</v>
      </c>
      <c r="CP65" s="48">
        <f>'Historical P&amp;L Adj'!AT54</f>
        <v>-16091054.00464857</v>
      </c>
      <c r="CQ65" s="48">
        <f>'Historical P&amp;L Adj'!AU54</f>
        <v>-18195416.633354474</v>
      </c>
      <c r="CR65" s="48">
        <f>'Historical P&amp;L Adj'!AV54</f>
        <v>-16661830.79242905</v>
      </c>
      <c r="CS65" s="48">
        <f>'Historical P&amp;L Adj'!AW54</f>
        <v>-18236201.013925277</v>
      </c>
      <c r="CT65" s="48">
        <f>'Historical P&amp;L Adj'!AX54</f>
        <v>-20926417.991268083</v>
      </c>
      <c r="CU65" s="86">
        <f>-SUM(CU33,CU42,-CU46)*CU75</f>
        <v>-20452442.866255779</v>
      </c>
      <c r="CV65" s="86">
        <f t="shared" ref="CV65:FB65" si="416">-SUM(CV33,CV42,-CV46)*CV75</f>
        <v>-20450515.686195049</v>
      </c>
      <c r="CW65" s="86">
        <f t="shared" si="416"/>
        <v>-20899273.614509545</v>
      </c>
      <c r="CX65" s="86">
        <f t="shared" si="416"/>
        <v>-20945077.921969578</v>
      </c>
      <c r="CY65" s="86">
        <f t="shared" si="416"/>
        <v>-21282831.808224563</v>
      </c>
      <c r="CZ65" s="86">
        <f t="shared" si="416"/>
        <v>-21894151.970554747</v>
      </c>
      <c r="DA65" s="86">
        <f t="shared" si="416"/>
        <v>-22334781.4931481</v>
      </c>
      <c r="DB65" s="86">
        <f t="shared" si="416"/>
        <v>-22879079.203089152</v>
      </c>
      <c r="DC65" s="86">
        <f t="shared" si="416"/>
        <v>-23804656.446639307</v>
      </c>
      <c r="DD65" s="86">
        <f t="shared" si="416"/>
        <v>-23879973.731868148</v>
      </c>
      <c r="DE65" s="86">
        <f t="shared" si="416"/>
        <v>-24423858.853631787</v>
      </c>
      <c r="DF65" s="86">
        <f t="shared" si="416"/>
        <v>-25955554.19450004</v>
      </c>
      <c r="DG65" s="86">
        <f t="shared" si="416"/>
        <v>-26927897.084002919</v>
      </c>
      <c r="DH65" s="86">
        <f t="shared" si="416"/>
        <v>-27210744.469939794</v>
      </c>
      <c r="DI65" s="86">
        <f t="shared" si="416"/>
        <v>-28151822.034335744</v>
      </c>
      <c r="DJ65" s="86">
        <f t="shared" si="416"/>
        <v>-28497580.618133057</v>
      </c>
      <c r="DK65" s="86">
        <f t="shared" si="416"/>
        <v>-29193704.321938287</v>
      </c>
      <c r="DL65" s="86">
        <f t="shared" si="416"/>
        <v>-30427945.950846769</v>
      </c>
      <c r="DM65" s="86">
        <f t="shared" si="416"/>
        <v>-31163034.130298253</v>
      </c>
      <c r="DN65" s="86">
        <f t="shared" si="416"/>
        <v>-32317716.899357662</v>
      </c>
      <c r="DO65" s="86">
        <f t="shared" si="416"/>
        <v>-33976649.504163526</v>
      </c>
      <c r="DP65" s="86">
        <f t="shared" si="416"/>
        <v>-34294611.791369297</v>
      </c>
      <c r="DQ65" s="86">
        <f t="shared" si="416"/>
        <v>-35268887.501244023</v>
      </c>
      <c r="DR65" s="86">
        <f t="shared" si="416"/>
        <v>-37660602.377646558</v>
      </c>
      <c r="DS65" s="86">
        <f t="shared" si="416"/>
        <v>-38676613.416447982</v>
      </c>
      <c r="DT65" s="86">
        <f t="shared" si="416"/>
        <v>-38648499.098290153</v>
      </c>
      <c r="DU65" s="86">
        <f t="shared" si="416"/>
        <v>-39567018.45128765</v>
      </c>
      <c r="DV65" s="86">
        <f t="shared" si="416"/>
        <v>-39631545.413574643</v>
      </c>
      <c r="DW65" s="86">
        <f t="shared" si="416"/>
        <v>-40006427.30013416</v>
      </c>
      <c r="DX65" s="86">
        <f t="shared" si="416"/>
        <v>-40910712.812854424</v>
      </c>
      <c r="DY65" s="86">
        <f t="shared" si="416"/>
        <v>-41871934.993488595</v>
      </c>
      <c r="DZ65" s="86">
        <f t="shared" si="416"/>
        <v>-43009731.517707035</v>
      </c>
      <c r="EA65" s="86">
        <f t="shared" si="416"/>
        <v>-44809954.071469605</v>
      </c>
      <c r="EB65" s="86">
        <f t="shared" si="416"/>
        <v>-44711302.655247383</v>
      </c>
      <c r="EC65" s="86">
        <f t="shared" si="416"/>
        <v>-45569823.403975293</v>
      </c>
      <c r="ED65" s="86">
        <f t="shared" si="416"/>
        <v>-48424997.149473548</v>
      </c>
      <c r="EE65" s="86">
        <f t="shared" si="416"/>
        <v>-49898986.083924502</v>
      </c>
      <c r="EF65" s="86">
        <f t="shared" si="416"/>
        <v>-50100799.012043744</v>
      </c>
      <c r="EG65" s="86">
        <f t="shared" si="416"/>
        <v>-51640744.808177456</v>
      </c>
      <c r="EH65" s="86">
        <f t="shared" si="416"/>
        <v>-51976834.715557948</v>
      </c>
      <c r="EI65" s="86">
        <f t="shared" si="416"/>
        <v>-52745416.39998284</v>
      </c>
      <c r="EJ65" s="86">
        <f t="shared" si="416"/>
        <v>-54101047.711668424</v>
      </c>
      <c r="EK65" s="86">
        <f t="shared" si="416"/>
        <v>-55382401.844329454</v>
      </c>
      <c r="EL65" s="86">
        <f t="shared" si="416"/>
        <v>-57186616.324447751</v>
      </c>
      <c r="EM65" s="86">
        <f t="shared" si="416"/>
        <v>-59922011.802710652</v>
      </c>
      <c r="EN65" s="86">
        <f t="shared" si="416"/>
        <v>-59963905.464563847</v>
      </c>
      <c r="EO65" s="86">
        <f t="shared" si="416"/>
        <v>-61318196.957449377</v>
      </c>
      <c r="EP65" s="86">
        <f t="shared" si="416"/>
        <v>-65446502.145607226</v>
      </c>
      <c r="EQ65" s="86">
        <f t="shared" si="416"/>
        <v>-67452980.904672399</v>
      </c>
      <c r="ER65" s="86">
        <f t="shared" si="416"/>
        <v>-67872650.308527112</v>
      </c>
      <c r="ES65" s="86">
        <f t="shared" si="416"/>
        <v>-70149482.649764001</v>
      </c>
      <c r="ET65" s="86">
        <f t="shared" si="416"/>
        <v>-70758613.203201935</v>
      </c>
      <c r="EU65" s="86">
        <f t="shared" si="416"/>
        <v>-71959154.980480477</v>
      </c>
      <c r="EV65" s="86">
        <f t="shared" si="416"/>
        <v>-73859939.978542089</v>
      </c>
      <c r="EW65" s="86">
        <f t="shared" si="416"/>
        <v>-75446018.743284956</v>
      </c>
      <c r="EX65" s="86">
        <f t="shared" si="416"/>
        <v>-78042429.041374102</v>
      </c>
      <c r="EY65" s="86">
        <f t="shared" si="416"/>
        <v>-81850784.787823692</v>
      </c>
      <c r="EZ65" s="86">
        <f t="shared" si="416"/>
        <v>-81924103.482339203</v>
      </c>
      <c r="FA65" s="86">
        <f t="shared" si="416"/>
        <v>-83804343.909272328</v>
      </c>
      <c r="FB65" s="86">
        <f t="shared" si="416"/>
        <v>-89475773.88246356</v>
      </c>
    </row>
    <row r="66" spans="3:158" x14ac:dyDescent="0.25">
      <c r="C66" s="2" t="s">
        <v>219</v>
      </c>
      <c r="D66" s="16">
        <f t="shared" si="412"/>
        <v>-1026589.75</v>
      </c>
      <c r="E66" s="16">
        <f t="shared" si="412"/>
        <v>-3504546.0345674451</v>
      </c>
      <c r="F66" s="16">
        <f t="shared" si="412"/>
        <v>-380150.89999999997</v>
      </c>
      <c r="G66" s="16">
        <f t="shared" si="412"/>
        <v>0</v>
      </c>
      <c r="H66" s="16">
        <f t="shared" si="412"/>
        <v>0</v>
      </c>
      <c r="I66" s="55">
        <f t="shared" si="412"/>
        <v>0</v>
      </c>
      <c r="J66" s="55">
        <f t="shared" si="412"/>
        <v>0</v>
      </c>
      <c r="K66" s="55">
        <f t="shared" si="412"/>
        <v>0</v>
      </c>
      <c r="L66" s="55">
        <f t="shared" si="412"/>
        <v>0</v>
      </c>
      <c r="N66" s="16">
        <f t="shared" ref="N66" si="417">SUM(AY66:BA66)</f>
        <v>0</v>
      </c>
      <c r="O66" s="16">
        <f>SUM(BB66:BD66)</f>
        <v>0</v>
      </c>
      <c r="P66" s="16">
        <f>SUM(BE66:BG66)</f>
        <v>-402656</v>
      </c>
      <c r="Q66" s="16">
        <f>SUM(BH66:BJ66)</f>
        <v>-623933.75</v>
      </c>
      <c r="R66" s="16">
        <f>SUM(BK66:BM66)</f>
        <v>-3357636.0345674451</v>
      </c>
      <c r="S66" s="16">
        <f>SUM(BN66:BP66)</f>
        <v>97873</v>
      </c>
      <c r="T66" s="16">
        <f>SUM(BQ66:BS66)</f>
        <v>0</v>
      </c>
      <c r="U66" s="16">
        <f>SUM(BT66:BV66)</f>
        <v>-244783</v>
      </c>
      <c r="V66" s="16">
        <f>SUM(BW66:BY66)</f>
        <v>-60698.17</v>
      </c>
      <c r="W66" s="16">
        <f>SUM(BZ66:CB66)</f>
        <v>-319520.73</v>
      </c>
      <c r="X66" s="16">
        <f>SUM(CC66:CE66)</f>
        <v>68</v>
      </c>
      <c r="Y66" s="16">
        <f>SUM(CF66:CH66)</f>
        <v>0</v>
      </c>
      <c r="Z66" s="16">
        <f>SUM(CI66:CK66)</f>
        <v>0</v>
      </c>
      <c r="AA66" s="16">
        <f>SUM(CL66:CN66)</f>
        <v>0</v>
      </c>
      <c r="AB66" s="16">
        <f>SUM(CO66:CQ66)</f>
        <v>0</v>
      </c>
      <c r="AC66" s="16">
        <f>SUM(CR66:CT66)</f>
        <v>0</v>
      </c>
      <c r="AD66" s="16">
        <f>SUM(CU66:CW66)</f>
        <v>0</v>
      </c>
      <c r="AE66" s="16">
        <f>SUM(CX66:CZ66)</f>
        <v>0</v>
      </c>
      <c r="AF66" s="16">
        <f>SUM(DA66:DC66)</f>
        <v>0</v>
      </c>
      <c r="AG66" s="16">
        <f>SUM(DD66:DF66)</f>
        <v>0</v>
      </c>
      <c r="AH66" s="16">
        <f>SUM(DG66:DI66)</f>
        <v>0</v>
      </c>
      <c r="AI66" s="16">
        <f>SUM(DJ66:DL66)</f>
        <v>0</v>
      </c>
      <c r="AJ66" s="16">
        <f>SUM(DM66:DO66)</f>
        <v>0</v>
      </c>
      <c r="AK66" s="16">
        <f>SUM(DP66:DR66)</f>
        <v>0</v>
      </c>
      <c r="AL66" s="16">
        <f>SUM(DS66:DU66)</f>
        <v>0</v>
      </c>
      <c r="AM66" s="16">
        <f>SUM(DV66:DX66)</f>
        <v>0</v>
      </c>
      <c r="AN66" s="16">
        <f>SUM(DY66:EA66)</f>
        <v>0</v>
      </c>
      <c r="AO66" s="16">
        <f>SUM(EB66:ED66)</f>
        <v>0</v>
      </c>
      <c r="AP66" s="16">
        <f>SUM(EE66:EG66)</f>
        <v>0</v>
      </c>
      <c r="AQ66" s="16">
        <f>SUM(EH66:EJ66)</f>
        <v>0</v>
      </c>
      <c r="AR66" s="16">
        <f>SUM(EK66:EM66)</f>
        <v>0</v>
      </c>
      <c r="AS66" s="16">
        <f>SUM(EN66:EP66)</f>
        <v>0</v>
      </c>
      <c r="AT66" s="16">
        <f>SUM(EQ66:ES66)</f>
        <v>0</v>
      </c>
      <c r="AU66" s="16">
        <f>SUM(ET66:EV66)</f>
        <v>0</v>
      </c>
      <c r="AV66" s="16">
        <f>SUM(EW66:EY66)</f>
        <v>0</v>
      </c>
      <c r="AW66" s="16">
        <f>SUM(EZ66:FB66)</f>
        <v>0</v>
      </c>
      <c r="AY66" s="48">
        <f>'Historical P&amp;L Adj'!C55</f>
        <v>0</v>
      </c>
      <c r="AZ66" s="48">
        <f>'Historical P&amp;L Adj'!D55</f>
        <v>0</v>
      </c>
      <c r="BA66" s="48">
        <f>'Historical P&amp;L Adj'!E55</f>
        <v>0</v>
      </c>
      <c r="BB66" s="48">
        <f>'Historical P&amp;L Adj'!F55</f>
        <v>0</v>
      </c>
      <c r="BC66" s="48">
        <f>'Historical P&amp;L Adj'!G55</f>
        <v>0</v>
      </c>
      <c r="BD66" s="48">
        <f>'Historical P&amp;L Adj'!H55</f>
        <v>0</v>
      </c>
      <c r="BE66" s="48">
        <f>'Historical P&amp;L Adj'!I55</f>
        <v>0</v>
      </c>
      <c r="BF66" s="48">
        <f>'Historical P&amp;L Adj'!J55</f>
        <v>-390656</v>
      </c>
      <c r="BG66" s="48">
        <f>'Historical P&amp;L Adj'!K55</f>
        <v>-12000</v>
      </c>
      <c r="BH66" s="48">
        <f>'Historical P&amp;L Adj'!L55</f>
        <v>-183067.25</v>
      </c>
      <c r="BI66" s="48">
        <f>'Historical P&amp;L Adj'!M55</f>
        <v>-249957.5</v>
      </c>
      <c r="BJ66" s="48">
        <f>'Historical P&amp;L Adj'!N55</f>
        <v>-190909</v>
      </c>
      <c r="BK66" s="48">
        <f>'Historical P&amp;L Adj'!O55</f>
        <v>-6752.9245674490994</v>
      </c>
      <c r="BL66" s="48">
        <f>'Historical P&amp;L Adj'!P55</f>
        <v>-28029.969999995828</v>
      </c>
      <c r="BM66" s="48">
        <f>'Historical P&amp;L Adj'!Q55</f>
        <v>-3322853.14</v>
      </c>
      <c r="BN66" s="48">
        <f>'Historical P&amp;L Adj'!R55</f>
        <v>105433</v>
      </c>
      <c r="BO66" s="48">
        <f>'Historical P&amp;L Adj'!S55</f>
        <v>-7560</v>
      </c>
      <c r="BP66" s="48">
        <f>'Historical P&amp;L Adj'!T55</f>
        <v>0</v>
      </c>
      <c r="BQ66" s="48">
        <f>'Historical P&amp;L Adj'!U55</f>
        <v>0</v>
      </c>
      <c r="BR66" s="48">
        <f>'Historical P&amp;L Adj'!V55</f>
        <v>0</v>
      </c>
      <c r="BS66" s="48">
        <f>'Historical P&amp;L Adj'!W55</f>
        <v>0</v>
      </c>
      <c r="BT66" s="48">
        <f>'Historical P&amp;L Adj'!X55</f>
        <v>0</v>
      </c>
      <c r="BU66" s="48">
        <f>'Historical P&amp;L Adj'!Y55</f>
        <v>-189409</v>
      </c>
      <c r="BV66" s="48">
        <f>'Historical P&amp;L Adj'!Z55</f>
        <v>-55374</v>
      </c>
      <c r="BW66" s="48">
        <f>'Historical P&amp;L Adj'!AA55</f>
        <v>-76123</v>
      </c>
      <c r="BX66" s="48">
        <f>'Historical P&amp;L Adj'!AB55</f>
        <v>317.56</v>
      </c>
      <c r="BY66" s="48">
        <f>'Historical P&amp;L Adj'!AC55</f>
        <v>15107.27</v>
      </c>
      <c r="BZ66" s="48">
        <f>'Historical P&amp;L Adj'!AD55</f>
        <v>-349997.73</v>
      </c>
      <c r="CA66" s="48">
        <f>'Historical P&amp;L Adj'!AE55</f>
        <v>-446</v>
      </c>
      <c r="CB66" s="48">
        <f>'Historical P&amp;L Adj'!AF55</f>
        <v>30923</v>
      </c>
      <c r="CC66" s="48">
        <f>'Historical P&amp;L Adj'!AG55</f>
        <v>68</v>
      </c>
      <c r="CD66" s="48">
        <f>'Historical P&amp;L Adj'!AH55</f>
        <v>0</v>
      </c>
      <c r="CE66" s="48">
        <f>'Historical P&amp;L Adj'!AI55</f>
        <v>0</v>
      </c>
      <c r="CF66" s="48">
        <f>'Historical P&amp;L Adj'!AJ55</f>
        <v>0</v>
      </c>
      <c r="CG66" s="48">
        <f>'Historical P&amp;L Adj'!AK55</f>
        <v>0</v>
      </c>
      <c r="CH66" s="48">
        <f>'Historical P&amp;L Adj'!AL55</f>
        <v>0</v>
      </c>
      <c r="CI66" s="54">
        <f>'Historical P&amp;L Adj'!AM55</f>
        <v>0</v>
      </c>
      <c r="CJ66" s="48">
        <f>'Historical P&amp;L Adj'!AN55</f>
        <v>0</v>
      </c>
      <c r="CK66" s="48">
        <f>'Historical P&amp;L Adj'!AO55</f>
        <v>0</v>
      </c>
      <c r="CL66" s="89">
        <f>'Historical P&amp;L Adj'!AP55</f>
        <v>0</v>
      </c>
      <c r="CM66" s="89">
        <f>'Historical P&amp;L Adj'!AQ55</f>
        <v>0</v>
      </c>
      <c r="CN66" s="89">
        <f>'Historical P&amp;L Adj'!AR55</f>
        <v>0</v>
      </c>
      <c r="CO66" s="89">
        <f>'Historical P&amp;L Adj'!AS55</f>
        <v>0</v>
      </c>
      <c r="CP66" s="89">
        <f>'Historical P&amp;L Adj'!AT55</f>
        <v>0</v>
      </c>
      <c r="CQ66" s="89">
        <f>'Historical P&amp;L Adj'!AU55</f>
        <v>0</v>
      </c>
      <c r="CR66" s="89">
        <f>'Historical P&amp;L Adj'!AV55</f>
        <v>0</v>
      </c>
      <c r="CS66" s="89">
        <f>'Historical P&amp;L Adj'!AW55</f>
        <v>0</v>
      </c>
      <c r="CT66" s="89">
        <f>'Historical P&amp;L Adj'!AX55</f>
        <v>0</v>
      </c>
      <c r="CU66" s="89">
        <v>0</v>
      </c>
      <c r="CV66" s="89">
        <v>0</v>
      </c>
      <c r="CW66" s="89">
        <v>0</v>
      </c>
      <c r="CX66" s="89">
        <v>0</v>
      </c>
      <c r="CY66" s="89">
        <v>0</v>
      </c>
      <c r="CZ66" s="89">
        <v>0</v>
      </c>
      <c r="DA66" s="89">
        <v>0</v>
      </c>
      <c r="DB66" s="89">
        <v>0</v>
      </c>
      <c r="DC66" s="89">
        <v>0</v>
      </c>
      <c r="DD66" s="89">
        <v>0</v>
      </c>
      <c r="DE66" s="89">
        <v>0</v>
      </c>
      <c r="DF66" s="89">
        <v>0</v>
      </c>
      <c r="DG66" s="89">
        <v>0</v>
      </c>
      <c r="DH66" s="89">
        <v>0</v>
      </c>
      <c r="DI66" s="89">
        <v>0</v>
      </c>
      <c r="DJ66" s="89">
        <v>0</v>
      </c>
      <c r="DK66" s="89">
        <v>0</v>
      </c>
      <c r="DL66" s="89">
        <v>0</v>
      </c>
      <c r="DM66" s="89">
        <v>0</v>
      </c>
      <c r="DN66" s="89">
        <v>0</v>
      </c>
      <c r="DO66" s="89">
        <v>0</v>
      </c>
      <c r="DP66" s="89">
        <v>0</v>
      </c>
      <c r="DQ66" s="89">
        <v>0</v>
      </c>
      <c r="DR66" s="89">
        <v>0</v>
      </c>
      <c r="DS66" s="89">
        <v>0</v>
      </c>
      <c r="DT66" s="89">
        <v>0</v>
      </c>
      <c r="DU66" s="89">
        <v>0</v>
      </c>
      <c r="DV66" s="89">
        <v>0</v>
      </c>
      <c r="DW66" s="89">
        <v>0</v>
      </c>
      <c r="DX66" s="89">
        <v>0</v>
      </c>
      <c r="DY66" s="89">
        <v>0</v>
      </c>
      <c r="DZ66" s="89">
        <v>0</v>
      </c>
      <c r="EA66" s="89">
        <v>0</v>
      </c>
      <c r="EB66" s="89">
        <v>0</v>
      </c>
      <c r="EC66" s="89">
        <v>0</v>
      </c>
      <c r="ED66" s="89">
        <v>0</v>
      </c>
      <c r="EE66" s="89">
        <v>0</v>
      </c>
      <c r="EF66" s="89">
        <v>0</v>
      </c>
      <c r="EG66" s="89">
        <v>0</v>
      </c>
      <c r="EH66" s="89">
        <v>0</v>
      </c>
      <c r="EI66" s="89">
        <v>0</v>
      </c>
      <c r="EJ66" s="89">
        <v>0</v>
      </c>
      <c r="EK66" s="89">
        <v>0</v>
      </c>
      <c r="EL66" s="89">
        <v>0</v>
      </c>
      <c r="EM66" s="89">
        <v>0</v>
      </c>
      <c r="EN66" s="89">
        <v>0</v>
      </c>
      <c r="EO66" s="89">
        <v>0</v>
      </c>
      <c r="EP66" s="89">
        <v>0</v>
      </c>
      <c r="EQ66" s="89">
        <v>0</v>
      </c>
      <c r="ER66" s="89">
        <v>0</v>
      </c>
      <c r="ES66" s="89">
        <v>0</v>
      </c>
      <c r="ET66" s="89">
        <v>0</v>
      </c>
      <c r="EU66" s="89">
        <v>0</v>
      </c>
      <c r="EV66" s="89">
        <v>0</v>
      </c>
      <c r="EW66" s="89">
        <v>0</v>
      </c>
      <c r="EX66" s="89">
        <v>0</v>
      </c>
      <c r="EY66" s="89">
        <v>0</v>
      </c>
      <c r="EZ66" s="89">
        <v>0</v>
      </c>
      <c r="FA66" s="89">
        <v>0</v>
      </c>
      <c r="FB66" s="89">
        <v>0</v>
      </c>
    </row>
    <row r="67" spans="3:158" x14ac:dyDescent="0.25">
      <c r="C67" s="2" t="s">
        <v>61</v>
      </c>
      <c r="D67" s="27">
        <f t="shared" si="412"/>
        <v>50064247.310000002</v>
      </c>
      <c r="E67" s="27">
        <f t="shared" si="412"/>
        <v>101107349.15000001</v>
      </c>
      <c r="F67" s="27">
        <f t="shared" si="412"/>
        <v>1873612.01</v>
      </c>
      <c r="G67" s="27">
        <f t="shared" si="412"/>
        <v>152020582.41999999</v>
      </c>
      <c r="H67" s="27">
        <f t="shared" si="412"/>
        <v>0</v>
      </c>
      <c r="I67" s="83">
        <f t="shared" si="412"/>
        <v>0</v>
      </c>
      <c r="J67" s="83">
        <f t="shared" si="412"/>
        <v>0</v>
      </c>
      <c r="K67" s="83">
        <f t="shared" si="412"/>
        <v>0</v>
      </c>
      <c r="L67" s="83">
        <f t="shared" si="412"/>
        <v>0</v>
      </c>
      <c r="N67" s="27">
        <f t="shared" si="413"/>
        <v>0</v>
      </c>
      <c r="O67" s="27">
        <f>SUM(BB67:BD67)</f>
        <v>0</v>
      </c>
      <c r="P67" s="27">
        <f>SUM(BE67:BG67)</f>
        <v>50019551</v>
      </c>
      <c r="Q67" s="27">
        <f>SUM(BH67:BJ67)</f>
        <v>44696.31</v>
      </c>
      <c r="R67" s="27">
        <f>SUM(BK67:BM67)</f>
        <v>128889</v>
      </c>
      <c r="S67" s="27">
        <f>SUM(BN67:BP67)</f>
        <v>547237.57000000007</v>
      </c>
      <c r="T67" s="27">
        <f>SUM(BQ67:BS67)</f>
        <v>100218322.92</v>
      </c>
      <c r="U67" s="27">
        <f>SUM(BT67:BV67)</f>
        <v>212899.66</v>
      </c>
      <c r="V67" s="27">
        <f>SUM(BW67:BY67)</f>
        <v>63894</v>
      </c>
      <c r="W67" s="27">
        <f>SUM(BZ67:CB67)</f>
        <v>188868</v>
      </c>
      <c r="X67" s="27">
        <f>SUM(CC67:CE67)</f>
        <v>474051</v>
      </c>
      <c r="Y67" s="27">
        <f>SUM(CF67:CH67)</f>
        <v>1146799.01</v>
      </c>
      <c r="Z67" s="27">
        <f>SUM(CI67:CK67)</f>
        <v>1007707.2200000001</v>
      </c>
      <c r="AA67" s="27">
        <f>SUM(CL67:CN67)</f>
        <v>150212875.19999999</v>
      </c>
      <c r="AB67" s="27">
        <f>SUM(CO67:CQ67)</f>
        <v>800000</v>
      </c>
      <c r="AC67" s="27">
        <f>SUM(CR67:CT67)</f>
        <v>0</v>
      </c>
      <c r="AD67" s="27">
        <f>SUM(CU67:CW67)</f>
        <v>0</v>
      </c>
      <c r="AE67" s="27">
        <f>SUM(CX67:CZ67)</f>
        <v>0</v>
      </c>
      <c r="AF67" s="27">
        <f>SUM(DA67:DC67)</f>
        <v>0</v>
      </c>
      <c r="AG67" s="27">
        <f>SUM(DD67:DF67)</f>
        <v>0</v>
      </c>
      <c r="AH67" s="27">
        <f>SUM(DG67:DI67)</f>
        <v>0</v>
      </c>
      <c r="AI67" s="27">
        <f>SUM(DJ67:DL67)</f>
        <v>0</v>
      </c>
      <c r="AJ67" s="27">
        <f>SUM(DM67:DO67)</f>
        <v>0</v>
      </c>
      <c r="AK67" s="27">
        <f>SUM(DP67:DR67)</f>
        <v>0</v>
      </c>
      <c r="AL67" s="27">
        <f>SUM(DS67:DU67)</f>
        <v>0</v>
      </c>
      <c r="AM67" s="27">
        <f>SUM(DV67:DX67)</f>
        <v>0</v>
      </c>
      <c r="AN67" s="27">
        <f>SUM(DY67:EA67)</f>
        <v>0</v>
      </c>
      <c r="AO67" s="27">
        <f>SUM(EB67:ED67)</f>
        <v>0</v>
      </c>
      <c r="AP67" s="27">
        <f>SUM(EE67:EG67)</f>
        <v>0</v>
      </c>
      <c r="AQ67" s="27">
        <f>SUM(EH67:EJ67)</f>
        <v>0</v>
      </c>
      <c r="AR67" s="27">
        <f>SUM(EK67:EM67)</f>
        <v>0</v>
      </c>
      <c r="AS67" s="27">
        <f>SUM(EN67:EP67)</f>
        <v>0</v>
      </c>
      <c r="AT67" s="27">
        <f>SUM(EQ67:ES67)</f>
        <v>0</v>
      </c>
      <c r="AU67" s="27">
        <f>SUM(ET67:EV67)</f>
        <v>0</v>
      </c>
      <c r="AV67" s="27">
        <f>SUM(EW67:EY67)</f>
        <v>0</v>
      </c>
      <c r="AW67" s="27">
        <f>SUM(EZ67:FB67)</f>
        <v>0</v>
      </c>
      <c r="AY67" s="52">
        <f>'Historical P&amp;L Adj'!C56</f>
        <v>0</v>
      </c>
      <c r="AZ67" s="52">
        <f>'Historical P&amp;L Adj'!D56</f>
        <v>0</v>
      </c>
      <c r="BA67" s="52">
        <f>'Historical P&amp;L Adj'!E56</f>
        <v>0</v>
      </c>
      <c r="BB67" s="52">
        <f>'Historical P&amp;L Adj'!F56</f>
        <v>0</v>
      </c>
      <c r="BC67" s="52">
        <f>'Historical P&amp;L Adj'!G56</f>
        <v>0</v>
      </c>
      <c r="BD67" s="52">
        <f>'Historical P&amp;L Adj'!H56</f>
        <v>0</v>
      </c>
      <c r="BE67" s="52">
        <f>'Historical P&amp;L Adj'!I56</f>
        <v>50005437</v>
      </c>
      <c r="BF67" s="52">
        <f>'Historical P&amp;L Adj'!J56</f>
        <v>14114</v>
      </c>
      <c r="BG67" s="52">
        <f>'Historical P&amp;L Adj'!K56</f>
        <v>0</v>
      </c>
      <c r="BH67" s="52">
        <f>'Historical P&amp;L Adj'!L56</f>
        <v>659.81</v>
      </c>
      <c r="BI67" s="52">
        <f>'Historical P&amp;L Adj'!M56</f>
        <v>21574.5</v>
      </c>
      <c r="BJ67" s="52">
        <f>'Historical P&amp;L Adj'!N56</f>
        <v>22462</v>
      </c>
      <c r="BK67" s="52">
        <f>'Historical P&amp;L Adj'!O56</f>
        <v>4325</v>
      </c>
      <c r="BL67" s="52">
        <f>'Historical P&amp;L Adj'!P56</f>
        <v>120758</v>
      </c>
      <c r="BM67" s="52">
        <f>'Historical P&amp;L Adj'!Q56</f>
        <v>3806</v>
      </c>
      <c r="BN67" s="52">
        <f>'Historical P&amp;L Adj'!R56</f>
        <v>326362.62</v>
      </c>
      <c r="BO67" s="52">
        <f>'Historical P&amp;L Adj'!S56</f>
        <v>11767.95</v>
      </c>
      <c r="BP67" s="52">
        <f>'Historical P&amp;L Adj'!T56</f>
        <v>209107</v>
      </c>
      <c r="BQ67" s="52">
        <f>'Historical P&amp;L Adj'!U56</f>
        <v>118491.35</v>
      </c>
      <c r="BR67" s="52">
        <f>'Historical P&amp;L Adj'!V56</f>
        <v>74232.37</v>
      </c>
      <c r="BS67" s="52">
        <f>'Historical P&amp;L Adj'!W56</f>
        <v>100025599.2</v>
      </c>
      <c r="BT67" s="52">
        <f>'Historical P&amp;L Adj'!X56</f>
        <v>3491</v>
      </c>
      <c r="BU67" s="52">
        <f>'Historical P&amp;L Adj'!Y56</f>
        <v>139075.66</v>
      </c>
      <c r="BV67" s="52">
        <f>'Historical P&amp;L Adj'!Z56</f>
        <v>70333</v>
      </c>
      <c r="BW67" s="52">
        <f>'Historical P&amp;L Adj'!AA56</f>
        <v>39673</v>
      </c>
      <c r="BX67" s="52">
        <f>'Historical P&amp;L Adj'!AB56</f>
        <v>21173</v>
      </c>
      <c r="BY67" s="52">
        <f>'Historical P&amp;L Adj'!AC56</f>
        <v>3048</v>
      </c>
      <c r="BZ67" s="52">
        <f>'Historical P&amp;L Adj'!AD56</f>
        <v>-22515</v>
      </c>
      <c r="CA67" s="52">
        <f>'Historical P&amp;L Adj'!AE56</f>
        <v>10874</v>
      </c>
      <c r="CB67" s="52">
        <f>'Historical P&amp;L Adj'!AF56</f>
        <v>200509</v>
      </c>
      <c r="CC67" s="52">
        <f>'Historical P&amp;L Adj'!AG56</f>
        <v>136543</v>
      </c>
      <c r="CD67" s="52">
        <f>'Historical P&amp;L Adj'!AH56</f>
        <v>210308</v>
      </c>
      <c r="CE67" s="52">
        <f>'Historical P&amp;L Adj'!AI56</f>
        <v>127200</v>
      </c>
      <c r="CF67" s="52">
        <f>'Historical P&amp;L Adj'!AJ56</f>
        <v>23679</v>
      </c>
      <c r="CG67" s="52">
        <f>'Historical P&amp;L Adj'!AK56</f>
        <v>1024073.62</v>
      </c>
      <c r="CH67" s="52">
        <f>'Historical P&amp;L Adj'!AL56</f>
        <v>99046.39</v>
      </c>
      <c r="CI67" s="56">
        <f>'Historical P&amp;L Adj'!AM56</f>
        <v>664282.74</v>
      </c>
      <c r="CJ67" s="52">
        <f>'Historical P&amp;L Adj'!AN56</f>
        <v>250868.31</v>
      </c>
      <c r="CK67" s="52">
        <f>'Historical P&amp;L Adj'!AO56</f>
        <v>92556.17</v>
      </c>
      <c r="CL67" s="52">
        <f>'Historical P&amp;L Adj'!AP56</f>
        <v>310958.48</v>
      </c>
      <c r="CM67" s="52">
        <f>'Historical P&amp;L Adj'!AQ56</f>
        <v>147013.28</v>
      </c>
      <c r="CN67" s="52">
        <f>'Historical P&amp;L Adj'!AR56</f>
        <v>149754903.44</v>
      </c>
      <c r="CO67" s="52">
        <f>'Historical P&amp;L Adj'!AS56</f>
        <v>0</v>
      </c>
      <c r="CP67" s="52">
        <f>'Historical P&amp;L Adj'!AT56</f>
        <v>800000</v>
      </c>
      <c r="CQ67" s="52">
        <f>'Historical P&amp;L Adj'!AU56</f>
        <v>0</v>
      </c>
      <c r="CR67" s="52">
        <f>'Historical P&amp;L Adj'!AV56</f>
        <v>0</v>
      </c>
      <c r="CS67" s="52">
        <f>'Historical P&amp;L Adj'!AW56</f>
        <v>0</v>
      </c>
      <c r="CT67" s="52">
        <f>'Historical P&amp;L Adj'!AX56</f>
        <v>0</v>
      </c>
      <c r="CU67" s="88">
        <v>0</v>
      </c>
      <c r="CV67" s="88">
        <v>0</v>
      </c>
      <c r="CW67" s="88">
        <v>0</v>
      </c>
      <c r="CX67" s="88">
        <v>0</v>
      </c>
      <c r="CY67" s="88">
        <v>0</v>
      </c>
      <c r="CZ67" s="88">
        <v>0</v>
      </c>
      <c r="DA67" s="88">
        <v>0</v>
      </c>
      <c r="DB67" s="159">
        <v>0</v>
      </c>
      <c r="DC67" s="88">
        <v>0</v>
      </c>
      <c r="DD67" s="88">
        <v>0</v>
      </c>
      <c r="DE67" s="88">
        <v>0</v>
      </c>
      <c r="DF67" s="88">
        <v>0</v>
      </c>
      <c r="DG67" s="88">
        <v>0</v>
      </c>
      <c r="DH67" s="88">
        <v>0</v>
      </c>
      <c r="DI67" s="88">
        <v>0</v>
      </c>
      <c r="DJ67" s="88">
        <v>0</v>
      </c>
      <c r="DK67" s="88">
        <v>0</v>
      </c>
      <c r="DL67" s="88">
        <v>0</v>
      </c>
      <c r="DM67" s="88">
        <v>0</v>
      </c>
      <c r="DN67" s="88">
        <v>0</v>
      </c>
      <c r="DO67" s="88">
        <v>0</v>
      </c>
      <c r="DP67" s="88">
        <v>0</v>
      </c>
      <c r="DQ67" s="88">
        <v>0</v>
      </c>
      <c r="DR67" s="88">
        <v>0</v>
      </c>
      <c r="DS67" s="88">
        <v>0</v>
      </c>
      <c r="DT67" s="88">
        <v>0</v>
      </c>
      <c r="DU67" s="88">
        <v>0</v>
      </c>
      <c r="DV67" s="88">
        <v>0</v>
      </c>
      <c r="DW67" s="88">
        <v>0</v>
      </c>
      <c r="DX67" s="88">
        <v>0</v>
      </c>
      <c r="DY67" s="88">
        <v>0</v>
      </c>
      <c r="DZ67" s="88">
        <v>0</v>
      </c>
      <c r="EA67" s="88">
        <v>0</v>
      </c>
      <c r="EB67" s="88">
        <v>0</v>
      </c>
      <c r="EC67" s="88">
        <v>0</v>
      </c>
      <c r="ED67" s="88">
        <v>0</v>
      </c>
      <c r="EE67" s="88">
        <v>0</v>
      </c>
      <c r="EF67" s="88">
        <v>0</v>
      </c>
      <c r="EG67" s="88">
        <v>0</v>
      </c>
      <c r="EH67" s="88">
        <v>0</v>
      </c>
      <c r="EI67" s="88">
        <v>0</v>
      </c>
      <c r="EJ67" s="88">
        <v>0</v>
      </c>
      <c r="EK67" s="88">
        <v>0</v>
      </c>
      <c r="EL67" s="88">
        <v>0</v>
      </c>
      <c r="EM67" s="88">
        <v>0</v>
      </c>
      <c r="EN67" s="88">
        <v>0</v>
      </c>
      <c r="EO67" s="88">
        <v>0</v>
      </c>
      <c r="EP67" s="88">
        <v>0</v>
      </c>
      <c r="EQ67" s="88">
        <v>0</v>
      </c>
      <c r="ER67" s="88">
        <v>0</v>
      </c>
      <c r="ES67" s="88">
        <v>0</v>
      </c>
      <c r="ET67" s="88">
        <v>0</v>
      </c>
      <c r="EU67" s="88">
        <v>0</v>
      </c>
      <c r="EV67" s="88">
        <v>0</v>
      </c>
      <c r="EW67" s="88">
        <v>0</v>
      </c>
      <c r="EX67" s="88">
        <v>0</v>
      </c>
      <c r="EY67" s="88">
        <v>0</v>
      </c>
      <c r="EZ67" s="88">
        <v>0</v>
      </c>
      <c r="FA67" s="88">
        <v>0</v>
      </c>
      <c r="FB67" s="88">
        <v>0</v>
      </c>
    </row>
    <row r="68" spans="3:158" x14ac:dyDescent="0.25">
      <c r="C68" s="1" t="s">
        <v>62</v>
      </c>
      <c r="D68" s="22">
        <f>SUM(D63:D67)</f>
        <v>63401484.154567458</v>
      </c>
      <c r="E68" s="22">
        <f t="shared" ref="E68:L68" si="418">SUM(E63:E67)</f>
        <v>127948489</v>
      </c>
      <c r="F68" s="22">
        <f t="shared" si="418"/>
        <v>96304544.183695599</v>
      </c>
      <c r="G68" s="22">
        <f t="shared" si="418"/>
        <v>194035776.30878586</v>
      </c>
      <c r="H68" s="22">
        <f t="shared" si="418"/>
        <v>135597997.99384063</v>
      </c>
      <c r="I68" s="53">
        <f t="shared" si="418"/>
        <v>84083766.34412396</v>
      </c>
      <c r="J68" s="53">
        <f t="shared" si="418"/>
        <v>64188915.367398798</v>
      </c>
      <c r="K68" s="53">
        <f t="shared" si="418"/>
        <v>112982984.37855244</v>
      </c>
      <c r="L68" s="53">
        <f t="shared" si="418"/>
        <v>240100667.38286042</v>
      </c>
      <c r="N68" s="18">
        <f t="shared" ref="N68:AK68" si="419">SUM(N63:N67)</f>
        <v>28212770.124567442</v>
      </c>
      <c r="O68" s="18">
        <f t="shared" si="419"/>
        <v>23776766.444567442</v>
      </c>
      <c r="P68" s="18">
        <f t="shared" si="419"/>
        <v>67665568.374567449</v>
      </c>
      <c r="Q68" s="18">
        <f t="shared" si="419"/>
        <v>63401484.154567443</v>
      </c>
      <c r="R68" s="18">
        <f t="shared" si="419"/>
        <v>48175318.490000002</v>
      </c>
      <c r="S68" s="18">
        <f t="shared" si="419"/>
        <v>41429539.450000003</v>
      </c>
      <c r="T68" s="18">
        <f t="shared" si="419"/>
        <v>132459700.20000002</v>
      </c>
      <c r="U68" s="18">
        <f t="shared" si="419"/>
        <v>127948488.99999999</v>
      </c>
      <c r="V68" s="18">
        <f t="shared" si="419"/>
        <v>113930231.9998</v>
      </c>
      <c r="W68" s="18">
        <f t="shared" si="419"/>
        <v>103352980.40773998</v>
      </c>
      <c r="X68" s="18">
        <f t="shared" si="419"/>
        <v>98528151.126639977</v>
      </c>
      <c r="Y68" s="18">
        <f t="shared" si="419"/>
        <v>96304544.183695585</v>
      </c>
      <c r="Z68" s="18">
        <f t="shared" si="419"/>
        <v>86058441.69929558</v>
      </c>
      <c r="AA68" s="18">
        <f t="shared" si="419"/>
        <v>224136402.30269557</v>
      </c>
      <c r="AB68" s="18">
        <f t="shared" si="419"/>
        <v>208151271.39115179</v>
      </c>
      <c r="AC68" s="18">
        <f t="shared" si="419"/>
        <v>194035776.30878583</v>
      </c>
      <c r="AD68" s="18">
        <f t="shared" si="419"/>
        <v>176197433.5626145</v>
      </c>
      <c r="AE68" s="18">
        <f t="shared" si="419"/>
        <v>161552209.46968755</v>
      </c>
      <c r="AF68" s="18">
        <f t="shared" si="419"/>
        <v>146970820.79528078</v>
      </c>
      <c r="AG68" s="18">
        <f t="shared" si="419"/>
        <v>135597997.99384063</v>
      </c>
      <c r="AH68" s="18">
        <f t="shared" si="419"/>
        <v>121300930.67339991</v>
      </c>
      <c r="AI68" s="18">
        <f t="shared" si="419"/>
        <v>109742581.70301622</v>
      </c>
      <c r="AJ68" s="18">
        <f t="shared" si="419"/>
        <v>95998271.173080921</v>
      </c>
      <c r="AK68" s="18">
        <f t="shared" si="419"/>
        <v>84083766.34412393</v>
      </c>
      <c r="AL68" s="18">
        <f t="shared" ref="AL68" si="420">SUM(AL63:AL67)</f>
        <v>69977267.90896365</v>
      </c>
      <c r="AM68" s="18">
        <f t="shared" ref="AM68" si="421">SUM(AM63:AM67)</f>
        <v>64633235.970212311</v>
      </c>
      <c r="AN68" s="18">
        <f t="shared" ref="AN68" si="422">SUM(AN63:AN67)</f>
        <v>60513241.371965706</v>
      </c>
      <c r="AO68" s="18">
        <f t="shared" ref="AO68" si="423">SUM(AO63:AO67)</f>
        <v>64188915.367398709</v>
      </c>
      <c r="AP68" s="18">
        <f t="shared" ref="AP68" si="424">SUM(AP63:AP67)</f>
        <v>65523038.7689403</v>
      </c>
      <c r="AQ68" s="18">
        <f t="shared" ref="AQ68" si="425">SUM(AQ63:AQ67)</f>
        <v>77369436.190915436</v>
      </c>
      <c r="AR68" s="18">
        <f t="shared" ref="AR68" si="426">SUM(AR63:AR67)</f>
        <v>90319031.919203699</v>
      </c>
      <c r="AS68" s="18">
        <f t="shared" ref="AS68:AT68" si="427">SUM(AS63:AS67)</f>
        <v>112982984.37855232</v>
      </c>
      <c r="AT68" s="18">
        <f t="shared" si="427"/>
        <v>130543113.44114023</v>
      </c>
      <c r="AU68" s="18">
        <f t="shared" ref="AU68" si="428">SUM(AU63:AU67)</f>
        <v>161379792.29944459</v>
      </c>
      <c r="AV68" s="18">
        <f t="shared" ref="AV68" si="429">SUM(AV63:AV67)</f>
        <v>194226705.00901604</v>
      </c>
      <c r="AW68" s="18">
        <f t="shared" ref="AW68" si="430">SUM(AW63:AW67)</f>
        <v>240100667.38286042</v>
      </c>
      <c r="AY68" s="81">
        <f>SUM(AY63:AY67)</f>
        <v>30908000</v>
      </c>
      <c r="AZ68" s="81">
        <f t="shared" ref="AZ68:DK68" si="431">SUM(AZ63:AZ67)</f>
        <v>29751252.227858581</v>
      </c>
      <c r="BA68" s="81">
        <f t="shared" si="431"/>
        <v>28212770.124567442</v>
      </c>
      <c r="BB68" s="81">
        <f t="shared" si="431"/>
        <v>26828045.664567441</v>
      </c>
      <c r="BC68" s="81">
        <f t="shared" si="431"/>
        <v>25053116.18456744</v>
      </c>
      <c r="BD68" s="81">
        <f t="shared" si="431"/>
        <v>23776766.444567442</v>
      </c>
      <c r="BE68" s="81">
        <f t="shared" si="431"/>
        <v>71460969.974567443</v>
      </c>
      <c r="BF68" s="81">
        <f t="shared" si="431"/>
        <v>69370126.044567436</v>
      </c>
      <c r="BG68" s="81">
        <f t="shared" si="431"/>
        <v>67665568.374567434</v>
      </c>
      <c r="BH68" s="81">
        <f t="shared" si="431"/>
        <v>64055153.52456744</v>
      </c>
      <c r="BI68" s="81">
        <f t="shared" si="431"/>
        <v>61392734.444567442</v>
      </c>
      <c r="BJ68" s="81">
        <f t="shared" si="431"/>
        <v>63401484.154567443</v>
      </c>
      <c r="BK68" s="81">
        <f t="shared" si="431"/>
        <v>56750586</v>
      </c>
      <c r="BL68" s="81">
        <f t="shared" si="431"/>
        <v>53238498</v>
      </c>
      <c r="BM68" s="81">
        <f t="shared" si="431"/>
        <v>48175318.490000002</v>
      </c>
      <c r="BN68" s="81">
        <f t="shared" si="431"/>
        <v>44147531.289999999</v>
      </c>
      <c r="BO68" s="81">
        <f t="shared" si="431"/>
        <v>41703546</v>
      </c>
      <c r="BP68" s="81">
        <f t="shared" si="431"/>
        <v>41429539.450000003</v>
      </c>
      <c r="BQ68" s="81">
        <f t="shared" si="431"/>
        <v>38291624.450000003</v>
      </c>
      <c r="BR68" s="81">
        <f t="shared" si="431"/>
        <v>35664372.490000002</v>
      </c>
      <c r="BS68" s="81">
        <f t="shared" si="431"/>
        <v>132459700.2</v>
      </c>
      <c r="BT68" s="81">
        <f t="shared" si="431"/>
        <v>128008357.45999999</v>
      </c>
      <c r="BU68" s="81">
        <f t="shared" si="431"/>
        <v>126099865.05</v>
      </c>
      <c r="BV68" s="81">
        <f t="shared" si="431"/>
        <v>127948489</v>
      </c>
      <c r="BW68" s="81">
        <f>SUM(BW63:BW67)</f>
        <v>119257943.236</v>
      </c>
      <c r="BX68" s="81">
        <f t="shared" si="431"/>
        <v>115335263.0008</v>
      </c>
      <c r="BY68" s="81">
        <f t="shared" si="431"/>
        <v>113930231.9998</v>
      </c>
      <c r="BZ68" s="81">
        <f t="shared" si="431"/>
        <v>107616850.00053999</v>
      </c>
      <c r="CA68" s="81">
        <f t="shared" si="431"/>
        <v>104613278.82773998</v>
      </c>
      <c r="CB68" s="81">
        <f t="shared" si="431"/>
        <v>103352980.40773998</v>
      </c>
      <c r="CC68" s="81">
        <f t="shared" si="431"/>
        <v>100208376.29277998</v>
      </c>
      <c r="CD68" s="81">
        <f t="shared" si="431"/>
        <v>98942438.337039977</v>
      </c>
      <c r="CE68" s="81">
        <f t="shared" si="431"/>
        <v>98528151.126639977</v>
      </c>
      <c r="CF68" s="81">
        <f t="shared" si="431"/>
        <v>95916201.318802193</v>
      </c>
      <c r="CG68" s="81">
        <f t="shared" si="431"/>
        <v>94172541.173202187</v>
      </c>
      <c r="CH68" s="81">
        <f t="shared" si="431"/>
        <v>96304544.183695585</v>
      </c>
      <c r="CI68" s="82">
        <f t="shared" si="431"/>
        <v>93950941.221695587</v>
      </c>
      <c r="CJ68" s="81">
        <f t="shared" si="431"/>
        <v>90695742.135095581</v>
      </c>
      <c r="CK68" s="81">
        <f t="shared" si="431"/>
        <v>86058441.69929558</v>
      </c>
      <c r="CL68" s="81">
        <f t="shared" si="431"/>
        <v>79600356.420295581</v>
      </c>
      <c r="CM68" s="81">
        <f t="shared" si="431"/>
        <v>75904722.730695575</v>
      </c>
      <c r="CN68" s="81">
        <f t="shared" si="431"/>
        <v>224136402.30269557</v>
      </c>
      <c r="CO68" s="81">
        <f t="shared" si="431"/>
        <v>222040661.61505654</v>
      </c>
      <c r="CP68" s="81">
        <f t="shared" si="431"/>
        <v>215505050.51987246</v>
      </c>
      <c r="CQ68" s="81">
        <f t="shared" si="431"/>
        <v>208151271.39115179</v>
      </c>
      <c r="CR68" s="81">
        <f t="shared" si="431"/>
        <v>205969417.87340602</v>
      </c>
      <c r="CS68" s="81">
        <f t="shared" si="431"/>
        <v>198413424.37425423</v>
      </c>
      <c r="CT68" s="81">
        <f t="shared" si="431"/>
        <v>194035776.3087858</v>
      </c>
      <c r="CU68" s="81">
        <f t="shared" ref="CU68:DF68" si="432">SUM(CU63:CU67)</f>
        <v>187243160.65266705</v>
      </c>
      <c r="CV68" s="81">
        <f t="shared" si="432"/>
        <v>181216667.22463393</v>
      </c>
      <c r="CW68" s="81">
        <f t="shared" si="432"/>
        <v>176197433.5626145</v>
      </c>
      <c r="CX68" s="81">
        <f t="shared" si="432"/>
        <v>170528632.52353275</v>
      </c>
      <c r="CY68" s="81">
        <f t="shared" si="432"/>
        <v>165683156.15103489</v>
      </c>
      <c r="CZ68" s="81">
        <f t="shared" si="432"/>
        <v>161552209.46968758</v>
      </c>
      <c r="DA68" s="81">
        <f t="shared" si="432"/>
        <v>156164948.26494721</v>
      </c>
      <c r="DB68" s="81">
        <f t="shared" si="432"/>
        <v>151190843.64555815</v>
      </c>
      <c r="DC68" s="81">
        <f t="shared" si="432"/>
        <v>146970820.79528081</v>
      </c>
      <c r="DD68" s="81">
        <f t="shared" si="432"/>
        <v>142046011.89313233</v>
      </c>
      <c r="DE68" s="81">
        <f t="shared" si="432"/>
        <v>138840701.71494868</v>
      </c>
      <c r="DF68" s="81">
        <f t="shared" si="432"/>
        <v>135597997.99384063</v>
      </c>
      <c r="DG68" s="81">
        <f t="shared" si="431"/>
        <v>129851669.16180989</v>
      </c>
      <c r="DH68" s="81">
        <f t="shared" si="431"/>
        <v>124966686.13819438</v>
      </c>
      <c r="DI68" s="81">
        <f t="shared" si="431"/>
        <v>121300930.67339994</v>
      </c>
      <c r="DJ68" s="81">
        <f t="shared" si="431"/>
        <v>116487608.6590298</v>
      </c>
      <c r="DK68" s="81">
        <f t="shared" si="431"/>
        <v>112734618.25007461</v>
      </c>
      <c r="DL68" s="81">
        <f t="shared" ref="DL68:DR68" si="433">SUM(DL63:DL67)</f>
        <v>109742581.70301619</v>
      </c>
      <c r="DM68" s="81">
        <f t="shared" si="433"/>
        <v>104722440.18793353</v>
      </c>
      <c r="DN68" s="81">
        <f t="shared" si="433"/>
        <v>99954959.068303108</v>
      </c>
      <c r="DO68" s="81">
        <f t="shared" si="433"/>
        <v>95998271.173080921</v>
      </c>
      <c r="DP68" s="81">
        <f t="shared" si="433"/>
        <v>90596780.466891617</v>
      </c>
      <c r="DQ68" s="81">
        <f t="shared" si="433"/>
        <v>87475629.838566735</v>
      </c>
      <c r="DR68" s="81">
        <f t="shared" si="433"/>
        <v>84083766.34412393</v>
      </c>
      <c r="DS68" s="81">
        <f t="shared" ref="DS68:EQ68" si="434">SUM(DS63:DS67)</f>
        <v>77519230.089708582</v>
      </c>
      <c r="DT68" s="81">
        <f t="shared" si="434"/>
        <v>72641577.158003479</v>
      </c>
      <c r="DU68" s="81">
        <f t="shared" si="434"/>
        <v>69977267.90896365</v>
      </c>
      <c r="DV68" s="81">
        <f t="shared" si="434"/>
        <v>66085425.972004257</v>
      </c>
      <c r="DW68" s="81">
        <f t="shared" si="434"/>
        <v>64365247.602825098</v>
      </c>
      <c r="DX68" s="81">
        <f t="shared" si="434"/>
        <v>64633235.970212311</v>
      </c>
      <c r="DY68" s="81">
        <f t="shared" si="434"/>
        <v>62064740.345827088</v>
      </c>
      <c r="DZ68" s="81">
        <f t="shared" si="434"/>
        <v>60398791.839095652</v>
      </c>
      <c r="EA68" s="81">
        <f t="shared" si="434"/>
        <v>60513241.371965706</v>
      </c>
      <c r="EB68" s="81">
        <f t="shared" si="434"/>
        <v>59092042.645995073</v>
      </c>
      <c r="EC68" s="81">
        <f t="shared" si="434"/>
        <v>61530715.468010381</v>
      </c>
      <c r="ED68" s="81">
        <f t="shared" si="434"/>
        <v>64188915.367398679</v>
      </c>
      <c r="EE68" s="81">
        <f t="shared" si="434"/>
        <v>62218230.367174149</v>
      </c>
      <c r="EF68" s="81">
        <f t="shared" si="434"/>
        <v>62409310.897357404</v>
      </c>
      <c r="EG68" s="81">
        <f t="shared" si="434"/>
        <v>65523038.768940315</v>
      </c>
      <c r="EH68" s="81">
        <f t="shared" si="434"/>
        <v>66643186.904505059</v>
      </c>
      <c r="EI68" s="81">
        <f t="shared" si="434"/>
        <v>70623411.309452817</v>
      </c>
      <c r="EJ68" s="81">
        <f t="shared" si="434"/>
        <v>77369436.190915436</v>
      </c>
      <c r="EK68" s="81">
        <f t="shared" si="434"/>
        <v>80161650.41803652</v>
      </c>
      <c r="EL68" s="81">
        <f t="shared" si="434"/>
        <v>84056976.344591975</v>
      </c>
      <c r="EM68" s="81">
        <f t="shared" si="434"/>
        <v>90319031.919203699</v>
      </c>
      <c r="EN68" s="81">
        <f t="shared" si="434"/>
        <v>94210111.878933847</v>
      </c>
      <c r="EO68" s="81">
        <f t="shared" si="434"/>
        <v>103470178.68296283</v>
      </c>
      <c r="EP68" s="81">
        <f t="shared" si="434"/>
        <v>112982984.37855226</v>
      </c>
      <c r="EQ68" s="81">
        <f t="shared" si="434"/>
        <v>115801857.38739155</v>
      </c>
      <c r="ER68" s="81">
        <f t="shared" ref="ER68:FB68" si="435">SUM(ER63:ER67)</f>
        <v>121340573.53890008</v>
      </c>
      <c r="ES68" s="81">
        <f t="shared" si="435"/>
        <v>130543113.44114015</v>
      </c>
      <c r="ET68" s="81">
        <f t="shared" si="435"/>
        <v>137173553.01579887</v>
      </c>
      <c r="EU68" s="81">
        <f t="shared" si="435"/>
        <v>147446032.9410882</v>
      </c>
      <c r="EV68" s="81">
        <f t="shared" si="435"/>
        <v>161379792.29944468</v>
      </c>
      <c r="EW68" s="81">
        <f t="shared" si="435"/>
        <v>170465453.04196346</v>
      </c>
      <c r="EX68" s="81">
        <f t="shared" si="435"/>
        <v>180839159.52228552</v>
      </c>
      <c r="EY68" s="81">
        <f t="shared" si="435"/>
        <v>194226705.0090161</v>
      </c>
      <c r="EZ68" s="81">
        <f t="shared" si="435"/>
        <v>204739669.05224741</v>
      </c>
      <c r="FA68" s="81">
        <f t="shared" si="435"/>
        <v>222252394.60860664</v>
      </c>
      <c r="FB68" s="81">
        <f t="shared" si="435"/>
        <v>240100667.38286042</v>
      </c>
    </row>
    <row r="69" spans="3:158" outlineLevel="1" x14ac:dyDescent="0.25">
      <c r="C69" s="21" t="s">
        <v>187</v>
      </c>
      <c r="D69" s="20">
        <v>64247.310000017285</v>
      </c>
      <c r="E69" s="20">
        <v>281848.21000000834</v>
      </c>
      <c r="F69" s="20">
        <v>68</v>
      </c>
      <c r="G69" s="20">
        <v>67.999999940395355</v>
      </c>
      <c r="H69" s="20"/>
      <c r="I69" s="20"/>
      <c r="J69" s="20"/>
      <c r="K69" s="20"/>
      <c r="L69" s="20"/>
      <c r="M69" s="21"/>
      <c r="N69" s="20"/>
      <c r="O69" s="20"/>
      <c r="P69" s="20"/>
      <c r="Q69" s="20"/>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c r="AS69" s="20"/>
      <c r="AT69" s="20"/>
      <c r="AU69" s="20"/>
      <c r="AV69" s="20"/>
      <c r="AW69" s="20"/>
      <c r="AX69" s="21"/>
      <c r="AY69" s="20"/>
      <c r="AZ69" s="20"/>
      <c r="BA69" s="20"/>
      <c r="BB69" s="20"/>
      <c r="BC69" s="20"/>
      <c r="BD69" s="20"/>
      <c r="BE69" s="20"/>
      <c r="BF69" s="20"/>
      <c r="BG69" s="20"/>
      <c r="BH69" s="20"/>
      <c r="BI69" s="20"/>
      <c r="BJ69" s="20"/>
      <c r="BK69" s="20"/>
      <c r="BL69" s="20"/>
      <c r="BM69" s="20"/>
      <c r="BN69" s="20"/>
      <c r="BO69" s="20"/>
      <c r="BP69" s="20"/>
      <c r="BQ69" s="20"/>
      <c r="BR69" s="20"/>
      <c r="BS69" s="20"/>
      <c r="BT69" s="20"/>
      <c r="BU69" s="20"/>
      <c r="BV69" s="20"/>
      <c r="BW69" s="20"/>
      <c r="BX69" s="20"/>
      <c r="BY69" s="20"/>
      <c r="BZ69" s="20"/>
      <c r="CA69" s="20"/>
      <c r="CB69" s="20"/>
      <c r="CC69" s="20"/>
      <c r="CD69" s="20"/>
      <c r="CE69" s="20"/>
      <c r="CF69" s="20"/>
      <c r="CG69" s="20"/>
      <c r="CH69" s="20"/>
      <c r="CI69" s="20"/>
      <c r="CJ69" s="20"/>
      <c r="CK69" s="20"/>
      <c r="CL69" s="20"/>
      <c r="CM69" s="20"/>
      <c r="CN69" s="20"/>
      <c r="CO69" s="20"/>
      <c r="CP69" s="20"/>
      <c r="CQ69" s="20"/>
      <c r="CR69" s="20"/>
      <c r="CS69" s="20"/>
      <c r="CT69" s="20"/>
      <c r="CU69" s="20"/>
      <c r="CV69" s="20"/>
      <c r="CW69" s="20"/>
      <c r="CX69" s="20"/>
      <c r="CY69" s="20"/>
      <c r="CZ69" s="20"/>
      <c r="DA69" s="20"/>
      <c r="DB69" s="20"/>
      <c r="DC69" s="20"/>
      <c r="DD69" s="20"/>
      <c r="DE69" s="20"/>
      <c r="DF69" s="20"/>
      <c r="DG69" s="20"/>
      <c r="DH69" s="20"/>
      <c r="DI69" s="20"/>
      <c r="DJ69" s="20"/>
      <c r="DK69" s="20"/>
      <c r="DL69" s="20"/>
      <c r="DM69" s="20"/>
      <c r="DN69" s="20"/>
      <c r="DO69" s="20"/>
      <c r="DP69" s="20"/>
      <c r="DQ69" s="20"/>
      <c r="DR69" s="20"/>
      <c r="DS69" s="20"/>
      <c r="DT69" s="20"/>
      <c r="DU69" s="20"/>
      <c r="DV69" s="20"/>
      <c r="DW69" s="20"/>
      <c r="DX69" s="20"/>
      <c r="DY69" s="20"/>
      <c r="DZ69" s="20"/>
      <c r="EA69" s="20"/>
      <c r="EB69" s="20"/>
      <c r="EC69" s="20"/>
      <c r="ED69" s="20"/>
      <c r="EE69" s="20"/>
      <c r="EF69" s="20"/>
      <c r="EG69" s="20"/>
      <c r="EH69" s="20"/>
      <c r="EI69" s="20"/>
      <c r="EJ69" s="20"/>
      <c r="EK69" s="20"/>
      <c r="EL69" s="20"/>
      <c r="EM69" s="20"/>
      <c r="EN69" s="20"/>
      <c r="EO69" s="20"/>
      <c r="EP69" s="20"/>
      <c r="EQ69" s="20"/>
      <c r="ER69" s="20"/>
      <c r="ES69" s="20"/>
      <c r="ET69" s="20"/>
      <c r="EU69" s="20"/>
      <c r="EV69" s="20"/>
      <c r="EW69" s="20"/>
      <c r="EX69" s="20"/>
      <c r="EY69" s="20"/>
      <c r="EZ69" s="20"/>
      <c r="FA69" s="20"/>
      <c r="FB69" s="20"/>
    </row>
    <row r="70" spans="3:158" x14ac:dyDescent="0.25">
      <c r="D70" s="20"/>
      <c r="E70" s="20"/>
      <c r="F70" s="20"/>
      <c r="G70" s="20"/>
      <c r="H70" s="20"/>
      <c r="I70" s="20"/>
      <c r="J70" s="20"/>
      <c r="K70" s="20"/>
      <c r="L70" s="20"/>
      <c r="N70" s="20"/>
      <c r="O70" s="20"/>
      <c r="P70" s="20"/>
      <c r="Q70" s="20"/>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c r="AS70" s="20"/>
      <c r="AT70" s="20"/>
      <c r="AU70" s="20"/>
      <c r="AV70" s="20"/>
      <c r="AW70" s="20"/>
      <c r="AY70" s="16"/>
      <c r="AZ70" s="16"/>
      <c r="BA70" s="16"/>
      <c r="BB70" s="16"/>
      <c r="BC70" s="16"/>
      <c r="BD70" s="16"/>
      <c r="BE70" s="16"/>
      <c r="BF70" s="16"/>
      <c r="BG70" s="16"/>
      <c r="BH70" s="16"/>
      <c r="BI70" s="16"/>
      <c r="BJ70" s="16"/>
      <c r="BK70" s="16"/>
      <c r="BL70" s="16"/>
      <c r="BM70" s="16"/>
      <c r="BN70" s="16"/>
      <c r="BO70" s="16"/>
      <c r="BP70" s="16"/>
      <c r="BQ70" s="16"/>
      <c r="BR70" s="16"/>
      <c r="BS70" s="16"/>
      <c r="BT70" s="16"/>
      <c r="BU70" s="16"/>
      <c r="BV70" s="16"/>
      <c r="BW70" s="16"/>
      <c r="BX70" s="16"/>
      <c r="BY70" s="16"/>
      <c r="BZ70" s="16"/>
      <c r="CA70" s="16"/>
      <c r="CB70" s="16"/>
      <c r="CC70" s="16"/>
      <c r="CD70" s="16"/>
      <c r="CE70" s="16"/>
      <c r="CF70" s="16"/>
      <c r="CG70" s="16"/>
      <c r="CH70" s="16"/>
      <c r="CI70" s="16"/>
      <c r="CJ70" s="16"/>
      <c r="CK70" s="16"/>
      <c r="CL70" s="16"/>
      <c r="CM70" s="16"/>
      <c r="CN70" s="16"/>
      <c r="CO70" s="16"/>
      <c r="CP70" s="16"/>
      <c r="CQ70" s="16"/>
      <c r="CR70" s="16"/>
      <c r="CS70" s="16"/>
      <c r="CT70" s="16"/>
    </row>
    <row r="71" spans="3:158" x14ac:dyDescent="0.25">
      <c r="C71" t="s">
        <v>220</v>
      </c>
      <c r="D71" s="30">
        <f t="shared" ref="D71:L71" si="436">SUMIF($AY$2:$FB$2,D$2,$AY71:$FB71)</f>
        <v>-19237173.405432548</v>
      </c>
      <c r="E71" s="30">
        <f t="shared" si="436"/>
        <v>-33055798.269999996</v>
      </c>
      <c r="F71" s="30">
        <f t="shared" si="436"/>
        <v>-33137405.926304407</v>
      </c>
      <c r="G71" s="30">
        <f t="shared" si="436"/>
        <v>-54289350.294909723</v>
      </c>
      <c r="H71" s="30">
        <f t="shared" si="436"/>
        <v>-58437778.314945161</v>
      </c>
      <c r="I71" s="68">
        <f t="shared" si="436"/>
        <v>-51514231.649716713</v>
      </c>
      <c r="J71" s="68">
        <f t="shared" si="436"/>
        <v>-19894850.97672525</v>
      </c>
      <c r="K71" s="68">
        <f t="shared" si="436"/>
        <v>48794069.011153616</v>
      </c>
      <c r="L71" s="68">
        <f t="shared" si="436"/>
        <v>127117683.0043081</v>
      </c>
      <c r="N71" s="30">
        <f t="shared" ref="N71" si="437">SUM(AY71:BA71)</f>
        <v>-5388229.8754325574</v>
      </c>
      <c r="O71" s="30">
        <f>SUM(BB71:BD71)</f>
        <v>-4436003.68</v>
      </c>
      <c r="P71" s="30">
        <f>SUM(BE71:BG71)</f>
        <v>-5728093.0700000022</v>
      </c>
      <c r="Q71" s="30">
        <f>SUM(BH71:BJ71)</f>
        <v>-3684846.7799999919</v>
      </c>
      <c r="R71" s="30">
        <f>SUM(BK71:BM71)</f>
        <v>-11997418.629999995</v>
      </c>
      <c r="S71" s="30">
        <f>SUM(BN71:BP71)</f>
        <v>-7390889.6099999985</v>
      </c>
      <c r="T71" s="30">
        <f>SUM(BQ71:BS71)</f>
        <v>-9188162.1699999981</v>
      </c>
      <c r="U71" s="30">
        <f>SUM(BT71:BV71)</f>
        <v>-4479327.860000005</v>
      </c>
      <c r="V71" s="30">
        <f>SUM(BW71:BY71)</f>
        <v>-14021452.830200003</v>
      </c>
      <c r="W71" s="30">
        <f>SUM(BZ71:CB71)</f>
        <v>-10446598.86206001</v>
      </c>
      <c r="X71" s="30">
        <f>SUM(CC71:CE71)</f>
        <v>-5298948.2810999993</v>
      </c>
      <c r="Y71" s="30">
        <f>SUM(CF71:CH71)</f>
        <v>-3370405.9529444007</v>
      </c>
      <c r="Z71" s="30">
        <f>SUM(CI71:CK71)</f>
        <v>-11253809.704400005</v>
      </c>
      <c r="AA71" s="30">
        <f>SUM(CL71:CN71)</f>
        <v>-12134914.596600009</v>
      </c>
      <c r="AB71" s="30">
        <f>SUM(CO71:CQ71)</f>
        <v>-16785130.911543775</v>
      </c>
      <c r="AC71" s="30">
        <f>SUM(CR71:CT71)</f>
        <v>-14115495.082365939</v>
      </c>
      <c r="AD71" s="30">
        <f>SUM(CU71:CW71)</f>
        <v>-17838342.746171273</v>
      </c>
      <c r="AE71" s="30">
        <f>SUM(CX71:CZ71)</f>
        <v>-14645224.092926938</v>
      </c>
      <c r="AF71" s="30">
        <f>SUM(DA71:DC71)</f>
        <v>-14581388.674406782</v>
      </c>
      <c r="AG71" s="30">
        <f>SUM(DD71:DF71)</f>
        <v>-11372822.801440164</v>
      </c>
      <c r="AH71" s="30">
        <f>SUM(DG71:DI71)</f>
        <v>-14297067.320440721</v>
      </c>
      <c r="AI71" s="30">
        <f>SUM(DJ71:DL71)</f>
        <v>-11558348.970383726</v>
      </c>
      <c r="AJ71" s="30">
        <f>SUM(DM71:DO71)</f>
        <v>-13744310.529935278</v>
      </c>
      <c r="AK71" s="30">
        <f>SUM(DP71:DR71)</f>
        <v>-11914504.828956984</v>
      </c>
      <c r="AL71" s="30">
        <f>SUM(DS71:DU71)</f>
        <v>-14106498.435160272</v>
      </c>
      <c r="AM71" s="30">
        <f>SUM(DV71:DX71)</f>
        <v>-5344031.9387513548</v>
      </c>
      <c r="AN71" s="30">
        <f>SUM(DY71:EA71)</f>
        <v>-4119994.5982466117</v>
      </c>
      <c r="AO71" s="30">
        <f>SUM(EB71:ED71)</f>
        <v>3675673.9954329878</v>
      </c>
      <c r="AP71" s="30">
        <f>SUM(EE71:EG71)</f>
        <v>1334123.4015416354</v>
      </c>
      <c r="AQ71" s="30">
        <f>SUM(EH71:EJ71)</f>
        <v>11846397.421975128</v>
      </c>
      <c r="AR71" s="30">
        <f>SUM(EK71:EM71)</f>
        <v>12949595.728288241</v>
      </c>
      <c r="AS71" s="30">
        <f>SUM(EN71:EP71)</f>
        <v>22663952.459348612</v>
      </c>
      <c r="AT71" s="30">
        <f>SUM(EQ71:ES71)</f>
        <v>17560129.062587917</v>
      </c>
      <c r="AU71" s="30">
        <f>SUM(ET71:EV71)</f>
        <v>30836678.858304486</v>
      </c>
      <c r="AV71" s="30">
        <f>SUM(EW71:EY71)</f>
        <v>32846912.709571362</v>
      </c>
      <c r="AW71" s="30">
        <f>SUM(EZ71:FB71)</f>
        <v>45873962.37384434</v>
      </c>
      <c r="AY71" s="30">
        <f>SUM(AY64:AY65)</f>
        <v>-2693000</v>
      </c>
      <c r="AZ71" s="30">
        <f t="shared" ref="AZ71:DF71" si="438">SUM(AZ64:AZ65)</f>
        <v>-1156747.7721414184</v>
      </c>
      <c r="BA71" s="30">
        <f t="shared" si="438"/>
        <v>-1538482.103291139</v>
      </c>
      <c r="BB71" s="30">
        <f t="shared" si="438"/>
        <v>-1384724.4600000023</v>
      </c>
      <c r="BC71" s="30">
        <f t="shared" si="438"/>
        <v>-1774929.4799999988</v>
      </c>
      <c r="BD71" s="30">
        <f t="shared" si="438"/>
        <v>-1276349.7399999984</v>
      </c>
      <c r="BE71" s="30">
        <f t="shared" si="438"/>
        <v>-2321233.4699999997</v>
      </c>
      <c r="BF71" s="30">
        <f t="shared" si="438"/>
        <v>-1714301.9300000067</v>
      </c>
      <c r="BG71" s="30">
        <f t="shared" si="438"/>
        <v>-1692557.6699999953</v>
      </c>
      <c r="BH71" s="30">
        <f t="shared" si="438"/>
        <v>-3428007.4099999941</v>
      </c>
      <c r="BI71" s="30">
        <f t="shared" si="438"/>
        <v>-2434036.0799999991</v>
      </c>
      <c r="BJ71" s="30">
        <f t="shared" si="438"/>
        <v>2177196.7100000009</v>
      </c>
      <c r="BK71" s="30">
        <f t="shared" si="438"/>
        <v>-6648470.2299999967</v>
      </c>
      <c r="BL71" s="30">
        <f t="shared" si="438"/>
        <v>-3604816.0300000012</v>
      </c>
      <c r="BM71" s="30">
        <f t="shared" si="438"/>
        <v>-1744132.3699999969</v>
      </c>
      <c r="BN71" s="30">
        <f t="shared" si="438"/>
        <v>-4459582.8200000022</v>
      </c>
      <c r="BO71" s="30">
        <f t="shared" si="438"/>
        <v>-2448193.2399999993</v>
      </c>
      <c r="BP71" s="30">
        <f t="shared" si="438"/>
        <v>-483113.54999999702</v>
      </c>
      <c r="BQ71" s="30">
        <f t="shared" si="438"/>
        <v>-3256406.3499999996</v>
      </c>
      <c r="BR71" s="30">
        <f t="shared" si="438"/>
        <v>-2701484.3299999959</v>
      </c>
      <c r="BS71" s="30">
        <f t="shared" si="438"/>
        <v>-3230271.4900000021</v>
      </c>
      <c r="BT71" s="30">
        <f t="shared" si="438"/>
        <v>-4454833.7400000067</v>
      </c>
      <c r="BU71" s="30">
        <f t="shared" si="438"/>
        <v>-1858159.0699999882</v>
      </c>
      <c r="BV71" s="30">
        <f t="shared" si="438"/>
        <v>1833664.9499999899</v>
      </c>
      <c r="BW71" s="30">
        <f t="shared" si="438"/>
        <v>-8654095.7640000004</v>
      </c>
      <c r="BX71" s="30">
        <f t="shared" si="438"/>
        <v>-3944170.7952000052</v>
      </c>
      <c r="BY71" s="30">
        <f t="shared" si="438"/>
        <v>-1423186.2709999979</v>
      </c>
      <c r="BZ71" s="30">
        <f t="shared" si="438"/>
        <v>-5940869.2692600042</v>
      </c>
      <c r="CA71" s="30">
        <f t="shared" si="438"/>
        <v>-3013999.1728000045</v>
      </c>
      <c r="CB71" s="30">
        <f t="shared" si="438"/>
        <v>-1491730.4200000018</v>
      </c>
      <c r="CC71" s="30">
        <f t="shared" si="438"/>
        <v>-3281215.1149599943</v>
      </c>
      <c r="CD71" s="30">
        <f t="shared" si="438"/>
        <v>-1476245.9557400048</v>
      </c>
      <c r="CE71" s="30">
        <f t="shared" si="438"/>
        <v>-541487.21040000021</v>
      </c>
      <c r="CF71" s="30">
        <f t="shared" si="438"/>
        <v>-2635628.8078377843</v>
      </c>
      <c r="CG71" s="30">
        <f t="shared" si="438"/>
        <v>-2767733.7656000135</v>
      </c>
      <c r="CH71" s="30">
        <f t="shared" si="438"/>
        <v>2032956.6204933971</v>
      </c>
      <c r="CI71" s="30">
        <f t="shared" si="438"/>
        <v>-3017885.7019999884</v>
      </c>
      <c r="CJ71" s="30">
        <f t="shared" si="438"/>
        <v>-3506067.3966000155</v>
      </c>
      <c r="CK71" s="30">
        <f t="shared" si="438"/>
        <v>-4729856.605800001</v>
      </c>
      <c r="CL71" s="30">
        <f t="shared" si="438"/>
        <v>-6769043.7590000071</v>
      </c>
      <c r="CM71" s="30">
        <f t="shared" si="438"/>
        <v>-3842646.9696000014</v>
      </c>
      <c r="CN71" s="30">
        <f t="shared" si="438"/>
        <v>-1523223.8680000007</v>
      </c>
      <c r="CO71" s="30">
        <f t="shared" si="438"/>
        <v>-2095740.6876390316</v>
      </c>
      <c r="CP71" s="30">
        <f t="shared" si="438"/>
        <v>-7335611.0951840933</v>
      </c>
      <c r="CQ71" s="30">
        <f t="shared" si="438"/>
        <v>-7353779.1287206504</v>
      </c>
      <c r="CR71" s="30">
        <f t="shared" si="438"/>
        <v>-2181853.5177457426</v>
      </c>
      <c r="CS71" s="30">
        <f t="shared" si="438"/>
        <v>-7555993.4991517887</v>
      </c>
      <c r="CT71" s="30">
        <f t="shared" si="438"/>
        <v>-4377648.0654684082</v>
      </c>
      <c r="CU71" s="30">
        <f t="shared" si="438"/>
        <v>-6792615.6561187319</v>
      </c>
      <c r="CV71" s="30">
        <f t="shared" si="438"/>
        <v>-6026493.4280331135</v>
      </c>
      <c r="CW71" s="30">
        <f t="shared" si="438"/>
        <v>-5019233.6620194297</v>
      </c>
      <c r="CX71" s="30">
        <f t="shared" si="438"/>
        <v>-5668801.039081756</v>
      </c>
      <c r="CY71" s="30">
        <f t="shared" si="438"/>
        <v>-4845476.3724978715</v>
      </c>
      <c r="CZ71" s="30">
        <f t="shared" si="438"/>
        <v>-4130946.6813473105</v>
      </c>
      <c r="DA71" s="30">
        <f t="shared" si="438"/>
        <v>-5387261.2047403865</v>
      </c>
      <c r="DB71" s="30">
        <f t="shared" si="438"/>
        <v>-4974104.6193890609</v>
      </c>
      <c r="DC71" s="30">
        <f t="shared" si="438"/>
        <v>-4220022.8502773345</v>
      </c>
      <c r="DD71" s="30">
        <f t="shared" si="438"/>
        <v>-4924808.9021484852</v>
      </c>
      <c r="DE71" s="30">
        <f t="shared" si="438"/>
        <v>-3205310.1781836338</v>
      </c>
      <c r="DF71" s="30">
        <f t="shared" si="438"/>
        <v>-3242703.7211080454</v>
      </c>
      <c r="DG71" s="30">
        <f t="shared" ref="DG71:DR71" si="439">SUM(DG64:DG65)</f>
        <v>-5746328.8320307583</v>
      </c>
      <c r="DH71" s="30">
        <f t="shared" si="439"/>
        <v>-4884983.0236155167</v>
      </c>
      <c r="DI71" s="30">
        <f t="shared" si="439"/>
        <v>-3665755.4647944458</v>
      </c>
      <c r="DJ71" s="30">
        <f t="shared" si="439"/>
        <v>-4813322.0143701434</v>
      </c>
      <c r="DK71" s="30">
        <f t="shared" si="439"/>
        <v>-3752990.4089551717</v>
      </c>
      <c r="DL71" s="30">
        <f t="shared" si="439"/>
        <v>-2992036.5470584109</v>
      </c>
      <c r="DM71" s="30">
        <f t="shared" si="439"/>
        <v>-5020141.5150826573</v>
      </c>
      <c r="DN71" s="30">
        <f t="shared" si="439"/>
        <v>-4767481.1196304299</v>
      </c>
      <c r="DO71" s="30">
        <f t="shared" si="439"/>
        <v>-3956687.8952221908</v>
      </c>
      <c r="DP71" s="30">
        <f t="shared" si="439"/>
        <v>-5401490.7061893083</v>
      </c>
      <c r="DQ71" s="30">
        <f t="shared" si="439"/>
        <v>-3121150.6283248775</v>
      </c>
      <c r="DR71" s="30">
        <f t="shared" si="439"/>
        <v>-3391863.4944427982</v>
      </c>
      <c r="DS71" s="30">
        <f t="shared" ref="DS71:EQ71" si="440">SUM(DS64:DS65)</f>
        <v>-6564536.2544153556</v>
      </c>
      <c r="DT71" s="30">
        <f t="shared" si="440"/>
        <v>-4877652.9317050949</v>
      </c>
      <c r="DU71" s="30">
        <f t="shared" si="440"/>
        <v>-2664309.2490398213</v>
      </c>
      <c r="DV71" s="30">
        <f t="shared" si="440"/>
        <v>-3891841.9369594008</v>
      </c>
      <c r="DW71" s="30">
        <f t="shared" si="440"/>
        <v>-1720178.3691791669</v>
      </c>
      <c r="DX71" s="30">
        <f t="shared" si="440"/>
        <v>267988.36738721281</v>
      </c>
      <c r="DY71" s="30">
        <f t="shared" si="440"/>
        <v>-2568495.6243852302</v>
      </c>
      <c r="DZ71" s="30">
        <f t="shared" si="440"/>
        <v>-1665948.5067314357</v>
      </c>
      <c r="EA71" s="30">
        <f t="shared" si="440"/>
        <v>114449.53287005424</v>
      </c>
      <c r="EB71" s="30">
        <f t="shared" si="440"/>
        <v>-1421198.7259706333</v>
      </c>
      <c r="EC71" s="30">
        <f t="shared" si="440"/>
        <v>2438672.8220153153</v>
      </c>
      <c r="ED71" s="30">
        <f t="shared" si="440"/>
        <v>2658199.8993883058</v>
      </c>
      <c r="EE71" s="30">
        <f t="shared" si="440"/>
        <v>-1970685.0002245307</v>
      </c>
      <c r="EF71" s="30">
        <f t="shared" si="440"/>
        <v>191080.53018326312</v>
      </c>
      <c r="EG71" s="30">
        <f t="shared" si="440"/>
        <v>3113727.871582903</v>
      </c>
      <c r="EH71" s="30">
        <f t="shared" si="440"/>
        <v>1120148.1355647519</v>
      </c>
      <c r="EI71" s="30">
        <f t="shared" si="440"/>
        <v>3980224.4049477577</v>
      </c>
      <c r="EJ71" s="30">
        <f t="shared" si="440"/>
        <v>6746024.8814626187</v>
      </c>
      <c r="EK71" s="30">
        <f t="shared" si="440"/>
        <v>2792214.2271210775</v>
      </c>
      <c r="EL71" s="30">
        <f t="shared" si="440"/>
        <v>3895325.9265554547</v>
      </c>
      <c r="EM71" s="30">
        <f t="shared" si="440"/>
        <v>6262055.5746117085</v>
      </c>
      <c r="EN71" s="30">
        <f t="shared" si="440"/>
        <v>3891079.9597301632</v>
      </c>
      <c r="EO71" s="30">
        <f t="shared" si="440"/>
        <v>9260066.8040290028</v>
      </c>
      <c r="EP71" s="30">
        <f t="shared" si="440"/>
        <v>9512805.6955894455</v>
      </c>
      <c r="EQ71" s="30">
        <f t="shared" si="440"/>
        <v>2818873.0088393092</v>
      </c>
      <c r="ER71" s="30">
        <f t="shared" ref="ER71:FB71" si="441">SUM(ER64:ER65)</f>
        <v>5538716.1515085399</v>
      </c>
      <c r="ES71" s="30">
        <f t="shared" si="441"/>
        <v>9202539.9022400677</v>
      </c>
      <c r="ET71" s="30">
        <f t="shared" si="441"/>
        <v>6630439.5746587068</v>
      </c>
      <c r="EU71" s="30">
        <f t="shared" si="441"/>
        <v>10272479.925289318</v>
      </c>
      <c r="EV71" s="30">
        <f t="shared" si="441"/>
        <v>13933759.358356461</v>
      </c>
      <c r="EW71" s="30">
        <f t="shared" si="441"/>
        <v>9085660.7425187826</v>
      </c>
      <c r="EX71" s="30">
        <f t="shared" si="441"/>
        <v>10373706.480322033</v>
      </c>
      <c r="EY71" s="30">
        <f t="shared" si="441"/>
        <v>13387545.486730546</v>
      </c>
      <c r="EZ71" s="30">
        <f t="shared" si="441"/>
        <v>10512964.043231323</v>
      </c>
      <c r="FA71" s="30">
        <f t="shared" si="441"/>
        <v>17512725.556359231</v>
      </c>
      <c r="FB71" s="30">
        <f t="shared" si="441"/>
        <v>17848272.774253786</v>
      </c>
    </row>
    <row r="72" spans="3:158" outlineLevel="1" x14ac:dyDescent="0.25">
      <c r="G72" s="302"/>
    </row>
    <row r="73" spans="3:158" outlineLevel="1" x14ac:dyDescent="0.25">
      <c r="C73" s="7" t="s">
        <v>184</v>
      </c>
    </row>
    <row r="74" spans="3:158" outlineLevel="1" x14ac:dyDescent="0.25">
      <c r="C74" s="2" t="s">
        <v>185</v>
      </c>
      <c r="D74" s="63">
        <f>D64/D28</f>
        <v>1.3958902210621247</v>
      </c>
      <c r="E74" s="63">
        <f>E64/E28</f>
        <v>1.232820970683536</v>
      </c>
      <c r="F74" s="63">
        <f>F64/F28</f>
        <v>1.118346676796804</v>
      </c>
      <c r="G74" s="63">
        <f>G64/G28</f>
        <v>1.2356578483452005</v>
      </c>
      <c r="H74" s="65">
        <v>1.2</v>
      </c>
      <c r="I74" s="65">
        <v>1.2</v>
      </c>
      <c r="J74" s="65">
        <v>1.2</v>
      </c>
      <c r="K74" s="65">
        <v>1.2</v>
      </c>
      <c r="L74" s="65">
        <v>1.2</v>
      </c>
      <c r="M74" s="64"/>
      <c r="N74" s="63">
        <f t="shared" ref="N74:AW74" si="442">N64/N28</f>
        <v>1.401799176316707</v>
      </c>
      <c r="O74" s="63">
        <f t="shared" si="442"/>
        <v>1.2897777764482734</v>
      </c>
      <c r="P74" s="63">
        <f t="shared" si="442"/>
        <v>1.2284283075641207</v>
      </c>
      <c r="Q74" s="63">
        <f t="shared" si="442"/>
        <v>1.6029532622668925</v>
      </c>
      <c r="R74" s="63">
        <f t="shared" si="442"/>
        <v>1.0315005330859937</v>
      </c>
      <c r="S74" s="63">
        <f t="shared" si="442"/>
        <v>1.2997398939608054</v>
      </c>
      <c r="T74" s="63">
        <f t="shared" si="442"/>
        <v>1.0937756515948371</v>
      </c>
      <c r="U74" s="63">
        <f t="shared" si="442"/>
        <v>1.4334476921674961</v>
      </c>
      <c r="V74" s="63">
        <f t="shared" si="442"/>
        <v>0.91838409916056418</v>
      </c>
      <c r="W74" s="63">
        <f t="shared" si="442"/>
        <v>0.96379496757215033</v>
      </c>
      <c r="X74" s="63">
        <f t="shared" si="442"/>
        <v>1.1475586924945815</v>
      </c>
      <c r="Y74" s="63">
        <f t="shared" si="442"/>
        <v>1.3718335170768703</v>
      </c>
      <c r="Z74" s="63">
        <f t="shared" si="442"/>
        <v>1.2871171829791446</v>
      </c>
      <c r="AA74" s="63">
        <f t="shared" si="442"/>
        <v>1.1425687401618017</v>
      </c>
      <c r="AB74" s="63">
        <f t="shared" si="442"/>
        <v>1.1667753477363747</v>
      </c>
      <c r="AC74" s="63">
        <f t="shared" si="442"/>
        <v>1.3320858901523933</v>
      </c>
      <c r="AD74" s="63">
        <f t="shared" si="442"/>
        <v>1.2</v>
      </c>
      <c r="AE74" s="63">
        <f t="shared" si="442"/>
        <v>1.2</v>
      </c>
      <c r="AF74" s="63">
        <f t="shared" si="442"/>
        <v>1.2</v>
      </c>
      <c r="AG74" s="63">
        <f t="shared" si="442"/>
        <v>1.1999999999999997</v>
      </c>
      <c r="AH74" s="63">
        <f t="shared" si="442"/>
        <v>1.2</v>
      </c>
      <c r="AI74" s="63">
        <f t="shared" si="442"/>
        <v>1.2</v>
      </c>
      <c r="AJ74" s="63">
        <f t="shared" si="442"/>
        <v>1.2</v>
      </c>
      <c r="AK74" s="63">
        <f t="shared" si="442"/>
        <v>1.2</v>
      </c>
      <c r="AL74" s="63">
        <f t="shared" si="442"/>
        <v>1.2</v>
      </c>
      <c r="AM74" s="63">
        <f t="shared" si="442"/>
        <v>1.2000000000000002</v>
      </c>
      <c r="AN74" s="63">
        <f t="shared" si="442"/>
        <v>1.2</v>
      </c>
      <c r="AO74" s="63">
        <f t="shared" si="442"/>
        <v>1.2</v>
      </c>
      <c r="AP74" s="63">
        <f t="shared" si="442"/>
        <v>1.2</v>
      </c>
      <c r="AQ74" s="63">
        <f t="shared" si="442"/>
        <v>1.2</v>
      </c>
      <c r="AR74" s="63">
        <f t="shared" si="442"/>
        <v>1.2000000000000002</v>
      </c>
      <c r="AS74" s="63">
        <f t="shared" si="442"/>
        <v>1.2</v>
      </c>
      <c r="AT74" s="63">
        <f t="shared" si="442"/>
        <v>1.2000000000000002</v>
      </c>
      <c r="AU74" s="63">
        <f t="shared" si="442"/>
        <v>1.2</v>
      </c>
      <c r="AV74" s="63">
        <f t="shared" si="442"/>
        <v>1.2</v>
      </c>
      <c r="AW74" s="63">
        <f t="shared" si="442"/>
        <v>1.1999999999999997</v>
      </c>
      <c r="AX74" s="64"/>
      <c r="AY74" s="63">
        <f t="shared" ref="AY74:CT74" si="443">AY64/AY28</f>
        <v>1.2336549568342667</v>
      </c>
      <c r="AZ74" s="63">
        <f t="shared" si="443"/>
        <v>1.7967199572506445</v>
      </c>
      <c r="BA74" s="63">
        <f t="shared" si="443"/>
        <v>1.1886753350018446</v>
      </c>
      <c r="BB74" s="63">
        <f t="shared" si="443"/>
        <v>1.6447227808002678</v>
      </c>
      <c r="BC74" s="63">
        <f t="shared" si="443"/>
        <v>0.88254236276773079</v>
      </c>
      <c r="BD74" s="63">
        <f t="shared" si="443"/>
        <v>1.3600430801397669</v>
      </c>
      <c r="BE74" s="63">
        <f t="shared" si="443"/>
        <v>1.0814068468257607</v>
      </c>
      <c r="BF74" s="63">
        <f t="shared" si="443"/>
        <v>1.2193764199430908</v>
      </c>
      <c r="BG74" s="63">
        <f t="shared" si="443"/>
        <v>1.3690216465073288</v>
      </c>
      <c r="BH74" s="63">
        <f t="shared" si="443"/>
        <v>1.0003552723789839</v>
      </c>
      <c r="BI74" s="63">
        <f t="shared" si="443"/>
        <v>0.80246608833223931</v>
      </c>
      <c r="BJ74" s="63">
        <f t="shared" si="443"/>
        <v>2.857441853315398</v>
      </c>
      <c r="BK74" s="63">
        <f t="shared" si="443"/>
        <v>0.76592216203540697</v>
      </c>
      <c r="BL74" s="63">
        <f t="shared" si="443"/>
        <v>1.2119862004029851</v>
      </c>
      <c r="BM74" s="63">
        <f t="shared" si="443"/>
        <v>1.1135675673794532</v>
      </c>
      <c r="BN74" s="63">
        <f t="shared" si="443"/>
        <v>1.1228230018578933</v>
      </c>
      <c r="BO74" s="63">
        <f t="shared" si="443"/>
        <v>1.1003979179624561</v>
      </c>
      <c r="BP74" s="63">
        <f t="shared" si="443"/>
        <v>1.6514792024077118</v>
      </c>
      <c r="BQ74" s="63">
        <f t="shared" si="443"/>
        <v>1.3736131918218624</v>
      </c>
      <c r="BR74" s="63">
        <f t="shared" si="443"/>
        <v>1.0624812818445475</v>
      </c>
      <c r="BS74" s="63">
        <f t="shared" si="443"/>
        <v>0.86697628586526765</v>
      </c>
      <c r="BT74" s="63">
        <f t="shared" si="443"/>
        <v>1.0005756780232791</v>
      </c>
      <c r="BU74" s="63">
        <f t="shared" si="443"/>
        <v>1.2372913517056328</v>
      </c>
      <c r="BV74" s="63">
        <f t="shared" si="443"/>
        <v>2.0256870124246626</v>
      </c>
      <c r="BW74" s="63">
        <f t="shared" si="443"/>
        <v>0.79302933949703935</v>
      </c>
      <c r="BX74" s="63">
        <f t="shared" si="443"/>
        <v>1.0939299513696994</v>
      </c>
      <c r="BY74" s="63">
        <f t="shared" si="443"/>
        <v>0.86974073025346144</v>
      </c>
      <c r="BZ74" s="63">
        <f t="shared" si="443"/>
        <v>0.63065946303743814</v>
      </c>
      <c r="CA74" s="63">
        <f t="shared" si="443"/>
        <v>0.78857040429766923</v>
      </c>
      <c r="CB74" s="63">
        <f t="shared" si="443"/>
        <v>1.4577686815149562</v>
      </c>
      <c r="CC74" s="63">
        <f t="shared" si="443"/>
        <v>0.87370286312450551</v>
      </c>
      <c r="CD74" s="63">
        <f t="shared" si="443"/>
        <v>1.0528061872142791</v>
      </c>
      <c r="CE74" s="63">
        <f t="shared" si="443"/>
        <v>1.4988443085054517</v>
      </c>
      <c r="CF74" s="63">
        <f t="shared" si="443"/>
        <v>0.92482068641433113</v>
      </c>
      <c r="CG74" s="63">
        <f t="shared" si="443"/>
        <v>1.0896981884949895</v>
      </c>
      <c r="CH74" s="63">
        <f t="shared" si="443"/>
        <v>2.0730728278969388</v>
      </c>
      <c r="CI74" s="63">
        <f t="shared" si="443"/>
        <v>1.2055200906070829</v>
      </c>
      <c r="CJ74" s="63">
        <f t="shared" si="443"/>
        <v>1.3116965422588565</v>
      </c>
      <c r="CK74" s="63">
        <f t="shared" si="443"/>
        <v>1.3405577502395174</v>
      </c>
      <c r="CL74" s="63">
        <f t="shared" si="443"/>
        <v>0.78097990857519661</v>
      </c>
      <c r="CM74" s="63">
        <f t="shared" si="443"/>
        <v>1.1987268340411819</v>
      </c>
      <c r="CN74" s="63">
        <f t="shared" si="443"/>
        <v>1.4269937500556871</v>
      </c>
      <c r="CO74" s="63">
        <f t="shared" si="443"/>
        <v>1.4151546496494203</v>
      </c>
      <c r="CP74" s="63">
        <f t="shared" si="443"/>
        <v>0.95613210933129145</v>
      </c>
      <c r="CQ74" s="63">
        <f t="shared" si="443"/>
        <v>1.1393002532714378</v>
      </c>
      <c r="CR74" s="63">
        <f t="shared" si="443"/>
        <v>1.4305233491395659</v>
      </c>
      <c r="CS74" s="63">
        <f t="shared" si="443"/>
        <v>1.0410488107660973</v>
      </c>
      <c r="CT74" s="63">
        <f t="shared" si="443"/>
        <v>1.5141001934679503</v>
      </c>
      <c r="CU74" s="85">
        <f t="shared" ref="CU74:DF75" si="444">INDEX($D74:$L74,1,MATCH(CU$2,$D$2:$L$2,0))</f>
        <v>1.2</v>
      </c>
      <c r="CV74" s="85">
        <f t="shared" si="444"/>
        <v>1.2</v>
      </c>
      <c r="CW74" s="85">
        <f t="shared" si="444"/>
        <v>1.2</v>
      </c>
      <c r="CX74" s="85">
        <f t="shared" si="444"/>
        <v>1.2</v>
      </c>
      <c r="CY74" s="85">
        <f t="shared" si="444"/>
        <v>1.2</v>
      </c>
      <c r="CZ74" s="85">
        <f t="shared" si="444"/>
        <v>1.2</v>
      </c>
      <c r="DA74" s="85">
        <f t="shared" si="444"/>
        <v>1.2</v>
      </c>
      <c r="DB74" s="85">
        <f t="shared" si="444"/>
        <v>1.2</v>
      </c>
      <c r="DC74" s="85">
        <f t="shared" si="444"/>
        <v>1.2</v>
      </c>
      <c r="DD74" s="85">
        <f t="shared" si="444"/>
        <v>1.2</v>
      </c>
      <c r="DE74" s="85">
        <f t="shared" si="444"/>
        <v>1.2</v>
      </c>
      <c r="DF74" s="85">
        <f t="shared" si="444"/>
        <v>1.2</v>
      </c>
      <c r="DG74" s="85">
        <f t="shared" ref="DG74:DV75" si="445">INDEX($D74:$L74,1,MATCH(DG$2,$D$2:$L$2,0))</f>
        <v>1.2</v>
      </c>
      <c r="DH74" s="85">
        <f t="shared" si="445"/>
        <v>1.2</v>
      </c>
      <c r="DI74" s="85">
        <f t="shared" si="445"/>
        <v>1.2</v>
      </c>
      <c r="DJ74" s="85">
        <f t="shared" si="445"/>
        <v>1.2</v>
      </c>
      <c r="DK74" s="85">
        <f t="shared" si="445"/>
        <v>1.2</v>
      </c>
      <c r="DL74" s="85">
        <f t="shared" si="445"/>
        <v>1.2</v>
      </c>
      <c r="DM74" s="85">
        <f t="shared" si="445"/>
        <v>1.2</v>
      </c>
      <c r="DN74" s="85">
        <f t="shared" si="445"/>
        <v>1.2</v>
      </c>
      <c r="DO74" s="85">
        <f t="shared" si="445"/>
        <v>1.2</v>
      </c>
      <c r="DP74" s="85">
        <f t="shared" si="445"/>
        <v>1.2</v>
      </c>
      <c r="DQ74" s="85">
        <f t="shared" si="445"/>
        <v>1.2</v>
      </c>
      <c r="DR74" s="85">
        <f t="shared" si="445"/>
        <v>1.2</v>
      </c>
      <c r="DS74" s="85">
        <f t="shared" si="445"/>
        <v>1.2</v>
      </c>
      <c r="DT74" s="85">
        <f t="shared" si="445"/>
        <v>1.2</v>
      </c>
      <c r="DU74" s="85">
        <f t="shared" si="445"/>
        <v>1.2</v>
      </c>
      <c r="DV74" s="85">
        <f t="shared" si="445"/>
        <v>1.2</v>
      </c>
      <c r="DW74" s="85">
        <f t="shared" ref="DW74:EL75" si="446">INDEX($D74:$L74,1,MATCH(DW$2,$D$2:$L$2,0))</f>
        <v>1.2</v>
      </c>
      <c r="DX74" s="85">
        <f t="shared" si="446"/>
        <v>1.2</v>
      </c>
      <c r="DY74" s="85">
        <f t="shared" si="446"/>
        <v>1.2</v>
      </c>
      <c r="DZ74" s="85">
        <f t="shared" si="446"/>
        <v>1.2</v>
      </c>
      <c r="EA74" s="85">
        <f t="shared" si="446"/>
        <v>1.2</v>
      </c>
      <c r="EB74" s="85">
        <f t="shared" si="446"/>
        <v>1.2</v>
      </c>
      <c r="EC74" s="85">
        <f t="shared" si="446"/>
        <v>1.2</v>
      </c>
      <c r="ED74" s="85">
        <f t="shared" si="446"/>
        <v>1.2</v>
      </c>
      <c r="EE74" s="85">
        <f t="shared" si="446"/>
        <v>1.2</v>
      </c>
      <c r="EF74" s="85">
        <f t="shared" si="446"/>
        <v>1.2</v>
      </c>
      <c r="EG74" s="85">
        <f t="shared" si="446"/>
        <v>1.2</v>
      </c>
      <c r="EH74" s="85">
        <f t="shared" si="446"/>
        <v>1.2</v>
      </c>
      <c r="EI74" s="85">
        <f t="shared" si="446"/>
        <v>1.2</v>
      </c>
      <c r="EJ74" s="85">
        <f t="shared" si="446"/>
        <v>1.2</v>
      </c>
      <c r="EK74" s="85">
        <f t="shared" si="446"/>
        <v>1.2</v>
      </c>
      <c r="EL74" s="85">
        <f t="shared" si="446"/>
        <v>1.2</v>
      </c>
      <c r="EM74" s="85">
        <f t="shared" ref="EM74:FB75" si="447">INDEX($D74:$L74,1,MATCH(EM$2,$D$2:$L$2,0))</f>
        <v>1.2</v>
      </c>
      <c r="EN74" s="85">
        <f t="shared" si="447"/>
        <v>1.2</v>
      </c>
      <c r="EO74" s="85">
        <f t="shared" si="447"/>
        <v>1.2</v>
      </c>
      <c r="EP74" s="85">
        <f t="shared" si="447"/>
        <v>1.2</v>
      </c>
      <c r="EQ74" s="85">
        <f t="shared" si="447"/>
        <v>1.2</v>
      </c>
      <c r="ER74" s="85">
        <f t="shared" si="447"/>
        <v>1.2</v>
      </c>
      <c r="ES74" s="85">
        <f t="shared" si="447"/>
        <v>1.2</v>
      </c>
      <c r="ET74" s="85">
        <f t="shared" si="447"/>
        <v>1.2</v>
      </c>
      <c r="EU74" s="85">
        <f t="shared" si="447"/>
        <v>1.2</v>
      </c>
      <c r="EV74" s="85">
        <f t="shared" si="447"/>
        <v>1.2</v>
      </c>
      <c r="EW74" s="85">
        <f t="shared" si="447"/>
        <v>1.2</v>
      </c>
      <c r="EX74" s="85">
        <f t="shared" si="447"/>
        <v>1.2</v>
      </c>
      <c r="EY74" s="85">
        <f t="shared" si="447"/>
        <v>1.2</v>
      </c>
      <c r="EZ74" s="85">
        <f t="shared" si="447"/>
        <v>1.2</v>
      </c>
      <c r="FA74" s="85">
        <f t="shared" si="447"/>
        <v>1.2</v>
      </c>
      <c r="FB74" s="85">
        <f t="shared" si="447"/>
        <v>1.2</v>
      </c>
    </row>
    <row r="75" spans="3:158" outlineLevel="1" x14ac:dyDescent="0.25">
      <c r="C75" s="2" t="s">
        <v>186</v>
      </c>
      <c r="D75" s="63">
        <f>-D65/SUM(D33,D42,-D46)</f>
        <v>0.95444557427768162</v>
      </c>
      <c r="E75" s="63">
        <f t="shared" ref="E75:F75" si="448">-E65/SUM(E33,E42,-E46)</f>
        <v>0.99485340923941035</v>
      </c>
      <c r="F75" s="63">
        <f t="shared" si="448"/>
        <v>1.0231627816187263</v>
      </c>
      <c r="G75" s="63">
        <f>-G65/SUM(G33,G42,-G46)</f>
        <v>0.97597779055042833</v>
      </c>
      <c r="H75" s="65">
        <v>0.99</v>
      </c>
      <c r="I75" s="65">
        <v>0.99</v>
      </c>
      <c r="J75" s="65">
        <v>0.99</v>
      </c>
      <c r="K75" s="65">
        <v>0.99</v>
      </c>
      <c r="L75" s="65">
        <v>0.99</v>
      </c>
      <c r="M75" s="64"/>
      <c r="N75" s="63">
        <f t="shared" ref="N75:AW75" si="449">-N65/SUM(N33,N42)</f>
        <v>1.0545960575486362</v>
      </c>
      <c r="O75" s="63">
        <f t="shared" si="449"/>
        <v>0.97511994018500547</v>
      </c>
      <c r="P75" s="63">
        <f t="shared" si="449"/>
        <v>0.9251604857562733</v>
      </c>
      <c r="Q75" s="63">
        <f t="shared" si="449"/>
        <v>0.90580902031731569</v>
      </c>
      <c r="R75" s="63">
        <f t="shared" si="449"/>
        <v>1.1458693349206357</v>
      </c>
      <c r="S75" s="63">
        <f t="shared" si="449"/>
        <v>1.0298884075888481</v>
      </c>
      <c r="T75" s="63">
        <f t="shared" si="449"/>
        <v>0.98264558363565413</v>
      </c>
      <c r="U75" s="63">
        <f t="shared" si="449"/>
        <v>1.0267276092577633</v>
      </c>
      <c r="V75" s="63">
        <f t="shared" si="449"/>
        <v>1.0967022723486373</v>
      </c>
      <c r="W75" s="63">
        <f t="shared" si="449"/>
        <v>1.056617264933337</v>
      </c>
      <c r="X75" s="63">
        <f t="shared" si="449"/>
        <v>0.99094264522207687</v>
      </c>
      <c r="Y75" s="63">
        <f t="shared" si="449"/>
        <v>1.0709128960633287</v>
      </c>
      <c r="Z75" s="63">
        <f t="shared" si="449"/>
        <v>1.1277049411139626</v>
      </c>
      <c r="AA75" s="63">
        <f t="shared" si="449"/>
        <v>0.94907352926215027</v>
      </c>
      <c r="AB75" s="63">
        <f t="shared" si="449"/>
        <v>1.0188890921886435</v>
      </c>
      <c r="AC75" s="63">
        <f t="shared" si="449"/>
        <v>1.0477336283223502</v>
      </c>
      <c r="AD75" s="63">
        <f t="shared" si="449"/>
        <v>1.0352645566042575</v>
      </c>
      <c r="AE75" s="63">
        <f t="shared" si="449"/>
        <v>1.0641775126673891</v>
      </c>
      <c r="AF75" s="63">
        <f t="shared" si="449"/>
        <v>1.0536167104257494</v>
      </c>
      <c r="AG75" s="63">
        <f t="shared" si="449"/>
        <v>1.1080653905032496</v>
      </c>
      <c r="AH75" s="63">
        <f t="shared" si="449"/>
        <v>1.0514903474496029</v>
      </c>
      <c r="AI75" s="63">
        <f t="shared" si="449"/>
        <v>1.0836927900614401</v>
      </c>
      <c r="AJ75" s="63">
        <f t="shared" si="449"/>
        <v>1.0616088420258849</v>
      </c>
      <c r="AK75" s="63">
        <f t="shared" si="449"/>
        <v>1.1064160555765561</v>
      </c>
      <c r="AL75" s="63">
        <f t="shared" si="449"/>
        <v>1.0548842879181553</v>
      </c>
      <c r="AM75" s="63">
        <f t="shared" si="449"/>
        <v>1.0889283585124583</v>
      </c>
      <c r="AN75" s="63">
        <f t="shared" si="449"/>
        <v>1.0643503546518971</v>
      </c>
      <c r="AO75" s="63">
        <f t="shared" si="449"/>
        <v>1.1140401513016127</v>
      </c>
      <c r="AP75" s="63">
        <f t="shared" si="449"/>
        <v>1.0522765625618109</v>
      </c>
      <c r="AQ75" s="63">
        <f t="shared" si="449"/>
        <v>1.0882216840182646</v>
      </c>
      <c r="AR75" s="63">
        <f t="shared" si="449"/>
        <v>1.0616343456042359</v>
      </c>
      <c r="AS75" s="63">
        <f t="shared" si="449"/>
        <v>1.1136754872125092</v>
      </c>
      <c r="AT75" s="63">
        <f t="shared" si="449"/>
        <v>1.046876412813466</v>
      </c>
      <c r="AU75" s="63">
        <f t="shared" si="449"/>
        <v>1.0846351020713989</v>
      </c>
      <c r="AV75" s="63">
        <f t="shared" si="449"/>
        <v>1.059405182468071</v>
      </c>
      <c r="AW75" s="63">
        <f t="shared" si="449"/>
        <v>1.1146217199237265</v>
      </c>
      <c r="AX75" s="64"/>
      <c r="AY75" s="63">
        <f t="shared" ref="AY75:CT75" si="450">-AY65/SUM(AY33,AY42)</f>
        <v>1.3931399401150375</v>
      </c>
      <c r="AZ75" s="63">
        <f t="shared" si="450"/>
        <v>0.97752431830875453</v>
      </c>
      <c r="BA75" s="63">
        <f t="shared" si="450"/>
        <v>0.8500190754346264</v>
      </c>
      <c r="BB75" s="63">
        <f t="shared" si="450"/>
        <v>1.2173718420279154</v>
      </c>
      <c r="BC75" s="63">
        <f t="shared" si="450"/>
        <v>0.8682318753585343</v>
      </c>
      <c r="BD75" s="63">
        <f t="shared" si="450"/>
        <v>0.88385909774806826</v>
      </c>
      <c r="BE75" s="63">
        <f t="shared" si="450"/>
        <v>1.0578169910123658</v>
      </c>
      <c r="BF75" s="63">
        <f t="shared" si="450"/>
        <v>0.90011340047461019</v>
      </c>
      <c r="BG75" s="63">
        <f t="shared" si="450"/>
        <v>0.84451442105970531</v>
      </c>
      <c r="BH75" s="63">
        <f t="shared" si="450"/>
        <v>1.2086863269770196</v>
      </c>
      <c r="BI75" s="63">
        <f t="shared" si="450"/>
        <v>0.85485381658564985</v>
      </c>
      <c r="BJ75" s="63">
        <f t="shared" si="450"/>
        <v>0.73522347690603707</v>
      </c>
      <c r="BK75" s="63">
        <f t="shared" si="450"/>
        <v>1.4836385421105733</v>
      </c>
      <c r="BL75" s="63">
        <f t="shared" si="450"/>
        <v>1.2370266971955564</v>
      </c>
      <c r="BM75" s="63">
        <f t="shared" si="450"/>
        <v>0.75973090480389649</v>
      </c>
      <c r="BN75" s="63">
        <f t="shared" si="450"/>
        <v>1.23304780541444</v>
      </c>
      <c r="BO75" s="63">
        <f t="shared" si="450"/>
        <v>0.92979029434146232</v>
      </c>
      <c r="BP75" s="63">
        <f t="shared" si="450"/>
        <v>0.93024477363766378</v>
      </c>
      <c r="BQ75" s="63">
        <f t="shared" si="450"/>
        <v>1.2174664504977968</v>
      </c>
      <c r="BR75" s="63">
        <f t="shared" si="450"/>
        <v>0.93280836235379561</v>
      </c>
      <c r="BS75" s="63">
        <f t="shared" si="450"/>
        <v>0.82921506743631612</v>
      </c>
      <c r="BT75" s="63">
        <f t="shared" si="450"/>
        <v>1.2672408635151859</v>
      </c>
      <c r="BU75" s="63">
        <f t="shared" si="450"/>
        <v>0.94800522805756438</v>
      </c>
      <c r="BV75" s="63">
        <f t="shared" si="450"/>
        <v>0.90006174782581239</v>
      </c>
      <c r="BW75" s="63">
        <f t="shared" si="450"/>
        <v>1.3964911189763582</v>
      </c>
      <c r="BX75" s="63">
        <f t="shared" si="450"/>
        <v>1.2005827844984778</v>
      </c>
      <c r="BY75" s="63">
        <f t="shared" si="450"/>
        <v>0.67907108339990141</v>
      </c>
      <c r="BZ75" s="63">
        <f t="shared" si="450"/>
        <v>1.1903160632233747</v>
      </c>
      <c r="CA75" s="63">
        <f t="shared" si="450"/>
        <v>0.96787499941037591</v>
      </c>
      <c r="CB75" s="63">
        <f t="shared" si="450"/>
        <v>1.0150535754075662</v>
      </c>
      <c r="CC75" s="63">
        <f t="shared" si="450"/>
        <v>1.044463947898739</v>
      </c>
      <c r="CD75" s="63">
        <f t="shared" si="450"/>
        <v>0.8753052750353939</v>
      </c>
      <c r="CE75" s="63">
        <f t="shared" si="450"/>
        <v>1.0562903937631136</v>
      </c>
      <c r="CF75" s="63">
        <f t="shared" si="450"/>
        <v>1.0061931145576595</v>
      </c>
      <c r="CG75" s="63">
        <f t="shared" si="450"/>
        <v>1.1030440944434547</v>
      </c>
      <c r="CH75" s="63">
        <f t="shared" si="450"/>
        <v>1.0953308543529103</v>
      </c>
      <c r="CI75" s="63">
        <f t="shared" si="450"/>
        <v>1.0979452436282517</v>
      </c>
      <c r="CJ75" s="63">
        <f t="shared" si="450"/>
        <v>1.2160010673058792</v>
      </c>
      <c r="CK75" s="63">
        <f t="shared" si="450"/>
        <v>1.0809525346118722</v>
      </c>
      <c r="CL75" s="63">
        <f t="shared" si="450"/>
        <v>1.045249611066569</v>
      </c>
      <c r="CM75" s="63">
        <f t="shared" si="450"/>
        <v>0.93901810256255513</v>
      </c>
      <c r="CN75" s="63">
        <f t="shared" si="450"/>
        <v>0.88074709063770817</v>
      </c>
      <c r="CO75" s="63">
        <f t="shared" si="450"/>
        <v>1.0271450334253325</v>
      </c>
      <c r="CP75" s="63">
        <f t="shared" si="450"/>
        <v>1.019803484673248</v>
      </c>
      <c r="CQ75" s="63">
        <f t="shared" si="450"/>
        <v>1.0115738510654404</v>
      </c>
      <c r="CR75" s="63">
        <f t="shared" si="450"/>
        <v>1.0571857909507105</v>
      </c>
      <c r="CS75" s="63">
        <f t="shared" si="450"/>
        <v>1.0496032753061508</v>
      </c>
      <c r="CT75" s="63">
        <f t="shared" si="450"/>
        <v>1.0387267162540421</v>
      </c>
      <c r="CU75" s="85">
        <f t="shared" si="444"/>
        <v>0.99</v>
      </c>
      <c r="CV75" s="85">
        <f t="shared" si="444"/>
        <v>0.99</v>
      </c>
      <c r="CW75" s="85">
        <f t="shared" si="444"/>
        <v>0.99</v>
      </c>
      <c r="CX75" s="85">
        <f t="shared" si="444"/>
        <v>0.99</v>
      </c>
      <c r="CY75" s="85">
        <f t="shared" si="444"/>
        <v>0.99</v>
      </c>
      <c r="CZ75" s="85">
        <f t="shared" si="444"/>
        <v>0.99</v>
      </c>
      <c r="DA75" s="85">
        <f t="shared" si="444"/>
        <v>0.99</v>
      </c>
      <c r="DB75" s="85">
        <f t="shared" si="444"/>
        <v>0.99</v>
      </c>
      <c r="DC75" s="85">
        <f t="shared" si="444"/>
        <v>0.99</v>
      </c>
      <c r="DD75" s="85">
        <f t="shared" si="444"/>
        <v>0.99</v>
      </c>
      <c r="DE75" s="85">
        <f t="shared" si="444"/>
        <v>0.99</v>
      </c>
      <c r="DF75" s="85">
        <f t="shared" si="444"/>
        <v>0.99</v>
      </c>
      <c r="DG75" s="85">
        <f t="shared" si="445"/>
        <v>0.99</v>
      </c>
      <c r="DH75" s="85">
        <f t="shared" si="445"/>
        <v>0.99</v>
      </c>
      <c r="DI75" s="85">
        <f t="shared" si="445"/>
        <v>0.99</v>
      </c>
      <c r="DJ75" s="85">
        <f t="shared" si="445"/>
        <v>0.99</v>
      </c>
      <c r="DK75" s="85">
        <f t="shared" si="445"/>
        <v>0.99</v>
      </c>
      <c r="DL75" s="85">
        <f t="shared" si="445"/>
        <v>0.99</v>
      </c>
      <c r="DM75" s="85">
        <f t="shared" si="445"/>
        <v>0.99</v>
      </c>
      <c r="DN75" s="85">
        <f t="shared" si="445"/>
        <v>0.99</v>
      </c>
      <c r="DO75" s="85">
        <f t="shared" si="445"/>
        <v>0.99</v>
      </c>
      <c r="DP75" s="85">
        <f t="shared" si="445"/>
        <v>0.99</v>
      </c>
      <c r="DQ75" s="85">
        <f t="shared" si="445"/>
        <v>0.99</v>
      </c>
      <c r="DR75" s="85">
        <f t="shared" si="445"/>
        <v>0.99</v>
      </c>
      <c r="DS75" s="85">
        <f t="shared" si="445"/>
        <v>0.99</v>
      </c>
      <c r="DT75" s="85">
        <f t="shared" si="445"/>
        <v>0.99</v>
      </c>
      <c r="DU75" s="85">
        <f t="shared" si="445"/>
        <v>0.99</v>
      </c>
      <c r="DV75" s="85">
        <f t="shared" si="445"/>
        <v>0.99</v>
      </c>
      <c r="DW75" s="85">
        <f t="shared" si="446"/>
        <v>0.99</v>
      </c>
      <c r="DX75" s="85">
        <f t="shared" si="446"/>
        <v>0.99</v>
      </c>
      <c r="DY75" s="85">
        <f t="shared" si="446"/>
        <v>0.99</v>
      </c>
      <c r="DZ75" s="85">
        <f t="shared" si="446"/>
        <v>0.99</v>
      </c>
      <c r="EA75" s="85">
        <f t="shared" si="446"/>
        <v>0.99</v>
      </c>
      <c r="EB75" s="85">
        <f t="shared" si="446"/>
        <v>0.99</v>
      </c>
      <c r="EC75" s="85">
        <f t="shared" si="446"/>
        <v>0.99</v>
      </c>
      <c r="ED75" s="85">
        <f t="shared" si="446"/>
        <v>0.99</v>
      </c>
      <c r="EE75" s="85">
        <f t="shared" si="446"/>
        <v>0.99</v>
      </c>
      <c r="EF75" s="85">
        <f t="shared" si="446"/>
        <v>0.99</v>
      </c>
      <c r="EG75" s="85">
        <f t="shared" si="446"/>
        <v>0.99</v>
      </c>
      <c r="EH75" s="85">
        <f t="shared" si="446"/>
        <v>0.99</v>
      </c>
      <c r="EI75" s="85">
        <f t="shared" si="446"/>
        <v>0.99</v>
      </c>
      <c r="EJ75" s="85">
        <f t="shared" si="446"/>
        <v>0.99</v>
      </c>
      <c r="EK75" s="85">
        <f t="shared" si="446"/>
        <v>0.99</v>
      </c>
      <c r="EL75" s="85">
        <f t="shared" si="446"/>
        <v>0.99</v>
      </c>
      <c r="EM75" s="85">
        <f t="shared" si="447"/>
        <v>0.99</v>
      </c>
      <c r="EN75" s="85">
        <f t="shared" si="447"/>
        <v>0.99</v>
      </c>
      <c r="EO75" s="85">
        <f t="shared" si="447"/>
        <v>0.99</v>
      </c>
      <c r="EP75" s="85">
        <f t="shared" si="447"/>
        <v>0.99</v>
      </c>
      <c r="EQ75" s="85">
        <f t="shared" si="447"/>
        <v>0.99</v>
      </c>
      <c r="ER75" s="85">
        <f t="shared" si="447"/>
        <v>0.99</v>
      </c>
      <c r="ES75" s="85">
        <f t="shared" si="447"/>
        <v>0.99</v>
      </c>
      <c r="ET75" s="85">
        <f t="shared" si="447"/>
        <v>0.99</v>
      </c>
      <c r="EU75" s="85">
        <f t="shared" si="447"/>
        <v>0.99</v>
      </c>
      <c r="EV75" s="85">
        <f t="shared" si="447"/>
        <v>0.99</v>
      </c>
      <c r="EW75" s="85">
        <f t="shared" si="447"/>
        <v>0.99</v>
      </c>
      <c r="EX75" s="85">
        <f t="shared" si="447"/>
        <v>0.99</v>
      </c>
      <c r="EY75" s="85">
        <f t="shared" si="447"/>
        <v>0.99</v>
      </c>
      <c r="EZ75" s="85">
        <f t="shared" si="447"/>
        <v>0.99</v>
      </c>
      <c r="FA75" s="85">
        <f t="shared" si="447"/>
        <v>0.99</v>
      </c>
      <c r="FB75" s="85">
        <f t="shared" si="447"/>
        <v>0.99</v>
      </c>
    </row>
    <row r="76" spans="3:158" x14ac:dyDescent="0.25">
      <c r="D76" s="19">
        <f t="shared" ref="D76:G76" si="451">D64/(D14+D17)</f>
        <v>0.94213001895048576</v>
      </c>
      <c r="E76" s="19">
        <f t="shared" si="451"/>
        <v>0.90357228517715849</v>
      </c>
      <c r="F76" s="19">
        <f t="shared" si="451"/>
        <v>0.88257239284422573</v>
      </c>
      <c r="G76" s="19">
        <f t="shared" si="451"/>
        <v>0.88523106082517511</v>
      </c>
      <c r="H76" s="19">
        <f>H64/(H14+H17)</f>
        <v>0.91941922143487087</v>
      </c>
      <c r="I76" s="19">
        <f t="shared" ref="I76:K76" si="452">I64/(I14+I17)</f>
        <v>0.93207222854392136</v>
      </c>
      <c r="J76" s="19">
        <f t="shared" si="452"/>
        <v>0.93855104004248657</v>
      </c>
      <c r="K76" s="19">
        <f t="shared" si="452"/>
        <v>0.94492961263830355</v>
      </c>
    </row>
    <row r="77" spans="3:158" x14ac:dyDescent="0.25">
      <c r="D77" s="260"/>
      <c r="E77" s="260"/>
      <c r="F77" s="260"/>
      <c r="G77" s="260"/>
      <c r="H77" s="260"/>
      <c r="I77" s="260"/>
      <c r="J77" s="260"/>
      <c r="K77" s="260"/>
      <c r="L77" s="260"/>
    </row>
    <row r="78" spans="3:158" x14ac:dyDescent="0.25">
      <c r="C78" s="3" t="s">
        <v>25</v>
      </c>
      <c r="D78" s="4"/>
      <c r="E78" s="4"/>
      <c r="F78" s="4"/>
      <c r="G78" s="4"/>
      <c r="H78" s="4"/>
      <c r="I78" s="4"/>
      <c r="J78" s="4"/>
      <c r="K78" s="4"/>
      <c r="L78" s="4"/>
      <c r="M78" s="3"/>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3"/>
      <c r="AY78" s="4"/>
      <c r="AZ78" s="4"/>
      <c r="BA78" s="4"/>
      <c r="BB78" s="4"/>
      <c r="BC78" s="4"/>
      <c r="BD78" s="4"/>
      <c r="BE78" s="4"/>
      <c r="BF78" s="4"/>
      <c r="BG78" s="4"/>
      <c r="BH78" s="4"/>
      <c r="BI78" s="4"/>
      <c r="BJ78" s="4"/>
      <c r="BK78" s="4"/>
      <c r="BL78" s="4"/>
      <c r="BM78" s="4"/>
      <c r="BN78" s="4"/>
      <c r="BO78" s="4"/>
      <c r="BP78" s="4"/>
      <c r="BQ78" s="4"/>
      <c r="BR78" s="4"/>
      <c r="BS78" s="4"/>
      <c r="BT78" s="4"/>
      <c r="BU78" s="4"/>
      <c r="BV78" s="4"/>
      <c r="BW78" s="4"/>
      <c r="BX78" s="4"/>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c r="EC78" s="4"/>
      <c r="ED78" s="4"/>
      <c r="EE78" s="4"/>
      <c r="EF78" s="4"/>
      <c r="EG78" s="4"/>
      <c r="EH78" s="4"/>
      <c r="EI78" s="4"/>
      <c r="EJ78" s="4"/>
      <c r="EK78" s="4"/>
      <c r="EL78" s="4"/>
      <c r="EM78" s="4"/>
      <c r="EN78" s="4"/>
      <c r="EO78" s="4"/>
      <c r="EP78" s="4"/>
      <c r="EQ78" s="4"/>
      <c r="ER78" s="4"/>
      <c r="ES78" s="4"/>
      <c r="ET78" s="4"/>
      <c r="EU78" s="4"/>
      <c r="EV78" s="4"/>
      <c r="EW78" s="4"/>
      <c r="EX78" s="4"/>
      <c r="EY78" s="4"/>
      <c r="EZ78" s="4"/>
      <c r="FA78" s="4"/>
      <c r="FB78" s="4"/>
    </row>
    <row r="80" spans="3:158" x14ac:dyDescent="0.25">
      <c r="C80" s="6" t="s">
        <v>30</v>
      </c>
      <c r="M80" s="6"/>
      <c r="AX80" s="6"/>
    </row>
    <row r="81" spans="3:158" x14ac:dyDescent="0.25">
      <c r="C81" t="s">
        <v>26</v>
      </c>
      <c r="D81" s="63">
        <f t="shared" ref="D81:L81" si="453">IFERROR(D33/D$28,"")</f>
        <v>0.38881085905079893</v>
      </c>
      <c r="E81" s="63">
        <f t="shared" si="453"/>
        <v>0.4166602901226269</v>
      </c>
      <c r="F81" s="63">
        <f t="shared" si="453"/>
        <v>0.36302450904127964</v>
      </c>
      <c r="G81" s="63">
        <f t="shared" si="453"/>
        <v>0.35522864283538635</v>
      </c>
      <c r="H81" s="63">
        <f t="shared" si="453"/>
        <v>0.2873671077741346</v>
      </c>
      <c r="I81" s="63">
        <f t="shared" si="453"/>
        <v>0.27504225187288339</v>
      </c>
      <c r="J81" s="63">
        <f t="shared" si="453"/>
        <v>0.26308457606417401</v>
      </c>
      <c r="K81" s="63">
        <f t="shared" si="453"/>
        <v>0.25105857905027307</v>
      </c>
      <c r="L81" s="63">
        <f t="shared" si="453"/>
        <v>0.23427524588970361</v>
      </c>
      <c r="M81" s="64"/>
      <c r="N81" s="63">
        <f t="shared" ref="N81:AW81" si="454">IFERROR(N33/N$28,"")</f>
        <v>0.37914103854606723</v>
      </c>
      <c r="O81" s="63">
        <f t="shared" si="454"/>
        <v>0.35846577653032291</v>
      </c>
      <c r="P81" s="63">
        <f t="shared" si="454"/>
        <v>0.42039917654321157</v>
      </c>
      <c r="Q81" s="63">
        <f t="shared" si="454"/>
        <v>0.38789258595720899</v>
      </c>
      <c r="R81" s="63">
        <f t="shared" si="454"/>
        <v>0.39165432161089264</v>
      </c>
      <c r="S81" s="63">
        <f t="shared" si="454"/>
        <v>0.41052368935345129</v>
      </c>
      <c r="T81" s="63">
        <f t="shared" si="454"/>
        <v>0.45655980981009059</v>
      </c>
      <c r="U81" s="63">
        <f t="shared" si="454"/>
        <v>0.40221345985840923</v>
      </c>
      <c r="V81" s="63">
        <f t="shared" si="454"/>
        <v>0.40581181484604006</v>
      </c>
      <c r="W81" s="63">
        <f t="shared" si="454"/>
        <v>0.3699152468289203</v>
      </c>
      <c r="X81" s="63">
        <f t="shared" si="454"/>
        <v>0.36123375699542909</v>
      </c>
      <c r="Y81" s="63">
        <f t="shared" si="454"/>
        <v>0.32605383792929077</v>
      </c>
      <c r="Z81" s="63">
        <f t="shared" si="454"/>
        <v>0.35401739516244185</v>
      </c>
      <c r="AA81" s="63">
        <f t="shared" si="454"/>
        <v>0.35764906858174528</v>
      </c>
      <c r="AB81" s="63">
        <f t="shared" si="454"/>
        <v>0.36140246517636654</v>
      </c>
      <c r="AC81" s="63">
        <f t="shared" si="454"/>
        <v>0.34878468550968839</v>
      </c>
      <c r="AD81" s="63">
        <f t="shared" si="454"/>
        <v>0.29829555161463744</v>
      </c>
      <c r="AE81" s="63">
        <f t="shared" si="454"/>
        <v>0.29055731212194019</v>
      </c>
      <c r="AF81" s="63">
        <f t="shared" si="454"/>
        <v>0.28801290610216457</v>
      </c>
      <c r="AG81" s="63">
        <f t="shared" si="454"/>
        <v>0.27665808691278515</v>
      </c>
      <c r="AH81" s="63">
        <f t="shared" si="454"/>
        <v>0.28029886360980932</v>
      </c>
      <c r="AI81" s="63">
        <f t="shared" si="454"/>
        <v>0.27593237901636297</v>
      </c>
      <c r="AJ81" s="63">
        <f t="shared" si="454"/>
        <v>0.27640529765220434</v>
      </c>
      <c r="AK81" s="63">
        <f t="shared" si="454"/>
        <v>0.2693799828478296</v>
      </c>
      <c r="AL81" s="63">
        <f t="shared" si="454"/>
        <v>0.27087006682522463</v>
      </c>
      <c r="AM81" s="63">
        <f t="shared" si="454"/>
        <v>0.26459658364292921</v>
      </c>
      <c r="AN81" s="63">
        <f t="shared" si="454"/>
        <v>0.26373581845759625</v>
      </c>
      <c r="AO81" s="63">
        <f t="shared" si="454"/>
        <v>0.25566646160879725</v>
      </c>
      <c r="AP81" s="63">
        <f t="shared" si="454"/>
        <v>0.25710725884939761</v>
      </c>
      <c r="AQ81" s="63">
        <f t="shared" si="454"/>
        <v>0.25223841781675332</v>
      </c>
      <c r="AR81" s="63">
        <f t="shared" si="454"/>
        <v>0.2518748625606726</v>
      </c>
      <c r="AS81" s="63">
        <f t="shared" si="454"/>
        <v>0.24495506915388873</v>
      </c>
      <c r="AT81" s="63">
        <f t="shared" si="454"/>
        <v>0.24471743813559724</v>
      </c>
      <c r="AU81" s="63">
        <f t="shared" si="454"/>
        <v>0.23666831915663744</v>
      </c>
      <c r="AV81" s="63">
        <f t="shared" si="454"/>
        <v>0.23374790581467189</v>
      </c>
      <c r="AW81" s="63">
        <f t="shared" si="454"/>
        <v>0.22504298500644132</v>
      </c>
      <c r="AX81" s="64"/>
      <c r="AY81" s="63">
        <f>IFERROR(AY33/AY$28,"")</f>
        <v>0.38986927386674758</v>
      </c>
      <c r="AZ81" s="63">
        <f t="shared" ref="AZ81:DK81" si="455">IFERROR(AZ33/AZ$28,"")</f>
        <v>0.39469277918195556</v>
      </c>
      <c r="BA81" s="63">
        <f t="shared" si="455"/>
        <v>0.35552569485312996</v>
      </c>
      <c r="BB81" s="63">
        <f t="shared" si="455"/>
        <v>0.34187819297603522</v>
      </c>
      <c r="BC81" s="63">
        <f t="shared" si="455"/>
        <v>0.38540788239415563</v>
      </c>
      <c r="BD81" s="63">
        <f t="shared" si="455"/>
        <v>0.34776573955944212</v>
      </c>
      <c r="BE81" s="63">
        <f t="shared" si="455"/>
        <v>0.38649147587205301</v>
      </c>
      <c r="BF81" s="63">
        <f t="shared" si="455"/>
        <v>0.44012014351581896</v>
      </c>
      <c r="BG81" s="63">
        <f t="shared" si="455"/>
        <v>0.43280529550670682</v>
      </c>
      <c r="BH81" s="63">
        <f t="shared" si="455"/>
        <v>0.39546053860657804</v>
      </c>
      <c r="BI81" s="63">
        <f t="shared" si="455"/>
        <v>0.37118216566562423</v>
      </c>
      <c r="BJ81" s="63">
        <f t="shared" si="455"/>
        <v>0.396426326105349</v>
      </c>
      <c r="BK81" s="63">
        <f t="shared" si="455"/>
        <v>0.34788384979663123</v>
      </c>
      <c r="BL81" s="63">
        <f t="shared" si="455"/>
        <v>0.39032189962434266</v>
      </c>
      <c r="BM81" s="63">
        <f t="shared" si="455"/>
        <v>0.4352986968694591</v>
      </c>
      <c r="BN81" s="63">
        <f t="shared" si="455"/>
        <v>0.39422552832547464</v>
      </c>
      <c r="BO81" s="63">
        <f t="shared" si="455"/>
        <v>0.41287254222012237</v>
      </c>
      <c r="BP81" s="63">
        <f t="shared" si="455"/>
        <v>0.42312711221243615</v>
      </c>
      <c r="BQ81" s="63">
        <f t="shared" si="455"/>
        <v>0.43478375829418109</v>
      </c>
      <c r="BR81" s="63">
        <f t="shared" si="455"/>
        <v>0.43856647413805372</v>
      </c>
      <c r="BS81" s="63">
        <f t="shared" si="455"/>
        <v>0.49379865733831113</v>
      </c>
      <c r="BT81" s="63">
        <f t="shared" si="455"/>
        <v>0.39466901528858744</v>
      </c>
      <c r="BU81" s="63">
        <f t="shared" si="455"/>
        <v>0.3883598798335014</v>
      </c>
      <c r="BV81" s="63">
        <f t="shared" si="455"/>
        <v>0.42265952639428322</v>
      </c>
      <c r="BW81" s="63">
        <f t="shared" si="455"/>
        <v>0.35159521949732853</v>
      </c>
      <c r="BX81" s="63">
        <f t="shared" si="455"/>
        <v>0.37485850873380405</v>
      </c>
      <c r="BY81" s="63">
        <f t="shared" si="455"/>
        <v>0.49194458561935855</v>
      </c>
      <c r="BZ81" s="63">
        <f t="shared" si="455"/>
        <v>0.40038889691979768</v>
      </c>
      <c r="CA81" s="63">
        <f t="shared" si="455"/>
        <v>0.34473928984195606</v>
      </c>
      <c r="CB81" s="63">
        <f t="shared" si="455"/>
        <v>0.36488784553785847</v>
      </c>
      <c r="CC81" s="63">
        <f t="shared" si="455"/>
        <v>0.35324992162259239</v>
      </c>
      <c r="CD81" s="63">
        <f t="shared" si="455"/>
        <v>0.35443808294519746</v>
      </c>
      <c r="CE81" s="63">
        <f t="shared" si="455"/>
        <v>0.37542147897998002</v>
      </c>
      <c r="CF81" s="63">
        <f t="shared" si="455"/>
        <v>0.31997048864628697</v>
      </c>
      <c r="CG81" s="63">
        <f t="shared" si="455"/>
        <v>0.28133310344966656</v>
      </c>
      <c r="CH81" s="63">
        <f t="shared" si="455"/>
        <v>0.37532712344098185</v>
      </c>
      <c r="CI81" s="63">
        <f t="shared" si="455"/>
        <v>0.3215905652854244</v>
      </c>
      <c r="CJ81" s="63">
        <f t="shared" si="455"/>
        <v>0.35830612361301822</v>
      </c>
      <c r="CK81" s="63">
        <f t="shared" si="455"/>
        <v>0.38062083389595835</v>
      </c>
      <c r="CL81" s="63">
        <f t="shared" si="455"/>
        <v>0.34409525163133853</v>
      </c>
      <c r="CM81" s="63">
        <f t="shared" si="455"/>
        <v>0.36991257635909569</v>
      </c>
      <c r="CN81" s="63">
        <f t="shared" si="455"/>
        <v>0.35842114984049062</v>
      </c>
      <c r="CO81" s="63">
        <f t="shared" si="455"/>
        <v>0.36368398649270955</v>
      </c>
      <c r="CP81" s="63">
        <f t="shared" si="455"/>
        <v>0.36344250250232341</v>
      </c>
      <c r="CQ81" s="63">
        <f t="shared" si="455"/>
        <v>0.35732507613314268</v>
      </c>
      <c r="CR81" s="63">
        <f t="shared" si="455"/>
        <v>0.34409960338312751</v>
      </c>
      <c r="CS81" s="63">
        <f t="shared" si="455"/>
        <v>0.35745433030717683</v>
      </c>
      <c r="CT81" s="63">
        <f t="shared" si="455"/>
        <v>0.34498593332958388</v>
      </c>
      <c r="CU81" s="63">
        <f t="shared" si="455"/>
        <v>0.31119542832825137</v>
      </c>
      <c r="CV81" s="63">
        <f t="shared" si="455"/>
        <v>0.30109462246168717</v>
      </c>
      <c r="CW81" s="63">
        <f t="shared" si="455"/>
        <v>0.28465679832509733</v>
      </c>
      <c r="CX81" s="63">
        <f t="shared" si="455"/>
        <v>0.30280553190653459</v>
      </c>
      <c r="CY81" s="63">
        <f t="shared" si="455"/>
        <v>0.29021387305561525</v>
      </c>
      <c r="CZ81" s="63">
        <f t="shared" si="455"/>
        <v>0.28034170273197928</v>
      </c>
      <c r="DA81" s="63">
        <f t="shared" si="455"/>
        <v>0.29906615467302083</v>
      </c>
      <c r="DB81" s="63">
        <f t="shared" si="455"/>
        <v>0.29013231792845845</v>
      </c>
      <c r="DC81" s="63">
        <f t="shared" si="455"/>
        <v>0.27651035905775972</v>
      </c>
      <c r="DD81" s="63">
        <f t="shared" si="455"/>
        <v>0.29269629244639067</v>
      </c>
      <c r="DE81" s="63">
        <f t="shared" si="455"/>
        <v>0.2722012524255753</v>
      </c>
      <c r="DF81" s="63">
        <f t="shared" si="455"/>
        <v>0.26743690746626453</v>
      </c>
      <c r="DG81" s="63">
        <f t="shared" si="455"/>
        <v>0.29059195945430522</v>
      </c>
      <c r="DH81" s="63">
        <f t="shared" si="455"/>
        <v>0.28278311531113565</v>
      </c>
      <c r="DI81" s="63">
        <f t="shared" si="455"/>
        <v>0.26912978824059863</v>
      </c>
      <c r="DJ81" s="63">
        <f t="shared" si="455"/>
        <v>0.28600111036238834</v>
      </c>
      <c r="DK81" s="63">
        <f t="shared" si="455"/>
        <v>0.27560601187116468</v>
      </c>
      <c r="DL81" s="63">
        <f t="shared" ref="DL81:FB81" si="456">IFERROR(DL33/DL$28,"")</f>
        <v>0.26754310274153642</v>
      </c>
      <c r="DM81" s="63">
        <f t="shared" si="456"/>
        <v>0.28567289310197219</v>
      </c>
      <c r="DN81" s="63">
        <f t="shared" si="456"/>
        <v>0.27836684391891692</v>
      </c>
      <c r="DO81" s="63">
        <f t="shared" si="456"/>
        <v>0.2665344384337483</v>
      </c>
      <c r="DP81" s="63">
        <f t="shared" si="456"/>
        <v>0.28383584004661205</v>
      </c>
      <c r="DQ81" s="63">
        <f t="shared" si="456"/>
        <v>0.26516184342337917</v>
      </c>
      <c r="DR81" s="63">
        <f t="shared" si="456"/>
        <v>0.26114883091996499</v>
      </c>
      <c r="DS81" s="63">
        <f t="shared" si="456"/>
        <v>0.28128010967275685</v>
      </c>
      <c r="DT81" s="63">
        <f t="shared" si="456"/>
        <v>0.27320307473570482</v>
      </c>
      <c r="DU81" s="63">
        <f t="shared" si="456"/>
        <v>0.25967642388246986</v>
      </c>
      <c r="DV81" s="63">
        <f t="shared" si="456"/>
        <v>0.27464696343170109</v>
      </c>
      <c r="DW81" s="63">
        <f t="shared" si="456"/>
        <v>0.26429718894578658</v>
      </c>
      <c r="DX81" s="63">
        <f t="shared" si="456"/>
        <v>0.25615205082358145</v>
      </c>
      <c r="DY81" s="63">
        <f t="shared" si="456"/>
        <v>0.27292348732262162</v>
      </c>
      <c r="DZ81" s="63">
        <f t="shared" si="456"/>
        <v>0.26555366983739181</v>
      </c>
      <c r="EA81" s="63">
        <f t="shared" si="456"/>
        <v>0.2540247526632749</v>
      </c>
      <c r="EB81" s="63">
        <f t="shared" si="456"/>
        <v>0.26951602742822084</v>
      </c>
      <c r="EC81" s="63">
        <f t="shared" si="456"/>
        <v>0.25175877674437469</v>
      </c>
      <c r="ED81" s="63">
        <f t="shared" si="456"/>
        <v>0.24760222339680413</v>
      </c>
      <c r="EE81" s="63">
        <f t="shared" si="456"/>
        <v>0.26623951397141532</v>
      </c>
      <c r="EF81" s="63">
        <f t="shared" si="456"/>
        <v>0.25923321793230403</v>
      </c>
      <c r="EG81" s="63">
        <f t="shared" si="456"/>
        <v>0.24716082115186558</v>
      </c>
      <c r="EH81" s="63">
        <f t="shared" si="456"/>
        <v>0.26119994370293576</v>
      </c>
      <c r="EI81" s="63">
        <f t="shared" si="456"/>
        <v>0.25196213535373907</v>
      </c>
      <c r="EJ81" s="63">
        <f t="shared" si="456"/>
        <v>0.24467588987694885</v>
      </c>
      <c r="EK81" s="63">
        <f t="shared" si="456"/>
        <v>0.26012954547508232</v>
      </c>
      <c r="EL81" s="63">
        <f t="shared" si="456"/>
        <v>0.25356328966944008</v>
      </c>
      <c r="EM81" s="63">
        <f t="shared" si="456"/>
        <v>0.24306087696555359</v>
      </c>
      <c r="EN81" s="63">
        <f t="shared" si="456"/>
        <v>0.25767588805007824</v>
      </c>
      <c r="EO81" s="63">
        <f t="shared" si="456"/>
        <v>0.24131617274343178</v>
      </c>
      <c r="EP81" s="63">
        <f t="shared" si="456"/>
        <v>0.23754490581940213</v>
      </c>
      <c r="EQ81" s="63">
        <f t="shared" si="456"/>
        <v>0.25383020751174229</v>
      </c>
      <c r="ER81" s="63">
        <f t="shared" si="456"/>
        <v>0.24652487080078156</v>
      </c>
      <c r="ES81" s="63">
        <f t="shared" si="456"/>
        <v>0.2349753134206658</v>
      </c>
      <c r="ET81" s="63">
        <f t="shared" si="456"/>
        <v>0.24539982747185995</v>
      </c>
      <c r="EU81" s="63">
        <f t="shared" si="456"/>
        <v>0.2364411336598129</v>
      </c>
      <c r="EV81" s="63">
        <f t="shared" si="456"/>
        <v>0.22918439573196214</v>
      </c>
      <c r="EW81" s="63">
        <f t="shared" si="456"/>
        <v>0.24168349905347272</v>
      </c>
      <c r="EX81" s="63">
        <f t="shared" si="456"/>
        <v>0.23513866155728511</v>
      </c>
      <c r="EY81" s="63">
        <f t="shared" si="456"/>
        <v>0.22541329652322178</v>
      </c>
      <c r="EZ81" s="63">
        <f t="shared" si="456"/>
        <v>0.23639700302431524</v>
      </c>
      <c r="FA81" s="63">
        <f t="shared" si="456"/>
        <v>0.22205641522089042</v>
      </c>
      <c r="FB81" s="63">
        <f t="shared" si="456"/>
        <v>0.21808329931580314</v>
      </c>
    </row>
    <row r="82" spans="3:158" x14ac:dyDescent="0.25">
      <c r="C82" t="s">
        <v>27</v>
      </c>
      <c r="D82" s="63">
        <f>IFERROR(D43/D$28,"")</f>
        <v>1.0444950784641069</v>
      </c>
      <c r="E82" s="63">
        <f t="shared" ref="E82:L82" si="457">IFERROR(E43/E$28,"")</f>
        <v>0.83425112995883899</v>
      </c>
      <c r="F82" s="63">
        <f t="shared" si="457"/>
        <v>0.61875841669277498</v>
      </c>
      <c r="G82" s="63">
        <f t="shared" si="457"/>
        <v>0.74518064029842923</v>
      </c>
      <c r="H82" s="63">
        <f t="shared" si="457"/>
        <v>0.61205730205676778</v>
      </c>
      <c r="I82" s="63">
        <f t="shared" si="457"/>
        <v>0.56646178223390442</v>
      </c>
      <c r="J82" s="63">
        <f t="shared" si="457"/>
        <v>0.50811852819130765</v>
      </c>
      <c r="K82" s="63">
        <f t="shared" si="457"/>
        <v>0.45571605194513287</v>
      </c>
      <c r="L82" s="63">
        <f t="shared" si="457"/>
        <v>0.45923351449999633</v>
      </c>
      <c r="M82" s="64"/>
      <c r="N82" s="63">
        <f t="shared" ref="N82:AW82" si="458">IFERROR(N43/N$28,"")</f>
        <v>1.204488364167092</v>
      </c>
      <c r="O82" s="63">
        <f t="shared" si="458"/>
        <v>0.97047463231075703</v>
      </c>
      <c r="P82" s="63">
        <f t="shared" si="458"/>
        <v>1.0017387246142924</v>
      </c>
      <c r="Q82" s="63">
        <f t="shared" si="458"/>
        <v>1.0485607905497307</v>
      </c>
      <c r="R82" s="63">
        <f t="shared" si="458"/>
        <v>0.90331544885224446</v>
      </c>
      <c r="S82" s="63">
        <f t="shared" si="458"/>
        <v>0.90858496138697875</v>
      </c>
      <c r="T82" s="63">
        <f t="shared" si="458"/>
        <v>0.79790507140016564</v>
      </c>
      <c r="U82" s="63">
        <f t="shared" si="458"/>
        <v>0.76632414743324562</v>
      </c>
      <c r="V82" s="63">
        <f t="shared" si="458"/>
        <v>0.6430778409102953</v>
      </c>
      <c r="W82" s="63">
        <f t="shared" si="458"/>
        <v>0.63181779207279876</v>
      </c>
      <c r="X82" s="63">
        <f t="shared" si="458"/>
        <v>0.58208573853647827</v>
      </c>
      <c r="Y82" s="63">
        <f t="shared" si="458"/>
        <v>0.62266222090908585</v>
      </c>
      <c r="Z82" s="63">
        <f t="shared" si="458"/>
        <v>0.63654019184759825</v>
      </c>
      <c r="AA82" s="63">
        <f t="shared" si="458"/>
        <v>0.7689906939969734</v>
      </c>
      <c r="AB82" s="63">
        <f t="shared" si="458"/>
        <v>0.79806200969933683</v>
      </c>
      <c r="AC82" s="63">
        <f t="shared" si="458"/>
        <v>0.75623608547267818</v>
      </c>
      <c r="AD82" s="63">
        <f t="shared" si="458"/>
        <v>0.68808402273715707</v>
      </c>
      <c r="AE82" s="63">
        <f t="shared" si="458"/>
        <v>0.62718573384815801</v>
      </c>
      <c r="AF82" s="63">
        <f t="shared" si="458"/>
        <v>0.61390310973797091</v>
      </c>
      <c r="AG82" s="63">
        <f t="shared" si="458"/>
        <v>0.5454068522831057</v>
      </c>
      <c r="AH82" s="63">
        <f t="shared" si="458"/>
        <v>0.57528820753157595</v>
      </c>
      <c r="AI82" s="63">
        <f t="shared" si="458"/>
        <v>0.56280461456127562</v>
      </c>
      <c r="AJ82" s="63">
        <f t="shared" si="458"/>
        <v>0.57927015124583081</v>
      </c>
      <c r="AK82" s="63">
        <f t="shared" si="458"/>
        <v>0.55185285674697737</v>
      </c>
      <c r="AL82" s="63">
        <f t="shared" si="458"/>
        <v>0.56162974830752876</v>
      </c>
      <c r="AM82" s="63">
        <f t="shared" si="458"/>
        <v>0.51382656243074842</v>
      </c>
      <c r="AN82" s="63">
        <f t="shared" si="458"/>
        <v>0.51100738834357673</v>
      </c>
      <c r="AO82" s="63">
        <f t="shared" si="458"/>
        <v>0.46232239617887017</v>
      </c>
      <c r="AP82" s="63">
        <f t="shared" si="458"/>
        <v>0.47552470353203696</v>
      </c>
      <c r="AQ82" s="63">
        <f t="shared" si="458"/>
        <v>0.45346205408244639</v>
      </c>
      <c r="AR82" s="63">
        <f t="shared" si="458"/>
        <v>0.46474632580947023</v>
      </c>
      <c r="AS82" s="63">
        <f t="shared" si="458"/>
        <v>0.43508441070931064</v>
      </c>
      <c r="AT82" s="63">
        <f t="shared" si="458"/>
        <v>0.46241297812453597</v>
      </c>
      <c r="AU82" s="63">
        <f t="shared" si="458"/>
        <v>0.45372689767543734</v>
      </c>
      <c r="AV82" s="63">
        <f t="shared" si="458"/>
        <v>0.47091190797441956</v>
      </c>
      <c r="AW82" s="63">
        <f t="shared" si="458"/>
        <v>0.45100077071687922</v>
      </c>
      <c r="AX82" s="64"/>
      <c r="AY82" s="63">
        <f>IFERROR(AY43/AY$28,"")</f>
        <v>0.99206150250423364</v>
      </c>
      <c r="AZ82" s="63">
        <f t="shared" ref="AZ82:DK82" si="459">IFERROR(AZ43/AZ$28,"")</f>
        <v>1.2762819681093081</v>
      </c>
      <c r="BA82" s="63">
        <f t="shared" si="459"/>
        <v>1.325308350086696</v>
      </c>
      <c r="BB82" s="63">
        <f t="shared" si="459"/>
        <v>0.80938749004497423</v>
      </c>
      <c r="BC82" s="63">
        <f t="shared" si="459"/>
        <v>0.95941378655452902</v>
      </c>
      <c r="BD82" s="63">
        <f t="shared" si="459"/>
        <v>1.1222206302259932</v>
      </c>
      <c r="BE82" s="63">
        <f t="shared" si="459"/>
        <v>0.82297500354878528</v>
      </c>
      <c r="BF82" s="63">
        <f t="shared" si="459"/>
        <v>1.001604600748381</v>
      </c>
      <c r="BG82" s="63">
        <f t="shared" si="459"/>
        <v>1.1627065251515605</v>
      </c>
      <c r="BH82" s="63">
        <f t="shared" si="459"/>
        <v>0.81278599178174327</v>
      </c>
      <c r="BI82" s="63">
        <f t="shared" si="459"/>
        <v>1.0187517884137189</v>
      </c>
      <c r="BJ82" s="63">
        <f t="shared" si="459"/>
        <v>1.2822105023175627</v>
      </c>
      <c r="BK82" s="63">
        <f t="shared" si="459"/>
        <v>0.83292234222420591</v>
      </c>
      <c r="BL82" s="63">
        <f t="shared" si="459"/>
        <v>0.86926686678260878</v>
      </c>
      <c r="BM82" s="63">
        <f t="shared" si="459"/>
        <v>1.0044261022841758</v>
      </c>
      <c r="BN82" s="63">
        <f t="shared" si="459"/>
        <v>1.002318335169802</v>
      </c>
      <c r="BO82" s="63">
        <f t="shared" si="459"/>
        <v>0.88792396693412856</v>
      </c>
      <c r="BP82" s="63">
        <f t="shared" si="459"/>
        <v>0.8429377414422965</v>
      </c>
      <c r="BQ82" s="63">
        <f t="shared" si="459"/>
        <v>0.73634866434372359</v>
      </c>
      <c r="BR82" s="63">
        <f t="shared" si="459"/>
        <v>0.82075452666562265</v>
      </c>
      <c r="BS82" s="63">
        <f t="shared" si="459"/>
        <v>0.83248431629469632</v>
      </c>
      <c r="BT82" s="63">
        <f t="shared" si="459"/>
        <v>0.64727792953613961</v>
      </c>
      <c r="BU82" s="63">
        <f t="shared" si="459"/>
        <v>0.78863451831104237</v>
      </c>
      <c r="BV82" s="63">
        <f t="shared" si="459"/>
        <v>0.85521352528057826</v>
      </c>
      <c r="BW82" s="63">
        <f t="shared" si="459"/>
        <v>0.69142177597900745</v>
      </c>
      <c r="BX82" s="63">
        <f t="shared" si="459"/>
        <v>0.62932161947609433</v>
      </c>
      <c r="BY82" s="63">
        <f t="shared" si="459"/>
        <v>0.60774511393622277</v>
      </c>
      <c r="BZ82" s="63">
        <f t="shared" si="459"/>
        <v>0.58352149656721852</v>
      </c>
      <c r="CA82" s="63">
        <f t="shared" si="459"/>
        <v>0.54694250460923199</v>
      </c>
      <c r="CB82" s="63">
        <f t="shared" si="459"/>
        <v>0.76139441462643298</v>
      </c>
      <c r="CC82" s="63">
        <f t="shared" si="459"/>
        <v>0.50152250112187258</v>
      </c>
      <c r="CD82" s="63">
        <f t="shared" si="459"/>
        <v>0.61709432335902525</v>
      </c>
      <c r="CE82" s="63">
        <f t="shared" si="459"/>
        <v>0.62389720862942866</v>
      </c>
      <c r="CF82" s="63">
        <f t="shared" si="459"/>
        <v>0.51604840575255218</v>
      </c>
      <c r="CG82" s="63">
        <f t="shared" si="459"/>
        <v>0.62726561289358851</v>
      </c>
      <c r="CH82" s="63">
        <f t="shared" si="459"/>
        <v>0.72004043052975664</v>
      </c>
      <c r="CI82" s="63">
        <f t="shared" si="459"/>
        <v>0.581078506816323</v>
      </c>
      <c r="CJ82" s="63">
        <f t="shared" si="459"/>
        <v>0.55136300872296795</v>
      </c>
      <c r="CK82" s="63">
        <f t="shared" si="459"/>
        <v>0.77264475537065735</v>
      </c>
      <c r="CL82" s="63">
        <f t="shared" si="459"/>
        <v>0.63971455683981004</v>
      </c>
      <c r="CM82" s="63">
        <f t="shared" si="459"/>
        <v>0.81837225893893872</v>
      </c>
      <c r="CN82" s="63">
        <f t="shared" si="459"/>
        <v>0.84215165931700797</v>
      </c>
      <c r="CO82" s="63">
        <f t="shared" si="459"/>
        <v>0.67913434916522331</v>
      </c>
      <c r="CP82" s="63">
        <f t="shared" si="459"/>
        <v>0.77794754632367991</v>
      </c>
      <c r="CQ82" s="63">
        <f t="shared" si="459"/>
        <v>0.92762846350972938</v>
      </c>
      <c r="CR82" s="63">
        <f t="shared" si="459"/>
        <v>0.66237297146404517</v>
      </c>
      <c r="CS82" s="63">
        <f t="shared" si="459"/>
        <v>0.75914876618381144</v>
      </c>
      <c r="CT82" s="63">
        <f t="shared" si="459"/>
        <v>0.84042955561009425</v>
      </c>
      <c r="CU82" s="63">
        <f t="shared" si="459"/>
        <v>0.73437506259637952</v>
      </c>
      <c r="CV82" s="63">
        <f t="shared" si="459"/>
        <v>0.68848219489095008</v>
      </c>
      <c r="CW82" s="63">
        <f t="shared" si="459"/>
        <v>0.64790333983129456</v>
      </c>
      <c r="CX82" s="63">
        <f t="shared" si="459"/>
        <v>0.66904645831389875</v>
      </c>
      <c r="CY82" s="63">
        <f t="shared" si="459"/>
        <v>0.62634970573329318</v>
      </c>
      <c r="CZ82" s="63">
        <f t="shared" si="459"/>
        <v>0.59195932532610918</v>
      </c>
      <c r="DA82" s="63">
        <f t="shared" si="459"/>
        <v>0.63305171987633457</v>
      </c>
      <c r="DB82" s="63">
        <f t="shared" si="459"/>
        <v>0.61954233649619483</v>
      </c>
      <c r="DC82" s="63">
        <f t="shared" si="459"/>
        <v>0.59217731800952655</v>
      </c>
      <c r="DD82" s="63">
        <f t="shared" si="459"/>
        <v>0.58808327713925801</v>
      </c>
      <c r="DE82" s="63">
        <f t="shared" si="459"/>
        <v>0.52515761822639484</v>
      </c>
      <c r="DF82" s="63">
        <f t="shared" si="459"/>
        <v>0.52870796592082503</v>
      </c>
      <c r="DG82" s="63">
        <f t="shared" si="459"/>
        <v>0.59714008245566474</v>
      </c>
      <c r="DH82" s="63">
        <f t="shared" si="459"/>
        <v>0.57391354702618125</v>
      </c>
      <c r="DI82" s="63">
        <f t="shared" si="459"/>
        <v>0.55763871546645993</v>
      </c>
      <c r="DJ82" s="63">
        <f t="shared" si="459"/>
        <v>0.58550836182384525</v>
      </c>
      <c r="DK82" s="63">
        <f t="shared" si="459"/>
        <v>0.56177199260880883</v>
      </c>
      <c r="DL82" s="63">
        <f t="shared" ref="DL82:FB82" si="460">IFERROR(DL43/DL$28,"")</f>
        <v>0.54416295868463194</v>
      </c>
      <c r="DM82" s="63">
        <f t="shared" si="460"/>
        <v>0.58314541053861513</v>
      </c>
      <c r="DN82" s="63">
        <f t="shared" si="460"/>
        <v>0.58420975765920546</v>
      </c>
      <c r="DO82" s="63">
        <f t="shared" si="460"/>
        <v>0.57136215282839808</v>
      </c>
      <c r="DP82" s="63">
        <f t="shared" si="460"/>
        <v>0.58144922941957944</v>
      </c>
      <c r="DQ82" s="63">
        <f t="shared" si="460"/>
        <v>0.53206832825175698</v>
      </c>
      <c r="DR82" s="63">
        <f t="shared" si="460"/>
        <v>0.54545916470481504</v>
      </c>
      <c r="DS82" s="63">
        <f t="shared" si="460"/>
        <v>0.59646287989058555</v>
      </c>
      <c r="DT82" s="63">
        <f t="shared" si="460"/>
        <v>0.56011192400458676</v>
      </c>
      <c r="DU82" s="63">
        <f t="shared" si="460"/>
        <v>0.53270758998309908</v>
      </c>
      <c r="DV82" s="63">
        <f t="shared" si="460"/>
        <v>0.54533519678925468</v>
      </c>
      <c r="DW82" s="63">
        <f t="shared" si="460"/>
        <v>0.51268282805067067</v>
      </c>
      <c r="DX82" s="63">
        <f t="shared" si="460"/>
        <v>0.48754307318221241</v>
      </c>
      <c r="DY82" s="63">
        <f t="shared" si="460"/>
        <v>0.52244075810283741</v>
      </c>
      <c r="DZ82" s="63">
        <f t="shared" si="460"/>
        <v>0.5149316639671887</v>
      </c>
      <c r="EA82" s="63">
        <f t="shared" si="460"/>
        <v>0.49739306949001655</v>
      </c>
      <c r="EB82" s="63">
        <f t="shared" si="460"/>
        <v>0.49334873326283901</v>
      </c>
      <c r="EC82" s="63">
        <f t="shared" si="460"/>
        <v>0.44413443134443997</v>
      </c>
      <c r="ED82" s="63">
        <f t="shared" si="460"/>
        <v>0.45312257034674647</v>
      </c>
      <c r="EE82" s="63">
        <f t="shared" si="460"/>
        <v>0.49734709517369224</v>
      </c>
      <c r="EF82" s="63">
        <f t="shared" si="460"/>
        <v>0.4728738759213888</v>
      </c>
      <c r="EG82" s="63">
        <f t="shared" si="460"/>
        <v>0.45885766229463554</v>
      </c>
      <c r="EH82" s="63">
        <f t="shared" si="460"/>
        <v>0.47401821576982978</v>
      </c>
      <c r="EI82" s="63">
        <f t="shared" si="460"/>
        <v>0.45218679611841128</v>
      </c>
      <c r="EJ82" s="63">
        <f t="shared" si="460"/>
        <v>0.43671300937140362</v>
      </c>
      <c r="EK82" s="63">
        <f t="shared" si="460"/>
        <v>0.46797352028938893</v>
      </c>
      <c r="EL82" s="63">
        <f t="shared" si="460"/>
        <v>0.46797701896234406</v>
      </c>
      <c r="EM82" s="63">
        <f t="shared" si="460"/>
        <v>0.45892804011457095</v>
      </c>
      <c r="EN82" s="63">
        <f t="shared" si="460"/>
        <v>0.45806983264223983</v>
      </c>
      <c r="EO82" s="63">
        <f t="shared" si="460"/>
        <v>0.41775603263149569</v>
      </c>
      <c r="EP82" s="63">
        <f t="shared" si="460"/>
        <v>0.43181961343447117</v>
      </c>
      <c r="EQ82" s="63">
        <f t="shared" si="460"/>
        <v>0.47689344938952932</v>
      </c>
      <c r="ER82" s="63">
        <f t="shared" si="460"/>
        <v>0.45940801545242899</v>
      </c>
      <c r="ES82" s="63">
        <f t="shared" si="460"/>
        <v>0.45236948937931393</v>
      </c>
      <c r="ET82" s="63">
        <f t="shared" si="460"/>
        <v>0.46840297470460895</v>
      </c>
      <c r="EU82" s="63">
        <f t="shared" si="460"/>
        <v>0.45255238671249459</v>
      </c>
      <c r="EV82" s="63">
        <f t="shared" si="460"/>
        <v>0.44189021974827536</v>
      </c>
      <c r="EW82" s="63">
        <f t="shared" si="460"/>
        <v>0.46967564663183659</v>
      </c>
      <c r="EX82" s="63">
        <f t="shared" si="460"/>
        <v>0.4738709515335448</v>
      </c>
      <c r="EY82" s="63">
        <f t="shared" si="460"/>
        <v>0.46926211058387984</v>
      </c>
      <c r="EZ82" s="63">
        <f t="shared" si="460"/>
        <v>0.46959749719305072</v>
      </c>
      <c r="FA82" s="63">
        <f t="shared" si="460"/>
        <v>0.43453582385797318</v>
      </c>
      <c r="FB82" s="63">
        <f t="shared" si="460"/>
        <v>0.45052700274069263</v>
      </c>
    </row>
    <row r="83" spans="3:158" x14ac:dyDescent="0.25">
      <c r="C83" t="s">
        <v>28</v>
      </c>
      <c r="D83" s="63">
        <f t="shared" ref="D83:L85" si="461">IFERROR(D44/D$28,"")</f>
        <v>0.53480840114476502</v>
      </c>
      <c r="E83" s="63">
        <f t="shared" si="461"/>
        <v>0.42543067426282927</v>
      </c>
      <c r="F83" s="63">
        <f t="shared" si="461"/>
        <v>0.3454725047488818</v>
      </c>
      <c r="G83" s="63">
        <f t="shared" si="461"/>
        <v>0.38953139235984002</v>
      </c>
      <c r="H83" s="63">
        <f t="shared" ref="H83:L83" si="462">IFERROR(H44/H$28,"")</f>
        <v>0.36922427433055816</v>
      </c>
      <c r="I83" s="63">
        <f t="shared" si="462"/>
        <v>0.33963632145105627</v>
      </c>
      <c r="J83" s="63">
        <f t="shared" si="462"/>
        <v>0.30320621736881048</v>
      </c>
      <c r="K83" s="63">
        <f t="shared" si="462"/>
        <v>0.26655322533828607</v>
      </c>
      <c r="L83" s="63">
        <f t="shared" si="462"/>
        <v>0.23577220935166043</v>
      </c>
      <c r="M83" s="64"/>
      <c r="N83" s="63">
        <f t="shared" ref="N83:AW83" si="463">IFERROR(N44/N$28,"")</f>
        <v>0.6596954149621197</v>
      </c>
      <c r="O83" s="63">
        <f t="shared" si="463"/>
        <v>0.54161220245605501</v>
      </c>
      <c r="P83" s="63">
        <f t="shared" si="463"/>
        <v>0.5193908035675977</v>
      </c>
      <c r="Q83" s="63">
        <f t="shared" si="463"/>
        <v>0.47974401193546734</v>
      </c>
      <c r="R83" s="63">
        <f t="shared" si="463"/>
        <v>0.46127539861168931</v>
      </c>
      <c r="S83" s="63">
        <f t="shared" si="463"/>
        <v>0.46679423753135507</v>
      </c>
      <c r="T83" s="63">
        <f t="shared" si="463"/>
        <v>0.42893962291794269</v>
      </c>
      <c r="U83" s="63">
        <f t="shared" si="463"/>
        <v>0.36844912346777209</v>
      </c>
      <c r="V83" s="63">
        <f t="shared" si="463"/>
        <v>0.33980859690697685</v>
      </c>
      <c r="W83" s="63">
        <f t="shared" si="463"/>
        <v>0.3714185641810217</v>
      </c>
      <c r="X83" s="63">
        <f t="shared" si="463"/>
        <v>0.34654646594478372</v>
      </c>
      <c r="Y83" s="63">
        <f t="shared" si="463"/>
        <v>0.3277367146264164</v>
      </c>
      <c r="Z83" s="63">
        <f t="shared" si="463"/>
        <v>0.37100740753016298</v>
      </c>
      <c r="AA83" s="63">
        <f t="shared" si="463"/>
        <v>0.3809649839273675</v>
      </c>
      <c r="AB83" s="63">
        <f t="shared" si="463"/>
        <v>0.39372336599928975</v>
      </c>
      <c r="AC83" s="63">
        <f t="shared" si="463"/>
        <v>0.40540295007164789</v>
      </c>
      <c r="AD83" s="63">
        <f t="shared" si="463"/>
        <v>0.39441791687452799</v>
      </c>
      <c r="AE83" s="63">
        <f t="shared" si="463"/>
        <v>0.36384301049259588</v>
      </c>
      <c r="AF83" s="63">
        <f t="shared" si="463"/>
        <v>0.36728207352222364</v>
      </c>
      <c r="AG83" s="63">
        <f t="shared" si="463"/>
        <v>0.35752646932390841</v>
      </c>
      <c r="AH83" s="63">
        <f t="shared" si="463"/>
        <v>0.36503111124763898</v>
      </c>
      <c r="AI83" s="63">
        <f t="shared" si="463"/>
        <v>0.33340933869351153</v>
      </c>
      <c r="AJ83" s="63">
        <f t="shared" si="463"/>
        <v>0.33651299606997631</v>
      </c>
      <c r="AK83" s="63">
        <f t="shared" si="463"/>
        <v>0.32926515707540593</v>
      </c>
      <c r="AL83" s="63">
        <f t="shared" si="463"/>
        <v>0.33554357955161651</v>
      </c>
      <c r="AM83" s="63">
        <f t="shared" si="463"/>
        <v>0.30064570232848603</v>
      </c>
      <c r="AN83" s="63">
        <f t="shared" si="463"/>
        <v>0.29522195761556425</v>
      </c>
      <c r="AO83" s="63">
        <f t="shared" si="463"/>
        <v>0.28897520934388438</v>
      </c>
      <c r="AP83" s="63">
        <f t="shared" si="463"/>
        <v>0.29516294111236346</v>
      </c>
      <c r="AQ83" s="63">
        <f t="shared" si="463"/>
        <v>0.26496466937306945</v>
      </c>
      <c r="AR83" s="63">
        <f t="shared" si="463"/>
        <v>0.25900571639607578</v>
      </c>
      <c r="AS83" s="63">
        <f t="shared" si="463"/>
        <v>0.25363095032834493</v>
      </c>
      <c r="AT83" s="63">
        <f t="shared" si="463"/>
        <v>0.26092477917937529</v>
      </c>
      <c r="AU83" s="63">
        <f t="shared" si="463"/>
        <v>0.2352143794481083</v>
      </c>
      <c r="AV83" s="63">
        <f t="shared" si="463"/>
        <v>0.22843093022771388</v>
      </c>
      <c r="AW83" s="63">
        <f t="shared" si="463"/>
        <v>0.22413714172257276</v>
      </c>
      <c r="AX83" s="64"/>
      <c r="AY83" s="63">
        <f>IFERROR(AY44/AY$28,"")</f>
        <v>0.68625559660004021</v>
      </c>
      <c r="AZ83" s="63">
        <f t="shared" ref="AZ83:DK83" si="464">IFERROR(AZ44/AZ$28,"")</f>
        <v>0.63942595370192568</v>
      </c>
      <c r="BA83" s="63">
        <f t="shared" si="464"/>
        <v>0.65490212218039912</v>
      </c>
      <c r="BB83" s="63">
        <f t="shared" si="464"/>
        <v>0.54559519746247931</v>
      </c>
      <c r="BC83" s="63">
        <f t="shared" si="464"/>
        <v>0.53704999223643335</v>
      </c>
      <c r="BD83" s="63">
        <f t="shared" si="464"/>
        <v>0.54239359440066448</v>
      </c>
      <c r="BE83" s="63">
        <f t="shared" si="464"/>
        <v>0.50526339029810874</v>
      </c>
      <c r="BF83" s="63">
        <f t="shared" si="464"/>
        <v>0.48896472008998421</v>
      </c>
      <c r="BG83" s="63">
        <f t="shared" si="464"/>
        <v>0.56003150648069255</v>
      </c>
      <c r="BH83" s="63">
        <f t="shared" si="464"/>
        <v>0.48207060793046286</v>
      </c>
      <c r="BI83" s="63">
        <f t="shared" si="464"/>
        <v>0.45630933881926855</v>
      </c>
      <c r="BJ83" s="63">
        <f t="shared" si="464"/>
        <v>0.4989729179168807</v>
      </c>
      <c r="BK83" s="63">
        <f t="shared" si="464"/>
        <v>0.46018012046394474</v>
      </c>
      <c r="BL83" s="63">
        <f t="shared" si="464"/>
        <v>0.46116627207269384</v>
      </c>
      <c r="BM83" s="63">
        <f t="shared" si="464"/>
        <v>0.46244096587221351</v>
      </c>
      <c r="BN83" s="63">
        <f t="shared" si="464"/>
        <v>0.44514421661909237</v>
      </c>
      <c r="BO83" s="63">
        <f t="shared" si="464"/>
        <v>0.4795247364777187</v>
      </c>
      <c r="BP83" s="63">
        <f t="shared" si="464"/>
        <v>0.47434950669385445</v>
      </c>
      <c r="BQ83" s="63">
        <f t="shared" si="464"/>
        <v>0.43140996683815114</v>
      </c>
      <c r="BR83" s="63">
        <f t="shared" si="464"/>
        <v>0.4259469004101209</v>
      </c>
      <c r="BS83" s="63">
        <f t="shared" si="464"/>
        <v>0.42954245155519061</v>
      </c>
      <c r="BT83" s="63">
        <f t="shared" si="464"/>
        <v>0.38633218866195945</v>
      </c>
      <c r="BU83" s="63">
        <f t="shared" si="464"/>
        <v>0.37667821196885115</v>
      </c>
      <c r="BV83" s="63">
        <f t="shared" si="464"/>
        <v>0.34386055367303092</v>
      </c>
      <c r="BW83" s="63">
        <f t="shared" si="464"/>
        <v>0.33362757474991467</v>
      </c>
      <c r="BX83" s="63">
        <f t="shared" si="464"/>
        <v>0.31956511892691941</v>
      </c>
      <c r="BY83" s="63">
        <f t="shared" si="464"/>
        <v>0.36638876586503516</v>
      </c>
      <c r="BZ83" s="63">
        <f t="shared" si="464"/>
        <v>0.347954235722084</v>
      </c>
      <c r="CA83" s="63">
        <f t="shared" si="464"/>
        <v>0.36084358498873303</v>
      </c>
      <c r="CB83" s="63">
        <f t="shared" si="464"/>
        <v>0.40448941358159196</v>
      </c>
      <c r="CC83" s="63">
        <f t="shared" si="464"/>
        <v>0.36134158411059425</v>
      </c>
      <c r="CD83" s="63">
        <f t="shared" si="464"/>
        <v>0.34931153276051596</v>
      </c>
      <c r="CE83" s="63">
        <f t="shared" si="464"/>
        <v>0.32987150249512615</v>
      </c>
      <c r="CF83" s="63">
        <f t="shared" si="464"/>
        <v>0.3206611303817351</v>
      </c>
      <c r="CG83" s="63">
        <f t="shared" si="464"/>
        <v>0.3141539838979055</v>
      </c>
      <c r="CH83" s="63">
        <f t="shared" si="464"/>
        <v>0.34769658922240471</v>
      </c>
      <c r="CI83" s="63">
        <f t="shared" si="464"/>
        <v>0.34792509237784214</v>
      </c>
      <c r="CJ83" s="63">
        <f t="shared" si="464"/>
        <v>0.35270611026314169</v>
      </c>
      <c r="CK83" s="63">
        <f t="shared" si="464"/>
        <v>0.41085785172634776</v>
      </c>
      <c r="CL83" s="63">
        <f t="shared" si="464"/>
        <v>0.37948356310221887</v>
      </c>
      <c r="CM83" s="63">
        <f t="shared" si="464"/>
        <v>0.3806739320461795</v>
      </c>
      <c r="CN83" s="63">
        <f t="shared" si="464"/>
        <v>0.38263758915541368</v>
      </c>
      <c r="CO83" s="63">
        <f t="shared" si="464"/>
        <v>0.38405586457260787</v>
      </c>
      <c r="CP83" s="63">
        <f t="shared" si="464"/>
        <v>0.39561250309221874</v>
      </c>
      <c r="CQ83" s="63">
        <f t="shared" si="464"/>
        <v>0.40086438074153036</v>
      </c>
      <c r="CR83" s="63">
        <f t="shared" si="464"/>
        <v>0.39173561890179137</v>
      </c>
      <c r="CS83" s="63">
        <f t="shared" si="464"/>
        <v>0.40829259003913204</v>
      </c>
      <c r="CT83" s="63">
        <f t="shared" si="464"/>
        <v>0.41534805845700562</v>
      </c>
      <c r="CU83" s="63">
        <f t="shared" si="464"/>
        <v>0.42314214316907078</v>
      </c>
      <c r="CV83" s="63">
        <f t="shared" si="464"/>
        <v>0.40072376883264282</v>
      </c>
      <c r="CW83" s="63">
        <f t="shared" si="464"/>
        <v>0.36398199112277557</v>
      </c>
      <c r="CX83" s="63">
        <f t="shared" si="464"/>
        <v>0.37900222386759319</v>
      </c>
      <c r="CY83" s="63">
        <f t="shared" si="464"/>
        <v>0.36274831842125521</v>
      </c>
      <c r="CZ83" s="63">
        <f t="shared" si="464"/>
        <v>0.35181913897298306</v>
      </c>
      <c r="DA83" s="63">
        <f t="shared" si="464"/>
        <v>0.38153416848841998</v>
      </c>
      <c r="DB83" s="63">
        <f t="shared" si="464"/>
        <v>0.36971641990257048</v>
      </c>
      <c r="DC83" s="63">
        <f t="shared" si="464"/>
        <v>0.35272348720724039</v>
      </c>
      <c r="DD83" s="63">
        <f t="shared" si="464"/>
        <v>0.37799610809975481</v>
      </c>
      <c r="DE83" s="63">
        <f t="shared" si="464"/>
        <v>0.35060650656491849</v>
      </c>
      <c r="DF83" s="63">
        <f t="shared" si="464"/>
        <v>0.34690808346126167</v>
      </c>
      <c r="DG83" s="63">
        <f t="shared" si="464"/>
        <v>0.3905865184594941</v>
      </c>
      <c r="DH83" s="63">
        <f t="shared" si="464"/>
        <v>0.37056899577380675</v>
      </c>
      <c r="DI83" s="63">
        <f t="shared" si="464"/>
        <v>0.33787521468806259</v>
      </c>
      <c r="DJ83" s="63">
        <f t="shared" si="464"/>
        <v>0.34931365754195587</v>
      </c>
      <c r="DK83" s="63">
        <f t="shared" si="464"/>
        <v>0.33119108676422337</v>
      </c>
      <c r="DL83" s="63">
        <f t="shared" ref="DL83:FB83" si="465">IFERROR(DL44/DL$28,"")</f>
        <v>0.32173674993073142</v>
      </c>
      <c r="DM83" s="63">
        <f t="shared" si="465"/>
        <v>0.34904021156963105</v>
      </c>
      <c r="DN83" s="63">
        <f t="shared" si="465"/>
        <v>0.33865037696008032</v>
      </c>
      <c r="DO83" s="63">
        <f t="shared" si="465"/>
        <v>0.3236421269435647</v>
      </c>
      <c r="DP83" s="63">
        <f t="shared" si="465"/>
        <v>0.34771104349781284</v>
      </c>
      <c r="DQ83" s="63">
        <f t="shared" si="465"/>
        <v>0.32309473271492473</v>
      </c>
      <c r="DR83" s="63">
        <f t="shared" si="465"/>
        <v>0.31950132968941836</v>
      </c>
      <c r="DS83" s="63">
        <f t="shared" si="465"/>
        <v>0.35800714366599184</v>
      </c>
      <c r="DT83" s="63">
        <f t="shared" si="465"/>
        <v>0.3404224153949813</v>
      </c>
      <c r="DU83" s="63">
        <f t="shared" si="465"/>
        <v>0.31153140976600607</v>
      </c>
      <c r="DV83" s="63">
        <f t="shared" si="465"/>
        <v>0.3216689536745424</v>
      </c>
      <c r="DW83" s="63">
        <f t="shared" si="465"/>
        <v>0.30027368423304229</v>
      </c>
      <c r="DX83" s="63">
        <f t="shared" si="465"/>
        <v>0.28274514765613235</v>
      </c>
      <c r="DY83" s="63">
        <f t="shared" si="465"/>
        <v>0.30584430421786202</v>
      </c>
      <c r="DZ83" s="63">
        <f t="shared" si="465"/>
        <v>0.29703831875986192</v>
      </c>
      <c r="EA83" s="63">
        <f t="shared" si="465"/>
        <v>0.28425709315127934</v>
      </c>
      <c r="EB83" s="63">
        <f t="shared" si="465"/>
        <v>0.30467843099838471</v>
      </c>
      <c r="EC83" s="63">
        <f t="shared" si="465"/>
        <v>0.28372348895824001</v>
      </c>
      <c r="ED83" s="63">
        <f t="shared" si="465"/>
        <v>0.28060324118526353</v>
      </c>
      <c r="EE83" s="63">
        <f t="shared" si="465"/>
        <v>0.31402774258225474</v>
      </c>
      <c r="EF83" s="63">
        <f t="shared" si="465"/>
        <v>0.29926931210593727</v>
      </c>
      <c r="EG83" s="63">
        <f t="shared" si="465"/>
        <v>0.27487829684971787</v>
      </c>
      <c r="EH83" s="63">
        <f t="shared" si="465"/>
        <v>0.28345897237358181</v>
      </c>
      <c r="EI83" s="63">
        <f t="shared" si="465"/>
        <v>0.26532650811075048</v>
      </c>
      <c r="EJ83" s="63">
        <f t="shared" si="465"/>
        <v>0.24848865531355582</v>
      </c>
      <c r="EK83" s="63">
        <f t="shared" si="465"/>
        <v>0.26799701702137374</v>
      </c>
      <c r="EL83" s="63">
        <f t="shared" si="465"/>
        <v>0.26054677307342072</v>
      </c>
      <c r="EM83" s="63">
        <f t="shared" si="465"/>
        <v>0.2496802666120348</v>
      </c>
      <c r="EN83" s="63">
        <f t="shared" si="465"/>
        <v>0.26697728944563348</v>
      </c>
      <c r="EO83" s="63">
        <f t="shared" si="465"/>
        <v>0.24916829034689084</v>
      </c>
      <c r="EP83" s="63">
        <f t="shared" si="465"/>
        <v>0.24646354828013647</v>
      </c>
      <c r="EQ83" s="63">
        <f t="shared" si="465"/>
        <v>0.27604898342937723</v>
      </c>
      <c r="ER83" s="63">
        <f t="shared" si="465"/>
        <v>0.26424346490107808</v>
      </c>
      <c r="ES83" s="63">
        <f t="shared" si="465"/>
        <v>0.24446098804614139</v>
      </c>
      <c r="ET83" s="63">
        <f t="shared" si="465"/>
        <v>0.2506617297953555</v>
      </c>
      <c r="EU83" s="63">
        <f t="shared" si="465"/>
        <v>0.23590037895697383</v>
      </c>
      <c r="EV83" s="63">
        <f t="shared" si="465"/>
        <v>0.22095519363050331</v>
      </c>
      <c r="EW83" s="63">
        <f t="shared" si="465"/>
        <v>0.23549591336770129</v>
      </c>
      <c r="EX83" s="63">
        <f t="shared" si="465"/>
        <v>0.2296397266727635</v>
      </c>
      <c r="EY83" s="63">
        <f t="shared" si="465"/>
        <v>0.22103798246565318</v>
      </c>
      <c r="EZ83" s="63">
        <f t="shared" si="465"/>
        <v>0.23466697262292516</v>
      </c>
      <c r="FA83" s="63">
        <f t="shared" si="465"/>
        <v>0.22060458632767227</v>
      </c>
      <c r="FB83" s="63">
        <f t="shared" si="465"/>
        <v>0.21840274622776901</v>
      </c>
    </row>
    <row r="84" spans="3:158" x14ac:dyDescent="0.25">
      <c r="C84" t="s">
        <v>29</v>
      </c>
      <c r="D84" s="63">
        <f t="shared" si="461"/>
        <v>0.45578019079418081</v>
      </c>
      <c r="E84" s="63">
        <f t="shared" si="461"/>
        <v>0.33343155349398729</v>
      </c>
      <c r="F84" s="63">
        <f t="shared" si="461"/>
        <v>0.24330663315404935</v>
      </c>
      <c r="G84" s="63">
        <f t="shared" si="461"/>
        <v>0.30665966255727645</v>
      </c>
      <c r="H84" s="63">
        <f t="shared" ref="H84:L84" si="466">IFERROR(H45/H$28,"")</f>
        <v>0.27955235993997163</v>
      </c>
      <c r="I84" s="63">
        <f t="shared" si="466"/>
        <v>0.22395347098377774</v>
      </c>
      <c r="J84" s="63">
        <f t="shared" si="466"/>
        <v>0.18733691993758939</v>
      </c>
      <c r="K84" s="63">
        <f t="shared" si="466"/>
        <v>0.15647439184399178</v>
      </c>
      <c r="L84" s="63">
        <f t="shared" si="466"/>
        <v>0.13464367476640268</v>
      </c>
      <c r="M84" s="64"/>
      <c r="N84" s="63">
        <f t="shared" ref="N84:AW84" si="467">IFERROR(N45/N$28,"")</f>
        <v>0.53218322035107346</v>
      </c>
      <c r="O84" s="63">
        <f t="shared" si="467"/>
        <v>0.42416011856139191</v>
      </c>
      <c r="P84" s="63">
        <f t="shared" si="467"/>
        <v>0.45745373029592956</v>
      </c>
      <c r="Q84" s="63">
        <f t="shared" si="467"/>
        <v>0.43690550175189585</v>
      </c>
      <c r="R84" s="63">
        <f t="shared" si="467"/>
        <v>0.47413047612987036</v>
      </c>
      <c r="S84" s="63">
        <f t="shared" si="467"/>
        <v>0.32956261360042255</v>
      </c>
      <c r="T84" s="63">
        <f t="shared" si="467"/>
        <v>0.2948031649539215</v>
      </c>
      <c r="U84" s="63">
        <f t="shared" si="467"/>
        <v>0.28030429996841977</v>
      </c>
      <c r="V84" s="63">
        <f t="shared" si="467"/>
        <v>0.32694178551887149</v>
      </c>
      <c r="W84" s="63">
        <f t="shared" si="467"/>
        <v>0.22366386349470677</v>
      </c>
      <c r="X84" s="63">
        <f t="shared" si="467"/>
        <v>0.20900163508251474</v>
      </c>
      <c r="Y84" s="63">
        <f t="shared" si="467"/>
        <v>0.22596319766387607</v>
      </c>
      <c r="Z84" s="63">
        <f t="shared" si="467"/>
        <v>0.27597561519982483</v>
      </c>
      <c r="AA84" s="63">
        <f t="shared" si="467"/>
        <v>0.32194207552469817</v>
      </c>
      <c r="AB84" s="63">
        <f t="shared" si="467"/>
        <v>0.30726690901356296</v>
      </c>
      <c r="AC84" s="63">
        <f t="shared" si="467"/>
        <v>0.31575433167826139</v>
      </c>
      <c r="AD84" s="63">
        <f t="shared" si="467"/>
        <v>0.32314175420789082</v>
      </c>
      <c r="AE84" s="63">
        <f t="shared" si="467"/>
        <v>0.28932499829185043</v>
      </c>
      <c r="AF84" s="63">
        <f t="shared" si="467"/>
        <v>0.26759878092972</v>
      </c>
      <c r="AG84" s="63">
        <f t="shared" si="467"/>
        <v>0.25173783290352669</v>
      </c>
      <c r="AH84" s="63">
        <f t="shared" si="467"/>
        <v>0.24637746639021557</v>
      </c>
      <c r="AI84" s="63">
        <f t="shared" si="467"/>
        <v>0.22296806922636961</v>
      </c>
      <c r="AJ84" s="63">
        <f t="shared" si="467"/>
        <v>0.21894310518447485</v>
      </c>
      <c r="AK84" s="63">
        <f t="shared" si="467"/>
        <v>0.21314860758067114</v>
      </c>
      <c r="AL84" s="63">
        <f t="shared" si="467"/>
        <v>0.21043167021755901</v>
      </c>
      <c r="AM84" s="63">
        <f t="shared" si="467"/>
        <v>0.1892793846724718</v>
      </c>
      <c r="AN84" s="63">
        <f t="shared" si="467"/>
        <v>0.18192564379921025</v>
      </c>
      <c r="AO84" s="63">
        <f t="shared" si="467"/>
        <v>0.1738654875854547</v>
      </c>
      <c r="AP84" s="63">
        <f t="shared" si="467"/>
        <v>0.17375515033647498</v>
      </c>
      <c r="AQ84" s="63">
        <f t="shared" si="467"/>
        <v>0.15732121903887675</v>
      </c>
      <c r="AR84" s="63">
        <f t="shared" si="467"/>
        <v>0.15185007359326838</v>
      </c>
      <c r="AS84" s="63">
        <f t="shared" si="467"/>
        <v>0.14725482197515535</v>
      </c>
      <c r="AT84" s="63">
        <f t="shared" si="467"/>
        <v>0.14863264639836299</v>
      </c>
      <c r="AU84" s="63">
        <f t="shared" si="467"/>
        <v>0.13543797373945135</v>
      </c>
      <c r="AV84" s="63">
        <f t="shared" si="467"/>
        <v>0.13057224105434034</v>
      </c>
      <c r="AW84" s="63">
        <f t="shared" si="467"/>
        <v>0.12725472170518423</v>
      </c>
      <c r="AX84" s="64"/>
      <c r="AY84" s="63">
        <f>IFERROR(AY45/AY$28,"")</f>
        <v>0.55768808312453466</v>
      </c>
      <c r="AZ84" s="63">
        <f t="shared" ref="AZ84:DK84" si="468">IFERROR(AZ45/AZ$28,"")</f>
        <v>0.55121891851213678</v>
      </c>
      <c r="BA84" s="63">
        <f t="shared" si="468"/>
        <v>0.4924211420198038</v>
      </c>
      <c r="BB84" s="63">
        <f t="shared" si="468"/>
        <v>0.4337731912694594</v>
      </c>
      <c r="BC84" s="63">
        <f t="shared" si="468"/>
        <v>0.44627072904382381</v>
      </c>
      <c r="BD84" s="63">
        <f t="shared" si="468"/>
        <v>0.39499481197702474</v>
      </c>
      <c r="BE84" s="63">
        <f t="shared" si="468"/>
        <v>0.49647440377699109</v>
      </c>
      <c r="BF84" s="63">
        <f t="shared" si="468"/>
        <v>0.4354427726423501</v>
      </c>
      <c r="BG84" s="63">
        <f t="shared" si="468"/>
        <v>0.44254923649311373</v>
      </c>
      <c r="BH84" s="63">
        <f t="shared" si="468"/>
        <v>0.4296340378725122</v>
      </c>
      <c r="BI84" s="63">
        <f t="shared" si="468"/>
        <v>0.34516111561819718</v>
      </c>
      <c r="BJ84" s="63">
        <f t="shared" si="468"/>
        <v>0.52653755074222286</v>
      </c>
      <c r="BK84" s="63">
        <f t="shared" si="468"/>
        <v>0.57744246996044113</v>
      </c>
      <c r="BL84" s="63">
        <f t="shared" si="468"/>
        <v>0.39580765599688877</v>
      </c>
      <c r="BM84" s="63">
        <f t="shared" si="468"/>
        <v>0.45006775791596565</v>
      </c>
      <c r="BN84" s="63">
        <f t="shared" si="468"/>
        <v>0.35378608995079874</v>
      </c>
      <c r="BO84" s="63">
        <f t="shared" si="468"/>
        <v>0.32944517714574412</v>
      </c>
      <c r="BP84" s="63">
        <f t="shared" si="468"/>
        <v>0.30760561714433815</v>
      </c>
      <c r="BQ84" s="63">
        <f t="shared" si="468"/>
        <v>0.31008203507350324</v>
      </c>
      <c r="BR84" s="63">
        <f t="shared" si="468"/>
        <v>0.26166691557773464</v>
      </c>
      <c r="BS84" s="63">
        <f t="shared" si="468"/>
        <v>0.31255776381574651</v>
      </c>
      <c r="BT84" s="63">
        <f t="shared" si="468"/>
        <v>0.28699631247281898</v>
      </c>
      <c r="BU84" s="63">
        <f t="shared" si="468"/>
        <v>0.28539192393136542</v>
      </c>
      <c r="BV84" s="63">
        <f t="shared" si="468"/>
        <v>0.269154611775411</v>
      </c>
      <c r="BW84" s="63">
        <f t="shared" si="468"/>
        <v>0.4450195531689366</v>
      </c>
      <c r="BX84" s="63">
        <f t="shared" si="468"/>
        <v>0.27238205407357963</v>
      </c>
      <c r="BY84" s="63">
        <f t="shared" si="468"/>
        <v>0.26166164487329346</v>
      </c>
      <c r="BZ84" s="63">
        <f t="shared" si="468"/>
        <v>0.21616262571171929</v>
      </c>
      <c r="CA84" s="63">
        <f t="shared" si="468"/>
        <v>0.21708357729903599</v>
      </c>
      <c r="CB84" s="63">
        <f t="shared" si="468"/>
        <v>0.23735458364855497</v>
      </c>
      <c r="CC84" s="63">
        <f t="shared" si="468"/>
        <v>0.21075766232466073</v>
      </c>
      <c r="CD84" s="63">
        <f t="shared" si="468"/>
        <v>0.20502437620605699</v>
      </c>
      <c r="CE84" s="63">
        <f t="shared" si="468"/>
        <v>0.21123530800861534</v>
      </c>
      <c r="CF84" s="63">
        <f t="shared" si="468"/>
        <v>0.23639086969022072</v>
      </c>
      <c r="CG84" s="63">
        <f t="shared" si="468"/>
        <v>0.21394092889443792</v>
      </c>
      <c r="CH84" s="63">
        <f t="shared" si="468"/>
        <v>0.22768505685232326</v>
      </c>
      <c r="CI84" s="63">
        <f t="shared" si="468"/>
        <v>0.27592258620895566</v>
      </c>
      <c r="CJ84" s="63">
        <f t="shared" si="468"/>
        <v>0.25040033626369507</v>
      </c>
      <c r="CK84" s="63">
        <f t="shared" si="468"/>
        <v>0.30107339067821492</v>
      </c>
      <c r="CL84" s="63">
        <f t="shared" si="468"/>
        <v>0.3155790263222496</v>
      </c>
      <c r="CM84" s="63">
        <f t="shared" si="468"/>
        <v>0.31030614065556555</v>
      </c>
      <c r="CN84" s="63">
        <f t="shared" si="468"/>
        <v>0.33923693035018154</v>
      </c>
      <c r="CO84" s="63">
        <f t="shared" si="468"/>
        <v>0.30287552399151618</v>
      </c>
      <c r="CP84" s="63">
        <f t="shared" si="468"/>
        <v>0.30225004179399517</v>
      </c>
      <c r="CQ84" s="63">
        <f t="shared" si="468"/>
        <v>0.31616407253059536</v>
      </c>
      <c r="CR84" s="63">
        <f t="shared" si="468"/>
        <v>0.2872033957605461</v>
      </c>
      <c r="CS84" s="63">
        <f t="shared" si="468"/>
        <v>0.29532711050963822</v>
      </c>
      <c r="CT84" s="63">
        <f t="shared" si="468"/>
        <v>0.36136933134998295</v>
      </c>
      <c r="CU84" s="63">
        <f t="shared" si="468"/>
        <v>0.34615950568624743</v>
      </c>
      <c r="CV84" s="63">
        <f t="shared" si="468"/>
        <v>0.32825637513858735</v>
      </c>
      <c r="CW84" s="63">
        <f t="shared" si="468"/>
        <v>0.29869648106827368</v>
      </c>
      <c r="CX84" s="63">
        <f t="shared" si="468"/>
        <v>0.31106730208913175</v>
      </c>
      <c r="CY84" s="63">
        <f t="shared" si="468"/>
        <v>0.2901237695934088</v>
      </c>
      <c r="CZ84" s="63">
        <f t="shared" si="468"/>
        <v>0.26988756371553063</v>
      </c>
      <c r="DA84" s="63">
        <f t="shared" si="468"/>
        <v>0.28377707669338359</v>
      </c>
      <c r="DB84" s="63">
        <f t="shared" si="468"/>
        <v>0.26946436169846288</v>
      </c>
      <c r="DC84" s="63">
        <f t="shared" si="468"/>
        <v>0.25189334684940784</v>
      </c>
      <c r="DD84" s="63">
        <f t="shared" si="468"/>
        <v>0.2682710647365566</v>
      </c>
      <c r="DE84" s="63">
        <f t="shared" si="468"/>
        <v>0.24726093402450813</v>
      </c>
      <c r="DF84" s="63">
        <f t="shared" si="468"/>
        <v>0.24212227020524768</v>
      </c>
      <c r="DG84" s="63">
        <f t="shared" si="468"/>
        <v>0.26263793846285732</v>
      </c>
      <c r="DH84" s="63">
        <f t="shared" si="468"/>
        <v>0.25007345298353001</v>
      </c>
      <c r="DI84" s="63">
        <f t="shared" si="468"/>
        <v>0.22894150897359331</v>
      </c>
      <c r="DJ84" s="63">
        <f t="shared" si="468"/>
        <v>0.23763594806136609</v>
      </c>
      <c r="DK84" s="63">
        <f t="shared" si="468"/>
        <v>0.22236311254735902</v>
      </c>
      <c r="DL84" s="63">
        <f t="shared" ref="DL84:FB84" si="469">IFERROR(DL45/DL$28,"")</f>
        <v>0.2108668736432403</v>
      </c>
      <c r="DM84" s="63">
        <f t="shared" si="469"/>
        <v>0.22702270965497079</v>
      </c>
      <c r="DN84" s="63">
        <f t="shared" si="469"/>
        <v>0.22064797361247657</v>
      </c>
      <c r="DO84" s="63">
        <f t="shared" si="469"/>
        <v>0.21034236936162995</v>
      </c>
      <c r="DP84" s="63">
        <f t="shared" si="469"/>
        <v>0.22572787574010528</v>
      </c>
      <c r="DQ84" s="63">
        <f t="shared" si="469"/>
        <v>0.20947839831728421</v>
      </c>
      <c r="DR84" s="63">
        <f t="shared" si="469"/>
        <v>0.20598565369251759</v>
      </c>
      <c r="DS84" s="63">
        <f t="shared" si="469"/>
        <v>0.22415989683615814</v>
      </c>
      <c r="DT84" s="63">
        <f t="shared" si="469"/>
        <v>0.21345511703790174</v>
      </c>
      <c r="DU84" s="63">
        <f t="shared" si="469"/>
        <v>0.1957187604698947</v>
      </c>
      <c r="DV84" s="63">
        <f t="shared" si="469"/>
        <v>0.20246291593607968</v>
      </c>
      <c r="DW84" s="63">
        <f t="shared" si="469"/>
        <v>0.18932739526623871</v>
      </c>
      <c r="DX84" s="63">
        <f t="shared" si="469"/>
        <v>0.17779253272903847</v>
      </c>
      <c r="DY84" s="63">
        <f t="shared" si="469"/>
        <v>0.1901252728634662</v>
      </c>
      <c r="DZ84" s="63">
        <f t="shared" si="469"/>
        <v>0.18344000638304961</v>
      </c>
      <c r="EA84" s="63">
        <f t="shared" si="469"/>
        <v>0.17335829351823442</v>
      </c>
      <c r="EB84" s="63">
        <f t="shared" si="469"/>
        <v>0.1843715290175397</v>
      </c>
      <c r="EC84" s="63">
        <f t="shared" si="469"/>
        <v>0.17093276654294684</v>
      </c>
      <c r="ED84" s="63">
        <f t="shared" si="469"/>
        <v>0.16771841542631072</v>
      </c>
      <c r="EE84" s="63">
        <f t="shared" si="469"/>
        <v>0.18434607933486141</v>
      </c>
      <c r="EF84" s="63">
        <f t="shared" si="469"/>
        <v>0.17613943515602962</v>
      </c>
      <c r="EG84" s="63">
        <f t="shared" si="469"/>
        <v>0.16229461810926735</v>
      </c>
      <c r="EH84" s="63">
        <f t="shared" si="469"/>
        <v>0.16787284735485031</v>
      </c>
      <c r="EI84" s="63">
        <f t="shared" si="469"/>
        <v>0.15759579581208336</v>
      </c>
      <c r="EJ84" s="63">
        <f t="shared" si="469"/>
        <v>0.14785757277596731</v>
      </c>
      <c r="EK84" s="63">
        <f t="shared" si="469"/>
        <v>0.15784279792492484</v>
      </c>
      <c r="EL84" s="63">
        <f t="shared" si="469"/>
        <v>0.15273457166423837</v>
      </c>
      <c r="EM84" s="63">
        <f t="shared" si="469"/>
        <v>0.14576626349721145</v>
      </c>
      <c r="EN84" s="63">
        <f t="shared" si="469"/>
        <v>0.15553614523217904</v>
      </c>
      <c r="EO84" s="63">
        <f t="shared" si="469"/>
        <v>0.1448470026096069</v>
      </c>
      <c r="EP84" s="63">
        <f t="shared" si="469"/>
        <v>0.14246737027723275</v>
      </c>
      <c r="EQ84" s="63">
        <f t="shared" si="469"/>
        <v>0.15672575087430576</v>
      </c>
      <c r="ER84" s="63">
        <f t="shared" si="469"/>
        <v>0.15049314634972363</v>
      </c>
      <c r="ES84" s="63">
        <f t="shared" si="469"/>
        <v>0.1397444129736102</v>
      </c>
      <c r="ET84" s="63">
        <f t="shared" si="469"/>
        <v>0.14380612033957749</v>
      </c>
      <c r="EU84" s="63">
        <f t="shared" si="469"/>
        <v>0.13580759661091588</v>
      </c>
      <c r="EV84" s="63">
        <f t="shared" si="469"/>
        <v>0.12771535085159022</v>
      </c>
      <c r="EW84" s="63">
        <f t="shared" si="469"/>
        <v>0.13498455711347429</v>
      </c>
      <c r="EX84" s="63">
        <f t="shared" si="469"/>
        <v>0.13125586620756391</v>
      </c>
      <c r="EY84" s="63">
        <f t="shared" si="469"/>
        <v>0.12602130048403903</v>
      </c>
      <c r="EZ84" s="63">
        <f t="shared" si="469"/>
        <v>0.1336039303486091</v>
      </c>
      <c r="FA84" s="63">
        <f t="shared" si="469"/>
        <v>0.12540839655744987</v>
      </c>
      <c r="FB84" s="63">
        <f t="shared" si="469"/>
        <v>0.12352920084278181</v>
      </c>
    </row>
    <row r="85" spans="3:158" x14ac:dyDescent="0.25">
      <c r="C85" t="s">
        <v>721</v>
      </c>
      <c r="D85" s="63">
        <f>IFERROR((D43+D46)/D$28,"")</f>
        <v>1.0444950784641069</v>
      </c>
      <c r="E85" s="63">
        <f t="shared" ref="E85:K85" si="470">IFERROR((E43+E46)/E$28,"")</f>
        <v>0.74399137560665984</v>
      </c>
      <c r="F85" s="63">
        <f t="shared" si="470"/>
        <v>0.57288350187533776</v>
      </c>
      <c r="G85" s="63">
        <f t="shared" si="470"/>
        <v>0.64692126860829924</v>
      </c>
      <c r="H85" s="63">
        <f t="shared" si="470"/>
        <v>0.50134095476407181</v>
      </c>
      <c r="I85" s="63">
        <f t="shared" si="470"/>
        <v>0.45300788700748063</v>
      </c>
      <c r="J85" s="63">
        <f t="shared" si="470"/>
        <v>0.40174594999996388</v>
      </c>
      <c r="K85" s="63">
        <f t="shared" si="470"/>
        <v>0.36177135474387601</v>
      </c>
      <c r="L85" s="63">
        <f t="shared" si="461"/>
        <v>-8.6283905552767853E-2</v>
      </c>
      <c r="M85" s="64"/>
      <c r="N85" s="63">
        <f t="shared" ref="N85:AW85" si="471">IFERROR((N43+N46)/N$28,"")</f>
        <v>1.204488364167092</v>
      </c>
      <c r="O85" s="63">
        <f t="shared" si="471"/>
        <v>0.97047463231075703</v>
      </c>
      <c r="P85" s="63">
        <f t="shared" si="471"/>
        <v>1.0017387246142924</v>
      </c>
      <c r="Q85" s="63">
        <f t="shared" si="471"/>
        <v>1.0485607905497307</v>
      </c>
      <c r="R85" s="63">
        <f t="shared" si="471"/>
        <v>0.81387439394492034</v>
      </c>
      <c r="S85" s="63">
        <f t="shared" si="471"/>
        <v>0.78076655156195263</v>
      </c>
      <c r="T85" s="63">
        <f t="shared" si="471"/>
        <v>0.73957981493706604</v>
      </c>
      <c r="U85" s="63">
        <f t="shared" si="471"/>
        <v>0.67564270231726709</v>
      </c>
      <c r="V85" s="63">
        <f t="shared" si="471"/>
        <v>0.61894462868102751</v>
      </c>
      <c r="W85" s="63">
        <f t="shared" si="471"/>
        <v>0.57245729222632857</v>
      </c>
      <c r="X85" s="63">
        <f t="shared" si="471"/>
        <v>0.54467720445771473</v>
      </c>
      <c r="Y85" s="63">
        <f t="shared" si="471"/>
        <v>0.56332303325506483</v>
      </c>
      <c r="Z85" s="63">
        <f t="shared" si="471"/>
        <v>0.59672149694928489</v>
      </c>
      <c r="AA85" s="63">
        <f t="shared" si="471"/>
        <v>0.67212281628206183</v>
      </c>
      <c r="AB85" s="63">
        <f t="shared" si="471"/>
        <v>0.68198450521890464</v>
      </c>
      <c r="AC85" s="63">
        <f t="shared" si="471"/>
        <v>0.63173253007821106</v>
      </c>
      <c r="AD85" s="63">
        <f t="shared" si="471"/>
        <v>0.61358320656108878</v>
      </c>
      <c r="AE85" s="63">
        <f t="shared" si="471"/>
        <v>0.51768682668621235</v>
      </c>
      <c r="AF85" s="63">
        <f t="shared" si="471"/>
        <v>0.52111228693385692</v>
      </c>
      <c r="AG85" s="63">
        <f t="shared" si="471"/>
        <v>0.39289739997486733</v>
      </c>
      <c r="AH85" s="63">
        <f t="shared" si="471"/>
        <v>0.48949942937561214</v>
      </c>
      <c r="AI85" s="63">
        <f t="shared" si="471"/>
        <v>0.44218725701312012</v>
      </c>
      <c r="AJ85" s="63">
        <f t="shared" si="471"/>
        <v>0.48408490763032269</v>
      </c>
      <c r="AK85" s="63">
        <f t="shared" si="471"/>
        <v>0.40837124504483391</v>
      </c>
      <c r="AL85" s="63">
        <f t="shared" si="471"/>
        <v>0.47684189619570189</v>
      </c>
      <c r="AM85" s="63">
        <f t="shared" si="471"/>
        <v>0.39859803730384485</v>
      </c>
      <c r="AN85" s="63">
        <f t="shared" si="471"/>
        <v>0.42355636700507415</v>
      </c>
      <c r="AO85" s="63">
        <f t="shared" si="471"/>
        <v>0.3308457375886194</v>
      </c>
      <c r="AP85" s="63">
        <f t="shared" si="471"/>
        <v>0.40441373350688004</v>
      </c>
      <c r="AQ85" s="63">
        <f t="shared" si="471"/>
        <v>0.35165125442047751</v>
      </c>
      <c r="AR85" s="63">
        <f t="shared" si="471"/>
        <v>0.38866921332432874</v>
      </c>
      <c r="AS85" s="63">
        <f t="shared" si="471"/>
        <v>0.31504589074814399</v>
      </c>
      <c r="AT85" s="63">
        <f t="shared" si="471"/>
        <v>0.40174373589234302</v>
      </c>
      <c r="AU85" s="63">
        <f t="shared" si="471"/>
        <v>0.36114982276825985</v>
      </c>
      <c r="AV85" s="63">
        <f t="shared" si="471"/>
        <v>0.40122778259435438</v>
      </c>
      <c r="AW85" s="63">
        <f t="shared" si="471"/>
        <v>0.33612700531217493</v>
      </c>
      <c r="AX85" s="64"/>
      <c r="AY85" s="63">
        <f t="shared" ref="AY85:DJ85" si="472">IFERROR((AY43+AY46)/AY$28,"")</f>
        <v>0.99206150250423364</v>
      </c>
      <c r="AZ85" s="63">
        <f t="shared" si="472"/>
        <v>1.2762819681093081</v>
      </c>
      <c r="BA85" s="63">
        <f t="shared" si="472"/>
        <v>1.325308350086696</v>
      </c>
      <c r="BB85" s="63">
        <f t="shared" si="472"/>
        <v>0.80938749004497423</v>
      </c>
      <c r="BC85" s="63">
        <f t="shared" si="472"/>
        <v>0.95941378655452902</v>
      </c>
      <c r="BD85" s="63">
        <f t="shared" si="472"/>
        <v>1.1222206302259932</v>
      </c>
      <c r="BE85" s="63">
        <f t="shared" si="472"/>
        <v>0.82297500354878528</v>
      </c>
      <c r="BF85" s="63">
        <f t="shared" si="472"/>
        <v>1.001604600748381</v>
      </c>
      <c r="BG85" s="63">
        <f t="shared" si="472"/>
        <v>1.1627065251515605</v>
      </c>
      <c r="BH85" s="63">
        <f t="shared" si="472"/>
        <v>0.81278599178174327</v>
      </c>
      <c r="BI85" s="63">
        <f t="shared" si="472"/>
        <v>1.0187517884137189</v>
      </c>
      <c r="BJ85" s="63">
        <f t="shared" si="472"/>
        <v>1.2822105023175627</v>
      </c>
      <c r="BK85" s="63">
        <f t="shared" si="472"/>
        <v>0.74243742870439944</v>
      </c>
      <c r="BL85" s="63">
        <f t="shared" si="472"/>
        <v>0.77892173975399304</v>
      </c>
      <c r="BM85" s="63">
        <f t="shared" si="472"/>
        <v>0.91687125411515347</v>
      </c>
      <c r="BN85" s="63">
        <f t="shared" si="472"/>
        <v>0.8682434067969601</v>
      </c>
      <c r="BO85" s="63">
        <f t="shared" si="472"/>
        <v>0.76014030056515869</v>
      </c>
      <c r="BP85" s="63">
        <f t="shared" si="472"/>
        <v>0.72078623919806328</v>
      </c>
      <c r="BQ85" s="63">
        <f t="shared" si="472"/>
        <v>0.67540625045359437</v>
      </c>
      <c r="BR85" s="63">
        <f t="shared" si="472"/>
        <v>0.76243332612914816</v>
      </c>
      <c r="BS85" s="63">
        <f t="shared" si="472"/>
        <v>0.77655695746748721</v>
      </c>
      <c r="BT85" s="63">
        <f t="shared" si="472"/>
        <v>0.55291120730116028</v>
      </c>
      <c r="BU85" s="63">
        <f t="shared" si="472"/>
        <v>0.69832470982658801</v>
      </c>
      <c r="BV85" s="63">
        <f t="shared" si="472"/>
        <v>0.76759331892418847</v>
      </c>
      <c r="BW85" s="63">
        <f t="shared" si="472"/>
        <v>0.66752318627238283</v>
      </c>
      <c r="BX85" s="63">
        <f t="shared" si="472"/>
        <v>0.60510256530416406</v>
      </c>
      <c r="BY85" s="63">
        <f t="shared" si="472"/>
        <v>0.58345955782403469</v>
      </c>
      <c r="BZ85" s="63">
        <f t="shared" si="472"/>
        <v>0.52346156103077968</v>
      </c>
      <c r="CA85" s="63">
        <f t="shared" si="472"/>
        <v>0.48715727596177277</v>
      </c>
      <c r="CB85" s="63">
        <f t="shared" si="472"/>
        <v>0.70312643196917957</v>
      </c>
      <c r="CC85" s="63">
        <f t="shared" si="472"/>
        <v>0.46292393307930546</v>
      </c>
      <c r="CD85" s="63">
        <f t="shared" si="472"/>
        <v>0.57984870753399831</v>
      </c>
      <c r="CE85" s="63">
        <f t="shared" si="472"/>
        <v>0.58745287783599642</v>
      </c>
      <c r="CF85" s="63">
        <f t="shared" si="472"/>
        <v>0.45544264502006238</v>
      </c>
      <c r="CG85" s="63">
        <f t="shared" si="472"/>
        <v>0.5676894209241804</v>
      </c>
      <c r="CH85" s="63">
        <f t="shared" si="472"/>
        <v>0.66214157706733656</v>
      </c>
      <c r="CI85" s="63">
        <f t="shared" si="472"/>
        <v>0.54014938518952704</v>
      </c>
      <c r="CJ85" s="63">
        <f t="shared" si="472"/>
        <v>0.51166325779287514</v>
      </c>
      <c r="CK85" s="63">
        <f t="shared" si="472"/>
        <v>0.7337644138669922</v>
      </c>
      <c r="CL85" s="63">
        <f t="shared" si="472"/>
        <v>0.53947516649368421</v>
      </c>
      <c r="CM85" s="63">
        <f t="shared" si="472"/>
        <v>0.72181009772424687</v>
      </c>
      <c r="CN85" s="63">
        <f t="shared" si="472"/>
        <v>0.74814794332473256</v>
      </c>
      <c r="CO85" s="63">
        <f t="shared" si="472"/>
        <v>0.55851084924976901</v>
      </c>
      <c r="CP85" s="63">
        <f t="shared" si="472"/>
        <v>0.66178424406359881</v>
      </c>
      <c r="CQ85" s="63">
        <f t="shared" si="472"/>
        <v>0.81584630836337035</v>
      </c>
      <c r="CR85" s="63">
        <f t="shared" si="472"/>
        <v>0.53399673274678594</v>
      </c>
      <c r="CS85" s="63">
        <f t="shared" si="472"/>
        <v>0.63248599718527043</v>
      </c>
      <c r="CT85" s="63">
        <f t="shared" si="472"/>
        <v>0.72153924176312711</v>
      </c>
      <c r="CU85" s="63">
        <f t="shared" si="472"/>
        <v>0.75636675243462004</v>
      </c>
      <c r="CV85" s="63">
        <f t="shared" si="472"/>
        <v>0.63342303164219582</v>
      </c>
      <c r="CW85" s="63">
        <f t="shared" si="472"/>
        <v>0.47274170677000477</v>
      </c>
      <c r="CX85" s="63">
        <f t="shared" si="472"/>
        <v>0.647023402854079</v>
      </c>
      <c r="CY85" s="63">
        <f t="shared" si="472"/>
        <v>0.51207024395680334</v>
      </c>
      <c r="CZ85" s="63">
        <f t="shared" si="472"/>
        <v>0.41165531090386992</v>
      </c>
      <c r="DA85" s="63">
        <f t="shared" si="472"/>
        <v>0.62103779959402161</v>
      </c>
      <c r="DB85" s="63">
        <f t="shared" si="472"/>
        <v>0.54181226165083762</v>
      </c>
      <c r="DC85" s="63">
        <f t="shared" si="472"/>
        <v>0.41571730141256108</v>
      </c>
      <c r="DD85" s="63">
        <f t="shared" si="472"/>
        <v>0.55404125126397707</v>
      </c>
      <c r="DE85" s="63">
        <f t="shared" si="472"/>
        <v>0.33259938118606613</v>
      </c>
      <c r="DF85" s="63">
        <f t="shared" si="472"/>
        <v>0.3147446459708233</v>
      </c>
      <c r="DG85" s="63">
        <f t="shared" si="472"/>
        <v>0.60167196429858016</v>
      </c>
      <c r="DH85" s="63">
        <f t="shared" si="472"/>
        <v>0.50609906232349433</v>
      </c>
      <c r="DI85" s="63">
        <f t="shared" si="472"/>
        <v>0.37732993731129344</v>
      </c>
      <c r="DJ85" s="63">
        <f t="shared" si="472"/>
        <v>0.54615059689899081</v>
      </c>
      <c r="DK85" s="63">
        <f t="shared" ref="DK85:FB85" si="473">IFERROR((DK43+DK46)/DK$28,"")</f>
        <v>0.43701578532779811</v>
      </c>
      <c r="DL85" s="63">
        <f t="shared" si="473"/>
        <v>0.35723550049541336</v>
      </c>
      <c r="DM85" s="63">
        <f t="shared" si="473"/>
        <v>0.56543333313714528</v>
      </c>
      <c r="DN85" s="63">
        <f t="shared" si="473"/>
        <v>0.50304249180541982</v>
      </c>
      <c r="DO85" s="63">
        <f t="shared" si="473"/>
        <v>0.39584465266974705</v>
      </c>
      <c r="DP85" s="63">
        <f t="shared" si="473"/>
        <v>0.55389629764959647</v>
      </c>
      <c r="DQ85" s="63">
        <f t="shared" si="473"/>
        <v>0.34949533328768184</v>
      </c>
      <c r="DR85" s="63">
        <f t="shared" si="473"/>
        <v>0.34090609395205124</v>
      </c>
      <c r="DS85" s="63">
        <f t="shared" si="473"/>
        <v>0.59700855851993373</v>
      </c>
      <c r="DT85" s="63">
        <f t="shared" si="473"/>
        <v>0.49242535109698682</v>
      </c>
      <c r="DU85" s="63">
        <f t="shared" si="473"/>
        <v>0.35801410046281401</v>
      </c>
      <c r="DV85" s="63">
        <f t="shared" si="473"/>
        <v>0.50713915648413666</v>
      </c>
      <c r="DW85" s="63">
        <f t="shared" si="473"/>
        <v>0.39306506941206537</v>
      </c>
      <c r="DX85" s="63">
        <f t="shared" si="473"/>
        <v>0.30953765600528127</v>
      </c>
      <c r="DY85" s="63">
        <f t="shared" si="473"/>
        <v>0.50856117795738964</v>
      </c>
      <c r="DZ85" s="63">
        <f t="shared" si="473"/>
        <v>0.4410624788221606</v>
      </c>
      <c r="EA85" s="63">
        <f t="shared" si="473"/>
        <v>0.33307658328936418</v>
      </c>
      <c r="EB85" s="63">
        <f t="shared" si="473"/>
        <v>0.47333159381760587</v>
      </c>
      <c r="EC85" s="63">
        <f t="shared" si="473"/>
        <v>0.27437897803512074</v>
      </c>
      <c r="ED85" s="63">
        <f t="shared" si="473"/>
        <v>0.26316510067821353</v>
      </c>
      <c r="EE85" s="63">
        <f t="shared" si="473"/>
        <v>0.50858312068588585</v>
      </c>
      <c r="EF85" s="63">
        <f t="shared" si="473"/>
        <v>0.41831718991624167</v>
      </c>
      <c r="EG85" s="63">
        <f t="shared" si="473"/>
        <v>0.30046071508097005</v>
      </c>
      <c r="EH85" s="63">
        <f t="shared" si="473"/>
        <v>0.44705367842065186</v>
      </c>
      <c r="EI85" s="63">
        <f t="shared" si="473"/>
        <v>0.34619344503107191</v>
      </c>
      <c r="EJ85" s="63">
        <f t="shared" si="473"/>
        <v>0.27348836287284883</v>
      </c>
      <c r="EK85" s="63">
        <f t="shared" si="473"/>
        <v>0.46343879858068487</v>
      </c>
      <c r="EL85" s="63">
        <f t="shared" si="473"/>
        <v>0.40513616426399129</v>
      </c>
      <c r="EM85" s="63">
        <f t="shared" si="473"/>
        <v>0.30775056515596722</v>
      </c>
      <c r="EN85" s="63">
        <f t="shared" si="473"/>
        <v>0.44677436770417617</v>
      </c>
      <c r="EO85" s="63">
        <f t="shared" si="473"/>
        <v>0.26048700748326242</v>
      </c>
      <c r="EP85" s="63">
        <f t="shared" si="473"/>
        <v>0.25420156262209403</v>
      </c>
      <c r="EQ85" s="63">
        <f t="shared" si="473"/>
        <v>0.4960302333924595</v>
      </c>
      <c r="ER85" s="63">
        <f t="shared" si="473"/>
        <v>0.41489969974705421</v>
      </c>
      <c r="ES85" s="63">
        <f t="shared" si="473"/>
        <v>0.30607529521658183</v>
      </c>
      <c r="ET85" s="63">
        <f t="shared" si="473"/>
        <v>0.44913984656866918</v>
      </c>
      <c r="EU85" s="63">
        <f t="shared" si="473"/>
        <v>0.35604659031122787</v>
      </c>
      <c r="EV85" s="63">
        <f t="shared" si="473"/>
        <v>0.28836763571120316</v>
      </c>
      <c r="EW85" s="63">
        <f t="shared" si="473"/>
        <v>0.47011546278335592</v>
      </c>
      <c r="EX85" s="63">
        <f t="shared" si="473"/>
        <v>0.41717220530041893</v>
      </c>
      <c r="EY85" s="63">
        <f t="shared" si="473"/>
        <v>0.32528214683823958</v>
      </c>
      <c r="EZ85" s="63">
        <f t="shared" si="473"/>
        <v>0.46167741543780794</v>
      </c>
      <c r="FA85" s="63">
        <f t="shared" si="473"/>
        <v>0.28320191904307729</v>
      </c>
      <c r="FB85" s="63">
        <f t="shared" si="473"/>
        <v>0.27795460787532589</v>
      </c>
    </row>
    <row r="87" spans="3:158" x14ac:dyDescent="0.25">
      <c r="C87" s="6" t="s">
        <v>33</v>
      </c>
      <c r="M87" s="6"/>
      <c r="AX87" s="6"/>
    </row>
    <row r="88" spans="3:158" x14ac:dyDescent="0.25">
      <c r="C88" s="2" t="s">
        <v>23</v>
      </c>
      <c r="D88" s="20">
        <f t="shared" ref="D88:L88" si="474">SUMIF($AY$2:$FB$2,D$2,$AY88:$FB88)</f>
        <v>17456179.890000001</v>
      </c>
      <c r="E88" s="20">
        <f t="shared" si="474"/>
        <v>24807818.900914997</v>
      </c>
      <c r="F88" s="20">
        <f t="shared" si="474"/>
        <v>26616190.427435003</v>
      </c>
      <c r="G88" s="20">
        <f t="shared" si="474"/>
        <v>57267410.95792</v>
      </c>
      <c r="H88" s="20">
        <f t="shared" si="474"/>
        <v>76357630.782808721</v>
      </c>
      <c r="I88" s="20">
        <f t="shared" si="474"/>
        <v>111687832.60385698</v>
      </c>
      <c r="J88" s="20">
        <f t="shared" si="474"/>
        <v>161889092.27789989</v>
      </c>
      <c r="K88" s="20">
        <f t="shared" si="474"/>
        <v>230660612.45628035</v>
      </c>
      <c r="L88" s="20">
        <f t="shared" si="474"/>
        <v>322921318.03383332</v>
      </c>
      <c r="M88" s="6"/>
      <c r="N88" s="16">
        <f t="shared" ref="N88" si="475">SUM(AY88:BA88)</f>
        <v>3161548.7</v>
      </c>
      <c r="O88" s="16">
        <f>SUM(BB88:BD88)</f>
        <v>3904127.8</v>
      </c>
      <c r="P88" s="16">
        <f>SUM(BE88:BG88)</f>
        <v>4041028.46</v>
      </c>
      <c r="Q88" s="16">
        <f>SUM(BH88:BJ88)</f>
        <v>6349474.9299999997</v>
      </c>
      <c r="R88" s="16">
        <f>SUM(BK88:BM88)</f>
        <v>4971408.3100000005</v>
      </c>
      <c r="S88" s="16">
        <f>SUM(BN88:BP88)</f>
        <v>6764794.8499999996</v>
      </c>
      <c r="T88" s="16">
        <f>SUM(BQ88:BS88)</f>
        <v>5441262.3099999996</v>
      </c>
      <c r="U88" s="16">
        <f>SUM(BT88:BV88)</f>
        <v>7630353.4309149999</v>
      </c>
      <c r="V88" s="16">
        <f>SUM(BW88:BY88)</f>
        <v>4081530.283663</v>
      </c>
      <c r="W88" s="16">
        <f>SUM(BZ88:CB88)</f>
        <v>6662480.3061890006</v>
      </c>
      <c r="X88" s="16">
        <f>SUM(CC88:CE88)</f>
        <v>6653881.9133679997</v>
      </c>
      <c r="Y88" s="16">
        <f>SUM(CF88:CH88)</f>
        <v>9218297.9242150001</v>
      </c>
      <c r="Z88" s="16">
        <f>SUM(CI88:CK88)</f>
        <v>7331348.5380220003</v>
      </c>
      <c r="AA88" s="16">
        <f>SUM(CL88:CN88)</f>
        <v>12759574.919898</v>
      </c>
      <c r="AB88" s="16">
        <f>SUM(CO88:CQ88)</f>
        <v>15798700</v>
      </c>
      <c r="AC88" s="16">
        <f>SUM(CR88:CT88)</f>
        <v>21377787.5</v>
      </c>
      <c r="AD88" s="16">
        <f>SUM(CU88:CW88)</f>
        <v>13192595.389951449</v>
      </c>
      <c r="AE88" s="16">
        <f>SUM(CX88:CZ88)</f>
        <v>18020842.117771916</v>
      </c>
      <c r="AF88" s="16">
        <f>SUM(DA88:DC88)</f>
        <v>17945538.539947584</v>
      </c>
      <c r="AG88" s="16">
        <f>SUM(DD88:DF88)</f>
        <v>27198654.735137776</v>
      </c>
      <c r="AH88" s="16">
        <f>SUM(DG88:DI88)</f>
        <v>19962669.689137574</v>
      </c>
      <c r="AI88" s="16">
        <f>SUM(DJ88:DL88)</f>
        <v>27911713.511783309</v>
      </c>
      <c r="AJ88" s="16">
        <f>SUM(DM88:DO88)</f>
        <v>26270069.685030531</v>
      </c>
      <c r="AK88" s="16">
        <f>SUM(DP88:DR88)</f>
        <v>37543379.717905566</v>
      </c>
      <c r="AL88" s="16">
        <f>SUM(DS88:DU88)</f>
        <v>28933882.509326033</v>
      </c>
      <c r="AM88" s="16">
        <f>SUM(DV88:DX88)</f>
        <v>40458481.093515836</v>
      </c>
      <c r="AN88" s="16">
        <f>SUM(DY88:EA88)</f>
        <v>38079224.74188301</v>
      </c>
      <c r="AO88" s="16">
        <f>SUM(EB88:ED88)</f>
        <v>54417503.933174998</v>
      </c>
      <c r="AP88" s="16">
        <f>SUM(EE88:EG88)</f>
        <v>41224333.26168149</v>
      </c>
      <c r="AQ88" s="16">
        <f>SUM(EH88:EJ88)</f>
        <v>57646071.262157932</v>
      </c>
      <c r="AR88" s="16">
        <f>SUM(EK88:EM88)</f>
        <v>54256237.344225787</v>
      </c>
      <c r="AS88" s="16">
        <f>SUM(EN88:EP88)</f>
        <v>77533970.588215142</v>
      </c>
      <c r="AT88" s="16">
        <f>SUM(EQ88:ES88)</f>
        <v>57713338.302399069</v>
      </c>
      <c r="AU88" s="16">
        <f>SUM(ET88:EV88)</f>
        <v>80703679.474363461</v>
      </c>
      <c r="AV88" s="16">
        <f>SUM(EW88:EY88)</f>
        <v>75957980.462739483</v>
      </c>
      <c r="AW88" s="16">
        <f>SUM(EZ88:FB88)</f>
        <v>108546319.79433128</v>
      </c>
      <c r="AX88" s="6"/>
      <c r="AY88" s="20">
        <f t="shared" ref="AY88:CD88" si="476">SUM(AY11:AY13)</f>
        <v>185688</v>
      </c>
      <c r="AZ88" s="20">
        <f t="shared" si="476"/>
        <v>1003880.8300000001</v>
      </c>
      <c r="BA88" s="20">
        <f t="shared" si="476"/>
        <v>1971979.87</v>
      </c>
      <c r="BB88" s="20">
        <f t="shared" si="476"/>
        <v>601601.42999999993</v>
      </c>
      <c r="BC88" s="20">
        <f t="shared" si="476"/>
        <v>1502563.65</v>
      </c>
      <c r="BD88" s="20">
        <f t="shared" si="476"/>
        <v>1799962.72</v>
      </c>
      <c r="BE88" s="20">
        <f t="shared" si="476"/>
        <v>715876.66999999993</v>
      </c>
      <c r="BF88" s="20">
        <f t="shared" si="476"/>
        <v>1054049.46</v>
      </c>
      <c r="BG88" s="20">
        <f t="shared" si="476"/>
        <v>2271102.33</v>
      </c>
      <c r="BH88" s="20">
        <f t="shared" si="476"/>
        <v>1088512.17</v>
      </c>
      <c r="BI88" s="20">
        <f t="shared" si="476"/>
        <v>2783282.67</v>
      </c>
      <c r="BJ88" s="20">
        <f t="shared" si="476"/>
        <v>2477680.09</v>
      </c>
      <c r="BK88" s="20">
        <f t="shared" si="476"/>
        <v>677613.33000000007</v>
      </c>
      <c r="BL88" s="20">
        <f t="shared" si="476"/>
        <v>1231881.1200000001</v>
      </c>
      <c r="BM88" s="20">
        <f t="shared" si="476"/>
        <v>3061913.8600000003</v>
      </c>
      <c r="BN88" s="20">
        <f t="shared" si="476"/>
        <v>1102366.7599999998</v>
      </c>
      <c r="BO88" s="20">
        <f t="shared" si="476"/>
        <v>2927480.38</v>
      </c>
      <c r="BP88" s="20">
        <f t="shared" si="476"/>
        <v>2734947.71</v>
      </c>
      <c r="BQ88" s="20">
        <f t="shared" si="476"/>
        <v>1104175.3999999999</v>
      </c>
      <c r="BR88" s="20">
        <f t="shared" si="476"/>
        <v>1121009.67</v>
      </c>
      <c r="BS88" s="20">
        <f t="shared" si="476"/>
        <v>3216077.2399999998</v>
      </c>
      <c r="BT88" s="20">
        <f t="shared" si="476"/>
        <v>565462.54</v>
      </c>
      <c r="BU88" s="20">
        <f t="shared" si="476"/>
        <v>3107412.76</v>
      </c>
      <c r="BV88" s="20">
        <f t="shared" si="476"/>
        <v>3957478.1309150001</v>
      </c>
      <c r="BW88" s="20">
        <f t="shared" si="476"/>
        <v>796131.5</v>
      </c>
      <c r="BX88" s="20">
        <f t="shared" si="476"/>
        <v>1355192.3752009999</v>
      </c>
      <c r="BY88" s="20">
        <f t="shared" si="476"/>
        <v>1930206.4084620001</v>
      </c>
      <c r="BZ88" s="20">
        <f t="shared" si="476"/>
        <v>1141565.7918680003</v>
      </c>
      <c r="CA88" s="20">
        <f t="shared" si="476"/>
        <v>1390604.7541379998</v>
      </c>
      <c r="CB88" s="20">
        <f t="shared" si="476"/>
        <v>4130309.760183</v>
      </c>
      <c r="CC88" s="20">
        <f t="shared" si="476"/>
        <v>320642.36717900005</v>
      </c>
      <c r="CD88" s="20">
        <f t="shared" si="476"/>
        <v>3013250.6539909998</v>
      </c>
      <c r="CE88" s="20">
        <f t="shared" ref="CE88:DJ88" si="477">SUM(CE11:CE13)</f>
        <v>3319988.8921980001</v>
      </c>
      <c r="CF88" s="20">
        <f t="shared" si="477"/>
        <v>1279838.386155</v>
      </c>
      <c r="CG88" s="20">
        <f t="shared" si="477"/>
        <v>3102336.4416860007</v>
      </c>
      <c r="CH88" s="20">
        <f t="shared" si="477"/>
        <v>4836123.0963739995</v>
      </c>
      <c r="CI88" s="20">
        <f t="shared" si="477"/>
        <v>1049952.006906</v>
      </c>
      <c r="CJ88" s="20">
        <f t="shared" si="477"/>
        <v>1689432.2015059998</v>
      </c>
      <c r="CK88" s="20">
        <f t="shared" si="477"/>
        <v>4591964.3296100004</v>
      </c>
      <c r="CL88" s="20">
        <f t="shared" si="477"/>
        <v>2116320.5049069999</v>
      </c>
      <c r="CM88" s="20">
        <f t="shared" si="477"/>
        <v>3749516.1318379999</v>
      </c>
      <c r="CN88" s="20">
        <f t="shared" si="477"/>
        <v>6893738.2831529994</v>
      </c>
      <c r="CO88" s="20">
        <f t="shared" si="477"/>
        <v>2349464.8204252976</v>
      </c>
      <c r="CP88" s="20">
        <f t="shared" si="477"/>
        <v>5618662.552923196</v>
      </c>
      <c r="CQ88" s="20">
        <f t="shared" si="477"/>
        <v>7830572.6266515069</v>
      </c>
      <c r="CR88" s="20">
        <f t="shared" si="477"/>
        <v>2051184.7603720033</v>
      </c>
      <c r="CS88" s="20">
        <f t="shared" si="477"/>
        <v>8567634.8119129054</v>
      </c>
      <c r="CT88" s="20">
        <f t="shared" si="477"/>
        <v>10758967.927715091</v>
      </c>
      <c r="CU88" s="20">
        <f t="shared" si="477"/>
        <v>1550762.5270487061</v>
      </c>
      <c r="CV88" s="20">
        <f t="shared" si="477"/>
        <v>3871234.7368162554</v>
      </c>
      <c r="CW88" s="20">
        <f t="shared" si="477"/>
        <v>7770598.1260864865</v>
      </c>
      <c r="CX88" s="20">
        <f t="shared" si="477"/>
        <v>2799338.6692797076</v>
      </c>
      <c r="CY88" s="20">
        <f t="shared" si="477"/>
        <v>6375627.9242860656</v>
      </c>
      <c r="CZ88" s="20">
        <f t="shared" si="477"/>
        <v>8845875.5242061429</v>
      </c>
      <c r="DA88" s="20">
        <f t="shared" si="477"/>
        <v>2650552.1140339607</v>
      </c>
      <c r="DB88" s="20">
        <f t="shared" si="477"/>
        <v>5506768.1606492521</v>
      </c>
      <c r="DC88" s="20">
        <f t="shared" si="477"/>
        <v>9788218.2652643695</v>
      </c>
      <c r="DD88" s="20">
        <f t="shared" si="477"/>
        <v>3852065.6896268008</v>
      </c>
      <c r="DE88" s="20">
        <f t="shared" si="477"/>
        <v>10709769.672833467</v>
      </c>
      <c r="DF88" s="20">
        <f t="shared" si="477"/>
        <v>12636819.372677507</v>
      </c>
      <c r="DG88" s="20">
        <f t="shared" si="477"/>
        <v>2477838.3408458396</v>
      </c>
      <c r="DH88" s="20">
        <f t="shared" si="477"/>
        <v>5889454.1325360518</v>
      </c>
      <c r="DI88" s="20">
        <f t="shared" si="477"/>
        <v>11595377.215755682</v>
      </c>
      <c r="DJ88" s="20">
        <f t="shared" si="477"/>
        <v>4579917.8587592766</v>
      </c>
      <c r="DK88" s="20">
        <f t="shared" ref="DK88:EP88" si="478">SUM(DK11:DK13)</f>
        <v>9866756.2915167324</v>
      </c>
      <c r="DL88" s="20">
        <f t="shared" si="478"/>
        <v>13465039.3615073</v>
      </c>
      <c r="DM88" s="20">
        <f t="shared" si="478"/>
        <v>3843647.5708037135</v>
      </c>
      <c r="DN88" s="20">
        <f t="shared" si="478"/>
        <v>8070775.0090608243</v>
      </c>
      <c r="DO88" s="20">
        <f t="shared" si="478"/>
        <v>14355647.105165994</v>
      </c>
      <c r="DP88" s="20">
        <f t="shared" si="478"/>
        <v>4868432.251229655</v>
      </c>
      <c r="DQ88" s="20">
        <f t="shared" si="478"/>
        <v>14912148.825336874</v>
      </c>
      <c r="DR88" s="20">
        <f t="shared" si="478"/>
        <v>17762798.641339041</v>
      </c>
      <c r="DS88" s="20">
        <f t="shared" si="478"/>
        <v>3590270.727932265</v>
      </c>
      <c r="DT88" s="20">
        <f t="shared" si="478"/>
        <v>8536426.5590746365</v>
      </c>
      <c r="DU88" s="20">
        <f t="shared" si="478"/>
        <v>16807185.222319134</v>
      </c>
      <c r="DV88" s="20">
        <f t="shared" si="478"/>
        <v>6636828.4136194428</v>
      </c>
      <c r="DW88" s="20">
        <f t="shared" si="478"/>
        <v>14303476.537999347</v>
      </c>
      <c r="DX88" s="20">
        <f t="shared" si="478"/>
        <v>19518176.141897045</v>
      </c>
      <c r="DY88" s="20">
        <f t="shared" si="478"/>
        <v>5569201.7655581469</v>
      </c>
      <c r="DZ88" s="20">
        <f t="shared" si="478"/>
        <v>11699417.574639829</v>
      </c>
      <c r="EA88" s="20">
        <f t="shared" si="478"/>
        <v>20810605.401685037</v>
      </c>
      <c r="EB88" s="20">
        <f t="shared" si="478"/>
        <v>7055208.6671422329</v>
      </c>
      <c r="EC88" s="20">
        <f t="shared" si="478"/>
        <v>21614170.696443833</v>
      </c>
      <c r="ED88" s="20">
        <f t="shared" si="478"/>
        <v>25748124.569588926</v>
      </c>
      <c r="EE88" s="20">
        <f t="shared" si="478"/>
        <v>5114739.8618691266</v>
      </c>
      <c r="EF88" s="20">
        <f t="shared" si="478"/>
        <v>12162642.309126668</v>
      </c>
      <c r="EG88" s="20">
        <f t="shared" si="478"/>
        <v>23946951.090685695</v>
      </c>
      <c r="EH88" s="20">
        <f t="shared" si="478"/>
        <v>9455300.4302175641</v>
      </c>
      <c r="EI88" s="20">
        <f t="shared" si="478"/>
        <v>20380668.005191043</v>
      </c>
      <c r="EJ88" s="20">
        <f t="shared" si="478"/>
        <v>27810102.826749325</v>
      </c>
      <c r="EK88" s="20">
        <f t="shared" si="478"/>
        <v>7933913.7732148767</v>
      </c>
      <c r="EL88" s="20">
        <f t="shared" si="478"/>
        <v>16669945.253616424</v>
      </c>
      <c r="EM88" s="20">
        <f t="shared" si="478"/>
        <v>29652378.317394488</v>
      </c>
      <c r="EN88" s="20">
        <f t="shared" si="478"/>
        <v>10051510.788824176</v>
      </c>
      <c r="EO88" s="20">
        <f t="shared" si="478"/>
        <v>30795650.145039253</v>
      </c>
      <c r="EP88" s="20">
        <f t="shared" si="478"/>
        <v>36686809.654351704</v>
      </c>
      <c r="EQ88" s="20">
        <f t="shared" ref="EQ88:FB88" si="479">SUM(EQ11:EQ13)</f>
        <v>7160478.1771137509</v>
      </c>
      <c r="ER88" s="20">
        <f t="shared" si="479"/>
        <v>17027499.866249241</v>
      </c>
      <c r="ES88" s="20">
        <f t="shared" si="479"/>
        <v>33525360.259036079</v>
      </c>
      <c r="ET88" s="20">
        <f t="shared" si="479"/>
        <v>13237174.427517416</v>
      </c>
      <c r="EU88" s="20">
        <f t="shared" si="479"/>
        <v>28532733.523156639</v>
      </c>
      <c r="EV88" s="20">
        <f t="shared" si="479"/>
        <v>38933771.523689404</v>
      </c>
      <c r="EW88" s="20">
        <f t="shared" si="479"/>
        <v>11107230.997949652</v>
      </c>
      <c r="EX88" s="20">
        <f t="shared" si="479"/>
        <v>23337728.589767866</v>
      </c>
      <c r="EY88" s="20">
        <f t="shared" si="479"/>
        <v>41513020.875021964</v>
      </c>
      <c r="EZ88" s="20">
        <f t="shared" si="479"/>
        <v>14071871.018307172</v>
      </c>
      <c r="FA88" s="20">
        <f t="shared" si="479"/>
        <v>43113397.19128035</v>
      </c>
      <c r="FB88" s="20">
        <f t="shared" si="479"/>
        <v>51361051.584743761</v>
      </c>
    </row>
    <row r="89" spans="3:158" x14ac:dyDescent="0.25">
      <c r="C89" s="2" t="s">
        <v>55</v>
      </c>
      <c r="D89" s="58">
        <f t="shared" ref="D89:H89" si="480">D71/D88</f>
        <v>-1.1020265331049213</v>
      </c>
      <c r="E89" s="58">
        <f t="shared" si="480"/>
        <v>-1.3324749911319607</v>
      </c>
      <c r="F89" s="58">
        <f t="shared" si="480"/>
        <v>-1.2450093493525494</v>
      </c>
      <c r="G89" s="58">
        <f t="shared" si="480"/>
        <v>-0.94799728827974161</v>
      </c>
      <c r="H89" s="58">
        <f t="shared" si="480"/>
        <v>-0.76531680875700947</v>
      </c>
      <c r="I89" s="58">
        <f t="shared" ref="I89" si="481">I71/I88</f>
        <v>-0.46123405252594851</v>
      </c>
      <c r="J89" s="58">
        <f t="shared" ref="J89" si="482">J71/J88</f>
        <v>-0.12289185575624587</v>
      </c>
      <c r="K89" s="58">
        <f t="shared" ref="K89" si="483">K71/K88</f>
        <v>0.21154053347708895</v>
      </c>
      <c r="L89" s="58">
        <f t="shared" ref="L89" si="484">L71/L88</f>
        <v>0.39364909005787485</v>
      </c>
      <c r="M89" s="6"/>
      <c r="N89" s="58">
        <f t="shared" ref="N89:AK89" si="485">N71/N88</f>
        <v>-1.7043007673525816</v>
      </c>
      <c r="O89" s="58">
        <f t="shared" si="485"/>
        <v>-1.1362342390533424</v>
      </c>
      <c r="P89" s="58">
        <f t="shared" si="485"/>
        <v>-1.417483971394748</v>
      </c>
      <c r="Q89" s="58">
        <f t="shared" si="485"/>
        <v>-0.58033881866196957</v>
      </c>
      <c r="R89" s="58">
        <f t="shared" si="485"/>
        <v>-2.4132836978743342</v>
      </c>
      <c r="S89" s="58">
        <f t="shared" si="485"/>
        <v>-1.0925519212160586</v>
      </c>
      <c r="T89" s="58">
        <f t="shared" si="485"/>
        <v>-1.6886085703153684</v>
      </c>
      <c r="U89" s="58">
        <f t="shared" si="485"/>
        <v>-0.58704067911869484</v>
      </c>
      <c r="V89" s="58">
        <f t="shared" si="485"/>
        <v>-3.4353421035054397</v>
      </c>
      <c r="W89" s="58">
        <f t="shared" si="485"/>
        <v>-1.5679744452461368</v>
      </c>
      <c r="X89" s="58">
        <f t="shared" si="485"/>
        <v>-0.79636945020832617</v>
      </c>
      <c r="Y89" s="58">
        <f t="shared" si="485"/>
        <v>-0.36562128721082893</v>
      </c>
      <c r="Z89" s="58">
        <f t="shared" si="485"/>
        <v>-1.5350258749853796</v>
      </c>
      <c r="AA89" s="58">
        <f t="shared" si="485"/>
        <v>-0.95104379830680252</v>
      </c>
      <c r="AB89" s="58">
        <f t="shared" si="485"/>
        <v>-1.0624374734341291</v>
      </c>
      <c r="AC89" s="58">
        <f t="shared" si="485"/>
        <v>-0.66028793121673324</v>
      </c>
      <c r="AD89" s="58">
        <f t="shared" si="485"/>
        <v>-1.3521480966329342</v>
      </c>
      <c r="AE89" s="58">
        <f t="shared" si="485"/>
        <v>-0.81268255929527355</v>
      </c>
      <c r="AF89" s="58">
        <f t="shared" si="485"/>
        <v>-0.81253558604262266</v>
      </c>
      <c r="AG89" s="58">
        <f t="shared" si="485"/>
        <v>-0.41813916578556676</v>
      </c>
      <c r="AH89" s="58">
        <f t="shared" si="485"/>
        <v>-0.71619014606149012</v>
      </c>
      <c r="AI89" s="58">
        <f t="shared" si="485"/>
        <v>-0.41410388385880403</v>
      </c>
      <c r="AJ89" s="58">
        <f t="shared" si="485"/>
        <v>-0.5231927701268031</v>
      </c>
      <c r="AK89" s="58">
        <f t="shared" si="485"/>
        <v>-0.31735301718919562</v>
      </c>
      <c r="AL89" s="58">
        <f t="shared" ref="AL89" si="486">AL71/AL88</f>
        <v>-0.48754253531697428</v>
      </c>
      <c r="AM89" s="58">
        <f t="shared" ref="AM89" si="487">AM71/AM88</f>
        <v>-0.13208681577539072</v>
      </c>
      <c r="AN89" s="58">
        <f t="shared" ref="AN89" si="488">AN71/AN88</f>
        <v>-0.10819533817123816</v>
      </c>
      <c r="AO89" s="58">
        <f t="shared" ref="AO89" si="489">AO71/AO88</f>
        <v>6.7545802908320393E-2</v>
      </c>
      <c r="AP89" s="58">
        <f t="shared" ref="AP89" si="490">AP71/AP88</f>
        <v>3.2362522228630418E-2</v>
      </c>
      <c r="AQ89" s="58">
        <f t="shared" ref="AQ89" si="491">AQ71/AQ88</f>
        <v>0.20550225128267777</v>
      </c>
      <c r="AR89" s="58">
        <f t="shared" ref="AR89" si="492">AR71/AR88</f>
        <v>0.23867478399082903</v>
      </c>
      <c r="AS89" s="58">
        <f t="shared" ref="AS89" si="493">AS71/AS88</f>
        <v>0.29230996797155445</v>
      </c>
      <c r="AT89" s="58">
        <f t="shared" ref="AT89" si="494">AT71/AT88</f>
        <v>0.3042646566479757</v>
      </c>
      <c r="AU89" s="58">
        <f t="shared" ref="AU89" si="495">AU71/AU88</f>
        <v>0.38209755811815427</v>
      </c>
      <c r="AV89" s="58">
        <f t="shared" ref="AV89" si="496">AV71/AV88</f>
        <v>0.43243530843588085</v>
      </c>
      <c r="AW89" s="58">
        <f t="shared" ref="AW89" si="497">AW71/AW88</f>
        <v>0.42262107513883729</v>
      </c>
      <c r="AX89" s="6"/>
    </row>
    <row r="90" spans="3:158" x14ac:dyDescent="0.25">
      <c r="C90" s="102" t="s">
        <v>56</v>
      </c>
      <c r="D90" s="63">
        <f>IFERROR(D71/D28+D15,"")</f>
        <v>0.3653687798862566</v>
      </c>
      <c r="E90" s="63">
        <f t="shared" ref="E90:K90" si="498">IFERROR(E71/E28+E15,"")</f>
        <v>3.6459834269030544E-2</v>
      </c>
      <c r="F90" s="63">
        <f t="shared" si="498"/>
        <v>-1.1638045649893847E-2</v>
      </c>
      <c r="G90" s="63">
        <f t="shared" si="498"/>
        <v>0.17648044167840027</v>
      </c>
      <c r="H90" s="63">
        <f t="shared" si="498"/>
        <v>0.21365328500918679</v>
      </c>
      <c r="I90" s="63">
        <f t="shared" si="498"/>
        <v>0.32576369808438405</v>
      </c>
      <c r="J90" s="63">
        <f t="shared" si="498"/>
        <v>0.44473771031730475</v>
      </c>
      <c r="K90" s="63">
        <f t="shared" si="498"/>
        <v>0.55253126030287691</v>
      </c>
      <c r="L90" s="63">
        <f t="shared" ref="L90" si="499">IFERROR(L48/L28+L15,"")</f>
        <v>0.4706437917738896</v>
      </c>
      <c r="M90" s="6"/>
      <c r="N90" s="79"/>
      <c r="O90" s="79"/>
      <c r="P90" s="79"/>
      <c r="Q90" s="63">
        <f>IFERROR(SUM(N71:Q71)/SUM(N28:Q28)+Q15,"")</f>
        <v>0.35278967965508057</v>
      </c>
      <c r="R90" s="63">
        <f t="shared" ref="R90:AW90" si="500">IFERROR(SUM(O71:R71)/SUM(O28:R28)+R15,"")</f>
        <v>0.13973193135289785</v>
      </c>
      <c r="S90" s="63">
        <f t="shared" si="500"/>
        <v>0.1511383878844248</v>
      </c>
      <c r="T90" s="63">
        <f t="shared" si="500"/>
        <v>8.4373384586002409E-2</v>
      </c>
      <c r="U90" s="63">
        <f t="shared" si="500"/>
        <v>3.8191341815224211E-2</v>
      </c>
      <c r="V90" s="63">
        <f t="shared" si="500"/>
        <v>-3.6677991568362156E-2</v>
      </c>
      <c r="W90" s="63">
        <f t="shared" si="500"/>
        <v>-0.12515029770518438</v>
      </c>
      <c r="X90" s="63">
        <f t="shared" si="500"/>
        <v>-3.1847597469749744E-2</v>
      </c>
      <c r="Y90" s="63">
        <f t="shared" si="500"/>
        <v>-9.0850090568899144E-3</v>
      </c>
      <c r="Z90" s="63">
        <f t="shared" si="500"/>
        <v>9.3370335378687275E-2</v>
      </c>
      <c r="AA90" s="63">
        <f t="shared" si="500"/>
        <v>0.15519610710924853</v>
      </c>
      <c r="AB90" s="63">
        <f t="shared" si="500"/>
        <v>0.1472150498979472</v>
      </c>
      <c r="AC90" s="63">
        <f t="shared" si="500"/>
        <v>0.17208279923964453</v>
      </c>
      <c r="AD90" s="63">
        <f t="shared" si="500"/>
        <v>0.18603008704145185</v>
      </c>
      <c r="AE90" s="63">
        <f t="shared" si="500"/>
        <v>0.19600277390560789</v>
      </c>
      <c r="AF90" s="63">
        <f t="shared" si="500"/>
        <v>0.19397767499991153</v>
      </c>
      <c r="AG90" s="63">
        <f t="shared" si="500"/>
        <v>0.21257222087572186</v>
      </c>
      <c r="AH90" s="63">
        <f t="shared" si="500"/>
        <v>0.26548066245864455</v>
      </c>
      <c r="AI90" s="63">
        <f t="shared" si="500"/>
        <v>0.30893990645418301</v>
      </c>
      <c r="AJ90" s="63">
        <f t="shared" si="500"/>
        <v>0.3283978720218198</v>
      </c>
      <c r="AK90" s="63">
        <f t="shared" si="500"/>
        <v>0.32747110217408071</v>
      </c>
      <c r="AL90" s="63">
        <f t="shared" si="500"/>
        <v>5.7735329269718388E-2</v>
      </c>
      <c r="AM90" s="63">
        <f t="shared" si="500"/>
        <v>7.5805968191708706E-2</v>
      </c>
      <c r="AN90" s="63">
        <f t="shared" si="500"/>
        <v>0.12357197184603867</v>
      </c>
      <c r="AO90" s="63">
        <f t="shared" si="500"/>
        <v>0.18416601332238533</v>
      </c>
      <c r="AP90" s="63">
        <f t="shared" si="500"/>
        <v>0.21011959740769684</v>
      </c>
      <c r="AQ90" s="63">
        <f t="shared" si="500"/>
        <v>0.22803274706267943</v>
      </c>
      <c r="AR90" s="63">
        <f t="shared" si="500"/>
        <v>0.26595853264125824</v>
      </c>
      <c r="AS90" s="63">
        <f t="shared" si="500"/>
        <v>0.30568705039880678</v>
      </c>
      <c r="AT90" s="63">
        <f t="shared" si="500"/>
        <v>0.30957943363439933</v>
      </c>
      <c r="AU90" s="63">
        <f t="shared" si="500"/>
        <v>0.30885079529708592</v>
      </c>
      <c r="AV90" s="63">
        <f t="shared" si="500"/>
        <v>0.33305756011567988</v>
      </c>
      <c r="AW90" s="63">
        <f t="shared" si="500"/>
        <v>0.36174094580145855</v>
      </c>
      <c r="AX90" s="6"/>
      <c r="AY90" s="78"/>
      <c r="AZ90" s="79"/>
      <c r="BA90" s="79"/>
      <c r="BB90" s="79"/>
      <c r="BC90" s="79"/>
      <c r="BD90" s="79"/>
      <c r="BE90" s="79"/>
      <c r="BF90" s="79"/>
      <c r="BG90" s="79"/>
      <c r="BH90" s="79"/>
      <c r="BI90" s="79"/>
      <c r="BJ90" s="63">
        <f>IFERROR(SUM(AY71:BJ71)/SUM(AY28:BJ28)+BJ15,"")</f>
        <v>0.35278967965508112</v>
      </c>
      <c r="BK90" s="63">
        <f t="shared" ref="BK90:DV90" si="501">IFERROR(SUM(AZ71:BK71)/SUM(AZ28:BK28)+BK15,"")</f>
        <v>0.26428874909737443</v>
      </c>
      <c r="BL90" s="63">
        <f t="shared" si="501"/>
        <v>0.18290241449305156</v>
      </c>
      <c r="BM90" s="63">
        <f t="shared" si="501"/>
        <v>0.15909662425133864</v>
      </c>
      <c r="BN90" s="63">
        <f t="shared" si="501"/>
        <v>9.7867696684336591E-2</v>
      </c>
      <c r="BO90" s="63">
        <f t="shared" si="501"/>
        <v>0.12120958357537726</v>
      </c>
      <c r="BP90" s="63">
        <f t="shared" si="501"/>
        <v>0.15113838788442535</v>
      </c>
      <c r="BQ90" s="63">
        <f t="shared" si="501"/>
        <v>0.15852271795811068</v>
      </c>
      <c r="BR90" s="63">
        <f t="shared" si="501"/>
        <v>0.1342369049986728</v>
      </c>
      <c r="BS90" s="63">
        <f t="shared" si="501"/>
        <v>8.4373384586002742E-2</v>
      </c>
      <c r="BT90" s="63">
        <f t="shared" si="501"/>
        <v>4.4412361281518709E-2</v>
      </c>
      <c r="BU90" s="63">
        <f t="shared" si="501"/>
        <v>2.6396592870443381E-2</v>
      </c>
      <c r="BV90" s="63">
        <f t="shared" si="501"/>
        <v>3.9486206199947693E-2</v>
      </c>
      <c r="BW90" s="63">
        <f t="shared" si="501"/>
        <v>2.0261786828561279E-2</v>
      </c>
      <c r="BX90" s="63">
        <f t="shared" si="501"/>
        <v>2.3124220856441502E-2</v>
      </c>
      <c r="BY90" s="63">
        <f t="shared" si="501"/>
        <v>-3.6233428333405149E-2</v>
      </c>
      <c r="BZ90" s="63">
        <f t="shared" si="501"/>
        <v>-5.6112118871025296E-2</v>
      </c>
      <c r="CA90" s="63">
        <f t="shared" si="501"/>
        <v>-0.1270404758917667</v>
      </c>
      <c r="CB90" s="63">
        <f t="shared" si="501"/>
        <v>-0.12479851100643269</v>
      </c>
      <c r="CC90" s="63">
        <f t="shared" si="501"/>
        <v>-0.1325062985736507</v>
      </c>
      <c r="CD90" s="63">
        <f t="shared" si="501"/>
        <v>-5.9425172304598095E-2</v>
      </c>
      <c r="CE90" s="63">
        <f t="shared" si="501"/>
        <v>-3.2104053070867056E-2</v>
      </c>
      <c r="CF90" s="63">
        <f t="shared" si="501"/>
        <v>2.2201760874618226E-2</v>
      </c>
      <c r="CG90" s="63">
        <f t="shared" si="501"/>
        <v>-7.8961412335409875E-3</v>
      </c>
      <c r="CH90" s="63">
        <f t="shared" si="501"/>
        <v>-1.0145730277438758E-2</v>
      </c>
      <c r="CI90" s="63">
        <f t="shared" si="501"/>
        <v>8.2317517349586811E-2</v>
      </c>
      <c r="CJ90" s="63">
        <f t="shared" si="501"/>
        <v>9.536663463456696E-2</v>
      </c>
      <c r="CK90" s="63">
        <f t="shared" si="501"/>
        <v>9.2971143644425214E-2</v>
      </c>
      <c r="CL90" s="63">
        <f t="shared" si="501"/>
        <v>0.10244997794761068</v>
      </c>
      <c r="CM90" s="63">
        <f t="shared" si="501"/>
        <v>0.13261719862838894</v>
      </c>
      <c r="CN90" s="63">
        <f t="shared" si="501"/>
        <v>0.1548489208314528</v>
      </c>
      <c r="CO90" s="63">
        <f t="shared" si="501"/>
        <v>0.20949925816376885</v>
      </c>
      <c r="CP90" s="63">
        <f t="shared" si="501"/>
        <v>0.1680377776826098</v>
      </c>
      <c r="CQ90" s="63">
        <f t="shared" si="501"/>
        <v>0.14523813438697331</v>
      </c>
      <c r="CR90" s="63">
        <f t="shared" si="501"/>
        <v>0.16514465682154528</v>
      </c>
      <c r="CS90" s="63">
        <f t="shared" si="501"/>
        <v>0.17919942462817379</v>
      </c>
      <c r="CT90" s="63">
        <f t="shared" si="501"/>
        <v>0.16785320240082147</v>
      </c>
      <c r="CU90" s="63">
        <f t="shared" si="501"/>
        <v>0.15100623736983543</v>
      </c>
      <c r="CV90" s="63">
        <f t="shared" si="501"/>
        <v>0.16293401375660899</v>
      </c>
      <c r="CW90" s="63">
        <f t="shared" si="501"/>
        <v>0.18603007229229407</v>
      </c>
      <c r="CX90" s="63">
        <f t="shared" si="501"/>
        <v>0.2064842599617146</v>
      </c>
      <c r="CY90" s="63">
        <f t="shared" si="501"/>
        <v>0.22002030032538783</v>
      </c>
      <c r="CZ90" s="63">
        <f t="shared" si="501"/>
        <v>0.19600277385293924</v>
      </c>
      <c r="DA90" s="63">
        <f t="shared" si="501"/>
        <v>0.17824233622058455</v>
      </c>
      <c r="DB90" s="63">
        <f t="shared" si="501"/>
        <v>0.17947352830657909</v>
      </c>
      <c r="DC90" s="63">
        <f t="shared" si="501"/>
        <v>0.1961933115542982</v>
      </c>
      <c r="DD90" s="63">
        <f t="shared" si="501"/>
        <v>0.20060235282114502</v>
      </c>
      <c r="DE90" s="63">
        <f t="shared" si="501"/>
        <v>0.22208515523458722</v>
      </c>
      <c r="DF90" s="63">
        <f t="shared" si="501"/>
        <v>0.21644966173066149</v>
      </c>
      <c r="DG90" s="63">
        <f t="shared" si="501"/>
        <v>0.23420300077186468</v>
      </c>
      <c r="DH90" s="63">
        <f t="shared" si="501"/>
        <v>0.25052078703212921</v>
      </c>
      <c r="DI90" s="63">
        <f t="shared" si="501"/>
        <v>0.26548066245864438</v>
      </c>
      <c r="DJ90" s="63">
        <f t="shared" si="501"/>
        <v>0.28102703045709326</v>
      </c>
      <c r="DK90" s="63">
        <f t="shared" si="501"/>
        <v>0.29574006560967592</v>
      </c>
      <c r="DL90" s="63">
        <f t="shared" si="501"/>
        <v>0.30893990645418351</v>
      </c>
      <c r="DM90" s="63">
        <f t="shared" si="501"/>
        <v>0.31714348543819382</v>
      </c>
      <c r="DN90" s="63">
        <f t="shared" si="501"/>
        <v>0.32340486976882998</v>
      </c>
      <c r="DO90" s="63">
        <f t="shared" si="501"/>
        <v>0.32839787202182025</v>
      </c>
      <c r="DP90" s="63">
        <f t="shared" si="501"/>
        <v>0.32792381304313434</v>
      </c>
      <c r="DQ90" s="63">
        <f t="shared" si="501"/>
        <v>0.3280041223221335</v>
      </c>
      <c r="DR90" s="63">
        <f t="shared" si="501"/>
        <v>0.32747110217408115</v>
      </c>
      <c r="DS90" s="63">
        <f t="shared" si="501"/>
        <v>0.32998740063601206</v>
      </c>
      <c r="DT90" s="63">
        <f t="shared" si="501"/>
        <v>0.33442654116973675</v>
      </c>
      <c r="DU90" s="63">
        <f t="shared" si="501"/>
        <v>0.34079453473967092</v>
      </c>
      <c r="DV90" s="63">
        <f t="shared" si="501"/>
        <v>0.34816001740547903</v>
      </c>
      <c r="DW90" s="63">
        <f t="shared" ref="DW90:FB90" si="502">IFERROR(SUM(DL71:DW71)/SUM(DL28:DW28)+DW15,"")</f>
        <v>0.35755708847222223</v>
      </c>
      <c r="DX90" s="63">
        <f t="shared" si="502"/>
        <v>0.36961221217787088</v>
      </c>
      <c r="DY90" s="63">
        <f t="shared" si="502"/>
        <v>0.38033893134155483</v>
      </c>
      <c r="DZ90" s="63">
        <f t="shared" si="502"/>
        <v>0.39154906137062523</v>
      </c>
      <c r="EA90" s="63">
        <f t="shared" si="502"/>
        <v>0.40381242482526619</v>
      </c>
      <c r="EB90" s="63">
        <f t="shared" si="502"/>
        <v>0.41657748345972989</v>
      </c>
      <c r="EC90" s="63">
        <f t="shared" si="502"/>
        <v>0.43118204094044954</v>
      </c>
      <c r="ED90" s="63">
        <f t="shared" si="502"/>
        <v>0.44581219205578992</v>
      </c>
      <c r="EE90" s="63">
        <f t="shared" si="502"/>
        <v>0.45758378470106159</v>
      </c>
      <c r="EF90" s="63">
        <f t="shared" si="502"/>
        <v>0.46874006474206015</v>
      </c>
      <c r="EG90" s="63">
        <f t="shared" si="502"/>
        <v>0.47926906548363957</v>
      </c>
      <c r="EH90" s="63">
        <f t="shared" si="502"/>
        <v>0.489266398742569</v>
      </c>
      <c r="EI90" s="63">
        <f t="shared" si="502"/>
        <v>0.49879039044962714</v>
      </c>
      <c r="EJ90" s="63">
        <f t="shared" si="502"/>
        <v>0.50849941348776329</v>
      </c>
      <c r="EK90" s="63">
        <f t="shared" si="502"/>
        <v>0.51743412001678812</v>
      </c>
      <c r="EL90" s="63">
        <f t="shared" si="502"/>
        <v>0.52529738211536259</v>
      </c>
      <c r="EM90" s="63">
        <f t="shared" si="502"/>
        <v>0.53249905655298646</v>
      </c>
      <c r="EN90" s="63">
        <f t="shared" si="502"/>
        <v>0.53945957716332316</v>
      </c>
      <c r="EO90" s="63">
        <f t="shared" si="502"/>
        <v>0.54678217448341315</v>
      </c>
      <c r="EP90" s="63">
        <f t="shared" si="502"/>
        <v>0.55321677861710639</v>
      </c>
      <c r="EQ90" s="63">
        <f t="shared" si="502"/>
        <v>0.55777430474716994</v>
      </c>
      <c r="ER90" s="63">
        <f t="shared" si="502"/>
        <v>0.56184200630349823</v>
      </c>
      <c r="ES90" s="63">
        <f t="shared" si="502"/>
        <v>0.56509093178970504</v>
      </c>
      <c r="ET90" s="63">
        <f t="shared" si="502"/>
        <v>0.56910942229097861</v>
      </c>
      <c r="EU90" s="63">
        <f t="shared" si="502"/>
        <v>0.57258299711056138</v>
      </c>
      <c r="EV90" s="63">
        <f t="shared" si="502"/>
        <v>0.5761636332472112</v>
      </c>
      <c r="EW90" s="63">
        <f t="shared" si="502"/>
        <v>0.58039473005355524</v>
      </c>
      <c r="EX90" s="63">
        <f t="shared" si="502"/>
        <v>0.58363687397439845</v>
      </c>
      <c r="EY90" s="63">
        <f t="shared" si="502"/>
        <v>0.58613840940470252</v>
      </c>
      <c r="EZ90" s="63">
        <f t="shared" si="502"/>
        <v>0.58958357491982571</v>
      </c>
      <c r="FA90" s="63">
        <f t="shared" si="502"/>
        <v>0.59284485235169992</v>
      </c>
      <c r="FB90" s="63">
        <f t="shared" si="502"/>
        <v>0.59544242855120355</v>
      </c>
    </row>
    <row r="91" spans="3:158" x14ac:dyDescent="0.25">
      <c r="C91" s="102" t="s">
        <v>722</v>
      </c>
      <c r="D91" s="63">
        <f>D71/D28</f>
        <v>-0.9175851850909873</v>
      </c>
      <c r="E91" s="63">
        <f t="shared" ref="E91:K91" si="503">E71/E28</f>
        <v>-0.76660919466790545</v>
      </c>
      <c r="F91" s="63">
        <f t="shared" si="503"/>
        <v>-0.48859397293886148</v>
      </c>
      <c r="G91" s="63">
        <f t="shared" si="503"/>
        <v>-0.51778418008790084</v>
      </c>
      <c r="H91" s="63">
        <f t="shared" si="503"/>
        <v>-0.33271903366041822</v>
      </c>
      <c r="I91" s="63">
        <f t="shared" si="503"/>
        <v>-0.19104288827620591</v>
      </c>
      <c r="J91" s="63">
        <f t="shared" si="503"/>
        <v>-4.9128779146262604E-2</v>
      </c>
      <c r="K91" s="63">
        <f t="shared" si="503"/>
        <v>8.1495774304092994E-2</v>
      </c>
      <c r="L91" s="63"/>
      <c r="M91" s="6"/>
      <c r="N91" s="63">
        <f t="shared" ref="N91:AW91" si="504">N71/N28</f>
        <v>-1.5252406582804345</v>
      </c>
      <c r="O91" s="63">
        <f t="shared" si="504"/>
        <v>-0.94784236343314365</v>
      </c>
      <c r="P91" s="63">
        <f t="shared" si="504"/>
        <v>-0.99101544734070346</v>
      </c>
      <c r="Q91" s="63">
        <f t="shared" si="504"/>
        <v>-0.52850856140585278</v>
      </c>
      <c r="R91" s="63">
        <f t="shared" si="504"/>
        <v>-1.4217307620066402</v>
      </c>
      <c r="S91" s="63">
        <f t="shared" si="504"/>
        <v>-0.7473148045162713</v>
      </c>
      <c r="T91" s="63">
        <f t="shared" si="504"/>
        <v>-0.79278832226500817</v>
      </c>
      <c r="U91" s="63">
        <f t="shared" si="504"/>
        <v>-0.33931003978931479</v>
      </c>
      <c r="V91" s="63">
        <f t="shared" si="504"/>
        <v>-0.93669528055522955</v>
      </c>
      <c r="W91" s="63">
        <f t="shared" si="504"/>
        <v>-0.66070649433330941</v>
      </c>
      <c r="X91" s="63">
        <f t="shared" si="504"/>
        <v>-0.30066341676356473</v>
      </c>
      <c r="Y91" s="63">
        <f t="shared" si="504"/>
        <v>-0.17357602035571798</v>
      </c>
      <c r="Z91" s="63">
        <f t="shared" si="504"/>
        <v>-0.51464171491391886</v>
      </c>
      <c r="AA91" s="63">
        <f t="shared" si="504"/>
        <v>-0.50187098059828028</v>
      </c>
      <c r="AB91" s="63">
        <f t="shared" si="504"/>
        <v>-0.6105516002720357</v>
      </c>
      <c r="AC91" s="63">
        <f t="shared" si="504"/>
        <v>-0.4508157051669604</v>
      </c>
      <c r="AD91" s="63">
        <f t="shared" si="504"/>
        <v>-0.48689985297987115</v>
      </c>
      <c r="AE91" s="63">
        <f t="shared" si="504"/>
        <v>-0.35520194420699908</v>
      </c>
      <c r="AF91" s="63">
        <f t="shared" si="504"/>
        <v>-0.32142890158915827</v>
      </c>
      <c r="AG91" s="63">
        <f t="shared" si="504"/>
        <v>-0.21701594900909293</v>
      </c>
      <c r="AH91" s="63">
        <f t="shared" si="504"/>
        <v>-0.2523256922914473</v>
      </c>
      <c r="AI91" s="63">
        <f t="shared" si="504"/>
        <v>-0.18116325748254467</v>
      </c>
      <c r="AJ91" s="63">
        <f t="shared" si="504"/>
        <v>-0.19702023465096166</v>
      </c>
      <c r="AK91" s="63">
        <f t="shared" si="504"/>
        <v>-0.1500101382083753</v>
      </c>
      <c r="AL91" s="63">
        <f t="shared" si="504"/>
        <v>-0.16469031425290956</v>
      </c>
      <c r="AM91" s="63">
        <f t="shared" si="504"/>
        <v>-5.5664750743889005E-2</v>
      </c>
      <c r="AN91" s="63">
        <f t="shared" si="504"/>
        <v>-3.9371900133788197E-2</v>
      </c>
      <c r="AO91" s="63">
        <f t="shared" si="504"/>
        <v>3.0978740830163276E-2</v>
      </c>
      <c r="AP91" s="63">
        <f t="shared" si="504"/>
        <v>1.0465446708029517E-2</v>
      </c>
      <c r="AQ91" s="63">
        <f t="shared" si="504"/>
        <v>8.329350329196529E-2</v>
      </c>
      <c r="AR91" s="63">
        <f t="shared" si="504"/>
        <v>8.3797791424107843E-2</v>
      </c>
      <c r="AS91" s="63">
        <f t="shared" si="504"/>
        <v>0.12988400035496717</v>
      </c>
      <c r="AT91" s="63">
        <f t="shared" si="504"/>
        <v>9.4479036580507283E-2</v>
      </c>
      <c r="AU91" s="63">
        <f t="shared" si="504"/>
        <v>0.14956290568056177</v>
      </c>
      <c r="AV91" s="63">
        <f t="shared" si="504"/>
        <v>0.14697364477956573</v>
      </c>
      <c r="AW91" s="63">
        <f t="shared" si="504"/>
        <v>0.18283873704043321</v>
      </c>
      <c r="AX91" s="6"/>
      <c r="AY91" s="63">
        <f t="shared" ref="AY91:DJ91" si="505">AY71/AY28</f>
        <v>-2.4245556256803025</v>
      </c>
      <c r="AZ91" s="63">
        <f t="shared" si="505"/>
        <v>-1.0005828105652566</v>
      </c>
      <c r="BA91" s="63">
        <f t="shared" si="505"/>
        <v>-1.2153123260970435</v>
      </c>
      <c r="BB91" s="63">
        <f t="shared" si="505"/>
        <v>-0.94905114381705669</v>
      </c>
      <c r="BC91" s="63">
        <f t="shared" si="505"/>
        <v>-1.1388250708024441</v>
      </c>
      <c r="BD91" s="63">
        <f t="shared" si="505"/>
        <v>-0.76773701746123024</v>
      </c>
      <c r="BE91" s="63">
        <f t="shared" si="505"/>
        <v>-1.2576426042773967</v>
      </c>
      <c r="BF91" s="63">
        <f t="shared" si="505"/>
        <v>-0.91041091387245587</v>
      </c>
      <c r="BG91" s="63">
        <f t="shared" si="505"/>
        <v>-0.8251049907279373</v>
      </c>
      <c r="BH91" s="63">
        <f t="shared" si="505"/>
        <v>-1.5620007281422867</v>
      </c>
      <c r="BI91" s="63">
        <f t="shared" si="505"/>
        <v>-1.0708643339709731</v>
      </c>
      <c r="BJ91" s="63">
        <f t="shared" si="505"/>
        <v>0.86928927548869683</v>
      </c>
      <c r="BK91" s="63">
        <f t="shared" si="505"/>
        <v>-2.3911773773502309</v>
      </c>
      <c r="BL91" s="63">
        <f t="shared" si="505"/>
        <v>-1.2944990248567274</v>
      </c>
      <c r="BM91" s="63">
        <f t="shared" si="505"/>
        <v>-0.60697881129576903</v>
      </c>
      <c r="BN91" s="63">
        <f t="shared" si="505"/>
        <v>-1.4189808091938201</v>
      </c>
      <c r="BO91" s="63">
        <f t="shared" si="505"/>
        <v>-0.74243041249853281</v>
      </c>
      <c r="BP91" s="63">
        <f t="shared" si="505"/>
        <v>-0.1400498814059202</v>
      </c>
      <c r="BQ91" s="63">
        <f t="shared" si="505"/>
        <v>-0.88074753314629695</v>
      </c>
      <c r="BR91" s="63">
        <f t="shared" si="505"/>
        <v>-0.6992332926534125</v>
      </c>
      <c r="BS91" s="63">
        <f t="shared" si="505"/>
        <v>-0.80178241106734138</v>
      </c>
      <c r="BT91" s="63">
        <f t="shared" si="505"/>
        <v>-1.053506092708687</v>
      </c>
      <c r="BU91" s="63">
        <f t="shared" si="505"/>
        <v>-0.42053727071590868</v>
      </c>
      <c r="BV91" s="63">
        <f t="shared" si="505"/>
        <v>0.40263445485541816</v>
      </c>
      <c r="BW91" s="63">
        <f t="shared" si="505"/>
        <v>-1.7175342623008314</v>
      </c>
      <c r="BX91" s="63">
        <f t="shared" si="505"/>
        <v>-0.79327602883586457</v>
      </c>
      <c r="BY91" s="63">
        <f t="shared" si="505"/>
        <v>-0.28702599937721651</v>
      </c>
      <c r="BZ91" s="63">
        <f t="shared" si="505"/>
        <v>-1.1404919387772152</v>
      </c>
      <c r="CA91" s="63">
        <f t="shared" si="505"/>
        <v>-0.57596273569762302</v>
      </c>
      <c r="CB91" s="63">
        <f t="shared" si="505"/>
        <v>-0.27782907369723631</v>
      </c>
      <c r="CC91" s="63">
        <f t="shared" si="505"/>
        <v>-0.57629834085083076</v>
      </c>
      <c r="CD91" s="63">
        <f t="shared" si="505"/>
        <v>-0.25019311414803014</v>
      </c>
      <c r="CE91" s="63">
        <f t="shared" si="505"/>
        <v>-8.9796550935000718E-2</v>
      </c>
      <c r="CF91" s="63">
        <f t="shared" si="505"/>
        <v>-0.4158965565413022</v>
      </c>
      <c r="CG91" s="63">
        <f t="shared" si="505"/>
        <v>-0.42932306792628233</v>
      </c>
      <c r="CH91" s="63">
        <f t="shared" si="505"/>
        <v>0.30646807983074359</v>
      </c>
      <c r="CI91" s="63">
        <f t="shared" si="505"/>
        <v>-0.4255737807142364</v>
      </c>
      <c r="CJ91" s="63">
        <f t="shared" si="505"/>
        <v>-0.47956523672983492</v>
      </c>
      <c r="CK91" s="63">
        <f t="shared" si="505"/>
        <v>-0.63360368881051443</v>
      </c>
      <c r="CL91" s="63">
        <f t="shared" si="505"/>
        <v>-0.86908562858275729</v>
      </c>
      <c r="CM91" s="63">
        <f t="shared" si="505"/>
        <v>-0.47526331667800636</v>
      </c>
      <c r="CN91" s="63">
        <f t="shared" si="505"/>
        <v>-0.18340264219923685</v>
      </c>
      <c r="CO91" s="63">
        <f t="shared" si="505"/>
        <v>-0.23765135980156438</v>
      </c>
      <c r="CP91" s="63">
        <f t="shared" si="505"/>
        <v>-0.80108035449475501</v>
      </c>
      <c r="CQ91" s="63">
        <f t="shared" si="505"/>
        <v>-0.77277647590345466</v>
      </c>
      <c r="CR91" s="63">
        <f t="shared" si="505"/>
        <v>-0.21555229972595702</v>
      </c>
      <c r="CS91" s="63">
        <f t="shared" si="505"/>
        <v>-0.73651734159354121</v>
      </c>
      <c r="CT91" s="63">
        <f t="shared" si="505"/>
        <v>-0.4005251032299928</v>
      </c>
      <c r="CU91" s="63">
        <f t="shared" si="505"/>
        <v>-0.59672341838214937</v>
      </c>
      <c r="CV91" s="63">
        <f t="shared" si="505"/>
        <v>-0.50137139171062872</v>
      </c>
      <c r="CW91" s="63">
        <f t="shared" si="505"/>
        <v>-0.37928622424396663</v>
      </c>
      <c r="CX91" s="63">
        <f t="shared" si="505"/>
        <v>-0.44530230101538676</v>
      </c>
      <c r="CY91" s="63">
        <f t="shared" si="505"/>
        <v>-0.35374131013553667</v>
      </c>
      <c r="CZ91" s="63">
        <f t="shared" si="505"/>
        <v>-0.27906765343913625</v>
      </c>
      <c r="DA91" s="63">
        <f t="shared" si="505"/>
        <v>-0.38145482853384738</v>
      </c>
      <c r="DB91" s="63">
        <f t="shared" si="505"/>
        <v>-0.33336688166542966</v>
      </c>
      <c r="DC91" s="63">
        <f t="shared" si="505"/>
        <v>-0.25857146601269537</v>
      </c>
      <c r="DD91" s="63">
        <f t="shared" si="505"/>
        <v>-0.3117762749977408</v>
      </c>
      <c r="DE91" s="63">
        <f t="shared" si="505"/>
        <v>-0.18127404812898315</v>
      </c>
      <c r="DF91" s="63">
        <f t="shared" si="505"/>
        <v>-0.17132347478306301</v>
      </c>
      <c r="DG91" s="63">
        <f t="shared" si="505"/>
        <v>-0.32554693384399802</v>
      </c>
      <c r="DH91" s="63">
        <f t="shared" si="505"/>
        <v>-0.26256571998370692</v>
      </c>
      <c r="DI91" s="63">
        <f t="shared" si="505"/>
        <v>-0.17964937509502737</v>
      </c>
      <c r="DJ91" s="63">
        <f t="shared" si="505"/>
        <v>-0.24387448701165987</v>
      </c>
      <c r="DK91" s="63">
        <f t="shared" ref="DK91:FB91" si="506">DK71/DK28</f>
        <v>-0.17702288175364045</v>
      </c>
      <c r="DL91" s="63">
        <f t="shared" si="506"/>
        <v>-0.13086658815013885</v>
      </c>
      <c r="DM91" s="63">
        <f t="shared" si="506"/>
        <v>-0.23043241261653738</v>
      </c>
      <c r="DN91" s="63">
        <f t="shared" si="506"/>
        <v>-0.20765620262917248</v>
      </c>
      <c r="DO91" s="63">
        <f t="shared" si="506"/>
        <v>-0.15816227669166794</v>
      </c>
      <c r="DP91" s="63">
        <f t="shared" si="506"/>
        <v>-0.22433674881706855</v>
      </c>
      <c r="DQ91" s="63">
        <f t="shared" si="506"/>
        <v>-0.11650526968027149</v>
      </c>
      <c r="DR91" s="63">
        <f t="shared" si="506"/>
        <v>-0.11877402921664895</v>
      </c>
      <c r="DS91" s="63">
        <f t="shared" si="506"/>
        <v>-0.24531092976483745</v>
      </c>
      <c r="DT91" s="63">
        <f t="shared" si="506"/>
        <v>-0.17332060586144304</v>
      </c>
      <c r="DU91" s="63">
        <f t="shared" si="506"/>
        <v>-8.6637842260454914E-2</v>
      </c>
      <c r="DV91" s="63">
        <f t="shared" si="506"/>
        <v>-0.13067288953326192</v>
      </c>
      <c r="DW91" s="63">
        <f t="shared" si="506"/>
        <v>-5.3915285530781079E-2</v>
      </c>
      <c r="DX91" s="63">
        <f t="shared" si="506"/>
        <v>7.8095236529451004E-3</v>
      </c>
      <c r="DY91" s="63">
        <f t="shared" si="506"/>
        <v>-7.8420484281719258E-2</v>
      </c>
      <c r="DZ91" s="63">
        <f t="shared" si="506"/>
        <v>-4.8354022358017126E-2</v>
      </c>
      <c r="EA91" s="63">
        <f t="shared" si="506"/>
        <v>3.0571232654226757E-3</v>
      </c>
      <c r="EB91" s="63">
        <f t="shared" si="506"/>
        <v>-3.9395573499914502E-2</v>
      </c>
      <c r="EC91" s="63">
        <f t="shared" si="506"/>
        <v>6.0956031045898369E-2</v>
      </c>
      <c r="ED91" s="63">
        <f t="shared" si="506"/>
        <v>6.2444014148426076E-2</v>
      </c>
      <c r="EE91" s="63">
        <f t="shared" si="506"/>
        <v>-4.9340826751601542E-2</v>
      </c>
      <c r="EF91" s="63">
        <f t="shared" si="506"/>
        <v>4.5593172954967688E-3</v>
      </c>
      <c r="EG91" s="63">
        <f t="shared" si="506"/>
        <v>6.8240515578568375E-2</v>
      </c>
      <c r="EH91" s="63">
        <f t="shared" si="506"/>
        <v>2.5315520590814145E-2</v>
      </c>
      <c r="EI91" s="63">
        <f t="shared" si="506"/>
        <v>8.4199476958965541E-2</v>
      </c>
      <c r="EJ91" s="63">
        <f t="shared" si="506"/>
        <v>0.13304222393550291</v>
      </c>
      <c r="EK91" s="63">
        <f t="shared" si="506"/>
        <v>5.7596548096337914E-2</v>
      </c>
      <c r="EL91" s="63">
        <f t="shared" si="506"/>
        <v>7.6526563164251271E-2</v>
      </c>
      <c r="EM91" s="63">
        <f t="shared" si="506"/>
        <v>0.11353890728252287</v>
      </c>
      <c r="EN91" s="63">
        <f t="shared" si="506"/>
        <v>7.3123436183570631E-2</v>
      </c>
      <c r="EO91" s="63">
        <f t="shared" si="506"/>
        <v>0.1574433766518889</v>
      </c>
      <c r="EP91" s="63">
        <f t="shared" si="506"/>
        <v>0.15228751656686984</v>
      </c>
      <c r="EQ91" s="63">
        <f t="shared" si="506"/>
        <v>4.8136592707094687E-2</v>
      </c>
      <c r="ER91" s="63">
        <f t="shared" si="506"/>
        <v>9.053719747102798E-2</v>
      </c>
      <c r="ES91" s="63">
        <f t="shared" si="506"/>
        <v>0.13916529821846593</v>
      </c>
      <c r="ET91" s="63">
        <f t="shared" si="506"/>
        <v>0.10281205421171198</v>
      </c>
      <c r="EU91" s="63">
        <f t="shared" si="506"/>
        <v>0.14990551901920482</v>
      </c>
      <c r="EV91" s="63">
        <f t="shared" si="506"/>
        <v>0.19045229163729224</v>
      </c>
      <c r="EW91" s="63">
        <f t="shared" si="506"/>
        <v>0.12897877999517984</v>
      </c>
      <c r="EX91" s="63">
        <f t="shared" si="506"/>
        <v>0.14079384608855425</v>
      </c>
      <c r="EY91" s="63">
        <f t="shared" si="506"/>
        <v>0.16868265684377409</v>
      </c>
      <c r="EZ91" s="63">
        <f t="shared" si="506"/>
        <v>0.13647725084298884</v>
      </c>
      <c r="FA91" s="63">
        <f t="shared" si="506"/>
        <v>0.20742083025565408</v>
      </c>
      <c r="FB91" s="63">
        <f t="shared" si="506"/>
        <v>0.19956317336422394</v>
      </c>
    </row>
    <row r="92" spans="3:158" x14ac:dyDescent="0.25">
      <c r="C92" s="2" t="s">
        <v>34</v>
      </c>
      <c r="D92" s="15">
        <f t="shared" ref="D92:L92" si="507">AVERAGEIF($AY$2:$FB$2,D$2,$AY92:$FB92)</f>
        <v>0.58253152229766503</v>
      </c>
      <c r="E92" s="15">
        <f t="shared" si="507"/>
        <v>0.47242907811031226</v>
      </c>
      <c r="F92" s="15">
        <f t="shared" si="507"/>
        <v>0.4572323080856695</v>
      </c>
      <c r="G92" s="80">
        <f t="shared" si="507"/>
        <v>0.58697959180706916</v>
      </c>
      <c r="H92" s="15">
        <f t="shared" si="507"/>
        <v>0.6010229886746471</v>
      </c>
      <c r="I92" s="80">
        <f t="shared" si="507"/>
        <v>0.72077190278927816</v>
      </c>
      <c r="J92" s="80">
        <f t="shared" si="507"/>
        <v>0.73692587426660339</v>
      </c>
      <c r="K92" s="80">
        <f t="shared" si="507"/>
        <v>0.83522235094188746</v>
      </c>
      <c r="L92" s="80">
        <f t="shared" si="507"/>
        <v>0.82742743905155025</v>
      </c>
      <c r="M92" s="2"/>
      <c r="N92" s="79"/>
      <c r="O92" s="80">
        <f t="shared" ref="O92:AW92" si="508">IFERROR(O88*O38/(N43+N46),"")</f>
        <v>0.58861795331470568</v>
      </c>
      <c r="P92" s="80">
        <f t="shared" si="508"/>
        <v>0.51568076556672027</v>
      </c>
      <c r="Q92" s="80">
        <f t="shared" si="508"/>
        <v>0.67124543955634042</v>
      </c>
      <c r="R92" s="80">
        <f t="shared" si="508"/>
        <v>0.41368411051496656</v>
      </c>
      <c r="S92" s="80">
        <f t="shared" si="508"/>
        <v>0.58062154852213699</v>
      </c>
      <c r="T92" s="80">
        <f t="shared" si="508"/>
        <v>0.38294560248803688</v>
      </c>
      <c r="U92" s="80">
        <f t="shared" si="508"/>
        <v>0.53215032244403715</v>
      </c>
      <c r="V92" s="80">
        <f t="shared" si="508"/>
        <v>0.27190287750380537</v>
      </c>
      <c r="W92" s="80">
        <f t="shared" si="508"/>
        <v>0.45309412119783715</v>
      </c>
      <c r="X92" s="80">
        <f t="shared" si="508"/>
        <v>0.46957785870584134</v>
      </c>
      <c r="Y92" s="80">
        <f t="shared" si="508"/>
        <v>0.64718382186271362</v>
      </c>
      <c r="Z92" s="80">
        <f t="shared" si="508"/>
        <v>0.4329668985551367</v>
      </c>
      <c r="AA92" s="80">
        <f t="shared" si="508"/>
        <v>0.62811953313004332</v>
      </c>
      <c r="AB92" s="80">
        <f t="shared" si="508"/>
        <v>0.62080515120846291</v>
      </c>
      <c r="AC92" s="80">
        <f t="shared" si="508"/>
        <v>0.74252399826605675</v>
      </c>
      <c r="AD92" s="80">
        <f t="shared" si="508"/>
        <v>0.46800894542816635</v>
      </c>
      <c r="AE92" s="80">
        <f t="shared" si="508"/>
        <v>0.56872729663283683</v>
      </c>
      <c r="AF92" s="80">
        <f t="shared" si="508"/>
        <v>0.59860565626045814</v>
      </c>
      <c r="AG92" s="80">
        <f t="shared" si="508"/>
        <v>0.8322346219859833</v>
      </c>
      <c r="AH92" s="80">
        <f t="shared" si="508"/>
        <v>0.69777440359557497</v>
      </c>
      <c r="AI92" s="80">
        <f t="shared" si="508"/>
        <v>0.7286650634118943</v>
      </c>
      <c r="AJ92" s="80">
        <f t="shared" si="508"/>
        <v>0.67379021394641347</v>
      </c>
      <c r="AK92" s="80">
        <f t="shared" si="508"/>
        <v>0.812252885788319</v>
      </c>
      <c r="AL92" s="80">
        <f t="shared" si="508"/>
        <v>0.65043080370949635</v>
      </c>
      <c r="AM92" s="80">
        <f t="shared" si="508"/>
        <v>0.72846660003003394</v>
      </c>
      <c r="AN92" s="80">
        <f t="shared" si="508"/>
        <v>0.73265216748286</v>
      </c>
      <c r="AO92" s="80">
        <f t="shared" si="508"/>
        <v>0.9138706275072026</v>
      </c>
      <c r="AP92" s="80">
        <f t="shared" si="508"/>
        <v>0.78015516293196674</v>
      </c>
      <c r="AQ92" s="80">
        <f t="shared" si="508"/>
        <v>0.83612023880619746</v>
      </c>
      <c r="AR92" s="80">
        <f t="shared" si="508"/>
        <v>0.81158979832025224</v>
      </c>
      <c r="AS92" s="80">
        <f t="shared" si="508"/>
        <v>0.97467772760103155</v>
      </c>
      <c r="AT92" s="80">
        <f t="shared" si="508"/>
        <v>0.79292450528978498</v>
      </c>
      <c r="AU92" s="80">
        <f t="shared" si="508"/>
        <v>0.82502149133144775</v>
      </c>
      <c r="AV92" s="80">
        <f t="shared" si="508"/>
        <v>0.78165295454580763</v>
      </c>
      <c r="AW92" s="80">
        <f t="shared" si="508"/>
        <v>0.93809458209097307</v>
      </c>
      <c r="AX92" s="2"/>
      <c r="AY92" s="79"/>
      <c r="AZ92" s="79"/>
      <c r="BA92" s="79"/>
      <c r="BB92" s="79"/>
      <c r="BC92" s="79"/>
      <c r="BD92" s="15">
        <f t="shared" ref="BD92:CI92" si="509">IFERROR(SUM(BB88:BD88)*SUM(BB37:BD37)/SUM(BB28:BD28)/SUM(AY43:BA43,AY46:BA46),"")</f>
        <v>0.58861795331470568</v>
      </c>
      <c r="BE92" s="15">
        <f t="shared" si="509"/>
        <v>0.58090365977547387</v>
      </c>
      <c r="BF92" s="15">
        <f t="shared" si="509"/>
        <v>0.49745761498087443</v>
      </c>
      <c r="BG92" s="15">
        <f t="shared" si="509"/>
        <v>0.51568076556672027</v>
      </c>
      <c r="BH92" s="15">
        <f t="shared" si="509"/>
        <v>0.52306087234805132</v>
      </c>
      <c r="BI92" s="15">
        <f t="shared" si="509"/>
        <v>0.70075435054148882</v>
      </c>
      <c r="BJ92" s="15">
        <f t="shared" si="509"/>
        <v>0.67124543955634053</v>
      </c>
      <c r="BK92" s="15">
        <f t="shared" si="509"/>
        <v>0.61694204910082517</v>
      </c>
      <c r="BL92" s="15">
        <f t="shared" si="509"/>
        <v>0.42110091933398391</v>
      </c>
      <c r="BM92" s="15">
        <f t="shared" si="509"/>
        <v>0.41368411051496662</v>
      </c>
      <c r="BN92" s="15">
        <f t="shared" si="509"/>
        <v>0.42195357934542088</v>
      </c>
      <c r="BO92" s="15">
        <f t="shared" si="509"/>
        <v>0.55869206254495041</v>
      </c>
      <c r="BP92" s="15">
        <f t="shared" si="509"/>
        <v>0.5806215485221371</v>
      </c>
      <c r="BQ92" s="15">
        <f t="shared" si="509"/>
        <v>0.51742567115645877</v>
      </c>
      <c r="BR92" s="15">
        <f t="shared" si="509"/>
        <v>0.35770143248629593</v>
      </c>
      <c r="BS92" s="15">
        <f t="shared" si="509"/>
        <v>0.38294560248803694</v>
      </c>
      <c r="BT92" s="15">
        <f t="shared" si="509"/>
        <v>0.36548184323491412</v>
      </c>
      <c r="BU92" s="15">
        <f t="shared" si="509"/>
        <v>0.50044979615172014</v>
      </c>
      <c r="BV92" s="15">
        <f t="shared" si="509"/>
        <v>0.53215032244403704</v>
      </c>
      <c r="BW92" s="15">
        <f t="shared" si="509"/>
        <v>0.57349273189694894</v>
      </c>
      <c r="BX92" s="15">
        <f t="shared" si="509"/>
        <v>0.44160614308928442</v>
      </c>
      <c r="BY92" s="15">
        <f t="shared" si="509"/>
        <v>0.27190287750380537</v>
      </c>
      <c r="BZ92" s="15">
        <f t="shared" si="509"/>
        <v>0.25730440166145013</v>
      </c>
      <c r="CA92" s="15">
        <f t="shared" si="509"/>
        <v>0.26637586914079348</v>
      </c>
      <c r="CB92" s="15">
        <f t="shared" si="509"/>
        <v>0.45309412119783726</v>
      </c>
      <c r="CC92" s="15">
        <f t="shared" si="509"/>
        <v>0.43711766144325515</v>
      </c>
      <c r="CD92" s="15">
        <f t="shared" si="509"/>
        <v>0.58720448511745393</v>
      </c>
      <c r="CE92" s="15">
        <f t="shared" si="509"/>
        <v>0.46957785870584123</v>
      </c>
      <c r="CF92" s="15">
        <f t="shared" si="509"/>
        <v>0.55277645599041247</v>
      </c>
      <c r="CG92" s="15">
        <f t="shared" si="509"/>
        <v>0.5291512694182382</v>
      </c>
      <c r="CH92" s="15">
        <f t="shared" si="509"/>
        <v>0.64718382186271339</v>
      </c>
      <c r="CI92" s="15">
        <f t="shared" si="509"/>
        <v>0.61468153999084374</v>
      </c>
      <c r="CJ92" s="15">
        <f t="shared" ref="CJ92:DO92" si="510">IFERROR(SUM(CH88:CJ88)*SUM(CH37:CJ37)/SUM(CH28:CJ28)/SUM(CE43:CG43,CE46:CG46),"")</f>
        <v>0.48711876960293299</v>
      </c>
      <c r="CK92" s="15">
        <f t="shared" si="510"/>
        <v>0.43296689855513676</v>
      </c>
      <c r="CL92" s="15">
        <f t="shared" si="510"/>
        <v>0.45175572366399941</v>
      </c>
      <c r="CM92" s="15">
        <f t="shared" si="510"/>
        <v>0.55532668105604122</v>
      </c>
      <c r="CN92" s="15">
        <f t="shared" si="510"/>
        <v>0.62811953313004321</v>
      </c>
      <c r="CO92" s="15">
        <f t="shared" si="510"/>
        <v>0.61579633246172283</v>
      </c>
      <c r="CP92" s="15">
        <f t="shared" si="510"/>
        <v>0.61118635782754671</v>
      </c>
      <c r="CQ92" s="15">
        <f t="shared" si="510"/>
        <v>0.62080515120846291</v>
      </c>
      <c r="CR92" s="15">
        <f t="shared" si="510"/>
        <v>0.5893179900062373</v>
      </c>
      <c r="CS92" s="15">
        <f t="shared" si="510"/>
        <v>0.694156125915805</v>
      </c>
      <c r="CT92" s="15">
        <f t="shared" si="510"/>
        <v>0.74252399826605675</v>
      </c>
      <c r="CU92" s="15">
        <f t="shared" si="510"/>
        <v>0.71972554576266379</v>
      </c>
      <c r="CV92" s="15">
        <f t="shared" si="510"/>
        <v>0.56104037643773008</v>
      </c>
      <c r="CW92" s="15">
        <f t="shared" si="510"/>
        <v>0.46800894542816618</v>
      </c>
      <c r="CX92" s="15">
        <f t="shared" si="510"/>
        <v>0.44235370193633539</v>
      </c>
      <c r="CY92" s="15">
        <f t="shared" si="510"/>
        <v>0.49733382331561299</v>
      </c>
      <c r="CZ92" s="15">
        <f t="shared" si="510"/>
        <v>0.56872729663283683</v>
      </c>
      <c r="DA92" s="15">
        <f t="shared" si="510"/>
        <v>0.57422943112688818</v>
      </c>
      <c r="DB92" s="15">
        <f t="shared" si="510"/>
        <v>0.56155285969836799</v>
      </c>
      <c r="DC92" s="15">
        <f t="shared" si="510"/>
        <v>0.59860565626045814</v>
      </c>
      <c r="DD92" s="15">
        <f t="shared" si="510"/>
        <v>0.62462026531143466</v>
      </c>
      <c r="DE92" s="15">
        <f t="shared" si="510"/>
        <v>0.76384334019928757</v>
      </c>
      <c r="DF92" s="15">
        <f t="shared" si="510"/>
        <v>0.83223462198598364</v>
      </c>
      <c r="DG92" s="15">
        <f t="shared" si="510"/>
        <v>0.79097854127543377</v>
      </c>
      <c r="DH92" s="15">
        <f t="shared" si="510"/>
        <v>0.70608901873700303</v>
      </c>
      <c r="DI92" s="15">
        <f t="shared" si="510"/>
        <v>0.69777440359557508</v>
      </c>
      <c r="DJ92" s="15">
        <f t="shared" si="510"/>
        <v>0.70823465312398115</v>
      </c>
      <c r="DK92" s="15">
        <f t="shared" si="510"/>
        <v>0.72455559980444606</v>
      </c>
      <c r="DL92" s="15">
        <f t="shared" si="510"/>
        <v>0.72866506341189419</v>
      </c>
      <c r="DM92" s="15">
        <f t="shared" si="510"/>
        <v>0.70520033531329385</v>
      </c>
      <c r="DN92" s="15">
        <f t="shared" si="510"/>
        <v>0.66133138244385725</v>
      </c>
      <c r="DO92" s="15">
        <f t="shared" si="510"/>
        <v>0.67379021394641325</v>
      </c>
      <c r="DP92" s="15">
        <f t="shared" ref="DP92:EU92" si="511">IFERROR(SUM(DN88:DP88)*SUM(DN37:DP37)/SUM(DN28:DP28)/SUM(DK43:DM43,DK46:DM46),"")</f>
        <v>0.66415100085490086</v>
      </c>
      <c r="DQ92" s="15">
        <f t="shared" si="511"/>
        <v>0.77623973517622047</v>
      </c>
      <c r="DR92" s="15">
        <f t="shared" si="511"/>
        <v>0.81225288578831889</v>
      </c>
      <c r="DS92" s="15">
        <f t="shared" si="511"/>
        <v>0.76201383588173077</v>
      </c>
      <c r="DT92" s="15">
        <f t="shared" si="511"/>
        <v>0.66773212090857403</v>
      </c>
      <c r="DU92" s="15">
        <f t="shared" si="511"/>
        <v>0.65043080370949624</v>
      </c>
      <c r="DV92" s="15">
        <f t="shared" si="511"/>
        <v>0.66652310303741535</v>
      </c>
      <c r="DW92" s="15">
        <f t="shared" si="511"/>
        <v>0.70011471608094722</v>
      </c>
      <c r="DX92" s="15">
        <f t="shared" si="511"/>
        <v>0.72846660003003427</v>
      </c>
      <c r="DY92" s="15">
        <f t="shared" si="511"/>
        <v>0.7249776843350777</v>
      </c>
      <c r="DZ92" s="15">
        <f t="shared" si="511"/>
        <v>0.69971674417946139</v>
      </c>
      <c r="EA92" s="15">
        <f t="shared" si="511"/>
        <v>0.73265216748285966</v>
      </c>
      <c r="EB92" s="15">
        <f t="shared" si="511"/>
        <v>0.73241083779409089</v>
      </c>
      <c r="EC92" s="15">
        <f t="shared" si="511"/>
        <v>0.86420125025235051</v>
      </c>
      <c r="ED92" s="15">
        <f t="shared" si="511"/>
        <v>0.9138706275072026</v>
      </c>
      <c r="EE92" s="15">
        <f t="shared" si="511"/>
        <v>0.87377715193545469</v>
      </c>
      <c r="EF92" s="15">
        <f t="shared" si="511"/>
        <v>0.78837027187699038</v>
      </c>
      <c r="EG92" s="15">
        <f t="shared" si="511"/>
        <v>0.78015516293196663</v>
      </c>
      <c r="EH92" s="15">
        <f t="shared" si="511"/>
        <v>0.79809581164814802</v>
      </c>
      <c r="EI92" s="15">
        <f t="shared" si="511"/>
        <v>0.81874546110464441</v>
      </c>
      <c r="EJ92" s="15">
        <f t="shared" si="511"/>
        <v>0.83612023880619735</v>
      </c>
      <c r="EK92" s="15">
        <f t="shared" si="511"/>
        <v>0.82264538902729289</v>
      </c>
      <c r="EL92" s="15">
        <f t="shared" si="511"/>
        <v>0.7856660543394498</v>
      </c>
      <c r="EM92" s="15">
        <f t="shared" si="511"/>
        <v>0.81158979832025213</v>
      </c>
      <c r="EN92" s="15">
        <f t="shared" si="511"/>
        <v>0.80090088107310331</v>
      </c>
      <c r="EO92" s="15">
        <f t="shared" si="511"/>
        <v>0.93192426263811889</v>
      </c>
      <c r="EP92" s="15">
        <f t="shared" si="511"/>
        <v>0.97467772760103155</v>
      </c>
      <c r="EQ92" s="15">
        <f t="shared" si="511"/>
        <v>0.91941378330500034</v>
      </c>
      <c r="ER92" s="15">
        <f t="shared" si="511"/>
        <v>0.81886407605638467</v>
      </c>
      <c r="ES92" s="15">
        <f t="shared" si="511"/>
        <v>0.79292450528978498</v>
      </c>
      <c r="ET92" s="15">
        <f t="shared" si="511"/>
        <v>0.80240199602284779</v>
      </c>
      <c r="EU92" s="15">
        <f t="shared" si="511"/>
        <v>0.81513112153454537</v>
      </c>
      <c r="EV92" s="15">
        <f t="shared" ref="EV92:FB92" si="512">IFERROR(SUM(ET88:EV88)*SUM(ET37:EV37)/SUM(ET28:EV28)/SUM(EQ43:ES43,EQ46:ES46),"")</f>
        <v>0.82502149133144775</v>
      </c>
      <c r="EW92" s="15">
        <f t="shared" si="512"/>
        <v>0.80517295376879272</v>
      </c>
      <c r="EX92" s="15">
        <f t="shared" si="512"/>
        <v>0.76240646702136761</v>
      </c>
      <c r="EY92" s="15">
        <f t="shared" si="512"/>
        <v>0.78165295454580763</v>
      </c>
      <c r="EZ92" s="15">
        <f t="shared" si="512"/>
        <v>0.77082531487283434</v>
      </c>
      <c r="FA92" s="15">
        <f t="shared" si="512"/>
        <v>0.89722002277881618</v>
      </c>
      <c r="FB92" s="15">
        <f t="shared" si="512"/>
        <v>0.93809458209097318</v>
      </c>
    </row>
    <row r="93" spans="3:158" x14ac:dyDescent="0.25">
      <c r="C93" s="2" t="s">
        <v>46</v>
      </c>
      <c r="D93" s="15">
        <f t="shared" ref="D93:L93" si="513">1/D92*12</f>
        <v>20.599743603004846</v>
      </c>
      <c r="E93" s="15">
        <f t="shared" si="513"/>
        <v>25.400638013221531</v>
      </c>
      <c r="F93" s="15">
        <f t="shared" si="513"/>
        <v>26.244864564014176</v>
      </c>
      <c r="G93" s="80">
        <f t="shared" si="513"/>
        <v>20.443640916129514</v>
      </c>
      <c r="H93" s="15">
        <f t="shared" si="513"/>
        <v>19.965958417766917</v>
      </c>
      <c r="I93" s="80">
        <f t="shared" si="513"/>
        <v>16.648817682212385</v>
      </c>
      <c r="J93" s="80">
        <f t="shared" si="513"/>
        <v>16.283863030243754</v>
      </c>
      <c r="K93" s="80">
        <f t="shared" si="513"/>
        <v>14.367431602455916</v>
      </c>
      <c r="L93" s="80">
        <f t="shared" si="513"/>
        <v>14.502782278715774</v>
      </c>
      <c r="M93" s="2"/>
      <c r="N93" s="79"/>
      <c r="O93" s="80">
        <f>1/O92*12</f>
        <v>20.386738006246606</v>
      </c>
      <c r="P93" s="80">
        <f t="shared" ref="P93:AW93" si="514">1/P92*12</f>
        <v>23.270210566826748</v>
      </c>
      <c r="Q93" s="80">
        <f t="shared" si="514"/>
        <v>17.87721642910736</v>
      </c>
      <c r="R93" s="80">
        <f t="shared" si="514"/>
        <v>29.007640600607154</v>
      </c>
      <c r="S93" s="80">
        <f t="shared" si="514"/>
        <v>20.667507140483753</v>
      </c>
      <c r="T93" s="80">
        <f t="shared" si="514"/>
        <v>31.336043349328907</v>
      </c>
      <c r="U93" s="80">
        <f t="shared" si="514"/>
        <v>22.550019221799801</v>
      </c>
      <c r="V93" s="80">
        <f t="shared" si="514"/>
        <v>44.133405685756507</v>
      </c>
      <c r="W93" s="80">
        <f t="shared" si="514"/>
        <v>26.484563446278685</v>
      </c>
      <c r="X93" s="80">
        <f t="shared" si="514"/>
        <v>25.55486758483897</v>
      </c>
      <c r="Y93" s="80">
        <f t="shared" si="514"/>
        <v>18.54187264054562</v>
      </c>
      <c r="Z93" s="80">
        <f t="shared" si="514"/>
        <v>27.715744644788003</v>
      </c>
      <c r="AA93" s="80">
        <f t="shared" si="514"/>
        <v>19.104643888722322</v>
      </c>
      <c r="AB93" s="80">
        <f t="shared" si="514"/>
        <v>19.329736514976929</v>
      </c>
      <c r="AC93" s="80">
        <f t="shared" si="514"/>
        <v>16.161093820566634</v>
      </c>
      <c r="AD93" s="80">
        <f t="shared" si="514"/>
        <v>25.640535543656299</v>
      </c>
      <c r="AE93" s="80">
        <f t="shared" si="514"/>
        <v>21.099743358629485</v>
      </c>
      <c r="AF93" s="80">
        <f t="shared" si="514"/>
        <v>20.046586387046606</v>
      </c>
      <c r="AG93" s="80">
        <f t="shared" si="514"/>
        <v>14.419010796936186</v>
      </c>
      <c r="AH93" s="80">
        <f t="shared" si="514"/>
        <v>17.197535389898185</v>
      </c>
      <c r="AI93" s="80">
        <f t="shared" si="514"/>
        <v>16.46847173351679</v>
      </c>
      <c r="AJ93" s="80">
        <f t="shared" si="514"/>
        <v>17.809697664968404</v>
      </c>
      <c r="AK93" s="80">
        <f t="shared" si="514"/>
        <v>14.773724058060553</v>
      </c>
      <c r="AL93" s="80">
        <f t="shared" si="514"/>
        <v>18.449310720775138</v>
      </c>
      <c r="AM93" s="80">
        <f t="shared" si="514"/>
        <v>16.472958402629924</v>
      </c>
      <c r="AN93" s="80">
        <f t="shared" si="514"/>
        <v>16.378850063636417</v>
      </c>
      <c r="AO93" s="80">
        <f t="shared" si="514"/>
        <v>13.130961471792595</v>
      </c>
      <c r="AP93" s="80">
        <f t="shared" si="514"/>
        <v>15.381555580433245</v>
      </c>
      <c r="AQ93" s="80">
        <f t="shared" si="514"/>
        <v>14.352002789854073</v>
      </c>
      <c r="AR93" s="80">
        <f t="shared" si="514"/>
        <v>14.785794529251605</v>
      </c>
      <c r="AS93" s="80">
        <f t="shared" si="514"/>
        <v>12.311761785647374</v>
      </c>
      <c r="AT93" s="80">
        <f t="shared" si="514"/>
        <v>15.133849338676242</v>
      </c>
      <c r="AU93" s="80">
        <f t="shared" si="514"/>
        <v>14.545075644798043</v>
      </c>
      <c r="AV93" s="80">
        <f t="shared" si="514"/>
        <v>15.352081675393652</v>
      </c>
      <c r="AW93" s="80">
        <f t="shared" si="514"/>
        <v>12.791887117877293</v>
      </c>
      <c r="AX93" s="2"/>
      <c r="AY93" s="79"/>
      <c r="AZ93" s="79"/>
      <c r="BA93" s="79"/>
      <c r="BB93" s="79"/>
      <c r="BC93" s="79"/>
      <c r="BD93" s="84">
        <f>1/BD92*12</f>
        <v>20.386738006246606</v>
      </c>
      <c r="BE93" s="84">
        <f t="shared" ref="BE93:DP93" si="515">1/BE92*12</f>
        <v>20.657470129622084</v>
      </c>
      <c r="BF93" s="84">
        <f t="shared" si="515"/>
        <v>24.122658169503268</v>
      </c>
      <c r="BG93" s="84">
        <f t="shared" si="515"/>
        <v>23.270210566826748</v>
      </c>
      <c r="BH93" s="84">
        <f t="shared" si="515"/>
        <v>22.941880447167243</v>
      </c>
      <c r="BI93" s="84">
        <f t="shared" si="515"/>
        <v>17.124403138885015</v>
      </c>
      <c r="BJ93" s="84">
        <f t="shared" si="515"/>
        <v>17.877216429107357</v>
      </c>
      <c r="BK93" s="84">
        <f t="shared" si="515"/>
        <v>19.450773403255049</v>
      </c>
      <c r="BL93" s="84">
        <f t="shared" si="515"/>
        <v>28.496731897378144</v>
      </c>
      <c r="BM93" s="84">
        <f t="shared" si="515"/>
        <v>29.007640600607147</v>
      </c>
      <c r="BN93" s="84">
        <f t="shared" si="515"/>
        <v>28.439147307662783</v>
      </c>
      <c r="BO93" s="84">
        <f t="shared" si="515"/>
        <v>21.478737223037818</v>
      </c>
      <c r="BP93" s="84">
        <f t="shared" si="515"/>
        <v>20.66750714048375</v>
      </c>
      <c r="BQ93" s="84">
        <f t="shared" si="515"/>
        <v>23.191736840539267</v>
      </c>
      <c r="BR93" s="84">
        <f t="shared" si="515"/>
        <v>33.547531293321668</v>
      </c>
      <c r="BS93" s="84">
        <f t="shared" si="515"/>
        <v>31.336043349328904</v>
      </c>
      <c r="BT93" s="84">
        <f t="shared" si="515"/>
        <v>32.833368393315716</v>
      </c>
      <c r="BU93" s="84">
        <f t="shared" si="515"/>
        <v>23.978429189652402</v>
      </c>
      <c r="BV93" s="84">
        <f t="shared" si="515"/>
        <v>22.550019221799804</v>
      </c>
      <c r="BW93" s="84">
        <f t="shared" si="515"/>
        <v>20.924415136539661</v>
      </c>
      <c r="BX93" s="84">
        <f t="shared" si="515"/>
        <v>27.173535032944113</v>
      </c>
      <c r="BY93" s="84">
        <f t="shared" si="515"/>
        <v>44.133405685756507</v>
      </c>
      <c r="BZ93" s="84">
        <f t="shared" si="515"/>
        <v>46.637367734536753</v>
      </c>
      <c r="CA93" s="84">
        <f t="shared" si="515"/>
        <v>45.049125653560523</v>
      </c>
      <c r="CB93" s="84">
        <f t="shared" si="515"/>
        <v>26.484563446278671</v>
      </c>
      <c r="CC93" s="84">
        <f t="shared" si="515"/>
        <v>27.452562681587715</v>
      </c>
      <c r="CD93" s="84">
        <f t="shared" si="515"/>
        <v>20.435811210807994</v>
      </c>
      <c r="CE93" s="84">
        <f t="shared" si="515"/>
        <v>25.554867584838981</v>
      </c>
      <c r="CF93" s="84">
        <f t="shared" si="515"/>
        <v>21.708594622575841</v>
      </c>
      <c r="CG93" s="84">
        <f t="shared" si="515"/>
        <v>22.677825214693506</v>
      </c>
      <c r="CH93" s="84">
        <f t="shared" si="515"/>
        <v>18.541872640545627</v>
      </c>
      <c r="CI93" s="84">
        <f t="shared" si="515"/>
        <v>19.522304184014949</v>
      </c>
      <c r="CJ93" s="84">
        <f t="shared" si="515"/>
        <v>24.634649183774229</v>
      </c>
      <c r="CK93" s="84">
        <f t="shared" si="515"/>
        <v>27.715744644787996</v>
      </c>
      <c r="CL93" s="84">
        <f t="shared" si="515"/>
        <v>26.563028139794405</v>
      </c>
      <c r="CM93" s="84">
        <f t="shared" si="515"/>
        <v>21.608902308061463</v>
      </c>
      <c r="CN93" s="84">
        <f t="shared" si="515"/>
        <v>19.104643888722325</v>
      </c>
      <c r="CO93" s="84">
        <f t="shared" si="515"/>
        <v>19.486962437773052</v>
      </c>
      <c r="CP93" s="84">
        <f t="shared" si="515"/>
        <v>19.633946089133648</v>
      </c>
      <c r="CQ93" s="84">
        <f t="shared" si="515"/>
        <v>19.329736514976929</v>
      </c>
      <c r="CR93" s="84">
        <f t="shared" si="515"/>
        <v>20.362521089629375</v>
      </c>
      <c r="CS93" s="84">
        <f t="shared" si="515"/>
        <v>17.287177267460279</v>
      </c>
      <c r="CT93" s="84">
        <f t="shared" si="515"/>
        <v>16.161093820566634</v>
      </c>
      <c r="CU93" s="84">
        <f t="shared" ref="CU93:DF93" si="516">1/CU92*12</f>
        <v>16.673022196654266</v>
      </c>
      <c r="CV93" s="84">
        <f t="shared" si="516"/>
        <v>21.388834928767167</v>
      </c>
      <c r="CW93" s="84">
        <f t="shared" si="516"/>
        <v>25.640535543656306</v>
      </c>
      <c r="CX93" s="84">
        <f t="shared" si="516"/>
        <v>27.127612920321098</v>
      </c>
      <c r="CY93" s="84">
        <f t="shared" si="516"/>
        <v>24.128662555059485</v>
      </c>
      <c r="CZ93" s="84">
        <f t="shared" si="516"/>
        <v>21.099743358629485</v>
      </c>
      <c r="DA93" s="84">
        <f t="shared" si="516"/>
        <v>20.897570464911169</v>
      </c>
      <c r="DB93" s="84">
        <f t="shared" si="516"/>
        <v>21.36931509251982</v>
      </c>
      <c r="DC93" s="84">
        <f t="shared" si="516"/>
        <v>20.046586387046606</v>
      </c>
      <c r="DD93" s="84">
        <f t="shared" si="516"/>
        <v>19.211672541583035</v>
      </c>
      <c r="DE93" s="84">
        <f t="shared" si="516"/>
        <v>15.710027656808773</v>
      </c>
      <c r="DF93" s="84">
        <f t="shared" si="516"/>
        <v>14.419010796936181</v>
      </c>
      <c r="DG93" s="84">
        <f t="shared" si="515"/>
        <v>15.171081608168901</v>
      </c>
      <c r="DH93" s="84">
        <f t="shared" si="515"/>
        <v>16.995024255531781</v>
      </c>
      <c r="DI93" s="84">
        <f t="shared" si="515"/>
        <v>17.197535389898182</v>
      </c>
      <c r="DJ93" s="84">
        <f t="shared" si="515"/>
        <v>16.943536929559588</v>
      </c>
      <c r="DK93" s="84">
        <f t="shared" si="515"/>
        <v>16.561876001287878</v>
      </c>
      <c r="DL93" s="84">
        <f t="shared" si="515"/>
        <v>16.468471733516793</v>
      </c>
      <c r="DM93" s="84">
        <f t="shared" si="515"/>
        <v>17.016441143166578</v>
      </c>
      <c r="DN93" s="84">
        <f t="shared" si="515"/>
        <v>18.145214817502968</v>
      </c>
      <c r="DO93" s="84">
        <f t="shared" si="515"/>
        <v>17.809697664968407</v>
      </c>
      <c r="DP93" s="84">
        <f t="shared" si="515"/>
        <v>18.068180255022572</v>
      </c>
      <c r="DQ93" s="84">
        <f t="shared" ref="DQ93:DR93" si="517">1/DQ92*12</f>
        <v>15.459141623658034</v>
      </c>
      <c r="DR93" s="84">
        <f t="shared" si="517"/>
        <v>14.773724058060555</v>
      </c>
      <c r="DS93" s="84">
        <f t="shared" ref="DS93:EQ93" si="518">1/DS92*12</f>
        <v>15.747745559127189</v>
      </c>
      <c r="DT93" s="84">
        <f t="shared" si="518"/>
        <v>17.971278637414901</v>
      </c>
      <c r="DU93" s="84">
        <f t="shared" si="518"/>
        <v>18.449310720775141</v>
      </c>
      <c r="DV93" s="84">
        <f t="shared" si="518"/>
        <v>18.003877052895461</v>
      </c>
      <c r="DW93" s="84">
        <f t="shared" si="518"/>
        <v>17.140048229771192</v>
      </c>
      <c r="DX93" s="84">
        <f t="shared" si="518"/>
        <v>16.472958402629917</v>
      </c>
      <c r="DY93" s="84">
        <f t="shared" si="518"/>
        <v>16.552233619447129</v>
      </c>
      <c r="DZ93" s="84">
        <f t="shared" si="518"/>
        <v>17.14979682824665</v>
      </c>
      <c r="EA93" s="84">
        <f t="shared" si="518"/>
        <v>16.378850063636424</v>
      </c>
      <c r="EB93" s="84">
        <f t="shared" si="518"/>
        <v>16.384246901837443</v>
      </c>
      <c r="EC93" s="84">
        <f t="shared" si="518"/>
        <v>13.885654523753519</v>
      </c>
      <c r="ED93" s="84">
        <f t="shared" si="518"/>
        <v>13.130961471792595</v>
      </c>
      <c r="EE93" s="84">
        <f t="shared" si="518"/>
        <v>13.73347880912138</v>
      </c>
      <c r="EF93" s="84">
        <f t="shared" si="518"/>
        <v>15.221274099326216</v>
      </c>
      <c r="EG93" s="84">
        <f t="shared" si="518"/>
        <v>15.381555580433247</v>
      </c>
      <c r="EH93" s="84">
        <f t="shared" si="518"/>
        <v>15.035788717170178</v>
      </c>
      <c r="EI93" s="84">
        <f t="shared" si="518"/>
        <v>14.65656980108287</v>
      </c>
      <c r="EJ93" s="84">
        <f t="shared" si="518"/>
        <v>14.352002789854076</v>
      </c>
      <c r="EK93" s="84">
        <f t="shared" si="518"/>
        <v>14.587087170316439</v>
      </c>
      <c r="EL93" s="84">
        <f t="shared" si="518"/>
        <v>15.273664852542245</v>
      </c>
      <c r="EM93" s="84">
        <f t="shared" si="518"/>
        <v>14.785794529251607</v>
      </c>
      <c r="EN93" s="84">
        <f t="shared" si="518"/>
        <v>14.983127480046665</v>
      </c>
      <c r="EO93" s="84">
        <f t="shared" si="518"/>
        <v>12.876582873837883</v>
      </c>
      <c r="EP93" s="84">
        <f t="shared" si="518"/>
        <v>12.311761785647374</v>
      </c>
      <c r="EQ93" s="84">
        <f t="shared" si="518"/>
        <v>13.051794760857092</v>
      </c>
      <c r="ER93" s="84">
        <f t="shared" ref="ER93:FB93" si="519">1/ER92*12</f>
        <v>14.654446752373728</v>
      </c>
      <c r="ES93" s="84">
        <f t="shared" si="519"/>
        <v>15.133849338676242</v>
      </c>
      <c r="ET93" s="84">
        <f t="shared" si="519"/>
        <v>14.955097394421621</v>
      </c>
      <c r="EU93" s="84">
        <f t="shared" si="519"/>
        <v>14.721557897837469</v>
      </c>
      <c r="EV93" s="84">
        <f t="shared" si="519"/>
        <v>14.545075644798043</v>
      </c>
      <c r="EW93" s="84">
        <f t="shared" si="519"/>
        <v>14.903630262083826</v>
      </c>
      <c r="EX93" s="84">
        <f t="shared" si="519"/>
        <v>15.739635639349425</v>
      </c>
      <c r="EY93" s="84">
        <f t="shared" si="519"/>
        <v>15.352081675393652</v>
      </c>
      <c r="EZ93" s="84">
        <f t="shared" si="519"/>
        <v>15.567729508182644</v>
      </c>
      <c r="FA93" s="84">
        <f t="shared" si="519"/>
        <v>13.374645789596087</v>
      </c>
      <c r="FB93" s="84">
        <f t="shared" si="519"/>
        <v>12.791887117877291</v>
      </c>
    </row>
    <row r="94" spans="3:158" x14ac:dyDescent="0.25">
      <c r="C94" s="2" t="s">
        <v>47</v>
      </c>
      <c r="D94" s="15">
        <f>Q94</f>
        <v>1.0844769529517551</v>
      </c>
      <c r="E94" s="15">
        <f>U94</f>
        <v>0.8141208085487639</v>
      </c>
      <c r="F94" s="15">
        <f>Y94</f>
        <v>0.72257617600472956</v>
      </c>
      <c r="G94" s="80">
        <f>AD94</f>
        <v>0.93069902565787388</v>
      </c>
      <c r="H94" s="15">
        <f>AG94</f>
        <v>0.8752168702598031</v>
      </c>
      <c r="I94" s="80">
        <f>AK94</f>
        <v>1.012512074805378</v>
      </c>
      <c r="J94" s="80">
        <f>AO94</f>
        <v>1.0386316243727804</v>
      </c>
      <c r="K94" s="80">
        <f>AS94</f>
        <v>1.14821867212732</v>
      </c>
      <c r="L94" s="80">
        <f>AW94</f>
        <v>1.0992172091201309</v>
      </c>
      <c r="M94" s="2"/>
      <c r="N94" s="79"/>
      <c r="O94" s="79"/>
      <c r="P94" s="79"/>
      <c r="Q94" s="80">
        <f>SUM(N88:Q88)/SUM(N43:P43,N46:P46,1509300)</f>
        <v>1.0844769529517551</v>
      </c>
      <c r="R94" s="80">
        <f t="shared" ref="R94:AW94" si="520">SUM(O88:R88)/SUM(N43:Q43,N46:Q46)</f>
        <v>0.87981463460660736</v>
      </c>
      <c r="S94" s="80">
        <f t="shared" si="520"/>
        <v>0.90273681048527898</v>
      </c>
      <c r="T94" s="80">
        <f t="shared" si="520"/>
        <v>0.84963958180237587</v>
      </c>
      <c r="U94" s="80">
        <f t="shared" si="520"/>
        <v>0.8141208085487639</v>
      </c>
      <c r="V94" s="80">
        <f t="shared" si="520"/>
        <v>0.74555941886280919</v>
      </c>
      <c r="W94" s="80">
        <f t="shared" si="520"/>
        <v>0.6907566866903937</v>
      </c>
      <c r="X94" s="80">
        <f t="shared" si="520"/>
        <v>0.69897372850828376</v>
      </c>
      <c r="Y94" s="80">
        <f t="shared" si="520"/>
        <v>0.72257617600472956</v>
      </c>
      <c r="Z94" s="80">
        <f t="shared" si="520"/>
        <v>0.76867095151062637</v>
      </c>
      <c r="AA94" s="80">
        <f t="shared" si="520"/>
        <v>0.84345715402602095</v>
      </c>
      <c r="AB94" s="80">
        <f t="shared" si="520"/>
        <v>0.90509162922268849</v>
      </c>
      <c r="AC94" s="80">
        <f t="shared" si="520"/>
        <v>0.97084117732350927</v>
      </c>
      <c r="AD94" s="80">
        <f t="shared" si="520"/>
        <v>0.93069902565787388</v>
      </c>
      <c r="AE94" s="80">
        <f t="shared" si="520"/>
        <v>0.88518947492945887</v>
      </c>
      <c r="AF94" s="80">
        <f t="shared" si="520"/>
        <v>0.85651404825471689</v>
      </c>
      <c r="AG94" s="80">
        <f t="shared" si="520"/>
        <v>0.8752168702598031</v>
      </c>
      <c r="AH94" s="80">
        <f t="shared" si="520"/>
        <v>0.94405339131431187</v>
      </c>
      <c r="AI94" s="80">
        <f t="shared" si="520"/>
        <v>0.99687629261631117</v>
      </c>
      <c r="AJ94" s="80">
        <f t="shared" si="520"/>
        <v>1.0116371145195364</v>
      </c>
      <c r="AK94" s="80">
        <f t="shared" si="520"/>
        <v>1.012512074805378</v>
      </c>
      <c r="AL94" s="80">
        <f t="shared" si="520"/>
        <v>0.98777440960140306</v>
      </c>
      <c r="AM94" s="80">
        <f t="shared" si="520"/>
        <v>0.98480889612089784</v>
      </c>
      <c r="AN94" s="80">
        <f t="shared" si="520"/>
        <v>0.99793079636511106</v>
      </c>
      <c r="AO94" s="80">
        <f t="shared" si="520"/>
        <v>1.0386316243727804</v>
      </c>
      <c r="AP94" s="80">
        <f t="shared" si="520"/>
        <v>1.070633728841081</v>
      </c>
      <c r="AQ94" s="80">
        <f t="shared" si="520"/>
        <v>1.1036247899270912</v>
      </c>
      <c r="AR94" s="80">
        <f t="shared" si="520"/>
        <v>1.1209799457143859</v>
      </c>
      <c r="AS94" s="80">
        <f t="shared" si="520"/>
        <v>1.14821867212732</v>
      </c>
      <c r="AT94" s="80">
        <f t="shared" si="520"/>
        <v>1.1410214815024275</v>
      </c>
      <c r="AU94" s="80">
        <f t="shared" si="520"/>
        <v>1.1271841587685294</v>
      </c>
      <c r="AV94" s="80">
        <f t="shared" si="520"/>
        <v>1.1050181767671174</v>
      </c>
      <c r="AW94" s="80">
        <f t="shared" si="520"/>
        <v>1.0992172091201309</v>
      </c>
      <c r="AX94" s="2"/>
      <c r="AY94" s="79"/>
      <c r="AZ94" s="79"/>
      <c r="BA94" s="79"/>
      <c r="BB94" s="79"/>
      <c r="BC94" s="79"/>
      <c r="BD94" s="79"/>
      <c r="BE94" s="79"/>
      <c r="BF94" s="79"/>
      <c r="BG94" s="79"/>
      <c r="BH94" s="79"/>
      <c r="BI94" s="79"/>
      <c r="BJ94" s="15">
        <f>SUM(AY88:BJ88)/SUM(AY43:BG43,AY46:BG46,1509300)</f>
        <v>1.0844769529517551</v>
      </c>
      <c r="BK94" s="15">
        <f>SUM(AZ88:BK88)/SUM(AY43:BH43,AY46:BH46,1006200)</f>
        <v>1.0328616627209506</v>
      </c>
      <c r="BL94" s="15">
        <f>SUM(BA88:BL88)/SUM(AY43:BI43,AY46:BI46,503100)</f>
        <v>0.94718758594390284</v>
      </c>
      <c r="BM94" s="15">
        <f t="shared" ref="BM94:CR94" si="521">SUM(BB88:BM88)/SUM(AY43:BJ43,AY46:BJ46)</f>
        <v>0.87981463460660736</v>
      </c>
      <c r="BN94" s="15">
        <f t="shared" si="521"/>
        <v>0.86468117467760286</v>
      </c>
      <c r="BO94" s="15">
        <f t="shared" si="521"/>
        <v>0.89971464937348955</v>
      </c>
      <c r="BP94" s="15">
        <f t="shared" si="521"/>
        <v>0.90273681048527865</v>
      </c>
      <c r="BQ94" s="15">
        <f t="shared" si="521"/>
        <v>0.86401870168138339</v>
      </c>
      <c r="BR94" s="15">
        <f t="shared" si="521"/>
        <v>0.83421384643988372</v>
      </c>
      <c r="BS94" s="15">
        <f t="shared" si="521"/>
        <v>0.84963958180237542</v>
      </c>
      <c r="BT94" s="15">
        <f t="shared" si="521"/>
        <v>0.80240377886841596</v>
      </c>
      <c r="BU94" s="15">
        <f t="shared" si="521"/>
        <v>0.78470595241422025</v>
      </c>
      <c r="BV94" s="15">
        <f t="shared" si="521"/>
        <v>0.81412080854876401</v>
      </c>
      <c r="BW94" s="15">
        <f t="shared" si="521"/>
        <v>0.80339688172882384</v>
      </c>
      <c r="BX94" s="15">
        <f t="shared" si="521"/>
        <v>0.7878197314622789</v>
      </c>
      <c r="BY94" s="15">
        <f t="shared" si="521"/>
        <v>0.7455594188628093</v>
      </c>
      <c r="BZ94" s="15">
        <f t="shared" si="521"/>
        <v>0.71771637679192701</v>
      </c>
      <c r="CA94" s="15">
        <f t="shared" si="521"/>
        <v>0.65519604168920231</v>
      </c>
      <c r="CB94" s="15">
        <f t="shared" si="521"/>
        <v>0.69075668669039381</v>
      </c>
      <c r="CC94" s="15">
        <f t="shared" si="521"/>
        <v>0.66806935815550539</v>
      </c>
      <c r="CD94" s="15">
        <f t="shared" si="521"/>
        <v>0.72206163186116012</v>
      </c>
      <c r="CE94" s="15">
        <f t="shared" si="521"/>
        <v>0.69897372850828354</v>
      </c>
      <c r="CF94" s="15">
        <f t="shared" si="521"/>
        <v>0.71615409516706507</v>
      </c>
      <c r="CG94" s="15">
        <f t="shared" si="521"/>
        <v>0.70666107061470051</v>
      </c>
      <c r="CH94" s="15">
        <f t="shared" si="521"/>
        <v>0.72257617600472968</v>
      </c>
      <c r="CI94" s="15">
        <f t="shared" si="521"/>
        <v>0.71876954158223094</v>
      </c>
      <c r="CJ94" s="15">
        <f t="shared" si="521"/>
        <v>0.71670254683324741</v>
      </c>
      <c r="CK94" s="15">
        <f t="shared" si="521"/>
        <v>0.76867095151062637</v>
      </c>
      <c r="CL94" s="15">
        <f t="shared" si="521"/>
        <v>0.78433243230615302</v>
      </c>
      <c r="CM94" s="15">
        <f t="shared" si="521"/>
        <v>0.82888949902718734</v>
      </c>
      <c r="CN94" s="15">
        <f t="shared" si="521"/>
        <v>0.84345715402602095</v>
      </c>
      <c r="CO94" s="15">
        <f t="shared" si="521"/>
        <v>0.86124472154520348</v>
      </c>
      <c r="CP94" s="15">
        <f t="shared" si="521"/>
        <v>0.85649149288460213</v>
      </c>
      <c r="CQ94" s="15">
        <f t="shared" si="521"/>
        <v>0.9050916292226886</v>
      </c>
      <c r="CR94" s="15">
        <f t="shared" si="521"/>
        <v>0.88013539045533418</v>
      </c>
      <c r="CS94" s="15">
        <f t="shared" ref="CS94:DX94" si="522">SUM(CH88:CS88)/SUM(CE43:CP43,CE46:CP46)</f>
        <v>0.93752266401178697</v>
      </c>
      <c r="CT94" s="15">
        <f t="shared" si="522"/>
        <v>0.97084117732350927</v>
      </c>
      <c r="CU94" s="15">
        <f t="shared" si="522"/>
        <v>0.93922338623011803</v>
      </c>
      <c r="CV94" s="15">
        <f t="shared" si="522"/>
        <v>0.93183641837858777</v>
      </c>
      <c r="CW94" s="15">
        <f t="shared" si="522"/>
        <v>0.93069902565787477</v>
      </c>
      <c r="CX94" s="15">
        <f t="shared" si="522"/>
        <v>0.87884241607775893</v>
      </c>
      <c r="CY94" s="15">
        <f t="shared" si="522"/>
        <v>0.86867444245724934</v>
      </c>
      <c r="CZ94" s="15">
        <f t="shared" si="522"/>
        <v>0.88518947492945954</v>
      </c>
      <c r="DA94" s="15">
        <f t="shared" si="522"/>
        <v>0.84495820855045933</v>
      </c>
      <c r="DB94" s="15">
        <f t="shared" si="522"/>
        <v>0.83153073161405855</v>
      </c>
      <c r="DC94" s="15">
        <f t="shared" si="522"/>
        <v>0.85651404825471722</v>
      </c>
      <c r="DD94" s="15">
        <f t="shared" si="522"/>
        <v>0.83919427518284473</v>
      </c>
      <c r="DE94" s="15">
        <f t="shared" si="522"/>
        <v>0.84422037742395617</v>
      </c>
      <c r="DF94" s="15">
        <f t="shared" si="522"/>
        <v>0.8752168702598031</v>
      </c>
      <c r="DG94" s="15">
        <f t="shared" si="522"/>
        <v>0.85312000709435898</v>
      </c>
      <c r="DH94" s="15">
        <f t="shared" si="522"/>
        <v>0.88131010401720078</v>
      </c>
      <c r="DI94" s="15">
        <f t="shared" si="522"/>
        <v>0.94405339131431165</v>
      </c>
      <c r="DJ94" s="15">
        <f t="shared" si="522"/>
        <v>0.94275016286229874</v>
      </c>
      <c r="DK94" s="15">
        <f t="shared" si="522"/>
        <v>0.96225870920469647</v>
      </c>
      <c r="DL94" s="15">
        <f t="shared" si="522"/>
        <v>0.99687629261631128</v>
      </c>
      <c r="DM94" s="15">
        <f t="shared" si="522"/>
        <v>0.98288068806209361</v>
      </c>
      <c r="DN94" s="15">
        <f t="shared" si="522"/>
        <v>0.98646647259623554</v>
      </c>
      <c r="DO94" s="15">
        <f t="shared" si="522"/>
        <v>1.0116371145195362</v>
      </c>
      <c r="DP94" s="15">
        <f t="shared" si="522"/>
        <v>0.98683662968975894</v>
      </c>
      <c r="DQ94" s="15">
        <f t="shared" si="522"/>
        <v>0.994142846285335</v>
      </c>
      <c r="DR94" s="15">
        <f t="shared" si="522"/>
        <v>1.012512074805378</v>
      </c>
      <c r="DS94" s="15">
        <f t="shared" si="522"/>
        <v>0.98178937638612107</v>
      </c>
      <c r="DT94" s="15">
        <f t="shared" si="522"/>
        <v>0.97527224789420575</v>
      </c>
      <c r="DU94" s="15">
        <f t="shared" si="522"/>
        <v>0.98777440960140317</v>
      </c>
      <c r="DV94" s="15">
        <f t="shared" si="522"/>
        <v>0.96241677868428177</v>
      </c>
      <c r="DW94" s="15">
        <f t="shared" si="522"/>
        <v>0.96364091783847872</v>
      </c>
      <c r="DX94" s="15">
        <f t="shared" si="522"/>
        <v>0.98480889612089784</v>
      </c>
      <c r="DY94" s="15">
        <f t="shared" ref="DY94:FB94" si="523">SUM(DN88:DY88)/SUM(DK43:DV43,DK46:DV46)</f>
        <v>0.96665796391924408</v>
      </c>
      <c r="DZ94" s="15">
        <f t="shared" si="523"/>
        <v>0.96989213258306395</v>
      </c>
      <c r="EA94" s="15">
        <f t="shared" si="523"/>
        <v>0.99793079636511106</v>
      </c>
      <c r="EB94" s="15">
        <f t="shared" si="523"/>
        <v>0.98361313459255573</v>
      </c>
      <c r="EC94" s="15">
        <f t="shared" si="523"/>
        <v>1.003932025496431</v>
      </c>
      <c r="ED94" s="15">
        <f t="shared" si="523"/>
        <v>1.0386316243727804</v>
      </c>
      <c r="EE94" s="15">
        <f t="shared" si="523"/>
        <v>1.0238518011765907</v>
      </c>
      <c r="EF94" s="15">
        <f t="shared" si="523"/>
        <v>1.0360928713189157</v>
      </c>
      <c r="EG94" s="15">
        <f t="shared" si="523"/>
        <v>1.0706337288410803</v>
      </c>
      <c r="EH94" s="15">
        <f t="shared" si="523"/>
        <v>1.0597083546456345</v>
      </c>
      <c r="EI94" s="15">
        <f t="shared" si="523"/>
        <v>1.0725041770384942</v>
      </c>
      <c r="EJ94" s="15">
        <f t="shared" si="523"/>
        <v>1.103624789927091</v>
      </c>
      <c r="EK94" s="15">
        <f t="shared" si="523"/>
        <v>1.0879193457407739</v>
      </c>
      <c r="EL94" s="15">
        <f t="shared" si="523"/>
        <v>1.0923728437114071</v>
      </c>
      <c r="EM94" s="15">
        <f t="shared" si="523"/>
        <v>1.1209799457143854</v>
      </c>
      <c r="EN94" s="15">
        <f t="shared" si="523"/>
        <v>1.1025633391839065</v>
      </c>
      <c r="EO94" s="15">
        <f t="shared" si="523"/>
        <v>1.1188523850759531</v>
      </c>
      <c r="EP94" s="15">
        <f t="shared" si="523"/>
        <v>1.1482186721273195</v>
      </c>
      <c r="EQ94" s="15">
        <f t="shared" si="523"/>
        <v>1.1210219786096187</v>
      </c>
      <c r="ER94" s="15">
        <f t="shared" si="523"/>
        <v>1.1210016882428606</v>
      </c>
      <c r="ES94" s="15">
        <f t="shared" si="523"/>
        <v>1.1410214815024271</v>
      </c>
      <c r="ET94" s="15">
        <f t="shared" si="523"/>
        <v>1.1135764631241682</v>
      </c>
      <c r="EU94" s="15">
        <f t="shared" si="523"/>
        <v>1.1110468491586452</v>
      </c>
      <c r="EV94" s="15">
        <f t="shared" si="523"/>
        <v>1.1271841587685285</v>
      </c>
      <c r="EW94" s="15">
        <f t="shared" si="523"/>
        <v>1.0983407498365667</v>
      </c>
      <c r="EX94" s="15">
        <f t="shared" si="523"/>
        <v>1.089950431329896</v>
      </c>
      <c r="EY94" s="15">
        <f t="shared" si="523"/>
        <v>1.1050181767671181</v>
      </c>
      <c r="EZ94" s="15">
        <f t="shared" si="523"/>
        <v>1.0768268983841225</v>
      </c>
      <c r="FA94" s="15">
        <f t="shared" si="523"/>
        <v>1.0818295722430622</v>
      </c>
      <c r="FB94" s="15">
        <f t="shared" si="523"/>
        <v>1.0992172091201311</v>
      </c>
    </row>
    <row r="96" spans="3:158" x14ac:dyDescent="0.25">
      <c r="C96" s="6" t="s">
        <v>2</v>
      </c>
      <c r="M96" s="6"/>
      <c r="AX96" s="6"/>
    </row>
    <row r="97" spans="3:158" x14ac:dyDescent="0.25">
      <c r="C97" s="2" t="s">
        <v>48</v>
      </c>
      <c r="D97" s="63">
        <f t="shared" ref="D97:L97" si="524">(D9+D12+D13)/D9</f>
        <v>1.3340311322710687</v>
      </c>
      <c r="E97" s="63">
        <f t="shared" si="524"/>
        <v>1.2518848056961256</v>
      </c>
      <c r="F97" s="63">
        <f t="shared" si="524"/>
        <v>1.1654440034484099</v>
      </c>
      <c r="G97" s="63">
        <f t="shared" si="524"/>
        <v>1.2960651883044938</v>
      </c>
      <c r="H97" s="63">
        <f t="shared" si="524"/>
        <v>1.274389666770624</v>
      </c>
      <c r="I97" s="63">
        <f t="shared" si="524"/>
        <v>1.2762831682230023</v>
      </c>
      <c r="J97" s="63">
        <f t="shared" si="524"/>
        <v>1.2862854875459073</v>
      </c>
      <c r="K97" s="63">
        <f t="shared" si="524"/>
        <v>1.2913632386692333</v>
      </c>
      <c r="L97" s="63">
        <f t="shared" si="524"/>
        <v>1.2912851468712028</v>
      </c>
      <c r="M97" s="2"/>
      <c r="N97" s="78"/>
      <c r="O97" s="78"/>
      <c r="P97" s="78"/>
      <c r="Q97" s="63">
        <f>(N9+(SUM(N12:Q13)))/N9</f>
        <v>1.3340311322710687</v>
      </c>
      <c r="R97" s="63">
        <f t="shared" ref="R97:AW97" si="525">(O9+(SUM(O12:R13)))/O9</f>
        <v>1.2891653497236233</v>
      </c>
      <c r="S97" s="63">
        <f t="shared" si="525"/>
        <v>1.309561528748016</v>
      </c>
      <c r="T97" s="63">
        <f t="shared" si="525"/>
        <v>1.2668121609654523</v>
      </c>
      <c r="U97" s="63">
        <f t="shared" si="525"/>
        <v>1.2518848056961256</v>
      </c>
      <c r="V97" s="63">
        <f t="shared" si="525"/>
        <v>1.2165722401005568</v>
      </c>
      <c r="W97" s="63">
        <f t="shared" si="525"/>
        <v>1.168881434981861</v>
      </c>
      <c r="X97" s="63">
        <f t="shared" si="525"/>
        <v>1.1796307199730092</v>
      </c>
      <c r="Y97" s="63">
        <f t="shared" si="525"/>
        <v>1.1654440034484099</v>
      </c>
      <c r="Z97" s="63">
        <f t="shared" si="525"/>
        <v>1.1742017975480512</v>
      </c>
      <c r="AA97" s="63">
        <f t="shared" si="525"/>
        <v>1.2169414912584586</v>
      </c>
      <c r="AB97" s="63">
        <f t="shared" si="525"/>
        <v>1.2529794534888594</v>
      </c>
      <c r="AC97" s="63">
        <f t="shared" si="525"/>
        <v>1.2960651883044938</v>
      </c>
      <c r="AD97" s="63">
        <f t="shared" si="525"/>
        <v>1.3186037637418742</v>
      </c>
      <c r="AE97" s="63">
        <f t="shared" si="525"/>
        <v>1.3091306576196038</v>
      </c>
      <c r="AF97" s="63">
        <f t="shared" si="525"/>
        <v>1.2872456857065522</v>
      </c>
      <c r="AG97" s="63">
        <f t="shared" si="525"/>
        <v>1.2757940147775639</v>
      </c>
      <c r="AH97" s="63">
        <f t="shared" si="525"/>
        <v>1.2782819367050082</v>
      </c>
      <c r="AI97" s="63">
        <f t="shared" si="525"/>
        <v>1.2839379431708391</v>
      </c>
      <c r="AJ97" s="63">
        <f t="shared" si="525"/>
        <v>1.2838650258378874</v>
      </c>
      <c r="AK97" s="63">
        <f t="shared" si="525"/>
        <v>1.2771959410548277</v>
      </c>
      <c r="AL97" s="63">
        <f t="shared" si="525"/>
        <v>1.2793534401512812</v>
      </c>
      <c r="AM97" s="63">
        <f t="shared" si="525"/>
        <v>1.2822933321243395</v>
      </c>
      <c r="AN97" s="63">
        <f t="shared" si="525"/>
        <v>1.2845863706281371</v>
      </c>
      <c r="AO97" s="63">
        <f t="shared" si="525"/>
        <v>1.2869083452107295</v>
      </c>
      <c r="AP97" s="63">
        <f t="shared" si="525"/>
        <v>1.2878993260176554</v>
      </c>
      <c r="AQ97" s="63">
        <f t="shared" si="525"/>
        <v>1.2894266053215324</v>
      </c>
      <c r="AR97" s="63">
        <f t="shared" si="525"/>
        <v>1.2906400826681603</v>
      </c>
      <c r="AS97" s="63">
        <f t="shared" si="525"/>
        <v>1.2917872721914154</v>
      </c>
      <c r="AT97" s="63">
        <f t="shared" si="525"/>
        <v>1.2915622332972401</v>
      </c>
      <c r="AU97" s="63">
        <f t="shared" si="525"/>
        <v>1.2916236610747649</v>
      </c>
      <c r="AV97" s="63">
        <f t="shared" si="525"/>
        <v>1.2917016295962713</v>
      </c>
      <c r="AW97" s="63">
        <f t="shared" si="525"/>
        <v>1.2915731905089365</v>
      </c>
      <c r="AX97" s="2"/>
      <c r="AY97" s="63">
        <f t="shared" ref="AY97:CD97" si="526">(AY9+(AY12+AY13)*12)/AY9</f>
        <v>1.0235815327282778</v>
      </c>
      <c r="AZ97" s="63">
        <f t="shared" si="526"/>
        <v>1.1749422386466448</v>
      </c>
      <c r="BA97" s="63">
        <f t="shared" si="526"/>
        <v>1.4867000713017207</v>
      </c>
      <c r="BB97" s="63">
        <f t="shared" si="526"/>
        <v>1.0559281025975844</v>
      </c>
      <c r="BC97" s="63">
        <f t="shared" si="526"/>
        <v>1.2443079855944619</v>
      </c>
      <c r="BD97" s="63">
        <f t="shared" si="526"/>
        <v>1.359653057667584</v>
      </c>
      <c r="BE97" s="63">
        <f t="shared" si="526"/>
        <v>1.1591901764629486</v>
      </c>
      <c r="BF97" s="63">
        <f t="shared" si="526"/>
        <v>1.1109474267408206</v>
      </c>
      <c r="BG97" s="63">
        <f t="shared" si="526"/>
        <v>1.3958309572935734</v>
      </c>
      <c r="BH97" s="63">
        <f t="shared" si="526"/>
        <v>0.99539495710870485</v>
      </c>
      <c r="BI97" s="63">
        <f t="shared" si="526"/>
        <v>1.4957917171539907</v>
      </c>
      <c r="BJ97" s="63">
        <f t="shared" si="526"/>
        <v>1.2043801553551188</v>
      </c>
      <c r="BK97" s="63">
        <f t="shared" si="526"/>
        <v>1.0755669906281073</v>
      </c>
      <c r="BL97" s="63">
        <f t="shared" si="526"/>
        <v>1.0484516877948258</v>
      </c>
      <c r="BM97" s="63">
        <f t="shared" si="526"/>
        <v>1.2772585226132926</v>
      </c>
      <c r="BN97" s="63">
        <f t="shared" si="526"/>
        <v>0.98297568158930804</v>
      </c>
      <c r="BO97" s="63">
        <f t="shared" si="526"/>
        <v>1.5848670241829288</v>
      </c>
      <c r="BP97" s="63">
        <f t="shared" si="526"/>
        <v>1.2342221610250177</v>
      </c>
      <c r="BQ97" s="63">
        <f t="shared" si="526"/>
        <v>1.0789774087454724</v>
      </c>
      <c r="BR97" s="63">
        <f t="shared" si="526"/>
        <v>1.0544161135765497</v>
      </c>
      <c r="BS97" s="63">
        <f t="shared" si="526"/>
        <v>1.2476084357700152</v>
      </c>
      <c r="BT97" s="63">
        <f t="shared" si="526"/>
        <v>1.0408230694125946</v>
      </c>
      <c r="BU97" s="63">
        <f t="shared" si="526"/>
        <v>1.3143298825941487</v>
      </c>
      <c r="BV97" s="63">
        <f t="shared" si="526"/>
        <v>1.307298859200396</v>
      </c>
      <c r="BW97" s="63">
        <f t="shared" si="526"/>
        <v>1.0722534977715246</v>
      </c>
      <c r="BX97" s="63">
        <f t="shared" si="526"/>
        <v>1.0632724255301391</v>
      </c>
      <c r="BY97" s="63">
        <f t="shared" si="526"/>
        <v>1.0897835274531738</v>
      </c>
      <c r="BZ97" s="63">
        <f t="shared" si="526"/>
        <v>1.0657630836131409</v>
      </c>
      <c r="CA97" s="63">
        <f t="shared" si="526"/>
        <v>1.0343323816710208</v>
      </c>
      <c r="CB97" s="63">
        <f t="shared" si="526"/>
        <v>1.2801223067953567</v>
      </c>
      <c r="CC97" s="63">
        <f t="shared" si="526"/>
        <v>0.96066862339500469</v>
      </c>
      <c r="CD97" s="63">
        <f t="shared" si="526"/>
        <v>1.2741189906013484</v>
      </c>
      <c r="CE97" s="63">
        <f t="shared" ref="CE97:DJ97" si="527">(CE9+(CE12+CE13)*12)/CE9</f>
        <v>1.2637496880892762</v>
      </c>
      <c r="CF97" s="63">
        <f t="shared" si="527"/>
        <v>1.0940981746839071</v>
      </c>
      <c r="CG97" s="63">
        <f t="shared" si="527"/>
        <v>1.1724165592583307</v>
      </c>
      <c r="CH97" s="63">
        <f t="shared" si="527"/>
        <v>1.2641166810822826</v>
      </c>
      <c r="CI97" s="63">
        <f t="shared" si="527"/>
        <v>1.04014600732359</v>
      </c>
      <c r="CJ97" s="63">
        <f t="shared" si="527"/>
        <v>1.0818453495111044</v>
      </c>
      <c r="CK97" s="63">
        <f t="shared" si="527"/>
        <v>1.2006523039418486</v>
      </c>
      <c r="CL97" s="63">
        <f t="shared" si="527"/>
        <v>1.1332644268910432</v>
      </c>
      <c r="CM97" s="63">
        <f t="shared" si="527"/>
        <v>1.2406926858782543</v>
      </c>
      <c r="CN97" s="63">
        <f t="shared" si="527"/>
        <v>1.3932580348113108</v>
      </c>
      <c r="CO97" s="63">
        <f t="shared" si="527"/>
        <v>1.1192738075005677</v>
      </c>
      <c r="CP97" s="63">
        <f t="shared" si="527"/>
        <v>1.2878564479160721</v>
      </c>
      <c r="CQ97" s="63">
        <f t="shared" si="527"/>
        <v>1.3693662209840525</v>
      </c>
      <c r="CR97" s="63">
        <f t="shared" si="527"/>
        <v>1.0851577718128009</v>
      </c>
      <c r="CS97" s="63">
        <f t="shared" si="527"/>
        <v>1.3713708409043455</v>
      </c>
      <c r="CT97" s="63">
        <f t="shared" si="527"/>
        <v>1.4387578599113711</v>
      </c>
      <c r="CU97" s="63">
        <f t="shared" si="527"/>
        <v>1.0570934730974182</v>
      </c>
      <c r="CV97" s="63">
        <f t="shared" si="527"/>
        <v>1.1636126062281187</v>
      </c>
      <c r="CW97" s="63">
        <f t="shared" si="527"/>
        <v>1.3228979615003471</v>
      </c>
      <c r="CX97" s="63">
        <f t="shared" si="527"/>
        <v>1.098266278216343</v>
      </c>
      <c r="CY97" s="63">
        <f t="shared" si="527"/>
        <v>1.2577648548443974</v>
      </c>
      <c r="CZ97" s="63">
        <f t="shared" si="527"/>
        <v>1.3340943764953239</v>
      </c>
      <c r="DA97" s="63">
        <f t="shared" si="527"/>
        <v>1.0817305856219193</v>
      </c>
      <c r="DB97" s="63">
        <f t="shared" si="527"/>
        <v>1.1976727557348257</v>
      </c>
      <c r="DC97" s="63">
        <f t="shared" si="527"/>
        <v>1.3439585146851594</v>
      </c>
      <c r="DD97" s="63">
        <f t="shared" si="527"/>
        <v>1.1176337139054469</v>
      </c>
      <c r="DE97" s="63">
        <f t="shared" si="527"/>
        <v>1.3346446127676344</v>
      </c>
      <c r="DF97" s="63">
        <f t="shared" si="527"/>
        <v>1.3839888687100244</v>
      </c>
      <c r="DG97" s="63">
        <f t="shared" si="527"/>
        <v>1.0650833826186272</v>
      </c>
      <c r="DH97" s="63">
        <f t="shared" si="527"/>
        <v>1.1720222749292395</v>
      </c>
      <c r="DI97" s="63">
        <f t="shared" si="527"/>
        <v>1.3320231346040177</v>
      </c>
      <c r="DJ97" s="63">
        <f t="shared" si="527"/>
        <v>1.114648015384168</v>
      </c>
      <c r="DK97" s="63">
        <f t="shared" ref="DK97:EP97" si="528">(DK9+(DK12+DK13)*12)/DK9</f>
        <v>1.274774968555471</v>
      </c>
      <c r="DL97" s="63">
        <f t="shared" si="528"/>
        <v>1.3509401923807522</v>
      </c>
      <c r="DM97" s="63">
        <f t="shared" si="528"/>
        <v>1.0822600027713638</v>
      </c>
      <c r="DN97" s="63">
        <f t="shared" si="528"/>
        <v>1.1992472992422185</v>
      </c>
      <c r="DO97" s="63">
        <f t="shared" si="528"/>
        <v>1.3472581464160243</v>
      </c>
      <c r="DP97" s="63">
        <f t="shared" si="528"/>
        <v>1.1005068460876</v>
      </c>
      <c r="DQ97" s="63">
        <f t="shared" si="528"/>
        <v>1.3216720266886188</v>
      </c>
      <c r="DR97" s="63">
        <f t="shared" si="528"/>
        <v>1.3745975362202449</v>
      </c>
      <c r="DS97" s="63">
        <f t="shared" si="528"/>
        <v>1.0688230917337931</v>
      </c>
      <c r="DT97" s="63">
        <f t="shared" si="528"/>
        <v>1.1783746702411113</v>
      </c>
      <c r="DU97" s="63">
        <f t="shared" si="528"/>
        <v>1.3443110615818001</v>
      </c>
      <c r="DV97" s="63">
        <f t="shared" si="528"/>
        <v>1.1208373195615875</v>
      </c>
      <c r="DW97" s="63">
        <f t="shared" si="528"/>
        <v>1.2838870491879255</v>
      </c>
      <c r="DX97" s="63">
        <f t="shared" si="528"/>
        <v>1.3646580146062504</v>
      </c>
      <c r="DY97" s="63">
        <f t="shared" si="528"/>
        <v>1.0877769387610443</v>
      </c>
      <c r="DZ97" s="63">
        <f t="shared" si="528"/>
        <v>1.2071458070974268</v>
      </c>
      <c r="EA97" s="63">
        <f t="shared" si="528"/>
        <v>1.3608808212006507</v>
      </c>
      <c r="EB97" s="63">
        <f t="shared" si="528"/>
        <v>1.1065005076449159</v>
      </c>
      <c r="EC97" s="63">
        <f t="shared" si="528"/>
        <v>1.3376083057842305</v>
      </c>
      <c r="ED97" s="63">
        <f t="shared" si="528"/>
        <v>1.392096316895455</v>
      </c>
      <c r="EE97" s="63">
        <f t="shared" si="528"/>
        <v>1.0711215637718883</v>
      </c>
      <c r="EF97" s="63">
        <f t="shared" si="528"/>
        <v>1.1816803147554875</v>
      </c>
      <c r="EG97" s="63">
        <f t="shared" si="528"/>
        <v>1.350807429653675</v>
      </c>
      <c r="EH97" s="63">
        <f t="shared" si="528"/>
        <v>1.1246915610004697</v>
      </c>
      <c r="EI97" s="63">
        <f t="shared" si="528"/>
        <v>1.2886159772945331</v>
      </c>
      <c r="EJ97" s="63">
        <f t="shared" si="528"/>
        <v>1.3725001175393838</v>
      </c>
      <c r="EK97" s="63">
        <f t="shared" si="528"/>
        <v>1.0915090370540605</v>
      </c>
      <c r="EL97" s="63">
        <f t="shared" si="528"/>
        <v>1.2118139200383859</v>
      </c>
      <c r="EM97" s="63">
        <f t="shared" si="528"/>
        <v>1.368996261818487</v>
      </c>
      <c r="EN97" s="63">
        <f t="shared" si="528"/>
        <v>1.1105582083430106</v>
      </c>
      <c r="EO97" s="63">
        <f t="shared" si="528"/>
        <v>1.3480109031269296</v>
      </c>
      <c r="EP97" s="63">
        <f t="shared" si="528"/>
        <v>1.4035126549987931</v>
      </c>
      <c r="EQ97" s="63">
        <f t="shared" ref="EQ97:FB97" si="529">(EQ9+(EQ12+EQ13)*12)/EQ9</f>
        <v>1.0718887695361705</v>
      </c>
      <c r="ER97" s="63">
        <f t="shared" si="529"/>
        <v>1.1817692349674551</v>
      </c>
      <c r="ES97" s="63">
        <f t="shared" si="529"/>
        <v>1.3511723676485623</v>
      </c>
      <c r="ET97" s="63">
        <f t="shared" si="529"/>
        <v>1.1260429489896675</v>
      </c>
      <c r="EU97" s="63">
        <f t="shared" si="529"/>
        <v>1.2886840286836796</v>
      </c>
      <c r="EV97" s="63">
        <f t="shared" si="529"/>
        <v>1.3740494148104796</v>
      </c>
      <c r="EW97" s="63">
        <f t="shared" si="529"/>
        <v>1.0932964889254049</v>
      </c>
      <c r="EX97" s="63">
        <f t="shared" si="529"/>
        <v>1.2130012118476337</v>
      </c>
      <c r="EY97" s="63">
        <f t="shared" si="529"/>
        <v>1.3711642461778051</v>
      </c>
      <c r="EZ97" s="63">
        <f t="shared" si="529"/>
        <v>1.1124930874231314</v>
      </c>
      <c r="FA97" s="63">
        <f t="shared" si="529"/>
        <v>1.3523672278213801</v>
      </c>
      <c r="FB97" s="63">
        <f t="shared" si="529"/>
        <v>1.4082682619606479</v>
      </c>
    </row>
    <row r="98" spans="3:158" x14ac:dyDescent="0.25">
      <c r="C98" s="2" t="s">
        <v>224</v>
      </c>
      <c r="D98" s="63">
        <f t="shared" ref="D98:L98" si="530">1+D13/D9</f>
        <v>0.89315597974013727</v>
      </c>
      <c r="E98" s="63">
        <f t="shared" si="530"/>
        <v>0.90518391184000779</v>
      </c>
      <c r="F98" s="63">
        <f t="shared" si="530"/>
        <v>0.89739537275154613</v>
      </c>
      <c r="G98" s="63">
        <f t="shared" si="530"/>
        <v>0.91920087624650437</v>
      </c>
      <c r="H98" s="63">
        <f t="shared" si="530"/>
        <v>0.92027146413190886</v>
      </c>
      <c r="I98" s="63">
        <f t="shared" si="530"/>
        <v>0.919603216063831</v>
      </c>
      <c r="J98" s="63">
        <f t="shared" si="530"/>
        <v>0.92296648499560185</v>
      </c>
      <c r="K98" s="63">
        <f t="shared" si="530"/>
        <v>0.92645368293619412</v>
      </c>
      <c r="L98" s="63">
        <f t="shared" si="530"/>
        <v>0.93000028025074521</v>
      </c>
      <c r="M98" s="2"/>
      <c r="N98" s="78"/>
      <c r="O98" s="78"/>
      <c r="P98" s="78"/>
      <c r="Q98" s="63">
        <f>1+(SUM(N13:Q13)/N9)</f>
        <v>0.89315597974013716</v>
      </c>
      <c r="R98" s="63">
        <f t="shared" ref="R98" si="531">1+(SUM(O13:R13)/O9)</f>
        <v>0.88448195666420559</v>
      </c>
      <c r="S98" s="63">
        <f t="shared" ref="S98" si="532">1+(SUM(P13:S13)/P9)</f>
        <v>0.88373583714264281</v>
      </c>
      <c r="T98" s="63">
        <f t="shared" ref="T98" si="533">1+(SUM(Q13:T13)/Q9)</f>
        <v>0.89025487201036768</v>
      </c>
      <c r="U98" s="63">
        <f t="shared" ref="U98" si="534">1+(SUM(R13:U13)/R9)</f>
        <v>0.90518391184000779</v>
      </c>
      <c r="V98" s="63">
        <f t="shared" ref="V98" si="535">1+(SUM(S13:V13)/S9)</f>
        <v>0.90644773912418997</v>
      </c>
      <c r="W98" s="63">
        <f t="shared" ref="W98" si="536">1+(SUM(T13:W13)/T9)</f>
        <v>0.90465638068121579</v>
      </c>
      <c r="X98" s="63">
        <f t="shared" ref="X98" si="537">1+(SUM(U13:X13)/U9)</f>
        <v>0.89627150710548831</v>
      </c>
      <c r="Y98" s="63">
        <f t="shared" ref="Y98" si="538">1+(SUM(V13:Y13)/V9)</f>
        <v>0.89739537275154613</v>
      </c>
      <c r="Z98" s="63">
        <f t="shared" ref="Z98" si="539">1+(SUM(W13:Z13)/W9)</f>
        <v>0.89451076530073459</v>
      </c>
      <c r="AA98" s="63">
        <f t="shared" ref="AA98" si="540">1+(SUM(X13:AA13)/X9)</f>
        <v>0.90545413069763769</v>
      </c>
      <c r="AB98" s="63">
        <f t="shared" ref="AB98" si="541">1+(SUM(Y13:AB13)/Y9)</f>
        <v>0.91402252477247337</v>
      </c>
      <c r="AC98" s="63">
        <f t="shared" ref="AC98" si="542">1+(SUM(Z13:AC13)/Z9)</f>
        <v>0.91920087624650437</v>
      </c>
      <c r="AD98" s="63">
        <f t="shared" ref="AD98" si="543">1+(SUM(AA13:AD13)/AA9)</f>
        <v>0.91961305512340641</v>
      </c>
      <c r="AE98" s="63">
        <f t="shared" ref="AE98" si="544">1+(SUM(AB13:AE13)/AB9)</f>
        <v>0.91835432597890942</v>
      </c>
      <c r="AF98" s="63">
        <f t="shared" ref="AF98" si="545">1+(SUM(AC13:AF13)/AC9)</f>
        <v>0.92168855760436186</v>
      </c>
      <c r="AG98" s="63">
        <f t="shared" ref="AG98" si="546">1+(SUM(AD13:AG13)/AD9)</f>
        <v>0.9198634071822418</v>
      </c>
      <c r="AH98" s="63">
        <f t="shared" ref="AH98" si="547">1+(SUM(AE13:AH13)/AE9)</f>
        <v>0.91838450120359194</v>
      </c>
      <c r="AI98" s="63">
        <f t="shared" ref="AI98" si="548">1+(SUM(AF13:AI13)/AF9)</f>
        <v>0.91853945819218874</v>
      </c>
      <c r="AJ98" s="63">
        <f t="shared" ref="AJ98" si="549">1+(SUM(AG13:AJ13)/AG9)</f>
        <v>0.91927285359344346</v>
      </c>
      <c r="AK98" s="63">
        <f t="shared" ref="AK98" si="550">1+(SUM(AH13:AK13)/AH9)</f>
        <v>0.91933760451530611</v>
      </c>
      <c r="AL98" s="63">
        <f t="shared" ref="AL98" si="551">1+(SUM(AI13:AL13)/AI9)</f>
        <v>0.91929300043156881</v>
      </c>
      <c r="AM98" s="63">
        <f t="shared" ref="AM98" si="552">1+(SUM(AJ13:AM13)/AJ9)</f>
        <v>0.92091536955390174</v>
      </c>
      <c r="AN98" s="63">
        <f t="shared" ref="AN98" si="553">1+(SUM(AK13:AN13)/AK9)</f>
        <v>0.92231205482832723</v>
      </c>
      <c r="AO98" s="63">
        <f t="shared" ref="AO98" si="554">1+(SUM(AL13:AO13)/AL9)</f>
        <v>0.92279888685543776</v>
      </c>
      <c r="AP98" s="63">
        <f t="shared" ref="AP98" si="555">1+(SUM(AM13:AP13)/AM9)</f>
        <v>0.92285252053630829</v>
      </c>
      <c r="AQ98" s="63">
        <f t="shared" ref="AQ98" si="556">1+(SUM(AN13:AQ13)/AN9)</f>
        <v>0.92443338088624771</v>
      </c>
      <c r="AR98" s="63">
        <f t="shared" ref="AR98" si="557">1+(SUM(AO13:AR13)/AO9)</f>
        <v>0.92579396450830953</v>
      </c>
      <c r="AS98" s="63">
        <f t="shared" ref="AS98" si="558">1+(SUM(AP13:AS13)/AP9)</f>
        <v>0.92634664780022247</v>
      </c>
      <c r="AT98" s="63">
        <f t="shared" ref="AT98" si="559">1+(SUM(AQ13:AT13)/AQ9)</f>
        <v>0.92648138552355053</v>
      </c>
      <c r="AU98" s="63">
        <f t="shared" ref="AU98" si="560">1+(SUM(AR13:AU13)/AR9)</f>
        <v>0.92800988540117735</v>
      </c>
      <c r="AV98" s="63">
        <f t="shared" ref="AV98" si="561">1+(SUM(AS13:AV13)/AS9)</f>
        <v>0.92932609650928255</v>
      </c>
      <c r="AW98" s="63">
        <f t="shared" ref="AW98" si="562">1+(SUM(AT13:AW13)/AT9)</f>
        <v>0.92993105950903054</v>
      </c>
      <c r="AX98" s="2"/>
      <c r="AY98" s="63">
        <f t="shared" ref="AY98:CD98" si="563">1+(AY13/AY9*12)</f>
        <v>0.94536242299163986</v>
      </c>
      <c r="AZ98" s="63">
        <f t="shared" si="563"/>
        <v>0.93125200399898134</v>
      </c>
      <c r="BA98" s="63">
        <f t="shared" si="563"/>
        <v>0.90908538472058309</v>
      </c>
      <c r="BB98" s="63">
        <f t="shared" si="563"/>
        <v>0.96028243927710022</v>
      </c>
      <c r="BC98" s="63">
        <f t="shared" si="563"/>
        <v>0.98668907310709675</v>
      </c>
      <c r="BD98" s="63">
        <f t="shared" si="563"/>
        <v>0.87068279633310441</v>
      </c>
      <c r="BE98" s="63">
        <f t="shared" si="563"/>
        <v>0.96356233091330135</v>
      </c>
      <c r="BF98" s="63">
        <f t="shared" si="563"/>
        <v>0.96580815678735044</v>
      </c>
      <c r="BG98" s="63">
        <f t="shared" si="563"/>
        <v>0.92492284240606348</v>
      </c>
      <c r="BH98" s="63">
        <f t="shared" si="563"/>
        <v>0.94694763710920304</v>
      </c>
      <c r="BI98" s="63">
        <f t="shared" si="563"/>
        <v>0.85633552668793578</v>
      </c>
      <c r="BJ98" s="63">
        <f t="shared" si="563"/>
        <v>0.89464898443053953</v>
      </c>
      <c r="BK98" s="63">
        <f t="shared" si="563"/>
        <v>0.95750255089335867</v>
      </c>
      <c r="BL98" s="63">
        <f t="shared" si="563"/>
        <v>0.93317081340463248</v>
      </c>
      <c r="BM98" s="63">
        <f t="shared" si="563"/>
        <v>0.8420625280130698</v>
      </c>
      <c r="BN98" s="63">
        <f t="shared" si="563"/>
        <v>0.92515308017115161</v>
      </c>
      <c r="BO98" s="63">
        <f t="shared" si="563"/>
        <v>0.93896026707923685</v>
      </c>
      <c r="BP98" s="63">
        <f t="shared" si="563"/>
        <v>0.90139310018538299</v>
      </c>
      <c r="BQ98" s="63">
        <f t="shared" si="563"/>
        <v>0.96683449847649949</v>
      </c>
      <c r="BR98" s="63">
        <f t="shared" si="563"/>
        <v>0.94869983008415171</v>
      </c>
      <c r="BS98" s="63">
        <f t="shared" si="563"/>
        <v>0.92855771339302973</v>
      </c>
      <c r="BT98" s="63">
        <f t="shared" si="563"/>
        <v>0.94216152101023343</v>
      </c>
      <c r="BU98" s="63">
        <f t="shared" si="563"/>
        <v>0.94121132119544981</v>
      </c>
      <c r="BV98" s="63">
        <f t="shared" si="563"/>
        <v>0.9004587994281662</v>
      </c>
      <c r="BW98" s="63">
        <f t="shared" si="563"/>
        <v>0.93395390373611942</v>
      </c>
      <c r="BX98" s="63">
        <f t="shared" si="563"/>
        <v>0.93300976725073292</v>
      </c>
      <c r="BY98" s="63">
        <f t="shared" si="563"/>
        <v>0.89217828692992007</v>
      </c>
      <c r="BZ98" s="63">
        <f t="shared" si="563"/>
        <v>0.89168578712971758</v>
      </c>
      <c r="CA98" s="63">
        <f t="shared" si="563"/>
        <v>0.89467958532903058</v>
      </c>
      <c r="CB98" s="63">
        <f t="shared" si="563"/>
        <v>0.92854640480319739</v>
      </c>
      <c r="CC98" s="63">
        <f t="shared" si="563"/>
        <v>0.86859653762894606</v>
      </c>
      <c r="CD98" s="63">
        <f t="shared" si="563"/>
        <v>0.93879567093949035</v>
      </c>
      <c r="CE98" s="63">
        <f t="shared" ref="CE98:DJ98" si="564">1+(CE13/CE9*12)</f>
        <v>0.92662300813631082</v>
      </c>
      <c r="CF98" s="63">
        <f t="shared" si="564"/>
        <v>0.95023786081421857</v>
      </c>
      <c r="CG98" s="63">
        <f t="shared" si="564"/>
        <v>0.86882663105307467</v>
      </c>
      <c r="CH98" s="63">
        <f t="shared" si="564"/>
        <v>0.92028047206433783</v>
      </c>
      <c r="CI98" s="63">
        <f t="shared" si="564"/>
        <v>0.93929286159622327</v>
      </c>
      <c r="CJ98" s="63">
        <f t="shared" si="564"/>
        <v>0.91968512721315832</v>
      </c>
      <c r="CK98" s="63">
        <f t="shared" si="564"/>
        <v>0.8928632224350892</v>
      </c>
      <c r="CL98" s="63">
        <f t="shared" si="564"/>
        <v>0.93454647830174808</v>
      </c>
      <c r="CM98" s="63">
        <f t="shared" si="564"/>
        <v>0.9378337304716331</v>
      </c>
      <c r="CN98" s="63">
        <f t="shared" si="564"/>
        <v>0.94213912495367524</v>
      </c>
      <c r="CO98" s="63">
        <f t="shared" si="564"/>
        <v>0.97129890744903102</v>
      </c>
      <c r="CP98" s="63">
        <f t="shared" si="564"/>
        <v>0.95012191660739609</v>
      </c>
      <c r="CQ98" s="63">
        <f t="shared" si="564"/>
        <v>0.91098693229097905</v>
      </c>
      <c r="CR98" s="63">
        <f t="shared" si="564"/>
        <v>0.97085813561189505</v>
      </c>
      <c r="CS98" s="63">
        <f t="shared" si="564"/>
        <v>0.9216330780065588</v>
      </c>
      <c r="CT98" s="63">
        <f t="shared" si="564"/>
        <v>0.91301194594207602</v>
      </c>
      <c r="CU98" s="63">
        <f t="shared" si="564"/>
        <v>0.95717283064561065</v>
      </c>
      <c r="CV98" s="63">
        <f t="shared" si="564"/>
        <v>0.94643055348274063</v>
      </c>
      <c r="CW98" s="63">
        <f t="shared" si="564"/>
        <v>0.90291420357313401</v>
      </c>
      <c r="CX98" s="63">
        <f t="shared" si="564"/>
        <v>0.93891168556580129</v>
      </c>
      <c r="CY98" s="63">
        <f t="shared" si="564"/>
        <v>0.95085573361169473</v>
      </c>
      <c r="CZ98" s="63">
        <f t="shared" si="564"/>
        <v>0.9128338739275399</v>
      </c>
      <c r="DA98" s="63">
        <f t="shared" si="564"/>
        <v>0.9449095018768916</v>
      </c>
      <c r="DB98" s="63">
        <f t="shared" si="564"/>
        <v>0.95744706339634111</v>
      </c>
      <c r="DC98" s="63">
        <f t="shared" si="564"/>
        <v>0.93462130206062977</v>
      </c>
      <c r="DD98" s="63">
        <f t="shared" si="564"/>
        <v>0.95100529732691141</v>
      </c>
      <c r="DE98" s="63">
        <f t="shared" si="564"/>
        <v>0.89909000200454836</v>
      </c>
      <c r="DF98" s="63">
        <f t="shared" si="564"/>
        <v>0.9102106241529565</v>
      </c>
      <c r="DG98" s="63">
        <f t="shared" si="564"/>
        <v>0.95689182743506673</v>
      </c>
      <c r="DH98" s="63">
        <f t="shared" si="564"/>
        <v>0.9460977381095218</v>
      </c>
      <c r="DI98" s="63">
        <f t="shared" si="564"/>
        <v>0.90226308740313643</v>
      </c>
      <c r="DJ98" s="63">
        <f t="shared" si="564"/>
        <v>0.93838679958556559</v>
      </c>
      <c r="DK98" s="63">
        <f t="shared" ref="DK98:EP98" si="565">1+(DK13/DK9*12)</f>
        <v>0.95048553168987127</v>
      </c>
      <c r="DL98" s="63">
        <f t="shared" si="565"/>
        <v>0.91217702908586751</v>
      </c>
      <c r="DM98" s="63">
        <f t="shared" si="565"/>
        <v>0.9444468305286664</v>
      </c>
      <c r="DN98" s="63">
        <f t="shared" si="565"/>
        <v>0.9570487197567642</v>
      </c>
      <c r="DO98" s="63">
        <f t="shared" si="565"/>
        <v>0.93390461612286135</v>
      </c>
      <c r="DP98" s="63">
        <f t="shared" si="565"/>
        <v>0.95034129051265026</v>
      </c>
      <c r="DQ98" s="63">
        <f t="shared" si="565"/>
        <v>0.89735489559660464</v>
      </c>
      <c r="DR98" s="63">
        <f t="shared" si="565"/>
        <v>0.9082221630963252</v>
      </c>
      <c r="DS98" s="63">
        <f t="shared" si="565"/>
        <v>0.958741630624245</v>
      </c>
      <c r="DT98" s="63">
        <f t="shared" si="565"/>
        <v>0.94838383333964371</v>
      </c>
      <c r="DU98" s="63">
        <f t="shared" si="565"/>
        <v>0.90629734037103682</v>
      </c>
      <c r="DV98" s="63">
        <f t="shared" si="565"/>
        <v>0.94080213981654348</v>
      </c>
      <c r="DW98" s="63">
        <f t="shared" si="565"/>
        <v>0.95238840904709521</v>
      </c>
      <c r="DX98" s="63">
        <f t="shared" si="565"/>
        <v>0.91541558304038384</v>
      </c>
      <c r="DY98" s="63">
        <f t="shared" si="565"/>
        <v>0.94638737101319836</v>
      </c>
      <c r="DZ98" s="63">
        <f t="shared" si="565"/>
        <v>0.95852646434744815</v>
      </c>
      <c r="EA98" s="63">
        <f t="shared" si="565"/>
        <v>0.93610949934672516</v>
      </c>
      <c r="EB98" s="63">
        <f t="shared" si="565"/>
        <v>0.95191244733019276</v>
      </c>
      <c r="EC98" s="63">
        <f t="shared" si="565"/>
        <v>0.90054588212870956</v>
      </c>
      <c r="ED98" s="63">
        <f t="shared" si="565"/>
        <v>0.91093060432172235</v>
      </c>
      <c r="EE98" s="63">
        <f t="shared" si="565"/>
        <v>0.96063765032596504</v>
      </c>
      <c r="EF98" s="63">
        <f t="shared" si="565"/>
        <v>0.9507306774655665</v>
      </c>
      <c r="EG98" s="63">
        <f t="shared" si="565"/>
        <v>0.91045309758860926</v>
      </c>
      <c r="EH98" s="63">
        <f t="shared" si="565"/>
        <v>0.94330631581458313</v>
      </c>
      <c r="EI98" s="63">
        <f t="shared" si="565"/>
        <v>0.95436625765667782</v>
      </c>
      <c r="EJ98" s="63">
        <f t="shared" si="565"/>
        <v>0.91879850948994934</v>
      </c>
      <c r="EK98" s="63">
        <f t="shared" si="565"/>
        <v>0.94842764084144182</v>
      </c>
      <c r="EL98" s="63">
        <f t="shared" si="565"/>
        <v>0.96008311931757939</v>
      </c>
      <c r="EM98" s="63">
        <f t="shared" si="565"/>
        <v>0.93844057991571572</v>
      </c>
      <c r="EN98" s="63">
        <f t="shared" si="565"/>
        <v>0.95358378621332274</v>
      </c>
      <c r="EO98" s="63">
        <f t="shared" si="565"/>
        <v>0.90394758419983889</v>
      </c>
      <c r="EP98" s="63">
        <f t="shared" si="565"/>
        <v>0.91383564538562612</v>
      </c>
      <c r="EQ98" s="63">
        <f t="shared" ref="EQ98:FB98" si="566">1+(EQ13/EQ9*12)</f>
        <v>0.9625532571903358</v>
      </c>
      <c r="ER98" s="63">
        <f t="shared" si="566"/>
        <v>0.95310474925305266</v>
      </c>
      <c r="ES98" s="63">
        <f t="shared" si="566"/>
        <v>0.91466902560636865</v>
      </c>
      <c r="ET98" s="63">
        <f t="shared" si="566"/>
        <v>0.94586017815744028</v>
      </c>
      <c r="EU98" s="63">
        <f t="shared" si="566"/>
        <v>0.95638741980922315</v>
      </c>
      <c r="EV98" s="63">
        <f t="shared" si="566"/>
        <v>0.92226950478653447</v>
      </c>
      <c r="EW98" s="63">
        <f t="shared" si="566"/>
        <v>0.95053191122116187</v>
      </c>
      <c r="EX98" s="63">
        <f t="shared" si="566"/>
        <v>0.9616909587056226</v>
      </c>
      <c r="EY98" s="63">
        <f t="shared" si="566"/>
        <v>0.94085520929983391</v>
      </c>
      <c r="EZ98" s="63">
        <f t="shared" si="566"/>
        <v>0.95532335244789301</v>
      </c>
      <c r="FA98" s="63">
        <f t="shared" si="566"/>
        <v>0.90749383923664606</v>
      </c>
      <c r="FB98" s="63">
        <f t="shared" si="566"/>
        <v>0.91687815573802534</v>
      </c>
    </row>
    <row r="99" spans="3:158" x14ac:dyDescent="0.25">
      <c r="C99" s="2" t="s">
        <v>49</v>
      </c>
      <c r="D99" s="63">
        <f>D109/D106</f>
        <v>-0.12127659574468085</v>
      </c>
      <c r="E99" s="63">
        <f t="shared" ref="E99:I99" si="567">E109/E106</f>
        <v>-0.15658362989323843</v>
      </c>
      <c r="F99" s="63">
        <f t="shared" si="567"/>
        <v>-0.15340086830680175</v>
      </c>
      <c r="G99" s="63">
        <f t="shared" si="567"/>
        <v>-0.1590755293130196</v>
      </c>
      <c r="H99" s="63">
        <f t="shared" si="567"/>
        <v>-0.10833407744543999</v>
      </c>
      <c r="I99" s="63">
        <f t="shared" si="567"/>
        <v>-9.8734223006669716E-2</v>
      </c>
      <c r="J99" s="63">
        <f t="shared" ref="J99:L99" si="568">J109/J106</f>
        <v>-8.2329466465480575E-2</v>
      </c>
      <c r="K99" s="63">
        <f t="shared" si="568"/>
        <v>-6.6835561514149308E-2</v>
      </c>
      <c r="L99" s="63">
        <f t="shared" si="568"/>
        <v>-5.2861377303893953E-2</v>
      </c>
      <c r="M99" s="2"/>
      <c r="N99" s="78"/>
      <c r="O99" s="78"/>
      <c r="P99" s="78"/>
      <c r="Q99" s="63">
        <f>SUM(N109:Q109)/N106</f>
        <v>-0.12127659574468085</v>
      </c>
      <c r="R99" s="63">
        <f>SUM(O109:R109)/O106</f>
        <v>-0.1171003717472119</v>
      </c>
      <c r="S99" s="63">
        <f>SUM(P109:S109)/P106</f>
        <v>-0.14563106796116504</v>
      </c>
      <c r="T99" s="63">
        <f>SUM(Q109:T109)/Q106</f>
        <v>-0.15362731152204837</v>
      </c>
      <c r="U99" s="63">
        <f>SUM(R109:U109)/R106</f>
        <v>-0.15658362989323843</v>
      </c>
      <c r="V99" s="63">
        <f t="shared" ref="V99:AW99" si="569">SUM(S109:V109)/S106</f>
        <v>-0.15436241610738255</v>
      </c>
      <c r="W99" s="63">
        <f t="shared" si="569"/>
        <v>-0.1569468267581475</v>
      </c>
      <c r="X99" s="63">
        <f t="shared" si="569"/>
        <v>-0.16060126582278481</v>
      </c>
      <c r="Y99" s="63">
        <f t="shared" si="569"/>
        <v>-0.15340086830680175</v>
      </c>
      <c r="Z99" s="63">
        <f t="shared" si="569"/>
        <v>-0.14933705512909978</v>
      </c>
      <c r="AA99" s="63">
        <f t="shared" si="569"/>
        <v>-0.14118412491867274</v>
      </c>
      <c r="AB99" s="63">
        <f t="shared" si="569"/>
        <v>-0.14565415038279067</v>
      </c>
      <c r="AC99" s="63">
        <f t="shared" si="569"/>
        <v>-0.15907552931301963</v>
      </c>
      <c r="AD99" s="63">
        <f t="shared" si="569"/>
        <v>-0.15039322188583557</v>
      </c>
      <c r="AE99" s="63">
        <f t="shared" si="569"/>
        <v>-0.14125512328524309</v>
      </c>
      <c r="AF99" s="63">
        <f t="shared" si="569"/>
        <v>-0.12330116440944115</v>
      </c>
      <c r="AG99" s="63">
        <f t="shared" si="569"/>
        <v>-0.10833407744544002</v>
      </c>
      <c r="AH99" s="63">
        <f t="shared" si="569"/>
        <v>-0.1071542886473386</v>
      </c>
      <c r="AI99" s="63">
        <f t="shared" si="569"/>
        <v>-0.10445728511023136</v>
      </c>
      <c r="AJ99" s="63">
        <f t="shared" si="569"/>
        <v>-0.10168507067123249</v>
      </c>
      <c r="AK99" s="63">
        <f t="shared" si="569"/>
        <v>-9.8734223006669702E-2</v>
      </c>
      <c r="AL99" s="63">
        <f t="shared" si="569"/>
        <v>-9.5433376723431204E-2</v>
      </c>
      <c r="AM99" s="63">
        <f t="shared" si="569"/>
        <v>-9.0695633949097396E-2</v>
      </c>
      <c r="AN99" s="63">
        <f t="shared" si="569"/>
        <v>-8.6741432851992553E-2</v>
      </c>
      <c r="AO99" s="63">
        <f t="shared" si="569"/>
        <v>-8.2329466465480575E-2</v>
      </c>
      <c r="AP99" s="63">
        <f t="shared" si="569"/>
        <v>-7.9109137713556391E-2</v>
      </c>
      <c r="AQ99" s="63">
        <f t="shared" si="569"/>
        <v>-7.4802177118154498E-2</v>
      </c>
      <c r="AR99" s="63">
        <f t="shared" si="569"/>
        <v>-7.1182269983128765E-2</v>
      </c>
      <c r="AS99" s="63">
        <f t="shared" si="569"/>
        <v>-6.6835561514149308E-2</v>
      </c>
      <c r="AT99" s="63">
        <f t="shared" si="569"/>
        <v>-6.3879406769981495E-2</v>
      </c>
      <c r="AU99" s="63">
        <f t="shared" si="569"/>
        <v>-6.0118423914683264E-2</v>
      </c>
      <c r="AV99" s="63">
        <f t="shared" si="569"/>
        <v>-5.6929390864451972E-2</v>
      </c>
      <c r="AW99" s="63">
        <f t="shared" si="569"/>
        <v>-5.2861377303893946E-2</v>
      </c>
      <c r="AX99" s="2"/>
      <c r="AY99" s="63">
        <f>AY109/AY106*12</f>
        <v>-0.10212765957446809</v>
      </c>
      <c r="AZ99" s="63">
        <f t="shared" ref="AZ99:DK99" si="570">AZ109/AZ106*12</f>
        <v>-0.15221987315010571</v>
      </c>
      <c r="BA99" s="63">
        <f t="shared" si="570"/>
        <v>-0.16833667334669339</v>
      </c>
      <c r="BB99" s="63">
        <f t="shared" si="570"/>
        <v>-6.6914498141263934E-2</v>
      </c>
      <c r="BC99" s="63">
        <f t="shared" si="570"/>
        <v>-4.3321299638989175E-2</v>
      </c>
      <c r="BD99" s="63">
        <f t="shared" si="570"/>
        <v>-6.1962134251290879E-2</v>
      </c>
      <c r="BE99" s="63">
        <f t="shared" si="570"/>
        <v>-1.9417475728155342E-2</v>
      </c>
      <c r="BF99" s="63">
        <f t="shared" si="570"/>
        <v>-9.4191522762951327E-2</v>
      </c>
      <c r="BG99" s="63">
        <f t="shared" si="570"/>
        <v>-9.1324200913242004E-2</v>
      </c>
      <c r="BH99" s="63">
        <f t="shared" si="570"/>
        <v>-3.4139402560455195E-2</v>
      </c>
      <c r="BI99" s="63">
        <f t="shared" si="570"/>
        <v>-0.14673913043478262</v>
      </c>
      <c r="BJ99" s="63">
        <f t="shared" si="570"/>
        <v>-0.15267175572519082</v>
      </c>
      <c r="BK99" s="63">
        <f t="shared" si="570"/>
        <v>-5.6939501779359435E-2</v>
      </c>
      <c r="BL99" s="63">
        <f t="shared" si="570"/>
        <v>-8.401400233372229E-2</v>
      </c>
      <c r="BM99" s="63">
        <f t="shared" si="570"/>
        <v>-0.1752808988764045</v>
      </c>
      <c r="BN99" s="63">
        <f t="shared" si="570"/>
        <v>-0.11505273250239695</v>
      </c>
      <c r="BO99" s="63">
        <f t="shared" si="570"/>
        <v>-0.13358070500927643</v>
      </c>
      <c r="BP99" s="63">
        <f t="shared" si="570"/>
        <v>-0.13965980304386749</v>
      </c>
      <c r="BQ99" s="63">
        <f t="shared" si="570"/>
        <v>-0.11320754716981132</v>
      </c>
      <c r="BR99" s="63">
        <f t="shared" si="570"/>
        <v>-5.0590219224283306E-2</v>
      </c>
      <c r="BS99" s="63">
        <f t="shared" si="570"/>
        <v>-0.12881915772089184</v>
      </c>
      <c r="BT99" s="63">
        <f t="shared" si="570"/>
        <v>-0.11392405063291139</v>
      </c>
      <c r="BU99" s="63">
        <f t="shared" si="570"/>
        <v>-0.14139827179890024</v>
      </c>
      <c r="BV99" s="63">
        <f t="shared" si="570"/>
        <v>-0.1630188679245283</v>
      </c>
      <c r="BW99" s="63">
        <f t="shared" si="570"/>
        <v>-0.14761215629522431</v>
      </c>
      <c r="BX99" s="63">
        <f t="shared" si="570"/>
        <v>-0.1384282624369142</v>
      </c>
      <c r="BY99" s="63">
        <f t="shared" si="570"/>
        <v>-0.1623931623931624</v>
      </c>
      <c r="BZ99" s="63">
        <f t="shared" si="570"/>
        <v>-0.1674808094905792</v>
      </c>
      <c r="CA99" s="63">
        <f t="shared" si="570"/>
        <v>-0.16517549896765313</v>
      </c>
      <c r="CB99" s="63">
        <f t="shared" si="570"/>
        <v>-0.13858695652173914</v>
      </c>
      <c r="CC99" s="63">
        <f t="shared" si="570"/>
        <v>-0.14053350683148991</v>
      </c>
      <c r="CD99" s="63">
        <f t="shared" si="570"/>
        <v>-0.10116731517509728</v>
      </c>
      <c r="CE99" s="63">
        <f t="shared" si="570"/>
        <v>-0.13696892834495877</v>
      </c>
      <c r="CF99" s="63">
        <f t="shared" si="570"/>
        <v>-0.17185554171855541</v>
      </c>
      <c r="CG99" s="63">
        <f t="shared" si="570"/>
        <v>-0.13382899628252787</v>
      </c>
      <c r="CH99" s="63">
        <f t="shared" si="570"/>
        <v>-9.4488188976377951E-2</v>
      </c>
      <c r="CI99" s="63">
        <f t="shared" si="570"/>
        <v>-0.13163972286374134</v>
      </c>
      <c r="CJ99" s="63">
        <f t="shared" si="570"/>
        <v>-9.6275071633237813E-2</v>
      </c>
      <c r="CK99" s="63">
        <f t="shared" si="570"/>
        <v>-0.14173228346456693</v>
      </c>
      <c r="CL99" s="63">
        <f t="shared" si="570"/>
        <v>-0.1758957654723127</v>
      </c>
      <c r="CM99" s="63">
        <f t="shared" si="570"/>
        <v>-0.11644204851752021</v>
      </c>
      <c r="CN99" s="63">
        <f t="shared" si="570"/>
        <v>-9.5036958817317829E-2</v>
      </c>
      <c r="CO99" s="63">
        <f t="shared" si="570"/>
        <v>-6.8605795026636801E-2</v>
      </c>
      <c r="CP99" s="63">
        <f t="shared" si="570"/>
        <v>-0.1118930498858282</v>
      </c>
      <c r="CQ99" s="63">
        <f t="shared" si="570"/>
        <v>-0.20580109082372855</v>
      </c>
      <c r="CR99" s="63">
        <f t="shared" si="570"/>
        <v>-8.4391400891068252E-2</v>
      </c>
      <c r="CS99" s="63">
        <f t="shared" si="570"/>
        <v>-0.18689293976188331</v>
      </c>
      <c r="CT99" s="63">
        <f t="shared" si="570"/>
        <v>-0.23350161645842377</v>
      </c>
      <c r="CU99" s="63">
        <f t="shared" ref="CU99:DF99" si="571">CU109/CU106*12</f>
        <v>-5.7896670153653532E-2</v>
      </c>
      <c r="CV99" s="63">
        <f t="shared" si="571"/>
        <v>-7.2812015376078995E-2</v>
      </c>
      <c r="CW99" s="63">
        <f t="shared" si="571"/>
        <v>-0.13333770386999877</v>
      </c>
      <c r="CX99" s="63">
        <f t="shared" si="571"/>
        <v>-8.5521048662119029E-2</v>
      </c>
      <c r="CY99" s="63">
        <f t="shared" si="571"/>
        <v>-6.9354592244837587E-2</v>
      </c>
      <c r="CZ99" s="63">
        <f t="shared" si="571"/>
        <v>-0.12459001496341854</v>
      </c>
      <c r="DA99" s="63">
        <f t="shared" si="571"/>
        <v>-8.0133645631892791E-2</v>
      </c>
      <c r="DB99" s="63">
        <f t="shared" si="571"/>
        <v>-6.2310901574745954E-2</v>
      </c>
      <c r="DC99" s="63">
        <f t="shared" si="571"/>
        <v>-9.6638990237766287E-2</v>
      </c>
      <c r="DD99" s="63">
        <f t="shared" si="571"/>
        <v>-7.3522764515402225E-2</v>
      </c>
      <c r="DE99" s="63">
        <f t="shared" si="571"/>
        <v>-0.15249310333013924</v>
      </c>
      <c r="DF99" s="63">
        <f t="shared" si="571"/>
        <v>-0.13793826251071006</v>
      </c>
      <c r="DG99" s="63">
        <f t="shared" si="570"/>
        <v>-5.276624749191549E-2</v>
      </c>
      <c r="DH99" s="63">
        <f t="shared" si="570"/>
        <v>-6.6339911789606326E-2</v>
      </c>
      <c r="DI99" s="63">
        <f t="shared" si="570"/>
        <v>-0.12156018433705806</v>
      </c>
      <c r="DJ99" s="63">
        <f t="shared" si="570"/>
        <v>-7.8116882887812114E-2</v>
      </c>
      <c r="DK99" s="63">
        <f t="shared" si="570"/>
        <v>-6.3300907277070093E-2</v>
      </c>
      <c r="DL99" s="63">
        <f t="shared" ref="DL99:FB99" si="572">DL109/DL106*12</f>
        <v>-0.11379074768717476</v>
      </c>
      <c r="DM99" s="63">
        <f t="shared" si="572"/>
        <v>-7.328451230602924E-2</v>
      </c>
      <c r="DN99" s="63">
        <f t="shared" si="572"/>
        <v>-5.7022284607573651E-2</v>
      </c>
      <c r="DO99" s="63">
        <f t="shared" si="572"/>
        <v>-8.8585355947727304E-2</v>
      </c>
      <c r="DP99" s="63">
        <f t="shared" si="572"/>
        <v>-6.7588296316333715E-2</v>
      </c>
      <c r="DQ99" s="63">
        <f t="shared" si="572"/>
        <v>-0.14059165450820582</v>
      </c>
      <c r="DR99" s="63">
        <f t="shared" si="572"/>
        <v>-0.12774435565157474</v>
      </c>
      <c r="DS99" s="63">
        <f t="shared" si="572"/>
        <v>-4.3999100525675301E-2</v>
      </c>
      <c r="DT99" s="63">
        <f t="shared" si="572"/>
        <v>-5.5356087486769172E-2</v>
      </c>
      <c r="DU99" s="63">
        <f t="shared" si="572"/>
        <v>-0.10164144967849659</v>
      </c>
      <c r="DV99" s="63">
        <f t="shared" si="572"/>
        <v>-6.5572231102371592E-2</v>
      </c>
      <c r="DW99" s="63">
        <f t="shared" si="572"/>
        <v>-5.3202368465188041E-2</v>
      </c>
      <c r="DX99" s="63">
        <f t="shared" si="572"/>
        <v>-9.5956797868521099E-2</v>
      </c>
      <c r="DY99" s="63">
        <f t="shared" si="572"/>
        <v>-6.2052290328452872E-2</v>
      </c>
      <c r="DZ99" s="63">
        <f t="shared" si="572"/>
        <v>-4.8322805567882279E-2</v>
      </c>
      <c r="EA99" s="63">
        <f t="shared" si="572"/>
        <v>-7.5247306249219631E-2</v>
      </c>
      <c r="EB99" s="63">
        <f t="shared" si="572"/>
        <v>-5.7644190682132501E-2</v>
      </c>
      <c r="EC99" s="63">
        <f t="shared" si="572"/>
        <v>-0.12003336105017827</v>
      </c>
      <c r="ED99" s="63">
        <f t="shared" si="572"/>
        <v>-0.10944913414444477</v>
      </c>
      <c r="EE99" s="63">
        <f t="shared" si="572"/>
        <v>-3.5718737360990918E-2</v>
      </c>
      <c r="EF99" s="63">
        <f t="shared" si="572"/>
        <v>-4.496971481303199E-2</v>
      </c>
      <c r="EG99" s="63">
        <f t="shared" si="572"/>
        <v>-8.2737346270741946E-2</v>
      </c>
      <c r="EH99" s="63">
        <f t="shared" si="572"/>
        <v>-5.3583370433335407E-2</v>
      </c>
      <c r="EI99" s="63">
        <f t="shared" si="572"/>
        <v>-4.3530197949610563E-2</v>
      </c>
      <c r="EJ99" s="63">
        <f t="shared" si="572"/>
        <v>-7.8772821352465799E-2</v>
      </c>
      <c r="EK99" s="63">
        <f t="shared" si="572"/>
        <v>-5.1149967849964922E-2</v>
      </c>
      <c r="EL99" s="63">
        <f t="shared" si="572"/>
        <v>-3.9866988048146333E-2</v>
      </c>
      <c r="EM99" s="63">
        <f t="shared" si="572"/>
        <v>-6.2228056743973387E-2</v>
      </c>
      <c r="EN99" s="63">
        <f t="shared" si="572"/>
        <v>-4.7867069884009086E-2</v>
      </c>
      <c r="EO99" s="63">
        <f t="shared" si="572"/>
        <v>-9.9783621212938503E-2</v>
      </c>
      <c r="EP99" s="63">
        <f t="shared" si="572"/>
        <v>-9.1316542516152996E-2</v>
      </c>
      <c r="EQ99" s="63">
        <f t="shared" si="572"/>
        <v>-2.8250554191249062E-2</v>
      </c>
      <c r="ER99" s="63">
        <f t="shared" si="572"/>
        <v>-3.558989601308557E-2</v>
      </c>
      <c r="ES99" s="63">
        <f t="shared" si="572"/>
        <v>-6.5600406866950692E-2</v>
      </c>
      <c r="ET99" s="63">
        <f t="shared" si="572"/>
        <v>-4.2635750265750713E-2</v>
      </c>
      <c r="EU99" s="63">
        <f t="shared" si="572"/>
        <v>-3.4677012132912001E-2</v>
      </c>
      <c r="EV99" s="63">
        <f t="shared" si="572"/>
        <v>-6.2944700428613498E-2</v>
      </c>
      <c r="EW99" s="63">
        <f t="shared" si="572"/>
        <v>-4.1029130989266319E-2</v>
      </c>
      <c r="EX99" s="63">
        <f t="shared" si="572"/>
        <v>-3.2004529910959666E-2</v>
      </c>
      <c r="EY99" s="63">
        <f t="shared" si="572"/>
        <v>-5.006735601425634E-2</v>
      </c>
      <c r="EZ99" s="63">
        <f t="shared" si="572"/>
        <v>-3.866265599049841E-2</v>
      </c>
      <c r="FA99" s="63">
        <f t="shared" si="572"/>
        <v>-8.0680212888679173E-2</v>
      </c>
      <c r="FB99" s="63">
        <f t="shared" si="572"/>
        <v>-7.4090936176515437E-2</v>
      </c>
    </row>
    <row r="100" spans="3:158" x14ac:dyDescent="0.25">
      <c r="C100" s="2" t="s">
        <v>50</v>
      </c>
      <c r="D100" s="16">
        <f t="shared" ref="D100:L100" si="573">D14/D127</f>
        <v>110150.42606382977</v>
      </c>
      <c r="E100" s="16">
        <f t="shared" si="573"/>
        <v>136183.58139588017</v>
      </c>
      <c r="F100" s="16">
        <f t="shared" si="573"/>
        <v>174619.67766405712</v>
      </c>
      <c r="G100" s="16">
        <f t="shared" si="573"/>
        <v>152403.31751136307</v>
      </c>
      <c r="H100" s="16">
        <f t="shared" si="573"/>
        <v>188566.25003508155</v>
      </c>
      <c r="I100" s="16">
        <f t="shared" si="573"/>
        <v>204420.04505455215</v>
      </c>
      <c r="J100" s="16">
        <f t="shared" si="573"/>
        <v>249537.61472901472</v>
      </c>
      <c r="K100" s="16">
        <f t="shared" si="573"/>
        <v>284355.20006021648</v>
      </c>
      <c r="L100" s="16">
        <f t="shared" si="573"/>
        <v>316184.45843705675</v>
      </c>
      <c r="M100" s="2"/>
      <c r="N100" s="16">
        <f t="shared" ref="N100:AW100" si="574">N14/N127</f>
        <v>93937.193053221243</v>
      </c>
      <c r="O100" s="16">
        <f t="shared" si="574"/>
        <v>100349.44987775061</v>
      </c>
      <c r="P100" s="16">
        <f t="shared" si="574"/>
        <v>103116.76873949579</v>
      </c>
      <c r="Q100" s="16">
        <f t="shared" si="574"/>
        <v>109543.49606382976</v>
      </c>
      <c r="R100" s="16">
        <f t="shared" si="574"/>
        <v>113489.4753164557</v>
      </c>
      <c r="S100" s="16">
        <f t="shared" si="574"/>
        <v>121479.93592592592</v>
      </c>
      <c r="T100" s="16">
        <f t="shared" si="574"/>
        <v>130637.82559782609</v>
      </c>
      <c r="U100" s="16">
        <f t="shared" si="574"/>
        <v>136314.36002668701</v>
      </c>
      <c r="V100" s="16">
        <f t="shared" si="574"/>
        <v>137668.56945669648</v>
      </c>
      <c r="W100" s="16">
        <f t="shared" si="574"/>
        <v>155161.4266111631</v>
      </c>
      <c r="X100" s="16">
        <f t="shared" si="574"/>
        <v>172395.6092785128</v>
      </c>
      <c r="Y100" s="16">
        <f t="shared" si="574"/>
        <v>174759.38958520119</v>
      </c>
      <c r="Z100" s="16">
        <f t="shared" si="574"/>
        <v>158969.52166021586</v>
      </c>
      <c r="AA100" s="16">
        <f t="shared" si="574"/>
        <v>151741.64915665379</v>
      </c>
      <c r="AB100" s="16">
        <f t="shared" si="574"/>
        <v>148527.04496863234</v>
      </c>
      <c r="AC100" s="16">
        <f t="shared" si="574"/>
        <v>152007.73989496802</v>
      </c>
      <c r="AD100" s="16">
        <f t="shared" si="574"/>
        <v>162168.105730212</v>
      </c>
      <c r="AE100" s="16">
        <f t="shared" si="574"/>
        <v>172061.77300359512</v>
      </c>
      <c r="AF100" s="16">
        <f t="shared" si="574"/>
        <v>179609.59796552753</v>
      </c>
      <c r="AG100" s="16">
        <f t="shared" si="574"/>
        <v>187945.32409592008</v>
      </c>
      <c r="AH100" s="16">
        <f t="shared" si="574"/>
        <v>193203.84281507236</v>
      </c>
      <c r="AI100" s="16">
        <f t="shared" si="574"/>
        <v>198623.64363765772</v>
      </c>
      <c r="AJ100" s="16">
        <f t="shared" si="574"/>
        <v>201096.50315111384</v>
      </c>
      <c r="AK100" s="16">
        <f t="shared" si="574"/>
        <v>203976.26363783519</v>
      </c>
      <c r="AL100" s="16">
        <f t="shared" si="574"/>
        <v>216144.87853132308</v>
      </c>
      <c r="AM100" s="16">
        <f t="shared" si="574"/>
        <v>232517.90589986774</v>
      </c>
      <c r="AN100" s="16">
        <f t="shared" si="574"/>
        <v>240103.27576333919</v>
      </c>
      <c r="AO100" s="16">
        <f t="shared" si="574"/>
        <v>249174.97960481697</v>
      </c>
      <c r="AP100" s="16">
        <f t="shared" si="574"/>
        <v>258232.572699296</v>
      </c>
      <c r="AQ100" s="16">
        <f t="shared" si="574"/>
        <v>272700.44757389766</v>
      </c>
      <c r="AR100" s="16">
        <f t="shared" si="574"/>
        <v>278022.99956331652</v>
      </c>
      <c r="AS100" s="16">
        <f t="shared" si="574"/>
        <v>284074.28703768924</v>
      </c>
      <c r="AT100" s="16">
        <f t="shared" si="574"/>
        <v>291361.7102155973</v>
      </c>
      <c r="AU100" s="16">
        <f t="shared" si="574"/>
        <v>305080.04750038503</v>
      </c>
      <c r="AV100" s="16">
        <f t="shared" si="574"/>
        <v>310444.47256921511</v>
      </c>
      <c r="AW100" s="16">
        <f t="shared" si="574"/>
        <v>315968.78466948558</v>
      </c>
      <c r="AX100" s="2"/>
      <c r="AY100" s="16">
        <f t="shared" ref="AY100:CD100" si="575">AY14/AY127</f>
        <v>84354.301284403628</v>
      </c>
      <c r="AZ100" s="16">
        <f t="shared" si="575"/>
        <v>84411.267031700292</v>
      </c>
      <c r="BA100" s="16">
        <f t="shared" si="575"/>
        <v>93094.312044817925</v>
      </c>
      <c r="BB100" s="16">
        <f t="shared" si="575"/>
        <v>94221.264733242133</v>
      </c>
      <c r="BC100" s="16">
        <f t="shared" si="575"/>
        <v>95517.856020408173</v>
      </c>
      <c r="BD100" s="16">
        <f t="shared" si="575"/>
        <v>100349.44987775059</v>
      </c>
      <c r="BE100" s="16">
        <f t="shared" si="575"/>
        <v>94506.187839643637</v>
      </c>
      <c r="BF100" s="16">
        <f t="shared" si="575"/>
        <v>94367.324703389808</v>
      </c>
      <c r="BG100" s="16">
        <f t="shared" si="575"/>
        <v>103116.76873949578</v>
      </c>
      <c r="BH100" s="16">
        <f t="shared" si="575"/>
        <v>102112.76147410356</v>
      </c>
      <c r="BI100" s="16">
        <f t="shared" si="575"/>
        <v>110130.17751937984</v>
      </c>
      <c r="BJ100" s="16">
        <f t="shared" si="575"/>
        <v>109543.49606382978</v>
      </c>
      <c r="BK100" s="16">
        <f t="shared" si="575"/>
        <v>107013.14989830507</v>
      </c>
      <c r="BL100" s="16">
        <f t="shared" si="575"/>
        <v>108253.33445544553</v>
      </c>
      <c r="BM100" s="16">
        <f t="shared" si="575"/>
        <v>113489.47677215189</v>
      </c>
      <c r="BN100" s="16">
        <f t="shared" si="575"/>
        <v>112392.18668693007</v>
      </c>
      <c r="BO100" s="16">
        <f t="shared" si="575"/>
        <v>118060.67988165679</v>
      </c>
      <c r="BP100" s="16">
        <f t="shared" si="575"/>
        <v>121479.93592592592</v>
      </c>
      <c r="BQ100" s="16">
        <f t="shared" si="575"/>
        <v>122858.51941011235</v>
      </c>
      <c r="BR100" s="16">
        <f t="shared" si="575"/>
        <v>124607.34049999999</v>
      </c>
      <c r="BS100" s="16">
        <f t="shared" si="575"/>
        <v>130637.82559782609</v>
      </c>
      <c r="BT100" s="16">
        <f t="shared" si="575"/>
        <v>127121.88605744121</v>
      </c>
      <c r="BU100" s="16">
        <f t="shared" si="575"/>
        <v>133837.45509043924</v>
      </c>
      <c r="BV100" s="16">
        <f t="shared" si="575"/>
        <v>136412.15953768944</v>
      </c>
      <c r="BW100" s="16">
        <f t="shared" si="575"/>
        <v>137713.93900243301</v>
      </c>
      <c r="BX100" s="16">
        <f t="shared" si="575"/>
        <v>137048.61774279189</v>
      </c>
      <c r="BY100" s="16">
        <f t="shared" si="575"/>
        <v>137705.22231830339</v>
      </c>
      <c r="BZ100" s="16">
        <f t="shared" si="575"/>
        <v>146036.69258820085</v>
      </c>
      <c r="CA100" s="16">
        <f t="shared" si="575"/>
        <v>144557.73669939343</v>
      </c>
      <c r="CB100" s="16">
        <f t="shared" si="575"/>
        <v>155196.39163212813</v>
      </c>
      <c r="CC100" s="16">
        <f t="shared" si="575"/>
        <v>155662.54510971849</v>
      </c>
      <c r="CD100" s="16">
        <f t="shared" si="575"/>
        <v>162768.51161393247</v>
      </c>
      <c r="CE100" s="16">
        <f t="shared" ref="CE100:DJ100" si="576">CE14/CE127</f>
        <v>172366.59979340696</v>
      </c>
      <c r="CF100" s="16">
        <f t="shared" si="576"/>
        <v>169043.02119309513</v>
      </c>
      <c r="CG100" s="16">
        <f t="shared" si="576"/>
        <v>172173.63366227486</v>
      </c>
      <c r="CH100" s="16">
        <f t="shared" si="576"/>
        <v>174759.3895685889</v>
      </c>
      <c r="CI100" s="16">
        <f t="shared" si="576"/>
        <v>168760.37011496155</v>
      </c>
      <c r="CJ100" s="16">
        <f t="shared" si="576"/>
        <v>160500.59399530315</v>
      </c>
      <c r="CK100" s="16">
        <f t="shared" si="576"/>
        <v>158969.52304355745</v>
      </c>
      <c r="CL100" s="16">
        <f t="shared" si="576"/>
        <v>156085.06012717655</v>
      </c>
      <c r="CM100" s="16">
        <f t="shared" si="576"/>
        <v>146754.01310097845</v>
      </c>
      <c r="CN100" s="16">
        <f t="shared" si="576"/>
        <v>151741.64916146887</v>
      </c>
      <c r="CO100" s="16">
        <f t="shared" si="576"/>
        <v>144926.54649230011</v>
      </c>
      <c r="CP100" s="16">
        <f t="shared" si="576"/>
        <v>143862.17659013436</v>
      </c>
      <c r="CQ100" s="16">
        <f t="shared" si="576"/>
        <v>148320.34483996424</v>
      </c>
      <c r="CR100" s="16">
        <f t="shared" si="576"/>
        <v>142594.41181004475</v>
      </c>
      <c r="CS100" s="16">
        <f t="shared" si="576"/>
        <v>145570.42939222552</v>
      </c>
      <c r="CT100" s="16">
        <f t="shared" si="576"/>
        <v>151627.27711987493</v>
      </c>
      <c r="CU100" s="16">
        <f t="shared" si="576"/>
        <v>152171.08062051423</v>
      </c>
      <c r="CV100" s="16">
        <f t="shared" si="576"/>
        <v>155302.43822228492</v>
      </c>
      <c r="CW100" s="16">
        <f t="shared" si="576"/>
        <v>162168.105730212</v>
      </c>
      <c r="CX100" s="16">
        <f t="shared" si="576"/>
        <v>163644.27515662581</v>
      </c>
      <c r="CY100" s="16">
        <f t="shared" si="576"/>
        <v>167385.02195796653</v>
      </c>
      <c r="CZ100" s="16">
        <f t="shared" si="576"/>
        <v>172061.7730035951</v>
      </c>
      <c r="DA100" s="16">
        <f t="shared" si="576"/>
        <v>172088.33164050526</v>
      </c>
      <c r="DB100" s="16">
        <f t="shared" si="576"/>
        <v>174882.54584547659</v>
      </c>
      <c r="DC100" s="16">
        <f t="shared" si="576"/>
        <v>179609.59796552747</v>
      </c>
      <c r="DD100" s="16">
        <f t="shared" si="576"/>
        <v>178690.05549537973</v>
      </c>
      <c r="DE100" s="16">
        <f t="shared" si="576"/>
        <v>183792.90786639103</v>
      </c>
      <c r="DF100" s="16">
        <f t="shared" si="576"/>
        <v>187945.32409592005</v>
      </c>
      <c r="DG100" s="16">
        <f t="shared" si="576"/>
        <v>186115.28721236053</v>
      </c>
      <c r="DH100" s="16">
        <f t="shared" si="576"/>
        <v>187585.85870534796</v>
      </c>
      <c r="DI100" s="16">
        <f t="shared" si="576"/>
        <v>193203.84281507233</v>
      </c>
      <c r="DJ100" s="16">
        <f t="shared" si="576"/>
        <v>193027.75677713417</v>
      </c>
      <c r="DK100" s="16">
        <f t="shared" ref="DK100:EP100" si="577">DK14/DK127</f>
        <v>195913.96904322278</v>
      </c>
      <c r="DL100" s="16">
        <f t="shared" si="577"/>
        <v>198623.64363765772</v>
      </c>
      <c r="DM100" s="16">
        <f t="shared" si="577"/>
        <v>197878.21819077246</v>
      </c>
      <c r="DN100" s="16">
        <f t="shared" si="577"/>
        <v>198368.48309464686</v>
      </c>
      <c r="DO100" s="16">
        <f t="shared" si="577"/>
        <v>201096.50315111384</v>
      </c>
      <c r="DP100" s="16">
        <f t="shared" si="577"/>
        <v>197898.07621703987</v>
      </c>
      <c r="DQ100" s="16">
        <f t="shared" si="577"/>
        <v>201340.32014451534</v>
      </c>
      <c r="DR100" s="16">
        <f t="shared" si="577"/>
        <v>203976.26363783522</v>
      </c>
      <c r="DS100" s="16">
        <f t="shared" si="577"/>
        <v>204285.19220641695</v>
      </c>
      <c r="DT100" s="16">
        <f t="shared" si="577"/>
        <v>208007.75037048801</v>
      </c>
      <c r="DU100" s="16">
        <f t="shared" si="577"/>
        <v>216144.87853132311</v>
      </c>
      <c r="DV100" s="16">
        <f t="shared" si="577"/>
        <v>218097.11767647017</v>
      </c>
      <c r="DW100" s="16">
        <f t="shared" si="577"/>
        <v>224696.37926511149</v>
      </c>
      <c r="DX100" s="16">
        <f t="shared" si="577"/>
        <v>232517.90589986774</v>
      </c>
      <c r="DY100" s="16">
        <f t="shared" si="577"/>
        <v>231823.20802877931</v>
      </c>
      <c r="DZ100" s="16">
        <f t="shared" si="577"/>
        <v>234688.49761412281</v>
      </c>
      <c r="EA100" s="16">
        <f t="shared" si="577"/>
        <v>240103.27576333925</v>
      </c>
      <c r="EB100" s="16">
        <f t="shared" si="577"/>
        <v>238479.6484046251</v>
      </c>
      <c r="EC100" s="16">
        <f t="shared" si="577"/>
        <v>244378.92584115826</v>
      </c>
      <c r="ED100" s="16">
        <f t="shared" si="577"/>
        <v>249174.97960481694</v>
      </c>
      <c r="EE100" s="16">
        <f t="shared" si="577"/>
        <v>247840.36750245839</v>
      </c>
      <c r="EF100" s="16">
        <f t="shared" si="577"/>
        <v>250561.91540919687</v>
      </c>
      <c r="EG100" s="16">
        <f t="shared" si="577"/>
        <v>258232.57269929606</v>
      </c>
      <c r="EH100" s="16">
        <f t="shared" si="577"/>
        <v>258829.49344912582</v>
      </c>
      <c r="EI100" s="16">
        <f t="shared" si="577"/>
        <v>264716.73212738201</v>
      </c>
      <c r="EJ100" s="16">
        <f t="shared" si="577"/>
        <v>272700.4475738976</v>
      </c>
      <c r="EK100" s="16">
        <f t="shared" si="577"/>
        <v>271874.58901025611</v>
      </c>
      <c r="EL100" s="16">
        <f t="shared" si="577"/>
        <v>273631.93466285174</v>
      </c>
      <c r="EM100" s="16">
        <f t="shared" si="577"/>
        <v>278022.99956331652</v>
      </c>
      <c r="EN100" s="16">
        <f t="shared" si="577"/>
        <v>274717.2331687485</v>
      </c>
      <c r="EO100" s="16">
        <f t="shared" si="577"/>
        <v>279963.37858230696</v>
      </c>
      <c r="EP100" s="16">
        <f t="shared" si="577"/>
        <v>284074.2870376893</v>
      </c>
      <c r="EQ100" s="16">
        <f t="shared" ref="EQ100:FB100" si="578">EQ14/EQ127</f>
        <v>281750.52148817608</v>
      </c>
      <c r="ER100" s="16">
        <f t="shared" si="578"/>
        <v>283910.55412145896</v>
      </c>
      <c r="ES100" s="16">
        <f t="shared" si="578"/>
        <v>291361.71021559736</v>
      </c>
      <c r="ET100" s="16">
        <f t="shared" si="578"/>
        <v>291214.4470187127</v>
      </c>
      <c r="EU100" s="16">
        <f t="shared" si="578"/>
        <v>296781.31750752917</v>
      </c>
      <c r="EV100" s="16">
        <f t="shared" si="578"/>
        <v>305080.04750038497</v>
      </c>
      <c r="EW100" s="16">
        <f t="shared" si="578"/>
        <v>304862.25145130325</v>
      </c>
      <c r="EX100" s="16">
        <f t="shared" si="578"/>
        <v>306158.45471317944</v>
      </c>
      <c r="EY100" s="16">
        <f t="shared" si="578"/>
        <v>310444.47256921511</v>
      </c>
      <c r="EZ100" s="16">
        <f t="shared" si="578"/>
        <v>306485.73986017192</v>
      </c>
      <c r="FA100" s="16">
        <f t="shared" si="578"/>
        <v>311746.95277238253</v>
      </c>
      <c r="FB100" s="16">
        <f t="shared" si="578"/>
        <v>315968.78466948558</v>
      </c>
    </row>
    <row r="101" spans="3:158" x14ac:dyDescent="0.25">
      <c r="C101" s="2" t="s">
        <v>232</v>
      </c>
      <c r="D101" s="16">
        <f>D28/D127</f>
        <v>74343.97163120567</v>
      </c>
      <c r="E101" s="16">
        <f t="shared" ref="E101:L101" si="579">E28/E127</f>
        <v>105426.62836185819</v>
      </c>
      <c r="F101" s="16">
        <f t="shared" si="579"/>
        <v>143690.61506355932</v>
      </c>
      <c r="G101" s="16">
        <f t="shared" si="579"/>
        <v>114339.56387687982</v>
      </c>
      <c r="H101" s="16">
        <f t="shared" si="579"/>
        <v>153250.60288154511</v>
      </c>
      <c r="I101" s="16">
        <f t="shared" si="579"/>
        <v>168155.78071691652</v>
      </c>
      <c r="J101" s="16">
        <f t="shared" si="579"/>
        <v>206357.81627035898</v>
      </c>
      <c r="K101" s="16">
        <f t="shared" si="579"/>
        <v>236347.03400190145</v>
      </c>
      <c r="L101" s="16">
        <f t="shared" si="579"/>
        <v>262588.85648265993</v>
      </c>
      <c r="M101" s="2"/>
      <c r="Q101" s="16">
        <f>SUM(N28:Q28)/Q127</f>
        <v>74343.97163120567</v>
      </c>
      <c r="R101" s="16">
        <f t="shared" ref="R101:AW101" si="580">SUM(O28:R28)/R127</f>
        <v>81869.91455696203</v>
      </c>
      <c r="S101" s="16">
        <f t="shared" si="580"/>
        <v>88549.042735042734</v>
      </c>
      <c r="T101" s="16">
        <f t="shared" si="580"/>
        <v>100245.56793478261</v>
      </c>
      <c r="U101" s="16">
        <f t="shared" si="580"/>
        <v>105426.62836185819</v>
      </c>
      <c r="V101" s="16">
        <f t="shared" si="580"/>
        <v>114137.82829885058</v>
      </c>
      <c r="W101" s="16">
        <f t="shared" si="580"/>
        <v>129536.78860139861</v>
      </c>
      <c r="X101" s="16">
        <f t="shared" si="580"/>
        <v>144954.80072941177</v>
      </c>
      <c r="Y101" s="16">
        <f t="shared" si="580"/>
        <v>143690.61506355932</v>
      </c>
      <c r="Z101" s="16">
        <f t="shared" si="580"/>
        <v>132248.09862143715</v>
      </c>
      <c r="AA101" s="16">
        <f t="shared" si="580"/>
        <v>122911.64455785799</v>
      </c>
      <c r="AB101" s="16">
        <f t="shared" si="580"/>
        <v>116632.16186845685</v>
      </c>
      <c r="AC101" s="16">
        <f t="shared" si="580"/>
        <v>114339.56387687982</v>
      </c>
      <c r="AD101" s="16">
        <f t="shared" si="580"/>
        <v>127423.78410927266</v>
      </c>
      <c r="AE101" s="16">
        <f t="shared" si="580"/>
        <v>138119.86705135935</v>
      </c>
      <c r="AF101" s="16">
        <f t="shared" si="580"/>
        <v>147487.51870777417</v>
      </c>
      <c r="AG101" s="16">
        <f t="shared" si="580"/>
        <v>153250.60288154508</v>
      </c>
      <c r="AH101" s="16">
        <f t="shared" si="580"/>
        <v>160614.25183039406</v>
      </c>
      <c r="AI101" s="16">
        <f t="shared" si="580"/>
        <v>164641.88085198033</v>
      </c>
      <c r="AJ101" s="16">
        <f t="shared" si="580"/>
        <v>168512.03278112106</v>
      </c>
      <c r="AK101" s="16">
        <f t="shared" si="580"/>
        <v>168155.78071691649</v>
      </c>
      <c r="AL101" s="16">
        <f t="shared" si="580"/>
        <v>181308.46649180158</v>
      </c>
      <c r="AM101" s="16">
        <f t="shared" si="580"/>
        <v>194025.37275981595</v>
      </c>
      <c r="AN101" s="16">
        <f t="shared" si="580"/>
        <v>202071.56894362473</v>
      </c>
      <c r="AO101" s="16">
        <f t="shared" si="580"/>
        <v>206357.81627035901</v>
      </c>
      <c r="AP101" s="16">
        <f t="shared" si="580"/>
        <v>217601.29264057489</v>
      </c>
      <c r="AQ101" s="16">
        <f t="shared" si="580"/>
        <v>228700.28234150633</v>
      </c>
      <c r="AR101" s="16">
        <f t="shared" si="580"/>
        <v>235064.35151288248</v>
      </c>
      <c r="AS101" s="16">
        <f t="shared" si="580"/>
        <v>236347.03400190145</v>
      </c>
      <c r="AT101" s="16">
        <f t="shared" si="580"/>
        <v>246295.75170257379</v>
      </c>
      <c r="AU101" s="16">
        <f t="shared" si="580"/>
        <v>256375.08326400566</v>
      </c>
      <c r="AV101" s="16">
        <f t="shared" si="580"/>
        <v>262585.880420995</v>
      </c>
      <c r="AW101" s="16">
        <f t="shared" si="580"/>
        <v>262588.85648265993</v>
      </c>
      <c r="AX101" s="2"/>
      <c r="BJ101" s="16">
        <f>SUM(AY28:BJ28)/BJ127</f>
        <v>74343.97163120567</v>
      </c>
      <c r="BK101" s="16">
        <f t="shared" ref="BK101:DV101" si="581">SUM(AZ28:BK28)/BK127</f>
        <v>76727.789830508482</v>
      </c>
      <c r="BL101" s="16">
        <f t="shared" si="581"/>
        <v>80077.039603960395</v>
      </c>
      <c r="BM101" s="16">
        <f t="shared" si="581"/>
        <v>81869.91455696203</v>
      </c>
      <c r="BN101" s="16">
        <f t="shared" si="581"/>
        <v>83752.699088145891</v>
      </c>
      <c r="BO101" s="16">
        <f t="shared" si="581"/>
        <v>86667.5</v>
      </c>
      <c r="BP101" s="16">
        <f t="shared" si="581"/>
        <v>88549.042735042734</v>
      </c>
      <c r="BQ101" s="16">
        <f t="shared" si="581"/>
        <v>92506.553370786511</v>
      </c>
      <c r="BR101" s="16">
        <f t="shared" si="581"/>
        <v>96980.083333333328</v>
      </c>
      <c r="BS101" s="16">
        <f t="shared" si="581"/>
        <v>100245.56793478261</v>
      </c>
      <c r="BT101" s="16">
        <f t="shared" si="581"/>
        <v>101630.08355091384</v>
      </c>
      <c r="BU101" s="16">
        <f t="shared" si="581"/>
        <v>106123.75710594315</v>
      </c>
      <c r="BV101" s="16">
        <f t="shared" si="581"/>
        <v>105426.62836185819</v>
      </c>
      <c r="BW101" s="16">
        <f t="shared" si="581"/>
        <v>110408.14673965938</v>
      </c>
      <c r="BX101" s="16">
        <f t="shared" si="581"/>
        <v>112446.88489361703</v>
      </c>
      <c r="BY101" s="16">
        <f t="shared" si="581"/>
        <v>114137.82829885058</v>
      </c>
      <c r="BZ101" s="16">
        <f t="shared" si="581"/>
        <v>123722.94093301435</v>
      </c>
      <c r="CA101" s="16">
        <f t="shared" si="581"/>
        <v>124193.57942129631</v>
      </c>
      <c r="CB101" s="16">
        <f t="shared" si="581"/>
        <v>129536.78860139861</v>
      </c>
      <c r="CC101" s="16">
        <f t="shared" si="581"/>
        <v>133878.06118604651</v>
      </c>
      <c r="CD101" s="16">
        <f t="shared" si="581"/>
        <v>138615.11002325581</v>
      </c>
      <c r="CE101" s="16">
        <f t="shared" si="581"/>
        <v>144954.80072941177</v>
      </c>
      <c r="CF101" s="16">
        <f t="shared" si="581"/>
        <v>144477.17303854876</v>
      </c>
      <c r="CG101" s="16">
        <f t="shared" si="581"/>
        <v>145770.81221729491</v>
      </c>
      <c r="CH101" s="16">
        <f t="shared" si="581"/>
        <v>143690.61506355932</v>
      </c>
      <c r="CI101" s="16">
        <f t="shared" si="581"/>
        <v>141160.86812345858</v>
      </c>
      <c r="CJ101" s="16">
        <f t="shared" si="581"/>
        <v>135995.39683825235</v>
      </c>
      <c r="CK101" s="16">
        <f t="shared" si="581"/>
        <v>132248.09862143715</v>
      </c>
      <c r="CL101" s="16">
        <f t="shared" si="581"/>
        <v>131239.10139407808</v>
      </c>
      <c r="CM101" s="16">
        <f t="shared" si="581"/>
        <v>122932.75417348466</v>
      </c>
      <c r="CN101" s="16">
        <f t="shared" si="581"/>
        <v>122911.64455785799</v>
      </c>
      <c r="CO101" s="16">
        <f t="shared" si="581"/>
        <v>119079.03029800057</v>
      </c>
      <c r="CP101" s="16">
        <f t="shared" si="581"/>
        <v>116497.31718448944</v>
      </c>
      <c r="CQ101" s="16">
        <f t="shared" si="581"/>
        <v>116632.16186845685</v>
      </c>
      <c r="CR101" s="16">
        <f t="shared" si="581"/>
        <v>114894.01989712281</v>
      </c>
      <c r="CS101" s="16">
        <f t="shared" si="581"/>
        <v>113876.68183227757</v>
      </c>
      <c r="CT101" s="16">
        <f t="shared" si="581"/>
        <v>114339.56387687984</v>
      </c>
      <c r="CU101" s="16">
        <f t="shared" si="581"/>
        <v>118129.22871697391</v>
      </c>
      <c r="CV101" s="16">
        <f t="shared" si="581"/>
        <v>122391.78863733525</v>
      </c>
      <c r="CW101" s="16">
        <f t="shared" si="581"/>
        <v>127423.78410927263</v>
      </c>
      <c r="CX101" s="16">
        <f t="shared" si="581"/>
        <v>131477.91669326922</v>
      </c>
      <c r="CY101" s="16">
        <f t="shared" si="581"/>
        <v>134991.59232764156</v>
      </c>
      <c r="CZ101" s="16">
        <f t="shared" si="581"/>
        <v>138119.86705135932</v>
      </c>
      <c r="DA101" s="16">
        <f t="shared" si="581"/>
        <v>141302.85393065703</v>
      </c>
      <c r="DB101" s="16">
        <f t="shared" si="581"/>
        <v>144814.64559928142</v>
      </c>
      <c r="DC101" s="16">
        <f t="shared" si="581"/>
        <v>147487.51870777414</v>
      </c>
      <c r="DD101" s="16">
        <f t="shared" si="581"/>
        <v>149068.40631604733</v>
      </c>
      <c r="DE101" s="16">
        <f t="shared" si="581"/>
        <v>151955.39340922912</v>
      </c>
      <c r="DF101" s="16">
        <f t="shared" si="581"/>
        <v>153250.60288154511</v>
      </c>
      <c r="DG101" s="16">
        <f t="shared" si="581"/>
        <v>155386.84764555562</v>
      </c>
      <c r="DH101" s="16">
        <f t="shared" si="581"/>
        <v>158012.67068068471</v>
      </c>
      <c r="DI101" s="16">
        <f t="shared" si="581"/>
        <v>160614.25183039406</v>
      </c>
      <c r="DJ101" s="16">
        <f t="shared" si="581"/>
        <v>163041.60429214881</v>
      </c>
      <c r="DK101" s="16">
        <f t="shared" si="581"/>
        <v>164827.58708918086</v>
      </c>
      <c r="DL101" s="16">
        <f t="shared" si="581"/>
        <v>164641.88085198036</v>
      </c>
      <c r="DM101" s="16">
        <f t="shared" si="581"/>
        <v>167340.32422312457</v>
      </c>
      <c r="DN101" s="16">
        <f t="shared" si="581"/>
        <v>168628.93796540349</v>
      </c>
      <c r="DO101" s="16">
        <f t="shared" si="581"/>
        <v>168512.03278112106</v>
      </c>
      <c r="DP101" s="16">
        <f t="shared" si="581"/>
        <v>168656.38950300441</v>
      </c>
      <c r="DQ101" s="16">
        <f t="shared" si="581"/>
        <v>169246.06876385654</v>
      </c>
      <c r="DR101" s="16">
        <f t="shared" si="581"/>
        <v>168155.78071691649</v>
      </c>
      <c r="DS101" s="16">
        <f t="shared" si="581"/>
        <v>172209.15440725759</v>
      </c>
      <c r="DT101" s="16">
        <f t="shared" si="581"/>
        <v>176783.02921450455</v>
      </c>
      <c r="DU101" s="16">
        <f t="shared" si="581"/>
        <v>181308.46649180155</v>
      </c>
      <c r="DV101" s="16">
        <f t="shared" si="581"/>
        <v>185639.68748183796</v>
      </c>
      <c r="DW101" s="16">
        <f t="shared" ref="DW101:FB101" si="582">SUM(DL28:DW28)/DW127</f>
        <v>190380.49164733634</v>
      </c>
      <c r="DX101" s="16">
        <f t="shared" si="582"/>
        <v>194025.37275981592</v>
      </c>
      <c r="DY101" s="16">
        <f t="shared" si="582"/>
        <v>197089.74939282669</v>
      </c>
      <c r="DZ101" s="16">
        <f t="shared" si="582"/>
        <v>200403.859742456</v>
      </c>
      <c r="EA101" s="16">
        <f t="shared" si="582"/>
        <v>202071.56894362473</v>
      </c>
      <c r="EB101" s="16">
        <f t="shared" si="582"/>
        <v>203977.52081062217</v>
      </c>
      <c r="EC101" s="16">
        <f t="shared" si="582"/>
        <v>206243.18736664043</v>
      </c>
      <c r="ED101" s="16">
        <f t="shared" si="582"/>
        <v>206357.81627035901</v>
      </c>
      <c r="EE101" s="16">
        <f t="shared" si="582"/>
        <v>209739.09365899119</v>
      </c>
      <c r="EF101" s="16">
        <f t="shared" si="582"/>
        <v>213761.98672103492</v>
      </c>
      <c r="EG101" s="16">
        <f t="shared" si="582"/>
        <v>217601.29264057492</v>
      </c>
      <c r="EH101" s="16">
        <f t="shared" si="582"/>
        <v>221220.29579016083</v>
      </c>
      <c r="EI101" s="16">
        <f t="shared" si="582"/>
        <v>225281.6377522244</v>
      </c>
      <c r="EJ101" s="16">
        <f t="shared" si="582"/>
        <v>228700.2823415063</v>
      </c>
      <c r="EK101" s="16">
        <f t="shared" si="582"/>
        <v>232147.62146303317</v>
      </c>
      <c r="EL101" s="16">
        <f t="shared" si="582"/>
        <v>234637.5210476795</v>
      </c>
      <c r="EM101" s="16">
        <f t="shared" si="582"/>
        <v>235064.35151288248</v>
      </c>
      <c r="EN101" s="16">
        <f t="shared" si="582"/>
        <v>235908.5120554977</v>
      </c>
      <c r="EO101" s="16">
        <f t="shared" si="582"/>
        <v>237282.86352746934</v>
      </c>
      <c r="EP101" s="16">
        <f t="shared" si="582"/>
        <v>236347.03400190143</v>
      </c>
      <c r="EQ101" s="16">
        <f t="shared" si="582"/>
        <v>239322.30531866214</v>
      </c>
      <c r="ER101" s="16">
        <f t="shared" si="582"/>
        <v>242990.27141007342</v>
      </c>
      <c r="ES101" s="16">
        <f t="shared" si="582"/>
        <v>246295.75170257379</v>
      </c>
      <c r="ET101" s="16">
        <f t="shared" si="582"/>
        <v>249506.1972646022</v>
      </c>
      <c r="EU101" s="16">
        <f t="shared" si="582"/>
        <v>253119.5339484518</v>
      </c>
      <c r="EV101" s="16">
        <f t="shared" si="582"/>
        <v>256375.08326400563</v>
      </c>
      <c r="EW101" s="16">
        <f t="shared" si="582"/>
        <v>260622.16232360274</v>
      </c>
      <c r="EX101" s="16">
        <f t="shared" si="582"/>
        <v>262700.17104557937</v>
      </c>
      <c r="EY101" s="16">
        <f t="shared" si="582"/>
        <v>262585.88042099494</v>
      </c>
      <c r="EZ101" s="16">
        <f t="shared" si="582"/>
        <v>263089.45754036302</v>
      </c>
      <c r="FA101" s="16">
        <f t="shared" si="582"/>
        <v>264022.39289656165</v>
      </c>
      <c r="FB101" s="16">
        <f t="shared" si="582"/>
        <v>262588.85648265993</v>
      </c>
    </row>
    <row r="102" spans="3:158" x14ac:dyDescent="0.25">
      <c r="C102" s="2" t="s">
        <v>248</v>
      </c>
      <c r="D102" s="63">
        <f t="shared" ref="D102:L102" si="583">D71/D28</f>
        <v>-0.9175851850909873</v>
      </c>
      <c r="E102" s="63">
        <f t="shared" si="583"/>
        <v>-0.76660919466790545</v>
      </c>
      <c r="F102" s="63">
        <f t="shared" si="583"/>
        <v>-0.48859397293886148</v>
      </c>
      <c r="G102" s="63">
        <f t="shared" si="583"/>
        <v>-0.51778418008790084</v>
      </c>
      <c r="H102" s="63">
        <f t="shared" si="583"/>
        <v>-0.33271903366041822</v>
      </c>
      <c r="I102" s="63">
        <f t="shared" si="583"/>
        <v>-0.19104288827620591</v>
      </c>
      <c r="J102" s="63">
        <f t="shared" si="583"/>
        <v>-4.9128779146262604E-2</v>
      </c>
      <c r="K102" s="63">
        <f t="shared" si="583"/>
        <v>8.1495774304092994E-2</v>
      </c>
      <c r="L102" s="63">
        <f t="shared" si="583"/>
        <v>0.14671460193731459</v>
      </c>
      <c r="M102" s="2"/>
      <c r="N102" s="63">
        <f t="shared" ref="N102:AW102" si="584">N71/N28</f>
        <v>-1.5252406582804345</v>
      </c>
      <c r="O102" s="63">
        <f t="shared" si="584"/>
        <v>-0.94784236343314365</v>
      </c>
      <c r="P102" s="63">
        <f t="shared" si="584"/>
        <v>-0.99101544734070346</v>
      </c>
      <c r="Q102" s="63">
        <f t="shared" si="584"/>
        <v>-0.52850856140585278</v>
      </c>
      <c r="R102" s="63">
        <f t="shared" si="584"/>
        <v>-1.4217307620066402</v>
      </c>
      <c r="S102" s="63">
        <f t="shared" si="584"/>
        <v>-0.7473148045162713</v>
      </c>
      <c r="T102" s="63">
        <f t="shared" si="584"/>
        <v>-0.79278832226500817</v>
      </c>
      <c r="U102" s="63">
        <f t="shared" si="584"/>
        <v>-0.33931003978931479</v>
      </c>
      <c r="V102" s="63">
        <f t="shared" si="584"/>
        <v>-0.93669528055522955</v>
      </c>
      <c r="W102" s="63">
        <f t="shared" si="584"/>
        <v>-0.66070649433330941</v>
      </c>
      <c r="X102" s="63">
        <f t="shared" si="584"/>
        <v>-0.30066341676356473</v>
      </c>
      <c r="Y102" s="63">
        <f t="shared" si="584"/>
        <v>-0.17357602035571798</v>
      </c>
      <c r="Z102" s="63">
        <f t="shared" si="584"/>
        <v>-0.51464171491391886</v>
      </c>
      <c r="AA102" s="63">
        <f t="shared" si="584"/>
        <v>-0.50187098059828028</v>
      </c>
      <c r="AB102" s="63">
        <f t="shared" si="584"/>
        <v>-0.6105516002720357</v>
      </c>
      <c r="AC102" s="63">
        <f t="shared" si="584"/>
        <v>-0.4508157051669604</v>
      </c>
      <c r="AD102" s="63">
        <f t="shared" si="584"/>
        <v>-0.48689985297987115</v>
      </c>
      <c r="AE102" s="63">
        <f t="shared" si="584"/>
        <v>-0.35520194420699908</v>
      </c>
      <c r="AF102" s="63">
        <f t="shared" si="584"/>
        <v>-0.32142890158915827</v>
      </c>
      <c r="AG102" s="63">
        <f t="shared" si="584"/>
        <v>-0.21701594900909293</v>
      </c>
      <c r="AH102" s="63">
        <f t="shared" si="584"/>
        <v>-0.2523256922914473</v>
      </c>
      <c r="AI102" s="63">
        <f t="shared" si="584"/>
        <v>-0.18116325748254467</v>
      </c>
      <c r="AJ102" s="63">
        <f t="shared" si="584"/>
        <v>-0.19702023465096166</v>
      </c>
      <c r="AK102" s="63">
        <f t="shared" si="584"/>
        <v>-0.1500101382083753</v>
      </c>
      <c r="AL102" s="63">
        <f t="shared" si="584"/>
        <v>-0.16469031425290956</v>
      </c>
      <c r="AM102" s="63">
        <f t="shared" si="584"/>
        <v>-5.5664750743889005E-2</v>
      </c>
      <c r="AN102" s="63">
        <f t="shared" si="584"/>
        <v>-3.9371900133788197E-2</v>
      </c>
      <c r="AO102" s="63">
        <f t="shared" si="584"/>
        <v>3.0978740830163276E-2</v>
      </c>
      <c r="AP102" s="63">
        <f t="shared" si="584"/>
        <v>1.0465446708029517E-2</v>
      </c>
      <c r="AQ102" s="63">
        <f t="shared" si="584"/>
        <v>8.329350329196529E-2</v>
      </c>
      <c r="AR102" s="63">
        <f t="shared" si="584"/>
        <v>8.3797791424107843E-2</v>
      </c>
      <c r="AS102" s="63">
        <f t="shared" si="584"/>
        <v>0.12988400035496717</v>
      </c>
      <c r="AT102" s="63">
        <f t="shared" si="584"/>
        <v>9.4479036580507283E-2</v>
      </c>
      <c r="AU102" s="63">
        <f t="shared" si="584"/>
        <v>0.14956290568056177</v>
      </c>
      <c r="AV102" s="63">
        <f t="shared" si="584"/>
        <v>0.14697364477956573</v>
      </c>
      <c r="AW102" s="63">
        <f t="shared" si="584"/>
        <v>0.18283873704043321</v>
      </c>
      <c r="AX102" s="2"/>
      <c r="AY102" s="63">
        <f t="shared" ref="AY102:CD102" si="585">AY71/AY28</f>
        <v>-2.4245556256803025</v>
      </c>
      <c r="AZ102" s="63">
        <f t="shared" si="585"/>
        <v>-1.0005828105652566</v>
      </c>
      <c r="BA102" s="63">
        <f t="shared" si="585"/>
        <v>-1.2153123260970435</v>
      </c>
      <c r="BB102" s="63">
        <f t="shared" si="585"/>
        <v>-0.94905114381705669</v>
      </c>
      <c r="BC102" s="63">
        <f t="shared" si="585"/>
        <v>-1.1388250708024441</v>
      </c>
      <c r="BD102" s="63">
        <f t="shared" si="585"/>
        <v>-0.76773701746123024</v>
      </c>
      <c r="BE102" s="63">
        <f t="shared" si="585"/>
        <v>-1.2576426042773967</v>
      </c>
      <c r="BF102" s="63">
        <f t="shared" si="585"/>
        <v>-0.91041091387245587</v>
      </c>
      <c r="BG102" s="63">
        <f t="shared" si="585"/>
        <v>-0.8251049907279373</v>
      </c>
      <c r="BH102" s="63">
        <f t="shared" si="585"/>
        <v>-1.5620007281422867</v>
      </c>
      <c r="BI102" s="63">
        <f t="shared" si="585"/>
        <v>-1.0708643339709731</v>
      </c>
      <c r="BJ102" s="63">
        <f t="shared" si="585"/>
        <v>0.86928927548869683</v>
      </c>
      <c r="BK102" s="63">
        <f t="shared" si="585"/>
        <v>-2.3911773773502309</v>
      </c>
      <c r="BL102" s="63">
        <f t="shared" si="585"/>
        <v>-1.2944990248567274</v>
      </c>
      <c r="BM102" s="63">
        <f t="shared" si="585"/>
        <v>-0.60697881129576903</v>
      </c>
      <c r="BN102" s="63">
        <f t="shared" si="585"/>
        <v>-1.4189808091938201</v>
      </c>
      <c r="BO102" s="63">
        <f t="shared" si="585"/>
        <v>-0.74243041249853281</v>
      </c>
      <c r="BP102" s="63">
        <f t="shared" si="585"/>
        <v>-0.1400498814059202</v>
      </c>
      <c r="BQ102" s="63">
        <f t="shared" si="585"/>
        <v>-0.88074753314629695</v>
      </c>
      <c r="BR102" s="63">
        <f t="shared" si="585"/>
        <v>-0.6992332926534125</v>
      </c>
      <c r="BS102" s="63">
        <f t="shared" si="585"/>
        <v>-0.80178241106734138</v>
      </c>
      <c r="BT102" s="63">
        <f t="shared" si="585"/>
        <v>-1.053506092708687</v>
      </c>
      <c r="BU102" s="63">
        <f t="shared" si="585"/>
        <v>-0.42053727071590868</v>
      </c>
      <c r="BV102" s="63">
        <f t="shared" si="585"/>
        <v>0.40263445485541816</v>
      </c>
      <c r="BW102" s="63">
        <f t="shared" si="585"/>
        <v>-1.7175342623008314</v>
      </c>
      <c r="BX102" s="63">
        <f t="shared" si="585"/>
        <v>-0.79327602883586457</v>
      </c>
      <c r="BY102" s="63">
        <f t="shared" si="585"/>
        <v>-0.28702599937721651</v>
      </c>
      <c r="BZ102" s="63">
        <f t="shared" si="585"/>
        <v>-1.1404919387772152</v>
      </c>
      <c r="CA102" s="63">
        <f t="shared" si="585"/>
        <v>-0.57596273569762302</v>
      </c>
      <c r="CB102" s="63">
        <f t="shared" si="585"/>
        <v>-0.27782907369723631</v>
      </c>
      <c r="CC102" s="63">
        <f t="shared" si="585"/>
        <v>-0.57629834085083076</v>
      </c>
      <c r="CD102" s="63">
        <f t="shared" si="585"/>
        <v>-0.25019311414803014</v>
      </c>
      <c r="CE102" s="63">
        <f t="shared" ref="CE102:DJ102" si="586">CE71/CE28</f>
        <v>-8.9796550935000718E-2</v>
      </c>
      <c r="CF102" s="63">
        <f t="shared" si="586"/>
        <v>-0.4158965565413022</v>
      </c>
      <c r="CG102" s="63">
        <f t="shared" si="586"/>
        <v>-0.42932306792628233</v>
      </c>
      <c r="CH102" s="63">
        <f t="shared" si="586"/>
        <v>0.30646807983074359</v>
      </c>
      <c r="CI102" s="63">
        <f t="shared" si="586"/>
        <v>-0.4255737807142364</v>
      </c>
      <c r="CJ102" s="63">
        <f t="shared" si="586"/>
        <v>-0.47956523672983492</v>
      </c>
      <c r="CK102" s="63">
        <f t="shared" si="586"/>
        <v>-0.63360368881051443</v>
      </c>
      <c r="CL102" s="63">
        <f t="shared" si="586"/>
        <v>-0.86908562858275729</v>
      </c>
      <c r="CM102" s="63">
        <f t="shared" si="586"/>
        <v>-0.47526331667800636</v>
      </c>
      <c r="CN102" s="63">
        <f t="shared" si="586"/>
        <v>-0.18340264219923685</v>
      </c>
      <c r="CO102" s="63">
        <f t="shared" si="586"/>
        <v>-0.23765135980156438</v>
      </c>
      <c r="CP102" s="63">
        <f t="shared" si="586"/>
        <v>-0.80108035449475501</v>
      </c>
      <c r="CQ102" s="63">
        <f t="shared" si="586"/>
        <v>-0.77277647590345466</v>
      </c>
      <c r="CR102" s="63">
        <f t="shared" si="586"/>
        <v>-0.21555229972595702</v>
      </c>
      <c r="CS102" s="63">
        <f t="shared" si="586"/>
        <v>-0.73651734159354121</v>
      </c>
      <c r="CT102" s="63">
        <f t="shared" si="586"/>
        <v>-0.4005251032299928</v>
      </c>
      <c r="CU102" s="63">
        <f t="shared" si="586"/>
        <v>-0.59672341838214937</v>
      </c>
      <c r="CV102" s="63">
        <f t="shared" si="586"/>
        <v>-0.50137139171062872</v>
      </c>
      <c r="CW102" s="63">
        <f t="shared" si="586"/>
        <v>-0.37928622424396663</v>
      </c>
      <c r="CX102" s="63">
        <f t="shared" si="586"/>
        <v>-0.44530230101538676</v>
      </c>
      <c r="CY102" s="63">
        <f t="shared" si="586"/>
        <v>-0.35374131013553667</v>
      </c>
      <c r="CZ102" s="63">
        <f t="shared" si="586"/>
        <v>-0.27906765343913625</v>
      </c>
      <c r="DA102" s="63">
        <f t="shared" si="586"/>
        <v>-0.38145482853384738</v>
      </c>
      <c r="DB102" s="63">
        <f t="shared" si="586"/>
        <v>-0.33336688166542966</v>
      </c>
      <c r="DC102" s="63">
        <f t="shared" si="586"/>
        <v>-0.25857146601269537</v>
      </c>
      <c r="DD102" s="63">
        <f t="shared" si="586"/>
        <v>-0.3117762749977408</v>
      </c>
      <c r="DE102" s="63">
        <f t="shared" si="586"/>
        <v>-0.18127404812898315</v>
      </c>
      <c r="DF102" s="63">
        <f t="shared" si="586"/>
        <v>-0.17132347478306301</v>
      </c>
      <c r="DG102" s="63">
        <f t="shared" si="586"/>
        <v>-0.32554693384399802</v>
      </c>
      <c r="DH102" s="63">
        <f t="shared" si="586"/>
        <v>-0.26256571998370692</v>
      </c>
      <c r="DI102" s="63">
        <f t="shared" si="586"/>
        <v>-0.17964937509502737</v>
      </c>
      <c r="DJ102" s="63">
        <f t="shared" si="586"/>
        <v>-0.24387448701165987</v>
      </c>
      <c r="DK102" s="63">
        <f t="shared" ref="DK102:EP102" si="587">DK71/DK28</f>
        <v>-0.17702288175364045</v>
      </c>
      <c r="DL102" s="63">
        <f t="shared" si="587"/>
        <v>-0.13086658815013885</v>
      </c>
      <c r="DM102" s="63">
        <f t="shared" si="587"/>
        <v>-0.23043241261653738</v>
      </c>
      <c r="DN102" s="63">
        <f t="shared" si="587"/>
        <v>-0.20765620262917248</v>
      </c>
      <c r="DO102" s="63">
        <f t="shared" si="587"/>
        <v>-0.15816227669166794</v>
      </c>
      <c r="DP102" s="63">
        <f t="shared" si="587"/>
        <v>-0.22433674881706855</v>
      </c>
      <c r="DQ102" s="63">
        <f t="shared" si="587"/>
        <v>-0.11650526968027149</v>
      </c>
      <c r="DR102" s="63">
        <f t="shared" si="587"/>
        <v>-0.11877402921664895</v>
      </c>
      <c r="DS102" s="63">
        <f t="shared" si="587"/>
        <v>-0.24531092976483745</v>
      </c>
      <c r="DT102" s="63">
        <f t="shared" si="587"/>
        <v>-0.17332060586144304</v>
      </c>
      <c r="DU102" s="63">
        <f t="shared" si="587"/>
        <v>-8.6637842260454914E-2</v>
      </c>
      <c r="DV102" s="63">
        <f t="shared" si="587"/>
        <v>-0.13067288953326192</v>
      </c>
      <c r="DW102" s="63">
        <f t="shared" si="587"/>
        <v>-5.3915285530781079E-2</v>
      </c>
      <c r="DX102" s="63">
        <f t="shared" si="587"/>
        <v>7.8095236529451004E-3</v>
      </c>
      <c r="DY102" s="63">
        <f t="shared" si="587"/>
        <v>-7.8420484281719258E-2</v>
      </c>
      <c r="DZ102" s="63">
        <f t="shared" si="587"/>
        <v>-4.8354022358017126E-2</v>
      </c>
      <c r="EA102" s="63">
        <f t="shared" si="587"/>
        <v>3.0571232654226757E-3</v>
      </c>
      <c r="EB102" s="63">
        <f t="shared" si="587"/>
        <v>-3.9395573499914502E-2</v>
      </c>
      <c r="EC102" s="63">
        <f t="shared" si="587"/>
        <v>6.0956031045898369E-2</v>
      </c>
      <c r="ED102" s="63">
        <f t="shared" si="587"/>
        <v>6.2444014148426076E-2</v>
      </c>
      <c r="EE102" s="63">
        <f t="shared" si="587"/>
        <v>-4.9340826751601542E-2</v>
      </c>
      <c r="EF102" s="63">
        <f t="shared" si="587"/>
        <v>4.5593172954967688E-3</v>
      </c>
      <c r="EG102" s="63">
        <f t="shared" si="587"/>
        <v>6.8240515578568375E-2</v>
      </c>
      <c r="EH102" s="63">
        <f t="shared" si="587"/>
        <v>2.5315520590814145E-2</v>
      </c>
      <c r="EI102" s="63">
        <f t="shared" si="587"/>
        <v>8.4199476958965541E-2</v>
      </c>
      <c r="EJ102" s="63">
        <f t="shared" si="587"/>
        <v>0.13304222393550291</v>
      </c>
      <c r="EK102" s="63">
        <f t="shared" si="587"/>
        <v>5.7596548096337914E-2</v>
      </c>
      <c r="EL102" s="63">
        <f t="shared" si="587"/>
        <v>7.6526563164251271E-2</v>
      </c>
      <c r="EM102" s="63">
        <f t="shared" si="587"/>
        <v>0.11353890728252287</v>
      </c>
      <c r="EN102" s="63">
        <f t="shared" si="587"/>
        <v>7.3123436183570631E-2</v>
      </c>
      <c r="EO102" s="63">
        <f t="shared" si="587"/>
        <v>0.1574433766518889</v>
      </c>
      <c r="EP102" s="63">
        <f t="shared" si="587"/>
        <v>0.15228751656686984</v>
      </c>
      <c r="EQ102" s="63">
        <f t="shared" ref="EQ102:FB102" si="588">EQ71/EQ28</f>
        <v>4.8136592707094687E-2</v>
      </c>
      <c r="ER102" s="63">
        <f t="shared" si="588"/>
        <v>9.053719747102798E-2</v>
      </c>
      <c r="ES102" s="63">
        <f t="shared" si="588"/>
        <v>0.13916529821846593</v>
      </c>
      <c r="ET102" s="63">
        <f t="shared" si="588"/>
        <v>0.10281205421171198</v>
      </c>
      <c r="EU102" s="63">
        <f t="shared" si="588"/>
        <v>0.14990551901920482</v>
      </c>
      <c r="EV102" s="63">
        <f t="shared" si="588"/>
        <v>0.19045229163729224</v>
      </c>
      <c r="EW102" s="63">
        <f t="shared" si="588"/>
        <v>0.12897877999517984</v>
      </c>
      <c r="EX102" s="63">
        <f t="shared" si="588"/>
        <v>0.14079384608855425</v>
      </c>
      <c r="EY102" s="63">
        <f t="shared" si="588"/>
        <v>0.16868265684377409</v>
      </c>
      <c r="EZ102" s="63">
        <f t="shared" si="588"/>
        <v>0.13647725084298884</v>
      </c>
      <c r="FA102" s="63">
        <f t="shared" si="588"/>
        <v>0.20742083025565408</v>
      </c>
      <c r="FB102" s="63">
        <f t="shared" si="588"/>
        <v>0.19956317336422394</v>
      </c>
    </row>
    <row r="104" spans="3:158" x14ac:dyDescent="0.25">
      <c r="C104" s="3" t="s">
        <v>84</v>
      </c>
      <c r="D104" s="4"/>
      <c r="E104" s="4"/>
      <c r="F104" s="4"/>
      <c r="G104" s="4"/>
      <c r="H104" s="4"/>
      <c r="I104" s="4"/>
      <c r="J104" s="4"/>
      <c r="K104" s="4"/>
      <c r="L104" s="4"/>
      <c r="M104" s="3"/>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3"/>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4"/>
      <c r="DV104" s="4"/>
      <c r="DW104" s="4"/>
      <c r="DX104" s="4"/>
      <c r="DY104" s="4"/>
      <c r="DZ104" s="4"/>
      <c r="EA104" s="4"/>
      <c r="EB104" s="4"/>
      <c r="EC104" s="4"/>
      <c r="ED104" s="4"/>
      <c r="EE104" s="4"/>
      <c r="EF104" s="4"/>
      <c r="EG104" s="4"/>
      <c r="EH104" s="4"/>
      <c r="EI104" s="4"/>
      <c r="EJ104" s="4"/>
      <c r="EK104" s="4"/>
      <c r="EL104" s="4"/>
      <c r="EM104" s="4"/>
      <c r="EN104" s="4"/>
      <c r="EO104" s="4"/>
      <c r="EP104" s="4"/>
      <c r="EQ104" s="4"/>
      <c r="ER104" s="4"/>
      <c r="ES104" s="4"/>
      <c r="ET104" s="4"/>
      <c r="EU104" s="4"/>
      <c r="EV104" s="4"/>
      <c r="EW104" s="4"/>
      <c r="EX104" s="4"/>
      <c r="EY104" s="4"/>
      <c r="EZ104" s="4"/>
      <c r="FA104" s="4"/>
      <c r="FB104" s="4"/>
    </row>
    <row r="106" spans="3:158" x14ac:dyDescent="0.25">
      <c r="C106" t="s">
        <v>225</v>
      </c>
      <c r="D106" s="20">
        <f>AY106</f>
        <v>470</v>
      </c>
      <c r="E106" s="20">
        <f>BK106</f>
        <v>843</v>
      </c>
      <c r="F106" s="20">
        <f>BW106</f>
        <v>1382</v>
      </c>
      <c r="G106" s="20">
        <f>CI106</f>
        <v>1732</v>
      </c>
      <c r="H106" s="20">
        <f>CU106</f>
        <v>2490.0745725759107</v>
      </c>
      <c r="I106" s="20">
        <f>DG106</f>
        <v>3339.7802789326756</v>
      </c>
      <c r="J106" s="20">
        <f>I110</f>
        <v>4387.7050376904172</v>
      </c>
      <c r="K106" s="20">
        <f t="shared" ref="K106:L106" si="589">J110</f>
        <v>5587.0255494551911</v>
      </c>
      <c r="L106" s="20">
        <f t="shared" si="589"/>
        <v>6892.5114885894809</v>
      </c>
      <c r="N106" s="20">
        <f>AY106</f>
        <v>470</v>
      </c>
      <c r="O106" s="20">
        <f>N110</f>
        <v>538</v>
      </c>
      <c r="P106" s="20">
        <f t="shared" ref="P106:AK106" si="590">O110</f>
        <v>618</v>
      </c>
      <c r="Q106" s="20">
        <f t="shared" si="590"/>
        <v>703</v>
      </c>
      <c r="R106" s="20">
        <f t="shared" si="590"/>
        <v>843</v>
      </c>
      <c r="S106" s="20">
        <f t="shared" si="590"/>
        <v>1043</v>
      </c>
      <c r="T106" s="20">
        <f t="shared" si="590"/>
        <v>1166</v>
      </c>
      <c r="U106" s="20">
        <f t="shared" si="590"/>
        <v>1264</v>
      </c>
      <c r="V106" s="20">
        <f t="shared" si="590"/>
        <v>1382</v>
      </c>
      <c r="W106" s="20">
        <f t="shared" si="590"/>
        <v>1433</v>
      </c>
      <c r="X106" s="20">
        <f t="shared" si="590"/>
        <v>1537</v>
      </c>
      <c r="Y106" s="20">
        <f t="shared" si="590"/>
        <v>1606</v>
      </c>
      <c r="Z106" s="20">
        <f t="shared" si="590"/>
        <v>1732</v>
      </c>
      <c r="AA106" s="20">
        <f t="shared" si="590"/>
        <v>1842</v>
      </c>
      <c r="AB106" s="20">
        <f t="shared" si="590"/>
        <v>1979</v>
      </c>
      <c r="AC106" s="20">
        <f t="shared" si="590"/>
        <v>2197.2550848088749</v>
      </c>
      <c r="AD106" s="20">
        <f t="shared" si="590"/>
        <v>2490.0745725759107</v>
      </c>
      <c r="AE106" s="20">
        <f t="shared" si="590"/>
        <v>2632.6855355955636</v>
      </c>
      <c r="AF106" s="20">
        <f t="shared" si="590"/>
        <v>2833.7610736993347</v>
      </c>
      <c r="AG106" s="20">
        <f t="shared" si="590"/>
        <v>3036.3341119163483</v>
      </c>
      <c r="AH106" s="20">
        <f t="shared" si="590"/>
        <v>3339.7802789326756</v>
      </c>
      <c r="AI106" s="20">
        <f t="shared" si="590"/>
        <v>3523.1835181940583</v>
      </c>
      <c r="AJ106" s="20">
        <f t="shared" si="590"/>
        <v>3787.6871039420271</v>
      </c>
      <c r="AK106" s="20">
        <f t="shared" si="590"/>
        <v>4037.4583361914201</v>
      </c>
      <c r="AL106" s="20">
        <f t="shared" ref="AL106" si="591">AK110</f>
        <v>4387.7050376904172</v>
      </c>
      <c r="AM106" s="20">
        <f t="shared" ref="AM106" si="592">AL110</f>
        <v>4597.9826356489029</v>
      </c>
      <c r="AN106" s="20">
        <f t="shared" ref="AN106" si="593">AM110</f>
        <v>4900.4458924152041</v>
      </c>
      <c r="AO106" s="20">
        <f t="shared" ref="AO106" si="594">AN110</f>
        <v>5185.9834184894717</v>
      </c>
      <c r="AP106" s="20">
        <f t="shared" ref="AP106" si="595">AO110</f>
        <v>5587.0255494551911</v>
      </c>
      <c r="AQ106" s="20">
        <f t="shared" ref="AQ106" si="596">AP110</f>
        <v>5816.380276011444</v>
      </c>
      <c r="AR106" s="20">
        <f t="shared" ref="AR106" si="597">AQ110</f>
        <v>6145.3069757670146</v>
      </c>
      <c r="AS106" s="20">
        <f t="shared" ref="AS106" si="598">AR110</f>
        <v>6455.7300131022512</v>
      </c>
      <c r="AT106" s="20">
        <f t="shared" ref="AT106" si="599">AS110</f>
        <v>6892.5114885894809</v>
      </c>
      <c r="AU106" s="20">
        <f t="shared" ref="AU106" si="600">AT110</f>
        <v>7132.415342854255</v>
      </c>
      <c r="AV106" s="20">
        <f t="shared" ref="AV106" si="601">AU110</f>
        <v>7475.2262737121237</v>
      </c>
      <c r="AW106" s="20">
        <f t="shared" ref="AW106" si="602">AV110</f>
        <v>7798.6284965082068</v>
      </c>
      <c r="AY106" s="16">
        <v>470</v>
      </c>
      <c r="AZ106" s="20">
        <f>AY110</f>
        <v>473</v>
      </c>
      <c r="BA106" s="20">
        <f t="shared" ref="BA106:CT106" si="603">AZ110</f>
        <v>499</v>
      </c>
      <c r="BB106" s="20">
        <f t="shared" si="603"/>
        <v>538</v>
      </c>
      <c r="BC106" s="20">
        <f t="shared" si="603"/>
        <v>554</v>
      </c>
      <c r="BD106" s="20">
        <f t="shared" si="603"/>
        <v>581</v>
      </c>
      <c r="BE106" s="20">
        <f t="shared" si="603"/>
        <v>618</v>
      </c>
      <c r="BF106" s="20">
        <f t="shared" si="603"/>
        <v>637</v>
      </c>
      <c r="BG106" s="20">
        <f t="shared" si="603"/>
        <v>657</v>
      </c>
      <c r="BH106" s="20">
        <f t="shared" si="603"/>
        <v>703</v>
      </c>
      <c r="BI106" s="20">
        <f t="shared" si="603"/>
        <v>736</v>
      </c>
      <c r="BJ106" s="20">
        <f t="shared" si="603"/>
        <v>786</v>
      </c>
      <c r="BK106" s="20">
        <f t="shared" si="603"/>
        <v>843</v>
      </c>
      <c r="BL106" s="20">
        <f t="shared" si="603"/>
        <v>857</v>
      </c>
      <c r="BM106" s="20">
        <f t="shared" si="603"/>
        <v>890</v>
      </c>
      <c r="BN106" s="20">
        <f t="shared" si="603"/>
        <v>1043</v>
      </c>
      <c r="BO106" s="20">
        <f t="shared" si="603"/>
        <v>1078</v>
      </c>
      <c r="BP106" s="20">
        <f t="shared" si="603"/>
        <v>1117</v>
      </c>
      <c r="BQ106" s="20">
        <f t="shared" si="603"/>
        <v>1166</v>
      </c>
      <c r="BR106" s="20">
        <f t="shared" si="603"/>
        <v>1186</v>
      </c>
      <c r="BS106" s="20">
        <f t="shared" si="603"/>
        <v>1211</v>
      </c>
      <c r="BT106" s="20">
        <f t="shared" si="603"/>
        <v>1264</v>
      </c>
      <c r="BU106" s="20">
        <f t="shared" si="603"/>
        <v>1273</v>
      </c>
      <c r="BV106" s="20">
        <f t="shared" si="603"/>
        <v>1325</v>
      </c>
      <c r="BW106" s="20">
        <f t="shared" si="603"/>
        <v>1382</v>
      </c>
      <c r="BX106" s="20">
        <f t="shared" si="603"/>
        <v>1387</v>
      </c>
      <c r="BY106" s="20">
        <f t="shared" si="603"/>
        <v>1404</v>
      </c>
      <c r="BZ106" s="20">
        <f t="shared" si="603"/>
        <v>1433</v>
      </c>
      <c r="CA106" s="20">
        <f t="shared" si="603"/>
        <v>1453</v>
      </c>
      <c r="CB106" s="20">
        <f t="shared" si="603"/>
        <v>1472</v>
      </c>
      <c r="CC106" s="20">
        <f t="shared" si="603"/>
        <v>1537</v>
      </c>
      <c r="CD106" s="20">
        <f t="shared" si="603"/>
        <v>1542</v>
      </c>
      <c r="CE106" s="20">
        <f t="shared" si="603"/>
        <v>1577</v>
      </c>
      <c r="CF106" s="20">
        <f t="shared" si="603"/>
        <v>1606</v>
      </c>
      <c r="CG106" s="20">
        <f t="shared" si="603"/>
        <v>1614</v>
      </c>
      <c r="CH106" s="20">
        <f t="shared" si="603"/>
        <v>1651</v>
      </c>
      <c r="CI106" s="20">
        <f t="shared" si="603"/>
        <v>1732</v>
      </c>
      <c r="CJ106" s="20">
        <f t="shared" si="603"/>
        <v>1745</v>
      </c>
      <c r="CK106" s="20">
        <f t="shared" si="603"/>
        <v>1778</v>
      </c>
      <c r="CL106" s="20">
        <f t="shared" si="603"/>
        <v>1842</v>
      </c>
      <c r="CM106" s="20">
        <f t="shared" si="603"/>
        <v>1855</v>
      </c>
      <c r="CN106" s="20">
        <f t="shared" si="603"/>
        <v>1894</v>
      </c>
      <c r="CO106" s="20">
        <f t="shared" si="603"/>
        <v>1979</v>
      </c>
      <c r="CP106" s="20">
        <f t="shared" si="603"/>
        <v>2010.3121085187361</v>
      </c>
      <c r="CQ106" s="20">
        <f t="shared" si="603"/>
        <v>2091.0285900449612</v>
      </c>
      <c r="CR106" s="20">
        <f t="shared" si="603"/>
        <v>2197.2550848088749</v>
      </c>
      <c r="CS106" s="20">
        <f t="shared" si="603"/>
        <v>2220.6444058176139</v>
      </c>
      <c r="CT106" s="20">
        <f t="shared" si="603"/>
        <v>2341.4262713291637</v>
      </c>
      <c r="CU106" s="20">
        <f t="shared" ref="CU106" si="604">CT110</f>
        <v>2490.0745725759107</v>
      </c>
      <c r="CV106" s="20">
        <f t="shared" ref="CV106" si="605">CU110</f>
        <v>2504.2496831238377</v>
      </c>
      <c r="CW106" s="20">
        <f t="shared" ref="CW106" si="606">CV110</f>
        <v>2546.6126447939364</v>
      </c>
      <c r="CX106" s="20">
        <f t="shared" ref="CX106" si="607">CW110</f>
        <v>2632.6855355955636</v>
      </c>
      <c r="CY106" s="20">
        <f t="shared" ref="CY106" si="608">CX110</f>
        <v>2659.6524922690451</v>
      </c>
      <c r="CZ106" s="20">
        <f t="shared" ref="CZ106" si="609">CY110</f>
        <v>2733.9730988670781</v>
      </c>
      <c r="DA106" s="20">
        <f t="shared" ref="DA106" si="610">CZ110</f>
        <v>2833.7610736993347</v>
      </c>
      <c r="DB106" s="20">
        <f t="shared" ref="DB106" si="611">DA110</f>
        <v>2858.7486465211277</v>
      </c>
      <c r="DC106" s="20">
        <f t="shared" ref="DC106" si="612">DB110</f>
        <v>2922.2018154038351</v>
      </c>
      <c r="DD106" s="20">
        <f t="shared" ref="DD106" si="613">DC110</f>
        <v>3036.3341119163483</v>
      </c>
      <c r="DE106" s="20">
        <f t="shared" ref="DE106" si="614">DD110</f>
        <v>3076.8446144533082</v>
      </c>
      <c r="DF106" s="20">
        <f t="shared" ref="DF106" si="615">DE110</f>
        <v>3195.4267000690634</v>
      </c>
      <c r="DG106" s="20">
        <f t="shared" ref="DG106:DR106" si="616">DF110</f>
        <v>3339.7802789326756</v>
      </c>
      <c r="DH106" s="20">
        <f t="shared" si="616"/>
        <v>3359.8041007842849</v>
      </c>
      <c r="DI106" s="20">
        <f t="shared" si="616"/>
        <v>3414.5437311191463</v>
      </c>
      <c r="DJ106" s="20">
        <f t="shared" si="616"/>
        <v>3523.1835181940583</v>
      </c>
      <c r="DK106" s="20">
        <f t="shared" si="616"/>
        <v>3562.0363723779406</v>
      </c>
      <c r="DL106" s="20">
        <f t="shared" si="616"/>
        <v>3659.1371671035176</v>
      </c>
      <c r="DM106" s="20">
        <f t="shared" si="616"/>
        <v>3787.6871039420271</v>
      </c>
      <c r="DN106" s="20">
        <f t="shared" si="616"/>
        <v>3818.5946487437236</v>
      </c>
      <c r="DO106" s="20">
        <f t="shared" si="616"/>
        <v>3896.8063209346215</v>
      </c>
      <c r="DP106" s="20">
        <f t="shared" si="616"/>
        <v>4037.458336191421</v>
      </c>
      <c r="DQ106" s="20">
        <f t="shared" si="616"/>
        <v>4079.4760803536055</v>
      </c>
      <c r="DR106" s="20">
        <f t="shared" si="616"/>
        <v>4217.7424515441398</v>
      </c>
      <c r="DS106" s="20">
        <f t="shared" ref="DS106" si="617">DR110</f>
        <v>4387.7050376904172</v>
      </c>
      <c r="DT106" s="20">
        <f t="shared" ref="DT106" si="618">DS110</f>
        <v>4410.9341600433627</v>
      </c>
      <c r="DU106" s="20">
        <f t="shared" ref="DU106" si="619">DT110</f>
        <v>4473.6324031320255</v>
      </c>
      <c r="DV106" s="20">
        <f t="shared" ref="DV106" si="620">DU110</f>
        <v>4597.9826356489029</v>
      </c>
      <c r="DW106" s="20">
        <f t="shared" ref="DW106" si="621">DV110</f>
        <v>4642.8476673327332</v>
      </c>
      <c r="DX106" s="20">
        <f t="shared" ref="DX106" si="622">DW110</f>
        <v>4753.5384462956254</v>
      </c>
      <c r="DY106" s="20">
        <f t="shared" ref="DY106" si="623">DX110</f>
        <v>4900.4458924152041</v>
      </c>
      <c r="DZ106" s="20">
        <f t="shared" ref="DZ106" si="624">DY110</f>
        <v>4936.3182209125753</v>
      </c>
      <c r="EA106" s="20">
        <f t="shared" ref="EA106" si="625">DZ110</f>
        <v>5025.5883811550657</v>
      </c>
      <c r="EB106" s="20">
        <f t="shared" ref="EB106" si="626">EA110</f>
        <v>5185.9834184894717</v>
      </c>
      <c r="EC106" s="20">
        <f t="shared" ref="EC106" si="627">EB110</f>
        <v>5234.4262196145373</v>
      </c>
      <c r="ED106" s="20">
        <f t="shared" ref="ED106" si="628">EC110</f>
        <v>5392.8279312590166</v>
      </c>
      <c r="EE106" s="20">
        <f t="shared" ref="EE106" si="629">ED110</f>
        <v>5587.025549455192</v>
      </c>
      <c r="EF106" s="20">
        <f t="shared" ref="EF106" si="630">EE110</f>
        <v>5612.6939543508497</v>
      </c>
      <c r="EG106" s="20">
        <f t="shared" ref="EG106" si="631">EF110</f>
        <v>5681.0039574215907</v>
      </c>
      <c r="EH106" s="20">
        <f t="shared" ref="EH106" si="632">EG110</f>
        <v>5816.380276011444</v>
      </c>
      <c r="EI106" s="20">
        <f t="shared" ref="EI106" si="633">EH110</f>
        <v>5865.7060082593416</v>
      </c>
      <c r="EJ106" s="20">
        <f t="shared" ref="EJ106" si="634">EI110</f>
        <v>5985.6578753645326</v>
      </c>
      <c r="EK106" s="20">
        <f t="shared" ref="EK106" si="635">EJ110</f>
        <v>6145.3069757670137</v>
      </c>
      <c r="EL106" s="20">
        <f t="shared" ref="EL106" si="636">EK110</f>
        <v>6184.9671430245435</v>
      </c>
      <c r="EM106" s="20">
        <f t="shared" ref="EM106" si="637">EL110</f>
        <v>6281.844276643028</v>
      </c>
      <c r="EN106" s="20">
        <f t="shared" ref="EN106" si="638">EM110</f>
        <v>6455.7300131022503</v>
      </c>
      <c r="EO106" s="20">
        <f t="shared" ref="EO106" si="639">EN110</f>
        <v>6508.8958425215696</v>
      </c>
      <c r="EP106" s="20">
        <f t="shared" ref="EP106" si="640">EO110</f>
        <v>6681.5152970669978</v>
      </c>
      <c r="EQ106" s="20">
        <f t="shared" ref="EQ106" si="641">EP110</f>
        <v>6892.51148858948</v>
      </c>
      <c r="ER106" s="20">
        <f t="shared" ref="ER106" si="642">EQ110</f>
        <v>6919.7832457177437</v>
      </c>
      <c r="ES106" s="20">
        <f t="shared" ref="ES106" si="643">ER110</f>
        <v>6991.1377714851224</v>
      </c>
      <c r="ET106" s="20">
        <f t="shared" ref="ET106" si="644">ES110</f>
        <v>7132.415342854255</v>
      </c>
      <c r="EU106" s="20">
        <f t="shared" ref="EU106" si="645">ET110</f>
        <v>7184.507103351144</v>
      </c>
      <c r="EV106" s="20">
        <f t="shared" ref="EV106" si="646">EU110</f>
        <v>7308.9810243084476</v>
      </c>
      <c r="EW106" s="20">
        <f t="shared" ref="EW106" si="647">EV110</f>
        <v>7475.2262737121237</v>
      </c>
      <c r="EX106" s="20">
        <f t="shared" ref="EX106" si="648">EW110</f>
        <v>7517.3900514063735</v>
      </c>
      <c r="EY106" s="20">
        <f t="shared" ref="EY106" si="649">EX110</f>
        <v>7618.0963741484829</v>
      </c>
      <c r="EZ106" s="20">
        <f t="shared" ref="EZ106" si="650">EY110</f>
        <v>7798.6284965082068</v>
      </c>
      <c r="FA106" s="20">
        <f t="shared" ref="FA106" si="651">EZ110</f>
        <v>7854.6576674256212</v>
      </c>
      <c r="FB106" s="20">
        <f t="shared" ref="FB106" si="652">FA110</f>
        <v>8035.0217921490275</v>
      </c>
    </row>
    <row r="107" spans="3:158" x14ac:dyDescent="0.25">
      <c r="C107" s="2" t="s">
        <v>226</v>
      </c>
      <c r="D107" s="20">
        <f t="shared" ref="D107:L109" si="653">SUMIF($AY$2:$FB$2,D$2,$AY107:$FB107)</f>
        <v>0</v>
      </c>
      <c r="E107" s="20">
        <f t="shared" si="653"/>
        <v>101</v>
      </c>
      <c r="F107" s="20">
        <f t="shared" si="653"/>
        <v>0</v>
      </c>
      <c r="G107" s="20">
        <f t="shared" si="653"/>
        <v>0</v>
      </c>
      <c r="H107" s="20">
        <f t="shared" si="653"/>
        <v>0</v>
      </c>
      <c r="I107" s="20">
        <f t="shared" si="653"/>
        <v>0</v>
      </c>
      <c r="J107" s="20">
        <f t="shared" si="653"/>
        <v>0</v>
      </c>
      <c r="K107" s="20">
        <f t="shared" si="653"/>
        <v>0</v>
      </c>
      <c r="L107" s="20">
        <f t="shared" si="653"/>
        <v>0</v>
      </c>
      <c r="N107" s="16">
        <f t="shared" ref="N107:N109" si="654">SUM(AY107:BA107)</f>
        <v>0</v>
      </c>
      <c r="O107" s="16">
        <f>SUM(BB107:BD107)</f>
        <v>0</v>
      </c>
      <c r="P107" s="16">
        <f>SUM(BE107:BG107)</f>
        <v>0</v>
      </c>
      <c r="Q107" s="16">
        <f>SUM(BH107:BJ107)</f>
        <v>0</v>
      </c>
      <c r="R107" s="16">
        <f>SUM(BK107:BM107)</f>
        <v>101</v>
      </c>
      <c r="S107" s="16">
        <f>SUM(BN107:BP107)</f>
        <v>0</v>
      </c>
      <c r="T107" s="16">
        <f>SUM(BQ107:BS107)</f>
        <v>0</v>
      </c>
      <c r="U107" s="16">
        <f>SUM(BT107:BV107)</f>
        <v>0</v>
      </c>
      <c r="V107" s="16">
        <f>SUM(BW107:BY107)</f>
        <v>0</v>
      </c>
      <c r="W107" s="16">
        <f>SUM(BZ107:CB107)</f>
        <v>0</v>
      </c>
      <c r="X107" s="16">
        <f>SUM(CC107:CE107)</f>
        <v>0</v>
      </c>
      <c r="Y107" s="16">
        <f>SUM(CF107:CH107)</f>
        <v>0</v>
      </c>
      <c r="Z107" s="16">
        <f>SUM(CI107:CK107)</f>
        <v>0</v>
      </c>
      <c r="AA107" s="16">
        <f>SUM(CL107:CN107)</f>
        <v>0</v>
      </c>
      <c r="AB107" s="16">
        <f>SUM(CO107:CQ107)</f>
        <v>0</v>
      </c>
      <c r="AC107" s="16">
        <f>SUM(CR107:CT107)</f>
        <v>0</v>
      </c>
      <c r="AD107" s="16">
        <f>SUM(CU107:CW107)</f>
        <v>0</v>
      </c>
      <c r="AE107" s="16">
        <f>SUM(CX107:CZ107)</f>
        <v>0</v>
      </c>
      <c r="AF107" s="16">
        <f>SUM(DA107:DC107)</f>
        <v>0</v>
      </c>
      <c r="AG107" s="16">
        <f>SUM(DD107:DF107)</f>
        <v>0</v>
      </c>
      <c r="AH107" s="16">
        <f>SUM(DG107:DI107)</f>
        <v>0</v>
      </c>
      <c r="AI107" s="16">
        <f>SUM(DJ107:DL107)</f>
        <v>0</v>
      </c>
      <c r="AJ107" s="16">
        <f>SUM(DM107:DO107)</f>
        <v>0</v>
      </c>
      <c r="AK107" s="16">
        <f>SUM(DP107:DR107)</f>
        <v>0</v>
      </c>
      <c r="AL107" s="16">
        <f>SUM(DS107:DU107)</f>
        <v>0</v>
      </c>
      <c r="AM107" s="16">
        <f>SUM(DV107:DX107)</f>
        <v>0</v>
      </c>
      <c r="AN107" s="16">
        <f>SUM(DY107:EA107)</f>
        <v>0</v>
      </c>
      <c r="AO107" s="16">
        <f>SUM(EB107:ED107)</f>
        <v>0</v>
      </c>
      <c r="AP107" s="16">
        <f>SUM(EE107:EG107)</f>
        <v>0</v>
      </c>
      <c r="AQ107" s="16">
        <f>SUM(EH107:EJ107)</f>
        <v>0</v>
      </c>
      <c r="AR107" s="16">
        <f>SUM(EK107:EM107)</f>
        <v>0</v>
      </c>
      <c r="AS107" s="16">
        <f>SUM(EN107:EP107)</f>
        <v>0</v>
      </c>
      <c r="AT107" s="16">
        <f>SUM(EQ107:ES107)</f>
        <v>0</v>
      </c>
      <c r="AU107" s="16">
        <f>SUM(ET107:EV107)</f>
        <v>0</v>
      </c>
      <c r="AV107" s="16">
        <f>SUM(EW107:EY107)</f>
        <v>0</v>
      </c>
      <c r="AW107" s="16">
        <f>SUM(EZ107:FB107)</f>
        <v>0</v>
      </c>
      <c r="AY107" s="48">
        <v>0</v>
      </c>
      <c r="AZ107" s="48">
        <v>0</v>
      </c>
      <c r="BA107" s="48">
        <v>0</v>
      </c>
      <c r="BB107" s="48">
        <v>0</v>
      </c>
      <c r="BC107" s="48">
        <v>0</v>
      </c>
      <c r="BD107" s="48">
        <v>0</v>
      </c>
      <c r="BE107" s="48">
        <v>0</v>
      </c>
      <c r="BF107" s="48">
        <v>0</v>
      </c>
      <c r="BG107" s="48">
        <v>0</v>
      </c>
      <c r="BH107" s="48">
        <v>0</v>
      </c>
      <c r="BI107" s="48">
        <v>0</v>
      </c>
      <c r="BJ107" s="48">
        <v>0</v>
      </c>
      <c r="BK107" s="48">
        <v>0</v>
      </c>
      <c r="BL107" s="48">
        <v>0</v>
      </c>
      <c r="BM107" s="48">
        <v>101</v>
      </c>
      <c r="BN107" s="48">
        <v>0</v>
      </c>
      <c r="BO107" s="48">
        <v>0</v>
      </c>
      <c r="BP107" s="48">
        <v>0</v>
      </c>
      <c r="BQ107" s="48">
        <v>0</v>
      </c>
      <c r="BR107" s="48">
        <v>0</v>
      </c>
      <c r="BS107" s="48">
        <v>0</v>
      </c>
      <c r="BT107" s="48">
        <v>0</v>
      </c>
      <c r="BU107" s="48">
        <v>0</v>
      </c>
      <c r="BV107" s="48">
        <v>0</v>
      </c>
      <c r="BW107" s="48">
        <v>0</v>
      </c>
      <c r="BX107" s="48">
        <v>0</v>
      </c>
      <c r="BY107" s="48">
        <v>0</v>
      </c>
      <c r="BZ107" s="48">
        <v>0</v>
      </c>
      <c r="CA107" s="48">
        <v>0</v>
      </c>
      <c r="CB107" s="48">
        <v>0</v>
      </c>
      <c r="CC107" s="48">
        <v>0</v>
      </c>
      <c r="CD107" s="48">
        <v>0</v>
      </c>
      <c r="CE107" s="48">
        <v>0</v>
      </c>
      <c r="CF107" s="48">
        <v>0</v>
      </c>
      <c r="CG107" s="48">
        <v>0</v>
      </c>
      <c r="CH107" s="48">
        <v>0</v>
      </c>
      <c r="CI107" s="48">
        <v>0</v>
      </c>
      <c r="CJ107" s="48">
        <v>0</v>
      </c>
      <c r="CK107" s="48">
        <v>0</v>
      </c>
      <c r="CL107" s="48">
        <v>0</v>
      </c>
      <c r="CM107" s="48">
        <v>0</v>
      </c>
      <c r="CN107" s="48">
        <v>0</v>
      </c>
      <c r="CO107" s="48">
        <v>0</v>
      </c>
      <c r="CP107" s="48">
        <v>0</v>
      </c>
      <c r="CQ107" s="48">
        <v>0</v>
      </c>
      <c r="CR107" s="48">
        <v>0</v>
      </c>
      <c r="CS107" s="48">
        <v>0</v>
      </c>
      <c r="CT107" s="48">
        <v>0</v>
      </c>
      <c r="CU107" s="90">
        <v>0</v>
      </c>
      <c r="CV107" s="90">
        <v>0</v>
      </c>
      <c r="CW107" s="90">
        <v>0</v>
      </c>
      <c r="CX107" s="90">
        <v>0</v>
      </c>
      <c r="CY107" s="90">
        <v>0</v>
      </c>
      <c r="CZ107" s="90">
        <v>0</v>
      </c>
      <c r="DA107" s="90">
        <v>0</v>
      </c>
      <c r="DB107" s="90">
        <v>0</v>
      </c>
      <c r="DC107" s="90">
        <v>0</v>
      </c>
      <c r="DD107" s="90">
        <v>0</v>
      </c>
      <c r="DE107" s="90">
        <v>0</v>
      </c>
      <c r="DF107" s="90">
        <v>0</v>
      </c>
      <c r="DG107" s="90">
        <v>0</v>
      </c>
      <c r="DH107" s="90">
        <v>0</v>
      </c>
      <c r="DI107" s="90">
        <v>0</v>
      </c>
      <c r="DJ107" s="90">
        <v>0</v>
      </c>
      <c r="DK107" s="90">
        <v>0</v>
      </c>
      <c r="DL107" s="90">
        <v>0</v>
      </c>
      <c r="DM107" s="90">
        <v>0</v>
      </c>
      <c r="DN107" s="90">
        <v>0</v>
      </c>
      <c r="DO107" s="90">
        <v>0</v>
      </c>
      <c r="DP107" s="90">
        <v>0</v>
      </c>
      <c r="DQ107" s="90">
        <v>0</v>
      </c>
      <c r="DR107" s="90">
        <v>0</v>
      </c>
      <c r="DS107" s="90">
        <v>0</v>
      </c>
      <c r="DT107" s="90">
        <v>0</v>
      </c>
      <c r="DU107" s="90">
        <v>0</v>
      </c>
      <c r="DV107" s="90">
        <v>0</v>
      </c>
      <c r="DW107" s="90">
        <v>0</v>
      </c>
      <c r="DX107" s="90">
        <v>0</v>
      </c>
      <c r="DY107" s="90">
        <v>0</v>
      </c>
      <c r="DZ107" s="90">
        <v>0</v>
      </c>
      <c r="EA107" s="90">
        <v>0</v>
      </c>
      <c r="EB107" s="90">
        <v>0</v>
      </c>
      <c r="EC107" s="90">
        <v>0</v>
      </c>
      <c r="ED107" s="90">
        <v>0</v>
      </c>
      <c r="EE107" s="90">
        <v>0</v>
      </c>
      <c r="EF107" s="90">
        <v>0</v>
      </c>
      <c r="EG107" s="90">
        <v>0</v>
      </c>
      <c r="EH107" s="90">
        <v>0</v>
      </c>
      <c r="EI107" s="90">
        <v>0</v>
      </c>
      <c r="EJ107" s="90">
        <v>0</v>
      </c>
      <c r="EK107" s="90">
        <v>0</v>
      </c>
      <c r="EL107" s="90">
        <v>0</v>
      </c>
      <c r="EM107" s="90">
        <v>0</v>
      </c>
      <c r="EN107" s="90">
        <v>0</v>
      </c>
      <c r="EO107" s="90">
        <v>0</v>
      </c>
      <c r="EP107" s="90">
        <v>0</v>
      </c>
      <c r="EQ107" s="90">
        <v>0</v>
      </c>
      <c r="ER107" s="90">
        <v>0</v>
      </c>
      <c r="ES107" s="90">
        <v>0</v>
      </c>
      <c r="ET107" s="90">
        <v>0</v>
      </c>
      <c r="EU107" s="90">
        <v>0</v>
      </c>
      <c r="EV107" s="90">
        <v>0</v>
      </c>
      <c r="EW107" s="90">
        <v>0</v>
      </c>
      <c r="EX107" s="90">
        <v>0</v>
      </c>
      <c r="EY107" s="90">
        <v>0</v>
      </c>
      <c r="EZ107" s="90">
        <v>0</v>
      </c>
      <c r="FA107" s="90">
        <v>0</v>
      </c>
      <c r="FB107" s="90">
        <v>0</v>
      </c>
    </row>
    <row r="108" spans="3:158" x14ac:dyDescent="0.25">
      <c r="C108" s="2" t="s">
        <v>227</v>
      </c>
      <c r="D108" s="20">
        <f t="shared" si="653"/>
        <v>430</v>
      </c>
      <c r="E108" s="20">
        <f t="shared" si="653"/>
        <v>570</v>
      </c>
      <c r="F108" s="20">
        <f t="shared" si="653"/>
        <v>562</v>
      </c>
      <c r="G108" s="20">
        <f t="shared" si="653"/>
        <v>1033.5933893460608</v>
      </c>
      <c r="H108" s="20">
        <f t="shared" si="653"/>
        <v>1119.4656379471251</v>
      </c>
      <c r="I108" s="20">
        <f t="shared" si="653"/>
        <v>1377.6753696111577</v>
      </c>
      <c r="J108" s="20">
        <f t="shared" si="653"/>
        <v>1560.557926525727</v>
      </c>
      <c r="K108" s="20">
        <f t="shared" si="653"/>
        <v>1678.8979289260255</v>
      </c>
      <c r="L108" s="20">
        <f t="shared" si="653"/>
        <v>1726.5146569286685</v>
      </c>
      <c r="N108" s="16">
        <f t="shared" si="654"/>
        <v>85</v>
      </c>
      <c r="O108" s="16">
        <f>SUM(BB108:BD108)</f>
        <v>88</v>
      </c>
      <c r="P108" s="16">
        <f>SUM(BE108:BG108)</f>
        <v>96</v>
      </c>
      <c r="Q108" s="16">
        <f>SUM(BH108:BJ108)</f>
        <v>161</v>
      </c>
      <c r="R108" s="16">
        <f>SUM(BK108:BM108)</f>
        <v>122</v>
      </c>
      <c r="S108" s="16">
        <f>SUM(BN108:BP108)</f>
        <v>158</v>
      </c>
      <c r="T108" s="16">
        <f>SUM(BQ108:BS108)</f>
        <v>127</v>
      </c>
      <c r="U108" s="16">
        <f>SUM(BT108:BV108)</f>
        <v>163</v>
      </c>
      <c r="V108" s="16">
        <f>SUM(BW108:BY108)</f>
        <v>103</v>
      </c>
      <c r="W108" s="16">
        <f>SUM(BZ108:CB108)</f>
        <v>161</v>
      </c>
      <c r="X108" s="16">
        <f>SUM(CC108:CE108)</f>
        <v>118</v>
      </c>
      <c r="Y108" s="16">
        <f>SUM(CF108:CH108)</f>
        <v>180</v>
      </c>
      <c r="Z108" s="16">
        <f>SUM(CI108:CK108)</f>
        <v>164</v>
      </c>
      <c r="AA108" s="16">
        <f>SUM(CL108:CN108)</f>
        <v>197</v>
      </c>
      <c r="AB108" s="16">
        <f>SUM(CO108:CQ108)</f>
        <v>284.17565032363643</v>
      </c>
      <c r="AC108" s="16">
        <f>SUM(CR108:CT108)</f>
        <v>388.41773902242426</v>
      </c>
      <c r="AD108" s="16">
        <f>SUM(CU108:CW108)</f>
        <v>198.11646096321192</v>
      </c>
      <c r="AE108" s="16">
        <f>SUM(CX108:CZ108)</f>
        <v>263.59511237155806</v>
      </c>
      <c r="AF108" s="16">
        <f>SUM(DA108:DC108)</f>
        <v>259.87382521177915</v>
      </c>
      <c r="AG108" s="16">
        <f>SUM(DD108:DF108)</f>
        <v>397.88023940057587</v>
      </c>
      <c r="AH108" s="16">
        <f>SUM(DG108:DI108)</f>
        <v>251.25235141346229</v>
      </c>
      <c r="AI108" s="16">
        <f>SUM(DJ108:DL108)</f>
        <v>340.92660262656227</v>
      </c>
      <c r="AJ108" s="16">
        <f>SUM(DM108:DO108)</f>
        <v>319.81487958615975</v>
      </c>
      <c r="AK108" s="16">
        <f>SUM(DP108:DR108)</f>
        <v>465.68153598497349</v>
      </c>
      <c r="AL108" s="16">
        <f>SUM(DS108:DU108)</f>
        <v>284.60539921474583</v>
      </c>
      <c r="AM108" s="16">
        <f>SUM(DV108:DX108)</f>
        <v>386.1836567801405</v>
      </c>
      <c r="AN108" s="16">
        <f>SUM(DY108:EA108)</f>
        <v>362.26941147965664</v>
      </c>
      <c r="AO108" s="16">
        <f>SUM(EB108:ED108)</f>
        <v>527.4994590511842</v>
      </c>
      <c r="AP108" s="16">
        <f>SUM(EE108:EG108)</f>
        <v>306.18755457964994</v>
      </c>
      <c r="AQ108" s="16">
        <f>SUM(EH108:EJ108)</f>
        <v>415.46867984369447</v>
      </c>
      <c r="AR108" s="16">
        <f>SUM(EK108:EM108)</f>
        <v>389.74097296119743</v>
      </c>
      <c r="AS108" s="16">
        <f>SUM(EN108:EP108)</f>
        <v>567.50072154148381</v>
      </c>
      <c r="AT108" s="16">
        <f>SUM(EQ108:ES108)</f>
        <v>314.87161407666781</v>
      </c>
      <c r="AU108" s="16">
        <f>SUM(ET108:EV108)</f>
        <v>427.25215922078178</v>
      </c>
      <c r="AV108" s="16">
        <f>SUM(EW108:EY108)</f>
        <v>400.79476579829395</v>
      </c>
      <c r="AW108" s="16">
        <f>SUM(EZ108:FB108)</f>
        <v>583.59611783292519</v>
      </c>
      <c r="AY108" s="48">
        <v>7</v>
      </c>
      <c r="AZ108" s="48">
        <v>32</v>
      </c>
      <c r="BA108" s="48">
        <v>46</v>
      </c>
      <c r="BB108" s="48">
        <v>19</v>
      </c>
      <c r="BC108" s="48">
        <v>29</v>
      </c>
      <c r="BD108" s="48">
        <v>40</v>
      </c>
      <c r="BE108" s="48">
        <v>20</v>
      </c>
      <c r="BF108" s="48">
        <v>25</v>
      </c>
      <c r="BG108" s="48">
        <v>51</v>
      </c>
      <c r="BH108" s="48">
        <v>35</v>
      </c>
      <c r="BI108" s="48">
        <v>59</v>
      </c>
      <c r="BJ108" s="48">
        <v>67</v>
      </c>
      <c r="BK108" s="48">
        <v>18</v>
      </c>
      <c r="BL108" s="48">
        <v>39</v>
      </c>
      <c r="BM108" s="48">
        <v>65</v>
      </c>
      <c r="BN108" s="48">
        <v>45</v>
      </c>
      <c r="BO108" s="48">
        <v>51</v>
      </c>
      <c r="BP108" s="48">
        <v>62</v>
      </c>
      <c r="BQ108" s="48">
        <v>31</v>
      </c>
      <c r="BR108" s="48">
        <v>30</v>
      </c>
      <c r="BS108" s="48">
        <v>66</v>
      </c>
      <c r="BT108" s="48">
        <v>21</v>
      </c>
      <c r="BU108" s="48">
        <v>67</v>
      </c>
      <c r="BV108" s="48">
        <v>75</v>
      </c>
      <c r="BW108" s="48">
        <v>22</v>
      </c>
      <c r="BX108" s="48">
        <v>33</v>
      </c>
      <c r="BY108" s="48">
        <v>48</v>
      </c>
      <c r="BZ108" s="48">
        <v>40</v>
      </c>
      <c r="CA108" s="48">
        <v>39</v>
      </c>
      <c r="CB108" s="48">
        <v>82</v>
      </c>
      <c r="CC108" s="48">
        <v>23</v>
      </c>
      <c r="CD108" s="48">
        <v>48</v>
      </c>
      <c r="CE108" s="48">
        <v>47</v>
      </c>
      <c r="CF108" s="48">
        <v>31</v>
      </c>
      <c r="CG108" s="48">
        <v>55</v>
      </c>
      <c r="CH108" s="48">
        <v>94</v>
      </c>
      <c r="CI108" s="48">
        <v>32</v>
      </c>
      <c r="CJ108" s="48">
        <v>47</v>
      </c>
      <c r="CK108" s="48">
        <v>85</v>
      </c>
      <c r="CL108" s="48">
        <v>40</v>
      </c>
      <c r="CM108" s="48">
        <v>57</v>
      </c>
      <c r="CN108" s="48">
        <v>100</v>
      </c>
      <c r="CO108" s="48">
        <v>42.626347548545468</v>
      </c>
      <c r="CP108" s="48">
        <v>99.46147761327272</v>
      </c>
      <c r="CQ108" s="48">
        <v>142.08782516181822</v>
      </c>
      <c r="CR108" s="48">
        <v>38.841773902242423</v>
      </c>
      <c r="CS108" s="48">
        <v>155.36709560896969</v>
      </c>
      <c r="CT108" s="48">
        <v>194.20886951121216</v>
      </c>
      <c r="CU108" s="91">
        <f t="shared" ref="CU108:DZ108" si="655">CU11/CU112</f>
        <v>26.189029396795782</v>
      </c>
      <c r="CV108" s="91">
        <f t="shared" si="655"/>
        <v>57.557917206195036</v>
      </c>
      <c r="CW108" s="91">
        <f t="shared" si="655"/>
        <v>114.36951436022109</v>
      </c>
      <c r="CX108" s="91">
        <f t="shared" si="655"/>
        <v>45.729458990291704</v>
      </c>
      <c r="CY108" s="91">
        <f t="shared" si="655"/>
        <v>89.692199440890462</v>
      </c>
      <c r="CZ108" s="91">
        <f t="shared" si="655"/>
        <v>128.17345394037591</v>
      </c>
      <c r="DA108" s="91">
        <f t="shared" si="655"/>
        <v>43.910873295566098</v>
      </c>
      <c r="DB108" s="91">
        <f t="shared" si="655"/>
        <v>78.297436011066907</v>
      </c>
      <c r="DC108" s="91">
        <f t="shared" si="655"/>
        <v>137.66551590514615</v>
      </c>
      <c r="DD108" s="91">
        <f t="shared" si="655"/>
        <v>59.113809028669188</v>
      </c>
      <c r="DE108" s="91">
        <f t="shared" si="655"/>
        <v>157.681884259306</v>
      </c>
      <c r="DF108" s="91">
        <f t="shared" si="655"/>
        <v>181.08454611260066</v>
      </c>
      <c r="DG108" s="91">
        <f t="shared" si="655"/>
        <v>34.709461248840768</v>
      </c>
      <c r="DH108" s="91">
        <f t="shared" si="655"/>
        <v>73.313722641226846</v>
      </c>
      <c r="DI108" s="91">
        <f t="shared" si="655"/>
        <v>143.22916752339469</v>
      </c>
      <c r="DJ108" s="91">
        <f t="shared" si="655"/>
        <v>61.787863707468816</v>
      </c>
      <c r="DK108" s="91">
        <f t="shared" si="655"/>
        <v>115.89080590269742</v>
      </c>
      <c r="DL108" s="91">
        <f t="shared" si="655"/>
        <v>163.24793301639599</v>
      </c>
      <c r="DM108" s="91">
        <f t="shared" si="655"/>
        <v>54.03911165004876</v>
      </c>
      <c r="DN108" s="91">
        <f t="shared" si="655"/>
        <v>96.357088096032726</v>
      </c>
      <c r="DO108" s="91">
        <f t="shared" si="655"/>
        <v>169.41867984007825</v>
      </c>
      <c r="DP108" s="91">
        <f t="shared" si="655"/>
        <v>64.758155028131085</v>
      </c>
      <c r="DQ108" s="91">
        <f t="shared" si="655"/>
        <v>186.06139549583173</v>
      </c>
      <c r="DR108" s="91">
        <f t="shared" si="655"/>
        <v>214.8619854610107</v>
      </c>
      <c r="DS108" s="91">
        <f t="shared" si="655"/>
        <v>39.317045272141399</v>
      </c>
      <c r="DT108" s="91">
        <f t="shared" si="655"/>
        <v>83.045914527140724</v>
      </c>
      <c r="DU108" s="91">
        <f t="shared" si="655"/>
        <v>162.24243941546371</v>
      </c>
      <c r="DV108" s="91">
        <f t="shared" si="655"/>
        <v>69.990030016285246</v>
      </c>
      <c r="DW108" s="91">
        <f t="shared" si="655"/>
        <v>131.27498665665649</v>
      </c>
      <c r="DX108" s="91">
        <f t="shared" si="655"/>
        <v>184.91864010719877</v>
      </c>
      <c r="DY108" s="91">
        <f t="shared" si="655"/>
        <v>61.212652768623151</v>
      </c>
      <c r="DZ108" s="91">
        <f t="shared" si="655"/>
        <v>109.14822237668592</v>
      </c>
      <c r="EA108" s="91">
        <f t="shared" ref="EA108:FB108" si="656">EA11/EA112</f>
        <v>191.90853633434756</v>
      </c>
      <c r="EB108" s="91">
        <f t="shared" si="656"/>
        <v>73.35461921254732</v>
      </c>
      <c r="EC108" s="91">
        <f t="shared" si="656"/>
        <v>210.76052600360489</v>
      </c>
      <c r="ED108" s="91">
        <f t="shared" si="656"/>
        <v>243.38431383503203</v>
      </c>
      <c r="EE108" s="91">
        <f t="shared" si="656"/>
        <v>42.298529748168725</v>
      </c>
      <c r="EF108" s="91">
        <f t="shared" si="656"/>
        <v>89.343440275740235</v>
      </c>
      <c r="EG108" s="91">
        <f t="shared" si="656"/>
        <v>174.54558455574099</v>
      </c>
      <c r="EH108" s="91">
        <f t="shared" si="656"/>
        <v>75.297503823786727</v>
      </c>
      <c r="EI108" s="91">
        <f t="shared" si="656"/>
        <v>141.22981240967013</v>
      </c>
      <c r="EJ108" s="91">
        <f t="shared" si="656"/>
        <v>198.9413636102376</v>
      </c>
      <c r="EK108" s="91">
        <f t="shared" si="656"/>
        <v>65.854521777417091</v>
      </c>
      <c r="EL108" s="91">
        <f t="shared" si="656"/>
        <v>117.42513454924564</v>
      </c>
      <c r="EM108" s="91">
        <f t="shared" si="656"/>
        <v>206.46131663453468</v>
      </c>
      <c r="EN108" s="91">
        <f t="shared" si="656"/>
        <v>78.917236060107641</v>
      </c>
      <c r="EO108" s="91">
        <f t="shared" si="656"/>
        <v>226.74288765081516</v>
      </c>
      <c r="EP108" s="91">
        <f t="shared" si="656"/>
        <v>261.84059783056102</v>
      </c>
      <c r="EQ108" s="91">
        <f t="shared" si="656"/>
        <v>43.498196238447065</v>
      </c>
      <c r="ER108" s="91">
        <f t="shared" si="656"/>
        <v>91.877389613060416</v>
      </c>
      <c r="ES108" s="91">
        <f t="shared" si="656"/>
        <v>179.49602822516036</v>
      </c>
      <c r="ET108" s="91">
        <f t="shared" si="656"/>
        <v>77.433083776016929</v>
      </c>
      <c r="EU108" s="91">
        <f t="shared" si="656"/>
        <v>145.23535762329573</v>
      </c>
      <c r="EV108" s="91">
        <f t="shared" si="656"/>
        <v>204.58371782146909</v>
      </c>
      <c r="EW108" s="91">
        <f t="shared" si="656"/>
        <v>67.722280857461556</v>
      </c>
      <c r="EX108" s="91">
        <f t="shared" si="656"/>
        <v>120.75553397149162</v>
      </c>
      <c r="EY108" s="91">
        <f t="shared" si="656"/>
        <v>212.31695096934081</v>
      </c>
      <c r="EZ108" s="91">
        <f t="shared" si="656"/>
        <v>81.155478480597338</v>
      </c>
      <c r="FA108" s="91">
        <f t="shared" si="656"/>
        <v>233.17374578803933</v>
      </c>
      <c r="FB108" s="91">
        <f t="shared" si="656"/>
        <v>269.26689356428852</v>
      </c>
    </row>
    <row r="109" spans="3:158" x14ac:dyDescent="0.25">
      <c r="C109" s="2" t="s">
        <v>228</v>
      </c>
      <c r="D109" s="29">
        <f t="shared" si="653"/>
        <v>-57</v>
      </c>
      <c r="E109" s="29">
        <f t="shared" si="653"/>
        <v>-132</v>
      </c>
      <c r="F109" s="29">
        <f t="shared" si="653"/>
        <v>-212</v>
      </c>
      <c r="G109" s="29">
        <f t="shared" si="653"/>
        <v>-275.51881677014995</v>
      </c>
      <c r="H109" s="29">
        <f t="shared" si="653"/>
        <v>-269.7599315903596</v>
      </c>
      <c r="I109" s="29">
        <f t="shared" si="653"/>
        <v>-329.75061085341639</v>
      </c>
      <c r="J109" s="29">
        <f t="shared" si="653"/>
        <v>-361.23741476095336</v>
      </c>
      <c r="K109" s="29">
        <f t="shared" si="653"/>
        <v>-373.41198979173623</v>
      </c>
      <c r="L109" s="29">
        <f t="shared" si="653"/>
        <v>-364.34765036975233</v>
      </c>
      <c r="N109" s="27">
        <f t="shared" si="654"/>
        <v>-17</v>
      </c>
      <c r="O109" s="27">
        <f>SUM(BB109:BD109)</f>
        <v>-8</v>
      </c>
      <c r="P109" s="27">
        <f>SUM(BE109:BG109)</f>
        <v>-11</v>
      </c>
      <c r="Q109" s="27">
        <f>SUM(BH109:BJ109)</f>
        <v>-21</v>
      </c>
      <c r="R109" s="27">
        <f>SUM(BK109:BM109)</f>
        <v>-23</v>
      </c>
      <c r="S109" s="27">
        <f>SUM(BN109:BP109)</f>
        <v>-35</v>
      </c>
      <c r="T109" s="27">
        <f>SUM(BQ109:BS109)</f>
        <v>-29</v>
      </c>
      <c r="U109" s="27">
        <f>SUM(BT109:BV109)</f>
        <v>-45</v>
      </c>
      <c r="V109" s="27">
        <f>SUM(BW109:BY109)</f>
        <v>-52</v>
      </c>
      <c r="W109" s="27">
        <f>SUM(BZ109:CB109)</f>
        <v>-57</v>
      </c>
      <c r="X109" s="27">
        <f>SUM(CC109:CE109)</f>
        <v>-49</v>
      </c>
      <c r="Y109" s="27">
        <f>SUM(CF109:CH109)</f>
        <v>-54</v>
      </c>
      <c r="Z109" s="27">
        <f>SUM(CI109:CK109)</f>
        <v>-54</v>
      </c>
      <c r="AA109" s="27">
        <f>SUM(CL109:CN109)</f>
        <v>-60</v>
      </c>
      <c r="AB109" s="27">
        <f>SUM(CO109:CQ109)</f>
        <v>-65.920565514761819</v>
      </c>
      <c r="AC109" s="27">
        <f>SUM(CR109:CT109)</f>
        <v>-95.598251255388163</v>
      </c>
      <c r="AD109" s="27">
        <f>SUM(CU109:CW109)</f>
        <v>-55.505497943559114</v>
      </c>
      <c r="AE109" s="27">
        <f>SUM(CX109:CZ109)</f>
        <v>-62.519574267786979</v>
      </c>
      <c r="AF109" s="27">
        <f>SUM(DA109:DC109)</f>
        <v>-57.300786994765403</v>
      </c>
      <c r="AG109" s="27">
        <f>SUM(DD109:DF109)</f>
        <v>-94.43407238424814</v>
      </c>
      <c r="AH109" s="27">
        <f>SUM(DG109:DI109)</f>
        <v>-67.849112152079726</v>
      </c>
      <c r="AI109" s="27">
        <f>SUM(DJ109:DL109)</f>
        <v>-76.423016878593501</v>
      </c>
      <c r="AJ109" s="27">
        <f>SUM(DM109:DO109)</f>
        <v>-70.043647336766426</v>
      </c>
      <c r="AK109" s="27">
        <f>SUM(DP109:DR109)</f>
        <v>-115.43483448597672</v>
      </c>
      <c r="AL109" s="27">
        <f>SUM(DS109:DU109)</f>
        <v>-74.327801256260599</v>
      </c>
      <c r="AM109" s="27">
        <f>SUM(DV109:DX109)</f>
        <v>-83.720400013839125</v>
      </c>
      <c r="AN109" s="27">
        <f>SUM(DY109:EA109)</f>
        <v>-76.731885405389221</v>
      </c>
      <c r="AO109" s="27">
        <f>SUM(EB109:ED109)</f>
        <v>-126.4573280854644</v>
      </c>
      <c r="AP109" s="27">
        <f>SUM(EE109:EG109)</f>
        <v>-76.832828023397326</v>
      </c>
      <c r="AQ109" s="27">
        <f>SUM(EH109:EJ109)</f>
        <v>-86.541980088123864</v>
      </c>
      <c r="AR109" s="27">
        <f>SUM(EK109:EM109)</f>
        <v>-79.317935625960999</v>
      </c>
      <c r="AS109" s="27">
        <f>SUM(EN109:EP109)</f>
        <v>-130.719246054254</v>
      </c>
      <c r="AT109" s="27">
        <f>SUM(EQ109:ES109)</f>
        <v>-74.967759811893416</v>
      </c>
      <c r="AU109" s="27">
        <f>SUM(ET109:EV109)</f>
        <v>-84.441228362913222</v>
      </c>
      <c r="AV109" s="27">
        <f>SUM(EW109:EY109)</f>
        <v>-77.392543002211113</v>
      </c>
      <c r="AW109" s="27">
        <f>SUM(EZ109:FB109)</f>
        <v>-127.54611919273452</v>
      </c>
      <c r="AY109" s="52">
        <v>-4</v>
      </c>
      <c r="AZ109" s="52">
        <v>-6</v>
      </c>
      <c r="BA109" s="52">
        <v>-7</v>
      </c>
      <c r="BB109" s="52">
        <v>-3</v>
      </c>
      <c r="BC109" s="52">
        <v>-2</v>
      </c>
      <c r="BD109" s="52">
        <v>-3</v>
      </c>
      <c r="BE109" s="52">
        <v>-1</v>
      </c>
      <c r="BF109" s="52">
        <v>-5</v>
      </c>
      <c r="BG109" s="52">
        <v>-5</v>
      </c>
      <c r="BH109" s="52">
        <v>-2</v>
      </c>
      <c r="BI109" s="52">
        <v>-9</v>
      </c>
      <c r="BJ109" s="52">
        <v>-10</v>
      </c>
      <c r="BK109" s="52">
        <v>-4</v>
      </c>
      <c r="BL109" s="52">
        <v>-6</v>
      </c>
      <c r="BM109" s="52">
        <v>-13</v>
      </c>
      <c r="BN109" s="52">
        <v>-10</v>
      </c>
      <c r="BO109" s="52">
        <v>-12</v>
      </c>
      <c r="BP109" s="52">
        <v>-13</v>
      </c>
      <c r="BQ109" s="52">
        <v>-11</v>
      </c>
      <c r="BR109" s="52">
        <v>-5</v>
      </c>
      <c r="BS109" s="52">
        <v>-13</v>
      </c>
      <c r="BT109" s="52">
        <v>-12</v>
      </c>
      <c r="BU109" s="52">
        <v>-15</v>
      </c>
      <c r="BV109" s="52">
        <v>-18</v>
      </c>
      <c r="BW109" s="52">
        <v>-17</v>
      </c>
      <c r="BX109" s="52">
        <v>-16</v>
      </c>
      <c r="BY109" s="52">
        <v>-19</v>
      </c>
      <c r="BZ109" s="52">
        <v>-20</v>
      </c>
      <c r="CA109" s="52">
        <v>-20</v>
      </c>
      <c r="CB109" s="52">
        <v>-17</v>
      </c>
      <c r="CC109" s="52">
        <v>-18</v>
      </c>
      <c r="CD109" s="52">
        <v>-13</v>
      </c>
      <c r="CE109" s="52">
        <v>-18</v>
      </c>
      <c r="CF109" s="52">
        <v>-23</v>
      </c>
      <c r="CG109" s="52">
        <v>-18</v>
      </c>
      <c r="CH109" s="52">
        <v>-13</v>
      </c>
      <c r="CI109" s="52">
        <v>-19</v>
      </c>
      <c r="CJ109" s="52">
        <v>-14</v>
      </c>
      <c r="CK109" s="52">
        <v>-21</v>
      </c>
      <c r="CL109" s="52">
        <v>-27</v>
      </c>
      <c r="CM109" s="52">
        <v>-18</v>
      </c>
      <c r="CN109" s="52">
        <v>-15</v>
      </c>
      <c r="CO109" s="52">
        <v>-11.314239029809521</v>
      </c>
      <c r="CP109" s="52">
        <v>-18.744996087047618</v>
      </c>
      <c r="CQ109" s="52">
        <v>-35.861330397904673</v>
      </c>
      <c r="CR109" s="52">
        <v>-15.452452893503661</v>
      </c>
      <c r="CS109" s="52">
        <v>-34.58523009741954</v>
      </c>
      <c r="CT109" s="52">
        <v>-45.560568264464969</v>
      </c>
      <c r="CU109" s="87">
        <f t="shared" ref="CU109:DZ109" si="657">CU13/CU114</f>
        <v>-12.013918848868943</v>
      </c>
      <c r="CV109" s="87">
        <f t="shared" si="657"/>
        <v>-15.194955536096151</v>
      </c>
      <c r="CW109" s="87">
        <f t="shared" si="657"/>
        <v>-28.296623558594021</v>
      </c>
      <c r="CX109" s="87">
        <f t="shared" si="657"/>
        <v>-18.762502316810423</v>
      </c>
      <c r="CY109" s="87">
        <f t="shared" si="657"/>
        <v>-15.37159284285714</v>
      </c>
      <c r="CZ109" s="87">
        <f t="shared" si="657"/>
        <v>-28.385479108119416</v>
      </c>
      <c r="DA109" s="87">
        <f t="shared" si="657"/>
        <v>-18.923300473772876</v>
      </c>
      <c r="DB109" s="87">
        <f t="shared" si="657"/>
        <v>-14.844267128359684</v>
      </c>
      <c r="DC109" s="87">
        <f t="shared" si="657"/>
        <v>-23.533219392632844</v>
      </c>
      <c r="DD109" s="87">
        <f t="shared" si="657"/>
        <v>-18.603306491709052</v>
      </c>
      <c r="DE109" s="87">
        <f t="shared" si="657"/>
        <v>-39.099798643550898</v>
      </c>
      <c r="DF109" s="87">
        <f t="shared" si="657"/>
        <v>-36.7309672489882</v>
      </c>
      <c r="DG109" s="87">
        <f t="shared" si="657"/>
        <v>-14.685639397231675</v>
      </c>
      <c r="DH109" s="87">
        <f t="shared" si="657"/>
        <v>-18.574092306365589</v>
      </c>
      <c r="DI109" s="87">
        <f t="shared" si="657"/>
        <v>-34.589380448482451</v>
      </c>
      <c r="DJ109" s="87">
        <f t="shared" si="657"/>
        <v>-22.93500952358626</v>
      </c>
      <c r="DK109" s="87">
        <f t="shared" si="657"/>
        <v>-18.790011177120594</v>
      </c>
      <c r="DL109" s="87">
        <f t="shared" si="657"/>
        <v>-34.697996177886651</v>
      </c>
      <c r="DM109" s="87">
        <f t="shared" si="657"/>
        <v>-23.13156684835231</v>
      </c>
      <c r="DN109" s="87">
        <f t="shared" si="657"/>
        <v>-18.145415905135195</v>
      </c>
      <c r="DO109" s="87">
        <f t="shared" si="657"/>
        <v>-28.766664583278928</v>
      </c>
      <c r="DP109" s="87">
        <f t="shared" si="657"/>
        <v>-22.740410865946455</v>
      </c>
      <c r="DQ109" s="87">
        <f t="shared" si="657"/>
        <v>-47.795024305296984</v>
      </c>
      <c r="DR109" s="87">
        <f t="shared" si="657"/>
        <v>-44.89939931473328</v>
      </c>
      <c r="DS109" s="87">
        <f t="shared" si="657"/>
        <v>-16.08792291919605</v>
      </c>
      <c r="DT109" s="87">
        <f t="shared" si="657"/>
        <v>-20.347671438478255</v>
      </c>
      <c r="DU109" s="87">
        <f t="shared" si="657"/>
        <v>-37.892206898586295</v>
      </c>
      <c r="DV109" s="87">
        <f t="shared" si="657"/>
        <v>-25.124998332455124</v>
      </c>
      <c r="DW109" s="87">
        <f t="shared" si="657"/>
        <v>-20.584207693764572</v>
      </c>
      <c r="DX109" s="87">
        <f t="shared" si="657"/>
        <v>-38.011193987619428</v>
      </c>
      <c r="DY109" s="87">
        <f t="shared" si="657"/>
        <v>-25.34032427125188</v>
      </c>
      <c r="DZ109" s="87">
        <f t="shared" si="657"/>
        <v>-19.878062134196078</v>
      </c>
      <c r="EA109" s="87">
        <f t="shared" ref="EA109:FB109" si="658">EA13/EA114</f>
        <v>-31.513498999941259</v>
      </c>
      <c r="EB109" s="87">
        <f t="shared" si="658"/>
        <v>-24.91181808748204</v>
      </c>
      <c r="EC109" s="87">
        <f t="shared" si="658"/>
        <v>-52.358814359125958</v>
      </c>
      <c r="ED109" s="87">
        <f t="shared" si="658"/>
        <v>-49.186695638856392</v>
      </c>
      <c r="EE109" s="87">
        <f t="shared" si="658"/>
        <v>-16.630124852511333</v>
      </c>
      <c r="EF109" s="87">
        <f t="shared" si="658"/>
        <v>-21.033437204998876</v>
      </c>
      <c r="EG109" s="87">
        <f t="shared" si="658"/>
        <v>-39.169265965887128</v>
      </c>
      <c r="EH109" s="87">
        <f t="shared" si="658"/>
        <v>-25.971771575888905</v>
      </c>
      <c r="EI109" s="87">
        <f t="shared" si="658"/>
        <v>-21.277945304479097</v>
      </c>
      <c r="EJ109" s="87">
        <f t="shared" si="658"/>
        <v>-39.292263207755859</v>
      </c>
      <c r="EK109" s="87">
        <f t="shared" si="658"/>
        <v>-26.19435451988733</v>
      </c>
      <c r="EL109" s="87">
        <f t="shared" si="658"/>
        <v>-20.548000930761436</v>
      </c>
      <c r="EM109" s="87">
        <f t="shared" si="658"/>
        <v>-32.575580175312233</v>
      </c>
      <c r="EN109" s="87">
        <f t="shared" si="658"/>
        <v>-25.75140664078836</v>
      </c>
      <c r="EO109" s="87">
        <f t="shared" si="658"/>
        <v>-54.12343310538688</v>
      </c>
      <c r="EP109" s="87">
        <f t="shared" si="658"/>
        <v>-50.84440630807876</v>
      </c>
      <c r="EQ109" s="87">
        <f t="shared" si="658"/>
        <v>-16.226439110183655</v>
      </c>
      <c r="ER109" s="87">
        <f t="shared" si="658"/>
        <v>-20.522863845682188</v>
      </c>
      <c r="ES109" s="87">
        <f t="shared" si="658"/>
        <v>-38.218456856027579</v>
      </c>
      <c r="ET109" s="87">
        <f t="shared" si="658"/>
        <v>-25.341323279128567</v>
      </c>
      <c r="EU109" s="87">
        <f t="shared" si="658"/>
        <v>-20.761436665991674</v>
      </c>
      <c r="EV109" s="87">
        <f t="shared" si="658"/>
        <v>-38.338468417792988</v>
      </c>
      <c r="EW109" s="87">
        <f t="shared" si="658"/>
        <v>-25.558503163211657</v>
      </c>
      <c r="EX109" s="87">
        <f t="shared" si="658"/>
        <v>-20.049211229382159</v>
      </c>
      <c r="EY109" s="87">
        <f t="shared" si="658"/>
        <v>-31.784828609617289</v>
      </c>
      <c r="EZ109" s="87">
        <f t="shared" si="658"/>
        <v>-25.126307563182888</v>
      </c>
      <c r="FA109" s="87">
        <f t="shared" si="658"/>
        <v>-52.809621064632935</v>
      </c>
      <c r="FB109" s="87">
        <f t="shared" si="658"/>
        <v>-49.610190564918696</v>
      </c>
    </row>
    <row r="110" spans="3:158" s="1" customFormat="1" x14ac:dyDescent="0.25">
      <c r="C110" s="1" t="s">
        <v>229</v>
      </c>
      <c r="D110" s="49">
        <f>SUM(D106:D109)</f>
        <v>843</v>
      </c>
      <c r="E110" s="49">
        <f t="shared" ref="E110:L110" si="659">SUM(E106:E109)</f>
        <v>1382</v>
      </c>
      <c r="F110" s="49">
        <f t="shared" si="659"/>
        <v>1732</v>
      </c>
      <c r="G110" s="49">
        <f t="shared" si="659"/>
        <v>2490.0745725759107</v>
      </c>
      <c r="H110" s="49">
        <f t="shared" si="659"/>
        <v>3339.7802789326765</v>
      </c>
      <c r="I110" s="49">
        <f t="shared" si="659"/>
        <v>4387.7050376904172</v>
      </c>
      <c r="J110" s="49">
        <f t="shared" si="659"/>
        <v>5587.0255494551911</v>
      </c>
      <c r="K110" s="49">
        <f t="shared" si="659"/>
        <v>6892.5114885894809</v>
      </c>
      <c r="L110" s="49">
        <f t="shared" si="659"/>
        <v>8254.6784951483969</v>
      </c>
      <c r="N110" s="49">
        <f>SUM(N106:N109)</f>
        <v>538</v>
      </c>
      <c r="O110" s="49">
        <f t="shared" ref="O110:AK110" si="660">SUM(O106:O109)</f>
        <v>618</v>
      </c>
      <c r="P110" s="49">
        <f t="shared" si="660"/>
        <v>703</v>
      </c>
      <c r="Q110" s="49">
        <f t="shared" si="660"/>
        <v>843</v>
      </c>
      <c r="R110" s="49">
        <f t="shared" si="660"/>
        <v>1043</v>
      </c>
      <c r="S110" s="49">
        <f t="shared" si="660"/>
        <v>1166</v>
      </c>
      <c r="T110" s="49">
        <f t="shared" si="660"/>
        <v>1264</v>
      </c>
      <c r="U110" s="49">
        <f t="shared" si="660"/>
        <v>1382</v>
      </c>
      <c r="V110" s="49">
        <f t="shared" si="660"/>
        <v>1433</v>
      </c>
      <c r="W110" s="49">
        <f t="shared" si="660"/>
        <v>1537</v>
      </c>
      <c r="X110" s="49">
        <f t="shared" si="660"/>
        <v>1606</v>
      </c>
      <c r="Y110" s="49">
        <f t="shared" si="660"/>
        <v>1732</v>
      </c>
      <c r="Z110" s="49">
        <f t="shared" si="660"/>
        <v>1842</v>
      </c>
      <c r="AA110" s="49">
        <f t="shared" si="660"/>
        <v>1979</v>
      </c>
      <c r="AB110" s="49">
        <f t="shared" si="660"/>
        <v>2197.2550848088749</v>
      </c>
      <c r="AC110" s="49">
        <f t="shared" si="660"/>
        <v>2490.0745725759107</v>
      </c>
      <c r="AD110" s="49">
        <f t="shared" si="660"/>
        <v>2632.6855355955636</v>
      </c>
      <c r="AE110" s="49">
        <f t="shared" si="660"/>
        <v>2833.7610736993347</v>
      </c>
      <c r="AF110" s="49">
        <f t="shared" si="660"/>
        <v>3036.3341119163483</v>
      </c>
      <c r="AG110" s="49">
        <f t="shared" si="660"/>
        <v>3339.7802789326756</v>
      </c>
      <c r="AH110" s="49">
        <f t="shared" si="660"/>
        <v>3523.1835181940583</v>
      </c>
      <c r="AI110" s="49">
        <f t="shared" si="660"/>
        <v>3787.6871039420271</v>
      </c>
      <c r="AJ110" s="49">
        <f t="shared" si="660"/>
        <v>4037.4583361914201</v>
      </c>
      <c r="AK110" s="49">
        <f t="shared" si="660"/>
        <v>4387.7050376904172</v>
      </c>
      <c r="AL110" s="49">
        <f t="shared" ref="AL110" si="661">SUM(AL106:AL109)</f>
        <v>4597.9826356489029</v>
      </c>
      <c r="AM110" s="49">
        <f t="shared" ref="AM110" si="662">SUM(AM106:AM109)</f>
        <v>4900.4458924152041</v>
      </c>
      <c r="AN110" s="49">
        <f t="shared" ref="AN110" si="663">SUM(AN106:AN109)</f>
        <v>5185.9834184894717</v>
      </c>
      <c r="AO110" s="49">
        <f t="shared" ref="AO110" si="664">SUM(AO106:AO109)</f>
        <v>5587.0255494551911</v>
      </c>
      <c r="AP110" s="49">
        <f t="shared" ref="AP110" si="665">SUM(AP106:AP109)</f>
        <v>5816.380276011444</v>
      </c>
      <c r="AQ110" s="49">
        <f t="shared" ref="AQ110" si="666">SUM(AQ106:AQ109)</f>
        <v>6145.3069757670146</v>
      </c>
      <c r="AR110" s="49">
        <f t="shared" ref="AR110" si="667">SUM(AR106:AR109)</f>
        <v>6455.7300131022512</v>
      </c>
      <c r="AS110" s="49">
        <f t="shared" ref="AS110" si="668">SUM(AS106:AS109)</f>
        <v>6892.5114885894809</v>
      </c>
      <c r="AT110" s="49">
        <f t="shared" ref="AT110" si="669">SUM(AT106:AT109)</f>
        <v>7132.415342854255</v>
      </c>
      <c r="AU110" s="49">
        <f t="shared" ref="AU110" si="670">SUM(AU106:AU109)</f>
        <v>7475.2262737121237</v>
      </c>
      <c r="AV110" s="49">
        <f t="shared" ref="AV110" si="671">SUM(AV106:AV109)</f>
        <v>7798.6284965082068</v>
      </c>
      <c r="AW110" s="49">
        <f t="shared" ref="AW110" si="672">SUM(AW106:AW109)</f>
        <v>8254.6784951483969</v>
      </c>
      <c r="AY110" s="18">
        <f>SUM(AY106:AY109)</f>
        <v>473</v>
      </c>
      <c r="AZ110" s="18">
        <f>SUM(AZ106:AZ109)</f>
        <v>499</v>
      </c>
      <c r="BA110" s="18">
        <f t="shared" ref="BA110:DF110" si="673">SUM(BA106:BA109)</f>
        <v>538</v>
      </c>
      <c r="BB110" s="18">
        <f t="shared" si="673"/>
        <v>554</v>
      </c>
      <c r="BC110" s="18">
        <f t="shared" si="673"/>
        <v>581</v>
      </c>
      <c r="BD110" s="18">
        <f t="shared" si="673"/>
        <v>618</v>
      </c>
      <c r="BE110" s="18">
        <f t="shared" si="673"/>
        <v>637</v>
      </c>
      <c r="BF110" s="18">
        <f t="shared" si="673"/>
        <v>657</v>
      </c>
      <c r="BG110" s="18">
        <f t="shared" si="673"/>
        <v>703</v>
      </c>
      <c r="BH110" s="18">
        <f t="shared" si="673"/>
        <v>736</v>
      </c>
      <c r="BI110" s="18">
        <f t="shared" si="673"/>
        <v>786</v>
      </c>
      <c r="BJ110" s="18">
        <f t="shared" si="673"/>
        <v>843</v>
      </c>
      <c r="BK110" s="18">
        <f t="shared" si="673"/>
        <v>857</v>
      </c>
      <c r="BL110" s="18">
        <f t="shared" si="673"/>
        <v>890</v>
      </c>
      <c r="BM110" s="18">
        <f t="shared" si="673"/>
        <v>1043</v>
      </c>
      <c r="BN110" s="18">
        <f t="shared" si="673"/>
        <v>1078</v>
      </c>
      <c r="BO110" s="18">
        <f t="shared" si="673"/>
        <v>1117</v>
      </c>
      <c r="BP110" s="18">
        <f t="shared" si="673"/>
        <v>1166</v>
      </c>
      <c r="BQ110" s="18">
        <f t="shared" si="673"/>
        <v>1186</v>
      </c>
      <c r="BR110" s="18">
        <f t="shared" si="673"/>
        <v>1211</v>
      </c>
      <c r="BS110" s="18">
        <f t="shared" si="673"/>
        <v>1264</v>
      </c>
      <c r="BT110" s="18">
        <f t="shared" si="673"/>
        <v>1273</v>
      </c>
      <c r="BU110" s="18">
        <f t="shared" si="673"/>
        <v>1325</v>
      </c>
      <c r="BV110" s="18">
        <f t="shared" si="673"/>
        <v>1382</v>
      </c>
      <c r="BW110" s="18">
        <f t="shared" si="673"/>
        <v>1387</v>
      </c>
      <c r="BX110" s="18">
        <f t="shared" si="673"/>
        <v>1404</v>
      </c>
      <c r="BY110" s="18">
        <f t="shared" si="673"/>
        <v>1433</v>
      </c>
      <c r="BZ110" s="18">
        <f t="shared" si="673"/>
        <v>1453</v>
      </c>
      <c r="CA110" s="18">
        <f t="shared" si="673"/>
        <v>1472</v>
      </c>
      <c r="CB110" s="18">
        <f t="shared" si="673"/>
        <v>1537</v>
      </c>
      <c r="CC110" s="18">
        <f t="shared" si="673"/>
        <v>1542</v>
      </c>
      <c r="CD110" s="18">
        <f t="shared" si="673"/>
        <v>1577</v>
      </c>
      <c r="CE110" s="18">
        <f t="shared" si="673"/>
        <v>1606</v>
      </c>
      <c r="CF110" s="18">
        <f t="shared" si="673"/>
        <v>1614</v>
      </c>
      <c r="CG110" s="18">
        <f t="shared" si="673"/>
        <v>1651</v>
      </c>
      <c r="CH110" s="18">
        <f t="shared" si="673"/>
        <v>1732</v>
      </c>
      <c r="CI110" s="18">
        <f t="shared" si="673"/>
        <v>1745</v>
      </c>
      <c r="CJ110" s="18">
        <f t="shared" si="673"/>
        <v>1778</v>
      </c>
      <c r="CK110" s="18">
        <f t="shared" si="673"/>
        <v>1842</v>
      </c>
      <c r="CL110" s="18">
        <f t="shared" si="673"/>
        <v>1855</v>
      </c>
      <c r="CM110" s="18">
        <f t="shared" si="673"/>
        <v>1894</v>
      </c>
      <c r="CN110" s="18">
        <f t="shared" si="673"/>
        <v>1979</v>
      </c>
      <c r="CO110" s="18">
        <f t="shared" si="673"/>
        <v>2010.3121085187361</v>
      </c>
      <c r="CP110" s="18">
        <f t="shared" si="673"/>
        <v>2091.0285900449612</v>
      </c>
      <c r="CQ110" s="18">
        <f t="shared" si="673"/>
        <v>2197.2550848088749</v>
      </c>
      <c r="CR110" s="18">
        <f t="shared" si="673"/>
        <v>2220.6444058176139</v>
      </c>
      <c r="CS110" s="18">
        <f t="shared" si="673"/>
        <v>2341.4262713291637</v>
      </c>
      <c r="CT110" s="18">
        <f t="shared" si="673"/>
        <v>2490.0745725759107</v>
      </c>
      <c r="CU110" s="18">
        <f t="shared" si="673"/>
        <v>2504.2496831238377</v>
      </c>
      <c r="CV110" s="18">
        <f t="shared" si="673"/>
        <v>2546.6126447939364</v>
      </c>
      <c r="CW110" s="18">
        <f t="shared" si="673"/>
        <v>2632.6855355955636</v>
      </c>
      <c r="CX110" s="18">
        <f t="shared" si="673"/>
        <v>2659.6524922690451</v>
      </c>
      <c r="CY110" s="18">
        <f t="shared" si="673"/>
        <v>2733.9730988670781</v>
      </c>
      <c r="CZ110" s="18">
        <f t="shared" si="673"/>
        <v>2833.7610736993347</v>
      </c>
      <c r="DA110" s="18">
        <f t="shared" si="673"/>
        <v>2858.7486465211277</v>
      </c>
      <c r="DB110" s="18">
        <f t="shared" si="673"/>
        <v>2922.2018154038351</v>
      </c>
      <c r="DC110" s="18">
        <f t="shared" si="673"/>
        <v>3036.3341119163483</v>
      </c>
      <c r="DD110" s="18">
        <f t="shared" si="673"/>
        <v>3076.8446144533082</v>
      </c>
      <c r="DE110" s="18">
        <f t="shared" si="673"/>
        <v>3195.4267000690634</v>
      </c>
      <c r="DF110" s="18">
        <f t="shared" si="673"/>
        <v>3339.7802789326756</v>
      </c>
      <c r="DG110" s="18">
        <f t="shared" ref="DG110" si="674">SUM(DG106:DG109)</f>
        <v>3359.8041007842849</v>
      </c>
      <c r="DH110" s="18">
        <f t="shared" ref="DH110" si="675">SUM(DH106:DH109)</f>
        <v>3414.5437311191463</v>
      </c>
      <c r="DI110" s="18">
        <f t="shared" ref="DI110" si="676">SUM(DI106:DI109)</f>
        <v>3523.1835181940583</v>
      </c>
      <c r="DJ110" s="18">
        <f t="shared" ref="DJ110" si="677">SUM(DJ106:DJ109)</f>
        <v>3562.0363723779406</v>
      </c>
      <c r="DK110" s="18">
        <f t="shared" ref="DK110" si="678">SUM(DK106:DK109)</f>
        <v>3659.1371671035176</v>
      </c>
      <c r="DL110" s="18">
        <f t="shared" ref="DL110" si="679">SUM(DL106:DL109)</f>
        <v>3787.6871039420271</v>
      </c>
      <c r="DM110" s="18">
        <f t="shared" ref="DM110" si="680">SUM(DM106:DM109)</f>
        <v>3818.5946487437236</v>
      </c>
      <c r="DN110" s="18">
        <f t="shared" ref="DN110" si="681">SUM(DN106:DN109)</f>
        <v>3896.8063209346215</v>
      </c>
      <c r="DO110" s="18">
        <f t="shared" ref="DO110" si="682">SUM(DO106:DO109)</f>
        <v>4037.458336191421</v>
      </c>
      <c r="DP110" s="18">
        <f t="shared" ref="DP110" si="683">SUM(DP106:DP109)</f>
        <v>4079.4760803536055</v>
      </c>
      <c r="DQ110" s="18">
        <f t="shared" ref="DQ110:EO110" si="684">SUM(DQ106:DQ109)</f>
        <v>4217.7424515441398</v>
      </c>
      <c r="DR110" s="18">
        <f t="shared" ref="DR110:EN110" si="685">SUM(DR106:DR109)</f>
        <v>4387.7050376904172</v>
      </c>
      <c r="DS110" s="18">
        <f t="shared" si="684"/>
        <v>4410.9341600433627</v>
      </c>
      <c r="DT110" s="18">
        <f t="shared" si="685"/>
        <v>4473.6324031320255</v>
      </c>
      <c r="DU110" s="18">
        <f t="shared" si="684"/>
        <v>4597.9826356489029</v>
      </c>
      <c r="DV110" s="18">
        <f t="shared" si="685"/>
        <v>4642.8476673327332</v>
      </c>
      <c r="DW110" s="18">
        <f t="shared" si="684"/>
        <v>4753.5384462956254</v>
      </c>
      <c r="DX110" s="18">
        <f t="shared" si="685"/>
        <v>4900.4458924152041</v>
      </c>
      <c r="DY110" s="18">
        <f t="shared" si="684"/>
        <v>4936.3182209125753</v>
      </c>
      <c r="DZ110" s="18">
        <f t="shared" si="685"/>
        <v>5025.5883811550657</v>
      </c>
      <c r="EA110" s="18">
        <f t="shared" si="684"/>
        <v>5185.9834184894717</v>
      </c>
      <c r="EB110" s="18">
        <f t="shared" si="685"/>
        <v>5234.4262196145373</v>
      </c>
      <c r="EC110" s="18">
        <f t="shared" si="684"/>
        <v>5392.8279312590166</v>
      </c>
      <c r="ED110" s="18">
        <f t="shared" si="685"/>
        <v>5587.025549455192</v>
      </c>
      <c r="EE110" s="18">
        <f t="shared" si="684"/>
        <v>5612.6939543508497</v>
      </c>
      <c r="EF110" s="18">
        <f t="shared" si="685"/>
        <v>5681.0039574215907</v>
      </c>
      <c r="EG110" s="18">
        <f t="shared" si="684"/>
        <v>5816.380276011444</v>
      </c>
      <c r="EH110" s="18">
        <f t="shared" si="685"/>
        <v>5865.7060082593416</v>
      </c>
      <c r="EI110" s="18">
        <f t="shared" si="684"/>
        <v>5985.6578753645326</v>
      </c>
      <c r="EJ110" s="18">
        <f t="shared" si="685"/>
        <v>6145.3069757670137</v>
      </c>
      <c r="EK110" s="18">
        <f t="shared" si="684"/>
        <v>6184.9671430245435</v>
      </c>
      <c r="EL110" s="18">
        <f t="shared" si="685"/>
        <v>6281.844276643028</v>
      </c>
      <c r="EM110" s="18">
        <f t="shared" si="684"/>
        <v>6455.7300131022503</v>
      </c>
      <c r="EN110" s="18">
        <f t="shared" si="685"/>
        <v>6508.8958425215696</v>
      </c>
      <c r="EO110" s="18">
        <f t="shared" si="684"/>
        <v>6681.5152970669978</v>
      </c>
      <c r="EP110" s="18">
        <f t="shared" ref="EP110:FB110" si="686">SUM(EP106:EP109)</f>
        <v>6892.51148858948</v>
      </c>
      <c r="EQ110" s="18">
        <f t="shared" si="686"/>
        <v>6919.7832457177437</v>
      </c>
      <c r="ER110" s="18">
        <f t="shared" si="686"/>
        <v>6991.1377714851224</v>
      </c>
      <c r="ES110" s="18">
        <f t="shared" si="686"/>
        <v>7132.415342854255</v>
      </c>
      <c r="ET110" s="18">
        <f t="shared" si="686"/>
        <v>7184.507103351144</v>
      </c>
      <c r="EU110" s="18">
        <f t="shared" si="686"/>
        <v>7308.9810243084476</v>
      </c>
      <c r="EV110" s="18">
        <f t="shared" si="686"/>
        <v>7475.2262737121237</v>
      </c>
      <c r="EW110" s="18">
        <f t="shared" si="686"/>
        <v>7517.3900514063735</v>
      </c>
      <c r="EX110" s="18">
        <f t="shared" si="686"/>
        <v>7618.0963741484829</v>
      </c>
      <c r="EY110" s="18">
        <f t="shared" si="686"/>
        <v>7798.6284965082068</v>
      </c>
      <c r="EZ110" s="18">
        <f t="shared" si="686"/>
        <v>7854.6576674256212</v>
      </c>
      <c r="FA110" s="18">
        <f t="shared" si="686"/>
        <v>8035.0217921490275</v>
      </c>
      <c r="FB110" s="18">
        <f t="shared" si="686"/>
        <v>8254.6784951483969</v>
      </c>
    </row>
    <row r="112" spans="3:158" x14ac:dyDescent="0.25">
      <c r="C112" t="s">
        <v>230</v>
      </c>
      <c r="D112" s="16">
        <f>IFERROR(D11/D108,"")</f>
        <v>30026.21406976744</v>
      </c>
      <c r="E112" s="16">
        <f>IFERROR(E11/E108,"")</f>
        <v>29871.54104299123</v>
      </c>
      <c r="F112" s="16">
        <f>IFERROR(F11/F108,"")</f>
        <v>30931.857741975091</v>
      </c>
      <c r="G112" s="16">
        <f>IFERROR(G11/G108,"")</f>
        <v>31778.50256270267</v>
      </c>
      <c r="H112" s="59">
        <f>G112/F112*G112*1.04</f>
        <v>33954.253989328783</v>
      </c>
      <c r="I112" s="59">
        <f t="shared" ref="I112:L112" si="687">H112/G112*H112*1.04</f>
        <v>37730.129547952856</v>
      </c>
      <c r="J112" s="59">
        <f t="shared" si="687"/>
        <v>43602.93656278868</v>
      </c>
      <c r="K112" s="59">
        <f t="shared" si="687"/>
        <v>52405.458016292403</v>
      </c>
      <c r="L112" s="59">
        <f t="shared" si="687"/>
        <v>65504.425532907509</v>
      </c>
      <c r="N112" s="16">
        <f t="shared" ref="N112:AW112" si="688">IFERROR(N11/N108,"")</f>
        <v>27552.316823529414</v>
      </c>
      <c r="O112" s="16">
        <f t="shared" si="688"/>
        <v>33125.179318181814</v>
      </c>
      <c r="P112" s="16">
        <f t="shared" si="688"/>
        <v>29565.505208333332</v>
      </c>
      <c r="Q112" s="16">
        <f t="shared" si="688"/>
        <v>29913.172919254659</v>
      </c>
      <c r="R112" s="16">
        <f t="shared" si="688"/>
        <v>31898.008032786889</v>
      </c>
      <c r="S112" s="16">
        <f t="shared" si="688"/>
        <v>26801.220569620251</v>
      </c>
      <c r="T112" s="16">
        <f t="shared" si="688"/>
        <v>31785.208267716534</v>
      </c>
      <c r="U112" s="16">
        <f t="shared" si="688"/>
        <v>29839.920947883438</v>
      </c>
      <c r="V112" s="16">
        <f t="shared" si="688"/>
        <v>29254.984514029125</v>
      </c>
      <c r="W112" s="16">
        <f t="shared" si="688"/>
        <v>29203.322228509318</v>
      </c>
      <c r="X112" s="16">
        <f t="shared" si="688"/>
        <v>32246.707990923729</v>
      </c>
      <c r="Y112" s="16">
        <f t="shared" si="688"/>
        <v>32575.523468477775</v>
      </c>
      <c r="Z112" s="16">
        <f t="shared" si="688"/>
        <v>30857.144680207319</v>
      </c>
      <c r="AA112" s="16">
        <f t="shared" si="688"/>
        <v>34428.58185908122</v>
      </c>
      <c r="AB112" s="16">
        <f t="shared" si="688"/>
        <v>31198.986635799152</v>
      </c>
      <c r="AC112" s="16">
        <f t="shared" si="688"/>
        <v>31247.42843159891</v>
      </c>
      <c r="AD112" s="16">
        <f t="shared" si="688"/>
        <v>33954.253989328783</v>
      </c>
      <c r="AE112" s="16">
        <f t="shared" si="688"/>
        <v>33954.25398932879</v>
      </c>
      <c r="AF112" s="16">
        <f t="shared" si="688"/>
        <v>33954.253989328783</v>
      </c>
      <c r="AG112" s="16">
        <f t="shared" si="688"/>
        <v>33954.253989328783</v>
      </c>
      <c r="AH112" s="16">
        <f t="shared" si="688"/>
        <v>37730.129547952864</v>
      </c>
      <c r="AI112" s="16">
        <f t="shared" si="688"/>
        <v>37730.129547952856</v>
      </c>
      <c r="AJ112" s="16">
        <f t="shared" si="688"/>
        <v>37730.129547952856</v>
      </c>
      <c r="AK112" s="16">
        <f t="shared" si="688"/>
        <v>37730.129547952849</v>
      </c>
      <c r="AL112" s="16">
        <f t="shared" si="688"/>
        <v>43602.936562788687</v>
      </c>
      <c r="AM112" s="16">
        <f t="shared" si="688"/>
        <v>43602.93656278868</v>
      </c>
      <c r="AN112" s="16">
        <f t="shared" si="688"/>
        <v>43602.936562788673</v>
      </c>
      <c r="AO112" s="16">
        <f t="shared" si="688"/>
        <v>43602.93656278868</v>
      </c>
      <c r="AP112" s="16">
        <f t="shared" si="688"/>
        <v>52405.458016292403</v>
      </c>
      <c r="AQ112" s="16">
        <f t="shared" si="688"/>
        <v>52405.458016292396</v>
      </c>
      <c r="AR112" s="16">
        <f t="shared" si="688"/>
        <v>52405.458016292403</v>
      </c>
      <c r="AS112" s="16">
        <f t="shared" si="688"/>
        <v>52405.458016292403</v>
      </c>
      <c r="AT112" s="16">
        <f t="shared" si="688"/>
        <v>65504.425532907517</v>
      </c>
      <c r="AU112" s="16">
        <f t="shared" si="688"/>
        <v>65504.425532907502</v>
      </c>
      <c r="AV112" s="16">
        <f t="shared" si="688"/>
        <v>65504.425532907509</v>
      </c>
      <c r="AW112" s="16">
        <f t="shared" si="688"/>
        <v>65504.425532907509</v>
      </c>
      <c r="AY112" s="16">
        <f t="shared" ref="AY112:CT112" si="689">IFERROR(AY11/AY108,"")</f>
        <v>22707.142857142859</v>
      </c>
      <c r="AZ112" s="16">
        <f t="shared" si="689"/>
        <v>25156.510312499999</v>
      </c>
      <c r="BA112" s="16">
        <f t="shared" si="689"/>
        <v>29956.273913043482</v>
      </c>
      <c r="BB112" s="16">
        <f t="shared" si="689"/>
        <v>27587.022631578948</v>
      </c>
      <c r="BC112" s="16">
        <f t="shared" si="689"/>
        <v>39724.253448275856</v>
      </c>
      <c r="BD112" s="16">
        <f t="shared" si="689"/>
        <v>30971.474999999999</v>
      </c>
      <c r="BE112" s="16">
        <f t="shared" si="689"/>
        <v>22195.833500000001</v>
      </c>
      <c r="BF112" s="16">
        <f t="shared" si="689"/>
        <v>34315.54</v>
      </c>
      <c r="BG112" s="16">
        <f t="shared" si="689"/>
        <v>30127.124117647061</v>
      </c>
      <c r="BH112" s="16">
        <f t="shared" si="689"/>
        <v>31369.433428571425</v>
      </c>
      <c r="BI112" s="16">
        <f t="shared" si="689"/>
        <v>29226.129999999997</v>
      </c>
      <c r="BJ112" s="16">
        <f t="shared" si="689"/>
        <v>29757.447761194031</v>
      </c>
      <c r="BK112" s="16">
        <f t="shared" si="689"/>
        <v>26837.962777777779</v>
      </c>
      <c r="BL112" s="16">
        <f t="shared" si="689"/>
        <v>28318.393076923079</v>
      </c>
      <c r="BM112" s="16">
        <f t="shared" si="689"/>
        <v>35447.020307692314</v>
      </c>
      <c r="BN112" s="16">
        <f t="shared" si="689"/>
        <v>25628.042222222219</v>
      </c>
      <c r="BO112" s="16">
        <f t="shared" si="689"/>
        <v>22063.920588235294</v>
      </c>
      <c r="BP112" s="16">
        <f t="shared" si="689"/>
        <v>31549.532258064515</v>
      </c>
      <c r="BQ112" s="16">
        <f t="shared" si="689"/>
        <v>26567.270967741933</v>
      </c>
      <c r="BR112" s="16">
        <f t="shared" si="689"/>
        <v>30755.789000000001</v>
      </c>
      <c r="BS112" s="16">
        <f t="shared" si="689"/>
        <v>34703.975454545456</v>
      </c>
      <c r="BT112" s="16">
        <f t="shared" si="689"/>
        <v>19131.165714285715</v>
      </c>
      <c r="BU112" s="16">
        <f t="shared" si="689"/>
        <v>27344.477164179105</v>
      </c>
      <c r="BV112" s="16">
        <f t="shared" si="689"/>
        <v>35067.635526733335</v>
      </c>
      <c r="BW112" s="16">
        <f t="shared" si="689"/>
        <v>20914.857272727273</v>
      </c>
      <c r="BX112" s="16">
        <f t="shared" si="689"/>
        <v>32020.336521242421</v>
      </c>
      <c r="BY112" s="16">
        <f t="shared" si="689"/>
        <v>31176.363328000003</v>
      </c>
      <c r="BZ112" s="16">
        <f t="shared" si="689"/>
        <v>20332.217251825001</v>
      </c>
      <c r="CA112" s="16">
        <f t="shared" si="689"/>
        <v>31177.305347025638</v>
      </c>
      <c r="CB112" s="16">
        <f t="shared" si="689"/>
        <v>32591.844880280489</v>
      </c>
      <c r="CC112" s="16">
        <f t="shared" si="689"/>
        <v>23433.835652173912</v>
      </c>
      <c r="CD112" s="16">
        <f t="shared" si="689"/>
        <v>30901.532691520832</v>
      </c>
      <c r="CE112" s="16">
        <f t="shared" si="689"/>
        <v>37933.186249702128</v>
      </c>
      <c r="CF112" s="16">
        <f t="shared" si="689"/>
        <v>22751.782165935481</v>
      </c>
      <c r="CG112" s="16">
        <f t="shared" si="689"/>
        <v>36931.412741945453</v>
      </c>
      <c r="CH112" s="16">
        <f t="shared" si="689"/>
        <v>33266.609323138298</v>
      </c>
      <c r="CI112" s="16">
        <f t="shared" si="689"/>
        <v>24187.300030781251</v>
      </c>
      <c r="CJ112" s="16">
        <f t="shared" si="689"/>
        <v>23822.911236446806</v>
      </c>
      <c r="CK112" s="16">
        <f t="shared" si="689"/>
        <v>37257.662334776469</v>
      </c>
      <c r="CL112" s="16">
        <f t="shared" si="689"/>
        <v>27971.523113650001</v>
      </c>
      <c r="CM112" s="16">
        <f t="shared" si="689"/>
        <v>33430.304138263156</v>
      </c>
      <c r="CN112" s="16">
        <f t="shared" si="689"/>
        <v>37580.423658120002</v>
      </c>
      <c r="CO112" s="16">
        <f t="shared" si="689"/>
        <v>31198.986635799156</v>
      </c>
      <c r="CP112" s="16">
        <f t="shared" si="689"/>
        <v>31198.98663579916</v>
      </c>
      <c r="CQ112" s="16">
        <f t="shared" si="689"/>
        <v>31198.986635799152</v>
      </c>
      <c r="CR112" s="16">
        <f t="shared" si="689"/>
        <v>31247.428431598917</v>
      </c>
      <c r="CS112" s="16">
        <f t="shared" si="689"/>
        <v>31247.428431598917</v>
      </c>
      <c r="CT112" s="16">
        <f t="shared" si="689"/>
        <v>31247.428431598906</v>
      </c>
      <c r="CU112" s="90">
        <f t="shared" ref="CU112:DF113" si="690">INDEX($D112:$L112,1,MATCH(CU$2,$D$2:$L$2,0))</f>
        <v>33954.253989328783</v>
      </c>
      <c r="CV112" s="90">
        <f t="shared" si="690"/>
        <v>33954.253989328783</v>
      </c>
      <c r="CW112" s="90">
        <f t="shared" si="690"/>
        <v>33954.253989328783</v>
      </c>
      <c r="CX112" s="90">
        <f t="shared" si="690"/>
        <v>33954.253989328783</v>
      </c>
      <c r="CY112" s="90">
        <f t="shared" si="690"/>
        <v>33954.253989328783</v>
      </c>
      <c r="CZ112" s="90">
        <f t="shared" si="690"/>
        <v>33954.253989328783</v>
      </c>
      <c r="DA112" s="90">
        <f t="shared" si="690"/>
        <v>33954.253989328783</v>
      </c>
      <c r="DB112" s="90">
        <f t="shared" si="690"/>
        <v>33954.253989328783</v>
      </c>
      <c r="DC112" s="90">
        <f t="shared" si="690"/>
        <v>33954.253989328783</v>
      </c>
      <c r="DD112" s="90">
        <f t="shared" si="690"/>
        <v>33954.253989328783</v>
      </c>
      <c r="DE112" s="90">
        <f t="shared" si="690"/>
        <v>33954.253989328783</v>
      </c>
      <c r="DF112" s="90">
        <f t="shared" si="690"/>
        <v>33954.253989328783</v>
      </c>
      <c r="DG112" s="90">
        <f t="shared" ref="DG112:DV113" si="691">INDEX($D112:$L112,1,MATCH(DG$2,$D$2:$L$2,0))</f>
        <v>37730.129547952856</v>
      </c>
      <c r="DH112" s="90">
        <f t="shared" si="691"/>
        <v>37730.129547952856</v>
      </c>
      <c r="DI112" s="90">
        <f t="shared" si="691"/>
        <v>37730.129547952856</v>
      </c>
      <c r="DJ112" s="90">
        <f t="shared" si="691"/>
        <v>37730.129547952856</v>
      </c>
      <c r="DK112" s="90">
        <f t="shared" si="691"/>
        <v>37730.129547952856</v>
      </c>
      <c r="DL112" s="90">
        <f t="shared" si="691"/>
        <v>37730.129547952856</v>
      </c>
      <c r="DM112" s="90">
        <f t="shared" si="691"/>
        <v>37730.129547952856</v>
      </c>
      <c r="DN112" s="90">
        <f t="shared" si="691"/>
        <v>37730.129547952856</v>
      </c>
      <c r="DO112" s="90">
        <f t="shared" si="691"/>
        <v>37730.129547952856</v>
      </c>
      <c r="DP112" s="90">
        <f t="shared" si="691"/>
        <v>37730.129547952856</v>
      </c>
      <c r="DQ112" s="90">
        <f t="shared" si="691"/>
        <v>37730.129547952856</v>
      </c>
      <c r="DR112" s="90">
        <f t="shared" si="691"/>
        <v>37730.129547952856</v>
      </c>
      <c r="DS112" s="90">
        <f t="shared" si="691"/>
        <v>43602.93656278868</v>
      </c>
      <c r="DT112" s="90">
        <f t="shared" si="691"/>
        <v>43602.93656278868</v>
      </c>
      <c r="DU112" s="90">
        <f t="shared" si="691"/>
        <v>43602.93656278868</v>
      </c>
      <c r="DV112" s="90">
        <f t="shared" si="691"/>
        <v>43602.93656278868</v>
      </c>
      <c r="DW112" s="90">
        <f t="shared" ref="DW112:EL113" si="692">INDEX($D112:$L112,1,MATCH(DW$2,$D$2:$L$2,0))</f>
        <v>43602.93656278868</v>
      </c>
      <c r="DX112" s="90">
        <f t="shared" si="692"/>
        <v>43602.93656278868</v>
      </c>
      <c r="DY112" s="90">
        <f t="shared" si="692"/>
        <v>43602.93656278868</v>
      </c>
      <c r="DZ112" s="90">
        <f t="shared" si="692"/>
        <v>43602.93656278868</v>
      </c>
      <c r="EA112" s="90">
        <f t="shared" si="692"/>
        <v>43602.93656278868</v>
      </c>
      <c r="EB112" s="90">
        <f t="shared" si="692"/>
        <v>43602.93656278868</v>
      </c>
      <c r="EC112" s="90">
        <f t="shared" si="692"/>
        <v>43602.93656278868</v>
      </c>
      <c r="ED112" s="90">
        <f t="shared" si="692"/>
        <v>43602.93656278868</v>
      </c>
      <c r="EE112" s="90">
        <f t="shared" si="692"/>
        <v>52405.458016292403</v>
      </c>
      <c r="EF112" s="90">
        <f t="shared" si="692"/>
        <v>52405.458016292403</v>
      </c>
      <c r="EG112" s="90">
        <f t="shared" si="692"/>
        <v>52405.458016292403</v>
      </c>
      <c r="EH112" s="90">
        <f t="shared" si="692"/>
        <v>52405.458016292403</v>
      </c>
      <c r="EI112" s="90">
        <f t="shared" si="692"/>
        <v>52405.458016292403</v>
      </c>
      <c r="EJ112" s="90">
        <f t="shared" si="692"/>
        <v>52405.458016292403</v>
      </c>
      <c r="EK112" s="90">
        <f t="shared" si="692"/>
        <v>52405.458016292403</v>
      </c>
      <c r="EL112" s="90">
        <f t="shared" si="692"/>
        <v>52405.458016292403</v>
      </c>
      <c r="EM112" s="90">
        <f t="shared" ref="EM112:FB113" si="693">INDEX($D112:$L112,1,MATCH(EM$2,$D$2:$L$2,0))</f>
        <v>52405.458016292403</v>
      </c>
      <c r="EN112" s="90">
        <f t="shared" si="693"/>
        <v>52405.458016292403</v>
      </c>
      <c r="EO112" s="90">
        <f t="shared" si="693"/>
        <v>52405.458016292403</v>
      </c>
      <c r="EP112" s="90">
        <f t="shared" si="693"/>
        <v>52405.458016292403</v>
      </c>
      <c r="EQ112" s="90">
        <f t="shared" si="693"/>
        <v>65504.425532907509</v>
      </c>
      <c r="ER112" s="90">
        <f t="shared" si="693"/>
        <v>65504.425532907509</v>
      </c>
      <c r="ES112" s="90">
        <f t="shared" si="693"/>
        <v>65504.425532907509</v>
      </c>
      <c r="ET112" s="90">
        <f t="shared" si="693"/>
        <v>65504.425532907509</v>
      </c>
      <c r="EU112" s="90">
        <f t="shared" si="693"/>
        <v>65504.425532907509</v>
      </c>
      <c r="EV112" s="90">
        <f t="shared" si="693"/>
        <v>65504.425532907509</v>
      </c>
      <c r="EW112" s="90">
        <f t="shared" si="693"/>
        <v>65504.425532907509</v>
      </c>
      <c r="EX112" s="90">
        <f t="shared" si="693"/>
        <v>65504.425532907509</v>
      </c>
      <c r="EY112" s="90">
        <f t="shared" si="693"/>
        <v>65504.425532907509</v>
      </c>
      <c r="EZ112" s="90">
        <f t="shared" si="693"/>
        <v>65504.425532907509</v>
      </c>
      <c r="FA112" s="90">
        <f t="shared" si="693"/>
        <v>65504.425532907509</v>
      </c>
      <c r="FB112" s="90">
        <f t="shared" si="693"/>
        <v>65504.425532907509</v>
      </c>
    </row>
    <row r="113" spans="2:158" x14ac:dyDescent="0.25">
      <c r="C113" t="s">
        <v>231</v>
      </c>
      <c r="D113" s="16">
        <f>IFERROR(D14/D110,"")</f>
        <v>36847.473487544477</v>
      </c>
      <c r="E113" s="16">
        <f>IFERROR(E14/E110,"")</f>
        <v>40303.245145379879</v>
      </c>
      <c r="F113" s="16">
        <f>IFERROR(F14/F110,"")</f>
        <v>47586.886753715335</v>
      </c>
      <c r="G113" s="16">
        <f>IFERROR(G14/G110,"")</f>
        <v>56124.360168598731</v>
      </c>
      <c r="H113" s="59">
        <f>G113/F113*G113*1.04</f>
        <v>68841.266575443849</v>
      </c>
      <c r="I113" s="59">
        <f>H113/G113*H113*1.04</f>
        <v>87817.211069380661</v>
      </c>
      <c r="J113" s="59">
        <f t="shared" ref="J113:L113" si="694">I113/H113*I113*1.04</f>
        <v>116504.7864657567</v>
      </c>
      <c r="K113" s="59">
        <f t="shared" si="694"/>
        <v>160746.39251588323</v>
      </c>
      <c r="L113" s="59">
        <f t="shared" si="694"/>
        <v>230659.86926677707</v>
      </c>
      <c r="N113" s="16">
        <f t="shared" ref="N113:AW113" si="695">IFERROR(N14/N110,"")</f>
        <v>31166.893977695152</v>
      </c>
      <c r="O113" s="16">
        <f t="shared" si="695"/>
        <v>33206.25</v>
      </c>
      <c r="P113" s="16">
        <f t="shared" si="695"/>
        <v>34910.086714082499</v>
      </c>
      <c r="Q113" s="16">
        <f t="shared" si="695"/>
        <v>36644.443523131667</v>
      </c>
      <c r="R113" s="16">
        <f t="shared" si="695"/>
        <v>34384.155512943435</v>
      </c>
      <c r="S113" s="16">
        <f t="shared" si="695"/>
        <v>36569.003010291592</v>
      </c>
      <c r="T113" s="16">
        <f t="shared" si="695"/>
        <v>38033.797325949366</v>
      </c>
      <c r="U113" s="16">
        <f t="shared" si="695"/>
        <v>40341.948806740227</v>
      </c>
      <c r="V113" s="16">
        <f t="shared" si="695"/>
        <v>41790.528760406822</v>
      </c>
      <c r="W113" s="16">
        <f t="shared" si="695"/>
        <v>43307.90632152828</v>
      </c>
      <c r="X113" s="16">
        <f t="shared" si="695"/>
        <v>45621.503078062233</v>
      </c>
      <c r="Y113" s="16">
        <f t="shared" si="695"/>
        <v>47624.960672179543</v>
      </c>
      <c r="Z113" s="16">
        <f t="shared" si="695"/>
        <v>48761.009629762193</v>
      </c>
      <c r="AA113" s="16">
        <f t="shared" si="695"/>
        <v>51832.923107578557</v>
      </c>
      <c r="AB113" s="16">
        <f t="shared" si="695"/>
        <v>53874.516280979158</v>
      </c>
      <c r="AC113" s="16">
        <f t="shared" si="695"/>
        <v>55978.683939368762</v>
      </c>
      <c r="AD113" s="16">
        <f t="shared" si="695"/>
        <v>57824.911654113814</v>
      </c>
      <c r="AE113" s="16">
        <f t="shared" si="695"/>
        <v>60081.159349256079</v>
      </c>
      <c r="AF113" s="16">
        <f t="shared" si="695"/>
        <v>61983.030269292474</v>
      </c>
      <c r="AG113" s="16">
        <f t="shared" si="695"/>
        <v>64495.214029640098</v>
      </c>
      <c r="AH113" s="16">
        <f t="shared" si="695"/>
        <v>66803.93240245276</v>
      </c>
      <c r="AI113" s="16">
        <f t="shared" si="695"/>
        <v>69507.91337242529</v>
      </c>
      <c r="AJ113" s="16">
        <f t="shared" si="695"/>
        <v>71714.497755242672</v>
      </c>
      <c r="AK113" s="16">
        <f t="shared" si="695"/>
        <v>74546.414058352952</v>
      </c>
      <c r="AL113" s="16">
        <f t="shared" si="695"/>
        <v>77429.948572363966</v>
      </c>
      <c r="AM113" s="16">
        <f t="shared" si="695"/>
        <v>80906.931494151489</v>
      </c>
      <c r="AN113" s="16">
        <f t="shared" si="695"/>
        <v>83794.958406729857</v>
      </c>
      <c r="AO113" s="16">
        <f t="shared" si="695"/>
        <v>87520.052388371987</v>
      </c>
      <c r="AP113" s="16">
        <f t="shared" si="695"/>
        <v>91156.540130618043</v>
      </c>
      <c r="AQ113" s="16">
        <f t="shared" si="695"/>
        <v>95657.902139861719</v>
      </c>
      <c r="AR113" s="16">
        <f t="shared" si="695"/>
        <v>99462.55641861925</v>
      </c>
      <c r="AS113" s="16">
        <f t="shared" si="695"/>
        <v>104408.58639570315</v>
      </c>
      <c r="AT113" s="16">
        <f t="shared" si="695"/>
        <v>108988.42568401096</v>
      </c>
      <c r="AU113" s="16">
        <f t="shared" si="695"/>
        <v>114786.41148750579</v>
      </c>
      <c r="AV113" s="16">
        <f t="shared" si="695"/>
        <v>119766.23580639501</v>
      </c>
      <c r="AW113" s="16">
        <f t="shared" si="695"/>
        <v>126299.12841382717</v>
      </c>
      <c r="AY113" s="16">
        <f t="shared" ref="AY113:CT113" si="696">IFERROR(AY14/AY110,"")</f>
        <v>29158.410697674408</v>
      </c>
      <c r="AZ113" s="16">
        <f t="shared" si="696"/>
        <v>29349.408476953908</v>
      </c>
      <c r="BA113" s="16">
        <f t="shared" si="696"/>
        <v>30887.239219330855</v>
      </c>
      <c r="BB113" s="16">
        <f t="shared" si="696"/>
        <v>31081.112148014439</v>
      </c>
      <c r="BC113" s="16">
        <f t="shared" si="696"/>
        <v>32222.891187607576</v>
      </c>
      <c r="BD113" s="16">
        <f t="shared" si="696"/>
        <v>33206.249999999993</v>
      </c>
      <c r="BE113" s="16">
        <f t="shared" si="696"/>
        <v>33307.125855572995</v>
      </c>
      <c r="BF113" s="16">
        <f t="shared" si="696"/>
        <v>33897.547382039564</v>
      </c>
      <c r="BG113" s="16">
        <f t="shared" si="696"/>
        <v>34910.086714082492</v>
      </c>
      <c r="BH113" s="16">
        <f t="shared" si="696"/>
        <v>34823.781426630427</v>
      </c>
      <c r="BI113" s="16">
        <f t="shared" si="696"/>
        <v>36149.600254452926</v>
      </c>
      <c r="BJ113" s="16">
        <f t="shared" si="696"/>
        <v>36644.443523131667</v>
      </c>
      <c r="BK113" s="16">
        <f t="shared" si="696"/>
        <v>36836.498506417731</v>
      </c>
      <c r="BL113" s="16">
        <f t="shared" si="696"/>
        <v>36854.786898876402</v>
      </c>
      <c r="BM113" s="16">
        <f t="shared" si="696"/>
        <v>34384.155953978901</v>
      </c>
      <c r="BN113" s="16">
        <f t="shared" si="696"/>
        <v>34301.5115213358</v>
      </c>
      <c r="BO113" s="16">
        <f t="shared" si="696"/>
        <v>35724.717815577438</v>
      </c>
      <c r="BP113" s="16">
        <f t="shared" si="696"/>
        <v>36569.003010291592</v>
      </c>
      <c r="BQ113" s="16">
        <f t="shared" si="696"/>
        <v>36878.273954468801</v>
      </c>
      <c r="BR113" s="16">
        <f t="shared" si="696"/>
        <v>37042.644574731625</v>
      </c>
      <c r="BS113" s="16">
        <f t="shared" si="696"/>
        <v>38033.797325949366</v>
      </c>
      <c r="BT113" s="16">
        <f t="shared" si="696"/>
        <v>38246.41190887666</v>
      </c>
      <c r="BU113" s="16">
        <f t="shared" si="696"/>
        <v>39090.637826415084</v>
      </c>
      <c r="BV113" s="16">
        <f t="shared" si="696"/>
        <v>40370.892366798107</v>
      </c>
      <c r="BW113" s="16">
        <f t="shared" si="696"/>
        <v>40807.80744772889</v>
      </c>
      <c r="BX113" s="16">
        <f t="shared" si="696"/>
        <v>41290.28867891807</v>
      </c>
      <c r="BY113" s="16">
        <f t="shared" si="696"/>
        <v>41801.655065221195</v>
      </c>
      <c r="BZ113" s="16">
        <f t="shared" si="696"/>
        <v>42011.932210507883</v>
      </c>
      <c r="CA113" s="16">
        <f t="shared" si="696"/>
        <v>42424.553161778509</v>
      </c>
      <c r="CB113" s="16">
        <f t="shared" si="696"/>
        <v>43317.665588928408</v>
      </c>
      <c r="CC113" s="16">
        <f t="shared" si="696"/>
        <v>43407.843318533691</v>
      </c>
      <c r="CD113" s="16">
        <f t="shared" si="696"/>
        <v>44382.029165498388</v>
      </c>
      <c r="CE113" s="16">
        <f t="shared" si="696"/>
        <v>45613.826221792006</v>
      </c>
      <c r="CF113" s="16">
        <f t="shared" si="696"/>
        <v>46188.334786960942</v>
      </c>
      <c r="CG113" s="16">
        <f t="shared" si="696"/>
        <v>47032.288783577205</v>
      </c>
      <c r="CH113" s="16">
        <f t="shared" si="696"/>
        <v>47624.960667652405</v>
      </c>
      <c r="CI113" s="16">
        <f t="shared" si="696"/>
        <v>47871.852840633786</v>
      </c>
      <c r="CJ113" s="16">
        <f t="shared" si="696"/>
        <v>47933.529477787386</v>
      </c>
      <c r="CK113" s="16">
        <f t="shared" si="696"/>
        <v>48761.010054077065</v>
      </c>
      <c r="CL113" s="16">
        <f t="shared" si="696"/>
        <v>49560.161948736917</v>
      </c>
      <c r="CM113" s="16">
        <f t="shared" si="696"/>
        <v>50519.332915437146</v>
      </c>
      <c r="CN113" s="16">
        <f t="shared" si="696"/>
        <v>51832.923109223324</v>
      </c>
      <c r="CO113" s="16">
        <f t="shared" si="696"/>
        <v>52194.293222328946</v>
      </c>
      <c r="CP113" s="16">
        <f t="shared" si="696"/>
        <v>52838.183154084712</v>
      </c>
      <c r="CQ113" s="16">
        <f t="shared" si="696"/>
        <v>53799.540915721183</v>
      </c>
      <c r="CR113" s="16">
        <f t="shared" si="696"/>
        <v>54067.411436749782</v>
      </c>
      <c r="CS113" s="16">
        <f t="shared" si="696"/>
        <v>54897.60268230323</v>
      </c>
      <c r="CT113" s="16">
        <f t="shared" si="696"/>
        <v>55838.573932783918</v>
      </c>
      <c r="CU113" s="90">
        <f t="shared" si="690"/>
        <v>68841.266575443849</v>
      </c>
      <c r="CV113" s="90">
        <f t="shared" si="690"/>
        <v>68841.266575443849</v>
      </c>
      <c r="CW113" s="90">
        <f t="shared" si="690"/>
        <v>68841.266575443849</v>
      </c>
      <c r="CX113" s="90">
        <f t="shared" si="690"/>
        <v>68841.266575443849</v>
      </c>
      <c r="CY113" s="90">
        <f t="shared" si="690"/>
        <v>68841.266575443849</v>
      </c>
      <c r="CZ113" s="90">
        <f t="shared" si="690"/>
        <v>68841.266575443849</v>
      </c>
      <c r="DA113" s="90">
        <f t="shared" si="690"/>
        <v>68841.266575443849</v>
      </c>
      <c r="DB113" s="90">
        <f t="shared" si="690"/>
        <v>68841.266575443849</v>
      </c>
      <c r="DC113" s="90">
        <f t="shared" si="690"/>
        <v>68841.266575443849</v>
      </c>
      <c r="DD113" s="90">
        <f t="shared" si="690"/>
        <v>68841.266575443849</v>
      </c>
      <c r="DE113" s="90">
        <f t="shared" si="690"/>
        <v>68841.266575443849</v>
      </c>
      <c r="DF113" s="90">
        <f t="shared" si="690"/>
        <v>68841.266575443849</v>
      </c>
      <c r="DG113" s="90">
        <f t="shared" si="691"/>
        <v>87817.211069380661</v>
      </c>
      <c r="DH113" s="90">
        <f t="shared" si="691"/>
        <v>87817.211069380661</v>
      </c>
      <c r="DI113" s="90">
        <f t="shared" si="691"/>
        <v>87817.211069380661</v>
      </c>
      <c r="DJ113" s="90">
        <f t="shared" si="691"/>
        <v>87817.211069380661</v>
      </c>
      <c r="DK113" s="90">
        <f t="shared" si="691"/>
        <v>87817.211069380661</v>
      </c>
      <c r="DL113" s="90">
        <f t="shared" si="691"/>
        <v>87817.211069380661</v>
      </c>
      <c r="DM113" s="90">
        <f t="shared" si="691"/>
        <v>87817.211069380661</v>
      </c>
      <c r="DN113" s="90">
        <f t="shared" si="691"/>
        <v>87817.211069380661</v>
      </c>
      <c r="DO113" s="90">
        <f t="shared" si="691"/>
        <v>87817.211069380661</v>
      </c>
      <c r="DP113" s="90">
        <f t="shared" si="691"/>
        <v>87817.211069380661</v>
      </c>
      <c r="DQ113" s="90">
        <f t="shared" si="691"/>
        <v>87817.211069380661</v>
      </c>
      <c r="DR113" s="90">
        <f t="shared" si="691"/>
        <v>87817.211069380661</v>
      </c>
      <c r="DS113" s="90">
        <f t="shared" si="691"/>
        <v>116504.7864657567</v>
      </c>
      <c r="DT113" s="90">
        <f t="shared" si="691"/>
        <v>116504.7864657567</v>
      </c>
      <c r="DU113" s="90">
        <f t="shared" si="691"/>
        <v>116504.7864657567</v>
      </c>
      <c r="DV113" s="90">
        <f t="shared" si="691"/>
        <v>116504.7864657567</v>
      </c>
      <c r="DW113" s="90">
        <f t="shared" si="692"/>
        <v>116504.7864657567</v>
      </c>
      <c r="DX113" s="90">
        <f t="shared" si="692"/>
        <v>116504.7864657567</v>
      </c>
      <c r="DY113" s="90">
        <f t="shared" si="692"/>
        <v>116504.7864657567</v>
      </c>
      <c r="DZ113" s="90">
        <f t="shared" si="692"/>
        <v>116504.7864657567</v>
      </c>
      <c r="EA113" s="90">
        <f t="shared" si="692"/>
        <v>116504.7864657567</v>
      </c>
      <c r="EB113" s="90">
        <f t="shared" si="692"/>
        <v>116504.7864657567</v>
      </c>
      <c r="EC113" s="90">
        <f t="shared" si="692"/>
        <v>116504.7864657567</v>
      </c>
      <c r="ED113" s="90">
        <f t="shared" si="692"/>
        <v>116504.7864657567</v>
      </c>
      <c r="EE113" s="90">
        <f t="shared" si="692"/>
        <v>160746.39251588323</v>
      </c>
      <c r="EF113" s="90">
        <f t="shared" si="692"/>
        <v>160746.39251588323</v>
      </c>
      <c r="EG113" s="90">
        <f t="shared" si="692"/>
        <v>160746.39251588323</v>
      </c>
      <c r="EH113" s="90">
        <f t="shared" si="692"/>
        <v>160746.39251588323</v>
      </c>
      <c r="EI113" s="90">
        <f t="shared" si="692"/>
        <v>160746.39251588323</v>
      </c>
      <c r="EJ113" s="90">
        <f t="shared" si="692"/>
        <v>160746.39251588323</v>
      </c>
      <c r="EK113" s="90">
        <f t="shared" si="692"/>
        <v>160746.39251588323</v>
      </c>
      <c r="EL113" s="90">
        <f t="shared" si="692"/>
        <v>160746.39251588323</v>
      </c>
      <c r="EM113" s="90">
        <f t="shared" si="693"/>
        <v>160746.39251588323</v>
      </c>
      <c r="EN113" s="90">
        <f t="shared" si="693"/>
        <v>160746.39251588323</v>
      </c>
      <c r="EO113" s="90">
        <f t="shared" si="693"/>
        <v>160746.39251588323</v>
      </c>
      <c r="EP113" s="90">
        <f t="shared" si="693"/>
        <v>160746.39251588323</v>
      </c>
      <c r="EQ113" s="90">
        <f t="shared" si="693"/>
        <v>230659.86926677707</v>
      </c>
      <c r="ER113" s="90">
        <f t="shared" si="693"/>
        <v>230659.86926677707</v>
      </c>
      <c r="ES113" s="90">
        <f t="shared" si="693"/>
        <v>230659.86926677707</v>
      </c>
      <c r="ET113" s="90">
        <f t="shared" si="693"/>
        <v>230659.86926677707</v>
      </c>
      <c r="EU113" s="90">
        <f t="shared" si="693"/>
        <v>230659.86926677707</v>
      </c>
      <c r="EV113" s="90">
        <f t="shared" si="693"/>
        <v>230659.86926677707</v>
      </c>
      <c r="EW113" s="90">
        <f t="shared" si="693"/>
        <v>230659.86926677707</v>
      </c>
      <c r="EX113" s="90">
        <f t="shared" si="693"/>
        <v>230659.86926677707</v>
      </c>
      <c r="EY113" s="90">
        <f t="shared" si="693"/>
        <v>230659.86926677707</v>
      </c>
      <c r="EZ113" s="90">
        <f t="shared" si="693"/>
        <v>230659.86926677707</v>
      </c>
      <c r="FA113" s="90">
        <f t="shared" si="693"/>
        <v>230659.86926677707</v>
      </c>
      <c r="FB113" s="90">
        <f t="shared" si="693"/>
        <v>230659.86926677707</v>
      </c>
    </row>
    <row r="114" spans="2:158" x14ac:dyDescent="0.25">
      <c r="B114" s="65">
        <v>0.6</v>
      </c>
      <c r="C114" t="s">
        <v>278</v>
      </c>
      <c r="D114" s="16">
        <f t="shared" ref="D114:K114" si="697">IFERROR(D13/D109,"")</f>
        <v>25504.30543859649</v>
      </c>
      <c r="E114" s="16">
        <f t="shared" si="697"/>
        <v>22189.310530303028</v>
      </c>
      <c r="F114" s="16">
        <f t="shared" si="697"/>
        <v>27008.392154089623</v>
      </c>
      <c r="G114" s="16">
        <f t="shared" si="697"/>
        <v>24190.113185892118</v>
      </c>
      <c r="H114" s="16">
        <f t="shared" si="697"/>
        <v>41304.759945266313</v>
      </c>
      <c r="I114" s="16">
        <f t="shared" si="697"/>
        <v>52690.326641628402</v>
      </c>
      <c r="J114" s="16">
        <f t="shared" si="697"/>
        <v>69902.871879454018</v>
      </c>
      <c r="K114" s="16">
        <f t="shared" si="697"/>
        <v>96447.835509529919</v>
      </c>
      <c r="L114" s="16"/>
      <c r="N114" s="16">
        <f t="shared" ref="N114:AW114" si="698">IFERROR(N13/N109,"")</f>
        <v>14768.199999999999</v>
      </c>
      <c r="O114" s="16">
        <f t="shared" si="698"/>
        <v>34481.375</v>
      </c>
      <c r="P114" s="16">
        <f t="shared" si="698"/>
        <v>23821.636363636364</v>
      </c>
      <c r="Q114" s="16">
        <f t="shared" si="698"/>
        <v>31657.000476190478</v>
      </c>
      <c r="R114" s="16">
        <f t="shared" si="698"/>
        <v>31170.26</v>
      </c>
      <c r="S114" s="16">
        <f t="shared" si="698"/>
        <v>21135.8</v>
      </c>
      <c r="T114" s="16">
        <f t="shared" si="698"/>
        <v>19719.862068965518</v>
      </c>
      <c r="U114" s="16">
        <f t="shared" si="698"/>
        <v>20009.86688888889</v>
      </c>
      <c r="V114" s="16">
        <f t="shared" si="698"/>
        <v>22001.592115384618</v>
      </c>
      <c r="W114" s="16">
        <f t="shared" si="698"/>
        <v>25410.970931175441</v>
      </c>
      <c r="X114" s="16">
        <f t="shared" si="698"/>
        <v>30585.575379387756</v>
      </c>
      <c r="Y114" s="16">
        <f t="shared" si="698"/>
        <v>30269.959444444445</v>
      </c>
      <c r="Z114" s="16">
        <f t="shared" si="698"/>
        <v>32172.142743537039</v>
      </c>
      <c r="AA114" s="16">
        <f t="shared" si="698"/>
        <v>23792.260906033334</v>
      </c>
      <c r="AB114" s="16">
        <f t="shared" si="698"/>
        <v>22754.659161170272</v>
      </c>
      <c r="AC114" s="16">
        <f t="shared" si="698"/>
        <v>20920.884783311085</v>
      </c>
      <c r="AD114" s="16">
        <f t="shared" si="698"/>
        <v>41304.759945266305</v>
      </c>
      <c r="AE114" s="16">
        <f t="shared" si="698"/>
        <v>41304.759945266305</v>
      </c>
      <c r="AF114" s="16">
        <f t="shared" si="698"/>
        <v>41304.759945266305</v>
      </c>
      <c r="AG114" s="16">
        <f t="shared" si="698"/>
        <v>41304.759945266313</v>
      </c>
      <c r="AH114" s="16">
        <f t="shared" si="698"/>
        <v>52690.326641628388</v>
      </c>
      <c r="AI114" s="16">
        <f t="shared" si="698"/>
        <v>52690.326641628395</v>
      </c>
      <c r="AJ114" s="16">
        <f t="shared" si="698"/>
        <v>52690.326641628395</v>
      </c>
      <c r="AK114" s="16">
        <f t="shared" si="698"/>
        <v>52690.326641628395</v>
      </c>
      <c r="AL114" s="16">
        <f t="shared" si="698"/>
        <v>69902.871879454018</v>
      </c>
      <c r="AM114" s="16">
        <f t="shared" si="698"/>
        <v>69902.871879454018</v>
      </c>
      <c r="AN114" s="16">
        <f t="shared" si="698"/>
        <v>69902.871879454004</v>
      </c>
      <c r="AO114" s="16">
        <f t="shared" si="698"/>
        <v>69902.871879454018</v>
      </c>
      <c r="AP114" s="16">
        <f t="shared" si="698"/>
        <v>96447.835509529948</v>
      </c>
      <c r="AQ114" s="16">
        <f t="shared" si="698"/>
        <v>96447.835509529934</v>
      </c>
      <c r="AR114" s="16">
        <f t="shared" si="698"/>
        <v>96447.835509529934</v>
      </c>
      <c r="AS114" s="16">
        <f t="shared" si="698"/>
        <v>96447.835509529934</v>
      </c>
      <c r="AT114" s="16">
        <f t="shared" si="698"/>
        <v>138395.92156006626</v>
      </c>
      <c r="AU114" s="16">
        <f t="shared" si="698"/>
        <v>138395.92156006626</v>
      </c>
      <c r="AV114" s="16">
        <f t="shared" si="698"/>
        <v>138395.92156006623</v>
      </c>
      <c r="AW114" s="16">
        <f t="shared" si="698"/>
        <v>138395.92156006623</v>
      </c>
      <c r="AY114" s="16">
        <f t="shared" ref="AY114:CT114" si="699">IFERROR(AY13/AY109,"")</f>
        <v>15487.75</v>
      </c>
      <c r="AZ114" s="16">
        <f t="shared" si="699"/>
        <v>13025.333333333334</v>
      </c>
      <c r="BA114" s="16">
        <f t="shared" si="699"/>
        <v>15850.914285714285</v>
      </c>
      <c r="BB114" s="16">
        <f t="shared" si="699"/>
        <v>18333.333333333332</v>
      </c>
      <c r="BC114" s="16">
        <f t="shared" si="699"/>
        <v>9550</v>
      </c>
      <c r="BD114" s="16">
        <f t="shared" si="699"/>
        <v>67250.333333333328</v>
      </c>
      <c r="BE114" s="16">
        <f t="shared" si="699"/>
        <v>62250</v>
      </c>
      <c r="BF114" s="16">
        <f t="shared" si="699"/>
        <v>12090.6</v>
      </c>
      <c r="BG114" s="16">
        <f t="shared" si="699"/>
        <v>27867</v>
      </c>
      <c r="BH114" s="16">
        <f t="shared" si="699"/>
        <v>54250</v>
      </c>
      <c r="BI114" s="16">
        <f t="shared" si="699"/>
        <v>34094.111111111109</v>
      </c>
      <c r="BJ114" s="16">
        <f t="shared" si="699"/>
        <v>24945.001</v>
      </c>
      <c r="BK114" s="16">
        <f t="shared" si="699"/>
        <v>27350</v>
      </c>
      <c r="BL114" s="16">
        <f t="shared" si="699"/>
        <v>29301.701666666664</v>
      </c>
      <c r="BM114" s="16">
        <f t="shared" si="699"/>
        <v>33208.136153846157</v>
      </c>
      <c r="BN114" s="16">
        <f t="shared" si="699"/>
        <v>22375.9</v>
      </c>
      <c r="BO114" s="16">
        <f t="shared" si="699"/>
        <v>15674.083333333334</v>
      </c>
      <c r="BP114" s="16">
        <f t="shared" si="699"/>
        <v>25223.461538461539</v>
      </c>
      <c r="BQ114" s="16">
        <f t="shared" si="699"/>
        <v>10711.818181818182</v>
      </c>
      <c r="BR114" s="16">
        <f t="shared" si="699"/>
        <v>37395.800000000003</v>
      </c>
      <c r="BS114" s="16">
        <f t="shared" si="699"/>
        <v>20543.615384615383</v>
      </c>
      <c r="BT114" s="16">
        <f t="shared" si="699"/>
        <v>19328.583333333332</v>
      </c>
      <c r="BU114" s="16">
        <f t="shared" si="699"/>
        <v>15901.580666666669</v>
      </c>
      <c r="BV114" s="16">
        <f t="shared" si="699"/>
        <v>23887.627777777776</v>
      </c>
      <c r="BW114" s="16">
        <f t="shared" si="699"/>
        <v>18066.941176470587</v>
      </c>
      <c r="BX114" s="16">
        <f t="shared" si="699"/>
        <v>19753.875</v>
      </c>
      <c r="BY114" s="16">
        <f t="shared" si="699"/>
        <v>27414.883684210527</v>
      </c>
      <c r="BZ114" s="16">
        <f t="shared" si="699"/>
        <v>27034.221884599996</v>
      </c>
      <c r="CA114" s="16">
        <f t="shared" si="699"/>
        <v>26794.539269250003</v>
      </c>
      <c r="CB114" s="16">
        <f t="shared" si="699"/>
        <v>21873.536470588235</v>
      </c>
      <c r="CC114" s="16">
        <f t="shared" si="699"/>
        <v>40524.73777777778</v>
      </c>
      <c r="CD114" s="16">
        <f t="shared" si="699"/>
        <v>26277.533076923075</v>
      </c>
      <c r="CE114" s="16">
        <f t="shared" si="699"/>
        <v>23757.776866111111</v>
      </c>
      <c r="CF114" s="16">
        <f t="shared" si="699"/>
        <v>13210.069130434782</v>
      </c>
      <c r="CG114" s="16">
        <f t="shared" si="699"/>
        <v>45271.799444444441</v>
      </c>
      <c r="CH114" s="16">
        <f t="shared" si="699"/>
        <v>39681.063846153847</v>
      </c>
      <c r="CI114" s="16">
        <f t="shared" si="699"/>
        <v>21962.785944263156</v>
      </c>
      <c r="CJ114" s="16">
        <f t="shared" si="699"/>
        <v>39935.797563</v>
      </c>
      <c r="CK114" s="16">
        <f t="shared" si="699"/>
        <v>36233.409968</v>
      </c>
      <c r="CL114" s="16">
        <f t="shared" si="699"/>
        <v>18144.722241444444</v>
      </c>
      <c r="CM114" s="16">
        <f t="shared" si="699"/>
        <v>26459.259559888891</v>
      </c>
      <c r="CN114" s="16">
        <f t="shared" si="699"/>
        <v>30757.432117666667</v>
      </c>
      <c r="CO114" s="16">
        <f t="shared" si="699"/>
        <v>21684.196252908128</v>
      </c>
      <c r="CP114" s="16">
        <f t="shared" si="699"/>
        <v>23253.269568724492</v>
      </c>
      <c r="CQ114" s="16">
        <f t="shared" si="699"/>
        <v>22831.762354146609</v>
      </c>
      <c r="CR114" s="16">
        <f t="shared" si="699"/>
        <v>18546.828235178327</v>
      </c>
      <c r="CS114" s="16">
        <f t="shared" si="699"/>
        <v>22653.606348148907</v>
      </c>
      <c r="CT114" s="16">
        <f t="shared" si="699"/>
        <v>20410.759955560217</v>
      </c>
      <c r="CU114" s="90">
        <f t="shared" ref="CU114:FA114" si="700">CU113*$B114</f>
        <v>41304.759945266305</v>
      </c>
      <c r="CV114" s="90">
        <f t="shared" si="700"/>
        <v>41304.759945266305</v>
      </c>
      <c r="CW114" s="90">
        <f t="shared" si="700"/>
        <v>41304.759945266305</v>
      </c>
      <c r="CX114" s="90">
        <f t="shared" si="700"/>
        <v>41304.759945266305</v>
      </c>
      <c r="CY114" s="90">
        <f t="shared" si="700"/>
        <v>41304.759945266305</v>
      </c>
      <c r="CZ114" s="90">
        <f t="shared" si="700"/>
        <v>41304.759945266305</v>
      </c>
      <c r="DA114" s="90">
        <f t="shared" si="700"/>
        <v>41304.759945266305</v>
      </c>
      <c r="DB114" s="90">
        <f t="shared" si="700"/>
        <v>41304.759945266305</v>
      </c>
      <c r="DC114" s="90">
        <f t="shared" si="700"/>
        <v>41304.759945266305</v>
      </c>
      <c r="DD114" s="90">
        <f t="shared" si="700"/>
        <v>41304.759945266305</v>
      </c>
      <c r="DE114" s="90">
        <f t="shared" si="700"/>
        <v>41304.759945266305</v>
      </c>
      <c r="DF114" s="90">
        <f t="shared" si="700"/>
        <v>41304.759945266305</v>
      </c>
      <c r="DG114" s="90">
        <f t="shared" si="700"/>
        <v>52690.326641628395</v>
      </c>
      <c r="DH114" s="90">
        <f t="shared" si="700"/>
        <v>52690.326641628395</v>
      </c>
      <c r="DI114" s="90">
        <f t="shared" si="700"/>
        <v>52690.326641628395</v>
      </c>
      <c r="DJ114" s="90">
        <f t="shared" si="700"/>
        <v>52690.326641628395</v>
      </c>
      <c r="DK114" s="90">
        <f t="shared" si="700"/>
        <v>52690.326641628395</v>
      </c>
      <c r="DL114" s="90">
        <f t="shared" si="700"/>
        <v>52690.326641628395</v>
      </c>
      <c r="DM114" s="90">
        <f t="shared" si="700"/>
        <v>52690.326641628395</v>
      </c>
      <c r="DN114" s="90">
        <f t="shared" si="700"/>
        <v>52690.326641628395</v>
      </c>
      <c r="DO114" s="90">
        <f t="shared" si="700"/>
        <v>52690.326641628395</v>
      </c>
      <c r="DP114" s="90">
        <f t="shared" si="700"/>
        <v>52690.326641628395</v>
      </c>
      <c r="DQ114" s="90">
        <f t="shared" si="700"/>
        <v>52690.326641628395</v>
      </c>
      <c r="DR114" s="90">
        <f t="shared" si="700"/>
        <v>52690.326641628395</v>
      </c>
      <c r="DS114" s="90">
        <f t="shared" si="700"/>
        <v>69902.871879454018</v>
      </c>
      <c r="DT114" s="90">
        <f t="shared" si="700"/>
        <v>69902.871879454018</v>
      </c>
      <c r="DU114" s="90">
        <f t="shared" si="700"/>
        <v>69902.871879454018</v>
      </c>
      <c r="DV114" s="90">
        <f t="shared" si="700"/>
        <v>69902.871879454018</v>
      </c>
      <c r="DW114" s="90">
        <f t="shared" si="700"/>
        <v>69902.871879454018</v>
      </c>
      <c r="DX114" s="90">
        <f t="shared" si="700"/>
        <v>69902.871879454018</v>
      </c>
      <c r="DY114" s="90">
        <f t="shared" si="700"/>
        <v>69902.871879454018</v>
      </c>
      <c r="DZ114" s="90">
        <f t="shared" si="700"/>
        <v>69902.871879454018</v>
      </c>
      <c r="EA114" s="90">
        <f t="shared" si="700"/>
        <v>69902.871879454018</v>
      </c>
      <c r="EB114" s="90">
        <f t="shared" si="700"/>
        <v>69902.871879454018</v>
      </c>
      <c r="EC114" s="90">
        <f t="shared" si="700"/>
        <v>69902.871879454018</v>
      </c>
      <c r="ED114" s="90">
        <f t="shared" si="700"/>
        <v>69902.871879454018</v>
      </c>
      <c r="EE114" s="90">
        <f t="shared" si="700"/>
        <v>96447.835509529934</v>
      </c>
      <c r="EF114" s="90">
        <f t="shared" si="700"/>
        <v>96447.835509529934</v>
      </c>
      <c r="EG114" s="90">
        <f t="shared" si="700"/>
        <v>96447.835509529934</v>
      </c>
      <c r="EH114" s="90">
        <f t="shared" si="700"/>
        <v>96447.835509529934</v>
      </c>
      <c r="EI114" s="90">
        <f t="shared" si="700"/>
        <v>96447.835509529934</v>
      </c>
      <c r="EJ114" s="90">
        <f t="shared" si="700"/>
        <v>96447.835509529934</v>
      </c>
      <c r="EK114" s="90">
        <f t="shared" si="700"/>
        <v>96447.835509529934</v>
      </c>
      <c r="EL114" s="90">
        <f t="shared" si="700"/>
        <v>96447.835509529934</v>
      </c>
      <c r="EM114" s="90">
        <f t="shared" si="700"/>
        <v>96447.835509529934</v>
      </c>
      <c r="EN114" s="90">
        <f t="shared" si="700"/>
        <v>96447.835509529934</v>
      </c>
      <c r="EO114" s="90">
        <f t="shared" si="700"/>
        <v>96447.835509529934</v>
      </c>
      <c r="EP114" s="90">
        <f t="shared" si="700"/>
        <v>96447.835509529934</v>
      </c>
      <c r="EQ114" s="90">
        <f t="shared" si="700"/>
        <v>138395.92156006623</v>
      </c>
      <c r="ER114" s="90">
        <f t="shared" si="700"/>
        <v>138395.92156006623</v>
      </c>
      <c r="ES114" s="90">
        <f t="shared" si="700"/>
        <v>138395.92156006623</v>
      </c>
      <c r="ET114" s="90">
        <f t="shared" si="700"/>
        <v>138395.92156006623</v>
      </c>
      <c r="EU114" s="90">
        <f t="shared" si="700"/>
        <v>138395.92156006623</v>
      </c>
      <c r="EV114" s="90">
        <f t="shared" si="700"/>
        <v>138395.92156006623</v>
      </c>
      <c r="EW114" s="90">
        <f t="shared" si="700"/>
        <v>138395.92156006623</v>
      </c>
      <c r="EX114" s="90">
        <f t="shared" si="700"/>
        <v>138395.92156006623</v>
      </c>
      <c r="EY114" s="90">
        <f t="shared" si="700"/>
        <v>138395.92156006623</v>
      </c>
      <c r="EZ114" s="90">
        <f t="shared" si="700"/>
        <v>138395.92156006623</v>
      </c>
      <c r="FA114" s="90">
        <f t="shared" si="700"/>
        <v>138395.92156006623</v>
      </c>
      <c r="FB114" s="90">
        <f>FB113*$B114</f>
        <v>138395.92156006623</v>
      </c>
    </row>
    <row r="116" spans="2:158" x14ac:dyDescent="0.25">
      <c r="C116" s="3" t="s">
        <v>35</v>
      </c>
      <c r="D116" s="4"/>
      <c r="E116" s="4"/>
      <c r="F116" s="4"/>
      <c r="G116" s="4"/>
      <c r="H116" s="4"/>
      <c r="I116" s="4"/>
      <c r="J116" s="4"/>
      <c r="K116" s="4"/>
      <c r="L116" s="4"/>
      <c r="M116" s="3"/>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3"/>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c r="BW116" s="4"/>
      <c r="BX116" s="4"/>
      <c r="BY116" s="4"/>
      <c r="BZ116" s="4"/>
      <c r="CA116" s="4"/>
      <c r="CB116" s="4"/>
      <c r="CC116" s="4"/>
      <c r="CD116" s="4"/>
      <c r="CE116" s="4"/>
      <c r="CF116" s="4"/>
      <c r="CG116" s="4"/>
      <c r="CH116" s="4"/>
      <c r="CI116" s="4"/>
      <c r="CJ116" s="4"/>
      <c r="CK116" s="4"/>
      <c r="CL116" s="4"/>
      <c r="CM116" s="4"/>
      <c r="CN116" s="4"/>
      <c r="CO116" s="4"/>
      <c r="CP116" s="4"/>
      <c r="CQ116" s="4"/>
      <c r="CR116" s="4"/>
      <c r="CS116" s="4"/>
      <c r="CT116" s="4"/>
      <c r="CU116" s="4"/>
      <c r="CV116" s="4"/>
      <c r="CW116" s="4"/>
      <c r="CX116" s="4"/>
      <c r="CY116" s="4"/>
      <c r="CZ116" s="4"/>
      <c r="DA116" s="4"/>
      <c r="DB116" s="4"/>
      <c r="DC116" s="4"/>
      <c r="DD116" s="4"/>
      <c r="DE116" s="4"/>
      <c r="DF116" s="4"/>
      <c r="DG116" s="4"/>
      <c r="DH116" s="4"/>
      <c r="DI116" s="4"/>
      <c r="DJ116" s="4"/>
      <c r="DK116" s="4"/>
      <c r="DL116" s="4"/>
      <c r="DM116" s="4"/>
      <c r="DN116" s="4"/>
      <c r="DO116" s="4"/>
      <c r="DP116" s="4"/>
      <c r="DQ116" s="4"/>
      <c r="DR116" s="4"/>
      <c r="DS116" s="4"/>
      <c r="DT116" s="4"/>
      <c r="DU116" s="4"/>
      <c r="DV116" s="4"/>
      <c r="DW116" s="4"/>
      <c r="DX116" s="4"/>
      <c r="DY116" s="4"/>
      <c r="DZ116" s="4"/>
      <c r="EA116" s="4"/>
      <c r="EB116" s="4"/>
      <c r="EC116" s="4"/>
      <c r="ED116" s="4"/>
      <c r="EE116" s="4"/>
      <c r="EF116" s="4"/>
      <c r="EG116" s="4"/>
      <c r="EH116" s="4"/>
      <c r="EI116" s="4"/>
      <c r="EJ116" s="4"/>
      <c r="EK116" s="4"/>
      <c r="EL116" s="4"/>
      <c r="EM116" s="4"/>
      <c r="EN116" s="4"/>
      <c r="EO116" s="4"/>
      <c r="EP116" s="4"/>
      <c r="EQ116" s="4"/>
      <c r="ER116" s="4"/>
      <c r="ES116" s="4"/>
      <c r="ET116" s="4"/>
      <c r="EU116" s="4"/>
      <c r="EV116" s="4"/>
      <c r="EW116" s="4"/>
      <c r="EX116" s="4"/>
      <c r="EY116" s="4"/>
      <c r="EZ116" s="4"/>
      <c r="FA116" s="4"/>
      <c r="FB116" s="4"/>
    </row>
    <row r="118" spans="2:158" x14ac:dyDescent="0.25">
      <c r="C118" s="1" t="s">
        <v>35</v>
      </c>
    </row>
    <row r="119" spans="2:158" x14ac:dyDescent="0.25">
      <c r="C119" s="2" t="s">
        <v>11</v>
      </c>
      <c r="D119" s="16">
        <f>BJ119</f>
        <v>22</v>
      </c>
      <c r="E119" s="16">
        <f>BV119</f>
        <v>26</v>
      </c>
      <c r="F119" s="16">
        <f>CH119</f>
        <v>31</v>
      </c>
      <c r="G119" s="16">
        <f>CT119</f>
        <v>52</v>
      </c>
      <c r="H119" s="55">
        <f>DF119</f>
        <v>53.05053829989459</v>
      </c>
      <c r="I119" s="55">
        <f>DR119</f>
        <v>85.033227773431349</v>
      </c>
      <c r="J119" s="55">
        <f>ED119</f>
        <v>92.09629342113891</v>
      </c>
      <c r="K119" s="55">
        <f>EP119</f>
        <v>125.17845934273734</v>
      </c>
      <c r="L119" s="55">
        <f>FB119</f>
        <v>178.38013595221318</v>
      </c>
      <c r="N119" s="16">
        <f>BA119</f>
        <v>15</v>
      </c>
      <c r="O119" s="16">
        <f t="shared" ref="O119" si="701">BD119</f>
        <v>17</v>
      </c>
      <c r="P119" s="16">
        <f t="shared" ref="P119" si="702">BG119</f>
        <v>20</v>
      </c>
      <c r="Q119" s="16">
        <f t="shared" ref="Q119" si="703">BJ119</f>
        <v>22</v>
      </c>
      <c r="R119" s="16">
        <f t="shared" ref="R119" si="704">BM119</f>
        <v>22</v>
      </c>
      <c r="S119" s="16">
        <f t="shared" ref="S119" si="705">BP119</f>
        <v>23</v>
      </c>
      <c r="T119" s="16">
        <f t="shared" ref="T119" si="706">BS119</f>
        <v>22</v>
      </c>
      <c r="U119" s="16">
        <f t="shared" ref="U119" si="707">BV119</f>
        <v>26</v>
      </c>
      <c r="V119" s="16">
        <f t="shared" ref="V119" si="708">BY119</f>
        <v>27</v>
      </c>
      <c r="W119" s="16">
        <f t="shared" ref="W119" si="709">CB119</f>
        <v>28</v>
      </c>
      <c r="X119" s="16">
        <f t="shared" ref="X119" si="710">CE119</f>
        <v>25</v>
      </c>
      <c r="Y119" s="16">
        <f t="shared" ref="Y119" si="711">CH119</f>
        <v>31</v>
      </c>
      <c r="Z119" s="16">
        <f t="shared" ref="Z119" si="712">CK119</f>
        <v>31</v>
      </c>
      <c r="AA119" s="16">
        <f t="shared" ref="AA119" si="713">CN119</f>
        <v>39</v>
      </c>
      <c r="AB119" s="16">
        <f t="shared" ref="AB119" si="714">CQ119</f>
        <v>45</v>
      </c>
      <c r="AC119" s="16">
        <f t="shared" ref="AC119" si="715">CT119</f>
        <v>52</v>
      </c>
      <c r="AD119" s="16">
        <f t="shared" ref="AD119" si="716">CW119</f>
        <v>52.286510445425797</v>
      </c>
      <c r="AE119" s="16">
        <f t="shared" ref="AE119" si="717">CZ119</f>
        <v>52.573020890851595</v>
      </c>
      <c r="AF119" s="16">
        <f t="shared" ref="AF119" si="718">DC119</f>
        <v>52.764027854468793</v>
      </c>
      <c r="AG119" s="16">
        <f t="shared" ref="AG119" si="719">DF119</f>
        <v>53.05053829989459</v>
      </c>
      <c r="AH119" s="16">
        <f t="shared" ref="AH119" si="720">DI119</f>
        <v>61.773089974495527</v>
      </c>
      <c r="AI119" s="16">
        <f t="shared" ref="AI119" si="721">DL119</f>
        <v>70.495641649096456</v>
      </c>
      <c r="AJ119" s="16">
        <f t="shared" ref="AJ119" si="722">DO119</f>
        <v>76.310676098830413</v>
      </c>
      <c r="AK119" s="16">
        <f t="shared" ref="AK119" si="723">DR119</f>
        <v>85.033227773431349</v>
      </c>
      <c r="AL119" s="16">
        <f t="shared" ref="AL119" si="724">DU119</f>
        <v>86.959518404624305</v>
      </c>
      <c r="AM119" s="16">
        <f t="shared" ref="AM119" si="725">DX119</f>
        <v>88.885809035817289</v>
      </c>
      <c r="AN119" s="16">
        <f t="shared" ref="AN119" si="726">EA119</f>
        <v>90.170002789945954</v>
      </c>
      <c r="AO119" s="16">
        <f t="shared" ref="AO119" si="727">ED119</f>
        <v>92.09629342113891</v>
      </c>
      <c r="AP119" s="16">
        <f t="shared" ref="AP119" si="728">EG119</f>
        <v>101.11870230884759</v>
      </c>
      <c r="AQ119" s="16">
        <f t="shared" ref="AQ119" si="729">EJ119</f>
        <v>110.14111119655624</v>
      </c>
      <c r="AR119" s="16">
        <f t="shared" ref="AR119" si="730">EM119</f>
        <v>116.15605045502866</v>
      </c>
      <c r="AS119" s="16">
        <f t="shared" ref="AS119" si="731">EP119</f>
        <v>125.17845934273734</v>
      </c>
      <c r="AT119" s="16">
        <f t="shared" ref="AT119" si="732">ES119</f>
        <v>139.68800750895801</v>
      </c>
      <c r="AU119" s="16">
        <f t="shared" ref="AU119" si="733">EV119</f>
        <v>154.19755567517871</v>
      </c>
      <c r="AV119" s="16">
        <f t="shared" ref="AV119" si="734">EY119</f>
        <v>163.87058778599251</v>
      </c>
      <c r="AW119" s="16">
        <f t="shared" ref="AW119" si="735">FB119</f>
        <v>178.38013595221318</v>
      </c>
      <c r="AY119" s="16">
        <f>Expenses!AY155</f>
        <v>15</v>
      </c>
      <c r="AZ119" s="16">
        <f>Expenses!AZ155</f>
        <v>16</v>
      </c>
      <c r="BA119" s="16">
        <f>Expenses!BA155</f>
        <v>15</v>
      </c>
      <c r="BB119" s="16">
        <f>Expenses!BB155</f>
        <v>16</v>
      </c>
      <c r="BC119" s="16">
        <f>Expenses!BC155</f>
        <v>17</v>
      </c>
      <c r="BD119" s="16">
        <f>Expenses!BD155</f>
        <v>17</v>
      </c>
      <c r="BE119" s="16">
        <f>Expenses!BE155</f>
        <v>18</v>
      </c>
      <c r="BF119" s="16">
        <f>Expenses!BF155</f>
        <v>20</v>
      </c>
      <c r="BG119" s="16">
        <f>Expenses!BG155</f>
        <v>20</v>
      </c>
      <c r="BH119" s="16">
        <f>Expenses!BH155</f>
        <v>19</v>
      </c>
      <c r="BI119" s="16">
        <f>Expenses!BI155</f>
        <v>18</v>
      </c>
      <c r="BJ119" s="16">
        <f>Expenses!BJ155</f>
        <v>22</v>
      </c>
      <c r="BK119" s="16">
        <f>Expenses!BK155</f>
        <v>21</v>
      </c>
      <c r="BL119" s="16">
        <f>Expenses!BL155</f>
        <v>20</v>
      </c>
      <c r="BM119" s="16">
        <f>Expenses!BM155</f>
        <v>22</v>
      </c>
      <c r="BN119" s="16">
        <f>Expenses!BN155</f>
        <v>20</v>
      </c>
      <c r="BO119" s="16">
        <f>Expenses!BO155</f>
        <v>21</v>
      </c>
      <c r="BP119" s="16">
        <f>Expenses!BP155</f>
        <v>23</v>
      </c>
      <c r="BQ119" s="16">
        <f>Expenses!BQ155</f>
        <v>22</v>
      </c>
      <c r="BR119" s="16">
        <f>Expenses!BR155</f>
        <v>21</v>
      </c>
      <c r="BS119" s="16">
        <f>Expenses!BS155</f>
        <v>22</v>
      </c>
      <c r="BT119" s="16">
        <f>Expenses!BT155</f>
        <v>23</v>
      </c>
      <c r="BU119" s="16">
        <f>Expenses!BU155</f>
        <v>26</v>
      </c>
      <c r="BV119" s="16">
        <f>Expenses!BV155</f>
        <v>26</v>
      </c>
      <c r="BW119" s="16">
        <f>Expenses!BW155</f>
        <v>27</v>
      </c>
      <c r="BX119" s="16">
        <f>Expenses!BX155</f>
        <v>27</v>
      </c>
      <c r="BY119" s="16">
        <f>Expenses!BY155</f>
        <v>27</v>
      </c>
      <c r="BZ119" s="16">
        <f>Expenses!BZ155</f>
        <v>28</v>
      </c>
      <c r="CA119" s="16">
        <f>Expenses!CA155</f>
        <v>28</v>
      </c>
      <c r="CB119" s="16">
        <f>Expenses!CB155</f>
        <v>28</v>
      </c>
      <c r="CC119" s="16">
        <f>Expenses!CC155</f>
        <v>29</v>
      </c>
      <c r="CD119" s="16">
        <f>Expenses!CD155</f>
        <v>28</v>
      </c>
      <c r="CE119" s="16">
        <f>Expenses!CE155</f>
        <v>25</v>
      </c>
      <c r="CF119" s="16">
        <f>Expenses!CF155</f>
        <v>26</v>
      </c>
      <c r="CG119" s="16">
        <f>Expenses!CG155</f>
        <v>30</v>
      </c>
      <c r="CH119" s="16">
        <f>Expenses!CH155</f>
        <v>31</v>
      </c>
      <c r="CI119" s="16">
        <f>Expenses!CI155</f>
        <v>32</v>
      </c>
      <c r="CJ119" s="16">
        <f>Expenses!CJ155</f>
        <v>31</v>
      </c>
      <c r="CK119" s="16">
        <f>Expenses!CK155</f>
        <v>31</v>
      </c>
      <c r="CL119" s="16">
        <f>Expenses!CL155</f>
        <v>34</v>
      </c>
      <c r="CM119" s="16">
        <f>Expenses!CM155</f>
        <v>40</v>
      </c>
      <c r="CN119" s="16">
        <f>Expenses!CN155</f>
        <v>39</v>
      </c>
      <c r="CO119" s="16">
        <f>Expenses!CO155</f>
        <v>41</v>
      </c>
      <c r="CP119" s="16">
        <f>Expenses!CP155</f>
        <v>43</v>
      </c>
      <c r="CQ119" s="16">
        <f>Expenses!CQ155</f>
        <v>45</v>
      </c>
      <c r="CR119" s="16">
        <f>Expenses!CR155</f>
        <v>48</v>
      </c>
      <c r="CS119" s="16">
        <f>Expenses!CS155</f>
        <v>48</v>
      </c>
      <c r="CT119" s="16">
        <f>Expenses!CT155</f>
        <v>52</v>
      </c>
      <c r="CU119" s="16">
        <f>Expenses!CU155</f>
        <v>52.095503481808599</v>
      </c>
      <c r="CV119" s="16">
        <f>Expenses!CV155</f>
        <v>52.191006963617198</v>
      </c>
      <c r="CW119" s="16">
        <f>Expenses!CW155</f>
        <v>52.286510445425797</v>
      </c>
      <c r="CX119" s="16">
        <f>Expenses!CX155</f>
        <v>52.382013927234397</v>
      </c>
      <c r="CY119" s="16">
        <f>Expenses!CY155</f>
        <v>52.477517409042996</v>
      </c>
      <c r="CZ119" s="16">
        <f>Expenses!CZ155</f>
        <v>52.573020890851595</v>
      </c>
      <c r="DA119" s="16">
        <f>Expenses!DA155</f>
        <v>52.573020890851595</v>
      </c>
      <c r="DB119" s="16">
        <f>Expenses!DB155</f>
        <v>52.668524372660194</v>
      </c>
      <c r="DC119" s="16">
        <f>Expenses!DC155</f>
        <v>52.764027854468793</v>
      </c>
      <c r="DD119" s="16">
        <f>Expenses!DD155</f>
        <v>52.859531336277392</v>
      </c>
      <c r="DE119" s="16">
        <f>Expenses!DE155</f>
        <v>52.955034818085991</v>
      </c>
      <c r="DF119" s="16">
        <f>Expenses!DF155</f>
        <v>53.05053829989459</v>
      </c>
      <c r="DG119" s="16">
        <f>Expenses!DG155</f>
        <v>55.958055524761569</v>
      </c>
      <c r="DH119" s="16">
        <f>Expenses!DH155</f>
        <v>58.865572749628548</v>
      </c>
      <c r="DI119" s="16">
        <f>Expenses!DI155</f>
        <v>61.773089974495527</v>
      </c>
      <c r="DJ119" s="16">
        <f>Expenses!DJ155</f>
        <v>64.680607199362498</v>
      </c>
      <c r="DK119" s="16">
        <f>Expenses!DK155</f>
        <v>67.588124424229477</v>
      </c>
      <c r="DL119" s="16">
        <f>Expenses!DL155</f>
        <v>70.495641649096456</v>
      </c>
      <c r="DM119" s="16">
        <f>Expenses!DM155</f>
        <v>70.495641649096456</v>
      </c>
      <c r="DN119" s="16">
        <f>Expenses!DN155</f>
        <v>73.403158873963434</v>
      </c>
      <c r="DO119" s="16">
        <f>Expenses!DO155</f>
        <v>76.310676098830413</v>
      </c>
      <c r="DP119" s="16">
        <f>Expenses!DP155</f>
        <v>79.218193323697392</v>
      </c>
      <c r="DQ119" s="16">
        <f>Expenses!DQ155</f>
        <v>82.125710548564371</v>
      </c>
      <c r="DR119" s="16">
        <f>Expenses!DR155</f>
        <v>85.033227773431349</v>
      </c>
      <c r="DS119" s="16">
        <f>Expenses!DS155</f>
        <v>85.675324650495668</v>
      </c>
      <c r="DT119" s="16">
        <f>Expenses!DT155</f>
        <v>86.317421527559986</v>
      </c>
      <c r="DU119" s="16">
        <f>Expenses!DU155</f>
        <v>86.959518404624305</v>
      </c>
      <c r="DV119" s="16">
        <f>Expenses!DV155</f>
        <v>87.601615281688623</v>
      </c>
      <c r="DW119" s="16">
        <f>Expenses!DW155</f>
        <v>88.243712158752942</v>
      </c>
      <c r="DX119" s="16">
        <f>Expenses!DX155</f>
        <v>88.885809035817289</v>
      </c>
      <c r="DY119" s="16">
        <f>Expenses!DY155</f>
        <v>88.885809035817289</v>
      </c>
      <c r="DZ119" s="16">
        <f>Expenses!DZ155</f>
        <v>89.527905912881636</v>
      </c>
      <c r="EA119" s="16">
        <f>Expenses!EA155</f>
        <v>90.170002789945954</v>
      </c>
      <c r="EB119" s="16">
        <f>Expenses!EB155</f>
        <v>90.812099667010273</v>
      </c>
      <c r="EC119" s="16">
        <f>Expenses!EC155</f>
        <v>91.454196544074591</v>
      </c>
      <c r="ED119" s="16">
        <f>Expenses!ED155</f>
        <v>92.09629342113891</v>
      </c>
      <c r="EE119" s="16">
        <f>Expenses!EE155</f>
        <v>95.103763050375136</v>
      </c>
      <c r="EF119" s="16">
        <f>Expenses!EF155</f>
        <v>98.111232679611362</v>
      </c>
      <c r="EG119" s="16">
        <f>Expenses!EG155</f>
        <v>101.11870230884759</v>
      </c>
      <c r="EH119" s="16">
        <f>Expenses!EH155</f>
        <v>104.12617193808381</v>
      </c>
      <c r="EI119" s="16">
        <f>Expenses!EI155</f>
        <v>107.13364156732004</v>
      </c>
      <c r="EJ119" s="16">
        <f>Expenses!EJ155</f>
        <v>110.14111119655624</v>
      </c>
      <c r="EK119" s="16">
        <f>Expenses!EK155</f>
        <v>110.14111119655624</v>
      </c>
      <c r="EL119" s="16">
        <f>Expenses!EL155</f>
        <v>113.14858082579244</v>
      </c>
      <c r="EM119" s="16">
        <f>Expenses!EM155</f>
        <v>116.15605045502866</v>
      </c>
      <c r="EN119" s="16">
        <f>Expenses!EN155</f>
        <v>119.16352008426489</v>
      </c>
      <c r="EO119" s="16">
        <f>Expenses!EO155</f>
        <v>122.17098971350111</v>
      </c>
      <c r="EP119" s="16">
        <f>Expenses!EP155</f>
        <v>125.17845934273734</v>
      </c>
      <c r="EQ119" s="16">
        <f>Expenses!EQ155</f>
        <v>130.01497539814423</v>
      </c>
      <c r="ER119" s="16">
        <f>Expenses!ER155</f>
        <v>134.85149145355112</v>
      </c>
      <c r="ES119" s="16">
        <f>Expenses!ES155</f>
        <v>139.68800750895801</v>
      </c>
      <c r="ET119" s="16">
        <f>Expenses!ET155</f>
        <v>144.5245235643649</v>
      </c>
      <c r="EU119" s="16">
        <f>Expenses!EU155</f>
        <v>149.36103961977179</v>
      </c>
      <c r="EV119" s="16">
        <f>Expenses!EV155</f>
        <v>154.19755567517871</v>
      </c>
      <c r="EW119" s="16">
        <f>Expenses!EW155</f>
        <v>154.19755567517871</v>
      </c>
      <c r="EX119" s="16">
        <f>Expenses!EX155</f>
        <v>159.03407173058562</v>
      </c>
      <c r="EY119" s="16">
        <f>Expenses!EY155</f>
        <v>163.87058778599251</v>
      </c>
      <c r="EZ119" s="16">
        <f>Expenses!EZ155</f>
        <v>168.7071038413994</v>
      </c>
      <c r="FA119" s="16">
        <f>Expenses!FA155</f>
        <v>173.54361989680629</v>
      </c>
      <c r="FB119" s="16">
        <f>Expenses!FB155</f>
        <v>178.38013595221318</v>
      </c>
    </row>
    <row r="120" spans="2:158" x14ac:dyDescent="0.25">
      <c r="C120" s="2" t="s">
        <v>10</v>
      </c>
      <c r="D120" s="16">
        <f t="shared" ref="D120:D126" si="736">BJ120</f>
        <v>93</v>
      </c>
      <c r="E120" s="16">
        <f t="shared" ref="E120:E126" si="737">BV120</f>
        <v>134</v>
      </c>
      <c r="F120" s="16">
        <f t="shared" ref="F120:F126" si="738">CH120</f>
        <v>137</v>
      </c>
      <c r="G120" s="16">
        <f t="shared" ref="G120:G126" si="739">CT120</f>
        <v>285</v>
      </c>
      <c r="H120" s="16">
        <f t="shared" ref="H120:H126" si="740">DF120</f>
        <v>325.5988731894563</v>
      </c>
      <c r="I120" s="16">
        <f t="shared" ref="I120:I126" si="741">DR120</f>
        <v>483.73200381586048</v>
      </c>
      <c r="J120" s="16">
        <f t="shared" ref="J120:J126" si="742">ED120</f>
        <v>548.92771621454301</v>
      </c>
      <c r="K120" s="16">
        <f t="shared" ref="K120:K126" si="743">EP120</f>
        <v>722.25914965054039</v>
      </c>
      <c r="L120" s="16">
        <f t="shared" ref="L120:L126" si="744">FB120</f>
        <v>1049.6958537189396</v>
      </c>
      <c r="N120" s="16">
        <f t="shared" ref="N120:N126" si="745">BA120</f>
        <v>59</v>
      </c>
      <c r="O120" s="16">
        <f t="shared" ref="O120:O126" si="746">BD120</f>
        <v>65</v>
      </c>
      <c r="P120" s="16">
        <f t="shared" ref="P120:P126" si="747">BG120</f>
        <v>76</v>
      </c>
      <c r="Q120" s="16">
        <f t="shared" ref="Q120:Q126" si="748">BJ120</f>
        <v>93</v>
      </c>
      <c r="R120" s="16">
        <f t="shared" ref="R120:R126" si="749">BM120</f>
        <v>98</v>
      </c>
      <c r="S120" s="16">
        <f t="shared" ref="S120:S126" si="750">BP120</f>
        <v>102</v>
      </c>
      <c r="T120" s="16">
        <f t="shared" ref="T120:T126" si="751">BS120</f>
        <v>114</v>
      </c>
      <c r="U120" s="16">
        <f t="shared" ref="U120:U126" si="752">BV120</f>
        <v>134</v>
      </c>
      <c r="V120" s="16">
        <f t="shared" ref="V120:V126" si="753">BY120</f>
        <v>148</v>
      </c>
      <c r="W120" s="16">
        <f t="shared" ref="W120:W126" si="754">CB120</f>
        <v>126</v>
      </c>
      <c r="X120" s="16">
        <f t="shared" ref="X120:X126" si="755">CE120</f>
        <v>121</v>
      </c>
      <c r="Y120" s="16">
        <f t="shared" ref="Y120:Y126" si="756">CH120</f>
        <v>137</v>
      </c>
      <c r="Z120" s="16">
        <f t="shared" ref="Z120:Z126" si="757">CK120</f>
        <v>183</v>
      </c>
      <c r="AA120" s="16">
        <f t="shared" ref="AA120:AA126" si="758">CN120</f>
        <v>218</v>
      </c>
      <c r="AB120" s="16">
        <f t="shared" ref="AB120:AB126" si="759">CQ120</f>
        <v>259</v>
      </c>
      <c r="AC120" s="16">
        <f t="shared" ref="AC120:AC126" si="760">CT120</f>
        <v>285</v>
      </c>
      <c r="AD120" s="16">
        <f t="shared" ref="AD120:AD126" si="761">CW120</f>
        <v>296.07241996076084</v>
      </c>
      <c r="AE120" s="16">
        <f t="shared" ref="AE120:AE126" si="762">CZ120</f>
        <v>307.14483992152162</v>
      </c>
      <c r="AF120" s="16">
        <f t="shared" ref="AF120:AF126" si="763">DC120</f>
        <v>314.52645322869546</v>
      </c>
      <c r="AG120" s="16">
        <f t="shared" ref="AG120:AG126" si="764">DF120</f>
        <v>325.5988731894563</v>
      </c>
      <c r="AH120" s="16">
        <f t="shared" ref="AH120:AH126" si="765">DI120</f>
        <v>368.72609063302104</v>
      </c>
      <c r="AI120" s="16">
        <f t="shared" ref="AI120:AI126" si="766">DL120</f>
        <v>411.85330807658585</v>
      </c>
      <c r="AJ120" s="16">
        <f t="shared" ref="AJ120:AJ126" si="767">DO120</f>
        <v>440.60478637229573</v>
      </c>
      <c r="AK120" s="16">
        <f t="shared" ref="AK120:AK126" si="768">DR120</f>
        <v>483.73200381586048</v>
      </c>
      <c r="AL120" s="16">
        <f t="shared" ref="AL120:AL126" si="769">DU120</f>
        <v>501.51265265186487</v>
      </c>
      <c r="AM120" s="16">
        <f t="shared" ref="AM120:AM126" si="770">DX120</f>
        <v>519.29330148786914</v>
      </c>
      <c r="AN120" s="16">
        <f t="shared" ref="AN120:AN126" si="771">EA120</f>
        <v>531.14706737853862</v>
      </c>
      <c r="AO120" s="16">
        <f t="shared" ref="AO120:AO126" si="772">ED120</f>
        <v>548.92771621454301</v>
      </c>
      <c r="AP120" s="16">
        <f t="shared" ref="AP120:AP126" si="773">EG120</f>
        <v>596.19992533345135</v>
      </c>
      <c r="AQ120" s="16">
        <f t="shared" ref="AQ120:AQ126" si="774">EJ120</f>
        <v>643.4721344523598</v>
      </c>
      <c r="AR120" s="16">
        <f t="shared" ref="AR120:AR126" si="775">EM120</f>
        <v>674.98694053163217</v>
      </c>
      <c r="AS120" s="16">
        <f t="shared" ref="AS120:AS126" si="776">EP120</f>
        <v>722.25914965054039</v>
      </c>
      <c r="AT120" s="16">
        <f t="shared" ref="AT120:AT126" si="777">ES120</f>
        <v>811.56006894192205</v>
      </c>
      <c r="AU120" s="16">
        <f t="shared" ref="AU120:AU126" si="778">EV120</f>
        <v>900.8609882333036</v>
      </c>
      <c r="AV120" s="16">
        <f t="shared" ref="AV120:AV126" si="779">EY120</f>
        <v>960.39493442755793</v>
      </c>
      <c r="AW120" s="16">
        <f t="shared" ref="AW120:AW126" si="780">FB120</f>
        <v>1049.6958537189396</v>
      </c>
      <c r="AY120" s="16">
        <f>Expenses!AY156</f>
        <v>54</v>
      </c>
      <c r="AZ120" s="16">
        <f>Expenses!AZ156</f>
        <v>57</v>
      </c>
      <c r="BA120" s="16">
        <f>Expenses!BA156</f>
        <v>59</v>
      </c>
      <c r="BB120" s="16">
        <f>Expenses!BB156</f>
        <v>60</v>
      </c>
      <c r="BC120" s="16">
        <f>Expenses!BC156</f>
        <v>62</v>
      </c>
      <c r="BD120" s="16">
        <f>Expenses!BD156</f>
        <v>65</v>
      </c>
      <c r="BE120" s="16">
        <f>Expenses!BE156</f>
        <v>72</v>
      </c>
      <c r="BF120" s="16">
        <f>Expenses!BF156</f>
        <v>76</v>
      </c>
      <c r="BG120" s="16">
        <f>Expenses!BG156</f>
        <v>76</v>
      </c>
      <c r="BH120" s="16">
        <f>Expenses!BH156</f>
        <v>82</v>
      </c>
      <c r="BI120" s="16">
        <f>Expenses!BI156</f>
        <v>85</v>
      </c>
      <c r="BJ120" s="16">
        <f>Expenses!BJ156</f>
        <v>93</v>
      </c>
      <c r="BK120" s="16">
        <f>Expenses!BK156</f>
        <v>94</v>
      </c>
      <c r="BL120" s="16">
        <f>Expenses!BL156</f>
        <v>98</v>
      </c>
      <c r="BM120" s="16">
        <f>Expenses!BM156</f>
        <v>98</v>
      </c>
      <c r="BN120" s="16">
        <f>Expenses!BN156</f>
        <v>98</v>
      </c>
      <c r="BO120" s="16">
        <f>Expenses!BO156</f>
        <v>100</v>
      </c>
      <c r="BP120" s="16">
        <f>Expenses!BP156</f>
        <v>102</v>
      </c>
      <c r="BQ120" s="16">
        <f>Expenses!BQ156</f>
        <v>110</v>
      </c>
      <c r="BR120" s="16">
        <f>Expenses!BR156</f>
        <v>110</v>
      </c>
      <c r="BS120" s="16">
        <f>Expenses!BS156</f>
        <v>114</v>
      </c>
      <c r="BT120" s="16">
        <f>Expenses!BT156</f>
        <v>122</v>
      </c>
      <c r="BU120" s="16">
        <f>Expenses!BU156</f>
        <v>121</v>
      </c>
      <c r="BV120" s="16">
        <f>Expenses!BV156</f>
        <v>134</v>
      </c>
      <c r="BW120" s="16">
        <f>Expenses!BW156</f>
        <v>133</v>
      </c>
      <c r="BX120" s="16">
        <f>Expenses!BX156</f>
        <v>144</v>
      </c>
      <c r="BY120" s="16">
        <f>Expenses!BY156</f>
        <v>148</v>
      </c>
      <c r="BZ120" s="16">
        <f>Expenses!BZ156</f>
        <v>125</v>
      </c>
      <c r="CA120" s="16">
        <f>Expenses!CA156</f>
        <v>126</v>
      </c>
      <c r="CB120" s="16">
        <f>Expenses!CB156</f>
        <v>126</v>
      </c>
      <c r="CC120" s="16">
        <f>Expenses!CC156</f>
        <v>125</v>
      </c>
      <c r="CD120" s="16">
        <f>Expenses!CD156</f>
        <v>123</v>
      </c>
      <c r="CE120" s="16">
        <f>Expenses!CE156</f>
        <v>121</v>
      </c>
      <c r="CF120" s="16">
        <f>Expenses!CF156</f>
        <v>128</v>
      </c>
      <c r="CG120" s="16">
        <f>Expenses!CG156</f>
        <v>129</v>
      </c>
      <c r="CH120" s="16">
        <f>Expenses!CH156</f>
        <v>137</v>
      </c>
      <c r="CI120" s="16">
        <f>Expenses!CI156</f>
        <v>145</v>
      </c>
      <c r="CJ120" s="16">
        <f>Expenses!CJ156</f>
        <v>166</v>
      </c>
      <c r="CK120" s="16">
        <f>Expenses!CK156</f>
        <v>183</v>
      </c>
      <c r="CL120" s="16">
        <f>Expenses!CL156</f>
        <v>186</v>
      </c>
      <c r="CM120" s="16">
        <f>Expenses!CM156</f>
        <v>211</v>
      </c>
      <c r="CN120" s="16">
        <f>Expenses!CN156</f>
        <v>218</v>
      </c>
      <c r="CO120" s="16">
        <f>Expenses!CO156</f>
        <v>238</v>
      </c>
      <c r="CP120" s="16">
        <f>Expenses!CP156</f>
        <v>253</v>
      </c>
      <c r="CQ120" s="16">
        <f>Expenses!CQ156</f>
        <v>259</v>
      </c>
      <c r="CR120" s="16">
        <f>Expenses!CR156</f>
        <v>271</v>
      </c>
      <c r="CS120" s="16">
        <f>Expenses!CS156</f>
        <v>278</v>
      </c>
      <c r="CT120" s="16">
        <f>Expenses!CT156</f>
        <v>285</v>
      </c>
      <c r="CU120" s="16">
        <f>Expenses!CU156</f>
        <v>288.69080665358695</v>
      </c>
      <c r="CV120" s="16">
        <f>Expenses!CV156</f>
        <v>292.38161330717389</v>
      </c>
      <c r="CW120" s="16">
        <f>Expenses!CW156</f>
        <v>296.07241996076084</v>
      </c>
      <c r="CX120" s="16">
        <f>Expenses!CX156</f>
        <v>299.76322661434779</v>
      </c>
      <c r="CY120" s="16">
        <f>Expenses!CY156</f>
        <v>303.45403326793473</v>
      </c>
      <c r="CZ120" s="16">
        <f>Expenses!CZ156</f>
        <v>307.14483992152162</v>
      </c>
      <c r="DA120" s="16">
        <f>Expenses!DA156</f>
        <v>307.14483992152162</v>
      </c>
      <c r="DB120" s="16">
        <f>Expenses!DB156</f>
        <v>310.83564657510851</v>
      </c>
      <c r="DC120" s="16">
        <f>Expenses!DC156</f>
        <v>314.52645322869546</v>
      </c>
      <c r="DD120" s="16">
        <f>Expenses!DD156</f>
        <v>318.21725988228241</v>
      </c>
      <c r="DE120" s="16">
        <f>Expenses!DE156</f>
        <v>321.90806653586935</v>
      </c>
      <c r="DF120" s="16">
        <f>Expenses!DF156</f>
        <v>325.5988731894563</v>
      </c>
      <c r="DG120" s="16">
        <f>Expenses!DG156</f>
        <v>339.97461233731121</v>
      </c>
      <c r="DH120" s="16">
        <f>Expenses!DH156</f>
        <v>354.35035148516613</v>
      </c>
      <c r="DI120" s="16">
        <f>Expenses!DI156</f>
        <v>368.72609063302104</v>
      </c>
      <c r="DJ120" s="16">
        <f>Expenses!DJ156</f>
        <v>383.10182978087596</v>
      </c>
      <c r="DK120" s="16">
        <f>Expenses!DK156</f>
        <v>397.47756892873088</v>
      </c>
      <c r="DL120" s="16">
        <f>Expenses!DL156</f>
        <v>411.85330807658585</v>
      </c>
      <c r="DM120" s="16">
        <f>Expenses!DM156</f>
        <v>411.85330807658585</v>
      </c>
      <c r="DN120" s="16">
        <f>Expenses!DN156</f>
        <v>426.22904722444082</v>
      </c>
      <c r="DO120" s="16">
        <f>Expenses!DO156</f>
        <v>440.60478637229573</v>
      </c>
      <c r="DP120" s="16">
        <f>Expenses!DP156</f>
        <v>454.98052552015065</v>
      </c>
      <c r="DQ120" s="16">
        <f>Expenses!DQ156</f>
        <v>469.35626466800556</v>
      </c>
      <c r="DR120" s="16">
        <f>Expenses!DR156</f>
        <v>483.73200381586048</v>
      </c>
      <c r="DS120" s="16">
        <f>Expenses!DS156</f>
        <v>489.65888676119528</v>
      </c>
      <c r="DT120" s="16">
        <f>Expenses!DT156</f>
        <v>495.58576970653007</v>
      </c>
      <c r="DU120" s="16">
        <f>Expenses!DU156</f>
        <v>501.51265265186487</v>
      </c>
      <c r="DV120" s="16">
        <f>Expenses!DV156</f>
        <v>507.43953559719967</v>
      </c>
      <c r="DW120" s="16">
        <f>Expenses!DW156</f>
        <v>513.36641854253446</v>
      </c>
      <c r="DX120" s="16">
        <f>Expenses!DX156</f>
        <v>519.29330148786914</v>
      </c>
      <c r="DY120" s="16">
        <f>Expenses!DY156</f>
        <v>519.29330148786914</v>
      </c>
      <c r="DZ120" s="16">
        <f>Expenses!DZ156</f>
        <v>525.22018443320383</v>
      </c>
      <c r="EA120" s="16">
        <f>Expenses!EA156</f>
        <v>531.14706737853862</v>
      </c>
      <c r="EB120" s="16">
        <f>Expenses!EB156</f>
        <v>537.07395032387342</v>
      </c>
      <c r="EC120" s="16">
        <f>Expenses!EC156</f>
        <v>543.00083326920821</v>
      </c>
      <c r="ED120" s="16">
        <f>Expenses!ED156</f>
        <v>548.92771621454301</v>
      </c>
      <c r="EE120" s="16">
        <f>Expenses!EE156</f>
        <v>564.6851192541792</v>
      </c>
      <c r="EF120" s="16">
        <f>Expenses!EF156</f>
        <v>580.44252229381527</v>
      </c>
      <c r="EG120" s="16">
        <f>Expenses!EG156</f>
        <v>596.19992533345135</v>
      </c>
      <c r="EH120" s="16">
        <f>Expenses!EH156</f>
        <v>611.95732837308742</v>
      </c>
      <c r="EI120" s="16">
        <f>Expenses!EI156</f>
        <v>627.71473141272349</v>
      </c>
      <c r="EJ120" s="16">
        <f>Expenses!EJ156</f>
        <v>643.4721344523598</v>
      </c>
      <c r="EK120" s="16">
        <f>Expenses!EK156</f>
        <v>643.4721344523598</v>
      </c>
      <c r="EL120" s="16">
        <f>Expenses!EL156</f>
        <v>659.2295374919961</v>
      </c>
      <c r="EM120" s="16">
        <f>Expenses!EM156</f>
        <v>674.98694053163217</v>
      </c>
      <c r="EN120" s="16">
        <f>Expenses!EN156</f>
        <v>690.74434357126825</v>
      </c>
      <c r="EO120" s="16">
        <f>Expenses!EO156</f>
        <v>706.50174661090432</v>
      </c>
      <c r="EP120" s="16">
        <f>Expenses!EP156</f>
        <v>722.25914965054039</v>
      </c>
      <c r="EQ120" s="16">
        <f>Expenses!EQ156</f>
        <v>752.02612274766761</v>
      </c>
      <c r="ER120" s="16">
        <f>Expenses!ER156</f>
        <v>781.79309584479483</v>
      </c>
      <c r="ES120" s="16">
        <f>Expenses!ES156</f>
        <v>811.56006894192205</v>
      </c>
      <c r="ET120" s="16">
        <f>Expenses!ET156</f>
        <v>841.32704203904927</v>
      </c>
      <c r="EU120" s="16">
        <f>Expenses!EU156</f>
        <v>871.09401513617649</v>
      </c>
      <c r="EV120" s="16">
        <f>Expenses!EV156</f>
        <v>900.8609882333036</v>
      </c>
      <c r="EW120" s="16">
        <f>Expenses!EW156</f>
        <v>900.8609882333036</v>
      </c>
      <c r="EX120" s="16">
        <f>Expenses!EX156</f>
        <v>930.62796133043071</v>
      </c>
      <c r="EY120" s="16">
        <f>Expenses!EY156</f>
        <v>960.39493442755793</v>
      </c>
      <c r="EZ120" s="16">
        <f>Expenses!EZ156</f>
        <v>990.16190752468515</v>
      </c>
      <c r="FA120" s="16">
        <f>Expenses!FA156</f>
        <v>1019.9288806218124</v>
      </c>
      <c r="FB120" s="16">
        <f>Expenses!FB156</f>
        <v>1049.6958537189396</v>
      </c>
    </row>
    <row r="121" spans="2:158" x14ac:dyDescent="0.25">
      <c r="C121" s="2" t="s">
        <v>566</v>
      </c>
      <c r="D121" s="16">
        <f t="shared" si="736"/>
        <v>28</v>
      </c>
      <c r="E121" s="16">
        <f t="shared" si="737"/>
        <v>52</v>
      </c>
      <c r="F121" s="16">
        <f t="shared" si="738"/>
        <v>59</v>
      </c>
      <c r="G121" s="16">
        <f t="shared" si="739"/>
        <v>102</v>
      </c>
      <c r="H121" s="16">
        <f t="shared" si="740"/>
        <v>145.3324472629449</v>
      </c>
      <c r="I121" s="16">
        <f t="shared" si="741"/>
        <v>210.65247192073409</v>
      </c>
      <c r="J121" s="16">
        <f t="shared" si="742"/>
        <v>300.17130157671318</v>
      </c>
      <c r="K121" s="16">
        <f t="shared" si="743"/>
        <v>421.09426593461086</v>
      </c>
      <c r="L121" s="16">
        <f t="shared" si="744"/>
        <v>567.98868007411659</v>
      </c>
      <c r="N121" s="16">
        <f t="shared" si="745"/>
        <v>19</v>
      </c>
      <c r="O121" s="16">
        <f t="shared" si="746"/>
        <v>23</v>
      </c>
      <c r="P121" s="16">
        <f t="shared" si="747"/>
        <v>26</v>
      </c>
      <c r="Q121" s="16">
        <f t="shared" si="748"/>
        <v>28</v>
      </c>
      <c r="R121" s="16">
        <f t="shared" si="749"/>
        <v>39</v>
      </c>
      <c r="S121" s="16">
        <f t="shared" si="750"/>
        <v>42</v>
      </c>
      <c r="T121" s="16">
        <f t="shared" si="751"/>
        <v>46</v>
      </c>
      <c r="U121" s="16">
        <f t="shared" si="752"/>
        <v>52</v>
      </c>
      <c r="V121" s="16">
        <f t="shared" si="753"/>
        <v>53</v>
      </c>
      <c r="W121" s="16">
        <f t="shared" si="754"/>
        <v>52</v>
      </c>
      <c r="X121" s="16">
        <f t="shared" si="755"/>
        <v>55</v>
      </c>
      <c r="Y121" s="16">
        <f t="shared" si="756"/>
        <v>59</v>
      </c>
      <c r="Z121" s="16">
        <f t="shared" si="757"/>
        <v>74</v>
      </c>
      <c r="AA121" s="16">
        <f t="shared" si="758"/>
        <v>87</v>
      </c>
      <c r="AB121" s="16">
        <f t="shared" si="759"/>
        <v>94</v>
      </c>
      <c r="AC121" s="16">
        <f t="shared" si="760"/>
        <v>102</v>
      </c>
      <c r="AD121" s="16">
        <f t="shared" si="761"/>
        <v>107.34175590199514</v>
      </c>
      <c r="AE121" s="16">
        <f t="shared" si="762"/>
        <v>118.37577795781111</v>
      </c>
      <c r="AF121" s="16">
        <f t="shared" si="763"/>
        <v>129.11025903588859</v>
      </c>
      <c r="AG121" s="16">
        <f t="shared" si="764"/>
        <v>145.3324472629449</v>
      </c>
      <c r="AH121" s="16">
        <f t="shared" si="765"/>
        <v>157.60044102382477</v>
      </c>
      <c r="AI121" s="16">
        <f t="shared" si="766"/>
        <v>173.97275129781607</v>
      </c>
      <c r="AJ121" s="16">
        <f t="shared" si="767"/>
        <v>189.1786580000973</v>
      </c>
      <c r="AK121" s="16">
        <f t="shared" si="768"/>
        <v>210.65247192073409</v>
      </c>
      <c r="AL121" s="16">
        <f t="shared" si="769"/>
        <v>227.28197773702104</v>
      </c>
      <c r="AM121" s="16">
        <f t="shared" si="770"/>
        <v>249.76504261269139</v>
      </c>
      <c r="AN121" s="16">
        <f t="shared" si="771"/>
        <v>270.64078220771648</v>
      </c>
      <c r="AO121" s="16">
        <f t="shared" si="772"/>
        <v>300.17130157671318</v>
      </c>
      <c r="AP121" s="16">
        <f t="shared" si="773"/>
        <v>322.69634580350095</v>
      </c>
      <c r="AQ121" s="16">
        <f t="shared" si="774"/>
        <v>353.03092585371002</v>
      </c>
      <c r="AR121" s="16">
        <f t="shared" si="775"/>
        <v>381.18862272061108</v>
      </c>
      <c r="AS121" s="16">
        <f t="shared" si="776"/>
        <v>421.09426593461086</v>
      </c>
      <c r="AT121" s="16">
        <f t="shared" si="777"/>
        <v>448.29210340187984</v>
      </c>
      <c r="AU121" s="16">
        <f t="shared" si="778"/>
        <v>485.33264575930292</v>
      </c>
      <c r="AV121" s="16">
        <f t="shared" si="779"/>
        <v>519.16447702659366</v>
      </c>
      <c r="AW121" s="16">
        <f t="shared" si="780"/>
        <v>567.98868007411659</v>
      </c>
      <c r="AY121" s="16">
        <f>Expenses!AY157</f>
        <v>15</v>
      </c>
      <c r="AZ121" s="16">
        <f>Expenses!AZ157</f>
        <v>17</v>
      </c>
      <c r="BA121" s="16">
        <f>Expenses!BA157</f>
        <v>19</v>
      </c>
      <c r="BB121" s="16">
        <f>Expenses!BB157</f>
        <v>21</v>
      </c>
      <c r="BC121" s="16">
        <f>Expenses!BC157</f>
        <v>23</v>
      </c>
      <c r="BD121" s="16">
        <f>Expenses!BD157</f>
        <v>23</v>
      </c>
      <c r="BE121" s="16">
        <f>Expenses!BE157</f>
        <v>26</v>
      </c>
      <c r="BF121" s="16">
        <f>Expenses!BF157</f>
        <v>26</v>
      </c>
      <c r="BG121" s="16">
        <f>Expenses!BG157</f>
        <v>26</v>
      </c>
      <c r="BH121" s="16">
        <f>Expenses!BH157</f>
        <v>27</v>
      </c>
      <c r="BI121" s="16">
        <f>Expenses!BI157</f>
        <v>29</v>
      </c>
      <c r="BJ121" s="16">
        <f>Expenses!BJ157</f>
        <v>28</v>
      </c>
      <c r="BK121" s="16">
        <f>Expenses!BK157</f>
        <v>31</v>
      </c>
      <c r="BL121" s="16">
        <f>Expenses!BL157</f>
        <v>34</v>
      </c>
      <c r="BM121" s="16">
        <f>Expenses!BM157</f>
        <v>39</v>
      </c>
      <c r="BN121" s="16">
        <f>Expenses!BN157</f>
        <v>41</v>
      </c>
      <c r="BO121" s="16">
        <f>Expenses!BO157</f>
        <v>40</v>
      </c>
      <c r="BP121" s="16">
        <f>Expenses!BP157</f>
        <v>42</v>
      </c>
      <c r="BQ121" s="16">
        <f>Expenses!BQ157</f>
        <v>44</v>
      </c>
      <c r="BR121" s="16">
        <f>Expenses!BR157</f>
        <v>44</v>
      </c>
      <c r="BS121" s="16">
        <f>Expenses!BS157</f>
        <v>46</v>
      </c>
      <c r="BT121" s="16">
        <f>Expenses!BT157</f>
        <v>46</v>
      </c>
      <c r="BU121" s="16">
        <f>Expenses!BU157</f>
        <v>50</v>
      </c>
      <c r="BV121" s="16">
        <f>Expenses!BV157</f>
        <v>52</v>
      </c>
      <c r="BW121" s="16">
        <f>Expenses!BW157</f>
        <v>52</v>
      </c>
      <c r="BX121" s="16">
        <f>Expenses!BX157</f>
        <v>52</v>
      </c>
      <c r="BY121" s="16">
        <f>Expenses!BY157</f>
        <v>53</v>
      </c>
      <c r="BZ121" s="16">
        <f>Expenses!BZ157</f>
        <v>54</v>
      </c>
      <c r="CA121" s="16">
        <f>Expenses!CA157</f>
        <v>53</v>
      </c>
      <c r="CB121" s="16">
        <f>Expenses!CB157</f>
        <v>52</v>
      </c>
      <c r="CC121" s="16">
        <f>Expenses!CC157</f>
        <v>55</v>
      </c>
      <c r="CD121" s="16">
        <f>Expenses!CD157</f>
        <v>57</v>
      </c>
      <c r="CE121" s="16">
        <f>Expenses!CE157</f>
        <v>55</v>
      </c>
      <c r="CF121" s="16">
        <f>Expenses!CF157</f>
        <v>59</v>
      </c>
      <c r="CG121" s="16">
        <f>Expenses!CG157</f>
        <v>60</v>
      </c>
      <c r="CH121" s="16">
        <f>Expenses!CH157</f>
        <v>59</v>
      </c>
      <c r="CI121" s="16">
        <f>Expenses!CI157</f>
        <v>65</v>
      </c>
      <c r="CJ121" s="16">
        <f>Expenses!CJ157</f>
        <v>70</v>
      </c>
      <c r="CK121" s="16">
        <f>Expenses!CK157</f>
        <v>74</v>
      </c>
      <c r="CL121" s="16">
        <f>Expenses!CL157</f>
        <v>80</v>
      </c>
      <c r="CM121" s="16">
        <f>Expenses!CM157</f>
        <v>85</v>
      </c>
      <c r="CN121" s="16">
        <f>Expenses!CN157</f>
        <v>87</v>
      </c>
      <c r="CO121" s="16">
        <f>Expenses!CO157</f>
        <v>93</v>
      </c>
      <c r="CP121" s="16">
        <f>Expenses!CP157</f>
        <v>94</v>
      </c>
      <c r="CQ121" s="16">
        <f>Expenses!CQ157</f>
        <v>94</v>
      </c>
      <c r="CR121" s="16">
        <f>Expenses!CR157</f>
        <v>97</v>
      </c>
      <c r="CS121" s="16">
        <f>Expenses!CS157</f>
        <v>101</v>
      </c>
      <c r="CT121" s="16">
        <f>Expenses!CT157</f>
        <v>102</v>
      </c>
      <c r="CU121" s="16">
        <f>Expenses!CU157</f>
        <v>102.09768245754529</v>
      </c>
      <c r="CV121" s="16">
        <f>Expenses!CV157</f>
        <v>103.60143663581563</v>
      </c>
      <c r="CW121" s="16">
        <f>Expenses!CW157</f>
        <v>107.34175590199514</v>
      </c>
      <c r="CX121" s="16">
        <f>Expenses!CX157</f>
        <v>110.66214071376258</v>
      </c>
      <c r="CY121" s="16">
        <f>Expenses!CY157</f>
        <v>113.45244380042054</v>
      </c>
      <c r="CZ121" s="16">
        <f>Expenses!CZ157</f>
        <v>118.37577795781111</v>
      </c>
      <c r="DA121" s="16">
        <f>Expenses!DA157</f>
        <v>121.9315107518055</v>
      </c>
      <c r="DB121" s="16">
        <f>Expenses!DB157</f>
        <v>124.27443168664306</v>
      </c>
      <c r="DC121" s="16">
        <f>Expenses!DC157</f>
        <v>129.11025903588859</v>
      </c>
      <c r="DD121" s="16">
        <f>Expenses!DD157</f>
        <v>133.32326012804512</v>
      </c>
      <c r="DE121" s="16">
        <f>Expenses!DE157</f>
        <v>137.82094934687564</v>
      </c>
      <c r="DF121" s="16">
        <f>Expenses!DF157</f>
        <v>145.3324472629449</v>
      </c>
      <c r="DG121" s="16">
        <f>Expenses!DG157</f>
        <v>149.96070818303468</v>
      </c>
      <c r="DH121" s="16">
        <f>Expenses!DH157</f>
        <v>152.22505369834175</v>
      </c>
      <c r="DI121" s="16">
        <f>Expenses!DI157</f>
        <v>157.60044102382477</v>
      </c>
      <c r="DJ121" s="16">
        <f>Expenses!DJ157</f>
        <v>162.48409977970869</v>
      </c>
      <c r="DK121" s="16">
        <f>Expenses!DK157</f>
        <v>166.73937082604812</v>
      </c>
      <c r="DL121" s="16">
        <f>Expenses!DL157</f>
        <v>173.97275129781607</v>
      </c>
      <c r="DM121" s="16">
        <f>Expenses!DM157</f>
        <v>179.11355644071622</v>
      </c>
      <c r="DN121" s="16">
        <f>Expenses!DN157</f>
        <v>182.39860428548187</v>
      </c>
      <c r="DO121" s="16">
        <f>Expenses!DO157</f>
        <v>189.1786580000973</v>
      </c>
      <c r="DP121" s="16">
        <f>Expenses!DP157</f>
        <v>194.83601645243698</v>
      </c>
      <c r="DQ121" s="16">
        <f>Expenses!DQ157</f>
        <v>200.63323222016172</v>
      </c>
      <c r="DR121" s="16">
        <f>Expenses!DR157</f>
        <v>210.65247192073409</v>
      </c>
      <c r="DS121" s="16">
        <f>Expenses!DS157</f>
        <v>216.8169311978202</v>
      </c>
      <c r="DT121" s="16">
        <f>Expenses!DT157</f>
        <v>219.90175565682117</v>
      </c>
      <c r="DU121" s="16">
        <f>Expenses!DU157</f>
        <v>227.28197773702104</v>
      </c>
      <c r="DV121" s="16">
        <f>Expenses!DV157</f>
        <v>233.98324710834925</v>
      </c>
      <c r="DW121" s="16">
        <f>Expenses!DW157</f>
        <v>239.81799779512946</v>
      </c>
      <c r="DX121" s="16">
        <f>Expenses!DX157</f>
        <v>249.76504261269139</v>
      </c>
      <c r="DY121" s="16">
        <f>Expenses!DY157</f>
        <v>256.82243317003099</v>
      </c>
      <c r="DZ121" s="16">
        <f>Expenses!DZ157</f>
        <v>261.31838535934844</v>
      </c>
      <c r="EA121" s="16">
        <f>Expenses!EA157</f>
        <v>270.64078220771648</v>
      </c>
      <c r="EB121" s="16">
        <f>Expenses!EB157</f>
        <v>278.41285664434741</v>
      </c>
      <c r="EC121" s="16">
        <f>Expenses!EC157</f>
        <v>286.3773257137114</v>
      </c>
      <c r="ED121" s="16">
        <f>Expenses!ED157</f>
        <v>300.17130157671318</v>
      </c>
      <c r="EE121" s="16">
        <f>Expenses!EE157</f>
        <v>308.61455433726491</v>
      </c>
      <c r="EF121" s="16">
        <f>Expenses!EF157</f>
        <v>312.74076218090539</v>
      </c>
      <c r="EG121" s="16">
        <f>Expenses!EG157</f>
        <v>322.69634580350095</v>
      </c>
      <c r="EH121" s="16">
        <f>Expenses!EH157</f>
        <v>331.73086042086925</v>
      </c>
      <c r="EI121" s="16">
        <f>Expenses!EI157</f>
        <v>339.59033948291136</v>
      </c>
      <c r="EJ121" s="16">
        <f>Expenses!EJ157</f>
        <v>353.03092585371002</v>
      </c>
      <c r="EK121" s="16">
        <f>Expenses!EK157</f>
        <v>362.55018970561269</v>
      </c>
      <c r="EL121" s="16">
        <f>Expenses!EL157</f>
        <v>368.59416853221495</v>
      </c>
      <c r="EM121" s="16">
        <f>Expenses!EM157</f>
        <v>381.18862272061108</v>
      </c>
      <c r="EN121" s="16">
        <f>Expenses!EN157</f>
        <v>391.6793947029808</v>
      </c>
      <c r="EO121" s="16">
        <f>Expenses!EO157</f>
        <v>402.43118302681154</v>
      </c>
      <c r="EP121" s="16">
        <f>Expenses!EP157</f>
        <v>421.09426593461086</v>
      </c>
      <c r="EQ121" s="16">
        <f>Expenses!EQ157</f>
        <v>431.56113267764528</v>
      </c>
      <c r="ER121" s="16">
        <f>Expenses!ER157</f>
        <v>436.06939762078167</v>
      </c>
      <c r="ES121" s="16">
        <f>Expenses!ES157</f>
        <v>448.29210340187984</v>
      </c>
      <c r="ET121" s="16">
        <f>Expenses!ET157</f>
        <v>459.25555017163242</v>
      </c>
      <c r="EU121" s="16">
        <f>Expenses!EU157</f>
        <v>468.63260894080287</v>
      </c>
      <c r="EV121" s="16">
        <f>Expenses!EV157</f>
        <v>485.33264575930292</v>
      </c>
      <c r="EW121" s="16">
        <f>Expenses!EW157</f>
        <v>496.82037071836368</v>
      </c>
      <c r="EX121" s="16">
        <f>Expenses!EX157</f>
        <v>503.71195843729998</v>
      </c>
      <c r="EY121" s="16">
        <f>Expenses!EY157</f>
        <v>519.16447702659366</v>
      </c>
      <c r="EZ121" s="16">
        <f>Expenses!EZ157</f>
        <v>531.81698267320337</v>
      </c>
      <c r="FA121" s="16">
        <f>Expenses!FA157</f>
        <v>544.77107361178184</v>
      </c>
      <c r="FB121" s="16">
        <f>Expenses!FB157</f>
        <v>567.98868007411659</v>
      </c>
    </row>
    <row r="122" spans="2:158" x14ac:dyDescent="0.25">
      <c r="C122" s="2" t="s">
        <v>1</v>
      </c>
      <c r="D122" s="16">
        <f t="shared" si="736"/>
        <v>15</v>
      </c>
      <c r="E122" s="16">
        <f t="shared" si="737"/>
        <v>20</v>
      </c>
      <c r="F122" s="16">
        <f t="shared" si="738"/>
        <v>16</v>
      </c>
      <c r="G122" s="16">
        <f t="shared" si="739"/>
        <v>46</v>
      </c>
      <c r="H122" s="16">
        <f t="shared" si="740"/>
        <v>57.089784731078716</v>
      </c>
      <c r="I122" s="16">
        <f t="shared" si="741"/>
        <v>86.471940481251352</v>
      </c>
      <c r="J122" s="16">
        <f t="shared" si="742"/>
        <v>113.05224348581552</v>
      </c>
      <c r="K122" s="16">
        <f t="shared" si="743"/>
        <v>157.01348879874712</v>
      </c>
      <c r="L122" s="16">
        <f t="shared" si="744"/>
        <v>170.62385604535626</v>
      </c>
      <c r="N122" s="16">
        <f t="shared" si="745"/>
        <v>4</v>
      </c>
      <c r="O122" s="16">
        <f t="shared" si="746"/>
        <v>6</v>
      </c>
      <c r="P122" s="16">
        <f t="shared" si="747"/>
        <v>11</v>
      </c>
      <c r="Q122" s="16">
        <f t="shared" si="748"/>
        <v>15</v>
      </c>
      <c r="R122" s="16">
        <f t="shared" si="749"/>
        <v>17</v>
      </c>
      <c r="S122" s="16">
        <f t="shared" si="750"/>
        <v>20</v>
      </c>
      <c r="T122" s="16">
        <f t="shared" si="751"/>
        <v>19</v>
      </c>
      <c r="U122" s="16">
        <f t="shared" si="752"/>
        <v>20</v>
      </c>
      <c r="V122" s="16">
        <f t="shared" si="753"/>
        <v>18</v>
      </c>
      <c r="W122" s="16">
        <f t="shared" si="754"/>
        <v>18</v>
      </c>
      <c r="X122" s="16">
        <f t="shared" si="755"/>
        <v>17</v>
      </c>
      <c r="Y122" s="16">
        <f t="shared" si="756"/>
        <v>16</v>
      </c>
      <c r="Z122" s="16">
        <f t="shared" si="757"/>
        <v>20</v>
      </c>
      <c r="AA122" s="16">
        <f t="shared" si="758"/>
        <v>26</v>
      </c>
      <c r="AB122" s="16">
        <f t="shared" si="759"/>
        <v>33</v>
      </c>
      <c r="AC122" s="16">
        <f t="shared" si="760"/>
        <v>46</v>
      </c>
      <c r="AD122" s="16">
        <f t="shared" si="761"/>
        <v>49.024486744839642</v>
      </c>
      <c r="AE122" s="16">
        <f t="shared" si="762"/>
        <v>52.048973489679298</v>
      </c>
      <c r="AF122" s="16">
        <f t="shared" si="763"/>
        <v>54.065297986239074</v>
      </c>
      <c r="AG122" s="16">
        <f t="shared" si="764"/>
        <v>57.089784731078716</v>
      </c>
      <c r="AH122" s="16">
        <f t="shared" si="765"/>
        <v>65.103099935671253</v>
      </c>
      <c r="AI122" s="16">
        <f t="shared" si="766"/>
        <v>73.116415140263797</v>
      </c>
      <c r="AJ122" s="16">
        <f t="shared" si="767"/>
        <v>78.458625276658822</v>
      </c>
      <c r="AK122" s="16">
        <f t="shared" si="768"/>
        <v>86.471940481251352</v>
      </c>
      <c r="AL122" s="16">
        <f t="shared" si="769"/>
        <v>93.721114027950648</v>
      </c>
      <c r="AM122" s="16">
        <f t="shared" si="770"/>
        <v>100.97028757464999</v>
      </c>
      <c r="AN122" s="16">
        <f t="shared" si="771"/>
        <v>105.80306993911623</v>
      </c>
      <c r="AO122" s="16">
        <f t="shared" si="772"/>
        <v>113.05224348581552</v>
      </c>
      <c r="AP122" s="16">
        <f t="shared" si="773"/>
        <v>125.04167402570596</v>
      </c>
      <c r="AQ122" s="16">
        <f t="shared" si="774"/>
        <v>137.03110456559639</v>
      </c>
      <c r="AR122" s="16">
        <f t="shared" si="775"/>
        <v>145.02405825885668</v>
      </c>
      <c r="AS122" s="16">
        <f t="shared" si="776"/>
        <v>157.01348879874712</v>
      </c>
      <c r="AT122" s="16">
        <f t="shared" si="777"/>
        <v>160.72540713873138</v>
      </c>
      <c r="AU122" s="16">
        <f t="shared" si="778"/>
        <v>164.43732547871574</v>
      </c>
      <c r="AV122" s="16">
        <f t="shared" si="779"/>
        <v>166.911937705372</v>
      </c>
      <c r="AW122" s="16">
        <f t="shared" si="780"/>
        <v>170.62385604535626</v>
      </c>
      <c r="AY122" s="16">
        <f>Expenses!AY158</f>
        <v>4</v>
      </c>
      <c r="AZ122" s="16">
        <f>Expenses!AZ158</f>
        <v>4</v>
      </c>
      <c r="BA122" s="16">
        <f>Expenses!BA158</f>
        <v>4</v>
      </c>
      <c r="BB122" s="16">
        <f>Expenses!BB158</f>
        <v>5</v>
      </c>
      <c r="BC122" s="16">
        <f>Expenses!BC158</f>
        <v>5</v>
      </c>
      <c r="BD122" s="16">
        <f>Expenses!BD158</f>
        <v>6</v>
      </c>
      <c r="BE122" s="16">
        <f>Expenses!BE158</f>
        <v>7</v>
      </c>
      <c r="BF122" s="16">
        <f>Expenses!BF158</f>
        <v>9</v>
      </c>
      <c r="BG122" s="16">
        <f>Expenses!BG158</f>
        <v>11</v>
      </c>
      <c r="BH122" s="16">
        <f>Expenses!BH158</f>
        <v>13</v>
      </c>
      <c r="BI122" s="16">
        <f>Expenses!BI158</f>
        <v>14</v>
      </c>
      <c r="BJ122" s="16">
        <f>Expenses!BJ158</f>
        <v>15</v>
      </c>
      <c r="BK122" s="16">
        <f>Expenses!BK158</f>
        <v>16</v>
      </c>
      <c r="BL122" s="16">
        <f>Expenses!BL158</f>
        <v>16</v>
      </c>
      <c r="BM122" s="16">
        <f>Expenses!BM158</f>
        <v>17</v>
      </c>
      <c r="BN122" s="16">
        <f>Expenses!BN158</f>
        <v>18</v>
      </c>
      <c r="BO122" s="16">
        <f>Expenses!BO158</f>
        <v>19</v>
      </c>
      <c r="BP122" s="16">
        <f>Expenses!BP158</f>
        <v>20</v>
      </c>
      <c r="BQ122" s="16">
        <f>Expenses!BQ158</f>
        <v>20</v>
      </c>
      <c r="BR122" s="16">
        <f>Expenses!BR158</f>
        <v>20</v>
      </c>
      <c r="BS122" s="16">
        <f>Expenses!BS158</f>
        <v>19</v>
      </c>
      <c r="BT122" s="16">
        <f>Expenses!BT158</f>
        <v>19</v>
      </c>
      <c r="BU122" s="16">
        <f>Expenses!BU158</f>
        <v>19</v>
      </c>
      <c r="BV122" s="16">
        <f>Expenses!BV158</f>
        <v>20</v>
      </c>
      <c r="BW122" s="16">
        <f>Expenses!BW158</f>
        <v>19</v>
      </c>
      <c r="BX122" s="16">
        <f>Expenses!BX158</f>
        <v>18</v>
      </c>
      <c r="BY122" s="16">
        <f>Expenses!BY158</f>
        <v>18</v>
      </c>
      <c r="BZ122" s="16">
        <f>Expenses!BZ158</f>
        <v>19</v>
      </c>
      <c r="CA122" s="16">
        <f>Expenses!CA158</f>
        <v>18</v>
      </c>
      <c r="CB122" s="16">
        <f>Expenses!CB158</f>
        <v>18</v>
      </c>
      <c r="CC122" s="16">
        <f>Expenses!CC158</f>
        <v>17</v>
      </c>
      <c r="CD122" s="16">
        <f>Expenses!CD158</f>
        <v>17</v>
      </c>
      <c r="CE122" s="16">
        <f>Expenses!CE158</f>
        <v>17</v>
      </c>
      <c r="CF122" s="16">
        <f>Expenses!CF158</f>
        <v>16</v>
      </c>
      <c r="CG122" s="16">
        <f>Expenses!CG158</f>
        <v>16</v>
      </c>
      <c r="CH122" s="16">
        <f>Expenses!CH158</f>
        <v>16</v>
      </c>
      <c r="CI122" s="16">
        <f>Expenses!CI158</f>
        <v>15</v>
      </c>
      <c r="CJ122" s="16">
        <f>Expenses!CJ158</f>
        <v>15</v>
      </c>
      <c r="CK122" s="16">
        <f>Expenses!CK158</f>
        <v>20</v>
      </c>
      <c r="CL122" s="16">
        <f>Expenses!CL158</f>
        <v>21</v>
      </c>
      <c r="CM122" s="16">
        <f>Expenses!CM158</f>
        <v>24</v>
      </c>
      <c r="CN122" s="16">
        <f>Expenses!CN158</f>
        <v>26</v>
      </c>
      <c r="CO122" s="16">
        <f>Expenses!CO158</f>
        <v>28</v>
      </c>
      <c r="CP122" s="16">
        <f>Expenses!CP158</f>
        <v>32</v>
      </c>
      <c r="CQ122" s="16">
        <f>Expenses!CQ158</f>
        <v>33</v>
      </c>
      <c r="CR122" s="16">
        <f>Expenses!CR158</f>
        <v>38</v>
      </c>
      <c r="CS122" s="16">
        <f>Expenses!CS158</f>
        <v>44</v>
      </c>
      <c r="CT122" s="16">
        <f>Expenses!CT158</f>
        <v>46</v>
      </c>
      <c r="CU122" s="16">
        <f>Expenses!CU158</f>
        <v>47.008162248279881</v>
      </c>
      <c r="CV122" s="16">
        <f>Expenses!CV158</f>
        <v>48.016324496559761</v>
      </c>
      <c r="CW122" s="16">
        <f>Expenses!CW158</f>
        <v>49.024486744839642</v>
      </c>
      <c r="CX122" s="16">
        <f>Expenses!CX158</f>
        <v>50.032648993119523</v>
      </c>
      <c r="CY122" s="16">
        <f>Expenses!CY158</f>
        <v>51.040811241399403</v>
      </c>
      <c r="CZ122" s="16">
        <f>Expenses!CZ158</f>
        <v>52.048973489679298</v>
      </c>
      <c r="DA122" s="16">
        <f>Expenses!DA158</f>
        <v>52.048973489679298</v>
      </c>
      <c r="DB122" s="16">
        <f>Expenses!DB158</f>
        <v>53.057135737959193</v>
      </c>
      <c r="DC122" s="16">
        <f>Expenses!DC158</f>
        <v>54.065297986239074</v>
      </c>
      <c r="DD122" s="16">
        <f>Expenses!DD158</f>
        <v>55.073460234518954</v>
      </c>
      <c r="DE122" s="16">
        <f>Expenses!DE158</f>
        <v>56.081622482798835</v>
      </c>
      <c r="DF122" s="16">
        <f>Expenses!DF158</f>
        <v>57.089784731078716</v>
      </c>
      <c r="DG122" s="16">
        <f>Expenses!DG158</f>
        <v>59.760889799276228</v>
      </c>
      <c r="DH122" s="16">
        <f>Expenses!DH158</f>
        <v>62.43199486747374</v>
      </c>
      <c r="DI122" s="16">
        <f>Expenses!DI158</f>
        <v>65.103099935671253</v>
      </c>
      <c r="DJ122" s="16">
        <f>Expenses!DJ158</f>
        <v>67.774205003868772</v>
      </c>
      <c r="DK122" s="16">
        <f>Expenses!DK158</f>
        <v>70.445310072066292</v>
      </c>
      <c r="DL122" s="16">
        <f>Expenses!DL158</f>
        <v>73.116415140263797</v>
      </c>
      <c r="DM122" s="16">
        <f>Expenses!DM158</f>
        <v>73.116415140263797</v>
      </c>
      <c r="DN122" s="16">
        <f>Expenses!DN158</f>
        <v>75.787520208461302</v>
      </c>
      <c r="DO122" s="16">
        <f>Expenses!DO158</f>
        <v>78.458625276658822</v>
      </c>
      <c r="DP122" s="16">
        <f>Expenses!DP158</f>
        <v>81.129730344856341</v>
      </c>
      <c r="DQ122" s="16">
        <f>Expenses!DQ158</f>
        <v>83.800835413053846</v>
      </c>
      <c r="DR122" s="16">
        <f>Expenses!DR158</f>
        <v>86.471940481251352</v>
      </c>
      <c r="DS122" s="16">
        <f>Expenses!DS158</f>
        <v>88.88833166348445</v>
      </c>
      <c r="DT122" s="16">
        <f>Expenses!DT158</f>
        <v>91.304722845717549</v>
      </c>
      <c r="DU122" s="16">
        <f>Expenses!DU158</f>
        <v>93.721114027950648</v>
      </c>
      <c r="DV122" s="16">
        <f>Expenses!DV158</f>
        <v>96.137505210183747</v>
      </c>
      <c r="DW122" s="16">
        <f>Expenses!DW158</f>
        <v>98.553896392416846</v>
      </c>
      <c r="DX122" s="16">
        <f>Expenses!DX158</f>
        <v>100.97028757464999</v>
      </c>
      <c r="DY122" s="16">
        <f>Expenses!DY158</f>
        <v>100.97028757464999</v>
      </c>
      <c r="DZ122" s="16">
        <f>Expenses!DZ158</f>
        <v>103.38667875688313</v>
      </c>
      <c r="EA122" s="16">
        <f>Expenses!EA158</f>
        <v>105.80306993911623</v>
      </c>
      <c r="EB122" s="16">
        <f>Expenses!EB158</f>
        <v>108.21946112134933</v>
      </c>
      <c r="EC122" s="16">
        <f>Expenses!EC158</f>
        <v>110.63585230358242</v>
      </c>
      <c r="ED122" s="16">
        <f>Expenses!ED158</f>
        <v>113.05224348581552</v>
      </c>
      <c r="EE122" s="16">
        <f>Expenses!EE158</f>
        <v>117.04872033244567</v>
      </c>
      <c r="EF122" s="16">
        <f>Expenses!EF158</f>
        <v>121.04519717907581</v>
      </c>
      <c r="EG122" s="16">
        <f>Expenses!EG158</f>
        <v>125.04167402570596</v>
      </c>
      <c r="EH122" s="16">
        <f>Expenses!EH158</f>
        <v>129.0381508723361</v>
      </c>
      <c r="EI122" s="16">
        <f>Expenses!EI158</f>
        <v>133.03462771896625</v>
      </c>
      <c r="EJ122" s="16">
        <f>Expenses!EJ158</f>
        <v>137.03110456559639</v>
      </c>
      <c r="EK122" s="16">
        <f>Expenses!EK158</f>
        <v>137.03110456559639</v>
      </c>
      <c r="EL122" s="16">
        <f>Expenses!EL158</f>
        <v>141.02758141222654</v>
      </c>
      <c r="EM122" s="16">
        <f>Expenses!EM158</f>
        <v>145.02405825885668</v>
      </c>
      <c r="EN122" s="16">
        <f>Expenses!EN158</f>
        <v>149.02053510548683</v>
      </c>
      <c r="EO122" s="16">
        <f>Expenses!EO158</f>
        <v>153.01701195211697</v>
      </c>
      <c r="EP122" s="16">
        <f>Expenses!EP158</f>
        <v>157.01348879874712</v>
      </c>
      <c r="EQ122" s="16">
        <f>Expenses!EQ158</f>
        <v>158.25079491207521</v>
      </c>
      <c r="ER122" s="16">
        <f>Expenses!ER158</f>
        <v>159.4881010254033</v>
      </c>
      <c r="ES122" s="16">
        <f>Expenses!ES158</f>
        <v>160.72540713873138</v>
      </c>
      <c r="ET122" s="16">
        <f>Expenses!ET158</f>
        <v>161.96271325205947</v>
      </c>
      <c r="EU122" s="16">
        <f>Expenses!EU158</f>
        <v>163.20001936538756</v>
      </c>
      <c r="EV122" s="16">
        <f>Expenses!EV158</f>
        <v>164.43732547871574</v>
      </c>
      <c r="EW122" s="16">
        <f>Expenses!EW158</f>
        <v>164.43732547871574</v>
      </c>
      <c r="EX122" s="16">
        <f>Expenses!EX158</f>
        <v>165.67463159204391</v>
      </c>
      <c r="EY122" s="16">
        <f>Expenses!EY158</f>
        <v>166.911937705372</v>
      </c>
      <c r="EZ122" s="16">
        <f>Expenses!EZ158</f>
        <v>168.14924381870009</v>
      </c>
      <c r="FA122" s="16">
        <f>Expenses!FA158</f>
        <v>169.38654993202817</v>
      </c>
      <c r="FB122" s="16">
        <f>Expenses!FB158</f>
        <v>170.62385604535626</v>
      </c>
    </row>
    <row r="123" spans="2:158" x14ac:dyDescent="0.25">
      <c r="C123" s="2" t="s">
        <v>13</v>
      </c>
      <c r="D123" s="16">
        <f t="shared" si="736"/>
        <v>83</v>
      </c>
      <c r="E123" s="16">
        <f t="shared" si="737"/>
        <v>107</v>
      </c>
      <c r="F123" s="16">
        <f t="shared" si="738"/>
        <v>140</v>
      </c>
      <c r="G123" s="16">
        <f t="shared" si="739"/>
        <v>248</v>
      </c>
      <c r="H123" s="16">
        <f t="shared" si="740"/>
        <v>340.82570840537682</v>
      </c>
      <c r="I123" s="16">
        <f t="shared" si="741"/>
        <v>451.05320990930113</v>
      </c>
      <c r="J123" s="16">
        <f t="shared" si="742"/>
        <v>562.39110028603943</v>
      </c>
      <c r="K123" s="16">
        <f t="shared" si="743"/>
        <v>690.3298483624759</v>
      </c>
      <c r="L123" s="16">
        <f t="shared" si="744"/>
        <v>834.15013165298103</v>
      </c>
      <c r="N123" s="16">
        <f t="shared" si="745"/>
        <v>55</v>
      </c>
      <c r="O123" s="16">
        <f t="shared" si="746"/>
        <v>64</v>
      </c>
      <c r="P123" s="16">
        <f t="shared" si="747"/>
        <v>70</v>
      </c>
      <c r="Q123" s="16">
        <f t="shared" si="748"/>
        <v>83</v>
      </c>
      <c r="R123" s="16">
        <f t="shared" si="749"/>
        <v>87</v>
      </c>
      <c r="S123" s="16">
        <f t="shared" si="750"/>
        <v>101</v>
      </c>
      <c r="T123" s="16">
        <f t="shared" si="751"/>
        <v>104</v>
      </c>
      <c r="U123" s="16">
        <f t="shared" si="752"/>
        <v>107</v>
      </c>
      <c r="V123" s="16">
        <f t="shared" si="753"/>
        <v>115</v>
      </c>
      <c r="W123" s="16">
        <f t="shared" si="754"/>
        <v>129</v>
      </c>
      <c r="X123" s="16">
        <f t="shared" si="755"/>
        <v>131</v>
      </c>
      <c r="Y123" s="16">
        <f t="shared" si="756"/>
        <v>140</v>
      </c>
      <c r="Z123" s="16">
        <f t="shared" si="757"/>
        <v>152</v>
      </c>
      <c r="AA123" s="16">
        <f t="shared" si="758"/>
        <v>170</v>
      </c>
      <c r="AB123" s="16">
        <f t="shared" si="759"/>
        <v>207</v>
      </c>
      <c r="AC123" s="16">
        <f t="shared" si="760"/>
        <v>248</v>
      </c>
      <c r="AD123" s="16">
        <f t="shared" si="761"/>
        <v>250.02173913043478</v>
      </c>
      <c r="AE123" s="16">
        <f t="shared" si="762"/>
        <v>270.32554110288612</v>
      </c>
      <c r="AF123" s="16">
        <f t="shared" si="763"/>
        <v>298.81067940223949</v>
      </c>
      <c r="AG123" s="16">
        <f t="shared" si="764"/>
        <v>340.82570840537682</v>
      </c>
      <c r="AH123" s="16">
        <f t="shared" si="765"/>
        <v>340.82570840537682</v>
      </c>
      <c r="AI123" s="16">
        <f t="shared" si="766"/>
        <v>363.64449385458107</v>
      </c>
      <c r="AJ123" s="16">
        <f t="shared" si="767"/>
        <v>400.25075950794877</v>
      </c>
      <c r="AK123" s="16">
        <f t="shared" si="768"/>
        <v>451.05320990930113</v>
      </c>
      <c r="AL123" s="16">
        <f t="shared" si="769"/>
        <v>451.05320990930113</v>
      </c>
      <c r="AM123" s="16">
        <f t="shared" si="770"/>
        <v>456.80988314360917</v>
      </c>
      <c r="AN123" s="16">
        <f t="shared" si="771"/>
        <v>501.02721578327896</v>
      </c>
      <c r="AO123" s="16">
        <f t="shared" si="772"/>
        <v>562.39110028603943</v>
      </c>
      <c r="AP123" s="16">
        <f t="shared" si="773"/>
        <v>562.39110028603943</v>
      </c>
      <c r="AQ123" s="16">
        <f t="shared" si="774"/>
        <v>564.96903053789879</v>
      </c>
      <c r="AR123" s="16">
        <f t="shared" si="775"/>
        <v>617.47028173479589</v>
      </c>
      <c r="AS123" s="16">
        <f t="shared" si="776"/>
        <v>690.3298483624759</v>
      </c>
      <c r="AT123" s="16">
        <f t="shared" si="777"/>
        <v>690.3298483624759</v>
      </c>
      <c r="AU123" s="16">
        <f t="shared" si="778"/>
        <v>690.3298483624759</v>
      </c>
      <c r="AV123" s="16">
        <f t="shared" si="779"/>
        <v>749.1482492795418</v>
      </c>
      <c r="AW123" s="16">
        <f t="shared" si="780"/>
        <v>834.15013165298103</v>
      </c>
      <c r="AY123" s="16">
        <f>Expenses!AY159</f>
        <v>51</v>
      </c>
      <c r="AZ123" s="16">
        <f>Expenses!AZ159</f>
        <v>54</v>
      </c>
      <c r="BA123" s="16">
        <f>Expenses!BA159</f>
        <v>55</v>
      </c>
      <c r="BB123" s="16">
        <f>Expenses!BB159</f>
        <v>54.25</v>
      </c>
      <c r="BC123" s="16">
        <f>Expenses!BC159</f>
        <v>61</v>
      </c>
      <c r="BD123" s="16">
        <f>Expenses!BD159</f>
        <v>64</v>
      </c>
      <c r="BE123" s="16">
        <f>Expenses!BE159</f>
        <v>68</v>
      </c>
      <c r="BF123" s="16">
        <f>Expenses!BF159</f>
        <v>69</v>
      </c>
      <c r="BG123" s="16">
        <f>Expenses!BG159</f>
        <v>70</v>
      </c>
      <c r="BH123" s="16">
        <f>Expenses!BH159</f>
        <v>74</v>
      </c>
      <c r="BI123" s="16">
        <f>Expenses!BI159</f>
        <v>76</v>
      </c>
      <c r="BJ123" s="16">
        <f>Expenses!BJ159</f>
        <v>83</v>
      </c>
      <c r="BK123" s="16">
        <f>Expenses!BK159</f>
        <v>86</v>
      </c>
      <c r="BL123" s="16">
        <f>Expenses!BL159</f>
        <v>87</v>
      </c>
      <c r="BM123" s="16">
        <f>Expenses!BM159</f>
        <v>87</v>
      </c>
      <c r="BN123" s="16">
        <f>Expenses!BN159</f>
        <v>92</v>
      </c>
      <c r="BO123" s="16">
        <f>Expenses!BO159</f>
        <v>95</v>
      </c>
      <c r="BP123" s="16">
        <f>Expenses!BP159</f>
        <v>101</v>
      </c>
      <c r="BQ123" s="16">
        <f>Expenses!BQ159</f>
        <v>98</v>
      </c>
      <c r="BR123" s="16">
        <f>Expenses!BR159</f>
        <v>102</v>
      </c>
      <c r="BS123" s="16">
        <f>Expenses!BS159</f>
        <v>104</v>
      </c>
      <c r="BT123" s="16">
        <f>Expenses!BT159</f>
        <v>106</v>
      </c>
      <c r="BU123" s="16">
        <f>Expenses!BU159</f>
        <v>102</v>
      </c>
      <c r="BV123" s="16">
        <f>Expenses!BV159</f>
        <v>107</v>
      </c>
      <c r="BW123" s="16">
        <f>Expenses!BW159</f>
        <v>109</v>
      </c>
      <c r="BX123" s="16">
        <f>Expenses!BX159</f>
        <v>111</v>
      </c>
      <c r="BY123" s="16">
        <f>Expenses!BY159</f>
        <v>115</v>
      </c>
      <c r="BZ123" s="16">
        <f>Expenses!BZ159</f>
        <v>118</v>
      </c>
      <c r="CA123" s="16">
        <f>Expenses!CA159</f>
        <v>130</v>
      </c>
      <c r="CB123" s="16">
        <f>Expenses!CB159</f>
        <v>129</v>
      </c>
      <c r="CC123" s="16">
        <f>Expenses!CC159</f>
        <v>129</v>
      </c>
      <c r="CD123" s="16">
        <f>Expenses!CD159</f>
        <v>128</v>
      </c>
      <c r="CE123" s="16">
        <f>Expenses!CE159</f>
        <v>131</v>
      </c>
      <c r="CF123" s="16">
        <f>Expenses!CF159</f>
        <v>135</v>
      </c>
      <c r="CG123" s="16">
        <f>Expenses!CG159</f>
        <v>136</v>
      </c>
      <c r="CH123" s="16">
        <f>Expenses!CH159</f>
        <v>140</v>
      </c>
      <c r="CI123" s="16">
        <f>Expenses!CI159</f>
        <v>146</v>
      </c>
      <c r="CJ123" s="16">
        <f>Expenses!CJ159</f>
        <v>151</v>
      </c>
      <c r="CK123" s="16">
        <f>Expenses!CK159</f>
        <v>152</v>
      </c>
      <c r="CL123" s="16">
        <f>Expenses!CL159</f>
        <v>154</v>
      </c>
      <c r="CM123" s="16">
        <f>Expenses!CM159</f>
        <v>166</v>
      </c>
      <c r="CN123" s="16">
        <f>Expenses!CN159</f>
        <v>170</v>
      </c>
      <c r="CO123" s="16">
        <f>Expenses!CO159</f>
        <v>180</v>
      </c>
      <c r="CP123" s="16">
        <f>Expenses!CP159</f>
        <v>195</v>
      </c>
      <c r="CQ123" s="16">
        <f>Expenses!CQ159</f>
        <v>207</v>
      </c>
      <c r="CR123" s="16">
        <f>Expenses!CR159</f>
        <v>222</v>
      </c>
      <c r="CS123" s="16">
        <f>Expenses!CS159</f>
        <v>235</v>
      </c>
      <c r="CT123" s="16">
        <f>Expenses!CT159</f>
        <v>248</v>
      </c>
      <c r="CU123" s="16">
        <f>Expenses!CU159</f>
        <v>250.02173913043478</v>
      </c>
      <c r="CV123" s="16">
        <f>Expenses!CV159</f>
        <v>250.02173913043478</v>
      </c>
      <c r="CW123" s="16">
        <f>Expenses!CW159</f>
        <v>250.02173913043478</v>
      </c>
      <c r="CX123" s="16">
        <f>Expenses!CX159</f>
        <v>250.4410778652059</v>
      </c>
      <c r="CY123" s="16">
        <f>Expenses!CY159</f>
        <v>257.9191796406754</v>
      </c>
      <c r="CZ123" s="16">
        <f>Expenses!CZ159</f>
        <v>270.32554110288612</v>
      </c>
      <c r="DA123" s="16">
        <f>Expenses!DA159</f>
        <v>279.69576115288282</v>
      </c>
      <c r="DB123" s="16">
        <f>Expenses!DB159</f>
        <v>286.34442527684382</v>
      </c>
      <c r="DC123" s="16">
        <f>Expenses!DC159</f>
        <v>298.81067940223949</v>
      </c>
      <c r="DD123" s="16">
        <f>Expenses!DD159</f>
        <v>309.92826011719416</v>
      </c>
      <c r="DE123" s="16">
        <f>Expenses!DE159</f>
        <v>321.79695585222544</v>
      </c>
      <c r="DF123" s="16">
        <f>Expenses!DF159</f>
        <v>340.82570840537682</v>
      </c>
      <c r="DG123" s="16">
        <f>Expenses!DG159</f>
        <v>340.82570840537682</v>
      </c>
      <c r="DH123" s="16">
        <f>Expenses!DH159</f>
        <v>340.82570840537682</v>
      </c>
      <c r="DI123" s="16">
        <f>Expenses!DI159</f>
        <v>340.82570840537682</v>
      </c>
      <c r="DJ123" s="16">
        <f>Expenses!DJ159</f>
        <v>340.82570840537682</v>
      </c>
      <c r="DK123" s="16">
        <f>Expenses!DK159</f>
        <v>347.10823722358987</v>
      </c>
      <c r="DL123" s="16">
        <f>Expenses!DL159</f>
        <v>363.64449385458107</v>
      </c>
      <c r="DM123" s="16">
        <f>Expenses!DM159</f>
        <v>375.91191181566205</v>
      </c>
      <c r="DN123" s="16">
        <f>Expenses!DN159</f>
        <v>384.356180414645</v>
      </c>
      <c r="DO123" s="16">
        <f>Expenses!DO159</f>
        <v>400.25075950794877</v>
      </c>
      <c r="DP123" s="16">
        <f>Expenses!DP159</f>
        <v>413.8756992450966</v>
      </c>
      <c r="DQ123" s="16">
        <f>Expenses!DQ159</f>
        <v>427.89505591427934</v>
      </c>
      <c r="DR123" s="16">
        <f>Expenses!DR159</f>
        <v>451.05320990930113</v>
      </c>
      <c r="DS123" s="16">
        <f>Expenses!DS159</f>
        <v>451.05320990930113</v>
      </c>
      <c r="DT123" s="16">
        <f>Expenses!DT159</f>
        <v>451.05320990930113</v>
      </c>
      <c r="DU123" s="16">
        <f>Expenses!DU159</f>
        <v>451.05320990930113</v>
      </c>
      <c r="DV123" s="16">
        <f>Expenses!DV159</f>
        <v>451.05320990930113</v>
      </c>
      <c r="DW123" s="16">
        <f>Expenses!DW159</f>
        <v>451.05320990930113</v>
      </c>
      <c r="DX123" s="16">
        <f>Expenses!DX159</f>
        <v>456.80988314360917</v>
      </c>
      <c r="DY123" s="16">
        <f>Expenses!DY159</f>
        <v>471.62697814441657</v>
      </c>
      <c r="DZ123" s="16">
        <f>Expenses!DZ159</f>
        <v>481.82616174345094</v>
      </c>
      <c r="EA123" s="16">
        <f>Expenses!EA159</f>
        <v>501.02721578327896</v>
      </c>
      <c r="EB123" s="16">
        <f>Expenses!EB159</f>
        <v>517.48530940532896</v>
      </c>
      <c r="EC123" s="16">
        <f>Expenses!EC159</f>
        <v>534.41800437295274</v>
      </c>
      <c r="ED123" s="16">
        <f>Expenses!ED159</f>
        <v>562.39110028603943</v>
      </c>
      <c r="EE123" s="16">
        <f>Expenses!EE159</f>
        <v>562.39110028603943</v>
      </c>
      <c r="EF123" s="16">
        <f>Expenses!EF159</f>
        <v>562.39110028603943</v>
      </c>
      <c r="EG123" s="16">
        <f>Expenses!EG159</f>
        <v>562.39110028603943</v>
      </c>
      <c r="EH123" s="16">
        <f>Expenses!EH159</f>
        <v>562.39110028603943</v>
      </c>
      <c r="EI123" s="16">
        <f>Expenses!EI159</f>
        <v>562.39110028603943</v>
      </c>
      <c r="EJ123" s="16">
        <f>Expenses!EJ159</f>
        <v>564.96903053789879</v>
      </c>
      <c r="EK123" s="16">
        <f>Expenses!EK159</f>
        <v>582.56162536207137</v>
      </c>
      <c r="EL123" s="16">
        <f>Expenses!EL159</f>
        <v>594.67122478998033</v>
      </c>
      <c r="EM123" s="16">
        <f>Expenses!EM159</f>
        <v>617.47028173479589</v>
      </c>
      <c r="EN123" s="16">
        <f>Expenses!EN159</f>
        <v>637.01185821196964</v>
      </c>
      <c r="EO123" s="16">
        <f>Expenses!EO159</f>
        <v>657.11613356718965</v>
      </c>
      <c r="EP123" s="16">
        <f>Expenses!EP159</f>
        <v>690.3298483624759</v>
      </c>
      <c r="EQ123" s="16">
        <f>Expenses!EQ159</f>
        <v>690.3298483624759</v>
      </c>
      <c r="ER123" s="16">
        <f>Expenses!ER159</f>
        <v>690.3298483624759</v>
      </c>
      <c r="ES123" s="16">
        <f>Expenses!ES159</f>
        <v>690.3298483624759</v>
      </c>
      <c r="ET123" s="16">
        <f>Expenses!ET159</f>
        <v>690.3298483624759</v>
      </c>
      <c r="EU123" s="16">
        <f>Expenses!EU159</f>
        <v>690.3298483624759</v>
      </c>
      <c r="EV123" s="16">
        <f>Expenses!EV159</f>
        <v>690.3298483624759</v>
      </c>
      <c r="EW123" s="16">
        <f>Expenses!EW159</f>
        <v>708.4218717552958</v>
      </c>
      <c r="EX123" s="16">
        <f>Expenses!EX159</f>
        <v>722.54955603654685</v>
      </c>
      <c r="EY123" s="16">
        <f>Expenses!EY159</f>
        <v>749.1482492795418</v>
      </c>
      <c r="EZ123" s="16">
        <f>Expenses!EZ159</f>
        <v>771.94652841459538</v>
      </c>
      <c r="FA123" s="16">
        <f>Expenses!FA159</f>
        <v>795.40120580349833</v>
      </c>
      <c r="FB123" s="16">
        <f>Expenses!FB159</f>
        <v>834.15013165298103</v>
      </c>
    </row>
    <row r="124" spans="2:158" x14ac:dyDescent="0.25">
      <c r="C124" s="2" t="s">
        <v>42</v>
      </c>
      <c r="D124" s="16">
        <f t="shared" si="736"/>
        <v>14</v>
      </c>
      <c r="E124" s="16">
        <f t="shared" si="737"/>
        <v>27</v>
      </c>
      <c r="F124" s="16">
        <f t="shared" si="738"/>
        <v>34</v>
      </c>
      <c r="G124" s="16">
        <f t="shared" si="739"/>
        <v>62</v>
      </c>
      <c r="H124" s="16">
        <f t="shared" si="740"/>
        <v>84.517426343112305</v>
      </c>
      <c r="I124" s="16">
        <f t="shared" si="741"/>
        <v>111.85146984273774</v>
      </c>
      <c r="J124" s="16">
        <f t="shared" si="742"/>
        <v>139.46086583912569</v>
      </c>
      <c r="K124" s="16">
        <f t="shared" si="743"/>
        <v>171.18691657506142</v>
      </c>
      <c r="L124" s="16">
        <f t="shared" si="744"/>
        <v>206.8512455851058</v>
      </c>
      <c r="N124" s="16">
        <f t="shared" si="745"/>
        <v>9</v>
      </c>
      <c r="O124" s="16">
        <f t="shared" si="746"/>
        <v>10</v>
      </c>
      <c r="P124" s="16">
        <f t="shared" si="747"/>
        <v>12</v>
      </c>
      <c r="Q124" s="16">
        <f t="shared" si="748"/>
        <v>14</v>
      </c>
      <c r="R124" s="16">
        <f t="shared" si="749"/>
        <v>19</v>
      </c>
      <c r="S124" s="16">
        <f t="shared" si="750"/>
        <v>24</v>
      </c>
      <c r="T124" s="16">
        <f t="shared" si="751"/>
        <v>27</v>
      </c>
      <c r="U124" s="16">
        <f t="shared" si="752"/>
        <v>27</v>
      </c>
      <c r="V124" s="16">
        <f t="shared" si="753"/>
        <v>28</v>
      </c>
      <c r="W124" s="16">
        <f t="shared" si="754"/>
        <v>32</v>
      </c>
      <c r="X124" s="16">
        <f t="shared" si="755"/>
        <v>32</v>
      </c>
      <c r="Y124" s="16">
        <f t="shared" si="756"/>
        <v>34</v>
      </c>
      <c r="Z124" s="16">
        <f t="shared" si="757"/>
        <v>38</v>
      </c>
      <c r="AA124" s="16">
        <f t="shared" si="758"/>
        <v>45</v>
      </c>
      <c r="AB124" s="16">
        <f t="shared" si="759"/>
        <v>52</v>
      </c>
      <c r="AC124" s="16">
        <f t="shared" si="760"/>
        <v>62</v>
      </c>
      <c r="AD124" s="16">
        <f t="shared" si="761"/>
        <v>62</v>
      </c>
      <c r="AE124" s="16">
        <f t="shared" si="762"/>
        <v>67.034905071335643</v>
      </c>
      <c r="AF124" s="16">
        <f t="shared" si="763"/>
        <v>74.098605134787149</v>
      </c>
      <c r="AG124" s="16">
        <f t="shared" si="764"/>
        <v>84.517426343112305</v>
      </c>
      <c r="AH124" s="16">
        <f t="shared" si="765"/>
        <v>84.517426343112305</v>
      </c>
      <c r="AI124" s="16">
        <f t="shared" si="766"/>
        <v>90.175993085233046</v>
      </c>
      <c r="AJ124" s="16">
        <f t="shared" si="767"/>
        <v>99.253557613830964</v>
      </c>
      <c r="AK124" s="16">
        <f t="shared" si="768"/>
        <v>111.85146984273774</v>
      </c>
      <c r="AL124" s="16">
        <f t="shared" si="769"/>
        <v>111.85146984273774</v>
      </c>
      <c r="AM124" s="16">
        <f t="shared" si="770"/>
        <v>113.27900067173057</v>
      </c>
      <c r="AN124" s="16">
        <f t="shared" si="771"/>
        <v>124.24394569288859</v>
      </c>
      <c r="AO124" s="16">
        <f t="shared" si="772"/>
        <v>139.46086583912569</v>
      </c>
      <c r="AP124" s="16">
        <f t="shared" si="773"/>
        <v>139.46086583912569</v>
      </c>
      <c r="AQ124" s="16">
        <f t="shared" si="774"/>
        <v>140.10013695279432</v>
      </c>
      <c r="AR124" s="16">
        <f t="shared" si="775"/>
        <v>153.1193151471731</v>
      </c>
      <c r="AS124" s="16">
        <f t="shared" si="776"/>
        <v>171.18691657506142</v>
      </c>
      <c r="AT124" s="16">
        <f t="shared" si="777"/>
        <v>171.18691657506142</v>
      </c>
      <c r="AU124" s="16">
        <f t="shared" si="778"/>
        <v>171.18691657506142</v>
      </c>
      <c r="AV124" s="16">
        <f t="shared" si="779"/>
        <v>185.77261168118019</v>
      </c>
      <c r="AW124" s="16">
        <f t="shared" si="780"/>
        <v>206.8512455851058</v>
      </c>
      <c r="AY124" s="16">
        <f>Expenses!AY160</f>
        <v>9</v>
      </c>
      <c r="AZ124" s="16">
        <f>Expenses!AZ160</f>
        <v>10</v>
      </c>
      <c r="BA124" s="16">
        <f>Expenses!BA160</f>
        <v>9</v>
      </c>
      <c r="BB124" s="16">
        <f>Expenses!BB160</f>
        <v>9</v>
      </c>
      <c r="BC124" s="16">
        <f>Expenses!BC160</f>
        <v>10</v>
      </c>
      <c r="BD124" s="16">
        <f>Expenses!BD160</f>
        <v>10</v>
      </c>
      <c r="BE124" s="16">
        <f>Expenses!BE160</f>
        <v>12</v>
      </c>
      <c r="BF124" s="16">
        <f>Expenses!BF160</f>
        <v>13</v>
      </c>
      <c r="BG124" s="16">
        <f>Expenses!BG160</f>
        <v>12</v>
      </c>
      <c r="BH124" s="16">
        <f>Expenses!BH160</f>
        <v>12</v>
      </c>
      <c r="BI124" s="16">
        <f>Expenses!BI160</f>
        <v>12</v>
      </c>
      <c r="BJ124" s="16">
        <f>Expenses!BJ160</f>
        <v>14</v>
      </c>
      <c r="BK124" s="16">
        <f>Expenses!BK160</f>
        <v>17</v>
      </c>
      <c r="BL124" s="16">
        <f>Expenses!BL160</f>
        <v>17</v>
      </c>
      <c r="BM124" s="16">
        <f>Expenses!BM160</f>
        <v>19</v>
      </c>
      <c r="BN124" s="16">
        <f>Expenses!BN160</f>
        <v>24</v>
      </c>
      <c r="BO124" s="16">
        <f>Expenses!BO160</f>
        <v>25</v>
      </c>
      <c r="BP124" s="16">
        <f>Expenses!BP160</f>
        <v>24</v>
      </c>
      <c r="BQ124" s="16">
        <f>Expenses!BQ160</f>
        <v>25</v>
      </c>
      <c r="BR124" s="16">
        <f>Expenses!BR160</f>
        <v>27</v>
      </c>
      <c r="BS124" s="16">
        <f>Expenses!BS160</f>
        <v>27</v>
      </c>
      <c r="BT124" s="16">
        <f>Expenses!BT160</f>
        <v>28</v>
      </c>
      <c r="BU124" s="16">
        <f>Expenses!BU160</f>
        <v>29</v>
      </c>
      <c r="BV124" s="16">
        <f>Expenses!BV160</f>
        <v>27</v>
      </c>
      <c r="BW124" s="16">
        <f>Expenses!BW160</f>
        <v>27</v>
      </c>
      <c r="BX124" s="16">
        <f>Expenses!BX160</f>
        <v>27</v>
      </c>
      <c r="BY124" s="16">
        <f>Expenses!BY160</f>
        <v>28</v>
      </c>
      <c r="BZ124" s="16">
        <f>Expenses!BZ160</f>
        <v>29</v>
      </c>
      <c r="CA124" s="16">
        <f>Expenses!CA160</f>
        <v>32</v>
      </c>
      <c r="CB124" s="16">
        <f>Expenses!CB160</f>
        <v>32</v>
      </c>
      <c r="CC124" s="16">
        <f>Expenses!CC160</f>
        <v>31</v>
      </c>
      <c r="CD124" s="16">
        <f>Expenses!CD160</f>
        <v>32</v>
      </c>
      <c r="CE124" s="16">
        <f>Expenses!CE160</f>
        <v>32</v>
      </c>
      <c r="CF124" s="16">
        <f>Expenses!CF160</f>
        <v>31</v>
      </c>
      <c r="CG124" s="16">
        <f>Expenses!CG160</f>
        <v>32</v>
      </c>
      <c r="CH124" s="16">
        <f>Expenses!CH160</f>
        <v>34</v>
      </c>
      <c r="CI124" s="16">
        <f>Expenses!CI160</f>
        <v>35</v>
      </c>
      <c r="CJ124" s="16">
        <f>Expenses!CJ160</f>
        <v>36</v>
      </c>
      <c r="CK124" s="16">
        <f>Expenses!CK160</f>
        <v>38</v>
      </c>
      <c r="CL124" s="16">
        <f>Expenses!CL160</f>
        <v>38</v>
      </c>
      <c r="CM124" s="16">
        <f>Expenses!CM160</f>
        <v>40</v>
      </c>
      <c r="CN124" s="16">
        <f>Expenses!CN160</f>
        <v>45</v>
      </c>
      <c r="CO124" s="16">
        <f>Expenses!CO160</f>
        <v>47</v>
      </c>
      <c r="CP124" s="16">
        <f>Expenses!CP160</f>
        <v>49</v>
      </c>
      <c r="CQ124" s="16">
        <f>Expenses!CQ160</f>
        <v>52</v>
      </c>
      <c r="CR124" s="16">
        <f>Expenses!CR160</f>
        <v>52</v>
      </c>
      <c r="CS124" s="16">
        <f>Expenses!CS160</f>
        <v>58</v>
      </c>
      <c r="CT124" s="16">
        <f>Expenses!CT160</f>
        <v>62</v>
      </c>
      <c r="CU124" s="16">
        <f>Expenses!CU160</f>
        <v>62</v>
      </c>
      <c r="CV124" s="16">
        <f>Expenses!CV160</f>
        <v>62</v>
      </c>
      <c r="CW124" s="16">
        <f>Expenses!CW160</f>
        <v>62</v>
      </c>
      <c r="CX124" s="16">
        <f>Expenses!CX160</f>
        <v>62.103986963878555</v>
      </c>
      <c r="CY124" s="16">
        <f>Expenses!CY160</f>
        <v>63.958394951326518</v>
      </c>
      <c r="CZ124" s="16">
        <f>Expenses!CZ160</f>
        <v>67.034905071335643</v>
      </c>
      <c r="DA124" s="16">
        <f>Expenses!DA160</f>
        <v>69.358517590472289</v>
      </c>
      <c r="DB124" s="16">
        <f>Expenses!DB160</f>
        <v>71.007242925794159</v>
      </c>
      <c r="DC124" s="16">
        <f>Expenses!DC160</f>
        <v>74.098605134787149</v>
      </c>
      <c r="DD124" s="16">
        <f>Expenses!DD160</f>
        <v>76.855525419897205</v>
      </c>
      <c r="DE124" s="16">
        <f>Expenses!DE160</f>
        <v>79.798706033435963</v>
      </c>
      <c r="DF124" s="16">
        <f>Expenses!DF160</f>
        <v>84.517426343112305</v>
      </c>
      <c r="DG124" s="16">
        <f>Expenses!DG160</f>
        <v>84.517426343112305</v>
      </c>
      <c r="DH124" s="16">
        <f>Expenses!DH160</f>
        <v>84.517426343112305</v>
      </c>
      <c r="DI124" s="16">
        <f>Expenses!DI160</f>
        <v>84.517426343112305</v>
      </c>
      <c r="DJ124" s="16">
        <f>Expenses!DJ160</f>
        <v>84.517426343112305</v>
      </c>
      <c r="DK124" s="16">
        <f>Expenses!DK160</f>
        <v>86.075358017709618</v>
      </c>
      <c r="DL124" s="16">
        <f>Expenses!DL160</f>
        <v>90.175993085233046</v>
      </c>
      <c r="DM124" s="16">
        <f>Expenses!DM160</f>
        <v>93.218048213048277</v>
      </c>
      <c r="DN124" s="16">
        <f>Expenses!DN160</f>
        <v>95.312044738941623</v>
      </c>
      <c r="DO124" s="16">
        <f>Expenses!DO160</f>
        <v>99.253557613830964</v>
      </c>
      <c r="DP124" s="16">
        <f>Expenses!DP160</f>
        <v>102.63224886940401</v>
      </c>
      <c r="DQ124" s="16">
        <f>Expenses!DQ160</f>
        <v>106.10874701917439</v>
      </c>
      <c r="DR124" s="16">
        <f>Expenses!DR160</f>
        <v>111.85146984273774</v>
      </c>
      <c r="DS124" s="16">
        <f>Expenses!DS160</f>
        <v>111.85146984273774</v>
      </c>
      <c r="DT124" s="16">
        <f>Expenses!DT160</f>
        <v>111.85146984273774</v>
      </c>
      <c r="DU124" s="16">
        <f>Expenses!DU160</f>
        <v>111.85146984273774</v>
      </c>
      <c r="DV124" s="16">
        <f>Expenses!DV160</f>
        <v>111.85146984273774</v>
      </c>
      <c r="DW124" s="16">
        <f>Expenses!DW160</f>
        <v>111.85146984273774</v>
      </c>
      <c r="DX124" s="16">
        <f>Expenses!DX160</f>
        <v>113.27900067173057</v>
      </c>
      <c r="DY124" s="16">
        <f>Expenses!DY160</f>
        <v>116.95332072583915</v>
      </c>
      <c r="DZ124" s="16">
        <f>Expenses!DZ160</f>
        <v>119.48249832991236</v>
      </c>
      <c r="EA124" s="16">
        <f>Expenses!EA160</f>
        <v>124.24394569288859</v>
      </c>
      <c r="EB124" s="16">
        <f>Expenses!EB160</f>
        <v>128.32519801965032</v>
      </c>
      <c r="EC124" s="16">
        <f>Expenses!EC160</f>
        <v>132.52414124612307</v>
      </c>
      <c r="ED124" s="16">
        <f>Expenses!ED160</f>
        <v>139.46086583912569</v>
      </c>
      <c r="EE124" s="16">
        <f>Expenses!EE160</f>
        <v>139.46086583912569</v>
      </c>
      <c r="EF124" s="16">
        <f>Expenses!EF160</f>
        <v>139.46086583912569</v>
      </c>
      <c r="EG124" s="16">
        <f>Expenses!EG160</f>
        <v>139.46086583912569</v>
      </c>
      <c r="EH124" s="16">
        <f>Expenses!EH160</f>
        <v>139.46086583912569</v>
      </c>
      <c r="EI124" s="16">
        <f>Expenses!EI160</f>
        <v>139.46086583912569</v>
      </c>
      <c r="EJ124" s="16">
        <f>Expenses!EJ160</f>
        <v>140.10013695279432</v>
      </c>
      <c r="EK124" s="16">
        <f>Expenses!EK160</f>
        <v>144.46272111404465</v>
      </c>
      <c r="EL124" s="16">
        <f>Expenses!EL160</f>
        <v>147.46564064872828</v>
      </c>
      <c r="EM124" s="16">
        <f>Expenses!EM160</f>
        <v>153.1193151471731</v>
      </c>
      <c r="EN124" s="16">
        <f>Expenses!EN160</f>
        <v>157.96520473180919</v>
      </c>
      <c r="EO124" s="16">
        <f>Expenses!EO160</f>
        <v>162.9506315045322</v>
      </c>
      <c r="EP124" s="16">
        <f>Expenses!EP160</f>
        <v>171.18691657506142</v>
      </c>
      <c r="EQ124" s="16">
        <f>Expenses!EQ160</f>
        <v>171.18691657506142</v>
      </c>
      <c r="ER124" s="16">
        <f>Expenses!ER160</f>
        <v>171.18691657506142</v>
      </c>
      <c r="ES124" s="16">
        <f>Expenses!ES160</f>
        <v>171.18691657506142</v>
      </c>
      <c r="ET124" s="16">
        <f>Expenses!ET160</f>
        <v>171.18691657506142</v>
      </c>
      <c r="EU124" s="16">
        <f>Expenses!EU160</f>
        <v>171.18691657506142</v>
      </c>
      <c r="EV124" s="16">
        <f>Expenses!EV160</f>
        <v>171.18691657506142</v>
      </c>
      <c r="EW124" s="16">
        <f>Expenses!EW160</f>
        <v>175.67334825198711</v>
      </c>
      <c r="EX124" s="16">
        <f>Expenses!EX160</f>
        <v>179.17670931364503</v>
      </c>
      <c r="EY124" s="16">
        <f>Expenses!EY160</f>
        <v>185.77261168118019</v>
      </c>
      <c r="EZ124" s="16">
        <f>Expenses!EZ160</f>
        <v>191.42609329957622</v>
      </c>
      <c r="FA124" s="16">
        <f>Expenses!FA160</f>
        <v>197.24234753078665</v>
      </c>
      <c r="FB124" s="16">
        <f>Expenses!FB160</f>
        <v>206.8512455851058</v>
      </c>
    </row>
    <row r="125" spans="2:158" x14ac:dyDescent="0.25">
      <c r="C125" s="2" t="s">
        <v>14</v>
      </c>
      <c r="D125" s="16">
        <f t="shared" si="736"/>
        <v>18</v>
      </c>
      <c r="E125" s="16">
        <f t="shared" si="737"/>
        <v>25</v>
      </c>
      <c r="F125" s="16">
        <f t="shared" si="738"/>
        <v>33</v>
      </c>
      <c r="G125" s="16">
        <f t="shared" si="739"/>
        <v>73</v>
      </c>
      <c r="H125" s="16">
        <f t="shared" si="740"/>
        <v>86.035779865882589</v>
      </c>
      <c r="I125" s="16">
        <f t="shared" si="741"/>
        <v>109.11667551353887</v>
      </c>
      <c r="J125" s="16">
        <f t="shared" si="742"/>
        <v>136.05101538675126</v>
      </c>
      <c r="K125" s="16">
        <f t="shared" si="743"/>
        <v>167.00135683820011</v>
      </c>
      <c r="L125" s="16">
        <f t="shared" si="744"/>
        <v>201.79368474831722</v>
      </c>
      <c r="N125" s="16">
        <f t="shared" si="745"/>
        <v>12.5</v>
      </c>
      <c r="O125" s="16">
        <f t="shared" si="746"/>
        <v>13.5</v>
      </c>
      <c r="P125" s="16">
        <f t="shared" si="747"/>
        <v>15</v>
      </c>
      <c r="Q125" s="16">
        <f t="shared" si="748"/>
        <v>18</v>
      </c>
      <c r="R125" s="16">
        <f t="shared" si="749"/>
        <v>18</v>
      </c>
      <c r="S125" s="16">
        <f t="shared" si="750"/>
        <v>22</v>
      </c>
      <c r="T125" s="16">
        <f t="shared" si="751"/>
        <v>21</v>
      </c>
      <c r="U125" s="16">
        <f t="shared" si="752"/>
        <v>25</v>
      </c>
      <c r="V125" s="16">
        <f t="shared" si="753"/>
        <v>27</v>
      </c>
      <c r="W125" s="16">
        <f t="shared" si="754"/>
        <v>26</v>
      </c>
      <c r="X125" s="16">
        <f t="shared" si="755"/>
        <v>26</v>
      </c>
      <c r="Y125" s="16">
        <f t="shared" si="756"/>
        <v>33</v>
      </c>
      <c r="Z125" s="16">
        <f t="shared" si="757"/>
        <v>35</v>
      </c>
      <c r="AA125" s="16">
        <f t="shared" si="758"/>
        <v>49</v>
      </c>
      <c r="AB125" s="16">
        <f t="shared" si="759"/>
        <v>62</v>
      </c>
      <c r="AC125" s="16">
        <f t="shared" si="760"/>
        <v>73</v>
      </c>
      <c r="AD125" s="16">
        <f t="shared" si="761"/>
        <v>73</v>
      </c>
      <c r="AE125" s="16">
        <f t="shared" si="762"/>
        <v>73</v>
      </c>
      <c r="AF125" s="16">
        <f t="shared" si="763"/>
        <v>75.429784786212224</v>
      </c>
      <c r="AG125" s="16">
        <f t="shared" si="764"/>
        <v>86.035779865882589</v>
      </c>
      <c r="AH125" s="16">
        <f t="shared" si="765"/>
        <v>86.035779865882589</v>
      </c>
      <c r="AI125" s="16">
        <f t="shared" si="766"/>
        <v>87.971169180226624</v>
      </c>
      <c r="AJ125" s="16">
        <f t="shared" si="767"/>
        <v>96.826785154812242</v>
      </c>
      <c r="AK125" s="16">
        <f t="shared" si="768"/>
        <v>109.11667551353887</v>
      </c>
      <c r="AL125" s="16">
        <f t="shared" si="769"/>
        <v>109.11667551353887</v>
      </c>
      <c r="AM125" s="16">
        <f t="shared" si="770"/>
        <v>110.50930288331587</v>
      </c>
      <c r="AN125" s="16">
        <f t="shared" si="771"/>
        <v>121.20615246052485</v>
      </c>
      <c r="AO125" s="16">
        <f t="shared" si="772"/>
        <v>136.05101538675126</v>
      </c>
      <c r="AP125" s="16">
        <f t="shared" si="773"/>
        <v>136.05101538675126</v>
      </c>
      <c r="AQ125" s="16">
        <f t="shared" si="774"/>
        <v>136.67465617371124</v>
      </c>
      <c r="AR125" s="16">
        <f t="shared" si="775"/>
        <v>149.3755124475388</v>
      </c>
      <c r="AS125" s="16">
        <f t="shared" si="776"/>
        <v>167.00135683820011</v>
      </c>
      <c r="AT125" s="16">
        <f t="shared" si="777"/>
        <v>167.00135683820011</v>
      </c>
      <c r="AU125" s="16">
        <f t="shared" si="778"/>
        <v>167.00135683820011</v>
      </c>
      <c r="AV125" s="16">
        <f t="shared" si="779"/>
        <v>181.230428322656</v>
      </c>
      <c r="AW125" s="16">
        <f t="shared" si="780"/>
        <v>201.79368474831722</v>
      </c>
      <c r="AY125" s="16">
        <f>Expenses!AY161</f>
        <v>10.5</v>
      </c>
      <c r="AZ125" s="16">
        <f>Expenses!AZ161</f>
        <v>10.5</v>
      </c>
      <c r="BA125" s="16">
        <f>Expenses!BA161</f>
        <v>12.5</v>
      </c>
      <c r="BB125" s="16">
        <f>Expenses!BB161</f>
        <v>12.5</v>
      </c>
      <c r="BC125" s="16">
        <f>Expenses!BC161</f>
        <v>13</v>
      </c>
      <c r="BD125" s="16">
        <f>Expenses!BD161</f>
        <v>13.5</v>
      </c>
      <c r="BE125" s="16">
        <f>Expenses!BE161</f>
        <v>14.5</v>
      </c>
      <c r="BF125" s="16">
        <f>Expenses!BF161</f>
        <v>15</v>
      </c>
      <c r="BG125" s="16">
        <f>Expenses!BG161</f>
        <v>15</v>
      </c>
      <c r="BH125" s="16">
        <f>Expenses!BH161</f>
        <v>16</v>
      </c>
      <c r="BI125" s="16">
        <f>Expenses!BI161</f>
        <v>16</v>
      </c>
      <c r="BJ125" s="16">
        <f>Expenses!BJ161</f>
        <v>18</v>
      </c>
      <c r="BK125" s="16">
        <f>Expenses!BK161</f>
        <v>16</v>
      </c>
      <c r="BL125" s="16">
        <f>Expenses!BL161</f>
        <v>17</v>
      </c>
      <c r="BM125" s="16">
        <f>Expenses!BM161</f>
        <v>18</v>
      </c>
      <c r="BN125" s="16">
        <f>Expenses!BN161</f>
        <v>20</v>
      </c>
      <c r="BO125" s="16">
        <f>Expenses!BO161</f>
        <v>22</v>
      </c>
      <c r="BP125" s="16">
        <f>Expenses!BP161</f>
        <v>22</v>
      </c>
      <c r="BQ125" s="16">
        <f>Expenses!BQ161</f>
        <v>22</v>
      </c>
      <c r="BR125" s="16">
        <f>Expenses!BR161</f>
        <v>21</v>
      </c>
      <c r="BS125" s="16">
        <f>Expenses!BS161</f>
        <v>21</v>
      </c>
      <c r="BT125" s="16">
        <f>Expenses!BT161</f>
        <v>21</v>
      </c>
      <c r="BU125" s="16">
        <f>Expenses!BU161</f>
        <v>22</v>
      </c>
      <c r="BV125" s="16">
        <f>Expenses!BV161</f>
        <v>25</v>
      </c>
      <c r="BW125" s="16">
        <f>Expenses!BW161</f>
        <v>25</v>
      </c>
      <c r="BX125" s="16">
        <f>Expenses!BX161</f>
        <v>26</v>
      </c>
      <c r="BY125" s="16">
        <f>Expenses!BY161</f>
        <v>27</v>
      </c>
      <c r="BZ125" s="16">
        <f>Expenses!BZ161</f>
        <v>27</v>
      </c>
      <c r="CA125" s="16">
        <f>Expenses!CA161</f>
        <v>27</v>
      </c>
      <c r="CB125" s="16">
        <f>Expenses!CB161</f>
        <v>26</v>
      </c>
      <c r="CC125" s="16">
        <f>Expenses!CC161</f>
        <v>26</v>
      </c>
      <c r="CD125" s="16">
        <f>Expenses!CD161</f>
        <v>27</v>
      </c>
      <c r="CE125" s="16">
        <f>Expenses!CE161</f>
        <v>26</v>
      </c>
      <c r="CF125" s="16">
        <f>Expenses!CF161</f>
        <v>28</v>
      </c>
      <c r="CG125" s="16">
        <f>Expenses!CG161</f>
        <v>29</v>
      </c>
      <c r="CH125" s="16">
        <f>Expenses!CH161</f>
        <v>33</v>
      </c>
      <c r="CI125" s="16">
        <f>Expenses!CI161</f>
        <v>31</v>
      </c>
      <c r="CJ125" s="16">
        <f>Expenses!CJ161</f>
        <v>32</v>
      </c>
      <c r="CK125" s="16">
        <f>Expenses!CK161</f>
        <v>35</v>
      </c>
      <c r="CL125" s="16">
        <f>Expenses!CL161</f>
        <v>39</v>
      </c>
      <c r="CM125" s="16">
        <f>Expenses!CM161</f>
        <v>46</v>
      </c>
      <c r="CN125" s="16">
        <f>Expenses!CN161</f>
        <v>49</v>
      </c>
      <c r="CO125" s="16">
        <f>Expenses!CO161</f>
        <v>53</v>
      </c>
      <c r="CP125" s="16">
        <f>Expenses!CP161</f>
        <v>57</v>
      </c>
      <c r="CQ125" s="16">
        <f>Expenses!CQ161</f>
        <v>62</v>
      </c>
      <c r="CR125" s="16">
        <f>Expenses!CR161</f>
        <v>66</v>
      </c>
      <c r="CS125" s="16">
        <f>Expenses!CS161</f>
        <v>70</v>
      </c>
      <c r="CT125" s="16">
        <f>Expenses!CT161</f>
        <v>73</v>
      </c>
      <c r="CU125" s="16">
        <f>Expenses!CU161</f>
        <v>73</v>
      </c>
      <c r="CV125" s="16">
        <f>Expenses!CV161</f>
        <v>73</v>
      </c>
      <c r="CW125" s="16">
        <f>Expenses!CW161</f>
        <v>73</v>
      </c>
      <c r="CX125" s="16">
        <f>Expenses!CX161</f>
        <v>73</v>
      </c>
      <c r="CY125" s="16">
        <f>Expenses!CY161</f>
        <v>73</v>
      </c>
      <c r="CZ125" s="16">
        <f>Expenses!CZ161</f>
        <v>73</v>
      </c>
      <c r="DA125" s="16">
        <f>Expenses!DA161</f>
        <v>73</v>
      </c>
      <c r="DB125" s="16">
        <f>Expenses!DB161</f>
        <v>73</v>
      </c>
      <c r="DC125" s="16">
        <f>Expenses!DC161</f>
        <v>75.429784786212224</v>
      </c>
      <c r="DD125" s="16">
        <f>Expenses!DD161</f>
        <v>78.236233077652003</v>
      </c>
      <c r="DE125" s="16">
        <f>Expenses!DE161</f>
        <v>81.232287859821668</v>
      </c>
      <c r="DF125" s="16">
        <f>Expenses!DF161</f>
        <v>86.035779865882589</v>
      </c>
      <c r="DG125" s="16">
        <f>Expenses!DG161</f>
        <v>86.035779865882589</v>
      </c>
      <c r="DH125" s="16">
        <f>Expenses!DH161</f>
        <v>86.035779865882589</v>
      </c>
      <c r="DI125" s="16">
        <f>Expenses!DI161</f>
        <v>86.035779865882589</v>
      </c>
      <c r="DJ125" s="16">
        <f>Expenses!DJ161</f>
        <v>86.035779865882589</v>
      </c>
      <c r="DK125" s="16">
        <f>Expenses!DK161</f>
        <v>86.035779865882589</v>
      </c>
      <c r="DL125" s="16">
        <f>Expenses!DL161</f>
        <v>87.971169180226624</v>
      </c>
      <c r="DM125" s="16">
        <f>Expenses!DM161</f>
        <v>90.938845355987354</v>
      </c>
      <c r="DN125" s="16">
        <f>Expenses!DN161</f>
        <v>92.981643182101195</v>
      </c>
      <c r="DO125" s="16">
        <f>Expenses!DO161</f>
        <v>96.826785154812242</v>
      </c>
      <c r="DP125" s="16">
        <f>Expenses!DP161</f>
        <v>100.12286662708208</v>
      </c>
      <c r="DQ125" s="16">
        <f>Expenses!DQ161</f>
        <v>103.51436359234563</v>
      </c>
      <c r="DR125" s="16">
        <f>Expenses!DR161</f>
        <v>109.11667551353887</v>
      </c>
      <c r="DS125" s="16">
        <f>Expenses!DS161</f>
        <v>109.11667551353887</v>
      </c>
      <c r="DT125" s="16">
        <f>Expenses!DT161</f>
        <v>109.11667551353887</v>
      </c>
      <c r="DU125" s="16">
        <f>Expenses!DU161</f>
        <v>109.11667551353887</v>
      </c>
      <c r="DV125" s="16">
        <f>Expenses!DV161</f>
        <v>109.11667551353887</v>
      </c>
      <c r="DW125" s="16">
        <f>Expenses!DW161</f>
        <v>109.11667551353887</v>
      </c>
      <c r="DX125" s="16">
        <f>Expenses!DX161</f>
        <v>110.50930288331587</v>
      </c>
      <c r="DY125" s="16">
        <f>Expenses!DY161</f>
        <v>114.09378496156444</v>
      </c>
      <c r="DZ125" s="16">
        <f>Expenses!DZ161</f>
        <v>116.56112358776028</v>
      </c>
      <c r="EA125" s="16">
        <f>Expenses!EA161</f>
        <v>121.20615246052485</v>
      </c>
      <c r="EB125" s="16">
        <f>Expenses!EB161</f>
        <v>125.18761722316292</v>
      </c>
      <c r="EC125" s="16">
        <f>Expenses!EC161</f>
        <v>129.28389531577082</v>
      </c>
      <c r="ED125" s="16">
        <f>Expenses!ED161</f>
        <v>136.05101538675126</v>
      </c>
      <c r="EE125" s="16">
        <f>Expenses!EE161</f>
        <v>136.05101538675126</v>
      </c>
      <c r="EF125" s="16">
        <f>Expenses!EF161</f>
        <v>136.05101538675126</v>
      </c>
      <c r="EG125" s="16">
        <f>Expenses!EG161</f>
        <v>136.05101538675126</v>
      </c>
      <c r="EH125" s="16">
        <f>Expenses!EH161</f>
        <v>136.05101538675126</v>
      </c>
      <c r="EI125" s="16">
        <f>Expenses!EI161</f>
        <v>136.05101538675126</v>
      </c>
      <c r="EJ125" s="16">
        <f>Expenses!EJ161</f>
        <v>136.67465617371124</v>
      </c>
      <c r="EK125" s="16">
        <f>Expenses!EK161</f>
        <v>140.93057414236156</v>
      </c>
      <c r="EL125" s="16">
        <f>Expenses!EL161</f>
        <v>143.86007159930193</v>
      </c>
      <c r="EM125" s="16">
        <f>Expenses!EM161</f>
        <v>149.3755124475388</v>
      </c>
      <c r="EN125" s="16">
        <f>Expenses!EN161</f>
        <v>154.10291891009686</v>
      </c>
      <c r="EO125" s="16">
        <f>Expenses!EO161</f>
        <v>158.96645084419279</v>
      </c>
      <c r="EP125" s="16">
        <f>Expenses!EP161</f>
        <v>167.00135683820011</v>
      </c>
      <c r="EQ125" s="16">
        <f>Expenses!EQ161</f>
        <v>167.00135683820011</v>
      </c>
      <c r="ER125" s="16">
        <f>Expenses!ER161</f>
        <v>167.00135683820011</v>
      </c>
      <c r="ES125" s="16">
        <f>Expenses!ES161</f>
        <v>167.00135683820011</v>
      </c>
      <c r="ET125" s="16">
        <f>Expenses!ET161</f>
        <v>167.00135683820011</v>
      </c>
      <c r="EU125" s="16">
        <f>Expenses!EU161</f>
        <v>167.00135683820011</v>
      </c>
      <c r="EV125" s="16">
        <f>Expenses!EV161</f>
        <v>167.00135683820011</v>
      </c>
      <c r="EW125" s="16">
        <f>Expenses!EW161</f>
        <v>171.37809422209912</v>
      </c>
      <c r="EX125" s="16">
        <f>Expenses!EX161</f>
        <v>174.79579729483632</v>
      </c>
      <c r="EY125" s="16">
        <f>Expenses!EY161</f>
        <v>181.230428322656</v>
      </c>
      <c r="EZ125" s="16">
        <f>Expenses!EZ161</f>
        <v>186.74568100680591</v>
      </c>
      <c r="FA125" s="16">
        <f>Expenses!FA161</f>
        <v>192.41972647570813</v>
      </c>
      <c r="FB125" s="16">
        <f>Expenses!FB161</f>
        <v>201.79368474831722</v>
      </c>
    </row>
    <row r="126" spans="2:158" x14ac:dyDescent="0.25">
      <c r="C126" s="2" t="s">
        <v>481</v>
      </c>
      <c r="D126" s="27">
        <f t="shared" si="736"/>
        <v>9</v>
      </c>
      <c r="E126" s="27">
        <f t="shared" si="737"/>
        <v>18</v>
      </c>
      <c r="F126" s="27">
        <f t="shared" si="738"/>
        <v>22</v>
      </c>
      <c r="G126" s="27">
        <f t="shared" si="739"/>
        <v>49</v>
      </c>
      <c r="H126" s="27">
        <f t="shared" si="740"/>
        <v>53.626605236214751</v>
      </c>
      <c r="I126" s="27">
        <f t="shared" si="741"/>
        <v>65.646545489346835</v>
      </c>
      <c r="J126" s="27">
        <f t="shared" si="742"/>
        <v>70.232563244688251</v>
      </c>
      <c r="K126" s="27">
        <f t="shared" si="743"/>
        <v>79.208317250736584</v>
      </c>
      <c r="L126" s="27">
        <f t="shared" si="744"/>
        <v>90.078741977024052</v>
      </c>
      <c r="N126" s="27">
        <f t="shared" si="745"/>
        <v>5</v>
      </c>
      <c r="O126" s="27">
        <f t="shared" si="746"/>
        <v>6</v>
      </c>
      <c r="P126" s="27">
        <f t="shared" si="747"/>
        <v>8</v>
      </c>
      <c r="Q126" s="27">
        <f t="shared" si="748"/>
        <v>9</v>
      </c>
      <c r="R126" s="27">
        <f t="shared" si="749"/>
        <v>16</v>
      </c>
      <c r="S126" s="27">
        <f t="shared" si="750"/>
        <v>17</v>
      </c>
      <c r="T126" s="27">
        <f t="shared" si="751"/>
        <v>15</v>
      </c>
      <c r="U126" s="27">
        <f t="shared" si="752"/>
        <v>18</v>
      </c>
      <c r="V126" s="27">
        <f t="shared" si="753"/>
        <v>19</v>
      </c>
      <c r="W126" s="27">
        <f t="shared" si="754"/>
        <v>18</v>
      </c>
      <c r="X126" s="27">
        <f t="shared" si="755"/>
        <v>18</v>
      </c>
      <c r="Y126" s="27">
        <f t="shared" si="756"/>
        <v>22</v>
      </c>
      <c r="Z126" s="27">
        <f t="shared" si="757"/>
        <v>32</v>
      </c>
      <c r="AA126" s="27">
        <f t="shared" si="758"/>
        <v>42</v>
      </c>
      <c r="AB126" s="27">
        <f t="shared" si="759"/>
        <v>45</v>
      </c>
      <c r="AC126" s="27">
        <f t="shared" si="760"/>
        <v>49</v>
      </c>
      <c r="AD126" s="27">
        <f t="shared" si="761"/>
        <v>49</v>
      </c>
      <c r="AE126" s="27">
        <f t="shared" si="762"/>
        <v>49</v>
      </c>
      <c r="AF126" s="27">
        <f t="shared" si="763"/>
        <v>49.029703730713301</v>
      </c>
      <c r="AG126" s="27">
        <f t="shared" si="764"/>
        <v>53.626605236214751</v>
      </c>
      <c r="AH126" s="27">
        <f t="shared" si="765"/>
        <v>53.626605236214751</v>
      </c>
      <c r="AI126" s="27">
        <f t="shared" si="766"/>
        <v>54.263116080167215</v>
      </c>
      <c r="AJ126" s="27">
        <f t="shared" si="767"/>
        <v>58.943758376555415</v>
      </c>
      <c r="AK126" s="27">
        <f t="shared" si="768"/>
        <v>65.646545489346835</v>
      </c>
      <c r="AL126" s="27">
        <f t="shared" si="769"/>
        <v>65.646545489346835</v>
      </c>
      <c r="AM126" s="27">
        <f t="shared" si="770"/>
        <v>65.646545489346835</v>
      </c>
      <c r="AN126" s="27">
        <f t="shared" si="771"/>
        <v>65.646545489346835</v>
      </c>
      <c r="AO126" s="27">
        <f t="shared" si="772"/>
        <v>70.232563244688251</v>
      </c>
      <c r="AP126" s="27">
        <f t="shared" si="773"/>
        <v>70.232563244688251</v>
      </c>
      <c r="AQ126" s="27">
        <f t="shared" si="774"/>
        <v>70.232563244688251</v>
      </c>
      <c r="AR126" s="27">
        <f t="shared" si="775"/>
        <v>72.21264457233589</v>
      </c>
      <c r="AS126" s="27">
        <f t="shared" si="776"/>
        <v>79.208317250736584</v>
      </c>
      <c r="AT126" s="27">
        <f t="shared" si="777"/>
        <v>79.208317250736584</v>
      </c>
      <c r="AU126" s="27">
        <f t="shared" si="778"/>
        <v>79.208317250736584</v>
      </c>
      <c r="AV126" s="27">
        <f t="shared" si="779"/>
        <v>82.136213198574893</v>
      </c>
      <c r="AW126" s="27">
        <f t="shared" si="780"/>
        <v>90.078741977024052</v>
      </c>
      <c r="AY126" s="27">
        <f>Expenses!AY162</f>
        <v>5</v>
      </c>
      <c r="AZ126" s="27">
        <f>Expenses!AZ162</f>
        <v>5</v>
      </c>
      <c r="BA126" s="27">
        <f>Expenses!BA162</f>
        <v>5</v>
      </c>
      <c r="BB126" s="27">
        <f>Expenses!BB162</f>
        <v>5</v>
      </c>
      <c r="BC126" s="27">
        <f>Expenses!BC162</f>
        <v>5</v>
      </c>
      <c r="BD126" s="27">
        <f>Expenses!BD162</f>
        <v>6</v>
      </c>
      <c r="BE126" s="27">
        <f>Expenses!BE162</f>
        <v>7</v>
      </c>
      <c r="BF126" s="27">
        <f>Expenses!BF162</f>
        <v>8</v>
      </c>
      <c r="BG126" s="27">
        <f>Expenses!BG162</f>
        <v>8</v>
      </c>
      <c r="BH126" s="27">
        <f>Expenses!BH162</f>
        <v>8</v>
      </c>
      <c r="BI126" s="27">
        <f>Expenses!BI162</f>
        <v>8</v>
      </c>
      <c r="BJ126" s="27">
        <f>Expenses!BJ162</f>
        <v>9</v>
      </c>
      <c r="BK126" s="27">
        <f>Expenses!BK162</f>
        <v>14</v>
      </c>
      <c r="BL126" s="27">
        <f>Expenses!BL162</f>
        <v>14</v>
      </c>
      <c r="BM126" s="27">
        <f>Expenses!BM162</f>
        <v>16</v>
      </c>
      <c r="BN126" s="27">
        <f>Expenses!BN162</f>
        <v>16</v>
      </c>
      <c r="BO126" s="27">
        <f>Expenses!BO162</f>
        <v>16</v>
      </c>
      <c r="BP126" s="27">
        <f>Expenses!BP162</f>
        <v>17</v>
      </c>
      <c r="BQ126" s="27">
        <f>Expenses!BQ162</f>
        <v>15</v>
      </c>
      <c r="BR126" s="27">
        <f>Expenses!BR162</f>
        <v>15</v>
      </c>
      <c r="BS126" s="27">
        <f>Expenses!BS162</f>
        <v>15</v>
      </c>
      <c r="BT126" s="27">
        <f>Expenses!BT162</f>
        <v>18</v>
      </c>
      <c r="BU126" s="27">
        <f>Expenses!BU162</f>
        <v>18</v>
      </c>
      <c r="BV126" s="27">
        <f>Expenses!BV162</f>
        <v>18</v>
      </c>
      <c r="BW126" s="27">
        <f>Expenses!BW162</f>
        <v>19</v>
      </c>
      <c r="BX126" s="27">
        <f>Expenses!BX162</f>
        <v>18</v>
      </c>
      <c r="BY126" s="27">
        <f>Expenses!BY162</f>
        <v>19</v>
      </c>
      <c r="BZ126" s="27">
        <f>Expenses!BZ162</f>
        <v>18</v>
      </c>
      <c r="CA126" s="27">
        <f>Expenses!CA162</f>
        <v>18</v>
      </c>
      <c r="CB126" s="27">
        <f>Expenses!CB162</f>
        <v>18</v>
      </c>
      <c r="CC126" s="27">
        <f>Expenses!CC162</f>
        <v>18</v>
      </c>
      <c r="CD126" s="27">
        <f>Expenses!CD162</f>
        <v>18</v>
      </c>
      <c r="CE126" s="27">
        <f>Expenses!CE162</f>
        <v>18</v>
      </c>
      <c r="CF126" s="27">
        <f>Expenses!CF162</f>
        <v>18</v>
      </c>
      <c r="CG126" s="27">
        <f>Expenses!CG162</f>
        <v>19</v>
      </c>
      <c r="CH126" s="27">
        <f>Expenses!CH162</f>
        <v>22</v>
      </c>
      <c r="CI126" s="27">
        <f>Expenses!CI162</f>
        <v>26</v>
      </c>
      <c r="CJ126" s="27">
        <f>Expenses!CJ162</f>
        <v>30</v>
      </c>
      <c r="CK126" s="27">
        <f>Expenses!CK162</f>
        <v>32</v>
      </c>
      <c r="CL126" s="27">
        <f>Expenses!CL162</f>
        <v>37</v>
      </c>
      <c r="CM126" s="27">
        <f>Expenses!CM162</f>
        <v>40</v>
      </c>
      <c r="CN126" s="27">
        <f>Expenses!CN162</f>
        <v>42</v>
      </c>
      <c r="CO126" s="27">
        <f>Expenses!CO162</f>
        <v>44</v>
      </c>
      <c r="CP126" s="27">
        <f>Expenses!CP162</f>
        <v>45</v>
      </c>
      <c r="CQ126" s="27">
        <f>Expenses!CQ162</f>
        <v>45</v>
      </c>
      <c r="CR126" s="27">
        <f>Expenses!CR162</f>
        <v>48</v>
      </c>
      <c r="CS126" s="27">
        <f>Expenses!CS162</f>
        <v>49</v>
      </c>
      <c r="CT126" s="27">
        <f>Expenses!CT162</f>
        <v>49</v>
      </c>
      <c r="CU126" s="27">
        <f>Expenses!CU162</f>
        <v>49</v>
      </c>
      <c r="CV126" s="27">
        <f>Expenses!CV162</f>
        <v>49</v>
      </c>
      <c r="CW126" s="27">
        <f>Expenses!CW162</f>
        <v>49</v>
      </c>
      <c r="CX126" s="27">
        <f>Expenses!CX162</f>
        <v>49</v>
      </c>
      <c r="CY126" s="27">
        <f>Expenses!CY162</f>
        <v>49</v>
      </c>
      <c r="CZ126" s="27">
        <f>Expenses!CZ162</f>
        <v>49</v>
      </c>
      <c r="DA126" s="27">
        <f>Expenses!DA162</f>
        <v>49</v>
      </c>
      <c r="DB126" s="27">
        <f>Expenses!DB162</f>
        <v>49</v>
      </c>
      <c r="DC126" s="27">
        <f>Expenses!DC162</f>
        <v>49.029703730713301</v>
      </c>
      <c r="DD126" s="27">
        <f>Expenses!DD162</f>
        <v>50.29070625084902</v>
      </c>
      <c r="DE126" s="27">
        <f>Expenses!DE162</f>
        <v>51.621005333126156</v>
      </c>
      <c r="DF126" s="27">
        <f>Expenses!DF162</f>
        <v>53.626605236214751</v>
      </c>
      <c r="DG126" s="27">
        <f>Expenses!DG162</f>
        <v>53.626605236214751</v>
      </c>
      <c r="DH126" s="27">
        <f>Expenses!DH162</f>
        <v>53.626605236214751</v>
      </c>
      <c r="DI126" s="27">
        <f>Expenses!DI162</f>
        <v>53.626605236214751</v>
      </c>
      <c r="DJ126" s="27">
        <f>Expenses!DJ162</f>
        <v>53.626605236214751</v>
      </c>
      <c r="DK126" s="27">
        <f>Expenses!DK162</f>
        <v>53.626605236214751</v>
      </c>
      <c r="DL126" s="27">
        <f>Expenses!DL162</f>
        <v>54.263116080167215</v>
      </c>
      <c r="DM126" s="27">
        <f>Expenses!DM162</f>
        <v>55.262723866330383</v>
      </c>
      <c r="DN126" s="27">
        <f>Expenses!DN162</f>
        <v>56.791739694470685</v>
      </c>
      <c r="DO126" s="27">
        <f>Expenses!DO162</f>
        <v>58.943758376555415</v>
      </c>
      <c r="DP126" s="27">
        <f>Expenses!DP162</f>
        <v>60.903512181712721</v>
      </c>
      <c r="DQ126" s="27">
        <f>Expenses!DQ162</f>
        <v>62.894319566004611</v>
      </c>
      <c r="DR126" s="27">
        <f>Expenses!DR162</f>
        <v>65.646545489346835</v>
      </c>
      <c r="DS126" s="27">
        <f>Expenses!DS162</f>
        <v>65.646545489346835</v>
      </c>
      <c r="DT126" s="27">
        <f>Expenses!DT162</f>
        <v>65.646545489346835</v>
      </c>
      <c r="DU126" s="27">
        <f>Expenses!DU162</f>
        <v>65.646545489346835</v>
      </c>
      <c r="DV126" s="27">
        <f>Expenses!DV162</f>
        <v>65.646545489346835</v>
      </c>
      <c r="DW126" s="27">
        <f>Expenses!DW162</f>
        <v>65.646545489346835</v>
      </c>
      <c r="DX126" s="27">
        <f>Expenses!DX162</f>
        <v>65.646545489346835</v>
      </c>
      <c r="DY126" s="27">
        <f>Expenses!DY162</f>
        <v>65.646545489346835</v>
      </c>
      <c r="DZ126" s="27">
        <f>Expenses!DZ162</f>
        <v>65.646545489346835</v>
      </c>
      <c r="EA126" s="27">
        <f>Expenses!EA162</f>
        <v>65.646545489346835</v>
      </c>
      <c r="EB126" s="27">
        <f>Expenses!EB162</f>
        <v>66.274536606596158</v>
      </c>
      <c r="EC126" s="27">
        <f>Expenses!EC162</f>
        <v>67.840084317749842</v>
      </c>
      <c r="ED126" s="27">
        <f>Expenses!ED162</f>
        <v>70.232563244688251</v>
      </c>
      <c r="EE126" s="27">
        <f>Expenses!EE162</f>
        <v>70.232563244688251</v>
      </c>
      <c r="EF126" s="27">
        <f>Expenses!EF162</f>
        <v>70.232563244688251</v>
      </c>
      <c r="EG126" s="27">
        <f>Expenses!EG162</f>
        <v>70.232563244688251</v>
      </c>
      <c r="EH126" s="27">
        <f>Expenses!EH162</f>
        <v>70.232563244688251</v>
      </c>
      <c r="EI126" s="27">
        <f>Expenses!EI162</f>
        <v>70.232563244688251</v>
      </c>
      <c r="EJ126" s="27">
        <f>Expenses!EJ162</f>
        <v>70.232563244688251</v>
      </c>
      <c r="EK126" s="27">
        <f>Expenses!EK162</f>
        <v>70.232563244688251</v>
      </c>
      <c r="EL126" s="27">
        <f>Expenses!EL162</f>
        <v>70.232563244688251</v>
      </c>
      <c r="EM126" s="27">
        <f>Expenses!EM162</f>
        <v>72.21264457233589</v>
      </c>
      <c r="EN126" s="27">
        <f>Expenses!EN162</f>
        <v>74.225626175163939</v>
      </c>
      <c r="EO126" s="27">
        <f>Expenses!EO162</f>
        <v>76.274091730360468</v>
      </c>
      <c r="EP126" s="27">
        <f>Expenses!EP162</f>
        <v>79.208317250736584</v>
      </c>
      <c r="EQ126" s="27">
        <f>Expenses!EQ162</f>
        <v>79.208317250736584</v>
      </c>
      <c r="ER126" s="27">
        <f>Expenses!ER162</f>
        <v>79.208317250736584</v>
      </c>
      <c r="ES126" s="27">
        <f>Expenses!ES162</f>
        <v>79.208317250736584</v>
      </c>
      <c r="ET126" s="27">
        <f>Expenses!ET162</f>
        <v>79.208317250736584</v>
      </c>
      <c r="EU126" s="27">
        <f>Expenses!EU162</f>
        <v>79.208317250736584</v>
      </c>
      <c r="EV126" s="27">
        <f>Expenses!EV162</f>
        <v>79.208317250736584</v>
      </c>
      <c r="EW126" s="27">
        <f>Expenses!EW162</f>
        <v>79.208317250736584</v>
      </c>
      <c r="EX126" s="27">
        <f>Expenses!EX162</f>
        <v>79.584342207178807</v>
      </c>
      <c r="EY126" s="27">
        <f>Expenses!EY162</f>
        <v>82.136213198574893</v>
      </c>
      <c r="EZ126" s="27">
        <f>Expenses!EZ162</f>
        <v>84.450579724072284</v>
      </c>
      <c r="FA126" s="27">
        <f>Expenses!FA162</f>
        <v>86.800858618636468</v>
      </c>
      <c r="FB126" s="27">
        <f>Expenses!FB162</f>
        <v>90.078741977024052</v>
      </c>
    </row>
    <row r="127" spans="2:158" x14ac:dyDescent="0.25">
      <c r="C127" s="14" t="s">
        <v>45</v>
      </c>
      <c r="D127" s="16">
        <f>SUM(D119:D126)</f>
        <v>282</v>
      </c>
      <c r="E127" s="16">
        <f t="shared" ref="E127:AW127" si="781">SUM(E119:E126)</f>
        <v>409</v>
      </c>
      <c r="F127" s="16">
        <f t="shared" si="781"/>
        <v>472</v>
      </c>
      <c r="G127" s="16">
        <f t="shared" si="781"/>
        <v>917</v>
      </c>
      <c r="H127" s="16">
        <f t="shared" si="781"/>
        <v>1146.0771633339609</v>
      </c>
      <c r="I127" s="16">
        <f t="shared" si="781"/>
        <v>1603.557544746202</v>
      </c>
      <c r="J127" s="16">
        <f t="shared" si="781"/>
        <v>1962.3830994548152</v>
      </c>
      <c r="K127" s="16">
        <f t="shared" si="781"/>
        <v>2533.2718027531096</v>
      </c>
      <c r="L127" s="16">
        <f t="shared" si="781"/>
        <v>3299.5623297540542</v>
      </c>
      <c r="N127" s="16">
        <f t="shared" si="781"/>
        <v>178.5</v>
      </c>
      <c r="O127" s="16">
        <f t="shared" si="781"/>
        <v>204.5</v>
      </c>
      <c r="P127" s="16">
        <f t="shared" si="781"/>
        <v>238</v>
      </c>
      <c r="Q127" s="16">
        <f t="shared" si="781"/>
        <v>282</v>
      </c>
      <c r="R127" s="16">
        <f t="shared" si="781"/>
        <v>316</v>
      </c>
      <c r="S127" s="16">
        <f t="shared" si="781"/>
        <v>351</v>
      </c>
      <c r="T127" s="16">
        <f t="shared" si="781"/>
        <v>368</v>
      </c>
      <c r="U127" s="16">
        <f t="shared" si="781"/>
        <v>409</v>
      </c>
      <c r="V127" s="16">
        <f t="shared" si="781"/>
        <v>435</v>
      </c>
      <c r="W127" s="16">
        <f t="shared" si="781"/>
        <v>429</v>
      </c>
      <c r="X127" s="16">
        <f t="shared" si="781"/>
        <v>425</v>
      </c>
      <c r="Y127" s="16">
        <f t="shared" si="781"/>
        <v>472</v>
      </c>
      <c r="Z127" s="16">
        <f t="shared" si="781"/>
        <v>565</v>
      </c>
      <c r="AA127" s="16">
        <f t="shared" si="781"/>
        <v>676</v>
      </c>
      <c r="AB127" s="16">
        <f t="shared" si="781"/>
        <v>797</v>
      </c>
      <c r="AC127" s="16">
        <f t="shared" si="781"/>
        <v>917</v>
      </c>
      <c r="AD127" s="16">
        <f t="shared" si="781"/>
        <v>938.74691218345617</v>
      </c>
      <c r="AE127" s="16">
        <f t="shared" si="781"/>
        <v>989.50305843408535</v>
      </c>
      <c r="AF127" s="16">
        <f t="shared" si="781"/>
        <v>1047.8348111592441</v>
      </c>
      <c r="AG127" s="16">
        <f t="shared" si="781"/>
        <v>1146.0771633339609</v>
      </c>
      <c r="AH127" s="16">
        <f t="shared" si="781"/>
        <v>1218.2082414175991</v>
      </c>
      <c r="AI127" s="16">
        <f t="shared" si="781"/>
        <v>1325.4928883639702</v>
      </c>
      <c r="AJ127" s="16">
        <f t="shared" si="781"/>
        <v>1439.8276064010299</v>
      </c>
      <c r="AK127" s="16">
        <f t="shared" si="781"/>
        <v>1603.557544746202</v>
      </c>
      <c r="AL127" s="16">
        <f t="shared" si="781"/>
        <v>1647.1431635763856</v>
      </c>
      <c r="AM127" s="16">
        <f t="shared" si="781"/>
        <v>1705.1591728990302</v>
      </c>
      <c r="AN127" s="16">
        <f t="shared" si="781"/>
        <v>1809.8847817413568</v>
      </c>
      <c r="AO127" s="16">
        <f t="shared" si="781"/>
        <v>1962.3830994548152</v>
      </c>
      <c r="AP127" s="16">
        <f t="shared" si="781"/>
        <v>2053.1921922281103</v>
      </c>
      <c r="AQ127" s="16">
        <f t="shared" si="781"/>
        <v>2155.651662977315</v>
      </c>
      <c r="AR127" s="16">
        <f t="shared" si="781"/>
        <v>2309.5334258679727</v>
      </c>
      <c r="AS127" s="16">
        <f t="shared" si="781"/>
        <v>2533.2718027531096</v>
      </c>
      <c r="AT127" s="16">
        <f t="shared" si="781"/>
        <v>2667.9920260179647</v>
      </c>
      <c r="AU127" s="16">
        <f t="shared" si="781"/>
        <v>2812.5549541729747</v>
      </c>
      <c r="AV127" s="16">
        <f t="shared" si="781"/>
        <v>3008.6294394274682</v>
      </c>
      <c r="AW127" s="16">
        <f t="shared" si="781"/>
        <v>3299.5623297540542</v>
      </c>
      <c r="AY127" s="16">
        <f>Expenses!AY163</f>
        <v>163.5</v>
      </c>
      <c r="AZ127" s="16">
        <f>Expenses!AZ163</f>
        <v>173.5</v>
      </c>
      <c r="BA127" s="16">
        <f>Expenses!BA163</f>
        <v>178.5</v>
      </c>
      <c r="BB127" s="16">
        <f>Expenses!BB163</f>
        <v>182.75</v>
      </c>
      <c r="BC127" s="16">
        <f>Expenses!BC163</f>
        <v>196</v>
      </c>
      <c r="BD127" s="16">
        <f>Expenses!BD163</f>
        <v>204.5</v>
      </c>
      <c r="BE127" s="16">
        <f>Expenses!BE163</f>
        <v>224.5</v>
      </c>
      <c r="BF127" s="16">
        <f>Expenses!BF163</f>
        <v>236</v>
      </c>
      <c r="BG127" s="16">
        <f>Expenses!BG163</f>
        <v>238</v>
      </c>
      <c r="BH127" s="16">
        <f>Expenses!BH163</f>
        <v>251</v>
      </c>
      <c r="BI127" s="16">
        <f>Expenses!BI163</f>
        <v>258</v>
      </c>
      <c r="BJ127" s="16">
        <f>Expenses!BJ163</f>
        <v>282</v>
      </c>
      <c r="BK127" s="16">
        <f>Expenses!BK163</f>
        <v>295</v>
      </c>
      <c r="BL127" s="16">
        <f>Expenses!BL163</f>
        <v>303</v>
      </c>
      <c r="BM127" s="16">
        <f>Expenses!BM163</f>
        <v>316</v>
      </c>
      <c r="BN127" s="16">
        <f>Expenses!BN163</f>
        <v>329</v>
      </c>
      <c r="BO127" s="16">
        <f>Expenses!BO163</f>
        <v>338</v>
      </c>
      <c r="BP127" s="16">
        <f>Expenses!BP163</f>
        <v>351</v>
      </c>
      <c r="BQ127" s="16">
        <f>Expenses!BQ163</f>
        <v>356</v>
      </c>
      <c r="BR127" s="16">
        <f>Expenses!BR163</f>
        <v>360</v>
      </c>
      <c r="BS127" s="16">
        <f>Expenses!BS163</f>
        <v>368</v>
      </c>
      <c r="BT127" s="16">
        <f>Expenses!BT163</f>
        <v>383</v>
      </c>
      <c r="BU127" s="16">
        <f>Expenses!BU163</f>
        <v>387</v>
      </c>
      <c r="BV127" s="16">
        <f>Expenses!BV163</f>
        <v>409</v>
      </c>
      <c r="BW127" s="16">
        <f>Expenses!BW163</f>
        <v>411</v>
      </c>
      <c r="BX127" s="16">
        <f>Expenses!BX163</f>
        <v>423</v>
      </c>
      <c r="BY127" s="16">
        <f>Expenses!BY163</f>
        <v>435</v>
      </c>
      <c r="BZ127" s="16">
        <f>Expenses!BZ163</f>
        <v>418</v>
      </c>
      <c r="CA127" s="16">
        <f>Expenses!CA163</f>
        <v>432</v>
      </c>
      <c r="CB127" s="16">
        <f>Expenses!CB163</f>
        <v>429</v>
      </c>
      <c r="CC127" s="16">
        <f>Expenses!CC163</f>
        <v>430</v>
      </c>
      <c r="CD127" s="16">
        <f>Expenses!CD163</f>
        <v>430</v>
      </c>
      <c r="CE127" s="16">
        <f>Expenses!CE163</f>
        <v>425</v>
      </c>
      <c r="CF127" s="16">
        <f>Expenses!CF163</f>
        <v>441</v>
      </c>
      <c r="CG127" s="16">
        <f>Expenses!CG163</f>
        <v>451</v>
      </c>
      <c r="CH127" s="16">
        <f>Expenses!CH163</f>
        <v>472</v>
      </c>
      <c r="CI127" s="16">
        <f>Expenses!CI163</f>
        <v>495</v>
      </c>
      <c r="CJ127" s="16">
        <f>Expenses!CJ163</f>
        <v>531</v>
      </c>
      <c r="CK127" s="16">
        <f>Expenses!CK163</f>
        <v>565</v>
      </c>
      <c r="CL127" s="16">
        <f>Expenses!CL163</f>
        <v>589</v>
      </c>
      <c r="CM127" s="16">
        <f>Expenses!CM163</f>
        <v>652</v>
      </c>
      <c r="CN127" s="16">
        <f>Expenses!CN163</f>
        <v>676</v>
      </c>
      <c r="CO127" s="16">
        <f>Expenses!CO163</f>
        <v>724</v>
      </c>
      <c r="CP127" s="16">
        <f>Expenses!CP163</f>
        <v>768</v>
      </c>
      <c r="CQ127" s="16">
        <f>Expenses!CQ163</f>
        <v>797</v>
      </c>
      <c r="CR127" s="16">
        <f>Expenses!CR163</f>
        <v>842</v>
      </c>
      <c r="CS127" s="16">
        <f>Expenses!CS163</f>
        <v>883</v>
      </c>
      <c r="CT127" s="16">
        <f>Expenses!CT163</f>
        <v>917</v>
      </c>
      <c r="CU127" s="16">
        <f>Expenses!CU163</f>
        <v>923.9138939716554</v>
      </c>
      <c r="CV127" s="16">
        <f>Expenses!CV163</f>
        <v>930.21212053360125</v>
      </c>
      <c r="CW127" s="16">
        <f>Expenses!CW163</f>
        <v>938.74691218345617</v>
      </c>
      <c r="CX127" s="16">
        <f>Expenses!CX163</f>
        <v>947.38509507754884</v>
      </c>
      <c r="CY127" s="16">
        <f>Expenses!CY163</f>
        <v>964.30238031079955</v>
      </c>
      <c r="CZ127" s="16">
        <f>Expenses!CZ163</f>
        <v>989.50305843408535</v>
      </c>
      <c r="DA127" s="16">
        <f>Expenses!DA163</f>
        <v>1004.7526237972131</v>
      </c>
      <c r="DB127" s="16">
        <f>Expenses!DB163</f>
        <v>1020.1874065750089</v>
      </c>
      <c r="DC127" s="16">
        <f>Expenses!DC163</f>
        <v>1047.8348111592441</v>
      </c>
      <c r="DD127" s="16">
        <f>Expenses!DD163</f>
        <v>1074.7842364467162</v>
      </c>
      <c r="DE127" s="16">
        <f>Expenses!DE163</f>
        <v>1103.2146282622389</v>
      </c>
      <c r="DF127" s="16">
        <f>Expenses!DF163</f>
        <v>1146.0771633339609</v>
      </c>
      <c r="DG127" s="16">
        <f>Expenses!DG163</f>
        <v>1170.6597856949702</v>
      </c>
      <c r="DH127" s="16">
        <f>Expenses!DH163</f>
        <v>1192.8784926511967</v>
      </c>
      <c r="DI127" s="16">
        <f>Expenses!DI163</f>
        <v>1218.2082414175991</v>
      </c>
      <c r="DJ127" s="16">
        <f>Expenses!DJ163</f>
        <v>1243.0462616144025</v>
      </c>
      <c r="DK127" s="16">
        <f>Expenses!DK163</f>
        <v>1275.0963545944717</v>
      </c>
      <c r="DL127" s="16">
        <f>Expenses!DL163</f>
        <v>1325.4928883639702</v>
      </c>
      <c r="DM127" s="16">
        <f>Expenses!DM163</f>
        <v>1349.9104505576902</v>
      </c>
      <c r="DN127" s="16">
        <f>Expenses!DN163</f>
        <v>1387.2599386225058</v>
      </c>
      <c r="DO127" s="16">
        <f>Expenses!DO163</f>
        <v>1439.8276064010299</v>
      </c>
      <c r="DP127" s="16">
        <f>Expenses!DP163</f>
        <v>1487.6987925644369</v>
      </c>
      <c r="DQ127" s="16">
        <f>Expenses!DQ163</f>
        <v>1536.3285289415896</v>
      </c>
      <c r="DR127" s="16">
        <f>Expenses!DR163</f>
        <v>1603.557544746202</v>
      </c>
      <c r="DS127" s="16">
        <f>Expenses!DS163</f>
        <v>1618.7073750279201</v>
      </c>
      <c r="DT127" s="16">
        <f>Expenses!DT163</f>
        <v>1630.7775704915534</v>
      </c>
      <c r="DU127" s="16">
        <f>Expenses!DU163</f>
        <v>1647.1431635763856</v>
      </c>
      <c r="DV127" s="16">
        <f>Expenses!DV163</f>
        <v>1662.8298039523459</v>
      </c>
      <c r="DW127" s="16">
        <f>Expenses!DW163</f>
        <v>1677.6499256437583</v>
      </c>
      <c r="DX127" s="16">
        <f>Expenses!DX163</f>
        <v>1705.1591728990302</v>
      </c>
      <c r="DY127" s="16">
        <f>Expenses!DY163</f>
        <v>1734.2924605895346</v>
      </c>
      <c r="DZ127" s="16">
        <f>Expenses!DZ163</f>
        <v>1762.9694836127876</v>
      </c>
      <c r="EA127" s="16">
        <f>Expenses!EA163</f>
        <v>1809.8847817413568</v>
      </c>
      <c r="EB127" s="16">
        <f>Expenses!EB163</f>
        <v>1851.7910290113189</v>
      </c>
      <c r="EC127" s="16">
        <f>Expenses!EC163</f>
        <v>1895.5343330831731</v>
      </c>
      <c r="ED127" s="16">
        <f>Expenses!ED163</f>
        <v>1962.3830994548152</v>
      </c>
      <c r="EE127" s="16">
        <f>Expenses!EE163</f>
        <v>1993.5877017308699</v>
      </c>
      <c r="EF127" s="16">
        <f>Expenses!EF163</f>
        <v>2020.4752590900125</v>
      </c>
      <c r="EG127" s="16">
        <f>Expenses!EG163</f>
        <v>2053.1921922281103</v>
      </c>
      <c r="EH127" s="16">
        <f>Expenses!EH163</f>
        <v>2084.9880563609813</v>
      </c>
      <c r="EI127" s="16">
        <f>Expenses!EI163</f>
        <v>2115.608884938526</v>
      </c>
      <c r="EJ127" s="16">
        <f>Expenses!EJ163</f>
        <v>2155.651662977315</v>
      </c>
      <c r="EK127" s="16">
        <f>Expenses!EK163</f>
        <v>2191.3820237832906</v>
      </c>
      <c r="EL127" s="16">
        <f>Expenses!EL163</f>
        <v>2238.229368544929</v>
      </c>
      <c r="EM127" s="16">
        <f>Expenses!EM163</f>
        <v>2309.5334258679727</v>
      </c>
      <c r="EN127" s="16">
        <f>Expenses!EN163</f>
        <v>2373.9134014930405</v>
      </c>
      <c r="EO127" s="16">
        <f>Expenses!EO163</f>
        <v>2439.4282389496093</v>
      </c>
      <c r="EP127" s="16">
        <f>Expenses!EP163</f>
        <v>2533.2718027531096</v>
      </c>
      <c r="EQ127" s="16">
        <f>Expenses!EQ163</f>
        <v>2579.579464762006</v>
      </c>
      <c r="ER127" s="16">
        <f>Expenses!ER163</f>
        <v>2619.9285249710047</v>
      </c>
      <c r="ES127" s="16">
        <f>Expenses!ES163</f>
        <v>2667.9920260179647</v>
      </c>
      <c r="ET127" s="16">
        <f>Expenses!ET163</f>
        <v>2714.7962680535798</v>
      </c>
      <c r="EU127" s="16">
        <f>Expenses!EU163</f>
        <v>2760.0141220886126</v>
      </c>
      <c r="EV127" s="16">
        <f>Expenses!EV163</f>
        <v>2812.5549541729747</v>
      </c>
      <c r="EW127" s="16">
        <f>Expenses!EW163</f>
        <v>2850.9978715856801</v>
      </c>
      <c r="EX127" s="16">
        <f>Expenses!EX163</f>
        <v>2915.1550279425669</v>
      </c>
      <c r="EY127" s="16">
        <f>Expenses!EY163</f>
        <v>3008.6294394274682</v>
      </c>
      <c r="EZ127" s="16">
        <f>Expenses!EZ163</f>
        <v>3093.4041203030379</v>
      </c>
      <c r="FA127" s="16">
        <f>Expenses!FA163</f>
        <v>3179.4942624910582</v>
      </c>
      <c r="FB127" s="16">
        <f>Expenses!FB163</f>
        <v>3299.5623297540542</v>
      </c>
    </row>
    <row r="128" spans="2:158" x14ac:dyDescent="0.25">
      <c r="H128" s="20"/>
    </row>
    <row r="129" spans="3:33" x14ac:dyDescent="0.25">
      <c r="C129" s="2"/>
      <c r="AB129" s="20"/>
      <c r="AC129" s="20"/>
      <c r="AD129" s="20"/>
      <c r="AE129" s="20"/>
      <c r="AF129" s="20"/>
      <c r="AG129" s="20"/>
    </row>
    <row r="130" spans="3:33" x14ac:dyDescent="0.25">
      <c r="AB130" s="20"/>
      <c r="AC130" s="20"/>
      <c r="AD130" s="20"/>
      <c r="AE130" s="20"/>
      <c r="AF130" s="20"/>
      <c r="AG130" s="20"/>
    </row>
  </sheetData>
  <phoneticPr fontId="9" type="noConversion"/>
  <pageMargins left="0.7" right="0.7" top="0.75" bottom="0.75" header="0.3" footer="0.3"/>
  <pageSetup orientation="portrait"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39CA4-BF78-FD4D-B1C2-61CB5908719E}">
  <dimension ref="A1:FB115"/>
  <sheetViews>
    <sheetView showGridLines="0" zoomScale="85" zoomScaleNormal="85" workbookViewId="0">
      <pane xSplit="3" ySplit="5" topLeftCell="D6" activePane="bottomRight" state="frozen"/>
      <selection activeCell="B1" sqref="B1"/>
      <selection pane="topRight" activeCell="D1" sqref="D1"/>
      <selection pane="bottomLeft" activeCell="B6" sqref="B6"/>
      <selection pane="bottomRight" activeCell="D6" sqref="D6"/>
    </sheetView>
  </sheetViews>
  <sheetFormatPr defaultColWidth="11.42578125" defaultRowHeight="15" outlineLevelRow="1" outlineLevelCol="1" x14ac:dyDescent="0.25"/>
  <cols>
    <col min="1" max="1" width="11.42578125" customWidth="1" outlineLevel="1"/>
    <col min="2" max="2" width="10.85546875"/>
    <col min="3" max="3" width="20.28515625" bestFit="1" customWidth="1"/>
    <col min="4" max="11" width="12.85546875" customWidth="1"/>
    <col min="12" max="12" width="14.42578125" bestFit="1" customWidth="1"/>
    <col min="14" max="26" width="11.85546875" bestFit="1" customWidth="1"/>
    <col min="27" max="46" width="12.85546875" bestFit="1" customWidth="1"/>
    <col min="47" max="49" width="14.42578125" bestFit="1" customWidth="1"/>
    <col min="51" max="91" width="12.140625" customWidth="1"/>
    <col min="92" max="151" width="12.42578125" bestFit="1" customWidth="1"/>
    <col min="152" max="158" width="14.28515625" bestFit="1" customWidth="1"/>
  </cols>
  <sheetData>
    <row r="1" spans="1:158" outlineLevel="1" x14ac:dyDescent="0.25">
      <c r="AY1" s="290"/>
      <c r="AZ1" s="290"/>
    </row>
    <row r="2" spans="1:158" outlineLevel="1" x14ac:dyDescent="0.25">
      <c r="D2" s="66" t="s">
        <v>36</v>
      </c>
      <c r="E2" s="66" t="s">
        <v>37</v>
      </c>
      <c r="F2" s="66" t="s">
        <v>38</v>
      </c>
      <c r="G2" s="66" t="s">
        <v>39</v>
      </c>
      <c r="H2" s="66" t="s">
        <v>40</v>
      </c>
      <c r="I2" s="66" t="s">
        <v>41</v>
      </c>
      <c r="J2" s="66" t="s">
        <v>233</v>
      </c>
      <c r="K2" s="66" t="s">
        <v>234</v>
      </c>
      <c r="L2" s="66" t="s">
        <v>235</v>
      </c>
      <c r="AY2" s="66" t="s">
        <v>36</v>
      </c>
      <c r="AZ2" s="66" t="s">
        <v>36</v>
      </c>
      <c r="BA2" s="66" t="s">
        <v>36</v>
      </c>
      <c r="BB2" s="66" t="s">
        <v>36</v>
      </c>
      <c r="BC2" s="66" t="s">
        <v>36</v>
      </c>
      <c r="BD2" s="66" t="s">
        <v>36</v>
      </c>
      <c r="BE2" s="66" t="s">
        <v>36</v>
      </c>
      <c r="BF2" s="66" t="s">
        <v>36</v>
      </c>
      <c r="BG2" s="66" t="s">
        <v>36</v>
      </c>
      <c r="BH2" s="66" t="s">
        <v>36</v>
      </c>
      <c r="BI2" s="66" t="s">
        <v>36</v>
      </c>
      <c r="BJ2" s="66" t="s">
        <v>36</v>
      </c>
      <c r="BK2" s="66" t="s">
        <v>37</v>
      </c>
      <c r="BL2" s="66" t="s">
        <v>37</v>
      </c>
      <c r="BM2" s="66" t="s">
        <v>37</v>
      </c>
      <c r="BN2" s="66" t="s">
        <v>37</v>
      </c>
      <c r="BO2" s="66" t="s">
        <v>37</v>
      </c>
      <c r="BP2" s="66" t="s">
        <v>37</v>
      </c>
      <c r="BQ2" s="66" t="s">
        <v>37</v>
      </c>
      <c r="BR2" s="66" t="s">
        <v>37</v>
      </c>
      <c r="BS2" s="66" t="s">
        <v>37</v>
      </c>
      <c r="BT2" s="66" t="s">
        <v>37</v>
      </c>
      <c r="BU2" s="66" t="s">
        <v>37</v>
      </c>
      <c r="BV2" s="66" t="s">
        <v>37</v>
      </c>
      <c r="BW2" s="66" t="s">
        <v>38</v>
      </c>
      <c r="BX2" s="66" t="s">
        <v>38</v>
      </c>
      <c r="BY2" s="66" t="s">
        <v>38</v>
      </c>
      <c r="BZ2" s="66" t="s">
        <v>38</v>
      </c>
      <c r="CA2" s="66" t="s">
        <v>38</v>
      </c>
      <c r="CB2" s="66" t="s">
        <v>38</v>
      </c>
      <c r="CC2" s="66" t="s">
        <v>38</v>
      </c>
      <c r="CD2" s="66" t="s">
        <v>38</v>
      </c>
      <c r="CE2" s="66" t="s">
        <v>38</v>
      </c>
      <c r="CF2" s="66" t="s">
        <v>38</v>
      </c>
      <c r="CG2" s="66" t="s">
        <v>38</v>
      </c>
      <c r="CH2" s="66" t="s">
        <v>38</v>
      </c>
      <c r="CI2" s="66" t="s">
        <v>39</v>
      </c>
      <c r="CJ2" s="66" t="s">
        <v>39</v>
      </c>
      <c r="CK2" s="66" t="s">
        <v>39</v>
      </c>
      <c r="CL2" s="66" t="s">
        <v>39</v>
      </c>
      <c r="CM2" s="66" t="s">
        <v>39</v>
      </c>
      <c r="CN2" s="66" t="s">
        <v>39</v>
      </c>
      <c r="CO2" s="66" t="s">
        <v>39</v>
      </c>
      <c r="CP2" s="66" t="s">
        <v>39</v>
      </c>
      <c r="CQ2" s="66" t="s">
        <v>39</v>
      </c>
      <c r="CR2" s="66" t="s">
        <v>39</v>
      </c>
      <c r="CS2" s="66" t="s">
        <v>39</v>
      </c>
      <c r="CT2" s="66" t="s">
        <v>39</v>
      </c>
      <c r="CU2" s="66" t="s">
        <v>40</v>
      </c>
      <c r="CV2" s="66" t="s">
        <v>40</v>
      </c>
      <c r="CW2" s="66" t="s">
        <v>40</v>
      </c>
      <c r="CX2" s="66" t="s">
        <v>40</v>
      </c>
      <c r="CY2" s="66" t="s">
        <v>40</v>
      </c>
      <c r="CZ2" s="66" t="s">
        <v>40</v>
      </c>
      <c r="DA2" s="66" t="s">
        <v>40</v>
      </c>
      <c r="DB2" s="66" t="s">
        <v>40</v>
      </c>
      <c r="DC2" s="66" t="s">
        <v>40</v>
      </c>
      <c r="DD2" s="66" t="s">
        <v>40</v>
      </c>
      <c r="DE2" s="66" t="s">
        <v>40</v>
      </c>
      <c r="DF2" s="66" t="s">
        <v>40</v>
      </c>
      <c r="DG2" s="66" t="s">
        <v>41</v>
      </c>
      <c r="DH2" s="66" t="s">
        <v>41</v>
      </c>
      <c r="DI2" s="66" t="s">
        <v>41</v>
      </c>
      <c r="DJ2" s="66" t="s">
        <v>41</v>
      </c>
      <c r="DK2" s="66" t="s">
        <v>41</v>
      </c>
      <c r="DL2" s="66" t="s">
        <v>41</v>
      </c>
      <c r="DM2" s="66" t="s">
        <v>41</v>
      </c>
      <c r="DN2" s="66" t="s">
        <v>41</v>
      </c>
      <c r="DO2" s="66" t="s">
        <v>41</v>
      </c>
      <c r="DP2" s="66" t="s">
        <v>41</v>
      </c>
      <c r="DQ2" s="66" t="s">
        <v>41</v>
      </c>
      <c r="DR2" s="66" t="s">
        <v>41</v>
      </c>
      <c r="DS2" s="66" t="s">
        <v>233</v>
      </c>
      <c r="DT2" s="66" t="s">
        <v>233</v>
      </c>
      <c r="DU2" s="66" t="s">
        <v>233</v>
      </c>
      <c r="DV2" s="66" t="s">
        <v>233</v>
      </c>
      <c r="DW2" s="66" t="s">
        <v>233</v>
      </c>
      <c r="DX2" s="66" t="s">
        <v>233</v>
      </c>
      <c r="DY2" s="66" t="s">
        <v>233</v>
      </c>
      <c r="DZ2" s="66" t="s">
        <v>233</v>
      </c>
      <c r="EA2" s="66" t="s">
        <v>233</v>
      </c>
      <c r="EB2" s="66" t="s">
        <v>233</v>
      </c>
      <c r="EC2" s="66" t="s">
        <v>233</v>
      </c>
      <c r="ED2" s="66" t="s">
        <v>233</v>
      </c>
      <c r="EE2" s="66" t="s">
        <v>234</v>
      </c>
      <c r="EF2" s="66" t="s">
        <v>234</v>
      </c>
      <c r="EG2" s="66" t="s">
        <v>234</v>
      </c>
      <c r="EH2" s="66" t="s">
        <v>234</v>
      </c>
      <c r="EI2" s="66" t="s">
        <v>234</v>
      </c>
      <c r="EJ2" s="66" t="s">
        <v>234</v>
      </c>
      <c r="EK2" s="66" t="s">
        <v>234</v>
      </c>
      <c r="EL2" s="66" t="s">
        <v>234</v>
      </c>
      <c r="EM2" s="66" t="s">
        <v>234</v>
      </c>
      <c r="EN2" s="66" t="s">
        <v>234</v>
      </c>
      <c r="EO2" s="66" t="s">
        <v>234</v>
      </c>
      <c r="EP2" s="66" t="s">
        <v>234</v>
      </c>
      <c r="EQ2" s="66" t="s">
        <v>235</v>
      </c>
      <c r="ER2" s="66" t="s">
        <v>235</v>
      </c>
      <c r="ES2" s="66" t="s">
        <v>235</v>
      </c>
      <c r="ET2" s="66" t="s">
        <v>235</v>
      </c>
      <c r="EU2" s="66" t="s">
        <v>235</v>
      </c>
      <c r="EV2" s="66" t="s">
        <v>235</v>
      </c>
      <c r="EW2" s="66" t="s">
        <v>235</v>
      </c>
      <c r="EX2" s="66" t="s">
        <v>235</v>
      </c>
      <c r="EY2" s="66" t="s">
        <v>235</v>
      </c>
      <c r="EZ2" s="66" t="s">
        <v>235</v>
      </c>
      <c r="FA2" s="66" t="s">
        <v>235</v>
      </c>
      <c r="FB2" s="66" t="s">
        <v>235</v>
      </c>
    </row>
    <row r="4" spans="1:158" x14ac:dyDescent="0.25">
      <c r="D4" s="25" t="s">
        <v>53</v>
      </c>
      <c r="E4" s="25"/>
      <c r="F4" s="25"/>
      <c r="G4" s="94" t="s">
        <v>54</v>
      </c>
      <c r="H4" s="94"/>
      <c r="I4" s="94"/>
      <c r="J4" s="94"/>
      <c r="K4" s="94"/>
      <c r="L4" s="94"/>
      <c r="M4" s="1"/>
      <c r="N4" s="71" t="s">
        <v>36</v>
      </c>
      <c r="O4" s="71"/>
      <c r="P4" s="71"/>
      <c r="Q4" s="71"/>
      <c r="R4" s="69" t="s">
        <v>37</v>
      </c>
      <c r="S4" s="69"/>
      <c r="T4" s="69"/>
      <c r="U4" s="69"/>
      <c r="V4" s="71" t="s">
        <v>38</v>
      </c>
      <c r="W4" s="71"/>
      <c r="X4" s="71"/>
      <c r="Y4" s="71"/>
      <c r="Z4" s="69" t="s">
        <v>39</v>
      </c>
      <c r="AA4" s="69"/>
      <c r="AB4" s="69"/>
      <c r="AC4" s="69"/>
      <c r="AD4" s="71" t="s">
        <v>40</v>
      </c>
      <c r="AE4" s="71"/>
      <c r="AF4" s="71"/>
      <c r="AG4" s="71"/>
      <c r="AH4" s="69" t="s">
        <v>41</v>
      </c>
      <c r="AI4" s="69"/>
      <c r="AJ4" s="69"/>
      <c r="AK4" s="69"/>
      <c r="AL4" s="71" t="s">
        <v>233</v>
      </c>
      <c r="AM4" s="71"/>
      <c r="AN4" s="71"/>
      <c r="AO4" s="71"/>
      <c r="AP4" s="69" t="s">
        <v>234</v>
      </c>
      <c r="AQ4" s="69"/>
      <c r="AR4" s="69"/>
      <c r="AS4" s="69"/>
      <c r="AT4" s="71" t="s">
        <v>235</v>
      </c>
      <c r="AU4" s="71"/>
      <c r="AV4" s="71"/>
      <c r="AW4" s="71"/>
      <c r="AX4" s="1"/>
      <c r="AY4" s="71" t="s">
        <v>36</v>
      </c>
      <c r="AZ4" s="71"/>
      <c r="BA4" s="71"/>
      <c r="BB4" s="71"/>
      <c r="BC4" s="71"/>
      <c r="BD4" s="71"/>
      <c r="BE4" s="71"/>
      <c r="BF4" s="71"/>
      <c r="BG4" s="71"/>
      <c r="BH4" s="71"/>
      <c r="BI4" s="71"/>
      <c r="BJ4" s="71"/>
      <c r="BK4" s="69" t="s">
        <v>37</v>
      </c>
      <c r="BL4" s="69"/>
      <c r="BM4" s="69"/>
      <c r="BN4" s="69"/>
      <c r="BO4" s="69"/>
      <c r="BP4" s="69"/>
      <c r="BQ4" s="69"/>
      <c r="BR4" s="69"/>
      <c r="BS4" s="69"/>
      <c r="BT4" s="69"/>
      <c r="BU4" s="69"/>
      <c r="BV4" s="69"/>
      <c r="BW4" s="71" t="s">
        <v>38</v>
      </c>
      <c r="BX4" s="71"/>
      <c r="BY4" s="71"/>
      <c r="BZ4" s="71"/>
      <c r="CA4" s="71"/>
      <c r="CB4" s="71"/>
      <c r="CC4" s="71"/>
      <c r="CD4" s="71"/>
      <c r="CE4" s="71"/>
      <c r="CF4" s="71"/>
      <c r="CG4" s="71"/>
      <c r="CH4" s="71"/>
      <c r="CI4" s="69" t="s">
        <v>39</v>
      </c>
      <c r="CJ4" s="69"/>
      <c r="CK4" s="69"/>
      <c r="CL4" s="69"/>
      <c r="CM4" s="69"/>
      <c r="CN4" s="69"/>
      <c r="CO4" s="69"/>
      <c r="CP4" s="69"/>
      <c r="CQ4" s="69"/>
      <c r="CR4" s="69"/>
      <c r="CS4" s="69"/>
      <c r="CT4" s="69"/>
      <c r="CU4" s="71" t="s">
        <v>40</v>
      </c>
      <c r="CV4" s="71"/>
      <c r="CW4" s="71"/>
      <c r="CX4" s="71"/>
      <c r="CY4" s="71"/>
      <c r="CZ4" s="71"/>
      <c r="DA4" s="71"/>
      <c r="DB4" s="71"/>
      <c r="DC4" s="71"/>
      <c r="DD4" s="71"/>
      <c r="DE4" s="71"/>
      <c r="DF4" s="71"/>
      <c r="DG4" s="69" t="s">
        <v>41</v>
      </c>
      <c r="DH4" s="69"/>
      <c r="DI4" s="69"/>
      <c r="DJ4" s="69"/>
      <c r="DK4" s="69"/>
      <c r="DL4" s="69"/>
      <c r="DM4" s="69"/>
      <c r="DN4" s="69"/>
      <c r="DO4" s="69"/>
      <c r="DP4" s="69"/>
      <c r="DQ4" s="69"/>
      <c r="DR4" s="69"/>
      <c r="DS4" s="71" t="s">
        <v>233</v>
      </c>
      <c r="DT4" s="71"/>
      <c r="DU4" s="71"/>
      <c r="DV4" s="71"/>
      <c r="DW4" s="71"/>
      <c r="DX4" s="71"/>
      <c r="DY4" s="71"/>
      <c r="DZ4" s="71"/>
      <c r="EA4" s="71"/>
      <c r="EB4" s="71"/>
      <c r="EC4" s="71"/>
      <c r="ED4" s="71"/>
      <c r="EE4" s="69" t="s">
        <v>234</v>
      </c>
      <c r="EF4" s="69"/>
      <c r="EG4" s="69"/>
      <c r="EH4" s="69"/>
      <c r="EI4" s="69"/>
      <c r="EJ4" s="69"/>
      <c r="EK4" s="69"/>
      <c r="EL4" s="69"/>
      <c r="EM4" s="69"/>
      <c r="EN4" s="69"/>
      <c r="EO4" s="69"/>
      <c r="EP4" s="69"/>
      <c r="EQ4" s="71" t="s">
        <v>235</v>
      </c>
      <c r="ER4" s="71"/>
      <c r="ES4" s="71"/>
      <c r="ET4" s="71"/>
      <c r="EU4" s="71"/>
      <c r="EV4" s="71"/>
      <c r="EW4" s="71"/>
      <c r="EX4" s="71"/>
      <c r="EY4" s="71"/>
      <c r="EZ4" s="71"/>
      <c r="FA4" s="71"/>
      <c r="FB4" s="71"/>
    </row>
    <row r="5" spans="1:158" x14ac:dyDescent="0.25">
      <c r="D5" s="26" t="s">
        <v>36</v>
      </c>
      <c r="E5" s="26" t="s">
        <v>37</v>
      </c>
      <c r="F5" s="26" t="s">
        <v>38</v>
      </c>
      <c r="G5" s="95" t="s">
        <v>39</v>
      </c>
      <c r="H5" s="95" t="s">
        <v>40</v>
      </c>
      <c r="I5" s="95" t="s">
        <v>41</v>
      </c>
      <c r="J5" s="95" t="s">
        <v>233</v>
      </c>
      <c r="K5" s="95" t="s">
        <v>234</v>
      </c>
      <c r="L5" s="96" t="s">
        <v>235</v>
      </c>
      <c r="M5" s="24"/>
      <c r="N5" s="72" t="s">
        <v>194</v>
      </c>
      <c r="O5" s="72" t="s">
        <v>195</v>
      </c>
      <c r="P5" s="72" t="s">
        <v>196</v>
      </c>
      <c r="Q5" s="72" t="s">
        <v>197</v>
      </c>
      <c r="R5" s="70" t="s">
        <v>198</v>
      </c>
      <c r="S5" s="70" t="s">
        <v>199</v>
      </c>
      <c r="T5" s="70" t="s">
        <v>200</v>
      </c>
      <c r="U5" s="70" t="s">
        <v>201</v>
      </c>
      <c r="V5" s="72" t="s">
        <v>202</v>
      </c>
      <c r="W5" s="72" t="s">
        <v>203</v>
      </c>
      <c r="X5" s="72" t="s">
        <v>204</v>
      </c>
      <c r="Y5" s="72" t="s">
        <v>205</v>
      </c>
      <c r="Z5" s="70" t="s">
        <v>206</v>
      </c>
      <c r="AA5" s="70" t="s">
        <v>207</v>
      </c>
      <c r="AB5" s="70" t="s">
        <v>208</v>
      </c>
      <c r="AC5" s="70" t="s">
        <v>209</v>
      </c>
      <c r="AD5" s="72" t="s">
        <v>210</v>
      </c>
      <c r="AE5" s="72" t="s">
        <v>211</v>
      </c>
      <c r="AF5" s="72" t="s">
        <v>212</v>
      </c>
      <c r="AG5" s="72" t="s">
        <v>213</v>
      </c>
      <c r="AH5" s="70" t="s">
        <v>214</v>
      </c>
      <c r="AI5" s="70" t="s">
        <v>215</v>
      </c>
      <c r="AJ5" s="70" t="s">
        <v>216</v>
      </c>
      <c r="AK5" s="70" t="s">
        <v>217</v>
      </c>
      <c r="AL5" s="72" t="s">
        <v>236</v>
      </c>
      <c r="AM5" s="72" t="s">
        <v>237</v>
      </c>
      <c r="AN5" s="72" t="s">
        <v>238</v>
      </c>
      <c r="AO5" s="72" t="s">
        <v>239</v>
      </c>
      <c r="AP5" s="70" t="s">
        <v>240</v>
      </c>
      <c r="AQ5" s="70" t="s">
        <v>241</v>
      </c>
      <c r="AR5" s="70" t="s">
        <v>242</v>
      </c>
      <c r="AS5" s="70" t="s">
        <v>243</v>
      </c>
      <c r="AT5" s="72" t="s">
        <v>244</v>
      </c>
      <c r="AU5" s="72" t="s">
        <v>245</v>
      </c>
      <c r="AV5" s="72" t="s">
        <v>246</v>
      </c>
      <c r="AW5" s="72" t="s">
        <v>247</v>
      </c>
      <c r="AX5" s="24"/>
      <c r="AY5" s="72">
        <v>43132</v>
      </c>
      <c r="AZ5" s="72">
        <v>43160</v>
      </c>
      <c r="BA5" s="73">
        <v>43191</v>
      </c>
      <c r="BB5" s="73">
        <v>43221</v>
      </c>
      <c r="BC5" s="73">
        <v>43252</v>
      </c>
      <c r="BD5" s="73">
        <v>43282</v>
      </c>
      <c r="BE5" s="73">
        <v>43313</v>
      </c>
      <c r="BF5" s="73">
        <v>43344</v>
      </c>
      <c r="BG5" s="74">
        <v>43374</v>
      </c>
      <c r="BH5" s="73">
        <v>43405</v>
      </c>
      <c r="BI5" s="73">
        <v>43435</v>
      </c>
      <c r="BJ5" s="73">
        <v>43466</v>
      </c>
      <c r="BK5" s="75">
        <v>43497</v>
      </c>
      <c r="BL5" s="75">
        <v>43525</v>
      </c>
      <c r="BM5" s="75">
        <v>43556</v>
      </c>
      <c r="BN5" s="75">
        <v>43586</v>
      </c>
      <c r="BO5" s="75">
        <v>43617</v>
      </c>
      <c r="BP5" s="75">
        <v>43647</v>
      </c>
      <c r="BQ5" s="75">
        <v>43678</v>
      </c>
      <c r="BR5" s="75">
        <v>43709</v>
      </c>
      <c r="BS5" s="75">
        <v>43739</v>
      </c>
      <c r="BT5" s="75">
        <v>43770</v>
      </c>
      <c r="BU5" s="75">
        <v>43800</v>
      </c>
      <c r="BV5" s="75">
        <v>43831</v>
      </c>
      <c r="BW5" s="73">
        <v>43862</v>
      </c>
      <c r="BX5" s="73">
        <v>43891</v>
      </c>
      <c r="BY5" s="73">
        <v>43922</v>
      </c>
      <c r="BZ5" s="73">
        <v>43952</v>
      </c>
      <c r="CA5" s="73">
        <v>43983</v>
      </c>
      <c r="CB5" s="73">
        <v>44013</v>
      </c>
      <c r="CC5" s="73">
        <v>44044</v>
      </c>
      <c r="CD5" s="73">
        <v>44075</v>
      </c>
      <c r="CE5" s="73">
        <v>44105</v>
      </c>
      <c r="CF5" s="73">
        <v>44136</v>
      </c>
      <c r="CG5" s="73">
        <v>44166</v>
      </c>
      <c r="CH5" s="73">
        <v>44197</v>
      </c>
      <c r="CI5" s="75">
        <v>44228</v>
      </c>
      <c r="CJ5" s="75">
        <v>44256</v>
      </c>
      <c r="CK5" s="75">
        <v>44287</v>
      </c>
      <c r="CL5" s="75">
        <v>44317</v>
      </c>
      <c r="CM5" s="75">
        <v>44348</v>
      </c>
      <c r="CN5" s="75">
        <v>44378</v>
      </c>
      <c r="CO5" s="75">
        <v>44409</v>
      </c>
      <c r="CP5" s="75">
        <v>44440</v>
      </c>
      <c r="CQ5" s="75">
        <v>44470</v>
      </c>
      <c r="CR5" s="75">
        <v>44501</v>
      </c>
      <c r="CS5" s="75">
        <v>44531</v>
      </c>
      <c r="CT5" s="75">
        <v>44562</v>
      </c>
      <c r="CU5" s="73">
        <v>44593</v>
      </c>
      <c r="CV5" s="73">
        <v>44621</v>
      </c>
      <c r="CW5" s="73">
        <v>44652</v>
      </c>
      <c r="CX5" s="73">
        <v>44682</v>
      </c>
      <c r="CY5" s="73">
        <v>44713</v>
      </c>
      <c r="CZ5" s="73">
        <v>44743</v>
      </c>
      <c r="DA5" s="73">
        <v>44774</v>
      </c>
      <c r="DB5" s="73">
        <v>44805</v>
      </c>
      <c r="DC5" s="73">
        <v>44835</v>
      </c>
      <c r="DD5" s="73">
        <v>44866</v>
      </c>
      <c r="DE5" s="73">
        <v>44896</v>
      </c>
      <c r="DF5" s="73">
        <v>44927</v>
      </c>
      <c r="DG5" s="75">
        <v>44958</v>
      </c>
      <c r="DH5" s="75">
        <v>44986</v>
      </c>
      <c r="DI5" s="75">
        <v>45017</v>
      </c>
      <c r="DJ5" s="75">
        <v>45047</v>
      </c>
      <c r="DK5" s="75">
        <v>45078</v>
      </c>
      <c r="DL5" s="75">
        <v>45108</v>
      </c>
      <c r="DM5" s="75">
        <v>45139</v>
      </c>
      <c r="DN5" s="75">
        <v>45170</v>
      </c>
      <c r="DO5" s="75">
        <v>45200</v>
      </c>
      <c r="DP5" s="75">
        <v>45231</v>
      </c>
      <c r="DQ5" s="75">
        <v>45261</v>
      </c>
      <c r="DR5" s="75">
        <v>45292</v>
      </c>
      <c r="DS5" s="73">
        <v>45323</v>
      </c>
      <c r="DT5" s="73">
        <v>45352</v>
      </c>
      <c r="DU5" s="73">
        <v>45383</v>
      </c>
      <c r="DV5" s="73">
        <v>45413</v>
      </c>
      <c r="DW5" s="73">
        <v>45444</v>
      </c>
      <c r="DX5" s="73">
        <v>45474</v>
      </c>
      <c r="DY5" s="73">
        <v>45505</v>
      </c>
      <c r="DZ5" s="73">
        <v>45536</v>
      </c>
      <c r="EA5" s="73">
        <v>45566</v>
      </c>
      <c r="EB5" s="73">
        <v>45597</v>
      </c>
      <c r="EC5" s="73">
        <v>45627</v>
      </c>
      <c r="ED5" s="73">
        <v>45658</v>
      </c>
      <c r="EE5" s="75">
        <v>45689</v>
      </c>
      <c r="EF5" s="75">
        <v>45717</v>
      </c>
      <c r="EG5" s="75">
        <v>45748</v>
      </c>
      <c r="EH5" s="75">
        <v>45778</v>
      </c>
      <c r="EI5" s="75">
        <v>45809</v>
      </c>
      <c r="EJ5" s="75">
        <v>45839</v>
      </c>
      <c r="EK5" s="75">
        <v>45870</v>
      </c>
      <c r="EL5" s="75">
        <v>45901</v>
      </c>
      <c r="EM5" s="75">
        <v>45931</v>
      </c>
      <c r="EN5" s="75">
        <v>45962</v>
      </c>
      <c r="EO5" s="75">
        <v>45992</v>
      </c>
      <c r="EP5" s="75">
        <v>46023</v>
      </c>
      <c r="EQ5" s="73">
        <v>46054</v>
      </c>
      <c r="ER5" s="73">
        <v>46082</v>
      </c>
      <c r="ES5" s="73">
        <v>46113</v>
      </c>
      <c r="ET5" s="73">
        <v>46143</v>
      </c>
      <c r="EU5" s="73">
        <v>46174</v>
      </c>
      <c r="EV5" s="73">
        <v>46204</v>
      </c>
      <c r="EW5" s="73">
        <v>46235</v>
      </c>
      <c r="EX5" s="73">
        <v>46266</v>
      </c>
      <c r="EY5" s="73">
        <v>46296</v>
      </c>
      <c r="EZ5" s="73">
        <v>46327</v>
      </c>
      <c r="FA5" s="73">
        <v>46357</v>
      </c>
      <c r="FB5" s="73">
        <v>46388</v>
      </c>
    </row>
    <row r="6" spans="1:158" x14ac:dyDescent="0.25">
      <c r="C6" s="1" t="s">
        <v>607</v>
      </c>
      <c r="D6" s="289"/>
      <c r="E6" s="289"/>
    </row>
    <row r="7" spans="1:158" x14ac:dyDescent="0.25">
      <c r="A7" t="s">
        <v>607</v>
      </c>
      <c r="C7" s="2" t="s">
        <v>18</v>
      </c>
      <c r="D7" s="30">
        <f>AY7</f>
        <v>4027858.4700000053</v>
      </c>
      <c r="E7" s="30">
        <f>BK7</f>
        <v>9641502.6300000064</v>
      </c>
      <c r="F7" s="30">
        <f>BW7</f>
        <v>17564589.410915006</v>
      </c>
      <c r="G7" s="30">
        <f>CI7</f>
        <v>25508107.217652</v>
      </c>
      <c r="H7" s="68">
        <f>G12</f>
        <v>41315676.316121288</v>
      </c>
      <c r="I7" s="68">
        <f>H12</f>
        <v>60381079.580205388</v>
      </c>
      <c r="J7" s="68">
        <f>I12</f>
        <v>85265073.706972077</v>
      </c>
      <c r="K7" s="68">
        <f t="shared" ref="K7:L7" si="0">J12</f>
        <v>117924301.52658938</v>
      </c>
      <c r="L7" s="68">
        <f t="shared" si="0"/>
        <v>159631173.34786245</v>
      </c>
      <c r="M7" s="292"/>
      <c r="N7" s="30">
        <f>AY7</f>
        <v>4027858.4700000053</v>
      </c>
      <c r="O7" s="30">
        <f>BB7</f>
        <v>5012576.6700000055</v>
      </c>
      <c r="P7" s="30">
        <f>BE7</f>
        <v>6021300.6700000055</v>
      </c>
      <c r="Q7" s="30">
        <f>BH7</f>
        <v>7499475.1700000055</v>
      </c>
      <c r="R7" s="30">
        <f>BK7</f>
        <v>9641502.6300000064</v>
      </c>
      <c r="S7" s="30">
        <f>BN7</f>
        <v>11527145.160000006</v>
      </c>
      <c r="T7" s="30">
        <f>BQ7</f>
        <v>13624699.520000005</v>
      </c>
      <c r="U7" s="30">
        <f>BT7</f>
        <v>15365320.280000005</v>
      </c>
      <c r="V7" s="30">
        <f>BW7</f>
        <v>17564589.410915006</v>
      </c>
      <c r="W7" s="30">
        <f>BZ7</f>
        <v>18269105.373149004</v>
      </c>
      <c r="X7" s="30">
        <f>CC7</f>
        <v>20604136.826187003</v>
      </c>
      <c r="Y7" s="30">
        <f>CF7</f>
        <v>22340644.505196001</v>
      </c>
      <c r="Z7" s="30">
        <f>CI7</f>
        <v>25508107.217652</v>
      </c>
      <c r="AA7" s="30">
        <f>CL7</f>
        <v>27980246.216048002</v>
      </c>
      <c r="AB7" s="30">
        <f>CO7</f>
        <v>32000090.893999003</v>
      </c>
      <c r="AC7" s="30">
        <f>CR7</f>
        <v>36030717.428660035</v>
      </c>
      <c r="AD7" s="30">
        <f>CU7</f>
        <v>41315676.31612128</v>
      </c>
      <c r="AE7" s="30">
        <f>CX7</f>
        <v>44537598.054279454</v>
      </c>
      <c r="AF7" s="30">
        <f>DA7</f>
        <v>49046421.26728949</v>
      </c>
      <c r="AG7" s="30">
        <f>DD7</f>
        <v>53576562.602930389</v>
      </c>
      <c r="AH7" s="30">
        <f>DG7</f>
        <v>60381079.580205351</v>
      </c>
      <c r="AI7" s="30">
        <f>DJ7</f>
        <v>64721597.072871134</v>
      </c>
      <c r="AJ7" s="30">
        <f>DM7</f>
        <v>71012278.214738786</v>
      </c>
      <c r="AK7" s="30">
        <f>DP7</f>
        <v>76955631.312567174</v>
      </c>
      <c r="AL7" s="30">
        <f>DS7</f>
        <v>85265073.706972048</v>
      </c>
      <c r="AM7" s="30">
        <f>DV7</f>
        <v>90942125.923466668</v>
      </c>
      <c r="AN7" s="30">
        <f>DY7</f>
        <v>99211618.914439619</v>
      </c>
      <c r="AO7" s="30">
        <f>EB7</f>
        <v>107028646.16562246</v>
      </c>
      <c r="AP7" s="30">
        <f>EE7</f>
        <v>117924301.52658933</v>
      </c>
      <c r="AQ7" s="30">
        <f>EH7</f>
        <v>125144488.14608918</v>
      </c>
      <c r="AR7" s="30">
        <f>EK7</f>
        <v>135724765.64570612</v>
      </c>
      <c r="AS7" s="30">
        <f>EN7</f>
        <v>145732319.03300792</v>
      </c>
      <c r="AT7" s="30">
        <f>EQ7</f>
        <v>159631173.34786233</v>
      </c>
      <c r="AU7" s="30">
        <f>ET7</f>
        <v>168535027.34599689</v>
      </c>
      <c r="AV7" s="30">
        <f>EW7</f>
        <v>181676865.63609594</v>
      </c>
      <c r="AW7" s="30">
        <f>EZ7</f>
        <v>194116518.50414619</v>
      </c>
      <c r="AX7" s="244"/>
      <c r="AY7" s="244">
        <f t="shared" ref="AY7:CG7" si="1">AY12-SUM(AY8:AY11)</f>
        <v>4027858.4700000053</v>
      </c>
      <c r="AZ7" s="244">
        <f t="shared" si="1"/>
        <v>4099936.4700000053</v>
      </c>
      <c r="BA7" s="244">
        <f t="shared" si="1"/>
        <v>4510001.4700000053</v>
      </c>
      <c r="BB7" s="244">
        <f t="shared" si="1"/>
        <v>5012576.6700000055</v>
      </c>
      <c r="BC7" s="244">
        <f t="shared" si="1"/>
        <v>5178116.6700000055</v>
      </c>
      <c r="BD7" s="244">
        <f t="shared" si="1"/>
        <v>5508016.6700000055</v>
      </c>
      <c r="BE7" s="244">
        <f t="shared" si="1"/>
        <v>6021300.6700000055</v>
      </c>
      <c r="BF7" s="244">
        <f t="shared" si="1"/>
        <v>6341477.3400000054</v>
      </c>
      <c r="BG7" s="244">
        <f t="shared" si="1"/>
        <v>6772890.8400000054</v>
      </c>
      <c r="BH7" s="244">
        <f t="shared" si="1"/>
        <v>7499475.1700000055</v>
      </c>
      <c r="BI7" s="244">
        <f t="shared" si="1"/>
        <v>7996907.1700000055</v>
      </c>
      <c r="BJ7" s="244">
        <f t="shared" si="1"/>
        <v>8881420.1700000055</v>
      </c>
      <c r="BK7" s="244">
        <f t="shared" si="1"/>
        <v>9641502.6300000064</v>
      </c>
      <c r="BL7" s="244">
        <f t="shared" si="1"/>
        <v>9957435.9600000065</v>
      </c>
      <c r="BM7" s="244">
        <f t="shared" si="1"/>
        <v>10569535.790000007</v>
      </c>
      <c r="BN7" s="244">
        <f t="shared" si="1"/>
        <v>11527145.160000006</v>
      </c>
      <c r="BO7" s="244">
        <f t="shared" si="1"/>
        <v>12032413.690000005</v>
      </c>
      <c r="BP7" s="244">
        <f t="shared" si="1"/>
        <v>12730500.880000005</v>
      </c>
      <c r="BQ7" s="244">
        <f t="shared" si="1"/>
        <v>13624699.520000005</v>
      </c>
      <c r="BR7" s="244">
        <f t="shared" si="1"/>
        <v>13969628.690000005</v>
      </c>
      <c r="BS7" s="244">
        <f t="shared" si="1"/>
        <v>14364605.690000005</v>
      </c>
      <c r="BT7" s="244">
        <f t="shared" si="1"/>
        <v>15365320.280000005</v>
      </c>
      <c r="BU7" s="244">
        <f t="shared" si="1"/>
        <v>15731030.960000005</v>
      </c>
      <c r="BV7" s="244">
        <f t="shared" si="1"/>
        <v>16626468.750000006</v>
      </c>
      <c r="BW7" s="244">
        <f t="shared" si="1"/>
        <v>17564589.410915006</v>
      </c>
      <c r="BX7" s="244">
        <f t="shared" si="1"/>
        <v>17589616.270915005</v>
      </c>
      <c r="BY7" s="244">
        <f t="shared" si="1"/>
        <v>17756749.793039005</v>
      </c>
      <c r="BZ7" s="244">
        <f t="shared" si="1"/>
        <v>18269105.373149004</v>
      </c>
      <c r="CA7" s="244">
        <f t="shared" si="1"/>
        <v>18521839.063918006</v>
      </c>
      <c r="CB7" s="244">
        <f t="shared" si="1"/>
        <v>19044539.668825004</v>
      </c>
      <c r="CC7" s="244">
        <f t="shared" si="1"/>
        <v>20604136.826187003</v>
      </c>
      <c r="CD7" s="244">
        <f t="shared" si="1"/>
        <v>20734504.463366002</v>
      </c>
      <c r="CE7" s="244">
        <f t="shared" si="1"/>
        <v>21356765.968383003</v>
      </c>
      <c r="CF7" s="244">
        <f t="shared" si="1"/>
        <v>22340644.505196001</v>
      </c>
      <c r="CG7" s="244">
        <f t="shared" si="1"/>
        <v>22896400.661571</v>
      </c>
      <c r="CH7" s="244">
        <f>CH12-SUM(CH8:CH11)</f>
        <v>23843709.285344001</v>
      </c>
      <c r="CI7" s="50">
        <f>CH12</f>
        <v>25508107.217652</v>
      </c>
      <c r="CJ7" s="50">
        <f t="shared" ref="CJ7:CT7" si="2">CI12</f>
        <v>25944830.313618001</v>
      </c>
      <c r="CK7" s="50">
        <f t="shared" si="2"/>
        <v>26680390.815124001</v>
      </c>
      <c r="CL7" s="50">
        <f t="shared" si="2"/>
        <v>27980246.216048002</v>
      </c>
      <c r="CM7" s="50">
        <f t="shared" si="2"/>
        <v>28550875.870068002</v>
      </c>
      <c r="CN7" s="50">
        <f t="shared" si="2"/>
        <v>29863117.937316004</v>
      </c>
      <c r="CO7" s="50">
        <f t="shared" si="2"/>
        <v>32000090.893999003</v>
      </c>
      <c r="CP7" s="50">
        <f t="shared" si="2"/>
        <v>32584415.222394947</v>
      </c>
      <c r="CQ7" s="50">
        <f t="shared" si="2"/>
        <v>34048646.714760482</v>
      </c>
      <c r="CR7" s="50">
        <f t="shared" si="2"/>
        <v>36030717.428660035</v>
      </c>
      <c r="CS7" s="50">
        <f t="shared" si="2"/>
        <v>36480116.964594282</v>
      </c>
      <c r="CT7" s="50">
        <f t="shared" si="2"/>
        <v>38651099.411555104</v>
      </c>
      <c r="CU7" s="20">
        <f>CT12</f>
        <v>41315676.31612128</v>
      </c>
      <c r="CV7" s="20">
        <f t="shared" ref="CV7:FB7" si="3">CU12</f>
        <v>41649939.388837047</v>
      </c>
      <c r="CW7" s="20">
        <f t="shared" si="3"/>
        <v>42604230.532208942</v>
      </c>
      <c r="CX7" s="20">
        <f t="shared" si="3"/>
        <v>44537598.054279454</v>
      </c>
      <c r="CY7" s="20">
        <f t="shared" si="3"/>
        <v>45164677.023952574</v>
      </c>
      <c r="CZ7" s="20">
        <f t="shared" si="3"/>
        <v>46814519.651795663</v>
      </c>
      <c r="DA7" s="20">
        <f t="shared" si="3"/>
        <v>49046421.26728949</v>
      </c>
      <c r="DB7" s="20">
        <f t="shared" si="3"/>
        <v>49630789.796066143</v>
      </c>
      <c r="DC7" s="20">
        <f t="shared" si="3"/>
        <v>51043097.039484277</v>
      </c>
      <c r="DD7" s="20">
        <f t="shared" si="3"/>
        <v>53576562.602930389</v>
      </c>
      <c r="DE7" s="20">
        <f t="shared" si="3"/>
        <v>54497909.177640155</v>
      </c>
      <c r="DF7" s="20">
        <f t="shared" si="3"/>
        <v>57161747.170220114</v>
      </c>
      <c r="DG7" s="20">
        <f t="shared" si="3"/>
        <v>60381079.580205351</v>
      </c>
      <c r="DH7" s="20">
        <f t="shared" si="3"/>
        <v>60844513.093447305</v>
      </c>
      <c r="DI7" s="20">
        <f t="shared" si="3"/>
        <v>62142419.737607859</v>
      </c>
      <c r="DJ7" s="20">
        <f t="shared" si="3"/>
        <v>64721597.072871134</v>
      </c>
      <c r="DK7" s="20">
        <f t="shared" si="3"/>
        <v>65628803.316996716</v>
      </c>
      <c r="DL7" s="20">
        <f t="shared" si="3"/>
        <v>67951466.037505656</v>
      </c>
      <c r="DM7" s="20">
        <f t="shared" si="3"/>
        <v>71012278.214738786</v>
      </c>
      <c r="DN7" s="20">
        <f t="shared" si="3"/>
        <v>71726939.287662864</v>
      </c>
      <c r="DO7" s="20">
        <f t="shared" si="3"/>
        <v>73593444.626973122</v>
      </c>
      <c r="DP7" s="20">
        <f t="shared" si="3"/>
        <v>76955631.312567174</v>
      </c>
      <c r="DQ7" s="20">
        <f t="shared" si="3"/>
        <v>77939702.086278066</v>
      </c>
      <c r="DR7" s="20">
        <f t="shared" si="3"/>
        <v>81216810.304345638</v>
      </c>
      <c r="DS7" s="20">
        <f t="shared" si="3"/>
        <v>85265073.706972048</v>
      </c>
      <c r="DT7" s="20">
        <f t="shared" si="3"/>
        <v>85857017.518521056</v>
      </c>
      <c r="DU7" s="20">
        <f t="shared" si="3"/>
        <v>87557845.287186086</v>
      </c>
      <c r="DV7" s="20">
        <f t="shared" si="3"/>
        <v>90942125.923466668</v>
      </c>
      <c r="DW7" s="20">
        <f t="shared" si="3"/>
        <v>92111986.354833737</v>
      </c>
      <c r="DX7" s="20">
        <f t="shared" si="3"/>
        <v>95183248.440515652</v>
      </c>
      <c r="DY7" s="20">
        <f t="shared" si="3"/>
        <v>99211618.914439619</v>
      </c>
      <c r="DZ7" s="20">
        <f t="shared" si="3"/>
        <v>100123531.23601428</v>
      </c>
      <c r="EA7" s="20">
        <f t="shared" si="3"/>
        <v>102585807.50903952</v>
      </c>
      <c r="EB7" s="20">
        <f t="shared" si="3"/>
        <v>107028646.16562246</v>
      </c>
      <c r="EC7" s="20">
        <f t="shared" si="3"/>
        <v>108301701.60675406</v>
      </c>
      <c r="ED7" s="20">
        <f t="shared" si="3"/>
        <v>112594442.28824216</v>
      </c>
      <c r="EE7" s="20">
        <f t="shared" si="3"/>
        <v>117924301.52658933</v>
      </c>
      <c r="EF7" s="20">
        <f t="shared" si="3"/>
        <v>118655759.31146483</v>
      </c>
      <c r="EG7" s="20">
        <f t="shared" si="3"/>
        <v>120823832.49463625</v>
      </c>
      <c r="EH7" s="20">
        <f t="shared" si="3"/>
        <v>125144488.14608918</v>
      </c>
      <c r="EI7" s="20">
        <f t="shared" si="3"/>
        <v>126607179.28576194</v>
      </c>
      <c r="EJ7" s="20">
        <f t="shared" si="3"/>
        <v>130563617.25014083</v>
      </c>
      <c r="EK7" s="20">
        <f t="shared" si="3"/>
        <v>135724765.64570612</v>
      </c>
      <c r="EL7" s="20">
        <f t="shared" si="3"/>
        <v>136850177.73271716</v>
      </c>
      <c r="EM7" s="20">
        <f t="shared" si="3"/>
        <v>140013454.08636019</v>
      </c>
      <c r="EN7" s="20">
        <f t="shared" si="3"/>
        <v>145732319.03300792</v>
      </c>
      <c r="EO7" s="20">
        <f t="shared" si="3"/>
        <v>147330268.28107041</v>
      </c>
      <c r="EP7" s="20">
        <f t="shared" si="3"/>
        <v>152799722.50455061</v>
      </c>
      <c r="EQ7" s="20">
        <f t="shared" si="3"/>
        <v>159631173.34786233</v>
      </c>
      <c r="ER7" s="20">
        <f t="shared" si="3"/>
        <v>160501151.99363193</v>
      </c>
      <c r="ES7" s="20">
        <f t="shared" si="3"/>
        <v>163182178.19600391</v>
      </c>
      <c r="ET7" s="20">
        <f t="shared" si="3"/>
        <v>168535027.34599689</v>
      </c>
      <c r="EU7" s="20">
        <f t="shared" si="3"/>
        <v>170301102.47782815</v>
      </c>
      <c r="EV7" s="20">
        <f t="shared" si="3"/>
        <v>175255575.1366775</v>
      </c>
      <c r="EW7" s="20">
        <f t="shared" si="3"/>
        <v>181676865.63609594</v>
      </c>
      <c r="EX7" s="20">
        <f t="shared" si="3"/>
        <v>183013203.70690235</v>
      </c>
      <c r="EY7" s="20">
        <f t="shared" si="3"/>
        <v>186961626.56538308</v>
      </c>
      <c r="EZ7" s="20">
        <f t="shared" si="3"/>
        <v>194116518.50414619</v>
      </c>
      <c r="FA7" s="20">
        <f t="shared" si="3"/>
        <v>196055404.86434168</v>
      </c>
      <c r="FB7" s="20">
        <f t="shared" si="3"/>
        <v>202815052.30391991</v>
      </c>
    </row>
    <row r="8" spans="1:158" x14ac:dyDescent="0.25">
      <c r="A8" t="s">
        <v>607</v>
      </c>
      <c r="C8" s="258" t="s">
        <v>585</v>
      </c>
      <c r="D8" s="244">
        <f t="shared" ref="D8:L11" si="4">SUMIF($AY$2:$FB$2,D$2,$AY8:$FB8)</f>
        <v>5718339.0999999996</v>
      </c>
      <c r="E8" s="244">
        <f t="shared" si="4"/>
        <v>7829961.8145050006</v>
      </c>
      <c r="F8" s="244">
        <f t="shared" si="4"/>
        <v>8657987.1461899988</v>
      </c>
      <c r="G8" s="244">
        <f t="shared" si="4"/>
        <v>16709358.41097267</v>
      </c>
      <c r="H8" s="244">
        <f t="shared" si="4"/>
        <v>18750724.309394229</v>
      </c>
      <c r="I8" s="244">
        <f t="shared" si="4"/>
        <v>25003008.950996581</v>
      </c>
      <c r="J8" s="244">
        <f t="shared" si="4"/>
        <v>32555326.841173172</v>
      </c>
      <c r="K8" s="244">
        <f t="shared" si="4"/>
        <v>41333554.564846858</v>
      </c>
      <c r="L8" s="244">
        <f t="shared" si="4"/>
        <v>51084752.170930743</v>
      </c>
      <c r="M8" s="244"/>
      <c r="N8" s="294">
        <f t="shared" ref="N8" si="5">SUM(AY8:BA8)</f>
        <v>1035185.6</v>
      </c>
      <c r="O8" s="294">
        <f>SUM(BB8:BD8)</f>
        <v>947839</v>
      </c>
      <c r="P8" s="294">
        <f>SUM(BE8:BG8)</f>
        <v>1374139.5</v>
      </c>
      <c r="Q8" s="294">
        <f>SUM(BH8:BJ8)</f>
        <v>2361175</v>
      </c>
      <c r="R8" s="294">
        <f>SUM(BK8:BM8)</f>
        <v>1966893.72</v>
      </c>
      <c r="S8" s="294">
        <f>SUM(BN8:BP8)</f>
        <v>2138899.92</v>
      </c>
      <c r="T8" s="294">
        <f>SUM(BQ8:BS8)</f>
        <v>1586173.72</v>
      </c>
      <c r="U8" s="294">
        <f>SUM(BT8:BV8)</f>
        <v>2137994.4545049998</v>
      </c>
      <c r="V8" s="294">
        <f>SUM(BW8:BY8)</f>
        <v>1187612.8935159999</v>
      </c>
      <c r="W8" s="294">
        <f>SUM(BZ8:CB8)</f>
        <v>2496187.72487</v>
      </c>
      <c r="X8" s="294">
        <f>SUM(CC8:CE8)</f>
        <v>1792109.2252369998</v>
      </c>
      <c r="Y8" s="294">
        <f>SUM(CF8:CH8)</f>
        <v>3182077.302567</v>
      </c>
      <c r="Z8" s="294">
        <f>SUM(CI8:CK8)</f>
        <v>2478561.1667750003</v>
      </c>
      <c r="AA8" s="294">
        <f>SUM(CL8:CN8)</f>
        <v>3596821.8275309997</v>
      </c>
      <c r="AB8" s="294">
        <f>SUM(CO8:CQ8)</f>
        <v>4579891.458333334</v>
      </c>
      <c r="AC8" s="294">
        <f>SUM(CR8:CT8)</f>
        <v>6054083.958333334</v>
      </c>
      <c r="AD8" s="294">
        <f>SUM(CU8:CW8)</f>
        <v>3318393.1822028025</v>
      </c>
      <c r="AE8" s="294">
        <f>SUM(CX8:CZ8)</f>
        <v>4415141.5763387</v>
      </c>
      <c r="AF8" s="294">
        <f>SUM(DA8:DC8)</f>
        <v>4352811.0971852168</v>
      </c>
      <c r="AG8" s="294">
        <f>SUM(DD8:DF8)</f>
        <v>6664378.4536675103</v>
      </c>
      <c r="AH8" s="294">
        <f>SUM(DG8:DI8)</f>
        <v>4559902.0857307035</v>
      </c>
      <c r="AI8" s="294">
        <f>SUM(DJ8:DL8)</f>
        <v>6187372.6460760506</v>
      </c>
      <c r="AJ8" s="294">
        <f>SUM(DM8:DO8)</f>
        <v>5804222.4411775414</v>
      </c>
      <c r="AK8" s="294">
        <f>SUM(DP8:DR8)</f>
        <v>8451511.778012285</v>
      </c>
      <c r="AL8" s="294">
        <f>SUM(DS8:DU8)</f>
        <v>5937249.5148746241</v>
      </c>
      <c r="AM8" s="294">
        <f>SUM(DV8:DX8)</f>
        <v>8056307.9098170549</v>
      </c>
      <c r="AN8" s="294">
        <f>SUM(DY8:EA8)</f>
        <v>7557424.7484271415</v>
      </c>
      <c r="AO8" s="294">
        <f>SUM(EB8:ED8)</f>
        <v>11004344.668054355</v>
      </c>
      <c r="AP8" s="294">
        <f>SUM(EE8:EG8)</f>
        <v>7538171.1873281021</v>
      </c>
      <c r="AQ8" s="294">
        <f>SUM(EH8:EJ8)</f>
        <v>10228613.099361856</v>
      </c>
      <c r="AR8" s="294">
        <f>SUM(EK8:EM8)</f>
        <v>9595210.938376205</v>
      </c>
      <c r="AS8" s="294">
        <f>SUM(EN8:EP8)</f>
        <v>13971559.339780699</v>
      </c>
      <c r="AT8" s="294">
        <f>SUM(EQ8:ES8)</f>
        <v>9316537.3987508994</v>
      </c>
      <c r="AU8" s="294">
        <f>SUM(ET8:EV8)</f>
        <v>12641694.399001226</v>
      </c>
      <c r="AV8" s="294">
        <f>SUM(EW8:EY8)</f>
        <v>11858863.288559953</v>
      </c>
      <c r="AW8" s="294">
        <f>SUM(EZ8:FB8)</f>
        <v>17267657.084618654</v>
      </c>
      <c r="AX8" s="244"/>
      <c r="AY8" s="244">
        <f>SUMIFS('ARR Looker'!$H:$H,'ARR Looker'!$B:$B,$A7,'ARR Looker'!$C:$C,AY$5)</f>
        <v>78250</v>
      </c>
      <c r="AZ8" s="244">
        <f>SUMIFS('ARR Looker'!$H:$H,'ARR Looker'!$B:$B,$A7,'ARR Looker'!$C:$C,AZ$5)</f>
        <v>438175</v>
      </c>
      <c r="BA8" s="244">
        <f>SUMIFS('ARR Looker'!$H:$H,'ARR Looker'!$B:$B,$A7,'ARR Looker'!$C:$C,BA$5)</f>
        <v>518760.6</v>
      </c>
      <c r="BB8" s="244">
        <f>SUMIFS('ARR Looker'!$H:$H,'ARR Looker'!$B:$B,$A7,'ARR Looker'!$C:$C,BB$5)</f>
        <v>163840</v>
      </c>
      <c r="BC8" s="244">
        <f>SUMIFS('ARR Looker'!$H:$H,'ARR Looker'!$B:$B,$A7,'ARR Looker'!$C:$C,BC$5)</f>
        <v>300140</v>
      </c>
      <c r="BD8" s="244">
        <f>SUMIFS('ARR Looker'!$H:$H,'ARR Looker'!$B:$B,$A7,'ARR Looker'!$C:$C,BD$5)</f>
        <v>483859</v>
      </c>
      <c r="BE8" s="244">
        <f>SUMIFS('ARR Looker'!$H:$H,'ARR Looker'!$B:$B,$A7,'ARR Looker'!$C:$C,BE$5)</f>
        <v>270916.67</v>
      </c>
      <c r="BF8" s="244">
        <f>SUMIFS('ARR Looker'!$H:$H,'ARR Looker'!$B:$B,$A7,'ARR Looker'!$C:$C,BF$5)</f>
        <v>423389.5</v>
      </c>
      <c r="BG8" s="244">
        <f>SUMIFS('ARR Looker'!$H:$H,'ARR Looker'!$B:$B,$A7,'ARR Looker'!$C:$C,BG$5)</f>
        <v>679833.33</v>
      </c>
      <c r="BH8" s="244">
        <f>SUMIFS('ARR Looker'!$H:$H,'ARR Looker'!$B:$B,$A7,'ARR Looker'!$C:$C,BH$5)</f>
        <v>491650</v>
      </c>
      <c r="BI8" s="244">
        <f>SUMIFS('ARR Looker'!$H:$H,'ARR Looker'!$B:$B,$A7,'ARR Looker'!$C:$C,BI$5)</f>
        <v>984175</v>
      </c>
      <c r="BJ8" s="244">
        <f>SUMIFS('ARR Looker'!$H:$H,'ARR Looker'!$B:$B,$A7,'ARR Looker'!$C:$C,BJ$5)</f>
        <v>885350</v>
      </c>
      <c r="BK8" s="244">
        <f>SUMIFS('ARR Looker'!$H:$H,'ARR Looker'!$B:$B,$A7,'ARR Looker'!$C:$C,BK$5)</f>
        <v>325633.33</v>
      </c>
      <c r="BL8" s="244">
        <f>SUMIFS('ARR Looker'!$H:$H,'ARR Looker'!$B:$B,$A7,'ARR Looker'!$C:$C,BL$5)</f>
        <v>614517.32999999996</v>
      </c>
      <c r="BM8" s="244">
        <f>SUMIFS('ARR Looker'!$H:$H,'ARR Looker'!$B:$B,$A7,'ARR Looker'!$C:$C,BM$5)</f>
        <v>1026743.06</v>
      </c>
      <c r="BN8" s="244">
        <f>SUMIFS('ARR Looker'!$H:$H,'ARR Looker'!$B:$B,$A7,'ARR Looker'!$C:$C,BN$5)</f>
        <v>548266.67000000004</v>
      </c>
      <c r="BO8" s="244">
        <f>SUMIFS('ARR Looker'!$H:$H,'ARR Looker'!$B:$B,$A7,'ARR Looker'!$C:$C,BO$5)</f>
        <v>708736.61</v>
      </c>
      <c r="BP8" s="244">
        <f>SUMIFS('ARR Looker'!$H:$H,'ARR Looker'!$B:$B,$A7,'ARR Looker'!$C:$C,BP$5)</f>
        <v>881896.64</v>
      </c>
      <c r="BQ8" s="244">
        <f>SUMIFS('ARR Looker'!$H:$H,'ARR Looker'!$B:$B,$A7,'ARR Looker'!$C:$C,BQ$5)</f>
        <v>429835.17</v>
      </c>
      <c r="BR8" s="244">
        <f>SUMIFS('ARR Looker'!$H:$H,'ARR Looker'!$B:$B,$A7,'ARR Looker'!$C:$C,BR$5)</f>
        <v>356700</v>
      </c>
      <c r="BS8" s="244">
        <f>SUMIFS('ARR Looker'!$H:$H,'ARR Looker'!$B:$B,$A7,'ARR Looker'!$C:$C,BS$5)</f>
        <v>799638.55</v>
      </c>
      <c r="BT8" s="244">
        <f>SUMIFS('ARR Looker'!$H:$H,'ARR Looker'!$B:$B,$A7,'ARR Looker'!$C:$C,BT$5)</f>
        <v>276754.48</v>
      </c>
      <c r="BU8" s="244">
        <f>SUMIFS('ARR Looker'!$H:$H,'ARR Looker'!$B:$B,$A7,'ARR Looker'!$C:$C,BU$5)</f>
        <v>829160.48</v>
      </c>
      <c r="BV8" s="244">
        <f>SUMIFS('ARR Looker'!$H:$H,'ARR Looker'!$B:$B,$A7,'ARR Looker'!$C:$C,BV$5)</f>
        <v>1032079.494505</v>
      </c>
      <c r="BW8" s="244">
        <f>SUMIFS('ARR Looker'!$H:$H,'ARR Looker'!$B:$B,$A7,'ARR Looker'!$C:$C,BW$5)</f>
        <v>211086.86</v>
      </c>
      <c r="BX8" s="244">
        <f>SUMIFS('ARR Looker'!$H:$H,'ARR Looker'!$B:$B,$A7,'ARR Looker'!$C:$C,BX$5)</f>
        <v>343880.24212399998</v>
      </c>
      <c r="BY8" s="244">
        <f>SUMIFS('ARR Looker'!$H:$H,'ARR Looker'!$B:$B,$A7,'ARR Looker'!$C:$C,BY$5)</f>
        <v>632645.79139200004</v>
      </c>
      <c r="BZ8" s="244">
        <f>SUMIFS('ARR Looker'!$H:$H,'ARR Looker'!$B:$B,$A7,'ARR Looker'!$C:$C,BZ$5)</f>
        <v>398339.78897400002</v>
      </c>
      <c r="CA8" s="244">
        <f>SUMIFS('ARR Looker'!$H:$H,'ARR Looker'!$B:$B,$A7,'ARR Looker'!$C:$C,CA$5)</f>
        <v>617609.16853400005</v>
      </c>
      <c r="CB8" s="244">
        <f>SUMIFS('ARR Looker'!$H:$H,'ARR Looker'!$B:$B,$A7,'ARR Looker'!$C:$C,CB$5)</f>
        <v>1480238.767362</v>
      </c>
      <c r="CC8" s="244">
        <f>SUMIFS('ARR Looker'!$H:$H,'ARR Looker'!$B:$B,$A7,'ARR Looker'!$C:$C,CC$5)</f>
        <v>225861.55</v>
      </c>
      <c r="CD8" s="244">
        <f>SUMIFS('ARR Looker'!$H:$H,'ARR Looker'!$B:$B,$A7,'ARR Looker'!$C:$C,CD$5)</f>
        <v>681003.32150099997</v>
      </c>
      <c r="CE8" s="244">
        <f>SUMIFS('ARR Looker'!$H:$H,'ARR Looker'!$B:$B,$A7,'ARR Looker'!$C:$C,CE$5)</f>
        <v>885244.35373600002</v>
      </c>
      <c r="CF8" s="244">
        <f>SUMIFS('ARR Looker'!$H:$H,'ARR Looker'!$B:$B,$A7,'ARR Looker'!$C:$C,CF$5)</f>
        <v>533185.24945200002</v>
      </c>
      <c r="CG8" s="244">
        <f>SUMIFS('ARR Looker'!$H:$H,'ARR Looker'!$B:$B,$A7,'ARR Looker'!$C:$C,CG$5)</f>
        <v>921185.87619099999</v>
      </c>
      <c r="CH8" s="244">
        <f>SUMIFS('ARR Looker'!$H:$H,'ARR Looker'!$B:$B,$A7,'ARR Looker'!$C:$C,CH$5)</f>
        <v>1727706.176924</v>
      </c>
      <c r="CI8" s="55">
        <f>SUMIFS('ARR Looker'!$H:$H,'ARR Looker'!$B:$B,$A7,'ARR Looker'!$C:$C,CI$5)</f>
        <v>417149.06475100003</v>
      </c>
      <c r="CJ8" s="55">
        <f>SUMIFS('ARR Looker'!$H:$H,'ARR Looker'!$B:$B,$A7,'ARR Looker'!$C:$C,CJ$5)</f>
        <v>703910.10811300005</v>
      </c>
      <c r="CK8" s="55">
        <f>SUMIFS('ARR Looker'!$H:$H,'ARR Looker'!$B:$B,$A7,'ARR Looker'!$C:$C,CK$5)</f>
        <v>1357501.993911</v>
      </c>
      <c r="CL8" s="55">
        <f>SUMIFS('ARR Looker'!$H:$H,'ARR Looker'!$B:$B,$A7,'ARR Looker'!$C:$C,CL$5)</f>
        <v>522178.75454599998</v>
      </c>
      <c r="CM8" s="55">
        <f>SUMIFS('ARR Looker'!$H:$H,'ARR Looker'!$B:$B,$A7,'ARR Looker'!$C:$C,CM$5)</f>
        <v>1110364.198349</v>
      </c>
      <c r="CN8" s="55">
        <f>SUMIFS('ARR Looker'!$H:$H,'ARR Looker'!$B:$B,$A7,'ARR Looker'!$C:$C,CN$5)</f>
        <v>1964278.874636</v>
      </c>
      <c r="CO8" s="55">
        <f>'22 Fcst ARR'!C3</f>
        <v>686983.71875000012</v>
      </c>
      <c r="CP8" s="55">
        <f>'22 Fcst ARR'!D3</f>
        <v>1602962.0104166667</v>
      </c>
      <c r="CQ8" s="55">
        <f>'22 Fcst ARR'!E3</f>
        <v>2289945.729166667</v>
      </c>
      <c r="CR8" s="55">
        <f>'22 Fcst ARR'!F3</f>
        <v>605408.39583333349</v>
      </c>
      <c r="CS8" s="55">
        <f>'22 Fcst ARR'!G3</f>
        <v>2421633.583333334</v>
      </c>
      <c r="CT8" s="55">
        <f>'22 Fcst ARR'!H3</f>
        <v>3027041.979166667</v>
      </c>
      <c r="CU8" s="55">
        <f>CU77</f>
        <v>438658.63632085227</v>
      </c>
      <c r="CV8" s="55">
        <f t="shared" ref="CV8:FB8" si="6">CV77</f>
        <v>964078.39666739036</v>
      </c>
      <c r="CW8" s="55">
        <f t="shared" si="6"/>
        <v>1915656.1492145599</v>
      </c>
      <c r="CX8" s="55">
        <f t="shared" si="6"/>
        <v>765955.15688817343</v>
      </c>
      <c r="CY8" s="55">
        <f t="shared" si="6"/>
        <v>1502318.2913442629</v>
      </c>
      <c r="CZ8" s="55">
        <f t="shared" si="6"/>
        <v>2146868.1281062635</v>
      </c>
      <c r="DA8" s="55">
        <f t="shared" si="6"/>
        <v>735494.374673062</v>
      </c>
      <c r="DB8" s="55">
        <f t="shared" si="6"/>
        <v>1311459.3132739773</v>
      </c>
      <c r="DC8" s="55">
        <f t="shared" si="6"/>
        <v>2305857.4092381778</v>
      </c>
      <c r="DD8" s="55">
        <f t="shared" si="6"/>
        <v>990139.13281642762</v>
      </c>
      <c r="DE8" s="55">
        <f t="shared" si="6"/>
        <v>2641125.7658198043</v>
      </c>
      <c r="DF8" s="55">
        <f t="shared" si="6"/>
        <v>3033113.5550312777</v>
      </c>
      <c r="DG8" s="55">
        <f t="shared" si="6"/>
        <v>629931.39707068913</v>
      </c>
      <c r="DH8" s="55">
        <f t="shared" si="6"/>
        <v>1330548.3308065883</v>
      </c>
      <c r="DI8" s="55">
        <f t="shared" si="6"/>
        <v>2599422.3578534261</v>
      </c>
      <c r="DJ8" s="55">
        <f t="shared" si="6"/>
        <v>1121369.0419513234</v>
      </c>
      <c r="DK8" s="55">
        <f t="shared" si="6"/>
        <v>2103266.793643259</v>
      </c>
      <c r="DL8" s="55">
        <f t="shared" si="6"/>
        <v>2962736.8104814682</v>
      </c>
      <c r="DM8" s="55">
        <f t="shared" si="6"/>
        <v>980739.31064865121</v>
      </c>
      <c r="DN8" s="55">
        <f t="shared" si="6"/>
        <v>1748755.3231332442</v>
      </c>
      <c r="DO8" s="55">
        <f t="shared" si="6"/>
        <v>3074727.8073956454</v>
      </c>
      <c r="DP8" s="55">
        <f t="shared" si="6"/>
        <v>1175275.9507309641</v>
      </c>
      <c r="DQ8" s="55">
        <f t="shared" si="6"/>
        <v>3376771.3640189609</v>
      </c>
      <c r="DR8" s="55">
        <f t="shared" si="6"/>
        <v>3899464.4632623605</v>
      </c>
      <c r="DS8" s="55">
        <f t="shared" si="6"/>
        <v>820206.18235773256</v>
      </c>
      <c r="DT8" s="55">
        <f t="shared" si="6"/>
        <v>1732448.9173395813</v>
      </c>
      <c r="DU8" s="55">
        <f t="shared" si="6"/>
        <v>3384594.4151773099</v>
      </c>
      <c r="DV8" s="55">
        <f t="shared" si="6"/>
        <v>1460085.6937598099</v>
      </c>
      <c r="DW8" s="55">
        <f t="shared" si="6"/>
        <v>2738571.9069029661</v>
      </c>
      <c r="DX8" s="55">
        <f t="shared" si="6"/>
        <v>3857650.3091542781</v>
      </c>
      <c r="DY8" s="55">
        <f t="shared" si="6"/>
        <v>1276977.8576142571</v>
      </c>
      <c r="DZ8" s="55">
        <f t="shared" si="6"/>
        <v>2276977.9917858639</v>
      </c>
      <c r="EA8" s="55">
        <f t="shared" si="6"/>
        <v>4003468.8990270202</v>
      </c>
      <c r="EB8" s="55">
        <f t="shared" si="6"/>
        <v>1530275.5272217761</v>
      </c>
      <c r="EC8" s="55">
        <f t="shared" si="6"/>
        <v>4396746.6331355171</v>
      </c>
      <c r="ED8" s="55">
        <f t="shared" si="6"/>
        <v>5077322.5076970626</v>
      </c>
      <c r="EE8" s="55">
        <f t="shared" si="6"/>
        <v>1041366.8140487443</v>
      </c>
      <c r="EF8" s="55">
        <f t="shared" si="6"/>
        <v>2199586.9433293934</v>
      </c>
      <c r="EG8" s="55">
        <f t="shared" si="6"/>
        <v>4297217.4299499644</v>
      </c>
      <c r="EH8" s="55">
        <f t="shared" si="6"/>
        <v>1853783.6215499833</v>
      </c>
      <c r="EI8" s="55">
        <f t="shared" si="6"/>
        <v>3477001.2261271873</v>
      </c>
      <c r="EJ8" s="55">
        <f t="shared" si="6"/>
        <v>4897828.2516846852</v>
      </c>
      <c r="EK8" s="55">
        <f t="shared" si="6"/>
        <v>1621302.5356282396</v>
      </c>
      <c r="EL8" s="55">
        <f t="shared" si="6"/>
        <v>2890942.9945395952</v>
      </c>
      <c r="EM8" s="55">
        <f t="shared" si="6"/>
        <v>5082965.4082083702</v>
      </c>
      <c r="EN8" s="55">
        <f t="shared" si="6"/>
        <v>1942899.4619607306</v>
      </c>
      <c r="EO8" s="55">
        <f t="shared" si="6"/>
        <v>5582286.6640267661</v>
      </c>
      <c r="EP8" s="55">
        <f t="shared" si="6"/>
        <v>6446373.2137932032</v>
      </c>
      <c r="EQ8" s="55">
        <f t="shared" si="6"/>
        <v>1287040.6664699318</v>
      </c>
      <c r="ER8" s="55">
        <f t="shared" si="6"/>
        <v>2718502.0756468163</v>
      </c>
      <c r="ES8" s="55">
        <f t="shared" si="6"/>
        <v>5310994.656634151</v>
      </c>
      <c r="ET8" s="55">
        <f t="shared" si="6"/>
        <v>2291118.6294621597</v>
      </c>
      <c r="EU8" s="55">
        <f t="shared" si="6"/>
        <v>4297277.3042314742</v>
      </c>
      <c r="EV8" s="55">
        <f t="shared" si="6"/>
        <v>6053298.4653075915</v>
      </c>
      <c r="EW8" s="55">
        <f t="shared" si="6"/>
        <v>2003791.8126961619</v>
      </c>
      <c r="EX8" s="55">
        <f t="shared" si="6"/>
        <v>3572959.2572215963</v>
      </c>
      <c r="EY8" s="55">
        <f t="shared" si="6"/>
        <v>6282112.2186421948</v>
      </c>
      <c r="EZ8" s="55">
        <f t="shared" si="6"/>
        <v>2401258.216289734</v>
      </c>
      <c r="FA8" s="55">
        <f t="shared" si="6"/>
        <v>6899230.7528621936</v>
      </c>
      <c r="FB8" s="55">
        <f t="shared" si="6"/>
        <v>7967168.115466726</v>
      </c>
    </row>
    <row r="9" spans="1:158" x14ac:dyDescent="0.25">
      <c r="A9" t="s">
        <v>607</v>
      </c>
      <c r="C9" s="258" t="s">
        <v>584</v>
      </c>
      <c r="D9" s="244">
        <f t="shared" si="4"/>
        <v>439111.47</v>
      </c>
      <c r="E9" s="244">
        <f t="shared" si="4"/>
        <v>1451905.1764100001</v>
      </c>
      <c r="F9" s="244">
        <f t="shared" si="4"/>
        <v>2193580.8464450003</v>
      </c>
      <c r="G9" s="244">
        <f t="shared" si="4"/>
        <v>2361877.9045540001</v>
      </c>
      <c r="H9" s="244">
        <f t="shared" si="4"/>
        <v>5600865.7028060667</v>
      </c>
      <c r="I9" s="244">
        <f t="shared" si="4"/>
        <v>8334336.3169988608</v>
      </c>
      <c r="J9" s="244">
        <f t="shared" si="4"/>
        <v>12041011.297420217</v>
      </c>
      <c r="K9" s="244">
        <f t="shared" si="4"/>
        <v>16882719.47014872</v>
      </c>
      <c r="L9" s="244">
        <f t="shared" si="4"/>
        <v>22951120.540563088</v>
      </c>
      <c r="M9" s="244"/>
      <c r="N9" s="294">
        <f t="shared" ref="N9:N11" si="7">SUM(AY9:BA9)</f>
        <v>86228</v>
      </c>
      <c r="O9" s="294">
        <f t="shared" ref="O9:O11" si="8">SUM(BB9:BD9)</f>
        <v>137985</v>
      </c>
      <c r="P9" s="294">
        <f t="shared" ref="P9:P11" si="9">SUM(BE9:BG9)</f>
        <v>186096</v>
      </c>
      <c r="Q9" s="294">
        <f t="shared" ref="Q9:Q11" si="10">SUM(BH9:BJ9)</f>
        <v>28802.47</v>
      </c>
      <c r="R9" s="294">
        <f t="shared" ref="R9:R11" si="11">SUM(BK9:BM9)</f>
        <v>191199.31</v>
      </c>
      <c r="S9" s="294">
        <f t="shared" ref="S9:S11" si="12">SUM(BN9:BP9)</f>
        <v>246946.44</v>
      </c>
      <c r="T9" s="294">
        <f t="shared" ref="T9:T11" si="13">SUM(BQ9:BS9)</f>
        <v>436010.04</v>
      </c>
      <c r="U9" s="294">
        <f t="shared" ref="U9:U11" si="14">SUM(BT9:BV9)</f>
        <v>577749.38641000004</v>
      </c>
      <c r="V9" s="294">
        <f t="shared" ref="V9:V11" si="15">SUM(BW9:BY9)</f>
        <v>302641.86871800001</v>
      </c>
      <c r="W9" s="294">
        <f t="shared" ref="W9:W11" si="16">SUM(BZ9:CB9)</f>
        <v>463726.72047599999</v>
      </c>
      <c r="X9" s="294">
        <f t="shared" ref="X9:X11" si="17">SUM(CC9:CE9)</f>
        <v>601050.76736199996</v>
      </c>
      <c r="Y9" s="294">
        <f t="shared" ref="Y9:Y11" si="18">SUM(CF9:CH9)</f>
        <v>826161.48988900008</v>
      </c>
      <c r="Z9" s="294">
        <f t="shared" ref="Z9:Z11" si="19">SUM(CI9:CK9)</f>
        <v>807279.16977200005</v>
      </c>
      <c r="AA9" s="294">
        <f t="shared" ref="AA9:AA11" si="20">SUM(CL9:CN9)</f>
        <v>1118126.2347820001</v>
      </c>
      <c r="AB9" s="294">
        <f t="shared" ref="AB9:AB11" si="21">SUM(CO9:CQ9)</f>
        <v>193275</v>
      </c>
      <c r="AC9" s="294">
        <f t="shared" ref="AC9:AC11" si="22">SUM(CR9:CT9)</f>
        <v>243197.5</v>
      </c>
      <c r="AD9" s="294">
        <f t="shared" ref="AD9:AD11" si="23">SUM(CU9:CW9)</f>
        <v>991208.35312551237</v>
      </c>
      <c r="AE9" s="294">
        <f t="shared" ref="AE9:AE11" si="24">SUM(CX9:CZ9)</f>
        <v>1318808.5228024684</v>
      </c>
      <c r="AF9" s="294">
        <f t="shared" ref="AF9:AF11" si="25">SUM(DA9:DC9)</f>
        <v>1300190.3277306494</v>
      </c>
      <c r="AG9" s="294">
        <f t="shared" ref="AG9:AG11" si="26">SUM(DD9:DF9)</f>
        <v>1990658.4991474373</v>
      </c>
      <c r="AH9" s="294">
        <f t="shared" ref="AH9:AH11" si="27">SUM(DG9:DI9)</f>
        <v>1519967.3619102342</v>
      </c>
      <c r="AI9" s="294">
        <f t="shared" ref="AI9:AI11" si="28">SUM(DJ9:DL9)</f>
        <v>2062457.5486920166</v>
      </c>
      <c r="AJ9" s="294">
        <f t="shared" ref="AJ9:AJ11" si="29">SUM(DM9:DO9)</f>
        <v>1934740.8137258468</v>
      </c>
      <c r="AK9" s="294">
        <f t="shared" ref="AK9:AK11" si="30">SUM(DP9:DR9)</f>
        <v>2817170.592670762</v>
      </c>
      <c r="AL9" s="294">
        <f t="shared" ref="AL9:AL11" si="31">SUM(DS9:DU9)</f>
        <v>2195968.998652258</v>
      </c>
      <c r="AM9" s="294">
        <f t="shared" ref="AM9:AM11" si="32">SUM(DV9:DX9)</f>
        <v>2979730.3228090471</v>
      </c>
      <c r="AN9" s="294">
        <f t="shared" ref="AN9:AN11" si="33">SUM(DY9:EA9)</f>
        <v>2795211.893253874</v>
      </c>
      <c r="AO9" s="294">
        <f t="shared" ref="AO9:AO11" si="34">SUM(EB9:ED9)</f>
        <v>4070100.0827050363</v>
      </c>
      <c r="AP9" s="294">
        <f t="shared" ref="AP9:AP11" si="35">SUM(EE9:EG9)</f>
        <v>3078971.330035422</v>
      </c>
      <c r="AQ9" s="294">
        <f t="shared" ref="AQ9:AQ11" si="36">SUM(EH9:EJ9)</f>
        <v>4177884.2236830126</v>
      </c>
      <c r="AR9" s="294">
        <f t="shared" ref="AR9:AR11" si="37">SUM(EK9:EM9)</f>
        <v>3919170.6649705637</v>
      </c>
      <c r="AS9" s="294">
        <f t="shared" ref="AS9:AS11" si="38">SUM(EN9:EP9)</f>
        <v>5706693.2514597233</v>
      </c>
      <c r="AT9" s="294">
        <f t="shared" ref="AT9:AT11" si="39">SUM(EQ9:ES9)</f>
        <v>4185690.7153808391</v>
      </c>
      <c r="AU9" s="294">
        <f t="shared" ref="AU9:AU11" si="40">SUM(ET9:EV9)</f>
        <v>5679601.8314353339</v>
      </c>
      <c r="AV9" s="294">
        <f t="shared" ref="AV9:AV11" si="41">SUM(EW9:EY9)</f>
        <v>5327895.1006573718</v>
      </c>
      <c r="AW9" s="294">
        <f t="shared" ref="AW9:AW11" si="42">SUM(EZ9:FB9)</f>
        <v>7757932.8930895422</v>
      </c>
      <c r="AX9" s="244"/>
      <c r="AY9" s="244">
        <f>SUMIFS('ARR Looker'!$G:$G,'ARR Looker'!$B:$B,$A8,'ARR Looker'!$C:$C,AY$5)</f>
        <v>10114</v>
      </c>
      <c r="AZ9" s="244">
        <f>SUMIFS('ARR Looker'!$G:$G,'ARR Looker'!$B:$B,$A8,'ARR Looker'!$C:$C,AZ$5)</f>
        <v>25400</v>
      </c>
      <c r="BA9" s="244">
        <f>SUMIFS('ARR Looker'!$G:$G,'ARR Looker'!$B:$B,$A8,'ARR Looker'!$C:$C,BA$5)</f>
        <v>50714</v>
      </c>
      <c r="BB9" s="244">
        <f>SUMIFS('ARR Looker'!$G:$G,'ARR Looker'!$B:$B,$A8,'ARR Looker'!$C:$C,BB$5)</f>
        <v>35700</v>
      </c>
      <c r="BC9" s="244">
        <f>SUMIFS('ARR Looker'!$G:$G,'ARR Looker'!$B:$B,$A8,'ARR Looker'!$C:$C,BC$5)</f>
        <v>48860</v>
      </c>
      <c r="BD9" s="244">
        <f>SUMIFS('ARR Looker'!$G:$G,'ARR Looker'!$B:$B,$A8,'ARR Looker'!$C:$C,BD$5)</f>
        <v>53425</v>
      </c>
      <c r="BE9" s="244">
        <f>SUMIFS('ARR Looker'!$G:$G,'ARR Looker'!$B:$B,$A8,'ARR Looker'!$C:$C,BE$5)</f>
        <v>49260</v>
      </c>
      <c r="BF9" s="244">
        <f>SUMIFS('ARR Looker'!$G:$G,'ARR Looker'!$B:$B,$A8,'ARR Looker'!$C:$C,BF$5)</f>
        <v>61900</v>
      </c>
      <c r="BG9" s="244">
        <f>SUMIFS('ARR Looker'!$G:$G,'ARR Looker'!$B:$B,$A8,'ARR Looker'!$C:$C,BG$5)</f>
        <v>74936</v>
      </c>
      <c r="BH9" s="244">
        <f>SUMIFS('ARR Looker'!$G:$G,'ARR Looker'!$B:$B,$A8,'ARR Looker'!$C:$C,BH$5)</f>
        <v>5782</v>
      </c>
      <c r="BI9" s="244">
        <f>SUMIFS('ARR Looker'!$G:$G,'ARR Looker'!$B:$B,$A8,'ARR Looker'!$C:$C,BI$5)</f>
        <v>-31962</v>
      </c>
      <c r="BJ9" s="244">
        <f>SUMIFS('ARR Looker'!$G:$G,'ARR Looker'!$B:$B,$A8,'ARR Looker'!$C:$C,BJ$5)</f>
        <v>54982.47</v>
      </c>
      <c r="BK9" s="244">
        <f>SUMIFS('ARR Looker'!$G:$G,'ARR Looker'!$B:$B,$A8,'ARR Looker'!$C:$C,BK$5)</f>
        <v>18700</v>
      </c>
      <c r="BL9" s="244">
        <f>SUMIFS('ARR Looker'!$G:$G,'ARR Looker'!$B:$B,$A8,'ARR Looker'!$C:$C,BL$5)</f>
        <v>75383</v>
      </c>
      <c r="BM9" s="244">
        <f>SUMIFS('ARR Looker'!$G:$G,'ARR Looker'!$B:$B,$A8,'ARR Looker'!$C:$C,BM$5)</f>
        <v>97116.31</v>
      </c>
      <c r="BN9" s="244">
        <f>SUMIFS('ARR Looker'!$G:$G,'ARR Looker'!$B:$B,$A8,'ARR Looker'!$C:$C,BN$5)</f>
        <v>55172.86</v>
      </c>
      <c r="BO9" s="244">
        <f>SUMIFS('ARR Looker'!$G:$G,'ARR Looker'!$B:$B,$A8,'ARR Looker'!$C:$C,BO$5)</f>
        <v>67783.58</v>
      </c>
      <c r="BP9" s="244">
        <f>SUMIFS('ARR Looker'!$G:$G,'ARR Looker'!$B:$B,$A8,'ARR Looker'!$C:$C,BP$5)</f>
        <v>123990</v>
      </c>
      <c r="BQ9" s="244">
        <f>SUMIFS('ARR Looker'!$G:$G,'ARR Looker'!$B:$B,$A8,'ARR Looker'!$C:$C,BQ$5)</f>
        <v>20000</v>
      </c>
      <c r="BR9" s="244">
        <f>SUMIFS('ARR Looker'!$G:$G,'ARR Looker'!$B:$B,$A8,'ARR Looker'!$C:$C,BR$5)</f>
        <v>78367</v>
      </c>
      <c r="BS9" s="244">
        <f>SUMIFS('ARR Looker'!$G:$G,'ARR Looker'!$B:$B,$A8,'ARR Looker'!$C:$C,BS$5)</f>
        <v>337643.04</v>
      </c>
      <c r="BT9" s="244">
        <f>SUMIFS('ARR Looker'!$G:$G,'ARR Looker'!$B:$B,$A8,'ARR Looker'!$C:$C,BT$5)</f>
        <v>153100.20000000001</v>
      </c>
      <c r="BU9" s="244">
        <f>SUMIFS('ARR Looker'!$G:$G,'ARR Looker'!$B:$B,$A8,'ARR Looker'!$C:$C,BU$5)</f>
        <v>189751.02</v>
      </c>
      <c r="BV9" s="244">
        <f>SUMIFS('ARR Looker'!$G:$G,'ARR Looker'!$B:$B,$A8,'ARR Looker'!$C:$C,BV$5)</f>
        <v>234898.16641000001</v>
      </c>
      <c r="BW9" s="244">
        <f>SUMIFS('ARR Looker'!$G:$G,'ARR Looker'!$B:$B,$A8,'ARR Looker'!$C:$C,BW$5)</f>
        <v>78130</v>
      </c>
      <c r="BX9" s="244">
        <f>SUMIFS('ARR Looker'!$G:$G,'ARR Looker'!$B:$B,$A8,'ARR Looker'!$C:$C,BX$5)</f>
        <v>81895.28</v>
      </c>
      <c r="BY9" s="244">
        <f>SUMIFS('ARR Looker'!$G:$G,'ARR Looker'!$B:$B,$A8,'ARR Looker'!$C:$C,BY$5)</f>
        <v>142616.58871800001</v>
      </c>
      <c r="BZ9" s="244">
        <f>SUMIFS('ARR Looker'!$G:$G,'ARR Looker'!$B:$B,$A8,'ARR Looker'!$C:$C,BZ$5)</f>
        <v>90393.339487000005</v>
      </c>
      <c r="CA9" s="244">
        <f>SUMIFS('ARR Looker'!$G:$G,'ARR Looker'!$B:$B,$A8,'ARR Looker'!$C:$C,CA$5)</f>
        <v>111774.990989</v>
      </c>
      <c r="CB9" s="244">
        <f>SUMIFS('ARR Looker'!$G:$G,'ARR Looker'!$B:$B,$A8,'ARR Looker'!$C:$C,CB$5)</f>
        <v>261558.39</v>
      </c>
      <c r="CC9" s="244">
        <f>SUMIFS('ARR Looker'!$G:$G,'ARR Looker'!$B:$B,$A8,'ARR Looker'!$C:$C,CC$5)</f>
        <v>126378.017179</v>
      </c>
      <c r="CD9" s="244">
        <f>SUMIFS('ARR Looker'!$G:$G,'ARR Looker'!$B:$B,$A8,'ARR Looker'!$C:$C,CD$5)</f>
        <v>115947.783516</v>
      </c>
      <c r="CE9" s="244">
        <f>SUMIFS('ARR Looker'!$G:$G,'ARR Looker'!$B:$B,$A8,'ARR Looker'!$C:$C,CE$5)</f>
        <v>358724.96666699997</v>
      </c>
      <c r="CF9" s="244">
        <f>SUMIFS('ARR Looker'!$G:$G,'ARR Looker'!$B:$B,$A8,'ARR Looker'!$C:$C,CF$5)</f>
        <v>223314.496923</v>
      </c>
      <c r="CG9" s="244">
        <f>SUMIFS('ARR Looker'!$G:$G,'ARR Looker'!$B:$B,$A8,'ARR Looker'!$C:$C,CG$5)</f>
        <v>367222.077582</v>
      </c>
      <c r="CH9" s="244">
        <f>SUMIFS('ARR Looker'!$G:$G,'ARR Looker'!$B:$B,$A8,'ARR Looker'!$C:$C,CH$5)</f>
        <v>235624.91538399999</v>
      </c>
      <c r="CI9" s="55">
        <f>SUMIFS('ARR Looker'!$G:$G,'ARR Looker'!$B:$B,$A8,'ARR Looker'!$C:$C,CI$5)</f>
        <v>235255.434156</v>
      </c>
      <c r="CJ9" s="55">
        <f>SUMIFS('ARR Looker'!$G:$G,'ARR Looker'!$B:$B,$A8,'ARR Looker'!$C:$C,CJ$5)</f>
        <v>196334.71927500001</v>
      </c>
      <c r="CK9" s="55">
        <f>SUMIFS('ARR Looker'!$G:$G,'ARR Looker'!$B:$B,$A8,'ARR Looker'!$C:$C,CK$5)</f>
        <v>375689.01634099998</v>
      </c>
      <c r="CL9" s="55">
        <f>SUMIFS('ARR Looker'!$G:$G,'ARR Looker'!$B:$B,$A8,'ARR Looker'!$C:$C,CL$5)</f>
        <v>299108.39999300003</v>
      </c>
      <c r="CM9" s="55">
        <f>SUMIFS('ARR Looker'!$G:$G,'ARR Looker'!$B:$B,$A8,'ARR Looker'!$C:$C,CM$5)</f>
        <v>398134.54097700003</v>
      </c>
      <c r="CN9" s="55">
        <f>SUMIFS('ARR Looker'!$G:$G,'ARR Looker'!$B:$B,$A8,'ARR Looker'!$C:$C,CN$5)</f>
        <v>420883.29381200002</v>
      </c>
      <c r="CO9" s="55">
        <f>'22 Fcst ARR'!C4</f>
        <v>28991.25</v>
      </c>
      <c r="CP9" s="55">
        <f>'22 Fcst ARR'!D4</f>
        <v>67646.25</v>
      </c>
      <c r="CQ9" s="55">
        <f>'22 Fcst ARR'!E4</f>
        <v>96637.5</v>
      </c>
      <c r="CR9" s="55">
        <f>'22 Fcst ARR'!F4</f>
        <v>24319.75</v>
      </c>
      <c r="CS9" s="55">
        <f>'22 Fcst ARR'!G4</f>
        <v>97279</v>
      </c>
      <c r="CT9" s="55">
        <f>'22 Fcst ARR'!H4</f>
        <v>121598.75</v>
      </c>
      <c r="CU9" s="55">
        <f>CU83</f>
        <v>131027.90435557923</v>
      </c>
      <c r="CV9" s="55">
        <f t="shared" ref="CV9:FB9" si="43">CV83</f>
        <v>287971.46913441527</v>
      </c>
      <c r="CW9" s="55">
        <f t="shared" si="43"/>
        <v>572208.97963551781</v>
      </c>
      <c r="CX9" s="55">
        <f t="shared" si="43"/>
        <v>228791.80010945431</v>
      </c>
      <c r="CY9" s="55">
        <f t="shared" si="43"/>
        <v>448744.42468724726</v>
      </c>
      <c r="CZ9" s="55">
        <f t="shared" si="43"/>
        <v>641272.2980057667</v>
      </c>
      <c r="DA9" s="55">
        <f t="shared" si="43"/>
        <v>219693.12490234314</v>
      </c>
      <c r="DB9" s="55">
        <f t="shared" si="43"/>
        <v>391734.60006885044</v>
      </c>
      <c r="DC9" s="55">
        <f t="shared" si="43"/>
        <v>688762.6027594558</v>
      </c>
      <c r="DD9" s="55">
        <f t="shared" si="43"/>
        <v>295755.8448672446</v>
      </c>
      <c r="DE9" s="55">
        <f t="shared" si="43"/>
        <v>788907.69628383731</v>
      </c>
      <c r="DF9" s="55">
        <f t="shared" si="43"/>
        <v>905994.95799635537</v>
      </c>
      <c r="DG9" s="55">
        <f t="shared" si="43"/>
        <v>209977.1323568963</v>
      </c>
      <c r="DH9" s="55">
        <f t="shared" si="43"/>
        <v>443516.11026886269</v>
      </c>
      <c r="DI9" s="55">
        <f t="shared" si="43"/>
        <v>866474.11928447522</v>
      </c>
      <c r="DJ9" s="55">
        <f t="shared" si="43"/>
        <v>373789.68065044121</v>
      </c>
      <c r="DK9" s="55">
        <f t="shared" si="43"/>
        <v>701088.93121441966</v>
      </c>
      <c r="DL9" s="55">
        <f t="shared" si="43"/>
        <v>987578.93682715576</v>
      </c>
      <c r="DM9" s="55">
        <f t="shared" si="43"/>
        <v>326913.1035495504</v>
      </c>
      <c r="DN9" s="55">
        <f t="shared" si="43"/>
        <v>582918.44104441488</v>
      </c>
      <c r="DO9" s="55">
        <f t="shared" si="43"/>
        <v>1024909.2691318817</v>
      </c>
      <c r="DP9" s="55">
        <f t="shared" si="43"/>
        <v>391758.65024365461</v>
      </c>
      <c r="DQ9" s="55">
        <f t="shared" si="43"/>
        <v>1125590.4546729866</v>
      </c>
      <c r="DR9" s="55">
        <f t="shared" si="43"/>
        <v>1299821.4877541205</v>
      </c>
      <c r="DS9" s="55">
        <f t="shared" si="43"/>
        <v>303363.93046107923</v>
      </c>
      <c r="DT9" s="55">
        <f t="shared" si="43"/>
        <v>640768.77764614648</v>
      </c>
      <c r="DU9" s="55">
        <f t="shared" si="43"/>
        <v>1251836.2905450324</v>
      </c>
      <c r="DV9" s="55">
        <f t="shared" si="43"/>
        <v>540031.69495225837</v>
      </c>
      <c r="DW9" s="55">
        <f t="shared" si="43"/>
        <v>1012896.4587175352</v>
      </c>
      <c r="DX9" s="55">
        <f t="shared" si="43"/>
        <v>1426802.1691392534</v>
      </c>
      <c r="DY9" s="55">
        <f t="shared" si="43"/>
        <v>472306.8788436295</v>
      </c>
      <c r="DZ9" s="55">
        <f t="shared" si="43"/>
        <v>842169.94216737431</v>
      </c>
      <c r="EA9" s="55">
        <f t="shared" si="43"/>
        <v>1480735.0722428705</v>
      </c>
      <c r="EB9" s="55">
        <f t="shared" si="43"/>
        <v>565992.31828750623</v>
      </c>
      <c r="EC9" s="55">
        <f t="shared" si="43"/>
        <v>1626193.960200808</v>
      </c>
      <c r="ED9" s="55">
        <f t="shared" si="43"/>
        <v>1877913.804216722</v>
      </c>
      <c r="EE9" s="55">
        <f t="shared" si="43"/>
        <v>425347.00855512102</v>
      </c>
      <c r="EF9" s="55">
        <f t="shared" si="43"/>
        <v>898422.8360077804</v>
      </c>
      <c r="EG9" s="55">
        <f t="shared" si="43"/>
        <v>1755201.4854725208</v>
      </c>
      <c r="EH9" s="55">
        <f t="shared" si="43"/>
        <v>757179.22570351441</v>
      </c>
      <c r="EI9" s="55">
        <f t="shared" si="43"/>
        <v>1420183.5994040626</v>
      </c>
      <c r="EJ9" s="55">
        <f t="shared" si="43"/>
        <v>2000521.3985754354</v>
      </c>
      <c r="EK9" s="55">
        <f t="shared" si="43"/>
        <v>662222.16243970348</v>
      </c>
      <c r="EL9" s="55">
        <f t="shared" si="43"/>
        <v>1180807.7019950463</v>
      </c>
      <c r="EM9" s="55">
        <f t="shared" si="43"/>
        <v>2076140.8005358139</v>
      </c>
      <c r="EN9" s="55">
        <f t="shared" si="43"/>
        <v>793578.65347691812</v>
      </c>
      <c r="EO9" s="55">
        <f t="shared" si="43"/>
        <v>2280088.9191095252</v>
      </c>
      <c r="EP9" s="55">
        <f t="shared" si="43"/>
        <v>2633025.6788732801</v>
      </c>
      <c r="EQ9" s="55">
        <f t="shared" si="43"/>
        <v>578235.66174736083</v>
      </c>
      <c r="ER9" s="55">
        <f t="shared" si="43"/>
        <v>1221356.0050007435</v>
      </c>
      <c r="ES9" s="55">
        <f t="shared" si="43"/>
        <v>2386099.0486327345</v>
      </c>
      <c r="ET9" s="55">
        <f t="shared" si="43"/>
        <v>1029343.1523670573</v>
      </c>
      <c r="EU9" s="55">
        <f t="shared" si="43"/>
        <v>1930660.8178431261</v>
      </c>
      <c r="EV9" s="55">
        <f t="shared" si="43"/>
        <v>2719597.8612251505</v>
      </c>
      <c r="EW9" s="55">
        <f t="shared" si="43"/>
        <v>900254.29266059469</v>
      </c>
      <c r="EX9" s="55">
        <f t="shared" si="43"/>
        <v>1605242.5648386888</v>
      </c>
      <c r="EY9" s="55">
        <f t="shared" si="43"/>
        <v>2822398.2431580881</v>
      </c>
      <c r="EZ9" s="55">
        <f t="shared" si="43"/>
        <v>1078826.1551446631</v>
      </c>
      <c r="FA9" s="55">
        <f t="shared" si="43"/>
        <v>3099654.3962134505</v>
      </c>
      <c r="FB9" s="55">
        <f t="shared" si="43"/>
        <v>3579452.3417314282</v>
      </c>
    </row>
    <row r="10" spans="1:158" x14ac:dyDescent="0.25">
      <c r="A10" t="s">
        <v>607</v>
      </c>
      <c r="C10" s="258" t="s">
        <v>583</v>
      </c>
      <c r="D10" s="244">
        <f t="shared" si="4"/>
        <v>-94675.41</v>
      </c>
      <c r="E10" s="244">
        <f t="shared" si="4"/>
        <v>-188897.5</v>
      </c>
      <c r="F10" s="244">
        <f t="shared" si="4"/>
        <v>-510444.66230800003</v>
      </c>
      <c r="G10" s="244">
        <f t="shared" si="4"/>
        <v>-650085.40134785243</v>
      </c>
      <c r="H10" s="244">
        <f t="shared" si="4"/>
        <v>-1052948.2956437089</v>
      </c>
      <c r="I10" s="244">
        <f t="shared" si="4"/>
        <v>-1683811.4317105005</v>
      </c>
      <c r="J10" s="244">
        <f t="shared" si="4"/>
        <v>-2377736.6491556466</v>
      </c>
      <c r="K10" s="244">
        <f t="shared" si="4"/>
        <v>-3288485.2070787</v>
      </c>
      <c r="L10" s="244">
        <f t="shared" si="4"/>
        <v>-4451540.0587274004</v>
      </c>
      <c r="M10" s="244"/>
      <c r="N10" s="294">
        <f t="shared" si="7"/>
        <v>-22049.4</v>
      </c>
      <c r="O10" s="294">
        <f t="shared" si="8"/>
        <v>-11000</v>
      </c>
      <c r="P10" s="294">
        <f t="shared" si="9"/>
        <v>-12626</v>
      </c>
      <c r="Q10" s="294">
        <f t="shared" si="10"/>
        <v>-49000.01</v>
      </c>
      <c r="R10" s="294">
        <f t="shared" si="11"/>
        <v>-68050.5</v>
      </c>
      <c r="S10" s="294">
        <f t="shared" si="12"/>
        <v>-34819</v>
      </c>
      <c r="T10" s="294">
        <f t="shared" si="13"/>
        <v>-39635</v>
      </c>
      <c r="U10" s="294">
        <f t="shared" si="14"/>
        <v>-46393</v>
      </c>
      <c r="V10" s="294">
        <f t="shared" si="15"/>
        <v>-102463.13</v>
      </c>
      <c r="W10" s="294">
        <f t="shared" si="16"/>
        <v>-92597.39230800001</v>
      </c>
      <c r="X10" s="294">
        <f t="shared" si="17"/>
        <v>-67657.820000000007</v>
      </c>
      <c r="Y10" s="294">
        <f t="shared" si="18"/>
        <v>-247726.31999999998</v>
      </c>
      <c r="Z10" s="294">
        <f t="shared" si="19"/>
        <v>-186557.249412</v>
      </c>
      <c r="AA10" s="294">
        <f t="shared" si="20"/>
        <v>-107671.763766</v>
      </c>
      <c r="AB10" s="294">
        <f t="shared" si="21"/>
        <v>-150574.51859129546</v>
      </c>
      <c r="AC10" s="294">
        <f t="shared" si="22"/>
        <v>-205281.86957855683</v>
      </c>
      <c r="AD10" s="294">
        <f t="shared" si="23"/>
        <v>-216653.44854578315</v>
      </c>
      <c r="AE10" s="294">
        <f t="shared" si="24"/>
        <v>-244031.34587682824</v>
      </c>
      <c r="AF10" s="294">
        <f t="shared" si="25"/>
        <v>-223660.96272889775</v>
      </c>
      <c r="AG10" s="294">
        <f t="shared" si="26"/>
        <v>-368602.53849219985</v>
      </c>
      <c r="AH10" s="294">
        <f t="shared" si="27"/>
        <v>-346459.13278949133</v>
      </c>
      <c r="AI10" s="294">
        <f t="shared" si="28"/>
        <v>-390240.21557668352</v>
      </c>
      <c r="AJ10" s="294">
        <f t="shared" si="29"/>
        <v>-357665.12698523526</v>
      </c>
      <c r="AK10" s="294">
        <f t="shared" si="30"/>
        <v>-589446.95635909028</v>
      </c>
      <c r="AL10" s="294">
        <f t="shared" si="31"/>
        <v>-489240.3994617202</v>
      </c>
      <c r="AM10" s="294">
        <f t="shared" si="32"/>
        <v>-551064.3561841629</v>
      </c>
      <c r="AN10" s="294">
        <f t="shared" si="33"/>
        <v>-505064.56040257961</v>
      </c>
      <c r="AO10" s="294">
        <f t="shared" si="34"/>
        <v>-832367.33310718357</v>
      </c>
      <c r="AP10" s="294">
        <f t="shared" si="35"/>
        <v>-676634.99105607858</v>
      </c>
      <c r="AQ10" s="294">
        <f t="shared" si="36"/>
        <v>-762139.48424586165</v>
      </c>
      <c r="AR10" s="294">
        <f t="shared" si="37"/>
        <v>-698520.30757627753</v>
      </c>
      <c r="AS10" s="294">
        <f t="shared" si="38"/>
        <v>-1151190.4242004824</v>
      </c>
      <c r="AT10" s="294">
        <f t="shared" si="39"/>
        <v>-915943.83983820211</v>
      </c>
      <c r="AU10" s="294">
        <f t="shared" si="40"/>
        <v>-1031689.1306536137</v>
      </c>
      <c r="AV10" s="294">
        <f t="shared" si="41"/>
        <v>-945569.44465402537</v>
      </c>
      <c r="AW10" s="294">
        <f t="shared" si="42"/>
        <v>-1558337.643581559</v>
      </c>
      <c r="AX10" s="244"/>
      <c r="AY10" s="244">
        <f>SUMIFS('ARR Looker'!$F:$F,'ARR Looker'!$B:$B,$A9,'ARR Looker'!$C:$C,AY$5)</f>
        <v>0</v>
      </c>
      <c r="AZ10" s="244">
        <f>SUMIFS('ARR Looker'!$F:$F,'ARR Looker'!$B:$B,$A9,'ARR Looker'!$C:$C,AZ$5)</f>
        <v>-1050</v>
      </c>
      <c r="BA10" s="244">
        <f>SUMIFS('ARR Looker'!$F:$F,'ARR Looker'!$B:$B,$A9,'ARR Looker'!$C:$C,BA$5)</f>
        <v>-20999.4</v>
      </c>
      <c r="BB10" s="244">
        <f>SUMIFS('ARR Looker'!$F:$F,'ARR Looker'!$B:$B,$A9,'ARR Looker'!$C:$C,BB$5)</f>
        <v>-6000</v>
      </c>
      <c r="BC10" s="244">
        <f>SUMIFS('ARR Looker'!$F:$F,'ARR Looker'!$B:$B,$A9,'ARR Looker'!$C:$C,BC$5)</f>
        <v>-3500</v>
      </c>
      <c r="BD10" s="244">
        <f>SUMIFS('ARR Looker'!$F:$F,'ARR Looker'!$B:$B,$A9,'ARR Looker'!$C:$C,BD$5)</f>
        <v>-1500</v>
      </c>
      <c r="BE10" s="244">
        <f>SUMIFS('ARR Looker'!$F:$F,'ARR Looker'!$B:$B,$A9,'ARR Looker'!$C:$C,BE$5)</f>
        <v>0</v>
      </c>
      <c r="BF10" s="244">
        <f>SUMIFS('ARR Looker'!$F:$F,'ARR Looker'!$B:$B,$A9,'ARR Looker'!$C:$C,BF$5)</f>
        <v>-1</v>
      </c>
      <c r="BG10" s="244">
        <f>SUMIFS('ARR Looker'!$F:$F,'ARR Looker'!$B:$B,$A9,'ARR Looker'!$C:$C,BG$5)</f>
        <v>-12625</v>
      </c>
      <c r="BH10" s="244">
        <f>SUMIFS('ARR Looker'!$F:$F,'ARR Looker'!$B:$B,$A9,'ARR Looker'!$C:$C,BH$5)</f>
        <v>0</v>
      </c>
      <c r="BI10" s="244">
        <f>SUMIFS('ARR Looker'!$F:$F,'ARR Looker'!$B:$B,$A9,'ARR Looker'!$C:$C,BI$5)</f>
        <v>0</v>
      </c>
      <c r="BJ10" s="244">
        <f>SUMIFS('ARR Looker'!$F:$F,'ARR Looker'!$B:$B,$A9,'ARR Looker'!$C:$C,BJ$5)</f>
        <v>-49000.01</v>
      </c>
      <c r="BK10" s="244">
        <f>SUMIFS('ARR Looker'!$F:$F,'ARR Looker'!$B:$B,$A9,'ARR Looker'!$C:$C,BK$5)</f>
        <v>-16400</v>
      </c>
      <c r="BL10" s="244">
        <f>SUMIFS('ARR Looker'!$F:$F,'ARR Looker'!$B:$B,$A9,'ARR Looker'!$C:$C,BL$5)</f>
        <v>-0.5</v>
      </c>
      <c r="BM10" s="244">
        <f>SUMIFS('ARR Looker'!$F:$F,'ARR Looker'!$B:$B,$A9,'ARR Looker'!$C:$C,BM$5)</f>
        <v>-51650</v>
      </c>
      <c r="BN10" s="244">
        <f>SUMIFS('ARR Looker'!$F:$F,'ARR Looker'!$B:$B,$A9,'ARR Looker'!$C:$C,BN$5)</f>
        <v>-24519</v>
      </c>
      <c r="BO10" s="244">
        <f>SUMIFS('ARR Looker'!$F:$F,'ARR Looker'!$B:$B,$A9,'ARR Looker'!$C:$C,BO$5)</f>
        <v>0</v>
      </c>
      <c r="BP10" s="244">
        <f>SUMIFS('ARR Looker'!$F:$F,'ARR Looker'!$B:$B,$A9,'ARR Looker'!$C:$C,BP$5)</f>
        <v>-10300</v>
      </c>
      <c r="BQ10" s="244">
        <f>SUMIFS('ARR Looker'!$F:$F,'ARR Looker'!$B:$B,$A9,'ARR Looker'!$C:$C,BQ$5)</f>
        <v>-6920</v>
      </c>
      <c r="BR10" s="244">
        <f>SUMIFS('ARR Looker'!$F:$F,'ARR Looker'!$B:$B,$A9,'ARR Looker'!$C:$C,BR$5)</f>
        <v>-4500</v>
      </c>
      <c r="BS10" s="244">
        <f>SUMIFS('ARR Looker'!$F:$F,'ARR Looker'!$B:$B,$A9,'ARR Looker'!$C:$C,BS$5)</f>
        <v>-28215</v>
      </c>
      <c r="BT10" s="244">
        <f>SUMIFS('ARR Looker'!$F:$F,'ARR Looker'!$B:$B,$A9,'ARR Looker'!$C:$C,BT$5)</f>
        <v>0</v>
      </c>
      <c r="BU10" s="244">
        <f>SUMIFS('ARR Looker'!$F:$F,'ARR Looker'!$B:$B,$A9,'ARR Looker'!$C:$C,BU$5)</f>
        <v>-6500</v>
      </c>
      <c r="BV10" s="244">
        <f>SUMIFS('ARR Looker'!$F:$F,'ARR Looker'!$B:$B,$A9,'ARR Looker'!$C:$C,BV$5)</f>
        <v>-39893</v>
      </c>
      <c r="BW10" s="244">
        <f>SUMIFS('ARR Looker'!$F:$F,'ARR Looker'!$B:$B,$A9,'ARR Looker'!$C:$C,BW$5)</f>
        <v>-21677</v>
      </c>
      <c r="BX10" s="244">
        <f>SUMIFS('ARR Looker'!$F:$F,'ARR Looker'!$B:$B,$A9,'ARR Looker'!$C:$C,BX$5)</f>
        <v>-34500</v>
      </c>
      <c r="BY10" s="244">
        <f>SUMIFS('ARR Looker'!$F:$F,'ARR Looker'!$B:$B,$A9,'ARR Looker'!$C:$C,BY$5)</f>
        <v>-46286.13</v>
      </c>
      <c r="BZ10" s="244">
        <f>SUMIFS('ARR Looker'!$F:$F,'ARR Looker'!$B:$B,$A9,'ARR Looker'!$C:$C,BZ$5)</f>
        <v>-42533.837692000001</v>
      </c>
      <c r="CA10" s="244">
        <f>SUMIFS('ARR Looker'!$F:$F,'ARR Looker'!$B:$B,$A9,'ARR Looker'!$C:$C,CA$5)</f>
        <v>-49563.554616000001</v>
      </c>
      <c r="CB10" s="244">
        <f>SUMIFS('ARR Looker'!$F:$F,'ARR Looker'!$B:$B,$A9,'ARR Looker'!$C:$C,CB$5)</f>
        <v>-500</v>
      </c>
      <c r="CC10" s="244">
        <f>SUMIFS('ARR Looker'!$F:$F,'ARR Looker'!$B:$B,$A9,'ARR Looker'!$C:$C,CC$5)</f>
        <v>-24383.33</v>
      </c>
      <c r="CD10" s="244">
        <f>SUMIFS('ARR Looker'!$F:$F,'ARR Looker'!$B:$B,$A9,'ARR Looker'!$C:$C,CD$5)</f>
        <v>-20190</v>
      </c>
      <c r="CE10" s="244">
        <f>SUMIFS('ARR Looker'!$F:$F,'ARR Looker'!$B:$B,$A9,'ARR Looker'!$C:$C,CE$5)</f>
        <v>-23084.49</v>
      </c>
      <c r="CF10" s="244">
        <f>SUMIFS('ARR Looker'!$F:$F,'ARR Looker'!$B:$B,$A9,'ARR Looker'!$C:$C,CF$5)</f>
        <v>-36049.99</v>
      </c>
      <c r="CG10" s="244">
        <f>SUMIFS('ARR Looker'!$F:$F,'ARR Looker'!$B:$B,$A9,'ARR Looker'!$C:$C,CG$5)</f>
        <v>-155911.32999999999</v>
      </c>
      <c r="CH10" s="244">
        <f>SUMIFS('ARR Looker'!$F:$F,'ARR Looker'!$B:$B,$A9,'ARR Looker'!$C:$C,CH$5)</f>
        <v>-55765</v>
      </c>
      <c r="CI10" s="55">
        <f>SUMIFS('ARR Looker'!$F:$F,'ARR Looker'!$B:$B,$A9,'ARR Looker'!$C:$C,CI$5)</f>
        <v>-55331.402941</v>
      </c>
      <c r="CJ10" s="55">
        <f>SUMIFS('ARR Looker'!$F:$F,'ARR Looker'!$B:$B,$A9,'ARR Looker'!$C:$C,CJ$5)</f>
        <v>-44150</v>
      </c>
      <c r="CK10" s="55">
        <f>SUMIFS('ARR Looker'!$F:$F,'ARR Looker'!$B:$B,$A9,'ARR Looker'!$C:$C,CK$5)</f>
        <v>-87075.846470999997</v>
      </c>
      <c r="CL10" s="55">
        <f>SUMIFS('ARR Looker'!$F:$F,'ARR Looker'!$B:$B,$A9,'ARR Looker'!$C:$C,CL$5)</f>
        <v>-17490.400000000001</v>
      </c>
      <c r="CM10" s="55">
        <f>SUMIFS('ARR Looker'!$F:$F,'ARR Looker'!$B:$B,$A9,'ARR Looker'!$C:$C,CM$5)</f>
        <v>-44790.363766000002</v>
      </c>
      <c r="CN10" s="55">
        <f>SUMIFS('ARR Looker'!$F:$F,'ARR Looker'!$B:$B,$A9,'ARR Looker'!$C:$C,CN$5)</f>
        <v>-45391</v>
      </c>
      <c r="CO10" s="55">
        <f>'22 Fcst ARR'!C5</f>
        <v>-26696.519825506879</v>
      </c>
      <c r="CP10" s="55">
        <f>'22 Fcst ARR'!D5</f>
        <v>-41849.712731998516</v>
      </c>
      <c r="CQ10" s="55">
        <f>'22 Fcst ARR'!E5</f>
        <v>-82028.286033790078</v>
      </c>
      <c r="CR10" s="55">
        <f>'22 Fcst ARR'!F5</f>
        <v>-36567.587490119142</v>
      </c>
      <c r="CS10" s="55">
        <f>'22 Fcst ARR'!G5</f>
        <v>-70554.338046361823</v>
      </c>
      <c r="CT10" s="55">
        <f>'22 Fcst ARR'!H5</f>
        <v>-98159.944042075862</v>
      </c>
      <c r="CU10" s="55">
        <f>CU97</f>
        <v>-46893.678024533045</v>
      </c>
      <c r="CV10" s="55">
        <f t="shared" ref="CV10:FB10" si="44">CV97</f>
        <v>-59310.1519554439</v>
      </c>
      <c r="CW10" s="55">
        <f t="shared" si="44"/>
        <v>-110449.6185658062</v>
      </c>
      <c r="CX10" s="55">
        <f t="shared" si="44"/>
        <v>-73235.282645670304</v>
      </c>
      <c r="CY10" s="55">
        <f t="shared" si="44"/>
        <v>-59999.61665839138</v>
      </c>
      <c r="CZ10" s="55">
        <f t="shared" si="44"/>
        <v>-110796.44657276654</v>
      </c>
      <c r="DA10" s="55">
        <f t="shared" si="44"/>
        <v>-73862.922726678982</v>
      </c>
      <c r="DB10" s="55">
        <f t="shared" si="44"/>
        <v>-57941.317232469373</v>
      </c>
      <c r="DC10" s="55">
        <f t="shared" si="44"/>
        <v>-91856.722769749424</v>
      </c>
      <c r="DD10" s="55">
        <f t="shared" si="44"/>
        <v>-72613.896913082615</v>
      </c>
      <c r="DE10" s="55">
        <f t="shared" si="44"/>
        <v>-152617.42579419608</v>
      </c>
      <c r="DF10" s="55">
        <f t="shared" si="44"/>
        <v>-143371.21578492114</v>
      </c>
      <c r="DG10" s="55">
        <f t="shared" si="44"/>
        <v>-74989.542657827056</v>
      </c>
      <c r="DH10" s="55">
        <f t="shared" si="44"/>
        <v>-94845.219173853751</v>
      </c>
      <c r="DI10" s="55">
        <f t="shared" si="44"/>
        <v>-176624.37095781055</v>
      </c>
      <c r="DJ10" s="55">
        <f t="shared" si="44"/>
        <v>-117113.44862184548</v>
      </c>
      <c r="DK10" s="55">
        <f t="shared" si="44"/>
        <v>-95947.769558698739</v>
      </c>
      <c r="DL10" s="55">
        <f t="shared" si="44"/>
        <v>-177178.99739613928</v>
      </c>
      <c r="DM10" s="55">
        <f t="shared" si="44"/>
        <v>-118117.13279871763</v>
      </c>
      <c r="DN10" s="55">
        <f t="shared" si="44"/>
        <v>-92656.261212477548</v>
      </c>
      <c r="DO10" s="55">
        <f t="shared" si="44"/>
        <v>-146891.73297404006</v>
      </c>
      <c r="DP10" s="55">
        <f t="shared" si="44"/>
        <v>-116119.76602189094</v>
      </c>
      <c r="DQ10" s="55">
        <f t="shared" si="44"/>
        <v>-244056.58596312645</v>
      </c>
      <c r="DR10" s="55">
        <f t="shared" si="44"/>
        <v>-229270.60437407292</v>
      </c>
      <c r="DS10" s="55">
        <f t="shared" si="44"/>
        <v>-105893.91455776288</v>
      </c>
      <c r="DT10" s="55">
        <f t="shared" si="44"/>
        <v>-133932.42816850363</v>
      </c>
      <c r="DU10" s="55">
        <f t="shared" si="44"/>
        <v>-249414.05673545369</v>
      </c>
      <c r="DV10" s="55">
        <f t="shared" si="44"/>
        <v>-165377.74578136113</v>
      </c>
      <c r="DW10" s="55">
        <f t="shared" si="44"/>
        <v>-135489.35693630722</v>
      </c>
      <c r="DX10" s="55">
        <f t="shared" si="44"/>
        <v>-250197.25346649459</v>
      </c>
      <c r="DY10" s="55">
        <f t="shared" si="44"/>
        <v>-166795.06401936727</v>
      </c>
      <c r="DZ10" s="55">
        <f t="shared" si="44"/>
        <v>-130841.36614682706</v>
      </c>
      <c r="EA10" s="55">
        <f t="shared" si="44"/>
        <v>-207428.13023638524</v>
      </c>
      <c r="EB10" s="55">
        <f t="shared" si="44"/>
        <v>-163974.55092768322</v>
      </c>
      <c r="EC10" s="55">
        <f t="shared" si="44"/>
        <v>-344636.14985843812</v>
      </c>
      <c r="ED10" s="55">
        <f t="shared" si="44"/>
        <v>-323756.63232106226</v>
      </c>
      <c r="EE10" s="55">
        <f t="shared" si="44"/>
        <v>-146454.64276563955</v>
      </c>
      <c r="EF10" s="55">
        <f t="shared" si="44"/>
        <v>-185232.79646493099</v>
      </c>
      <c r="EG10" s="55">
        <f t="shared" si="44"/>
        <v>-344947.55182550807</v>
      </c>
      <c r="EH10" s="55">
        <f t="shared" si="44"/>
        <v>-228722.6681622419</v>
      </c>
      <c r="EI10" s="55">
        <f t="shared" si="44"/>
        <v>-187386.07833624983</v>
      </c>
      <c r="EJ10" s="55">
        <f t="shared" si="44"/>
        <v>-346030.73774736986</v>
      </c>
      <c r="EK10" s="55">
        <f t="shared" si="44"/>
        <v>-230682.86424243494</v>
      </c>
      <c r="EL10" s="55">
        <f t="shared" si="44"/>
        <v>-180957.75964112801</v>
      </c>
      <c r="EM10" s="55">
        <f t="shared" si="44"/>
        <v>-286879.68369271461</v>
      </c>
      <c r="EN10" s="55">
        <f t="shared" si="44"/>
        <v>-226782.00517056562</v>
      </c>
      <c r="EO10" s="55">
        <f t="shared" si="44"/>
        <v>-476642.72703896242</v>
      </c>
      <c r="EP10" s="55">
        <f t="shared" si="44"/>
        <v>-447765.69199095434</v>
      </c>
      <c r="EQ10" s="55">
        <f t="shared" si="44"/>
        <v>-198251.98168886063</v>
      </c>
      <c r="ER10" s="55">
        <f t="shared" si="44"/>
        <v>-250744.99708217962</v>
      </c>
      <c r="ES10" s="55">
        <f t="shared" si="44"/>
        <v>-466946.8610671619</v>
      </c>
      <c r="ET10" s="55">
        <f t="shared" si="44"/>
        <v>-309616.14711586788</v>
      </c>
      <c r="EU10" s="55">
        <f t="shared" si="44"/>
        <v>-253659.84081852177</v>
      </c>
      <c r="EV10" s="55">
        <f t="shared" si="44"/>
        <v>-468413.14271922415</v>
      </c>
      <c r="EW10" s="55">
        <f t="shared" si="44"/>
        <v>-312269.61545294797</v>
      </c>
      <c r="EX10" s="55">
        <f t="shared" si="44"/>
        <v>-244957.98680987276</v>
      </c>
      <c r="EY10" s="55">
        <f t="shared" si="44"/>
        <v>-388341.84239120473</v>
      </c>
      <c r="EZ10" s="55">
        <f t="shared" si="44"/>
        <v>-306989.12023147114</v>
      </c>
      <c r="FA10" s="55">
        <f t="shared" si="44"/>
        <v>-645219.32120834745</v>
      </c>
      <c r="FB10" s="55">
        <f t="shared" si="44"/>
        <v>-606129.20214174036</v>
      </c>
    </row>
    <row r="11" spans="1:158" x14ac:dyDescent="0.25">
      <c r="A11" t="s">
        <v>607</v>
      </c>
      <c r="C11" s="258" t="s">
        <v>22</v>
      </c>
      <c r="D11" s="295">
        <f t="shared" si="4"/>
        <v>-449131</v>
      </c>
      <c r="E11" s="295">
        <f t="shared" si="4"/>
        <v>-1169882.71</v>
      </c>
      <c r="F11" s="295">
        <f t="shared" si="4"/>
        <v>-2397605.5235900003</v>
      </c>
      <c r="G11" s="295">
        <f t="shared" si="4"/>
        <v>-2613581.8157095336</v>
      </c>
      <c r="H11" s="295">
        <f t="shared" si="4"/>
        <v>-4233238.4524724949</v>
      </c>
      <c r="I11" s="295">
        <f t="shared" si="4"/>
        <v>-6769539.7095182538</v>
      </c>
      <c r="J11" s="295">
        <f t="shared" si="4"/>
        <v>-9559373.6698204428</v>
      </c>
      <c r="K11" s="295">
        <f t="shared" si="4"/>
        <v>-13220917.006643813</v>
      </c>
      <c r="L11" s="295">
        <f t="shared" si="4"/>
        <v>-17896824.209973343</v>
      </c>
      <c r="M11" s="244"/>
      <c r="N11" s="295">
        <f t="shared" si="7"/>
        <v>-114646</v>
      </c>
      <c r="O11" s="295">
        <f t="shared" si="8"/>
        <v>-66100</v>
      </c>
      <c r="P11" s="295">
        <f t="shared" si="9"/>
        <v>-69435</v>
      </c>
      <c r="Q11" s="295">
        <f t="shared" si="10"/>
        <v>-198950</v>
      </c>
      <c r="R11" s="295">
        <f t="shared" si="11"/>
        <v>-204400</v>
      </c>
      <c r="S11" s="295">
        <f t="shared" si="12"/>
        <v>-253473</v>
      </c>
      <c r="T11" s="295">
        <f t="shared" si="13"/>
        <v>-241928</v>
      </c>
      <c r="U11" s="295">
        <f t="shared" si="14"/>
        <v>-470081.71</v>
      </c>
      <c r="V11" s="295">
        <f t="shared" si="15"/>
        <v>-683275.67</v>
      </c>
      <c r="W11" s="295">
        <f t="shared" si="16"/>
        <v>-532285.6</v>
      </c>
      <c r="X11" s="295">
        <f t="shared" si="17"/>
        <v>-588994.49358999997</v>
      </c>
      <c r="Y11" s="295">
        <f t="shared" si="18"/>
        <v>-593049.76</v>
      </c>
      <c r="Z11" s="295">
        <f t="shared" si="19"/>
        <v>-627144.08873900003</v>
      </c>
      <c r="AA11" s="295">
        <f t="shared" si="20"/>
        <v>-587431.62059599999</v>
      </c>
      <c r="AB11" s="295">
        <f t="shared" si="21"/>
        <v>-591965.40508099971</v>
      </c>
      <c r="AC11" s="295">
        <f t="shared" si="22"/>
        <v>-807040.70129353367</v>
      </c>
      <c r="AD11" s="295">
        <f t="shared" si="23"/>
        <v>-871026.34862435749</v>
      </c>
      <c r="AE11" s="295">
        <f t="shared" si="24"/>
        <v>-981095.54025429569</v>
      </c>
      <c r="AF11" s="295">
        <f t="shared" si="25"/>
        <v>-899199.12654606183</v>
      </c>
      <c r="AG11" s="295">
        <f t="shared" si="26"/>
        <v>-1481917.43704778</v>
      </c>
      <c r="AH11" s="295">
        <f t="shared" si="27"/>
        <v>-1392892.8221856623</v>
      </c>
      <c r="AI11" s="295">
        <f t="shared" si="28"/>
        <v>-1568908.837323728</v>
      </c>
      <c r="AJ11" s="295">
        <f t="shared" si="29"/>
        <v>-1437945.0300897611</v>
      </c>
      <c r="AK11" s="295">
        <f t="shared" si="30"/>
        <v>-2369793.019919103</v>
      </c>
      <c r="AL11" s="295">
        <f t="shared" si="31"/>
        <v>-1966925.897570526</v>
      </c>
      <c r="AM11" s="295">
        <f t="shared" si="32"/>
        <v>-2215480.8854689989</v>
      </c>
      <c r="AN11" s="295">
        <f t="shared" si="33"/>
        <v>-2030544.8300956099</v>
      </c>
      <c r="AO11" s="295">
        <f t="shared" si="34"/>
        <v>-3346422.0566853089</v>
      </c>
      <c r="AP11" s="295">
        <f t="shared" si="35"/>
        <v>-2720320.9068075651</v>
      </c>
      <c r="AQ11" s="295">
        <f t="shared" si="36"/>
        <v>-3064080.339182049</v>
      </c>
      <c r="AR11" s="295">
        <f t="shared" si="37"/>
        <v>-2808307.9084686483</v>
      </c>
      <c r="AS11" s="295">
        <f t="shared" si="38"/>
        <v>-4628207.8521855492</v>
      </c>
      <c r="AT11" s="295">
        <f t="shared" si="39"/>
        <v>-3682430.2761589754</v>
      </c>
      <c r="AU11" s="295">
        <f t="shared" si="40"/>
        <v>-4147768.8096838999</v>
      </c>
      <c r="AV11" s="295">
        <f t="shared" si="41"/>
        <v>-3801536.0765130445</v>
      </c>
      <c r="AW11" s="295">
        <f t="shared" si="42"/>
        <v>-6265089.0476174224</v>
      </c>
      <c r="AX11" s="244"/>
      <c r="AY11" s="295">
        <f>SUMIFS('ARR Looker'!$E:$E,'ARR Looker'!$B:$B,$A10,'ARR Looker'!$C:$C,AY$5)</f>
        <v>-16286</v>
      </c>
      <c r="AZ11" s="295">
        <f>SUMIFS('ARR Looker'!$E:$E,'ARR Looker'!$B:$B,$A10,'ARR Looker'!$C:$C,AZ$5)</f>
        <v>-52460</v>
      </c>
      <c r="BA11" s="295">
        <f>SUMIFS('ARR Looker'!$E:$E,'ARR Looker'!$B:$B,$A10,'ARR Looker'!$C:$C,BA$5)</f>
        <v>-45900</v>
      </c>
      <c r="BB11" s="295">
        <f>SUMIFS('ARR Looker'!$E:$E,'ARR Looker'!$B:$B,$A10,'ARR Looker'!$C:$C,BB$5)</f>
        <v>-28000</v>
      </c>
      <c r="BC11" s="295">
        <f>SUMIFS('ARR Looker'!$E:$E,'ARR Looker'!$B:$B,$A10,'ARR Looker'!$C:$C,BC$5)</f>
        <v>-15600</v>
      </c>
      <c r="BD11" s="295">
        <f>SUMIFS('ARR Looker'!$E:$E,'ARR Looker'!$B:$B,$A10,'ARR Looker'!$C:$C,BD$5)</f>
        <v>-22500</v>
      </c>
      <c r="BE11" s="295">
        <f>SUMIFS('ARR Looker'!$E:$E,'ARR Looker'!$B:$B,$A10,'ARR Looker'!$C:$C,BE$5)</f>
        <v>0</v>
      </c>
      <c r="BF11" s="295">
        <f>SUMIFS('ARR Looker'!$E:$E,'ARR Looker'!$B:$B,$A10,'ARR Looker'!$C:$C,BF$5)</f>
        <v>-53875</v>
      </c>
      <c r="BG11" s="295">
        <f>SUMIFS('ARR Looker'!$E:$E,'ARR Looker'!$B:$B,$A10,'ARR Looker'!$C:$C,BG$5)</f>
        <v>-15560</v>
      </c>
      <c r="BH11" s="295">
        <f>SUMIFS('ARR Looker'!$E:$E,'ARR Looker'!$B:$B,$A10,'ARR Looker'!$C:$C,BH$5)</f>
        <v>0</v>
      </c>
      <c r="BI11" s="295">
        <f>SUMIFS('ARR Looker'!$E:$E,'ARR Looker'!$B:$B,$A10,'ARR Looker'!$C:$C,BI$5)</f>
        <v>-67700</v>
      </c>
      <c r="BJ11" s="295">
        <f>SUMIFS('ARR Looker'!$E:$E,'ARR Looker'!$B:$B,$A10,'ARR Looker'!$C:$C,BJ$5)</f>
        <v>-131250</v>
      </c>
      <c r="BK11" s="295">
        <f>SUMIFS('ARR Looker'!$E:$E,'ARR Looker'!$B:$B,$A10,'ARR Looker'!$C:$C,BK$5)</f>
        <v>-12000</v>
      </c>
      <c r="BL11" s="295">
        <f>SUMIFS('ARR Looker'!$E:$E,'ARR Looker'!$B:$B,$A10,'ARR Looker'!$C:$C,BL$5)</f>
        <v>-77800</v>
      </c>
      <c r="BM11" s="295">
        <f>SUMIFS('ARR Looker'!$E:$E,'ARR Looker'!$B:$B,$A10,'ARR Looker'!$C:$C,BM$5)</f>
        <v>-114600</v>
      </c>
      <c r="BN11" s="295">
        <f>SUMIFS('ARR Looker'!$E:$E,'ARR Looker'!$B:$B,$A10,'ARR Looker'!$C:$C,BN$5)</f>
        <v>-73652</v>
      </c>
      <c r="BO11" s="295">
        <f>SUMIFS('ARR Looker'!$E:$E,'ARR Looker'!$B:$B,$A10,'ARR Looker'!$C:$C,BO$5)</f>
        <v>-78433</v>
      </c>
      <c r="BP11" s="295">
        <f>SUMIFS('ARR Looker'!$E:$E,'ARR Looker'!$B:$B,$A10,'ARR Looker'!$C:$C,BP$5)</f>
        <v>-101388</v>
      </c>
      <c r="BQ11" s="295">
        <f>SUMIFS('ARR Looker'!$E:$E,'ARR Looker'!$B:$B,$A10,'ARR Looker'!$C:$C,BQ$5)</f>
        <v>-97986</v>
      </c>
      <c r="BR11" s="295">
        <f>SUMIFS('ARR Looker'!$E:$E,'ARR Looker'!$B:$B,$A10,'ARR Looker'!$C:$C,BR$5)</f>
        <v>-35590</v>
      </c>
      <c r="BS11" s="295">
        <f>SUMIFS('ARR Looker'!$E:$E,'ARR Looker'!$B:$B,$A10,'ARR Looker'!$C:$C,BS$5)</f>
        <v>-108352</v>
      </c>
      <c r="BT11" s="295">
        <f>SUMIFS('ARR Looker'!$E:$E,'ARR Looker'!$B:$B,$A10,'ARR Looker'!$C:$C,BT$5)</f>
        <v>-64144</v>
      </c>
      <c r="BU11" s="295">
        <f>SUMIFS('ARR Looker'!$E:$E,'ARR Looker'!$B:$B,$A10,'ARR Looker'!$C:$C,BU$5)</f>
        <v>-116973.71</v>
      </c>
      <c r="BV11" s="295">
        <f>SUMIFS('ARR Looker'!$E:$E,'ARR Looker'!$B:$B,$A10,'ARR Looker'!$C:$C,BV$5)</f>
        <v>-288964</v>
      </c>
      <c r="BW11" s="295">
        <f>SUMIFS('ARR Looker'!$E:$E,'ARR Looker'!$B:$B,$A10,'ARR Looker'!$C:$C,BW$5)</f>
        <v>-242513</v>
      </c>
      <c r="BX11" s="295">
        <f>SUMIFS('ARR Looker'!$E:$E,'ARR Looker'!$B:$B,$A10,'ARR Looker'!$C:$C,BX$5)</f>
        <v>-224142</v>
      </c>
      <c r="BY11" s="295">
        <f>SUMIFS('ARR Looker'!$E:$E,'ARR Looker'!$B:$B,$A10,'ARR Looker'!$C:$C,BY$5)</f>
        <v>-216620.67</v>
      </c>
      <c r="BZ11" s="295">
        <f>SUMIFS('ARR Looker'!$E:$E,'ARR Looker'!$B:$B,$A10,'ARR Looker'!$C:$C,BZ$5)</f>
        <v>-193465.60000000001</v>
      </c>
      <c r="CA11" s="295">
        <f>SUMIFS('ARR Looker'!$E:$E,'ARR Looker'!$B:$B,$A10,'ARR Looker'!$C:$C,CA$5)</f>
        <v>-157120</v>
      </c>
      <c r="CB11" s="295">
        <f>SUMIFS('ARR Looker'!$E:$E,'ARR Looker'!$B:$B,$A10,'ARR Looker'!$C:$C,CB$5)</f>
        <v>-181700</v>
      </c>
      <c r="CC11" s="295">
        <f>SUMIFS('ARR Looker'!$E:$E,'ARR Looker'!$B:$B,$A10,'ARR Looker'!$C:$C,CC$5)</f>
        <v>-197488.6</v>
      </c>
      <c r="CD11" s="295">
        <f>SUMIFS('ARR Looker'!$E:$E,'ARR Looker'!$B:$B,$A10,'ARR Looker'!$C:$C,CD$5)</f>
        <v>-154499.6</v>
      </c>
      <c r="CE11" s="295">
        <f>SUMIFS('ARR Looker'!$E:$E,'ARR Looker'!$B:$B,$A10,'ARR Looker'!$C:$C,CE$5)</f>
        <v>-237006.29358999999</v>
      </c>
      <c r="CF11" s="295">
        <f>SUMIFS('ARR Looker'!$E:$E,'ARR Looker'!$B:$B,$A10,'ARR Looker'!$C:$C,CF$5)</f>
        <v>-164693.6</v>
      </c>
      <c r="CG11" s="295">
        <f>SUMIFS('ARR Looker'!$E:$E,'ARR Looker'!$B:$B,$A10,'ARR Looker'!$C:$C,CG$5)</f>
        <v>-185188</v>
      </c>
      <c r="CH11" s="295">
        <f>SUMIFS('ARR Looker'!$E:$E,'ARR Looker'!$B:$B,$A10,'ARR Looker'!$C:$C,CH$5)</f>
        <v>-243168.16</v>
      </c>
      <c r="CI11" s="83">
        <f>SUMIFS('ARR Looker'!$E:$E,'ARR Looker'!$B:$B,$A10,'ARR Looker'!$C:$C,CI$5)</f>
        <v>-160350</v>
      </c>
      <c r="CJ11" s="83">
        <f>SUMIFS('ARR Looker'!$E:$E,'ARR Looker'!$B:$B,$A10,'ARR Looker'!$C:$C,CJ$5)</f>
        <v>-120534.325882</v>
      </c>
      <c r="CK11" s="83">
        <f>SUMIFS('ARR Looker'!$E:$E,'ARR Looker'!$B:$B,$A10,'ARR Looker'!$C:$C,CK$5)</f>
        <v>-346259.76285699999</v>
      </c>
      <c r="CL11" s="83">
        <f>SUMIFS('ARR Looker'!$E:$E,'ARR Looker'!$B:$B,$A10,'ARR Looker'!$C:$C,CL$5)</f>
        <v>-233167.100519</v>
      </c>
      <c r="CM11" s="83">
        <f>SUMIFS('ARR Looker'!$E:$E,'ARR Looker'!$B:$B,$A10,'ARR Looker'!$C:$C,CM$5)</f>
        <v>-151466.30831200001</v>
      </c>
      <c r="CN11" s="83">
        <f>SUMIFS('ARR Looker'!$E:$E,'ARR Looker'!$B:$B,$A10,'ARR Looker'!$C:$C,CN$5)</f>
        <v>-202798.21176500001</v>
      </c>
      <c r="CO11" s="83">
        <f>'22 Fcst ARR'!C6</f>
        <v>-104954.12052854933</v>
      </c>
      <c r="CP11" s="83">
        <f>'22 Fcst ARR'!D6</f>
        <v>-164527.05531912687</v>
      </c>
      <c r="CQ11" s="83">
        <f>'22 Fcst ARR'!E6</f>
        <v>-322484.22923332348</v>
      </c>
      <c r="CR11" s="83">
        <f>'22 Fcst ARR'!F6</f>
        <v>-143761.02240897116</v>
      </c>
      <c r="CS11" s="83">
        <f>'22 Fcst ARR'!G6</f>
        <v>-277375.7983261504</v>
      </c>
      <c r="CT11" s="83">
        <f>'22 Fcst ARR'!H6</f>
        <v>-385903.88055841217</v>
      </c>
      <c r="CU11" s="83">
        <f>CU98</f>
        <v>-188529.78993613296</v>
      </c>
      <c r="CV11" s="83">
        <f t="shared" ref="CV11:FB11" si="45">CV98</f>
        <v>-238448.57047446986</v>
      </c>
      <c r="CW11" s="83">
        <f t="shared" si="45"/>
        <v>-444047.98821375472</v>
      </c>
      <c r="CX11" s="83">
        <f t="shared" si="45"/>
        <v>-294432.70467883151</v>
      </c>
      <c r="CY11" s="83">
        <f t="shared" si="45"/>
        <v>-241220.47153002501</v>
      </c>
      <c r="CZ11" s="83">
        <f t="shared" si="45"/>
        <v>-445442.36404543917</v>
      </c>
      <c r="DA11" s="83">
        <f t="shared" si="45"/>
        <v>-296956.04807207431</v>
      </c>
      <c r="DB11" s="83">
        <f t="shared" si="45"/>
        <v>-232945.35269222077</v>
      </c>
      <c r="DC11" s="83">
        <f t="shared" si="45"/>
        <v>-369297.7257817667</v>
      </c>
      <c r="DD11" s="83">
        <f t="shared" si="45"/>
        <v>-291934.50606082636</v>
      </c>
      <c r="DE11" s="83">
        <f t="shared" si="45"/>
        <v>-613578.04372948129</v>
      </c>
      <c r="DF11" s="83">
        <f t="shared" si="45"/>
        <v>-576404.88725747238</v>
      </c>
      <c r="DG11" s="83">
        <f t="shared" si="45"/>
        <v>-301485.47352780611</v>
      </c>
      <c r="DH11" s="83">
        <f t="shared" si="45"/>
        <v>-381312.57774104184</v>
      </c>
      <c r="DI11" s="83">
        <f t="shared" si="45"/>
        <v>-710094.77091681445</v>
      </c>
      <c r="DJ11" s="83">
        <f t="shared" si="45"/>
        <v>-470839.02985433384</v>
      </c>
      <c r="DK11" s="83">
        <f t="shared" si="45"/>
        <v>-385745.23479003849</v>
      </c>
      <c r="DL11" s="83">
        <f t="shared" si="45"/>
        <v>-712324.57267935562</v>
      </c>
      <c r="DM11" s="83">
        <f t="shared" si="45"/>
        <v>-474874.20847540366</v>
      </c>
      <c r="DN11" s="83">
        <f t="shared" si="45"/>
        <v>-372512.1636549175</v>
      </c>
      <c r="DO11" s="83">
        <f t="shared" si="45"/>
        <v>-590558.65795943991</v>
      </c>
      <c r="DP11" s="83">
        <f t="shared" si="45"/>
        <v>-466844.06124183536</v>
      </c>
      <c r="DQ11" s="83">
        <f t="shared" si="45"/>
        <v>-981197.01466125692</v>
      </c>
      <c r="DR11" s="83">
        <f t="shared" si="45"/>
        <v>-921751.94401601073</v>
      </c>
      <c r="DS11" s="83">
        <f t="shared" si="45"/>
        <v>-425732.38671202841</v>
      </c>
      <c r="DT11" s="83">
        <f t="shared" si="45"/>
        <v>-538457.49815218616</v>
      </c>
      <c r="DU11" s="83">
        <f t="shared" si="45"/>
        <v>-1002736.0127063114</v>
      </c>
      <c r="DV11" s="83">
        <f t="shared" si="45"/>
        <v>-664879.21156365052</v>
      </c>
      <c r="DW11" s="83">
        <f t="shared" si="45"/>
        <v>-544716.92300228984</v>
      </c>
      <c r="DX11" s="83">
        <f t="shared" si="45"/>
        <v>-1005884.7509030583</v>
      </c>
      <c r="DY11" s="83">
        <f t="shared" si="45"/>
        <v>-670577.35086388118</v>
      </c>
      <c r="DZ11" s="83">
        <f t="shared" si="45"/>
        <v>-526030.29478116101</v>
      </c>
      <c r="EA11" s="83">
        <f t="shared" si="45"/>
        <v>-833937.1844505677</v>
      </c>
      <c r="EB11" s="83">
        <f t="shared" si="45"/>
        <v>-659237.8534499841</v>
      </c>
      <c r="EC11" s="83">
        <f t="shared" si="45"/>
        <v>-1385563.7619897695</v>
      </c>
      <c r="ED11" s="83">
        <f t="shared" si="45"/>
        <v>-1301620.4412455556</v>
      </c>
      <c r="EE11" s="83">
        <f t="shared" si="45"/>
        <v>-588801.39496271405</v>
      </c>
      <c r="EF11" s="83">
        <f t="shared" si="45"/>
        <v>-744703.79970080545</v>
      </c>
      <c r="EG11" s="83">
        <f t="shared" si="45"/>
        <v>-1386815.7121440459</v>
      </c>
      <c r="EH11" s="83">
        <f t="shared" si="45"/>
        <v>-919549.03941849002</v>
      </c>
      <c r="EI11" s="83">
        <f t="shared" si="45"/>
        <v>-753360.78281611239</v>
      </c>
      <c r="EJ11" s="83">
        <f t="shared" si="45"/>
        <v>-1391170.5169474469</v>
      </c>
      <c r="EK11" s="83">
        <f t="shared" si="45"/>
        <v>-927429.74681446538</v>
      </c>
      <c r="EL11" s="83">
        <f t="shared" si="45"/>
        <v>-727516.58325045253</v>
      </c>
      <c r="EM11" s="83">
        <f t="shared" si="45"/>
        <v>-1153361.5784037304</v>
      </c>
      <c r="EN11" s="83">
        <f t="shared" si="45"/>
        <v>-911746.86220462038</v>
      </c>
      <c r="EO11" s="83">
        <f t="shared" si="45"/>
        <v>-1916278.6326171518</v>
      </c>
      <c r="EP11" s="83">
        <f t="shared" si="45"/>
        <v>-1800182.3573637772</v>
      </c>
      <c r="EQ11" s="83">
        <f t="shared" si="45"/>
        <v>-797045.70075883204</v>
      </c>
      <c r="ER11" s="83">
        <f t="shared" si="45"/>
        <v>-1008086.8811934129</v>
      </c>
      <c r="ES11" s="83">
        <f t="shared" si="45"/>
        <v>-1877297.6942067305</v>
      </c>
      <c r="ET11" s="83">
        <f t="shared" si="45"/>
        <v>-1244770.502882103</v>
      </c>
      <c r="EU11" s="83">
        <f t="shared" si="45"/>
        <v>-1019805.6224067113</v>
      </c>
      <c r="EV11" s="83">
        <f t="shared" si="45"/>
        <v>-1883192.6843950856</v>
      </c>
      <c r="EW11" s="83">
        <f t="shared" si="45"/>
        <v>-1255438.4190973798</v>
      </c>
      <c r="EX11" s="83">
        <f t="shared" si="45"/>
        <v>-984820.97676967643</v>
      </c>
      <c r="EY11" s="83">
        <f t="shared" si="45"/>
        <v>-1561276.6806459886</v>
      </c>
      <c r="EZ11" s="83">
        <f t="shared" si="45"/>
        <v>-1234208.8910074108</v>
      </c>
      <c r="FA11" s="83">
        <f t="shared" si="45"/>
        <v>-2594018.388289033</v>
      </c>
      <c r="FB11" s="83">
        <f t="shared" si="45"/>
        <v>-2436861.7683209782</v>
      </c>
    </row>
    <row r="12" spans="1:158" x14ac:dyDescent="0.25">
      <c r="A12" t="s">
        <v>607</v>
      </c>
      <c r="C12" s="291" t="s">
        <v>24</v>
      </c>
      <c r="D12" s="30">
        <f t="shared" ref="D12:I12" si="46">SUM(D7:D11)</f>
        <v>9641502.6300000045</v>
      </c>
      <c r="E12" s="30">
        <f t="shared" si="46"/>
        <v>17564589.410915006</v>
      </c>
      <c r="F12" s="30">
        <f t="shared" si="46"/>
        <v>25508107.217652008</v>
      </c>
      <c r="G12" s="30">
        <f t="shared" si="46"/>
        <v>41315676.316121288</v>
      </c>
      <c r="H12" s="30">
        <f t="shared" si="46"/>
        <v>60381079.580205388</v>
      </c>
      <c r="I12" s="68">
        <f t="shared" si="46"/>
        <v>85265073.706972077</v>
      </c>
      <c r="J12" s="68">
        <f t="shared" ref="J12:L12" si="47">SUM(J7:J11)</f>
        <v>117924301.52658938</v>
      </c>
      <c r="K12" s="68">
        <f t="shared" si="47"/>
        <v>159631173.34786245</v>
      </c>
      <c r="L12" s="68">
        <f t="shared" si="47"/>
        <v>211318681.79065552</v>
      </c>
      <c r="M12" s="292"/>
      <c r="N12" s="30">
        <f t="shared" ref="N12:AW12" si="48">SUM(N7:N11)</f>
        <v>5012576.6700000046</v>
      </c>
      <c r="O12" s="30">
        <f t="shared" si="48"/>
        <v>6021300.6700000055</v>
      </c>
      <c r="P12" s="30">
        <f t="shared" si="48"/>
        <v>7499475.1700000055</v>
      </c>
      <c r="Q12" s="30">
        <f t="shared" si="48"/>
        <v>9641502.6300000064</v>
      </c>
      <c r="R12" s="30">
        <f t="shared" si="48"/>
        <v>11527145.160000008</v>
      </c>
      <c r="S12" s="30">
        <f t="shared" si="48"/>
        <v>13624699.520000005</v>
      </c>
      <c r="T12" s="30">
        <f t="shared" si="48"/>
        <v>15365320.280000005</v>
      </c>
      <c r="U12" s="30">
        <f t="shared" si="48"/>
        <v>17564589.410915006</v>
      </c>
      <c r="V12" s="30">
        <f t="shared" si="48"/>
        <v>18269105.373149004</v>
      </c>
      <c r="W12" s="30">
        <f t="shared" si="48"/>
        <v>20604136.826187003</v>
      </c>
      <c r="X12" s="30">
        <f t="shared" si="48"/>
        <v>22340644.505196001</v>
      </c>
      <c r="Y12" s="30">
        <f t="shared" si="48"/>
        <v>25508107.217652</v>
      </c>
      <c r="Z12" s="30">
        <f t="shared" si="48"/>
        <v>27980246.216047999</v>
      </c>
      <c r="AA12" s="30">
        <f t="shared" si="48"/>
        <v>32000090.893999003</v>
      </c>
      <c r="AB12" s="30">
        <f t="shared" si="48"/>
        <v>36030717.42866005</v>
      </c>
      <c r="AC12" s="30">
        <f t="shared" si="48"/>
        <v>41315676.31612128</v>
      </c>
      <c r="AD12" s="30">
        <f t="shared" si="48"/>
        <v>44537598.054279454</v>
      </c>
      <c r="AE12" s="30">
        <f t="shared" si="48"/>
        <v>49046421.267289504</v>
      </c>
      <c r="AF12" s="30">
        <f t="shared" si="48"/>
        <v>53576562.602930397</v>
      </c>
      <c r="AG12" s="30">
        <f t="shared" si="48"/>
        <v>60381079.580205359</v>
      </c>
      <c r="AH12" s="30">
        <f t="shared" si="48"/>
        <v>64721597.072871126</v>
      </c>
      <c r="AI12" s="30">
        <f t="shared" si="48"/>
        <v>71012278.214738801</v>
      </c>
      <c r="AJ12" s="30">
        <f t="shared" si="48"/>
        <v>76955631.312567174</v>
      </c>
      <c r="AK12" s="30">
        <f t="shared" si="48"/>
        <v>85265073.706972048</v>
      </c>
      <c r="AL12" s="30">
        <f t="shared" si="48"/>
        <v>90942125.923466697</v>
      </c>
      <c r="AM12" s="30">
        <f t="shared" si="48"/>
        <v>99211618.914439589</v>
      </c>
      <c r="AN12" s="30">
        <f t="shared" si="48"/>
        <v>107028646.16562246</v>
      </c>
      <c r="AO12" s="30">
        <f t="shared" si="48"/>
        <v>117924301.52658935</v>
      </c>
      <c r="AP12" s="30">
        <f t="shared" si="48"/>
        <v>125144488.1460892</v>
      </c>
      <c r="AQ12" s="30">
        <f t="shared" si="48"/>
        <v>135724765.64570612</v>
      </c>
      <c r="AR12" s="30">
        <f t="shared" si="48"/>
        <v>145732319.03300801</v>
      </c>
      <c r="AS12" s="30">
        <f t="shared" si="48"/>
        <v>159631173.3478623</v>
      </c>
      <c r="AT12" s="30">
        <f t="shared" si="48"/>
        <v>168535027.34599689</v>
      </c>
      <c r="AU12" s="30">
        <f t="shared" si="48"/>
        <v>181676865.63609591</v>
      </c>
      <c r="AV12" s="30">
        <f t="shared" si="48"/>
        <v>194116518.50414619</v>
      </c>
      <c r="AW12" s="30">
        <f t="shared" si="48"/>
        <v>211318681.79065537</v>
      </c>
      <c r="AX12" s="244"/>
      <c r="AY12" s="244">
        <f t="shared" ref="AY12:CF12" si="49">AZ7</f>
        <v>4099936.4700000053</v>
      </c>
      <c r="AZ12" s="244">
        <f t="shared" si="49"/>
        <v>4510001.4700000053</v>
      </c>
      <c r="BA12" s="244">
        <f t="shared" si="49"/>
        <v>5012576.6700000055</v>
      </c>
      <c r="BB12" s="244">
        <f t="shared" si="49"/>
        <v>5178116.6700000055</v>
      </c>
      <c r="BC12" s="244">
        <f t="shared" si="49"/>
        <v>5508016.6700000055</v>
      </c>
      <c r="BD12" s="244">
        <f t="shared" si="49"/>
        <v>6021300.6700000055</v>
      </c>
      <c r="BE12" s="244">
        <f t="shared" si="49"/>
        <v>6341477.3400000054</v>
      </c>
      <c r="BF12" s="244">
        <f t="shared" si="49"/>
        <v>6772890.8400000054</v>
      </c>
      <c r="BG12" s="244">
        <f t="shared" si="49"/>
        <v>7499475.1700000055</v>
      </c>
      <c r="BH12" s="244">
        <f t="shared" si="49"/>
        <v>7996907.1700000055</v>
      </c>
      <c r="BI12" s="244">
        <f t="shared" si="49"/>
        <v>8881420.1700000055</v>
      </c>
      <c r="BJ12" s="244">
        <f t="shared" si="49"/>
        <v>9641502.6300000064</v>
      </c>
      <c r="BK12" s="244">
        <f t="shared" si="49"/>
        <v>9957435.9600000065</v>
      </c>
      <c r="BL12" s="244">
        <f t="shared" si="49"/>
        <v>10569535.790000007</v>
      </c>
      <c r="BM12" s="244">
        <f t="shared" si="49"/>
        <v>11527145.160000006</v>
      </c>
      <c r="BN12" s="244">
        <f t="shared" si="49"/>
        <v>12032413.690000005</v>
      </c>
      <c r="BO12" s="244">
        <f t="shared" si="49"/>
        <v>12730500.880000005</v>
      </c>
      <c r="BP12" s="244">
        <f t="shared" si="49"/>
        <v>13624699.520000005</v>
      </c>
      <c r="BQ12" s="244">
        <f t="shared" si="49"/>
        <v>13969628.690000005</v>
      </c>
      <c r="BR12" s="244">
        <f t="shared" si="49"/>
        <v>14364605.690000005</v>
      </c>
      <c r="BS12" s="244">
        <f t="shared" si="49"/>
        <v>15365320.280000005</v>
      </c>
      <c r="BT12" s="244">
        <f t="shared" si="49"/>
        <v>15731030.960000005</v>
      </c>
      <c r="BU12" s="244">
        <f t="shared" si="49"/>
        <v>16626468.750000006</v>
      </c>
      <c r="BV12" s="244">
        <f t="shared" si="49"/>
        <v>17564589.410915006</v>
      </c>
      <c r="BW12" s="244">
        <f t="shared" si="49"/>
        <v>17589616.270915005</v>
      </c>
      <c r="BX12" s="244">
        <f t="shared" si="49"/>
        <v>17756749.793039005</v>
      </c>
      <c r="BY12" s="244">
        <f t="shared" si="49"/>
        <v>18269105.373149004</v>
      </c>
      <c r="BZ12" s="244">
        <f t="shared" si="49"/>
        <v>18521839.063918006</v>
      </c>
      <c r="CA12" s="244">
        <f t="shared" si="49"/>
        <v>19044539.668825004</v>
      </c>
      <c r="CB12" s="244">
        <f t="shared" si="49"/>
        <v>20604136.826187003</v>
      </c>
      <c r="CC12" s="244">
        <f t="shared" si="49"/>
        <v>20734504.463366002</v>
      </c>
      <c r="CD12" s="244">
        <f t="shared" si="49"/>
        <v>21356765.968383003</v>
      </c>
      <c r="CE12" s="244">
        <f t="shared" si="49"/>
        <v>22340644.505196001</v>
      </c>
      <c r="CF12" s="244">
        <f t="shared" si="49"/>
        <v>22896400.661571</v>
      </c>
      <c r="CG12" s="244">
        <f>CH7</f>
        <v>23843709.285344001</v>
      </c>
      <c r="CH12" s="244">
        <f>'ARR Looker'!O7</f>
        <v>25508107.217652</v>
      </c>
      <c r="CI12" s="50">
        <f>SUM(CI7:CI11)</f>
        <v>25944830.313618001</v>
      </c>
      <c r="CJ12" s="50">
        <f t="shared" ref="CJ12:EU12" si="50">SUM(CJ7:CJ11)</f>
        <v>26680390.815124001</v>
      </c>
      <c r="CK12" s="50">
        <f t="shared" si="50"/>
        <v>27980246.216048002</v>
      </c>
      <c r="CL12" s="50">
        <f t="shared" si="50"/>
        <v>28550875.870068002</v>
      </c>
      <c r="CM12" s="50">
        <f t="shared" si="50"/>
        <v>29863117.937316004</v>
      </c>
      <c r="CN12" s="50">
        <f t="shared" si="50"/>
        <v>32000090.893999003</v>
      </c>
      <c r="CO12" s="50">
        <f t="shared" si="50"/>
        <v>32584415.222394947</v>
      </c>
      <c r="CP12" s="50">
        <f t="shared" si="50"/>
        <v>34048646.714760482</v>
      </c>
      <c r="CQ12" s="50">
        <f t="shared" si="50"/>
        <v>36030717.428660035</v>
      </c>
      <c r="CR12" s="50">
        <f t="shared" si="50"/>
        <v>36480116.964594282</v>
      </c>
      <c r="CS12" s="50">
        <f t="shared" si="50"/>
        <v>38651099.411555104</v>
      </c>
      <c r="CT12" s="50">
        <f t="shared" si="50"/>
        <v>41315676.31612128</v>
      </c>
      <c r="CU12" s="50">
        <f t="shared" si="50"/>
        <v>41649939.388837047</v>
      </c>
      <c r="CV12" s="50">
        <f t="shared" si="50"/>
        <v>42604230.532208942</v>
      </c>
      <c r="CW12" s="50">
        <f t="shared" si="50"/>
        <v>44537598.054279454</v>
      </c>
      <c r="CX12" s="50">
        <f t="shared" si="50"/>
        <v>45164677.023952574</v>
      </c>
      <c r="CY12" s="50">
        <f t="shared" si="50"/>
        <v>46814519.651795663</v>
      </c>
      <c r="CZ12" s="50">
        <f t="shared" si="50"/>
        <v>49046421.26728949</v>
      </c>
      <c r="DA12" s="50">
        <f t="shared" si="50"/>
        <v>49630789.796066143</v>
      </c>
      <c r="DB12" s="50">
        <f t="shared" si="50"/>
        <v>51043097.039484277</v>
      </c>
      <c r="DC12" s="50">
        <f t="shared" si="50"/>
        <v>53576562.602930389</v>
      </c>
      <c r="DD12" s="50">
        <f t="shared" si="50"/>
        <v>54497909.177640155</v>
      </c>
      <c r="DE12" s="50">
        <f t="shared" si="50"/>
        <v>57161747.170220114</v>
      </c>
      <c r="DF12" s="50">
        <f t="shared" si="50"/>
        <v>60381079.580205351</v>
      </c>
      <c r="DG12" s="50">
        <f t="shared" si="50"/>
        <v>60844513.093447305</v>
      </c>
      <c r="DH12" s="50">
        <f t="shared" si="50"/>
        <v>62142419.737607859</v>
      </c>
      <c r="DI12" s="50">
        <f t="shared" si="50"/>
        <v>64721597.072871134</v>
      </c>
      <c r="DJ12" s="50">
        <f t="shared" si="50"/>
        <v>65628803.316996716</v>
      </c>
      <c r="DK12" s="50">
        <f t="shared" si="50"/>
        <v>67951466.037505656</v>
      </c>
      <c r="DL12" s="50">
        <f t="shared" si="50"/>
        <v>71012278.214738786</v>
      </c>
      <c r="DM12" s="50">
        <f t="shared" si="50"/>
        <v>71726939.287662864</v>
      </c>
      <c r="DN12" s="50">
        <f t="shared" si="50"/>
        <v>73593444.626973122</v>
      </c>
      <c r="DO12" s="50">
        <f t="shared" si="50"/>
        <v>76955631.312567174</v>
      </c>
      <c r="DP12" s="50">
        <f t="shared" si="50"/>
        <v>77939702.086278066</v>
      </c>
      <c r="DQ12" s="50">
        <f t="shared" si="50"/>
        <v>81216810.304345638</v>
      </c>
      <c r="DR12" s="50">
        <f t="shared" si="50"/>
        <v>85265073.706972048</v>
      </c>
      <c r="DS12" s="50">
        <f t="shared" si="50"/>
        <v>85857017.518521056</v>
      </c>
      <c r="DT12" s="50">
        <f t="shared" si="50"/>
        <v>87557845.287186086</v>
      </c>
      <c r="DU12" s="50">
        <f t="shared" si="50"/>
        <v>90942125.923466668</v>
      </c>
      <c r="DV12" s="50">
        <f t="shared" si="50"/>
        <v>92111986.354833737</v>
      </c>
      <c r="DW12" s="50">
        <f t="shared" si="50"/>
        <v>95183248.440515652</v>
      </c>
      <c r="DX12" s="50">
        <f t="shared" si="50"/>
        <v>99211618.914439619</v>
      </c>
      <c r="DY12" s="50">
        <f t="shared" si="50"/>
        <v>100123531.23601428</v>
      </c>
      <c r="DZ12" s="50">
        <f t="shared" si="50"/>
        <v>102585807.50903952</v>
      </c>
      <c r="EA12" s="50">
        <f t="shared" si="50"/>
        <v>107028646.16562246</v>
      </c>
      <c r="EB12" s="50">
        <f t="shared" si="50"/>
        <v>108301701.60675406</v>
      </c>
      <c r="EC12" s="50">
        <f t="shared" si="50"/>
        <v>112594442.28824216</v>
      </c>
      <c r="ED12" s="50">
        <f t="shared" si="50"/>
        <v>117924301.52658933</v>
      </c>
      <c r="EE12" s="50">
        <f t="shared" si="50"/>
        <v>118655759.31146483</v>
      </c>
      <c r="EF12" s="50">
        <f t="shared" si="50"/>
        <v>120823832.49463625</v>
      </c>
      <c r="EG12" s="50">
        <f t="shared" si="50"/>
        <v>125144488.14608918</v>
      </c>
      <c r="EH12" s="50">
        <f t="shared" si="50"/>
        <v>126607179.28576194</v>
      </c>
      <c r="EI12" s="50">
        <f t="shared" si="50"/>
        <v>130563617.25014083</v>
      </c>
      <c r="EJ12" s="50">
        <f t="shared" si="50"/>
        <v>135724765.64570612</v>
      </c>
      <c r="EK12" s="50">
        <f t="shared" si="50"/>
        <v>136850177.73271716</v>
      </c>
      <c r="EL12" s="50">
        <f t="shared" si="50"/>
        <v>140013454.08636019</v>
      </c>
      <c r="EM12" s="50">
        <f t="shared" si="50"/>
        <v>145732319.03300792</v>
      </c>
      <c r="EN12" s="50">
        <f t="shared" si="50"/>
        <v>147330268.28107041</v>
      </c>
      <c r="EO12" s="50">
        <f t="shared" si="50"/>
        <v>152799722.50455061</v>
      </c>
      <c r="EP12" s="50">
        <f t="shared" si="50"/>
        <v>159631173.34786233</v>
      </c>
      <c r="EQ12" s="50">
        <f t="shared" si="50"/>
        <v>160501151.99363193</v>
      </c>
      <c r="ER12" s="50">
        <f t="shared" si="50"/>
        <v>163182178.19600391</v>
      </c>
      <c r="ES12" s="50">
        <f t="shared" si="50"/>
        <v>168535027.34599689</v>
      </c>
      <c r="ET12" s="50">
        <f t="shared" si="50"/>
        <v>170301102.47782815</v>
      </c>
      <c r="EU12" s="50">
        <f t="shared" si="50"/>
        <v>175255575.1366775</v>
      </c>
      <c r="EV12" s="50">
        <f t="shared" ref="EV12:FB12" si="51">SUM(EV7:EV11)</f>
        <v>181676865.63609594</v>
      </c>
      <c r="EW12" s="50">
        <f t="shared" si="51"/>
        <v>183013203.70690235</v>
      </c>
      <c r="EX12" s="50">
        <f t="shared" si="51"/>
        <v>186961626.56538308</v>
      </c>
      <c r="EY12" s="50">
        <f t="shared" si="51"/>
        <v>194116518.50414619</v>
      </c>
      <c r="EZ12" s="50">
        <f t="shared" si="51"/>
        <v>196055404.86434168</v>
      </c>
      <c r="FA12" s="50">
        <f t="shared" si="51"/>
        <v>202815052.30391991</v>
      </c>
      <c r="FB12" s="50">
        <f t="shared" si="51"/>
        <v>211318681.79065534</v>
      </c>
    </row>
    <row r="13" spans="1:158" x14ac:dyDescent="0.25">
      <c r="C13" s="289"/>
      <c r="D13" s="244"/>
      <c r="E13" s="244"/>
      <c r="F13" s="244"/>
      <c r="G13" s="244"/>
      <c r="H13" s="244"/>
      <c r="I13" s="244"/>
      <c r="J13" s="244"/>
      <c r="K13" s="244"/>
      <c r="L13" s="244"/>
      <c r="M13" s="244"/>
      <c r="N13" s="244"/>
      <c r="O13" s="244"/>
      <c r="P13" s="244"/>
      <c r="Q13" s="244"/>
      <c r="R13" s="244"/>
      <c r="S13" s="244"/>
      <c r="T13" s="244"/>
      <c r="U13" s="244"/>
      <c r="V13" s="244"/>
      <c r="W13" s="244"/>
      <c r="X13" s="244"/>
      <c r="Y13" s="244"/>
      <c r="Z13" s="244"/>
      <c r="AA13" s="244"/>
      <c r="AB13" s="244"/>
      <c r="AC13" s="244"/>
      <c r="AD13" s="244"/>
      <c r="AE13" s="244"/>
      <c r="AF13" s="244"/>
      <c r="AG13" s="244"/>
      <c r="AH13" s="244"/>
      <c r="AI13" s="244"/>
      <c r="AJ13" s="244"/>
      <c r="AK13" s="244"/>
      <c r="AL13" s="244"/>
      <c r="AM13" s="244"/>
      <c r="AN13" s="244"/>
      <c r="AO13" s="244"/>
      <c r="AP13" s="244"/>
      <c r="AQ13" s="244"/>
      <c r="AR13" s="244"/>
      <c r="AS13" s="244"/>
      <c r="AT13" s="244"/>
      <c r="AU13" s="244"/>
      <c r="AV13" s="244"/>
      <c r="AW13" s="244"/>
      <c r="AX13" s="244"/>
      <c r="AY13" s="244"/>
      <c r="AZ13" s="244"/>
      <c r="BA13" s="244"/>
      <c r="BB13" s="244"/>
      <c r="BC13" s="244"/>
      <c r="BD13" s="244"/>
      <c r="BE13" s="244"/>
      <c r="BF13" s="244"/>
      <c r="BG13" s="244"/>
      <c r="BH13" s="244"/>
      <c r="BI13" s="244"/>
      <c r="BJ13" s="244"/>
      <c r="BK13" s="244"/>
      <c r="BL13" s="244"/>
      <c r="BM13" s="244"/>
      <c r="BN13" s="244"/>
      <c r="BO13" s="244"/>
      <c r="BP13" s="244"/>
      <c r="BQ13" s="244"/>
      <c r="BR13" s="244"/>
      <c r="BS13" s="244"/>
      <c r="BT13" s="244"/>
      <c r="BU13" s="244"/>
      <c r="BV13" s="244"/>
      <c r="BW13" s="244"/>
      <c r="BX13" s="244"/>
      <c r="BY13" s="244"/>
      <c r="BZ13" s="244"/>
      <c r="CA13" s="244"/>
      <c r="CB13" s="244"/>
      <c r="CC13" s="244"/>
      <c r="CD13" s="244"/>
      <c r="CE13" s="244"/>
      <c r="CF13" s="244"/>
      <c r="CG13" s="244"/>
      <c r="CH13" s="244"/>
      <c r="CI13" s="99"/>
      <c r="CJ13" s="99"/>
      <c r="CK13" s="99"/>
      <c r="CL13" s="99"/>
      <c r="CM13" s="99"/>
      <c r="CN13" s="99"/>
      <c r="CO13" s="99"/>
      <c r="CP13" s="99"/>
      <c r="CQ13" s="99"/>
      <c r="CR13" s="99"/>
      <c r="CS13" s="99"/>
      <c r="CT13" s="99"/>
    </row>
    <row r="14" spans="1:158" x14ac:dyDescent="0.25">
      <c r="C14" s="289" t="s">
        <v>618</v>
      </c>
      <c r="D14" s="308">
        <f>SUM(D10:D11)/D7+1</f>
        <v>0.86498869956570257</v>
      </c>
      <c r="E14" s="308">
        <f t="shared" ref="E14:L14" si="52">SUM(E10:E11)/E7+1</f>
        <v>0.85906966350119651</v>
      </c>
      <c r="F14" s="308">
        <f t="shared" si="52"/>
        <v>0.83443676832600044</v>
      </c>
      <c r="G14" s="308">
        <f t="shared" si="52"/>
        <v>0.87205372828294847</v>
      </c>
      <c r="H14" s="308">
        <f t="shared" si="52"/>
        <v>0.87205372828294847</v>
      </c>
      <c r="I14" s="308">
        <f t="shared" si="52"/>
        <v>0.86</v>
      </c>
      <c r="J14" s="308">
        <f t="shared" si="52"/>
        <v>0.86</v>
      </c>
      <c r="K14" s="308">
        <f t="shared" si="52"/>
        <v>0.86</v>
      </c>
      <c r="L14" s="308">
        <f t="shared" si="52"/>
        <v>0.86</v>
      </c>
      <c r="M14" s="244"/>
      <c r="N14" s="413"/>
      <c r="O14" s="413"/>
      <c r="P14" s="413"/>
      <c r="Q14" s="308">
        <f>IFERROR(SUM(N10:Q11)/N7+1,"")</f>
        <v>0.86498869956570257</v>
      </c>
      <c r="R14" s="308">
        <f t="shared" ref="R14:AW14" si="53">IFERROR(SUM(O10:R11)/O7+1,"")</f>
        <v>0.86442870508751757</v>
      </c>
      <c r="S14" s="308">
        <f t="shared" si="53"/>
        <v>0.85206626295245291</v>
      </c>
      <c r="T14" s="308">
        <f t="shared" si="53"/>
        <v>0.854622425531679</v>
      </c>
      <c r="U14" s="308">
        <f t="shared" si="53"/>
        <v>0.85906966350119651</v>
      </c>
      <c r="V14" s="308">
        <f t="shared" si="53"/>
        <v>0.83759478309545299</v>
      </c>
      <c r="W14" s="308">
        <f t="shared" si="53"/>
        <v>0.83789297524940942</v>
      </c>
      <c r="X14" s="308">
        <f t="shared" si="53"/>
        <v>0.8318454305660592</v>
      </c>
      <c r="Y14" s="308">
        <f t="shared" si="53"/>
        <v>0.83443676832600044</v>
      </c>
      <c r="Z14" s="308">
        <f t="shared" si="53"/>
        <v>0.83929083203142496</v>
      </c>
      <c r="AA14" s="308">
        <f t="shared" si="53"/>
        <v>0.85409565363193463</v>
      </c>
      <c r="AB14" s="308">
        <f t="shared" si="53"/>
        <v>0.86159214316909583</v>
      </c>
      <c r="AC14" s="308">
        <f t="shared" si="53"/>
        <v>0.87205372828294847</v>
      </c>
      <c r="AD14" s="308">
        <f t="shared" si="53"/>
        <v>0.87356631357848746</v>
      </c>
      <c r="AE14" s="308">
        <f t="shared" si="53"/>
        <v>0.87288569925254611</v>
      </c>
      <c r="AF14" s="308">
        <f t="shared" si="53"/>
        <v>0.87655007557772813</v>
      </c>
      <c r="AG14" s="308">
        <f t="shared" si="53"/>
        <v>0.87205372828294847</v>
      </c>
      <c r="AH14" s="308">
        <f t="shared" si="53"/>
        <v>0.86667761250428121</v>
      </c>
      <c r="AI14" s="308">
        <f t="shared" si="53"/>
        <v>0.86396803476586825</v>
      </c>
      <c r="AJ14" s="308">
        <f t="shared" si="53"/>
        <v>0.86291335644424438</v>
      </c>
      <c r="AK14" s="308">
        <f t="shared" si="53"/>
        <v>0.85999999999999988</v>
      </c>
      <c r="AL14" s="308">
        <f t="shared" si="53"/>
        <v>0.85831367120065027</v>
      </c>
      <c r="AM14" s="308">
        <f t="shared" si="53"/>
        <v>0.8594952602158914</v>
      </c>
      <c r="AN14" s="308">
        <f t="shared" si="53"/>
        <v>0.86073064800247345</v>
      </c>
      <c r="AO14" s="308">
        <f t="shared" si="53"/>
        <v>0.86</v>
      </c>
      <c r="AP14" s="308">
        <f t="shared" si="53"/>
        <v>0.85839455819797938</v>
      </c>
      <c r="AQ14" s="308">
        <f t="shared" si="53"/>
        <v>0.85951671130775487</v>
      </c>
      <c r="AR14" s="308">
        <f t="shared" si="53"/>
        <v>0.86070277574044773</v>
      </c>
      <c r="AS14" s="308">
        <f t="shared" si="53"/>
        <v>0.86</v>
      </c>
      <c r="AT14" s="308">
        <f t="shared" si="53"/>
        <v>0.85847702368496592</v>
      </c>
      <c r="AU14" s="308">
        <f t="shared" si="53"/>
        <v>0.85953883612862381</v>
      </c>
      <c r="AV14" s="308">
        <f t="shared" si="53"/>
        <v>0.86067376139613261</v>
      </c>
      <c r="AW14" s="308">
        <f t="shared" si="53"/>
        <v>0.85999999999999988</v>
      </c>
      <c r="AX14" s="244"/>
      <c r="AY14" s="308">
        <f>IFERROR(SUM(AY10:AY11)/AY7*12+1,"")</f>
        <v>0.95147992377199897</v>
      </c>
      <c r="AZ14" s="308">
        <f t="shared" ref="AZ14:CT14" si="54">IFERROR(SUM(AZ10:AZ11)/AZ7*12+1,"")</f>
        <v>0.84338293905319972</v>
      </c>
      <c r="BA14" s="308">
        <f t="shared" si="54"/>
        <v>0.82199721988117247</v>
      </c>
      <c r="BB14" s="308">
        <f t="shared" si="54"/>
        <v>0.9186047362742884</v>
      </c>
      <c r="BC14" s="308">
        <f t="shared" si="54"/>
        <v>0.95573680266265615</v>
      </c>
      <c r="BD14" s="308">
        <f t="shared" si="54"/>
        <v>0.94771257654890151</v>
      </c>
      <c r="BE14" s="308">
        <f t="shared" si="54"/>
        <v>1</v>
      </c>
      <c r="BF14" s="308">
        <f t="shared" si="54"/>
        <v>0.89805025464302934</v>
      </c>
      <c r="BG14" s="308">
        <f t="shared" si="54"/>
        <v>0.95006268253985326</v>
      </c>
      <c r="BH14" s="308">
        <f t="shared" si="54"/>
        <v>1</v>
      </c>
      <c r="BI14" s="308">
        <f t="shared" si="54"/>
        <v>0.89841072520540466</v>
      </c>
      <c r="BJ14" s="308">
        <f t="shared" si="54"/>
        <v>0.75645785487029849</v>
      </c>
      <c r="BK14" s="308">
        <f t="shared" si="54"/>
        <v>0.96465281262906222</v>
      </c>
      <c r="BL14" s="308">
        <f t="shared" si="54"/>
        <v>0.90624032092695483</v>
      </c>
      <c r="BM14" s="308">
        <f t="shared" si="54"/>
        <v>0.81124998868091269</v>
      </c>
      <c r="BN14" s="308">
        <f t="shared" si="54"/>
        <v>0.89780192895566868</v>
      </c>
      <c r="BO14" s="308">
        <f t="shared" si="54"/>
        <v>0.9217782878607127</v>
      </c>
      <c r="BP14" s="308">
        <f t="shared" si="54"/>
        <v>0.89472087448612636</v>
      </c>
      <c r="BQ14" s="308">
        <f t="shared" si="54"/>
        <v>0.90760368710135053</v>
      </c>
      <c r="BR14" s="308">
        <f t="shared" si="54"/>
        <v>0.96556243471636616</v>
      </c>
      <c r="BS14" s="308">
        <f t="shared" si="54"/>
        <v>0.88591374971462933</v>
      </c>
      <c r="BT14" s="308">
        <f t="shared" si="54"/>
        <v>0.94990485157657911</v>
      </c>
      <c r="BU14" s="308">
        <f t="shared" si="54"/>
        <v>0.90581135312952177</v>
      </c>
      <c r="BV14" s="308">
        <f t="shared" si="54"/>
        <v>0.7626505026811542</v>
      </c>
      <c r="BW14" s="308">
        <f t="shared" si="54"/>
        <v>0.81950730951729955</v>
      </c>
      <c r="BX14" s="308">
        <f t="shared" si="54"/>
        <v>0.82354907849058234</v>
      </c>
      <c r="BY14" s="308">
        <f t="shared" si="54"/>
        <v>0.8223277549793051</v>
      </c>
      <c r="BZ14" s="308">
        <f t="shared" si="54"/>
        <v>0.84498456851278991</v>
      </c>
      <c r="CA14" s="308">
        <f t="shared" si="54"/>
        <v>0.86609306738748049</v>
      </c>
      <c r="CB14" s="308">
        <f t="shared" si="54"/>
        <v>0.88519543984678029</v>
      </c>
      <c r="CC14" s="308">
        <f t="shared" si="54"/>
        <v>0.87078016504840328</v>
      </c>
      <c r="CD14" s="308">
        <f t="shared" si="54"/>
        <v>0.89889918981648553</v>
      </c>
      <c r="CE14" s="308">
        <f t="shared" si="54"/>
        <v>0.85385945570127397</v>
      </c>
      <c r="CF14" s="308">
        <f t="shared" si="54"/>
        <v>0.89217307139730317</v>
      </c>
      <c r="CG14" s="308">
        <f t="shared" si="54"/>
        <v>0.82122989458033224</v>
      </c>
      <c r="CH14" s="308">
        <f t="shared" si="54"/>
        <v>0.84955369665553926</v>
      </c>
      <c r="CI14" s="308">
        <f t="shared" si="54"/>
        <v>0.89853512794156121</v>
      </c>
      <c r="CJ14" s="308">
        <f t="shared" si="54"/>
        <v>0.92383022410646798</v>
      </c>
      <c r="CK14" s="308">
        <f t="shared" si="54"/>
        <v>0.8050992825416815</v>
      </c>
      <c r="CL14" s="308">
        <f t="shared" si="54"/>
        <v>0.89249951615855216</v>
      </c>
      <c r="CM14" s="308">
        <f t="shared" si="54"/>
        <v>0.91751286105359009</v>
      </c>
      <c r="CN14" s="308">
        <f t="shared" si="54"/>
        <v>0.90026927036113502</v>
      </c>
      <c r="CO14" s="308">
        <f t="shared" si="54"/>
        <v>0.95063115009636001</v>
      </c>
      <c r="CP14" s="308">
        <f t="shared" si="54"/>
        <v>0.92399675735437425</v>
      </c>
      <c r="CQ14" s="308">
        <f t="shared" si="54"/>
        <v>0.8574348571363033</v>
      </c>
      <c r="CR14" s="308">
        <f t="shared" si="54"/>
        <v>0.93994170881904748</v>
      </c>
      <c r="CS14" s="308">
        <f t="shared" si="54"/>
        <v>0.88554966420413772</v>
      </c>
      <c r="CT14" s="308">
        <f t="shared" si="54"/>
        <v>0.84971278996867883</v>
      </c>
      <c r="CU14" s="308">
        <f t="shared" ref="CU14:FB14" si="55">IFERROR(SUM(CU10:CU11)/CU7*12+1,"")</f>
        <v>0.93162204113730918</v>
      </c>
      <c r="CV14" s="308">
        <f t="shared" si="55"/>
        <v>0.91421104756477456</v>
      </c>
      <c r="CW14" s="308">
        <f t="shared" si="55"/>
        <v>0.84381900111247621</v>
      </c>
      <c r="CX14" s="308">
        <f t="shared" si="55"/>
        <v>0.90093727455807227</v>
      </c>
      <c r="CY14" s="308">
        <f t="shared" si="55"/>
        <v>0.9199675211594226</v>
      </c>
      <c r="CZ14" s="308">
        <f t="shared" si="55"/>
        <v>0.85741889958359452</v>
      </c>
      <c r="DA14" s="308">
        <f t="shared" si="55"/>
        <v>0.90927314298152961</v>
      </c>
      <c r="DB14" s="308">
        <f t="shared" si="55"/>
        <v>0.92966785228606297</v>
      </c>
      <c r="DC14" s="308">
        <f t="shared" si="55"/>
        <v>0.89158468620472831</v>
      </c>
      <c r="DD14" s="308">
        <f t="shared" si="55"/>
        <v>0.9183489827798762</v>
      </c>
      <c r="DE14" s="308">
        <f t="shared" si="55"/>
        <v>0.83128993803570617</v>
      </c>
      <c r="DF14" s="308">
        <f t="shared" si="55"/>
        <v>0.8488969693178211</v>
      </c>
      <c r="DG14" s="308">
        <f t="shared" si="55"/>
        <v>0.92518020171821125</v>
      </c>
      <c r="DH14" s="308">
        <f t="shared" si="55"/>
        <v>0.90609024096876023</v>
      </c>
      <c r="DI14" s="308">
        <f t="shared" si="55"/>
        <v>0.82877027081621801</v>
      </c>
      <c r="DJ14" s="308">
        <f t="shared" si="55"/>
        <v>0.89098801542597406</v>
      </c>
      <c r="DK14" s="308">
        <f t="shared" si="55"/>
        <v>0.91192409795642515</v>
      </c>
      <c r="DL14" s="308">
        <f t="shared" si="55"/>
        <v>0.84291666591837144</v>
      </c>
      <c r="DM14" s="308">
        <f t="shared" si="55"/>
        <v>0.8997934403150506</v>
      </c>
      <c r="DN14" s="308">
        <f t="shared" si="55"/>
        <v>0.92217678387165114</v>
      </c>
      <c r="DO14" s="308">
        <f t="shared" si="55"/>
        <v>0.87975281309283471</v>
      </c>
      <c r="DP14" s="308">
        <f t="shared" si="55"/>
        <v>0.90909611411345392</v>
      </c>
      <c r="DQ14" s="308">
        <f t="shared" si="55"/>
        <v>0.81135361293507957</v>
      </c>
      <c r="DR14" s="308">
        <f t="shared" si="55"/>
        <v>0.82993335334246732</v>
      </c>
      <c r="DS14" s="308">
        <f t="shared" si="55"/>
        <v>0.92518020171821125</v>
      </c>
      <c r="DT14" s="308">
        <f t="shared" si="55"/>
        <v>0.90602190305401997</v>
      </c>
      <c r="DU14" s="308">
        <f t="shared" si="55"/>
        <v>0.82839001138028034</v>
      </c>
      <c r="DV14" s="308">
        <f t="shared" si="55"/>
        <v>0.89044589196733004</v>
      </c>
      <c r="DW14" s="308">
        <f t="shared" si="55"/>
        <v>0.91138530736032897</v>
      </c>
      <c r="DX14" s="308">
        <f t="shared" si="55"/>
        <v>0.84164247071421994</v>
      </c>
      <c r="DY14" s="308">
        <f t="shared" si="55"/>
        <v>0.89871681272266291</v>
      </c>
      <c r="DZ14" s="308">
        <f t="shared" si="55"/>
        <v>0.92127265355278887</v>
      </c>
      <c r="EA14" s="308">
        <f t="shared" si="55"/>
        <v>0.87818603684391439</v>
      </c>
      <c r="EB14" s="308">
        <f t="shared" si="55"/>
        <v>0.9077018237038581</v>
      </c>
      <c r="EC14" s="308">
        <f t="shared" si="55"/>
        <v>0.80829111053520442</v>
      </c>
      <c r="ED14" s="308">
        <f t="shared" si="55"/>
        <v>0.82677186825200688</v>
      </c>
      <c r="EE14" s="308">
        <f t="shared" si="55"/>
        <v>0.92518020171821125</v>
      </c>
      <c r="EF14" s="308">
        <f t="shared" si="55"/>
        <v>0.90595282337120742</v>
      </c>
      <c r="EG14" s="308">
        <f t="shared" si="55"/>
        <v>0.82800446949440054</v>
      </c>
      <c r="EH14" s="308">
        <f t="shared" si="55"/>
        <v>0.88989318910407489</v>
      </c>
      <c r="EI14" s="308">
        <f t="shared" si="55"/>
        <v>0.91083473782834767</v>
      </c>
      <c r="EJ14" s="308">
        <f t="shared" si="55"/>
        <v>0.84033519064963469</v>
      </c>
      <c r="EK14" s="308">
        <f t="shared" si="55"/>
        <v>0.8976063707565336</v>
      </c>
      <c r="EL14" s="308">
        <f t="shared" si="55"/>
        <v>0.92033848771471005</v>
      </c>
      <c r="EM14" s="308">
        <f t="shared" si="55"/>
        <v>0.87656261137235236</v>
      </c>
      <c r="EN14" s="308">
        <f t="shared" si="55"/>
        <v>0.90625040142668867</v>
      </c>
      <c r="EO14" s="308">
        <f t="shared" si="55"/>
        <v>0.80509737305920048</v>
      </c>
      <c r="EP14" s="308">
        <f t="shared" si="55"/>
        <v>0.82345925666551256</v>
      </c>
      <c r="EQ14" s="308">
        <f t="shared" si="55"/>
        <v>0.92518020171821125</v>
      </c>
      <c r="ER14" s="308">
        <f t="shared" si="55"/>
        <v>0.90588240425896471</v>
      </c>
      <c r="ES14" s="308">
        <f t="shared" si="55"/>
        <v>0.82761025147306433</v>
      </c>
      <c r="ET14" s="308">
        <f t="shared" si="55"/>
        <v>0.8893248478152711</v>
      </c>
      <c r="EU14" s="308">
        <f t="shared" si="55"/>
        <v>0.91026725407903719</v>
      </c>
      <c r="EV14" s="308">
        <f t="shared" si="55"/>
        <v>0.83898218414242054</v>
      </c>
      <c r="EW14" s="308">
        <f t="shared" si="55"/>
        <v>0.89645078723294402</v>
      </c>
      <c r="EX14" s="308">
        <f t="shared" si="55"/>
        <v>0.91936457444573971</v>
      </c>
      <c r="EY14" s="308">
        <f t="shared" si="55"/>
        <v>0.87486511159409164</v>
      </c>
      <c r="EZ14" s="308">
        <f t="shared" si="55"/>
        <v>0.9047253872190606</v>
      </c>
      <c r="FA14" s="308">
        <f t="shared" si="55"/>
        <v>0.80173536893377251</v>
      </c>
      <c r="FB14" s="308">
        <f t="shared" si="55"/>
        <v>0.81995472608791742</v>
      </c>
    </row>
    <row r="15" spans="1:158" x14ac:dyDescent="0.25">
      <c r="C15" s="289" t="s">
        <v>619</v>
      </c>
      <c r="D15" s="308">
        <f>SUM(D9:D11)/D7+1</f>
        <v>0.97400729425331578</v>
      </c>
      <c r="E15" s="308">
        <f t="shared" ref="E15:G15" si="56">SUM(E9:E11)/E7+1</f>
        <v>1.0096587606707939</v>
      </c>
      <c r="F15" s="308">
        <f t="shared" si="56"/>
        <v>0.95932331108127045</v>
      </c>
      <c r="G15" s="308">
        <f t="shared" si="56"/>
        <v>0.96464695303306025</v>
      </c>
      <c r="H15" s="308">
        <f t="shared" ref="H15:L15" si="57">SUM(H9:H11)/H7+1</f>
        <v>1.0076164541585171</v>
      </c>
      <c r="I15" s="308">
        <f t="shared" si="57"/>
        <v>0.99802893845129415</v>
      </c>
      <c r="J15" s="308">
        <f t="shared" si="57"/>
        <v>1.0012185643420799</v>
      </c>
      <c r="K15" s="308">
        <f t="shared" si="57"/>
        <v>1.0031657364223781</v>
      </c>
      <c r="L15" s="308">
        <f t="shared" si="57"/>
        <v>1.0037759308487249</v>
      </c>
      <c r="M15" s="244"/>
      <c r="N15" s="413"/>
      <c r="O15" s="413"/>
      <c r="P15" s="413"/>
      <c r="Q15" s="308">
        <f>IFERROR(SUM(N9:Q11)/N7+1,"")</f>
        <v>0.97400729425331578</v>
      </c>
      <c r="R15" s="308">
        <f t="shared" ref="R15:AW15" si="58">IFERROR(SUM(O9:R11)/O7+1,"")</f>
        <v>0.97297223784908216</v>
      </c>
      <c r="S15" s="308">
        <f t="shared" si="58"/>
        <v>0.96052193653368922</v>
      </c>
      <c r="T15" s="308">
        <f t="shared" si="58"/>
        <v>0.9750252856694237</v>
      </c>
      <c r="U15" s="308">
        <f t="shared" si="58"/>
        <v>1.0096587606707939</v>
      </c>
      <c r="V15" s="308">
        <f t="shared" si="58"/>
        <v>0.97321793292381864</v>
      </c>
      <c r="W15" s="308">
        <f t="shared" si="58"/>
        <v>0.96854745412367083</v>
      </c>
      <c r="X15" s="308">
        <f t="shared" si="58"/>
        <v>0.95844017167912887</v>
      </c>
      <c r="Y15" s="308">
        <f t="shared" si="58"/>
        <v>0.95932331108127045</v>
      </c>
      <c r="Z15" s="308">
        <f t="shared" si="58"/>
        <v>0.98698378646939666</v>
      </c>
      <c r="AA15" s="308">
        <f t="shared" si="58"/>
        <v>1.0168114077587449</v>
      </c>
      <c r="AB15" s="308">
        <f t="shared" si="58"/>
        <v>0.99340758357673875</v>
      </c>
      <c r="AC15" s="308">
        <f t="shared" si="58"/>
        <v>0.96464695303306025</v>
      </c>
      <c r="AD15" s="308">
        <f t="shared" si="58"/>
        <v>0.96455218511979546</v>
      </c>
      <c r="AE15" s="308">
        <f t="shared" si="58"/>
        <v>0.95871324846250883</v>
      </c>
      <c r="AF15" s="308">
        <f t="shared" si="58"/>
        <v>0.98349784066978552</v>
      </c>
      <c r="AG15" s="308">
        <f t="shared" si="58"/>
        <v>1.0076164541585171</v>
      </c>
      <c r="AH15" s="308">
        <f t="shared" si="58"/>
        <v>1.00430570605617</v>
      </c>
      <c r="AI15" s="308">
        <f t="shared" si="58"/>
        <v>1.0041061643150742</v>
      </c>
      <c r="AJ15" s="308">
        <f t="shared" si="58"/>
        <v>1.0030459789702162</v>
      </c>
      <c r="AK15" s="308">
        <f t="shared" si="58"/>
        <v>0.99802893845129403</v>
      </c>
      <c r="AL15" s="308">
        <f t="shared" si="58"/>
        <v>0.99753053792283564</v>
      </c>
      <c r="AM15" s="308">
        <f t="shared" si="58"/>
        <v>0.99929658721792258</v>
      </c>
      <c r="AN15" s="308">
        <f t="shared" si="58"/>
        <v>1.0009163839048727</v>
      </c>
      <c r="AO15" s="308">
        <f t="shared" si="58"/>
        <v>1.0012185643420799</v>
      </c>
      <c r="AP15" s="308">
        <f t="shared" si="58"/>
        <v>1.0005070665385005</v>
      </c>
      <c r="AQ15" s="308">
        <f t="shared" si="58"/>
        <v>1.0018605988906835</v>
      </c>
      <c r="AR15" s="308">
        <f t="shared" si="58"/>
        <v>1.0031518008154849</v>
      </c>
      <c r="AS15" s="308">
        <f t="shared" si="58"/>
        <v>1.0031657364223781</v>
      </c>
      <c r="AT15" s="308">
        <f t="shared" si="58"/>
        <v>1.0022263739119923</v>
      </c>
      <c r="AU15" s="308">
        <f t="shared" si="58"/>
        <v>1.0031467942674199</v>
      </c>
      <c r="AV15" s="308">
        <f t="shared" si="58"/>
        <v>1.0040865680927686</v>
      </c>
      <c r="AW15" s="308">
        <f t="shared" si="58"/>
        <v>1.0037759308487249</v>
      </c>
      <c r="AX15" s="244"/>
      <c r="AY15" s="308">
        <f>IFERROR(SUM(AY9:AY11)/AY7*12+1,"")</f>
        <v>0.98161206493434716</v>
      </c>
      <c r="AZ15" s="308">
        <f t="shared" ref="AZ15:CT15" si="59">IFERROR(SUM(AZ9:AZ11)/AZ7*12+1,"")</f>
        <v>0.91772555441572501</v>
      </c>
      <c r="BA15" s="308">
        <f t="shared" si="59"/>
        <v>0.95693464818316354</v>
      </c>
      <c r="BB15" s="308">
        <f t="shared" si="59"/>
        <v>1.0040697631862856</v>
      </c>
      <c r="BC15" s="308">
        <f t="shared" si="59"/>
        <v>1.0689671598303325</v>
      </c>
      <c r="BD15" s="308">
        <f t="shared" si="59"/>
        <v>1.0641065597936907</v>
      </c>
      <c r="BE15" s="308">
        <f t="shared" si="59"/>
        <v>1.0981714802825151</v>
      </c>
      <c r="BF15" s="308">
        <f t="shared" si="59"/>
        <v>1.0151838435805245</v>
      </c>
      <c r="BG15" s="308">
        <f t="shared" si="59"/>
        <v>1.0828319861124469</v>
      </c>
      <c r="BH15" s="308">
        <f t="shared" si="59"/>
        <v>1.0092518474196108</v>
      </c>
      <c r="BI15" s="308">
        <f t="shared" si="59"/>
        <v>0.85044918309336848</v>
      </c>
      <c r="BJ15" s="308">
        <f t="shared" si="59"/>
        <v>0.83074660907524667</v>
      </c>
      <c r="BK15" s="308">
        <f t="shared" si="59"/>
        <v>0.98792719304584165</v>
      </c>
      <c r="BL15" s="308">
        <f t="shared" si="59"/>
        <v>0.99708659938999</v>
      </c>
      <c r="BM15" s="308">
        <f t="shared" si="59"/>
        <v>0.92150986604493068</v>
      </c>
      <c r="BN15" s="308">
        <f t="shared" si="59"/>
        <v>0.95523803397648899</v>
      </c>
      <c r="BO15" s="308">
        <f t="shared" si="59"/>
        <v>0.98937926809263488</v>
      </c>
      <c r="BP15" s="308">
        <f t="shared" si="59"/>
        <v>1.011596087333211</v>
      </c>
      <c r="BQ15" s="308">
        <f t="shared" si="59"/>
        <v>0.92521875447569513</v>
      </c>
      <c r="BR15" s="308">
        <f t="shared" si="59"/>
        <v>1.0328801867388788</v>
      </c>
      <c r="BS15" s="308">
        <f t="shared" si="59"/>
        <v>1.1679762418873607</v>
      </c>
      <c r="BT15" s="308">
        <f t="shared" si="59"/>
        <v>1.0694729677317212</v>
      </c>
      <c r="BU15" s="308">
        <f t="shared" si="59"/>
        <v>1.0505578891823628</v>
      </c>
      <c r="BV15" s="308">
        <f t="shared" si="59"/>
        <v>0.93218608111960033</v>
      </c>
      <c r="BW15" s="308">
        <f t="shared" si="59"/>
        <v>0.87288515844198777</v>
      </c>
      <c r="BX15" s="308">
        <f t="shared" si="59"/>
        <v>0.8794197322253654</v>
      </c>
      <c r="BY15" s="308">
        <f t="shared" si="59"/>
        <v>0.91870795318916565</v>
      </c>
      <c r="BZ15" s="308">
        <f t="shared" si="59"/>
        <v>0.90435912745743685</v>
      </c>
      <c r="CA15" s="308">
        <f t="shared" si="59"/>
        <v>0.93851027645830964</v>
      </c>
      <c r="CB15" s="308">
        <f t="shared" si="59"/>
        <v>1.0500038696949379</v>
      </c>
      <c r="CC15" s="308">
        <f t="shared" si="59"/>
        <v>0.94438364666674246</v>
      </c>
      <c r="CD15" s="308">
        <f t="shared" si="59"/>
        <v>0.96600344131428706</v>
      </c>
      <c r="CE15" s="308">
        <f t="shared" si="59"/>
        <v>1.0554208534511378</v>
      </c>
      <c r="CF15" s="308">
        <f t="shared" si="59"/>
        <v>1.012123682600697</v>
      </c>
      <c r="CG15" s="308">
        <f t="shared" si="59"/>
        <v>1.0136909279155883</v>
      </c>
      <c r="CH15" s="308">
        <f t="shared" si="59"/>
        <v>0.96813839129220702</v>
      </c>
      <c r="CI15" s="308">
        <f t="shared" si="59"/>
        <v>1.0092083811854708</v>
      </c>
      <c r="CJ15" s="308">
        <f t="shared" si="59"/>
        <v>1.0146389363940702</v>
      </c>
      <c r="CK15" s="308">
        <f t="shared" si="59"/>
        <v>0.97407237695139492</v>
      </c>
      <c r="CL15" s="308">
        <f t="shared" si="59"/>
        <v>1.0207793308607318</v>
      </c>
      <c r="CM15" s="308">
        <f t="shared" si="59"/>
        <v>1.0848497411362332</v>
      </c>
      <c r="CN15" s="308">
        <f t="shared" si="59"/>
        <v>1.0693942604691817</v>
      </c>
      <c r="CO15" s="308">
        <f t="shared" si="59"/>
        <v>0.96150283796601044</v>
      </c>
      <c r="CP15" s="308">
        <f t="shared" si="59"/>
        <v>0.94890912710106501</v>
      </c>
      <c r="CQ15" s="308">
        <f t="shared" si="59"/>
        <v>0.8914934794866971</v>
      </c>
      <c r="CR15" s="308">
        <f t="shared" si="59"/>
        <v>0.94804138101063873</v>
      </c>
      <c r="CS15" s="308">
        <f t="shared" si="59"/>
        <v>0.91754923265763166</v>
      </c>
      <c r="CT15" s="308">
        <f t="shared" si="59"/>
        <v>0.8874655323800309</v>
      </c>
      <c r="CU15" s="308">
        <f t="shared" ref="CU15:FB15" si="60">IFERROR(SUM(CU9:CU11)/CU7*12+1,"")</f>
        <v>0.96967865771636363</v>
      </c>
      <c r="CV15" s="308">
        <f t="shared" si="60"/>
        <v>0.99718013900453695</v>
      </c>
      <c r="CW15" s="308">
        <f t="shared" si="60"/>
        <v>1.0049886237027754</v>
      </c>
      <c r="CX15" s="308">
        <f t="shared" si="60"/>
        <v>0.96258185624313342</v>
      </c>
      <c r="CY15" s="308">
        <f t="shared" si="60"/>
        <v>1.0391963843126149</v>
      </c>
      <c r="CZ15" s="308">
        <f t="shared" si="60"/>
        <v>1.0217966959020499</v>
      </c>
      <c r="DA15" s="308">
        <f t="shared" si="60"/>
        <v>0.96302461823108787</v>
      </c>
      <c r="DB15" s="308">
        <f t="shared" si="60"/>
        <v>1.0243835563911547</v>
      </c>
      <c r="DC15" s="308">
        <f t="shared" si="60"/>
        <v>1.0535096420262762</v>
      </c>
      <c r="DD15" s="308">
        <f t="shared" si="60"/>
        <v>0.98459194361911484</v>
      </c>
      <c r="DE15" s="308">
        <f t="shared" si="60"/>
        <v>1.0050010491271055</v>
      </c>
      <c r="DF15" s="308">
        <f t="shared" si="60"/>
        <v>1.0390930363411237</v>
      </c>
      <c r="DG15" s="308">
        <f t="shared" si="60"/>
        <v>0.96691058490779558</v>
      </c>
      <c r="DH15" s="308">
        <f t="shared" si="60"/>
        <v>0.99356227505427142</v>
      </c>
      <c r="DI15" s="308">
        <f t="shared" si="60"/>
        <v>0.99609058881022661</v>
      </c>
      <c r="DJ15" s="308">
        <f t="shared" si="60"/>
        <v>0.96029217927030908</v>
      </c>
      <c r="DK15" s="308">
        <f t="shared" si="60"/>
        <v>1.0401157874183933</v>
      </c>
      <c r="DL15" s="308">
        <f t="shared" si="60"/>
        <v>1.0173197793903421</v>
      </c>
      <c r="DM15" s="308">
        <f t="shared" si="60"/>
        <v>0.95503680584589179</v>
      </c>
      <c r="DN15" s="308">
        <f t="shared" si="60"/>
        <v>1.0196997140566302</v>
      </c>
      <c r="DO15" s="308">
        <f t="shared" si="60"/>
        <v>1.0468724701753738</v>
      </c>
      <c r="DP15" s="308">
        <f t="shared" si="60"/>
        <v>0.97018461046831583</v>
      </c>
      <c r="DQ15" s="308">
        <f t="shared" si="60"/>
        <v>0.98465534612779437</v>
      </c>
      <c r="DR15" s="308">
        <f t="shared" si="60"/>
        <v>1.0219854395374217</v>
      </c>
      <c r="DS15" s="308">
        <f t="shared" si="60"/>
        <v>0.96787490668080467</v>
      </c>
      <c r="DT15" s="308">
        <f t="shared" si="60"/>
        <v>0.99558039872497706</v>
      </c>
      <c r="DU15" s="308">
        <f t="shared" si="60"/>
        <v>0.99995699589513143</v>
      </c>
      <c r="DV15" s="308">
        <f t="shared" si="60"/>
        <v>0.96170418149621939</v>
      </c>
      <c r="DW15" s="308">
        <f t="shared" si="60"/>
        <v>1.0433416138695368</v>
      </c>
      <c r="DX15" s="308">
        <f t="shared" si="60"/>
        <v>1.0215231357492143</v>
      </c>
      <c r="DY15" s="308">
        <f t="shared" si="60"/>
        <v>0.95584401826712018</v>
      </c>
      <c r="DZ15" s="308">
        <f t="shared" si="60"/>
        <v>1.0222083594877527</v>
      </c>
      <c r="EA15" s="308">
        <f t="shared" si="60"/>
        <v>1.0513953851774909</v>
      </c>
      <c r="EB15" s="308">
        <f t="shared" si="60"/>
        <v>0.97116060845705288</v>
      </c>
      <c r="EC15" s="308">
        <f t="shared" si="60"/>
        <v>0.98847597589647695</v>
      </c>
      <c r="ED15" s="308">
        <f t="shared" si="60"/>
        <v>1.0269146567647034</v>
      </c>
      <c r="EE15" s="308">
        <f t="shared" si="60"/>
        <v>0.96846359654510861</v>
      </c>
      <c r="EF15" s="308">
        <f t="shared" si="60"/>
        <v>0.99681292232176599</v>
      </c>
      <c r="EG15" s="308">
        <f t="shared" si="60"/>
        <v>1.0023278408922187</v>
      </c>
      <c r="EH15" s="308">
        <f t="shared" si="60"/>
        <v>0.96249846995220401</v>
      </c>
      <c r="EI15" s="308">
        <f t="shared" si="60"/>
        <v>1.0454416636677049</v>
      </c>
      <c r="EJ15" s="308">
        <f t="shared" si="60"/>
        <v>1.0242015485869516</v>
      </c>
      <c r="EK15" s="308">
        <f t="shared" si="60"/>
        <v>0.95615623018322282</v>
      </c>
      <c r="EL15" s="308">
        <f t="shared" si="60"/>
        <v>1.0238801320055597</v>
      </c>
      <c r="EM15" s="308">
        <f t="shared" si="60"/>
        <v>1.0545004371977407</v>
      </c>
      <c r="EN15" s="308">
        <f t="shared" si="60"/>
        <v>0.97159585056872899</v>
      </c>
      <c r="EO15" s="308">
        <f t="shared" si="60"/>
        <v>0.9908098362790192</v>
      </c>
      <c r="EP15" s="308">
        <f t="shared" si="60"/>
        <v>1.0302417535744213</v>
      </c>
      <c r="EQ15" s="308">
        <f t="shared" si="60"/>
        <v>0.96864807704258471</v>
      </c>
      <c r="ER15" s="308">
        <f t="shared" si="60"/>
        <v>0.99719808566036938</v>
      </c>
      <c r="ES15" s="308">
        <f t="shared" si="60"/>
        <v>1.0030778723869149</v>
      </c>
      <c r="ET15" s="308">
        <f t="shared" si="60"/>
        <v>0.96261594951038754</v>
      </c>
      <c r="EU15" s="308">
        <f t="shared" si="60"/>
        <v>1.0463082395866548</v>
      </c>
      <c r="EV15" s="308">
        <f t="shared" si="60"/>
        <v>1.025196941129469</v>
      </c>
      <c r="EW15" s="308">
        <f t="shared" si="60"/>
        <v>0.95591378751150435</v>
      </c>
      <c r="EX15" s="308">
        <f t="shared" si="60"/>
        <v>1.0246187877368969</v>
      </c>
      <c r="EY15" s="308">
        <f t="shared" si="60"/>
        <v>1.0560187501245775</v>
      </c>
      <c r="EZ15" s="308">
        <f t="shared" si="60"/>
        <v>0.97141684635657566</v>
      </c>
      <c r="FA15" s="308">
        <f t="shared" si="60"/>
        <v>0.99145649791921753</v>
      </c>
      <c r="FB15" s="308">
        <f t="shared" si="60"/>
        <v>1.0317409205189456</v>
      </c>
    </row>
    <row r="16" spans="1:158" x14ac:dyDescent="0.25">
      <c r="C16" s="289"/>
      <c r="D16" s="244"/>
      <c r="E16" s="244"/>
      <c r="F16" s="244"/>
      <c r="G16" s="244"/>
      <c r="H16" s="244"/>
      <c r="I16" s="244"/>
      <c r="J16" s="244"/>
      <c r="K16" s="244"/>
      <c r="L16" s="244"/>
      <c r="M16" s="244"/>
      <c r="N16" s="244"/>
      <c r="O16" s="244"/>
      <c r="P16" s="244"/>
      <c r="Q16" s="244"/>
      <c r="R16" s="244"/>
      <c r="S16" s="244"/>
      <c r="T16" s="244"/>
      <c r="U16" s="244"/>
      <c r="V16" s="244"/>
      <c r="W16" s="244"/>
      <c r="X16" s="244"/>
      <c r="Y16" s="244"/>
      <c r="Z16" s="244"/>
      <c r="AA16" s="244"/>
      <c r="AB16" s="244"/>
      <c r="AC16" s="244"/>
      <c r="AD16" s="244"/>
      <c r="AE16" s="244"/>
      <c r="AF16" s="244"/>
      <c r="AG16" s="244"/>
      <c r="AH16" s="244"/>
      <c r="AI16" s="244"/>
      <c r="AJ16" s="244"/>
      <c r="AK16" s="244"/>
      <c r="AL16" s="244"/>
      <c r="AM16" s="244"/>
      <c r="AN16" s="244"/>
      <c r="AO16" s="244"/>
      <c r="AP16" s="244"/>
      <c r="AQ16" s="244"/>
      <c r="AR16" s="244"/>
      <c r="AS16" s="244"/>
      <c r="AT16" s="244"/>
      <c r="AU16" s="244"/>
      <c r="AV16" s="244"/>
      <c r="AW16" s="244"/>
      <c r="AX16" s="244"/>
      <c r="AY16" s="244"/>
      <c r="AZ16" s="244"/>
      <c r="BA16" s="244"/>
      <c r="BB16" s="244"/>
      <c r="BC16" s="244"/>
      <c r="BD16" s="244"/>
      <c r="BE16" s="244"/>
      <c r="BF16" s="244"/>
      <c r="BG16" s="244"/>
      <c r="BH16" s="244"/>
      <c r="BI16" s="244"/>
      <c r="BJ16" s="244"/>
      <c r="BK16" s="244"/>
      <c r="BL16" s="244"/>
      <c r="BM16" s="244"/>
      <c r="BN16" s="244"/>
      <c r="BO16" s="244"/>
      <c r="BP16" s="244"/>
      <c r="BQ16" s="244"/>
      <c r="BR16" s="244"/>
      <c r="BS16" s="244"/>
      <c r="BT16" s="244"/>
      <c r="BU16" s="244"/>
      <c r="BV16" s="244"/>
      <c r="BW16" s="244"/>
      <c r="BX16" s="244"/>
      <c r="BY16" s="244"/>
      <c r="BZ16" s="244"/>
      <c r="CA16" s="244"/>
      <c r="CB16" s="244"/>
      <c r="CC16" s="244"/>
      <c r="CD16" s="244"/>
      <c r="CE16" s="244"/>
      <c r="CF16" s="244"/>
      <c r="CG16" s="244"/>
      <c r="CH16" s="244"/>
      <c r="CI16" s="99"/>
      <c r="CJ16" s="99"/>
      <c r="CK16" s="99"/>
      <c r="CL16" s="99"/>
      <c r="CM16" s="99"/>
      <c r="CN16" s="99"/>
      <c r="CO16" s="99"/>
      <c r="CP16" s="99"/>
      <c r="CQ16" s="99"/>
      <c r="CR16" s="99"/>
      <c r="CS16" s="99"/>
      <c r="CT16" s="99"/>
    </row>
    <row r="17" spans="1:158" x14ac:dyDescent="0.25">
      <c r="C17" s="1" t="s">
        <v>608</v>
      </c>
      <c r="D17" s="244"/>
      <c r="E17" s="244"/>
      <c r="F17" s="244"/>
      <c r="G17" s="244"/>
      <c r="H17" s="244"/>
      <c r="I17" s="244"/>
      <c r="J17" s="244"/>
      <c r="K17" s="244"/>
      <c r="L17" s="244"/>
      <c r="M17" s="244"/>
      <c r="N17" s="244"/>
      <c r="O17" s="244"/>
      <c r="P17" s="244"/>
      <c r="Q17" s="244"/>
      <c r="R17" s="244"/>
      <c r="S17" s="244"/>
      <c r="T17" s="244"/>
      <c r="U17" s="244"/>
      <c r="V17" s="244"/>
      <c r="W17" s="244"/>
      <c r="X17" s="244"/>
      <c r="Y17" s="244"/>
      <c r="Z17" s="244"/>
      <c r="AA17" s="244"/>
      <c r="AB17" s="244"/>
      <c r="AC17" s="244"/>
      <c r="AD17" s="244"/>
      <c r="AE17" s="244"/>
      <c r="AF17" s="244"/>
      <c r="AG17" s="244"/>
      <c r="AH17" s="244"/>
      <c r="AI17" s="244"/>
      <c r="AJ17" s="244"/>
      <c r="AK17" s="244"/>
      <c r="AL17" s="244"/>
      <c r="AM17" s="244"/>
      <c r="AN17" s="244"/>
      <c r="AO17" s="244"/>
      <c r="AP17" s="244"/>
      <c r="AQ17" s="244"/>
      <c r="AR17" s="244"/>
      <c r="AS17" s="244"/>
      <c r="AT17" s="244"/>
      <c r="AU17" s="244"/>
      <c r="AV17" s="244"/>
      <c r="AW17" s="244"/>
      <c r="AX17" s="244"/>
      <c r="AY17" s="244"/>
      <c r="AZ17" s="244"/>
      <c r="BA17" s="244"/>
      <c r="BB17" s="244"/>
      <c r="BC17" s="244"/>
      <c r="BD17" s="244"/>
      <c r="BE17" s="244"/>
      <c r="BF17" s="244"/>
      <c r="BG17" s="244"/>
      <c r="BH17" s="244"/>
      <c r="BI17" s="244"/>
      <c r="BJ17" s="244"/>
      <c r="BK17" s="244"/>
      <c r="BL17" s="244"/>
      <c r="BM17" s="244"/>
      <c r="BN17" s="244"/>
      <c r="BO17" s="244"/>
      <c r="BP17" s="244"/>
      <c r="BQ17" s="244"/>
      <c r="BR17" s="244"/>
      <c r="BS17" s="244"/>
      <c r="BT17" s="244"/>
      <c r="BU17" s="244"/>
      <c r="BV17" s="244"/>
      <c r="BW17" s="244"/>
      <c r="BX17" s="244"/>
      <c r="BY17" s="244"/>
      <c r="BZ17" s="244"/>
      <c r="CA17" s="244"/>
      <c r="CB17" s="244"/>
      <c r="CC17" s="244"/>
      <c r="CD17" s="244"/>
      <c r="CE17" s="244"/>
      <c r="CF17" s="244"/>
      <c r="CG17" s="244"/>
      <c r="CH17" s="244"/>
      <c r="CI17" s="99"/>
      <c r="CJ17" s="99"/>
      <c r="CK17" s="99"/>
      <c r="CL17" s="99"/>
      <c r="CM17" s="99"/>
      <c r="CN17" s="99"/>
      <c r="CO17" s="99"/>
      <c r="CP17" s="99"/>
      <c r="CQ17" s="99"/>
      <c r="CR17" s="99"/>
      <c r="CS17" s="99"/>
      <c r="CT17" s="99"/>
    </row>
    <row r="18" spans="1:158" x14ac:dyDescent="0.25">
      <c r="A18" t="s">
        <v>608</v>
      </c>
      <c r="C18" s="2" t="s">
        <v>18</v>
      </c>
      <c r="D18" s="30">
        <f>AY18</f>
        <v>4968899.0999999959</v>
      </c>
      <c r="E18" s="30">
        <f>BK18</f>
        <v>10555668.359999996</v>
      </c>
      <c r="F18" s="30">
        <f>BW18</f>
        <v>18674405.869999997</v>
      </c>
      <c r="G18" s="30">
        <f>CI18</f>
        <v>28887778.617401</v>
      </c>
      <c r="H18" s="68">
        <f>G23</f>
        <v>49340041.186968766</v>
      </c>
      <c r="I18" s="68">
        <f>H23</f>
        <v>74827910.679417253</v>
      </c>
      <c r="J18" s="68">
        <f>I23</f>
        <v>109833179.49558161</v>
      </c>
      <c r="K18" s="68">
        <f t="shared" ref="K18" si="61">J23</f>
        <v>156967856.0286496</v>
      </c>
      <c r="L18" s="68">
        <f t="shared" ref="L18" si="62">K23</f>
        <v>219081987.50791454</v>
      </c>
      <c r="M18" s="292"/>
      <c r="N18" s="30">
        <f>AY18</f>
        <v>4968899.0999999959</v>
      </c>
      <c r="O18" s="30">
        <f>BB18</f>
        <v>6068787.0999999959</v>
      </c>
      <c r="P18" s="30">
        <f>BE18</f>
        <v>7706621.929999995</v>
      </c>
      <c r="Q18" s="30">
        <f>BH18</f>
        <v>8919092.389999995</v>
      </c>
      <c r="R18" s="30">
        <f>BK18</f>
        <v>10555668.359999996</v>
      </c>
      <c r="S18" s="30">
        <f>BN18</f>
        <v>12060701.909999995</v>
      </c>
      <c r="T18" s="30">
        <f>BQ18</f>
        <v>13615801.069999995</v>
      </c>
      <c r="U18" s="30">
        <f>BT18</f>
        <v>15801753.029999996</v>
      </c>
      <c r="V18" s="30">
        <f>BW18</f>
        <v>18674405.869999997</v>
      </c>
      <c r="W18" s="30">
        <f>BZ18</f>
        <v>20642642.381428998</v>
      </c>
      <c r="X18" s="30">
        <f>CC18</f>
        <v>23138299.835349001</v>
      </c>
      <c r="Y18" s="30">
        <f>CF18</f>
        <v>25084015.739708003</v>
      </c>
      <c r="Z18" s="30">
        <f>CI18</f>
        <v>28887778.617401</v>
      </c>
      <c r="AA18" s="30">
        <f>CL18</f>
        <v>31379245.637026995</v>
      </c>
      <c r="AB18" s="30">
        <f>CO18</f>
        <v>34992812.36367999</v>
      </c>
      <c r="AC18" s="30">
        <f>CR18</f>
        <v>40744874.18544434</v>
      </c>
      <c r="AD18" s="30">
        <f>CU18</f>
        <v>49340041.186968744</v>
      </c>
      <c r="AE18" s="30">
        <f>CX18</f>
        <v>53741521.324630708</v>
      </c>
      <c r="AF18" s="30">
        <f>DA18</f>
        <v>59757083.203853764</v>
      </c>
      <c r="AG18" s="30">
        <f>DD18</f>
        <v>65748708.573807195</v>
      </c>
      <c r="AH18" s="30">
        <f>DG18</f>
        <v>74827910.679417253</v>
      </c>
      <c r="AI18" s="30">
        <f>DJ18</f>
        <v>81080907.583122909</v>
      </c>
      <c r="AJ18" s="30">
        <f>DM18</f>
        <v>89831509.044623822</v>
      </c>
      <c r="AK18" s="30">
        <f>DP18</f>
        <v>98068224.468453571</v>
      </c>
      <c r="AL18" s="30">
        <f>DS18</f>
        <v>109833179.49558167</v>
      </c>
      <c r="AM18" s="30">
        <f>DV18</f>
        <v>118242092.86624253</v>
      </c>
      <c r="AN18" s="30">
        <f>DY18</f>
        <v>130032025.70328888</v>
      </c>
      <c r="AO18" s="30">
        <f>EB18</f>
        <v>141131860.64881754</v>
      </c>
      <c r="AP18" s="30">
        <f>EE18</f>
        <v>156967856.02864963</v>
      </c>
      <c r="AQ18" s="30">
        <f>EH18</f>
        <v>168035625.42319304</v>
      </c>
      <c r="AR18" s="30">
        <f>EK18</f>
        <v>183581483.45036966</v>
      </c>
      <c r="AS18" s="30">
        <f>EN18</f>
        <v>198220252.60708174</v>
      </c>
      <c r="AT18" s="30">
        <f>EQ18</f>
        <v>219081987.5079146</v>
      </c>
      <c r="AU18" s="30">
        <f>ET18</f>
        <v>233315067.1706391</v>
      </c>
      <c r="AV18" s="30">
        <f>EW18</f>
        <v>253344075.73535123</v>
      </c>
      <c r="AW18" s="30">
        <f>EZ18</f>
        <v>272208184.21093541</v>
      </c>
      <c r="AX18" s="244"/>
      <c r="AY18" s="244">
        <f t="shared" ref="AY18" si="63">AY23-SUM(AY19:AY22)</f>
        <v>4968899.0999999959</v>
      </c>
      <c r="AZ18" s="244">
        <f t="shared" ref="AZ18" si="64">AZ23-SUM(AZ19:AZ22)</f>
        <v>5074709.0999999959</v>
      </c>
      <c r="BA18" s="244">
        <f t="shared" ref="BA18" si="65">BA23-SUM(BA19:BA22)</f>
        <v>5346709.0999999959</v>
      </c>
      <c r="BB18" s="244">
        <f t="shared" ref="BB18" si="66">BB23-SUM(BB19:BB22)</f>
        <v>6068787.0999999959</v>
      </c>
      <c r="BC18" s="244">
        <f t="shared" ref="BC18" si="67">BC23-SUM(BC19:BC22)</f>
        <v>6231783.5299999956</v>
      </c>
      <c r="BD18" s="244">
        <f t="shared" ref="BD18" si="68">BD23-SUM(BD19:BD22)</f>
        <v>6849730.2099999953</v>
      </c>
      <c r="BE18" s="244">
        <f t="shared" ref="BE18" si="69">BE23-SUM(BE19:BE22)</f>
        <v>7706621.929999995</v>
      </c>
      <c r="BF18" s="244">
        <f t="shared" ref="BF18" si="70">BF23-SUM(BF19:BF22)</f>
        <v>7779171.929999995</v>
      </c>
      <c r="BG18" s="244">
        <f t="shared" ref="BG18" si="71">BG23-SUM(BG19:BG22)</f>
        <v>8186725.389999995</v>
      </c>
      <c r="BH18" s="244">
        <f t="shared" ref="BH18" si="72">BH23-SUM(BH19:BH22)</f>
        <v>8919092.389999995</v>
      </c>
      <c r="BI18" s="244">
        <f t="shared" ref="BI18" si="73">BI23-SUM(BI19:BI22)</f>
        <v>9197587.0599999949</v>
      </c>
      <c r="BJ18" s="244">
        <f t="shared" ref="BJ18" si="74">BJ23-SUM(BJ19:BJ22)</f>
        <v>9776950.7299999949</v>
      </c>
      <c r="BK18" s="244">
        <f t="shared" ref="BK18" si="75">BK23-SUM(BK19:BK22)</f>
        <v>10555668.359999996</v>
      </c>
      <c r="BL18" s="244">
        <f t="shared" ref="BL18" si="76">BL23-SUM(BL19:BL22)</f>
        <v>10774198.359999996</v>
      </c>
      <c r="BM18" s="244">
        <f t="shared" ref="BM18" si="77">BM23-SUM(BM19:BM22)</f>
        <v>10947098.649999995</v>
      </c>
      <c r="BN18" s="244">
        <f t="shared" ref="BN18" si="78">BN23-SUM(BN19:BN22)</f>
        <v>12060701.909999995</v>
      </c>
      <c r="BO18" s="244">
        <f t="shared" ref="BO18" si="79">BO23-SUM(BO19:BO22)</f>
        <v>12271254.909999995</v>
      </c>
      <c r="BP18" s="244">
        <f t="shared" ref="BP18" si="80">BP23-SUM(BP19:BP22)</f>
        <v>12799650.239999995</v>
      </c>
      <c r="BQ18" s="244">
        <f t="shared" ref="BQ18" si="81">BQ23-SUM(BQ19:BQ22)</f>
        <v>13615801.069999995</v>
      </c>
      <c r="BR18" s="244">
        <f t="shared" ref="BR18" si="82">BR23-SUM(BR19:BR22)</f>
        <v>13879047.069999995</v>
      </c>
      <c r="BS18" s="244">
        <f t="shared" ref="BS18" si="83">BS23-SUM(BS19:BS22)</f>
        <v>14414018.739999995</v>
      </c>
      <c r="BT18" s="244">
        <f t="shared" ref="BT18" si="84">BT23-SUM(BT19:BT22)</f>
        <v>15801753.029999996</v>
      </c>
      <c r="BU18" s="244">
        <f t="shared" ref="BU18" si="85">BU23-SUM(BU19:BU22)</f>
        <v>15947304.889999995</v>
      </c>
      <c r="BV18" s="244">
        <f t="shared" ref="BV18" si="86">BV23-SUM(BV19:BV22)</f>
        <v>17244547.859999996</v>
      </c>
      <c r="BW18" s="244">
        <f t="shared" ref="BW18" si="87">BW23-SUM(BW19:BW22)</f>
        <v>18674405.869999997</v>
      </c>
      <c r="BX18" s="244">
        <f t="shared" ref="BX18" si="88">BX23-SUM(BX19:BX22)</f>
        <v>18961735.869999997</v>
      </c>
      <c r="BY18" s="244">
        <f t="shared" ref="BY18" si="89">BY23-SUM(BY19:BY22)</f>
        <v>19547087.723076999</v>
      </c>
      <c r="BZ18" s="244">
        <f t="shared" ref="BZ18" si="90">BZ23-SUM(BZ19:BZ22)</f>
        <v>20642642.381428998</v>
      </c>
      <c r="CA18" s="244">
        <f t="shared" ref="CA18" si="91">CA23-SUM(CA19:CA22)</f>
        <v>20995751.472527999</v>
      </c>
      <c r="CB18" s="244">
        <f t="shared" ref="CB18" si="92">CB23-SUM(CB19:CB22)</f>
        <v>21784630.792528</v>
      </c>
      <c r="CC18" s="244">
        <f t="shared" ref="CC18" si="93">CC23-SUM(CC19:CC22)</f>
        <v>23138299.835349001</v>
      </c>
      <c r="CD18" s="244">
        <f t="shared" ref="CD18" si="94">CD23-SUM(CD19:CD22)</f>
        <v>23263139.635349002</v>
      </c>
      <c r="CE18" s="244">
        <f t="shared" ref="CE18" si="95">CE23-SUM(CE19:CE22)</f>
        <v>24164920.294323001</v>
      </c>
      <c r="CF18" s="244">
        <f t="shared" ref="CF18" si="96">CF23-SUM(CF19:CF22)</f>
        <v>25084015.739708003</v>
      </c>
      <c r="CG18" s="244">
        <f t="shared" ref="CG18" si="97">CG23-SUM(CG19:CG22)</f>
        <v>25490667.029708002</v>
      </c>
      <c r="CH18" s="244">
        <f>CH23-SUM(CH19:CH22)</f>
        <v>26866988.353335001</v>
      </c>
      <c r="CI18" s="50">
        <f>CH23</f>
        <v>28887778.617401</v>
      </c>
      <c r="CJ18" s="50">
        <f t="shared" ref="CJ18:CT18" si="98">CI23</f>
        <v>28971892.518340997</v>
      </c>
      <c r="CK18" s="50">
        <f t="shared" si="98"/>
        <v>29728600.298340995</v>
      </c>
      <c r="CL18" s="50">
        <f t="shared" si="98"/>
        <v>31379245.637026995</v>
      </c>
      <c r="CM18" s="50">
        <f t="shared" si="98"/>
        <v>32188740.697913997</v>
      </c>
      <c r="CN18" s="50">
        <f t="shared" si="98"/>
        <v>33434777.457209997</v>
      </c>
      <c r="CO18" s="50">
        <f t="shared" si="98"/>
        <v>34992812.36367999</v>
      </c>
      <c r="CP18" s="50">
        <f t="shared" si="98"/>
        <v>35853286.862807676</v>
      </c>
      <c r="CQ18" s="50">
        <f t="shared" si="98"/>
        <v>37894689.312532693</v>
      </c>
      <c r="CR18" s="50">
        <f t="shared" si="98"/>
        <v>40744874.18544434</v>
      </c>
      <c r="CS18" s="50">
        <f t="shared" si="98"/>
        <v>41611283.80096212</v>
      </c>
      <c r="CT18" s="50">
        <f t="shared" si="98"/>
        <v>45034726.153222777</v>
      </c>
      <c r="CU18" s="20">
        <f>CT23</f>
        <v>49340041.186968744</v>
      </c>
      <c r="CV18" s="20">
        <f t="shared" ref="CV18:FB18" si="99">CU23</f>
        <v>49856096.663869247</v>
      </c>
      <c r="CW18" s="20">
        <f t="shared" si="99"/>
        <v>51147931.458070949</v>
      </c>
      <c r="CX18" s="20">
        <f t="shared" si="99"/>
        <v>53741521.324630708</v>
      </c>
      <c r="CY18" s="20">
        <f t="shared" si="99"/>
        <v>54673780.347991928</v>
      </c>
      <c r="CZ18" s="20">
        <f t="shared" si="99"/>
        <v>56803671.553757459</v>
      </c>
      <c r="DA18" s="20">
        <f t="shared" si="99"/>
        <v>59757083.203853764</v>
      </c>
      <c r="DB18" s="20">
        <f t="shared" si="99"/>
        <v>60639511.62398053</v>
      </c>
      <c r="DC18" s="20">
        <f t="shared" si="99"/>
        <v>62478765.232640624</v>
      </c>
      <c r="DD18" s="20">
        <f t="shared" si="99"/>
        <v>65748708.573807195</v>
      </c>
      <c r="DE18" s="20">
        <f t="shared" si="99"/>
        <v>67033302.936963975</v>
      </c>
      <c r="DF18" s="20">
        <f t="shared" si="99"/>
        <v>70607874.816554829</v>
      </c>
      <c r="DG18" s="20">
        <f t="shared" si="99"/>
        <v>74827910.679417253</v>
      </c>
      <c r="DH18" s="20">
        <f t="shared" si="99"/>
        <v>75601443.434149012</v>
      </c>
      <c r="DI18" s="20">
        <f t="shared" si="99"/>
        <v>77446825.306385309</v>
      </c>
      <c r="DJ18" s="20">
        <f t="shared" si="99"/>
        <v>81080907.583122909</v>
      </c>
      <c r="DK18" s="20">
        <f t="shared" si="99"/>
        <v>82512423.522983551</v>
      </c>
      <c r="DL18" s="20">
        <f t="shared" si="99"/>
        <v>85609179.865157992</v>
      </c>
      <c r="DM18" s="20">
        <f t="shared" si="99"/>
        <v>89831509.044623822</v>
      </c>
      <c r="DN18" s="20">
        <f t="shared" si="99"/>
        <v>91031274.406125039</v>
      </c>
      <c r="DO18" s="20">
        <f t="shared" si="99"/>
        <v>93563191.119196996</v>
      </c>
      <c r="DP18" s="20">
        <f t="shared" si="99"/>
        <v>98068224.468453571</v>
      </c>
      <c r="DQ18" s="20">
        <f t="shared" si="99"/>
        <v>99590603.060266718</v>
      </c>
      <c r="DR18" s="20">
        <f t="shared" si="99"/>
        <v>104262806.85974224</v>
      </c>
      <c r="DS18" s="20">
        <f t="shared" si="99"/>
        <v>109833179.49558167</v>
      </c>
      <c r="DT18" s="20">
        <f t="shared" si="99"/>
        <v>110865842.29264003</v>
      </c>
      <c r="DU18" s="20">
        <f t="shared" si="99"/>
        <v>113349221.09495972</v>
      </c>
      <c r="DV18" s="20">
        <f t="shared" si="99"/>
        <v>118242092.86624253</v>
      </c>
      <c r="DW18" s="20">
        <f t="shared" si="99"/>
        <v>120158264.04587741</v>
      </c>
      <c r="DX18" s="20">
        <f t="shared" si="99"/>
        <v>124340542.61538176</v>
      </c>
      <c r="DY18" s="20">
        <f t="shared" si="99"/>
        <v>130032025.70328888</v>
      </c>
      <c r="DZ18" s="20">
        <f t="shared" si="99"/>
        <v>131633281.47882189</v>
      </c>
      <c r="EA18" s="20">
        <f t="shared" si="99"/>
        <v>135049376.71657741</v>
      </c>
      <c r="EB18" s="20">
        <f t="shared" si="99"/>
        <v>141131860.64881754</v>
      </c>
      <c r="EC18" s="20">
        <f t="shared" si="99"/>
        <v>143171642.37923762</v>
      </c>
      <c r="ED18" s="20">
        <f t="shared" si="99"/>
        <v>149458225.14778122</v>
      </c>
      <c r="EE18" s="20">
        <f t="shared" si="99"/>
        <v>156967856.02864963</v>
      </c>
      <c r="EF18" s="20">
        <f t="shared" si="99"/>
        <v>158317529.19131961</v>
      </c>
      <c r="EG18" s="20">
        <f t="shared" si="99"/>
        <v>161588331.1542646</v>
      </c>
      <c r="EH18" s="20">
        <f t="shared" si="99"/>
        <v>168035625.42319304</v>
      </c>
      <c r="EI18" s="20">
        <f t="shared" si="99"/>
        <v>170546490.08989802</v>
      </c>
      <c r="EJ18" s="20">
        <f t="shared" si="99"/>
        <v>176073575.87894541</v>
      </c>
      <c r="EK18" s="20">
        <f t="shared" si="99"/>
        <v>183581483.45036966</v>
      </c>
      <c r="EL18" s="20">
        <f t="shared" si="99"/>
        <v>185673759.38084555</v>
      </c>
      <c r="EM18" s="20">
        <f t="shared" si="99"/>
        <v>190184107.64763668</v>
      </c>
      <c r="EN18" s="20">
        <f t="shared" si="99"/>
        <v>198220252.60708174</v>
      </c>
      <c r="EO18" s="20">
        <f t="shared" si="99"/>
        <v>200895597.50902846</v>
      </c>
      <c r="EP18" s="20">
        <f t="shared" si="99"/>
        <v>209174352.33342203</v>
      </c>
      <c r="EQ18" s="20">
        <f t="shared" si="99"/>
        <v>219081987.5079146</v>
      </c>
      <c r="ER18" s="20">
        <f t="shared" si="99"/>
        <v>220805045.82391572</v>
      </c>
      <c r="ES18" s="20">
        <f t="shared" si="99"/>
        <v>225014181.408591</v>
      </c>
      <c r="ET18" s="20">
        <f t="shared" si="99"/>
        <v>233315067.1706391</v>
      </c>
      <c r="EU18" s="20">
        <f t="shared" si="99"/>
        <v>236529185.64596099</v>
      </c>
      <c r="EV18" s="20">
        <f t="shared" si="99"/>
        <v>243666671.714834</v>
      </c>
      <c r="EW18" s="20">
        <f t="shared" si="99"/>
        <v>253344075.73535123</v>
      </c>
      <c r="EX18" s="20">
        <f t="shared" si="99"/>
        <v>256014457.33449897</v>
      </c>
      <c r="EY18" s="20">
        <f t="shared" si="99"/>
        <v>261833432.5582507</v>
      </c>
      <c r="EZ18" s="20">
        <f t="shared" si="99"/>
        <v>272208184.21093541</v>
      </c>
      <c r="FA18" s="20">
        <f t="shared" si="99"/>
        <v>275636189.49362934</v>
      </c>
      <c r="FB18" s="20">
        <f t="shared" si="99"/>
        <v>286288430.31869084</v>
      </c>
    </row>
    <row r="19" spans="1:158" x14ac:dyDescent="0.25">
      <c r="A19" t="s">
        <v>608</v>
      </c>
      <c r="C19" s="258" t="s">
        <v>585</v>
      </c>
      <c r="D19" s="244">
        <f t="shared" ref="D19:L22" si="100">SUMIF($AY$2:$FB$2,D$2,$AY19:$FB19)</f>
        <v>4135547.4499999997</v>
      </c>
      <c r="E19" s="244">
        <f t="shared" si="100"/>
        <v>6446601.9000000004</v>
      </c>
      <c r="F19" s="244">
        <f t="shared" si="100"/>
        <v>6373032.4761190014</v>
      </c>
      <c r="G19" s="244">
        <f t="shared" si="100"/>
        <v>10348857.147820331</v>
      </c>
      <c r="H19" s="244">
        <f t="shared" si="100"/>
        <v>12486617.328824773</v>
      </c>
      <c r="I19" s="244">
        <f t="shared" si="100"/>
        <v>17056083.393466983</v>
      </c>
      <c r="J19" s="244">
        <f t="shared" si="100"/>
        <v>21505101.122632332</v>
      </c>
      <c r="K19" s="244">
        <f t="shared" si="100"/>
        <v>26367416.356500991</v>
      </c>
      <c r="L19" s="244">
        <f t="shared" si="100"/>
        <v>31374103.714801259</v>
      </c>
      <c r="M19" s="244"/>
      <c r="N19" s="294">
        <f t="shared" ref="N19:N22" si="101">SUM(AY19:BA19)</f>
        <v>942678</v>
      </c>
      <c r="O19" s="294">
        <f>SUM(BB19:BD19)</f>
        <v>1175560.1099999999</v>
      </c>
      <c r="P19" s="294">
        <f>SUM(BE19:BG19)</f>
        <v>899799</v>
      </c>
      <c r="Q19" s="294">
        <f>SUM(BH19:BJ19)</f>
        <v>1117510.3399999999</v>
      </c>
      <c r="R19" s="294">
        <f>SUM(BK19:BM19)</f>
        <v>1312061.26</v>
      </c>
      <c r="S19" s="294">
        <f>SUM(BN19:BP19)</f>
        <v>1241153.3400000001</v>
      </c>
      <c r="T19" s="294">
        <f>SUM(BQ19:BS19)</f>
        <v>1826211.1400000001</v>
      </c>
      <c r="U19" s="294">
        <f>SUM(BT19:BV19)</f>
        <v>2067176.1600000001</v>
      </c>
      <c r="V19" s="294">
        <f>SUM(BW19:BY19)</f>
        <v>1563850.5114290002</v>
      </c>
      <c r="W19" s="294">
        <f>SUM(BZ19:CB19)</f>
        <v>1611306.3739199999</v>
      </c>
      <c r="X19" s="294">
        <f>SUM(CC19:CE19)</f>
        <v>1023480.697692</v>
      </c>
      <c r="Y19" s="294">
        <f>SUM(CF19:CH19)</f>
        <v>2174394.8930780003</v>
      </c>
      <c r="Z19" s="294">
        <f>SUM(CI19:CK19)</f>
        <v>1237977.660779</v>
      </c>
      <c r="AA19" s="294">
        <f>SUM(CL19:CN19)</f>
        <v>1920331.1687080001</v>
      </c>
      <c r="AB19" s="294">
        <f>SUM(CO19:CQ19)</f>
        <v>2897690.6083333329</v>
      </c>
      <c r="AC19" s="294">
        <f>SUM(CR19:CT19)</f>
        <v>4292857.709999999</v>
      </c>
      <c r="AD19" s="294">
        <f>SUM(CU19:CW19)</f>
        <v>2209808.2788187577</v>
      </c>
      <c r="AE19" s="294">
        <f>SUM(CX19:CZ19)</f>
        <v>2940162.8655328783</v>
      </c>
      <c r="AF19" s="294">
        <f>SUM(DA19:DC19)</f>
        <v>2898655.3041038038</v>
      </c>
      <c r="AG19" s="294">
        <f>SUM(DD19:DF19)</f>
        <v>4437990.8803693345</v>
      </c>
      <c r="AH19" s="294">
        <f>SUM(DG19:DI19)</f>
        <v>3110588.4252849882</v>
      </c>
      <c r="AI19" s="294">
        <f>SUM(DJ19:DL19)</f>
        <v>4220785.7480178699</v>
      </c>
      <c r="AJ19" s="294">
        <f>SUM(DM19:DO19)</f>
        <v>3959415.5321458131</v>
      </c>
      <c r="AK19" s="294">
        <f>SUM(DP19:DR19)</f>
        <v>5765293.6880183127</v>
      </c>
      <c r="AL19" s="294">
        <f>SUM(DS19:DU19)</f>
        <v>3921974.1773932497</v>
      </c>
      <c r="AM19" s="294">
        <f>SUM(DV19:DX19)</f>
        <v>5321762.4605926126</v>
      </c>
      <c r="AN19" s="294">
        <f>SUM(DY19:EA19)</f>
        <v>4992214.7682469143</v>
      </c>
      <c r="AO19" s="294">
        <f>SUM(EB19:ED19)</f>
        <v>7269149.7163995579</v>
      </c>
      <c r="AP19" s="294">
        <f>SUM(EE19:EG19)</f>
        <v>4808734.703690391</v>
      </c>
      <c r="AQ19" s="294">
        <f>SUM(EH19:EJ19)</f>
        <v>6525015.8903538603</v>
      </c>
      <c r="AR19" s="294">
        <f>SUM(EK19:EM19)</f>
        <v>6120957.2828703402</v>
      </c>
      <c r="AS19" s="294">
        <f>SUM(EN19:EP19)</f>
        <v>8912708.4795864001</v>
      </c>
      <c r="AT19" s="294">
        <f>SUM(EQ19:ES19)</f>
        <v>5721824.9710441921</v>
      </c>
      <c r="AU19" s="294">
        <f>SUM(ET19:EV19)</f>
        <v>7763996.3854181198</v>
      </c>
      <c r="AV19" s="294">
        <f>SUM(EW19:EY19)</f>
        <v>7283214.4807124436</v>
      </c>
      <c r="AW19" s="294">
        <f>SUM(EZ19:FB19)</f>
        <v>10605067.877626508</v>
      </c>
      <c r="AX19" s="244"/>
      <c r="AY19" s="244">
        <f>SUMIFS('ARR Looker'!$H:$H,'ARR Looker'!$B:$B,$A18,'ARR Looker'!$C:$C,AY$5)</f>
        <v>65700</v>
      </c>
      <c r="AZ19" s="244">
        <f>SUMIFS('ARR Looker'!$H:$H,'ARR Looker'!$B:$B,$A18,'ARR Looker'!$C:$C,AZ$5)</f>
        <v>228500</v>
      </c>
      <c r="BA19" s="244">
        <f>SUMIFS('ARR Looker'!$H:$H,'ARR Looker'!$B:$B,$A18,'ARR Looker'!$C:$C,BA$5)</f>
        <v>648478</v>
      </c>
      <c r="BB19" s="244">
        <f>SUMIFS('ARR Looker'!$H:$H,'ARR Looker'!$B:$B,$A18,'ARR Looker'!$C:$C,BB$5)</f>
        <v>161613.43</v>
      </c>
      <c r="BC19" s="244">
        <f>SUMIFS('ARR Looker'!$H:$H,'ARR Looker'!$B:$B,$A18,'ARR Looker'!$C:$C,BC$5)</f>
        <v>475946.68</v>
      </c>
      <c r="BD19" s="244">
        <f>SUMIFS('ARR Looker'!$H:$H,'ARR Looker'!$B:$B,$A18,'ARR Looker'!$C:$C,BD$5)</f>
        <v>538000</v>
      </c>
      <c r="BE19" s="244">
        <f>SUMIFS('ARR Looker'!$H:$H,'ARR Looker'!$B:$B,$A18,'ARR Looker'!$C:$C,BE$5)</f>
        <v>65000</v>
      </c>
      <c r="BF19" s="244">
        <f>SUMIFS('ARR Looker'!$H:$H,'ARR Looker'!$B:$B,$A18,'ARR Looker'!$C:$C,BF$5)</f>
        <v>319499</v>
      </c>
      <c r="BG19" s="244">
        <f>SUMIFS('ARR Looker'!$H:$H,'ARR Looker'!$B:$B,$A18,'ARR Looker'!$C:$C,BG$5)</f>
        <v>515300</v>
      </c>
      <c r="BH19" s="244">
        <f>SUMIFS('ARR Looker'!$H:$H,'ARR Looker'!$B:$B,$A18,'ARR Looker'!$C:$C,BH$5)</f>
        <v>242494.67</v>
      </c>
      <c r="BI19" s="244">
        <f>SUMIFS('ARR Looker'!$H:$H,'ARR Looker'!$B:$B,$A18,'ARR Looker'!$C:$C,BI$5)</f>
        <v>390866.67</v>
      </c>
      <c r="BJ19" s="244">
        <f>SUMIFS('ARR Looker'!$H:$H,'ARR Looker'!$B:$B,$A18,'ARR Looker'!$C:$C,BJ$5)</f>
        <v>484149</v>
      </c>
      <c r="BK19" s="244">
        <f>SUMIFS('ARR Looker'!$H:$H,'ARR Looker'!$B:$B,$A18,'ARR Looker'!$C:$C,BK$5)</f>
        <v>111600</v>
      </c>
      <c r="BL19" s="244">
        <f>SUMIFS('ARR Looker'!$H:$H,'ARR Looker'!$B:$B,$A18,'ARR Looker'!$C:$C,BL$5)</f>
        <v>142500</v>
      </c>
      <c r="BM19" s="244">
        <f>SUMIFS('ARR Looker'!$H:$H,'ARR Looker'!$B:$B,$A18,'ARR Looker'!$C:$C,BM$5)</f>
        <v>1057961.26</v>
      </c>
      <c r="BN19" s="244">
        <f>SUMIFS('ARR Looker'!$H:$H,'ARR Looker'!$B:$B,$A18,'ARR Looker'!$C:$C,BN$5)</f>
        <v>289100</v>
      </c>
      <c r="BO19" s="244">
        <f>SUMIFS('ARR Looker'!$H:$H,'ARR Looker'!$B:$B,$A18,'ARR Looker'!$C:$C,BO$5)</f>
        <v>395523.34</v>
      </c>
      <c r="BP19" s="244">
        <f>SUMIFS('ARR Looker'!$H:$H,'ARR Looker'!$B:$B,$A18,'ARR Looker'!$C:$C,BP$5)</f>
        <v>556530</v>
      </c>
      <c r="BQ19" s="244">
        <f>SUMIFS('ARR Looker'!$H:$H,'ARR Looker'!$B:$B,$A18,'ARR Looker'!$C:$C,BQ$5)</f>
        <v>187750</v>
      </c>
      <c r="BR19" s="244">
        <f>SUMIFS('ARR Looker'!$H:$H,'ARR Looker'!$B:$B,$A18,'ARR Looker'!$C:$C,BR$5)</f>
        <v>565973.67000000004</v>
      </c>
      <c r="BS19" s="244">
        <f>SUMIFS('ARR Looker'!$H:$H,'ARR Looker'!$B:$B,$A18,'ARR Looker'!$C:$C,BS$5)</f>
        <v>1072487.47</v>
      </c>
      <c r="BT19" s="244">
        <f>SUMIFS('ARR Looker'!$H:$H,'ARR Looker'!$B:$B,$A18,'ARR Looker'!$C:$C,BT$5)</f>
        <v>125000</v>
      </c>
      <c r="BU19" s="244">
        <f>SUMIFS('ARR Looker'!$H:$H,'ARR Looker'!$B:$B,$A18,'ARR Looker'!$C:$C,BU$5)</f>
        <v>950419.49</v>
      </c>
      <c r="BV19" s="244">
        <f>SUMIFS('ARR Looker'!$H:$H,'ARR Looker'!$B:$B,$A18,'ARR Looker'!$C:$C,BV$5)</f>
        <v>991756.67</v>
      </c>
      <c r="BW19" s="244">
        <f>SUMIFS('ARR Looker'!$H:$H,'ARR Looker'!$B:$B,$A18,'ARR Looker'!$C:$C,BW$5)</f>
        <v>159540</v>
      </c>
      <c r="BX19" s="244">
        <f>SUMIFS('ARR Looker'!$H:$H,'ARR Looker'!$B:$B,$A18,'ARR Looker'!$C:$C,BX$5)</f>
        <v>585490.86307700002</v>
      </c>
      <c r="BY19" s="244">
        <f>SUMIFS('ARR Looker'!$H:$H,'ARR Looker'!$B:$B,$A18,'ARR Looker'!$C:$C,BY$5)</f>
        <v>818819.64835200005</v>
      </c>
      <c r="BZ19" s="244">
        <f>SUMIFS('ARR Looker'!$H:$H,'ARR Looker'!$B:$B,$A18,'ARR Looker'!$C:$C,BZ$5)</f>
        <v>319848.90109900001</v>
      </c>
      <c r="CA19" s="244">
        <f>SUMIFS('ARR Looker'!$H:$H,'ARR Looker'!$B:$B,$A18,'ARR Looker'!$C:$C,CA$5)</f>
        <v>445334.56</v>
      </c>
      <c r="CB19" s="244">
        <f>SUMIFS('ARR Looker'!$H:$H,'ARR Looker'!$B:$B,$A18,'ARR Looker'!$C:$C,CB$5)</f>
        <v>846122.91282099998</v>
      </c>
      <c r="CC19" s="244">
        <f>SUMIFS('ARR Looker'!$H:$H,'ARR Looker'!$B:$B,$A18,'ARR Looker'!$C:$C,CC$5)</f>
        <v>236328.37</v>
      </c>
      <c r="CD19" s="244">
        <f>SUMIFS('ARR Looker'!$H:$H,'ARR Looker'!$B:$B,$A18,'ARR Looker'!$C:$C,CD$5)</f>
        <v>539332.34769199998</v>
      </c>
      <c r="CE19" s="244">
        <f>SUMIFS('ARR Looker'!$H:$H,'ARR Looker'!$B:$B,$A18,'ARR Looker'!$C:$C,CE$5)</f>
        <v>247819.98</v>
      </c>
      <c r="CF19" s="244">
        <f>SUMIFS('ARR Looker'!$H:$H,'ARR Looker'!$B:$B,$A18,'ARR Looker'!$C:$C,CF$5)</f>
        <v>131927.69</v>
      </c>
      <c r="CG19" s="244">
        <f>SUMIFS('ARR Looker'!$H:$H,'ARR Looker'!$B:$B,$A18,'ARR Looker'!$C:$C,CG$5)</f>
        <v>931908.91362699994</v>
      </c>
      <c r="CH19" s="244">
        <f>SUMIFS('ARR Looker'!$H:$H,'ARR Looker'!$B:$B,$A18,'ARR Looker'!$C:$C,CH$5)</f>
        <v>1110558.289451</v>
      </c>
      <c r="CI19" s="55">
        <f>SUMIFS('ARR Looker'!$H:$H,'ARR Looker'!$B:$B,$A18,'ARR Looker'!$C:$C,CI$5)</f>
        <v>145344.536234</v>
      </c>
      <c r="CJ19" s="55">
        <f>SUMIFS('ARR Looker'!$H:$H,'ARR Looker'!$B:$B,$A18,'ARR Looker'!$C:$C,CJ$5)</f>
        <v>373766.72</v>
      </c>
      <c r="CK19" s="55">
        <f>SUMIFS('ARR Looker'!$H:$H,'ARR Looker'!$B:$B,$A18,'ARR Looker'!$C:$C,CK$5)</f>
        <v>718866.40454500006</v>
      </c>
      <c r="CL19" s="55">
        <f>SUMIFS('ARR Looker'!$H:$H,'ARR Looker'!$B:$B,$A18,'ARR Looker'!$C:$C,CL$5)</f>
        <v>438762.17</v>
      </c>
      <c r="CM19" s="55">
        <f>SUMIFS('ARR Looker'!$H:$H,'ARR Looker'!$B:$B,$A18,'ARR Looker'!$C:$C,CM$5)</f>
        <v>621217.30753200001</v>
      </c>
      <c r="CN19" s="55">
        <f>SUMIFS('ARR Looker'!$H:$H,'ARR Looker'!$B:$B,$A18,'ARR Looker'!$C:$C,CN$5)</f>
        <v>860351.69117600005</v>
      </c>
      <c r="CO19" s="55">
        <f>'22 Fcst ARR'!C9</f>
        <v>434653.59124999994</v>
      </c>
      <c r="CP19" s="55">
        <f>'22 Fcst ARR'!D9</f>
        <v>1014191.7129166665</v>
      </c>
      <c r="CQ19" s="55">
        <f>'22 Fcst ARR'!E9</f>
        <v>1448845.3041666665</v>
      </c>
      <c r="CR19" s="55">
        <f>'22 Fcst ARR'!F9</f>
        <v>429285.77099999995</v>
      </c>
      <c r="CS19" s="55">
        <f>'22 Fcst ARR'!G9</f>
        <v>1717143.0839999998</v>
      </c>
      <c r="CT19" s="55">
        <f>'22 Fcst ARR'!H9</f>
        <v>2146428.8549999995</v>
      </c>
      <c r="CU19" s="20">
        <f>CU78</f>
        <v>292114.71724206436</v>
      </c>
      <c r="CV19" s="20">
        <f t="shared" ref="CV19:FB19" si="102">CV78</f>
        <v>642006.02683606674</v>
      </c>
      <c r="CW19" s="20">
        <f t="shared" si="102"/>
        <v>1275687.5347406266</v>
      </c>
      <c r="CX19" s="20">
        <f t="shared" si="102"/>
        <v>510070.37260479829</v>
      </c>
      <c r="CY19" s="20">
        <f t="shared" si="102"/>
        <v>1000434.6125824797</v>
      </c>
      <c r="CZ19" s="20">
        <f t="shared" si="102"/>
        <v>1429657.8803456002</v>
      </c>
      <c r="DA19" s="20">
        <f t="shared" si="102"/>
        <v>489785.70920829108</v>
      </c>
      <c r="DB19" s="20">
        <f t="shared" si="102"/>
        <v>873336.42780781328</v>
      </c>
      <c r="DC19" s="20">
        <f t="shared" si="102"/>
        <v>1535533.1670876993</v>
      </c>
      <c r="DD19" s="20">
        <f t="shared" si="102"/>
        <v>659360.57987791731</v>
      </c>
      <c r="DE19" s="20">
        <f t="shared" si="102"/>
        <v>1758797.4848826837</v>
      </c>
      <c r="DF19" s="20">
        <f t="shared" si="102"/>
        <v>2019832.8156087331</v>
      </c>
      <c r="DG19" s="20">
        <f t="shared" si="102"/>
        <v>429714.77799565368</v>
      </c>
      <c r="DH19" s="20">
        <f t="shared" si="102"/>
        <v>907648.48877802445</v>
      </c>
      <c r="DI19" s="20">
        <f t="shared" si="102"/>
        <v>1773225.1585113101</v>
      </c>
      <c r="DJ19" s="20">
        <f t="shared" si="102"/>
        <v>764954.48735227576</v>
      </c>
      <c r="DK19" s="20">
        <f t="shared" si="102"/>
        <v>1434767.0674916699</v>
      </c>
      <c r="DL19" s="20">
        <f t="shared" si="102"/>
        <v>2021064.1931739242</v>
      </c>
      <c r="DM19" s="20">
        <f t="shared" si="102"/>
        <v>669022.3365699345</v>
      </c>
      <c r="DN19" s="20">
        <f t="shared" si="102"/>
        <v>1192933.0859572829</v>
      </c>
      <c r="DO19" s="20">
        <f t="shared" si="102"/>
        <v>2097460.1096185958</v>
      </c>
      <c r="DP19" s="20">
        <f t="shared" si="102"/>
        <v>801727.69066678802</v>
      </c>
      <c r="DQ19" s="20">
        <f t="shared" si="102"/>
        <v>2303502.5143676968</v>
      </c>
      <c r="DR19" s="20">
        <f t="shared" si="102"/>
        <v>2660063.4829838281</v>
      </c>
      <c r="DS19" s="20">
        <f t="shared" si="102"/>
        <v>541804.32526647078</v>
      </c>
      <c r="DT19" s="20">
        <f t="shared" si="102"/>
        <v>1144405.3177209634</v>
      </c>
      <c r="DU19" s="20">
        <f t="shared" si="102"/>
        <v>2235764.5344058154</v>
      </c>
      <c r="DV19" s="20">
        <f t="shared" si="102"/>
        <v>964490.10158000863</v>
      </c>
      <c r="DW19" s="20">
        <f t="shared" si="102"/>
        <v>1809020.8732005483</v>
      </c>
      <c r="DX19" s="20">
        <f t="shared" si="102"/>
        <v>2548251.4858120554</v>
      </c>
      <c r="DY19" s="20">
        <f t="shared" si="102"/>
        <v>843534.39587115461</v>
      </c>
      <c r="DZ19" s="20">
        <f t="shared" si="102"/>
        <v>1504105.3713346384</v>
      </c>
      <c r="EA19" s="20">
        <f t="shared" si="102"/>
        <v>2644575.0010411213</v>
      </c>
      <c r="EB19" s="20">
        <f t="shared" si="102"/>
        <v>1010855.4621166843</v>
      </c>
      <c r="EC19" s="20">
        <f t="shared" si="102"/>
        <v>2904362.8226330909</v>
      </c>
      <c r="ED19" s="20">
        <f t="shared" si="102"/>
        <v>3353931.4316497822</v>
      </c>
      <c r="EE19" s="20">
        <f t="shared" si="102"/>
        <v>664306.58226569858</v>
      </c>
      <c r="EF19" s="20">
        <f t="shared" si="102"/>
        <v>1403155.9917282022</v>
      </c>
      <c r="EG19" s="20">
        <f t="shared" si="102"/>
        <v>2741272.1296964898</v>
      </c>
      <c r="EH19" s="20">
        <f t="shared" si="102"/>
        <v>1182561.8459110563</v>
      </c>
      <c r="EI19" s="20">
        <f t="shared" si="102"/>
        <v>2218041.4911455768</v>
      </c>
      <c r="EJ19" s="20">
        <f t="shared" si="102"/>
        <v>3124412.5532972268</v>
      </c>
      <c r="EK19" s="20">
        <f t="shared" si="102"/>
        <v>1034257.9883782361</v>
      </c>
      <c r="EL19" s="20">
        <f t="shared" si="102"/>
        <v>1844184.426005407</v>
      </c>
      <c r="EM19" s="20">
        <f t="shared" si="102"/>
        <v>3242514.8684866969</v>
      </c>
      <c r="EN19" s="20">
        <f t="shared" si="102"/>
        <v>1239410.4400570837</v>
      </c>
      <c r="EO19" s="20">
        <f t="shared" si="102"/>
        <v>3561040.8599341335</v>
      </c>
      <c r="EP19" s="20">
        <f t="shared" si="102"/>
        <v>4112257.1795951831</v>
      </c>
      <c r="EQ19" s="20">
        <f t="shared" si="102"/>
        <v>790446.18284303392</v>
      </c>
      <c r="ER19" s="20">
        <f t="shared" si="102"/>
        <v>1669589.5046111129</v>
      </c>
      <c r="ES19" s="20">
        <f t="shared" si="102"/>
        <v>3261789.2835900453</v>
      </c>
      <c r="ET19" s="20">
        <f t="shared" si="102"/>
        <v>1407108.5881583809</v>
      </c>
      <c r="EU19" s="20">
        <f t="shared" si="102"/>
        <v>2639206.7711926699</v>
      </c>
      <c r="EV19" s="20">
        <f t="shared" si="102"/>
        <v>3717681.0260670688</v>
      </c>
      <c r="EW19" s="20">
        <f t="shared" si="102"/>
        <v>1230644.5560124093</v>
      </c>
      <c r="EX19" s="20">
        <f t="shared" si="102"/>
        <v>2194361.1261878284</v>
      </c>
      <c r="EY19" s="20">
        <f t="shared" si="102"/>
        <v>3858208.7985122064</v>
      </c>
      <c r="EZ19" s="20">
        <f t="shared" si="102"/>
        <v>1474751.684647748</v>
      </c>
      <c r="FA19" s="20">
        <f t="shared" si="102"/>
        <v>4237217.0167014673</v>
      </c>
      <c r="FB19" s="20">
        <f t="shared" si="102"/>
        <v>4893099.176277292</v>
      </c>
    </row>
    <row r="20" spans="1:158" x14ac:dyDescent="0.25">
      <c r="A20" t="s">
        <v>608</v>
      </c>
      <c r="C20" s="258" t="s">
        <v>584</v>
      </c>
      <c r="D20" s="244">
        <f t="shared" si="100"/>
        <v>1895049.81</v>
      </c>
      <c r="E20" s="244">
        <f t="shared" si="100"/>
        <v>2734060.3200000003</v>
      </c>
      <c r="F20" s="244">
        <f t="shared" si="100"/>
        <v>5291309.6112820003</v>
      </c>
      <c r="G20" s="244">
        <f t="shared" si="100"/>
        <v>12324815.001792001</v>
      </c>
      <c r="H20" s="244">
        <f t="shared" si="100"/>
        <v>16795397.834156636</v>
      </c>
      <c r="I20" s="244">
        <f t="shared" si="100"/>
        <v>23553638.971930597</v>
      </c>
      <c r="J20" s="244">
        <f t="shared" si="100"/>
        <v>33636183.807194166</v>
      </c>
      <c r="K20" s="244">
        <f t="shared" si="100"/>
        <v>46875406.856001765</v>
      </c>
      <c r="L20" s="244">
        <f t="shared" si="100"/>
        <v>63698937.84520258</v>
      </c>
      <c r="M20" s="244"/>
      <c r="N20" s="294">
        <f t="shared" si="101"/>
        <v>207675</v>
      </c>
      <c r="O20" s="294">
        <f t="shared" ref="O20:O22" si="103">SUM(BB20:BD20)</f>
        <v>501334.72</v>
      </c>
      <c r="P20" s="294">
        <f t="shared" ref="P20:P22" si="104">SUM(BE20:BG20)</f>
        <v>423071.46</v>
      </c>
      <c r="Q20" s="294">
        <f t="shared" ref="Q20:Q22" si="105">SUM(BH20:BJ20)</f>
        <v>762968.63</v>
      </c>
      <c r="R20" s="294">
        <f t="shared" ref="R20:R22" si="106">SUM(BK20:BM20)</f>
        <v>523982</v>
      </c>
      <c r="S20" s="294">
        <f t="shared" ref="S20:S22" si="107">SUM(BN20:BP20)</f>
        <v>538121.82000000007</v>
      </c>
      <c r="T20" s="294">
        <f t="shared" ref="T20:T22" si="108">SUM(BQ20:BS20)</f>
        <v>629803.82000000007</v>
      </c>
      <c r="U20" s="294">
        <f t="shared" ref="U20:U22" si="109">SUM(BT20:BV20)</f>
        <v>1042152.6799999999</v>
      </c>
      <c r="V20" s="294">
        <f t="shared" ref="V20:V22" si="110">SUM(BW20:BY20)</f>
        <v>658975.99</v>
      </c>
      <c r="W20" s="294">
        <f t="shared" ref="W20:W22" si="111">SUM(BZ20:CB20)</f>
        <v>1169172.2</v>
      </c>
      <c r="X20" s="294">
        <f t="shared" ref="X20:X22" si="112">SUM(CC20:CE20)</f>
        <v>1491143.536667</v>
      </c>
      <c r="Y20" s="294">
        <f t="shared" ref="Y20:Y22" si="113">SUM(CF20:CH20)</f>
        <v>1972017.8846149999</v>
      </c>
      <c r="Z20" s="294">
        <f t="shared" ref="Z20:Z22" si="114">SUM(CI20:CK20)</f>
        <v>1723067.898847</v>
      </c>
      <c r="AA20" s="294">
        <f t="shared" ref="AA20:AA22" si="115">SUM(CL20:CN20)</f>
        <v>2260209.5879450003</v>
      </c>
      <c r="AB20" s="294">
        <f t="shared" ref="AB20:AB22" si="116">SUM(CO20:CQ20)</f>
        <v>3352066.6833333336</v>
      </c>
      <c r="AC20" s="294">
        <f t="shared" ref="AC20:AC22" si="117">SUM(CR20:CT20)</f>
        <v>4989470.831666667</v>
      </c>
      <c r="AD20" s="294">
        <f t="shared" ref="AD20:AD22" si="118">SUM(CU20:CW20)</f>
        <v>2972350.974054168</v>
      </c>
      <c r="AE20" s="294">
        <f t="shared" ref="AE20:AE22" si="119">SUM(CX20:CZ20)</f>
        <v>3954730.3904192261</v>
      </c>
      <c r="AF20" s="294">
        <f t="shared" ref="AF20:AF22" si="120">SUM(DA20:DC20)</f>
        <v>3898899.7367707239</v>
      </c>
      <c r="AG20" s="294">
        <f t="shared" ref="AG20:AG22" si="121">SUM(DD20:DF20)</f>
        <v>5969416.7329125181</v>
      </c>
      <c r="AH20" s="294">
        <f t="shared" ref="AH20:AH22" si="122">SUM(DG20:DI20)</f>
        <v>4295574.4920602217</v>
      </c>
      <c r="AI20" s="294">
        <f t="shared" ref="AI20:AI22" si="123">SUM(DJ20:DL20)</f>
        <v>5828704.1282151546</v>
      </c>
      <c r="AJ20" s="294">
        <f t="shared" ref="AJ20:AJ22" si="124">SUM(DM20:DO20)</f>
        <v>5467764.3062966</v>
      </c>
      <c r="AK20" s="294">
        <f t="shared" ref="AK20:AK22" si="125">SUM(DP20:DR20)</f>
        <v>7961596.0453586224</v>
      </c>
      <c r="AL20" s="294">
        <f t="shared" ref="AL20:AL22" si="126">SUM(DS20:DU20)</f>
        <v>6134369.8672048263</v>
      </c>
      <c r="AM20" s="294">
        <f t="shared" ref="AM20:AM22" si="127">SUM(DV20:DX20)</f>
        <v>8323782.3101576753</v>
      </c>
      <c r="AN20" s="294">
        <f t="shared" ref="AN20:AN22" si="128">SUM(DY20:EA20)</f>
        <v>7808335.919565686</v>
      </c>
      <c r="AO20" s="294">
        <f t="shared" ref="AO20:AO22" si="129">SUM(EB20:ED20)</f>
        <v>11369695.710265975</v>
      </c>
      <c r="AP20" s="294">
        <f t="shared" ref="AP20:AP22" si="130">SUM(EE20:EG20)</f>
        <v>8548861.6954495832</v>
      </c>
      <c r="AQ20" s="294">
        <f t="shared" ref="AQ20:AQ22" si="131">SUM(EH20:EJ20)</f>
        <v>11600028.249517974</v>
      </c>
      <c r="AR20" s="294">
        <f t="shared" ref="AR20:AR22" si="132">SUM(EK20:EM20)</f>
        <v>10881701.836213939</v>
      </c>
      <c r="AS20" s="294">
        <f t="shared" ref="AS20:AS22" si="133">SUM(EN20:EP20)</f>
        <v>15844815.074820267</v>
      </c>
      <c r="AT20" s="294">
        <f t="shared" ref="AT20:AT22" si="134">SUM(EQ20:ES20)</f>
        <v>11617038.577574573</v>
      </c>
      <c r="AU20" s="294">
        <f t="shared" ref="AU20:AU22" si="135">SUM(ET20:EV20)</f>
        <v>15763265.388576185</v>
      </c>
      <c r="AV20" s="294">
        <f t="shared" ref="AV20:AV22" si="136">SUM(EW20:EY20)</f>
        <v>14787132.430537388</v>
      </c>
      <c r="AW20" s="294">
        <f t="shared" ref="AW20:AW22" si="137">SUM(EZ20:FB20)</f>
        <v>21531501.448514428</v>
      </c>
      <c r="AX20" s="244"/>
      <c r="AY20" s="244">
        <f>SUMIFS('ARR Looker'!$G:$G,'ARR Looker'!$B:$B,$A19,'ARR Looker'!$C:$C,AY$5)</f>
        <v>78575</v>
      </c>
      <c r="AZ20" s="244">
        <f>SUMIFS('ARR Looker'!$G:$G,'ARR Looker'!$B:$B,$A19,'ARR Looker'!$C:$C,AZ$5)</f>
        <v>43500</v>
      </c>
      <c r="BA20" s="244">
        <f>SUMIFS('ARR Looker'!$G:$G,'ARR Looker'!$B:$B,$A19,'ARR Looker'!$C:$C,BA$5)</f>
        <v>85600</v>
      </c>
      <c r="BB20" s="244">
        <f>SUMIFS('ARR Looker'!$G:$G,'ARR Looker'!$B:$B,$A19,'ARR Looker'!$C:$C,BB$5)</f>
        <v>22383</v>
      </c>
      <c r="BC20" s="244">
        <f>SUMIFS('ARR Looker'!$G:$G,'ARR Looker'!$B:$B,$A19,'ARR Looker'!$C:$C,BC$5)</f>
        <v>142000</v>
      </c>
      <c r="BD20" s="244">
        <f>SUMIFS('ARR Looker'!$G:$G,'ARR Looker'!$B:$B,$A19,'ARR Looker'!$C:$C,BD$5)</f>
        <v>336951.72</v>
      </c>
      <c r="BE20" s="244">
        <f>SUMIFS('ARR Looker'!$G:$G,'ARR Looker'!$B:$B,$A19,'ARR Looker'!$C:$C,BE$5)</f>
        <v>9800</v>
      </c>
      <c r="BF20" s="244">
        <f>SUMIFS('ARR Looker'!$G:$G,'ARR Looker'!$B:$B,$A19,'ARR Looker'!$C:$C,BF$5)</f>
        <v>91054.46</v>
      </c>
      <c r="BG20" s="244">
        <f>SUMIFS('ARR Looker'!$G:$G,'ARR Looker'!$B:$B,$A19,'ARR Looker'!$C:$C,BG$5)</f>
        <v>322217</v>
      </c>
      <c r="BH20" s="244">
        <f>SUMIFS('ARR Looker'!$G:$G,'ARR Looker'!$B:$B,$A19,'ARR Looker'!$C:$C,BH$5)</f>
        <v>49500</v>
      </c>
      <c r="BI20" s="244">
        <f>SUMIFS('ARR Looker'!$G:$G,'ARR Looker'!$B:$B,$A19,'ARR Looker'!$C:$C,BI$5)</f>
        <v>388700</v>
      </c>
      <c r="BJ20" s="244">
        <f>SUMIFS('ARR Looker'!$G:$G,'ARR Looker'!$B:$B,$A19,'ARR Looker'!$C:$C,BJ$5)</f>
        <v>324768.63</v>
      </c>
      <c r="BK20" s="244">
        <f>SUMIFS('ARR Looker'!$G:$G,'ARR Looker'!$B:$B,$A19,'ARR Looker'!$C:$C,BK$5)</f>
        <v>138930</v>
      </c>
      <c r="BL20" s="244">
        <f>SUMIFS('ARR Looker'!$G:$G,'ARR Looker'!$B:$B,$A19,'ARR Looker'!$C:$C,BL$5)</f>
        <v>88410</v>
      </c>
      <c r="BM20" s="244">
        <f>SUMIFS('ARR Looker'!$G:$G,'ARR Looker'!$B:$B,$A19,'ARR Looker'!$C:$C,BM$5)</f>
        <v>296642</v>
      </c>
      <c r="BN20" s="244">
        <f>SUMIFS('ARR Looker'!$G:$G,'ARR Looker'!$B:$B,$A19,'ARR Looker'!$C:$C,BN$5)</f>
        <v>24541</v>
      </c>
      <c r="BO20" s="244">
        <f>SUMIFS('ARR Looker'!$G:$G,'ARR Looker'!$B:$B,$A19,'ARR Looker'!$C:$C,BO$5)</f>
        <v>223059.99</v>
      </c>
      <c r="BP20" s="244">
        <f>SUMIFS('ARR Looker'!$G:$G,'ARR Looker'!$B:$B,$A19,'ARR Looker'!$C:$C,BP$5)</f>
        <v>290520.83</v>
      </c>
      <c r="BQ20" s="244">
        <f>SUMIFS('ARR Looker'!$G:$G,'ARR Looker'!$B:$B,$A19,'ARR Looker'!$C:$C,BQ$5)</f>
        <v>88420</v>
      </c>
      <c r="BR20" s="244">
        <f>SUMIFS('ARR Looker'!$G:$G,'ARR Looker'!$B:$B,$A19,'ARR Looker'!$C:$C,BR$5)</f>
        <v>109137</v>
      </c>
      <c r="BS20" s="244">
        <f>SUMIFS('ARR Looker'!$G:$G,'ARR Looker'!$B:$B,$A19,'ARR Looker'!$C:$C,BS$5)</f>
        <v>432246.82</v>
      </c>
      <c r="BT20" s="244">
        <f>SUMIFS('ARR Looker'!$G:$G,'ARR Looker'!$B:$B,$A19,'ARR Looker'!$C:$C,BT$5)</f>
        <v>104050.86</v>
      </c>
      <c r="BU20" s="244">
        <f>SUMIFS('ARR Looker'!$G:$G,'ARR Looker'!$B:$B,$A19,'ARR Looker'!$C:$C,BU$5)</f>
        <v>461873.48</v>
      </c>
      <c r="BV20" s="244">
        <f>SUMIFS('ARR Looker'!$G:$G,'ARR Looker'!$B:$B,$A19,'ARR Looker'!$C:$C,BV$5)</f>
        <v>476228.34</v>
      </c>
      <c r="BW20" s="244">
        <f>SUMIFS('ARR Looker'!$G:$G,'ARR Looker'!$B:$B,$A19,'ARR Looker'!$C:$C,BW$5)</f>
        <v>170270</v>
      </c>
      <c r="BX20" s="244">
        <f>SUMIFS('ARR Looker'!$G:$G,'ARR Looker'!$B:$B,$A19,'ARR Looker'!$C:$C,BX$5)</f>
        <v>44780.99</v>
      </c>
      <c r="BY20" s="244">
        <f>SUMIFS('ARR Looker'!$G:$G,'ARR Looker'!$B:$B,$A19,'ARR Looker'!$C:$C,BY$5)</f>
        <v>443925</v>
      </c>
      <c r="BZ20" s="244">
        <f>SUMIFS('ARR Looker'!$G:$G,'ARR Looker'!$B:$B,$A19,'ARR Looker'!$C:$C,BZ$5)</f>
        <v>177768.19</v>
      </c>
      <c r="CA20" s="244">
        <f>SUMIFS('ARR Looker'!$G:$G,'ARR Looker'!$B:$B,$A19,'ARR Looker'!$C:$C,CA$5)</f>
        <v>381232.76</v>
      </c>
      <c r="CB20" s="244">
        <f>SUMIFS('ARR Looker'!$G:$G,'ARR Looker'!$B:$B,$A19,'ARR Looker'!$C:$C,CB$5)</f>
        <v>610171.25</v>
      </c>
      <c r="CC20" s="244">
        <f>SUMIFS('ARR Looker'!$G:$G,'ARR Looker'!$B:$B,$A19,'ARR Looker'!$C:$C,CC$5)</f>
        <v>223501.43</v>
      </c>
      <c r="CD20" s="244">
        <f>SUMIFS('ARR Looker'!$G:$G,'ARR Looker'!$B:$B,$A19,'ARR Looker'!$C:$C,CD$5)</f>
        <v>464866.641282</v>
      </c>
      <c r="CE20" s="244">
        <f>SUMIFS('ARR Looker'!$G:$G,'ARR Looker'!$B:$B,$A19,'ARR Looker'!$C:$C,CE$5)</f>
        <v>802775.46538499999</v>
      </c>
      <c r="CF20" s="244">
        <f>SUMIFS('ARR Looker'!$G:$G,'ARR Looker'!$B:$B,$A19,'ARR Looker'!$C:$C,CF$5)</f>
        <v>359811.6</v>
      </c>
      <c r="CG20" s="244">
        <f>SUMIFS('ARR Looker'!$G:$G,'ARR Looker'!$B:$B,$A19,'ARR Looker'!$C:$C,CG$5)</f>
        <v>549005.24</v>
      </c>
      <c r="CH20" s="244">
        <f>SUMIFS('ARR Looker'!$G:$G,'ARR Looker'!$B:$B,$A19,'ARR Looker'!$C:$C,CH$5)</f>
        <v>1063201.044615</v>
      </c>
      <c r="CI20" s="55">
        <f>SUMIFS('ARR Looker'!$G:$G,'ARR Looker'!$B:$B,$A19,'ARR Looker'!$C:$C,CI$5)</f>
        <v>140380.89470599999</v>
      </c>
      <c r="CJ20" s="55">
        <f>SUMIFS('ARR Looker'!$G:$G,'ARR Looker'!$B:$B,$A19,'ARR Looker'!$C:$C,CJ$5)</f>
        <v>487191.07</v>
      </c>
      <c r="CK20" s="55">
        <f>SUMIFS('ARR Looker'!$G:$G,'ARR Looker'!$B:$B,$A19,'ARR Looker'!$C:$C,CK$5)</f>
        <v>1095495.934141</v>
      </c>
      <c r="CL20" s="55">
        <f>SUMIFS('ARR Looker'!$G:$G,'ARR Looker'!$B:$B,$A19,'ARR Looker'!$C:$C,CL$5)</f>
        <v>597982.89088700002</v>
      </c>
      <c r="CM20" s="55">
        <f>SUMIFS('ARR Looker'!$G:$G,'ARR Looker'!$B:$B,$A19,'ARR Looker'!$C:$C,CM$5)</f>
        <v>844329.451764</v>
      </c>
      <c r="CN20" s="55">
        <f>SUMIFS('ARR Looker'!$G:$G,'ARR Looker'!$B:$B,$A19,'ARR Looker'!$C:$C,CN$5)</f>
        <v>817897.24529400002</v>
      </c>
      <c r="CO20" s="55">
        <f>'22 Fcst ARR'!C10</f>
        <v>502810.0025</v>
      </c>
      <c r="CP20" s="55">
        <f>'22 Fcst ARR'!D10</f>
        <v>1173223.3391666668</v>
      </c>
      <c r="CQ20" s="55">
        <f>'22 Fcst ARR'!E10</f>
        <v>1676033.3416666668</v>
      </c>
      <c r="CR20" s="55">
        <f>'22 Fcst ARR'!F10</f>
        <v>498947.08316666668</v>
      </c>
      <c r="CS20" s="55">
        <f>'22 Fcst ARR'!G10</f>
        <v>1995788.3326666667</v>
      </c>
      <c r="CT20" s="55">
        <f>'22 Fcst ARR'!H10</f>
        <v>2494735.4158333335</v>
      </c>
      <c r="CU20" s="20">
        <f>CU84</f>
        <v>392915.29163522547</v>
      </c>
      <c r="CV20" s="20">
        <f t="shared" ref="CV20:FB20" si="138">CV84</f>
        <v>863544.25291359867</v>
      </c>
      <c r="CW20" s="20">
        <f t="shared" si="138"/>
        <v>1715891.4295053438</v>
      </c>
      <c r="CX20" s="20">
        <f t="shared" si="138"/>
        <v>686081.3145557011</v>
      </c>
      <c r="CY20" s="20">
        <f t="shared" si="138"/>
        <v>1345656.4642687393</v>
      </c>
      <c r="CZ20" s="20">
        <f t="shared" si="138"/>
        <v>1922992.6115947859</v>
      </c>
      <c r="DA20" s="20">
        <f t="shared" si="138"/>
        <v>658796.98424393381</v>
      </c>
      <c r="DB20" s="20">
        <f t="shared" si="138"/>
        <v>1174700.2700429501</v>
      </c>
      <c r="DC20" s="20">
        <f t="shared" si="138"/>
        <v>2065402.4824838401</v>
      </c>
      <c r="DD20" s="20">
        <f t="shared" si="138"/>
        <v>886887.37418464071</v>
      </c>
      <c r="DE20" s="20">
        <f t="shared" si="138"/>
        <v>2365709.0379576012</v>
      </c>
      <c r="DF20" s="20">
        <f t="shared" si="138"/>
        <v>2716820.3207702767</v>
      </c>
      <c r="DG20" s="20">
        <f t="shared" si="138"/>
        <v>593415.64580352174</v>
      </c>
      <c r="DH20" s="20">
        <f t="shared" si="138"/>
        <v>1253419.3416458433</v>
      </c>
      <c r="DI20" s="20">
        <f t="shared" si="138"/>
        <v>2448739.504610857</v>
      </c>
      <c r="DJ20" s="20">
        <f t="shared" si="138"/>
        <v>1056365.7206293333</v>
      </c>
      <c r="DK20" s="20">
        <f t="shared" si="138"/>
        <v>1981344.9979646874</v>
      </c>
      <c r="DL20" s="20">
        <f t="shared" si="138"/>
        <v>2790993.4096211335</v>
      </c>
      <c r="DM20" s="20">
        <f t="shared" si="138"/>
        <v>923887.98859657615</v>
      </c>
      <c r="DN20" s="20">
        <f t="shared" si="138"/>
        <v>1647383.7853695813</v>
      </c>
      <c r="DO20" s="20">
        <f t="shared" si="138"/>
        <v>2896492.5323304422</v>
      </c>
      <c r="DP20" s="20">
        <f t="shared" si="138"/>
        <v>1107147.7633017551</v>
      </c>
      <c r="DQ20" s="20">
        <f t="shared" si="138"/>
        <v>3181027.2817458669</v>
      </c>
      <c r="DR20" s="20">
        <f t="shared" si="138"/>
        <v>3673421.0003110007</v>
      </c>
      <c r="DS20" s="20">
        <f t="shared" si="138"/>
        <v>847437.5343911465</v>
      </c>
      <c r="DT20" s="20">
        <f t="shared" si="138"/>
        <v>1789967.2918199685</v>
      </c>
      <c r="DU20" s="20">
        <f t="shared" si="138"/>
        <v>3496965.040993711</v>
      </c>
      <c r="DV20" s="20">
        <f t="shared" si="138"/>
        <v>1508561.4409328338</v>
      </c>
      <c r="DW20" s="20">
        <f t="shared" si="138"/>
        <v>2829494.1862880369</v>
      </c>
      <c r="DX20" s="20">
        <f t="shared" si="138"/>
        <v>3985726.6829368048</v>
      </c>
      <c r="DY20" s="20">
        <f t="shared" si="138"/>
        <v>1319374.3114907802</v>
      </c>
      <c r="DZ20" s="20">
        <f t="shared" si="138"/>
        <v>2352575.067984947</v>
      </c>
      <c r="EA20" s="20">
        <f t="shared" si="138"/>
        <v>4136386.5400899588</v>
      </c>
      <c r="EB20" s="20">
        <f t="shared" si="138"/>
        <v>1581081.6202337882</v>
      </c>
      <c r="EC20" s="20">
        <f t="shared" si="138"/>
        <v>4542721.3379645776</v>
      </c>
      <c r="ED20" s="20">
        <f t="shared" si="138"/>
        <v>5245892.7520676088</v>
      </c>
      <c r="EE20" s="20">
        <f t="shared" si="138"/>
        <v>1180989.4795834641</v>
      </c>
      <c r="EF20" s="20">
        <f t="shared" si="138"/>
        <v>2494499.5408501374</v>
      </c>
      <c r="EG20" s="20">
        <f t="shared" si="138"/>
        <v>4873372.6750159822</v>
      </c>
      <c r="EH20" s="20">
        <f t="shared" si="138"/>
        <v>2102332.1705085444</v>
      </c>
      <c r="EI20" s="20">
        <f t="shared" si="138"/>
        <v>3943184.8731476921</v>
      </c>
      <c r="EJ20" s="20">
        <f t="shared" si="138"/>
        <v>5554511.2058617361</v>
      </c>
      <c r="EK20" s="20">
        <f t="shared" si="138"/>
        <v>1838680.8682279754</v>
      </c>
      <c r="EL20" s="20">
        <f t="shared" si="138"/>
        <v>3278550.0906762788</v>
      </c>
      <c r="EM20" s="20">
        <f t="shared" si="138"/>
        <v>5764470.8773096837</v>
      </c>
      <c r="EN20" s="20">
        <f t="shared" si="138"/>
        <v>2203396.3378792601</v>
      </c>
      <c r="EO20" s="20">
        <f t="shared" si="138"/>
        <v>6330739.3065495705</v>
      </c>
      <c r="EP20" s="20">
        <f t="shared" si="138"/>
        <v>7310679.4303914364</v>
      </c>
      <c r="EQ20" s="20">
        <f t="shared" si="138"/>
        <v>1604845.2803176751</v>
      </c>
      <c r="ER20" s="20">
        <f t="shared" si="138"/>
        <v>3389772.6305740783</v>
      </c>
      <c r="ES20" s="20">
        <f t="shared" si="138"/>
        <v>6622420.6666828208</v>
      </c>
      <c r="ET20" s="20">
        <f t="shared" si="138"/>
        <v>2856856.8305033799</v>
      </c>
      <c r="EU20" s="20">
        <f t="shared" si="138"/>
        <v>5358389.5051487554</v>
      </c>
      <c r="EV20" s="20">
        <f t="shared" si="138"/>
        <v>7548019.05292405</v>
      </c>
      <c r="EW20" s="20">
        <f t="shared" si="138"/>
        <v>2498581.371297922</v>
      </c>
      <c r="EX20" s="20">
        <f t="shared" si="138"/>
        <v>4455218.0440783184</v>
      </c>
      <c r="EY20" s="20">
        <f t="shared" si="138"/>
        <v>7833333.0151611483</v>
      </c>
      <c r="EZ20" s="20">
        <f t="shared" si="138"/>
        <v>2994192.814284822</v>
      </c>
      <c r="FA20" s="20">
        <f t="shared" si="138"/>
        <v>8602834.5490605552</v>
      </c>
      <c r="FB20" s="20">
        <f t="shared" si="138"/>
        <v>9934474.0851690508</v>
      </c>
    </row>
    <row r="21" spans="1:158" x14ac:dyDescent="0.25">
      <c r="A21" t="s">
        <v>608</v>
      </c>
      <c r="C21" s="258" t="s">
        <v>583</v>
      </c>
      <c r="D21" s="244">
        <f t="shared" si="100"/>
        <v>-91265</v>
      </c>
      <c r="E21" s="244">
        <f t="shared" si="100"/>
        <v>-132447.25</v>
      </c>
      <c r="F21" s="244">
        <f t="shared" si="100"/>
        <v>-374225.74000000005</v>
      </c>
      <c r="G21" s="244">
        <f t="shared" si="100"/>
        <v>-771029.74174830795</v>
      </c>
      <c r="H21" s="244">
        <f t="shared" si="100"/>
        <v>-1316911.2003414431</v>
      </c>
      <c r="I21" s="244">
        <f t="shared" si="100"/>
        <v>-1945251.5247633921</v>
      </c>
      <c r="J21" s="244">
        <f t="shared" si="100"/>
        <v>-2779016.1975932093</v>
      </c>
      <c r="K21" s="244">
        <f t="shared" si="100"/>
        <v>-3862661.0734715476</v>
      </c>
      <c r="L21" s="244">
        <f t="shared" si="100"/>
        <v>-5239081.5963725559</v>
      </c>
      <c r="M21" s="244"/>
      <c r="N21" s="294">
        <f t="shared" si="101"/>
        <v>-27665</v>
      </c>
      <c r="O21" s="294">
        <f t="shared" si="103"/>
        <v>-21000</v>
      </c>
      <c r="P21" s="294">
        <f t="shared" si="104"/>
        <v>-36600</v>
      </c>
      <c r="Q21" s="294">
        <f t="shared" si="105"/>
        <v>-6000</v>
      </c>
      <c r="R21" s="294">
        <f t="shared" si="106"/>
        <v>-16884.25</v>
      </c>
      <c r="S21" s="294">
        <f t="shared" si="107"/>
        <v>-62400</v>
      </c>
      <c r="T21" s="294">
        <f t="shared" si="108"/>
        <v>-2375</v>
      </c>
      <c r="U21" s="294">
        <f t="shared" si="109"/>
        <v>-50788</v>
      </c>
      <c r="V21" s="294">
        <f t="shared" si="110"/>
        <v>-84540</v>
      </c>
      <c r="W21" s="294">
        <f t="shared" si="111"/>
        <v>-79712.179999999993</v>
      </c>
      <c r="X21" s="294">
        <f t="shared" si="112"/>
        <v>-116608.33</v>
      </c>
      <c r="Y21" s="294">
        <f t="shared" si="113"/>
        <v>-93365.23000000001</v>
      </c>
      <c r="Z21" s="294">
        <f t="shared" si="114"/>
        <v>-139240.1</v>
      </c>
      <c r="AA21" s="294">
        <f t="shared" si="115"/>
        <v>-260784.03</v>
      </c>
      <c r="AB21" s="294">
        <f t="shared" si="116"/>
        <v>-155839.7432855806</v>
      </c>
      <c r="AC21" s="294">
        <f t="shared" si="117"/>
        <v>-215165.86846272729</v>
      </c>
      <c r="AD21" s="294">
        <f t="shared" si="118"/>
        <v>-270966.15680271084</v>
      </c>
      <c r="AE21" s="294">
        <f t="shared" si="119"/>
        <v>-305207.40092287911</v>
      </c>
      <c r="AF21" s="294">
        <f t="shared" si="120"/>
        <v>-279730.38003425475</v>
      </c>
      <c r="AG21" s="294">
        <f t="shared" si="121"/>
        <v>-461007.26258159842</v>
      </c>
      <c r="AH21" s="294">
        <f t="shared" si="122"/>
        <v>-400252.75018018374</v>
      </c>
      <c r="AI21" s="294">
        <f t="shared" si="123"/>
        <v>-450831.58367881528</v>
      </c>
      <c r="AJ21" s="294">
        <f t="shared" si="124"/>
        <v>-413198.66376957938</v>
      </c>
      <c r="AK21" s="294">
        <f t="shared" si="125"/>
        <v>-680968.52713481337</v>
      </c>
      <c r="AL21" s="294">
        <f t="shared" si="126"/>
        <v>-571807.22478408203</v>
      </c>
      <c r="AM21" s="294">
        <f t="shared" si="127"/>
        <v>-644064.92295767111</v>
      </c>
      <c r="AN21" s="294">
        <f t="shared" si="128"/>
        <v>-590301.95572225633</v>
      </c>
      <c r="AO21" s="294">
        <f t="shared" si="129"/>
        <v>-972842.09412919986</v>
      </c>
      <c r="AP21" s="294">
        <f t="shared" si="130"/>
        <v>-794776.76690626354</v>
      </c>
      <c r="AQ21" s="294">
        <f t="shared" si="131"/>
        <v>-895210.50969462923</v>
      </c>
      <c r="AR21" s="294">
        <f t="shared" si="132"/>
        <v>-820483.30194592476</v>
      </c>
      <c r="AS21" s="294">
        <f t="shared" si="133"/>
        <v>-1352190.4949247304</v>
      </c>
      <c r="AT21" s="294">
        <f t="shared" si="134"/>
        <v>-1077987.494507459</v>
      </c>
      <c r="AU21" s="294">
        <f t="shared" si="135"/>
        <v>-1214209.7939763688</v>
      </c>
      <c r="AV21" s="294">
        <f t="shared" si="136"/>
        <v>-1112854.2954177842</v>
      </c>
      <c r="AW21" s="294">
        <f t="shared" si="137"/>
        <v>-1834030.0124709439</v>
      </c>
      <c r="AX21" s="244"/>
      <c r="AY21" s="244">
        <f>SUMIFS('ARR Looker'!$F:$F,'ARR Looker'!$B:$B,$A20,'ARR Looker'!$C:$C,AY$5)</f>
        <v>-27665</v>
      </c>
      <c r="AZ21" s="244">
        <f>SUMIFS('ARR Looker'!$F:$F,'ARR Looker'!$B:$B,$A20,'ARR Looker'!$C:$C,AZ$5)</f>
        <v>0</v>
      </c>
      <c r="BA21" s="244">
        <f>SUMIFS('ARR Looker'!$F:$F,'ARR Looker'!$B:$B,$A20,'ARR Looker'!$C:$C,BA$5)</f>
        <v>0</v>
      </c>
      <c r="BB21" s="244">
        <f>SUMIFS('ARR Looker'!$F:$F,'ARR Looker'!$B:$B,$A20,'ARR Looker'!$C:$C,BB$5)</f>
        <v>-21000</v>
      </c>
      <c r="BC21" s="244">
        <f>SUMIFS('ARR Looker'!$F:$F,'ARR Looker'!$B:$B,$A20,'ARR Looker'!$C:$C,BC$5)</f>
        <v>0</v>
      </c>
      <c r="BD21" s="244">
        <f>SUMIFS('ARR Looker'!$F:$F,'ARR Looker'!$B:$B,$A20,'ARR Looker'!$C:$C,BD$5)</f>
        <v>0</v>
      </c>
      <c r="BE21" s="244">
        <f>SUMIFS('ARR Looker'!$F:$F,'ARR Looker'!$B:$B,$A20,'ARR Looker'!$C:$C,BE$5)</f>
        <v>-2250</v>
      </c>
      <c r="BF21" s="244">
        <f>SUMIFS('ARR Looker'!$F:$F,'ARR Looker'!$B:$B,$A20,'ARR Looker'!$C:$C,BF$5)</f>
        <v>-3000</v>
      </c>
      <c r="BG21" s="244">
        <f>SUMIFS('ARR Looker'!$F:$F,'ARR Looker'!$B:$B,$A20,'ARR Looker'!$C:$C,BG$5)</f>
        <v>-31350</v>
      </c>
      <c r="BH21" s="244">
        <f>SUMIFS('ARR Looker'!$F:$F,'ARR Looker'!$B:$B,$A20,'ARR Looker'!$C:$C,BH$5)</f>
        <v>0</v>
      </c>
      <c r="BI21" s="244">
        <f>SUMIFS('ARR Looker'!$F:$F,'ARR Looker'!$B:$B,$A20,'ARR Looker'!$C:$C,BI$5)</f>
        <v>-6000</v>
      </c>
      <c r="BJ21" s="244">
        <f>SUMIFS('ARR Looker'!$F:$F,'ARR Looker'!$B:$B,$A20,'ARR Looker'!$C:$C,BJ$5)</f>
        <v>0</v>
      </c>
      <c r="BK21" s="244">
        <f>SUMIFS('ARR Looker'!$F:$F,'ARR Looker'!$B:$B,$A20,'ARR Looker'!$C:$C,BK$5)</f>
        <v>0</v>
      </c>
      <c r="BL21" s="244">
        <f>SUMIFS('ARR Looker'!$F:$F,'ARR Looker'!$B:$B,$A20,'ARR Looker'!$C:$C,BL$5)</f>
        <v>-16884.25</v>
      </c>
      <c r="BM21" s="244">
        <f>SUMIFS('ARR Looker'!$F:$F,'ARR Looker'!$B:$B,$A20,'ARR Looker'!$C:$C,BM$5)</f>
        <v>0</v>
      </c>
      <c r="BN21" s="244">
        <f>SUMIFS('ARR Looker'!$F:$F,'ARR Looker'!$B:$B,$A20,'ARR Looker'!$C:$C,BN$5)</f>
        <v>-20000</v>
      </c>
      <c r="BO21" s="244">
        <f>SUMIFS('ARR Looker'!$F:$F,'ARR Looker'!$B:$B,$A20,'ARR Looker'!$C:$C,BO$5)</f>
        <v>-29500</v>
      </c>
      <c r="BP21" s="244">
        <f>SUMIFS('ARR Looker'!$F:$F,'ARR Looker'!$B:$B,$A20,'ARR Looker'!$C:$C,BP$5)</f>
        <v>-12900</v>
      </c>
      <c r="BQ21" s="244">
        <f>SUMIFS('ARR Looker'!$F:$F,'ARR Looker'!$B:$B,$A20,'ARR Looker'!$C:$C,BQ$5)</f>
        <v>0</v>
      </c>
      <c r="BR21" s="244">
        <f>SUMIFS('ARR Looker'!$F:$F,'ARR Looker'!$B:$B,$A20,'ARR Looker'!$C:$C,BR$5)</f>
        <v>-2375</v>
      </c>
      <c r="BS21" s="244">
        <f>SUMIFS('ARR Looker'!$F:$F,'ARR Looker'!$B:$B,$A20,'ARR Looker'!$C:$C,BS$5)</f>
        <v>0</v>
      </c>
      <c r="BT21" s="244">
        <f>SUMIFS('ARR Looker'!$F:$F,'ARR Looker'!$B:$B,$A20,'ARR Looker'!$C:$C,BT$5)</f>
        <v>0</v>
      </c>
      <c r="BU21" s="244">
        <f>SUMIFS('ARR Looker'!$F:$F,'ARR Looker'!$B:$B,$A20,'ARR Looker'!$C:$C,BU$5)</f>
        <v>-33000</v>
      </c>
      <c r="BV21" s="244">
        <f>SUMIFS('ARR Looker'!$F:$F,'ARR Looker'!$B:$B,$A20,'ARR Looker'!$C:$C,BV$5)</f>
        <v>-17788</v>
      </c>
      <c r="BW21" s="244">
        <f>SUMIFS('ARR Looker'!$F:$F,'ARR Looker'!$B:$B,$A20,'ARR Looker'!$C:$C,BW$5)</f>
        <v>-9900</v>
      </c>
      <c r="BX21" s="244">
        <f>SUMIFS('ARR Looker'!$F:$F,'ARR Looker'!$B:$B,$A20,'ARR Looker'!$C:$C,BX$5)</f>
        <v>-17000</v>
      </c>
      <c r="BY21" s="244">
        <f>SUMIFS('ARR Looker'!$F:$F,'ARR Looker'!$B:$B,$A20,'ARR Looker'!$C:$C,BY$5)</f>
        <v>-57640</v>
      </c>
      <c r="BZ21" s="244">
        <f>SUMIFS('ARR Looker'!$F:$F,'ARR Looker'!$B:$B,$A20,'ARR Looker'!$C:$C,BZ$5)</f>
        <v>-46000</v>
      </c>
      <c r="CA21" s="244">
        <f>SUMIFS('ARR Looker'!$F:$F,'ARR Looker'!$B:$B,$A20,'ARR Looker'!$C:$C,CA$5)</f>
        <v>-2700</v>
      </c>
      <c r="CB21" s="244">
        <f>SUMIFS('ARR Looker'!$F:$F,'ARR Looker'!$B:$B,$A20,'ARR Looker'!$C:$C,CB$5)</f>
        <v>-31012.18</v>
      </c>
      <c r="CC21" s="244">
        <f>SUMIFS('ARR Looker'!$F:$F,'ARR Looker'!$B:$B,$A20,'ARR Looker'!$C:$C,CC$5)</f>
        <v>-26490</v>
      </c>
      <c r="CD21" s="244">
        <f>SUMIFS('ARR Looker'!$F:$F,'ARR Looker'!$B:$B,$A20,'ARR Looker'!$C:$C,CD$5)</f>
        <v>-10118.33</v>
      </c>
      <c r="CE21" s="244">
        <f>SUMIFS('ARR Looker'!$F:$F,'ARR Looker'!$B:$B,$A20,'ARR Looker'!$C:$C,CE$5)</f>
        <v>-80000</v>
      </c>
      <c r="CF21" s="244">
        <f>SUMIFS('ARR Looker'!$F:$F,'ARR Looker'!$B:$B,$A20,'ARR Looker'!$C:$C,CF$5)</f>
        <v>0</v>
      </c>
      <c r="CG21" s="244">
        <f>SUMIFS('ARR Looker'!$F:$F,'ARR Looker'!$B:$B,$A20,'ARR Looker'!$C:$C,CG$5)</f>
        <v>-54862.83</v>
      </c>
      <c r="CH21" s="244">
        <f>SUMIFS('ARR Looker'!$F:$F,'ARR Looker'!$B:$B,$A20,'ARR Looker'!$C:$C,CH$5)</f>
        <v>-38502.400000000001</v>
      </c>
      <c r="CI21" s="55">
        <f>SUMIFS('ARR Looker'!$F:$F,'ARR Looker'!$B:$B,$A20,'ARR Looker'!$C:$C,CI$5)</f>
        <v>-65940.100000000006</v>
      </c>
      <c r="CJ21" s="55">
        <f>SUMIFS('ARR Looker'!$F:$F,'ARR Looker'!$B:$B,$A20,'ARR Looker'!$C:$C,CJ$5)</f>
        <v>-34050</v>
      </c>
      <c r="CK21" s="55">
        <f>SUMIFS('ARR Looker'!$F:$F,'ARR Looker'!$B:$B,$A20,'ARR Looker'!$C:$C,CK$5)</f>
        <v>-39250</v>
      </c>
      <c r="CL21" s="55">
        <f>SUMIFS('ARR Looker'!$F:$F,'ARR Looker'!$B:$B,$A20,'ARR Looker'!$C:$C,CL$5)</f>
        <v>-30500</v>
      </c>
      <c r="CM21" s="55">
        <f>SUMIFS('ARR Looker'!$F:$F,'ARR Looker'!$B:$B,$A20,'ARR Looker'!$C:$C,CM$5)</f>
        <v>-124510</v>
      </c>
      <c r="CN21" s="55">
        <f>SUMIFS('ARR Looker'!$F:$F,'ARR Looker'!$B:$B,$A20,'ARR Looker'!$C:$C,CN$5)</f>
        <v>-105774.03</v>
      </c>
      <c r="CO21" s="55">
        <f>'22 Fcst ARR'!C11</f>
        <v>-24107.032246215145</v>
      </c>
      <c r="CP21" s="55">
        <f>'22 Fcst ARR'!D11</f>
        <v>-45719.858515981781</v>
      </c>
      <c r="CQ21" s="55">
        <f>'22 Fcst ARR'!E11</f>
        <v>-86012.852523383684</v>
      </c>
      <c r="CR21" s="55">
        <f>'22 Fcst ARR'!F11</f>
        <v>-19358.258659691426</v>
      </c>
      <c r="CS21" s="55">
        <f>'22 Fcst ARR'!G11</f>
        <v>-90645.593961045932</v>
      </c>
      <c r="CT21" s="55">
        <f>'22 Fcst ARR'!H11</f>
        <v>-105162.01584198991</v>
      </c>
      <c r="CU21" s="20">
        <f>CU103</f>
        <v>-58649.422836056547</v>
      </c>
      <c r="CV21" s="20">
        <f t="shared" ref="CV21:FB21" si="139">CV103</f>
        <v>-74178.574320525033</v>
      </c>
      <c r="CW21" s="20">
        <f t="shared" si="139"/>
        <v>-138138.15964612926</v>
      </c>
      <c r="CX21" s="20">
        <f t="shared" si="139"/>
        <v>-91594.586719278814</v>
      </c>
      <c r="CY21" s="20">
        <f t="shared" si="139"/>
        <v>-75040.880469182142</v>
      </c>
      <c r="CZ21" s="20">
        <f t="shared" si="139"/>
        <v>-138571.93373441815</v>
      </c>
      <c r="DA21" s="20">
        <f t="shared" si="139"/>
        <v>-92379.569472832009</v>
      </c>
      <c r="DB21" s="20">
        <f t="shared" si="139"/>
        <v>-72466.58733544765</v>
      </c>
      <c r="DC21" s="20">
        <f t="shared" si="139"/>
        <v>-114884.2232259751</v>
      </c>
      <c r="DD21" s="20">
        <f t="shared" si="139"/>
        <v>-90817.42621257338</v>
      </c>
      <c r="DE21" s="20">
        <f t="shared" si="139"/>
        <v>-190876.986293792</v>
      </c>
      <c r="DF21" s="20">
        <f t="shared" si="139"/>
        <v>-179312.85007523303</v>
      </c>
      <c r="DG21" s="20">
        <f t="shared" si="139"/>
        <v>-86632.932553654085</v>
      </c>
      <c r="DH21" s="20">
        <f t="shared" si="139"/>
        <v>-109571.53737044946</v>
      </c>
      <c r="DI21" s="20">
        <f t="shared" si="139"/>
        <v>-204048.28025608021</v>
      </c>
      <c r="DJ21" s="20">
        <f t="shared" si="139"/>
        <v>-135297.28460776515</v>
      </c>
      <c r="DK21" s="20">
        <f t="shared" si="139"/>
        <v>-110845.27727793387</v>
      </c>
      <c r="DL21" s="20">
        <f t="shared" si="139"/>
        <v>-204689.02179311629</v>
      </c>
      <c r="DM21" s="20">
        <f t="shared" si="139"/>
        <v>-136456.80766282487</v>
      </c>
      <c r="DN21" s="20">
        <f t="shared" si="139"/>
        <v>-107042.70680675357</v>
      </c>
      <c r="DO21" s="20">
        <f t="shared" si="139"/>
        <v>-169699.14930000089</v>
      </c>
      <c r="DP21" s="20">
        <f t="shared" si="139"/>
        <v>-134149.31604294264</v>
      </c>
      <c r="DQ21" s="20">
        <f t="shared" si="139"/>
        <v>-281950.48271589604</v>
      </c>
      <c r="DR21" s="20">
        <f t="shared" si="139"/>
        <v>-264868.72837597475</v>
      </c>
      <c r="DS21" s="20">
        <f t="shared" si="139"/>
        <v>-123765.13769389724</v>
      </c>
      <c r="DT21" s="20">
        <f t="shared" si="139"/>
        <v>-156535.58075720121</v>
      </c>
      <c r="DU21" s="20">
        <f t="shared" si="139"/>
        <v>-291506.50633298355</v>
      </c>
      <c r="DV21" s="20">
        <f t="shared" si="139"/>
        <v>-193287.77827900235</v>
      </c>
      <c r="DW21" s="20">
        <f t="shared" si="139"/>
        <v>-158355.26514729601</v>
      </c>
      <c r="DX21" s="20">
        <f t="shared" si="139"/>
        <v>-292421.87953137269</v>
      </c>
      <c r="DY21" s="20">
        <f t="shared" si="139"/>
        <v>-194944.29071992473</v>
      </c>
      <c r="DZ21" s="20">
        <f t="shared" si="139"/>
        <v>-152922.85458373919</v>
      </c>
      <c r="EA21" s="20">
        <f t="shared" si="139"/>
        <v>-242434.81041859245</v>
      </c>
      <c r="EB21" s="20">
        <f t="shared" si="139"/>
        <v>-191647.77276025194</v>
      </c>
      <c r="EC21" s="20">
        <f t="shared" si="139"/>
        <v>-402798.78895455675</v>
      </c>
      <c r="ED21" s="20">
        <f t="shared" si="139"/>
        <v>-378395.53241439123</v>
      </c>
      <c r="EE21" s="20">
        <f t="shared" si="139"/>
        <v>-172025.90615955868</v>
      </c>
      <c r="EF21" s="20">
        <f t="shared" si="139"/>
        <v>-217574.80036559701</v>
      </c>
      <c r="EG21" s="20">
        <f t="shared" si="139"/>
        <v>-405176.06038110785</v>
      </c>
      <c r="EH21" s="20">
        <f t="shared" si="139"/>
        <v>-268658.08762925008</v>
      </c>
      <c r="EI21" s="20">
        <f t="shared" si="139"/>
        <v>-220104.04940909319</v>
      </c>
      <c r="EJ21" s="20">
        <f t="shared" si="139"/>
        <v>-406448.372656286</v>
      </c>
      <c r="EK21" s="20">
        <f t="shared" si="139"/>
        <v>-270960.53772968985</v>
      </c>
      <c r="EL21" s="20">
        <f t="shared" si="139"/>
        <v>-212553.33385833836</v>
      </c>
      <c r="EM21" s="20">
        <f t="shared" si="139"/>
        <v>-336969.43035789661</v>
      </c>
      <c r="EN21" s="20">
        <f t="shared" si="139"/>
        <v>-266378.58113229554</v>
      </c>
      <c r="EO21" s="20">
        <f t="shared" si="139"/>
        <v>-559865.4674570543</v>
      </c>
      <c r="EP21" s="20">
        <f t="shared" si="139"/>
        <v>-525946.44633538055</v>
      </c>
      <c r="EQ21" s="20">
        <f t="shared" si="139"/>
        <v>-233325.6120371584</v>
      </c>
      <c r="ER21" s="20">
        <f t="shared" si="139"/>
        <v>-295105.39774212171</v>
      </c>
      <c r="ES21" s="20">
        <f t="shared" si="139"/>
        <v>-549556.48472817882</v>
      </c>
      <c r="ET21" s="20">
        <f t="shared" si="139"/>
        <v>-364391.70194915554</v>
      </c>
      <c r="EU21" s="20">
        <f t="shared" si="139"/>
        <v>-298535.91930856986</v>
      </c>
      <c r="EV21" s="20">
        <f t="shared" si="139"/>
        <v>-551282.17271864333</v>
      </c>
      <c r="EW21" s="20">
        <f t="shared" si="139"/>
        <v>-367514.60704446037</v>
      </c>
      <c r="EX21" s="20">
        <f t="shared" si="139"/>
        <v>-288294.58202089259</v>
      </c>
      <c r="EY21" s="20">
        <f t="shared" si="139"/>
        <v>-457045.10635243118</v>
      </c>
      <c r="EZ21" s="20">
        <f t="shared" si="139"/>
        <v>-361299.91618026514</v>
      </c>
      <c r="FA21" s="20">
        <f t="shared" si="139"/>
        <v>-759367.91015489982</v>
      </c>
      <c r="FB21" s="20">
        <f t="shared" si="139"/>
        <v>-713362.18613577902</v>
      </c>
    </row>
    <row r="22" spans="1:158" x14ac:dyDescent="0.25">
      <c r="A22" t="s">
        <v>608</v>
      </c>
      <c r="C22" s="258" t="s">
        <v>22</v>
      </c>
      <c r="D22" s="295">
        <f t="shared" si="100"/>
        <v>-352563</v>
      </c>
      <c r="E22" s="295">
        <f t="shared" si="100"/>
        <v>-929477.46</v>
      </c>
      <c r="F22" s="295">
        <f t="shared" si="100"/>
        <v>-1076743.5999999999</v>
      </c>
      <c r="G22" s="295">
        <f t="shared" si="100"/>
        <v>-1450379.8382962472</v>
      </c>
      <c r="H22" s="295">
        <f t="shared" si="100"/>
        <v>-2477234.4701914745</v>
      </c>
      <c r="I22" s="295">
        <f t="shared" si="100"/>
        <v>-3659202.0244698268</v>
      </c>
      <c r="J22" s="295">
        <f t="shared" si="100"/>
        <v>-5227592.1991653005</v>
      </c>
      <c r="K22" s="295">
        <f t="shared" si="100"/>
        <v>-7266030.6597662671</v>
      </c>
      <c r="L22" s="295">
        <f t="shared" si="100"/>
        <v>-9855207.7917743269</v>
      </c>
      <c r="M22" s="244"/>
      <c r="N22" s="295">
        <f t="shared" si="101"/>
        <v>-22800</v>
      </c>
      <c r="O22" s="295">
        <f t="shared" si="103"/>
        <v>-18060</v>
      </c>
      <c r="P22" s="295">
        <f t="shared" si="104"/>
        <v>-73800</v>
      </c>
      <c r="Q22" s="295">
        <f t="shared" si="105"/>
        <v>-237903</v>
      </c>
      <c r="R22" s="295">
        <f t="shared" si="106"/>
        <v>-314125.45999999996</v>
      </c>
      <c r="S22" s="295">
        <f t="shared" si="107"/>
        <v>-161776</v>
      </c>
      <c r="T22" s="295">
        <f t="shared" si="108"/>
        <v>-267688</v>
      </c>
      <c r="U22" s="295">
        <f t="shared" si="109"/>
        <v>-185888</v>
      </c>
      <c r="V22" s="295">
        <f t="shared" si="110"/>
        <v>-170049.99</v>
      </c>
      <c r="W22" s="295">
        <f t="shared" si="111"/>
        <v>-205108.94</v>
      </c>
      <c r="X22" s="295">
        <f t="shared" si="112"/>
        <v>-452300</v>
      </c>
      <c r="Y22" s="295">
        <f t="shared" si="113"/>
        <v>-249284.66999999998</v>
      </c>
      <c r="Z22" s="295">
        <f t="shared" si="114"/>
        <v>-330338.44</v>
      </c>
      <c r="AA22" s="295">
        <f t="shared" si="115"/>
        <v>-306190</v>
      </c>
      <c r="AB22" s="295">
        <f t="shared" si="116"/>
        <v>-341855.72661671857</v>
      </c>
      <c r="AC22" s="295">
        <f t="shared" si="117"/>
        <v>-471995.67167952855</v>
      </c>
      <c r="AD22" s="295">
        <f t="shared" si="118"/>
        <v>-509712.95840824</v>
      </c>
      <c r="AE22" s="295">
        <f t="shared" si="119"/>
        <v>-574123.97580617026</v>
      </c>
      <c r="AF22" s="295">
        <f t="shared" si="120"/>
        <v>-526199.29088684928</v>
      </c>
      <c r="AG22" s="295">
        <f t="shared" si="121"/>
        <v>-867198.245090215</v>
      </c>
      <c r="AH22" s="295">
        <f t="shared" si="122"/>
        <v>-752913.26345938211</v>
      </c>
      <c r="AI22" s="295">
        <f t="shared" si="123"/>
        <v>-848056.83105330891</v>
      </c>
      <c r="AJ22" s="295">
        <f t="shared" si="124"/>
        <v>-777265.75084308418</v>
      </c>
      <c r="AK22" s="295">
        <f t="shared" si="125"/>
        <v>-1280966.1791140519</v>
      </c>
      <c r="AL22" s="295">
        <f t="shared" si="126"/>
        <v>-1075623.4491531311</v>
      </c>
      <c r="AM22" s="295">
        <f t="shared" si="127"/>
        <v>-1211547.0107462711</v>
      </c>
      <c r="AN22" s="295">
        <f t="shared" si="128"/>
        <v>-1110413.7865616693</v>
      </c>
      <c r="AO22" s="295">
        <f t="shared" si="129"/>
        <v>-1830007.9527042292</v>
      </c>
      <c r="AP22" s="295">
        <f t="shared" si="130"/>
        <v>-1495050.2376903289</v>
      </c>
      <c r="AQ22" s="295">
        <f t="shared" si="131"/>
        <v>-1683975.6030005917</v>
      </c>
      <c r="AR22" s="295">
        <f t="shared" si="132"/>
        <v>-1543406.6604262907</v>
      </c>
      <c r="AS22" s="295">
        <f t="shared" si="133"/>
        <v>-2543598.1586490558</v>
      </c>
      <c r="AT22" s="295">
        <f t="shared" si="134"/>
        <v>-2027796.3913867869</v>
      </c>
      <c r="AU22" s="295">
        <f t="shared" si="135"/>
        <v>-2284043.4153058142</v>
      </c>
      <c r="AV22" s="295">
        <f t="shared" si="136"/>
        <v>-2093384.1402478842</v>
      </c>
      <c r="AW22" s="295">
        <f t="shared" si="137"/>
        <v>-3449983.844833842</v>
      </c>
      <c r="AX22" s="244"/>
      <c r="AY22" s="295">
        <f>SUMIFS('ARR Looker'!$E:$E,'ARR Looker'!$B:$B,$A21,'ARR Looker'!$C:$C,AY$5)</f>
        <v>-10800</v>
      </c>
      <c r="AZ22" s="295">
        <f>SUMIFS('ARR Looker'!$E:$E,'ARR Looker'!$B:$B,$A21,'ARR Looker'!$C:$C,AZ$5)</f>
        <v>0</v>
      </c>
      <c r="BA22" s="295">
        <f>SUMIFS('ARR Looker'!$E:$E,'ARR Looker'!$B:$B,$A21,'ARR Looker'!$C:$C,BA$5)</f>
        <v>-12000</v>
      </c>
      <c r="BB22" s="295">
        <f>SUMIFS('ARR Looker'!$E:$E,'ARR Looker'!$B:$B,$A21,'ARR Looker'!$C:$C,BB$5)</f>
        <v>0</v>
      </c>
      <c r="BC22" s="295">
        <f>SUMIFS('ARR Looker'!$E:$E,'ARR Looker'!$B:$B,$A21,'ARR Looker'!$C:$C,BC$5)</f>
        <v>0</v>
      </c>
      <c r="BD22" s="295">
        <f>SUMIFS('ARR Looker'!$E:$E,'ARR Looker'!$B:$B,$A21,'ARR Looker'!$C:$C,BD$5)</f>
        <v>-18060</v>
      </c>
      <c r="BE22" s="295">
        <f>SUMIFS('ARR Looker'!$E:$E,'ARR Looker'!$B:$B,$A21,'ARR Looker'!$C:$C,BE$5)</f>
        <v>0</v>
      </c>
      <c r="BF22" s="295">
        <f>SUMIFS('ARR Looker'!$E:$E,'ARR Looker'!$B:$B,$A21,'ARR Looker'!$C:$C,BF$5)</f>
        <v>0</v>
      </c>
      <c r="BG22" s="295">
        <f>SUMIFS('ARR Looker'!$E:$E,'ARR Looker'!$B:$B,$A21,'ARR Looker'!$C:$C,BG$5)</f>
        <v>-73800</v>
      </c>
      <c r="BH22" s="295">
        <f>SUMIFS('ARR Looker'!$E:$E,'ARR Looker'!$B:$B,$A21,'ARR Looker'!$C:$C,BH$5)</f>
        <v>-13500</v>
      </c>
      <c r="BI22" s="295">
        <f>SUMIFS('ARR Looker'!$E:$E,'ARR Looker'!$B:$B,$A21,'ARR Looker'!$C:$C,BI$5)</f>
        <v>-194203</v>
      </c>
      <c r="BJ22" s="295">
        <f>SUMIFS('ARR Looker'!$E:$E,'ARR Looker'!$B:$B,$A21,'ARR Looker'!$C:$C,BJ$5)</f>
        <v>-30200</v>
      </c>
      <c r="BK22" s="295">
        <f>SUMIFS('ARR Looker'!$E:$E,'ARR Looker'!$B:$B,$A21,'ARR Looker'!$C:$C,BK$5)</f>
        <v>-32000</v>
      </c>
      <c r="BL22" s="295">
        <f>SUMIFS('ARR Looker'!$E:$E,'ARR Looker'!$B:$B,$A21,'ARR Looker'!$C:$C,BL$5)</f>
        <v>-41125.46</v>
      </c>
      <c r="BM22" s="295">
        <f>SUMIFS('ARR Looker'!$E:$E,'ARR Looker'!$B:$B,$A21,'ARR Looker'!$C:$C,BM$5)</f>
        <v>-241000</v>
      </c>
      <c r="BN22" s="295">
        <f>SUMIFS('ARR Looker'!$E:$E,'ARR Looker'!$B:$B,$A21,'ARR Looker'!$C:$C,BN$5)</f>
        <v>-83088</v>
      </c>
      <c r="BO22" s="295">
        <f>SUMIFS('ARR Looker'!$E:$E,'ARR Looker'!$B:$B,$A21,'ARR Looker'!$C:$C,BO$5)</f>
        <v>-60688</v>
      </c>
      <c r="BP22" s="295">
        <f>SUMIFS('ARR Looker'!$E:$E,'ARR Looker'!$B:$B,$A21,'ARR Looker'!$C:$C,BP$5)</f>
        <v>-18000</v>
      </c>
      <c r="BQ22" s="295">
        <f>SUMIFS('ARR Looker'!$E:$E,'ARR Looker'!$B:$B,$A21,'ARR Looker'!$C:$C,BQ$5)</f>
        <v>-12924</v>
      </c>
      <c r="BR22" s="295">
        <f>SUMIFS('ARR Looker'!$E:$E,'ARR Looker'!$B:$B,$A21,'ARR Looker'!$C:$C,BR$5)</f>
        <v>-137764</v>
      </c>
      <c r="BS22" s="295">
        <f>SUMIFS('ARR Looker'!$E:$E,'ARR Looker'!$B:$B,$A21,'ARR Looker'!$C:$C,BS$5)</f>
        <v>-117000</v>
      </c>
      <c r="BT22" s="295">
        <f>SUMIFS('ARR Looker'!$E:$E,'ARR Looker'!$B:$B,$A21,'ARR Looker'!$C:$C,BT$5)</f>
        <v>-83499</v>
      </c>
      <c r="BU22" s="295">
        <f>SUMIFS('ARR Looker'!$E:$E,'ARR Looker'!$B:$B,$A21,'ARR Looker'!$C:$C,BU$5)</f>
        <v>-82050</v>
      </c>
      <c r="BV22" s="295">
        <f>SUMIFS('ARR Looker'!$E:$E,'ARR Looker'!$B:$B,$A21,'ARR Looker'!$C:$C,BV$5)</f>
        <v>-20339</v>
      </c>
      <c r="BW22" s="295">
        <f>SUMIFS('ARR Looker'!$E:$E,'ARR Looker'!$B:$B,$A21,'ARR Looker'!$C:$C,BW$5)</f>
        <v>-32580</v>
      </c>
      <c r="BX22" s="295">
        <f>SUMIFS('ARR Looker'!$E:$E,'ARR Looker'!$B:$B,$A21,'ARR Looker'!$C:$C,BX$5)</f>
        <v>-27920</v>
      </c>
      <c r="BY22" s="295">
        <f>SUMIFS('ARR Looker'!$E:$E,'ARR Looker'!$B:$B,$A21,'ARR Looker'!$C:$C,BY$5)</f>
        <v>-109549.99</v>
      </c>
      <c r="BZ22" s="295">
        <f>SUMIFS('ARR Looker'!$E:$E,'ARR Looker'!$B:$B,$A21,'ARR Looker'!$C:$C,BZ$5)</f>
        <v>-98508</v>
      </c>
      <c r="CA22" s="295">
        <f>SUMIFS('ARR Looker'!$E:$E,'ARR Looker'!$B:$B,$A21,'ARR Looker'!$C:$C,CA$5)</f>
        <v>-34988</v>
      </c>
      <c r="CB22" s="295">
        <f>SUMIFS('ARR Looker'!$E:$E,'ARR Looker'!$B:$B,$A21,'ARR Looker'!$C:$C,CB$5)</f>
        <v>-71612.94</v>
      </c>
      <c r="CC22" s="295">
        <f>SUMIFS('ARR Looker'!$E:$E,'ARR Looker'!$B:$B,$A21,'ARR Looker'!$C:$C,CC$5)</f>
        <v>-308500</v>
      </c>
      <c r="CD22" s="295">
        <f>SUMIFS('ARR Looker'!$E:$E,'ARR Looker'!$B:$B,$A21,'ARR Looker'!$C:$C,CD$5)</f>
        <v>-92300</v>
      </c>
      <c r="CE22" s="295">
        <f>SUMIFS('ARR Looker'!$E:$E,'ARR Looker'!$B:$B,$A21,'ARR Looker'!$C:$C,CE$5)</f>
        <v>-51500</v>
      </c>
      <c r="CF22" s="295">
        <f>SUMIFS('ARR Looker'!$E:$E,'ARR Looker'!$B:$B,$A21,'ARR Looker'!$C:$C,CF$5)</f>
        <v>-85088</v>
      </c>
      <c r="CG22" s="295">
        <f>SUMIFS('ARR Looker'!$E:$E,'ARR Looker'!$B:$B,$A21,'ARR Looker'!$C:$C,CG$5)</f>
        <v>-49730</v>
      </c>
      <c r="CH22" s="295">
        <f>SUMIFS('ARR Looker'!$E:$E,'ARR Looker'!$B:$B,$A21,'ARR Looker'!$C:$C,CH$5)</f>
        <v>-114466.67</v>
      </c>
      <c r="CI22" s="83">
        <f>SUMIFS('ARR Looker'!$E:$E,'ARR Looker'!$B:$B,$A21,'ARR Looker'!$C:$C,CI$5)</f>
        <v>-135671.43</v>
      </c>
      <c r="CJ22" s="83">
        <f>SUMIFS('ARR Looker'!$E:$E,'ARR Looker'!$B:$B,$A21,'ARR Looker'!$C:$C,CJ$5)</f>
        <v>-70200.009999999995</v>
      </c>
      <c r="CK22" s="83">
        <f>SUMIFS('ARR Looker'!$E:$E,'ARR Looker'!$B:$B,$A21,'ARR Looker'!$C:$C,CK$5)</f>
        <v>-124467</v>
      </c>
      <c r="CL22" s="83">
        <f>SUMIFS('ARR Looker'!$E:$E,'ARR Looker'!$B:$B,$A21,'ARR Looker'!$C:$C,CL$5)</f>
        <v>-196750</v>
      </c>
      <c r="CM22" s="83">
        <f>SUMIFS('ARR Looker'!$E:$E,'ARR Looker'!$B:$B,$A21,'ARR Looker'!$C:$C,CM$5)</f>
        <v>-95000</v>
      </c>
      <c r="CN22" s="83">
        <f>SUMIFS('ARR Looker'!$E:$E,'ARR Looker'!$B:$B,$A21,'ARR Looker'!$C:$C,CN$5)</f>
        <v>-14440</v>
      </c>
      <c r="CO22" s="83">
        <f>'22 Fcst ARR'!C12</f>
        <v>-52882.062376093971</v>
      </c>
      <c r="CP22" s="83">
        <f>'22 Fcst ARR'!D12</f>
        <v>-100292.74384232562</v>
      </c>
      <c r="CQ22" s="83">
        <f>'22 Fcst ARR'!E12</f>
        <v>-188680.920398299</v>
      </c>
      <c r="CR22" s="83">
        <f>'22 Fcst ARR'!F12</f>
        <v>-42464.979989193263</v>
      </c>
      <c r="CS22" s="83">
        <f>'22 Fcst ARR'!G12</f>
        <v>-198843.4704449657</v>
      </c>
      <c r="CT22" s="83">
        <f>'22 Fcst ARR'!H12</f>
        <v>-230687.22124536958</v>
      </c>
      <c r="CU22" s="29">
        <f>CU104</f>
        <v>-110325.10914072608</v>
      </c>
      <c r="CV22" s="29">
        <f t="shared" ref="CV22:FB22" si="140">CV104</f>
        <v>-139536.91122743947</v>
      </c>
      <c r="CW22" s="29">
        <f t="shared" si="140"/>
        <v>-259850.93804007446</v>
      </c>
      <c r="CX22" s="29">
        <f t="shared" si="140"/>
        <v>-172298.07707999577</v>
      </c>
      <c r="CY22" s="29">
        <f t="shared" si="140"/>
        <v>-141158.99061651115</v>
      </c>
      <c r="CZ22" s="29">
        <f t="shared" si="140"/>
        <v>-260666.90810966337</v>
      </c>
      <c r="DA22" s="29">
        <f t="shared" si="140"/>
        <v>-173774.70385263133</v>
      </c>
      <c r="DB22" s="29">
        <f t="shared" si="140"/>
        <v>-136316.50185522571</v>
      </c>
      <c r="DC22" s="29">
        <f t="shared" si="140"/>
        <v>-216108.08517899225</v>
      </c>
      <c r="DD22" s="29">
        <f t="shared" si="140"/>
        <v>-170836.16469320538</v>
      </c>
      <c r="DE22" s="29">
        <f t="shared" si="140"/>
        <v>-359057.65695564693</v>
      </c>
      <c r="DF22" s="29">
        <f t="shared" si="140"/>
        <v>-337304.42344136263</v>
      </c>
      <c r="DG22" s="29">
        <f t="shared" si="140"/>
        <v>-162964.73651377694</v>
      </c>
      <c r="DH22" s="29">
        <f t="shared" si="140"/>
        <v>-206114.42081711686</v>
      </c>
      <c r="DI22" s="29">
        <f t="shared" si="140"/>
        <v>-383834.10612848832</v>
      </c>
      <c r="DJ22" s="29">
        <f t="shared" si="140"/>
        <v>-254506.98351321073</v>
      </c>
      <c r="DK22" s="29">
        <f t="shared" si="140"/>
        <v>-208510.44600397898</v>
      </c>
      <c r="DL22" s="29">
        <f t="shared" si="140"/>
        <v>-385039.40153611923</v>
      </c>
      <c r="DM22" s="29">
        <f t="shared" si="140"/>
        <v>-256688.15600246511</v>
      </c>
      <c r="DN22" s="29">
        <f t="shared" si="140"/>
        <v>-201357.45144815947</v>
      </c>
      <c r="DO22" s="29">
        <f t="shared" si="140"/>
        <v>-319220.14339245961</v>
      </c>
      <c r="DP22" s="29">
        <f t="shared" si="140"/>
        <v>-252347.54611246783</v>
      </c>
      <c r="DQ22" s="29">
        <f t="shared" si="140"/>
        <v>-530375.51392216119</v>
      </c>
      <c r="DR22" s="29">
        <f t="shared" si="140"/>
        <v>-498243.11907942285</v>
      </c>
      <c r="DS22" s="29">
        <f t="shared" si="140"/>
        <v>-232813.92490535713</v>
      </c>
      <c r="DT22" s="29">
        <f t="shared" si="140"/>
        <v>-294458.22646404663</v>
      </c>
      <c r="DU22" s="29">
        <f t="shared" si="140"/>
        <v>-548351.29778372729</v>
      </c>
      <c r="DV22" s="29">
        <f t="shared" si="140"/>
        <v>-363592.58459896565</v>
      </c>
      <c r="DW22" s="29">
        <f t="shared" si="140"/>
        <v>-297881.22483693878</v>
      </c>
      <c r="DX22" s="29">
        <f t="shared" si="140"/>
        <v>-550073.20131036662</v>
      </c>
      <c r="DY22" s="29">
        <f t="shared" si="140"/>
        <v>-366708.64110899461</v>
      </c>
      <c r="DZ22" s="29">
        <f t="shared" si="140"/>
        <v>-287662.3469803406</v>
      </c>
      <c r="EA22" s="29">
        <f t="shared" si="140"/>
        <v>-456042.79847233417</v>
      </c>
      <c r="EB22" s="29">
        <f t="shared" si="140"/>
        <v>-360507.57917012629</v>
      </c>
      <c r="EC22" s="29">
        <f t="shared" si="140"/>
        <v>-757702.60309950798</v>
      </c>
      <c r="ED22" s="29">
        <f t="shared" si="140"/>
        <v>-711797.77043459495</v>
      </c>
      <c r="EE22" s="29">
        <f t="shared" si="140"/>
        <v>-323596.99301964534</v>
      </c>
      <c r="EF22" s="29">
        <f t="shared" si="140"/>
        <v>-409278.76926776848</v>
      </c>
      <c r="EG22" s="29">
        <f t="shared" si="140"/>
        <v>-762174.47540291504</v>
      </c>
      <c r="EH22" s="29">
        <f t="shared" si="140"/>
        <v>-505371.2620853589</v>
      </c>
      <c r="EI22" s="29">
        <f t="shared" si="140"/>
        <v>-414036.52583679382</v>
      </c>
      <c r="EJ22" s="29">
        <f t="shared" si="140"/>
        <v>-764567.81507843896</v>
      </c>
      <c r="EK22" s="29">
        <f t="shared" si="140"/>
        <v>-509702.38840065361</v>
      </c>
      <c r="EL22" s="29">
        <f t="shared" si="140"/>
        <v>-399832.91603220644</v>
      </c>
      <c r="EM22" s="29">
        <f t="shared" si="140"/>
        <v>-633871.3559934306</v>
      </c>
      <c r="EN22" s="29">
        <f t="shared" si="140"/>
        <v>-501083.29485733539</v>
      </c>
      <c r="EO22" s="29">
        <f t="shared" si="140"/>
        <v>-1053159.8746330687</v>
      </c>
      <c r="EP22" s="29">
        <f t="shared" si="140"/>
        <v>-989354.98915865168</v>
      </c>
      <c r="EQ22" s="29">
        <f t="shared" si="140"/>
        <v>-438907.53512242105</v>
      </c>
      <c r="ER22" s="29">
        <f t="shared" si="140"/>
        <v>-555121.15276778489</v>
      </c>
      <c r="ES22" s="29">
        <f t="shared" si="140"/>
        <v>-1033767.7034965808</v>
      </c>
      <c r="ET22" s="29">
        <f t="shared" si="140"/>
        <v>-685455.24139071943</v>
      </c>
      <c r="EU22" s="29">
        <f t="shared" si="140"/>
        <v>-561574.28815985785</v>
      </c>
      <c r="EV22" s="29">
        <f t="shared" si="140"/>
        <v>-1037013.8857552371</v>
      </c>
      <c r="EW22" s="29">
        <f t="shared" si="140"/>
        <v>-691329.72111814527</v>
      </c>
      <c r="EX22" s="29">
        <f t="shared" si="140"/>
        <v>-542309.36449354421</v>
      </c>
      <c r="EY22" s="29">
        <f t="shared" si="140"/>
        <v>-859745.05463619484</v>
      </c>
      <c r="EZ22" s="29">
        <f t="shared" si="140"/>
        <v>-679639.30005833728</v>
      </c>
      <c r="FA22" s="29">
        <f t="shared" si="140"/>
        <v>-1428442.8305456347</v>
      </c>
      <c r="FB22" s="29">
        <f t="shared" si="140"/>
        <v>-1341901.7142298701</v>
      </c>
    </row>
    <row r="23" spans="1:158" x14ac:dyDescent="0.25">
      <c r="A23" t="s">
        <v>608</v>
      </c>
      <c r="C23" s="291" t="s">
        <v>24</v>
      </c>
      <c r="D23" s="30">
        <f t="shared" ref="D23:I23" si="141">SUM(D18:D22)</f>
        <v>10555668.359999996</v>
      </c>
      <c r="E23" s="30">
        <f t="shared" si="141"/>
        <v>18674405.869999997</v>
      </c>
      <c r="F23" s="30">
        <f t="shared" si="141"/>
        <v>28887778.617401</v>
      </c>
      <c r="G23" s="30">
        <f t="shared" si="141"/>
        <v>49340041.186968766</v>
      </c>
      <c r="H23" s="30">
        <f t="shared" si="141"/>
        <v>74827910.679417253</v>
      </c>
      <c r="I23" s="68">
        <f t="shared" si="141"/>
        <v>109833179.49558161</v>
      </c>
      <c r="J23" s="68">
        <f t="shared" ref="J23:L23" si="142">SUM(J18:J22)</f>
        <v>156967856.0286496</v>
      </c>
      <c r="K23" s="68">
        <f t="shared" si="142"/>
        <v>219081987.50791454</v>
      </c>
      <c r="L23" s="68">
        <f t="shared" si="142"/>
        <v>299060739.67977148</v>
      </c>
      <c r="M23" s="292"/>
      <c r="N23" s="30">
        <f t="shared" ref="N23:AW23" si="143">SUM(N18:N22)</f>
        <v>6068787.0999999959</v>
      </c>
      <c r="O23" s="30">
        <f t="shared" si="143"/>
        <v>7706621.929999995</v>
      </c>
      <c r="P23" s="30">
        <f t="shared" si="143"/>
        <v>8919092.3899999969</v>
      </c>
      <c r="Q23" s="30">
        <f t="shared" si="143"/>
        <v>10555668.359999996</v>
      </c>
      <c r="R23" s="30">
        <f t="shared" si="143"/>
        <v>12060701.909999996</v>
      </c>
      <c r="S23" s="30">
        <f t="shared" si="143"/>
        <v>13615801.069999995</v>
      </c>
      <c r="T23" s="30">
        <f t="shared" si="143"/>
        <v>15801753.029999996</v>
      </c>
      <c r="U23" s="30">
        <f t="shared" si="143"/>
        <v>18674405.869999997</v>
      </c>
      <c r="V23" s="30">
        <f t="shared" si="143"/>
        <v>20642642.381428998</v>
      </c>
      <c r="W23" s="30">
        <f t="shared" si="143"/>
        <v>23138299.835348997</v>
      </c>
      <c r="X23" s="30">
        <f t="shared" si="143"/>
        <v>25084015.739708003</v>
      </c>
      <c r="Y23" s="30">
        <f t="shared" si="143"/>
        <v>28887778.617401</v>
      </c>
      <c r="Z23" s="30">
        <f t="shared" si="143"/>
        <v>31379245.637026995</v>
      </c>
      <c r="AA23" s="30">
        <f t="shared" si="143"/>
        <v>34992812.363679998</v>
      </c>
      <c r="AB23" s="30">
        <f t="shared" si="143"/>
        <v>40744874.185444362</v>
      </c>
      <c r="AC23" s="30">
        <f t="shared" si="143"/>
        <v>49340041.186968759</v>
      </c>
      <c r="AD23" s="30">
        <f t="shared" si="143"/>
        <v>53741521.324630715</v>
      </c>
      <c r="AE23" s="30">
        <f t="shared" si="143"/>
        <v>59757083.203853764</v>
      </c>
      <c r="AF23" s="30">
        <f t="shared" si="143"/>
        <v>65748708.573807195</v>
      </c>
      <c r="AG23" s="30">
        <f t="shared" si="143"/>
        <v>74827910.679417238</v>
      </c>
      <c r="AH23" s="30">
        <f t="shared" si="143"/>
        <v>81080907.583122879</v>
      </c>
      <c r="AI23" s="30">
        <f t="shared" si="143"/>
        <v>89831509.044623822</v>
      </c>
      <c r="AJ23" s="30">
        <f t="shared" si="143"/>
        <v>98068224.468453586</v>
      </c>
      <c r="AK23" s="30">
        <f t="shared" si="143"/>
        <v>109833179.49558164</v>
      </c>
      <c r="AL23" s="30">
        <f t="shared" si="143"/>
        <v>118242092.86624254</v>
      </c>
      <c r="AM23" s="30">
        <f t="shared" si="143"/>
        <v>130032025.70328887</v>
      </c>
      <c r="AN23" s="30">
        <f t="shared" si="143"/>
        <v>141131860.64881757</v>
      </c>
      <c r="AO23" s="30">
        <f t="shared" si="143"/>
        <v>156967856.02864963</v>
      </c>
      <c r="AP23" s="30">
        <f t="shared" si="143"/>
        <v>168035625.42319301</v>
      </c>
      <c r="AQ23" s="30">
        <f t="shared" si="143"/>
        <v>183581483.45036966</v>
      </c>
      <c r="AR23" s="30">
        <f t="shared" si="143"/>
        <v>198220252.60708174</v>
      </c>
      <c r="AS23" s="30">
        <f t="shared" si="143"/>
        <v>219081987.50791463</v>
      </c>
      <c r="AT23" s="30">
        <f t="shared" si="143"/>
        <v>233315067.17063913</v>
      </c>
      <c r="AU23" s="30">
        <f t="shared" si="143"/>
        <v>253344075.7353512</v>
      </c>
      <c r="AV23" s="30">
        <f t="shared" si="143"/>
        <v>272208184.21093541</v>
      </c>
      <c r="AW23" s="30">
        <f t="shared" si="143"/>
        <v>299060739.67977148</v>
      </c>
      <c r="AX23" s="244"/>
      <c r="AY23" s="244">
        <f t="shared" ref="AY23:CF23" si="144">AZ18</f>
        <v>5074709.0999999959</v>
      </c>
      <c r="AZ23" s="244">
        <f t="shared" si="144"/>
        <v>5346709.0999999959</v>
      </c>
      <c r="BA23" s="244">
        <f t="shared" si="144"/>
        <v>6068787.0999999959</v>
      </c>
      <c r="BB23" s="244">
        <f t="shared" si="144"/>
        <v>6231783.5299999956</v>
      </c>
      <c r="BC23" s="244">
        <f t="shared" si="144"/>
        <v>6849730.2099999953</v>
      </c>
      <c r="BD23" s="244">
        <f t="shared" si="144"/>
        <v>7706621.929999995</v>
      </c>
      <c r="BE23" s="244">
        <f t="shared" si="144"/>
        <v>7779171.929999995</v>
      </c>
      <c r="BF23" s="244">
        <f t="shared" si="144"/>
        <v>8186725.389999995</v>
      </c>
      <c r="BG23" s="244">
        <f t="shared" si="144"/>
        <v>8919092.389999995</v>
      </c>
      <c r="BH23" s="244">
        <f t="shared" si="144"/>
        <v>9197587.0599999949</v>
      </c>
      <c r="BI23" s="244">
        <f t="shared" si="144"/>
        <v>9776950.7299999949</v>
      </c>
      <c r="BJ23" s="244">
        <f t="shared" si="144"/>
        <v>10555668.359999996</v>
      </c>
      <c r="BK23" s="244">
        <f t="shared" si="144"/>
        <v>10774198.359999996</v>
      </c>
      <c r="BL23" s="244">
        <f t="shared" si="144"/>
        <v>10947098.649999995</v>
      </c>
      <c r="BM23" s="244">
        <f t="shared" si="144"/>
        <v>12060701.909999995</v>
      </c>
      <c r="BN23" s="244">
        <f t="shared" si="144"/>
        <v>12271254.909999995</v>
      </c>
      <c r="BO23" s="244">
        <f t="shared" si="144"/>
        <v>12799650.239999995</v>
      </c>
      <c r="BP23" s="244">
        <f t="shared" si="144"/>
        <v>13615801.069999995</v>
      </c>
      <c r="BQ23" s="244">
        <f t="shared" si="144"/>
        <v>13879047.069999995</v>
      </c>
      <c r="BR23" s="244">
        <f t="shared" si="144"/>
        <v>14414018.739999995</v>
      </c>
      <c r="BS23" s="244">
        <f t="shared" si="144"/>
        <v>15801753.029999996</v>
      </c>
      <c r="BT23" s="244">
        <f t="shared" si="144"/>
        <v>15947304.889999995</v>
      </c>
      <c r="BU23" s="244">
        <f t="shared" si="144"/>
        <v>17244547.859999996</v>
      </c>
      <c r="BV23" s="244">
        <f t="shared" si="144"/>
        <v>18674405.869999997</v>
      </c>
      <c r="BW23" s="244">
        <f t="shared" si="144"/>
        <v>18961735.869999997</v>
      </c>
      <c r="BX23" s="244">
        <f t="shared" si="144"/>
        <v>19547087.723076999</v>
      </c>
      <c r="BY23" s="244">
        <f t="shared" si="144"/>
        <v>20642642.381428998</v>
      </c>
      <c r="BZ23" s="244">
        <f t="shared" si="144"/>
        <v>20995751.472527999</v>
      </c>
      <c r="CA23" s="244">
        <f t="shared" si="144"/>
        <v>21784630.792528</v>
      </c>
      <c r="CB23" s="244">
        <f t="shared" si="144"/>
        <v>23138299.835349001</v>
      </c>
      <c r="CC23" s="244">
        <f t="shared" si="144"/>
        <v>23263139.635349002</v>
      </c>
      <c r="CD23" s="244">
        <f t="shared" si="144"/>
        <v>24164920.294323001</v>
      </c>
      <c r="CE23" s="244">
        <f t="shared" si="144"/>
        <v>25084015.739708003</v>
      </c>
      <c r="CF23" s="244">
        <f t="shared" si="144"/>
        <v>25490667.029708002</v>
      </c>
      <c r="CG23" s="244">
        <f>CH18</f>
        <v>26866988.353335001</v>
      </c>
      <c r="CH23" s="244">
        <f>'ARR Looker'!P7</f>
        <v>28887778.617401</v>
      </c>
      <c r="CI23" s="50">
        <f>SUM(CI18:CI22)</f>
        <v>28971892.518340997</v>
      </c>
      <c r="CJ23" s="50">
        <f t="shared" ref="CJ23" si="145">SUM(CJ18:CJ22)</f>
        <v>29728600.298340995</v>
      </c>
      <c r="CK23" s="50">
        <f t="shared" ref="CK23" si="146">SUM(CK18:CK22)</f>
        <v>31379245.637026995</v>
      </c>
      <c r="CL23" s="50">
        <f t="shared" ref="CL23" si="147">SUM(CL18:CL22)</f>
        <v>32188740.697913997</v>
      </c>
      <c r="CM23" s="50">
        <f t="shared" ref="CM23" si="148">SUM(CM18:CM22)</f>
        <v>33434777.457209997</v>
      </c>
      <c r="CN23" s="50">
        <f t="shared" ref="CN23" si="149">SUM(CN18:CN22)</f>
        <v>34992812.36367999</v>
      </c>
      <c r="CO23" s="50">
        <f t="shared" ref="CO23" si="150">SUM(CO18:CO22)</f>
        <v>35853286.862807676</v>
      </c>
      <c r="CP23" s="50">
        <f t="shared" ref="CP23" si="151">SUM(CP18:CP22)</f>
        <v>37894689.312532693</v>
      </c>
      <c r="CQ23" s="50">
        <f t="shared" ref="CQ23" si="152">SUM(CQ18:CQ22)</f>
        <v>40744874.18544434</v>
      </c>
      <c r="CR23" s="50">
        <f t="shared" ref="CR23" si="153">SUM(CR18:CR22)</f>
        <v>41611283.80096212</v>
      </c>
      <c r="CS23" s="50">
        <f t="shared" ref="CS23" si="154">SUM(CS18:CS22)</f>
        <v>45034726.153222777</v>
      </c>
      <c r="CT23" s="50">
        <f t="shared" ref="CT23:FB23" si="155">SUM(CT18:CT22)</f>
        <v>49340041.186968744</v>
      </c>
      <c r="CU23" s="50">
        <f t="shared" si="155"/>
        <v>49856096.663869247</v>
      </c>
      <c r="CV23" s="50">
        <f t="shared" si="155"/>
        <v>51147931.458070949</v>
      </c>
      <c r="CW23" s="50">
        <f t="shared" si="155"/>
        <v>53741521.324630708</v>
      </c>
      <c r="CX23" s="50">
        <f t="shared" si="155"/>
        <v>54673780.347991928</v>
      </c>
      <c r="CY23" s="50">
        <f t="shared" si="155"/>
        <v>56803671.553757459</v>
      </c>
      <c r="CZ23" s="50">
        <f t="shared" si="155"/>
        <v>59757083.203853764</v>
      </c>
      <c r="DA23" s="50">
        <f t="shared" si="155"/>
        <v>60639511.62398053</v>
      </c>
      <c r="DB23" s="50">
        <f t="shared" si="155"/>
        <v>62478765.232640624</v>
      </c>
      <c r="DC23" s="50">
        <f t="shared" si="155"/>
        <v>65748708.573807195</v>
      </c>
      <c r="DD23" s="50">
        <f t="shared" si="155"/>
        <v>67033302.936963975</v>
      </c>
      <c r="DE23" s="50">
        <f t="shared" si="155"/>
        <v>70607874.816554829</v>
      </c>
      <c r="DF23" s="50">
        <f t="shared" si="155"/>
        <v>74827910.679417253</v>
      </c>
      <c r="DG23" s="50">
        <f t="shared" si="155"/>
        <v>75601443.434149012</v>
      </c>
      <c r="DH23" s="50">
        <f t="shared" si="155"/>
        <v>77446825.306385309</v>
      </c>
      <c r="DI23" s="50">
        <f t="shared" si="155"/>
        <v>81080907.583122909</v>
      </c>
      <c r="DJ23" s="50">
        <f t="shared" si="155"/>
        <v>82512423.522983551</v>
      </c>
      <c r="DK23" s="50">
        <f t="shared" si="155"/>
        <v>85609179.865157992</v>
      </c>
      <c r="DL23" s="50">
        <f t="shared" si="155"/>
        <v>89831509.044623822</v>
      </c>
      <c r="DM23" s="50">
        <f t="shared" si="155"/>
        <v>91031274.406125039</v>
      </c>
      <c r="DN23" s="50">
        <f t="shared" si="155"/>
        <v>93563191.119196996</v>
      </c>
      <c r="DO23" s="50">
        <f t="shared" si="155"/>
        <v>98068224.468453571</v>
      </c>
      <c r="DP23" s="50">
        <f t="shared" si="155"/>
        <v>99590603.060266718</v>
      </c>
      <c r="DQ23" s="50">
        <f t="shared" si="155"/>
        <v>104262806.85974224</v>
      </c>
      <c r="DR23" s="50">
        <f t="shared" si="155"/>
        <v>109833179.49558167</v>
      </c>
      <c r="DS23" s="50">
        <f t="shared" si="155"/>
        <v>110865842.29264003</v>
      </c>
      <c r="DT23" s="50">
        <f t="shared" si="155"/>
        <v>113349221.09495972</v>
      </c>
      <c r="DU23" s="50">
        <f t="shared" si="155"/>
        <v>118242092.86624253</v>
      </c>
      <c r="DV23" s="50">
        <f t="shared" si="155"/>
        <v>120158264.04587741</v>
      </c>
      <c r="DW23" s="50">
        <f t="shared" si="155"/>
        <v>124340542.61538176</v>
      </c>
      <c r="DX23" s="50">
        <f t="shared" si="155"/>
        <v>130032025.70328888</v>
      </c>
      <c r="DY23" s="50">
        <f t="shared" si="155"/>
        <v>131633281.47882189</v>
      </c>
      <c r="DZ23" s="50">
        <f t="shared" si="155"/>
        <v>135049376.71657741</v>
      </c>
      <c r="EA23" s="50">
        <f t="shared" si="155"/>
        <v>141131860.64881754</v>
      </c>
      <c r="EB23" s="50">
        <f t="shared" si="155"/>
        <v>143171642.37923762</v>
      </c>
      <c r="EC23" s="50">
        <f t="shared" si="155"/>
        <v>149458225.14778122</v>
      </c>
      <c r="ED23" s="50">
        <f t="shared" si="155"/>
        <v>156967856.02864963</v>
      </c>
      <c r="EE23" s="50">
        <f t="shared" si="155"/>
        <v>158317529.19131961</v>
      </c>
      <c r="EF23" s="50">
        <f t="shared" si="155"/>
        <v>161588331.1542646</v>
      </c>
      <c r="EG23" s="50">
        <f t="shared" si="155"/>
        <v>168035625.42319304</v>
      </c>
      <c r="EH23" s="50">
        <f t="shared" si="155"/>
        <v>170546490.08989802</v>
      </c>
      <c r="EI23" s="50">
        <f t="shared" si="155"/>
        <v>176073575.87894541</v>
      </c>
      <c r="EJ23" s="50">
        <f t="shared" si="155"/>
        <v>183581483.45036966</v>
      </c>
      <c r="EK23" s="50">
        <f t="shared" si="155"/>
        <v>185673759.38084555</v>
      </c>
      <c r="EL23" s="50">
        <f t="shared" si="155"/>
        <v>190184107.64763668</v>
      </c>
      <c r="EM23" s="50">
        <f t="shared" si="155"/>
        <v>198220252.60708174</v>
      </c>
      <c r="EN23" s="50">
        <f t="shared" si="155"/>
        <v>200895597.50902846</v>
      </c>
      <c r="EO23" s="50">
        <f t="shared" si="155"/>
        <v>209174352.33342203</v>
      </c>
      <c r="EP23" s="50">
        <f t="shared" si="155"/>
        <v>219081987.5079146</v>
      </c>
      <c r="EQ23" s="50">
        <f t="shared" si="155"/>
        <v>220805045.82391572</v>
      </c>
      <c r="ER23" s="50">
        <f t="shared" si="155"/>
        <v>225014181.408591</v>
      </c>
      <c r="ES23" s="50">
        <f t="shared" si="155"/>
        <v>233315067.1706391</v>
      </c>
      <c r="ET23" s="50">
        <f t="shared" si="155"/>
        <v>236529185.64596099</v>
      </c>
      <c r="EU23" s="50">
        <f t="shared" si="155"/>
        <v>243666671.714834</v>
      </c>
      <c r="EV23" s="50">
        <f t="shared" si="155"/>
        <v>253344075.73535123</v>
      </c>
      <c r="EW23" s="50">
        <f t="shared" si="155"/>
        <v>256014457.33449897</v>
      </c>
      <c r="EX23" s="50">
        <f t="shared" si="155"/>
        <v>261833432.5582507</v>
      </c>
      <c r="EY23" s="50">
        <f t="shared" si="155"/>
        <v>272208184.21093541</v>
      </c>
      <c r="EZ23" s="50">
        <f t="shared" si="155"/>
        <v>275636189.49362934</v>
      </c>
      <c r="FA23" s="50">
        <f t="shared" si="155"/>
        <v>286288430.31869084</v>
      </c>
      <c r="FB23" s="50">
        <f t="shared" si="155"/>
        <v>299060739.67977154</v>
      </c>
    </row>
    <row r="24" spans="1:158" x14ac:dyDescent="0.25">
      <c r="C24" s="289"/>
      <c r="D24" s="244"/>
      <c r="E24" s="244"/>
      <c r="F24" s="244"/>
      <c r="G24" s="244"/>
      <c r="H24" s="244"/>
      <c r="I24" s="244"/>
      <c r="J24" s="244"/>
      <c r="K24" s="244"/>
      <c r="L24" s="244"/>
      <c r="M24" s="244"/>
      <c r="N24" s="244"/>
      <c r="O24" s="244"/>
      <c r="P24" s="244"/>
      <c r="Q24" s="244"/>
      <c r="R24" s="244"/>
      <c r="S24" s="244"/>
      <c r="T24" s="244"/>
      <c r="U24" s="244"/>
      <c r="V24" s="244"/>
      <c r="W24" s="244"/>
      <c r="X24" s="244"/>
      <c r="Y24" s="244"/>
      <c r="Z24" s="244"/>
      <c r="AA24" s="244"/>
      <c r="AB24" s="244"/>
      <c r="AC24" s="244"/>
      <c r="AD24" s="244"/>
      <c r="AE24" s="244"/>
      <c r="AF24" s="244"/>
      <c r="AG24" s="244"/>
      <c r="AH24" s="244"/>
      <c r="AI24" s="244"/>
      <c r="AJ24" s="244"/>
      <c r="AK24" s="244"/>
      <c r="AL24" s="244"/>
      <c r="AM24" s="244"/>
      <c r="AN24" s="244"/>
      <c r="AO24" s="244"/>
      <c r="AP24" s="244"/>
      <c r="AQ24" s="244"/>
      <c r="AR24" s="244"/>
      <c r="AS24" s="244"/>
      <c r="AT24" s="244"/>
      <c r="AU24" s="244"/>
      <c r="AV24" s="244"/>
      <c r="AW24" s="244"/>
      <c r="AX24" s="244"/>
      <c r="AY24" s="244"/>
      <c r="AZ24" s="244"/>
      <c r="BA24" s="244"/>
      <c r="BB24" s="244"/>
      <c r="BC24" s="244"/>
      <c r="BD24" s="244"/>
      <c r="BE24" s="244"/>
      <c r="BF24" s="244"/>
      <c r="BG24" s="244"/>
      <c r="BH24" s="244"/>
      <c r="BI24" s="244"/>
      <c r="BJ24" s="244"/>
      <c r="BK24" s="244"/>
      <c r="BL24" s="244"/>
      <c r="BM24" s="244"/>
      <c r="BN24" s="244"/>
      <c r="BO24" s="244"/>
      <c r="BP24" s="244"/>
      <c r="BQ24" s="244"/>
      <c r="BR24" s="244"/>
      <c r="BS24" s="244"/>
      <c r="BT24" s="244"/>
      <c r="BU24" s="244"/>
      <c r="BV24" s="244"/>
      <c r="BW24" s="244"/>
      <c r="BX24" s="244"/>
      <c r="BY24" s="244"/>
      <c r="BZ24" s="244"/>
      <c r="CA24" s="244"/>
      <c r="CB24" s="244"/>
      <c r="CC24" s="244"/>
      <c r="CD24" s="244"/>
      <c r="CE24" s="244"/>
      <c r="CF24" s="244"/>
      <c r="CG24" s="244"/>
      <c r="CH24" s="244"/>
      <c r="CI24" s="99"/>
      <c r="CJ24" s="99"/>
      <c r="CK24" s="99"/>
      <c r="CL24" s="99"/>
      <c r="CM24" s="99"/>
      <c r="CN24" s="99"/>
      <c r="CO24" s="99"/>
      <c r="CP24" s="99"/>
      <c r="CQ24" s="99"/>
      <c r="CR24" s="99"/>
      <c r="CS24" s="99"/>
      <c r="CT24" s="99"/>
    </row>
    <row r="25" spans="1:158" x14ac:dyDescent="0.25">
      <c r="C25" s="289" t="s">
        <v>622</v>
      </c>
      <c r="D25" s="308">
        <f>SUM(D21:D22)/D18+1</f>
        <v>0.91067880609610274</v>
      </c>
      <c r="E25" s="308">
        <f t="shared" ref="E25:L25" si="156">SUM(E21:E22)/E18+1</f>
        <v>0.89939768153155575</v>
      </c>
      <c r="F25" s="308">
        <f t="shared" si="156"/>
        <v>0.92230171336637012</v>
      </c>
      <c r="G25" s="308">
        <f t="shared" si="156"/>
        <v>0.92310209762177919</v>
      </c>
      <c r="H25" s="308">
        <f t="shared" si="156"/>
        <v>0.92310209762177919</v>
      </c>
      <c r="I25" s="308">
        <f t="shared" si="156"/>
        <v>0.9251020976217792</v>
      </c>
      <c r="J25" s="308">
        <f t="shared" si="156"/>
        <v>0.9271020976217792</v>
      </c>
      <c r="K25" s="308">
        <f t="shared" si="156"/>
        <v>0.9291020976217792</v>
      </c>
      <c r="L25" s="308">
        <f t="shared" si="156"/>
        <v>0.9311020976217792</v>
      </c>
      <c r="M25" s="244"/>
      <c r="N25" s="413"/>
      <c r="O25" s="413"/>
      <c r="P25" s="413"/>
      <c r="Q25" s="308">
        <f>IFERROR(SUM(N21:Q22)/N18+1,"")</f>
        <v>0.91067880609610274</v>
      </c>
      <c r="R25" s="308">
        <f t="shared" ref="R25" si="157">IFERROR(SUM(O21:R22)/O18+1,"")</f>
        <v>0.88063962401976492</v>
      </c>
      <c r="S25" s="308">
        <f t="shared" ref="S25" si="158">IFERROR(SUM(P21:S22)/P18+1,"")</f>
        <v>0.88198607402037166</v>
      </c>
      <c r="T25" s="308">
        <f t="shared" ref="T25" si="159">IFERROR(SUM(Q21:T22)/Q18+1,"")</f>
        <v>0.8801277458232496</v>
      </c>
      <c r="U25" s="308">
        <f t="shared" ref="U25" si="160">IFERROR(SUM(R21:U22)/R18+1,"")</f>
        <v>0.89939768153155575</v>
      </c>
      <c r="V25" s="308">
        <f t="shared" ref="V25" si="161">IFERROR(SUM(S21:V22)/S18+1,"")</f>
        <v>0.91828792408981774</v>
      </c>
      <c r="W25" s="308">
        <f t="shared" ref="W25" si="162">IFERROR(SUM(T21:W22)/T18+1,"")</f>
        <v>0.92316646632675869</v>
      </c>
      <c r="X25" s="308">
        <f t="shared" ref="X25" si="163">IFERROR(SUM(U21:X22)/U18+1,"")</f>
        <v>0.91488315015134747</v>
      </c>
      <c r="Y25" s="308">
        <f t="shared" ref="Y25" si="164">IFERROR(SUM(V21:Y22)/V18+1,"")</f>
        <v>0.92230171336637012</v>
      </c>
      <c r="Z25" s="308">
        <f t="shared" ref="Z25" si="165">IFERROR(SUM(W21:Z22)/W18+1,"")</f>
        <v>0.91929531795315278</v>
      </c>
      <c r="AA25" s="308">
        <f t="shared" ref="AA25" si="166">IFERROR(SUM(X21:AA22)/X18+1,"")</f>
        <v>0.91580579325781675</v>
      </c>
      <c r="AB25" s="308">
        <f t="shared" ref="AB25" si="167">IFERROR(SUM(Y21:AB22)/Y18+1,"")</f>
        <v>0.92517553969912525</v>
      </c>
      <c r="AC25" s="308">
        <f t="shared" ref="AC25" si="168">IFERROR(SUM(Z21:AC22)/Z18+1,"")</f>
        <v>0.92310209762177919</v>
      </c>
      <c r="AD25" s="308">
        <f t="shared" ref="AD25" si="169">IFERROR(SUM(AA21:AD22)/AA18+1,"")</f>
        <v>0.91929346598864103</v>
      </c>
      <c r="AE25" s="308">
        <f t="shared" ref="AE25" si="170">IFERROR(SUM(AB21:AE22)/AB18+1,"")</f>
        <v>0.91870137580203981</v>
      </c>
      <c r="AF25" s="308">
        <f t="shared" ref="AF25" si="171">IFERROR(SUM(AC21:AF22)/AC18+1,"")</f>
        <v>0.92261353689172099</v>
      </c>
      <c r="AG25" s="308">
        <f t="shared" ref="AG25" si="172">IFERROR(SUM(AD21:AG22)/AD18+1,"")</f>
        <v>0.92310209762177919</v>
      </c>
      <c r="AH25" s="308">
        <f t="shared" ref="AH25" si="173">IFERROR(SUM(AE21:AH22)/AE18+1,"")</f>
        <v>0.92246902457798696</v>
      </c>
      <c r="AI25" s="308">
        <f t="shared" ref="AI25" si="174">IFERROR(SUM(AF21:AI22)/AF18+1,"")</f>
        <v>0.92325278676471878</v>
      </c>
      <c r="AJ25" s="308">
        <f t="shared" ref="AJ25" si="175">IFERROR(SUM(AG21:AJ22)/AG18+1,"")</f>
        <v>0.92439814471677106</v>
      </c>
      <c r="AK25" s="308">
        <f t="shared" ref="AK25" si="176">IFERROR(SUM(AH21:AK22)/AH18+1,"")</f>
        <v>0.9251020976217792</v>
      </c>
      <c r="AL25" s="308">
        <f t="shared" ref="AL25" si="177">IFERROR(SUM(AI21:AL22)/AI18+1,"")</f>
        <v>0.92478231446436943</v>
      </c>
      <c r="AM25" s="308">
        <f t="shared" ref="AM25" si="178">IFERROR(SUM(AJ21:AM22)/AJ18+1,"")</f>
        <v>0.92591194560478118</v>
      </c>
      <c r="AN25" s="308">
        <f t="shared" ref="AN25" si="179">IFERROR(SUM(AK21:AN22)/AK18+1,"")</f>
        <v>0.92693155101957625</v>
      </c>
      <c r="AO25" s="308">
        <f t="shared" ref="AO25" si="180">IFERROR(SUM(AL21:AO22)/AL18+1,"")</f>
        <v>0.9271020976217792</v>
      </c>
      <c r="AP25" s="308">
        <f t="shared" ref="AP25" si="181">IFERROR(SUM(AM21:AP22)/AM18+1,"")</f>
        <v>0.92685341981216629</v>
      </c>
      <c r="AQ25" s="308">
        <f t="shared" ref="AQ25" si="182">IFERROR(SUM(AN21:AQ22)/AN18+1,"")</f>
        <v>0.92792099595682831</v>
      </c>
      <c r="AR25" s="308">
        <f t="shared" ref="AR25" si="183">IFERROR(SUM(AO21:AR22)/AO18+1,"")</f>
        <v>0.92889094581223075</v>
      </c>
      <c r="AS25" s="308">
        <f t="shared" ref="AS25" si="184">IFERROR(SUM(AP21:AS22)/AP18+1,"")</f>
        <v>0.9291020976217792</v>
      </c>
      <c r="AT25" s="308">
        <f t="shared" ref="AT25" si="185">IFERROR(SUM(AQ21:AT22)/AQ18+1,"")</f>
        <v>0.92891597490440969</v>
      </c>
      <c r="AU25" s="308">
        <f t="shared" ref="AU25" si="186">IFERROR(SUM(AR21:AU22)/AR18+1,"")</f>
        <v>0.92992912210233847</v>
      </c>
      <c r="AV25" s="308">
        <f t="shared" ref="AV25" si="187">IFERROR(SUM(AS21:AV22)/AS18+1,"")</f>
        <v>0.93085437030703178</v>
      </c>
      <c r="AW25" s="308">
        <f t="shared" ref="AW25" si="188">IFERROR(SUM(AT21:AW22)/AT18+1,"")</f>
        <v>0.9311020976217792</v>
      </c>
      <c r="AX25" s="244"/>
      <c r="AY25" s="308">
        <f>IFERROR(SUM(AY21:AY22)/AY18*12+1,"")</f>
        <v>0.90710618374198815</v>
      </c>
      <c r="AZ25" s="308">
        <f t="shared" ref="AZ25:DK25" si="189">IFERROR(SUM(AZ21:AZ22)/AZ18*12+1,"")</f>
        <v>1</v>
      </c>
      <c r="BA25" s="308">
        <f t="shared" si="189"/>
        <v>0.97306754541779727</v>
      </c>
      <c r="BB25" s="308">
        <f t="shared" si="189"/>
        <v>0.95847605199398078</v>
      </c>
      <c r="BC25" s="308">
        <f t="shared" si="189"/>
        <v>1</v>
      </c>
      <c r="BD25" s="308">
        <f t="shared" si="189"/>
        <v>0.96836079767293493</v>
      </c>
      <c r="BE25" s="308">
        <f t="shared" si="189"/>
        <v>0.99649651945492546</v>
      </c>
      <c r="BF25" s="308">
        <f t="shared" si="189"/>
        <v>0.99537225808557239</v>
      </c>
      <c r="BG25" s="308">
        <f t="shared" si="189"/>
        <v>0.8458724410688947</v>
      </c>
      <c r="BH25" s="308">
        <f t="shared" si="189"/>
        <v>0.98183671690836694</v>
      </c>
      <c r="BI25" s="308">
        <f t="shared" si="189"/>
        <v>0.73879714491117832</v>
      </c>
      <c r="BJ25" s="308">
        <f t="shared" si="189"/>
        <v>0.96293322836454553</v>
      </c>
      <c r="BK25" s="308">
        <f t="shared" si="189"/>
        <v>0.96362144139966144</v>
      </c>
      <c r="BL25" s="308">
        <f t="shared" si="189"/>
        <v>0.93539041172804249</v>
      </c>
      <c r="BM25" s="308">
        <f t="shared" si="189"/>
        <v>0.73582041301874979</v>
      </c>
      <c r="BN25" s="308">
        <f t="shared" si="189"/>
        <v>0.89743084529978234</v>
      </c>
      <c r="BO25" s="308">
        <f t="shared" si="189"/>
        <v>0.91180559706912645</v>
      </c>
      <c r="BP25" s="308">
        <f t="shared" si="189"/>
        <v>0.97103045840727598</v>
      </c>
      <c r="BQ25" s="308">
        <f t="shared" si="189"/>
        <v>0.98860970432788497</v>
      </c>
      <c r="BR25" s="308">
        <f t="shared" si="189"/>
        <v>0.87883404447593672</v>
      </c>
      <c r="BS25" s="308">
        <f t="shared" si="189"/>
        <v>0.90259482623650311</v>
      </c>
      <c r="BT25" s="308">
        <f t="shared" si="189"/>
        <v>0.93659007338630706</v>
      </c>
      <c r="BU25" s="308">
        <f t="shared" si="189"/>
        <v>0.91342737788466521</v>
      </c>
      <c r="BV25" s="308">
        <f t="shared" si="189"/>
        <v>0.97346848385272766</v>
      </c>
      <c r="BW25" s="308">
        <f t="shared" si="189"/>
        <v>0.97270274601780415</v>
      </c>
      <c r="BX25" s="308">
        <f t="shared" si="189"/>
        <v>0.97157222293910162</v>
      </c>
      <c r="BY25" s="308">
        <f t="shared" si="189"/>
        <v>0.8973616986620766</v>
      </c>
      <c r="BZ25" s="308">
        <f t="shared" si="189"/>
        <v>0.91599447551539881</v>
      </c>
      <c r="CA25" s="308">
        <f t="shared" si="189"/>
        <v>0.97845964215228221</v>
      </c>
      <c r="CB25" s="308">
        <f t="shared" si="189"/>
        <v>0.94346925354262157</v>
      </c>
      <c r="CC25" s="308">
        <f t="shared" si="189"/>
        <v>0.82626726991156363</v>
      </c>
      <c r="CD25" s="308">
        <f t="shared" si="189"/>
        <v>0.94716878378134006</v>
      </c>
      <c r="CE25" s="308">
        <f t="shared" si="189"/>
        <v>0.93469872936552933</v>
      </c>
      <c r="CF25" s="308">
        <f t="shared" si="189"/>
        <v>0.95929455591978174</v>
      </c>
      <c r="CG25" s="308">
        <f t="shared" si="189"/>
        <v>0.95076182359067996</v>
      </c>
      <c r="CH25" s="308">
        <f t="shared" si="189"/>
        <v>0.93167716396571321</v>
      </c>
      <c r="CI25" s="308">
        <f t="shared" si="189"/>
        <v>0.91625045345152722</v>
      </c>
      <c r="CJ25" s="308">
        <f t="shared" si="189"/>
        <v>0.95682021396399841</v>
      </c>
      <c r="CK25" s="308">
        <f t="shared" si="189"/>
        <v>0.93391535490119815</v>
      </c>
      <c r="CL25" s="308">
        <f t="shared" si="189"/>
        <v>0.91309542518822751</v>
      </c>
      <c r="CM25" s="308">
        <f t="shared" si="189"/>
        <v>0.9181664164895178</v>
      </c>
      <c r="CN25" s="308">
        <f t="shared" si="189"/>
        <v>0.95685425566698612</v>
      </c>
      <c r="CO25" s="308">
        <f t="shared" si="189"/>
        <v>0.97359831710964106</v>
      </c>
      <c r="CP25" s="308">
        <f t="shared" si="189"/>
        <v>0.95112996933853566</v>
      </c>
      <c r="CQ25" s="308">
        <f t="shared" si="189"/>
        <v>0.91301352947179282</v>
      </c>
      <c r="CR25" s="308">
        <f t="shared" si="189"/>
        <v>0.98179209339535412</v>
      </c>
      <c r="CS25" s="308">
        <f t="shared" si="189"/>
        <v>0.91651618369938836</v>
      </c>
      <c r="CT25" s="308">
        <f t="shared" si="189"/>
        <v>0.91050926275567223</v>
      </c>
      <c r="CU25" s="308">
        <f t="shared" si="189"/>
        <v>0.95890367468406312</v>
      </c>
      <c r="CV25" s="308">
        <f t="shared" si="189"/>
        <v>0.94856023639664255</v>
      </c>
      <c r="CW25" s="308">
        <f t="shared" si="189"/>
        <v>0.90662634761389105</v>
      </c>
      <c r="CX25" s="308">
        <f t="shared" si="189"/>
        <v>0.9410751335738623</v>
      </c>
      <c r="CY25" s="308">
        <f t="shared" si="189"/>
        <v>0.95254766660517542</v>
      </c>
      <c r="CZ25" s="308">
        <f t="shared" si="189"/>
        <v>0.91565921759837243</v>
      </c>
      <c r="DA25" s="308">
        <f t="shared" si="189"/>
        <v>0.94655275812224404</v>
      </c>
      <c r="DB25" s="308">
        <f t="shared" si="189"/>
        <v>0.95868375250408033</v>
      </c>
      <c r="DC25" s="308">
        <f t="shared" si="189"/>
        <v>0.9364278777586249</v>
      </c>
      <c r="DD25" s="308">
        <f t="shared" si="189"/>
        <v>0.95224479447615817</v>
      </c>
      <c r="DE25" s="308">
        <f t="shared" si="189"/>
        <v>0.901553176856003</v>
      </c>
      <c r="DF25" s="308">
        <f t="shared" si="189"/>
        <v>0.91219949193619376</v>
      </c>
      <c r="DG25" s="308">
        <f t="shared" si="189"/>
        <v>0.95997252894523155</v>
      </c>
      <c r="DH25" s="308">
        <f t="shared" si="189"/>
        <v>0.94989207446084745</v>
      </c>
      <c r="DI25" s="308">
        <f t="shared" si="189"/>
        <v>0.90891055109481433</v>
      </c>
      <c r="DJ25" s="308">
        <f t="shared" si="189"/>
        <v>0.94230884487009159</v>
      </c>
      <c r="DK25" s="308">
        <f t="shared" si="189"/>
        <v>0.95355525246067352</v>
      </c>
      <c r="DL25" s="308">
        <f t="shared" ref="DL25:FB25" si="190">IFERROR(SUM(DL21:DL22)/DL18*12+1,"")</f>
        <v>0.91733665605607584</v>
      </c>
      <c r="DM25" s="308">
        <f t="shared" si="190"/>
        <v>0.94748235208160714</v>
      </c>
      <c r="DN25" s="308">
        <f t="shared" si="190"/>
        <v>0.9593458190802836</v>
      </c>
      <c r="DO25" s="308">
        <f t="shared" si="190"/>
        <v>0.93729337956381709</v>
      </c>
      <c r="DP25" s="308">
        <f t="shared" si="190"/>
        <v>0.95270677764379375</v>
      </c>
      <c r="DQ25" s="308">
        <f t="shared" si="190"/>
        <v>0.90212016334756207</v>
      </c>
      <c r="DR25" s="308">
        <f t="shared" si="190"/>
        <v>0.91217057697493675</v>
      </c>
      <c r="DS25" s="308">
        <f t="shared" si="190"/>
        <v>0.96104138320639998</v>
      </c>
      <c r="DT25" s="308">
        <f t="shared" si="190"/>
        <v>0.95118491345269607</v>
      </c>
      <c r="DU25" s="308">
        <f t="shared" si="190"/>
        <v>0.91108634402562583</v>
      </c>
      <c r="DV25" s="308">
        <f t="shared" si="190"/>
        <v>0.94348404876345482</v>
      </c>
      <c r="DW25" s="308">
        <f t="shared" si="190"/>
        <v>0.95443644327517518</v>
      </c>
      <c r="DX25" s="308">
        <f t="shared" si="190"/>
        <v>0.91869151639965418</v>
      </c>
      <c r="DY25" s="308">
        <f t="shared" si="190"/>
        <v>0.94816788290812148</v>
      </c>
      <c r="DZ25" s="308">
        <f t="shared" si="190"/>
        <v>0.95983521523301407</v>
      </c>
      <c r="EA25" s="308">
        <f t="shared" si="190"/>
        <v>0.93793580162697443</v>
      </c>
      <c r="EB25" s="308">
        <f t="shared" si="190"/>
        <v>0.95305196011231041</v>
      </c>
      <c r="EC25" s="308">
        <f t="shared" si="190"/>
        <v>0.90273201820398841</v>
      </c>
      <c r="ED25" s="308">
        <f t="shared" si="190"/>
        <v>0.91246838625808446</v>
      </c>
      <c r="EE25" s="308">
        <f t="shared" si="190"/>
        <v>0.96211023746756841</v>
      </c>
      <c r="EF25" s="308">
        <f t="shared" si="190"/>
        <v>0.95248635527585768</v>
      </c>
      <c r="EG25" s="308">
        <f t="shared" si="190"/>
        <v>0.91330929449333209</v>
      </c>
      <c r="EH25" s="308">
        <f t="shared" si="190"/>
        <v>0.94472391093744046</v>
      </c>
      <c r="EI25" s="308">
        <f t="shared" si="190"/>
        <v>0.95538057160285472</v>
      </c>
      <c r="EJ25" s="308">
        <f t="shared" si="190"/>
        <v>0.92019135078804837</v>
      </c>
      <c r="EK25" s="308">
        <f t="shared" si="190"/>
        <v>0.94897113294055768</v>
      </c>
      <c r="EL25" s="308">
        <f t="shared" si="190"/>
        <v>0.96042179022393059</v>
      </c>
      <c r="EM25" s="308">
        <f t="shared" si="190"/>
        <v>0.93874309698999348</v>
      </c>
      <c r="EN25" s="308">
        <f t="shared" si="190"/>
        <v>0.95353884181486237</v>
      </c>
      <c r="EO25" s="308">
        <f t="shared" si="190"/>
        <v>0.90364993387069326</v>
      </c>
      <c r="EP25" s="308">
        <f t="shared" si="190"/>
        <v>0.91306956601952871</v>
      </c>
      <c r="EQ25" s="308">
        <f t="shared" si="190"/>
        <v>0.96317909172873684</v>
      </c>
      <c r="ER25" s="308">
        <f t="shared" si="190"/>
        <v>0.95379309124006528</v>
      </c>
      <c r="ES25" s="308">
        <f t="shared" si="190"/>
        <v>0.91556136533369759</v>
      </c>
      <c r="ET25" s="308">
        <f t="shared" si="190"/>
        <v>0.94600364445874119</v>
      </c>
      <c r="EU25" s="308">
        <f t="shared" si="190"/>
        <v>0.95636342947939545</v>
      </c>
      <c r="EV25" s="308">
        <f t="shared" si="190"/>
        <v>0.92178022309102581</v>
      </c>
      <c r="EW25" s="308">
        <f t="shared" si="190"/>
        <v>0.94984634276104263</v>
      </c>
      <c r="EX25" s="308">
        <f t="shared" si="190"/>
        <v>0.96106763867186451</v>
      </c>
      <c r="EY25" s="308">
        <f t="shared" si="190"/>
        <v>0.93965063293302653</v>
      </c>
      <c r="EZ25" s="308">
        <f t="shared" si="190"/>
        <v>0.95411133345945365</v>
      </c>
      <c r="FA25" s="308">
        <f t="shared" si="190"/>
        <v>0.90475224266945098</v>
      </c>
      <c r="FB25" s="308">
        <f t="shared" si="190"/>
        <v>0.9138520310550684</v>
      </c>
    </row>
    <row r="26" spans="1:158" x14ac:dyDescent="0.25">
      <c r="C26" s="289" t="s">
        <v>623</v>
      </c>
      <c r="D26" s="308">
        <f>SUM(D20:D22)/D18+1</f>
        <v>1.2920610342037335</v>
      </c>
      <c r="E26" s="308">
        <f t="shared" ref="E26:G26" si="191">SUM(E20:E22)/E18+1</f>
        <v>1.1584111543648383</v>
      </c>
      <c r="F26" s="308">
        <f t="shared" si="191"/>
        <v>1.2056472531450877</v>
      </c>
      <c r="G26" s="308">
        <f t="shared" si="191"/>
        <v>1.3497467062303468</v>
      </c>
      <c r="H26" s="308">
        <f t="shared" ref="H26" si="192">SUM(H20:H22)/H18+1</f>
        <v>1.2635030666949967</v>
      </c>
      <c r="I26" s="308">
        <f t="shared" ref="I26:L26" si="193">SUM(I20:I22)/I18+1</f>
        <v>1.2398728664174052</v>
      </c>
      <c r="J26" s="308">
        <f t="shared" si="193"/>
        <v>1.2333500270878226</v>
      </c>
      <c r="K26" s="308">
        <f t="shared" si="193"/>
        <v>1.2277327092767292</v>
      </c>
      <c r="L26" s="308">
        <f t="shared" si="193"/>
        <v>1.2218559773440973</v>
      </c>
      <c r="M26" s="244"/>
      <c r="N26" s="413"/>
      <c r="O26" s="413"/>
      <c r="P26" s="413"/>
      <c r="Q26" s="308">
        <f>IFERROR(SUM(N20:Q22)/N18+1,"")</f>
        <v>1.2920610342037335</v>
      </c>
      <c r="R26" s="308">
        <f t="shared" ref="R26" si="194">IFERROR(SUM(O20:R22)/O18+1,"")</f>
        <v>1.2450216287864178</v>
      </c>
      <c r="S26" s="308">
        <f t="shared" ref="S26" si="195">IFERROR(SUM(P20:S22)/P18+1,"")</f>
        <v>1.1737019425838113</v>
      </c>
      <c r="T26" s="308">
        <f t="shared" ref="T26" si="196">IFERROR(SUM(Q20:T22)/Q18+1,"")</f>
        <v>1.1553660954957325</v>
      </c>
      <c r="U26" s="308">
        <f t="shared" ref="U26" si="197">IFERROR(SUM(R20:U22)/R18+1,"")</f>
        <v>1.1584111543648383</v>
      </c>
      <c r="V26" s="308">
        <f t="shared" ref="V26" si="198">IFERROR(SUM(S20:V22)/S18+1,"")</f>
        <v>1.1561724461855969</v>
      </c>
      <c r="W26" s="308">
        <f t="shared" ref="W26" si="199">IFERROR(SUM(T20:W22)/T18+1,"")</f>
        <v>1.180228439544909</v>
      </c>
      <c r="X26" s="308">
        <f t="shared" ref="X26" si="200">IFERROR(SUM(U20:X22)/U18+1,"")</f>
        <v>1.1908933117066316</v>
      </c>
      <c r="Y26" s="308">
        <f t="shared" ref="Y26" si="201">IFERROR(SUM(V20:Y22)/V18+1,"")</f>
        <v>1.2056472531450877</v>
      </c>
      <c r="Z26" s="308">
        <f t="shared" ref="Z26" si="202">IFERROR(SUM(W20:Z22)/W18+1,"")</f>
        <v>1.2271726430889403</v>
      </c>
      <c r="AA26" s="308">
        <f t="shared" ref="AA26" si="203">IFERROR(SUM(X20:AA22)/X18+1,"")</f>
        <v>1.2376288727866711</v>
      </c>
      <c r="AB26" s="308">
        <f t="shared" ref="AB26" si="204">IFERROR(SUM(Y20:AB22)/Y18+1,"")</f>
        <v>1.2962230685844933</v>
      </c>
      <c r="AC26" s="308">
        <f t="shared" ref="AC26" si="205">IFERROR(SUM(Z20:AC22)/Z18+1,"")</f>
        <v>1.349746706230347</v>
      </c>
      <c r="AD26" s="308">
        <f t="shared" ref="AD26" si="206">IFERROR(SUM(AA20:AD22)/AA18+1,"")</f>
        <v>1.3518755055320633</v>
      </c>
      <c r="AE26" s="308">
        <f t="shared" ref="AE26" si="207">IFERROR(SUM(AB20:AE22)/AB18+1,"")</f>
        <v>1.3550372358862988</v>
      </c>
      <c r="AF26" s="308">
        <f t="shared" ref="AF26" si="208">IFERROR(SUM(AC20:AF22)/AC18+1,"")</f>
        <v>1.3107716119646509</v>
      </c>
      <c r="AG26" s="308">
        <f t="shared" ref="AG26" si="209">IFERROR(SUM(AD20:AG22)/AD18+1,"")</f>
        <v>1.2635030666949969</v>
      </c>
      <c r="AH26" s="308">
        <f t="shared" ref="AH26" si="210">IFERROR(SUM(AE20:AH22)/AE18+1,"")</f>
        <v>1.2596128363937236</v>
      </c>
      <c r="AI26" s="308">
        <f t="shared" ref="AI26" si="211">IFERROR(SUM(AF20:AI22)/AF18+1,"")</f>
        <v>1.2578172269626513</v>
      </c>
      <c r="AJ26" s="308">
        <f t="shared" ref="AJ26" si="212">IFERROR(SUM(AG20:AJ22)/AG18+1,"")</f>
        <v>1.2523355312782174</v>
      </c>
      <c r="AK26" s="308">
        <f t="shared" ref="AK26" si="213">IFERROR(SUM(AH20:AK22)/AH18+1,"")</f>
        <v>1.2398728664174052</v>
      </c>
      <c r="AL26" s="308">
        <f t="shared" ref="AL26" si="214">IFERROR(SUM(AI20:AL22)/AI18+1,"")</f>
        <v>1.2379563415439661</v>
      </c>
      <c r="AM26" s="308">
        <f t="shared" ref="AM26" si="215">IFERROR(SUM(AJ20:AM22)/AJ18+1,"")</f>
        <v>1.2363543819570926</v>
      </c>
      <c r="AN26" s="308">
        <f t="shared" ref="AN26" si="216">IFERROR(SUM(AK20:AN22)/AK18+1,"")</f>
        <v>1.2351668056714082</v>
      </c>
      <c r="AO26" s="308">
        <f t="shared" ref="AO26" si="217">IFERROR(SUM(AL20:AO22)/AL18+1,"")</f>
        <v>1.2333500270878224</v>
      </c>
      <c r="AP26" s="308">
        <f t="shared" ref="AP26" si="218">IFERROR(SUM(AM20:AP22)/AM18+1,"")</f>
        <v>1.2317420999898765</v>
      </c>
      <c r="AQ26" s="308">
        <f t="shared" ref="AQ26" si="219">IFERROR(SUM(AN20:AQ22)/AN18+1,"")</f>
        <v>1.2303612706668188</v>
      </c>
      <c r="AR26" s="308">
        <f t="shared" ref="AR26" si="220">IFERROR(SUM(AO20:AR22)/AO18+1,"")</f>
        <v>1.2293212476343922</v>
      </c>
      <c r="AS26" s="308">
        <f t="shared" ref="AS26" si="221">IFERROR(SUM(AP20:AS22)/AP18+1,"")</f>
        <v>1.2277327092767292</v>
      </c>
      <c r="AT26" s="308">
        <f t="shared" ref="AT26" si="222">IFERROR(SUM(AQ20:AT22)/AQ18+1,"")</f>
        <v>1.2261361840853213</v>
      </c>
      <c r="AU26" s="308">
        <f t="shared" ref="AU26" si="223">IFERROR(SUM(AR20:AU22)/AR18+1,"")</f>
        <v>1.2246583064419587</v>
      </c>
      <c r="AV26" s="308">
        <f t="shared" ref="AV26" si="224">IFERROR(SUM(AS20:AV22)/AS18+1,"")</f>
        <v>1.2235199819612661</v>
      </c>
      <c r="AW26" s="308">
        <f t="shared" ref="AW26" si="225">IFERROR(SUM(AT20:AW22)/AT18+1,"")</f>
        <v>1.2218559773440973</v>
      </c>
      <c r="AX26" s="244"/>
      <c r="AY26" s="308">
        <f>IFERROR(SUM(AY20:AY22)/AY18*12+1,"")</f>
        <v>1.096866527235379</v>
      </c>
      <c r="AZ26" s="308">
        <f t="shared" ref="AZ26:DK26" si="226">IFERROR(SUM(AZ20:AZ22)/AZ18*12+1,"")</f>
        <v>1.1028630389868062</v>
      </c>
      <c r="BA26" s="308">
        <f t="shared" si="226"/>
        <v>1.1651857214375101</v>
      </c>
      <c r="BB26" s="308">
        <f t="shared" si="226"/>
        <v>1.0027346485758251</v>
      </c>
      <c r="BC26" s="308">
        <f t="shared" si="226"/>
        <v>1.2734369690148721</v>
      </c>
      <c r="BD26" s="308">
        <f t="shared" si="226"/>
        <v>1.5586644324200329</v>
      </c>
      <c r="BE26" s="308">
        <f t="shared" si="226"/>
        <v>1.0117561236068058</v>
      </c>
      <c r="BF26" s="308">
        <f t="shared" si="226"/>
        <v>1.1358311050980976</v>
      </c>
      <c r="BG26" s="308">
        <f t="shared" si="226"/>
        <v>1.3181741020874771</v>
      </c>
      <c r="BH26" s="308">
        <f t="shared" si="226"/>
        <v>1.0484354215776881</v>
      </c>
      <c r="BI26" s="308">
        <f t="shared" si="226"/>
        <v>1.2459301537723091</v>
      </c>
      <c r="BJ26" s="308">
        <f t="shared" si="226"/>
        <v>1.3615466271251222</v>
      </c>
      <c r="BK26" s="308">
        <f t="shared" si="226"/>
        <v>1.121561227222944</v>
      </c>
      <c r="BL26" s="308">
        <f t="shared" si="226"/>
        <v>1.0338589905077633</v>
      </c>
      <c r="BM26" s="308">
        <f t="shared" si="226"/>
        <v>1.0609936953477623</v>
      </c>
      <c r="BN26" s="308">
        <f t="shared" si="226"/>
        <v>0.9218483296383867</v>
      </c>
      <c r="BO26" s="308">
        <f t="shared" si="226"/>
        <v>1.1299348674356566</v>
      </c>
      <c r="BP26" s="308">
        <f t="shared" si="226"/>
        <v>1.2434011790622179</v>
      </c>
      <c r="BQ26" s="308">
        <f t="shared" si="226"/>
        <v>1.0665368122920145</v>
      </c>
      <c r="BR26" s="308">
        <f t="shared" si="226"/>
        <v>0.97319527788012605</v>
      </c>
      <c r="BS26" s="308">
        <f t="shared" si="226"/>
        <v>1.2624501818845284</v>
      </c>
      <c r="BT26" s="308">
        <f t="shared" si="226"/>
        <v>1.0156072759479142</v>
      </c>
      <c r="BU26" s="308">
        <f t="shared" si="226"/>
        <v>1.2609771236398555</v>
      </c>
      <c r="BV26" s="308">
        <f t="shared" si="226"/>
        <v>1.3048625062646324</v>
      </c>
      <c r="BW26" s="308">
        <f t="shared" si="226"/>
        <v>1.0821166687002075</v>
      </c>
      <c r="BX26" s="308">
        <f t="shared" si="226"/>
        <v>0.99991202704164661</v>
      </c>
      <c r="BY26" s="308">
        <f t="shared" si="226"/>
        <v>1.1698882292362913</v>
      </c>
      <c r="BZ26" s="308">
        <f t="shared" si="226"/>
        <v>1.0193348444750983</v>
      </c>
      <c r="CA26" s="308">
        <f t="shared" si="226"/>
        <v>1.1963510153658541</v>
      </c>
      <c r="CB26" s="308">
        <f t="shared" si="226"/>
        <v>1.2795802975962771</v>
      </c>
      <c r="CC26" s="308">
        <f t="shared" si="226"/>
        <v>0.94217972584329157</v>
      </c>
      <c r="CD26" s="308">
        <f t="shared" si="226"/>
        <v>1.1869644340171088</v>
      </c>
      <c r="CE26" s="308">
        <f t="shared" si="226"/>
        <v>1.3333470785960926</v>
      </c>
      <c r="CF26" s="308">
        <f t="shared" si="226"/>
        <v>1.131425655054958</v>
      </c>
      <c r="CG26" s="308">
        <f t="shared" si="226"/>
        <v>1.2092118230482056</v>
      </c>
      <c r="CH26" s="308">
        <f t="shared" si="226"/>
        <v>1.4065503565837574</v>
      </c>
      <c r="CI26" s="308">
        <f t="shared" si="226"/>
        <v>0.97456475856937641</v>
      </c>
      <c r="CJ26" s="308">
        <f t="shared" si="226"/>
        <v>1.1586121002309704</v>
      </c>
      <c r="CK26" s="308">
        <f t="shared" si="226"/>
        <v>1.3761141492529663</v>
      </c>
      <c r="CL26" s="308">
        <f t="shared" si="226"/>
        <v>1.1417750682124268</v>
      </c>
      <c r="CM26" s="308">
        <f t="shared" si="226"/>
        <v>1.2329334189098582</v>
      </c>
      <c r="CN26" s="308">
        <f t="shared" si="226"/>
        <v>1.2504038973862706</v>
      </c>
      <c r="CO26" s="308">
        <f t="shared" si="226"/>
        <v>1.1460257278387818</v>
      </c>
      <c r="CP26" s="308">
        <f t="shared" si="226"/>
        <v>1.3438047085855107</v>
      </c>
      <c r="CQ26" s="308">
        <f t="shared" si="226"/>
        <v>1.4437580866873163</v>
      </c>
      <c r="CR26" s="308">
        <f t="shared" si="226"/>
        <v>1.1287397798883687</v>
      </c>
      <c r="CS26" s="308">
        <f t="shared" si="226"/>
        <v>1.4920682408422696</v>
      </c>
      <c r="CT26" s="308">
        <f t="shared" si="226"/>
        <v>1.5752590580168935</v>
      </c>
      <c r="CU26" s="308">
        <f t="shared" si="226"/>
        <v>1.0544646711120107</v>
      </c>
      <c r="CV26" s="308">
        <f t="shared" si="226"/>
        <v>1.1564090598781029</v>
      </c>
      <c r="CW26" s="308">
        <f t="shared" si="226"/>
        <v>1.3091978019637813</v>
      </c>
      <c r="CX26" s="308">
        <f t="shared" si="226"/>
        <v>1.0942709414285814</v>
      </c>
      <c r="CY26" s="308">
        <f t="shared" si="226"/>
        <v>1.2478972376142698</v>
      </c>
      <c r="CZ26" s="308">
        <f t="shared" si="226"/>
        <v>1.3218990029492017</v>
      </c>
      <c r="DA26" s="308">
        <f t="shared" si="226"/>
        <v>1.0788477662965616</v>
      </c>
      <c r="DB26" s="308">
        <f t="shared" si="226"/>
        <v>1.1911461002869215</v>
      </c>
      <c r="DC26" s="308">
        <f t="shared" si="226"/>
        <v>1.3331199330116279</v>
      </c>
      <c r="DD26" s="308">
        <f t="shared" si="226"/>
        <v>1.1141133500884501</v>
      </c>
      <c r="DE26" s="308">
        <f t="shared" si="226"/>
        <v>1.3250517546030505</v>
      </c>
      <c r="DF26" s="308">
        <f t="shared" si="226"/>
        <v>1.3739304806388795</v>
      </c>
      <c r="DG26" s="308">
        <f t="shared" si="226"/>
        <v>1.0551373903583809</v>
      </c>
      <c r="DH26" s="308">
        <f t="shared" si="226"/>
        <v>1.1488437269230294</v>
      </c>
      <c r="DI26" s="308">
        <f t="shared" si="226"/>
        <v>1.2883305458987533</v>
      </c>
      <c r="DJ26" s="308">
        <f t="shared" si="226"/>
        <v>1.0986513060661056</v>
      </c>
      <c r="DK26" s="308">
        <f t="shared" si="226"/>
        <v>1.2417074962128338</v>
      </c>
      <c r="DL26" s="308">
        <f t="shared" ref="DL26:FB26" si="227">IFERROR(SUM(DL20:DL22)/DL18*12+1,"")</f>
        <v>1.3085554595559614</v>
      </c>
      <c r="DM26" s="308">
        <f t="shared" si="227"/>
        <v>1.070898467218353</v>
      </c>
      <c r="DN26" s="308">
        <f t="shared" si="227"/>
        <v>1.1765086079504001</v>
      </c>
      <c r="DO26" s="308">
        <f t="shared" si="227"/>
        <v>1.3087846676675401</v>
      </c>
      <c r="DP26" s="308">
        <f t="shared" si="227"/>
        <v>1.0881815782903048</v>
      </c>
      <c r="DQ26" s="308">
        <f t="shared" si="227"/>
        <v>1.2854126247643349</v>
      </c>
      <c r="DR26" s="308">
        <f t="shared" si="227"/>
        <v>1.3349584658817766</v>
      </c>
      <c r="DS26" s="308">
        <f t="shared" si="227"/>
        <v>1.0536295287867876</v>
      </c>
      <c r="DT26" s="308">
        <f t="shared" si="227"/>
        <v>1.1449290555405929</v>
      </c>
      <c r="DU26" s="308">
        <f t="shared" si="227"/>
        <v>1.2813013317119464</v>
      </c>
      <c r="DV26" s="308">
        <f t="shared" si="227"/>
        <v>1.0965829736249433</v>
      </c>
      <c r="DW26" s="308">
        <f t="shared" si="227"/>
        <v>1.2370131807561073</v>
      </c>
      <c r="DX26" s="308">
        <f t="shared" si="227"/>
        <v>1.3033506081907249</v>
      </c>
      <c r="DY26" s="308">
        <f t="shared" si="227"/>
        <v>1.0699262855190015</v>
      </c>
      <c r="DZ26" s="308">
        <f t="shared" si="227"/>
        <v>1.1743014998888543</v>
      </c>
      <c r="EA26" s="308">
        <f t="shared" si="227"/>
        <v>1.3054801745658433</v>
      </c>
      <c r="EB26" s="308">
        <f t="shared" si="227"/>
        <v>1.0874863773699164</v>
      </c>
      <c r="EC26" s="308">
        <f t="shared" si="227"/>
        <v>1.2834823899234107</v>
      </c>
      <c r="ED26" s="308">
        <f t="shared" si="227"/>
        <v>1.3336610838333898</v>
      </c>
      <c r="EE26" s="308">
        <f t="shared" si="227"/>
        <v>1.0523954341540476</v>
      </c>
      <c r="EF26" s="308">
        <f t="shared" si="227"/>
        <v>1.1415620352912259</v>
      </c>
      <c r="EG26" s="308">
        <f t="shared" si="227"/>
        <v>1.2752195369127668</v>
      </c>
      <c r="EH26" s="308">
        <f t="shared" si="227"/>
        <v>1.094858657557787</v>
      </c>
      <c r="EI26" s="308">
        <f t="shared" si="227"/>
        <v>1.2328311274766817</v>
      </c>
      <c r="EJ26" s="308">
        <f t="shared" si="227"/>
        <v>1.2987497695491181</v>
      </c>
      <c r="EK26" s="308">
        <f t="shared" si="227"/>
        <v>1.0691584743000726</v>
      </c>
      <c r="EL26" s="308">
        <f t="shared" si="227"/>
        <v>1.1723128038992534</v>
      </c>
      <c r="EM26" s="308">
        <f t="shared" si="227"/>
        <v>1.3024625022721508</v>
      </c>
      <c r="EN26" s="308">
        <f t="shared" si="227"/>
        <v>1.086929631639769</v>
      </c>
      <c r="EO26" s="308">
        <f t="shared" si="227"/>
        <v>1.2818009367824457</v>
      </c>
      <c r="EP26" s="308">
        <f t="shared" si="227"/>
        <v>1.33247162074591</v>
      </c>
      <c r="EQ26" s="308">
        <f t="shared" si="227"/>
        <v>1.0510829106728496</v>
      </c>
      <c r="ER26" s="308">
        <f t="shared" si="227"/>
        <v>1.1380156547014439</v>
      </c>
      <c r="ES26" s="308">
        <f t="shared" si="227"/>
        <v>1.2687348742330782</v>
      </c>
      <c r="ET26" s="308">
        <f t="shared" si="227"/>
        <v>1.092939212666034</v>
      </c>
      <c r="EU26" s="308">
        <f t="shared" si="227"/>
        <v>1.2282143382210799</v>
      </c>
      <c r="EV26" s="308">
        <f t="shared" si="227"/>
        <v>1.2935020839333287</v>
      </c>
      <c r="EW26" s="308">
        <f t="shared" si="227"/>
        <v>1.0681951787010466</v>
      </c>
      <c r="EX26" s="308">
        <f t="shared" si="227"/>
        <v>1.1698941912250571</v>
      </c>
      <c r="EY26" s="308">
        <f t="shared" si="227"/>
        <v>1.2986574842105898</v>
      </c>
      <c r="EZ26" s="308">
        <f t="shared" si="227"/>
        <v>1.0861070479732218</v>
      </c>
      <c r="FA26" s="308">
        <f t="shared" si="227"/>
        <v>1.2792822155963648</v>
      </c>
      <c r="FB26" s="308">
        <f t="shared" si="227"/>
        <v>1.3302631619181711</v>
      </c>
    </row>
    <row r="27" spans="1:158" x14ac:dyDescent="0.25">
      <c r="D27" s="244"/>
      <c r="E27" s="244"/>
      <c r="F27" s="244"/>
      <c r="G27" s="244"/>
      <c r="H27" s="244"/>
      <c r="I27" s="244"/>
      <c r="J27" s="244"/>
      <c r="K27" s="244"/>
      <c r="L27" s="244"/>
      <c r="M27" s="244"/>
      <c r="N27" s="244"/>
      <c r="O27" s="244"/>
      <c r="P27" s="244"/>
      <c r="Q27" s="244"/>
      <c r="R27" s="244"/>
      <c r="S27" s="244"/>
      <c r="T27" s="244"/>
      <c r="U27" s="244"/>
      <c r="V27" s="244"/>
      <c r="W27" s="244"/>
      <c r="X27" s="244"/>
      <c r="Y27" s="244"/>
      <c r="Z27" s="244"/>
      <c r="AA27" s="244"/>
      <c r="AB27" s="244"/>
      <c r="AC27" s="244"/>
      <c r="AD27" s="244"/>
      <c r="AE27" s="244"/>
      <c r="AF27" s="244"/>
      <c r="AG27" s="244"/>
      <c r="AH27" s="244"/>
      <c r="AI27" s="244"/>
      <c r="AJ27" s="244"/>
      <c r="AK27" s="244"/>
      <c r="AL27" s="244"/>
      <c r="AM27" s="244"/>
      <c r="AN27" s="244"/>
      <c r="AO27" s="244"/>
      <c r="AP27" s="244"/>
      <c r="AQ27" s="244"/>
      <c r="AR27" s="244"/>
      <c r="AS27" s="244"/>
      <c r="AT27" s="244"/>
      <c r="AU27" s="244"/>
      <c r="AV27" s="244"/>
      <c r="AW27" s="244"/>
      <c r="AX27" s="244"/>
      <c r="AY27" s="244"/>
      <c r="AZ27" s="244"/>
      <c r="BA27" s="244"/>
      <c r="BB27" s="244"/>
      <c r="BC27" s="244"/>
      <c r="BD27" s="244"/>
      <c r="BE27" s="244"/>
      <c r="BF27" s="244"/>
      <c r="BG27" s="244"/>
      <c r="BH27" s="244"/>
      <c r="BI27" s="244"/>
      <c r="BJ27" s="244"/>
      <c r="BK27" s="244"/>
      <c r="BL27" s="244"/>
      <c r="BM27" s="244"/>
      <c r="BN27" s="244"/>
      <c r="BO27" s="244"/>
      <c r="BP27" s="244"/>
      <c r="BQ27" s="244"/>
      <c r="BR27" s="244"/>
      <c r="BS27" s="244"/>
      <c r="BT27" s="244"/>
      <c r="BU27" s="244"/>
      <c r="BV27" s="244"/>
      <c r="BW27" s="244"/>
      <c r="BX27" s="244"/>
      <c r="BY27" s="244"/>
      <c r="BZ27" s="244"/>
      <c r="CA27" s="244"/>
      <c r="CB27" s="244"/>
      <c r="CC27" s="244"/>
      <c r="CD27" s="244"/>
      <c r="CE27" s="244"/>
      <c r="CF27" s="244"/>
      <c r="CG27" s="244"/>
      <c r="CH27" s="244"/>
      <c r="CI27" s="99"/>
      <c r="CJ27" s="99"/>
      <c r="CK27" s="99"/>
      <c r="CL27" s="99"/>
      <c r="CM27" s="99"/>
      <c r="CN27" s="99"/>
      <c r="CO27" s="99"/>
      <c r="CP27" s="99"/>
      <c r="CQ27" s="99"/>
      <c r="CR27" s="99"/>
      <c r="CS27" s="99"/>
      <c r="CT27" s="99"/>
    </row>
    <row r="28" spans="1:158" x14ac:dyDescent="0.25">
      <c r="C28" s="1" t="s">
        <v>313</v>
      </c>
      <c r="D28" s="244"/>
      <c r="E28" s="244"/>
      <c r="F28" s="244"/>
      <c r="G28" s="244"/>
      <c r="H28" s="244"/>
      <c r="I28" s="244"/>
      <c r="J28" s="244"/>
      <c r="K28" s="244"/>
      <c r="L28" s="244"/>
      <c r="M28" s="244"/>
      <c r="N28" s="244"/>
      <c r="O28" s="244"/>
      <c r="P28" s="244"/>
      <c r="Q28" s="244"/>
      <c r="R28" s="244"/>
      <c r="S28" s="244"/>
      <c r="T28" s="244"/>
      <c r="U28" s="244"/>
      <c r="V28" s="244"/>
      <c r="W28" s="244"/>
      <c r="X28" s="244"/>
      <c r="Y28" s="244"/>
      <c r="Z28" s="244"/>
      <c r="AA28" s="244"/>
      <c r="AB28" s="244"/>
      <c r="AC28" s="244"/>
      <c r="AD28" s="244"/>
      <c r="AE28" s="244"/>
      <c r="AF28" s="244"/>
      <c r="AG28" s="244"/>
      <c r="AH28" s="244"/>
      <c r="AI28" s="244"/>
      <c r="AJ28" s="244"/>
      <c r="AK28" s="244"/>
      <c r="AL28" s="244"/>
      <c r="AM28" s="244"/>
      <c r="AN28" s="244"/>
      <c r="AO28" s="244"/>
      <c r="AP28" s="244"/>
      <c r="AQ28" s="244"/>
      <c r="AR28" s="244"/>
      <c r="AS28" s="244"/>
      <c r="AT28" s="244"/>
      <c r="AU28" s="244"/>
      <c r="AV28" s="244"/>
      <c r="AW28" s="244"/>
      <c r="AX28" s="244"/>
      <c r="AY28" s="244"/>
      <c r="AZ28" s="244"/>
      <c r="BA28" s="244"/>
      <c r="BB28" s="244"/>
      <c r="BC28" s="244"/>
      <c r="BD28" s="244"/>
      <c r="BE28" s="244"/>
      <c r="BF28" s="244"/>
      <c r="BG28" s="244"/>
      <c r="BH28" s="244"/>
      <c r="BI28" s="244"/>
      <c r="BJ28" s="244"/>
      <c r="BK28" s="244"/>
      <c r="BL28" s="244"/>
      <c r="BM28" s="244"/>
      <c r="BN28" s="244"/>
      <c r="BO28" s="244"/>
      <c r="BP28" s="244"/>
      <c r="BQ28" s="244"/>
      <c r="BR28" s="244"/>
      <c r="BS28" s="244"/>
      <c r="BT28" s="244"/>
      <c r="BU28" s="244"/>
      <c r="BV28" s="244"/>
      <c r="BW28" s="244"/>
      <c r="BX28" s="244"/>
      <c r="BY28" s="244"/>
      <c r="BZ28" s="244"/>
      <c r="CA28" s="244"/>
      <c r="CB28" s="244"/>
      <c r="CC28" s="244"/>
      <c r="CD28" s="244"/>
      <c r="CE28" s="244"/>
      <c r="CF28" s="244"/>
      <c r="CG28" s="244"/>
      <c r="CH28" s="244"/>
      <c r="CI28" s="99"/>
      <c r="CJ28" s="99"/>
      <c r="CK28" s="99"/>
      <c r="CL28" s="99"/>
      <c r="CM28" s="99"/>
      <c r="CN28" s="99"/>
      <c r="CO28" s="99"/>
      <c r="CP28" s="99"/>
      <c r="CQ28" s="99"/>
      <c r="CR28" s="99"/>
      <c r="CS28" s="99"/>
      <c r="CT28" s="99"/>
    </row>
    <row r="29" spans="1:158" x14ac:dyDescent="0.25">
      <c r="A29" s="292" t="s">
        <v>609</v>
      </c>
      <c r="C29" s="2" t="s">
        <v>18</v>
      </c>
      <c r="D29" s="30">
        <f>AY29</f>
        <v>4609482.6899999948</v>
      </c>
      <c r="E29" s="30">
        <f>BK29</f>
        <v>10865249.159999995</v>
      </c>
      <c r="F29" s="30">
        <f>BW29</f>
        <v>19631243.769999996</v>
      </c>
      <c r="G29" s="30">
        <f>CI29</f>
        <v>28090543.643297002</v>
      </c>
      <c r="H29" s="68">
        <f>G34</f>
        <v>49098122.933179937</v>
      </c>
      <c r="I29" s="68">
        <f>H34</f>
        <v>80902480.959456056</v>
      </c>
      <c r="J29" s="68">
        <f>I34</f>
        <v>132701050.62038198</v>
      </c>
      <c r="K29" s="68">
        <f t="shared" ref="K29" si="228">J34</f>
        <v>214796238.54559654</v>
      </c>
      <c r="L29" s="68">
        <f t="shared" ref="L29" si="229">K34</f>
        <v>341635847.70133883</v>
      </c>
      <c r="M29" s="292"/>
      <c r="N29" s="30">
        <f>AY29</f>
        <v>4609482.6899999948</v>
      </c>
      <c r="O29" s="30">
        <f>BB29</f>
        <v>5686425.1899999948</v>
      </c>
      <c r="P29" s="30">
        <f>BE29</f>
        <v>6943994.1599999946</v>
      </c>
      <c r="Q29" s="30">
        <f>BH29</f>
        <v>8294377.6599999946</v>
      </c>
      <c r="R29" s="30">
        <f>BK29</f>
        <v>10865249.159999995</v>
      </c>
      <c r="S29" s="30">
        <f>BN29</f>
        <v>12445981.389999995</v>
      </c>
      <c r="T29" s="30">
        <f>BQ29</f>
        <v>15558122.719999995</v>
      </c>
      <c r="U29" s="30">
        <f>BT29</f>
        <v>17072812.309999995</v>
      </c>
      <c r="V29" s="30">
        <f>BW29</f>
        <v>19631243.769999996</v>
      </c>
      <c r="W29" s="30">
        <f>BZ29</f>
        <v>21040021.579999998</v>
      </c>
      <c r="X29" s="30">
        <f>CC29</f>
        <v>22871812.979231</v>
      </c>
      <c r="Y29" s="30">
        <f>CF29</f>
        <v>25843471.309231002</v>
      </c>
      <c r="Z29" s="30">
        <f>CI29</f>
        <v>28090543.643297002</v>
      </c>
      <c r="AA29" s="30">
        <f>CL29</f>
        <v>30458286.163297005</v>
      </c>
      <c r="AB29" s="30">
        <f>CO29</f>
        <v>35584449.678591006</v>
      </c>
      <c r="AC29" s="30">
        <f>CR29</f>
        <v>41600461.322165601</v>
      </c>
      <c r="AD29" s="30">
        <f>CU29</f>
        <v>49098122.933179945</v>
      </c>
      <c r="AE29" s="30">
        <f>CX29</f>
        <v>54667316.447311237</v>
      </c>
      <c r="AF29" s="30">
        <f>DA29</f>
        <v>62163773.472850062</v>
      </c>
      <c r="AG29" s="30">
        <f>DD29</f>
        <v>69587545.307203338</v>
      </c>
      <c r="AH29" s="30">
        <f>DG29</f>
        <v>80902480.959456101</v>
      </c>
      <c r="AI29" s="30">
        <f>DJ29</f>
        <v>90271636.252222255</v>
      </c>
      <c r="AJ29" s="30">
        <f>DM29</f>
        <v>103142067.16063702</v>
      </c>
      <c r="AK29" s="30">
        <f>DP29</f>
        <v>115232068.32400943</v>
      </c>
      <c r="AL29" s="30">
        <f>DS29</f>
        <v>132701050.62038209</v>
      </c>
      <c r="AM29" s="30">
        <f>DV29</f>
        <v>147548967.54255262</v>
      </c>
      <c r="AN29" s="30">
        <f>DY29</f>
        <v>167948022.80804917</v>
      </c>
      <c r="AO29" s="30">
        <f>EB29</f>
        <v>187110385.35322067</v>
      </c>
      <c r="AP29" s="30">
        <f>EE29</f>
        <v>214796238.54559666</v>
      </c>
      <c r="AQ29" s="30">
        <f>EH29</f>
        <v>237732615.79323491</v>
      </c>
      <c r="AR29" s="30">
        <f>EK29</f>
        <v>269252551.52859926</v>
      </c>
      <c r="AS29" s="30">
        <f>EN29</f>
        <v>298862466.32881111</v>
      </c>
      <c r="AT29" s="30">
        <f>EQ29</f>
        <v>341635847.70133901</v>
      </c>
      <c r="AU29" s="30">
        <f>ET29</f>
        <v>376212252.34287906</v>
      </c>
      <c r="AV29" s="30">
        <f>EW29</f>
        <v>423745084.96243131</v>
      </c>
      <c r="AW29" s="30">
        <f>EZ29</f>
        <v>468399304.08153641</v>
      </c>
      <c r="AX29" s="244"/>
      <c r="AY29" s="244">
        <f t="shared" ref="AY29" si="230">AY34-SUM(AY30:AY33)</f>
        <v>4609482.6899999948</v>
      </c>
      <c r="AZ29" s="244">
        <f t="shared" ref="AZ29" si="231">AZ34-SUM(AZ30:AZ33)</f>
        <v>4617282.6899999948</v>
      </c>
      <c r="BA29" s="244">
        <f t="shared" ref="BA29" si="232">BA34-SUM(BA30:BA33)</f>
        <v>4939098.5199999949</v>
      </c>
      <c r="BB29" s="244">
        <f t="shared" ref="BB29" si="233">BB34-SUM(BB30:BB33)</f>
        <v>5686425.1899999948</v>
      </c>
      <c r="BC29" s="244">
        <f t="shared" ref="BC29" si="234">BC34-SUM(BC30:BC33)</f>
        <v>5959490.1899999948</v>
      </c>
      <c r="BD29" s="244">
        <f t="shared" ref="BD29" si="235">BD34-SUM(BD30:BD33)</f>
        <v>6514207.1599999946</v>
      </c>
      <c r="BE29" s="244">
        <f t="shared" ref="BE29" si="236">BE34-SUM(BE30:BE33)</f>
        <v>6943994.1599999946</v>
      </c>
      <c r="BF29" s="244">
        <f t="shared" ref="BF29" si="237">BF34-SUM(BF30:BF33)</f>
        <v>7267144.1599999946</v>
      </c>
      <c r="BG29" s="244">
        <f t="shared" ref="BG29" si="238">BG34-SUM(BG30:BG33)</f>
        <v>7482226.6599999946</v>
      </c>
      <c r="BH29" s="244">
        <f t="shared" ref="BH29" si="239">BH34-SUM(BH30:BH33)</f>
        <v>8294377.6599999946</v>
      </c>
      <c r="BI29" s="244">
        <f t="shared" ref="BI29" si="240">BI34-SUM(BI30:BI33)</f>
        <v>8606963.1599999946</v>
      </c>
      <c r="BJ29" s="244">
        <f t="shared" ref="BJ29" si="241">BJ34-SUM(BJ30:BJ33)</f>
        <v>9926369.1599999946</v>
      </c>
      <c r="BK29" s="244">
        <f t="shared" ref="BK29" si="242">BK34-SUM(BK30:BK33)</f>
        <v>10865249.159999995</v>
      </c>
      <c r="BL29" s="244">
        <f t="shared" ref="BL29" si="243">BL34-SUM(BL30:BL33)</f>
        <v>11008399.159999995</v>
      </c>
      <c r="BM29" s="244">
        <f t="shared" ref="BM29" si="244">BM34-SUM(BM30:BM33)</f>
        <v>11455280.159999995</v>
      </c>
      <c r="BN29" s="244">
        <f t="shared" ref="BN29" si="245">BN34-SUM(BN30:BN33)</f>
        <v>12445981.389999995</v>
      </c>
      <c r="BO29" s="244">
        <f t="shared" ref="BO29" si="246">BO34-SUM(BO30:BO33)</f>
        <v>12832526.619999995</v>
      </c>
      <c r="BP29" s="244">
        <f t="shared" ref="BP29" si="247">BP34-SUM(BP30:BP33)</f>
        <v>14533524.479999995</v>
      </c>
      <c r="BQ29" s="244">
        <f t="shared" ref="BQ29" si="248">BQ34-SUM(BQ30:BQ33)</f>
        <v>15558122.719999995</v>
      </c>
      <c r="BR29" s="244">
        <f t="shared" ref="BR29" si="249">BR34-SUM(BR30:BR33)</f>
        <v>16054122.949999996</v>
      </c>
      <c r="BS29" s="244">
        <f t="shared" ref="BS29" si="250">BS34-SUM(BS30:BS33)</f>
        <v>16245183.949999996</v>
      </c>
      <c r="BT29" s="244">
        <f t="shared" ref="BT29" si="251">BT34-SUM(BT30:BT33)</f>
        <v>17072812.309999995</v>
      </c>
      <c r="BU29" s="244">
        <f t="shared" ref="BU29" si="252">BU34-SUM(BU30:BU33)</f>
        <v>17127012.309999995</v>
      </c>
      <c r="BV29" s="244">
        <f t="shared" ref="BV29" si="253">BV34-SUM(BV30:BV33)</f>
        <v>18041744.309999995</v>
      </c>
      <c r="BW29" s="244">
        <f t="shared" ref="BW29" si="254">BW34-SUM(BW30:BW33)</f>
        <v>19631243.769999996</v>
      </c>
      <c r="BX29" s="244">
        <f t="shared" ref="BX29" si="255">BX34-SUM(BX30:BX33)</f>
        <v>20115018.409999996</v>
      </c>
      <c r="BY29" s="244">
        <f t="shared" ref="BY29" si="256">BY34-SUM(BY30:BY33)</f>
        <v>20717725.409999996</v>
      </c>
      <c r="BZ29" s="244">
        <f t="shared" ref="BZ29" si="257">BZ34-SUM(BZ30:BZ33)</f>
        <v>21040021.579999998</v>
      </c>
      <c r="CA29" s="244">
        <f t="shared" ref="CA29" si="258">CA34-SUM(CA30:CA33)</f>
        <v>21575744.59</v>
      </c>
      <c r="CB29" s="244">
        <f t="shared" ref="CB29" si="259">CB34-SUM(CB30:CB33)</f>
        <v>21654769.419231001</v>
      </c>
      <c r="CC29" s="244">
        <f t="shared" ref="CC29" si="260">CC34-SUM(CC30:CC33)</f>
        <v>22871812.979231</v>
      </c>
      <c r="CD29" s="244">
        <f t="shared" ref="CD29" si="261">CD34-SUM(CD30:CD33)</f>
        <v>22937247.909231</v>
      </c>
      <c r="CE29" s="244">
        <f t="shared" ref="CE29" si="262">CE34-SUM(CE30:CE33)</f>
        <v>24426456.399231002</v>
      </c>
      <c r="CF29" s="244">
        <f t="shared" ref="CF29" si="263">CF34-SUM(CF30:CF33)</f>
        <v>25843471.309231002</v>
      </c>
      <c r="CG29" s="244">
        <f t="shared" ref="CG29" si="264">CG34-SUM(CG30:CG33)</f>
        <v>26160902.249011002</v>
      </c>
      <c r="CH29" s="244">
        <f>CH34-SUM(CH30:CH33)</f>
        <v>26939608.743297003</v>
      </c>
      <c r="CI29" s="50">
        <f>CH34</f>
        <v>28090543.643297002</v>
      </c>
      <c r="CJ29" s="50">
        <f t="shared" ref="CJ29:CT29" si="265">CI34</f>
        <v>28619658.653297003</v>
      </c>
      <c r="CK29" s="50">
        <f t="shared" si="265"/>
        <v>28816822.573297005</v>
      </c>
      <c r="CL29" s="50">
        <f t="shared" si="265"/>
        <v>30458286.163297005</v>
      </c>
      <c r="CM29" s="50">
        <f t="shared" si="265"/>
        <v>31194481.953297004</v>
      </c>
      <c r="CN29" s="50">
        <f t="shared" si="265"/>
        <v>32385719.258591004</v>
      </c>
      <c r="CO29" s="50">
        <f t="shared" si="265"/>
        <v>35584449.678591006</v>
      </c>
      <c r="CP29" s="50">
        <f t="shared" si="265"/>
        <v>36489115.671492666</v>
      </c>
      <c r="CQ29" s="50">
        <f t="shared" si="265"/>
        <v>38602144.282325298</v>
      </c>
      <c r="CR29" s="50">
        <f t="shared" si="265"/>
        <v>41600461.322165601</v>
      </c>
      <c r="CS29" s="50">
        <f t="shared" si="265"/>
        <v>42335836.931085579</v>
      </c>
      <c r="CT29" s="50">
        <f t="shared" si="265"/>
        <v>45309046.94377701</v>
      </c>
      <c r="CU29" s="20">
        <f>CT34</f>
        <v>49098122.933179945</v>
      </c>
      <c r="CV29" s="20">
        <f t="shared" ref="CV29:FB29" si="266">CU34</f>
        <v>49798566.910612375</v>
      </c>
      <c r="CW29" s="20">
        <f t="shared" si="266"/>
        <v>51423675.709855035</v>
      </c>
      <c r="CX29" s="20">
        <f t="shared" si="266"/>
        <v>54667316.447311237</v>
      </c>
      <c r="CY29" s="20">
        <f t="shared" si="266"/>
        <v>55907317.123556599</v>
      </c>
      <c r="CZ29" s="20">
        <f t="shared" si="266"/>
        <v>58503211.214234047</v>
      </c>
      <c r="DA29" s="20">
        <f t="shared" si="266"/>
        <v>62163773.472850062</v>
      </c>
      <c r="DB29" s="20">
        <f t="shared" si="266"/>
        <v>63347528.637980618</v>
      </c>
      <c r="DC29" s="20">
        <f t="shared" si="266"/>
        <v>65602735.946551651</v>
      </c>
      <c r="DD29" s="20">
        <f t="shared" si="266"/>
        <v>69587545.307203338</v>
      </c>
      <c r="DE29" s="20">
        <f t="shared" si="266"/>
        <v>71233670.058963597</v>
      </c>
      <c r="DF29" s="20">
        <f t="shared" si="266"/>
        <v>75705029.859626248</v>
      </c>
      <c r="DG29" s="20">
        <f t="shared" si="266"/>
        <v>80902480.959456101</v>
      </c>
      <c r="DH29" s="20">
        <f t="shared" si="266"/>
        <v>82143353.032328248</v>
      </c>
      <c r="DI29" s="20">
        <f t="shared" si="266"/>
        <v>84889518.648467451</v>
      </c>
      <c r="DJ29" s="20">
        <f t="shared" si="266"/>
        <v>90271636.252222255</v>
      </c>
      <c r="DK29" s="20">
        <f t="shared" si="266"/>
        <v>92512831.926995322</v>
      </c>
      <c r="DL29" s="20">
        <f t="shared" si="266"/>
        <v>96960169.15582867</v>
      </c>
      <c r="DM29" s="20">
        <f t="shared" si="266"/>
        <v>103142067.16063702</v>
      </c>
      <c r="DN29" s="20">
        <f t="shared" si="266"/>
        <v>105071288.29701543</v>
      </c>
      <c r="DO29" s="20">
        <f t="shared" si="266"/>
        <v>108743641.25369404</v>
      </c>
      <c r="DP29" s="20">
        <f t="shared" si="266"/>
        <v>115232068.32400943</v>
      </c>
      <c r="DQ29" s="20">
        <f t="shared" si="266"/>
        <v>117594051.20971507</v>
      </c>
      <c r="DR29" s="20">
        <f t="shared" si="266"/>
        <v>124556888.01750888</v>
      </c>
      <c r="DS29" s="20">
        <f t="shared" si="266"/>
        <v>132701050.62038209</v>
      </c>
      <c r="DT29" s="20">
        <f t="shared" si="266"/>
        <v>134666714.73970696</v>
      </c>
      <c r="DU29" s="20">
        <f t="shared" si="266"/>
        <v>139018934.72779685</v>
      </c>
      <c r="DV29" s="20">
        <f t="shared" si="266"/>
        <v>147548967.54255262</v>
      </c>
      <c r="DW29" s="20">
        <f t="shared" si="266"/>
        <v>151099764.34517014</v>
      </c>
      <c r="DX29" s="20">
        <f t="shared" si="266"/>
        <v>158149700.22798324</v>
      </c>
      <c r="DY29" s="20">
        <f t="shared" si="266"/>
        <v>167948022.80804917</v>
      </c>
      <c r="DZ29" s="20">
        <f t="shared" si="266"/>
        <v>171004056.47649968</v>
      </c>
      <c r="EA29" s="20">
        <f t="shared" si="266"/>
        <v>176825102.54035875</v>
      </c>
      <c r="EB29" s="20">
        <f t="shared" si="266"/>
        <v>187110385.35322067</v>
      </c>
      <c r="EC29" s="20">
        <f t="shared" si="266"/>
        <v>190852756.84881118</v>
      </c>
      <c r="ED29" s="20">
        <f t="shared" si="266"/>
        <v>201887604.09522331</v>
      </c>
      <c r="EE29" s="20">
        <f t="shared" si="266"/>
        <v>214796238.54559666</v>
      </c>
      <c r="EF29" s="20">
        <f t="shared" si="266"/>
        <v>217829847.45992032</v>
      </c>
      <c r="EG29" s="20">
        <f t="shared" si="266"/>
        <v>224553614.62293059</v>
      </c>
      <c r="EH29" s="20">
        <f t="shared" si="266"/>
        <v>237732615.79323491</v>
      </c>
      <c r="EI29" s="20">
        <f t="shared" si="266"/>
        <v>243214360.41707471</v>
      </c>
      <c r="EJ29" s="20">
        <f t="shared" si="266"/>
        <v>254111504.66883951</v>
      </c>
      <c r="EK29" s="20">
        <f t="shared" si="266"/>
        <v>269252551.52859926</v>
      </c>
      <c r="EL29" s="20">
        <f t="shared" si="266"/>
        <v>273968777.28432721</v>
      </c>
      <c r="EM29" s="20">
        <f t="shared" si="266"/>
        <v>282965097.91750944</v>
      </c>
      <c r="EN29" s="20">
        <f t="shared" si="266"/>
        <v>298862466.32881111</v>
      </c>
      <c r="EO29" s="20">
        <f t="shared" si="266"/>
        <v>304640682.96762609</v>
      </c>
      <c r="EP29" s="20">
        <f t="shared" si="266"/>
        <v>321688124.06479168</v>
      </c>
      <c r="EQ29" s="20">
        <f t="shared" si="266"/>
        <v>341635847.70133901</v>
      </c>
      <c r="ER29" s="20">
        <f t="shared" si="266"/>
        <v>346203288.91668206</v>
      </c>
      <c r="ES29" s="20">
        <f t="shared" si="266"/>
        <v>356340626.99588412</v>
      </c>
      <c r="ET29" s="20">
        <f t="shared" si="266"/>
        <v>376212252.34287906</v>
      </c>
      <c r="EU29" s="20">
        <f t="shared" si="266"/>
        <v>384469233.16324335</v>
      </c>
      <c r="EV29" s="20">
        <f t="shared" si="266"/>
        <v>400910007.95867759</v>
      </c>
      <c r="EW29" s="20">
        <f t="shared" si="266"/>
        <v>423745084.96243131</v>
      </c>
      <c r="EX29" s="20">
        <f t="shared" si="266"/>
        <v>430845596.29042679</v>
      </c>
      <c r="EY29" s="20">
        <f t="shared" si="266"/>
        <v>444415926.79796225</v>
      </c>
      <c r="EZ29" s="20">
        <f t="shared" si="266"/>
        <v>468399304.08153641</v>
      </c>
      <c r="FA29" s="20">
        <f t="shared" si="266"/>
        <v>477104283.45695412</v>
      </c>
      <c r="FB29" s="20">
        <f t="shared" si="266"/>
        <v>502805792.38359469</v>
      </c>
    </row>
    <row r="30" spans="1:158" x14ac:dyDescent="0.25">
      <c r="A30" s="292" t="s">
        <v>609</v>
      </c>
      <c r="C30" s="258" t="s">
        <v>585</v>
      </c>
      <c r="D30" s="244">
        <f t="shared" ref="D30:L33" si="267">SUMIF($AY$2:$FB$2,D$2,$AY30:$FB30)</f>
        <v>3057385.5</v>
      </c>
      <c r="E30" s="244">
        <f t="shared" si="267"/>
        <v>2750214.6799999997</v>
      </c>
      <c r="F30" s="244">
        <f t="shared" si="267"/>
        <v>2352684.4286809997</v>
      </c>
      <c r="G30" s="244">
        <f t="shared" si="267"/>
        <v>5787834.6133333333</v>
      </c>
      <c r="H30" s="244">
        <f t="shared" si="267"/>
        <v>6773278.9649636559</v>
      </c>
      <c r="I30" s="244">
        <f t="shared" si="267"/>
        <v>9920777.825989252</v>
      </c>
      <c r="J30" s="244">
        <f t="shared" si="267"/>
        <v>13984480.309052814</v>
      </c>
      <c r="K30" s="244">
        <f t="shared" si="267"/>
        <v>20282444.006625246</v>
      </c>
      <c r="L30" s="244">
        <f t="shared" si="267"/>
        <v>30635494.890525348</v>
      </c>
      <c r="M30" s="244"/>
      <c r="N30" s="294">
        <f t="shared" ref="N30:N33" si="268">SUM(AY30:BA30)</f>
        <v>364083.32999999996</v>
      </c>
      <c r="O30" s="294">
        <f>SUM(BB30:BD30)</f>
        <v>791616.66999999993</v>
      </c>
      <c r="P30" s="294">
        <f>SUM(BE30:BG30)</f>
        <v>564350</v>
      </c>
      <c r="Q30" s="294">
        <f>SUM(BH30:BJ30)</f>
        <v>1337335.5</v>
      </c>
      <c r="R30" s="294">
        <f>SUM(BK30:BM30)</f>
        <v>612602</v>
      </c>
      <c r="S30" s="294">
        <f>SUM(BN30:BP30)</f>
        <v>854539.59</v>
      </c>
      <c r="T30" s="294">
        <f>SUM(BQ30:BS30)</f>
        <v>624336.59</v>
      </c>
      <c r="U30" s="294">
        <f>SUM(BT30:BV30)</f>
        <v>658736.5</v>
      </c>
      <c r="V30" s="294">
        <f>SUM(BW30:BY30)</f>
        <v>261800</v>
      </c>
      <c r="W30" s="294">
        <f>SUM(BZ30:CB30)</f>
        <v>594240.78</v>
      </c>
      <c r="X30" s="294">
        <f>SUM(CC30:CE30)</f>
        <v>989521.62000000011</v>
      </c>
      <c r="Y30" s="294">
        <f>SUM(CF30:CH30)</f>
        <v>507122.028681</v>
      </c>
      <c r="Z30" s="294">
        <f>SUM(CI30:CK30)</f>
        <v>1344032.9</v>
      </c>
      <c r="AA30" s="294">
        <f>SUM(CL30:CN30)</f>
        <v>1265277.6299999999</v>
      </c>
      <c r="AB30" s="294">
        <f>SUM(CO30:CQ30)</f>
        <v>1388410.2499999998</v>
      </c>
      <c r="AC30" s="294">
        <f>SUM(CR30:CT30)</f>
        <v>1790113.833333333</v>
      </c>
      <c r="AD30" s="294">
        <f>SUM(CU30:CW30)</f>
        <v>1198695.173990278</v>
      </c>
      <c r="AE30" s="294">
        <f>SUM(CX30:CZ30)</f>
        <v>1594870.9539379664</v>
      </c>
      <c r="AF30" s="294">
        <f>SUM(DA30:DC30)</f>
        <v>1572355.4651301624</v>
      </c>
      <c r="AG30" s="294">
        <f>SUM(DD30:DF30)</f>
        <v>2407357.3719052495</v>
      </c>
      <c r="AH30" s="294">
        <f>SUM(DG30:DI30)</f>
        <v>1809293.2570420168</v>
      </c>
      <c r="AI30" s="294">
        <f>SUM(DJ30:DL30)</f>
        <v>2455046.4893497182</v>
      </c>
      <c r="AJ30" s="294">
        <f>SUM(DM30:DO30)</f>
        <v>2303018.8648253959</v>
      </c>
      <c r="AK30" s="294">
        <f>SUM(DP30:DR30)</f>
        <v>3353419.214772122</v>
      </c>
      <c r="AL30" s="294">
        <f>SUM(DS30:DU30)</f>
        <v>2550407.4751198376</v>
      </c>
      <c r="AM30" s="294">
        <f>SUM(DV30:DX30)</f>
        <v>3460671.1177605567</v>
      </c>
      <c r="AN30" s="294">
        <f>SUM(DY30:EA30)</f>
        <v>3246370.6507122023</v>
      </c>
      <c r="AO30" s="294">
        <f>SUM(EB30:ED30)</f>
        <v>4727031.0654602181</v>
      </c>
      <c r="AP30" s="294">
        <f>SUM(EE30:EG30)</f>
        <v>3698993.1456165928</v>
      </c>
      <c r="AQ30" s="294">
        <f>SUM(EH30:EJ30)</f>
        <v>5019197.4689174425</v>
      </c>
      <c r="AR30" s="294">
        <f>SUM(EK30:EM30)</f>
        <v>4708385.9745004363</v>
      </c>
      <c r="AS30" s="294">
        <f>SUM(EN30:EP30)</f>
        <v>6855867.4175907746</v>
      </c>
      <c r="AT30" s="294">
        <f>SUM(EQ30:ES30)</f>
        <v>5587121.8269163892</v>
      </c>
      <c r="AU30" s="294">
        <f>SUM(ET30:EV30)</f>
        <v>7581216.4630322959</v>
      </c>
      <c r="AV30" s="294">
        <f>SUM(EW30:EY30)</f>
        <v>7111753.1209410578</v>
      </c>
      <c r="AW30" s="294">
        <f>SUM(EZ30:FB30)</f>
        <v>10355403.479635604</v>
      </c>
      <c r="AX30" s="244"/>
      <c r="AY30" s="244">
        <f>SUMIFS('ARR Looker'!$H:$H,'ARR Looker'!$B:$B,$A29,'ARR Looker'!$C:$C,AY$5)</f>
        <v>15000</v>
      </c>
      <c r="AZ30" s="244">
        <f>SUMIFS('ARR Looker'!$H:$H,'ARR Looker'!$B:$B,$A29,'ARR Looker'!$C:$C,AZ$5)</f>
        <v>138333.32999999999</v>
      </c>
      <c r="BA30" s="244">
        <f>SUMIFS('ARR Looker'!$H:$H,'ARR Looker'!$B:$B,$A29,'ARR Looker'!$C:$C,BA$5)</f>
        <v>210750</v>
      </c>
      <c r="BB30" s="244">
        <f>SUMIFS('ARR Looker'!$H:$H,'ARR Looker'!$B:$B,$A29,'ARR Looker'!$C:$C,BB$5)</f>
        <v>198700</v>
      </c>
      <c r="BC30" s="244">
        <f>SUMIFS('ARR Looker'!$H:$H,'ARR Looker'!$B:$B,$A29,'ARR Looker'!$C:$C,BC$5)</f>
        <v>375916.67</v>
      </c>
      <c r="BD30" s="244">
        <f>SUMIFS('ARR Looker'!$H:$H,'ARR Looker'!$B:$B,$A29,'ARR Looker'!$C:$C,BD$5)</f>
        <v>217000</v>
      </c>
      <c r="BE30" s="244">
        <f>SUMIFS('ARR Looker'!$H:$H,'ARR Looker'!$B:$B,$A29,'ARR Looker'!$C:$C,BE$5)</f>
        <v>108000</v>
      </c>
      <c r="BF30" s="244">
        <f>SUMIFS('ARR Looker'!$H:$H,'ARR Looker'!$B:$B,$A29,'ARR Looker'!$C:$C,BF$5)</f>
        <v>115000</v>
      </c>
      <c r="BG30" s="244">
        <f>SUMIFS('ARR Looker'!$H:$H,'ARR Looker'!$B:$B,$A29,'ARR Looker'!$C:$C,BG$5)</f>
        <v>341350</v>
      </c>
      <c r="BH30" s="244">
        <f>SUMIFS('ARR Looker'!$H:$H,'ARR Looker'!$B:$B,$A29,'ARR Looker'!$C:$C,BH$5)</f>
        <v>363785.5</v>
      </c>
      <c r="BI30" s="244">
        <f>SUMIFS('ARR Looker'!$H:$H,'ARR Looker'!$B:$B,$A29,'ARR Looker'!$C:$C,BI$5)</f>
        <v>349300</v>
      </c>
      <c r="BJ30" s="244">
        <f>SUMIFS('ARR Looker'!$H:$H,'ARR Looker'!$B:$B,$A29,'ARR Looker'!$C:$C,BJ$5)</f>
        <v>624250</v>
      </c>
      <c r="BK30" s="244">
        <f>SUMIFS('ARR Looker'!$H:$H,'ARR Looker'!$B:$B,$A29,'ARR Looker'!$C:$C,BK$5)</f>
        <v>45850</v>
      </c>
      <c r="BL30" s="244">
        <f>SUMIFS('ARR Looker'!$H:$H,'ARR Looker'!$B:$B,$A29,'ARR Looker'!$C:$C,BL$5)</f>
        <v>347400</v>
      </c>
      <c r="BM30" s="244">
        <f>SUMIFS('ARR Looker'!$H:$H,'ARR Looker'!$B:$B,$A29,'ARR Looker'!$C:$C,BM$5)</f>
        <v>219352</v>
      </c>
      <c r="BN30" s="244">
        <f>SUMIFS('ARR Looker'!$H:$H,'ARR Looker'!$B:$B,$A29,'ARR Looker'!$C:$C,BN$5)</f>
        <v>315895.23</v>
      </c>
      <c r="BO30" s="244">
        <f>SUMIFS('ARR Looker'!$H:$H,'ARR Looker'!$B:$B,$A29,'ARR Looker'!$C:$C,BO$5)</f>
        <v>21000</v>
      </c>
      <c r="BP30" s="244">
        <f>SUMIFS('ARR Looker'!$H:$H,'ARR Looker'!$B:$B,$A29,'ARR Looker'!$C:$C,BP$5)</f>
        <v>517644.36</v>
      </c>
      <c r="BQ30" s="244">
        <f>SUMIFS('ARR Looker'!$H:$H,'ARR Looker'!$B:$B,$A29,'ARR Looker'!$C:$C,BQ$5)</f>
        <v>206000.23</v>
      </c>
      <c r="BR30" s="244">
        <f>SUMIFS('ARR Looker'!$H:$H,'ARR Looker'!$B:$B,$A29,'ARR Looker'!$C:$C,BR$5)</f>
        <v>0</v>
      </c>
      <c r="BS30" s="244">
        <f>SUMIFS('ARR Looker'!$H:$H,'ARR Looker'!$B:$B,$A29,'ARR Looker'!$C:$C,BS$5)</f>
        <v>418336.36</v>
      </c>
      <c r="BT30" s="244">
        <f>SUMIFS('ARR Looker'!$H:$H,'ARR Looker'!$B:$B,$A29,'ARR Looker'!$C:$C,BT$5)</f>
        <v>0</v>
      </c>
      <c r="BU30" s="244">
        <f>SUMIFS('ARR Looker'!$H:$H,'ARR Looker'!$B:$B,$A29,'ARR Looker'!$C:$C,BU$5)</f>
        <v>52500</v>
      </c>
      <c r="BV30" s="244">
        <f>SUMIFS('ARR Looker'!$H:$H,'ARR Looker'!$B:$B,$A29,'ARR Looker'!$C:$C,BV$5)</f>
        <v>606236.5</v>
      </c>
      <c r="BW30" s="244">
        <f>SUMIFS('ARR Looker'!$H:$H,'ARR Looker'!$B:$B,$A29,'ARR Looker'!$C:$C,BW$5)</f>
        <v>89500</v>
      </c>
      <c r="BX30" s="244">
        <f>SUMIFS('ARR Looker'!$H:$H,'ARR Looker'!$B:$B,$A29,'ARR Looker'!$C:$C,BX$5)</f>
        <v>127300</v>
      </c>
      <c r="BY30" s="244">
        <f>SUMIFS('ARR Looker'!$H:$H,'ARR Looker'!$B:$B,$A29,'ARR Looker'!$C:$C,BY$5)</f>
        <v>45000</v>
      </c>
      <c r="BZ30" s="244">
        <f>SUMIFS('ARR Looker'!$H:$H,'ARR Looker'!$B:$B,$A29,'ARR Looker'!$C:$C,BZ$5)</f>
        <v>95100</v>
      </c>
      <c r="CA30" s="244">
        <f>SUMIFS('ARR Looker'!$H:$H,'ARR Looker'!$B:$B,$A29,'ARR Looker'!$C:$C,CA$5)</f>
        <v>152971.18</v>
      </c>
      <c r="CB30" s="244">
        <f>SUMIFS('ARR Looker'!$H:$H,'ARR Looker'!$B:$B,$A29,'ARR Looker'!$C:$C,CB$5)</f>
        <v>346169.59999999998</v>
      </c>
      <c r="CC30" s="244">
        <f>SUMIFS('ARR Looker'!$H:$H,'ARR Looker'!$B:$B,$A29,'ARR Looker'!$C:$C,CC$5)</f>
        <v>76788.3</v>
      </c>
      <c r="CD30" s="244">
        <f>SUMIFS('ARR Looker'!$H:$H,'ARR Looker'!$B:$B,$A29,'ARR Looker'!$C:$C,CD$5)</f>
        <v>262937.90000000002</v>
      </c>
      <c r="CE30" s="244">
        <f>SUMIFS('ARR Looker'!$H:$H,'ARR Looker'!$B:$B,$A29,'ARR Looker'!$C:$C,CE$5)</f>
        <v>649795.42000000004</v>
      </c>
      <c r="CF30" s="244">
        <f>SUMIFS('ARR Looker'!$H:$H,'ARR Looker'!$B:$B,$A29,'ARR Looker'!$C:$C,CF$5)</f>
        <v>40192.307692000002</v>
      </c>
      <c r="CG30" s="244">
        <f>SUMIFS('ARR Looker'!$H:$H,'ARR Looker'!$B:$B,$A29,'ARR Looker'!$C:$C,CG$5)</f>
        <v>178132.910989</v>
      </c>
      <c r="CH30" s="244">
        <f>SUMIFS('ARR Looker'!$H:$H,'ARR Looker'!$B:$B,$A29,'ARR Looker'!$C:$C,CH$5)</f>
        <v>288796.81</v>
      </c>
      <c r="CI30" s="55">
        <f>SUMIFS('ARR Looker'!$H:$H,'ARR Looker'!$B:$B,$A29,'ARR Looker'!$C:$C,CI$5)</f>
        <v>211500</v>
      </c>
      <c r="CJ30" s="55">
        <f>SUMIFS('ARR Looker'!$H:$H,'ARR Looker'!$B:$B,$A29,'ARR Looker'!$C:$C,CJ$5)</f>
        <v>42000</v>
      </c>
      <c r="CK30" s="55">
        <f>SUMIFS('ARR Looker'!$H:$H,'ARR Looker'!$B:$B,$A29,'ARR Looker'!$C:$C,CK$5)</f>
        <v>1090532.8999999999</v>
      </c>
      <c r="CL30" s="55">
        <f>SUMIFS('ARR Looker'!$H:$H,'ARR Looker'!$B:$B,$A29,'ARR Looker'!$C:$C,CL$5)</f>
        <v>157920</v>
      </c>
      <c r="CM30" s="55">
        <f>SUMIFS('ARR Looker'!$H:$H,'ARR Looker'!$B:$B,$A29,'ARR Looker'!$C:$C,CM$5)</f>
        <v>173945.83</v>
      </c>
      <c r="CN30" s="55">
        <f>SUMIFS('ARR Looker'!$H:$H,'ARR Looker'!$B:$B,$A29,'ARR Looker'!$C:$C,CN$5)</f>
        <v>933411.8</v>
      </c>
      <c r="CO30" s="55">
        <f>'22 Fcst ARR'!C15</f>
        <v>208261.53749999998</v>
      </c>
      <c r="CP30" s="55">
        <f>'22 Fcst ARR'!D15</f>
        <v>485943.58749999991</v>
      </c>
      <c r="CQ30" s="55">
        <f>'22 Fcst ARR'!E15</f>
        <v>694205.12499999988</v>
      </c>
      <c r="CR30" s="55">
        <f>'22 Fcst ARR'!F15</f>
        <v>179011.3833333333</v>
      </c>
      <c r="CS30" s="55">
        <f>'22 Fcst ARR'!G15</f>
        <v>716045.53333333321</v>
      </c>
      <c r="CT30" s="55">
        <f>'22 Fcst ARR'!H15</f>
        <v>895056.9166666664</v>
      </c>
      <c r="CU30" s="20">
        <f>CU79</f>
        <v>158455.60230988532</v>
      </c>
      <c r="CV30" s="20">
        <f t="shared" ref="CV30:FB30" si="269">CV79</f>
        <v>348251.71641244635</v>
      </c>
      <c r="CW30" s="20">
        <f t="shared" si="269"/>
        <v>691987.85526794638</v>
      </c>
      <c r="CX30" s="20">
        <f t="shared" si="269"/>
        <v>276684.13585798751</v>
      </c>
      <c r="CY30" s="20">
        <f t="shared" si="269"/>
        <v>542678.81675078475</v>
      </c>
      <c r="CZ30" s="20">
        <f t="shared" si="269"/>
        <v>775508.00132919417</v>
      </c>
      <c r="DA30" s="20">
        <f t="shared" si="269"/>
        <v>265680.86088953278</v>
      </c>
      <c r="DB30" s="20">
        <f t="shared" si="269"/>
        <v>473735.28795119311</v>
      </c>
      <c r="DC30" s="20">
        <f t="shared" si="269"/>
        <v>832939.31628943642</v>
      </c>
      <c r="DD30" s="20">
        <f t="shared" si="269"/>
        <v>357665.57334176538</v>
      </c>
      <c r="DE30" s="20">
        <f t="shared" si="269"/>
        <v>954047.49695393187</v>
      </c>
      <c r="DF30" s="20">
        <f t="shared" si="269"/>
        <v>1095644.301609552</v>
      </c>
      <c r="DG30" s="20">
        <f t="shared" si="269"/>
        <v>249946.29439206884</v>
      </c>
      <c r="DH30" s="20">
        <f t="shared" si="269"/>
        <v>527939.43331156066</v>
      </c>
      <c r="DI30" s="20">
        <f t="shared" si="269"/>
        <v>1031407.5293383874</v>
      </c>
      <c r="DJ30" s="20">
        <f t="shared" si="269"/>
        <v>444940.57287045382</v>
      </c>
      <c r="DK30" s="20">
        <f t="shared" si="269"/>
        <v>834541.25899050524</v>
      </c>
      <c r="DL30" s="20">
        <f t="shared" si="269"/>
        <v>1175564.6574887589</v>
      </c>
      <c r="DM30" s="20">
        <f t="shared" si="269"/>
        <v>389141.03599404241</v>
      </c>
      <c r="DN30" s="20">
        <f t="shared" si="269"/>
        <v>693877.00763629319</v>
      </c>
      <c r="DO30" s="20">
        <f t="shared" si="269"/>
        <v>1220000.8211950604</v>
      </c>
      <c r="DP30" s="20">
        <f t="shared" si="269"/>
        <v>466329.93710004858</v>
      </c>
      <c r="DQ30" s="20">
        <f t="shared" si="269"/>
        <v>1339846.6775439652</v>
      </c>
      <c r="DR30" s="20">
        <f t="shared" si="269"/>
        <v>1547242.6001281082</v>
      </c>
      <c r="DS30" s="20">
        <f t="shared" si="269"/>
        <v>352328.1232132687</v>
      </c>
      <c r="DT30" s="20">
        <f t="shared" si="269"/>
        <v>744191.50786514347</v>
      </c>
      <c r="DU30" s="20">
        <f t="shared" si="269"/>
        <v>1453887.8440414253</v>
      </c>
      <c r="DV30" s="20">
        <f t="shared" si="269"/>
        <v>627195.0434879422</v>
      </c>
      <c r="DW30" s="20">
        <f t="shared" si="269"/>
        <v>1176382.1353676093</v>
      </c>
      <c r="DX30" s="20">
        <f t="shared" si="269"/>
        <v>1657093.9389050056</v>
      </c>
      <c r="DY30" s="20">
        <f t="shared" si="269"/>
        <v>548539.16202487436</v>
      </c>
      <c r="DZ30" s="20">
        <f t="shared" si="269"/>
        <v>978099.65311128646</v>
      </c>
      <c r="EA30" s="20">
        <f t="shared" si="269"/>
        <v>1719731.8355760414</v>
      </c>
      <c r="EB30" s="20">
        <f t="shared" si="269"/>
        <v>657345.81877375988</v>
      </c>
      <c r="EC30" s="20">
        <f t="shared" si="269"/>
        <v>1888668.3895065503</v>
      </c>
      <c r="ED30" s="20">
        <f t="shared" si="269"/>
        <v>2181016.8571799085</v>
      </c>
      <c r="EE30" s="20">
        <f t="shared" si="269"/>
        <v>511000.42855410866</v>
      </c>
      <c r="EF30" s="20">
        <f t="shared" si="269"/>
        <v>1079340.9733438368</v>
      </c>
      <c r="EG30" s="20">
        <f t="shared" si="269"/>
        <v>2108651.7437186474</v>
      </c>
      <c r="EH30" s="20">
        <f t="shared" si="269"/>
        <v>909654.70790803258</v>
      </c>
      <c r="EI30" s="20">
        <f t="shared" si="269"/>
        <v>1706170.287611055</v>
      </c>
      <c r="EJ30" s="20">
        <f t="shared" si="269"/>
        <v>2403372.4733983548</v>
      </c>
      <c r="EK30" s="20">
        <f t="shared" si="269"/>
        <v>795575.85218296933</v>
      </c>
      <c r="EL30" s="20">
        <f t="shared" si="269"/>
        <v>1418590.5381329765</v>
      </c>
      <c r="EM30" s="20">
        <f t="shared" si="269"/>
        <v>2494219.5841844911</v>
      </c>
      <c r="EN30" s="20">
        <f t="shared" si="269"/>
        <v>953383.99909199367</v>
      </c>
      <c r="EO30" s="20">
        <f t="shared" si="269"/>
        <v>2739237.3553167991</v>
      </c>
      <c r="EP30" s="20">
        <f t="shared" si="269"/>
        <v>3163246.0631819819</v>
      </c>
      <c r="EQ30" s="20">
        <f t="shared" si="269"/>
        <v>771837.50700418756</v>
      </c>
      <c r="ER30" s="20">
        <f t="shared" si="269"/>
        <v>1630284.0458087169</v>
      </c>
      <c r="ES30" s="20">
        <f t="shared" si="269"/>
        <v>3185000.2741034846</v>
      </c>
      <c r="ET30" s="20">
        <f t="shared" si="269"/>
        <v>1373982.4523689495</v>
      </c>
      <c r="EU30" s="20">
        <f t="shared" si="269"/>
        <v>2577074.592756222</v>
      </c>
      <c r="EV30" s="20">
        <f t="shared" si="269"/>
        <v>3630159.4179071249</v>
      </c>
      <c r="EW30" s="20">
        <f t="shared" si="269"/>
        <v>1201672.7346376663</v>
      </c>
      <c r="EX30" s="20">
        <f t="shared" si="269"/>
        <v>2142701.4993126313</v>
      </c>
      <c r="EY30" s="20">
        <f t="shared" si="269"/>
        <v>3767378.88699076</v>
      </c>
      <c r="EZ30" s="20">
        <f t="shared" si="269"/>
        <v>1440033.0957822844</v>
      </c>
      <c r="FA30" s="20">
        <f t="shared" si="269"/>
        <v>4137464.4976380672</v>
      </c>
      <c r="FB30" s="20">
        <f t="shared" si="269"/>
        <v>4777905.8862152528</v>
      </c>
    </row>
    <row r="31" spans="1:158" x14ac:dyDescent="0.25">
      <c r="A31" s="292" t="s">
        <v>609</v>
      </c>
      <c r="C31" s="258" t="s">
        <v>584</v>
      </c>
      <c r="D31" s="244">
        <f t="shared" si="267"/>
        <v>3664491.9699999997</v>
      </c>
      <c r="E31" s="244">
        <f t="shared" si="267"/>
        <v>6524064</v>
      </c>
      <c r="F31" s="244">
        <f t="shared" si="267"/>
        <v>7473375.0553849991</v>
      </c>
      <c r="G31" s="244">
        <f t="shared" si="267"/>
        <v>16399499.241960667</v>
      </c>
      <c r="H31" s="244">
        <f t="shared" si="267"/>
        <v>27093115.859854624</v>
      </c>
      <c r="I31" s="244">
        <f t="shared" si="267"/>
        <v>45194654.540617704</v>
      </c>
      <c r="J31" s="244">
        <f t="shared" si="267"/>
        <v>73418521.622527272</v>
      </c>
      <c r="K31" s="244">
        <f t="shared" si="267"/>
        <v>114933849.37087639</v>
      </c>
      <c r="L31" s="244">
        <f t="shared" si="267"/>
        <v>173601137.71297699</v>
      </c>
      <c r="M31" s="244"/>
      <c r="N31" s="294">
        <f t="shared" si="268"/>
        <v>776758.17</v>
      </c>
      <c r="O31" s="294">
        <f t="shared" ref="O31:O33" si="270">SUM(BB31:BD31)</f>
        <v>625643.30000000005</v>
      </c>
      <c r="P31" s="294">
        <f t="shared" ref="P31:P33" si="271">SUM(BE31:BG31)</f>
        <v>855610.5</v>
      </c>
      <c r="Q31" s="294">
        <f t="shared" ref="Q31:Q33" si="272">SUM(BH31:BJ31)</f>
        <v>1406480</v>
      </c>
      <c r="R31" s="294">
        <f t="shared" ref="R31:R33" si="273">SUM(BK31:BM31)</f>
        <v>1081586</v>
      </c>
      <c r="S31" s="294">
        <f t="shared" ref="S31:S33" si="274">SUM(BN31:BP31)</f>
        <v>2484886.7400000002</v>
      </c>
      <c r="T31" s="294">
        <f t="shared" ref="T31:T33" si="275">SUM(BQ31:BS31)</f>
        <v>910603</v>
      </c>
      <c r="U31" s="294">
        <f t="shared" ref="U31:U33" si="276">SUM(BT31:BV31)</f>
        <v>2046988.26</v>
      </c>
      <c r="V31" s="294">
        <f t="shared" ref="V31:V33" si="277">SUM(BW31:BY31)</f>
        <v>1250731.81</v>
      </c>
      <c r="W31" s="294">
        <f t="shared" ref="W31:W33" si="278">SUM(BZ31:CB31)</f>
        <v>1776271.85</v>
      </c>
      <c r="X31" s="294">
        <f t="shared" ref="X31:X33" si="279">SUM(CC31:CE31)</f>
        <v>2255269.2599999998</v>
      </c>
      <c r="Y31" s="294">
        <f t="shared" ref="Y31:Y33" si="280">SUM(CF31:CH31)</f>
        <v>2191102.1353850001</v>
      </c>
      <c r="Z31" s="294">
        <f t="shared" ref="Z31:Z33" si="281">SUM(CI31:CK31)</f>
        <v>1477725.45</v>
      </c>
      <c r="AA31" s="294">
        <f t="shared" ref="AA31:AA33" si="282">SUM(CL31:CN31)</f>
        <v>4026344.1252939999</v>
      </c>
      <c r="AB31" s="294">
        <f t="shared" ref="AB31:AB33" si="283">SUM(CO31:CQ31)</f>
        <v>4887366</v>
      </c>
      <c r="AC31" s="294">
        <f t="shared" ref="AC31:AC33" si="284">SUM(CR31:CT31)</f>
        <v>6008063.666666666</v>
      </c>
      <c r="AD31" s="294">
        <f t="shared" ref="AD31:AD33" si="285">SUM(CU31:CW31)</f>
        <v>4794780.6959611122</v>
      </c>
      <c r="AE31" s="294">
        <f t="shared" ref="AE31:AE33" si="286">SUM(CX31:CZ31)</f>
        <v>6379483.8157518655</v>
      </c>
      <c r="AF31" s="294">
        <f t="shared" ref="AF31:AF33" si="287">SUM(DA31:DC31)</f>
        <v>6289421.8605206488</v>
      </c>
      <c r="AG31" s="294">
        <f t="shared" ref="AG31:AG33" si="288">SUM(DD31:DF31)</f>
        <v>9629429.4876209963</v>
      </c>
      <c r="AH31" s="294">
        <f t="shared" ref="AH31:AH33" si="289">SUM(DG31:DI31)</f>
        <v>8242335.9487469662</v>
      </c>
      <c r="AI31" s="294">
        <f t="shared" ref="AI31:AI33" si="290">SUM(DJ31:DL31)</f>
        <v>11184100.673704272</v>
      </c>
      <c r="AJ31" s="294">
        <f t="shared" ref="AJ31:AJ33" si="291">SUM(DM31:DO31)</f>
        <v>10491530.384204581</v>
      </c>
      <c r="AK31" s="294">
        <f t="shared" ref="AK31:AK33" si="292">SUM(DP31:DR31)</f>
        <v>15276687.533961888</v>
      </c>
      <c r="AL31" s="294">
        <f t="shared" ref="AL31:AL33" si="293">SUM(DS31:DU31)</f>
        <v>13389639.244379146</v>
      </c>
      <c r="AM31" s="294">
        <f t="shared" ref="AM31:AM33" si="294">SUM(DV31:DX31)</f>
        <v>18168523.368242919</v>
      </c>
      <c r="AN31" s="294">
        <f t="shared" ref="AN31:AN33" si="295">SUM(DY31:EA31)</f>
        <v>17043445.91623906</v>
      </c>
      <c r="AO31" s="294">
        <f t="shared" ref="AO31:AO33" si="296">SUM(EB31:ED31)</f>
        <v>24816913.093666147</v>
      </c>
      <c r="AP31" s="294">
        <f t="shared" ref="AP31:AP33" si="297">SUM(EE31:EG31)</f>
        <v>20960961.158494025</v>
      </c>
      <c r="AQ31" s="294">
        <f t="shared" ref="AQ31:AQ33" si="298">SUM(EH31:EJ31)</f>
        <v>28442118.990532175</v>
      </c>
      <c r="AR31" s="294">
        <f t="shared" ref="AR31:AR33" si="299">SUM(EK31:EM31)</f>
        <v>26680853.855502475</v>
      </c>
      <c r="AS31" s="294">
        <f t="shared" ref="AS31:AS33" si="300">SUM(EN31:EP31)</f>
        <v>38849915.36634773</v>
      </c>
      <c r="AT31" s="294">
        <f t="shared" ref="AT31:AT33" si="301">SUM(EQ31:ES31)</f>
        <v>31660357.019192871</v>
      </c>
      <c r="AU31" s="294">
        <f t="shared" ref="AU31:AU33" si="302">SUM(ET31:EV31)</f>
        <v>42960226.623849675</v>
      </c>
      <c r="AV31" s="294">
        <f t="shared" ref="AV31:AV33" si="303">SUM(EW31:EY31)</f>
        <v>40299934.351999328</v>
      </c>
      <c r="AW31" s="294">
        <f t="shared" ref="AW31:AW33" si="304">SUM(EZ31:FB31)</f>
        <v>58680619.717935085</v>
      </c>
      <c r="AX31" s="244"/>
      <c r="AY31" s="244">
        <f>SUMIFS('ARR Looker'!$G:$G,'ARR Looker'!$B:$B,$A30,'ARR Looker'!$C:$C,AY$5)</f>
        <v>0</v>
      </c>
      <c r="AZ31" s="244">
        <f>SUMIFS('ARR Looker'!$G:$G,'ARR Looker'!$B:$B,$A30,'ARR Looker'!$C:$C,AZ$5)</f>
        <v>208124.5</v>
      </c>
      <c r="BA31" s="244">
        <f>SUMIFS('ARR Looker'!$G:$G,'ARR Looker'!$B:$B,$A30,'ARR Looker'!$C:$C,BA$5)</f>
        <v>568633.67000000004</v>
      </c>
      <c r="BB31" s="244">
        <f>SUMIFS('ARR Looker'!$G:$G,'ARR Looker'!$B:$B,$A30,'ARR Looker'!$C:$C,BB$5)</f>
        <v>74365</v>
      </c>
      <c r="BC31" s="244">
        <f>SUMIFS('ARR Looker'!$G:$G,'ARR Looker'!$B:$B,$A30,'ARR Looker'!$C:$C,BC$5)</f>
        <v>178800.3</v>
      </c>
      <c r="BD31" s="244">
        <f>SUMIFS('ARR Looker'!$G:$G,'ARR Looker'!$B:$B,$A30,'ARR Looker'!$C:$C,BD$5)</f>
        <v>372478</v>
      </c>
      <c r="BE31" s="244">
        <f>SUMIFS('ARR Looker'!$G:$G,'ARR Looker'!$B:$B,$A30,'ARR Looker'!$C:$C,BE$5)</f>
        <v>275150</v>
      </c>
      <c r="BF31" s="244">
        <f>SUMIFS('ARR Looker'!$G:$G,'ARR Looker'!$B:$B,$A30,'ARR Looker'!$C:$C,BF$5)</f>
        <v>103659.5</v>
      </c>
      <c r="BG31" s="244">
        <f>SUMIFS('ARR Looker'!$G:$G,'ARR Looker'!$B:$B,$A30,'ARR Looker'!$C:$C,BG$5)</f>
        <v>476801</v>
      </c>
      <c r="BH31" s="244">
        <f>SUMIFS('ARR Looker'!$G:$G,'ARR Looker'!$B:$B,$A30,'ARR Looker'!$C:$C,BH$5)</f>
        <v>43800</v>
      </c>
      <c r="BI31" s="244">
        <f>SUMIFS('ARR Looker'!$G:$G,'ARR Looker'!$B:$B,$A30,'ARR Looker'!$C:$C,BI$5)</f>
        <v>1009050</v>
      </c>
      <c r="BJ31" s="244">
        <f>SUMIFS('ARR Looker'!$G:$G,'ARR Looker'!$B:$B,$A30,'ARR Looker'!$C:$C,BJ$5)</f>
        <v>353630</v>
      </c>
      <c r="BK31" s="244">
        <f>SUMIFS('ARR Looker'!$G:$G,'ARR Looker'!$B:$B,$A30,'ARR Looker'!$C:$C,BK$5)</f>
        <v>146300</v>
      </c>
      <c r="BL31" s="244">
        <f>SUMIFS('ARR Looker'!$G:$G,'ARR Looker'!$B:$B,$A30,'ARR Looker'!$C:$C,BL$5)</f>
        <v>139481</v>
      </c>
      <c r="BM31" s="244">
        <f>SUMIFS('ARR Looker'!$G:$G,'ARR Looker'!$B:$B,$A30,'ARR Looker'!$C:$C,BM$5)</f>
        <v>795805</v>
      </c>
      <c r="BN31" s="244">
        <f>SUMIFS('ARR Looker'!$G:$G,'ARR Looker'!$B:$B,$A30,'ARR Looker'!$C:$C,BN$5)</f>
        <v>93150</v>
      </c>
      <c r="BO31" s="244">
        <f>SUMIFS('ARR Looker'!$G:$G,'ARR Looker'!$B:$B,$A30,'ARR Looker'!$C:$C,BO$5)</f>
        <v>1699465.86</v>
      </c>
      <c r="BP31" s="244">
        <f>SUMIFS('ARR Looker'!$G:$G,'ARR Looker'!$B:$B,$A30,'ARR Looker'!$C:$C,BP$5)</f>
        <v>692270.88</v>
      </c>
      <c r="BQ31" s="244">
        <f>SUMIFS('ARR Looker'!$G:$G,'ARR Looker'!$B:$B,$A30,'ARR Looker'!$C:$C,BQ$5)</f>
        <v>290000</v>
      </c>
      <c r="BR31" s="244">
        <f>SUMIFS('ARR Looker'!$G:$G,'ARR Looker'!$B:$B,$A30,'ARR Looker'!$C:$C,BR$5)</f>
        <v>197811</v>
      </c>
      <c r="BS31" s="244">
        <f>SUMIFS('ARR Looker'!$G:$G,'ARR Looker'!$B:$B,$A30,'ARR Looker'!$C:$C,BS$5)</f>
        <v>422792</v>
      </c>
      <c r="BT31" s="244">
        <f>SUMIFS('ARR Looker'!$G:$G,'ARR Looker'!$B:$B,$A30,'ARR Looker'!$C:$C,BT$5)</f>
        <v>138500</v>
      </c>
      <c r="BU31" s="244">
        <f>SUMIFS('ARR Looker'!$G:$G,'ARR Looker'!$B:$B,$A30,'ARR Looker'!$C:$C,BU$5)</f>
        <v>862232</v>
      </c>
      <c r="BV31" s="244">
        <f>SUMIFS('ARR Looker'!$G:$G,'ARR Looker'!$B:$B,$A30,'ARR Looker'!$C:$C,BV$5)</f>
        <v>1046256.26</v>
      </c>
      <c r="BW31" s="244">
        <f>SUMIFS('ARR Looker'!$G:$G,'ARR Looker'!$B:$B,$A30,'ARR Looker'!$C:$C,BW$5)</f>
        <v>394742.64</v>
      </c>
      <c r="BX31" s="244">
        <f>SUMIFS('ARR Looker'!$G:$G,'ARR Looker'!$B:$B,$A30,'ARR Looker'!$C:$C,BX$5)</f>
        <v>487907</v>
      </c>
      <c r="BY31" s="244">
        <f>SUMIFS('ARR Looker'!$G:$G,'ARR Looker'!$B:$B,$A30,'ARR Looker'!$C:$C,BY$5)</f>
        <v>368082.17</v>
      </c>
      <c r="BZ31" s="244">
        <f>SUMIFS('ARR Looker'!$G:$G,'ARR Looker'!$B:$B,$A30,'ARR Looker'!$C:$C,BZ$5)</f>
        <v>600800.01</v>
      </c>
      <c r="CA31" s="244">
        <f>SUMIFS('ARR Looker'!$G:$G,'ARR Looker'!$B:$B,$A30,'ARR Looker'!$C:$C,CA$5)</f>
        <v>217572.88</v>
      </c>
      <c r="CB31" s="244">
        <f>SUMIFS('ARR Looker'!$G:$G,'ARR Looker'!$B:$B,$A30,'ARR Looker'!$C:$C,CB$5)</f>
        <v>957898.96</v>
      </c>
      <c r="CC31" s="244">
        <f>SUMIFS('ARR Looker'!$G:$G,'ARR Looker'!$B:$B,$A30,'ARR Looker'!$C:$C,CC$5)</f>
        <v>161229.98000000001</v>
      </c>
      <c r="CD31" s="244">
        <f>SUMIFS('ARR Looker'!$G:$G,'ARR Looker'!$B:$B,$A30,'ARR Looker'!$C:$C,CD$5)</f>
        <v>1290770.5900000001</v>
      </c>
      <c r="CE31" s="244">
        <f>SUMIFS('ARR Looker'!$G:$G,'ARR Looker'!$B:$B,$A30,'ARR Looker'!$C:$C,CE$5)</f>
        <v>803268.69</v>
      </c>
      <c r="CF31" s="244">
        <f>SUMIFS('ARR Looker'!$G:$G,'ARR Looker'!$B:$B,$A30,'ARR Looker'!$C:$C,CF$5)</f>
        <v>295238.63208800001</v>
      </c>
      <c r="CG31" s="244">
        <f>SUMIFS('ARR Looker'!$G:$G,'ARR Looker'!$B:$B,$A30,'ARR Looker'!$C:$C,CG$5)</f>
        <v>969773.81329700002</v>
      </c>
      <c r="CH31" s="244">
        <f>SUMIFS('ARR Looker'!$G:$G,'ARR Looker'!$B:$B,$A30,'ARR Looker'!$C:$C,CH$5)</f>
        <v>926089.69</v>
      </c>
      <c r="CI31" s="55">
        <f>SUMIFS('ARR Looker'!$G:$G,'ARR Looker'!$B:$B,$A30,'ARR Looker'!$C:$C,CI$5)</f>
        <v>317615.01</v>
      </c>
      <c r="CJ31" s="55">
        <f>SUMIFS('ARR Looker'!$G:$G,'ARR Looker'!$B:$B,$A30,'ARR Looker'!$C:$C,CJ$5)</f>
        <v>445330.75</v>
      </c>
      <c r="CK31" s="55">
        <f>SUMIFS('ARR Looker'!$G:$G,'ARR Looker'!$B:$B,$A30,'ARR Looker'!$C:$C,CK$5)</f>
        <v>714779.69</v>
      </c>
      <c r="CL31" s="55">
        <f>SUMIFS('ARR Looker'!$G:$G,'ARR Looker'!$B:$B,$A30,'ARR Looker'!$C:$C,CL$5)</f>
        <v>590275.79</v>
      </c>
      <c r="CM31" s="55">
        <f>SUMIFS('ARR Looker'!$G:$G,'ARR Looker'!$B:$B,$A30,'ARR Looker'!$C:$C,CM$5)</f>
        <v>1077791.475294</v>
      </c>
      <c r="CN31" s="55">
        <f>SUMIFS('ARR Looker'!$G:$G,'ARR Looker'!$B:$B,$A30,'ARR Looker'!$C:$C,CN$5)</f>
        <v>2358276.86</v>
      </c>
      <c r="CO31" s="55">
        <f>'22 Fcst ARR'!C16</f>
        <v>733104.9</v>
      </c>
      <c r="CP31" s="55">
        <f>'22 Fcst ARR'!D16</f>
        <v>1710578.1</v>
      </c>
      <c r="CQ31" s="55">
        <f>'22 Fcst ARR'!E16</f>
        <v>2443683</v>
      </c>
      <c r="CR31" s="55">
        <f>'22 Fcst ARR'!F16</f>
        <v>600806.3666666667</v>
      </c>
      <c r="CS31" s="55">
        <f>'22 Fcst ARR'!G16</f>
        <v>2403225.4666666668</v>
      </c>
      <c r="CT31" s="55">
        <f>'22 Fcst ARR'!H16</f>
        <v>3004031.833333333</v>
      </c>
      <c r="CU31" s="20">
        <f>CU85</f>
        <v>633822.40923954116</v>
      </c>
      <c r="CV31" s="20">
        <f t="shared" ref="CV31:FB31" si="305">CV85</f>
        <v>1393006.8656497854</v>
      </c>
      <c r="CW31" s="20">
        <f t="shared" si="305"/>
        <v>2767951.4210717855</v>
      </c>
      <c r="CX31" s="20">
        <f t="shared" si="305"/>
        <v>1106736.54343195</v>
      </c>
      <c r="CY31" s="20">
        <f t="shared" si="305"/>
        <v>2170715.267003139</v>
      </c>
      <c r="CZ31" s="20">
        <f t="shared" si="305"/>
        <v>3102032.0053167762</v>
      </c>
      <c r="DA31" s="20">
        <f t="shared" si="305"/>
        <v>1062723.4435581309</v>
      </c>
      <c r="DB31" s="20">
        <f t="shared" si="305"/>
        <v>1894941.1518047724</v>
      </c>
      <c r="DC31" s="20">
        <f t="shared" si="305"/>
        <v>3331757.2651577452</v>
      </c>
      <c r="DD31" s="20">
        <f t="shared" si="305"/>
        <v>1430662.2933670613</v>
      </c>
      <c r="DE31" s="20">
        <f t="shared" si="305"/>
        <v>3816189.9878157275</v>
      </c>
      <c r="DF31" s="20">
        <f t="shared" si="305"/>
        <v>4382577.206438208</v>
      </c>
      <c r="DG31" s="20">
        <f t="shared" si="305"/>
        <v>1138644.2300083137</v>
      </c>
      <c r="DH31" s="20">
        <f t="shared" si="305"/>
        <v>2405057.4184193322</v>
      </c>
      <c r="DI31" s="20">
        <f t="shared" si="305"/>
        <v>4698634.3003193205</v>
      </c>
      <c r="DJ31" s="20">
        <f t="shared" si="305"/>
        <v>2026951.4986320673</v>
      </c>
      <c r="DK31" s="20">
        <f t="shared" si="305"/>
        <v>3801799.0687345243</v>
      </c>
      <c r="DL31" s="20">
        <f t="shared" si="305"/>
        <v>5355350.1063376805</v>
      </c>
      <c r="DM31" s="20">
        <f t="shared" si="305"/>
        <v>1772753.6084173045</v>
      </c>
      <c r="DN31" s="20">
        <f t="shared" si="305"/>
        <v>3160995.25700978</v>
      </c>
      <c r="DO31" s="20">
        <f t="shared" si="305"/>
        <v>5557781.518777498</v>
      </c>
      <c r="DP31" s="20">
        <f t="shared" si="305"/>
        <v>2124391.9356779992</v>
      </c>
      <c r="DQ31" s="20">
        <f t="shared" si="305"/>
        <v>6103745.9754780633</v>
      </c>
      <c r="DR31" s="20">
        <f t="shared" si="305"/>
        <v>7048549.6228058264</v>
      </c>
      <c r="DS31" s="20">
        <f t="shared" si="305"/>
        <v>1849722.6468696604</v>
      </c>
      <c r="DT31" s="20">
        <f t="shared" si="305"/>
        <v>3907005.4162920029</v>
      </c>
      <c r="DU31" s="20">
        <f t="shared" si="305"/>
        <v>7632911.1812174823</v>
      </c>
      <c r="DV31" s="20">
        <f t="shared" si="305"/>
        <v>3292773.9783116961</v>
      </c>
      <c r="DW31" s="20">
        <f t="shared" si="305"/>
        <v>6176006.2106799483</v>
      </c>
      <c r="DX31" s="20">
        <f t="shared" si="305"/>
        <v>8699743.1792512778</v>
      </c>
      <c r="DY31" s="20">
        <f t="shared" si="305"/>
        <v>2879830.6006305902</v>
      </c>
      <c r="DZ31" s="20">
        <f t="shared" si="305"/>
        <v>5135023.1788342539</v>
      </c>
      <c r="EA31" s="20">
        <f t="shared" si="305"/>
        <v>9028592.1367742177</v>
      </c>
      <c r="EB31" s="20">
        <f t="shared" si="305"/>
        <v>3451065.5485622394</v>
      </c>
      <c r="EC31" s="20">
        <f t="shared" si="305"/>
        <v>9915509.0449093878</v>
      </c>
      <c r="ED31" s="20">
        <f t="shared" si="305"/>
        <v>11450338.50019452</v>
      </c>
      <c r="EE31" s="20">
        <f t="shared" si="305"/>
        <v>2895669.0951399491</v>
      </c>
      <c r="EF31" s="20">
        <f t="shared" si="305"/>
        <v>6116265.5156150749</v>
      </c>
      <c r="EG31" s="20">
        <f t="shared" si="305"/>
        <v>11949026.547739003</v>
      </c>
      <c r="EH31" s="20">
        <f t="shared" si="305"/>
        <v>5154710.0114788515</v>
      </c>
      <c r="EI31" s="20">
        <f t="shared" si="305"/>
        <v>9668298.2964626458</v>
      </c>
      <c r="EJ31" s="20">
        <f t="shared" si="305"/>
        <v>13619110.682590678</v>
      </c>
      <c r="EK31" s="20">
        <f t="shared" si="305"/>
        <v>4508263.1623701593</v>
      </c>
      <c r="EL31" s="20">
        <f t="shared" si="305"/>
        <v>8038679.7160868663</v>
      </c>
      <c r="EM31" s="20">
        <f t="shared" si="305"/>
        <v>14133910.97704545</v>
      </c>
      <c r="EN31" s="20">
        <f t="shared" si="305"/>
        <v>5402509.3281879639</v>
      </c>
      <c r="EO31" s="20">
        <f t="shared" si="305"/>
        <v>15522345.013461862</v>
      </c>
      <c r="EP31" s="20">
        <f t="shared" si="305"/>
        <v>17925061.0246979</v>
      </c>
      <c r="EQ31" s="20">
        <f t="shared" si="305"/>
        <v>4373745.8730237298</v>
      </c>
      <c r="ER31" s="20">
        <f t="shared" si="305"/>
        <v>9238276.2595827281</v>
      </c>
      <c r="ES31" s="20">
        <f t="shared" si="305"/>
        <v>18048334.886586413</v>
      </c>
      <c r="ET31" s="20">
        <f t="shared" si="305"/>
        <v>7785900.563424048</v>
      </c>
      <c r="EU31" s="20">
        <f t="shared" si="305"/>
        <v>14603422.692285258</v>
      </c>
      <c r="EV31" s="20">
        <f t="shared" si="305"/>
        <v>20570903.368140373</v>
      </c>
      <c r="EW31" s="20">
        <f t="shared" si="305"/>
        <v>6809478.8296134416</v>
      </c>
      <c r="EX31" s="20">
        <f t="shared" si="305"/>
        <v>12141975.162771577</v>
      </c>
      <c r="EY31" s="20">
        <f t="shared" si="305"/>
        <v>21348480.359614309</v>
      </c>
      <c r="EZ31" s="20">
        <f t="shared" si="305"/>
        <v>8160187.5427662777</v>
      </c>
      <c r="FA31" s="20">
        <f t="shared" si="305"/>
        <v>23445632.153282382</v>
      </c>
      <c r="FB31" s="20">
        <f t="shared" si="305"/>
        <v>27074800.021886431</v>
      </c>
    </row>
    <row r="32" spans="1:158" x14ac:dyDescent="0.25">
      <c r="A32" s="292" t="s">
        <v>609</v>
      </c>
      <c r="C32" s="258" t="s">
        <v>583</v>
      </c>
      <c r="D32" s="244">
        <f t="shared" si="267"/>
        <v>-250321</v>
      </c>
      <c r="E32" s="244">
        <f t="shared" si="267"/>
        <v>-339419.07</v>
      </c>
      <c r="F32" s="244">
        <f t="shared" si="267"/>
        <v>-466971.60076899995</v>
      </c>
      <c r="G32" s="244">
        <f t="shared" si="267"/>
        <v>-788183.57850139972</v>
      </c>
      <c r="H32" s="244">
        <f t="shared" si="267"/>
        <v>-1377628.5259046492</v>
      </c>
      <c r="I32" s="244">
        <f t="shared" si="267"/>
        <v>-2215966.6030625738</v>
      </c>
      <c r="J32" s="244">
        <f t="shared" si="267"/>
        <v>-3546103.5373059665</v>
      </c>
      <c r="K32" s="244">
        <f t="shared" si="267"/>
        <v>-5596388.5535649722</v>
      </c>
      <c r="L32" s="244">
        <f t="shared" si="267"/>
        <v>-8672875.4296420012</v>
      </c>
      <c r="M32" s="244"/>
      <c r="N32" s="294">
        <f t="shared" si="268"/>
        <v>-27800</v>
      </c>
      <c r="O32" s="294">
        <f t="shared" si="270"/>
        <v>0</v>
      </c>
      <c r="P32" s="294">
        <f t="shared" si="271"/>
        <v>-69577</v>
      </c>
      <c r="Q32" s="294">
        <f t="shared" si="272"/>
        <v>-152944</v>
      </c>
      <c r="R32" s="294">
        <f t="shared" si="273"/>
        <v>-101455.77</v>
      </c>
      <c r="S32" s="294">
        <f t="shared" si="274"/>
        <v>-132720</v>
      </c>
      <c r="T32" s="294">
        <f t="shared" si="275"/>
        <v>-20250</v>
      </c>
      <c r="U32" s="294">
        <f t="shared" si="276"/>
        <v>-84993.3</v>
      </c>
      <c r="V32" s="294">
        <f t="shared" si="277"/>
        <v>-31354</v>
      </c>
      <c r="W32" s="294">
        <f t="shared" si="278"/>
        <v>-219721.23076900002</v>
      </c>
      <c r="X32" s="294">
        <f t="shared" si="279"/>
        <v>-71732.539999999994</v>
      </c>
      <c r="Y32" s="294">
        <f t="shared" si="280"/>
        <v>-144163.82999999999</v>
      </c>
      <c r="Z32" s="294">
        <f t="shared" si="281"/>
        <v>-391015.83</v>
      </c>
      <c r="AA32" s="294">
        <f t="shared" si="282"/>
        <v>-101708.23999999999</v>
      </c>
      <c r="AB32" s="294">
        <f t="shared" si="283"/>
        <v>-136984.82022687755</v>
      </c>
      <c r="AC32" s="294">
        <f t="shared" si="284"/>
        <v>-158474.68827452211</v>
      </c>
      <c r="AD32" s="294">
        <f t="shared" si="285"/>
        <v>-283459.28493081487</v>
      </c>
      <c r="AE32" s="294">
        <f t="shared" si="286"/>
        <v>-319279.25111393956</v>
      </c>
      <c r="AF32" s="294">
        <f t="shared" si="287"/>
        <v>-292627.59022584202</v>
      </c>
      <c r="AG32" s="294">
        <f t="shared" si="288"/>
        <v>-482262.39963405253</v>
      </c>
      <c r="AH32" s="294">
        <f t="shared" si="289"/>
        <v>-455954.77802857256</v>
      </c>
      <c r="AI32" s="294">
        <f t="shared" si="290"/>
        <v>-513572.52279217727</v>
      </c>
      <c r="AJ32" s="294">
        <f t="shared" si="291"/>
        <v>-470702.33730048931</v>
      </c>
      <c r="AK32" s="294">
        <f t="shared" si="292"/>
        <v>-775736.96494133421</v>
      </c>
      <c r="AL32" s="294">
        <f t="shared" si="293"/>
        <v>-729642.24685701262</v>
      </c>
      <c r="AM32" s="294">
        <f t="shared" si="294"/>
        <v>-821845.1204181182</v>
      </c>
      <c r="AN32" s="294">
        <f t="shared" si="295"/>
        <v>-753242.04841922806</v>
      </c>
      <c r="AO32" s="294">
        <f t="shared" si="296"/>
        <v>-1241374.1216116075</v>
      </c>
      <c r="AP32" s="294">
        <f t="shared" si="297"/>
        <v>-1151506.5692667875</v>
      </c>
      <c r="AQ32" s="294">
        <f t="shared" si="298"/>
        <v>-1297019.2709616697</v>
      </c>
      <c r="AR32" s="294">
        <f t="shared" si="299"/>
        <v>-1188751.296596302</v>
      </c>
      <c r="AS32" s="294">
        <f t="shared" si="300"/>
        <v>-1959111.4167402128</v>
      </c>
      <c r="AT32" s="294">
        <f t="shared" si="301"/>
        <v>-1784521.0238848603</v>
      </c>
      <c r="AU32" s="294">
        <f t="shared" si="302"/>
        <v>-2010026.0121735041</v>
      </c>
      <c r="AV32" s="294">
        <f t="shared" si="303"/>
        <v>-1842240.1899949571</v>
      </c>
      <c r="AW32" s="294">
        <f t="shared" si="304"/>
        <v>-3036088.2035886785</v>
      </c>
      <c r="AX32" s="244"/>
      <c r="AY32" s="244">
        <f>SUMIFS('ARR Looker'!$F:$F,'ARR Looker'!$B:$B,$A31,'ARR Looker'!$C:$C,AY$5)</f>
        <v>-7200</v>
      </c>
      <c r="AZ32" s="244">
        <f>SUMIFS('ARR Looker'!$F:$F,'ARR Looker'!$B:$B,$A31,'ARR Looker'!$C:$C,AZ$5)</f>
        <v>0</v>
      </c>
      <c r="BA32" s="244">
        <f>SUMIFS('ARR Looker'!$F:$F,'ARR Looker'!$B:$B,$A31,'ARR Looker'!$C:$C,BA$5)</f>
        <v>-20600</v>
      </c>
      <c r="BB32" s="244">
        <f>SUMIFS('ARR Looker'!$F:$F,'ARR Looker'!$B:$B,$A31,'ARR Looker'!$C:$C,BB$5)</f>
        <v>0</v>
      </c>
      <c r="BC32" s="244">
        <f>SUMIFS('ARR Looker'!$F:$F,'ARR Looker'!$B:$B,$A31,'ARR Looker'!$C:$C,BC$5)</f>
        <v>0</v>
      </c>
      <c r="BD32" s="244">
        <f>SUMIFS('ARR Looker'!$F:$F,'ARR Looker'!$B:$B,$A31,'ARR Looker'!$C:$C,BD$5)</f>
        <v>0</v>
      </c>
      <c r="BE32" s="244">
        <f>SUMIFS('ARR Looker'!$F:$F,'ARR Looker'!$B:$B,$A31,'ARR Looker'!$C:$C,BE$5)</f>
        <v>-60000</v>
      </c>
      <c r="BF32" s="244">
        <f>SUMIFS('ARR Looker'!$F:$F,'ARR Looker'!$B:$B,$A31,'ARR Looker'!$C:$C,BF$5)</f>
        <v>-3577</v>
      </c>
      <c r="BG32" s="244">
        <f>SUMIFS('ARR Looker'!$F:$F,'ARR Looker'!$B:$B,$A31,'ARR Looker'!$C:$C,BG$5)</f>
        <v>-6000</v>
      </c>
      <c r="BH32" s="244">
        <f>SUMIFS('ARR Looker'!$F:$F,'ARR Looker'!$B:$B,$A31,'ARR Looker'!$C:$C,BH$5)</f>
        <v>-75000</v>
      </c>
      <c r="BI32" s="244">
        <f>SUMIFS('ARR Looker'!$F:$F,'ARR Looker'!$B:$B,$A31,'ARR Looker'!$C:$C,BI$5)</f>
        <v>-38944</v>
      </c>
      <c r="BJ32" s="244">
        <f>SUMIFS('ARR Looker'!$F:$F,'ARR Looker'!$B:$B,$A31,'ARR Looker'!$C:$C,BJ$5)</f>
        <v>-39000</v>
      </c>
      <c r="BK32" s="244">
        <f>SUMIFS('ARR Looker'!$F:$F,'ARR Looker'!$B:$B,$A31,'ARR Looker'!$C:$C,BK$5)</f>
        <v>-49000</v>
      </c>
      <c r="BL32" s="244">
        <f>SUMIFS('ARR Looker'!$F:$F,'ARR Looker'!$B:$B,$A31,'ARR Looker'!$C:$C,BL$5)</f>
        <v>-40000</v>
      </c>
      <c r="BM32" s="244">
        <f>SUMIFS('ARR Looker'!$F:$F,'ARR Looker'!$B:$B,$A31,'ARR Looker'!$C:$C,BM$5)</f>
        <v>-12455.77</v>
      </c>
      <c r="BN32" s="244">
        <f>SUMIFS('ARR Looker'!$F:$F,'ARR Looker'!$B:$B,$A31,'ARR Looker'!$C:$C,BN$5)</f>
        <v>-22500</v>
      </c>
      <c r="BO32" s="244">
        <f>SUMIFS('ARR Looker'!$F:$F,'ARR Looker'!$B:$B,$A31,'ARR Looker'!$C:$C,BO$5)</f>
        <v>-19000</v>
      </c>
      <c r="BP32" s="244">
        <f>SUMIFS('ARR Looker'!$F:$F,'ARR Looker'!$B:$B,$A31,'ARR Looker'!$C:$C,BP$5)</f>
        <v>-91220</v>
      </c>
      <c r="BQ32" s="244">
        <f>SUMIFS('ARR Looker'!$F:$F,'ARR Looker'!$B:$B,$A31,'ARR Looker'!$C:$C,BQ$5)</f>
        <v>0</v>
      </c>
      <c r="BR32" s="244">
        <f>SUMIFS('ARR Looker'!$F:$F,'ARR Looker'!$B:$B,$A31,'ARR Looker'!$C:$C,BR$5)</f>
        <v>-6750</v>
      </c>
      <c r="BS32" s="244">
        <f>SUMIFS('ARR Looker'!$F:$F,'ARR Looker'!$B:$B,$A31,'ARR Looker'!$C:$C,BS$5)</f>
        <v>-13500</v>
      </c>
      <c r="BT32" s="244">
        <f>SUMIFS('ARR Looker'!$F:$F,'ARR Looker'!$B:$B,$A31,'ARR Looker'!$C:$C,BT$5)</f>
        <v>-73500</v>
      </c>
      <c r="BU32" s="244">
        <f>SUMIFS('ARR Looker'!$F:$F,'ARR Looker'!$B:$B,$A31,'ARR Looker'!$C:$C,BU$5)</f>
        <v>0</v>
      </c>
      <c r="BV32" s="244">
        <f>SUMIFS('ARR Looker'!$F:$F,'ARR Looker'!$B:$B,$A31,'ARR Looker'!$C:$C,BV$5)</f>
        <v>-11493.3</v>
      </c>
      <c r="BW32" s="244">
        <f>SUMIFS('ARR Looker'!$F:$F,'ARR Looker'!$B:$B,$A31,'ARR Looker'!$C:$C,BW$5)</f>
        <v>-468</v>
      </c>
      <c r="BX32" s="244">
        <f>SUMIFS('ARR Looker'!$F:$F,'ARR Looker'!$B:$B,$A31,'ARR Looker'!$C:$C,BX$5)</f>
        <v>-12500</v>
      </c>
      <c r="BY32" s="244">
        <f>SUMIFS('ARR Looker'!$F:$F,'ARR Looker'!$B:$B,$A31,'ARR Looker'!$C:$C,BY$5)</f>
        <v>-18386</v>
      </c>
      <c r="BZ32" s="244">
        <f>SUMIFS('ARR Looker'!$F:$F,'ARR Looker'!$B:$B,$A31,'ARR Looker'!$C:$C,BZ$5)</f>
        <v>-120177</v>
      </c>
      <c r="CA32" s="244">
        <f>SUMIFS('ARR Looker'!$F:$F,'ARR Looker'!$B:$B,$A31,'ARR Looker'!$C:$C,CA$5)</f>
        <v>-32519.230769000002</v>
      </c>
      <c r="CB32" s="244">
        <f>SUMIFS('ARR Looker'!$F:$F,'ARR Looker'!$B:$B,$A31,'ARR Looker'!$C:$C,CB$5)</f>
        <v>-67025</v>
      </c>
      <c r="CC32" s="244">
        <f>SUMIFS('ARR Looker'!$F:$F,'ARR Looker'!$B:$B,$A31,'ARR Looker'!$C:$C,CC$5)</f>
        <v>-40183.339999999997</v>
      </c>
      <c r="CD32" s="244">
        <f>SUMIFS('ARR Looker'!$F:$F,'ARR Looker'!$B:$B,$A31,'ARR Looker'!$C:$C,CD$5)</f>
        <v>-13500</v>
      </c>
      <c r="CE32" s="244">
        <f>SUMIFS('ARR Looker'!$F:$F,'ARR Looker'!$B:$B,$A31,'ARR Looker'!$C:$C,CE$5)</f>
        <v>-18049.2</v>
      </c>
      <c r="CF32" s="244">
        <f>SUMIFS('ARR Looker'!$F:$F,'ARR Looker'!$B:$B,$A31,'ARR Looker'!$C:$C,CF$5)</f>
        <v>0</v>
      </c>
      <c r="CG32" s="244">
        <f>SUMIFS('ARR Looker'!$F:$F,'ARR Looker'!$B:$B,$A31,'ARR Looker'!$C:$C,CG$5)</f>
        <v>-86200.23</v>
      </c>
      <c r="CH32" s="244">
        <f>SUMIFS('ARR Looker'!$F:$F,'ARR Looker'!$B:$B,$A31,'ARR Looker'!$C:$C,CH$5)</f>
        <v>-57963.6</v>
      </c>
      <c r="CI32" s="55">
        <f>SUMIFS('ARR Looker'!$F:$F,'ARR Looker'!$B:$B,$A31,'ARR Looker'!$C:$C,CI$5)</f>
        <v>0</v>
      </c>
      <c r="CJ32" s="55">
        <f>SUMIFS('ARR Looker'!$F:$F,'ARR Looker'!$B:$B,$A31,'ARR Looker'!$C:$C,CJ$5)</f>
        <v>-267166.83</v>
      </c>
      <c r="CK32" s="55">
        <f>SUMIFS('ARR Looker'!$F:$F,'ARR Looker'!$B:$B,$A31,'ARR Looker'!$C:$C,CK$5)</f>
        <v>-123849</v>
      </c>
      <c r="CL32" s="55">
        <f>SUMIFS('ARR Looker'!$F:$F,'ARR Looker'!$B:$B,$A31,'ARR Looker'!$C:$C,CL$5)</f>
        <v>0</v>
      </c>
      <c r="CM32" s="55">
        <f>SUMIFS('ARR Looker'!$F:$F,'ARR Looker'!$B:$B,$A31,'ARR Looker'!$C:$C,CM$5)</f>
        <v>-38000</v>
      </c>
      <c r="CN32" s="55">
        <f>SUMIFS('ARR Looker'!$F:$F,'ARR Looker'!$B:$B,$A31,'ARR Looker'!$C:$C,CN$5)</f>
        <v>-63708.24</v>
      </c>
      <c r="CO32" s="55">
        <f>'22 Fcst ARR'!C17</f>
        <v>-19353.690538258052</v>
      </c>
      <c r="CP32" s="55">
        <f>'22 Fcst ARR'!D17</f>
        <v>-44029.416689425358</v>
      </c>
      <c r="CQ32" s="55">
        <f>'22 Fcst ARR'!E17</f>
        <v>-73601.712999194133</v>
      </c>
      <c r="CR32" s="55">
        <f>'22 Fcst ARR'!F17</f>
        <v>-23436.213232123002</v>
      </c>
      <c r="CS32" s="55">
        <f>'22 Fcst ARR'!G17</f>
        <v>-77024.111806279878</v>
      </c>
      <c r="CT32" s="55">
        <f>'22 Fcst ARR'!H17</f>
        <v>-58014.363236119229</v>
      </c>
      <c r="CU32" s="20">
        <f>CU109</f>
        <v>-61353.505009180801</v>
      </c>
      <c r="CV32" s="20">
        <f t="shared" ref="CV32:FB32" si="306">CV109</f>
        <v>-77598.641403002577</v>
      </c>
      <c r="CW32" s="20">
        <f t="shared" si="306"/>
        <v>-144507.13851863146</v>
      </c>
      <c r="CX32" s="20">
        <f t="shared" si="306"/>
        <v>-95817.634059311924</v>
      </c>
      <c r="CY32" s="20">
        <f t="shared" si="306"/>
        <v>-78500.704919620126</v>
      </c>
      <c r="CZ32" s="20">
        <f t="shared" si="306"/>
        <v>-144960.91213500747</v>
      </c>
      <c r="DA32" s="20">
        <f t="shared" si="306"/>
        <v>-96638.8091190712</v>
      </c>
      <c r="DB32" s="20">
        <f t="shared" si="306"/>
        <v>-75807.721782903216</v>
      </c>
      <c r="DC32" s="20">
        <f t="shared" si="306"/>
        <v>-120181.05932386762</v>
      </c>
      <c r="DD32" s="20">
        <f t="shared" si="306"/>
        <v>-95004.641897831083</v>
      </c>
      <c r="DE32" s="20">
        <f t="shared" si="306"/>
        <v>-199677.53420948965</v>
      </c>
      <c r="DF32" s="20">
        <f t="shared" si="306"/>
        <v>-187580.22352673183</v>
      </c>
      <c r="DG32" s="20">
        <f t="shared" si="306"/>
        <v>-98689.389428763257</v>
      </c>
      <c r="DH32" s="20">
        <f t="shared" si="306"/>
        <v>-124820.294120408</v>
      </c>
      <c r="DI32" s="20">
        <f t="shared" si="306"/>
        <v>-232445.0944794013</v>
      </c>
      <c r="DJ32" s="20">
        <f t="shared" si="306"/>
        <v>-154126.21985340794</v>
      </c>
      <c r="DK32" s="20">
        <f t="shared" si="306"/>
        <v>-126271.29675941984</v>
      </c>
      <c r="DL32" s="20">
        <f t="shared" si="306"/>
        <v>-233175.00617934953</v>
      </c>
      <c r="DM32" s="20">
        <f t="shared" si="306"/>
        <v>-155447.11040806564</v>
      </c>
      <c r="DN32" s="20">
        <f t="shared" si="306"/>
        <v>-121939.53345649563</v>
      </c>
      <c r="DO32" s="20">
        <f t="shared" si="306"/>
        <v>-193315.69343592806</v>
      </c>
      <c r="DP32" s="20">
        <f t="shared" si="306"/>
        <v>-152818.49179427081</v>
      </c>
      <c r="DQ32" s="20">
        <f t="shared" si="306"/>
        <v>-321188.72313532454</v>
      </c>
      <c r="DR32" s="20">
        <f t="shared" si="306"/>
        <v>-301729.75001173891</v>
      </c>
      <c r="DS32" s="20">
        <f t="shared" si="306"/>
        <v>-157927.82818307725</v>
      </c>
      <c r="DT32" s="20">
        <f t="shared" si="306"/>
        <v>-199743.84356525037</v>
      </c>
      <c r="DU32" s="20">
        <f t="shared" si="306"/>
        <v>-371970.57510868501</v>
      </c>
      <c r="DV32" s="20">
        <f t="shared" si="306"/>
        <v>-246640.69063965662</v>
      </c>
      <c r="DW32" s="20">
        <f t="shared" si="306"/>
        <v>-202065.81249011095</v>
      </c>
      <c r="DX32" s="20">
        <f t="shared" si="306"/>
        <v>-373138.61728835059</v>
      </c>
      <c r="DY32" s="20">
        <f t="shared" si="306"/>
        <v>-248754.44752651229</v>
      </c>
      <c r="DZ32" s="20">
        <f t="shared" si="306"/>
        <v>-195133.9024378375</v>
      </c>
      <c r="EA32" s="20">
        <f t="shared" si="306"/>
        <v>-309353.69845487823</v>
      </c>
      <c r="EB32" s="20">
        <f t="shared" si="306"/>
        <v>-244547.99705396293</v>
      </c>
      <c r="EC32" s="20">
        <f t="shared" si="306"/>
        <v>-513982.68623672001</v>
      </c>
      <c r="ED32" s="20">
        <f t="shared" si="306"/>
        <v>-482843.43832092453</v>
      </c>
      <c r="EE32" s="20">
        <f t="shared" si="306"/>
        <v>-249238.48969300147</v>
      </c>
      <c r="EF32" s="20">
        <f t="shared" si="306"/>
        <v>-315231.67555984115</v>
      </c>
      <c r="EG32" s="20">
        <f t="shared" si="306"/>
        <v>-587036.40401394491</v>
      </c>
      <c r="EH32" s="20">
        <f t="shared" si="306"/>
        <v>-389243.32677205704</v>
      </c>
      <c r="EI32" s="20">
        <f t="shared" si="306"/>
        <v>-318896.1597397633</v>
      </c>
      <c r="EJ32" s="20">
        <f t="shared" si="306"/>
        <v>-588879.78444984939</v>
      </c>
      <c r="EK32" s="20">
        <f t="shared" si="306"/>
        <v>-392579.21494400967</v>
      </c>
      <c r="EL32" s="20">
        <f t="shared" si="306"/>
        <v>-307956.36013640556</v>
      </c>
      <c r="EM32" s="20">
        <f t="shared" si="306"/>
        <v>-488215.72151588672</v>
      </c>
      <c r="EN32" s="20">
        <f t="shared" si="306"/>
        <v>-385940.68027403846</v>
      </c>
      <c r="EO32" s="20">
        <f t="shared" si="306"/>
        <v>-811157.03242298472</v>
      </c>
      <c r="EP32" s="20">
        <f t="shared" si="306"/>
        <v>-762013.70404318976</v>
      </c>
      <c r="EQ32" s="20">
        <f t="shared" si="306"/>
        <v>-386251.66081481904</v>
      </c>
      <c r="ER32" s="20">
        <f t="shared" si="306"/>
        <v>-488523.09439205291</v>
      </c>
      <c r="ES32" s="20">
        <f t="shared" si="306"/>
        <v>-909746.26867798844</v>
      </c>
      <c r="ET32" s="20">
        <f t="shared" si="306"/>
        <v>-603220.96162587206</v>
      </c>
      <c r="EU32" s="20">
        <f t="shared" si="306"/>
        <v>-494202.04511217627</v>
      </c>
      <c r="EV32" s="20">
        <f t="shared" si="306"/>
        <v>-912603.00543545571</v>
      </c>
      <c r="EW32" s="20">
        <f t="shared" si="306"/>
        <v>-608390.67818247736</v>
      </c>
      <c r="EX32" s="20">
        <f t="shared" si="306"/>
        <v>-477248.34036543762</v>
      </c>
      <c r="EY32" s="20">
        <f t="shared" si="306"/>
        <v>-756601.17144704214</v>
      </c>
      <c r="EZ32" s="20">
        <f t="shared" si="306"/>
        <v>-598102.76059474237</v>
      </c>
      <c r="FA32" s="20">
        <f t="shared" si="306"/>
        <v>-1257072.0972547904</v>
      </c>
      <c r="FB32" s="20">
        <f t="shared" si="306"/>
        <v>-1180913.345739146</v>
      </c>
    </row>
    <row r="33" spans="1:158" x14ac:dyDescent="0.25">
      <c r="A33" s="292" t="s">
        <v>609</v>
      </c>
      <c r="C33" s="258" t="s">
        <v>22</v>
      </c>
      <c r="D33" s="295">
        <f t="shared" si="267"/>
        <v>-215790</v>
      </c>
      <c r="E33" s="295">
        <f t="shared" si="267"/>
        <v>-168865</v>
      </c>
      <c r="F33" s="295">
        <f t="shared" si="267"/>
        <v>-899788.01</v>
      </c>
      <c r="G33" s="295">
        <f t="shared" si="267"/>
        <v>-391570.9869096594</v>
      </c>
      <c r="H33" s="295">
        <f t="shared" si="267"/>
        <v>-684408.27263749531</v>
      </c>
      <c r="I33" s="295">
        <f t="shared" si="267"/>
        <v>-1100896.102618454</v>
      </c>
      <c r="J33" s="295">
        <f t="shared" si="267"/>
        <v>-1761710.4690595446</v>
      </c>
      <c r="K33" s="295">
        <f t="shared" si="267"/>
        <v>-2780295.6681943424</v>
      </c>
      <c r="L33" s="295">
        <f t="shared" si="267"/>
        <v>-4308699.7546770424</v>
      </c>
      <c r="M33" s="244"/>
      <c r="N33" s="295">
        <f t="shared" si="268"/>
        <v>-36099</v>
      </c>
      <c r="O33" s="295">
        <f t="shared" si="270"/>
        <v>-159691</v>
      </c>
      <c r="P33" s="295">
        <f t="shared" si="271"/>
        <v>0</v>
      </c>
      <c r="Q33" s="295">
        <f t="shared" si="272"/>
        <v>-20000</v>
      </c>
      <c r="R33" s="295">
        <f t="shared" si="273"/>
        <v>-12000</v>
      </c>
      <c r="S33" s="295">
        <f t="shared" si="274"/>
        <v>-94565</v>
      </c>
      <c r="T33" s="295">
        <f t="shared" si="275"/>
        <v>0</v>
      </c>
      <c r="U33" s="295">
        <f t="shared" si="276"/>
        <v>-62300</v>
      </c>
      <c r="V33" s="295">
        <f t="shared" si="277"/>
        <v>-72400</v>
      </c>
      <c r="W33" s="295">
        <f t="shared" si="278"/>
        <v>-319000</v>
      </c>
      <c r="X33" s="295">
        <f t="shared" si="279"/>
        <v>-201400.01</v>
      </c>
      <c r="Y33" s="295">
        <f t="shared" si="280"/>
        <v>-306988</v>
      </c>
      <c r="Z33" s="295">
        <f t="shared" si="281"/>
        <v>-63000</v>
      </c>
      <c r="AA33" s="295">
        <f t="shared" si="282"/>
        <v>-63750</v>
      </c>
      <c r="AB33" s="295">
        <f t="shared" si="283"/>
        <v>-122779.78619852793</v>
      </c>
      <c r="AC33" s="295">
        <f t="shared" si="284"/>
        <v>-142041.2007111315</v>
      </c>
      <c r="AD33" s="295">
        <f t="shared" si="285"/>
        <v>-140823.07088927558</v>
      </c>
      <c r="AE33" s="295">
        <f t="shared" si="286"/>
        <v>-158618.49303707643</v>
      </c>
      <c r="AF33" s="295">
        <f t="shared" si="287"/>
        <v>-145377.90107171697</v>
      </c>
      <c r="AG33" s="295">
        <f t="shared" si="288"/>
        <v>-239588.80763942632</v>
      </c>
      <c r="AH33" s="295">
        <f t="shared" si="289"/>
        <v>-226519.13499426679</v>
      </c>
      <c r="AI33" s="295">
        <f t="shared" si="290"/>
        <v>-255143.73184705887</v>
      </c>
      <c r="AJ33" s="295">
        <f t="shared" si="291"/>
        <v>-233845.74835709881</v>
      </c>
      <c r="AK33" s="295">
        <f t="shared" si="292"/>
        <v>-385387.48742002959</v>
      </c>
      <c r="AL33" s="295">
        <f t="shared" si="293"/>
        <v>-362487.5504714342</v>
      </c>
      <c r="AM33" s="295">
        <f t="shared" si="294"/>
        <v>-408294.10008881439</v>
      </c>
      <c r="AN33" s="295">
        <f t="shared" si="295"/>
        <v>-374211.97336052696</v>
      </c>
      <c r="AO33" s="295">
        <f t="shared" si="296"/>
        <v>-616716.84513876925</v>
      </c>
      <c r="AP33" s="295">
        <f t="shared" si="297"/>
        <v>-572070.48720560386</v>
      </c>
      <c r="AQ33" s="295">
        <f t="shared" si="298"/>
        <v>-644361.45312358346</v>
      </c>
      <c r="AR33" s="295">
        <f t="shared" si="299"/>
        <v>-590573.73319472745</v>
      </c>
      <c r="AS33" s="295">
        <f t="shared" si="300"/>
        <v>-973289.99467042787</v>
      </c>
      <c r="AT33" s="295">
        <f t="shared" si="301"/>
        <v>-886553.18068440282</v>
      </c>
      <c r="AU33" s="295">
        <f t="shared" si="302"/>
        <v>-998584.45515617693</v>
      </c>
      <c r="AV33" s="295">
        <f t="shared" si="303"/>
        <v>-915228.16384036443</v>
      </c>
      <c r="AW33" s="295">
        <f t="shared" si="304"/>
        <v>-1508333.9549960983</v>
      </c>
      <c r="AX33" s="244"/>
      <c r="AY33" s="295">
        <f>SUMIFS('ARR Looker'!$E:$E,'ARR Looker'!$B:$B,$A32,'ARR Looker'!$C:$C,AY$5)</f>
        <v>0</v>
      </c>
      <c r="AZ33" s="295">
        <f>SUMIFS('ARR Looker'!$E:$E,'ARR Looker'!$B:$B,$A32,'ARR Looker'!$C:$C,AZ$5)</f>
        <v>-24642</v>
      </c>
      <c r="BA33" s="295">
        <f>SUMIFS('ARR Looker'!$E:$E,'ARR Looker'!$B:$B,$A32,'ARR Looker'!$C:$C,BA$5)</f>
        <v>-11457</v>
      </c>
      <c r="BB33" s="295">
        <f>SUMIFS('ARR Looker'!$E:$E,'ARR Looker'!$B:$B,$A32,'ARR Looker'!$C:$C,BB$5)</f>
        <v>0</v>
      </c>
      <c r="BC33" s="295">
        <f>SUMIFS('ARR Looker'!$E:$E,'ARR Looker'!$B:$B,$A32,'ARR Looker'!$C:$C,BC$5)</f>
        <v>0</v>
      </c>
      <c r="BD33" s="295">
        <f>SUMIFS('ARR Looker'!$E:$E,'ARR Looker'!$B:$B,$A32,'ARR Looker'!$C:$C,BD$5)</f>
        <v>-159691</v>
      </c>
      <c r="BE33" s="295">
        <f>SUMIFS('ARR Looker'!$E:$E,'ARR Looker'!$B:$B,$A32,'ARR Looker'!$C:$C,BE$5)</f>
        <v>0</v>
      </c>
      <c r="BF33" s="295">
        <f>SUMIFS('ARR Looker'!$E:$E,'ARR Looker'!$B:$B,$A32,'ARR Looker'!$C:$C,BF$5)</f>
        <v>0</v>
      </c>
      <c r="BG33" s="295">
        <f>SUMIFS('ARR Looker'!$E:$E,'ARR Looker'!$B:$B,$A32,'ARR Looker'!$C:$C,BG$5)</f>
        <v>0</v>
      </c>
      <c r="BH33" s="295">
        <f>SUMIFS('ARR Looker'!$E:$E,'ARR Looker'!$B:$B,$A32,'ARR Looker'!$C:$C,BH$5)</f>
        <v>-20000</v>
      </c>
      <c r="BI33" s="295">
        <f>SUMIFS('ARR Looker'!$E:$E,'ARR Looker'!$B:$B,$A32,'ARR Looker'!$C:$C,BI$5)</f>
        <v>0</v>
      </c>
      <c r="BJ33" s="295">
        <f>SUMIFS('ARR Looker'!$E:$E,'ARR Looker'!$B:$B,$A32,'ARR Looker'!$C:$C,BJ$5)</f>
        <v>0</v>
      </c>
      <c r="BK33" s="295">
        <f>SUMIFS('ARR Looker'!$E:$E,'ARR Looker'!$B:$B,$A32,'ARR Looker'!$C:$C,BK$5)</f>
        <v>0</v>
      </c>
      <c r="BL33" s="295">
        <f>SUMIFS('ARR Looker'!$E:$E,'ARR Looker'!$B:$B,$A32,'ARR Looker'!$C:$C,BL$5)</f>
        <v>0</v>
      </c>
      <c r="BM33" s="295">
        <f>SUMIFS('ARR Looker'!$E:$E,'ARR Looker'!$B:$B,$A32,'ARR Looker'!$C:$C,BM$5)</f>
        <v>-12000</v>
      </c>
      <c r="BN33" s="295">
        <f>SUMIFS('ARR Looker'!$E:$E,'ARR Looker'!$B:$B,$A32,'ARR Looker'!$C:$C,BN$5)</f>
        <v>0</v>
      </c>
      <c r="BO33" s="295">
        <f>SUMIFS('ARR Looker'!$E:$E,'ARR Looker'!$B:$B,$A32,'ARR Looker'!$C:$C,BO$5)</f>
        <v>-468</v>
      </c>
      <c r="BP33" s="295">
        <f>SUMIFS('ARR Looker'!$E:$E,'ARR Looker'!$B:$B,$A32,'ARR Looker'!$C:$C,BP$5)</f>
        <v>-94097</v>
      </c>
      <c r="BQ33" s="295">
        <f>SUMIFS('ARR Looker'!$E:$E,'ARR Looker'!$B:$B,$A32,'ARR Looker'!$C:$C,BQ$5)</f>
        <v>0</v>
      </c>
      <c r="BR33" s="295">
        <f>SUMIFS('ARR Looker'!$E:$E,'ARR Looker'!$B:$B,$A32,'ARR Looker'!$C:$C,BR$5)</f>
        <v>0</v>
      </c>
      <c r="BS33" s="295">
        <f>SUMIFS('ARR Looker'!$E:$E,'ARR Looker'!$B:$B,$A32,'ARR Looker'!$C:$C,BS$5)</f>
        <v>0</v>
      </c>
      <c r="BT33" s="295">
        <f>SUMIFS('ARR Looker'!$E:$E,'ARR Looker'!$B:$B,$A32,'ARR Looker'!$C:$C,BT$5)</f>
        <v>-10800</v>
      </c>
      <c r="BU33" s="295">
        <f>SUMIFS('ARR Looker'!$E:$E,'ARR Looker'!$B:$B,$A32,'ARR Looker'!$C:$C,BU$5)</f>
        <v>0</v>
      </c>
      <c r="BV33" s="295">
        <f>SUMIFS('ARR Looker'!$E:$E,'ARR Looker'!$B:$B,$A32,'ARR Looker'!$C:$C,BV$5)</f>
        <v>-51500</v>
      </c>
      <c r="BW33" s="295">
        <f>SUMIFS('ARR Looker'!$E:$E,'ARR Looker'!$B:$B,$A32,'ARR Looker'!$C:$C,BW$5)</f>
        <v>0</v>
      </c>
      <c r="BX33" s="295">
        <f>SUMIFS('ARR Looker'!$E:$E,'ARR Looker'!$B:$B,$A32,'ARR Looker'!$C:$C,BX$5)</f>
        <v>0</v>
      </c>
      <c r="BY33" s="295">
        <f>SUMIFS('ARR Looker'!$E:$E,'ARR Looker'!$B:$B,$A32,'ARR Looker'!$C:$C,BY$5)</f>
        <v>-72400</v>
      </c>
      <c r="BZ33" s="295">
        <f>SUMIFS('ARR Looker'!$E:$E,'ARR Looker'!$B:$B,$A32,'ARR Looker'!$C:$C,BZ$5)</f>
        <v>-40000</v>
      </c>
      <c r="CA33" s="295">
        <f>SUMIFS('ARR Looker'!$E:$E,'ARR Looker'!$B:$B,$A32,'ARR Looker'!$C:$C,CA$5)</f>
        <v>-259000</v>
      </c>
      <c r="CB33" s="295">
        <f>SUMIFS('ARR Looker'!$E:$E,'ARR Looker'!$B:$B,$A32,'ARR Looker'!$C:$C,CB$5)</f>
        <v>-20000</v>
      </c>
      <c r="CC33" s="295">
        <f>SUMIFS('ARR Looker'!$E:$E,'ARR Looker'!$B:$B,$A32,'ARR Looker'!$C:$C,CC$5)</f>
        <v>-132400.01</v>
      </c>
      <c r="CD33" s="295">
        <f>SUMIFS('ARR Looker'!$E:$E,'ARR Looker'!$B:$B,$A32,'ARR Looker'!$C:$C,CD$5)</f>
        <v>-51000</v>
      </c>
      <c r="CE33" s="295">
        <f>SUMIFS('ARR Looker'!$E:$E,'ARR Looker'!$B:$B,$A32,'ARR Looker'!$C:$C,CE$5)</f>
        <v>-18000</v>
      </c>
      <c r="CF33" s="295">
        <f>SUMIFS('ARR Looker'!$E:$E,'ARR Looker'!$B:$B,$A32,'ARR Looker'!$C:$C,CF$5)</f>
        <v>-18000</v>
      </c>
      <c r="CG33" s="295">
        <f>SUMIFS('ARR Looker'!$E:$E,'ARR Looker'!$B:$B,$A32,'ARR Looker'!$C:$C,CG$5)</f>
        <v>-283000</v>
      </c>
      <c r="CH33" s="295">
        <f>SUMIFS('ARR Looker'!$E:$E,'ARR Looker'!$B:$B,$A32,'ARR Looker'!$C:$C,CH$5)</f>
        <v>-5988</v>
      </c>
      <c r="CI33" s="83">
        <f>SUMIFS('ARR Looker'!$E:$E,'ARR Looker'!$B:$B,$A32,'ARR Looker'!$C:$C,CI$5)</f>
        <v>0</v>
      </c>
      <c r="CJ33" s="83">
        <f>SUMIFS('ARR Looker'!$E:$E,'ARR Looker'!$B:$B,$A32,'ARR Looker'!$C:$C,CJ$5)</f>
        <v>-23000</v>
      </c>
      <c r="CK33" s="83">
        <f>SUMIFS('ARR Looker'!$E:$E,'ARR Looker'!$B:$B,$A32,'ARR Looker'!$C:$C,CK$5)</f>
        <v>-40000</v>
      </c>
      <c r="CL33" s="83">
        <f>SUMIFS('ARR Looker'!$E:$E,'ARR Looker'!$B:$B,$A32,'ARR Looker'!$C:$C,CL$5)</f>
        <v>-12000</v>
      </c>
      <c r="CM33" s="83">
        <f>SUMIFS('ARR Looker'!$E:$E,'ARR Looker'!$B:$B,$A32,'ARR Looker'!$C:$C,CM$5)</f>
        <v>-22500</v>
      </c>
      <c r="CN33" s="83">
        <f>SUMIFS('ARR Looker'!$E:$E,'ARR Looker'!$B:$B,$A32,'ARR Looker'!$C:$C,CN$5)</f>
        <v>-29250</v>
      </c>
      <c r="CO33" s="83">
        <f>'22 Fcst ARR'!C18</f>
        <v>-17346.754060079118</v>
      </c>
      <c r="CP33" s="83">
        <f>'22 Fcst ARR'!D18</f>
        <v>-39463.659977945907</v>
      </c>
      <c r="CQ33" s="83">
        <f>'22 Fcst ARR'!E18</f>
        <v>-65969.372160502899</v>
      </c>
      <c r="CR33" s="83">
        <f>'22 Fcst ARR'!F18</f>
        <v>-21005.927847898765</v>
      </c>
      <c r="CS33" s="83">
        <f>'22 Fcst ARR'!G18</f>
        <v>-69036.875502290204</v>
      </c>
      <c r="CT33" s="83">
        <f>'22 Fcst ARR'!H18</f>
        <v>-51998.397360942537</v>
      </c>
      <c r="CU33" s="29">
        <f>CU110</f>
        <v>-30480.529107812406</v>
      </c>
      <c r="CV33" s="29">
        <f t="shared" ref="CV33:FB33" si="307">CV110</f>
        <v>-38551.141416565966</v>
      </c>
      <c r="CW33" s="29">
        <f t="shared" si="307"/>
        <v>-71791.400364897214</v>
      </c>
      <c r="CX33" s="29">
        <f t="shared" si="307"/>
        <v>-47602.368985269</v>
      </c>
      <c r="CY33" s="29">
        <f t="shared" si="307"/>
        <v>-38999.288156858005</v>
      </c>
      <c r="CZ33" s="29">
        <f t="shared" si="307"/>
        <v>-72016.835894949443</v>
      </c>
      <c r="DA33" s="29">
        <f t="shared" si="307"/>
        <v>-48010.330198044976</v>
      </c>
      <c r="DB33" s="29">
        <f t="shared" si="307"/>
        <v>-37661.409402037651</v>
      </c>
      <c r="DC33" s="29">
        <f t="shared" si="307"/>
        <v>-59706.161471634361</v>
      </c>
      <c r="DD33" s="29">
        <f t="shared" si="307"/>
        <v>-47198.473050737928</v>
      </c>
      <c r="DE33" s="29">
        <f t="shared" si="307"/>
        <v>-99200.149897513096</v>
      </c>
      <c r="DF33" s="29">
        <f t="shared" si="307"/>
        <v>-93190.184691175295</v>
      </c>
      <c r="DG33" s="29">
        <f t="shared" si="307"/>
        <v>-49029.062099476243</v>
      </c>
      <c r="DH33" s="29">
        <f t="shared" si="307"/>
        <v>-62010.941471289887</v>
      </c>
      <c r="DI33" s="29">
        <f t="shared" si="307"/>
        <v>-115479.13142350066</v>
      </c>
      <c r="DJ33" s="29">
        <f t="shared" si="307"/>
        <v>-76570.176876054902</v>
      </c>
      <c r="DK33" s="29">
        <f t="shared" si="307"/>
        <v>-62731.802132262645</v>
      </c>
      <c r="DL33" s="29">
        <f t="shared" si="307"/>
        <v>-115841.75283874132</v>
      </c>
      <c r="DM33" s="29">
        <f t="shared" si="307"/>
        <v>-77226.397624868754</v>
      </c>
      <c r="DN33" s="29">
        <f t="shared" si="307"/>
        <v>-60579.774510968986</v>
      </c>
      <c r="DO33" s="29">
        <f t="shared" si="307"/>
        <v>-96039.576221261086</v>
      </c>
      <c r="DP33" s="29">
        <f t="shared" si="307"/>
        <v>-75920.495278146729</v>
      </c>
      <c r="DQ33" s="29">
        <f t="shared" si="307"/>
        <v>-159567.12209290086</v>
      </c>
      <c r="DR33" s="29">
        <f t="shared" si="307"/>
        <v>-149899.87004898203</v>
      </c>
      <c r="DS33" s="29">
        <f t="shared" si="307"/>
        <v>-78458.822574970516</v>
      </c>
      <c r="DT33" s="29">
        <f t="shared" si="307"/>
        <v>-99233.092501983425</v>
      </c>
      <c r="DU33" s="29">
        <f t="shared" si="307"/>
        <v>-184795.63539448025</v>
      </c>
      <c r="DV33" s="29">
        <f t="shared" si="307"/>
        <v>-122531.5285424699</v>
      </c>
      <c r="DW33" s="29">
        <f t="shared" si="307"/>
        <v>-100386.65074435374</v>
      </c>
      <c r="DX33" s="29">
        <f t="shared" si="307"/>
        <v>-185375.92080199078</v>
      </c>
      <c r="DY33" s="29">
        <f t="shared" si="307"/>
        <v>-123581.6466784591</v>
      </c>
      <c r="DZ33" s="29">
        <f t="shared" si="307"/>
        <v>-96942.865648629493</v>
      </c>
      <c r="EA33" s="29">
        <f t="shared" si="307"/>
        <v>-153687.46103343833</v>
      </c>
      <c r="EB33" s="29">
        <f t="shared" si="307"/>
        <v>-121491.87469151351</v>
      </c>
      <c r="EC33" s="29">
        <f t="shared" si="307"/>
        <v>-255347.50176710618</v>
      </c>
      <c r="ED33" s="29">
        <f t="shared" si="307"/>
        <v>-239877.46868014953</v>
      </c>
      <c r="EE33" s="29">
        <f t="shared" si="307"/>
        <v>-123822.11967739978</v>
      </c>
      <c r="EF33" s="29">
        <f t="shared" si="307"/>
        <v>-156607.65038881532</v>
      </c>
      <c r="EG33" s="29">
        <f t="shared" si="307"/>
        <v>-291640.71713938878</v>
      </c>
      <c r="EH33" s="29">
        <f t="shared" si="307"/>
        <v>-193376.76877502055</v>
      </c>
      <c r="EI33" s="29">
        <f t="shared" si="307"/>
        <v>-158428.1725691621</v>
      </c>
      <c r="EJ33" s="29">
        <f t="shared" si="307"/>
        <v>-292556.51177940087</v>
      </c>
      <c r="EK33" s="29">
        <f t="shared" si="307"/>
        <v>-195034.04388115171</v>
      </c>
      <c r="EL33" s="29">
        <f t="shared" si="307"/>
        <v>-152993.26090121613</v>
      </c>
      <c r="EM33" s="29">
        <f t="shared" si="307"/>
        <v>-242546.42841235967</v>
      </c>
      <c r="EN33" s="29">
        <f t="shared" si="307"/>
        <v>-191736.00819091685</v>
      </c>
      <c r="EO33" s="29">
        <f t="shared" si="307"/>
        <v>-402984.23919017822</v>
      </c>
      <c r="EP33" s="29">
        <f t="shared" si="307"/>
        <v>-378569.74728933279</v>
      </c>
      <c r="EQ33" s="29">
        <f t="shared" si="307"/>
        <v>-191890.50387007662</v>
      </c>
      <c r="ER33" s="29">
        <f t="shared" si="307"/>
        <v>-242699.13179739908</v>
      </c>
      <c r="ES33" s="29">
        <f t="shared" si="307"/>
        <v>-451963.54501692706</v>
      </c>
      <c r="ET33" s="29">
        <f t="shared" si="307"/>
        <v>-299681.2338028393</v>
      </c>
      <c r="EU33" s="29">
        <f t="shared" si="307"/>
        <v>-245520.44449502981</v>
      </c>
      <c r="EV33" s="29">
        <f t="shared" si="307"/>
        <v>-453382.77685830777</v>
      </c>
      <c r="EW33" s="29">
        <f t="shared" si="307"/>
        <v>-302249.55807313428</v>
      </c>
      <c r="EX33" s="29">
        <f t="shared" si="307"/>
        <v>-237097.81418334838</v>
      </c>
      <c r="EY33" s="29">
        <f t="shared" si="307"/>
        <v>-375880.79158388171</v>
      </c>
      <c r="EZ33" s="29">
        <f t="shared" si="307"/>
        <v>-297138.50253613107</v>
      </c>
      <c r="FA33" s="29">
        <f t="shared" si="307"/>
        <v>-624515.62702505547</v>
      </c>
      <c r="FB33" s="29">
        <f t="shared" si="307"/>
        <v>-586679.82543491176</v>
      </c>
    </row>
    <row r="34" spans="1:158" x14ac:dyDescent="0.25">
      <c r="A34" s="292" t="s">
        <v>609</v>
      </c>
      <c r="C34" s="291" t="s">
        <v>24</v>
      </c>
      <c r="D34" s="30">
        <f t="shared" ref="D34:I34" si="308">SUM(D29:D33)</f>
        <v>10865249.159999995</v>
      </c>
      <c r="E34" s="30">
        <f t="shared" si="308"/>
        <v>19631243.769999996</v>
      </c>
      <c r="F34" s="30">
        <f t="shared" si="308"/>
        <v>28090543.643296998</v>
      </c>
      <c r="G34" s="30">
        <f t="shared" si="308"/>
        <v>49098122.933179937</v>
      </c>
      <c r="H34" s="30">
        <f t="shared" si="308"/>
        <v>80902480.959456056</v>
      </c>
      <c r="I34" s="68">
        <f t="shared" si="308"/>
        <v>132701050.62038198</v>
      </c>
      <c r="J34" s="68">
        <f t="shared" ref="J34:L34" si="309">SUM(J29:J33)</f>
        <v>214796238.54559654</v>
      </c>
      <c r="K34" s="68">
        <f t="shared" si="309"/>
        <v>341635847.70133883</v>
      </c>
      <c r="L34" s="68">
        <f t="shared" si="309"/>
        <v>532890905.12052214</v>
      </c>
      <c r="M34" s="292"/>
      <c r="N34" s="30">
        <f t="shared" ref="N34:AW34" si="310">SUM(N29:N33)</f>
        <v>5686425.1899999948</v>
      </c>
      <c r="O34" s="30">
        <f t="shared" si="310"/>
        <v>6943994.1599999946</v>
      </c>
      <c r="P34" s="30">
        <f t="shared" si="310"/>
        <v>8294377.6599999946</v>
      </c>
      <c r="Q34" s="30">
        <f t="shared" si="310"/>
        <v>10865249.159999995</v>
      </c>
      <c r="R34" s="30">
        <f t="shared" si="310"/>
        <v>12445981.389999995</v>
      </c>
      <c r="S34" s="30">
        <f t="shared" si="310"/>
        <v>15558122.719999995</v>
      </c>
      <c r="T34" s="30">
        <f t="shared" si="310"/>
        <v>17072812.309999995</v>
      </c>
      <c r="U34" s="30">
        <f t="shared" si="310"/>
        <v>19631243.769999996</v>
      </c>
      <c r="V34" s="30">
        <f t="shared" si="310"/>
        <v>21040021.579999994</v>
      </c>
      <c r="W34" s="30">
        <f t="shared" si="310"/>
        <v>22871812.979231</v>
      </c>
      <c r="X34" s="30">
        <f t="shared" si="310"/>
        <v>25843471.309231002</v>
      </c>
      <c r="Y34" s="30">
        <f t="shared" si="310"/>
        <v>28090543.643297002</v>
      </c>
      <c r="Z34" s="30">
        <f t="shared" si="310"/>
        <v>30458286.163297001</v>
      </c>
      <c r="AA34" s="30">
        <f t="shared" si="310"/>
        <v>35584449.678591006</v>
      </c>
      <c r="AB34" s="30">
        <f t="shared" si="310"/>
        <v>41600461.322165601</v>
      </c>
      <c r="AC34" s="30">
        <f t="shared" si="310"/>
        <v>49098122.933179945</v>
      </c>
      <c r="AD34" s="30">
        <f t="shared" si="310"/>
        <v>54667316.447311237</v>
      </c>
      <c r="AE34" s="30">
        <f t="shared" si="310"/>
        <v>62163773.472850055</v>
      </c>
      <c r="AF34" s="30">
        <f t="shared" si="310"/>
        <v>69587545.307203323</v>
      </c>
      <c r="AG34" s="30">
        <f t="shared" si="310"/>
        <v>80902480.959456116</v>
      </c>
      <c r="AH34" s="30">
        <f t="shared" si="310"/>
        <v>90271636.25222224</v>
      </c>
      <c r="AI34" s="30">
        <f t="shared" si="310"/>
        <v>103142067.16063701</v>
      </c>
      <c r="AJ34" s="30">
        <f t="shared" si="310"/>
        <v>115232068.3240094</v>
      </c>
      <c r="AK34" s="30">
        <f t="shared" si="310"/>
        <v>132701050.62038209</v>
      </c>
      <c r="AL34" s="30">
        <f t="shared" si="310"/>
        <v>147548967.54255262</v>
      </c>
      <c r="AM34" s="30">
        <f t="shared" si="310"/>
        <v>167948022.80804917</v>
      </c>
      <c r="AN34" s="30">
        <f t="shared" si="310"/>
        <v>187110385.35322064</v>
      </c>
      <c r="AO34" s="30">
        <f t="shared" si="310"/>
        <v>214796238.54559666</v>
      </c>
      <c r="AP34" s="30">
        <f t="shared" si="310"/>
        <v>237732615.79323488</v>
      </c>
      <c r="AQ34" s="30">
        <f t="shared" si="310"/>
        <v>269252551.52859932</v>
      </c>
      <c r="AR34" s="30">
        <f t="shared" si="310"/>
        <v>298862466.32881117</v>
      </c>
      <c r="AS34" s="30">
        <f t="shared" si="310"/>
        <v>341635847.70133895</v>
      </c>
      <c r="AT34" s="30">
        <f t="shared" si="310"/>
        <v>376212252.34287906</v>
      </c>
      <c r="AU34" s="30">
        <f t="shared" si="310"/>
        <v>423745084.96243137</v>
      </c>
      <c r="AV34" s="30">
        <f t="shared" si="310"/>
        <v>468399304.08153641</v>
      </c>
      <c r="AW34" s="30">
        <f t="shared" si="310"/>
        <v>532890905.12052232</v>
      </c>
      <c r="AX34" s="244"/>
      <c r="AY34" s="244">
        <f t="shared" ref="AY34:CF34" si="311">AZ29</f>
        <v>4617282.6899999948</v>
      </c>
      <c r="AZ34" s="244">
        <f t="shared" si="311"/>
        <v>4939098.5199999949</v>
      </c>
      <c r="BA34" s="244">
        <f t="shared" si="311"/>
        <v>5686425.1899999948</v>
      </c>
      <c r="BB34" s="244">
        <f t="shared" si="311"/>
        <v>5959490.1899999948</v>
      </c>
      <c r="BC34" s="244">
        <f t="shared" si="311"/>
        <v>6514207.1599999946</v>
      </c>
      <c r="BD34" s="244">
        <f t="shared" si="311"/>
        <v>6943994.1599999946</v>
      </c>
      <c r="BE34" s="244">
        <f t="shared" si="311"/>
        <v>7267144.1599999946</v>
      </c>
      <c r="BF34" s="244">
        <f t="shared" si="311"/>
        <v>7482226.6599999946</v>
      </c>
      <c r="BG34" s="244">
        <f t="shared" si="311"/>
        <v>8294377.6599999946</v>
      </c>
      <c r="BH34" s="244">
        <f t="shared" si="311"/>
        <v>8606963.1599999946</v>
      </c>
      <c r="BI34" s="244">
        <f t="shared" si="311"/>
        <v>9926369.1599999946</v>
      </c>
      <c r="BJ34" s="244">
        <f t="shared" si="311"/>
        <v>10865249.159999995</v>
      </c>
      <c r="BK34" s="244">
        <f t="shared" si="311"/>
        <v>11008399.159999995</v>
      </c>
      <c r="BL34" s="244">
        <f t="shared" si="311"/>
        <v>11455280.159999995</v>
      </c>
      <c r="BM34" s="244">
        <f t="shared" si="311"/>
        <v>12445981.389999995</v>
      </c>
      <c r="BN34" s="244">
        <f t="shared" si="311"/>
        <v>12832526.619999995</v>
      </c>
      <c r="BO34" s="244">
        <f t="shared" si="311"/>
        <v>14533524.479999995</v>
      </c>
      <c r="BP34" s="244">
        <f t="shared" si="311"/>
        <v>15558122.719999995</v>
      </c>
      <c r="BQ34" s="244">
        <f t="shared" si="311"/>
        <v>16054122.949999996</v>
      </c>
      <c r="BR34" s="244">
        <f t="shared" si="311"/>
        <v>16245183.949999996</v>
      </c>
      <c r="BS34" s="244">
        <f t="shared" si="311"/>
        <v>17072812.309999995</v>
      </c>
      <c r="BT34" s="244">
        <f t="shared" si="311"/>
        <v>17127012.309999995</v>
      </c>
      <c r="BU34" s="244">
        <f t="shared" si="311"/>
        <v>18041744.309999995</v>
      </c>
      <c r="BV34" s="244">
        <f t="shared" si="311"/>
        <v>19631243.769999996</v>
      </c>
      <c r="BW34" s="244">
        <f t="shared" si="311"/>
        <v>20115018.409999996</v>
      </c>
      <c r="BX34" s="244">
        <f t="shared" si="311"/>
        <v>20717725.409999996</v>
      </c>
      <c r="BY34" s="244">
        <f t="shared" si="311"/>
        <v>21040021.579999998</v>
      </c>
      <c r="BZ34" s="244">
        <f t="shared" si="311"/>
        <v>21575744.59</v>
      </c>
      <c r="CA34" s="244">
        <f t="shared" si="311"/>
        <v>21654769.419231001</v>
      </c>
      <c r="CB34" s="244">
        <f t="shared" si="311"/>
        <v>22871812.979231</v>
      </c>
      <c r="CC34" s="244">
        <f t="shared" si="311"/>
        <v>22937247.909231</v>
      </c>
      <c r="CD34" s="244">
        <f t="shared" si="311"/>
        <v>24426456.399231002</v>
      </c>
      <c r="CE34" s="244">
        <f t="shared" si="311"/>
        <v>25843471.309231002</v>
      </c>
      <c r="CF34" s="244">
        <f t="shared" si="311"/>
        <v>26160902.249011002</v>
      </c>
      <c r="CG34" s="244">
        <f>CH29</f>
        <v>26939608.743297003</v>
      </c>
      <c r="CH34" s="244">
        <f>'ARR Looker'!Q7</f>
        <v>28090543.643297002</v>
      </c>
      <c r="CI34" s="50">
        <f>SUM(CI29:CI33)</f>
        <v>28619658.653297003</v>
      </c>
      <c r="CJ34" s="50">
        <f t="shared" ref="CJ34" si="312">SUM(CJ29:CJ33)</f>
        <v>28816822.573297005</v>
      </c>
      <c r="CK34" s="50">
        <f t="shared" ref="CK34" si="313">SUM(CK29:CK33)</f>
        <v>30458286.163297005</v>
      </c>
      <c r="CL34" s="50">
        <f t="shared" ref="CL34" si="314">SUM(CL29:CL33)</f>
        <v>31194481.953297004</v>
      </c>
      <c r="CM34" s="50">
        <f t="shared" ref="CM34" si="315">SUM(CM29:CM33)</f>
        <v>32385719.258591004</v>
      </c>
      <c r="CN34" s="50">
        <f t="shared" ref="CN34" si="316">SUM(CN29:CN33)</f>
        <v>35584449.678591006</v>
      </c>
      <c r="CO34" s="50">
        <f t="shared" ref="CO34" si="317">SUM(CO29:CO33)</f>
        <v>36489115.671492666</v>
      </c>
      <c r="CP34" s="50">
        <f t="shared" ref="CP34" si="318">SUM(CP29:CP33)</f>
        <v>38602144.282325298</v>
      </c>
      <c r="CQ34" s="50">
        <f t="shared" ref="CQ34" si="319">SUM(CQ29:CQ33)</f>
        <v>41600461.322165601</v>
      </c>
      <c r="CR34" s="50">
        <f t="shared" ref="CR34" si="320">SUM(CR29:CR33)</f>
        <v>42335836.931085579</v>
      </c>
      <c r="CS34" s="50">
        <f t="shared" ref="CS34" si="321">SUM(CS29:CS33)</f>
        <v>45309046.94377701</v>
      </c>
      <c r="CT34" s="50">
        <f t="shared" ref="CT34:FB34" si="322">SUM(CT29:CT33)</f>
        <v>49098122.933179945</v>
      </c>
      <c r="CU34" s="50">
        <f t="shared" si="322"/>
        <v>49798566.910612375</v>
      </c>
      <c r="CV34" s="50">
        <f t="shared" si="322"/>
        <v>51423675.709855035</v>
      </c>
      <c r="CW34" s="50">
        <f t="shared" si="322"/>
        <v>54667316.447311237</v>
      </c>
      <c r="CX34" s="50">
        <f t="shared" si="322"/>
        <v>55907317.123556599</v>
      </c>
      <c r="CY34" s="50">
        <f t="shared" si="322"/>
        <v>58503211.214234047</v>
      </c>
      <c r="CZ34" s="50">
        <f t="shared" si="322"/>
        <v>62163773.472850062</v>
      </c>
      <c r="DA34" s="50">
        <f t="shared" si="322"/>
        <v>63347528.637980618</v>
      </c>
      <c r="DB34" s="50">
        <f t="shared" si="322"/>
        <v>65602735.946551651</v>
      </c>
      <c r="DC34" s="50">
        <f t="shared" si="322"/>
        <v>69587545.307203338</v>
      </c>
      <c r="DD34" s="50">
        <f t="shared" si="322"/>
        <v>71233670.058963597</v>
      </c>
      <c r="DE34" s="50">
        <f t="shared" si="322"/>
        <v>75705029.859626248</v>
      </c>
      <c r="DF34" s="50">
        <f t="shared" si="322"/>
        <v>80902480.959456101</v>
      </c>
      <c r="DG34" s="50">
        <f t="shared" si="322"/>
        <v>82143353.032328248</v>
      </c>
      <c r="DH34" s="50">
        <f t="shared" si="322"/>
        <v>84889518.648467451</v>
      </c>
      <c r="DI34" s="50">
        <f t="shared" si="322"/>
        <v>90271636.252222255</v>
      </c>
      <c r="DJ34" s="50">
        <f t="shared" si="322"/>
        <v>92512831.926995322</v>
      </c>
      <c r="DK34" s="50">
        <f t="shared" si="322"/>
        <v>96960169.15582867</v>
      </c>
      <c r="DL34" s="50">
        <f t="shared" si="322"/>
        <v>103142067.16063702</v>
      </c>
      <c r="DM34" s="50">
        <f t="shared" si="322"/>
        <v>105071288.29701543</v>
      </c>
      <c r="DN34" s="50">
        <f t="shared" si="322"/>
        <v>108743641.25369404</v>
      </c>
      <c r="DO34" s="50">
        <f t="shared" si="322"/>
        <v>115232068.32400943</v>
      </c>
      <c r="DP34" s="50">
        <f t="shared" si="322"/>
        <v>117594051.20971507</v>
      </c>
      <c r="DQ34" s="50">
        <f t="shared" si="322"/>
        <v>124556888.01750888</v>
      </c>
      <c r="DR34" s="50">
        <f t="shared" si="322"/>
        <v>132701050.62038209</v>
      </c>
      <c r="DS34" s="50">
        <f t="shared" si="322"/>
        <v>134666714.73970696</v>
      </c>
      <c r="DT34" s="50">
        <f t="shared" si="322"/>
        <v>139018934.72779685</v>
      </c>
      <c r="DU34" s="50">
        <f t="shared" si="322"/>
        <v>147548967.54255262</v>
      </c>
      <c r="DV34" s="50">
        <f t="shared" si="322"/>
        <v>151099764.34517014</v>
      </c>
      <c r="DW34" s="50">
        <f t="shared" si="322"/>
        <v>158149700.22798324</v>
      </c>
      <c r="DX34" s="50">
        <f t="shared" si="322"/>
        <v>167948022.80804917</v>
      </c>
      <c r="DY34" s="50">
        <f t="shared" si="322"/>
        <v>171004056.47649968</v>
      </c>
      <c r="DZ34" s="50">
        <f t="shared" si="322"/>
        <v>176825102.54035875</v>
      </c>
      <c r="EA34" s="50">
        <f t="shared" si="322"/>
        <v>187110385.35322067</v>
      </c>
      <c r="EB34" s="50">
        <f t="shared" si="322"/>
        <v>190852756.84881118</v>
      </c>
      <c r="EC34" s="50">
        <f t="shared" si="322"/>
        <v>201887604.09522331</v>
      </c>
      <c r="ED34" s="50">
        <f t="shared" si="322"/>
        <v>214796238.54559666</v>
      </c>
      <c r="EE34" s="50">
        <f t="shared" si="322"/>
        <v>217829847.45992032</v>
      </c>
      <c r="EF34" s="50">
        <f t="shared" si="322"/>
        <v>224553614.62293059</v>
      </c>
      <c r="EG34" s="50">
        <f t="shared" si="322"/>
        <v>237732615.79323491</v>
      </c>
      <c r="EH34" s="50">
        <f t="shared" si="322"/>
        <v>243214360.41707471</v>
      </c>
      <c r="EI34" s="50">
        <f t="shared" si="322"/>
        <v>254111504.66883951</v>
      </c>
      <c r="EJ34" s="50">
        <f t="shared" si="322"/>
        <v>269252551.52859926</v>
      </c>
      <c r="EK34" s="50">
        <f t="shared" si="322"/>
        <v>273968777.28432721</v>
      </c>
      <c r="EL34" s="50">
        <f t="shared" si="322"/>
        <v>282965097.91750944</v>
      </c>
      <c r="EM34" s="50">
        <f t="shared" si="322"/>
        <v>298862466.32881111</v>
      </c>
      <c r="EN34" s="50">
        <f t="shared" si="322"/>
        <v>304640682.96762609</v>
      </c>
      <c r="EO34" s="50">
        <f t="shared" si="322"/>
        <v>321688124.06479168</v>
      </c>
      <c r="EP34" s="50">
        <f t="shared" si="322"/>
        <v>341635847.70133901</v>
      </c>
      <c r="EQ34" s="50">
        <f t="shared" si="322"/>
        <v>346203288.91668206</v>
      </c>
      <c r="ER34" s="50">
        <f t="shared" si="322"/>
        <v>356340626.99588412</v>
      </c>
      <c r="ES34" s="50">
        <f t="shared" si="322"/>
        <v>376212252.34287906</v>
      </c>
      <c r="ET34" s="50">
        <f t="shared" si="322"/>
        <v>384469233.16324335</v>
      </c>
      <c r="EU34" s="50">
        <f t="shared" si="322"/>
        <v>400910007.95867759</v>
      </c>
      <c r="EV34" s="50">
        <f t="shared" si="322"/>
        <v>423745084.96243131</v>
      </c>
      <c r="EW34" s="50">
        <f t="shared" si="322"/>
        <v>430845596.29042679</v>
      </c>
      <c r="EX34" s="50">
        <f t="shared" si="322"/>
        <v>444415926.79796225</v>
      </c>
      <c r="EY34" s="50">
        <f t="shared" si="322"/>
        <v>468399304.08153641</v>
      </c>
      <c r="EZ34" s="50">
        <f t="shared" si="322"/>
        <v>477104283.45695412</v>
      </c>
      <c r="FA34" s="50">
        <f t="shared" si="322"/>
        <v>502805792.38359469</v>
      </c>
      <c r="FB34" s="50">
        <f t="shared" si="322"/>
        <v>532890905.12052232</v>
      </c>
    </row>
    <row r="35" spans="1:158" x14ac:dyDescent="0.25">
      <c r="C35" s="289"/>
      <c r="D35" s="244"/>
      <c r="E35" s="244"/>
      <c r="F35" s="244"/>
      <c r="G35" s="244"/>
      <c r="H35" s="244"/>
      <c r="I35" s="244"/>
      <c r="J35" s="244"/>
      <c r="K35" s="244"/>
      <c r="L35" s="244"/>
      <c r="M35" s="244"/>
      <c r="N35" s="244"/>
      <c r="O35" s="244"/>
      <c r="P35" s="244"/>
      <c r="Q35" s="244"/>
      <c r="R35" s="244"/>
      <c r="S35" s="244"/>
      <c r="T35" s="244"/>
      <c r="U35" s="244"/>
      <c r="V35" s="244"/>
      <c r="W35" s="244"/>
      <c r="X35" s="244"/>
      <c r="Y35" s="244"/>
      <c r="Z35" s="244"/>
      <c r="AA35" s="244"/>
      <c r="AB35" s="244"/>
      <c r="AC35" s="244"/>
      <c r="AD35" s="244"/>
      <c r="AE35" s="244"/>
      <c r="AF35" s="244"/>
      <c r="AG35" s="244"/>
      <c r="AH35" s="244"/>
      <c r="AI35" s="244"/>
      <c r="AJ35" s="244"/>
      <c r="AK35" s="244"/>
      <c r="AL35" s="244"/>
      <c r="AM35" s="244"/>
      <c r="AN35" s="244"/>
      <c r="AO35" s="244"/>
      <c r="AP35" s="244"/>
      <c r="AQ35" s="244"/>
      <c r="AR35" s="244"/>
      <c r="AS35" s="244"/>
      <c r="AT35" s="244"/>
      <c r="AU35" s="244"/>
      <c r="AV35" s="244"/>
      <c r="AW35" s="244"/>
      <c r="AX35" s="244"/>
      <c r="AY35" s="244"/>
      <c r="AZ35" s="244"/>
      <c r="BA35" s="244"/>
      <c r="BB35" s="244"/>
      <c r="BC35" s="244"/>
      <c r="BD35" s="244"/>
      <c r="BE35" s="244"/>
      <c r="BF35" s="244"/>
      <c r="BG35" s="244"/>
      <c r="BH35" s="244"/>
      <c r="BI35" s="244"/>
      <c r="BJ35" s="244"/>
      <c r="BK35" s="244"/>
      <c r="BL35" s="244"/>
      <c r="BM35" s="244"/>
      <c r="BN35" s="244"/>
      <c r="BO35" s="244"/>
      <c r="BP35" s="244"/>
      <c r="BQ35" s="244"/>
      <c r="BR35" s="244"/>
      <c r="BS35" s="244"/>
      <c r="BT35" s="244"/>
      <c r="BU35" s="244"/>
      <c r="BV35" s="244"/>
      <c r="BW35" s="244"/>
      <c r="BX35" s="244"/>
      <c r="BY35" s="244"/>
      <c r="BZ35" s="244"/>
      <c r="CA35" s="244"/>
      <c r="CB35" s="244"/>
      <c r="CC35" s="244"/>
      <c r="CD35" s="244"/>
      <c r="CE35" s="244"/>
      <c r="CF35" s="244"/>
      <c r="CG35" s="244"/>
      <c r="CH35" s="244"/>
      <c r="CI35" s="99"/>
      <c r="CJ35" s="99"/>
      <c r="CK35" s="99"/>
      <c r="CL35" s="99"/>
      <c r="CM35" s="99"/>
      <c r="CN35" s="99"/>
      <c r="CO35" s="99"/>
      <c r="CP35" s="99"/>
      <c r="CQ35" s="99"/>
      <c r="CR35" s="99"/>
      <c r="CS35" s="99"/>
      <c r="CT35" s="99"/>
    </row>
    <row r="36" spans="1:158" x14ac:dyDescent="0.25">
      <c r="C36" s="289" t="s">
        <v>620</v>
      </c>
      <c r="D36" s="308">
        <f>SUM(D32:D33)/D29+1</f>
        <v>0.89887997605214986</v>
      </c>
      <c r="E36" s="308">
        <f t="shared" ref="E36:L36" si="323">SUM(E32:E33)/E29+1</f>
        <v>0.95321929000291783</v>
      </c>
      <c r="F36" s="308">
        <f t="shared" si="323"/>
        <v>0.93037834857628077</v>
      </c>
      <c r="G36" s="308">
        <f t="shared" si="323"/>
        <v>0.95800171828669556</v>
      </c>
      <c r="H36" s="308">
        <f t="shared" si="323"/>
        <v>0.95800171828669556</v>
      </c>
      <c r="I36" s="308">
        <f t="shared" si="323"/>
        <v>0.95900171828669556</v>
      </c>
      <c r="J36" s="308">
        <f t="shared" si="323"/>
        <v>0.96000171828669556</v>
      </c>
      <c r="K36" s="308">
        <f t="shared" si="323"/>
        <v>0.96100171828669556</v>
      </c>
      <c r="L36" s="308">
        <f t="shared" si="323"/>
        <v>0.96200171828669556</v>
      </c>
      <c r="M36" s="244"/>
      <c r="N36" s="413"/>
      <c r="O36" s="413"/>
      <c r="P36" s="413"/>
      <c r="Q36" s="308">
        <f>IFERROR(SUM(N32:Q33)/N29+1,"")</f>
        <v>0.89887997605214986</v>
      </c>
      <c r="R36" s="308">
        <f t="shared" ref="R36" si="324">IFERROR(SUM(O32:R33)/O29+1,"")</f>
        <v>0.90931600209797181</v>
      </c>
      <c r="S36" s="308">
        <f t="shared" ref="S36" si="325">IFERROR(SUM(P32:S33)/P29+1,"")</f>
        <v>0.91600485879440885</v>
      </c>
      <c r="T36" s="308">
        <f t="shared" ref="T36" si="326">IFERROR(SUM(Q32:T33)/Q29+1,"")</f>
        <v>0.93562690392373571</v>
      </c>
      <c r="U36" s="308">
        <f t="shared" ref="U36" si="327">IFERROR(SUM(R32:U33)/R29+1,"")</f>
        <v>0.95321929000291783</v>
      </c>
      <c r="V36" s="308">
        <f t="shared" ref="V36" si="328">IFERROR(SUM(S32:V33)/S29+1,"")</f>
        <v>0.95994029844841344</v>
      </c>
      <c r="W36" s="308">
        <f t="shared" ref="W36" si="329">IFERROR(SUM(T32:W33)/T29+1,"")</f>
        <v>0.94793597239545357</v>
      </c>
      <c r="X36" s="308">
        <f t="shared" ref="X36" si="330">IFERROR(SUM(U32:X33)/U29+1,"")</f>
        <v>0.9377430582923687</v>
      </c>
      <c r="Y36" s="308">
        <f t="shared" ref="Y36" si="331">IFERROR(SUM(V32:Y33)/V29+1,"")</f>
        <v>0.93037834857628077</v>
      </c>
      <c r="Z36" s="308">
        <f t="shared" ref="Z36" si="332">IFERROR(SUM(W32:Z33)/W29+1,"")</f>
        <v>0.91839260077560247</v>
      </c>
      <c r="AA36" s="308">
        <f t="shared" ref="AA36" si="333">IFERROR(SUM(X32:AA33)/X29+1,"")</f>
        <v>0.94124827571735503</v>
      </c>
      <c r="AB36" s="308">
        <f t="shared" ref="AB36" si="334">IFERROR(SUM(Y32:AB33)/Y29+1,"")</f>
        <v>0.94852121487448149</v>
      </c>
      <c r="AC36" s="308">
        <f t="shared" ref="AC36" si="335">IFERROR(SUM(Z32:AC33)/Z29+1,"")</f>
        <v>0.95800171828669567</v>
      </c>
      <c r="AD36" s="308">
        <f t="shared" ref="AD36" si="336">IFERROR(SUM(AA32:AD33)/AA29+1,"")</f>
        <v>0.96224275111654334</v>
      </c>
      <c r="AE36" s="308">
        <f t="shared" ref="AE36" si="337">IFERROR(SUM(AB32:AE33)/AB29+1,"")</f>
        <v>0.9589016941784535</v>
      </c>
      <c r="AF36" s="308">
        <f t="shared" ref="AF36" si="338">IFERROR(SUM(AC32:AF33)/AC29+1,"")</f>
        <v>0.96056049793418707</v>
      </c>
      <c r="AG36" s="308">
        <f t="shared" ref="AG36" si="339">IFERROR(SUM(AD32:AG33)/AD29+1,"")</f>
        <v>0.95800171828669556</v>
      </c>
      <c r="AH36" s="308">
        <f t="shared" ref="AH36" si="340">IFERROR(SUM(AE32:AH33)/AE29+1,"")</f>
        <v>0.95755730285423568</v>
      </c>
      <c r="AI36" s="308">
        <f t="shared" ref="AI36" si="341">IFERROR(SUM(AF32:AI33)/AF29+1,"")</f>
        <v>0.95799729134246514</v>
      </c>
      <c r="AJ36" s="308">
        <f t="shared" ref="AJ36" si="342">IFERROR(SUM(AG32:AJ33)/AG29+1,"")</f>
        <v>0.95864792402304688</v>
      </c>
      <c r="AK36" s="308">
        <f t="shared" ref="AK36" si="343">IFERROR(SUM(AH32:AK33)/AH29+1,"")</f>
        <v>0.95900171828669556</v>
      </c>
      <c r="AL36" s="308">
        <f t="shared" ref="AL36" si="344">IFERROR(SUM(AI32:AL33)/AI29+1,"")</f>
        <v>0.95871883190889984</v>
      </c>
      <c r="AM36" s="308">
        <f t="shared" ref="AM36" si="345">IFERROR(SUM(AJ32:AM33)/AJ29+1,"")</f>
        <v>0.95939637752914253</v>
      </c>
      <c r="AN36" s="308">
        <f t="shared" ref="AN36" si="346">IFERROR(SUM(AK32:AN33)/AK29+1,"")</f>
        <v>0.95998642080248253</v>
      </c>
      <c r="AO36" s="308">
        <f t="shared" ref="AO36" si="347">IFERROR(SUM(AL32:AO33)/AL29+1,"")</f>
        <v>0.96000171828669556</v>
      </c>
      <c r="AP36" s="308">
        <f t="shared" ref="AP36" si="348">IFERROR(SUM(AM32:AP33)/AM29+1,"")</f>
        <v>0.95974718519262703</v>
      </c>
      <c r="AQ36" s="308">
        <f t="shared" ref="AQ36" si="349">IFERROR(SUM(AN32:AQ33)/AN29+1,"")</f>
        <v>0.96040142266700723</v>
      </c>
      <c r="AR36" s="308">
        <f t="shared" ref="AR36" si="350">IFERROR(SUM(AO32:AR33)/AO29+1,"")</f>
        <v>0.96097291038488386</v>
      </c>
      <c r="AS36" s="308">
        <f t="shared" ref="AS36" si="351">IFERROR(SUM(AP32:AS33)/AP29+1,"")</f>
        <v>0.96100171828669556</v>
      </c>
      <c r="AT36" s="308">
        <f t="shared" ref="AT36" si="352">IFERROR(SUM(AQ32:AT33)/AQ29+1,"")</f>
        <v>0.96077870367620999</v>
      </c>
      <c r="AU36" s="308">
        <f t="shared" ref="AU36" si="353">IFERROR(SUM(AR32:AU33)/AR29+1,"")</f>
        <v>0.96140645258844704</v>
      </c>
      <c r="AV36" s="308">
        <f t="shared" ref="AV36" si="354">IFERROR(SUM(AS32:AV33)/AS29+1,"")</f>
        <v>0.96195723545747625</v>
      </c>
      <c r="AW36" s="308">
        <f t="shared" ref="AW36" si="355">IFERROR(SUM(AT32:AW33)/AT29+1,"")</f>
        <v>0.96200171828669556</v>
      </c>
      <c r="AX36" s="244"/>
      <c r="AY36" s="308">
        <f>IFERROR(SUM(AY32:AY33)/AY29*12+1,"")</f>
        <v>0.98125603114044879</v>
      </c>
      <c r="AZ36" s="308">
        <f t="shared" ref="AZ36:DK36" si="356">IFERROR(SUM(AZ32:AZ33)/AZ29*12+1,"")</f>
        <v>0.93595713759514254</v>
      </c>
      <c r="BA36" s="308">
        <f t="shared" si="356"/>
        <v>0.92211453194499138</v>
      </c>
      <c r="BB36" s="308">
        <f t="shared" si="356"/>
        <v>1</v>
      </c>
      <c r="BC36" s="308">
        <f t="shared" si="356"/>
        <v>1</v>
      </c>
      <c r="BD36" s="308">
        <f t="shared" si="356"/>
        <v>0.70582882107789746</v>
      </c>
      <c r="BE36" s="308">
        <f t="shared" si="356"/>
        <v>0.89631327685333184</v>
      </c>
      <c r="BF36" s="308">
        <f t="shared" si="356"/>
        <v>0.99409341564513565</v>
      </c>
      <c r="BG36" s="308">
        <f t="shared" si="356"/>
        <v>0.99037719608456765</v>
      </c>
      <c r="BH36" s="308">
        <f t="shared" si="356"/>
        <v>0.86255750018501076</v>
      </c>
      <c r="BI36" s="308">
        <f t="shared" si="356"/>
        <v>0.94570349712058022</v>
      </c>
      <c r="BJ36" s="308">
        <f t="shared" si="356"/>
        <v>0.95285285158586619</v>
      </c>
      <c r="BK36" s="308">
        <f t="shared" si="356"/>
        <v>0.94588251117473676</v>
      </c>
      <c r="BL36" s="308">
        <f t="shared" si="356"/>
        <v>0.95639692992382375</v>
      </c>
      <c r="BM36" s="308">
        <f t="shared" si="356"/>
        <v>0.97438131273080975</v>
      </c>
      <c r="BN36" s="308">
        <f t="shared" si="356"/>
        <v>0.97830625070539334</v>
      </c>
      <c r="BO36" s="308">
        <f t="shared" si="356"/>
        <v>0.98179501146439074</v>
      </c>
      <c r="BP36" s="308">
        <f t="shared" si="356"/>
        <v>0.84698797576181595</v>
      </c>
      <c r="BQ36" s="308">
        <f t="shared" si="356"/>
        <v>1</v>
      </c>
      <c r="BR36" s="308">
        <f t="shared" si="356"/>
        <v>0.99495456710701224</v>
      </c>
      <c r="BS36" s="308">
        <f t="shared" si="356"/>
        <v>0.99002781375091786</v>
      </c>
      <c r="BT36" s="308">
        <f t="shared" si="356"/>
        <v>0.94074789896170308</v>
      </c>
      <c r="BU36" s="308">
        <f t="shared" si="356"/>
        <v>1</v>
      </c>
      <c r="BV36" s="308">
        <f t="shared" si="356"/>
        <v>0.95810163435355766</v>
      </c>
      <c r="BW36" s="308">
        <f t="shared" si="356"/>
        <v>0.99971392541064652</v>
      </c>
      <c r="BX36" s="308">
        <f t="shared" si="356"/>
        <v>0.99254288527394885</v>
      </c>
      <c r="BY36" s="308">
        <f t="shared" si="356"/>
        <v>0.94741546292170886</v>
      </c>
      <c r="BZ36" s="308">
        <f t="shared" si="356"/>
        <v>0.90864439027823463</v>
      </c>
      <c r="CA36" s="308">
        <f t="shared" si="356"/>
        <v>0.83786280215564979</v>
      </c>
      <c r="CB36" s="308">
        <f t="shared" si="356"/>
        <v>0.95177505796609474</v>
      </c>
      <c r="CC36" s="308">
        <f t="shared" si="356"/>
        <v>0.90945185666389483</v>
      </c>
      <c r="CD36" s="308">
        <f t="shared" si="356"/>
        <v>0.96625575992974699</v>
      </c>
      <c r="CE36" s="308">
        <f t="shared" si="356"/>
        <v>0.98229008772579807</v>
      </c>
      <c r="CF36" s="308">
        <f t="shared" si="356"/>
        <v>0.99164198967640826</v>
      </c>
      <c r="CG36" s="308">
        <f t="shared" si="356"/>
        <v>0.83064793722213892</v>
      </c>
      <c r="CH36" s="308">
        <f t="shared" si="356"/>
        <v>0.97151335020071716</v>
      </c>
      <c r="CI36" s="308">
        <f t="shared" si="356"/>
        <v>1</v>
      </c>
      <c r="CJ36" s="308">
        <f t="shared" si="356"/>
        <v>0.87833530783223124</v>
      </c>
      <c r="CK36" s="308">
        <f t="shared" si="356"/>
        <v>0.93176943797329137</v>
      </c>
      <c r="CL36" s="308">
        <f t="shared" si="356"/>
        <v>0.99527222250037417</v>
      </c>
      <c r="CM36" s="308">
        <f t="shared" si="356"/>
        <v>0.9767266530956682</v>
      </c>
      <c r="CN36" s="308">
        <f t="shared" si="356"/>
        <v>0.96555584048965992</v>
      </c>
      <c r="CO36" s="308">
        <f t="shared" si="356"/>
        <v>0.98762365754822923</v>
      </c>
      <c r="CP36" s="308">
        <f t="shared" si="356"/>
        <v>0.97254203338254075</v>
      </c>
      <c r="CQ36" s="308">
        <f t="shared" si="356"/>
        <v>0.95661243557697317</v>
      </c>
      <c r="CR36" s="308">
        <f t="shared" si="356"/>
        <v>0.98718029377534555</v>
      </c>
      <c r="CS36" s="308">
        <f t="shared" si="356"/>
        <v>0.95859933392704755</v>
      </c>
      <c r="CT36" s="308">
        <f t="shared" si="356"/>
        <v>0.97086336579087862</v>
      </c>
      <c r="CU36" s="308">
        <f t="shared" si="356"/>
        <v>0.9775549788144916</v>
      </c>
      <c r="CV36" s="308">
        <f t="shared" si="356"/>
        <v>0.97201129509737361</v>
      </c>
      <c r="CW36" s="308">
        <f t="shared" si="356"/>
        <v>0.94952553603427226</v>
      </c>
      <c r="CX36" s="308">
        <f t="shared" si="356"/>
        <v>0.96851793451039947</v>
      </c>
      <c r="CY36" s="308">
        <f t="shared" si="356"/>
        <v>0.9747796891451328</v>
      </c>
      <c r="CZ36" s="308">
        <f t="shared" si="356"/>
        <v>0.9554941870314636</v>
      </c>
      <c r="DA36" s="308">
        <f t="shared" si="356"/>
        <v>0.97207715080932955</v>
      </c>
      <c r="DB36" s="308">
        <f t="shared" si="356"/>
        <v>0.97850540339149217</v>
      </c>
      <c r="DC36" s="308">
        <f t="shared" si="356"/>
        <v>0.96709517341921936</v>
      </c>
      <c r="DD36" s="308">
        <f t="shared" si="356"/>
        <v>0.9754778333989288</v>
      </c>
      <c r="DE36" s="308">
        <f t="shared" si="356"/>
        <v>0.94965116627691248</v>
      </c>
      <c r="DF36" s="308">
        <f t="shared" si="356"/>
        <v>0.95549509847810365</v>
      </c>
      <c r="DG36" s="308">
        <f t="shared" si="356"/>
        <v>0.97808940594507587</v>
      </c>
      <c r="DH36" s="308">
        <f t="shared" si="356"/>
        <v>0.97270655817740936</v>
      </c>
      <c r="DI36" s="308">
        <f t="shared" si="356"/>
        <v>0.95081735911209342</v>
      </c>
      <c r="DJ36" s="308">
        <f t="shared" si="356"/>
        <v>0.96933303886263167</v>
      </c>
      <c r="DK36" s="308">
        <f t="shared" si="356"/>
        <v>0.97548407999778919</v>
      </c>
      <c r="DL36" s="308">
        <f t="shared" ref="DL36:FB36" si="357">IFERROR(SUM(DL32:DL33)/DL29*12+1,"")</f>
        <v>0.95680493191502114</v>
      </c>
      <c r="DM36" s="308">
        <f t="shared" si="357"/>
        <v>0.97292974464001458</v>
      </c>
      <c r="DN36" s="308">
        <f t="shared" si="357"/>
        <v>0.97915480307600089</v>
      </c>
      <c r="DO36" s="308">
        <f t="shared" si="357"/>
        <v>0.96806927562977563</v>
      </c>
      <c r="DP36" s="308">
        <f t="shared" si="357"/>
        <v>0.97617965307061061</v>
      </c>
      <c r="DQ36" s="308">
        <f t="shared" si="357"/>
        <v>0.95094079944188459</v>
      </c>
      <c r="DR36" s="308">
        <f t="shared" si="357"/>
        <v>0.95648931562928241</v>
      </c>
      <c r="DS36" s="308">
        <f t="shared" si="357"/>
        <v>0.97862383307566003</v>
      </c>
      <c r="DT36" s="308">
        <f t="shared" si="357"/>
        <v>0.97335850035592386</v>
      </c>
      <c r="DU36" s="308">
        <f t="shared" si="357"/>
        <v>0.95194039906060313</v>
      </c>
      <c r="DV36" s="308">
        <f t="shared" si="357"/>
        <v>0.96997561755958817</v>
      </c>
      <c r="DW36" s="308">
        <f t="shared" si="357"/>
        <v>0.97597991251314886</v>
      </c>
      <c r="DX36" s="308">
        <f t="shared" si="357"/>
        <v>0.95762132683512857</v>
      </c>
      <c r="DY36" s="308">
        <f t="shared" si="357"/>
        <v>0.97339633384332092</v>
      </c>
      <c r="DZ36" s="308">
        <f t="shared" si="357"/>
        <v>0.97950387090659885</v>
      </c>
      <c r="EA36" s="308">
        <f t="shared" si="357"/>
        <v>0.96857632862058385</v>
      </c>
      <c r="EB36" s="308">
        <f t="shared" si="357"/>
        <v>0.97652466776414493</v>
      </c>
      <c r="EC36" s="308">
        <f t="shared" si="357"/>
        <v>0.95162782865453055</v>
      </c>
      <c r="ED36" s="308">
        <f t="shared" si="357"/>
        <v>0.95704218234259542</v>
      </c>
      <c r="EE36" s="308">
        <f t="shared" si="357"/>
        <v>0.9791582602062443</v>
      </c>
      <c r="EF36" s="308">
        <f t="shared" si="357"/>
        <v>0.97400690503432652</v>
      </c>
      <c r="EG36" s="308">
        <f t="shared" si="357"/>
        <v>0.9530440626772112</v>
      </c>
      <c r="EH36" s="308">
        <f t="shared" si="357"/>
        <v>0.97059115711474087</v>
      </c>
      <c r="EI36" s="308">
        <f t="shared" si="357"/>
        <v>0.97644920317252382</v>
      </c>
      <c r="EJ36" s="308">
        <f t="shared" si="357"/>
        <v>0.95837561322327636</v>
      </c>
      <c r="EK36" s="308">
        <f t="shared" si="357"/>
        <v>0.97381135641660588</v>
      </c>
      <c r="EL36" s="308">
        <f t="shared" si="357"/>
        <v>0.97981012468909578</v>
      </c>
      <c r="EM36" s="308">
        <f t="shared" si="357"/>
        <v>0.96900979709626467</v>
      </c>
      <c r="EN36" s="308">
        <f t="shared" si="357"/>
        <v>0.97680498208178246</v>
      </c>
      <c r="EO36" s="308">
        <f t="shared" si="357"/>
        <v>0.95217416427304202</v>
      </c>
      <c r="EP36" s="308">
        <f t="shared" si="357"/>
        <v>0.95745257473902412</v>
      </c>
      <c r="EQ36" s="308">
        <f t="shared" si="357"/>
        <v>0.97969268733682846</v>
      </c>
      <c r="ER36" s="308">
        <f t="shared" si="357"/>
        <v>0.97465458302914865</v>
      </c>
      <c r="ES36" s="308">
        <f t="shared" si="357"/>
        <v>0.95414354545509705</v>
      </c>
      <c r="ET36" s="308">
        <f t="shared" si="357"/>
        <v>0.97120022998275535</v>
      </c>
      <c r="EU36" s="308">
        <f t="shared" si="357"/>
        <v>0.97691188498425963</v>
      </c>
      <c r="EV36" s="308">
        <f t="shared" si="357"/>
        <v>0.95911344425900513</v>
      </c>
      <c r="EW36" s="308">
        <f t="shared" si="357"/>
        <v>0.97421165879472993</v>
      </c>
      <c r="EX36" s="308">
        <f t="shared" si="357"/>
        <v>0.9801038842490406</v>
      </c>
      <c r="EY36" s="308">
        <f t="shared" si="357"/>
        <v>0.96942102490726167</v>
      </c>
      <c r="EZ36" s="308">
        <f t="shared" si="357"/>
        <v>0.97706466456299346</v>
      </c>
      <c r="FA36" s="308">
        <f t="shared" si="357"/>
        <v>0.95267480617076605</v>
      </c>
      <c r="FB36" s="308">
        <f t="shared" si="357"/>
        <v>0.95781449144900355</v>
      </c>
    </row>
    <row r="37" spans="1:158" x14ac:dyDescent="0.25">
      <c r="C37" s="289" t="s">
        <v>621</v>
      </c>
      <c r="D37" s="308">
        <f>SUM(D31:D33)/D29+1</f>
        <v>1.6938698298919099</v>
      </c>
      <c r="E37" s="308">
        <f t="shared" ref="E37:H37" si="358">SUM(E31:E33)/E29+1</f>
        <v>1.5536716039745198</v>
      </c>
      <c r="F37" s="308">
        <f t="shared" si="358"/>
        <v>1.3110661512923589</v>
      </c>
      <c r="G37" s="308">
        <f t="shared" si="358"/>
        <v>1.5418102572102181</v>
      </c>
      <c r="H37" s="308">
        <f t="shared" si="358"/>
        <v>1.5098174342709294</v>
      </c>
      <c r="I37" s="308">
        <f t="shared" ref="I37:L37" si="359">SUM(I31:I33)/I29+1</f>
        <v>1.5176329741472769</v>
      </c>
      <c r="J37" s="308">
        <f t="shared" si="359"/>
        <v>1.5132642680501913</v>
      </c>
      <c r="K37" s="308">
        <f t="shared" si="359"/>
        <v>1.4960848749988578</v>
      </c>
      <c r="L37" s="308">
        <f t="shared" si="359"/>
        <v>1.4701484449286277</v>
      </c>
      <c r="M37" s="244"/>
      <c r="N37" s="413"/>
      <c r="O37" s="413"/>
      <c r="P37" s="413"/>
      <c r="Q37" s="308">
        <f>IFERROR(SUM(N31:Q33)/N29+1,"")</f>
        <v>1.6938698298919102</v>
      </c>
      <c r="R37" s="308">
        <f t="shared" ref="R37" si="360">IFERROR(SUM(O31:R33)/O29+1,"")</f>
        <v>1.6073502973491158</v>
      </c>
      <c r="S37" s="308">
        <f t="shared" ref="S37" si="361">IFERROR(SUM(P31:S33)/P29+1,"")</f>
        <v>1.7553723907509746</v>
      </c>
      <c r="T37" s="308">
        <f t="shared" ref="T37" si="362">IFERROR(SUM(Q31:T33)/Q29+1,"")</f>
        <v>1.6449695431399014</v>
      </c>
      <c r="U37" s="308">
        <f t="shared" ref="U37" si="363">IFERROR(SUM(R31:U33)/R29+1,"")</f>
        <v>1.5536716039745198</v>
      </c>
      <c r="V37" s="308">
        <f t="shared" ref="V37" si="364">IFERROR(SUM(S31:V33)/S29+1,"")</f>
        <v>1.497721096945976</v>
      </c>
      <c r="W37" s="308">
        <f t="shared" ref="W37" si="365">IFERROR(SUM(T31:W33)/T29+1,"")</f>
        <v>1.3325964502503296</v>
      </c>
      <c r="X37" s="308">
        <f t="shared" ref="X37" si="366">IFERROR(SUM(U31:X33)/U29+1,"")</f>
        <v>1.3670373682700552</v>
      </c>
      <c r="Y37" s="308">
        <f t="shared" ref="Y37" si="367">IFERROR(SUM(V31:Y33)/V29+1,"")</f>
        <v>1.3110661512923591</v>
      </c>
      <c r="Z37" s="308">
        <f t="shared" ref="Z37" si="368">IFERROR(SUM(W31:Z33)/W29+1,"")</f>
        <v>1.2843793306896409</v>
      </c>
      <c r="AA37" s="308">
        <f t="shared" ref="AA37" si="369">IFERROR(SUM(X31:AA33)/X29+1,"")</f>
        <v>1.3763008436845121</v>
      </c>
      <c r="AB37" s="308">
        <f t="shared" ref="AB37" si="370">IFERROR(SUM(Y31:AB33)/Y29+1,"")</f>
        <v>1.4353961226653964</v>
      </c>
      <c r="AC37" s="308">
        <f t="shared" ref="AC37" si="371">IFERROR(SUM(Z31:AC33)/Z29+1,"")</f>
        <v>1.5418102572102181</v>
      </c>
      <c r="AD37" s="308">
        <f t="shared" ref="AD37" si="372">IFERROR(SUM(AA31:AD33)/AA29+1,"")</f>
        <v>1.6095724919369814</v>
      </c>
      <c r="AE37" s="308">
        <f t="shared" ref="AE37" si="373">IFERROR(SUM(AB31:AE33)/AB29+1,"")</f>
        <v>1.5791078341558729</v>
      </c>
      <c r="AF37" s="308">
        <f t="shared" ref="AF37" si="374">IFERROR(SUM(AC31:AF33)/AC29+1,"")</f>
        <v>1.5247790015976082</v>
      </c>
      <c r="AG37" s="308">
        <f t="shared" ref="AG37" si="375">IFERROR(SUM(AD31:AG33)/AD29+1,"")</f>
        <v>1.5098174342709294</v>
      </c>
      <c r="AH37" s="308">
        <f t="shared" ref="AH37" si="376">IFERROR(SUM(AE31:AH33)/AE29+1,"")</f>
        <v>1.5162214754787653</v>
      </c>
      <c r="AI37" s="308">
        <f t="shared" ref="AI37" si="377">IFERROR(SUM(AF31:AI33)/AF29+1,"")</f>
        <v>1.5265806638758246</v>
      </c>
      <c r="AJ37" s="308">
        <f t="shared" ref="AJ37" si="378">IFERROR(SUM(AG31:AJ33)/AG29+1,"")</f>
        <v>1.5269593412413098</v>
      </c>
      <c r="AK37" s="308">
        <f t="shared" ref="AK37" si="379">IFERROR(SUM(AH31:AK33)/AH29+1,"")</f>
        <v>1.5176329741472765</v>
      </c>
      <c r="AL37" s="308">
        <f t="shared" ref="AL37" si="380">IFERROR(SUM(AI31:AL33)/AI29+1,"")</f>
        <v>1.516390764381605</v>
      </c>
      <c r="AM37" s="308">
        <f t="shared" ref="AM37" si="381">IFERROR(SUM(AJ31:AM33)/AJ29+1,"")</f>
        <v>1.5151965675864782</v>
      </c>
      <c r="AN37" s="308">
        <f t="shared" ref="AN37" si="382">IFERROR(SUM(AK31:AN33)/AK29+1,"")</f>
        <v>1.5143312051311824</v>
      </c>
      <c r="AO37" s="308">
        <f t="shared" ref="AO37" si="383">IFERROR(SUM(AL31:AO33)/AL29+1,"")</f>
        <v>1.5132642680501909</v>
      </c>
      <c r="AP37" s="308">
        <f t="shared" ref="AP37" si="384">IFERROR(SUM(AM31:AP33)/AM29+1,"")</f>
        <v>1.508648644047532</v>
      </c>
      <c r="AQ37" s="308">
        <f t="shared" ref="AQ37" si="385">IFERROR(SUM(AN31:AQ33)/AN29+1,"")</f>
        <v>1.5038043019211322</v>
      </c>
      <c r="AR37" s="308">
        <f t="shared" ref="AR37" si="386">IFERROR(SUM(AO31:AR33)/AO29+1,"")</f>
        <v>1.5002313107548986</v>
      </c>
      <c r="AS37" s="308">
        <f t="shared" ref="AS37" si="387">IFERROR(SUM(AP31:AS33)/AP29+1,"")</f>
        <v>1.4960848749988576</v>
      </c>
      <c r="AT37" s="308">
        <f t="shared" ref="AT37" si="388">IFERROR(SUM(AQ31:AT33)/AQ29+1,"")</f>
        <v>1.4892431922882534</v>
      </c>
      <c r="AU37" s="308">
        <f t="shared" ref="AU37" si="389">IFERROR(SUM(AR31:AU33)/AR29+1,"")</f>
        <v>1.4819265073445718</v>
      </c>
      <c r="AV37" s="308">
        <f t="shared" ref="AV37" si="390">IFERROR(SUM(AS31:AV33)/AS29+1,"")</f>
        <v>1.4764762891556078</v>
      </c>
      <c r="AW37" s="308">
        <f t="shared" ref="AW37" si="391">IFERROR(SUM(AT31:AW33)/AT29+1,"")</f>
        <v>1.4701484449286273</v>
      </c>
      <c r="AX37" s="244"/>
      <c r="AY37" s="308">
        <f>IFERROR(SUM(AY31:AY33)/AY29*12+1,"")</f>
        <v>0.98125603114044879</v>
      </c>
      <c r="AZ37" s="308">
        <f t="shared" ref="AZ37:DK37" si="392">IFERROR(SUM(AZ31:AZ33)/AZ29*12+1,"")</f>
        <v>1.4768583922246274</v>
      </c>
      <c r="BA37" s="308">
        <f t="shared" si="392"/>
        <v>2.3036630093379888</v>
      </c>
      <c r="BB37" s="308">
        <f t="shared" si="392"/>
        <v>1.1569316345828864</v>
      </c>
      <c r="BC37" s="308">
        <f t="shared" si="392"/>
        <v>1.3600314006054268</v>
      </c>
      <c r="BD37" s="308">
        <f t="shared" si="392"/>
        <v>1.3919807794383994</v>
      </c>
      <c r="BE37" s="308">
        <f t="shared" si="392"/>
        <v>1.3718033080834275</v>
      </c>
      <c r="BF37" s="308">
        <f t="shared" si="392"/>
        <v>1.1652629937645274</v>
      </c>
      <c r="BG37" s="308">
        <f t="shared" si="392"/>
        <v>1.755070951031575</v>
      </c>
      <c r="BH37" s="308">
        <f t="shared" si="392"/>
        <v>0.92592572641550053</v>
      </c>
      <c r="BI37" s="308">
        <f t="shared" si="392"/>
        <v>2.3525411673773222</v>
      </c>
      <c r="BJ37" s="308">
        <f t="shared" si="392"/>
        <v>1.3803565975779206</v>
      </c>
      <c r="BK37" s="308">
        <f t="shared" si="392"/>
        <v>1.1074618706673083</v>
      </c>
      <c r="BL37" s="308">
        <f t="shared" si="392"/>
        <v>1.1084419253562023</v>
      </c>
      <c r="BM37" s="308">
        <f t="shared" si="392"/>
        <v>1.8080283180084182</v>
      </c>
      <c r="BN37" s="308">
        <f t="shared" si="392"/>
        <v>1.0681183727850649</v>
      </c>
      <c r="BO37" s="308">
        <f t="shared" si="392"/>
        <v>2.5710058445216775</v>
      </c>
      <c r="BP37" s="308">
        <f t="shared" si="392"/>
        <v>1.4185802671865044</v>
      </c>
      <c r="BQ37" s="308">
        <f t="shared" si="392"/>
        <v>1.2236773717902645</v>
      </c>
      <c r="BR37" s="308">
        <f t="shared" si="392"/>
        <v>1.1428126598469834</v>
      </c>
      <c r="BS37" s="308">
        <f t="shared" si="392"/>
        <v>1.3023360040192098</v>
      </c>
      <c r="BT37" s="308">
        <f t="shared" si="392"/>
        <v>1.0380956568953226</v>
      </c>
      <c r="BU37" s="308">
        <f t="shared" si="392"/>
        <v>1.6041207779105053</v>
      </c>
      <c r="BV37" s="308">
        <f t="shared" si="392"/>
        <v>1.653991948741901</v>
      </c>
      <c r="BW37" s="308">
        <f t="shared" si="392"/>
        <v>1.2410084524155445</v>
      </c>
      <c r="BX37" s="308">
        <f t="shared" si="392"/>
        <v>1.2836131632454222</v>
      </c>
      <c r="BY37" s="308">
        <f t="shared" si="392"/>
        <v>1.1606138692423185</v>
      </c>
      <c r="BZ37" s="308">
        <f t="shared" si="392"/>
        <v>1.2513056414840427</v>
      </c>
      <c r="CA37" s="308">
        <f t="shared" si="392"/>
        <v>0.95887251049313615</v>
      </c>
      <c r="CB37" s="308">
        <f t="shared" si="392"/>
        <v>1.4825951880475445</v>
      </c>
      <c r="CC37" s="308">
        <f t="shared" si="392"/>
        <v>0.99404330386385575</v>
      </c>
      <c r="CD37" s="308">
        <f t="shared" si="392"/>
        <v>1.6415437082178421</v>
      </c>
      <c r="CE37" s="308">
        <f t="shared" si="392"/>
        <v>1.3769123826037184</v>
      </c>
      <c r="CF37" s="308">
        <f t="shared" si="392"/>
        <v>1.1287312971716645</v>
      </c>
      <c r="CG37" s="308">
        <f t="shared" si="392"/>
        <v>1.2754829680935966</v>
      </c>
      <c r="CH37" s="308">
        <f t="shared" si="392"/>
        <v>1.3840314526681521</v>
      </c>
      <c r="CI37" s="308">
        <f t="shared" si="392"/>
        <v>1.1356819635959405</v>
      </c>
      <c r="CJ37" s="308">
        <f t="shared" si="392"/>
        <v>1.0650590233292492</v>
      </c>
      <c r="CK37" s="308">
        <f t="shared" si="392"/>
        <v>1.2294204457547036</v>
      </c>
      <c r="CL37" s="308">
        <f t="shared" si="392"/>
        <v>1.2278299390450287</v>
      </c>
      <c r="CM37" s="308">
        <f t="shared" si="392"/>
        <v>1.3913351637576326</v>
      </c>
      <c r="CN37" s="308">
        <f t="shared" si="392"/>
        <v>1.8393768630841478</v>
      </c>
      <c r="CO37" s="308">
        <f t="shared" si="392"/>
        <v>1.2348456570300077</v>
      </c>
      <c r="CP37" s="308">
        <f t="shared" si="392"/>
        <v>1.5350916272066737</v>
      </c>
      <c r="CQ37" s="308">
        <f t="shared" si="392"/>
        <v>1.7162644327699537</v>
      </c>
      <c r="CR37" s="308">
        <f t="shared" si="392"/>
        <v>1.1604879007311015</v>
      </c>
      <c r="CS37" s="308">
        <f t="shared" si="392"/>
        <v>1.6397883144813648</v>
      </c>
      <c r="CT37" s="308">
        <f t="shared" si="392"/>
        <v>1.7664744949486302</v>
      </c>
      <c r="CU37" s="308">
        <f t="shared" si="392"/>
        <v>1.1324665814683383</v>
      </c>
      <c r="CV37" s="308">
        <f t="shared" si="392"/>
        <v>1.3076852597277719</v>
      </c>
      <c r="CW37" s="308">
        <f t="shared" si="392"/>
        <v>1.5954423553661097</v>
      </c>
      <c r="CX37" s="308">
        <f t="shared" si="392"/>
        <v>1.2114572149483476</v>
      </c>
      <c r="CY37" s="308">
        <f t="shared" si="392"/>
        <v>1.4407040894605627</v>
      </c>
      <c r="CZ37" s="308">
        <f t="shared" si="392"/>
        <v>1.5917735175367349</v>
      </c>
      <c r="DA37" s="308">
        <f t="shared" si="392"/>
        <v>1.17722366316298</v>
      </c>
      <c r="DB37" s="308">
        <f t="shared" si="392"/>
        <v>1.3374664285580478</v>
      </c>
      <c r="DC37" s="308">
        <f t="shared" si="392"/>
        <v>1.5765375481163149</v>
      </c>
      <c r="DD37" s="308">
        <f t="shared" si="392"/>
        <v>1.2221878940084041</v>
      </c>
      <c r="DE37" s="308">
        <f t="shared" si="392"/>
        <v>1.5925252427618468</v>
      </c>
      <c r="DF37" s="308">
        <f t="shared" si="392"/>
        <v>1.6501771635241598</v>
      </c>
      <c r="DG37" s="308">
        <f t="shared" si="392"/>
        <v>1.1469807748877325</v>
      </c>
      <c r="DH37" s="308">
        <f t="shared" si="392"/>
        <v>1.3240519556519148</v>
      </c>
      <c r="DI37" s="308">
        <f t="shared" si="392"/>
        <v>1.6150172803923604</v>
      </c>
      <c r="DJ37" s="308">
        <f t="shared" si="392"/>
        <v>1.2387799990974533</v>
      </c>
      <c r="DK37" s="308">
        <f t="shared" si="392"/>
        <v>1.4686220358309396</v>
      </c>
      <c r="DL37" s="308">
        <f t="shared" ref="DL37:FB37" si="393">IFERROR(SUM(DL31:DL33)/DL29*12+1,"")</f>
        <v>1.6195946303608906</v>
      </c>
      <c r="DM37" s="308">
        <f t="shared" si="393"/>
        <v>1.1791796665838543</v>
      </c>
      <c r="DN37" s="308">
        <f t="shared" si="393"/>
        <v>1.3401663001168611</v>
      </c>
      <c r="DO37" s="308">
        <f t="shared" si="393"/>
        <v>1.5813775799722549</v>
      </c>
      <c r="DP37" s="308">
        <f t="shared" si="393"/>
        <v>1.1974088959273441</v>
      </c>
      <c r="DQ37" s="308">
        <f t="shared" si="393"/>
        <v>1.5738035289103427</v>
      </c>
      <c r="DR37" s="308">
        <f t="shared" si="393"/>
        <v>1.635557304721786</v>
      </c>
      <c r="DS37" s="308">
        <f t="shared" si="393"/>
        <v>1.145892077438954</v>
      </c>
      <c r="DT37" s="308">
        <f t="shared" si="393"/>
        <v>1.3215073735657943</v>
      </c>
      <c r="DU37" s="308">
        <f t="shared" si="393"/>
        <v>1.6108070085189143</v>
      </c>
      <c r="DV37" s="308">
        <f t="shared" si="393"/>
        <v>1.2377734096948998</v>
      </c>
      <c r="DW37" s="308">
        <f t="shared" si="393"/>
        <v>1.4664642944666428</v>
      </c>
      <c r="DX37" s="308">
        <f t="shared" si="393"/>
        <v>1.6177358765340548</v>
      </c>
      <c r="DY37" s="308">
        <f t="shared" si="393"/>
        <v>1.1791621810963369</v>
      </c>
      <c r="DZ37" s="308">
        <f t="shared" si="393"/>
        <v>1.3398478265745699</v>
      </c>
      <c r="EA37" s="308">
        <f t="shared" si="393"/>
        <v>1.5812897051987893</v>
      </c>
      <c r="EB37" s="308">
        <f t="shared" si="393"/>
        <v>1.1978527704483932</v>
      </c>
      <c r="EC37" s="308">
        <f t="shared" si="393"/>
        <v>1.5750723651836545</v>
      </c>
      <c r="ED37" s="308">
        <f t="shared" si="393"/>
        <v>1.6376390056003798</v>
      </c>
      <c r="EE37" s="308">
        <f t="shared" si="393"/>
        <v>1.1409303162578828</v>
      </c>
      <c r="EF37" s="308">
        <f t="shared" si="393"/>
        <v>1.3109450567303895</v>
      </c>
      <c r="EG37" s="308">
        <f t="shared" si="393"/>
        <v>1.5915923167930268</v>
      </c>
      <c r="EH37" s="308">
        <f t="shared" si="393"/>
        <v>1.2307848201985863</v>
      </c>
      <c r="EI37" s="308">
        <f t="shared" si="393"/>
        <v>1.4534752281103454</v>
      </c>
      <c r="EJ37" s="308">
        <f t="shared" si="393"/>
        <v>1.601515829972104</v>
      </c>
      <c r="EK37" s="308">
        <f t="shared" si="393"/>
        <v>1.1747348300895959</v>
      </c>
      <c r="EL37" s="308">
        <f t="shared" si="393"/>
        <v>1.3319092125823524</v>
      </c>
      <c r="EM37" s="308">
        <f t="shared" si="393"/>
        <v>1.5684014993689936</v>
      </c>
      <c r="EN37" s="308">
        <f t="shared" si="393"/>
        <v>1.1937278788731409</v>
      </c>
      <c r="EO37" s="308">
        <f t="shared" si="393"/>
        <v>1.5636097031742495</v>
      </c>
      <c r="EP37" s="308">
        <f t="shared" si="393"/>
        <v>1.6261149101041028</v>
      </c>
      <c r="EQ37" s="308">
        <f t="shared" si="393"/>
        <v>1.1333210340967608</v>
      </c>
      <c r="ER37" s="308">
        <f t="shared" si="393"/>
        <v>1.2948690889683812</v>
      </c>
      <c r="ES37" s="308">
        <f t="shared" si="393"/>
        <v>1.5619328409527966</v>
      </c>
      <c r="ET37" s="308">
        <f t="shared" si="393"/>
        <v>1.2195462266355594</v>
      </c>
      <c r="EU37" s="308">
        <f t="shared" si="393"/>
        <v>1.4327118741423432</v>
      </c>
      <c r="EV37" s="308">
        <f t="shared" si="393"/>
        <v>1.5748397556937843</v>
      </c>
      <c r="EW37" s="308">
        <f t="shared" si="393"/>
        <v>1.1670486942086178</v>
      </c>
      <c r="EX37" s="308">
        <f t="shared" si="393"/>
        <v>1.3182846692164751</v>
      </c>
      <c r="EY37" s="308">
        <f t="shared" si="393"/>
        <v>1.5458669821014006</v>
      </c>
      <c r="EZ37" s="308">
        <f t="shared" si="393"/>
        <v>1.1861218720778652</v>
      </c>
      <c r="FA37" s="308">
        <f t="shared" si="393"/>
        <v>1.542373108187316</v>
      </c>
      <c r="FB37" s="308">
        <f t="shared" si="393"/>
        <v>1.6039836589170866</v>
      </c>
    </row>
    <row r="38" spans="1:158" x14ac:dyDescent="0.25">
      <c r="D38" s="292"/>
      <c r="E38" s="292"/>
      <c r="F38" s="292"/>
      <c r="G38" s="292"/>
      <c r="H38" s="292"/>
      <c r="I38" s="292"/>
      <c r="J38" s="292"/>
      <c r="K38" s="292"/>
      <c r="L38" s="292"/>
      <c r="M38" s="292"/>
      <c r="N38" s="292"/>
      <c r="O38" s="292"/>
      <c r="P38" s="292"/>
      <c r="Q38" s="292"/>
      <c r="R38" s="292"/>
      <c r="S38" s="292"/>
      <c r="T38" s="292"/>
      <c r="U38" s="292"/>
      <c r="V38" s="292"/>
      <c r="W38" s="292"/>
      <c r="X38" s="292"/>
      <c r="Y38" s="292"/>
      <c r="Z38" s="292"/>
      <c r="AA38" s="292"/>
      <c r="AB38" s="292"/>
      <c r="AC38" s="292"/>
      <c r="AD38" s="292"/>
      <c r="AE38" s="292"/>
      <c r="AF38" s="292"/>
      <c r="AG38" s="292"/>
      <c r="AH38" s="292"/>
      <c r="AI38" s="292"/>
      <c r="AJ38" s="292"/>
      <c r="AK38" s="292"/>
      <c r="AL38" s="292"/>
      <c r="AM38" s="292"/>
      <c r="AN38" s="292"/>
      <c r="AO38" s="292"/>
      <c r="AP38" s="292"/>
      <c r="AQ38" s="292"/>
      <c r="AR38" s="292"/>
      <c r="AS38" s="292"/>
      <c r="AT38" s="292"/>
      <c r="AU38" s="292"/>
      <c r="AV38" s="292"/>
      <c r="AW38" s="292"/>
      <c r="AX38" s="292"/>
      <c r="AY38" s="292"/>
      <c r="AZ38" s="292"/>
      <c r="BA38" s="292"/>
      <c r="BB38" s="292"/>
      <c r="BC38" s="292"/>
      <c r="BD38" s="292"/>
      <c r="BE38" s="292"/>
      <c r="BF38" s="292"/>
      <c r="BG38" s="292"/>
      <c r="BH38" s="292"/>
      <c r="BI38" s="292"/>
      <c r="BJ38" s="292"/>
      <c r="BK38" s="292"/>
      <c r="BL38" s="292"/>
      <c r="BM38" s="292"/>
      <c r="BN38" s="292"/>
      <c r="BO38" s="292"/>
      <c r="BP38" s="292"/>
      <c r="BQ38" s="292"/>
      <c r="BR38" s="292"/>
      <c r="BS38" s="292"/>
      <c r="BT38" s="292"/>
      <c r="BU38" s="292"/>
      <c r="BV38" s="292"/>
      <c r="BW38" s="292"/>
      <c r="BX38" s="292"/>
      <c r="BY38" s="292"/>
      <c r="BZ38" s="292"/>
      <c r="CA38" s="292"/>
      <c r="CB38" s="292"/>
      <c r="CC38" s="292"/>
      <c r="CD38" s="292"/>
      <c r="CE38" s="292"/>
      <c r="CF38" s="292"/>
      <c r="CG38" s="292"/>
      <c r="CH38" s="292"/>
      <c r="CN38" s="99"/>
      <c r="CO38" s="99"/>
      <c r="CP38" s="99"/>
      <c r="CQ38" s="99"/>
      <c r="CR38" s="99"/>
      <c r="CS38" s="99"/>
      <c r="CT38" s="99"/>
    </row>
    <row r="39" spans="1:158" x14ac:dyDescent="0.25">
      <c r="C39" s="1" t="s">
        <v>308</v>
      </c>
      <c r="D39" s="292"/>
      <c r="E39" s="292"/>
      <c r="F39" s="292"/>
      <c r="G39" s="292"/>
      <c r="H39" s="292"/>
      <c r="I39" s="292"/>
      <c r="J39" s="292"/>
      <c r="K39" s="292"/>
      <c r="L39" s="292"/>
      <c r="M39" s="292"/>
      <c r="N39" s="292"/>
      <c r="O39" s="292"/>
      <c r="P39" s="292"/>
      <c r="Q39" s="292"/>
      <c r="R39" s="292"/>
      <c r="S39" s="292"/>
      <c r="T39" s="292"/>
      <c r="U39" s="292"/>
      <c r="V39" s="292"/>
      <c r="W39" s="292"/>
      <c r="X39" s="292"/>
      <c r="Y39" s="292"/>
      <c r="Z39" s="292"/>
      <c r="AA39" s="292"/>
      <c r="AB39" s="292"/>
      <c r="AC39" s="292"/>
      <c r="AD39" s="292"/>
      <c r="AE39" s="292"/>
      <c r="AF39" s="292"/>
      <c r="AG39" s="292"/>
      <c r="AH39" s="292"/>
      <c r="AI39" s="292"/>
      <c r="AJ39" s="292"/>
      <c r="AK39" s="292"/>
      <c r="AL39" s="292"/>
      <c r="AM39" s="292"/>
      <c r="AN39" s="292"/>
      <c r="AO39" s="292"/>
      <c r="AP39" s="292"/>
      <c r="AQ39" s="292"/>
      <c r="AR39" s="292"/>
      <c r="AS39" s="292"/>
      <c r="AT39" s="292"/>
      <c r="AU39" s="292"/>
      <c r="AV39" s="292"/>
      <c r="AW39" s="292"/>
      <c r="AX39" s="292"/>
      <c r="AY39" s="292"/>
      <c r="AZ39" s="292"/>
      <c r="BA39" s="292"/>
      <c r="BB39" s="292"/>
      <c r="BC39" s="292"/>
      <c r="BD39" s="292"/>
      <c r="BE39" s="292"/>
      <c r="BF39" s="292"/>
      <c r="BG39" s="292"/>
      <c r="BH39" s="292"/>
      <c r="BI39" s="292"/>
      <c r="BJ39" s="292"/>
      <c r="BK39" s="292"/>
      <c r="BL39" s="292"/>
      <c r="BM39" s="292"/>
      <c r="BN39" s="292"/>
      <c r="BO39" s="292"/>
      <c r="BP39" s="292"/>
      <c r="BQ39" s="292"/>
      <c r="BR39" s="292"/>
      <c r="BS39" s="292"/>
      <c r="BT39" s="292"/>
      <c r="BU39" s="292"/>
      <c r="BV39" s="292"/>
      <c r="BW39" s="292"/>
      <c r="BX39" s="292"/>
      <c r="BY39" s="292"/>
      <c r="BZ39" s="292"/>
      <c r="CA39" s="292"/>
      <c r="CB39" s="292"/>
      <c r="CC39" s="292"/>
      <c r="CD39" s="292"/>
      <c r="CE39" s="292"/>
      <c r="CF39" s="292"/>
      <c r="CG39" s="292"/>
      <c r="CH39" s="292"/>
      <c r="CN39" s="99"/>
      <c r="CO39" s="99"/>
      <c r="CP39" s="99"/>
      <c r="CQ39" s="99"/>
      <c r="CR39" s="99"/>
      <c r="CS39" s="99"/>
      <c r="CT39" s="99"/>
    </row>
    <row r="40" spans="1:158" x14ac:dyDescent="0.25">
      <c r="C40" s="2" t="s">
        <v>18</v>
      </c>
      <c r="D40" s="30">
        <f>AY40</f>
        <v>13606240.259999994</v>
      </c>
      <c r="E40" s="30">
        <f>BK40</f>
        <v>31062420.149999999</v>
      </c>
      <c r="F40" s="30">
        <f>BW40</f>
        <v>55870239.050915003</v>
      </c>
      <c r="G40" s="30">
        <f>CI40</f>
        <v>82486429.478349999</v>
      </c>
      <c r="H40" s="68">
        <f>G45</f>
        <v>139753840.43627</v>
      </c>
      <c r="I40" s="68">
        <f>H45</f>
        <v>216111471.21907872</v>
      </c>
      <c r="J40" s="68">
        <f>I45</f>
        <v>327799303.82293564</v>
      </c>
      <c r="K40" s="68">
        <f t="shared" ref="K40" si="394">J45</f>
        <v>489688396.10083544</v>
      </c>
      <c r="L40" s="68">
        <f t="shared" ref="L40" si="395">K45</f>
        <v>720349008.55711591</v>
      </c>
      <c r="M40" s="292"/>
      <c r="N40" s="30">
        <f>AY40</f>
        <v>13606240.259999994</v>
      </c>
      <c r="O40" s="30">
        <f>BB40</f>
        <v>16767788.959999997</v>
      </c>
      <c r="P40" s="30">
        <f>BE40</f>
        <v>20671916.759999998</v>
      </c>
      <c r="Q40" s="30">
        <f>BH40</f>
        <v>24712945.219999995</v>
      </c>
      <c r="R40" s="30">
        <f>BK40</f>
        <v>31062420.149999999</v>
      </c>
      <c r="S40" s="30">
        <f>BN40</f>
        <v>36033828.459999993</v>
      </c>
      <c r="T40" s="30">
        <f>BQ40</f>
        <v>42798623.309999995</v>
      </c>
      <c r="U40" s="30">
        <f>BT40</f>
        <v>48239885.619999997</v>
      </c>
      <c r="V40" s="30">
        <f>BW40</f>
        <v>55870239.050915003</v>
      </c>
      <c r="W40" s="30">
        <f>BZ40</f>
        <v>59951769.334578</v>
      </c>
      <c r="X40" s="30">
        <f>CC40</f>
        <v>66614249.640767008</v>
      </c>
      <c r="Y40" s="30">
        <f>CF40</f>
        <v>73268131.55413501</v>
      </c>
      <c r="Z40" s="30">
        <f>CI40</f>
        <v>82486429.478349999</v>
      </c>
      <c r="AA40" s="30">
        <f>CL40</f>
        <v>89817778.016371995</v>
      </c>
      <c r="AB40" s="30">
        <f>CO40</f>
        <v>102577352.93627</v>
      </c>
      <c r="AC40" s="30">
        <f>CR40</f>
        <v>118376052.93626997</v>
      </c>
      <c r="AD40" s="30">
        <f>CU40</f>
        <v>139753840.43626997</v>
      </c>
      <c r="AE40" s="30">
        <f>CX40</f>
        <v>152946435.82622141</v>
      </c>
      <c r="AF40" s="30">
        <f>DA40</f>
        <v>170967277.9439933</v>
      </c>
      <c r="AG40" s="30">
        <f>DD40</f>
        <v>188912816.4839409</v>
      </c>
      <c r="AH40" s="30">
        <f>DG40</f>
        <v>216111471.21907872</v>
      </c>
      <c r="AI40" s="30">
        <f>DJ40</f>
        <v>236074140.9082163</v>
      </c>
      <c r="AJ40" s="30">
        <f>DM40</f>
        <v>263985854.41999963</v>
      </c>
      <c r="AK40" s="30">
        <f>DP40</f>
        <v>290255924.10503018</v>
      </c>
      <c r="AL40" s="30">
        <f>DS40</f>
        <v>327799303.82293582</v>
      </c>
      <c r="AM40" s="30">
        <f>DV40</f>
        <v>356733186.3322618</v>
      </c>
      <c r="AN40" s="30">
        <f>DY40</f>
        <v>397191667.42577767</v>
      </c>
      <c r="AO40" s="30">
        <f>EB40</f>
        <v>435270892.16766071</v>
      </c>
      <c r="AP40" s="30">
        <f>EE40</f>
        <v>489688396.10083562</v>
      </c>
      <c r="AQ40" s="30">
        <f>EH40</f>
        <v>530912729.36251712</v>
      </c>
      <c r="AR40" s="30">
        <f>EK40</f>
        <v>588558800.62467504</v>
      </c>
      <c r="AS40" s="30">
        <f>EN40</f>
        <v>642815037.96890068</v>
      </c>
      <c r="AT40" s="30">
        <f>EQ40</f>
        <v>720349008.55711591</v>
      </c>
      <c r="AU40" s="30">
        <f>ET40</f>
        <v>778062346.85951507</v>
      </c>
      <c r="AV40" s="30">
        <f>EW40</f>
        <v>858766026.33387852</v>
      </c>
      <c r="AW40" s="30">
        <f>EZ40</f>
        <v>934724006.79661798</v>
      </c>
      <c r="AX40" s="292"/>
      <c r="AY40" s="296">
        <f t="shared" ref="AY40:CH40" si="396">SUM(AY7,AY18,AY29)</f>
        <v>13606240.259999994</v>
      </c>
      <c r="AZ40" s="296">
        <f t="shared" si="396"/>
        <v>13791928.259999994</v>
      </c>
      <c r="BA40" s="296">
        <f t="shared" si="396"/>
        <v>14795809.089999996</v>
      </c>
      <c r="BB40" s="296">
        <f t="shared" si="396"/>
        <v>16767788.959999997</v>
      </c>
      <c r="BC40" s="296">
        <f t="shared" si="396"/>
        <v>17369390.389999997</v>
      </c>
      <c r="BD40" s="296">
        <f t="shared" si="396"/>
        <v>18871954.039999995</v>
      </c>
      <c r="BE40" s="296">
        <f t="shared" si="396"/>
        <v>20671916.759999998</v>
      </c>
      <c r="BF40" s="296">
        <f t="shared" si="396"/>
        <v>21387793.429999992</v>
      </c>
      <c r="BG40" s="296">
        <f t="shared" si="396"/>
        <v>22441842.889999993</v>
      </c>
      <c r="BH40" s="296">
        <f t="shared" si="396"/>
        <v>24712945.219999995</v>
      </c>
      <c r="BI40" s="296">
        <f t="shared" si="396"/>
        <v>25801457.389999993</v>
      </c>
      <c r="BJ40" s="296">
        <f t="shared" si="396"/>
        <v>28584740.059999995</v>
      </c>
      <c r="BK40" s="296">
        <f t="shared" si="396"/>
        <v>31062420.149999999</v>
      </c>
      <c r="BL40" s="296">
        <f t="shared" si="396"/>
        <v>31740033.479999997</v>
      </c>
      <c r="BM40" s="296">
        <f t="shared" si="396"/>
        <v>32971914.599999994</v>
      </c>
      <c r="BN40" s="296">
        <f t="shared" si="396"/>
        <v>36033828.459999993</v>
      </c>
      <c r="BO40" s="296">
        <f t="shared" si="396"/>
        <v>37136195.219999999</v>
      </c>
      <c r="BP40" s="296">
        <f t="shared" si="396"/>
        <v>40063675.599999994</v>
      </c>
      <c r="BQ40" s="296">
        <f t="shared" si="396"/>
        <v>42798623.309999995</v>
      </c>
      <c r="BR40" s="296">
        <f t="shared" si="396"/>
        <v>43902798.709999993</v>
      </c>
      <c r="BS40" s="296">
        <f t="shared" si="396"/>
        <v>45023808.379999995</v>
      </c>
      <c r="BT40" s="296">
        <f t="shared" si="396"/>
        <v>48239885.619999997</v>
      </c>
      <c r="BU40" s="296">
        <f t="shared" si="396"/>
        <v>48805348.159999996</v>
      </c>
      <c r="BV40" s="296">
        <f t="shared" si="396"/>
        <v>51912760.919999994</v>
      </c>
      <c r="BW40" s="296">
        <f t="shared" si="396"/>
        <v>55870239.050915003</v>
      </c>
      <c r="BX40" s="296">
        <f t="shared" si="396"/>
        <v>56666370.550915003</v>
      </c>
      <c r="BY40" s="296">
        <f t="shared" si="396"/>
        <v>58021562.926116005</v>
      </c>
      <c r="BZ40" s="296">
        <f t="shared" si="396"/>
        <v>59951769.334578</v>
      </c>
      <c r="CA40" s="296">
        <f t="shared" si="396"/>
        <v>61093335.126446009</v>
      </c>
      <c r="CB40" s="296">
        <f t="shared" si="396"/>
        <v>62483939.880584002</v>
      </c>
      <c r="CC40" s="296">
        <f t="shared" si="396"/>
        <v>66614249.640767008</v>
      </c>
      <c r="CD40" s="296">
        <f t="shared" si="396"/>
        <v>66934892.007946007</v>
      </c>
      <c r="CE40" s="296">
        <f t="shared" si="396"/>
        <v>69948142.661936998</v>
      </c>
      <c r="CF40" s="296">
        <f t="shared" si="396"/>
        <v>73268131.55413501</v>
      </c>
      <c r="CG40" s="296">
        <f t="shared" si="396"/>
        <v>74547969.940290004</v>
      </c>
      <c r="CH40" s="296">
        <f t="shared" si="396"/>
        <v>77650306.381976008</v>
      </c>
      <c r="CI40" s="20">
        <f t="shared" ref="CI40:ET40" si="397">SUM(CI7,CI18,CI29)</f>
        <v>82486429.478349999</v>
      </c>
      <c r="CJ40" s="20">
        <f t="shared" si="397"/>
        <v>83536381.485256001</v>
      </c>
      <c r="CK40" s="20">
        <f t="shared" si="397"/>
        <v>85225813.686762005</v>
      </c>
      <c r="CL40" s="20">
        <f t="shared" si="397"/>
        <v>89817778.016371995</v>
      </c>
      <c r="CM40" s="20">
        <f t="shared" si="397"/>
        <v>91934098.521279007</v>
      </c>
      <c r="CN40" s="50">
        <f t="shared" si="397"/>
        <v>95683614.653117001</v>
      </c>
      <c r="CO40" s="50">
        <f t="shared" si="397"/>
        <v>102577352.93627</v>
      </c>
      <c r="CP40" s="50">
        <f t="shared" si="397"/>
        <v>104926817.75669529</v>
      </c>
      <c r="CQ40" s="50">
        <f t="shared" si="397"/>
        <v>110545480.30961847</v>
      </c>
      <c r="CR40" s="50">
        <f t="shared" si="397"/>
        <v>118376052.93626997</v>
      </c>
      <c r="CS40" s="50">
        <f t="shared" si="397"/>
        <v>120427237.69664198</v>
      </c>
      <c r="CT40" s="50">
        <f t="shared" si="397"/>
        <v>128994872.50855489</v>
      </c>
      <c r="CU40" s="20">
        <f t="shared" si="397"/>
        <v>139753840.43626997</v>
      </c>
      <c r="CV40" s="20">
        <f t="shared" si="397"/>
        <v>141304602.96331868</v>
      </c>
      <c r="CW40" s="20">
        <f t="shared" si="397"/>
        <v>145175837.70013493</v>
      </c>
      <c r="CX40" s="20">
        <f t="shared" si="397"/>
        <v>152946435.82622141</v>
      </c>
      <c r="CY40" s="20">
        <f t="shared" si="397"/>
        <v>155745774.4955011</v>
      </c>
      <c r="CZ40" s="20">
        <f t="shared" si="397"/>
        <v>162121402.41978717</v>
      </c>
      <c r="DA40" s="20">
        <f t="shared" si="397"/>
        <v>170967277.9439933</v>
      </c>
      <c r="DB40" s="20">
        <f t="shared" si="397"/>
        <v>173617830.0580273</v>
      </c>
      <c r="DC40" s="20">
        <f t="shared" si="397"/>
        <v>179124598.21867657</v>
      </c>
      <c r="DD40" s="20">
        <f t="shared" si="397"/>
        <v>188912816.4839409</v>
      </c>
      <c r="DE40" s="20">
        <f t="shared" si="397"/>
        <v>192764882.17356771</v>
      </c>
      <c r="DF40" s="20">
        <f t="shared" si="397"/>
        <v>203474651.84640121</v>
      </c>
      <c r="DG40" s="20">
        <f t="shared" si="397"/>
        <v>216111471.21907872</v>
      </c>
      <c r="DH40" s="20">
        <f t="shared" si="397"/>
        <v>218589309.55992457</v>
      </c>
      <c r="DI40" s="20">
        <f t="shared" si="397"/>
        <v>224478763.69246063</v>
      </c>
      <c r="DJ40" s="20">
        <f t="shared" si="397"/>
        <v>236074140.9082163</v>
      </c>
      <c r="DK40" s="20">
        <f t="shared" si="397"/>
        <v>240654058.76697558</v>
      </c>
      <c r="DL40" s="20">
        <f t="shared" si="397"/>
        <v>250520815.0584923</v>
      </c>
      <c r="DM40" s="20">
        <f t="shared" si="397"/>
        <v>263985854.41999963</v>
      </c>
      <c r="DN40" s="20">
        <f t="shared" si="397"/>
        <v>267829501.99080333</v>
      </c>
      <c r="DO40" s="20">
        <f t="shared" si="397"/>
        <v>275900276.99986416</v>
      </c>
      <c r="DP40" s="20">
        <f t="shared" si="397"/>
        <v>290255924.10503018</v>
      </c>
      <c r="DQ40" s="20">
        <f t="shared" si="397"/>
        <v>295124356.35625982</v>
      </c>
      <c r="DR40" s="20">
        <f t="shared" si="397"/>
        <v>310036505.18159676</v>
      </c>
      <c r="DS40" s="20">
        <f t="shared" si="397"/>
        <v>327799303.82293582</v>
      </c>
      <c r="DT40" s="20">
        <f t="shared" si="397"/>
        <v>331389574.55086803</v>
      </c>
      <c r="DU40" s="20">
        <f t="shared" si="397"/>
        <v>339926001.10994267</v>
      </c>
      <c r="DV40" s="20">
        <f t="shared" si="397"/>
        <v>356733186.3322618</v>
      </c>
      <c r="DW40" s="20">
        <f t="shared" si="397"/>
        <v>363370014.74588132</v>
      </c>
      <c r="DX40" s="20">
        <f t="shared" si="397"/>
        <v>377673491.28388065</v>
      </c>
      <c r="DY40" s="20">
        <f t="shared" si="397"/>
        <v>397191667.42577767</v>
      </c>
      <c r="DZ40" s="20">
        <f t="shared" si="397"/>
        <v>402760869.19133586</v>
      </c>
      <c r="EA40" s="20">
        <f t="shared" si="397"/>
        <v>414460286.76597571</v>
      </c>
      <c r="EB40" s="20">
        <f t="shared" si="397"/>
        <v>435270892.16766071</v>
      </c>
      <c r="EC40" s="20">
        <f t="shared" si="397"/>
        <v>442326100.83480287</v>
      </c>
      <c r="ED40" s="20">
        <f t="shared" si="397"/>
        <v>463940271.53124666</v>
      </c>
      <c r="EE40" s="20">
        <f t="shared" si="397"/>
        <v>489688396.10083562</v>
      </c>
      <c r="EF40" s="20">
        <f t="shared" si="397"/>
        <v>494803135.96270478</v>
      </c>
      <c r="EG40" s="20">
        <f t="shared" si="397"/>
        <v>506965778.27183145</v>
      </c>
      <c r="EH40" s="20">
        <f t="shared" si="397"/>
        <v>530912729.36251712</v>
      </c>
      <c r="EI40" s="20">
        <f t="shared" si="397"/>
        <v>540368029.79273462</v>
      </c>
      <c r="EJ40" s="20">
        <f t="shared" si="397"/>
        <v>560748697.79792571</v>
      </c>
      <c r="EK40" s="20">
        <f t="shared" si="397"/>
        <v>588558800.62467504</v>
      </c>
      <c r="EL40" s="20">
        <f t="shared" si="397"/>
        <v>596492714.39788985</v>
      </c>
      <c r="EM40" s="20">
        <f t="shared" si="397"/>
        <v>613162659.6515063</v>
      </c>
      <c r="EN40" s="20">
        <f t="shared" si="397"/>
        <v>642815037.96890068</v>
      </c>
      <c r="EO40" s="20">
        <f t="shared" si="397"/>
        <v>652866548.757725</v>
      </c>
      <c r="EP40" s="20">
        <f t="shared" si="397"/>
        <v>683662198.90276432</v>
      </c>
      <c r="EQ40" s="20">
        <f t="shared" si="397"/>
        <v>720349008.55711591</v>
      </c>
      <c r="ER40" s="20">
        <f t="shared" si="397"/>
        <v>727509486.7342298</v>
      </c>
      <c r="ES40" s="20">
        <f t="shared" si="397"/>
        <v>744536986.60047913</v>
      </c>
      <c r="ET40" s="20">
        <f t="shared" si="397"/>
        <v>778062346.85951507</v>
      </c>
      <c r="EU40" s="20">
        <f t="shared" ref="EU40:FB40" si="398">SUM(EU7,EU18,EU29)</f>
        <v>791299521.28703249</v>
      </c>
      <c r="EV40" s="20">
        <f t="shared" si="398"/>
        <v>819832254.81018901</v>
      </c>
      <c r="EW40" s="20">
        <f t="shared" si="398"/>
        <v>858766026.33387852</v>
      </c>
      <c r="EX40" s="20">
        <f t="shared" si="398"/>
        <v>869873257.33182812</v>
      </c>
      <c r="EY40" s="20">
        <f t="shared" si="398"/>
        <v>893210985.92159605</v>
      </c>
      <c r="EZ40" s="20">
        <f t="shared" si="398"/>
        <v>934724006.79661798</v>
      </c>
      <c r="FA40" s="20">
        <f t="shared" si="398"/>
        <v>948795877.81492519</v>
      </c>
      <c r="FB40" s="20">
        <f t="shared" si="398"/>
        <v>991909275.00620544</v>
      </c>
    </row>
    <row r="41" spans="1:158" x14ac:dyDescent="0.25">
      <c r="C41" s="258" t="s">
        <v>585</v>
      </c>
      <c r="D41" s="244">
        <f t="shared" ref="D41:L44" si="399">SUMIF($AY$2:$FB$2,D$2,$AY41:$FB41)</f>
        <v>12911272.049999999</v>
      </c>
      <c r="E41" s="244">
        <f t="shared" si="399"/>
        <v>17026778.394505002</v>
      </c>
      <c r="F41" s="244">
        <f t="shared" si="399"/>
        <v>17383704.05099</v>
      </c>
      <c r="G41" s="244">
        <f t="shared" si="399"/>
        <v>32846050.17212633</v>
      </c>
      <c r="H41" s="244">
        <f t="shared" si="399"/>
        <v>38010620.603182659</v>
      </c>
      <c r="I41" s="244">
        <f t="shared" si="399"/>
        <v>51979870.170452811</v>
      </c>
      <c r="J41" s="244">
        <f t="shared" si="399"/>
        <v>68044908.272858322</v>
      </c>
      <c r="K41" s="244">
        <f t="shared" si="399"/>
        <v>87983414.927973107</v>
      </c>
      <c r="L41" s="244">
        <f t="shared" si="399"/>
        <v>113094350.77625734</v>
      </c>
      <c r="M41" s="244"/>
      <c r="N41" s="294">
        <f t="shared" ref="N41:N44" si="400">SUM(AY41:BA41)</f>
        <v>2341946.9300000002</v>
      </c>
      <c r="O41" s="294">
        <f>SUM(BB41:BD41)</f>
        <v>2915015.78</v>
      </c>
      <c r="P41" s="294">
        <f>SUM(BE41:BG41)</f>
        <v>2838288.5</v>
      </c>
      <c r="Q41" s="294">
        <f>SUM(BH41:BJ41)</f>
        <v>4816020.84</v>
      </c>
      <c r="R41" s="294">
        <f>SUM(BK41:BM41)</f>
        <v>3891556.9800000004</v>
      </c>
      <c r="S41" s="294">
        <f>SUM(BN41:BP41)</f>
        <v>4234592.8499999996</v>
      </c>
      <c r="T41" s="294">
        <f>SUM(BQ41:BS41)</f>
        <v>4036721.4499999997</v>
      </c>
      <c r="U41" s="294">
        <f>SUM(BT41:BV41)</f>
        <v>4863907.1145050004</v>
      </c>
      <c r="V41" s="294">
        <f>SUM(BW41:BY41)</f>
        <v>3013263.4049450001</v>
      </c>
      <c r="W41" s="294">
        <f>SUM(BZ41:CB41)</f>
        <v>4701734.8787900005</v>
      </c>
      <c r="X41" s="294">
        <f>SUM(CC41:CE41)</f>
        <v>3805111.5429290002</v>
      </c>
      <c r="Y41" s="294">
        <f>SUM(CF41:CH41)</f>
        <v>5863594.2243259996</v>
      </c>
      <c r="Z41" s="294">
        <f>SUM(CI41:CK41)</f>
        <v>5060571.727554</v>
      </c>
      <c r="AA41" s="294">
        <f>SUM(CL41:CN41)</f>
        <v>6782430.6262389999</v>
      </c>
      <c r="AB41" s="294">
        <f>SUM(CO41:CQ41)</f>
        <v>8865992.3166666664</v>
      </c>
      <c r="AC41" s="294">
        <f>SUM(CR41:CT41)</f>
        <v>12137055.501666665</v>
      </c>
      <c r="AD41" s="294">
        <f>SUM(CU41:CW41)</f>
        <v>6726896.6350118387</v>
      </c>
      <c r="AE41" s="294">
        <f>SUM(CX41:CZ41)</f>
        <v>8950175.3958095461</v>
      </c>
      <c r="AF41" s="294">
        <f>SUM(DA41:DC41)</f>
        <v>8823821.8664191831</v>
      </c>
      <c r="AG41" s="294">
        <f>SUM(DD41:DF41)</f>
        <v>13509726.705942094</v>
      </c>
      <c r="AH41" s="294">
        <f>SUM(DG41:DI41)</f>
        <v>9479783.7680577096</v>
      </c>
      <c r="AI41" s="294">
        <f>SUM(DJ41:DL41)</f>
        <v>12863204.883443639</v>
      </c>
      <c r="AJ41" s="294">
        <f>SUM(DM41:DO41)</f>
        <v>12066656.83814875</v>
      </c>
      <c r="AK41" s="294">
        <f>SUM(DP41:DR41)</f>
        <v>17570224.680802718</v>
      </c>
      <c r="AL41" s="294">
        <f>SUM(DS41:DU41)</f>
        <v>12409631.167387711</v>
      </c>
      <c r="AM41" s="294">
        <f>SUM(DV41:DX41)</f>
        <v>16838741.488170221</v>
      </c>
      <c r="AN41" s="294">
        <f>SUM(DY41:EA41)</f>
        <v>15796010.167386256</v>
      </c>
      <c r="AO41" s="294">
        <f>SUM(EB41:ED41)</f>
        <v>23000525.449914131</v>
      </c>
      <c r="AP41" s="294">
        <f>SUM(EE41:EG41)</f>
        <v>16045899.036635084</v>
      </c>
      <c r="AQ41" s="294">
        <f>SUM(EH41:EJ41)</f>
        <v>21772826.458633158</v>
      </c>
      <c r="AR41" s="294">
        <f>SUM(EK41:EM41)</f>
        <v>20424554.195746984</v>
      </c>
      <c r="AS41" s="294">
        <f>SUM(EN41:EP41)</f>
        <v>29740135.236957874</v>
      </c>
      <c r="AT41" s="294">
        <f>SUM(EQ41:ES41)</f>
        <v>20625484.196711481</v>
      </c>
      <c r="AU41" s="294">
        <f>SUM(ET41:EV41)</f>
        <v>27986907.247451641</v>
      </c>
      <c r="AV41" s="294">
        <f>SUM(EW41:EY41)</f>
        <v>26253830.890213452</v>
      </c>
      <c r="AW41" s="294">
        <f>SUM(EZ41:FB41)</f>
        <v>38228128.441880763</v>
      </c>
      <c r="AX41" s="292"/>
      <c r="AY41" s="296">
        <f t="shared" ref="AY41:CH41" si="401">SUM(AY8,AY19,AY30)</f>
        <v>158950</v>
      </c>
      <c r="AZ41" s="296">
        <f t="shared" si="401"/>
        <v>805008.33</v>
      </c>
      <c r="BA41" s="296">
        <f t="shared" si="401"/>
        <v>1377988.6</v>
      </c>
      <c r="BB41" s="296">
        <f t="shared" si="401"/>
        <v>524153.43</v>
      </c>
      <c r="BC41" s="296">
        <f t="shared" si="401"/>
        <v>1152003.3499999999</v>
      </c>
      <c r="BD41" s="296">
        <f t="shared" si="401"/>
        <v>1238859</v>
      </c>
      <c r="BE41" s="296">
        <f t="shared" si="401"/>
        <v>443916.67</v>
      </c>
      <c r="BF41" s="296">
        <f t="shared" si="401"/>
        <v>857888.5</v>
      </c>
      <c r="BG41" s="296">
        <f t="shared" si="401"/>
        <v>1536483.33</v>
      </c>
      <c r="BH41" s="296">
        <f t="shared" si="401"/>
        <v>1097930.17</v>
      </c>
      <c r="BI41" s="296">
        <f t="shared" si="401"/>
        <v>1724341.67</v>
      </c>
      <c r="BJ41" s="296">
        <f t="shared" si="401"/>
        <v>1993749</v>
      </c>
      <c r="BK41" s="296">
        <f t="shared" si="401"/>
        <v>483083.33</v>
      </c>
      <c r="BL41" s="296">
        <f t="shared" si="401"/>
        <v>1104417.33</v>
      </c>
      <c r="BM41" s="296">
        <f t="shared" si="401"/>
        <v>2304056.3200000003</v>
      </c>
      <c r="BN41" s="296">
        <f t="shared" si="401"/>
        <v>1153261.8999999999</v>
      </c>
      <c r="BO41" s="296">
        <f t="shared" si="401"/>
        <v>1125259.95</v>
      </c>
      <c r="BP41" s="296">
        <f t="shared" si="401"/>
        <v>1956071</v>
      </c>
      <c r="BQ41" s="296">
        <f t="shared" si="401"/>
        <v>823585.39999999991</v>
      </c>
      <c r="BR41" s="296">
        <f t="shared" si="401"/>
        <v>922673.67</v>
      </c>
      <c r="BS41" s="296">
        <f t="shared" si="401"/>
        <v>2290462.38</v>
      </c>
      <c r="BT41" s="296">
        <f t="shared" si="401"/>
        <v>401754.48</v>
      </c>
      <c r="BU41" s="296">
        <f t="shared" si="401"/>
        <v>1832079.97</v>
      </c>
      <c r="BV41" s="296">
        <f t="shared" si="401"/>
        <v>2630072.6645050002</v>
      </c>
      <c r="BW41" s="296">
        <f t="shared" si="401"/>
        <v>460126.86</v>
      </c>
      <c r="BX41" s="296">
        <f t="shared" si="401"/>
        <v>1056671.1052009999</v>
      </c>
      <c r="BY41" s="296">
        <f t="shared" si="401"/>
        <v>1496465.4397440001</v>
      </c>
      <c r="BZ41" s="296">
        <f t="shared" si="401"/>
        <v>813288.69007300003</v>
      </c>
      <c r="CA41" s="296">
        <f t="shared" si="401"/>
        <v>1215914.9085339999</v>
      </c>
      <c r="CB41" s="296">
        <f t="shared" si="401"/>
        <v>2672531.280183</v>
      </c>
      <c r="CC41" s="296">
        <f t="shared" si="401"/>
        <v>538978.22</v>
      </c>
      <c r="CD41" s="296">
        <f t="shared" si="401"/>
        <v>1483273.569193</v>
      </c>
      <c r="CE41" s="296">
        <f t="shared" si="401"/>
        <v>1782859.753736</v>
      </c>
      <c r="CF41" s="296">
        <f t="shared" si="401"/>
        <v>705305.24714399991</v>
      </c>
      <c r="CG41" s="296">
        <f t="shared" si="401"/>
        <v>2031227.700807</v>
      </c>
      <c r="CH41" s="296">
        <f t="shared" si="401"/>
        <v>3127061.2763749999</v>
      </c>
      <c r="CI41" s="20">
        <f t="shared" ref="CI41:ET41" si="402">SUM(CI8,CI19,CI30)</f>
        <v>773993.60098500003</v>
      </c>
      <c r="CJ41" s="20">
        <f t="shared" si="402"/>
        <v>1119676.8281129999</v>
      </c>
      <c r="CK41" s="20">
        <f t="shared" si="402"/>
        <v>3166901.2984560002</v>
      </c>
      <c r="CL41" s="20">
        <f t="shared" si="402"/>
        <v>1118860.9245460001</v>
      </c>
      <c r="CM41" s="20">
        <f t="shared" si="402"/>
        <v>1905527.3358809999</v>
      </c>
      <c r="CN41" s="50">
        <f t="shared" si="402"/>
        <v>3758042.3658119999</v>
      </c>
      <c r="CO41" s="50">
        <f t="shared" si="402"/>
        <v>1329898.8475000001</v>
      </c>
      <c r="CP41" s="50">
        <f t="shared" si="402"/>
        <v>3103097.3108333331</v>
      </c>
      <c r="CQ41" s="50">
        <f t="shared" si="402"/>
        <v>4432996.1583333332</v>
      </c>
      <c r="CR41" s="50">
        <f t="shared" si="402"/>
        <v>1213705.5501666667</v>
      </c>
      <c r="CS41" s="50">
        <f t="shared" si="402"/>
        <v>4854822.200666667</v>
      </c>
      <c r="CT41" s="50">
        <f t="shared" si="402"/>
        <v>6068527.7508333325</v>
      </c>
      <c r="CU41" s="20">
        <f t="shared" si="402"/>
        <v>889228.95587280195</v>
      </c>
      <c r="CV41" s="20">
        <f t="shared" si="402"/>
        <v>1954336.1399159036</v>
      </c>
      <c r="CW41" s="20">
        <f t="shared" si="402"/>
        <v>3883331.5392231327</v>
      </c>
      <c r="CX41" s="20">
        <f t="shared" si="402"/>
        <v>1552709.6653509592</v>
      </c>
      <c r="CY41" s="20">
        <f t="shared" si="402"/>
        <v>3045431.7206775276</v>
      </c>
      <c r="CZ41" s="20">
        <f t="shared" si="402"/>
        <v>4352034.0097810579</v>
      </c>
      <c r="DA41" s="20">
        <f t="shared" si="402"/>
        <v>1490960.9447708859</v>
      </c>
      <c r="DB41" s="20">
        <f t="shared" si="402"/>
        <v>2658531.0290329838</v>
      </c>
      <c r="DC41" s="20">
        <f t="shared" si="402"/>
        <v>4674329.8926153136</v>
      </c>
      <c r="DD41" s="20">
        <f t="shared" si="402"/>
        <v>2007165.2860361105</v>
      </c>
      <c r="DE41" s="20">
        <f t="shared" si="402"/>
        <v>5353970.7476564199</v>
      </c>
      <c r="DF41" s="20">
        <f t="shared" si="402"/>
        <v>6148590.672249563</v>
      </c>
      <c r="DG41" s="20">
        <f t="shared" si="402"/>
        <v>1309592.4694584117</v>
      </c>
      <c r="DH41" s="20">
        <f t="shared" si="402"/>
        <v>2766136.2528961734</v>
      </c>
      <c r="DI41" s="20">
        <f t="shared" si="402"/>
        <v>5404055.0457031243</v>
      </c>
      <c r="DJ41" s="20">
        <f t="shared" si="402"/>
        <v>2331264.102174053</v>
      </c>
      <c r="DK41" s="20">
        <f t="shared" si="402"/>
        <v>4372575.1201254334</v>
      </c>
      <c r="DL41" s="20">
        <f t="shared" si="402"/>
        <v>6159365.6611441514</v>
      </c>
      <c r="DM41" s="20">
        <f t="shared" si="402"/>
        <v>2038902.6832126281</v>
      </c>
      <c r="DN41" s="20">
        <f t="shared" si="402"/>
        <v>3635565.4167268206</v>
      </c>
      <c r="DO41" s="20">
        <f t="shared" si="402"/>
        <v>6392188.7382093016</v>
      </c>
      <c r="DP41" s="20">
        <f t="shared" si="402"/>
        <v>2443333.5784978005</v>
      </c>
      <c r="DQ41" s="20">
        <f t="shared" si="402"/>
        <v>7020120.5559306229</v>
      </c>
      <c r="DR41" s="20">
        <f t="shared" si="402"/>
        <v>8106770.5463742968</v>
      </c>
      <c r="DS41" s="20">
        <f t="shared" si="402"/>
        <v>1714338.6308374722</v>
      </c>
      <c r="DT41" s="20">
        <f t="shared" si="402"/>
        <v>3621045.7429256882</v>
      </c>
      <c r="DU41" s="20">
        <f t="shared" si="402"/>
        <v>7074246.7936245501</v>
      </c>
      <c r="DV41" s="20">
        <f t="shared" si="402"/>
        <v>3051770.8388277609</v>
      </c>
      <c r="DW41" s="20">
        <f t="shared" si="402"/>
        <v>5723974.9154711235</v>
      </c>
      <c r="DX41" s="20">
        <f t="shared" si="402"/>
        <v>8062995.7338713389</v>
      </c>
      <c r="DY41" s="20">
        <f t="shared" si="402"/>
        <v>2669051.4155102861</v>
      </c>
      <c r="DZ41" s="20">
        <f t="shared" si="402"/>
        <v>4759183.0162317883</v>
      </c>
      <c r="EA41" s="20">
        <f t="shared" si="402"/>
        <v>8367775.7356441831</v>
      </c>
      <c r="EB41" s="20">
        <f t="shared" si="402"/>
        <v>3198476.8081122204</v>
      </c>
      <c r="EC41" s="20">
        <f t="shared" si="402"/>
        <v>9189777.8452751581</v>
      </c>
      <c r="ED41" s="20">
        <f t="shared" si="402"/>
        <v>10612270.796526752</v>
      </c>
      <c r="EE41" s="20">
        <f t="shared" si="402"/>
        <v>2216673.8248685515</v>
      </c>
      <c r="EF41" s="20">
        <f t="shared" si="402"/>
        <v>4682083.9084014324</v>
      </c>
      <c r="EG41" s="20">
        <f t="shared" si="402"/>
        <v>9147141.3033651002</v>
      </c>
      <c r="EH41" s="20">
        <f t="shared" si="402"/>
        <v>3946000.1753690718</v>
      </c>
      <c r="EI41" s="20">
        <f t="shared" si="402"/>
        <v>7401213.0048838193</v>
      </c>
      <c r="EJ41" s="20">
        <f t="shared" si="402"/>
        <v>10425613.278380267</v>
      </c>
      <c r="EK41" s="20">
        <f t="shared" si="402"/>
        <v>3451136.3761894451</v>
      </c>
      <c r="EL41" s="20">
        <f t="shared" si="402"/>
        <v>6153717.9586779792</v>
      </c>
      <c r="EM41" s="20">
        <f t="shared" si="402"/>
        <v>10819699.860879559</v>
      </c>
      <c r="EN41" s="20">
        <f t="shared" si="402"/>
        <v>4135693.9011098077</v>
      </c>
      <c r="EO41" s="20">
        <f t="shared" si="402"/>
        <v>11882564.879277699</v>
      </c>
      <c r="EP41" s="20">
        <f t="shared" si="402"/>
        <v>13721876.456570368</v>
      </c>
      <c r="EQ41" s="20">
        <f t="shared" si="402"/>
        <v>2849324.3563171532</v>
      </c>
      <c r="ER41" s="20">
        <f t="shared" si="402"/>
        <v>6018375.6260666456</v>
      </c>
      <c r="ES41" s="20">
        <f t="shared" si="402"/>
        <v>11757784.214327682</v>
      </c>
      <c r="ET41" s="20">
        <f t="shared" si="402"/>
        <v>5072209.66998949</v>
      </c>
      <c r="EU41" s="20">
        <f t="shared" ref="EU41:FB41" si="403">SUM(EU8,EU19,EU30)</f>
        <v>9513558.6681803651</v>
      </c>
      <c r="EV41" s="20">
        <f t="shared" si="403"/>
        <v>13401138.909281785</v>
      </c>
      <c r="EW41" s="20">
        <f t="shared" si="403"/>
        <v>4436109.1033462379</v>
      </c>
      <c r="EX41" s="20">
        <f t="shared" si="403"/>
        <v>7910021.8827220555</v>
      </c>
      <c r="EY41" s="20">
        <f t="shared" si="403"/>
        <v>13907699.904145161</v>
      </c>
      <c r="EZ41" s="20">
        <f t="shared" si="403"/>
        <v>5316042.9967197664</v>
      </c>
      <c r="FA41" s="20">
        <f t="shared" si="403"/>
        <v>15273912.267201727</v>
      </c>
      <c r="FB41" s="20">
        <f t="shared" si="403"/>
        <v>17638173.177959271</v>
      </c>
    </row>
    <row r="42" spans="1:158" x14ac:dyDescent="0.25">
      <c r="C42" s="258" t="s">
        <v>584</v>
      </c>
      <c r="D42" s="244">
        <f t="shared" si="399"/>
        <v>5998653.25</v>
      </c>
      <c r="E42" s="244">
        <f t="shared" si="399"/>
        <v>10710029.496410001</v>
      </c>
      <c r="F42" s="244">
        <f t="shared" si="399"/>
        <v>14958265.513111997</v>
      </c>
      <c r="G42" s="244">
        <f t="shared" si="399"/>
        <v>31086192.148306668</v>
      </c>
      <c r="H42" s="244">
        <f t="shared" si="399"/>
        <v>49489379.396817319</v>
      </c>
      <c r="I42" s="244">
        <f t="shared" si="399"/>
        <v>77082629.829547167</v>
      </c>
      <c r="J42" s="244">
        <f t="shared" si="399"/>
        <v>119095716.72714165</v>
      </c>
      <c r="K42" s="244">
        <f t="shared" si="399"/>
        <v>178691975.69702691</v>
      </c>
      <c r="L42" s="244">
        <f t="shared" si="399"/>
        <v>260251196.0987426</v>
      </c>
      <c r="M42" s="244"/>
      <c r="N42" s="294">
        <f t="shared" si="400"/>
        <v>1070661.17</v>
      </c>
      <c r="O42" s="294">
        <f t="shared" ref="O42:O44" si="404">SUM(BB42:BD42)</f>
        <v>1264963.02</v>
      </c>
      <c r="P42" s="294">
        <f t="shared" ref="P42:P44" si="405">SUM(BE42:BG42)</f>
        <v>1464777.96</v>
      </c>
      <c r="Q42" s="294">
        <f t="shared" ref="Q42:Q44" si="406">SUM(BH42:BJ42)</f>
        <v>2198251.1</v>
      </c>
      <c r="R42" s="294">
        <f t="shared" ref="R42:R44" si="407">SUM(BK42:BM42)</f>
        <v>1796767.31</v>
      </c>
      <c r="S42" s="294">
        <f t="shared" ref="S42:S44" si="408">SUM(BN42:BP42)</f>
        <v>3269955</v>
      </c>
      <c r="T42" s="294">
        <f t="shared" ref="T42:T44" si="409">SUM(BQ42:BS42)</f>
        <v>1976416.8599999999</v>
      </c>
      <c r="U42" s="294">
        <f t="shared" ref="U42:U44" si="410">SUM(BT42:BV42)</f>
        <v>3666890.3264100002</v>
      </c>
      <c r="V42" s="294">
        <f t="shared" ref="V42:V44" si="411">SUM(BW42:BY42)</f>
        <v>2212349.6687179999</v>
      </c>
      <c r="W42" s="294">
        <f t="shared" ref="W42:W44" si="412">SUM(BZ42:CB42)</f>
        <v>3409170.7704760004</v>
      </c>
      <c r="X42" s="294">
        <f t="shared" ref="X42:X44" si="413">SUM(CC42:CE42)</f>
        <v>4347463.5640289998</v>
      </c>
      <c r="Y42" s="294">
        <f t="shared" ref="Y42:Y44" si="414">SUM(CF42:CH42)</f>
        <v>4989281.5098890001</v>
      </c>
      <c r="Z42" s="294">
        <f t="shared" ref="Z42:Z44" si="415">SUM(CI42:CK42)</f>
        <v>4008072.518619</v>
      </c>
      <c r="AA42" s="294">
        <f t="shared" ref="AA42:AA44" si="416">SUM(CL42:CN42)</f>
        <v>7404679.9480209993</v>
      </c>
      <c r="AB42" s="294">
        <f t="shared" ref="AB42:AB44" si="417">SUM(CO42:CQ42)</f>
        <v>8432707.6833333336</v>
      </c>
      <c r="AC42" s="294">
        <f t="shared" ref="AC42:AC44" si="418">SUM(CR42:CT42)</f>
        <v>11240731.998333335</v>
      </c>
      <c r="AD42" s="294">
        <f t="shared" ref="AD42:AD44" si="419">SUM(CU42:CW42)</f>
        <v>8758340.0231407918</v>
      </c>
      <c r="AE42" s="294">
        <f t="shared" ref="AE42:AE44" si="420">SUM(CX42:CZ42)</f>
        <v>11653022.72897356</v>
      </c>
      <c r="AF42" s="294">
        <f t="shared" ref="AF42:AF44" si="421">SUM(DA42:DC42)</f>
        <v>11488511.925022021</v>
      </c>
      <c r="AG42" s="294">
        <f t="shared" ref="AG42:AG44" si="422">SUM(DD42:DF42)</f>
        <v>17589504.71968095</v>
      </c>
      <c r="AH42" s="294">
        <f t="shared" ref="AH42:AH44" si="423">SUM(DG42:DI42)</f>
        <v>14057877.802717423</v>
      </c>
      <c r="AI42" s="294">
        <f t="shared" ref="AI42:AI44" si="424">SUM(DJ42:DL42)</f>
        <v>19075262.350611441</v>
      </c>
      <c r="AJ42" s="294">
        <f t="shared" ref="AJ42:AJ44" si="425">SUM(DM42:DO42)</f>
        <v>17894035.504227027</v>
      </c>
      <c r="AK42" s="294">
        <f t="shared" ref="AK42:AK44" si="426">SUM(DP42:DR42)</f>
        <v>26055454.171991274</v>
      </c>
      <c r="AL42" s="294">
        <f t="shared" ref="AL42:AL44" si="427">SUM(DS42:DU42)</f>
        <v>21719978.110236228</v>
      </c>
      <c r="AM42" s="294">
        <f t="shared" ref="AM42:AM44" si="428">SUM(DV42:DX42)</f>
        <v>29472036.001209646</v>
      </c>
      <c r="AN42" s="294">
        <f t="shared" ref="AN42:AN44" si="429">SUM(DY42:EA42)</f>
        <v>27646993.729058623</v>
      </c>
      <c r="AO42" s="294">
        <f t="shared" ref="AO42:AO44" si="430">SUM(EB42:ED42)</f>
        <v>40256708.886637159</v>
      </c>
      <c r="AP42" s="294">
        <f t="shared" ref="AP42:AP44" si="431">SUM(EE42:EG42)</f>
        <v>32588794.183979034</v>
      </c>
      <c r="AQ42" s="294">
        <f t="shared" ref="AQ42:AQ44" si="432">SUM(EH42:EJ42)</f>
        <v>44220031.463733159</v>
      </c>
      <c r="AR42" s="294">
        <f t="shared" ref="AR42:AR44" si="433">SUM(EK42:EM42)</f>
        <v>41481726.35668698</v>
      </c>
      <c r="AS42" s="294">
        <f t="shared" ref="AS42:AS44" si="434">SUM(EN42:EP42)</f>
        <v>60401423.692627713</v>
      </c>
      <c r="AT42" s="294">
        <f t="shared" ref="AT42:AT44" si="435">SUM(EQ42:ES42)</f>
        <v>47463086.312148288</v>
      </c>
      <c r="AU42" s="294">
        <f t="shared" ref="AU42:AU44" si="436">SUM(ET42:EV42)</f>
        <v>64403093.8438612</v>
      </c>
      <c r="AV42" s="294">
        <f t="shared" ref="AV42:AV44" si="437">SUM(EW42:EY42)</f>
        <v>60414961.883194089</v>
      </c>
      <c r="AW42" s="294">
        <f t="shared" ref="AW42:AW44" si="438">SUM(EZ42:FB42)</f>
        <v>87970054.059539065</v>
      </c>
      <c r="AX42" s="292"/>
      <c r="AY42" s="296">
        <f t="shared" ref="AY42:CH42" si="439">SUM(AY9,AY20,AY31)</f>
        <v>88689</v>
      </c>
      <c r="AZ42" s="296">
        <f t="shared" si="439"/>
        <v>277024.5</v>
      </c>
      <c r="BA42" s="296">
        <f t="shared" si="439"/>
        <v>704947.67</v>
      </c>
      <c r="BB42" s="296">
        <f t="shared" si="439"/>
        <v>132448</v>
      </c>
      <c r="BC42" s="296">
        <f t="shared" si="439"/>
        <v>369660.3</v>
      </c>
      <c r="BD42" s="296">
        <f t="shared" si="439"/>
        <v>762854.72</v>
      </c>
      <c r="BE42" s="296">
        <f t="shared" si="439"/>
        <v>334210</v>
      </c>
      <c r="BF42" s="296">
        <f t="shared" si="439"/>
        <v>256613.96000000002</v>
      </c>
      <c r="BG42" s="296">
        <f t="shared" si="439"/>
        <v>873954</v>
      </c>
      <c r="BH42" s="296">
        <f t="shared" si="439"/>
        <v>99082</v>
      </c>
      <c r="BI42" s="296">
        <f t="shared" si="439"/>
        <v>1365788</v>
      </c>
      <c r="BJ42" s="296">
        <f t="shared" si="439"/>
        <v>733381.1</v>
      </c>
      <c r="BK42" s="296">
        <f t="shared" si="439"/>
        <v>303930</v>
      </c>
      <c r="BL42" s="296">
        <f t="shared" si="439"/>
        <v>303274</v>
      </c>
      <c r="BM42" s="296">
        <f t="shared" si="439"/>
        <v>1189563.31</v>
      </c>
      <c r="BN42" s="296">
        <f t="shared" si="439"/>
        <v>172863.86</v>
      </c>
      <c r="BO42" s="296">
        <f t="shared" si="439"/>
        <v>1990309.4300000002</v>
      </c>
      <c r="BP42" s="296">
        <f t="shared" si="439"/>
        <v>1106781.71</v>
      </c>
      <c r="BQ42" s="296">
        <f t="shared" si="439"/>
        <v>398420</v>
      </c>
      <c r="BR42" s="296">
        <f t="shared" si="439"/>
        <v>385315</v>
      </c>
      <c r="BS42" s="296">
        <f t="shared" si="439"/>
        <v>1192681.8599999999</v>
      </c>
      <c r="BT42" s="296">
        <f t="shared" si="439"/>
        <v>395651.06</v>
      </c>
      <c r="BU42" s="296">
        <f t="shared" si="439"/>
        <v>1513856.5</v>
      </c>
      <c r="BV42" s="296">
        <f t="shared" si="439"/>
        <v>1757382.7664100002</v>
      </c>
      <c r="BW42" s="296">
        <f t="shared" si="439"/>
        <v>643142.64</v>
      </c>
      <c r="BX42" s="296">
        <f t="shared" si="439"/>
        <v>614583.27</v>
      </c>
      <c r="BY42" s="296">
        <f t="shared" si="439"/>
        <v>954623.75871800003</v>
      </c>
      <c r="BZ42" s="296">
        <f t="shared" si="439"/>
        <v>868961.53948700009</v>
      </c>
      <c r="CA42" s="296">
        <f t="shared" si="439"/>
        <v>710580.63098899997</v>
      </c>
      <c r="CB42" s="296">
        <f t="shared" si="439"/>
        <v>1829628.6</v>
      </c>
      <c r="CC42" s="296">
        <f t="shared" si="439"/>
        <v>511109.42717899999</v>
      </c>
      <c r="CD42" s="296">
        <f t="shared" si="439"/>
        <v>1871585.014798</v>
      </c>
      <c r="CE42" s="296">
        <f t="shared" si="439"/>
        <v>1964769.1220519999</v>
      </c>
      <c r="CF42" s="296">
        <f t="shared" si="439"/>
        <v>878364.7290109999</v>
      </c>
      <c r="CG42" s="296">
        <f t="shared" si="439"/>
        <v>1886001.1308790001</v>
      </c>
      <c r="CH42" s="296">
        <f t="shared" si="439"/>
        <v>2224915.6499990001</v>
      </c>
      <c r="CI42" s="20">
        <f t="shared" ref="CI42:ET42" si="440">SUM(CI9,CI20,CI31)</f>
        <v>693251.33886200003</v>
      </c>
      <c r="CJ42" s="20">
        <f t="shared" si="440"/>
        <v>1128856.5392749999</v>
      </c>
      <c r="CK42" s="20">
        <f t="shared" si="440"/>
        <v>2185964.6404820001</v>
      </c>
      <c r="CL42" s="20">
        <f t="shared" si="440"/>
        <v>1487367.08088</v>
      </c>
      <c r="CM42" s="20">
        <f t="shared" si="440"/>
        <v>2320255.4680349999</v>
      </c>
      <c r="CN42" s="50">
        <f t="shared" si="440"/>
        <v>3597057.3991059996</v>
      </c>
      <c r="CO42" s="50">
        <f t="shared" si="440"/>
        <v>1264906.1524999999</v>
      </c>
      <c r="CP42" s="50">
        <f t="shared" si="440"/>
        <v>2951447.6891666669</v>
      </c>
      <c r="CQ42" s="50">
        <f t="shared" si="440"/>
        <v>4216353.8416666668</v>
      </c>
      <c r="CR42" s="50">
        <f t="shared" si="440"/>
        <v>1124073.1998333335</v>
      </c>
      <c r="CS42" s="50">
        <f t="shared" si="440"/>
        <v>4496292.799333334</v>
      </c>
      <c r="CT42" s="50">
        <f t="shared" si="440"/>
        <v>5620365.9991666665</v>
      </c>
      <c r="CU42" s="20">
        <f t="shared" si="440"/>
        <v>1157765.6052303459</v>
      </c>
      <c r="CV42" s="20">
        <f t="shared" si="440"/>
        <v>2544522.5876977993</v>
      </c>
      <c r="CW42" s="20">
        <f t="shared" si="440"/>
        <v>5056051.8302126471</v>
      </c>
      <c r="CX42" s="20">
        <f t="shared" si="440"/>
        <v>2021609.6580971056</v>
      </c>
      <c r="CY42" s="20">
        <f t="shared" si="440"/>
        <v>3965116.1559591256</v>
      </c>
      <c r="CZ42" s="20">
        <f t="shared" si="440"/>
        <v>5666296.9149173293</v>
      </c>
      <c r="DA42" s="20">
        <f t="shared" si="440"/>
        <v>1941213.5527044078</v>
      </c>
      <c r="DB42" s="20">
        <f t="shared" si="440"/>
        <v>3461376.0219165729</v>
      </c>
      <c r="DC42" s="20">
        <f t="shared" si="440"/>
        <v>6085922.3504010411</v>
      </c>
      <c r="DD42" s="20">
        <f t="shared" si="440"/>
        <v>2613305.5124189467</v>
      </c>
      <c r="DE42" s="20">
        <f t="shared" si="440"/>
        <v>6970806.7220571656</v>
      </c>
      <c r="DF42" s="20">
        <f t="shared" si="440"/>
        <v>8005392.4852048401</v>
      </c>
      <c r="DG42" s="20">
        <f t="shared" si="440"/>
        <v>1942037.0081687318</v>
      </c>
      <c r="DH42" s="20">
        <f t="shared" si="440"/>
        <v>4101992.8703340385</v>
      </c>
      <c r="DI42" s="20">
        <f t="shared" si="440"/>
        <v>8013847.9242146527</v>
      </c>
      <c r="DJ42" s="20">
        <f t="shared" si="440"/>
        <v>3457106.8999118418</v>
      </c>
      <c r="DK42" s="20">
        <f t="shared" si="440"/>
        <v>6484232.9979136307</v>
      </c>
      <c r="DL42" s="20">
        <f t="shared" si="440"/>
        <v>9133922.4527859688</v>
      </c>
      <c r="DM42" s="20">
        <f t="shared" si="440"/>
        <v>3023554.7005634308</v>
      </c>
      <c r="DN42" s="20">
        <f t="shared" si="440"/>
        <v>5391297.483423776</v>
      </c>
      <c r="DO42" s="20">
        <f t="shared" si="440"/>
        <v>9479183.3202398214</v>
      </c>
      <c r="DP42" s="20">
        <f t="shared" si="440"/>
        <v>3623298.3492234088</v>
      </c>
      <c r="DQ42" s="20">
        <f t="shared" si="440"/>
        <v>10410363.711896917</v>
      </c>
      <c r="DR42" s="20">
        <f t="shared" si="440"/>
        <v>12021792.110870948</v>
      </c>
      <c r="DS42" s="20">
        <f t="shared" si="440"/>
        <v>3000524.1117218863</v>
      </c>
      <c r="DT42" s="20">
        <f t="shared" si="440"/>
        <v>6337741.4857581183</v>
      </c>
      <c r="DU42" s="20">
        <f t="shared" si="440"/>
        <v>12381712.512756225</v>
      </c>
      <c r="DV42" s="20">
        <f t="shared" si="440"/>
        <v>5341367.1141967885</v>
      </c>
      <c r="DW42" s="20">
        <f t="shared" si="440"/>
        <v>10018396.855685521</v>
      </c>
      <c r="DX42" s="20">
        <f t="shared" si="440"/>
        <v>14112272.031327337</v>
      </c>
      <c r="DY42" s="20">
        <f t="shared" si="440"/>
        <v>4671511.7909650002</v>
      </c>
      <c r="DZ42" s="20">
        <f t="shared" si="440"/>
        <v>8329768.1889865752</v>
      </c>
      <c r="EA42" s="20">
        <f t="shared" si="440"/>
        <v>14645713.749107048</v>
      </c>
      <c r="EB42" s="20">
        <f t="shared" si="440"/>
        <v>5598139.4870835338</v>
      </c>
      <c r="EC42" s="20">
        <f t="shared" si="440"/>
        <v>16084424.343074773</v>
      </c>
      <c r="ED42" s="20">
        <f t="shared" si="440"/>
        <v>18574145.056478851</v>
      </c>
      <c r="EE42" s="20">
        <f t="shared" si="440"/>
        <v>4502005.583278534</v>
      </c>
      <c r="EF42" s="20">
        <f t="shared" si="440"/>
        <v>9509187.8924729936</v>
      </c>
      <c r="EG42" s="20">
        <f t="shared" si="440"/>
        <v>18577600.708227508</v>
      </c>
      <c r="EH42" s="20">
        <f t="shared" si="440"/>
        <v>8014221.4076909106</v>
      </c>
      <c r="EI42" s="20">
        <f t="shared" si="440"/>
        <v>15031666.769014399</v>
      </c>
      <c r="EJ42" s="20">
        <f t="shared" si="440"/>
        <v>21174143.287027851</v>
      </c>
      <c r="EK42" s="20">
        <f t="shared" si="440"/>
        <v>7009166.1930378377</v>
      </c>
      <c r="EL42" s="20">
        <f t="shared" si="440"/>
        <v>12498037.508758191</v>
      </c>
      <c r="EM42" s="20">
        <f t="shared" si="440"/>
        <v>21974522.654890947</v>
      </c>
      <c r="EN42" s="20">
        <f t="shared" si="440"/>
        <v>8399484.3195441421</v>
      </c>
      <c r="EO42" s="20">
        <f t="shared" si="440"/>
        <v>24133173.239120957</v>
      </c>
      <c r="EP42" s="20">
        <f t="shared" si="440"/>
        <v>27868766.133962616</v>
      </c>
      <c r="EQ42" s="20">
        <f t="shared" si="440"/>
        <v>6556826.8150887657</v>
      </c>
      <c r="ER42" s="20">
        <f t="shared" si="440"/>
        <v>13849404.89515755</v>
      </c>
      <c r="ES42" s="20">
        <f t="shared" si="440"/>
        <v>27056854.601901967</v>
      </c>
      <c r="ET42" s="20">
        <f t="shared" si="440"/>
        <v>11672100.546294484</v>
      </c>
      <c r="EU42" s="20">
        <f t="shared" ref="EU42:FB42" si="441">SUM(EU9,EU20,EU31)</f>
        <v>21892473.01527714</v>
      </c>
      <c r="EV42" s="20">
        <f t="shared" si="441"/>
        <v>30838520.282289572</v>
      </c>
      <c r="EW42" s="20">
        <f t="shared" si="441"/>
        <v>10208314.493571959</v>
      </c>
      <c r="EX42" s="20">
        <f t="shared" si="441"/>
        <v>18202435.771688584</v>
      </c>
      <c r="EY42" s="20">
        <f t="shared" si="441"/>
        <v>32004211.617933545</v>
      </c>
      <c r="EZ42" s="20">
        <f t="shared" si="441"/>
        <v>12233206.512195762</v>
      </c>
      <c r="FA42" s="20">
        <f t="shared" si="441"/>
        <v>35148121.098556384</v>
      </c>
      <c r="FB42" s="20">
        <f t="shared" si="441"/>
        <v>40588726.448786914</v>
      </c>
    </row>
    <row r="43" spans="1:158" x14ac:dyDescent="0.25">
      <c r="C43" s="258" t="s">
        <v>583</v>
      </c>
      <c r="D43" s="244">
        <f t="shared" si="399"/>
        <v>-436261.41000000003</v>
      </c>
      <c r="E43" s="244">
        <f t="shared" si="399"/>
        <v>-660763.82000000007</v>
      </c>
      <c r="F43" s="244">
        <f t="shared" si="399"/>
        <v>-1351642.0030769999</v>
      </c>
      <c r="G43" s="244">
        <f t="shared" si="399"/>
        <v>-2209298.7215975602</v>
      </c>
      <c r="H43" s="244">
        <f t="shared" si="399"/>
        <v>-3747488.0218898011</v>
      </c>
      <c r="I43" s="244">
        <f t="shared" si="399"/>
        <v>-5845029.5595364654</v>
      </c>
      <c r="J43" s="244">
        <f t="shared" si="399"/>
        <v>-8702856.3840548228</v>
      </c>
      <c r="K43" s="244">
        <f t="shared" si="399"/>
        <v>-12747534.834115218</v>
      </c>
      <c r="L43" s="244">
        <f t="shared" si="399"/>
        <v>-18363497.084741957</v>
      </c>
      <c r="M43" s="244"/>
      <c r="N43" s="294">
        <f t="shared" si="400"/>
        <v>-77514.399999999994</v>
      </c>
      <c r="O43" s="294">
        <f t="shared" si="404"/>
        <v>-32000</v>
      </c>
      <c r="P43" s="294">
        <f t="shared" si="405"/>
        <v>-118803</v>
      </c>
      <c r="Q43" s="294">
        <f t="shared" si="406"/>
        <v>-207944.01</v>
      </c>
      <c r="R43" s="294">
        <f t="shared" si="407"/>
        <v>-186390.52000000002</v>
      </c>
      <c r="S43" s="294">
        <f t="shared" si="408"/>
        <v>-229939</v>
      </c>
      <c r="T43" s="294">
        <f t="shared" si="409"/>
        <v>-62260</v>
      </c>
      <c r="U43" s="294">
        <f t="shared" si="410"/>
        <v>-182174.3</v>
      </c>
      <c r="V43" s="294">
        <f t="shared" si="411"/>
        <v>-218357.13</v>
      </c>
      <c r="W43" s="294">
        <f t="shared" si="412"/>
        <v>-392030.80307700002</v>
      </c>
      <c r="X43" s="294">
        <f t="shared" si="413"/>
        <v>-255998.69</v>
      </c>
      <c r="Y43" s="294">
        <f t="shared" si="414"/>
        <v>-485255.37999999995</v>
      </c>
      <c r="Z43" s="294">
        <f t="shared" si="415"/>
        <v>-716813.179412</v>
      </c>
      <c r="AA43" s="294">
        <f t="shared" si="416"/>
        <v>-470164.03376599995</v>
      </c>
      <c r="AB43" s="294">
        <f t="shared" si="417"/>
        <v>-443399.08210375364</v>
      </c>
      <c r="AC43" s="294">
        <f t="shared" si="418"/>
        <v>-578922.42631580611</v>
      </c>
      <c r="AD43" s="294">
        <f t="shared" si="419"/>
        <v>-771078.89027930889</v>
      </c>
      <c r="AE43" s="294">
        <f t="shared" si="420"/>
        <v>-868517.99791364698</v>
      </c>
      <c r="AF43" s="294">
        <f t="shared" si="421"/>
        <v>-796018.93298899452</v>
      </c>
      <c r="AG43" s="294">
        <f t="shared" si="422"/>
        <v>-1311872.2007078507</v>
      </c>
      <c r="AH43" s="294">
        <f t="shared" si="423"/>
        <v>-1202666.6609982476</v>
      </c>
      <c r="AI43" s="294">
        <f t="shared" si="424"/>
        <v>-1354644.322047676</v>
      </c>
      <c r="AJ43" s="294">
        <f t="shared" si="425"/>
        <v>-1241566.1280553038</v>
      </c>
      <c r="AK43" s="294">
        <f t="shared" si="426"/>
        <v>-2046152.4484352381</v>
      </c>
      <c r="AL43" s="294">
        <f t="shared" si="427"/>
        <v>-1790689.8711028148</v>
      </c>
      <c r="AM43" s="294">
        <f t="shared" si="428"/>
        <v>-2016974.3995599523</v>
      </c>
      <c r="AN43" s="294">
        <f t="shared" si="429"/>
        <v>-1848608.564544064</v>
      </c>
      <c r="AO43" s="294">
        <f t="shared" si="430"/>
        <v>-3046583.548847991</v>
      </c>
      <c r="AP43" s="294">
        <f t="shared" si="431"/>
        <v>-2622918.3272291296</v>
      </c>
      <c r="AQ43" s="294">
        <f t="shared" si="432"/>
        <v>-2954369.2649021605</v>
      </c>
      <c r="AR43" s="294">
        <f t="shared" si="433"/>
        <v>-2707754.9061185042</v>
      </c>
      <c r="AS43" s="294">
        <f t="shared" si="434"/>
        <v>-4462492.3358654259</v>
      </c>
      <c r="AT43" s="294">
        <f t="shared" si="435"/>
        <v>-3778452.3582305214</v>
      </c>
      <c r="AU43" s="294">
        <f t="shared" si="436"/>
        <v>-4255924.9368034862</v>
      </c>
      <c r="AV43" s="294">
        <f t="shared" si="437"/>
        <v>-3900663.9300667667</v>
      </c>
      <c r="AW43" s="294">
        <f t="shared" si="438"/>
        <v>-6428455.8596411813</v>
      </c>
      <c r="AX43" s="292"/>
      <c r="AY43" s="296">
        <f t="shared" ref="AY43:CH43" si="442">SUM(AY10,AY21,AY32)</f>
        <v>-34865</v>
      </c>
      <c r="AZ43" s="296">
        <f t="shared" si="442"/>
        <v>-1050</v>
      </c>
      <c r="BA43" s="296">
        <f t="shared" si="442"/>
        <v>-41599.4</v>
      </c>
      <c r="BB43" s="296">
        <f t="shared" si="442"/>
        <v>-27000</v>
      </c>
      <c r="BC43" s="296">
        <f t="shared" si="442"/>
        <v>-3500</v>
      </c>
      <c r="BD43" s="296">
        <f t="shared" si="442"/>
        <v>-1500</v>
      </c>
      <c r="BE43" s="296">
        <f t="shared" si="442"/>
        <v>-62250</v>
      </c>
      <c r="BF43" s="296">
        <f t="shared" si="442"/>
        <v>-6578</v>
      </c>
      <c r="BG43" s="296">
        <f t="shared" si="442"/>
        <v>-49975</v>
      </c>
      <c r="BH43" s="296">
        <f t="shared" si="442"/>
        <v>-75000</v>
      </c>
      <c r="BI43" s="296">
        <f t="shared" si="442"/>
        <v>-44944</v>
      </c>
      <c r="BJ43" s="296">
        <f t="shared" si="442"/>
        <v>-88000.010000000009</v>
      </c>
      <c r="BK43" s="296">
        <f t="shared" si="442"/>
        <v>-65400</v>
      </c>
      <c r="BL43" s="296">
        <f t="shared" si="442"/>
        <v>-56884.75</v>
      </c>
      <c r="BM43" s="296">
        <f t="shared" si="442"/>
        <v>-64105.770000000004</v>
      </c>
      <c r="BN43" s="296">
        <f t="shared" si="442"/>
        <v>-67019</v>
      </c>
      <c r="BO43" s="296">
        <f t="shared" si="442"/>
        <v>-48500</v>
      </c>
      <c r="BP43" s="296">
        <f t="shared" si="442"/>
        <v>-114420</v>
      </c>
      <c r="BQ43" s="296">
        <f t="shared" si="442"/>
        <v>-6920</v>
      </c>
      <c r="BR43" s="296">
        <f t="shared" si="442"/>
        <v>-13625</v>
      </c>
      <c r="BS43" s="296">
        <f t="shared" si="442"/>
        <v>-41715</v>
      </c>
      <c r="BT43" s="296">
        <f t="shared" si="442"/>
        <v>-73500</v>
      </c>
      <c r="BU43" s="296">
        <f t="shared" si="442"/>
        <v>-39500</v>
      </c>
      <c r="BV43" s="296">
        <f t="shared" si="442"/>
        <v>-69174.3</v>
      </c>
      <c r="BW43" s="296">
        <f t="shared" si="442"/>
        <v>-32045</v>
      </c>
      <c r="BX43" s="296">
        <f t="shared" si="442"/>
        <v>-64000</v>
      </c>
      <c r="BY43" s="296">
        <f t="shared" si="442"/>
        <v>-122312.13</v>
      </c>
      <c r="BZ43" s="296">
        <f t="shared" si="442"/>
        <v>-208710.837692</v>
      </c>
      <c r="CA43" s="296">
        <f t="shared" si="442"/>
        <v>-84782.785384999996</v>
      </c>
      <c r="CB43" s="296">
        <f t="shared" si="442"/>
        <v>-98537.18</v>
      </c>
      <c r="CC43" s="296">
        <f t="shared" si="442"/>
        <v>-91056.67</v>
      </c>
      <c r="CD43" s="296">
        <f t="shared" si="442"/>
        <v>-43808.33</v>
      </c>
      <c r="CE43" s="296">
        <f t="shared" si="442"/>
        <v>-121133.69</v>
      </c>
      <c r="CF43" s="296">
        <f t="shared" si="442"/>
        <v>-36049.99</v>
      </c>
      <c r="CG43" s="296">
        <f t="shared" si="442"/>
        <v>-296974.38999999996</v>
      </c>
      <c r="CH43" s="296">
        <f t="shared" si="442"/>
        <v>-152231</v>
      </c>
      <c r="CI43" s="20">
        <f t="shared" ref="CI43:ET43" si="443">SUM(CI10,CI21,CI32)</f>
        <v>-121271.50294100001</v>
      </c>
      <c r="CJ43" s="20">
        <f t="shared" si="443"/>
        <v>-345366.83</v>
      </c>
      <c r="CK43" s="20">
        <f t="shared" si="443"/>
        <v>-250174.846471</v>
      </c>
      <c r="CL43" s="20">
        <f t="shared" si="443"/>
        <v>-47990.400000000001</v>
      </c>
      <c r="CM43" s="20">
        <f t="shared" si="443"/>
        <v>-207300.36376599999</v>
      </c>
      <c r="CN43" s="50">
        <f t="shared" si="443"/>
        <v>-214873.27</v>
      </c>
      <c r="CO43" s="50">
        <f t="shared" si="443"/>
        <v>-70157.24260998008</v>
      </c>
      <c r="CP43" s="50">
        <f t="shared" si="443"/>
        <v>-131598.98793740565</v>
      </c>
      <c r="CQ43" s="50">
        <f t="shared" si="443"/>
        <v>-241642.85155636791</v>
      </c>
      <c r="CR43" s="50">
        <f t="shared" si="443"/>
        <v>-79362.059381933563</v>
      </c>
      <c r="CS43" s="50">
        <f t="shared" si="443"/>
        <v>-238224.04381368763</v>
      </c>
      <c r="CT43" s="50">
        <f t="shared" si="443"/>
        <v>-261336.323120185</v>
      </c>
      <c r="CU43" s="20">
        <f t="shared" si="443"/>
        <v>-166896.6058697704</v>
      </c>
      <c r="CV43" s="20">
        <f t="shared" si="443"/>
        <v>-211087.36767897152</v>
      </c>
      <c r="CW43" s="20">
        <f t="shared" si="443"/>
        <v>-393094.91673056694</v>
      </c>
      <c r="CX43" s="20">
        <f t="shared" si="443"/>
        <v>-260647.50342426106</v>
      </c>
      <c r="CY43" s="20">
        <f t="shared" si="443"/>
        <v>-213541.20204719366</v>
      </c>
      <c r="CZ43" s="20">
        <f t="shared" si="443"/>
        <v>-394329.29244219221</v>
      </c>
      <c r="DA43" s="20">
        <f t="shared" si="443"/>
        <v>-262881.30131858215</v>
      </c>
      <c r="DB43" s="20">
        <f t="shared" si="443"/>
        <v>-206215.62635082024</v>
      </c>
      <c r="DC43" s="20">
        <f t="shared" si="443"/>
        <v>-326922.00531959214</v>
      </c>
      <c r="DD43" s="20">
        <f t="shared" si="443"/>
        <v>-258435.96502348708</v>
      </c>
      <c r="DE43" s="20">
        <f t="shared" si="443"/>
        <v>-543171.9462974777</v>
      </c>
      <c r="DF43" s="20">
        <f t="shared" si="443"/>
        <v>-510264.289386886</v>
      </c>
      <c r="DG43" s="20">
        <f t="shared" si="443"/>
        <v>-260311.8646402444</v>
      </c>
      <c r="DH43" s="20">
        <f t="shared" si="443"/>
        <v>-329237.05066471122</v>
      </c>
      <c r="DI43" s="20">
        <f t="shared" si="443"/>
        <v>-613117.745693292</v>
      </c>
      <c r="DJ43" s="20">
        <f t="shared" si="443"/>
        <v>-406536.95308301854</v>
      </c>
      <c r="DK43" s="20">
        <f t="shared" si="443"/>
        <v>-333064.34359605244</v>
      </c>
      <c r="DL43" s="20">
        <f t="shared" si="443"/>
        <v>-615043.02536860504</v>
      </c>
      <c r="DM43" s="20">
        <f t="shared" si="443"/>
        <v>-410021.05086960818</v>
      </c>
      <c r="DN43" s="20">
        <f t="shared" si="443"/>
        <v>-321638.50147572672</v>
      </c>
      <c r="DO43" s="20">
        <f t="shared" si="443"/>
        <v>-509906.57570996904</v>
      </c>
      <c r="DP43" s="20">
        <f t="shared" si="443"/>
        <v>-403087.57385910442</v>
      </c>
      <c r="DQ43" s="20">
        <f t="shared" si="443"/>
        <v>-847195.79181434703</v>
      </c>
      <c r="DR43" s="20">
        <f t="shared" si="443"/>
        <v>-795869.08276178665</v>
      </c>
      <c r="DS43" s="20">
        <f t="shared" si="443"/>
        <v>-387586.88043473737</v>
      </c>
      <c r="DT43" s="20">
        <f t="shared" si="443"/>
        <v>-490211.85249095527</v>
      </c>
      <c r="DU43" s="20">
        <f t="shared" si="443"/>
        <v>-912891.13817712222</v>
      </c>
      <c r="DV43" s="20">
        <f t="shared" si="443"/>
        <v>-605306.21470002015</v>
      </c>
      <c r="DW43" s="20">
        <f t="shared" si="443"/>
        <v>-495910.43457371416</v>
      </c>
      <c r="DX43" s="20">
        <f t="shared" si="443"/>
        <v>-915757.7502862179</v>
      </c>
      <c r="DY43" s="20">
        <f t="shared" si="443"/>
        <v>-610493.80226580426</v>
      </c>
      <c r="DZ43" s="20">
        <f t="shared" si="443"/>
        <v>-478898.12316840375</v>
      </c>
      <c r="EA43" s="20">
        <f t="shared" si="443"/>
        <v>-759216.63910985598</v>
      </c>
      <c r="EB43" s="20">
        <f t="shared" si="443"/>
        <v>-600170.32074189803</v>
      </c>
      <c r="EC43" s="20">
        <f t="shared" si="443"/>
        <v>-1261417.6250497149</v>
      </c>
      <c r="ED43" s="20">
        <f t="shared" si="443"/>
        <v>-1184995.603056378</v>
      </c>
      <c r="EE43" s="20">
        <f t="shared" si="443"/>
        <v>-567719.03861819976</v>
      </c>
      <c r="EF43" s="20">
        <f t="shared" si="443"/>
        <v>-718039.27239036909</v>
      </c>
      <c r="EG43" s="20">
        <f t="shared" si="443"/>
        <v>-1337160.0162205608</v>
      </c>
      <c r="EH43" s="20">
        <f t="shared" si="443"/>
        <v>-886624.08256354905</v>
      </c>
      <c r="EI43" s="20">
        <f t="shared" si="443"/>
        <v>-726386.28748510638</v>
      </c>
      <c r="EJ43" s="20">
        <f t="shared" si="443"/>
        <v>-1341358.8948535053</v>
      </c>
      <c r="EK43" s="20">
        <f t="shared" si="443"/>
        <v>-894222.61691613449</v>
      </c>
      <c r="EL43" s="20">
        <f t="shared" si="443"/>
        <v>-701467.45363587188</v>
      </c>
      <c r="EM43" s="20">
        <f t="shared" si="443"/>
        <v>-1112064.8355664979</v>
      </c>
      <c r="EN43" s="20">
        <f t="shared" si="443"/>
        <v>-879101.26657689968</v>
      </c>
      <c r="EO43" s="20">
        <f t="shared" si="443"/>
        <v>-1847665.2269190014</v>
      </c>
      <c r="EP43" s="20">
        <f t="shared" si="443"/>
        <v>-1735725.8423695248</v>
      </c>
      <c r="EQ43" s="20">
        <f t="shared" si="443"/>
        <v>-817829.25454083807</v>
      </c>
      <c r="ER43" s="20">
        <f t="shared" si="443"/>
        <v>-1034373.4892163542</v>
      </c>
      <c r="ES43" s="20">
        <f t="shared" si="443"/>
        <v>-1926249.6144733292</v>
      </c>
      <c r="ET43" s="20">
        <f t="shared" si="443"/>
        <v>-1277228.8106908957</v>
      </c>
      <c r="EU43" s="20">
        <f t="shared" ref="EU43:FB43" si="444">SUM(EU10,EU21,EU32)</f>
        <v>-1046397.8052392679</v>
      </c>
      <c r="EV43" s="20">
        <f t="shared" si="444"/>
        <v>-1932298.3208733234</v>
      </c>
      <c r="EW43" s="20">
        <f t="shared" si="444"/>
        <v>-1288174.9006798856</v>
      </c>
      <c r="EX43" s="20">
        <f t="shared" si="444"/>
        <v>-1010500.9091962029</v>
      </c>
      <c r="EY43" s="20">
        <f t="shared" si="444"/>
        <v>-1601988.1201906782</v>
      </c>
      <c r="EZ43" s="20">
        <f t="shared" si="444"/>
        <v>-1266391.7970064785</v>
      </c>
      <c r="FA43" s="20">
        <f t="shared" si="444"/>
        <v>-2661659.3286180375</v>
      </c>
      <c r="FB43" s="20">
        <f t="shared" si="444"/>
        <v>-2500404.7340166653</v>
      </c>
    </row>
    <row r="44" spans="1:158" x14ac:dyDescent="0.25">
      <c r="C44" s="258" t="s">
        <v>22</v>
      </c>
      <c r="D44" s="295">
        <f t="shared" si="399"/>
        <v>-1017484</v>
      </c>
      <c r="E44" s="295">
        <f t="shared" si="399"/>
        <v>-2268225.17</v>
      </c>
      <c r="F44" s="295">
        <f t="shared" si="399"/>
        <v>-4374137.1335899998</v>
      </c>
      <c r="G44" s="295">
        <f t="shared" si="399"/>
        <v>-4455532.6409154395</v>
      </c>
      <c r="H44" s="295">
        <f t="shared" si="399"/>
        <v>-7394881.1953014657</v>
      </c>
      <c r="I44" s="295">
        <f t="shared" si="399"/>
        <v>-11529637.836606536</v>
      </c>
      <c r="J44" s="295">
        <f t="shared" si="399"/>
        <v>-16548676.33804529</v>
      </c>
      <c r="K44" s="295">
        <f t="shared" si="399"/>
        <v>-23267243.334604423</v>
      </c>
      <c r="L44" s="295">
        <f t="shared" si="399"/>
        <v>-32060731.75642471</v>
      </c>
      <c r="M44" s="244"/>
      <c r="N44" s="295">
        <f t="shared" si="400"/>
        <v>-173545</v>
      </c>
      <c r="O44" s="295">
        <f t="shared" si="404"/>
        <v>-243851</v>
      </c>
      <c r="P44" s="295">
        <f t="shared" si="405"/>
        <v>-143235</v>
      </c>
      <c r="Q44" s="295">
        <f t="shared" si="406"/>
        <v>-456853</v>
      </c>
      <c r="R44" s="295">
        <f t="shared" si="407"/>
        <v>-530525.46</v>
      </c>
      <c r="S44" s="295">
        <f t="shared" si="408"/>
        <v>-509814</v>
      </c>
      <c r="T44" s="295">
        <f t="shared" si="409"/>
        <v>-509616</v>
      </c>
      <c r="U44" s="295">
        <f t="shared" si="410"/>
        <v>-718269.71</v>
      </c>
      <c r="V44" s="295">
        <f t="shared" si="411"/>
        <v>-925725.66</v>
      </c>
      <c r="W44" s="295">
        <f t="shared" si="412"/>
        <v>-1056394.54</v>
      </c>
      <c r="X44" s="295">
        <f t="shared" si="413"/>
        <v>-1242694.5035899999</v>
      </c>
      <c r="Y44" s="295">
        <f t="shared" si="414"/>
        <v>-1149322.43</v>
      </c>
      <c r="Z44" s="295">
        <f t="shared" si="415"/>
        <v>-1020482.528739</v>
      </c>
      <c r="AA44" s="295">
        <f t="shared" si="416"/>
        <v>-957371.62059599999</v>
      </c>
      <c r="AB44" s="295">
        <f t="shared" si="417"/>
        <v>-1056600.9178962463</v>
      </c>
      <c r="AC44" s="295">
        <f t="shared" si="418"/>
        <v>-1421077.5736841937</v>
      </c>
      <c r="AD44" s="295">
        <f t="shared" si="419"/>
        <v>-1521562.3779218732</v>
      </c>
      <c r="AE44" s="295">
        <f t="shared" si="420"/>
        <v>-1713838.0090975426</v>
      </c>
      <c r="AF44" s="295">
        <f t="shared" si="421"/>
        <v>-1570776.318504628</v>
      </c>
      <c r="AG44" s="295">
        <f t="shared" si="422"/>
        <v>-2588704.4897774216</v>
      </c>
      <c r="AH44" s="295">
        <f t="shared" si="423"/>
        <v>-2372325.2206393108</v>
      </c>
      <c r="AI44" s="295">
        <f t="shared" si="424"/>
        <v>-2672109.4002240961</v>
      </c>
      <c r="AJ44" s="295">
        <f t="shared" si="425"/>
        <v>-2449056.5292899441</v>
      </c>
      <c r="AK44" s="295">
        <f t="shared" si="426"/>
        <v>-4036146.6864531846</v>
      </c>
      <c r="AL44" s="295">
        <f t="shared" si="427"/>
        <v>-3405036.8971950915</v>
      </c>
      <c r="AM44" s="295">
        <f t="shared" si="428"/>
        <v>-3835321.9963040845</v>
      </c>
      <c r="AN44" s="295">
        <f t="shared" si="429"/>
        <v>-3515170.5900178063</v>
      </c>
      <c r="AO44" s="295">
        <f t="shared" si="430"/>
        <v>-5793146.8545283079</v>
      </c>
      <c r="AP44" s="295">
        <f t="shared" si="431"/>
        <v>-4787441.6317034978</v>
      </c>
      <c r="AQ44" s="295">
        <f t="shared" si="432"/>
        <v>-5392417.395306224</v>
      </c>
      <c r="AR44" s="295">
        <f t="shared" si="433"/>
        <v>-4942288.3020896669</v>
      </c>
      <c r="AS44" s="295">
        <f t="shared" si="434"/>
        <v>-8145096.0055050328</v>
      </c>
      <c r="AT44" s="295">
        <f t="shared" si="435"/>
        <v>-6596779.8482301645</v>
      </c>
      <c r="AU44" s="295">
        <f t="shared" si="436"/>
        <v>-7430396.6801458914</v>
      </c>
      <c r="AV44" s="295">
        <f t="shared" si="437"/>
        <v>-6810148.3806012934</v>
      </c>
      <c r="AW44" s="295">
        <f t="shared" si="438"/>
        <v>-11223406.847447362</v>
      </c>
      <c r="AX44" s="292"/>
      <c r="AY44" s="297">
        <f t="shared" ref="AY44:CH44" si="445">SUM(AY11,AY22,AY33)</f>
        <v>-27086</v>
      </c>
      <c r="AZ44" s="297">
        <f t="shared" si="445"/>
        <v>-77102</v>
      </c>
      <c r="BA44" s="297">
        <f t="shared" si="445"/>
        <v>-69357</v>
      </c>
      <c r="BB44" s="297">
        <f t="shared" si="445"/>
        <v>-28000</v>
      </c>
      <c r="BC44" s="297">
        <f t="shared" si="445"/>
        <v>-15600</v>
      </c>
      <c r="BD44" s="297">
        <f t="shared" si="445"/>
        <v>-200251</v>
      </c>
      <c r="BE44" s="297">
        <f t="shared" si="445"/>
        <v>0</v>
      </c>
      <c r="BF44" s="297">
        <f t="shared" si="445"/>
        <v>-53875</v>
      </c>
      <c r="BG44" s="297">
        <f t="shared" si="445"/>
        <v>-89360</v>
      </c>
      <c r="BH44" s="297">
        <f t="shared" si="445"/>
        <v>-33500</v>
      </c>
      <c r="BI44" s="297">
        <f t="shared" si="445"/>
        <v>-261903</v>
      </c>
      <c r="BJ44" s="297">
        <f t="shared" si="445"/>
        <v>-161450</v>
      </c>
      <c r="BK44" s="297">
        <f t="shared" si="445"/>
        <v>-44000</v>
      </c>
      <c r="BL44" s="297">
        <f t="shared" si="445"/>
        <v>-118925.45999999999</v>
      </c>
      <c r="BM44" s="297">
        <f t="shared" si="445"/>
        <v>-367600</v>
      </c>
      <c r="BN44" s="297">
        <f t="shared" si="445"/>
        <v>-156740</v>
      </c>
      <c r="BO44" s="297">
        <f t="shared" si="445"/>
        <v>-139589</v>
      </c>
      <c r="BP44" s="297">
        <f t="shared" si="445"/>
        <v>-213485</v>
      </c>
      <c r="BQ44" s="297">
        <f t="shared" si="445"/>
        <v>-110910</v>
      </c>
      <c r="BR44" s="297">
        <f t="shared" si="445"/>
        <v>-173354</v>
      </c>
      <c r="BS44" s="297">
        <f t="shared" si="445"/>
        <v>-225352</v>
      </c>
      <c r="BT44" s="297">
        <f t="shared" si="445"/>
        <v>-158443</v>
      </c>
      <c r="BU44" s="297">
        <f t="shared" si="445"/>
        <v>-199023.71000000002</v>
      </c>
      <c r="BV44" s="297">
        <f t="shared" si="445"/>
        <v>-360803</v>
      </c>
      <c r="BW44" s="297">
        <f t="shared" si="445"/>
        <v>-275093</v>
      </c>
      <c r="BX44" s="297">
        <f t="shared" si="445"/>
        <v>-252062</v>
      </c>
      <c r="BY44" s="297">
        <f t="shared" si="445"/>
        <v>-398570.66000000003</v>
      </c>
      <c r="BZ44" s="297">
        <f t="shared" si="445"/>
        <v>-331973.59999999998</v>
      </c>
      <c r="CA44" s="297">
        <f t="shared" si="445"/>
        <v>-451108</v>
      </c>
      <c r="CB44" s="297">
        <f t="shared" si="445"/>
        <v>-273312.94</v>
      </c>
      <c r="CC44" s="297">
        <f t="shared" si="445"/>
        <v>-638388.61</v>
      </c>
      <c r="CD44" s="297">
        <f t="shared" si="445"/>
        <v>-297799.59999999998</v>
      </c>
      <c r="CE44" s="297">
        <f t="shared" si="445"/>
        <v>-306506.29359000002</v>
      </c>
      <c r="CF44" s="297">
        <f t="shared" si="445"/>
        <v>-267781.59999999998</v>
      </c>
      <c r="CG44" s="297">
        <f t="shared" si="445"/>
        <v>-517918</v>
      </c>
      <c r="CH44" s="297">
        <f t="shared" si="445"/>
        <v>-363622.83</v>
      </c>
      <c r="CI44" s="29">
        <f t="shared" ref="CI44:ET44" si="446">SUM(CI11,CI22,CI33)</f>
        <v>-296021.43</v>
      </c>
      <c r="CJ44" s="29">
        <f t="shared" si="446"/>
        <v>-213734.33588199998</v>
      </c>
      <c r="CK44" s="29">
        <f t="shared" si="446"/>
        <v>-510726.76285699999</v>
      </c>
      <c r="CL44" s="29">
        <f t="shared" si="446"/>
        <v>-441917.10051899997</v>
      </c>
      <c r="CM44" s="29">
        <f t="shared" si="446"/>
        <v>-268966.30831200001</v>
      </c>
      <c r="CN44" s="51">
        <f t="shared" si="446"/>
        <v>-246488.21176500001</v>
      </c>
      <c r="CO44" s="51">
        <f t="shared" si="446"/>
        <v>-175182.93696472241</v>
      </c>
      <c r="CP44" s="51">
        <f t="shared" si="446"/>
        <v>-304283.45913939842</v>
      </c>
      <c r="CQ44" s="51">
        <f t="shared" si="446"/>
        <v>-577134.52179212542</v>
      </c>
      <c r="CR44" s="51">
        <f t="shared" si="446"/>
        <v>-207231.93024606319</v>
      </c>
      <c r="CS44" s="51">
        <f t="shared" si="446"/>
        <v>-545256.14427340636</v>
      </c>
      <c r="CT44" s="51">
        <f t="shared" si="446"/>
        <v>-668589.49916472426</v>
      </c>
      <c r="CU44" s="29">
        <f t="shared" si="446"/>
        <v>-329335.42818467144</v>
      </c>
      <c r="CV44" s="29">
        <f t="shared" si="446"/>
        <v>-416536.62311847531</v>
      </c>
      <c r="CW44" s="29">
        <f t="shared" si="446"/>
        <v>-775690.32661872637</v>
      </c>
      <c r="CX44" s="29">
        <f t="shared" si="446"/>
        <v>-514333.15074409626</v>
      </c>
      <c r="CY44" s="29">
        <f t="shared" si="446"/>
        <v>-421378.75030339416</v>
      </c>
      <c r="CZ44" s="29">
        <f t="shared" si="446"/>
        <v>-778126.10805005208</v>
      </c>
      <c r="DA44" s="29">
        <f t="shared" si="446"/>
        <v>-518741.08212275058</v>
      </c>
      <c r="DB44" s="29">
        <f t="shared" si="446"/>
        <v>-406923.2639494841</v>
      </c>
      <c r="DC44" s="29">
        <f t="shared" si="446"/>
        <v>-645111.97243239335</v>
      </c>
      <c r="DD44" s="29">
        <f t="shared" si="446"/>
        <v>-509969.14380476967</v>
      </c>
      <c r="DE44" s="29">
        <f t="shared" si="446"/>
        <v>-1071835.8505826413</v>
      </c>
      <c r="DF44" s="29">
        <f t="shared" si="446"/>
        <v>-1006899.4953900103</v>
      </c>
      <c r="DG44" s="29">
        <f t="shared" si="446"/>
        <v>-513479.27214105928</v>
      </c>
      <c r="DH44" s="29">
        <f t="shared" si="446"/>
        <v>-649437.9400294486</v>
      </c>
      <c r="DI44" s="29">
        <f t="shared" si="446"/>
        <v>-1209408.0084688033</v>
      </c>
      <c r="DJ44" s="29">
        <f t="shared" si="446"/>
        <v>-801916.19024359947</v>
      </c>
      <c r="DK44" s="29">
        <f t="shared" si="446"/>
        <v>-656987.48292628012</v>
      </c>
      <c r="DL44" s="29">
        <f t="shared" si="446"/>
        <v>-1213205.7270542162</v>
      </c>
      <c r="DM44" s="29">
        <f t="shared" si="446"/>
        <v>-808788.76210273756</v>
      </c>
      <c r="DN44" s="29">
        <f t="shared" si="446"/>
        <v>-634449.38961404585</v>
      </c>
      <c r="DO44" s="29">
        <f t="shared" si="446"/>
        <v>-1005818.3775731606</v>
      </c>
      <c r="DP44" s="29">
        <f t="shared" si="446"/>
        <v>-795112.10263244982</v>
      </c>
      <c r="DQ44" s="29">
        <f t="shared" si="446"/>
        <v>-1671139.6506763189</v>
      </c>
      <c r="DR44" s="29">
        <f t="shared" si="446"/>
        <v>-1569894.9331444157</v>
      </c>
      <c r="DS44" s="29">
        <f t="shared" si="446"/>
        <v>-737005.13419235614</v>
      </c>
      <c r="DT44" s="29">
        <f t="shared" si="446"/>
        <v>-932148.81711821619</v>
      </c>
      <c r="DU44" s="29">
        <f t="shared" si="446"/>
        <v>-1735882.945884519</v>
      </c>
      <c r="DV44" s="29">
        <f t="shared" si="446"/>
        <v>-1151003.3247050862</v>
      </c>
      <c r="DW44" s="29">
        <f t="shared" si="446"/>
        <v>-942984.79858358239</v>
      </c>
      <c r="DX44" s="29">
        <f t="shared" si="446"/>
        <v>-1741333.8730154159</v>
      </c>
      <c r="DY44" s="29">
        <f t="shared" si="446"/>
        <v>-1160867.6386513349</v>
      </c>
      <c r="DZ44" s="29">
        <f t="shared" si="446"/>
        <v>-910635.50741013105</v>
      </c>
      <c r="EA44" s="29">
        <f t="shared" si="446"/>
        <v>-1443667.4439563402</v>
      </c>
      <c r="EB44" s="29">
        <f t="shared" si="446"/>
        <v>-1141237.3073116241</v>
      </c>
      <c r="EC44" s="29">
        <f t="shared" si="446"/>
        <v>-2398613.8668563841</v>
      </c>
      <c r="ED44" s="29">
        <f t="shared" si="446"/>
        <v>-2253295.6803603</v>
      </c>
      <c r="EE44" s="29">
        <f t="shared" si="446"/>
        <v>-1036220.5076597591</v>
      </c>
      <c r="EF44" s="29">
        <f t="shared" si="446"/>
        <v>-1310590.2193573895</v>
      </c>
      <c r="EG44" s="29">
        <f t="shared" si="446"/>
        <v>-2440630.9046863499</v>
      </c>
      <c r="EH44" s="29">
        <f t="shared" si="446"/>
        <v>-1618297.0702788695</v>
      </c>
      <c r="EI44" s="29">
        <f t="shared" si="446"/>
        <v>-1325825.4812220684</v>
      </c>
      <c r="EJ44" s="29">
        <f t="shared" si="446"/>
        <v>-2448294.8438052866</v>
      </c>
      <c r="EK44" s="29">
        <f t="shared" si="446"/>
        <v>-1632166.1790962708</v>
      </c>
      <c r="EL44" s="29">
        <f t="shared" si="446"/>
        <v>-1280342.7601838752</v>
      </c>
      <c r="EM44" s="29">
        <f t="shared" si="446"/>
        <v>-2029779.3628095207</v>
      </c>
      <c r="EN44" s="29">
        <f t="shared" si="446"/>
        <v>-1604566.1652528727</v>
      </c>
      <c r="EO44" s="29">
        <f t="shared" si="446"/>
        <v>-3372422.7464403985</v>
      </c>
      <c r="EP44" s="29">
        <f t="shared" si="446"/>
        <v>-3168107.0938117616</v>
      </c>
      <c r="EQ44" s="29">
        <f t="shared" si="446"/>
        <v>-1427843.7397513296</v>
      </c>
      <c r="ER44" s="29">
        <f t="shared" si="446"/>
        <v>-1805907.165758597</v>
      </c>
      <c r="ES44" s="29">
        <f t="shared" si="446"/>
        <v>-3363028.9427202386</v>
      </c>
      <c r="ET44" s="29">
        <f t="shared" si="446"/>
        <v>-2229906.9780756617</v>
      </c>
      <c r="EU44" s="29">
        <f t="shared" ref="EU44:FB44" si="447">SUM(EU11,EU22,EU33)</f>
        <v>-1826900.3550615991</v>
      </c>
      <c r="EV44" s="29">
        <f t="shared" si="447"/>
        <v>-3373589.3470086306</v>
      </c>
      <c r="EW44" s="29">
        <f t="shared" si="447"/>
        <v>-2249017.6982886591</v>
      </c>
      <c r="EX44" s="29">
        <f t="shared" si="447"/>
        <v>-1764228.155446569</v>
      </c>
      <c r="EY44" s="29">
        <f t="shared" si="447"/>
        <v>-2796902.5268660653</v>
      </c>
      <c r="EZ44" s="29">
        <f t="shared" si="447"/>
        <v>-2210986.6936018793</v>
      </c>
      <c r="FA44" s="29">
        <f t="shared" si="447"/>
        <v>-4646976.8458597232</v>
      </c>
      <c r="FB44" s="29">
        <f t="shared" si="447"/>
        <v>-4365443.3079857603</v>
      </c>
    </row>
    <row r="45" spans="1:158" x14ac:dyDescent="0.25">
      <c r="C45" s="291" t="s">
        <v>24</v>
      </c>
      <c r="D45" s="30">
        <f t="shared" ref="D45:I45" si="448">SUM(D40:D44)</f>
        <v>31062420.149999995</v>
      </c>
      <c r="E45" s="30">
        <f t="shared" si="448"/>
        <v>55870239.050914995</v>
      </c>
      <c r="F45" s="30">
        <f t="shared" si="448"/>
        <v>82486429.478349999</v>
      </c>
      <c r="G45" s="30">
        <f t="shared" si="448"/>
        <v>139753840.43627</v>
      </c>
      <c r="H45" s="30">
        <f t="shared" si="448"/>
        <v>216111471.21907872</v>
      </c>
      <c r="I45" s="68">
        <f t="shared" si="448"/>
        <v>327799303.82293564</v>
      </c>
      <c r="J45" s="68">
        <f t="shared" ref="J45:L45" si="449">SUM(J40:J44)</f>
        <v>489688396.10083544</v>
      </c>
      <c r="K45" s="68">
        <f t="shared" si="449"/>
        <v>720349008.55711591</v>
      </c>
      <c r="L45" s="68">
        <f t="shared" si="449"/>
        <v>1043270326.5909493</v>
      </c>
      <c r="M45" s="292"/>
      <c r="N45" s="30">
        <f t="shared" ref="N45:AW45" si="450">SUM(N40:N44)</f>
        <v>16767788.959999993</v>
      </c>
      <c r="O45" s="30">
        <f t="shared" si="450"/>
        <v>20671916.759999998</v>
      </c>
      <c r="P45" s="30">
        <f t="shared" si="450"/>
        <v>24712945.219999999</v>
      </c>
      <c r="Q45" s="30">
        <f t="shared" si="450"/>
        <v>31062420.149999995</v>
      </c>
      <c r="R45" s="30">
        <f t="shared" si="450"/>
        <v>36033828.459999993</v>
      </c>
      <c r="S45" s="30">
        <f t="shared" si="450"/>
        <v>42798623.309999995</v>
      </c>
      <c r="T45" s="30">
        <f t="shared" si="450"/>
        <v>48239885.619999997</v>
      </c>
      <c r="U45" s="30">
        <f t="shared" si="450"/>
        <v>55870239.050915003</v>
      </c>
      <c r="V45" s="30">
        <f t="shared" si="450"/>
        <v>59951769.334578007</v>
      </c>
      <c r="W45" s="30">
        <f t="shared" si="450"/>
        <v>66614249.640767001</v>
      </c>
      <c r="X45" s="30">
        <f t="shared" si="450"/>
        <v>73268131.554134995</v>
      </c>
      <c r="Y45" s="30">
        <f t="shared" si="450"/>
        <v>82486429.478350013</v>
      </c>
      <c r="Z45" s="30">
        <f t="shared" si="450"/>
        <v>89817778.01637198</v>
      </c>
      <c r="AA45" s="30">
        <f t="shared" si="450"/>
        <v>102577352.93626998</v>
      </c>
      <c r="AB45" s="30">
        <f t="shared" si="450"/>
        <v>118376052.93627</v>
      </c>
      <c r="AC45" s="30">
        <f t="shared" si="450"/>
        <v>139753840.43626997</v>
      </c>
      <c r="AD45" s="30">
        <f t="shared" si="450"/>
        <v>152946435.82622141</v>
      </c>
      <c r="AE45" s="30">
        <f t="shared" si="450"/>
        <v>170967277.9439933</v>
      </c>
      <c r="AF45" s="30">
        <f t="shared" si="450"/>
        <v>188912816.4839409</v>
      </c>
      <c r="AG45" s="30">
        <f t="shared" si="450"/>
        <v>216111471.21907869</v>
      </c>
      <c r="AH45" s="30">
        <f t="shared" si="450"/>
        <v>236074140.90821627</v>
      </c>
      <c r="AI45" s="30">
        <f t="shared" si="450"/>
        <v>263985854.41999963</v>
      </c>
      <c r="AJ45" s="30">
        <f t="shared" si="450"/>
        <v>290255924.10503018</v>
      </c>
      <c r="AK45" s="30">
        <f t="shared" si="450"/>
        <v>327799303.82293576</v>
      </c>
      <c r="AL45" s="30">
        <f t="shared" si="450"/>
        <v>356733186.33226186</v>
      </c>
      <c r="AM45" s="30">
        <f t="shared" si="450"/>
        <v>397191667.42577761</v>
      </c>
      <c r="AN45" s="30">
        <f t="shared" si="450"/>
        <v>435270892.16766065</v>
      </c>
      <c r="AO45" s="30">
        <f t="shared" si="450"/>
        <v>489688396.10083574</v>
      </c>
      <c r="AP45" s="30">
        <f t="shared" si="450"/>
        <v>530912729.36251712</v>
      </c>
      <c r="AQ45" s="30">
        <f t="shared" si="450"/>
        <v>588558800.62467515</v>
      </c>
      <c r="AR45" s="30">
        <f t="shared" si="450"/>
        <v>642815037.9689008</v>
      </c>
      <c r="AS45" s="30">
        <f t="shared" si="450"/>
        <v>720349008.55711579</v>
      </c>
      <c r="AT45" s="30">
        <f t="shared" si="450"/>
        <v>778062346.85951507</v>
      </c>
      <c r="AU45" s="30">
        <f t="shared" si="450"/>
        <v>858766026.33387864</v>
      </c>
      <c r="AV45" s="30">
        <f t="shared" si="450"/>
        <v>934724006.79661798</v>
      </c>
      <c r="AW45" s="30">
        <f t="shared" si="450"/>
        <v>1043270326.5909492</v>
      </c>
      <c r="AX45" s="292"/>
      <c r="AY45" s="296">
        <f t="shared" ref="AY45:CH45" si="451">SUM(AY12,AY23,AY34)</f>
        <v>13791928.259999994</v>
      </c>
      <c r="AZ45" s="296">
        <f t="shared" si="451"/>
        <v>14795809.089999996</v>
      </c>
      <c r="BA45" s="296">
        <f t="shared" si="451"/>
        <v>16767788.959999997</v>
      </c>
      <c r="BB45" s="296">
        <f t="shared" si="451"/>
        <v>17369390.389999997</v>
      </c>
      <c r="BC45" s="296">
        <f t="shared" si="451"/>
        <v>18871954.039999995</v>
      </c>
      <c r="BD45" s="296">
        <f t="shared" si="451"/>
        <v>20671916.759999998</v>
      </c>
      <c r="BE45" s="296">
        <f t="shared" si="451"/>
        <v>21387793.429999992</v>
      </c>
      <c r="BF45" s="296">
        <f t="shared" si="451"/>
        <v>22441842.889999993</v>
      </c>
      <c r="BG45" s="296">
        <f t="shared" si="451"/>
        <v>24712945.219999995</v>
      </c>
      <c r="BH45" s="296">
        <f t="shared" si="451"/>
        <v>25801457.389999993</v>
      </c>
      <c r="BI45" s="296">
        <f t="shared" si="451"/>
        <v>28584740.059999995</v>
      </c>
      <c r="BJ45" s="296">
        <f t="shared" si="451"/>
        <v>31062420.149999999</v>
      </c>
      <c r="BK45" s="296">
        <f t="shared" si="451"/>
        <v>31740033.479999997</v>
      </c>
      <c r="BL45" s="296">
        <f t="shared" si="451"/>
        <v>32971914.599999994</v>
      </c>
      <c r="BM45" s="296">
        <f t="shared" si="451"/>
        <v>36033828.459999993</v>
      </c>
      <c r="BN45" s="296">
        <f t="shared" si="451"/>
        <v>37136195.219999999</v>
      </c>
      <c r="BO45" s="296">
        <f t="shared" si="451"/>
        <v>40063675.599999994</v>
      </c>
      <c r="BP45" s="296">
        <f t="shared" si="451"/>
        <v>42798623.309999995</v>
      </c>
      <c r="BQ45" s="296">
        <f t="shared" si="451"/>
        <v>43902798.709999993</v>
      </c>
      <c r="BR45" s="296">
        <f t="shared" si="451"/>
        <v>45023808.379999995</v>
      </c>
      <c r="BS45" s="296">
        <f t="shared" si="451"/>
        <v>48239885.619999997</v>
      </c>
      <c r="BT45" s="296">
        <f t="shared" si="451"/>
        <v>48805348.159999996</v>
      </c>
      <c r="BU45" s="296">
        <f t="shared" si="451"/>
        <v>51912760.919999994</v>
      </c>
      <c r="BV45" s="296">
        <f t="shared" si="451"/>
        <v>55870239.050915003</v>
      </c>
      <c r="BW45" s="296">
        <f t="shared" si="451"/>
        <v>56666370.550915003</v>
      </c>
      <c r="BX45" s="296">
        <f t="shared" si="451"/>
        <v>58021562.926116005</v>
      </c>
      <c r="BY45" s="296">
        <f t="shared" si="451"/>
        <v>59951769.334578</v>
      </c>
      <c r="BZ45" s="296">
        <f t="shared" si="451"/>
        <v>61093335.126446009</v>
      </c>
      <c r="CA45" s="296">
        <f t="shared" si="451"/>
        <v>62483939.880584002</v>
      </c>
      <c r="CB45" s="296">
        <f t="shared" si="451"/>
        <v>66614249.640767008</v>
      </c>
      <c r="CC45" s="296">
        <f t="shared" si="451"/>
        <v>66934892.007946007</v>
      </c>
      <c r="CD45" s="296">
        <f t="shared" si="451"/>
        <v>69948142.661936998</v>
      </c>
      <c r="CE45" s="296">
        <f t="shared" si="451"/>
        <v>73268131.55413501</v>
      </c>
      <c r="CF45" s="296">
        <f t="shared" si="451"/>
        <v>74547969.940290004</v>
      </c>
      <c r="CG45" s="296">
        <f t="shared" si="451"/>
        <v>77650306.381976008</v>
      </c>
      <c r="CH45" s="296">
        <f t="shared" si="451"/>
        <v>82486429.478349999</v>
      </c>
      <c r="CI45" s="20">
        <f t="shared" ref="CI45:ET45" si="452">SUM(CI12,CI23,CI34)</f>
        <v>83536381.485256001</v>
      </c>
      <c r="CJ45" s="20">
        <f t="shared" si="452"/>
        <v>85225813.686762005</v>
      </c>
      <c r="CK45" s="20">
        <f t="shared" si="452"/>
        <v>89817778.016371995</v>
      </c>
      <c r="CL45" s="20">
        <f t="shared" si="452"/>
        <v>91934098.521279007</v>
      </c>
      <c r="CM45" s="20">
        <f t="shared" si="452"/>
        <v>95683614.653117001</v>
      </c>
      <c r="CN45" s="50">
        <f t="shared" si="452"/>
        <v>102577352.93627</v>
      </c>
      <c r="CO45" s="50">
        <f t="shared" si="452"/>
        <v>104926817.75669529</v>
      </c>
      <c r="CP45" s="50">
        <f t="shared" si="452"/>
        <v>110545480.30961847</v>
      </c>
      <c r="CQ45" s="50">
        <f t="shared" si="452"/>
        <v>118376052.93626997</v>
      </c>
      <c r="CR45" s="50">
        <f t="shared" si="452"/>
        <v>120427237.69664198</v>
      </c>
      <c r="CS45" s="50">
        <f t="shared" si="452"/>
        <v>128994872.50855489</v>
      </c>
      <c r="CT45" s="50">
        <f t="shared" si="452"/>
        <v>139753840.43626997</v>
      </c>
      <c r="CU45" s="20">
        <f t="shared" si="452"/>
        <v>141304602.96331868</v>
      </c>
      <c r="CV45" s="20">
        <f t="shared" si="452"/>
        <v>145175837.70013493</v>
      </c>
      <c r="CW45" s="20">
        <f t="shared" si="452"/>
        <v>152946435.82622141</v>
      </c>
      <c r="CX45" s="20">
        <f t="shared" si="452"/>
        <v>155745774.4955011</v>
      </c>
      <c r="CY45" s="20">
        <f t="shared" si="452"/>
        <v>162121402.41978717</v>
      </c>
      <c r="CZ45" s="20">
        <f t="shared" si="452"/>
        <v>170967277.9439933</v>
      </c>
      <c r="DA45" s="20">
        <f t="shared" si="452"/>
        <v>173617830.0580273</v>
      </c>
      <c r="DB45" s="20">
        <f t="shared" si="452"/>
        <v>179124598.21867657</v>
      </c>
      <c r="DC45" s="20">
        <f t="shared" si="452"/>
        <v>188912816.4839409</v>
      </c>
      <c r="DD45" s="20">
        <f t="shared" si="452"/>
        <v>192764882.17356771</v>
      </c>
      <c r="DE45" s="20">
        <f t="shared" si="452"/>
        <v>203474651.84640121</v>
      </c>
      <c r="DF45" s="20">
        <f t="shared" si="452"/>
        <v>216111471.21907872</v>
      </c>
      <c r="DG45" s="20">
        <f t="shared" si="452"/>
        <v>218589309.55992457</v>
      </c>
      <c r="DH45" s="20">
        <f t="shared" si="452"/>
        <v>224478763.69246063</v>
      </c>
      <c r="DI45" s="20">
        <f t="shared" si="452"/>
        <v>236074140.9082163</v>
      </c>
      <c r="DJ45" s="20">
        <f t="shared" si="452"/>
        <v>240654058.76697558</v>
      </c>
      <c r="DK45" s="20">
        <f t="shared" si="452"/>
        <v>250520815.0584923</v>
      </c>
      <c r="DL45" s="20">
        <f t="shared" si="452"/>
        <v>263985854.41999963</v>
      </c>
      <c r="DM45" s="20">
        <f t="shared" si="452"/>
        <v>267829501.99080333</v>
      </c>
      <c r="DN45" s="20">
        <f t="shared" si="452"/>
        <v>275900276.99986416</v>
      </c>
      <c r="DO45" s="20">
        <f t="shared" si="452"/>
        <v>290255924.10503018</v>
      </c>
      <c r="DP45" s="20">
        <f t="shared" si="452"/>
        <v>295124356.35625982</v>
      </c>
      <c r="DQ45" s="20">
        <f t="shared" si="452"/>
        <v>310036505.18159676</v>
      </c>
      <c r="DR45" s="20">
        <f t="shared" si="452"/>
        <v>327799303.82293582</v>
      </c>
      <c r="DS45" s="20">
        <f t="shared" si="452"/>
        <v>331389574.55086803</v>
      </c>
      <c r="DT45" s="20">
        <f t="shared" si="452"/>
        <v>339926001.10994267</v>
      </c>
      <c r="DU45" s="20">
        <f t="shared" si="452"/>
        <v>356733186.3322618</v>
      </c>
      <c r="DV45" s="20">
        <f t="shared" si="452"/>
        <v>363370014.74588132</v>
      </c>
      <c r="DW45" s="20">
        <f t="shared" si="452"/>
        <v>377673491.28388065</v>
      </c>
      <c r="DX45" s="20">
        <f t="shared" si="452"/>
        <v>397191667.42577767</v>
      </c>
      <c r="DY45" s="20">
        <f t="shared" si="452"/>
        <v>402760869.19133586</v>
      </c>
      <c r="DZ45" s="20">
        <f t="shared" si="452"/>
        <v>414460286.76597571</v>
      </c>
      <c r="EA45" s="20">
        <f t="shared" si="452"/>
        <v>435270892.16766071</v>
      </c>
      <c r="EB45" s="20">
        <f t="shared" si="452"/>
        <v>442326100.83480287</v>
      </c>
      <c r="EC45" s="20">
        <f t="shared" si="452"/>
        <v>463940271.53124666</v>
      </c>
      <c r="ED45" s="20">
        <f t="shared" si="452"/>
        <v>489688396.10083562</v>
      </c>
      <c r="EE45" s="20">
        <f t="shared" si="452"/>
        <v>494803135.96270478</v>
      </c>
      <c r="EF45" s="20">
        <f t="shared" si="452"/>
        <v>506965778.27183145</v>
      </c>
      <c r="EG45" s="20">
        <f t="shared" si="452"/>
        <v>530912729.36251712</v>
      </c>
      <c r="EH45" s="20">
        <f t="shared" si="452"/>
        <v>540368029.79273462</v>
      </c>
      <c r="EI45" s="20">
        <f t="shared" si="452"/>
        <v>560748697.79792571</v>
      </c>
      <c r="EJ45" s="20">
        <f t="shared" si="452"/>
        <v>588558800.62467504</v>
      </c>
      <c r="EK45" s="20">
        <f t="shared" si="452"/>
        <v>596492714.39788985</v>
      </c>
      <c r="EL45" s="20">
        <f t="shared" si="452"/>
        <v>613162659.6515063</v>
      </c>
      <c r="EM45" s="20">
        <f t="shared" si="452"/>
        <v>642815037.96890068</v>
      </c>
      <c r="EN45" s="20">
        <f t="shared" si="452"/>
        <v>652866548.757725</v>
      </c>
      <c r="EO45" s="20">
        <f t="shared" si="452"/>
        <v>683662198.90276432</v>
      </c>
      <c r="EP45" s="20">
        <f t="shared" si="452"/>
        <v>720349008.55711591</v>
      </c>
      <c r="EQ45" s="20">
        <f t="shared" si="452"/>
        <v>727509486.7342298</v>
      </c>
      <c r="ER45" s="20">
        <f t="shared" si="452"/>
        <v>744536986.60047913</v>
      </c>
      <c r="ES45" s="20">
        <f t="shared" si="452"/>
        <v>778062346.85951507</v>
      </c>
      <c r="ET45" s="20">
        <f t="shared" si="452"/>
        <v>791299521.28703249</v>
      </c>
      <c r="EU45" s="20">
        <f t="shared" ref="EU45:FB45" si="453">SUM(EU12,EU23,EU34)</f>
        <v>819832254.81018901</v>
      </c>
      <c r="EV45" s="20">
        <f t="shared" si="453"/>
        <v>858766026.33387852</v>
      </c>
      <c r="EW45" s="20">
        <f t="shared" si="453"/>
        <v>869873257.33182812</v>
      </c>
      <c r="EX45" s="20">
        <f t="shared" si="453"/>
        <v>893210985.92159605</v>
      </c>
      <c r="EY45" s="20">
        <f t="shared" si="453"/>
        <v>934724006.79661798</v>
      </c>
      <c r="EZ45" s="20">
        <f t="shared" si="453"/>
        <v>948795877.81492519</v>
      </c>
      <c r="FA45" s="20">
        <f t="shared" si="453"/>
        <v>991909275.00620544</v>
      </c>
      <c r="FB45" s="20">
        <f t="shared" si="453"/>
        <v>1043270326.5909493</v>
      </c>
    </row>
    <row r="46" spans="1:158" x14ac:dyDescent="0.25">
      <c r="C46" s="289"/>
      <c r="D46" s="244"/>
      <c r="E46" s="244"/>
      <c r="F46" s="244"/>
      <c r="G46" s="244"/>
      <c r="H46" s="244"/>
      <c r="I46" s="244"/>
      <c r="J46" s="244"/>
      <c r="K46" s="244"/>
      <c r="L46" s="244"/>
      <c r="M46" s="244"/>
      <c r="N46" s="244"/>
      <c r="O46" s="244"/>
      <c r="P46" s="244"/>
      <c r="Q46" s="244"/>
      <c r="R46" s="244"/>
      <c r="S46" s="244"/>
      <c r="T46" s="244"/>
      <c r="U46" s="244"/>
      <c r="V46" s="244"/>
      <c r="W46" s="244"/>
      <c r="X46" s="244"/>
      <c r="Y46" s="244"/>
      <c r="Z46" s="244"/>
      <c r="AA46" s="244"/>
      <c r="AB46" s="244"/>
      <c r="AC46" s="244"/>
      <c r="AD46" s="244"/>
      <c r="AE46" s="244"/>
      <c r="AF46" s="244"/>
      <c r="AG46" s="244"/>
      <c r="AH46" s="244"/>
      <c r="AI46" s="244"/>
      <c r="AJ46" s="244"/>
      <c r="AK46" s="244"/>
      <c r="AL46" s="244"/>
      <c r="AM46" s="244"/>
      <c r="AN46" s="244"/>
      <c r="AO46" s="244"/>
      <c r="AP46" s="244"/>
      <c r="AQ46" s="244"/>
      <c r="AR46" s="244"/>
      <c r="AS46" s="244"/>
      <c r="AT46" s="244"/>
      <c r="AU46" s="244"/>
      <c r="AV46" s="244"/>
      <c r="AW46" s="244"/>
      <c r="AX46" s="244"/>
      <c r="AY46" s="244"/>
      <c r="AZ46" s="244"/>
      <c r="BA46" s="244"/>
      <c r="BB46" s="244"/>
      <c r="BC46" s="244"/>
      <c r="BD46" s="244"/>
      <c r="BE46" s="244"/>
      <c r="BF46" s="244"/>
      <c r="BG46" s="244"/>
      <c r="BH46" s="244"/>
      <c r="BI46" s="244"/>
      <c r="BJ46" s="244"/>
      <c r="BK46" s="244"/>
      <c r="BL46" s="244"/>
      <c r="BM46" s="244"/>
      <c r="BN46" s="244"/>
      <c r="BO46" s="244"/>
      <c r="BP46" s="244"/>
      <c r="BQ46" s="244"/>
      <c r="BR46" s="244"/>
      <c r="BS46" s="244"/>
      <c r="BT46" s="244"/>
      <c r="BU46" s="244"/>
      <c r="BV46" s="244"/>
      <c r="BW46" s="244"/>
      <c r="BX46" s="244"/>
      <c r="BY46" s="244"/>
      <c r="BZ46" s="244"/>
      <c r="CA46" s="244"/>
      <c r="CB46" s="244"/>
      <c r="CC46" s="244"/>
      <c r="CD46" s="244"/>
      <c r="CE46" s="244"/>
      <c r="CF46" s="244"/>
      <c r="CG46" s="244"/>
      <c r="CH46" s="244"/>
      <c r="CI46" s="99"/>
      <c r="CJ46" s="99"/>
      <c r="CK46" s="99"/>
      <c r="CL46" s="99"/>
      <c r="CM46" s="99"/>
      <c r="CN46" s="99"/>
      <c r="CO46" s="99"/>
      <c r="CP46" s="99"/>
      <c r="CQ46" s="99"/>
      <c r="CR46" s="99"/>
      <c r="CS46" s="99"/>
      <c r="CT46" s="99"/>
    </row>
    <row r="47" spans="1:158" x14ac:dyDescent="0.25">
      <c r="C47" s="289" t="s">
        <v>616</v>
      </c>
      <c r="D47" s="308">
        <f>SUM(D43:D44)/D40+1</f>
        <v>0.89315597974013716</v>
      </c>
      <c r="E47" s="308">
        <f t="shared" ref="E47:H47" si="454">SUM(E43:E44)/E40+1</f>
        <v>0.90570634947773054</v>
      </c>
      <c r="F47" s="308">
        <f t="shared" si="454"/>
        <v>0.8975164732792883</v>
      </c>
      <c r="G47" s="308">
        <f t="shared" si="454"/>
        <v>0.91920087456007171</v>
      </c>
      <c r="H47" s="308">
        <f t="shared" si="454"/>
        <v>0.9202714631497203</v>
      </c>
      <c r="I47" s="308">
        <f t="shared" ref="I47:L47" si="455">SUM(I43:I44)/I40+1</f>
        <v>0.91960321542335077</v>
      </c>
      <c r="J47" s="308">
        <f t="shared" si="455"/>
        <v>0.92296648459101061</v>
      </c>
      <c r="K47" s="308">
        <f t="shared" si="455"/>
        <v>0.92645368267761941</v>
      </c>
      <c r="L47" s="308">
        <f t="shared" si="455"/>
        <v>0.93000028008344438</v>
      </c>
      <c r="M47" s="244"/>
      <c r="N47" s="413"/>
      <c r="O47" s="413"/>
      <c r="P47" s="413"/>
      <c r="Q47" s="308">
        <f>IFERROR(SUM(N43:Q44)/N40+1,"")</f>
        <v>0.89315597974013716</v>
      </c>
      <c r="R47" s="308">
        <f t="shared" ref="R47" si="456">IFERROR(SUM(O43:R44)/O40+1,"")</f>
        <v>0.88551847863905842</v>
      </c>
      <c r="S47" s="308">
        <f t="shared" ref="S47" si="457">IFERROR(SUM(P43:S44)/P40+1,"")</f>
        <v>0.88469845260735269</v>
      </c>
      <c r="T47" s="308">
        <f t="shared" ref="T47" si="458">IFERROR(SUM(Q43:T44)/Q40+1,"")</f>
        <v>0.89101493302302559</v>
      </c>
      <c r="U47" s="308">
        <f t="shared" ref="U47" si="459">IFERROR(SUM(R43:U44)/R40+1,"")</f>
        <v>0.90570634947773054</v>
      </c>
      <c r="V47" s="308">
        <f t="shared" ref="V47" si="460">IFERROR(SUM(S43:V44)/S40+1,"")</f>
        <v>0.90686097083118544</v>
      </c>
      <c r="W47" s="308">
        <f t="shared" ref="W47" si="461">IFERROR(SUM(T43:W44)/T40+1,"")</f>
        <v>0.90502432487992568</v>
      </c>
      <c r="X47" s="308">
        <f t="shared" ref="X47" si="462">IFERROR(SUM(U43:X44)/U40+1,"")</f>
        <v>0.89652451964775204</v>
      </c>
      <c r="Y47" s="308">
        <f t="shared" ref="Y47" si="463">IFERROR(SUM(V43:Y44)/V40+1,"")</f>
        <v>0.8975164732792883</v>
      </c>
      <c r="Z47" s="308">
        <f t="shared" ref="Z47" si="464">IFERROR(SUM(W43:Z44)/W40+1,"")</f>
        <v>0.89459873953755964</v>
      </c>
      <c r="AA47" s="308">
        <f t="shared" ref="AA47" si="465">IFERROR(SUM(X43:AA44)/X40+1,"")</f>
        <v>0.90545412730658992</v>
      </c>
      <c r="AB47" s="308">
        <f t="shared" ref="AB47" si="466">IFERROR(SUM(Y43:AB44)/Y40+1,"")</f>
        <v>0.9140225219492788</v>
      </c>
      <c r="AC47" s="308">
        <f t="shared" ref="AC47" si="467">IFERROR(SUM(Z43:AC44)/Z40+1,"")</f>
        <v>0.91920087456007171</v>
      </c>
      <c r="AD47" s="308">
        <f t="shared" ref="AD47" si="468">IFERROR(SUM(AA43:AD44)/AA40+1,"")</f>
        <v>0.91961305342860866</v>
      </c>
      <c r="AE47" s="308">
        <f t="shared" ref="AE47" si="469">IFERROR(SUM(AB43:AE44)/AB40+1,"")</f>
        <v>0.91835432446364984</v>
      </c>
      <c r="AF47" s="308">
        <f t="shared" ref="AF47" si="470">IFERROR(SUM(AC43:AF44)/AC40+1,"")</f>
        <v>0.92192852948322668</v>
      </c>
      <c r="AG47" s="308">
        <f t="shared" ref="AG47" si="471">IFERROR(SUM(AD43:AG44)/AD40+1,"")</f>
        <v>0.92027146314972019</v>
      </c>
      <c r="AH47" s="308">
        <f t="shared" ref="AH47" si="472">IFERROR(SUM(AE43:AH44)/AE40+1,"")</f>
        <v>0.91876424080424679</v>
      </c>
      <c r="AI47" s="308">
        <f t="shared" ref="AI47" si="473">IFERROR(SUM(AF43:AI44)/AF40+1,"")</f>
        <v>0.91887852627312949</v>
      </c>
      <c r="AJ47" s="308">
        <f t="shared" ref="AJ47" si="474">IFERROR(SUM(AG43:AJ44)/AG40+1,"")</f>
        <v>0.91957694965057402</v>
      </c>
      <c r="AK47" s="308">
        <f t="shared" ref="AK47" si="475">IFERROR(SUM(AH43:AK44)/AH40+1,"")</f>
        <v>0.91960321542335077</v>
      </c>
      <c r="AL47" s="308">
        <f t="shared" ref="AL47" si="476">IFERROR(SUM(AI43:AL44)/AI40+1,"")</f>
        <v>0.91953628546640098</v>
      </c>
      <c r="AM47" s="308">
        <f t="shared" ref="AM47" si="477">IFERROR(SUM(AJ43:AM44)/AJ40+1,"")</f>
        <v>0.92112855818679729</v>
      </c>
      <c r="AN47" s="308">
        <f t="shared" ref="AN47" si="478">IFERROR(SUM(AK43:AN44)/AK40+1,"")</f>
        <v>0.92250252420180523</v>
      </c>
      <c r="AO47" s="308">
        <f t="shared" ref="AO47" si="479">IFERROR(SUM(AL43:AO44)/AL40+1,"")</f>
        <v>0.92296648459101061</v>
      </c>
      <c r="AP47" s="308">
        <f t="shared" ref="AP47" si="480">IFERROR(SUM(AM43:AP44)/AM40+1,"")</f>
        <v>0.92300641777927328</v>
      </c>
      <c r="AQ47" s="308">
        <f t="shared" ref="AQ47" si="481">IFERROR(SUM(AN43:AQ44)/AN40+1,"")</f>
        <v>0.92456876960371315</v>
      </c>
      <c r="AR47" s="308">
        <f t="shared" ref="AR47" si="482">IFERROR(SUM(AO43:AR44)/AO40+1,"")</f>
        <v>0.92591528445622684</v>
      </c>
      <c r="AS47" s="308">
        <f t="shared" ref="AS47" si="483">IFERROR(SUM(AP43:AS44)/AP40+1,"")</f>
        <v>0.92645368267761941</v>
      </c>
      <c r="AT47" s="308">
        <f t="shared" ref="AT47" si="484">IFERROR(SUM(AQ43:AT44)/AQ40+1,"")</f>
        <v>0.92657992875203476</v>
      </c>
      <c r="AU47" s="308">
        <f t="shared" ref="AU47" si="485">IFERROR(SUM(AR43:AU44)/AR40+1,"")</f>
        <v>0.92809692875533822</v>
      </c>
      <c r="AV47" s="308">
        <f t="shared" ref="AV47" si="486">IFERROR(SUM(AS43:AV44)/AS40+1,"")</f>
        <v>0.92940433593645322</v>
      </c>
      <c r="AW47" s="308">
        <f t="shared" ref="AW47" si="487">IFERROR(SUM(AT43:AW44)/AT40+1,"")</f>
        <v>0.93000028008344438</v>
      </c>
      <c r="AX47" s="244"/>
      <c r="AY47" s="308">
        <f>IFERROR(SUM(AY43:AY44)/AY40*12+1,"")</f>
        <v>0.94536242299163986</v>
      </c>
      <c r="AZ47" s="308">
        <f t="shared" ref="AZ47:DK47" si="488">IFERROR(SUM(AZ43:AZ44)/AZ40*12+1,"")</f>
        <v>0.93200196648934708</v>
      </c>
      <c r="BA47" s="308">
        <f t="shared" si="488"/>
        <v>0.9100098688824052</v>
      </c>
      <c r="BB47" s="308">
        <f t="shared" si="488"/>
        <v>0.96063881758206482</v>
      </c>
      <c r="BC47" s="308">
        <f t="shared" si="488"/>
        <v>0.9868043728159881</v>
      </c>
      <c r="BD47" s="308">
        <f t="shared" si="488"/>
        <v>0.87171376133766798</v>
      </c>
      <c r="BE47" s="308">
        <f t="shared" si="488"/>
        <v>0.96386401857783022</v>
      </c>
      <c r="BF47" s="308">
        <f t="shared" si="488"/>
        <v>0.96608177452366573</v>
      </c>
      <c r="BG47" s="308">
        <f t="shared" si="488"/>
        <v>0.92549542351777869</v>
      </c>
      <c r="BH47" s="308">
        <f t="shared" si="488"/>
        <v>0.94731506146235045</v>
      </c>
      <c r="BI47" s="308">
        <f t="shared" si="488"/>
        <v>0.85728852659977584</v>
      </c>
      <c r="BJ47" s="308">
        <f t="shared" si="488"/>
        <v>0.89527978516800266</v>
      </c>
      <c r="BK47" s="308">
        <f t="shared" si="488"/>
        <v>0.95773671228254242</v>
      </c>
      <c r="BL47" s="308">
        <f t="shared" si="488"/>
        <v>0.93353118164385751</v>
      </c>
      <c r="BM47" s="308">
        <f t="shared" si="488"/>
        <v>0.84288236510232861</v>
      </c>
      <c r="BN47" s="308">
        <f t="shared" si="488"/>
        <v>0.92548368811322246</v>
      </c>
      <c r="BO47" s="308">
        <f t="shared" si="488"/>
        <v>0.93922188348513314</v>
      </c>
      <c r="BP47" s="308">
        <f t="shared" si="488"/>
        <v>0.90178484771876499</v>
      </c>
      <c r="BQ47" s="308">
        <f t="shared" si="488"/>
        <v>0.96696248872870583</v>
      </c>
      <c r="BR47" s="308">
        <f t="shared" si="488"/>
        <v>0.94889282537951436</v>
      </c>
      <c r="BS47" s="308">
        <f t="shared" si="488"/>
        <v>0.92881979300925588</v>
      </c>
      <c r="BT47" s="308">
        <f t="shared" si="488"/>
        <v>0.94230259951433104</v>
      </c>
      <c r="BU47" s="308">
        <f t="shared" si="488"/>
        <v>0.94135305600901586</v>
      </c>
      <c r="BV47" s="308">
        <f t="shared" si="488"/>
        <v>0.90060772132787581</v>
      </c>
      <c r="BW47" s="308">
        <f t="shared" si="488"/>
        <v>0.9340318555529854</v>
      </c>
      <c r="BX47" s="308">
        <f t="shared" si="488"/>
        <v>0.93306887377598668</v>
      </c>
      <c r="BY47" s="308">
        <f t="shared" si="488"/>
        <v>0.89227119772765451</v>
      </c>
      <c r="BZ47" s="308">
        <f t="shared" si="488"/>
        <v>0.89177611729697803</v>
      </c>
      <c r="CA47" s="308">
        <f t="shared" si="488"/>
        <v>0.89473991866199021</v>
      </c>
      <c r="CB47" s="308">
        <f t="shared" si="488"/>
        <v>0.92858642639167888</v>
      </c>
      <c r="CC47" s="308">
        <f t="shared" si="488"/>
        <v>0.86859653291593819</v>
      </c>
      <c r="CD47" s="308">
        <f t="shared" si="488"/>
        <v>0.93875697656293577</v>
      </c>
      <c r="CE47" s="308">
        <f t="shared" si="488"/>
        <v>0.92663593902869335</v>
      </c>
      <c r="CF47" s="308">
        <f t="shared" si="488"/>
        <v>0.95023785918020676</v>
      </c>
      <c r="CG47" s="308">
        <f t="shared" si="488"/>
        <v>0.86882662683058487</v>
      </c>
      <c r="CH47" s="308">
        <f t="shared" si="488"/>
        <v>0.9202804696024115</v>
      </c>
      <c r="CI47" s="308">
        <f t="shared" si="488"/>
        <v>0.93929286032914894</v>
      </c>
      <c r="CJ47" s="308">
        <f t="shared" si="488"/>
        <v>0.91968512555492765</v>
      </c>
      <c r="CK47" s="308">
        <f t="shared" si="488"/>
        <v>0.89286321928828616</v>
      </c>
      <c r="CL47" s="308">
        <f t="shared" si="488"/>
        <v>0.9345464769217916</v>
      </c>
      <c r="CM47" s="308">
        <f t="shared" si="488"/>
        <v>0.93783372919447117</v>
      </c>
      <c r="CN47" s="308">
        <f t="shared" si="488"/>
        <v>0.94213912380661036</v>
      </c>
      <c r="CO47" s="308">
        <f t="shared" si="488"/>
        <v>0.97129890691636822</v>
      </c>
      <c r="CP47" s="308">
        <f t="shared" si="488"/>
        <v>0.95015011913302894</v>
      </c>
      <c r="CQ47" s="308">
        <f t="shared" si="488"/>
        <v>0.91111958216054689</v>
      </c>
      <c r="CR47" s="308">
        <f t="shared" si="488"/>
        <v>0.97094743581805787</v>
      </c>
      <c r="CS47" s="308">
        <f t="shared" si="488"/>
        <v>0.92192993514699473</v>
      </c>
      <c r="CT47" s="308">
        <f t="shared" si="488"/>
        <v>0.9134918338193726</v>
      </c>
      <c r="CU47" s="308">
        <f t="shared" si="488"/>
        <v>0.95739090682542793</v>
      </c>
      <c r="CV47" s="308">
        <f t="shared" si="488"/>
        <v>0.94670033578789736</v>
      </c>
      <c r="CW47" s="308">
        <f t="shared" si="488"/>
        <v>0.90339010166993872</v>
      </c>
      <c r="CX47" s="308">
        <f t="shared" si="488"/>
        <v>0.93919591653259094</v>
      </c>
      <c r="CY47" s="308">
        <f t="shared" si="488"/>
        <v>0.95108028161350122</v>
      </c>
      <c r="CZ47" s="308">
        <f t="shared" si="488"/>
        <v>0.91321648717621917</v>
      </c>
      <c r="DA47" s="308">
        <f t="shared" si="488"/>
        <v>0.94513880834922936</v>
      </c>
      <c r="DB47" s="308">
        <f t="shared" si="488"/>
        <v>0.9576214799992343</v>
      </c>
      <c r="DC47" s="308">
        <f t="shared" si="488"/>
        <v>0.93488103895823493</v>
      </c>
      <c r="DD47" s="308">
        <f t="shared" si="488"/>
        <v>0.95118985848838411</v>
      </c>
      <c r="DE47" s="308">
        <f t="shared" si="488"/>
        <v>0.8994625299793384</v>
      </c>
      <c r="DF47" s="308">
        <f t="shared" si="488"/>
        <v>0.91052465134052141</v>
      </c>
      <c r="DG47" s="308">
        <f t="shared" si="488"/>
        <v>0.95703377711050486</v>
      </c>
      <c r="DH47" s="308">
        <f t="shared" si="488"/>
        <v>0.94627321934465247</v>
      </c>
      <c r="DI47" s="308">
        <f t="shared" si="488"/>
        <v>0.90257292631962371</v>
      </c>
      <c r="DJ47" s="308">
        <f t="shared" si="488"/>
        <v>0.93857252783329004</v>
      </c>
      <c r="DK47" s="308">
        <f t="shared" si="488"/>
        <v>0.9506319487020497</v>
      </c>
      <c r="DL47" s="308">
        <f t="shared" ref="DL47:FB47" si="489">IFERROR(SUM(DL43:DL44)/DL40*12+1,"")</f>
        <v>0.91242649827739275</v>
      </c>
      <c r="DM47" s="308">
        <f t="shared" si="489"/>
        <v>0.9445965853443089</v>
      </c>
      <c r="DN47" s="308">
        <f t="shared" si="489"/>
        <v>0.95716284200285284</v>
      </c>
      <c r="DO47" s="308">
        <f t="shared" si="489"/>
        <v>0.9340750954033783</v>
      </c>
      <c r="DP47" s="308">
        <f t="shared" si="489"/>
        <v>0.95046303994575565</v>
      </c>
      <c r="DQ47" s="308">
        <f t="shared" si="489"/>
        <v>0.89760240163503191</v>
      </c>
      <c r="DR47" s="308">
        <f t="shared" si="489"/>
        <v>0.90843282092137467</v>
      </c>
      <c r="DS47" s="308">
        <f t="shared" si="489"/>
        <v>0.95883119940115968</v>
      </c>
      <c r="DT47" s="308">
        <f t="shared" si="489"/>
        <v>0.94849467410541588</v>
      </c>
      <c r="DU47" s="308">
        <f t="shared" si="489"/>
        <v>0.90649350474823098</v>
      </c>
      <c r="DV47" s="308">
        <f t="shared" si="489"/>
        <v>0.94092023035605288</v>
      </c>
      <c r="DW47" s="308">
        <f t="shared" si="489"/>
        <v>0.9524816520428554</v>
      </c>
      <c r="DX47" s="308">
        <f t="shared" si="489"/>
        <v>0.91557496034146335</v>
      </c>
      <c r="DY47" s="308">
        <f t="shared" si="489"/>
        <v>0.94648342592691026</v>
      </c>
      <c r="DZ47" s="308">
        <f t="shared" si="489"/>
        <v>0.95859974281905458</v>
      </c>
      <c r="EA47" s="308">
        <f t="shared" si="489"/>
        <v>0.93621919918295915</v>
      </c>
      <c r="EB47" s="308">
        <f t="shared" si="489"/>
        <v>0.95199106599438532</v>
      </c>
      <c r="EC47" s="308">
        <f t="shared" si="489"/>
        <v>0.90070588685591424</v>
      </c>
      <c r="ED47" s="308">
        <f t="shared" si="489"/>
        <v>0.91106722582020716</v>
      </c>
      <c r="EE47" s="308">
        <f t="shared" si="489"/>
        <v>0.96069485266836474</v>
      </c>
      <c r="EF47" s="308">
        <f t="shared" si="489"/>
        <v>0.95080153674933865</v>
      </c>
      <c r="EG47" s="308">
        <f t="shared" si="489"/>
        <v>0.91057879447915036</v>
      </c>
      <c r="EH47" s="308">
        <f t="shared" si="489"/>
        <v>0.94338230716336025</v>
      </c>
      <c r="EI47" s="308">
        <f t="shared" si="489"/>
        <v>0.95442635413880439</v>
      </c>
      <c r="EJ47" s="308">
        <f t="shared" si="489"/>
        <v>0.91890155957117636</v>
      </c>
      <c r="EK47" s="308">
        <f t="shared" si="489"/>
        <v>0.94848999705726622</v>
      </c>
      <c r="EL47" s="308">
        <f t="shared" si="489"/>
        <v>0.96013074092641237</v>
      </c>
      <c r="EM47" s="308">
        <f t="shared" si="489"/>
        <v>0.93851202484844665</v>
      </c>
      <c r="EN47" s="308">
        <f t="shared" si="489"/>
        <v>0.95363517120550134</v>
      </c>
      <c r="EO47" s="308">
        <f t="shared" si="489"/>
        <v>0.90405228174194829</v>
      </c>
      <c r="EP47" s="308">
        <f t="shared" si="489"/>
        <v>0.91392533428260381</v>
      </c>
      <c r="EQ47" s="308">
        <f t="shared" si="489"/>
        <v>0.96259025054329717</v>
      </c>
      <c r="ER47" s="308">
        <f t="shared" si="489"/>
        <v>0.95315062073939583</v>
      </c>
      <c r="ES47" s="308">
        <f t="shared" si="489"/>
        <v>0.91475058482167559</v>
      </c>
      <c r="ET47" s="308">
        <f t="shared" si="489"/>
        <v>0.94590969523834634</v>
      </c>
      <c r="EU47" s="308">
        <f t="shared" si="489"/>
        <v>0.95642664124511279</v>
      </c>
      <c r="EV47" s="308">
        <f t="shared" si="489"/>
        <v>0.92233697608137566</v>
      </c>
      <c r="EW47" s="308">
        <f t="shared" si="489"/>
        <v>0.95057290357790669</v>
      </c>
      <c r="EX47" s="308">
        <f t="shared" si="489"/>
        <v>0.96172229862791192</v>
      </c>
      <c r="EY47" s="308">
        <f t="shared" si="489"/>
        <v>0.94090233036014803</v>
      </c>
      <c r="EZ47" s="308">
        <f t="shared" si="489"/>
        <v>0.95535736582790065</v>
      </c>
      <c r="FA47" s="308">
        <f t="shared" si="489"/>
        <v>0.9075632218220484</v>
      </c>
      <c r="FB47" s="308">
        <f t="shared" si="489"/>
        <v>0.91693778999746356</v>
      </c>
    </row>
    <row r="48" spans="1:158" x14ac:dyDescent="0.25">
      <c r="C48" s="289" t="s">
        <v>617</v>
      </c>
      <c r="D48" s="308">
        <f>SUM(D42:D44)/D40+1</f>
        <v>1.3340311322710687</v>
      </c>
      <c r="E48" s="308">
        <f t="shared" ref="E48:H48" si="490">SUM(E42:E44)/E40+1</f>
        <v>1.2504969177815335</v>
      </c>
      <c r="F48" s="308">
        <f t="shared" si="490"/>
        <v>1.165248735879425</v>
      </c>
      <c r="G48" s="308">
        <f t="shared" si="490"/>
        <v>1.2960651944839421</v>
      </c>
      <c r="H48" s="308">
        <f t="shared" si="490"/>
        <v>1.2743896701508743</v>
      </c>
      <c r="I48" s="308">
        <f t="shared" ref="I48:L48" si="491">SUM(I42:I44)/I40+1</f>
        <v>1.2762831704240096</v>
      </c>
      <c r="J48" s="308">
        <f t="shared" si="491"/>
        <v>1.2862854890495208</v>
      </c>
      <c r="K48" s="308">
        <f t="shared" si="491"/>
        <v>1.2913632396936103</v>
      </c>
      <c r="L48" s="308">
        <f t="shared" si="491"/>
        <v>1.2912851475673808</v>
      </c>
      <c r="M48" s="244"/>
      <c r="N48" s="413"/>
      <c r="O48" s="413"/>
      <c r="P48" s="413"/>
      <c r="Q48" s="308">
        <f>IFERROR(SUM(N42:Q44)/N40+1,"")</f>
        <v>1.3340311322710687</v>
      </c>
      <c r="R48" s="308">
        <f t="shared" ref="R48" si="492">IFERROR(SUM(O42:R44)/O40+1,"")</f>
        <v>1.2865707226792293</v>
      </c>
      <c r="S48" s="308">
        <f t="shared" ref="S48" si="493">IFERROR(SUM(P42:S44)/P40+1,"")</f>
        <v>1.3069984972211159</v>
      </c>
      <c r="T48" s="308">
        <f t="shared" ref="T48" si="494">IFERROR(SUM(Q42:T44)/Q40+1,"")</f>
        <v>1.2649643019764685</v>
      </c>
      <c r="U48" s="308">
        <f t="shared" ref="U48" si="495">IFERROR(SUM(R42:U44)/R40+1,"")</f>
        <v>1.2504969177815335</v>
      </c>
      <c r="V48" s="308">
        <f t="shared" ref="V48" si="496">IFERROR(SUM(S42:V44)/S40+1,"")</f>
        <v>1.215615614192997</v>
      </c>
      <c r="W48" s="308">
        <f t="shared" ref="W48" si="497">IFERROR(SUM(T42:W44)/T40+1,"")</f>
        <v>1.1682296981932292</v>
      </c>
      <c r="X48" s="308">
        <f t="shared" ref="X48" si="498">IFERROR(SUM(U42:X44)/U40+1,"")</f>
        <v>1.1791925681801814</v>
      </c>
      <c r="Y48" s="308">
        <f t="shared" ref="Y48" si="499">IFERROR(SUM(V42:Y44)/V40+1,"")</f>
        <v>1.1652487358794252</v>
      </c>
      <c r="Z48" s="308">
        <f t="shared" ref="Z48" si="500">IFERROR(SUM(W42:Z44)/W40+1,"")</f>
        <v>1.1740565194991914</v>
      </c>
      <c r="AA48" s="308">
        <f t="shared" ref="AA48" si="501">IFERROR(SUM(X42:AA44)/X40+1,"")</f>
        <v>1.2169414990394329</v>
      </c>
      <c r="AB48" s="308">
        <f t="shared" ref="AB48" si="502">IFERROR(SUM(Y42:AB44)/Y40+1,"")</f>
        <v>1.2529794617958052</v>
      </c>
      <c r="AC48" s="308">
        <f t="shared" ref="AC48" si="503">IFERROR(SUM(Z42:AC44)/Z40+1,"")</f>
        <v>1.2960651944839421</v>
      </c>
      <c r="AD48" s="308">
        <f t="shared" ref="AD48" si="504">IFERROR(SUM(AA42:AD44)/AA40+1,"")</f>
        <v>1.3186037704589963</v>
      </c>
      <c r="AE48" s="308">
        <f t="shared" ref="AE48" si="505">IFERROR(SUM(AB42:AE44)/AB40+1,"")</f>
        <v>1.3091306633567505</v>
      </c>
      <c r="AF48" s="308">
        <f t="shared" ref="AF48" si="506">IFERROR(SUM(AC42:AF44)/AC40+1,"")</f>
        <v>1.286365470953942</v>
      </c>
      <c r="AG48" s="308">
        <f t="shared" ref="AG48" si="507">IFERROR(SUM(AD42:AG44)/AD40+1,"")</f>
        <v>1.2743896701508746</v>
      </c>
      <c r="AH48" s="308">
        <f t="shared" ref="AH48" si="508">IFERROR(SUM(AE42:AH44)/AE40+1,"")</f>
        <v>1.2769871498927947</v>
      </c>
      <c r="AI48" s="308">
        <f t="shared" ref="AI48" si="509">IFERROR(SUM(AF42:AI44)/AF40+1,"")</f>
        <v>1.2827560913029208</v>
      </c>
      <c r="AJ48" s="308">
        <f t="shared" ref="AJ48" si="510">IFERROR(SUM(AG42:AJ44)/AG40+1,"")</f>
        <v>1.2827957171981417</v>
      </c>
      <c r="AK48" s="308">
        <f t="shared" ref="AK48" si="511">IFERROR(SUM(AH42:AK44)/AH40+1,"")</f>
        <v>1.2762831704240096</v>
      </c>
      <c r="AL48" s="308">
        <f t="shared" ref="AL48" si="512">IFERROR(SUM(AI42:AL44)/AI40+1,"")</f>
        <v>1.2785113507193719</v>
      </c>
      <c r="AM48" s="308">
        <f t="shared" ref="AM48" si="513">IFERROR(SUM(AJ42:AM44)/AJ40+1,"")</f>
        <v>1.2815323532942986</v>
      </c>
      <c r="AN48" s="308">
        <f t="shared" ref="AN48" si="514">IFERROR(SUM(AK42:AN44)/AK40+1,"")</f>
        <v>1.2838886434892081</v>
      </c>
      <c r="AO48" s="308">
        <f t="shared" ref="AO48" si="515">IFERROR(SUM(AL42:AO44)/AL40+1,"")</f>
        <v>1.2862854890495206</v>
      </c>
      <c r="AP48" s="308">
        <f t="shared" ref="AP48" si="516">IFERROR(SUM(AM42:AP44)/AM40+1,"")</f>
        <v>1.2873250115639157</v>
      </c>
      <c r="AQ48" s="308">
        <f t="shared" ref="AQ48" si="517">IFERROR(SUM(AN42:AQ44)/AN40+1,"")</f>
        <v>1.2889080549701415</v>
      </c>
      <c r="AR48" s="308">
        <f t="shared" ref="AR48" si="518">IFERROR(SUM(AO42:AR44)/AO40+1,"")</f>
        <v>1.2901649132367472</v>
      </c>
      <c r="AS48" s="308">
        <f t="shared" ref="AS48" si="519">IFERROR(SUM(AP42:AS44)/AP40+1,"")</f>
        <v>1.2913632396936101</v>
      </c>
      <c r="AT48" s="308">
        <f t="shared" ref="AT48" si="520">IFERROR(SUM(AQ42:AT44)/AQ40+1,"")</f>
        <v>1.2911714277308159</v>
      </c>
      <c r="AU48" s="308">
        <f t="shared" ref="AU48" si="521">IFERROR(SUM(AR42:AU44)/AR40+1,"")</f>
        <v>1.2912710584743372</v>
      </c>
      <c r="AV48" s="308">
        <f t="shared" ref="AV48" si="522">IFERROR(SUM(AS42:AV44)/AS40+1,"")</f>
        <v>1.2913787017929788</v>
      </c>
      <c r="AW48" s="308">
        <f t="shared" ref="AW48" si="523">IFERROR(SUM(AT42:AW44)/AT40+1,"")</f>
        <v>1.2912851475673808</v>
      </c>
      <c r="AX48" s="244"/>
      <c r="AY48" s="308">
        <f>IFERROR(SUM(AY42:AY44)/AY40*12+1,"")</f>
        <v>1.0235815327282778</v>
      </c>
      <c r="AZ48" s="308">
        <f t="shared" ref="AZ48:DK48" si="524">IFERROR(SUM(AZ42:AZ44)/AZ40*12+1,"")</f>
        <v>1.1730338176802553</v>
      </c>
      <c r="BA48" s="308">
        <f t="shared" si="524"/>
        <v>1.4817509604674144</v>
      </c>
      <c r="BB48" s="308">
        <f t="shared" si="524"/>
        <v>1.05542627010735</v>
      </c>
      <c r="BC48" s="308">
        <f t="shared" si="524"/>
        <v>1.242191781377769</v>
      </c>
      <c r="BD48" s="308">
        <f t="shared" si="524"/>
        <v>1.3567857692811551</v>
      </c>
      <c r="BE48" s="308">
        <f t="shared" si="524"/>
        <v>1.157872152732101</v>
      </c>
      <c r="BF48" s="308">
        <f t="shared" si="524"/>
        <v>1.1100595780347409</v>
      </c>
      <c r="BG48" s="308">
        <f t="shared" si="524"/>
        <v>1.3928121252434276</v>
      </c>
      <c r="BH48" s="308">
        <f t="shared" si="524"/>
        <v>0.9954268502198379</v>
      </c>
      <c r="BI48" s="308">
        <f t="shared" si="524"/>
        <v>1.4925028771795283</v>
      </c>
      <c r="BJ48" s="308">
        <f t="shared" si="524"/>
        <v>1.2031564068034419</v>
      </c>
      <c r="BK48" s="308">
        <f t="shared" si="524"/>
        <v>1.0751506157191684</v>
      </c>
      <c r="BL48" s="308">
        <f t="shared" si="524"/>
        <v>1.0481904179768371</v>
      </c>
      <c r="BM48" s="308">
        <f t="shared" si="524"/>
        <v>1.2758193022858308</v>
      </c>
      <c r="BN48" s="308">
        <f t="shared" si="524"/>
        <v>0.98305088007293018</v>
      </c>
      <c r="BO48" s="308">
        <f t="shared" si="524"/>
        <v>1.5823602830575598</v>
      </c>
      <c r="BP48" s="308">
        <f t="shared" si="524"/>
        <v>1.2332916383737893</v>
      </c>
      <c r="BQ48" s="308">
        <f t="shared" si="524"/>
        <v>1.0786726240143634</v>
      </c>
      <c r="BR48" s="308">
        <f t="shared" si="524"/>
        <v>1.0542113958547679</v>
      </c>
      <c r="BS48" s="308">
        <f t="shared" si="524"/>
        <v>1.2467001064471037</v>
      </c>
      <c r="BT48" s="308">
        <f t="shared" si="524"/>
        <v>1.0407234945678547</v>
      </c>
      <c r="BU48" s="308">
        <f t="shared" si="524"/>
        <v>1.3135720583291093</v>
      </c>
      <c r="BV48" s="308">
        <f t="shared" si="524"/>
        <v>1.3068391145958724</v>
      </c>
      <c r="BW48" s="308">
        <f t="shared" si="524"/>
        <v>1.0721682195833377</v>
      </c>
      <c r="BX48" s="308">
        <f t="shared" si="524"/>
        <v>1.0632165992840732</v>
      </c>
      <c r="BY48" s="308">
        <f t="shared" si="524"/>
        <v>1.0897061602984368</v>
      </c>
      <c r="BZ48" s="308">
        <f t="shared" si="524"/>
        <v>1.0657082395609623</v>
      </c>
      <c r="CA48" s="308">
        <f t="shared" si="524"/>
        <v>1.0343127141922976</v>
      </c>
      <c r="CB48" s="308">
        <f t="shared" si="524"/>
        <v>1.279965408606313</v>
      </c>
      <c r="CC48" s="308">
        <f t="shared" si="524"/>
        <v>0.96066862198431824</v>
      </c>
      <c r="CD48" s="308">
        <f t="shared" si="524"/>
        <v>1.2742922931047154</v>
      </c>
      <c r="CE48" s="308">
        <f t="shared" si="524"/>
        <v>1.2637032086855013</v>
      </c>
      <c r="CF48" s="308">
        <f t="shared" si="524"/>
        <v>1.0940981777737568</v>
      </c>
      <c r="CG48" s="308">
        <f t="shared" si="524"/>
        <v>1.1724165648084448</v>
      </c>
      <c r="CH48" s="308">
        <f t="shared" si="524"/>
        <v>1.2641166892388263</v>
      </c>
      <c r="CI48" s="308">
        <f t="shared" si="524"/>
        <v>1.0401460081615141</v>
      </c>
      <c r="CJ48" s="308">
        <f t="shared" si="524"/>
        <v>1.0818453512009343</v>
      </c>
      <c r="CK48" s="308">
        <f t="shared" si="524"/>
        <v>1.2006523098353736</v>
      </c>
      <c r="CL48" s="308">
        <f t="shared" si="524"/>
        <v>1.1332644297006569</v>
      </c>
      <c r="CM48" s="308">
        <f t="shared" si="524"/>
        <v>1.2406926908231148</v>
      </c>
      <c r="CN48" s="308">
        <f t="shared" si="524"/>
        <v>1.3932580426074677</v>
      </c>
      <c r="CO48" s="308">
        <f t="shared" si="524"/>
        <v>1.1192738097141666</v>
      </c>
      <c r="CP48" s="308">
        <f t="shared" si="524"/>
        <v>1.2876936854701491</v>
      </c>
      <c r="CQ48" s="308">
        <f t="shared" si="524"/>
        <v>1.3688157806689691</v>
      </c>
      <c r="CR48" s="308">
        <f t="shared" si="524"/>
        <v>1.0848968205408447</v>
      </c>
      <c r="CS48" s="308">
        <f t="shared" si="524"/>
        <v>1.3699640728054101</v>
      </c>
      <c r="CT48" s="308">
        <f t="shared" si="524"/>
        <v>1.4363373599896248</v>
      </c>
      <c r="CU48" s="308">
        <f t="shared" si="524"/>
        <v>1.0568027528211712</v>
      </c>
      <c r="CV48" s="308">
        <f t="shared" si="524"/>
        <v>1.1627886330693384</v>
      </c>
      <c r="CW48" s="308">
        <f t="shared" si="524"/>
        <v>1.32131517049491</v>
      </c>
      <c r="CX48" s="308">
        <f t="shared" si="524"/>
        <v>1.0978090660716155</v>
      </c>
      <c r="CY48" s="308">
        <f t="shared" si="524"/>
        <v>1.2565870860557877</v>
      </c>
      <c r="CZ48" s="308">
        <f t="shared" si="524"/>
        <v>1.3326278786650767</v>
      </c>
      <c r="DA48" s="308">
        <f t="shared" si="524"/>
        <v>1.0813903935214744</v>
      </c>
      <c r="DB48" s="308">
        <f t="shared" si="524"/>
        <v>1.1968625317340496</v>
      </c>
      <c r="DC48" s="308">
        <f t="shared" si="524"/>
        <v>1.3425920341597741</v>
      </c>
      <c r="DD48" s="308">
        <f t="shared" si="524"/>
        <v>1.1171905922273424</v>
      </c>
      <c r="DE48" s="308">
        <f t="shared" si="524"/>
        <v>1.3334092101083821</v>
      </c>
      <c r="DF48" s="308">
        <f t="shared" si="524"/>
        <v>1.3826459153443313</v>
      </c>
      <c r="DG48" s="308">
        <f t="shared" si="524"/>
        <v>1.0648690713989806</v>
      </c>
      <c r="DH48" s="308">
        <f t="shared" si="524"/>
        <v>1.1714622486851478</v>
      </c>
      <c r="DI48" s="308">
        <f t="shared" si="524"/>
        <v>1.3309705774325147</v>
      </c>
      <c r="DJ48" s="308">
        <f t="shared" si="524"/>
        <v>1.1143024177710077</v>
      </c>
      <c r="DK48" s="308">
        <f t="shared" si="524"/>
        <v>1.2739624438270352</v>
      </c>
      <c r="DL48" s="308">
        <f t="shared" ref="DL48:FB48" si="525">IFERROR(SUM(DL42:DL44)/DL40*12+1,"")</f>
        <v>1.3499433146259276</v>
      </c>
      <c r="DM48" s="308">
        <f t="shared" si="525"/>
        <v>1.0820382542794773</v>
      </c>
      <c r="DN48" s="308">
        <f t="shared" si="525"/>
        <v>1.1987178959464875</v>
      </c>
      <c r="DO48" s="308">
        <f t="shared" si="525"/>
        <v>1.3463624663324545</v>
      </c>
      <c r="DP48" s="308">
        <f t="shared" si="525"/>
        <v>1.1002604310747914</v>
      </c>
      <c r="DQ48" s="308">
        <f t="shared" si="525"/>
        <v>1.3208963855174072</v>
      </c>
      <c r="DR48" s="308">
        <f t="shared" si="525"/>
        <v>1.373737721858616</v>
      </c>
      <c r="DS48" s="308">
        <f t="shared" si="525"/>
        <v>1.068673682044478</v>
      </c>
      <c r="DT48" s="308">
        <f t="shared" si="525"/>
        <v>1.1779916277502969</v>
      </c>
      <c r="DU48" s="308">
        <f t="shared" si="525"/>
        <v>1.3435902542405391</v>
      </c>
      <c r="DV48" s="308">
        <f t="shared" si="525"/>
        <v>1.1205962678712786</v>
      </c>
      <c r="DW48" s="308">
        <f t="shared" si="525"/>
        <v>1.283331082071641</v>
      </c>
      <c r="DX48" s="308">
        <f t="shared" si="525"/>
        <v>1.363970911564413</v>
      </c>
      <c r="DY48" s="308">
        <f t="shared" si="525"/>
        <v>1.0876196734592316</v>
      </c>
      <c r="DZ48" s="308">
        <f t="shared" si="525"/>
        <v>1.2067798067575728</v>
      </c>
      <c r="EA48" s="308">
        <f t="shared" si="525"/>
        <v>1.3602611896970482</v>
      </c>
      <c r="EB48" s="308">
        <f t="shared" si="525"/>
        <v>1.106326389246661</v>
      </c>
      <c r="EC48" s="308">
        <f t="shared" si="525"/>
        <v>1.337065151553664</v>
      </c>
      <c r="ED48" s="308">
        <f t="shared" si="525"/>
        <v>1.3914948893685621</v>
      </c>
      <c r="EE48" s="308">
        <f t="shared" si="525"/>
        <v>1.0710182081522017</v>
      </c>
      <c r="EF48" s="308">
        <f t="shared" si="525"/>
        <v>1.1814190215954268</v>
      </c>
      <c r="EG48" s="308">
        <f t="shared" si="525"/>
        <v>1.3503150016422223</v>
      </c>
      <c r="EH48" s="308">
        <f t="shared" si="525"/>
        <v>1.1245244263356882</v>
      </c>
      <c r="EI48" s="308">
        <f t="shared" si="525"/>
        <v>1.2882358900163431</v>
      </c>
      <c r="EJ48" s="308">
        <f t="shared" si="525"/>
        <v>1.3720273901654352</v>
      </c>
      <c r="EK48" s="308">
        <f t="shared" si="525"/>
        <v>1.0913983933418563</v>
      </c>
      <c r="EL48" s="308">
        <f t="shared" si="525"/>
        <v>1.2115612219449226</v>
      </c>
      <c r="EM48" s="308">
        <f t="shared" si="525"/>
        <v>1.3685680103328908</v>
      </c>
      <c r="EN48" s="308">
        <f t="shared" si="525"/>
        <v>1.1104358150625699</v>
      </c>
      <c r="EO48" s="308">
        <f t="shared" si="525"/>
        <v>1.3476315697610679</v>
      </c>
      <c r="EP48" s="308">
        <f t="shared" si="525"/>
        <v>1.4030926367081045</v>
      </c>
      <c r="EQ48" s="308">
        <f t="shared" si="525"/>
        <v>1.0718177511664573</v>
      </c>
      <c r="ER48" s="308">
        <f t="shared" si="525"/>
        <v>1.1815914339141158</v>
      </c>
      <c r="ES48" s="308">
        <f t="shared" si="525"/>
        <v>1.3508367176346436</v>
      </c>
      <c r="ET48" s="308">
        <f t="shared" si="525"/>
        <v>1.1259276682463932</v>
      </c>
      <c r="EU48" s="308">
        <f t="shared" si="525"/>
        <v>1.2884244108836356</v>
      </c>
      <c r="EV48" s="308">
        <f t="shared" si="525"/>
        <v>1.3737247340235821</v>
      </c>
      <c r="EW48" s="308">
        <f t="shared" si="525"/>
        <v>1.0932191776111519</v>
      </c>
      <c r="EX48" s="308">
        <f t="shared" si="525"/>
        <v>1.2128269594727037</v>
      </c>
      <c r="EY48" s="308">
        <f t="shared" si="525"/>
        <v>1.3708685370777551</v>
      </c>
      <c r="EZ48" s="308">
        <f t="shared" si="525"/>
        <v>1.1124074437963061</v>
      </c>
      <c r="FA48" s="308">
        <f t="shared" si="525"/>
        <v>1.3521029411071166</v>
      </c>
      <c r="FB48" s="308">
        <f t="shared" si="525"/>
        <v>1.4079753573015861</v>
      </c>
    </row>
    <row r="49" spans="3:158" x14ac:dyDescent="0.25">
      <c r="D49" s="20"/>
    </row>
    <row r="50" spans="3:158" x14ac:dyDescent="0.25">
      <c r="C50" s="309" t="s">
        <v>249</v>
      </c>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row>
    <row r="52" spans="3:158" x14ac:dyDescent="0.25">
      <c r="C52" s="1" t="s">
        <v>249</v>
      </c>
    </row>
    <row r="53" spans="3:158" x14ac:dyDescent="0.25">
      <c r="C53" s="2" t="s">
        <v>607</v>
      </c>
      <c r="D53" s="20">
        <f t="shared" ref="D53:L55" si="526">SUMIF($AY$2:$FB$2,D$2,$AY53:$FB53)</f>
        <v>6157450.5699999994</v>
      </c>
      <c r="E53" s="20">
        <f t="shared" si="526"/>
        <v>9281866.9909150004</v>
      </c>
      <c r="F53" s="20">
        <f t="shared" si="526"/>
        <v>10851567.992634999</v>
      </c>
      <c r="G53" s="20">
        <f t="shared" si="526"/>
        <v>19071236.315526668</v>
      </c>
      <c r="H53" s="20">
        <f t="shared" si="526"/>
        <v>24351590.012200296</v>
      </c>
      <c r="I53" s="20">
        <f t="shared" si="526"/>
        <v>33337345.267995439</v>
      </c>
      <c r="J53" s="20">
        <f t="shared" si="526"/>
        <v>44596338.138593391</v>
      </c>
      <c r="K53" s="20">
        <f t="shared" si="526"/>
        <v>58216274.034995586</v>
      </c>
      <c r="L53" s="20">
        <f t="shared" si="526"/>
        <v>74035872.71149382</v>
      </c>
      <c r="N53" s="20">
        <f t="shared" ref="N53:N55" si="527">SUM(AY53:BA53)</f>
        <v>1121413.6000000001</v>
      </c>
      <c r="O53" s="20">
        <f t="shared" ref="O53:O55" si="528">SUM(BB53:BD53)</f>
        <v>1085824</v>
      </c>
      <c r="P53" s="20">
        <f t="shared" ref="P53:P55" si="529">SUM(BE53:BG53)</f>
        <v>1560235.5</v>
      </c>
      <c r="Q53" s="20">
        <f t="shared" ref="Q53:Q55" si="530">SUM(BH53:BJ53)</f>
        <v>2389977.4699999997</v>
      </c>
      <c r="R53" s="20">
        <f t="shared" ref="R53:R55" si="531">SUM(BK53:BM53)</f>
        <v>2158093.0300000003</v>
      </c>
      <c r="S53" s="20">
        <f t="shared" ref="S53:S55" si="532">SUM(BN53:BP53)</f>
        <v>2385846.36</v>
      </c>
      <c r="T53" s="20">
        <f t="shared" ref="T53:T55" si="533">SUM(BQ53:BS53)</f>
        <v>2022183.76</v>
      </c>
      <c r="U53" s="20">
        <f t="shared" ref="U53:U55" si="534">SUM(BT53:BV53)</f>
        <v>2715743.8409150001</v>
      </c>
      <c r="V53" s="20">
        <f t="shared" ref="V53:V55" si="535">SUM(BW53:BY53)</f>
        <v>1490254.762234</v>
      </c>
      <c r="W53" s="20">
        <f t="shared" ref="W53:W55" si="536">SUM(BZ53:CB53)</f>
        <v>2959914.4453460001</v>
      </c>
      <c r="X53" s="20">
        <f t="shared" ref="X53:X55" si="537">SUM(CC53:CE53)</f>
        <v>2393159.9925989998</v>
      </c>
      <c r="Y53" s="20">
        <f t="shared" ref="Y53:Y55" si="538">SUM(CF53:CH53)</f>
        <v>4008238.7924560001</v>
      </c>
      <c r="Z53" s="20">
        <f t="shared" ref="Z53:Z55" si="539">SUM(CI53:CK53)</f>
        <v>3285840.3365469999</v>
      </c>
      <c r="AA53" s="20">
        <f t="shared" ref="AA53:AA55" si="540">SUM(CL53:CN53)</f>
        <v>4714948.0623129997</v>
      </c>
      <c r="AB53" s="20">
        <f t="shared" ref="AB53:AB55" si="541">SUM(CO53:CQ53)</f>
        <v>4773166.458333334</v>
      </c>
      <c r="AC53" s="20">
        <f t="shared" ref="AC53:AC55" si="542">SUM(CR53:CT53)</f>
        <v>6297281.458333334</v>
      </c>
      <c r="AD53" s="20">
        <f t="shared" ref="AD53:AD55" si="543">SUM(CU53:CW53)</f>
        <v>4309601.5353283146</v>
      </c>
      <c r="AE53" s="20">
        <f t="shared" ref="AE53:AE55" si="544">SUM(CX53:CZ53)</f>
        <v>5733950.0991411675</v>
      </c>
      <c r="AF53" s="20">
        <f t="shared" ref="AF53:AF55" si="545">SUM(DA53:DC53)</f>
        <v>5653001.4249158669</v>
      </c>
      <c r="AG53" s="20">
        <f t="shared" ref="AG53:AG55" si="546">SUM(DD53:DF53)</f>
        <v>8655036.952814946</v>
      </c>
      <c r="AH53" s="20">
        <f t="shared" ref="AH53:AH55" si="547">SUM(DG53:DI53)</f>
        <v>6079869.4476409378</v>
      </c>
      <c r="AI53" s="20">
        <f t="shared" ref="AI53:AI55" si="548">SUM(DJ53:DL53)</f>
        <v>8249830.1947680674</v>
      </c>
      <c r="AJ53" s="20">
        <f t="shared" ref="AJ53:AJ55" si="549">SUM(DM53:DO53)</f>
        <v>7738963.2549033873</v>
      </c>
      <c r="AK53" s="20">
        <f t="shared" ref="AK53:AK55" si="550">SUM(DP53:DR53)</f>
        <v>11268682.370683048</v>
      </c>
      <c r="AL53" s="20">
        <f t="shared" ref="AL53:AL55" si="551">SUM(DS53:DU53)</f>
        <v>8133218.513526882</v>
      </c>
      <c r="AM53" s="20">
        <f t="shared" ref="AM53:AM55" si="552">SUM(DV53:DX53)</f>
        <v>11036038.232626101</v>
      </c>
      <c r="AN53" s="20">
        <f t="shared" ref="AN53:AN55" si="553">SUM(DY53:EA53)</f>
        <v>10352636.641681015</v>
      </c>
      <c r="AO53" s="20">
        <f t="shared" ref="AO53:AO55" si="554">SUM(EB53:ED53)</f>
        <v>15074444.750759393</v>
      </c>
      <c r="AP53" s="20">
        <f t="shared" ref="AP53:AP55" si="555">SUM(EE53:EG53)</f>
        <v>10617142.517363524</v>
      </c>
      <c r="AQ53" s="20">
        <f t="shared" ref="AQ53:AQ55" si="556">SUM(EH53:EJ53)</f>
        <v>14406497.323044868</v>
      </c>
      <c r="AR53" s="20">
        <f t="shared" ref="AR53:AR55" si="557">SUM(EK53:EM53)</f>
        <v>13514381.603346769</v>
      </c>
      <c r="AS53" s="20">
        <f t="shared" ref="AS53:AS55" si="558">SUM(EN53:EP53)</f>
        <v>19678252.591240421</v>
      </c>
      <c r="AT53" s="20">
        <f t="shared" ref="AT53:AT55" si="559">SUM(EQ53:ES53)</f>
        <v>13502228.114131738</v>
      </c>
      <c r="AU53" s="20">
        <f t="shared" ref="AU53:AU55" si="560">SUM(ET53:EV53)</f>
        <v>18321296.23043656</v>
      </c>
      <c r="AV53" s="20">
        <f t="shared" ref="AV53:AV55" si="561">SUM(EW53:EY53)</f>
        <v>17186758.389217325</v>
      </c>
      <c r="AW53" s="20">
        <f t="shared" ref="AW53:AW55" si="562">SUM(EZ53:FB53)</f>
        <v>25025589.977708194</v>
      </c>
      <c r="AY53" s="20">
        <f t="shared" ref="AY53:CT53" si="563">SUM(AY8:AY9)</f>
        <v>88364</v>
      </c>
      <c r="AZ53" s="20">
        <f t="shared" si="563"/>
        <v>463575</v>
      </c>
      <c r="BA53" s="20">
        <f t="shared" si="563"/>
        <v>569474.6</v>
      </c>
      <c r="BB53" s="20">
        <f t="shared" si="563"/>
        <v>199540</v>
      </c>
      <c r="BC53" s="20">
        <f t="shared" si="563"/>
        <v>349000</v>
      </c>
      <c r="BD53" s="20">
        <f t="shared" si="563"/>
        <v>537284</v>
      </c>
      <c r="BE53" s="20">
        <f t="shared" si="563"/>
        <v>320176.67</v>
      </c>
      <c r="BF53" s="20">
        <f t="shared" si="563"/>
        <v>485289.5</v>
      </c>
      <c r="BG53" s="20">
        <f t="shared" si="563"/>
        <v>754769.33</v>
      </c>
      <c r="BH53" s="20">
        <f t="shared" si="563"/>
        <v>497432</v>
      </c>
      <c r="BI53" s="20">
        <f t="shared" si="563"/>
        <v>952213</v>
      </c>
      <c r="BJ53" s="20">
        <f t="shared" si="563"/>
        <v>940332.47</v>
      </c>
      <c r="BK53" s="20">
        <f t="shared" si="563"/>
        <v>344333.33</v>
      </c>
      <c r="BL53" s="20">
        <f t="shared" si="563"/>
        <v>689900.33</v>
      </c>
      <c r="BM53" s="20">
        <f t="shared" si="563"/>
        <v>1123859.3700000001</v>
      </c>
      <c r="BN53" s="20">
        <f t="shared" si="563"/>
        <v>603439.53</v>
      </c>
      <c r="BO53" s="20">
        <f t="shared" si="563"/>
        <v>776520.19</v>
      </c>
      <c r="BP53" s="20">
        <f t="shared" si="563"/>
        <v>1005886.64</v>
      </c>
      <c r="BQ53" s="20">
        <f t="shared" si="563"/>
        <v>449835.17</v>
      </c>
      <c r="BR53" s="20">
        <f t="shared" si="563"/>
        <v>435067</v>
      </c>
      <c r="BS53" s="20">
        <f t="shared" si="563"/>
        <v>1137281.5900000001</v>
      </c>
      <c r="BT53" s="20">
        <f t="shared" si="563"/>
        <v>429854.68</v>
      </c>
      <c r="BU53" s="20">
        <f t="shared" si="563"/>
        <v>1018911.5</v>
      </c>
      <c r="BV53" s="20">
        <f t="shared" si="563"/>
        <v>1266977.6609149999</v>
      </c>
      <c r="BW53" s="20">
        <f t="shared" si="563"/>
        <v>289216.86</v>
      </c>
      <c r="BX53" s="20">
        <f t="shared" si="563"/>
        <v>425775.52212400001</v>
      </c>
      <c r="BY53" s="20">
        <f t="shared" si="563"/>
        <v>775262.38011000003</v>
      </c>
      <c r="BZ53" s="20">
        <f t="shared" si="563"/>
        <v>488733.12846100004</v>
      </c>
      <c r="CA53" s="20">
        <f t="shared" si="563"/>
        <v>729384.15952300001</v>
      </c>
      <c r="CB53" s="20">
        <f t="shared" si="563"/>
        <v>1741797.1573620001</v>
      </c>
      <c r="CC53" s="20">
        <f t="shared" si="563"/>
        <v>352239.56717900001</v>
      </c>
      <c r="CD53" s="20">
        <f t="shared" si="563"/>
        <v>796951.10501699999</v>
      </c>
      <c r="CE53" s="20">
        <f t="shared" si="563"/>
        <v>1243969.3204029999</v>
      </c>
      <c r="CF53" s="20">
        <f t="shared" si="563"/>
        <v>756499.74637499999</v>
      </c>
      <c r="CG53" s="20">
        <f t="shared" si="563"/>
        <v>1288407.953773</v>
      </c>
      <c r="CH53" s="20">
        <f t="shared" si="563"/>
        <v>1963331.092308</v>
      </c>
      <c r="CI53" s="20">
        <f t="shared" si="563"/>
        <v>652404.49890700006</v>
      </c>
      <c r="CJ53" s="20">
        <f t="shared" si="563"/>
        <v>900244.82738800009</v>
      </c>
      <c r="CK53" s="20">
        <f t="shared" si="563"/>
        <v>1733191.0102519998</v>
      </c>
      <c r="CL53" s="20">
        <f t="shared" si="563"/>
        <v>821287.15453900001</v>
      </c>
      <c r="CM53" s="20">
        <f t="shared" si="563"/>
        <v>1508498.739326</v>
      </c>
      <c r="CN53" s="20">
        <f t="shared" si="563"/>
        <v>2385162.1684480002</v>
      </c>
      <c r="CO53" s="20">
        <f>SUM(CO8:CO9)</f>
        <v>715974.96875000012</v>
      </c>
      <c r="CP53" s="20">
        <f t="shared" si="563"/>
        <v>1670608.2604166667</v>
      </c>
      <c r="CQ53" s="20">
        <f t="shared" si="563"/>
        <v>2386583.229166667</v>
      </c>
      <c r="CR53" s="20">
        <f t="shared" si="563"/>
        <v>629728.14583333349</v>
      </c>
      <c r="CS53" s="20">
        <f t="shared" si="563"/>
        <v>2518912.583333334</v>
      </c>
      <c r="CT53" s="20">
        <f t="shared" si="563"/>
        <v>3148640.729166667</v>
      </c>
      <c r="CU53" s="20">
        <f t="shared" ref="CU53:FA55" si="564">CU$56*CU59</f>
        <v>569686.5406764315</v>
      </c>
      <c r="CV53" s="20">
        <f t="shared" si="564"/>
        <v>1252049.8658018056</v>
      </c>
      <c r="CW53" s="20">
        <f t="shared" si="564"/>
        <v>2487865.1288500777</v>
      </c>
      <c r="CX53" s="20">
        <f t="shared" si="564"/>
        <v>994746.95699762774</v>
      </c>
      <c r="CY53" s="20">
        <f t="shared" si="564"/>
        <v>1951062.7160315102</v>
      </c>
      <c r="CZ53" s="20">
        <f t="shared" si="564"/>
        <v>2788140.4261120302</v>
      </c>
      <c r="DA53" s="20">
        <f t="shared" si="564"/>
        <v>955187.49957540515</v>
      </c>
      <c r="DB53" s="20">
        <f t="shared" si="564"/>
        <v>1703193.9133428277</v>
      </c>
      <c r="DC53" s="20">
        <f t="shared" si="564"/>
        <v>2994620.0119976336</v>
      </c>
      <c r="DD53" s="20">
        <f t="shared" si="564"/>
        <v>1285894.9776836722</v>
      </c>
      <c r="DE53" s="20">
        <f t="shared" si="564"/>
        <v>3430033.4621036416</v>
      </c>
      <c r="DF53" s="20">
        <f t="shared" si="564"/>
        <v>3939108.5130276331</v>
      </c>
      <c r="DG53" s="20">
        <f t="shared" si="564"/>
        <v>839908.52942758542</v>
      </c>
      <c r="DH53" s="20">
        <f t="shared" si="564"/>
        <v>1774064.441075451</v>
      </c>
      <c r="DI53" s="20">
        <f t="shared" si="564"/>
        <v>3465896.4771379014</v>
      </c>
      <c r="DJ53" s="20">
        <f t="shared" si="564"/>
        <v>1495158.7226017646</v>
      </c>
      <c r="DK53" s="20">
        <f t="shared" si="564"/>
        <v>2804355.7248576786</v>
      </c>
      <c r="DL53" s="20">
        <f t="shared" si="564"/>
        <v>3950315.747308624</v>
      </c>
      <c r="DM53" s="20">
        <f t="shared" si="564"/>
        <v>1307652.4141982016</v>
      </c>
      <c r="DN53" s="20">
        <f t="shared" si="564"/>
        <v>2331673.7641776591</v>
      </c>
      <c r="DO53" s="20">
        <f t="shared" si="564"/>
        <v>4099637.0765275271</v>
      </c>
      <c r="DP53" s="20">
        <f t="shared" si="564"/>
        <v>1567034.6009746187</v>
      </c>
      <c r="DQ53" s="20">
        <f t="shared" si="564"/>
        <v>4502361.8186919475</v>
      </c>
      <c r="DR53" s="20">
        <f t="shared" si="564"/>
        <v>5199285.951016481</v>
      </c>
      <c r="DS53" s="20">
        <f t="shared" si="564"/>
        <v>1123570.1128188118</v>
      </c>
      <c r="DT53" s="20">
        <f t="shared" si="564"/>
        <v>2373217.6949857278</v>
      </c>
      <c r="DU53" s="20">
        <f t="shared" si="564"/>
        <v>4636430.7057223422</v>
      </c>
      <c r="DV53" s="20">
        <f t="shared" si="564"/>
        <v>2000117.3887120683</v>
      </c>
      <c r="DW53" s="20">
        <f t="shared" si="564"/>
        <v>3751468.3656205013</v>
      </c>
      <c r="DX53" s="20">
        <f t="shared" si="564"/>
        <v>5284452.4782935316</v>
      </c>
      <c r="DY53" s="20">
        <f t="shared" si="564"/>
        <v>1749284.7364578866</v>
      </c>
      <c r="DZ53" s="20">
        <f t="shared" si="564"/>
        <v>3119147.9339532382</v>
      </c>
      <c r="EA53" s="20">
        <f t="shared" si="564"/>
        <v>5484203.9712698907</v>
      </c>
      <c r="EB53" s="20">
        <f t="shared" si="564"/>
        <v>2096267.8455092823</v>
      </c>
      <c r="EC53" s="20">
        <f t="shared" si="564"/>
        <v>6022940.5933363251</v>
      </c>
      <c r="ED53" s="20">
        <f t="shared" si="564"/>
        <v>6955236.3119137846</v>
      </c>
      <c r="EE53" s="20">
        <f t="shared" si="564"/>
        <v>1466713.8226038653</v>
      </c>
      <c r="EF53" s="20">
        <f t="shared" si="564"/>
        <v>3098009.7793371738</v>
      </c>
      <c r="EG53" s="20">
        <f t="shared" si="564"/>
        <v>6052418.9154224852</v>
      </c>
      <c r="EH53" s="20">
        <f t="shared" si="564"/>
        <v>2610962.8472534977</v>
      </c>
      <c r="EI53" s="20">
        <f t="shared" si="564"/>
        <v>4897184.8255312499</v>
      </c>
      <c r="EJ53" s="20">
        <f t="shared" si="564"/>
        <v>6898349.6502601206</v>
      </c>
      <c r="EK53" s="20">
        <f t="shared" si="564"/>
        <v>2283524.6980679431</v>
      </c>
      <c r="EL53" s="20">
        <f t="shared" si="564"/>
        <v>4071750.6965346416</v>
      </c>
      <c r="EM53" s="20">
        <f t="shared" si="564"/>
        <v>7159106.2087441841</v>
      </c>
      <c r="EN53" s="20">
        <f t="shared" si="564"/>
        <v>2736478.1154376487</v>
      </c>
      <c r="EO53" s="20">
        <f t="shared" si="564"/>
        <v>7862375.5831362912</v>
      </c>
      <c r="EP53" s="20">
        <f t="shared" si="564"/>
        <v>9079398.8926664833</v>
      </c>
      <c r="EQ53" s="20">
        <f t="shared" si="564"/>
        <v>1865276.3282172927</v>
      </c>
      <c r="ER53" s="20">
        <f t="shared" si="564"/>
        <v>3939858.0806475598</v>
      </c>
      <c r="ES53" s="20">
        <f t="shared" si="564"/>
        <v>7697093.7052668855</v>
      </c>
      <c r="ET53" s="20">
        <f t="shared" si="564"/>
        <v>3320461.781829217</v>
      </c>
      <c r="EU53" s="20">
        <f t="shared" si="564"/>
        <v>6227938.1220746003</v>
      </c>
      <c r="EV53" s="20">
        <f t="shared" si="564"/>
        <v>8772896.326532742</v>
      </c>
      <c r="EW53" s="20">
        <f t="shared" si="564"/>
        <v>2904046.1053567566</v>
      </c>
      <c r="EX53" s="20">
        <f t="shared" si="564"/>
        <v>5178201.8220602851</v>
      </c>
      <c r="EY53" s="20">
        <f t="shared" si="564"/>
        <v>9104510.4618002828</v>
      </c>
      <c r="EZ53" s="20">
        <f t="shared" si="564"/>
        <v>3480084.3714343971</v>
      </c>
      <c r="FA53" s="20">
        <f t="shared" si="564"/>
        <v>9998885.1490756441</v>
      </c>
      <c r="FB53" s="20">
        <f>FB$56*FB59</f>
        <v>11546620.457198154</v>
      </c>
    </row>
    <row r="54" spans="3:158" x14ac:dyDescent="0.25">
      <c r="C54" s="2" t="s">
        <v>608</v>
      </c>
      <c r="D54" s="20">
        <f t="shared" si="526"/>
        <v>6030597.2599999998</v>
      </c>
      <c r="E54" s="20">
        <f t="shared" si="526"/>
        <v>9180662.2200000007</v>
      </c>
      <c r="F54" s="20">
        <f t="shared" si="526"/>
        <v>11664342.087400999</v>
      </c>
      <c r="G54" s="20">
        <f>SUMIF($AY$2:$FB$2,G$2,$AY54:$FB54)</f>
        <v>22673672.14961233</v>
      </c>
      <c r="H54" s="20">
        <f t="shared" si="526"/>
        <v>29282015.16298141</v>
      </c>
      <c r="I54" s="20">
        <f t="shared" si="526"/>
        <v>40609722.365397587</v>
      </c>
      <c r="J54" s="20">
        <f t="shared" si="526"/>
        <v>55141284.929826491</v>
      </c>
      <c r="K54" s="20">
        <f t="shared" si="526"/>
        <v>73242823.212502763</v>
      </c>
      <c r="L54" s="20">
        <f t="shared" si="526"/>
        <v>95073041.560003847</v>
      </c>
      <c r="N54" s="20">
        <f t="shared" si="527"/>
        <v>1150353</v>
      </c>
      <c r="O54" s="20">
        <f t="shared" si="528"/>
        <v>1676894.8299999998</v>
      </c>
      <c r="P54" s="20">
        <f t="shared" si="529"/>
        <v>1322870.46</v>
      </c>
      <c r="Q54" s="20">
        <f t="shared" si="530"/>
        <v>1880478.9699999997</v>
      </c>
      <c r="R54" s="20">
        <f t="shared" si="531"/>
        <v>1836043.26</v>
      </c>
      <c r="S54" s="20">
        <f t="shared" si="532"/>
        <v>1779275.1600000001</v>
      </c>
      <c r="T54" s="20">
        <f t="shared" si="533"/>
        <v>2456014.96</v>
      </c>
      <c r="U54" s="20">
        <f t="shared" si="534"/>
        <v>3109328.84</v>
      </c>
      <c r="V54" s="20">
        <f t="shared" si="535"/>
        <v>2222826.5014289999</v>
      </c>
      <c r="W54" s="20">
        <f t="shared" si="536"/>
        <v>2780478.5739200003</v>
      </c>
      <c r="X54" s="20">
        <f t="shared" si="537"/>
        <v>2514624.2343589999</v>
      </c>
      <c r="Y54" s="20">
        <f t="shared" si="538"/>
        <v>4146412.7776929997</v>
      </c>
      <c r="Z54" s="20">
        <f t="shared" si="539"/>
        <v>2961045.559626</v>
      </c>
      <c r="AA54" s="20">
        <f t="shared" si="540"/>
        <v>4180540.7566530001</v>
      </c>
      <c r="AB54" s="20">
        <f t="shared" si="541"/>
        <v>6249757.291666666</v>
      </c>
      <c r="AC54" s="20">
        <f t="shared" si="542"/>
        <v>9282328.541666666</v>
      </c>
      <c r="AD54" s="20">
        <f t="shared" si="543"/>
        <v>5182159.2528729253</v>
      </c>
      <c r="AE54" s="20">
        <f t="shared" si="544"/>
        <v>6894893.2559521049</v>
      </c>
      <c r="AF54" s="20">
        <f t="shared" si="545"/>
        <v>6797555.0408745278</v>
      </c>
      <c r="AG54" s="20">
        <f t="shared" si="546"/>
        <v>10407407.613281853</v>
      </c>
      <c r="AH54" s="20">
        <f t="shared" si="547"/>
        <v>7406162.91734521</v>
      </c>
      <c r="AI54" s="20">
        <f t="shared" si="548"/>
        <v>10049489.876233025</v>
      </c>
      <c r="AJ54" s="20">
        <f t="shared" si="549"/>
        <v>9427179.8384424131</v>
      </c>
      <c r="AK54" s="20">
        <f t="shared" si="550"/>
        <v>13726889.733376935</v>
      </c>
      <c r="AL54" s="20">
        <f t="shared" si="551"/>
        <v>10056344.044598076</v>
      </c>
      <c r="AM54" s="20">
        <f t="shared" si="552"/>
        <v>13645544.770750288</v>
      </c>
      <c r="AN54" s="20">
        <f t="shared" si="553"/>
        <v>12800550.6878126</v>
      </c>
      <c r="AO54" s="20">
        <f t="shared" si="554"/>
        <v>18638845.42666553</v>
      </c>
      <c r="AP54" s="20">
        <f t="shared" si="555"/>
        <v>13357596.399139974</v>
      </c>
      <c r="AQ54" s="20">
        <f t="shared" si="556"/>
        <v>18125044.139871836</v>
      </c>
      <c r="AR54" s="20">
        <f t="shared" si="557"/>
        <v>17002659.119084276</v>
      </c>
      <c r="AS54" s="20">
        <f t="shared" si="558"/>
        <v>24757523.554406665</v>
      </c>
      <c r="AT54" s="20">
        <f t="shared" si="559"/>
        <v>17338863.548618764</v>
      </c>
      <c r="AU54" s="20">
        <f t="shared" si="560"/>
        <v>23527261.773994304</v>
      </c>
      <c r="AV54" s="20">
        <f t="shared" si="561"/>
        <v>22070346.911249831</v>
      </c>
      <c r="AW54" s="20">
        <f t="shared" si="562"/>
        <v>32136569.326140933</v>
      </c>
      <c r="AY54" s="20">
        <f t="shared" ref="AY54:CT54" si="565">SUM(AY19:AY20)</f>
        <v>144275</v>
      </c>
      <c r="AZ54" s="20">
        <f t="shared" si="565"/>
        <v>272000</v>
      </c>
      <c r="BA54" s="20">
        <f t="shared" si="565"/>
        <v>734078</v>
      </c>
      <c r="BB54" s="20">
        <f t="shared" si="565"/>
        <v>183996.43</v>
      </c>
      <c r="BC54" s="20">
        <f t="shared" si="565"/>
        <v>617946.67999999993</v>
      </c>
      <c r="BD54" s="20">
        <f t="shared" si="565"/>
        <v>874951.72</v>
      </c>
      <c r="BE54" s="20">
        <f t="shared" si="565"/>
        <v>74800</v>
      </c>
      <c r="BF54" s="20">
        <f t="shared" si="565"/>
        <v>410553.46</v>
      </c>
      <c r="BG54" s="20">
        <f t="shared" si="565"/>
        <v>837517</v>
      </c>
      <c r="BH54" s="20">
        <f t="shared" si="565"/>
        <v>291994.67000000004</v>
      </c>
      <c r="BI54" s="20">
        <f t="shared" si="565"/>
        <v>779566.66999999993</v>
      </c>
      <c r="BJ54" s="20">
        <f t="shared" si="565"/>
        <v>808917.63</v>
      </c>
      <c r="BK54" s="20">
        <f t="shared" si="565"/>
        <v>250530</v>
      </c>
      <c r="BL54" s="20">
        <f t="shared" si="565"/>
        <v>230910</v>
      </c>
      <c r="BM54" s="20">
        <f t="shared" si="565"/>
        <v>1354603.26</v>
      </c>
      <c r="BN54" s="20">
        <f t="shared" si="565"/>
        <v>313641</v>
      </c>
      <c r="BO54" s="20">
        <f t="shared" si="565"/>
        <v>618583.33000000007</v>
      </c>
      <c r="BP54" s="20">
        <f t="shared" si="565"/>
        <v>847050.83000000007</v>
      </c>
      <c r="BQ54" s="20">
        <f t="shared" si="565"/>
        <v>276170</v>
      </c>
      <c r="BR54" s="20">
        <f t="shared" si="565"/>
        <v>675110.67</v>
      </c>
      <c r="BS54" s="20">
        <f t="shared" si="565"/>
        <v>1504734.29</v>
      </c>
      <c r="BT54" s="20">
        <f t="shared" si="565"/>
        <v>229050.86</v>
      </c>
      <c r="BU54" s="20">
        <f t="shared" si="565"/>
        <v>1412292.97</v>
      </c>
      <c r="BV54" s="20">
        <f t="shared" si="565"/>
        <v>1467985.01</v>
      </c>
      <c r="BW54" s="20">
        <f t="shared" si="565"/>
        <v>329810</v>
      </c>
      <c r="BX54" s="20">
        <f t="shared" si="565"/>
        <v>630271.85307700001</v>
      </c>
      <c r="BY54" s="20">
        <f t="shared" si="565"/>
        <v>1262744.6483519999</v>
      </c>
      <c r="BZ54" s="20">
        <f t="shared" si="565"/>
        <v>497617.09109900001</v>
      </c>
      <c r="CA54" s="20">
        <f t="shared" si="565"/>
        <v>826567.32000000007</v>
      </c>
      <c r="CB54" s="20">
        <f t="shared" si="565"/>
        <v>1456294.162821</v>
      </c>
      <c r="CC54" s="20">
        <f t="shared" si="565"/>
        <v>459829.8</v>
      </c>
      <c r="CD54" s="20">
        <f t="shared" si="565"/>
        <v>1004198.988974</v>
      </c>
      <c r="CE54" s="20">
        <f t="shared" si="565"/>
        <v>1050595.445385</v>
      </c>
      <c r="CF54" s="20">
        <f t="shared" si="565"/>
        <v>491739.29</v>
      </c>
      <c r="CG54" s="20">
        <f t="shared" si="565"/>
        <v>1480914.1536269998</v>
      </c>
      <c r="CH54" s="20">
        <f t="shared" si="565"/>
        <v>2173759.3340659998</v>
      </c>
      <c r="CI54" s="20">
        <f t="shared" si="565"/>
        <v>285725.43093999999</v>
      </c>
      <c r="CJ54" s="20">
        <f t="shared" si="565"/>
        <v>860957.79</v>
      </c>
      <c r="CK54" s="20">
        <f t="shared" si="565"/>
        <v>1814362.3386860001</v>
      </c>
      <c r="CL54" s="20">
        <f t="shared" si="565"/>
        <v>1036745.0608870001</v>
      </c>
      <c r="CM54" s="20">
        <f t="shared" si="565"/>
        <v>1465546.759296</v>
      </c>
      <c r="CN54" s="20">
        <f t="shared" si="565"/>
        <v>1678248.9364700001</v>
      </c>
      <c r="CO54" s="20">
        <f t="shared" si="565"/>
        <v>937463.59375</v>
      </c>
      <c r="CP54" s="20">
        <f t="shared" si="565"/>
        <v>2187415.0520833335</v>
      </c>
      <c r="CQ54" s="20">
        <f t="shared" si="565"/>
        <v>3124878.645833333</v>
      </c>
      <c r="CR54" s="20">
        <f t="shared" si="565"/>
        <v>928232.85416666663</v>
      </c>
      <c r="CS54" s="20">
        <f t="shared" si="565"/>
        <v>3712931.4166666665</v>
      </c>
      <c r="CT54" s="20">
        <f t="shared" si="565"/>
        <v>4641164.270833333</v>
      </c>
      <c r="CU54" s="20">
        <f t="shared" si="564"/>
        <v>685030.00887728983</v>
      </c>
      <c r="CV54" s="20">
        <f t="shared" si="564"/>
        <v>1505550.2797496654</v>
      </c>
      <c r="CW54" s="20">
        <f t="shared" si="564"/>
        <v>2991578.9642459704</v>
      </c>
      <c r="CX54" s="20">
        <f t="shared" si="564"/>
        <v>1196151.6871604994</v>
      </c>
      <c r="CY54" s="20">
        <f t="shared" si="564"/>
        <v>2346091.0768512189</v>
      </c>
      <c r="CZ54" s="20">
        <f t="shared" si="564"/>
        <v>3352650.4919403861</v>
      </c>
      <c r="DA54" s="20">
        <f t="shared" si="564"/>
        <v>1148582.6934522248</v>
      </c>
      <c r="DB54" s="20">
        <f t="shared" si="564"/>
        <v>2048036.6978507633</v>
      </c>
      <c r="DC54" s="20">
        <f t="shared" si="564"/>
        <v>3600935.6495715394</v>
      </c>
      <c r="DD54" s="20">
        <f t="shared" si="564"/>
        <v>1546247.954062558</v>
      </c>
      <c r="DE54" s="20">
        <f t="shared" si="564"/>
        <v>4124506.5228402847</v>
      </c>
      <c r="DF54" s="20">
        <f t="shared" si="564"/>
        <v>4736653.13637901</v>
      </c>
      <c r="DG54" s="20">
        <f t="shared" si="564"/>
        <v>1023130.4237991754</v>
      </c>
      <c r="DH54" s="20">
        <f t="shared" si="564"/>
        <v>2161067.8304238678</v>
      </c>
      <c r="DI54" s="20">
        <f t="shared" si="564"/>
        <v>4221964.6631221669</v>
      </c>
      <c r="DJ54" s="20">
        <f t="shared" si="564"/>
        <v>1821320.207981609</v>
      </c>
      <c r="DK54" s="20">
        <f t="shared" si="564"/>
        <v>3416112.0654563573</v>
      </c>
      <c r="DL54" s="20">
        <f t="shared" si="564"/>
        <v>4812057.6027950579</v>
      </c>
      <c r="DM54" s="20">
        <f t="shared" si="564"/>
        <v>1592910.3251665107</v>
      </c>
      <c r="DN54" s="20">
        <f t="shared" si="564"/>
        <v>2840316.8713268642</v>
      </c>
      <c r="DO54" s="20">
        <f t="shared" si="564"/>
        <v>4993952.641949038</v>
      </c>
      <c r="DP54" s="20">
        <f t="shared" si="564"/>
        <v>1908875.4539685431</v>
      </c>
      <c r="DQ54" s="20">
        <f t="shared" si="564"/>
        <v>5484529.7961135637</v>
      </c>
      <c r="DR54" s="20">
        <f t="shared" si="564"/>
        <v>6333484.4832948288</v>
      </c>
      <c r="DS54" s="20">
        <f t="shared" si="564"/>
        <v>1389241.8596576173</v>
      </c>
      <c r="DT54" s="20">
        <f t="shared" si="564"/>
        <v>2934372.6095409319</v>
      </c>
      <c r="DU54" s="20">
        <f t="shared" si="564"/>
        <v>5732729.5753995264</v>
      </c>
      <c r="DV54" s="20">
        <f t="shared" si="564"/>
        <v>2473051.5425128425</v>
      </c>
      <c r="DW54" s="20">
        <f t="shared" si="564"/>
        <v>4638515.0594885852</v>
      </c>
      <c r="DX54" s="20">
        <f t="shared" si="564"/>
        <v>6533978.1687488602</v>
      </c>
      <c r="DY54" s="20">
        <f t="shared" si="564"/>
        <v>2162908.7073619347</v>
      </c>
      <c r="DZ54" s="20">
        <f t="shared" si="564"/>
        <v>3856680.4393195854</v>
      </c>
      <c r="EA54" s="20">
        <f t="shared" si="564"/>
        <v>6780961.5411310801</v>
      </c>
      <c r="EB54" s="20">
        <f t="shared" si="564"/>
        <v>2591937.0823504725</v>
      </c>
      <c r="EC54" s="20">
        <f t="shared" si="564"/>
        <v>7447084.160597669</v>
      </c>
      <c r="ED54" s="20">
        <f t="shared" si="564"/>
        <v>8599824.1837173905</v>
      </c>
      <c r="EE54" s="20">
        <f t="shared" si="564"/>
        <v>1845296.0618491627</v>
      </c>
      <c r="EF54" s="20">
        <f t="shared" si="564"/>
        <v>3897655.5325783398</v>
      </c>
      <c r="EG54" s="20">
        <f t="shared" si="564"/>
        <v>7614644.8047124725</v>
      </c>
      <c r="EH54" s="20">
        <f t="shared" si="564"/>
        <v>3284894.0164196007</v>
      </c>
      <c r="EI54" s="20">
        <f t="shared" si="564"/>
        <v>6161226.3642932689</v>
      </c>
      <c r="EJ54" s="20">
        <f t="shared" si="564"/>
        <v>8678923.7591589633</v>
      </c>
      <c r="EK54" s="20">
        <f t="shared" si="564"/>
        <v>2872938.8566062115</v>
      </c>
      <c r="EL54" s="20">
        <f t="shared" si="564"/>
        <v>5122734.516681686</v>
      </c>
      <c r="EM54" s="20">
        <f t="shared" si="564"/>
        <v>9006985.7457963806</v>
      </c>
      <c r="EN54" s="20">
        <f t="shared" si="564"/>
        <v>3442806.777936344</v>
      </c>
      <c r="EO54" s="20">
        <f t="shared" si="564"/>
        <v>9891780.166483704</v>
      </c>
      <c r="EP54" s="20">
        <f t="shared" si="564"/>
        <v>11422936.60998662</v>
      </c>
      <c r="EQ54" s="20">
        <f t="shared" si="564"/>
        <v>2395291.463160709</v>
      </c>
      <c r="ER54" s="20">
        <f t="shared" si="564"/>
        <v>5059362.1351851914</v>
      </c>
      <c r="ES54" s="20">
        <f t="shared" si="564"/>
        <v>9884209.9502728656</v>
      </c>
      <c r="ET54" s="20">
        <f t="shared" si="564"/>
        <v>4263965.4186617611</v>
      </c>
      <c r="EU54" s="20">
        <f t="shared" si="564"/>
        <v>7997596.2763414253</v>
      </c>
      <c r="EV54" s="20">
        <f t="shared" si="564"/>
        <v>11265700.078991119</v>
      </c>
      <c r="EW54" s="20">
        <f t="shared" si="564"/>
        <v>3729225.9273103313</v>
      </c>
      <c r="EX54" s="20">
        <f t="shared" si="564"/>
        <v>6649579.1702661468</v>
      </c>
      <c r="EY54" s="20">
        <f t="shared" si="564"/>
        <v>11691541.813673355</v>
      </c>
      <c r="EZ54" s="20">
        <f t="shared" si="564"/>
        <v>4468944.4989325702</v>
      </c>
      <c r="FA54" s="20">
        <f t="shared" si="564"/>
        <v>12840051.565762023</v>
      </c>
      <c r="FB54" s="20">
        <f t="shared" ref="FB54:FB55" si="566">FB$56*FB60</f>
        <v>14827573.261446342</v>
      </c>
    </row>
    <row r="55" spans="3:158" x14ac:dyDescent="0.25">
      <c r="C55" s="2" t="s">
        <v>313</v>
      </c>
      <c r="D55" s="29">
        <f t="shared" si="526"/>
        <v>6721877.4699999997</v>
      </c>
      <c r="E55" s="29">
        <f t="shared" si="526"/>
        <v>9274278.6800000016</v>
      </c>
      <c r="F55" s="29">
        <f t="shared" si="526"/>
        <v>9826059.4840660002</v>
      </c>
      <c r="G55" s="29">
        <f t="shared" si="526"/>
        <v>22187333.855294</v>
      </c>
      <c r="H55" s="29">
        <f t="shared" si="526"/>
        <v>33866394.824818276</v>
      </c>
      <c r="I55" s="29">
        <f t="shared" si="526"/>
        <v>55115432.366606966</v>
      </c>
      <c r="J55" s="29">
        <f t="shared" si="526"/>
        <v>87403001.931580096</v>
      </c>
      <c r="K55" s="29">
        <f t="shared" si="526"/>
        <v>135216293.37750167</v>
      </c>
      <c r="L55" s="29">
        <f t="shared" si="526"/>
        <v>204236632.6035023</v>
      </c>
      <c r="N55" s="29">
        <f t="shared" si="527"/>
        <v>1140841.5</v>
      </c>
      <c r="O55" s="29">
        <f t="shared" si="528"/>
        <v>1417259.97</v>
      </c>
      <c r="P55" s="29">
        <f t="shared" si="529"/>
        <v>1419960.5</v>
      </c>
      <c r="Q55" s="29">
        <f t="shared" si="530"/>
        <v>2743815.5</v>
      </c>
      <c r="R55" s="29">
        <f t="shared" si="531"/>
        <v>1694188</v>
      </c>
      <c r="S55" s="29">
        <f t="shared" si="532"/>
        <v>3339426.33</v>
      </c>
      <c r="T55" s="29">
        <f t="shared" si="533"/>
        <v>1534939.5899999999</v>
      </c>
      <c r="U55" s="29">
        <f t="shared" si="534"/>
        <v>2705724.76</v>
      </c>
      <c r="V55" s="29">
        <f t="shared" si="535"/>
        <v>1512531.81</v>
      </c>
      <c r="W55" s="29">
        <f t="shared" si="536"/>
        <v>2370512.63</v>
      </c>
      <c r="X55" s="29">
        <f t="shared" si="537"/>
        <v>3244790.88</v>
      </c>
      <c r="Y55" s="29">
        <f t="shared" si="538"/>
        <v>2698224.1640659999</v>
      </c>
      <c r="Z55" s="29">
        <f t="shared" si="539"/>
        <v>2821758.3499999996</v>
      </c>
      <c r="AA55" s="29">
        <f t="shared" si="540"/>
        <v>5291621.7552940007</v>
      </c>
      <c r="AB55" s="29">
        <f t="shared" si="541"/>
        <v>6275776.25</v>
      </c>
      <c r="AC55" s="29">
        <f t="shared" si="542"/>
        <v>7798177.5</v>
      </c>
      <c r="AD55" s="29">
        <f t="shared" si="543"/>
        <v>5993475.8699513897</v>
      </c>
      <c r="AE55" s="29">
        <f t="shared" si="544"/>
        <v>7974354.7696898319</v>
      </c>
      <c r="AF55" s="29">
        <f t="shared" si="545"/>
        <v>7861777.3256508112</v>
      </c>
      <c r="AG55" s="29">
        <f t="shared" si="546"/>
        <v>12036786.859526245</v>
      </c>
      <c r="AH55" s="29">
        <f t="shared" si="547"/>
        <v>10051629.205788985</v>
      </c>
      <c r="AI55" s="29">
        <f t="shared" si="548"/>
        <v>13639147.163053989</v>
      </c>
      <c r="AJ55" s="29">
        <f t="shared" si="549"/>
        <v>12794549.249029979</v>
      </c>
      <c r="AK55" s="29">
        <f t="shared" si="550"/>
        <v>18630106.748734012</v>
      </c>
      <c r="AL55" s="29">
        <f t="shared" si="551"/>
        <v>15940046.719498985</v>
      </c>
      <c r="AM55" s="29">
        <f t="shared" si="552"/>
        <v>21629194.486003481</v>
      </c>
      <c r="AN55" s="29">
        <f t="shared" si="553"/>
        <v>20289816.566951264</v>
      </c>
      <c r="AO55" s="29">
        <f t="shared" si="554"/>
        <v>29543944.159126364</v>
      </c>
      <c r="AP55" s="29">
        <f t="shared" si="555"/>
        <v>24659954.304110624</v>
      </c>
      <c r="AQ55" s="29">
        <f t="shared" si="556"/>
        <v>33461316.459449615</v>
      </c>
      <c r="AR55" s="29">
        <f t="shared" si="557"/>
        <v>31389239.830002911</v>
      </c>
      <c r="AS55" s="29">
        <f t="shared" si="558"/>
        <v>45705782.783938497</v>
      </c>
      <c r="AT55" s="29">
        <f t="shared" si="559"/>
        <v>37247478.846109256</v>
      </c>
      <c r="AU55" s="29">
        <f t="shared" si="560"/>
        <v>50541443.08688198</v>
      </c>
      <c r="AV55" s="29">
        <f t="shared" si="561"/>
        <v>47411687.472940385</v>
      </c>
      <c r="AW55" s="29">
        <f t="shared" si="562"/>
        <v>69036023.197570696</v>
      </c>
      <c r="AY55" s="29">
        <f t="shared" ref="AY55:CT55" si="567">SUM(AY30:AY31)</f>
        <v>15000</v>
      </c>
      <c r="AZ55" s="29">
        <f t="shared" si="567"/>
        <v>346457.82999999996</v>
      </c>
      <c r="BA55" s="29">
        <f t="shared" si="567"/>
        <v>779383.67</v>
      </c>
      <c r="BB55" s="29">
        <f t="shared" si="567"/>
        <v>273065</v>
      </c>
      <c r="BC55" s="29">
        <f t="shared" si="567"/>
        <v>554716.97</v>
      </c>
      <c r="BD55" s="29">
        <f t="shared" si="567"/>
        <v>589478</v>
      </c>
      <c r="BE55" s="29">
        <f t="shared" si="567"/>
        <v>383150</v>
      </c>
      <c r="BF55" s="29">
        <f t="shared" si="567"/>
        <v>218659.5</v>
      </c>
      <c r="BG55" s="29">
        <f t="shared" si="567"/>
        <v>818151</v>
      </c>
      <c r="BH55" s="29">
        <f t="shared" si="567"/>
        <v>407585.5</v>
      </c>
      <c r="BI55" s="29">
        <f t="shared" si="567"/>
        <v>1358350</v>
      </c>
      <c r="BJ55" s="29">
        <f t="shared" si="567"/>
        <v>977880</v>
      </c>
      <c r="BK55" s="29">
        <f t="shared" si="567"/>
        <v>192150</v>
      </c>
      <c r="BL55" s="29">
        <f t="shared" si="567"/>
        <v>486881</v>
      </c>
      <c r="BM55" s="29">
        <f t="shared" si="567"/>
        <v>1015157</v>
      </c>
      <c r="BN55" s="29">
        <f t="shared" si="567"/>
        <v>409045.23</v>
      </c>
      <c r="BO55" s="29">
        <f t="shared" si="567"/>
        <v>1720465.86</v>
      </c>
      <c r="BP55" s="29">
        <f t="shared" si="567"/>
        <v>1209915.24</v>
      </c>
      <c r="BQ55" s="29">
        <f t="shared" si="567"/>
        <v>496000.23</v>
      </c>
      <c r="BR55" s="29">
        <f t="shared" si="567"/>
        <v>197811</v>
      </c>
      <c r="BS55" s="29">
        <f t="shared" si="567"/>
        <v>841128.36</v>
      </c>
      <c r="BT55" s="29">
        <f t="shared" si="567"/>
        <v>138500</v>
      </c>
      <c r="BU55" s="29">
        <f t="shared" si="567"/>
        <v>914732</v>
      </c>
      <c r="BV55" s="29">
        <f t="shared" si="567"/>
        <v>1652492.76</v>
      </c>
      <c r="BW55" s="29">
        <f t="shared" si="567"/>
        <v>484242.64</v>
      </c>
      <c r="BX55" s="29">
        <f t="shared" si="567"/>
        <v>615207</v>
      </c>
      <c r="BY55" s="29">
        <f t="shared" si="567"/>
        <v>413082.17</v>
      </c>
      <c r="BZ55" s="29">
        <f t="shared" si="567"/>
        <v>695900.01</v>
      </c>
      <c r="CA55" s="29">
        <f t="shared" si="567"/>
        <v>370544.06</v>
      </c>
      <c r="CB55" s="29">
        <f t="shared" si="567"/>
        <v>1304068.56</v>
      </c>
      <c r="CC55" s="29">
        <f t="shared" si="567"/>
        <v>238018.28000000003</v>
      </c>
      <c r="CD55" s="29">
        <f t="shared" si="567"/>
        <v>1553708.4900000002</v>
      </c>
      <c r="CE55" s="29">
        <f t="shared" si="567"/>
        <v>1453064.1099999999</v>
      </c>
      <c r="CF55" s="29">
        <f t="shared" si="567"/>
        <v>335430.93978000002</v>
      </c>
      <c r="CG55" s="29">
        <f t="shared" si="567"/>
        <v>1147906.724286</v>
      </c>
      <c r="CH55" s="29">
        <f t="shared" si="567"/>
        <v>1214886.5</v>
      </c>
      <c r="CI55" s="29">
        <f t="shared" si="567"/>
        <v>529115.01</v>
      </c>
      <c r="CJ55" s="29">
        <f t="shared" si="567"/>
        <v>487330.75</v>
      </c>
      <c r="CK55" s="29">
        <f t="shared" si="567"/>
        <v>1805312.5899999999</v>
      </c>
      <c r="CL55" s="29">
        <f t="shared" si="567"/>
        <v>748195.79</v>
      </c>
      <c r="CM55" s="29">
        <f t="shared" si="567"/>
        <v>1251737.3052940001</v>
      </c>
      <c r="CN55" s="29">
        <f t="shared" si="567"/>
        <v>3291688.66</v>
      </c>
      <c r="CO55" s="29">
        <f t="shared" si="567"/>
        <v>941366.4375</v>
      </c>
      <c r="CP55" s="29">
        <f t="shared" si="567"/>
        <v>2196521.6875</v>
      </c>
      <c r="CQ55" s="29">
        <f t="shared" si="567"/>
        <v>3137888.125</v>
      </c>
      <c r="CR55" s="29">
        <f t="shared" si="567"/>
        <v>779817.75</v>
      </c>
      <c r="CS55" s="29">
        <f t="shared" si="567"/>
        <v>3119271</v>
      </c>
      <c r="CT55" s="29">
        <f t="shared" si="567"/>
        <v>3899088.7499999995</v>
      </c>
      <c r="CU55" s="29">
        <f t="shared" si="564"/>
        <v>792278.01154942648</v>
      </c>
      <c r="CV55" s="29">
        <f t="shared" si="564"/>
        <v>1741258.5820622316</v>
      </c>
      <c r="CW55" s="29">
        <f t="shared" si="564"/>
        <v>3459939.2763397316</v>
      </c>
      <c r="CX55" s="29">
        <f t="shared" si="564"/>
        <v>1383420.6792899375</v>
      </c>
      <c r="CY55" s="29">
        <f t="shared" si="564"/>
        <v>2713394.0837539239</v>
      </c>
      <c r="CZ55" s="29">
        <f t="shared" si="564"/>
        <v>3877540.0066459705</v>
      </c>
      <c r="DA55" s="29">
        <f t="shared" si="564"/>
        <v>1328404.3044476637</v>
      </c>
      <c r="DB55" s="29">
        <f t="shared" si="564"/>
        <v>2368676.4397559655</v>
      </c>
      <c r="DC55" s="29">
        <f t="shared" si="564"/>
        <v>4164696.5814471818</v>
      </c>
      <c r="DD55" s="29">
        <f t="shared" si="564"/>
        <v>1788327.8667088267</v>
      </c>
      <c r="DE55" s="29">
        <f t="shared" si="564"/>
        <v>4770237.4847696591</v>
      </c>
      <c r="DF55" s="29">
        <f t="shared" si="564"/>
        <v>5478221.5080477595</v>
      </c>
      <c r="DG55" s="29">
        <f t="shared" si="564"/>
        <v>1388590.5244003825</v>
      </c>
      <c r="DH55" s="29">
        <f t="shared" si="564"/>
        <v>2932996.8517308929</v>
      </c>
      <c r="DI55" s="29">
        <f t="shared" si="564"/>
        <v>5730041.8296577083</v>
      </c>
      <c r="DJ55" s="29">
        <f t="shared" si="564"/>
        <v>2471892.0715025212</v>
      </c>
      <c r="DK55" s="29">
        <f t="shared" si="564"/>
        <v>4636340.3277250296</v>
      </c>
      <c r="DL55" s="29">
        <f t="shared" si="564"/>
        <v>6530914.7638264392</v>
      </c>
      <c r="DM55" s="29">
        <f t="shared" si="564"/>
        <v>2161894.6444113469</v>
      </c>
      <c r="DN55" s="29">
        <f t="shared" si="564"/>
        <v>3854872.2646460733</v>
      </c>
      <c r="DO55" s="29">
        <f t="shared" si="564"/>
        <v>6777782.3399725584</v>
      </c>
      <c r="DP55" s="29">
        <f t="shared" si="564"/>
        <v>2590721.8727780478</v>
      </c>
      <c r="DQ55" s="29">
        <f t="shared" si="564"/>
        <v>7443592.6530220285</v>
      </c>
      <c r="DR55" s="29">
        <f t="shared" si="564"/>
        <v>8595792.222933935</v>
      </c>
      <c r="DS55" s="29">
        <f t="shared" si="564"/>
        <v>2202050.7700829292</v>
      </c>
      <c r="DT55" s="29">
        <f t="shared" si="564"/>
        <v>4651196.9241571464</v>
      </c>
      <c r="DU55" s="29">
        <f t="shared" si="564"/>
        <v>9086799.025258908</v>
      </c>
      <c r="DV55" s="29">
        <f t="shared" si="564"/>
        <v>3919969.0217996384</v>
      </c>
      <c r="DW55" s="29">
        <f t="shared" si="564"/>
        <v>7352388.3460475579</v>
      </c>
      <c r="DX55" s="29">
        <f t="shared" si="564"/>
        <v>10356837.118156284</v>
      </c>
      <c r="DY55" s="29">
        <f t="shared" si="564"/>
        <v>3428369.7626554645</v>
      </c>
      <c r="DZ55" s="29">
        <f t="shared" si="564"/>
        <v>6113122.8319455404</v>
      </c>
      <c r="EA55" s="29">
        <f t="shared" si="564"/>
        <v>10748323.972350258</v>
      </c>
      <c r="EB55" s="29">
        <f t="shared" si="564"/>
        <v>4108411.3673359994</v>
      </c>
      <c r="EC55" s="29">
        <f t="shared" si="564"/>
        <v>11804177.434415938</v>
      </c>
      <c r="ED55" s="29">
        <f t="shared" si="564"/>
        <v>13631355.357374428</v>
      </c>
      <c r="EE55" s="29">
        <f t="shared" si="564"/>
        <v>3406669.5236940579</v>
      </c>
      <c r="EF55" s="29">
        <f t="shared" si="564"/>
        <v>7195606.488958912</v>
      </c>
      <c r="EG55" s="29">
        <f t="shared" si="564"/>
        <v>14057678.291457651</v>
      </c>
      <c r="EH55" s="29">
        <f t="shared" si="564"/>
        <v>6064364.719386884</v>
      </c>
      <c r="EI55" s="29">
        <f t="shared" si="564"/>
        <v>11374468.5840737</v>
      </c>
      <c r="EJ55" s="29">
        <f t="shared" si="564"/>
        <v>16022483.155989032</v>
      </c>
      <c r="EK55" s="29">
        <f t="shared" si="564"/>
        <v>5303839.0145531287</v>
      </c>
      <c r="EL55" s="29">
        <f t="shared" si="564"/>
        <v>9457270.2542198431</v>
      </c>
      <c r="EM55" s="29">
        <f t="shared" si="564"/>
        <v>16628130.561229942</v>
      </c>
      <c r="EN55" s="29">
        <f t="shared" si="564"/>
        <v>6355893.3272799579</v>
      </c>
      <c r="EO55" s="29">
        <f t="shared" si="564"/>
        <v>18261582.368778661</v>
      </c>
      <c r="EP55" s="29">
        <f t="shared" si="564"/>
        <v>21088307.087879881</v>
      </c>
      <c r="EQ55" s="29">
        <f t="shared" si="564"/>
        <v>5145583.3800279172</v>
      </c>
      <c r="ER55" s="29">
        <f t="shared" si="564"/>
        <v>10868560.305391446</v>
      </c>
      <c r="ES55" s="29">
        <f t="shared" si="564"/>
        <v>21233335.160689898</v>
      </c>
      <c r="ET55" s="29">
        <f t="shared" si="564"/>
        <v>9159883.0157929976</v>
      </c>
      <c r="EU55" s="29">
        <f t="shared" si="564"/>
        <v>17180497.285041481</v>
      </c>
      <c r="EV55" s="29">
        <f t="shared" si="564"/>
        <v>24201062.7860475</v>
      </c>
      <c r="EW55" s="29">
        <f t="shared" si="564"/>
        <v>8011151.5642511081</v>
      </c>
      <c r="EX55" s="29">
        <f t="shared" si="564"/>
        <v>14284676.662084209</v>
      </c>
      <c r="EY55" s="29">
        <f t="shared" si="564"/>
        <v>25115859.246605068</v>
      </c>
      <c r="EZ55" s="29">
        <f t="shared" si="564"/>
        <v>9600220.6385485623</v>
      </c>
      <c r="FA55" s="29">
        <f t="shared" si="564"/>
        <v>27583096.650920451</v>
      </c>
      <c r="FB55" s="29">
        <f t="shared" si="566"/>
        <v>31852705.908101685</v>
      </c>
    </row>
    <row r="56" spans="3:158" x14ac:dyDescent="0.25">
      <c r="C56" s="310" t="s">
        <v>308</v>
      </c>
      <c r="D56" s="20">
        <f>SUM(D53:D55)</f>
        <v>18909925.299999997</v>
      </c>
      <c r="E56" s="20">
        <f t="shared" ref="E56:G56" si="568">SUM(E53:E55)</f>
        <v>27736807.890914999</v>
      </c>
      <c r="F56" s="20">
        <f t="shared" si="568"/>
        <v>32341969.564102001</v>
      </c>
      <c r="G56" s="20">
        <f t="shared" si="568"/>
        <v>63932242.320433006</v>
      </c>
      <c r="H56" s="20">
        <f t="shared" ref="H56" si="569">SUM(H53:H55)</f>
        <v>87499999.99999997</v>
      </c>
      <c r="I56" s="20">
        <f t="shared" ref="I56" si="570">SUM(I53:I55)</f>
        <v>129062499.99999999</v>
      </c>
      <c r="J56" s="20">
        <f t="shared" ref="J56" si="571">SUM(J53:J55)</f>
        <v>187140624.99999997</v>
      </c>
      <c r="K56" s="20">
        <f t="shared" ref="K56" si="572">SUM(K53:K55)</f>
        <v>266675390.625</v>
      </c>
      <c r="L56" s="20">
        <f t="shared" ref="L56" si="573">SUM(L53:L55)</f>
        <v>373345546.875</v>
      </c>
      <c r="N56" s="20">
        <f>SUM(N53:N55)</f>
        <v>3412608.1</v>
      </c>
      <c r="O56" s="20">
        <f t="shared" ref="O56:AW56" si="574">SUM(O53:O55)</f>
        <v>4179978.8</v>
      </c>
      <c r="P56" s="20">
        <f t="shared" si="574"/>
        <v>4303066.46</v>
      </c>
      <c r="Q56" s="20">
        <f t="shared" si="574"/>
        <v>7014271.9399999995</v>
      </c>
      <c r="R56" s="20">
        <f t="shared" si="574"/>
        <v>5688324.29</v>
      </c>
      <c r="S56" s="20">
        <f t="shared" si="574"/>
        <v>7504547.8499999996</v>
      </c>
      <c r="T56" s="20">
        <f t="shared" si="574"/>
        <v>6013138.3099999996</v>
      </c>
      <c r="U56" s="20">
        <f t="shared" si="574"/>
        <v>8530797.4409149997</v>
      </c>
      <c r="V56" s="20">
        <f t="shared" si="574"/>
        <v>5225613.073663</v>
      </c>
      <c r="W56" s="20">
        <f t="shared" si="574"/>
        <v>8110905.6492659999</v>
      </c>
      <c r="X56" s="20">
        <f t="shared" si="574"/>
        <v>8152575.1069579991</v>
      </c>
      <c r="Y56" s="20">
        <f t="shared" si="574"/>
        <v>10852875.734214999</v>
      </c>
      <c r="Z56" s="20">
        <f t="shared" si="574"/>
        <v>9068644.246173</v>
      </c>
      <c r="AA56" s="20">
        <f t="shared" si="574"/>
        <v>14187110.57426</v>
      </c>
      <c r="AB56" s="20">
        <f t="shared" si="574"/>
        <v>17298700</v>
      </c>
      <c r="AC56" s="20">
        <f t="shared" si="574"/>
        <v>23377787.5</v>
      </c>
      <c r="AD56" s="20">
        <f t="shared" si="574"/>
        <v>15485236.658152629</v>
      </c>
      <c r="AE56" s="20">
        <f t="shared" si="574"/>
        <v>20603198.124783106</v>
      </c>
      <c r="AF56" s="20">
        <f t="shared" si="574"/>
        <v>20312333.791441206</v>
      </c>
      <c r="AG56" s="20">
        <f t="shared" si="574"/>
        <v>31099231.425623044</v>
      </c>
      <c r="AH56" s="20">
        <f t="shared" si="574"/>
        <v>23537661.570775133</v>
      </c>
      <c r="AI56" s="20">
        <f t="shared" si="574"/>
        <v>31938467.23405508</v>
      </c>
      <c r="AJ56" s="20">
        <f t="shared" si="574"/>
        <v>29960692.342375778</v>
      </c>
      <c r="AK56" s="20">
        <f t="shared" si="574"/>
        <v>43625678.852793992</v>
      </c>
      <c r="AL56" s="20">
        <f t="shared" si="574"/>
        <v>34129609.277623944</v>
      </c>
      <c r="AM56" s="20">
        <f t="shared" si="574"/>
        <v>46310777.489379868</v>
      </c>
      <c r="AN56" s="20">
        <f t="shared" si="574"/>
        <v>43443003.896444879</v>
      </c>
      <c r="AO56" s="20">
        <f t="shared" si="574"/>
        <v>63257234.336551286</v>
      </c>
      <c r="AP56" s="20">
        <f t="shared" si="574"/>
        <v>48634693.22061412</v>
      </c>
      <c r="AQ56" s="20">
        <f t="shared" si="574"/>
        <v>65992857.922366321</v>
      </c>
      <c r="AR56" s="20">
        <f t="shared" si="574"/>
        <v>61906280.552433953</v>
      </c>
      <c r="AS56" s="20">
        <f t="shared" si="574"/>
        <v>90141558.929585576</v>
      </c>
      <c r="AT56" s="20">
        <f t="shared" si="574"/>
        <v>68088570.508859754</v>
      </c>
      <c r="AU56" s="20">
        <f t="shared" si="574"/>
        <v>92390001.091312841</v>
      </c>
      <c r="AV56" s="20">
        <f t="shared" si="574"/>
        <v>86668792.773407549</v>
      </c>
      <c r="AW56" s="20">
        <f t="shared" si="574"/>
        <v>126198182.50141983</v>
      </c>
      <c r="AY56" s="20">
        <f t="shared" ref="AY56:CT56" si="575">SUM(AY53:AY55)</f>
        <v>247639</v>
      </c>
      <c r="AZ56" s="20">
        <f t="shared" si="575"/>
        <v>1082032.83</v>
      </c>
      <c r="BA56" s="20">
        <f t="shared" si="575"/>
        <v>2082936.27</v>
      </c>
      <c r="BB56" s="20">
        <f t="shared" si="575"/>
        <v>656601.42999999993</v>
      </c>
      <c r="BC56" s="20">
        <f t="shared" si="575"/>
        <v>1521663.65</v>
      </c>
      <c r="BD56" s="20">
        <f t="shared" si="575"/>
        <v>2001713.72</v>
      </c>
      <c r="BE56" s="20">
        <f t="shared" si="575"/>
        <v>778126.66999999993</v>
      </c>
      <c r="BF56" s="20">
        <f t="shared" si="575"/>
        <v>1114502.46</v>
      </c>
      <c r="BG56" s="20">
        <f t="shared" si="575"/>
        <v>2410437.33</v>
      </c>
      <c r="BH56" s="20">
        <f t="shared" si="575"/>
        <v>1197012.17</v>
      </c>
      <c r="BI56" s="20">
        <f t="shared" si="575"/>
        <v>3090129.67</v>
      </c>
      <c r="BJ56" s="20">
        <f t="shared" si="575"/>
        <v>2727130.1</v>
      </c>
      <c r="BK56" s="20">
        <f t="shared" si="575"/>
        <v>787013.33000000007</v>
      </c>
      <c r="BL56" s="20">
        <f t="shared" si="575"/>
        <v>1407691.33</v>
      </c>
      <c r="BM56" s="20">
        <f t="shared" si="575"/>
        <v>3493619.63</v>
      </c>
      <c r="BN56" s="20">
        <f t="shared" si="575"/>
        <v>1326125.76</v>
      </c>
      <c r="BO56" s="20">
        <f t="shared" si="575"/>
        <v>3115569.38</v>
      </c>
      <c r="BP56" s="20">
        <f t="shared" si="575"/>
        <v>3062852.71</v>
      </c>
      <c r="BQ56" s="20">
        <f t="shared" si="575"/>
        <v>1222005.3999999999</v>
      </c>
      <c r="BR56" s="20">
        <f t="shared" si="575"/>
        <v>1307988.67</v>
      </c>
      <c r="BS56" s="20">
        <f t="shared" si="575"/>
        <v>3483144.2399999998</v>
      </c>
      <c r="BT56" s="20">
        <f t="shared" si="575"/>
        <v>797405.54</v>
      </c>
      <c r="BU56" s="20">
        <f t="shared" si="575"/>
        <v>3345936.4699999997</v>
      </c>
      <c r="BV56" s="20">
        <f t="shared" si="575"/>
        <v>4387455.4309149999</v>
      </c>
      <c r="BW56" s="20">
        <f t="shared" si="575"/>
        <v>1103269.5</v>
      </c>
      <c r="BX56" s="20">
        <f t="shared" si="575"/>
        <v>1671254.3752009999</v>
      </c>
      <c r="BY56" s="20">
        <f t="shared" si="575"/>
        <v>2451089.1984620001</v>
      </c>
      <c r="BZ56" s="20">
        <f t="shared" si="575"/>
        <v>1682250.2295600001</v>
      </c>
      <c r="CA56" s="20">
        <f t="shared" si="575"/>
        <v>1926495.5395230001</v>
      </c>
      <c r="CB56" s="20">
        <f t="shared" si="575"/>
        <v>4502159.8801830001</v>
      </c>
      <c r="CC56" s="20">
        <f t="shared" si="575"/>
        <v>1050087.6471790001</v>
      </c>
      <c r="CD56" s="20">
        <f t="shared" si="575"/>
        <v>3354858.5839910004</v>
      </c>
      <c r="CE56" s="20">
        <f t="shared" si="575"/>
        <v>3747628.8757879999</v>
      </c>
      <c r="CF56" s="20">
        <f t="shared" si="575"/>
        <v>1583669.9761549998</v>
      </c>
      <c r="CG56" s="20">
        <f t="shared" si="575"/>
        <v>3917228.8316860003</v>
      </c>
      <c r="CH56" s="20">
        <f t="shared" si="575"/>
        <v>5351976.9263739996</v>
      </c>
      <c r="CI56" s="20">
        <f t="shared" si="575"/>
        <v>1467244.9398469999</v>
      </c>
      <c r="CJ56" s="20">
        <f t="shared" si="575"/>
        <v>2248533.3673880002</v>
      </c>
      <c r="CK56" s="20">
        <f t="shared" si="575"/>
        <v>5352865.9389379993</v>
      </c>
      <c r="CL56" s="20">
        <f t="shared" si="575"/>
        <v>2606228.0054259999</v>
      </c>
      <c r="CM56" s="20">
        <f t="shared" si="575"/>
        <v>4225782.8039159998</v>
      </c>
      <c r="CN56" s="20">
        <f t="shared" si="575"/>
        <v>7355099.7649180004</v>
      </c>
      <c r="CO56" s="20">
        <f t="shared" si="575"/>
        <v>2594805</v>
      </c>
      <c r="CP56" s="20">
        <f t="shared" si="575"/>
        <v>6054545</v>
      </c>
      <c r="CQ56" s="20">
        <f t="shared" si="575"/>
        <v>8649350</v>
      </c>
      <c r="CR56" s="20">
        <f t="shared" si="575"/>
        <v>2337778.75</v>
      </c>
      <c r="CS56" s="20">
        <f t="shared" si="575"/>
        <v>9351115</v>
      </c>
      <c r="CT56" s="20">
        <f t="shared" si="575"/>
        <v>11688893.75</v>
      </c>
      <c r="CU56" s="20">
        <f>Forecast!CU21</f>
        <v>2046994.5611031482</v>
      </c>
      <c r="CV56" s="20">
        <f>Forecast!CV21</f>
        <v>4498858.7276137033</v>
      </c>
      <c r="CW56" s="20">
        <f>Forecast!CW21</f>
        <v>8939383.3694357816</v>
      </c>
      <c r="CX56" s="20">
        <f>Forecast!CX21</f>
        <v>3574319.3234480652</v>
      </c>
      <c r="CY56" s="20">
        <f>Forecast!CY21</f>
        <v>7010547.8766366541</v>
      </c>
      <c r="CZ56" s="20">
        <f>Forecast!CZ21</f>
        <v>10018330.924698388</v>
      </c>
      <c r="DA56" s="20">
        <f>Forecast!DA21</f>
        <v>3432174.4974752944</v>
      </c>
      <c r="DB56" s="20">
        <f>Forecast!DB21</f>
        <v>6119907.0509495577</v>
      </c>
      <c r="DC56" s="20">
        <f>Forecast!DC21</f>
        <v>10760252.243016357</v>
      </c>
      <c r="DD56" s="20">
        <f>Forecast!DD21</f>
        <v>4620470.7984550577</v>
      </c>
      <c r="DE56" s="20">
        <f>Forecast!DE21</f>
        <v>12324777.469713587</v>
      </c>
      <c r="DF56" s="20">
        <f>Forecast!DF21</f>
        <v>14153983.157454405</v>
      </c>
      <c r="DG56" s="20">
        <f>Forecast!DG21</f>
        <v>3251629.4776271442</v>
      </c>
      <c r="DH56" s="20">
        <f>Forecast!DH21</f>
        <v>6868129.1232302133</v>
      </c>
      <c r="DI56" s="20">
        <f>Forecast!DI21</f>
        <v>13417902.96991778</v>
      </c>
      <c r="DJ56" s="20">
        <f>Forecast!DJ21</f>
        <v>5788371.0020858962</v>
      </c>
      <c r="DK56" s="20">
        <f>Forecast!DK21</f>
        <v>10856808.118039068</v>
      </c>
      <c r="DL56" s="20">
        <f>Forecast!DL21</f>
        <v>15293288.113930125</v>
      </c>
      <c r="DM56" s="20">
        <f>Forecast!DM21</f>
        <v>5062457.3837760603</v>
      </c>
      <c r="DN56" s="20">
        <f>Forecast!DN21</f>
        <v>9026862.900150599</v>
      </c>
      <c r="DO56" s="20">
        <f>Forecast!DO21</f>
        <v>15871372.058449127</v>
      </c>
      <c r="DP56" s="20">
        <f>Forecast!DP21</f>
        <v>6066631.9277212108</v>
      </c>
      <c r="DQ56" s="20">
        <f>Forecast!DQ21</f>
        <v>17430484.267827544</v>
      </c>
      <c r="DR56" s="20">
        <f>Forecast!DR21</f>
        <v>20128562.657245249</v>
      </c>
      <c r="DS56" s="20">
        <f>Forecast!DS21</f>
        <v>4714862.7425593594</v>
      </c>
      <c r="DT56" s="20">
        <f>Forecast!DT21</f>
        <v>9958787.2286838088</v>
      </c>
      <c r="DU56" s="20">
        <f>Forecast!DU21</f>
        <v>19455959.306380782</v>
      </c>
      <c r="DV56" s="20">
        <f>Forecast!DV21</f>
        <v>8393137.9530245513</v>
      </c>
      <c r="DW56" s="20">
        <f>Forecast!DW21</f>
        <v>15742371.771156648</v>
      </c>
      <c r="DX56" s="20">
        <f>Forecast!DX21</f>
        <v>22175267.765198682</v>
      </c>
      <c r="DY56" s="20">
        <f>Forecast!DY21</f>
        <v>7340563.2064752877</v>
      </c>
      <c r="DZ56" s="20">
        <f>Forecast!DZ21</f>
        <v>13088951.205218367</v>
      </c>
      <c r="EA56" s="20">
        <f>Forecast!EA21</f>
        <v>23013489.484751236</v>
      </c>
      <c r="EB56" s="20">
        <f>Forecast!EB21</f>
        <v>8796616.2951957565</v>
      </c>
      <c r="EC56" s="20">
        <f>Forecast!EC21</f>
        <v>25274202.18834994</v>
      </c>
      <c r="ED56" s="20">
        <f>Forecast!ED21</f>
        <v>29186415.85300561</v>
      </c>
      <c r="EE56" s="20">
        <f>Forecast!EE21</f>
        <v>6718679.4081470873</v>
      </c>
      <c r="EF56" s="20">
        <f>Forecast!EF21</f>
        <v>14191271.800874429</v>
      </c>
      <c r="EG56" s="20">
        <f>Forecast!EG21</f>
        <v>27724742.011592615</v>
      </c>
      <c r="EH56" s="20">
        <f>Forecast!EH21</f>
        <v>11960221.583059985</v>
      </c>
      <c r="EI56" s="20">
        <f>Forecast!EI21</f>
        <v>22432879.773898225</v>
      </c>
      <c r="EJ56" s="20">
        <f>Forecast!EJ21</f>
        <v>31599756.565408122</v>
      </c>
      <c r="EK56" s="20">
        <f>Forecast!EK21</f>
        <v>10460302.569227286</v>
      </c>
      <c r="EL56" s="20">
        <f>Forecast!EL21</f>
        <v>18651755.467436176</v>
      </c>
      <c r="EM56" s="20">
        <f>Forecast!EM21</f>
        <v>32794222.515770514</v>
      </c>
      <c r="EN56" s="20">
        <f>Forecast!EN21</f>
        <v>12535178.220653953</v>
      </c>
      <c r="EO56" s="20">
        <f>Forecast!EO21</f>
        <v>36015738.118398666</v>
      </c>
      <c r="EP56" s="20">
        <f>Forecast!EP21</f>
        <v>41590642.590532996</v>
      </c>
      <c r="EQ56" s="20">
        <f>Forecast!EQ21</f>
        <v>9406151.1714059208</v>
      </c>
      <c r="ER56" s="20">
        <f>Forecast!ER21</f>
        <v>19867780.521224201</v>
      </c>
      <c r="ES56" s="20">
        <f>Forecast!ES21</f>
        <v>38814638.816229656</v>
      </c>
      <c r="ET56" s="20">
        <f>Forecast!ET21</f>
        <v>16744310.216283979</v>
      </c>
      <c r="EU56" s="20">
        <f>Forecast!EU21</f>
        <v>31406031.683457512</v>
      </c>
      <c r="EV56" s="20">
        <f>Forecast!EV21</f>
        <v>44239659.19157137</v>
      </c>
      <c r="EW56" s="20">
        <f>Forecast!EW21</f>
        <v>14644423.596918199</v>
      </c>
      <c r="EX56" s="20">
        <f>Forecast!EX21</f>
        <v>26112457.654410645</v>
      </c>
      <c r="EY56" s="20">
        <f>Forecast!EY21</f>
        <v>45911911.522078715</v>
      </c>
      <c r="EZ56" s="20">
        <f>Forecast!EZ21</f>
        <v>17549249.508915532</v>
      </c>
      <c r="FA56" s="20">
        <f>Forecast!FA21</f>
        <v>50422033.365758128</v>
      </c>
      <c r="FB56" s="20">
        <f>Forecast!FB21</f>
        <v>58226899.626746193</v>
      </c>
    </row>
    <row r="58" spans="3:158" x14ac:dyDescent="0.25">
      <c r="C58" s="1" t="s">
        <v>625</v>
      </c>
    </row>
    <row r="59" spans="3:158" x14ac:dyDescent="0.25">
      <c r="C59" s="2" t="s">
        <v>607</v>
      </c>
      <c r="D59" s="19">
        <f>D53/D$56</f>
        <v>0.32562003669046752</v>
      </c>
      <c r="E59" s="19">
        <f t="shared" ref="E59:G59" si="576">E53/E$56</f>
        <v>0.33464077868726966</v>
      </c>
      <c r="F59" s="19">
        <f t="shared" si="576"/>
        <v>0.33552588598932165</v>
      </c>
      <c r="G59" s="19">
        <f t="shared" si="576"/>
        <v>0.2983038858537177</v>
      </c>
      <c r="H59" s="250">
        <f>G59-2%</f>
        <v>0.27830388585371768</v>
      </c>
      <c r="I59" s="250">
        <f t="shared" ref="I59:L59" si="577">H59-2%</f>
        <v>0.25830388585371766</v>
      </c>
      <c r="J59" s="250">
        <f t="shared" si="577"/>
        <v>0.23830388585371767</v>
      </c>
      <c r="K59" s="250">
        <f t="shared" si="577"/>
        <v>0.21830388585371768</v>
      </c>
      <c r="L59" s="250">
        <f t="shared" si="577"/>
        <v>0.19830388585371769</v>
      </c>
      <c r="N59" s="60">
        <f>IFERROR(N53/N$56,"")</f>
        <v>0.32860896040186977</v>
      </c>
      <c r="O59" s="60">
        <f t="shared" ref="O59:AC59" si="578">IFERROR(O53/O$56,"")</f>
        <v>0.2597678246597806</v>
      </c>
      <c r="P59" s="60">
        <f t="shared" si="578"/>
        <v>0.36258689344063721</v>
      </c>
      <c r="Q59" s="60">
        <f t="shared" si="578"/>
        <v>0.34073065464867047</v>
      </c>
      <c r="R59" s="60">
        <f t="shared" si="578"/>
        <v>0.37938994332547105</v>
      </c>
      <c r="S59" s="60">
        <f t="shared" si="578"/>
        <v>0.3179200676293909</v>
      </c>
      <c r="T59" s="60">
        <f t="shared" si="578"/>
        <v>0.33629423701049049</v>
      </c>
      <c r="U59" s="60">
        <f t="shared" si="578"/>
        <v>0.31834583574682951</v>
      </c>
      <c r="V59" s="60">
        <f t="shared" si="578"/>
        <v>0.28518276061135456</v>
      </c>
      <c r="W59" s="60">
        <f t="shared" si="578"/>
        <v>0.36493020303026935</v>
      </c>
      <c r="X59" s="60">
        <f t="shared" si="578"/>
        <v>0.29354651275233312</v>
      </c>
      <c r="Y59" s="60">
        <f t="shared" si="578"/>
        <v>0.36932504256171883</v>
      </c>
      <c r="Z59" s="60">
        <f t="shared" si="578"/>
        <v>0.3623298309373682</v>
      </c>
      <c r="AA59" s="60">
        <f t="shared" si="578"/>
        <v>0.3323402632011227</v>
      </c>
      <c r="AB59" s="60">
        <f t="shared" si="578"/>
        <v>0.2759263099731965</v>
      </c>
      <c r="AC59" s="60">
        <f t="shared" si="578"/>
        <v>0.26937029256225953</v>
      </c>
      <c r="AD59" s="60">
        <f t="shared" ref="AD59:AW59" si="579">IFERROR(AD53/AD$56,"")</f>
        <v>0.27830388585371774</v>
      </c>
      <c r="AE59" s="60">
        <f t="shared" si="579"/>
        <v>0.27830388585371768</v>
      </c>
      <c r="AF59" s="60">
        <f t="shared" si="579"/>
        <v>0.27830388585371774</v>
      </c>
      <c r="AG59" s="60">
        <f t="shared" si="579"/>
        <v>0.27830388585371768</v>
      </c>
      <c r="AH59" s="60">
        <f t="shared" si="579"/>
        <v>0.25830388585371772</v>
      </c>
      <c r="AI59" s="60">
        <f t="shared" si="579"/>
        <v>0.25830388585371772</v>
      </c>
      <c r="AJ59" s="60">
        <f t="shared" si="579"/>
        <v>0.25830388585371772</v>
      </c>
      <c r="AK59" s="60">
        <f t="shared" si="579"/>
        <v>0.25830388585371777</v>
      </c>
      <c r="AL59" s="60">
        <f t="shared" si="579"/>
        <v>0.23830388585371773</v>
      </c>
      <c r="AM59" s="60">
        <f t="shared" si="579"/>
        <v>0.23830388585371773</v>
      </c>
      <c r="AN59" s="60">
        <f t="shared" si="579"/>
        <v>0.23830388585371773</v>
      </c>
      <c r="AO59" s="60">
        <f t="shared" si="579"/>
        <v>0.23830388585371776</v>
      </c>
      <c r="AP59" s="60">
        <f t="shared" si="579"/>
        <v>0.21830388585371771</v>
      </c>
      <c r="AQ59" s="60">
        <f t="shared" si="579"/>
        <v>0.21830388585371771</v>
      </c>
      <c r="AR59" s="60">
        <f t="shared" si="579"/>
        <v>0.21830388585371774</v>
      </c>
      <c r="AS59" s="60">
        <f t="shared" si="579"/>
        <v>0.21830388585371774</v>
      </c>
      <c r="AT59" s="60">
        <f t="shared" si="579"/>
        <v>0.19830388585371775</v>
      </c>
      <c r="AU59" s="60">
        <f t="shared" si="579"/>
        <v>0.19830388585371775</v>
      </c>
      <c r="AV59" s="60">
        <f t="shared" si="579"/>
        <v>0.19830388585371769</v>
      </c>
      <c r="AW59" s="60">
        <f t="shared" si="579"/>
        <v>0.19830388585371772</v>
      </c>
      <c r="AX59" s="61"/>
      <c r="AY59" s="60">
        <f t="shared" ref="AY59:CT59" si="580">IFERROR(AY53/AY$56,"")</f>
        <v>0.35682586345446393</v>
      </c>
      <c r="AZ59" s="60">
        <f t="shared" si="580"/>
        <v>0.42842969930958563</v>
      </c>
      <c r="BA59" s="60">
        <f t="shared" si="580"/>
        <v>0.27339991539923592</v>
      </c>
      <c r="BB59" s="60">
        <f t="shared" si="580"/>
        <v>0.30389821112634496</v>
      </c>
      <c r="BC59" s="60">
        <f t="shared" si="580"/>
        <v>0.22935423344048472</v>
      </c>
      <c r="BD59" s="60">
        <f t="shared" si="580"/>
        <v>0.26841200848640834</v>
      </c>
      <c r="BE59" s="60">
        <f t="shared" si="580"/>
        <v>0.41147114260972445</v>
      </c>
      <c r="BF59" s="60">
        <f t="shared" si="580"/>
        <v>0.43543151981916667</v>
      </c>
      <c r="BG59" s="60">
        <f t="shared" si="580"/>
        <v>0.31312547337623581</v>
      </c>
      <c r="BH59" s="60">
        <f t="shared" si="580"/>
        <v>0.41556135557084606</v>
      </c>
      <c r="BI59" s="60">
        <f t="shared" si="580"/>
        <v>0.30814661573732599</v>
      </c>
      <c r="BJ59" s="60">
        <f t="shared" si="580"/>
        <v>0.34480660456939694</v>
      </c>
      <c r="BK59" s="60">
        <f t="shared" si="580"/>
        <v>0.4375190570152096</v>
      </c>
      <c r="BL59" s="60">
        <f t="shared" si="580"/>
        <v>0.49009347098841616</v>
      </c>
      <c r="BM59" s="60">
        <f t="shared" si="580"/>
        <v>0.32168910443178389</v>
      </c>
      <c r="BN59" s="60">
        <f t="shared" si="580"/>
        <v>0.45503944512773814</v>
      </c>
      <c r="BO59" s="60">
        <f t="shared" si="580"/>
        <v>0.24923861268658379</v>
      </c>
      <c r="BP59" s="60">
        <f t="shared" si="580"/>
        <v>0.32841495665653475</v>
      </c>
      <c r="BQ59" s="60">
        <f t="shared" si="580"/>
        <v>0.36811226038772005</v>
      </c>
      <c r="BR59" s="60">
        <f t="shared" si="580"/>
        <v>0.33262291178714876</v>
      </c>
      <c r="BS59" s="60">
        <f t="shared" si="580"/>
        <v>0.32651004714062609</v>
      </c>
      <c r="BT59" s="60">
        <f t="shared" si="580"/>
        <v>0.5390665833598296</v>
      </c>
      <c r="BU59" s="60">
        <f t="shared" si="580"/>
        <v>0.30452207002005632</v>
      </c>
      <c r="BV59" s="60">
        <f t="shared" si="580"/>
        <v>0.28877277065599111</v>
      </c>
      <c r="BW59" s="60">
        <f t="shared" si="580"/>
        <v>0.26214525100168179</v>
      </c>
      <c r="BX59" s="60">
        <f t="shared" si="580"/>
        <v>0.25476404336879743</v>
      </c>
      <c r="BY59" s="60">
        <f t="shared" si="580"/>
        <v>0.31629300989799092</v>
      </c>
      <c r="BZ59" s="60">
        <f t="shared" si="580"/>
        <v>0.29052344287022647</v>
      </c>
      <c r="CA59" s="60">
        <f t="shared" si="580"/>
        <v>0.37860672114693572</v>
      </c>
      <c r="CB59" s="60">
        <f t="shared" si="580"/>
        <v>0.38688034270591048</v>
      </c>
      <c r="CC59" s="60">
        <f t="shared" si="580"/>
        <v>0.33543825424979645</v>
      </c>
      <c r="CD59" s="60">
        <f t="shared" si="580"/>
        <v>0.23755132595453027</v>
      </c>
      <c r="CE59" s="60">
        <f t="shared" si="580"/>
        <v>0.33193503456006834</v>
      </c>
      <c r="CF59" s="60">
        <f t="shared" si="580"/>
        <v>0.47768774919362272</v>
      </c>
      <c r="CG59" s="60">
        <f t="shared" si="580"/>
        <v>0.328908013581239</v>
      </c>
      <c r="CH59" s="60">
        <f t="shared" si="580"/>
        <v>0.36684221911213843</v>
      </c>
      <c r="CI59" s="60">
        <f t="shared" si="580"/>
        <v>0.44464593551437359</v>
      </c>
      <c r="CJ59" s="60">
        <f t="shared" si="580"/>
        <v>0.40036978790035299</v>
      </c>
      <c r="CK59" s="60">
        <f t="shared" si="580"/>
        <v>0.32378748693188125</v>
      </c>
      <c r="CL59" s="60">
        <f t="shared" si="580"/>
        <v>0.31512482899774413</v>
      </c>
      <c r="CM59" s="60">
        <f t="shared" si="580"/>
        <v>0.35697498175440678</v>
      </c>
      <c r="CN59" s="60">
        <f t="shared" si="580"/>
        <v>0.32428685465622525</v>
      </c>
      <c r="CO59" s="60">
        <f t="shared" si="580"/>
        <v>0.2759263099731965</v>
      </c>
      <c r="CP59" s="60">
        <f t="shared" si="580"/>
        <v>0.27592630997319645</v>
      </c>
      <c r="CQ59" s="60">
        <f t="shared" si="580"/>
        <v>0.2759263099731965</v>
      </c>
      <c r="CR59" s="60">
        <f t="shared" si="580"/>
        <v>0.26937029256225958</v>
      </c>
      <c r="CS59" s="60">
        <f t="shared" si="580"/>
        <v>0.26937029256225958</v>
      </c>
      <c r="CT59" s="60">
        <f t="shared" si="580"/>
        <v>0.26937029256225953</v>
      </c>
      <c r="CU59" s="85">
        <f t="shared" ref="CU59:DG61" si="581">INDEX($D59:$L59,1,MATCH(CU$2,$D$2:$L$2,0))</f>
        <v>0.27830388585371768</v>
      </c>
      <c r="CV59" s="85">
        <f t="shared" si="581"/>
        <v>0.27830388585371768</v>
      </c>
      <c r="CW59" s="85">
        <f t="shared" si="581"/>
        <v>0.27830388585371768</v>
      </c>
      <c r="CX59" s="85">
        <f t="shared" si="581"/>
        <v>0.27830388585371768</v>
      </c>
      <c r="CY59" s="85">
        <f t="shared" si="581"/>
        <v>0.27830388585371768</v>
      </c>
      <c r="CZ59" s="85">
        <f t="shared" si="581"/>
        <v>0.27830388585371768</v>
      </c>
      <c r="DA59" s="85">
        <f t="shared" si="581"/>
        <v>0.27830388585371768</v>
      </c>
      <c r="DB59" s="85">
        <f t="shared" si="581"/>
        <v>0.27830388585371768</v>
      </c>
      <c r="DC59" s="85">
        <f t="shared" si="581"/>
        <v>0.27830388585371768</v>
      </c>
      <c r="DD59" s="85">
        <f t="shared" si="581"/>
        <v>0.27830388585371768</v>
      </c>
      <c r="DE59" s="85">
        <f t="shared" si="581"/>
        <v>0.27830388585371768</v>
      </c>
      <c r="DF59" s="85">
        <f t="shared" si="581"/>
        <v>0.27830388585371768</v>
      </c>
      <c r="DG59" s="85">
        <f>INDEX($D59:$L59,1,MATCH(DG$2,$D$2:$L$2,0))</f>
        <v>0.25830388585371766</v>
      </c>
      <c r="DH59" s="85">
        <f t="shared" ref="DH59:FB61" si="582">INDEX($D59:$L59,1,MATCH(DH$2,$D$2:$L$2,0))</f>
        <v>0.25830388585371766</v>
      </c>
      <c r="DI59" s="85">
        <f t="shared" si="582"/>
        <v>0.25830388585371766</v>
      </c>
      <c r="DJ59" s="85">
        <f t="shared" si="582"/>
        <v>0.25830388585371766</v>
      </c>
      <c r="DK59" s="85">
        <f t="shared" si="582"/>
        <v>0.25830388585371766</v>
      </c>
      <c r="DL59" s="85">
        <f t="shared" si="582"/>
        <v>0.25830388585371766</v>
      </c>
      <c r="DM59" s="85">
        <f t="shared" si="582"/>
        <v>0.25830388585371766</v>
      </c>
      <c r="DN59" s="85">
        <f t="shared" si="582"/>
        <v>0.25830388585371766</v>
      </c>
      <c r="DO59" s="85">
        <f t="shared" si="582"/>
        <v>0.25830388585371766</v>
      </c>
      <c r="DP59" s="85">
        <f t="shared" si="582"/>
        <v>0.25830388585371766</v>
      </c>
      <c r="DQ59" s="85">
        <f t="shared" si="582"/>
        <v>0.25830388585371766</v>
      </c>
      <c r="DR59" s="85">
        <f t="shared" si="582"/>
        <v>0.25830388585371766</v>
      </c>
      <c r="DS59" s="85">
        <f t="shared" si="582"/>
        <v>0.23830388585371767</v>
      </c>
      <c r="DT59" s="85">
        <f t="shared" si="582"/>
        <v>0.23830388585371767</v>
      </c>
      <c r="DU59" s="85">
        <f t="shared" si="582"/>
        <v>0.23830388585371767</v>
      </c>
      <c r="DV59" s="85">
        <f t="shared" si="582"/>
        <v>0.23830388585371767</v>
      </c>
      <c r="DW59" s="85">
        <f t="shared" si="582"/>
        <v>0.23830388585371767</v>
      </c>
      <c r="DX59" s="85">
        <f t="shared" si="582"/>
        <v>0.23830388585371767</v>
      </c>
      <c r="DY59" s="85">
        <f t="shared" si="582"/>
        <v>0.23830388585371767</v>
      </c>
      <c r="DZ59" s="85">
        <f t="shared" si="582"/>
        <v>0.23830388585371767</v>
      </c>
      <c r="EA59" s="85">
        <f t="shared" si="582"/>
        <v>0.23830388585371767</v>
      </c>
      <c r="EB59" s="85">
        <f t="shared" si="582"/>
        <v>0.23830388585371767</v>
      </c>
      <c r="EC59" s="85">
        <f t="shared" si="582"/>
        <v>0.23830388585371767</v>
      </c>
      <c r="ED59" s="85">
        <f t="shared" si="582"/>
        <v>0.23830388585371767</v>
      </c>
      <c r="EE59" s="85">
        <f t="shared" si="582"/>
        <v>0.21830388585371768</v>
      </c>
      <c r="EF59" s="85">
        <f t="shared" si="582"/>
        <v>0.21830388585371768</v>
      </c>
      <c r="EG59" s="85">
        <f t="shared" si="582"/>
        <v>0.21830388585371768</v>
      </c>
      <c r="EH59" s="85">
        <f t="shared" si="582"/>
        <v>0.21830388585371768</v>
      </c>
      <c r="EI59" s="85">
        <f t="shared" si="582"/>
        <v>0.21830388585371768</v>
      </c>
      <c r="EJ59" s="85">
        <f t="shared" si="582"/>
        <v>0.21830388585371768</v>
      </c>
      <c r="EK59" s="85">
        <f t="shared" si="582"/>
        <v>0.21830388585371768</v>
      </c>
      <c r="EL59" s="85">
        <f t="shared" si="582"/>
        <v>0.21830388585371768</v>
      </c>
      <c r="EM59" s="85">
        <f t="shared" si="582"/>
        <v>0.21830388585371768</v>
      </c>
      <c r="EN59" s="85">
        <f t="shared" si="582"/>
        <v>0.21830388585371768</v>
      </c>
      <c r="EO59" s="85">
        <f t="shared" si="582"/>
        <v>0.21830388585371768</v>
      </c>
      <c r="EP59" s="85">
        <f t="shared" si="582"/>
        <v>0.21830388585371768</v>
      </c>
      <c r="EQ59" s="85">
        <f t="shared" si="582"/>
        <v>0.19830388585371769</v>
      </c>
      <c r="ER59" s="85">
        <f t="shared" si="582"/>
        <v>0.19830388585371769</v>
      </c>
      <c r="ES59" s="85">
        <f t="shared" si="582"/>
        <v>0.19830388585371769</v>
      </c>
      <c r="ET59" s="85">
        <f t="shared" si="582"/>
        <v>0.19830388585371769</v>
      </c>
      <c r="EU59" s="85">
        <f t="shared" si="582"/>
        <v>0.19830388585371769</v>
      </c>
      <c r="EV59" s="85">
        <f t="shared" si="582"/>
        <v>0.19830388585371769</v>
      </c>
      <c r="EW59" s="85">
        <f t="shared" si="582"/>
        <v>0.19830388585371769</v>
      </c>
      <c r="EX59" s="85">
        <f t="shared" si="582"/>
        <v>0.19830388585371769</v>
      </c>
      <c r="EY59" s="85">
        <f t="shared" si="582"/>
        <v>0.19830388585371769</v>
      </c>
      <c r="EZ59" s="85">
        <f t="shared" si="582"/>
        <v>0.19830388585371769</v>
      </c>
      <c r="FA59" s="85">
        <f t="shared" si="582"/>
        <v>0.19830388585371769</v>
      </c>
      <c r="FB59" s="85">
        <f t="shared" si="582"/>
        <v>0.19830388585371769</v>
      </c>
    </row>
    <row r="60" spans="3:158" x14ac:dyDescent="0.25">
      <c r="C60" s="2" t="s">
        <v>608</v>
      </c>
      <c r="D60" s="19">
        <f t="shared" ref="D60:G62" si="583">D54/D$56</f>
        <v>0.31891174419393398</v>
      </c>
      <c r="E60" s="19">
        <f t="shared" si="583"/>
        <v>0.33099202532988892</v>
      </c>
      <c r="F60" s="19">
        <f t="shared" si="583"/>
        <v>0.36065651673693511</v>
      </c>
      <c r="G60" s="19">
        <f t="shared" si="583"/>
        <v>0.35465160186264472</v>
      </c>
      <c r="H60" s="250">
        <f>G60-2%</f>
        <v>0.3346516018626447</v>
      </c>
      <c r="I60" s="250">
        <f t="shared" ref="I60:L60" si="584">H60-2%</f>
        <v>0.31465160186264468</v>
      </c>
      <c r="J60" s="250">
        <f t="shared" si="584"/>
        <v>0.29465160186264466</v>
      </c>
      <c r="K60" s="250">
        <f t="shared" si="584"/>
        <v>0.27465160186264465</v>
      </c>
      <c r="L60" s="250">
        <f t="shared" si="584"/>
        <v>0.25465160186264463</v>
      </c>
      <c r="N60" s="60">
        <f t="shared" ref="N60:AC60" si="585">IFERROR(N54/N$56,"")</f>
        <v>0.33708910202727349</v>
      </c>
      <c r="O60" s="60">
        <f t="shared" si="585"/>
        <v>0.40117304661927949</v>
      </c>
      <c r="P60" s="60">
        <f t="shared" si="585"/>
        <v>0.30742505891949434</v>
      </c>
      <c r="Q60" s="60">
        <f t="shared" si="585"/>
        <v>0.26809325131469025</v>
      </c>
      <c r="R60" s="60">
        <f t="shared" si="585"/>
        <v>0.32277401329381661</v>
      </c>
      <c r="S60" s="60">
        <f t="shared" si="585"/>
        <v>0.23709291959541576</v>
      </c>
      <c r="T60" s="60">
        <f t="shared" si="585"/>
        <v>0.40844145492472467</v>
      </c>
      <c r="U60" s="60">
        <f t="shared" si="585"/>
        <v>0.36448278857111138</v>
      </c>
      <c r="V60" s="60">
        <f t="shared" si="585"/>
        <v>0.42537142916914522</v>
      </c>
      <c r="W60" s="60">
        <f t="shared" si="585"/>
        <v>0.34280741191603198</v>
      </c>
      <c r="X60" s="60">
        <f t="shared" si="585"/>
        <v>0.30844539318783304</v>
      </c>
      <c r="Y60" s="60">
        <f t="shared" si="585"/>
        <v>0.38205659764636701</v>
      </c>
      <c r="Z60" s="60">
        <f t="shared" si="585"/>
        <v>0.32651468943393297</v>
      </c>
      <c r="AA60" s="60">
        <f t="shared" si="585"/>
        <v>0.29467175396784817</v>
      </c>
      <c r="AB60" s="60">
        <f t="shared" si="585"/>
        <v>0.36128479548559522</v>
      </c>
      <c r="AC60" s="60">
        <f t="shared" si="585"/>
        <v>0.39705761469799766</v>
      </c>
      <c r="AD60" s="60">
        <f t="shared" ref="AD60:AW60" si="586">IFERROR(AD54/AD$56,"")</f>
        <v>0.33465160186264475</v>
      </c>
      <c r="AE60" s="60">
        <f t="shared" si="586"/>
        <v>0.33465160186264475</v>
      </c>
      <c r="AF60" s="60">
        <f t="shared" si="586"/>
        <v>0.33465160186264475</v>
      </c>
      <c r="AG60" s="60">
        <f t="shared" si="586"/>
        <v>0.33465160186264475</v>
      </c>
      <c r="AH60" s="60">
        <f t="shared" si="586"/>
        <v>0.31465160186264474</v>
      </c>
      <c r="AI60" s="60">
        <f t="shared" si="586"/>
        <v>0.31465160186264479</v>
      </c>
      <c r="AJ60" s="60">
        <f t="shared" si="586"/>
        <v>0.31465160186264479</v>
      </c>
      <c r="AK60" s="60">
        <f t="shared" si="586"/>
        <v>0.31465160186264474</v>
      </c>
      <c r="AL60" s="60">
        <f t="shared" si="586"/>
        <v>0.29465160186264472</v>
      </c>
      <c r="AM60" s="60">
        <f t="shared" si="586"/>
        <v>0.29465160186264477</v>
      </c>
      <c r="AN60" s="60">
        <f t="shared" si="586"/>
        <v>0.29465160186264472</v>
      </c>
      <c r="AO60" s="60">
        <f t="shared" si="586"/>
        <v>0.29465160186264472</v>
      </c>
      <c r="AP60" s="60">
        <f t="shared" si="586"/>
        <v>0.2746516018626447</v>
      </c>
      <c r="AQ60" s="60">
        <f t="shared" si="586"/>
        <v>0.27465160186264476</v>
      </c>
      <c r="AR60" s="60">
        <f t="shared" si="586"/>
        <v>0.27465160186264476</v>
      </c>
      <c r="AS60" s="60">
        <f t="shared" si="586"/>
        <v>0.2746516018626447</v>
      </c>
      <c r="AT60" s="60">
        <f t="shared" si="586"/>
        <v>0.25465160186264468</v>
      </c>
      <c r="AU60" s="60">
        <f t="shared" si="586"/>
        <v>0.25465160186264468</v>
      </c>
      <c r="AV60" s="60">
        <f t="shared" si="586"/>
        <v>0.25465160186264463</v>
      </c>
      <c r="AW60" s="60">
        <f t="shared" si="586"/>
        <v>0.25465160186264468</v>
      </c>
      <c r="AY60" s="60">
        <f t="shared" ref="AY60:CT60" si="587">IFERROR(AY54/AY$56,"")</f>
        <v>0.58260209417741149</v>
      </c>
      <c r="AZ60" s="60">
        <f t="shared" si="587"/>
        <v>0.25137869430449722</v>
      </c>
      <c r="BA60" s="60">
        <f t="shared" si="587"/>
        <v>0.35242460874715098</v>
      </c>
      <c r="BB60" s="60">
        <f t="shared" si="587"/>
        <v>0.28022544818399192</v>
      </c>
      <c r="BC60" s="60">
        <f t="shared" si="587"/>
        <v>0.40609938996702721</v>
      </c>
      <c r="BD60" s="60">
        <f t="shared" si="587"/>
        <v>0.43710132535835344</v>
      </c>
      <c r="BE60" s="60">
        <f t="shared" si="587"/>
        <v>9.6128307747117836E-2</v>
      </c>
      <c r="BF60" s="60">
        <f t="shared" si="587"/>
        <v>0.36837375845720433</v>
      </c>
      <c r="BG60" s="60">
        <f t="shared" si="587"/>
        <v>0.34745437667114126</v>
      </c>
      <c r="BH60" s="60">
        <f t="shared" si="587"/>
        <v>0.24393625839242725</v>
      </c>
      <c r="BI60" s="60">
        <f t="shared" si="587"/>
        <v>0.25227636159358968</v>
      </c>
      <c r="BJ60" s="60">
        <f t="shared" si="587"/>
        <v>0.29661864316630876</v>
      </c>
      <c r="BK60" s="60">
        <f t="shared" si="587"/>
        <v>0.31833005928883057</v>
      </c>
      <c r="BL60" s="60">
        <f t="shared" si="587"/>
        <v>0.16403454015732269</v>
      </c>
      <c r="BM60" s="60">
        <f t="shared" si="587"/>
        <v>0.38773633178835787</v>
      </c>
      <c r="BN60" s="60">
        <f t="shared" si="587"/>
        <v>0.23650924328624759</v>
      </c>
      <c r="BO60" s="60">
        <f t="shared" si="587"/>
        <v>0.19854583690895053</v>
      </c>
      <c r="BP60" s="60">
        <f t="shared" si="587"/>
        <v>0.27655617497845664</v>
      </c>
      <c r="BQ60" s="60">
        <f t="shared" si="587"/>
        <v>0.22599736465976339</v>
      </c>
      <c r="BR60" s="60">
        <f t="shared" si="587"/>
        <v>0.51614412684476851</v>
      </c>
      <c r="BS60" s="60">
        <f t="shared" si="587"/>
        <v>0.43200458732653579</v>
      </c>
      <c r="BT60" s="60">
        <f t="shared" si="587"/>
        <v>0.28724513250810868</v>
      </c>
      <c r="BU60" s="60">
        <f t="shared" si="587"/>
        <v>0.42209198610396809</v>
      </c>
      <c r="BV60" s="60">
        <f t="shared" si="587"/>
        <v>0.33458687686175609</v>
      </c>
      <c r="BW60" s="60">
        <f t="shared" si="587"/>
        <v>0.29893874524764802</v>
      </c>
      <c r="BX60" s="60">
        <f t="shared" si="587"/>
        <v>0.37712502802046394</v>
      </c>
      <c r="BY60" s="60">
        <f t="shared" si="587"/>
        <v>0.51517694629160871</v>
      </c>
      <c r="BZ60" s="60">
        <f t="shared" si="587"/>
        <v>0.29580444238022419</v>
      </c>
      <c r="CA60" s="60">
        <f t="shared" si="587"/>
        <v>0.42905228849097565</v>
      </c>
      <c r="CB60" s="60">
        <f t="shared" si="587"/>
        <v>0.32346567016225236</v>
      </c>
      <c r="CC60" s="60">
        <f t="shared" si="587"/>
        <v>0.43789659009446136</v>
      </c>
      <c r="CD60" s="60">
        <f t="shared" si="587"/>
        <v>0.29932677155631005</v>
      </c>
      <c r="CE60" s="60">
        <f t="shared" si="587"/>
        <v>0.2803360418563578</v>
      </c>
      <c r="CF60" s="60">
        <f t="shared" si="587"/>
        <v>0.31050616441810447</v>
      </c>
      <c r="CG60" s="60">
        <f t="shared" si="587"/>
        <v>0.37805147905786368</v>
      </c>
      <c r="CH60" s="60">
        <f t="shared" si="587"/>
        <v>0.40616007205747362</v>
      </c>
      <c r="CI60" s="60">
        <f t="shared" si="587"/>
        <v>0.19473601385859585</v>
      </c>
      <c r="CJ60" s="60">
        <f t="shared" si="587"/>
        <v>0.38289749331144157</v>
      </c>
      <c r="CK60" s="60">
        <f t="shared" si="587"/>
        <v>0.33895157461125708</v>
      </c>
      <c r="CL60" s="60">
        <f t="shared" si="587"/>
        <v>0.39779522694429009</v>
      </c>
      <c r="CM60" s="60">
        <f t="shared" si="587"/>
        <v>0.34681071586023998</v>
      </c>
      <c r="CN60" s="60">
        <f t="shared" si="587"/>
        <v>0.22817487051295085</v>
      </c>
      <c r="CO60" s="60">
        <f t="shared" si="587"/>
        <v>0.36128479548559528</v>
      </c>
      <c r="CP60" s="60">
        <f t="shared" si="587"/>
        <v>0.36128479548559528</v>
      </c>
      <c r="CQ60" s="60">
        <f t="shared" si="587"/>
        <v>0.36128479548559522</v>
      </c>
      <c r="CR60" s="60">
        <f t="shared" si="587"/>
        <v>0.39705761469799766</v>
      </c>
      <c r="CS60" s="60">
        <f t="shared" si="587"/>
        <v>0.39705761469799766</v>
      </c>
      <c r="CT60" s="60">
        <f t="shared" si="587"/>
        <v>0.39705761469799766</v>
      </c>
      <c r="CU60" s="85">
        <f t="shared" si="581"/>
        <v>0.3346516018626447</v>
      </c>
      <c r="CV60" s="85">
        <f t="shared" si="581"/>
        <v>0.3346516018626447</v>
      </c>
      <c r="CW60" s="85">
        <f t="shared" si="581"/>
        <v>0.3346516018626447</v>
      </c>
      <c r="CX60" s="85">
        <f t="shared" si="581"/>
        <v>0.3346516018626447</v>
      </c>
      <c r="CY60" s="85">
        <f t="shared" si="581"/>
        <v>0.3346516018626447</v>
      </c>
      <c r="CZ60" s="85">
        <f t="shared" si="581"/>
        <v>0.3346516018626447</v>
      </c>
      <c r="DA60" s="85">
        <f t="shared" si="581"/>
        <v>0.3346516018626447</v>
      </c>
      <c r="DB60" s="85">
        <f t="shared" si="581"/>
        <v>0.3346516018626447</v>
      </c>
      <c r="DC60" s="85">
        <f t="shared" si="581"/>
        <v>0.3346516018626447</v>
      </c>
      <c r="DD60" s="85">
        <f t="shared" si="581"/>
        <v>0.3346516018626447</v>
      </c>
      <c r="DE60" s="85">
        <f t="shared" si="581"/>
        <v>0.3346516018626447</v>
      </c>
      <c r="DF60" s="85">
        <f t="shared" si="581"/>
        <v>0.3346516018626447</v>
      </c>
      <c r="DG60" s="85">
        <f t="shared" si="581"/>
        <v>0.31465160186264468</v>
      </c>
      <c r="DH60" s="85">
        <f t="shared" si="582"/>
        <v>0.31465160186264468</v>
      </c>
      <c r="DI60" s="85">
        <f t="shared" si="582"/>
        <v>0.31465160186264468</v>
      </c>
      <c r="DJ60" s="85">
        <f t="shared" si="582"/>
        <v>0.31465160186264468</v>
      </c>
      <c r="DK60" s="85">
        <f t="shared" si="582"/>
        <v>0.31465160186264468</v>
      </c>
      <c r="DL60" s="85">
        <f t="shared" si="582"/>
        <v>0.31465160186264468</v>
      </c>
      <c r="DM60" s="85">
        <f t="shared" si="582"/>
        <v>0.31465160186264468</v>
      </c>
      <c r="DN60" s="85">
        <f t="shared" si="582"/>
        <v>0.31465160186264468</v>
      </c>
      <c r="DO60" s="85">
        <f t="shared" si="582"/>
        <v>0.31465160186264468</v>
      </c>
      <c r="DP60" s="85">
        <f t="shared" si="582"/>
        <v>0.31465160186264468</v>
      </c>
      <c r="DQ60" s="85">
        <f t="shared" si="582"/>
        <v>0.31465160186264468</v>
      </c>
      <c r="DR60" s="85">
        <f t="shared" si="582"/>
        <v>0.31465160186264468</v>
      </c>
      <c r="DS60" s="85">
        <f t="shared" si="582"/>
        <v>0.29465160186264466</v>
      </c>
      <c r="DT60" s="85">
        <f t="shared" si="582"/>
        <v>0.29465160186264466</v>
      </c>
      <c r="DU60" s="85">
        <f t="shared" si="582"/>
        <v>0.29465160186264466</v>
      </c>
      <c r="DV60" s="85">
        <f t="shared" si="582"/>
        <v>0.29465160186264466</v>
      </c>
      <c r="DW60" s="85">
        <f t="shared" si="582"/>
        <v>0.29465160186264466</v>
      </c>
      <c r="DX60" s="85">
        <f t="shared" si="582"/>
        <v>0.29465160186264466</v>
      </c>
      <c r="DY60" s="85">
        <f t="shared" si="582"/>
        <v>0.29465160186264466</v>
      </c>
      <c r="DZ60" s="85">
        <f t="shared" si="582"/>
        <v>0.29465160186264466</v>
      </c>
      <c r="EA60" s="85">
        <f t="shared" si="582"/>
        <v>0.29465160186264466</v>
      </c>
      <c r="EB60" s="85">
        <f t="shared" si="582"/>
        <v>0.29465160186264466</v>
      </c>
      <c r="EC60" s="85">
        <f t="shared" si="582"/>
        <v>0.29465160186264466</v>
      </c>
      <c r="ED60" s="85">
        <f t="shared" si="582"/>
        <v>0.29465160186264466</v>
      </c>
      <c r="EE60" s="85">
        <f t="shared" si="582"/>
        <v>0.27465160186264465</v>
      </c>
      <c r="EF60" s="85">
        <f t="shared" si="582"/>
        <v>0.27465160186264465</v>
      </c>
      <c r="EG60" s="85">
        <f t="shared" si="582"/>
        <v>0.27465160186264465</v>
      </c>
      <c r="EH60" s="85">
        <f t="shared" si="582"/>
        <v>0.27465160186264465</v>
      </c>
      <c r="EI60" s="85">
        <f t="shared" si="582"/>
        <v>0.27465160186264465</v>
      </c>
      <c r="EJ60" s="85">
        <f t="shared" si="582"/>
        <v>0.27465160186264465</v>
      </c>
      <c r="EK60" s="85">
        <f t="shared" si="582"/>
        <v>0.27465160186264465</v>
      </c>
      <c r="EL60" s="85">
        <f t="shared" si="582"/>
        <v>0.27465160186264465</v>
      </c>
      <c r="EM60" s="85">
        <f t="shared" si="582"/>
        <v>0.27465160186264465</v>
      </c>
      <c r="EN60" s="85">
        <f t="shared" si="582"/>
        <v>0.27465160186264465</v>
      </c>
      <c r="EO60" s="85">
        <f t="shared" si="582"/>
        <v>0.27465160186264465</v>
      </c>
      <c r="EP60" s="85">
        <f t="shared" si="582"/>
        <v>0.27465160186264465</v>
      </c>
      <c r="EQ60" s="85">
        <f t="shared" si="582"/>
        <v>0.25465160186264463</v>
      </c>
      <c r="ER60" s="85">
        <f t="shared" si="582"/>
        <v>0.25465160186264463</v>
      </c>
      <c r="ES60" s="85">
        <f t="shared" si="582"/>
        <v>0.25465160186264463</v>
      </c>
      <c r="ET60" s="85">
        <f t="shared" si="582"/>
        <v>0.25465160186264463</v>
      </c>
      <c r="EU60" s="85">
        <f t="shared" si="582"/>
        <v>0.25465160186264463</v>
      </c>
      <c r="EV60" s="85">
        <f t="shared" si="582"/>
        <v>0.25465160186264463</v>
      </c>
      <c r="EW60" s="85">
        <f t="shared" si="582"/>
        <v>0.25465160186264463</v>
      </c>
      <c r="EX60" s="85">
        <f t="shared" si="582"/>
        <v>0.25465160186264463</v>
      </c>
      <c r="EY60" s="85">
        <f t="shared" si="582"/>
        <v>0.25465160186264463</v>
      </c>
      <c r="EZ60" s="85">
        <f t="shared" si="582"/>
        <v>0.25465160186264463</v>
      </c>
      <c r="FA60" s="85">
        <f t="shared" si="582"/>
        <v>0.25465160186264463</v>
      </c>
      <c r="FB60" s="85">
        <f t="shared" si="582"/>
        <v>0.25465160186264463</v>
      </c>
    </row>
    <row r="61" spans="3:158" x14ac:dyDescent="0.25">
      <c r="C61" s="2" t="s">
        <v>313</v>
      </c>
      <c r="D61" s="313">
        <f t="shared" si="583"/>
        <v>0.35546821911559856</v>
      </c>
      <c r="E61" s="313">
        <f t="shared" si="583"/>
        <v>0.33436719598284154</v>
      </c>
      <c r="F61" s="313">
        <f t="shared" si="583"/>
        <v>0.30381759727374313</v>
      </c>
      <c r="G61" s="313">
        <f t="shared" si="583"/>
        <v>0.34704451228363747</v>
      </c>
      <c r="H61" s="250">
        <f>G61+4%</f>
        <v>0.38704451228363745</v>
      </c>
      <c r="I61" s="250">
        <f t="shared" ref="I61:L61" si="588">H61+4%</f>
        <v>0.42704451228363743</v>
      </c>
      <c r="J61" s="250">
        <f t="shared" si="588"/>
        <v>0.46704451228363741</v>
      </c>
      <c r="K61" s="250">
        <f t="shared" si="588"/>
        <v>0.50704451228363745</v>
      </c>
      <c r="L61" s="250">
        <f t="shared" si="588"/>
        <v>0.54704451228363749</v>
      </c>
      <c r="N61" s="314">
        <f t="shared" ref="N61:AC61" si="589">IFERROR(N55/N$56,"")</f>
        <v>0.33430193757085674</v>
      </c>
      <c r="O61" s="314">
        <f t="shared" si="589"/>
        <v>0.33905912872093991</v>
      </c>
      <c r="P61" s="314">
        <f t="shared" si="589"/>
        <v>0.32998804763986844</v>
      </c>
      <c r="Q61" s="314">
        <f t="shared" si="589"/>
        <v>0.39117609403663928</v>
      </c>
      <c r="R61" s="314">
        <f t="shared" si="589"/>
        <v>0.2978360433807124</v>
      </c>
      <c r="S61" s="314">
        <f t="shared" si="589"/>
        <v>0.44498701277519342</v>
      </c>
      <c r="T61" s="314">
        <f t="shared" si="589"/>
        <v>0.25526430806478489</v>
      </c>
      <c r="U61" s="314">
        <f t="shared" si="589"/>
        <v>0.31717137568205911</v>
      </c>
      <c r="V61" s="314">
        <f t="shared" si="589"/>
        <v>0.28944581021950022</v>
      </c>
      <c r="W61" s="314">
        <f t="shared" si="589"/>
        <v>0.29226238505369873</v>
      </c>
      <c r="X61" s="314">
        <f t="shared" si="589"/>
        <v>0.39800809405983389</v>
      </c>
      <c r="Y61" s="314">
        <f t="shared" si="589"/>
        <v>0.24861835979191424</v>
      </c>
      <c r="Z61" s="314">
        <f t="shared" si="589"/>
        <v>0.31115547962869883</v>
      </c>
      <c r="AA61" s="314">
        <f t="shared" si="589"/>
        <v>0.37298798283102913</v>
      </c>
      <c r="AB61" s="314">
        <f t="shared" si="589"/>
        <v>0.36278889454120827</v>
      </c>
      <c r="AC61" s="314">
        <f t="shared" si="589"/>
        <v>0.33357209273974281</v>
      </c>
      <c r="AD61" s="314">
        <f t="shared" ref="AD61:AW61" si="590">IFERROR(AD55/AD$56,"")</f>
        <v>0.38704451228363757</v>
      </c>
      <c r="AE61" s="314">
        <f t="shared" si="590"/>
        <v>0.38704451228363751</v>
      </c>
      <c r="AF61" s="314">
        <f t="shared" si="590"/>
        <v>0.38704451228363751</v>
      </c>
      <c r="AG61" s="314">
        <f t="shared" si="590"/>
        <v>0.38704451228363757</v>
      </c>
      <c r="AH61" s="314">
        <f t="shared" si="590"/>
        <v>0.42704451228363755</v>
      </c>
      <c r="AI61" s="314">
        <f t="shared" si="590"/>
        <v>0.42704451228363755</v>
      </c>
      <c r="AJ61" s="314">
        <f t="shared" si="590"/>
        <v>0.4270445122836376</v>
      </c>
      <c r="AK61" s="314">
        <f t="shared" si="590"/>
        <v>0.4270445122836376</v>
      </c>
      <c r="AL61" s="314">
        <f t="shared" si="590"/>
        <v>0.46704451228363753</v>
      </c>
      <c r="AM61" s="314">
        <f t="shared" si="590"/>
        <v>0.46704451228363753</v>
      </c>
      <c r="AN61" s="314">
        <f t="shared" si="590"/>
        <v>0.46704451228363753</v>
      </c>
      <c r="AO61" s="314">
        <f t="shared" si="590"/>
        <v>0.46704451228363753</v>
      </c>
      <c r="AP61" s="314">
        <f t="shared" si="590"/>
        <v>0.50704451228363767</v>
      </c>
      <c r="AQ61" s="314">
        <f t="shared" si="590"/>
        <v>0.50704451228363756</v>
      </c>
      <c r="AR61" s="314">
        <f t="shared" si="590"/>
        <v>0.50704451228363756</v>
      </c>
      <c r="AS61" s="314">
        <f t="shared" si="590"/>
        <v>0.50704451228363756</v>
      </c>
      <c r="AT61" s="314">
        <f t="shared" si="590"/>
        <v>0.5470445122836376</v>
      </c>
      <c r="AU61" s="314">
        <f t="shared" si="590"/>
        <v>0.5470445122836376</v>
      </c>
      <c r="AV61" s="314">
        <f t="shared" si="590"/>
        <v>0.5470445122836376</v>
      </c>
      <c r="AW61" s="314">
        <f t="shared" si="590"/>
        <v>0.5470445122836376</v>
      </c>
      <c r="AY61" s="314">
        <f t="shared" ref="AY61:CT61" si="591">IFERROR(AY55/AY$56,"")</f>
        <v>6.0572042368124565E-2</v>
      </c>
      <c r="AZ61" s="314">
        <f t="shared" si="591"/>
        <v>0.32019160638591709</v>
      </c>
      <c r="BA61" s="314">
        <f t="shared" si="591"/>
        <v>0.37417547585361316</v>
      </c>
      <c r="BB61" s="314">
        <f t="shared" si="591"/>
        <v>0.41587634068966317</v>
      </c>
      <c r="BC61" s="314">
        <f t="shared" si="591"/>
        <v>0.36454637659248812</v>
      </c>
      <c r="BD61" s="314">
        <f t="shared" si="591"/>
        <v>0.29448666615523822</v>
      </c>
      <c r="BE61" s="314">
        <f t="shared" si="591"/>
        <v>0.49240054964315777</v>
      </c>
      <c r="BF61" s="314">
        <f t="shared" si="591"/>
        <v>0.19619472172362903</v>
      </c>
      <c r="BG61" s="314">
        <f t="shared" si="591"/>
        <v>0.33942014995262293</v>
      </c>
      <c r="BH61" s="314">
        <f t="shared" si="591"/>
        <v>0.34050238603672678</v>
      </c>
      <c r="BI61" s="314">
        <f t="shared" si="591"/>
        <v>0.43957702266908433</v>
      </c>
      <c r="BJ61" s="314">
        <f t="shared" si="591"/>
        <v>0.35857475226429425</v>
      </c>
      <c r="BK61" s="314">
        <f t="shared" si="591"/>
        <v>0.24415088369595975</v>
      </c>
      <c r="BL61" s="314">
        <f t="shared" si="591"/>
        <v>0.34587198885426107</v>
      </c>
      <c r="BM61" s="314">
        <f t="shared" si="591"/>
        <v>0.2905745637798583</v>
      </c>
      <c r="BN61" s="314">
        <f t="shared" si="591"/>
        <v>0.30845131158601424</v>
      </c>
      <c r="BO61" s="314">
        <f t="shared" si="591"/>
        <v>0.55221555040446579</v>
      </c>
      <c r="BP61" s="314">
        <f t="shared" si="591"/>
        <v>0.39502886836500867</v>
      </c>
      <c r="BQ61" s="314">
        <f t="shared" si="591"/>
        <v>0.40589037495251662</v>
      </c>
      <c r="BR61" s="314">
        <f t="shared" si="591"/>
        <v>0.15123296136808281</v>
      </c>
      <c r="BS61" s="314">
        <f t="shared" si="591"/>
        <v>0.24148536553283825</v>
      </c>
      <c r="BT61" s="314">
        <f t="shared" si="591"/>
        <v>0.17368828413206158</v>
      </c>
      <c r="BU61" s="314">
        <f t="shared" si="591"/>
        <v>0.27338594387597565</v>
      </c>
      <c r="BV61" s="314">
        <f t="shared" si="591"/>
        <v>0.3766403524822528</v>
      </c>
      <c r="BW61" s="314">
        <f t="shared" si="591"/>
        <v>0.43891600375067019</v>
      </c>
      <c r="BX61" s="314">
        <f t="shared" si="591"/>
        <v>0.36811092861073869</v>
      </c>
      <c r="BY61" s="314">
        <f t="shared" si="591"/>
        <v>0.16853004381040035</v>
      </c>
      <c r="BZ61" s="314">
        <f t="shared" si="591"/>
        <v>0.41367211474954929</v>
      </c>
      <c r="CA61" s="314">
        <f t="shared" si="591"/>
        <v>0.19234099036208857</v>
      </c>
      <c r="CB61" s="314">
        <f t="shared" si="591"/>
        <v>0.2896539871318371</v>
      </c>
      <c r="CC61" s="314">
        <f t="shared" si="591"/>
        <v>0.22666515565574208</v>
      </c>
      <c r="CD61" s="314">
        <f t="shared" si="591"/>
        <v>0.46312190248915963</v>
      </c>
      <c r="CE61" s="314">
        <f t="shared" si="591"/>
        <v>0.38772892358357375</v>
      </c>
      <c r="CF61" s="314">
        <f t="shared" si="591"/>
        <v>0.21180608638827292</v>
      </c>
      <c r="CG61" s="314">
        <f t="shared" si="591"/>
        <v>0.29304050736089715</v>
      </c>
      <c r="CH61" s="314">
        <f t="shared" si="591"/>
        <v>0.226997708830388</v>
      </c>
      <c r="CI61" s="314">
        <f t="shared" si="591"/>
        <v>0.36061805062703067</v>
      </c>
      <c r="CJ61" s="314">
        <f t="shared" si="591"/>
        <v>0.21673271878820541</v>
      </c>
      <c r="CK61" s="314">
        <f t="shared" si="591"/>
        <v>0.33726093845686173</v>
      </c>
      <c r="CL61" s="314">
        <f t="shared" si="591"/>
        <v>0.28707994405796589</v>
      </c>
      <c r="CM61" s="314">
        <f t="shared" si="591"/>
        <v>0.29621430238535329</v>
      </c>
      <c r="CN61" s="314">
        <f t="shared" si="591"/>
        <v>0.44753827483082387</v>
      </c>
      <c r="CO61" s="314">
        <f t="shared" si="591"/>
        <v>0.36278889454120827</v>
      </c>
      <c r="CP61" s="314">
        <f t="shared" si="591"/>
        <v>0.36278889454120827</v>
      </c>
      <c r="CQ61" s="314">
        <f t="shared" si="591"/>
        <v>0.36278889454120827</v>
      </c>
      <c r="CR61" s="314">
        <f t="shared" si="591"/>
        <v>0.33357209273974281</v>
      </c>
      <c r="CS61" s="314">
        <f t="shared" si="591"/>
        <v>0.33357209273974281</v>
      </c>
      <c r="CT61" s="314">
        <f t="shared" si="591"/>
        <v>0.33357209273974275</v>
      </c>
      <c r="CU61" s="315">
        <f t="shared" si="581"/>
        <v>0.38704451228363745</v>
      </c>
      <c r="CV61" s="315">
        <f t="shared" si="581"/>
        <v>0.38704451228363745</v>
      </c>
      <c r="CW61" s="315">
        <f t="shared" si="581"/>
        <v>0.38704451228363745</v>
      </c>
      <c r="CX61" s="315">
        <f t="shared" si="581"/>
        <v>0.38704451228363745</v>
      </c>
      <c r="CY61" s="315">
        <f t="shared" si="581"/>
        <v>0.38704451228363745</v>
      </c>
      <c r="CZ61" s="315">
        <f t="shared" si="581"/>
        <v>0.38704451228363745</v>
      </c>
      <c r="DA61" s="315">
        <f t="shared" si="581"/>
        <v>0.38704451228363745</v>
      </c>
      <c r="DB61" s="315">
        <f t="shared" si="581"/>
        <v>0.38704451228363745</v>
      </c>
      <c r="DC61" s="315">
        <f t="shared" si="581"/>
        <v>0.38704451228363745</v>
      </c>
      <c r="DD61" s="315">
        <f t="shared" si="581"/>
        <v>0.38704451228363745</v>
      </c>
      <c r="DE61" s="315">
        <f t="shared" si="581"/>
        <v>0.38704451228363745</v>
      </c>
      <c r="DF61" s="315">
        <f t="shared" si="581"/>
        <v>0.38704451228363745</v>
      </c>
      <c r="DG61" s="315">
        <f t="shared" si="581"/>
        <v>0.42704451228363743</v>
      </c>
      <c r="DH61" s="315">
        <f t="shared" si="582"/>
        <v>0.42704451228363743</v>
      </c>
      <c r="DI61" s="315">
        <f t="shared" si="582"/>
        <v>0.42704451228363743</v>
      </c>
      <c r="DJ61" s="315">
        <f t="shared" si="582"/>
        <v>0.42704451228363743</v>
      </c>
      <c r="DK61" s="315">
        <f t="shared" si="582"/>
        <v>0.42704451228363743</v>
      </c>
      <c r="DL61" s="315">
        <f t="shared" si="582"/>
        <v>0.42704451228363743</v>
      </c>
      <c r="DM61" s="315">
        <f t="shared" si="582"/>
        <v>0.42704451228363743</v>
      </c>
      <c r="DN61" s="315">
        <f t="shared" si="582"/>
        <v>0.42704451228363743</v>
      </c>
      <c r="DO61" s="315">
        <f t="shared" si="582"/>
        <v>0.42704451228363743</v>
      </c>
      <c r="DP61" s="315">
        <f t="shared" si="582"/>
        <v>0.42704451228363743</v>
      </c>
      <c r="DQ61" s="315">
        <f t="shared" si="582"/>
        <v>0.42704451228363743</v>
      </c>
      <c r="DR61" s="315">
        <f t="shared" si="582"/>
        <v>0.42704451228363743</v>
      </c>
      <c r="DS61" s="315">
        <f t="shared" si="582"/>
        <v>0.46704451228363741</v>
      </c>
      <c r="DT61" s="315">
        <f t="shared" si="582"/>
        <v>0.46704451228363741</v>
      </c>
      <c r="DU61" s="315">
        <f t="shared" si="582"/>
        <v>0.46704451228363741</v>
      </c>
      <c r="DV61" s="315">
        <f t="shared" si="582"/>
        <v>0.46704451228363741</v>
      </c>
      <c r="DW61" s="315">
        <f t="shared" si="582"/>
        <v>0.46704451228363741</v>
      </c>
      <c r="DX61" s="315">
        <f t="shared" si="582"/>
        <v>0.46704451228363741</v>
      </c>
      <c r="DY61" s="315">
        <f t="shared" si="582"/>
        <v>0.46704451228363741</v>
      </c>
      <c r="DZ61" s="315">
        <f t="shared" si="582"/>
        <v>0.46704451228363741</v>
      </c>
      <c r="EA61" s="315">
        <f t="shared" si="582"/>
        <v>0.46704451228363741</v>
      </c>
      <c r="EB61" s="315">
        <f t="shared" si="582"/>
        <v>0.46704451228363741</v>
      </c>
      <c r="EC61" s="315">
        <f t="shared" si="582"/>
        <v>0.46704451228363741</v>
      </c>
      <c r="ED61" s="315">
        <f t="shared" si="582"/>
        <v>0.46704451228363741</v>
      </c>
      <c r="EE61" s="315">
        <f t="shared" si="582"/>
        <v>0.50704451228363745</v>
      </c>
      <c r="EF61" s="315">
        <f t="shared" si="582"/>
        <v>0.50704451228363745</v>
      </c>
      <c r="EG61" s="315">
        <f t="shared" si="582"/>
        <v>0.50704451228363745</v>
      </c>
      <c r="EH61" s="315">
        <f t="shared" si="582"/>
        <v>0.50704451228363745</v>
      </c>
      <c r="EI61" s="315">
        <f t="shared" si="582"/>
        <v>0.50704451228363745</v>
      </c>
      <c r="EJ61" s="315">
        <f t="shared" si="582"/>
        <v>0.50704451228363745</v>
      </c>
      <c r="EK61" s="315">
        <f t="shared" si="582"/>
        <v>0.50704451228363745</v>
      </c>
      <c r="EL61" s="315">
        <f t="shared" si="582"/>
        <v>0.50704451228363745</v>
      </c>
      <c r="EM61" s="315">
        <f t="shared" si="582"/>
        <v>0.50704451228363745</v>
      </c>
      <c r="EN61" s="315">
        <f t="shared" si="582"/>
        <v>0.50704451228363745</v>
      </c>
      <c r="EO61" s="315">
        <f t="shared" si="582"/>
        <v>0.50704451228363745</v>
      </c>
      <c r="EP61" s="315">
        <f t="shared" si="582"/>
        <v>0.50704451228363745</v>
      </c>
      <c r="EQ61" s="315">
        <f t="shared" si="582"/>
        <v>0.54704451228363749</v>
      </c>
      <c r="ER61" s="315">
        <f t="shared" si="582"/>
        <v>0.54704451228363749</v>
      </c>
      <c r="ES61" s="315">
        <f t="shared" si="582"/>
        <v>0.54704451228363749</v>
      </c>
      <c r="ET61" s="315">
        <f t="shared" si="582"/>
        <v>0.54704451228363749</v>
      </c>
      <c r="EU61" s="315">
        <f t="shared" si="582"/>
        <v>0.54704451228363749</v>
      </c>
      <c r="EV61" s="315">
        <f t="shared" si="582"/>
        <v>0.54704451228363749</v>
      </c>
      <c r="EW61" s="315">
        <f t="shared" si="582"/>
        <v>0.54704451228363749</v>
      </c>
      <c r="EX61" s="315">
        <f t="shared" si="582"/>
        <v>0.54704451228363749</v>
      </c>
      <c r="EY61" s="315">
        <f t="shared" si="582"/>
        <v>0.54704451228363749</v>
      </c>
      <c r="EZ61" s="315">
        <f t="shared" si="582"/>
        <v>0.54704451228363749</v>
      </c>
      <c r="FA61" s="315">
        <f t="shared" si="582"/>
        <v>0.54704451228363749</v>
      </c>
      <c r="FB61" s="315">
        <f t="shared" si="582"/>
        <v>0.54704451228363749</v>
      </c>
    </row>
    <row r="62" spans="3:158" x14ac:dyDescent="0.25">
      <c r="C62" s="310" t="s">
        <v>308</v>
      </c>
      <c r="D62" s="19">
        <f t="shared" si="583"/>
        <v>1</v>
      </c>
      <c r="E62" s="19">
        <f t="shared" si="583"/>
        <v>1</v>
      </c>
      <c r="F62" s="19">
        <f t="shared" si="583"/>
        <v>1</v>
      </c>
      <c r="G62" s="19">
        <f t="shared" si="583"/>
        <v>1</v>
      </c>
      <c r="H62" s="302">
        <f>SUM(H59:H61)</f>
        <v>0.99999999999999978</v>
      </c>
      <c r="I62" s="302">
        <f t="shared" ref="I62:L62" si="592">SUM(I59:I61)</f>
        <v>0.99999999999999978</v>
      </c>
      <c r="J62" s="302">
        <f t="shared" si="592"/>
        <v>0.99999999999999978</v>
      </c>
      <c r="K62" s="302">
        <f t="shared" si="592"/>
        <v>0.99999999999999978</v>
      </c>
      <c r="L62" s="302">
        <f t="shared" si="592"/>
        <v>0.99999999999999978</v>
      </c>
      <c r="N62" s="60">
        <f t="shared" ref="N62:AC62" si="593">IFERROR(N56/N$56,"")</f>
        <v>1</v>
      </c>
      <c r="O62" s="60">
        <f t="shared" si="593"/>
        <v>1</v>
      </c>
      <c r="P62" s="60">
        <f t="shared" si="593"/>
        <v>1</v>
      </c>
      <c r="Q62" s="60">
        <f t="shared" si="593"/>
        <v>1</v>
      </c>
      <c r="R62" s="60">
        <f t="shared" si="593"/>
        <v>1</v>
      </c>
      <c r="S62" s="60">
        <f t="shared" si="593"/>
        <v>1</v>
      </c>
      <c r="T62" s="60">
        <f t="shared" si="593"/>
        <v>1</v>
      </c>
      <c r="U62" s="60">
        <f t="shared" si="593"/>
        <v>1</v>
      </c>
      <c r="V62" s="60">
        <f t="shared" si="593"/>
        <v>1</v>
      </c>
      <c r="W62" s="60">
        <f t="shared" si="593"/>
        <v>1</v>
      </c>
      <c r="X62" s="60">
        <f t="shared" si="593"/>
        <v>1</v>
      </c>
      <c r="Y62" s="60">
        <f t="shared" si="593"/>
        <v>1</v>
      </c>
      <c r="Z62" s="60">
        <f t="shared" si="593"/>
        <v>1</v>
      </c>
      <c r="AA62" s="60">
        <f t="shared" si="593"/>
        <v>1</v>
      </c>
      <c r="AB62" s="60">
        <f t="shared" si="593"/>
        <v>1</v>
      </c>
      <c r="AC62" s="60">
        <f t="shared" si="593"/>
        <v>1</v>
      </c>
      <c r="AD62" s="60">
        <f t="shared" ref="AD62:AW62" si="594">IFERROR(AD56/AD$56,"")</f>
        <v>1</v>
      </c>
      <c r="AE62" s="60">
        <f t="shared" si="594"/>
        <v>1</v>
      </c>
      <c r="AF62" s="60">
        <f t="shared" si="594"/>
        <v>1</v>
      </c>
      <c r="AG62" s="60">
        <f t="shared" si="594"/>
        <v>1</v>
      </c>
      <c r="AH62" s="60">
        <f t="shared" si="594"/>
        <v>1</v>
      </c>
      <c r="AI62" s="60">
        <f t="shared" si="594"/>
        <v>1</v>
      </c>
      <c r="AJ62" s="60">
        <f t="shared" si="594"/>
        <v>1</v>
      </c>
      <c r="AK62" s="60">
        <f t="shared" si="594"/>
        <v>1</v>
      </c>
      <c r="AL62" s="60">
        <f t="shared" si="594"/>
        <v>1</v>
      </c>
      <c r="AM62" s="60">
        <f t="shared" si="594"/>
        <v>1</v>
      </c>
      <c r="AN62" s="60">
        <f t="shared" si="594"/>
        <v>1</v>
      </c>
      <c r="AO62" s="60">
        <f t="shared" si="594"/>
        <v>1</v>
      </c>
      <c r="AP62" s="60">
        <f t="shared" si="594"/>
        <v>1</v>
      </c>
      <c r="AQ62" s="60">
        <f t="shared" si="594"/>
        <v>1</v>
      </c>
      <c r="AR62" s="60">
        <f t="shared" si="594"/>
        <v>1</v>
      </c>
      <c r="AS62" s="60">
        <f t="shared" si="594"/>
        <v>1</v>
      </c>
      <c r="AT62" s="60">
        <f t="shared" si="594"/>
        <v>1</v>
      </c>
      <c r="AU62" s="60">
        <f t="shared" si="594"/>
        <v>1</v>
      </c>
      <c r="AV62" s="60">
        <f t="shared" si="594"/>
        <v>1</v>
      </c>
      <c r="AW62" s="60">
        <f t="shared" si="594"/>
        <v>1</v>
      </c>
      <c r="AY62" s="60">
        <f t="shared" ref="AY62:CT62" si="595">IFERROR(AY56/AY$56,"")</f>
        <v>1</v>
      </c>
      <c r="AZ62" s="60">
        <f t="shared" si="595"/>
        <v>1</v>
      </c>
      <c r="BA62" s="60">
        <f t="shared" si="595"/>
        <v>1</v>
      </c>
      <c r="BB62" s="60">
        <f t="shared" si="595"/>
        <v>1</v>
      </c>
      <c r="BC62" s="60">
        <f t="shared" si="595"/>
        <v>1</v>
      </c>
      <c r="BD62" s="60">
        <f t="shared" si="595"/>
        <v>1</v>
      </c>
      <c r="BE62" s="60">
        <f t="shared" si="595"/>
        <v>1</v>
      </c>
      <c r="BF62" s="60">
        <f t="shared" si="595"/>
        <v>1</v>
      </c>
      <c r="BG62" s="60">
        <f t="shared" si="595"/>
        <v>1</v>
      </c>
      <c r="BH62" s="60">
        <f t="shared" si="595"/>
        <v>1</v>
      </c>
      <c r="BI62" s="60">
        <f t="shared" si="595"/>
        <v>1</v>
      </c>
      <c r="BJ62" s="60">
        <f t="shared" si="595"/>
        <v>1</v>
      </c>
      <c r="BK62" s="60">
        <f t="shared" si="595"/>
        <v>1</v>
      </c>
      <c r="BL62" s="60">
        <f t="shared" si="595"/>
        <v>1</v>
      </c>
      <c r="BM62" s="60">
        <f t="shared" si="595"/>
        <v>1</v>
      </c>
      <c r="BN62" s="60">
        <f t="shared" si="595"/>
        <v>1</v>
      </c>
      <c r="BO62" s="60">
        <f t="shared" si="595"/>
        <v>1</v>
      </c>
      <c r="BP62" s="60">
        <f t="shared" si="595"/>
        <v>1</v>
      </c>
      <c r="BQ62" s="60">
        <f t="shared" si="595"/>
        <v>1</v>
      </c>
      <c r="BR62" s="60">
        <f t="shared" si="595"/>
        <v>1</v>
      </c>
      <c r="BS62" s="60">
        <f t="shared" si="595"/>
        <v>1</v>
      </c>
      <c r="BT62" s="60">
        <f t="shared" si="595"/>
        <v>1</v>
      </c>
      <c r="BU62" s="60">
        <f t="shared" si="595"/>
        <v>1</v>
      </c>
      <c r="BV62" s="60">
        <f t="shared" si="595"/>
        <v>1</v>
      </c>
      <c r="BW62" s="60">
        <f t="shared" si="595"/>
        <v>1</v>
      </c>
      <c r="BX62" s="60">
        <f t="shared" si="595"/>
        <v>1</v>
      </c>
      <c r="BY62" s="60">
        <f t="shared" si="595"/>
        <v>1</v>
      </c>
      <c r="BZ62" s="60">
        <f t="shared" si="595"/>
        <v>1</v>
      </c>
      <c r="CA62" s="60">
        <f t="shared" si="595"/>
        <v>1</v>
      </c>
      <c r="CB62" s="60">
        <f t="shared" si="595"/>
        <v>1</v>
      </c>
      <c r="CC62" s="60">
        <f t="shared" si="595"/>
        <v>1</v>
      </c>
      <c r="CD62" s="60">
        <f t="shared" si="595"/>
        <v>1</v>
      </c>
      <c r="CE62" s="60">
        <f t="shared" si="595"/>
        <v>1</v>
      </c>
      <c r="CF62" s="60">
        <f t="shared" si="595"/>
        <v>1</v>
      </c>
      <c r="CG62" s="60">
        <f t="shared" si="595"/>
        <v>1</v>
      </c>
      <c r="CH62" s="60">
        <f t="shared" si="595"/>
        <v>1</v>
      </c>
      <c r="CI62" s="60">
        <f t="shared" si="595"/>
        <v>1</v>
      </c>
      <c r="CJ62" s="60">
        <f t="shared" si="595"/>
        <v>1</v>
      </c>
      <c r="CK62" s="60">
        <f t="shared" si="595"/>
        <v>1</v>
      </c>
      <c r="CL62" s="60">
        <f t="shared" si="595"/>
        <v>1</v>
      </c>
      <c r="CM62" s="60">
        <f t="shared" si="595"/>
        <v>1</v>
      </c>
      <c r="CN62" s="60">
        <f t="shared" si="595"/>
        <v>1</v>
      </c>
      <c r="CO62" s="60">
        <f t="shared" si="595"/>
        <v>1</v>
      </c>
      <c r="CP62" s="60">
        <f t="shared" si="595"/>
        <v>1</v>
      </c>
      <c r="CQ62" s="60">
        <f t="shared" si="595"/>
        <v>1</v>
      </c>
      <c r="CR62" s="60">
        <f t="shared" si="595"/>
        <v>1</v>
      </c>
      <c r="CS62" s="60">
        <f t="shared" si="595"/>
        <v>1</v>
      </c>
      <c r="CT62" s="60">
        <f t="shared" si="595"/>
        <v>1</v>
      </c>
      <c r="CU62" s="61">
        <f>SUM(CU59:CU61)</f>
        <v>0.99999999999999978</v>
      </c>
      <c r="CV62" s="61">
        <f t="shared" ref="CV62:FB62" si="596">SUM(CV59:CV61)</f>
        <v>0.99999999999999978</v>
      </c>
      <c r="CW62" s="61">
        <f t="shared" si="596"/>
        <v>0.99999999999999978</v>
      </c>
      <c r="CX62" s="61">
        <f t="shared" si="596"/>
        <v>0.99999999999999978</v>
      </c>
      <c r="CY62" s="61">
        <f t="shared" si="596"/>
        <v>0.99999999999999978</v>
      </c>
      <c r="CZ62" s="61">
        <f t="shared" si="596"/>
        <v>0.99999999999999978</v>
      </c>
      <c r="DA62" s="61">
        <f t="shared" si="596"/>
        <v>0.99999999999999978</v>
      </c>
      <c r="DB62" s="61">
        <f t="shared" si="596"/>
        <v>0.99999999999999978</v>
      </c>
      <c r="DC62" s="61">
        <f t="shared" si="596"/>
        <v>0.99999999999999978</v>
      </c>
      <c r="DD62" s="61">
        <f t="shared" si="596"/>
        <v>0.99999999999999978</v>
      </c>
      <c r="DE62" s="61">
        <f t="shared" si="596"/>
        <v>0.99999999999999978</v>
      </c>
      <c r="DF62" s="61">
        <f t="shared" si="596"/>
        <v>0.99999999999999978</v>
      </c>
      <c r="DG62" s="61">
        <f t="shared" si="596"/>
        <v>0.99999999999999978</v>
      </c>
      <c r="DH62" s="61">
        <f t="shared" si="596"/>
        <v>0.99999999999999978</v>
      </c>
      <c r="DI62" s="61">
        <f t="shared" si="596"/>
        <v>0.99999999999999978</v>
      </c>
      <c r="DJ62" s="61">
        <f t="shared" si="596"/>
        <v>0.99999999999999978</v>
      </c>
      <c r="DK62" s="61">
        <f t="shared" si="596"/>
        <v>0.99999999999999978</v>
      </c>
      <c r="DL62" s="61">
        <f t="shared" si="596"/>
        <v>0.99999999999999978</v>
      </c>
      <c r="DM62" s="61">
        <f t="shared" si="596"/>
        <v>0.99999999999999978</v>
      </c>
      <c r="DN62" s="61">
        <f t="shared" si="596"/>
        <v>0.99999999999999978</v>
      </c>
      <c r="DO62" s="61">
        <f t="shared" si="596"/>
        <v>0.99999999999999978</v>
      </c>
      <c r="DP62" s="61">
        <f t="shared" si="596"/>
        <v>0.99999999999999978</v>
      </c>
      <c r="DQ62" s="61">
        <f t="shared" si="596"/>
        <v>0.99999999999999978</v>
      </c>
      <c r="DR62" s="61">
        <f t="shared" si="596"/>
        <v>0.99999999999999978</v>
      </c>
      <c r="DS62" s="61">
        <f t="shared" si="596"/>
        <v>0.99999999999999978</v>
      </c>
      <c r="DT62" s="61">
        <f t="shared" si="596"/>
        <v>0.99999999999999978</v>
      </c>
      <c r="DU62" s="61">
        <f t="shared" si="596"/>
        <v>0.99999999999999978</v>
      </c>
      <c r="DV62" s="61">
        <f t="shared" si="596"/>
        <v>0.99999999999999978</v>
      </c>
      <c r="DW62" s="61">
        <f t="shared" si="596"/>
        <v>0.99999999999999978</v>
      </c>
      <c r="DX62" s="61">
        <f t="shared" si="596"/>
        <v>0.99999999999999978</v>
      </c>
      <c r="DY62" s="61">
        <f t="shared" si="596"/>
        <v>0.99999999999999978</v>
      </c>
      <c r="DZ62" s="61">
        <f t="shared" si="596"/>
        <v>0.99999999999999978</v>
      </c>
      <c r="EA62" s="61">
        <f t="shared" si="596"/>
        <v>0.99999999999999978</v>
      </c>
      <c r="EB62" s="61">
        <f t="shared" si="596"/>
        <v>0.99999999999999978</v>
      </c>
      <c r="EC62" s="61">
        <f t="shared" si="596"/>
        <v>0.99999999999999978</v>
      </c>
      <c r="ED62" s="61">
        <f t="shared" si="596"/>
        <v>0.99999999999999978</v>
      </c>
      <c r="EE62" s="61">
        <f t="shared" si="596"/>
        <v>0.99999999999999978</v>
      </c>
      <c r="EF62" s="61">
        <f t="shared" si="596"/>
        <v>0.99999999999999978</v>
      </c>
      <c r="EG62" s="61">
        <f t="shared" si="596"/>
        <v>0.99999999999999978</v>
      </c>
      <c r="EH62" s="61">
        <f t="shared" si="596"/>
        <v>0.99999999999999978</v>
      </c>
      <c r="EI62" s="61">
        <f t="shared" si="596"/>
        <v>0.99999999999999978</v>
      </c>
      <c r="EJ62" s="61">
        <f t="shared" si="596"/>
        <v>0.99999999999999978</v>
      </c>
      <c r="EK62" s="61">
        <f t="shared" si="596"/>
        <v>0.99999999999999978</v>
      </c>
      <c r="EL62" s="61">
        <f t="shared" si="596"/>
        <v>0.99999999999999978</v>
      </c>
      <c r="EM62" s="61">
        <f t="shared" si="596"/>
        <v>0.99999999999999978</v>
      </c>
      <c r="EN62" s="61">
        <f t="shared" si="596"/>
        <v>0.99999999999999978</v>
      </c>
      <c r="EO62" s="61">
        <f t="shared" si="596"/>
        <v>0.99999999999999978</v>
      </c>
      <c r="EP62" s="61">
        <f t="shared" si="596"/>
        <v>0.99999999999999978</v>
      </c>
      <c r="EQ62" s="61">
        <f t="shared" si="596"/>
        <v>0.99999999999999978</v>
      </c>
      <c r="ER62" s="61">
        <f t="shared" si="596"/>
        <v>0.99999999999999978</v>
      </c>
      <c r="ES62" s="61">
        <f t="shared" si="596"/>
        <v>0.99999999999999978</v>
      </c>
      <c r="ET62" s="61">
        <f t="shared" si="596"/>
        <v>0.99999999999999978</v>
      </c>
      <c r="EU62" s="61">
        <f t="shared" si="596"/>
        <v>0.99999999999999978</v>
      </c>
      <c r="EV62" s="61">
        <f t="shared" si="596"/>
        <v>0.99999999999999978</v>
      </c>
      <c r="EW62" s="61">
        <f t="shared" si="596"/>
        <v>0.99999999999999978</v>
      </c>
      <c r="EX62" s="61">
        <f t="shared" si="596"/>
        <v>0.99999999999999978</v>
      </c>
      <c r="EY62" s="61">
        <f t="shared" si="596"/>
        <v>0.99999999999999978</v>
      </c>
      <c r="EZ62" s="61">
        <f t="shared" si="596"/>
        <v>0.99999999999999978</v>
      </c>
      <c r="FA62" s="61">
        <f t="shared" si="596"/>
        <v>0.99999999999999978</v>
      </c>
      <c r="FB62" s="61">
        <f t="shared" si="596"/>
        <v>0.99999999999999978</v>
      </c>
    </row>
    <row r="64" spans="3:158" x14ac:dyDescent="0.25">
      <c r="C64" s="1" t="s">
        <v>218</v>
      </c>
    </row>
    <row r="65" spans="3:158" x14ac:dyDescent="0.25">
      <c r="C65" s="2" t="s">
        <v>607</v>
      </c>
      <c r="D65" s="79"/>
      <c r="E65" s="311">
        <f>IFERROR(E53/D53-1,"na")</f>
        <v>0.50742046329005297</v>
      </c>
      <c r="F65" s="311">
        <f t="shared" ref="F65:L65" si="597">IFERROR(F53/E53-1,"na")</f>
        <v>0.16911479158841702</v>
      </c>
      <c r="G65" s="311">
        <f t="shared" si="597"/>
        <v>0.75746365211648592</v>
      </c>
      <c r="H65" s="311">
        <f t="shared" si="597"/>
        <v>0.27687526961084719</v>
      </c>
      <c r="I65" s="311">
        <f t="shared" si="597"/>
        <v>0.36900076139969618</v>
      </c>
      <c r="J65" s="311">
        <f t="shared" si="597"/>
        <v>0.33772913770092017</v>
      </c>
      <c r="K65" s="311">
        <f t="shared" si="597"/>
        <v>0.30540480373242995</v>
      </c>
      <c r="L65" s="311">
        <f t="shared" si="597"/>
        <v>0.27173842604541454</v>
      </c>
      <c r="N65" s="79"/>
      <c r="O65" s="79"/>
      <c r="P65" s="79"/>
      <c r="Q65" s="79"/>
      <c r="R65" s="311">
        <f>IFERROR(R53/N53-1,"na")</f>
        <v>0.92443985876397439</v>
      </c>
      <c r="S65" s="311">
        <f t="shared" ref="S65:AW68" si="598">IFERROR(S53/O53-1,"na")</f>
        <v>1.1972680287044675</v>
      </c>
      <c r="T65" s="311">
        <f t="shared" si="598"/>
        <v>0.29607598340122365</v>
      </c>
      <c r="U65" s="311">
        <f t="shared" si="598"/>
        <v>0.13630520580388583</v>
      </c>
      <c r="V65" s="311">
        <f t="shared" si="598"/>
        <v>-0.30945758986395511</v>
      </c>
      <c r="W65" s="311">
        <f t="shared" si="598"/>
        <v>0.24061402065554649</v>
      </c>
      <c r="X65" s="311">
        <f t="shared" si="598"/>
        <v>0.18345327459211713</v>
      </c>
      <c r="Y65" s="311">
        <f t="shared" si="598"/>
        <v>0.47592668059058441</v>
      </c>
      <c r="Z65" s="311">
        <f t="shared" si="598"/>
        <v>1.2048849765937248</v>
      </c>
      <c r="AA65" s="311">
        <f t="shared" si="598"/>
        <v>0.59293390041273453</v>
      </c>
      <c r="AB65" s="311">
        <f t="shared" si="598"/>
        <v>0.99450369933253779</v>
      </c>
      <c r="AC65" s="311">
        <f t="shared" si="598"/>
        <v>0.57108440499742552</v>
      </c>
      <c r="AD65" s="311">
        <f t="shared" si="598"/>
        <v>0.31156754252312746</v>
      </c>
      <c r="AE65" s="311">
        <f t="shared" si="598"/>
        <v>0.21612158254152192</v>
      </c>
      <c r="AF65" s="311">
        <f t="shared" si="598"/>
        <v>0.1843294119873935</v>
      </c>
      <c r="AG65" s="311">
        <f t="shared" si="598"/>
        <v>0.37440846658704463</v>
      </c>
      <c r="AH65" s="311">
        <f t="shared" si="598"/>
        <v>0.41077299091359265</v>
      </c>
      <c r="AI65" s="311">
        <f t="shared" si="598"/>
        <v>0.43876909497411387</v>
      </c>
      <c r="AJ65" s="311">
        <f t="shared" si="598"/>
        <v>0.36900076139969573</v>
      </c>
      <c r="AK65" s="311">
        <f t="shared" si="598"/>
        <v>0.30197969484324916</v>
      </c>
      <c r="AL65" s="311">
        <f t="shared" si="598"/>
        <v>0.33772913770092017</v>
      </c>
      <c r="AM65" s="311">
        <f t="shared" si="598"/>
        <v>0.33772913770092017</v>
      </c>
      <c r="AN65" s="311">
        <f t="shared" si="598"/>
        <v>0.33772913770092017</v>
      </c>
      <c r="AO65" s="311">
        <f t="shared" si="598"/>
        <v>0.33772913770091995</v>
      </c>
      <c r="AP65" s="311">
        <f t="shared" si="598"/>
        <v>0.30540480373242973</v>
      </c>
      <c r="AQ65" s="311">
        <f t="shared" si="598"/>
        <v>0.30540480373242995</v>
      </c>
      <c r="AR65" s="311">
        <f t="shared" si="598"/>
        <v>0.30540480373242995</v>
      </c>
      <c r="AS65" s="311">
        <f t="shared" si="598"/>
        <v>0.30540480373242973</v>
      </c>
      <c r="AT65" s="311">
        <f t="shared" si="598"/>
        <v>0.27173842604541454</v>
      </c>
      <c r="AU65" s="311">
        <f t="shared" si="598"/>
        <v>0.27173842604541454</v>
      </c>
      <c r="AV65" s="311">
        <f t="shared" si="598"/>
        <v>0.27173842604541454</v>
      </c>
      <c r="AW65" s="311">
        <f t="shared" si="598"/>
        <v>0.27173842604541454</v>
      </c>
      <c r="AY65" s="79"/>
      <c r="AZ65" s="79"/>
      <c r="BA65" s="79"/>
      <c r="BB65" s="79"/>
      <c r="BC65" s="79"/>
      <c r="BD65" s="79"/>
      <c r="BE65" s="79"/>
      <c r="BF65" s="79"/>
      <c r="BG65" s="79"/>
      <c r="BH65" s="79"/>
      <c r="BI65" s="79"/>
      <c r="BJ65" s="79"/>
      <c r="BK65" s="311">
        <f>IFERROR(BK53/AY53-1,"na")</f>
        <v>2.8967603322620072</v>
      </c>
      <c r="BL65" s="311">
        <f t="shared" ref="BL65:CT68" si="599">IFERROR(BL53/AZ53-1,"na")</f>
        <v>0.48821728954322374</v>
      </c>
      <c r="BM65" s="311">
        <f t="shared" si="599"/>
        <v>0.97350218956209833</v>
      </c>
      <c r="BN65" s="311">
        <f t="shared" si="599"/>
        <v>2.0241532023654405</v>
      </c>
      <c r="BO65" s="311">
        <f t="shared" si="599"/>
        <v>1.2249862177650428</v>
      </c>
      <c r="BP65" s="311">
        <f t="shared" si="599"/>
        <v>0.8721693554991401</v>
      </c>
      <c r="BQ65" s="311">
        <f t="shared" si="599"/>
        <v>0.4049592370362276</v>
      </c>
      <c r="BR65" s="311">
        <f t="shared" si="599"/>
        <v>-0.10348977259965442</v>
      </c>
      <c r="BS65" s="311">
        <f t="shared" si="599"/>
        <v>0.5067935921561626</v>
      </c>
      <c r="BT65" s="311">
        <f t="shared" si="599"/>
        <v>-0.13585237781244475</v>
      </c>
      <c r="BU65" s="311">
        <f t="shared" si="599"/>
        <v>7.004577757287489E-2</v>
      </c>
      <c r="BV65" s="311">
        <f t="shared" si="599"/>
        <v>0.34737202142450729</v>
      </c>
      <c r="BW65" s="311">
        <f t="shared" si="599"/>
        <v>-0.16006719419232529</v>
      </c>
      <c r="BX65" s="311">
        <f t="shared" si="599"/>
        <v>-0.38284487829713021</v>
      </c>
      <c r="BY65" s="311">
        <f t="shared" si="599"/>
        <v>-0.31017847890523886</v>
      </c>
      <c r="BZ65" s="311">
        <f t="shared" si="599"/>
        <v>-0.19008764894636576</v>
      </c>
      <c r="CA65" s="311">
        <f t="shared" si="599"/>
        <v>-6.0701616112518564E-2</v>
      </c>
      <c r="CB65" s="311">
        <f t="shared" si="599"/>
        <v>0.73160382899806686</v>
      </c>
      <c r="CC65" s="311">
        <f t="shared" si="599"/>
        <v>-0.21695858689973035</v>
      </c>
      <c r="CD65" s="311">
        <f t="shared" si="599"/>
        <v>0.83178936811341697</v>
      </c>
      <c r="CE65" s="311">
        <f t="shared" si="599"/>
        <v>9.3809423577321693E-2</v>
      </c>
      <c r="CF65" s="311">
        <f t="shared" si="599"/>
        <v>0.75989649891679667</v>
      </c>
      <c r="CG65" s="311">
        <f t="shared" si="599"/>
        <v>0.26449446666663401</v>
      </c>
      <c r="CH65" s="311">
        <f t="shared" si="599"/>
        <v>0.54961776586502697</v>
      </c>
      <c r="CI65" s="311">
        <f t="shared" si="599"/>
        <v>1.2557623331744909</v>
      </c>
      <c r="CJ65" s="311">
        <f t="shared" si="599"/>
        <v>1.1143649190941955</v>
      </c>
      <c r="CK65" s="311">
        <f t="shared" si="599"/>
        <v>1.2356186172816508</v>
      </c>
      <c r="CL65" s="311">
        <f t="shared" si="599"/>
        <v>0.68044093332735289</v>
      </c>
      <c r="CM65" s="311">
        <f t="shared" si="599"/>
        <v>1.0681813823767743</v>
      </c>
      <c r="CN65" s="311">
        <f t="shared" si="599"/>
        <v>0.3693685044591497</v>
      </c>
      <c r="CO65" s="311">
        <f t="shared" si="599"/>
        <v>1.0326364084650326</v>
      </c>
      <c r="CP65" s="311">
        <f t="shared" si="599"/>
        <v>1.0962493807961162</v>
      </c>
      <c r="CQ65" s="311">
        <f t="shared" si="599"/>
        <v>0.91852257931369441</v>
      </c>
      <c r="CR65" s="311">
        <f t="shared" si="599"/>
        <v>-0.16757652748613783</v>
      </c>
      <c r="CS65" s="311">
        <f t="shared" si="599"/>
        <v>0.95505823753796237</v>
      </c>
      <c r="CT65" s="311">
        <f t="shared" si="599"/>
        <v>0.60372376391455829</v>
      </c>
      <c r="CU65" s="311">
        <f t="shared" ref="CU65:CU68" si="600">IFERROR(CU53/CI53-1,"na")</f>
        <v>-0.12678937433624282</v>
      </c>
      <c r="CV65" s="311">
        <f t="shared" ref="CV65:CV68" si="601">IFERROR(CV53/CJ53-1,"na")</f>
        <v>0.39078818084914113</v>
      </c>
      <c r="CW65" s="311">
        <f t="shared" ref="CW65:CW68" si="602">IFERROR(CW53/CK53-1,"na")</f>
        <v>0.43542466706445171</v>
      </c>
      <c r="CX65" s="311">
        <f t="shared" ref="CX65:CX68" si="603">IFERROR(CX53/CL53-1,"na")</f>
        <v>0.2112048161230442</v>
      </c>
      <c r="CY65" s="311">
        <f t="shared" ref="CY65:CY68" si="604">IFERROR(CY53/CM53-1,"na")</f>
        <v>0.29338040872559734</v>
      </c>
      <c r="CZ65" s="311">
        <f t="shared" ref="CZ65:CZ68" si="605">IFERROR(CZ53/CN53-1,"na")</f>
        <v>0.16895214212048471</v>
      </c>
      <c r="DA65" s="311">
        <f t="shared" ref="DA65:DA68" si="606">IFERROR(DA53/CO53-1,"na")</f>
        <v>0.33410739378646048</v>
      </c>
      <c r="DB65" s="311">
        <f t="shared" ref="DB65:DB68" si="607">IFERROR(DB53/CP53-1,"na")</f>
        <v>1.9505262662854239E-2</v>
      </c>
      <c r="DC65" s="311">
        <f t="shared" ref="DC65:DC68" si="608">IFERROR(DC53/CQ53-1,"na")</f>
        <v>0.25477292197485069</v>
      </c>
      <c r="DD65" s="311">
        <f t="shared" ref="DD65:DD68" si="609">IFERROR(DD53/CR53-1,"na")</f>
        <v>1.0419842851108685</v>
      </c>
      <c r="DE65" s="311">
        <f t="shared" ref="DE65:DE68" si="610">IFERROR(DE53/CS53-1,"na")</f>
        <v>0.36171198825987072</v>
      </c>
      <c r="DF65" s="311">
        <f t="shared" ref="DF65:DF68" si="611">IFERROR(DF53/CT53-1,"na")</f>
        <v>0.25105048554401921</v>
      </c>
      <c r="DG65" s="311">
        <f t="shared" ref="DG65:DG68" si="612">IFERROR(DG53/CU53-1,"na")</f>
        <v>0.47433451460920795</v>
      </c>
      <c r="DH65" s="311">
        <f t="shared" ref="DH65:DH68" si="613">IFERROR(DH53/CV53-1,"na")</f>
        <v>0.41692794315292714</v>
      </c>
      <c r="DI65" s="311">
        <f t="shared" ref="DI65:DI68" si="614">IFERROR(DI53/CW53-1,"na")</f>
        <v>0.39312072706283807</v>
      </c>
      <c r="DJ65" s="311">
        <f t="shared" ref="DJ65:DJ68" si="615">IFERROR(DJ53/CX53-1,"na")</f>
        <v>0.5030543316407754</v>
      </c>
      <c r="DK65" s="311">
        <f t="shared" ref="DK65:DK68" si="616">IFERROR(DK53/CY53-1,"na")</f>
        <v>0.43734781143364732</v>
      </c>
      <c r="DL65" s="311">
        <f t="shared" ref="DL65:DL68" si="617">IFERROR(DL53/CZ53-1,"na")</f>
        <v>0.41682811608495962</v>
      </c>
      <c r="DM65" s="311">
        <f t="shared" ref="DM65:DM68" si="618">IFERROR(DM53/DA53-1,"na")</f>
        <v>0.36900076139969618</v>
      </c>
      <c r="DN65" s="311">
        <f t="shared" ref="DN65:DN68" si="619">IFERROR(DN53/DB53-1,"na")</f>
        <v>0.36900076139969595</v>
      </c>
      <c r="DO65" s="311">
        <f t="shared" ref="DO65:DO68" si="620">IFERROR(DO53/DC53-1,"na")</f>
        <v>0.36900076139969595</v>
      </c>
      <c r="DP65" s="311">
        <f t="shared" ref="DP65:DP68" si="621">IFERROR(DP53/DD53-1,"na")</f>
        <v>0.21863342510083772</v>
      </c>
      <c r="DQ65" s="311">
        <f t="shared" ref="DQ65:DQ68" si="622">IFERROR(DQ53/DE53-1,"na")</f>
        <v>0.31262912401170762</v>
      </c>
      <c r="DR65" s="311">
        <f t="shared" ref="DR65:DR68" si="623">IFERROR(DR53/DF53-1,"na")</f>
        <v>0.31991437499655584</v>
      </c>
      <c r="DS65" s="311">
        <f t="shared" ref="DS65:DS68" si="624">IFERROR(DS53/DG53-1,"na")</f>
        <v>0.33772913770092017</v>
      </c>
      <c r="DT65" s="311">
        <f t="shared" ref="DT65:DT68" si="625">IFERROR(DT53/DH53-1,"na")</f>
        <v>0.33772913770092017</v>
      </c>
      <c r="DU65" s="311">
        <f t="shared" ref="DU65:DU68" si="626">IFERROR(DU53/DI53-1,"na")</f>
        <v>0.33772913770092039</v>
      </c>
      <c r="DV65" s="311">
        <f t="shared" ref="DV65:DV68" si="627">IFERROR(DV53/DJ53-1,"na")</f>
        <v>0.33772913770092039</v>
      </c>
      <c r="DW65" s="311">
        <f t="shared" ref="DW65:DW68" si="628">IFERROR(DW53/DK53-1,"na")</f>
        <v>0.33772913770092017</v>
      </c>
      <c r="DX65" s="311">
        <f t="shared" ref="DX65:DX68" si="629">IFERROR(DX53/DL53-1,"na")</f>
        <v>0.33772913770092017</v>
      </c>
      <c r="DY65" s="311">
        <f t="shared" ref="DY65:DY68" si="630">IFERROR(DY53/DM53-1,"na")</f>
        <v>0.33772913770092017</v>
      </c>
      <c r="DZ65" s="311">
        <f t="shared" ref="DZ65:DZ68" si="631">IFERROR(DZ53/DN53-1,"na")</f>
        <v>0.33772913770091995</v>
      </c>
      <c r="EA65" s="311">
        <f t="shared" ref="EA65:EA68" si="632">IFERROR(EA53/DO53-1,"na")</f>
        <v>0.33772913770092039</v>
      </c>
      <c r="EB65" s="311">
        <f t="shared" ref="EB65:EB68" si="633">IFERROR(EB53/DP53-1,"na")</f>
        <v>0.33772913770092017</v>
      </c>
      <c r="EC65" s="311">
        <f t="shared" ref="EC65:EC68" si="634">IFERROR(EC53/DQ53-1,"na")</f>
        <v>0.33772913770092017</v>
      </c>
      <c r="ED65" s="311">
        <f t="shared" ref="ED65:ED68" si="635">IFERROR(ED53/DR53-1,"na")</f>
        <v>0.33772913770091995</v>
      </c>
      <c r="EE65" s="311">
        <f t="shared" ref="EE65:EE68" si="636">IFERROR(EE53/DS53-1,"na")</f>
        <v>0.30540480373242995</v>
      </c>
      <c r="EF65" s="311">
        <f t="shared" ref="EF65:EF68" si="637">IFERROR(EF53/DT53-1,"na")</f>
        <v>0.30540480373242995</v>
      </c>
      <c r="EG65" s="311">
        <f t="shared" ref="EG65:EG68" si="638">IFERROR(EG53/DU53-1,"na")</f>
        <v>0.30540480373242973</v>
      </c>
      <c r="EH65" s="311">
        <f t="shared" ref="EH65:EH68" si="639">IFERROR(EH53/DV53-1,"na")</f>
        <v>0.30540480373242995</v>
      </c>
      <c r="EI65" s="311">
        <f t="shared" ref="EI65:EI68" si="640">IFERROR(EI53/DW53-1,"na")</f>
        <v>0.30540480373242973</v>
      </c>
      <c r="EJ65" s="311">
        <f t="shared" ref="EJ65:EJ68" si="641">IFERROR(EJ53/DX53-1,"na")</f>
        <v>0.30540480373242995</v>
      </c>
      <c r="EK65" s="311">
        <f t="shared" ref="EK65:EK68" si="642">IFERROR(EK53/DY53-1,"na")</f>
        <v>0.30540480373242995</v>
      </c>
      <c r="EL65" s="311">
        <f t="shared" ref="EL65:EL68" si="643">IFERROR(EL53/DZ53-1,"na")</f>
        <v>0.30540480373242995</v>
      </c>
      <c r="EM65" s="311">
        <f t="shared" ref="EM65:EM68" si="644">IFERROR(EM53/EA53-1,"na")</f>
        <v>0.30540480373242995</v>
      </c>
      <c r="EN65" s="311">
        <f t="shared" ref="EN65:EN68" si="645">IFERROR(EN53/EB53-1,"na")</f>
        <v>0.30540480373243017</v>
      </c>
      <c r="EO65" s="311">
        <f t="shared" ref="EO65:EO68" si="646">IFERROR(EO53/EC53-1,"na")</f>
        <v>0.30540480373242995</v>
      </c>
      <c r="EP65" s="311">
        <f t="shared" ref="EP65:EP68" si="647">IFERROR(EP53/ED53-1,"na")</f>
        <v>0.30540480373242995</v>
      </c>
      <c r="EQ65" s="311">
        <f t="shared" ref="EQ65:EQ68" si="648">IFERROR(EQ53/EE53-1,"na")</f>
        <v>0.27173842604541432</v>
      </c>
      <c r="ER65" s="311">
        <f t="shared" ref="ER65:ER68" si="649">IFERROR(ER53/EF53-1,"na")</f>
        <v>0.27173842604541476</v>
      </c>
      <c r="ES65" s="311">
        <f t="shared" ref="ES65:ES68" si="650">IFERROR(ES53/EG53-1,"na")</f>
        <v>0.27173842604541432</v>
      </c>
      <c r="ET65" s="311">
        <f t="shared" ref="ET65:ET68" si="651">IFERROR(ET53/EH53-1,"na")</f>
        <v>0.27173842604541454</v>
      </c>
      <c r="EU65" s="311">
        <f t="shared" ref="EU65:EU68" si="652">IFERROR(EU53/EI53-1,"na")</f>
        <v>0.27173842604541476</v>
      </c>
      <c r="EV65" s="311">
        <f t="shared" ref="EV65:EV68" si="653">IFERROR(EV53/EJ53-1,"na")</f>
        <v>0.27173842604541454</v>
      </c>
      <c r="EW65" s="311">
        <f t="shared" ref="EW65:EW68" si="654">IFERROR(EW53/EK53-1,"na")</f>
        <v>0.27173842604541454</v>
      </c>
      <c r="EX65" s="311">
        <f t="shared" ref="EX65:EX68" si="655">IFERROR(EX53/EL53-1,"na")</f>
        <v>0.27173842604541454</v>
      </c>
      <c r="EY65" s="311">
        <f t="shared" ref="EY65:EY68" si="656">IFERROR(EY53/EM53-1,"na")</f>
        <v>0.27173842604541432</v>
      </c>
      <c r="EZ65" s="311">
        <f t="shared" ref="EZ65:EZ68" si="657">IFERROR(EZ53/EN53-1,"na")</f>
        <v>0.27173842604541432</v>
      </c>
      <c r="FA65" s="311">
        <f t="shared" ref="FA65:FA68" si="658">IFERROR(FA53/EO53-1,"na")</f>
        <v>0.27173842604541432</v>
      </c>
      <c r="FB65" s="311">
        <f t="shared" ref="FB65:FB68" si="659">IFERROR(FB53/EP53-1,"na")</f>
        <v>0.27173842604541476</v>
      </c>
    </row>
    <row r="66" spans="3:158" x14ac:dyDescent="0.25">
      <c r="C66" s="2" t="s">
        <v>608</v>
      </c>
      <c r="D66" s="79"/>
      <c r="E66" s="311">
        <f t="shared" ref="E66:L66" si="660">IFERROR(E54/D54-1,"na")</f>
        <v>0.52234709502056864</v>
      </c>
      <c r="F66" s="311">
        <f t="shared" si="660"/>
        <v>0.27053384689290949</v>
      </c>
      <c r="G66" s="311">
        <f t="shared" si="660"/>
        <v>0.94384492324713576</v>
      </c>
      <c r="H66" s="311">
        <f t="shared" si="660"/>
        <v>0.29145446620926241</v>
      </c>
      <c r="I66" s="311">
        <f t="shared" si="660"/>
        <v>0.386848621564023</v>
      </c>
      <c r="J66" s="311">
        <f t="shared" si="660"/>
        <v>0.35783457059068313</v>
      </c>
      <c r="K66" s="311">
        <f t="shared" si="660"/>
        <v>0.32827559796099282</v>
      </c>
      <c r="L66" s="311">
        <f t="shared" si="660"/>
        <v>0.29805266086158455</v>
      </c>
      <c r="N66" s="79"/>
      <c r="O66" s="79"/>
      <c r="P66" s="79"/>
      <c r="Q66" s="79"/>
      <c r="R66" s="311">
        <f t="shared" ref="R66:R68" si="661">IFERROR(R54/N54-1,"na")</f>
        <v>0.59606943260025402</v>
      </c>
      <c r="S66" s="311">
        <f t="shared" si="598"/>
        <v>6.105351878268972E-2</v>
      </c>
      <c r="T66" s="311">
        <f t="shared" si="598"/>
        <v>0.85658009174987559</v>
      </c>
      <c r="U66" s="311">
        <f t="shared" si="598"/>
        <v>0.65347706068736322</v>
      </c>
      <c r="V66" s="311">
        <f t="shared" si="598"/>
        <v>0.2106612898810456</v>
      </c>
      <c r="W66" s="311">
        <f t="shared" si="598"/>
        <v>0.56270296828063415</v>
      </c>
      <c r="X66" s="311">
        <f t="shared" si="598"/>
        <v>2.3863565700348977E-2</v>
      </c>
      <c r="Y66" s="311">
        <f t="shared" si="598"/>
        <v>0.33353948426149738</v>
      </c>
      <c r="Z66" s="311">
        <f t="shared" si="598"/>
        <v>0.33210826743446575</v>
      </c>
      <c r="AA66" s="311">
        <f t="shared" si="598"/>
        <v>0.5035328075767731</v>
      </c>
      <c r="AB66" s="311">
        <f t="shared" si="598"/>
        <v>1.4853642966897538</v>
      </c>
      <c r="AC66" s="311">
        <f t="shared" si="598"/>
        <v>1.2386407334079292</v>
      </c>
      <c r="AD66" s="311">
        <f t="shared" si="598"/>
        <v>0.75011128620643941</v>
      </c>
      <c r="AE66" s="311">
        <f t="shared" si="598"/>
        <v>0.64928263047775037</v>
      </c>
      <c r="AF66" s="311">
        <f t="shared" si="598"/>
        <v>8.7651043655453176E-2</v>
      </c>
      <c r="AG66" s="311">
        <f t="shared" si="598"/>
        <v>0.1212065557219737</v>
      </c>
      <c r="AH66" s="311">
        <f t="shared" si="598"/>
        <v>0.42916544165240089</v>
      </c>
      <c r="AI66" s="311">
        <f t="shared" si="598"/>
        <v>0.45752653495508055</v>
      </c>
      <c r="AJ66" s="311">
        <f t="shared" si="598"/>
        <v>0.38684862156402278</v>
      </c>
      <c r="AK66" s="311">
        <f t="shared" si="598"/>
        <v>0.31895379170685922</v>
      </c>
      <c r="AL66" s="311">
        <f t="shared" si="598"/>
        <v>0.35783457059068335</v>
      </c>
      <c r="AM66" s="311">
        <f t="shared" si="598"/>
        <v>0.35783457059068335</v>
      </c>
      <c r="AN66" s="311">
        <f t="shared" si="598"/>
        <v>0.35783457059068313</v>
      </c>
      <c r="AO66" s="311">
        <f t="shared" si="598"/>
        <v>0.35783457059068335</v>
      </c>
      <c r="AP66" s="311">
        <f t="shared" si="598"/>
        <v>0.32827559796099237</v>
      </c>
      <c r="AQ66" s="311">
        <f t="shared" si="598"/>
        <v>0.32827559796099259</v>
      </c>
      <c r="AR66" s="311">
        <f t="shared" si="598"/>
        <v>0.32827559796099259</v>
      </c>
      <c r="AS66" s="311">
        <f t="shared" si="598"/>
        <v>0.32827559796099237</v>
      </c>
      <c r="AT66" s="311">
        <f t="shared" si="598"/>
        <v>0.29805266086158455</v>
      </c>
      <c r="AU66" s="311">
        <f t="shared" si="598"/>
        <v>0.29805266086158433</v>
      </c>
      <c r="AV66" s="311">
        <f t="shared" si="598"/>
        <v>0.29805266086158455</v>
      </c>
      <c r="AW66" s="311">
        <f t="shared" si="598"/>
        <v>0.29805266086158477</v>
      </c>
      <c r="AY66" s="79"/>
      <c r="AZ66" s="79"/>
      <c r="BA66" s="79"/>
      <c r="BB66" s="79"/>
      <c r="BC66" s="79"/>
      <c r="BD66" s="79"/>
      <c r="BE66" s="79"/>
      <c r="BF66" s="79"/>
      <c r="BG66" s="79"/>
      <c r="BH66" s="79"/>
      <c r="BI66" s="79"/>
      <c r="BJ66" s="79"/>
      <c r="BK66" s="311">
        <f t="shared" ref="BK66:BK68" si="662">IFERROR(BK54/AY54-1,"na")</f>
        <v>0.73647548085253844</v>
      </c>
      <c r="BL66" s="311">
        <f t="shared" si="599"/>
        <v>-0.15106617647058829</v>
      </c>
      <c r="BM66" s="311">
        <f t="shared" si="599"/>
        <v>0.84531243273875534</v>
      </c>
      <c r="BN66" s="311">
        <f t="shared" si="599"/>
        <v>0.704603725191842</v>
      </c>
      <c r="BO66" s="311">
        <f t="shared" si="599"/>
        <v>1.0302668832207207E-3</v>
      </c>
      <c r="BP66" s="311">
        <f t="shared" si="599"/>
        <v>-3.1888490944391612E-2</v>
      </c>
      <c r="BQ66" s="311">
        <f t="shared" si="599"/>
        <v>2.6921122994652404</v>
      </c>
      <c r="BR66" s="311">
        <f t="shared" si="599"/>
        <v>0.64439162198267685</v>
      </c>
      <c r="BS66" s="311">
        <f t="shared" si="599"/>
        <v>0.79666119016091619</v>
      </c>
      <c r="BT66" s="311">
        <f t="shared" si="599"/>
        <v>-0.21556492794885618</v>
      </c>
      <c r="BU66" s="311">
        <f t="shared" si="599"/>
        <v>0.81163847089563235</v>
      </c>
      <c r="BV66" s="311">
        <f t="shared" si="599"/>
        <v>0.81475215220615227</v>
      </c>
      <c r="BW66" s="311">
        <f t="shared" si="599"/>
        <v>0.31644912784896029</v>
      </c>
      <c r="BX66" s="311">
        <f t="shared" si="599"/>
        <v>1.7295130270538306</v>
      </c>
      <c r="BY66" s="311">
        <f t="shared" si="599"/>
        <v>-6.7812188528174722E-2</v>
      </c>
      <c r="BZ66" s="311">
        <f t="shared" si="599"/>
        <v>0.5865817641794282</v>
      </c>
      <c r="CA66" s="311">
        <f t="shared" si="599"/>
        <v>0.33622630923468311</v>
      </c>
      <c r="CB66" s="311">
        <f t="shared" si="599"/>
        <v>0.71925238869195107</v>
      </c>
      <c r="CC66" s="311">
        <f t="shared" si="599"/>
        <v>0.66502444146721218</v>
      </c>
      <c r="CD66" s="311">
        <f t="shared" si="599"/>
        <v>0.48745832883073814</v>
      </c>
      <c r="CE66" s="311">
        <f t="shared" si="599"/>
        <v>-0.30180666954496005</v>
      </c>
      <c r="CF66" s="311">
        <f t="shared" si="599"/>
        <v>1.1468563357500603</v>
      </c>
      <c r="CG66" s="311">
        <f t="shared" si="599"/>
        <v>4.8588490550228958E-2</v>
      </c>
      <c r="CH66" s="311">
        <f t="shared" si="599"/>
        <v>0.48077760962014171</v>
      </c>
      <c r="CI66" s="311">
        <f t="shared" si="599"/>
        <v>-0.13366656274824906</v>
      </c>
      <c r="CJ66" s="311">
        <f t="shared" si="599"/>
        <v>0.36601021574545434</v>
      </c>
      <c r="CK66" s="311">
        <f t="shared" si="599"/>
        <v>0.43684025194952358</v>
      </c>
      <c r="CL66" s="311">
        <f t="shared" si="599"/>
        <v>1.0834193186518619</v>
      </c>
      <c r="CM66" s="311">
        <f t="shared" si="599"/>
        <v>0.77305190253106049</v>
      </c>
      <c r="CN66" s="311">
        <f t="shared" si="599"/>
        <v>0.15241067314247125</v>
      </c>
      <c r="CO66" s="311">
        <f t="shared" si="599"/>
        <v>1.0387186601433833</v>
      </c>
      <c r="CP66" s="311">
        <f t="shared" si="599"/>
        <v>1.1782685265579058</v>
      </c>
      <c r="CQ66" s="311">
        <f t="shared" si="599"/>
        <v>1.9743881525092597</v>
      </c>
      <c r="CR66" s="311">
        <f t="shared" si="599"/>
        <v>0.88765240655605671</v>
      </c>
      <c r="CS66" s="311">
        <f t="shared" si="599"/>
        <v>1.5071888249383618</v>
      </c>
      <c r="CT66" s="311">
        <f t="shared" si="599"/>
        <v>1.1350865287152425</v>
      </c>
      <c r="CU66" s="311">
        <f t="shared" si="600"/>
        <v>1.3975115082463225</v>
      </c>
      <c r="CV66" s="311">
        <f t="shared" si="601"/>
        <v>0.74869232526447704</v>
      </c>
      <c r="CW66" s="311">
        <f t="shared" si="602"/>
        <v>0.64883215466902588</v>
      </c>
      <c r="CX66" s="311">
        <f t="shared" si="603"/>
        <v>0.15375682247004585</v>
      </c>
      <c r="CY66" s="311">
        <f t="shared" si="604"/>
        <v>0.60082990322205965</v>
      </c>
      <c r="CZ66" s="311">
        <f t="shared" si="605"/>
        <v>0.99770750279293696</v>
      </c>
      <c r="DA66" s="311">
        <f t="shared" si="606"/>
        <v>0.22520245171091458</v>
      </c>
      <c r="DB66" s="311">
        <f t="shared" si="607"/>
        <v>-6.3718293471476173E-2</v>
      </c>
      <c r="DC66" s="311">
        <f t="shared" si="608"/>
        <v>0.15234415722766514</v>
      </c>
      <c r="DD66" s="311">
        <f t="shared" si="609"/>
        <v>0.66579748510487979</v>
      </c>
      <c r="DE66" s="311">
        <f t="shared" si="610"/>
        <v>0.11084910007390203</v>
      </c>
      <c r="DF66" s="311">
        <f t="shared" si="611"/>
        <v>2.0574334363849589E-2</v>
      </c>
      <c r="DG66" s="311">
        <f t="shared" si="612"/>
        <v>0.49355562609002424</v>
      </c>
      <c r="DH66" s="311">
        <f t="shared" si="613"/>
        <v>0.43540063689085051</v>
      </c>
      <c r="DI66" s="311">
        <f t="shared" si="614"/>
        <v>0.4112830426945846</v>
      </c>
      <c r="DJ66" s="311">
        <f t="shared" si="615"/>
        <v>0.52264986751402254</v>
      </c>
      <c r="DK66" s="311">
        <f t="shared" si="616"/>
        <v>0.45608672193632627</v>
      </c>
      <c r="DL66" s="311">
        <f t="shared" si="617"/>
        <v>0.43529950836301534</v>
      </c>
      <c r="DM66" s="311">
        <f t="shared" si="618"/>
        <v>0.38684862156402278</v>
      </c>
      <c r="DN66" s="311">
        <f t="shared" si="619"/>
        <v>0.38684862156402278</v>
      </c>
      <c r="DO66" s="311">
        <f t="shared" si="620"/>
        <v>0.38684862156402278</v>
      </c>
      <c r="DP66" s="311">
        <f t="shared" si="621"/>
        <v>0.23452092463775309</v>
      </c>
      <c r="DQ66" s="311">
        <f t="shared" si="622"/>
        <v>0.32974205901769738</v>
      </c>
      <c r="DR66" s="311">
        <f t="shared" si="623"/>
        <v>0.33712228886925311</v>
      </c>
      <c r="DS66" s="311">
        <f t="shared" si="624"/>
        <v>0.35783457059068335</v>
      </c>
      <c r="DT66" s="311">
        <f t="shared" si="625"/>
        <v>0.35783457059068313</v>
      </c>
      <c r="DU66" s="311">
        <f t="shared" si="626"/>
        <v>0.35783457059068335</v>
      </c>
      <c r="DV66" s="311">
        <f t="shared" si="627"/>
        <v>0.35783457059068358</v>
      </c>
      <c r="DW66" s="311">
        <f t="shared" si="628"/>
        <v>0.35783457059068335</v>
      </c>
      <c r="DX66" s="311">
        <f t="shared" si="629"/>
        <v>0.35783457059068335</v>
      </c>
      <c r="DY66" s="311">
        <f t="shared" si="630"/>
        <v>0.35783457059068335</v>
      </c>
      <c r="DZ66" s="311">
        <f t="shared" si="631"/>
        <v>0.35783457059068313</v>
      </c>
      <c r="EA66" s="311">
        <f t="shared" si="632"/>
        <v>0.35783457059068313</v>
      </c>
      <c r="EB66" s="311">
        <f t="shared" si="633"/>
        <v>0.35783457059068335</v>
      </c>
      <c r="EC66" s="311">
        <f t="shared" si="634"/>
        <v>0.35783457059068335</v>
      </c>
      <c r="ED66" s="311">
        <f t="shared" si="635"/>
        <v>0.35783457059068335</v>
      </c>
      <c r="EE66" s="311">
        <f t="shared" si="636"/>
        <v>0.32827559796099237</v>
      </c>
      <c r="EF66" s="311">
        <f t="shared" si="637"/>
        <v>0.32827559796099259</v>
      </c>
      <c r="EG66" s="311">
        <f t="shared" si="638"/>
        <v>0.32827559796099259</v>
      </c>
      <c r="EH66" s="311">
        <f t="shared" si="639"/>
        <v>0.32827559796099259</v>
      </c>
      <c r="EI66" s="311">
        <f t="shared" si="640"/>
        <v>0.32827559796099237</v>
      </c>
      <c r="EJ66" s="311">
        <f t="shared" si="641"/>
        <v>0.32827559796099259</v>
      </c>
      <c r="EK66" s="311">
        <f t="shared" si="642"/>
        <v>0.32827559796099259</v>
      </c>
      <c r="EL66" s="311">
        <f t="shared" si="643"/>
        <v>0.32827559796099259</v>
      </c>
      <c r="EM66" s="311">
        <f t="shared" si="644"/>
        <v>0.32827559796099282</v>
      </c>
      <c r="EN66" s="311">
        <f t="shared" si="645"/>
        <v>0.32827559796099259</v>
      </c>
      <c r="EO66" s="311">
        <f t="shared" si="646"/>
        <v>0.32827559796099237</v>
      </c>
      <c r="EP66" s="311">
        <f t="shared" si="647"/>
        <v>0.32827559796099237</v>
      </c>
      <c r="EQ66" s="311">
        <f t="shared" si="648"/>
        <v>0.29805266086158477</v>
      </c>
      <c r="ER66" s="311">
        <f t="shared" si="649"/>
        <v>0.29805266086158477</v>
      </c>
      <c r="ES66" s="311">
        <f t="shared" si="650"/>
        <v>0.29805266086158455</v>
      </c>
      <c r="ET66" s="311">
        <f t="shared" si="651"/>
        <v>0.29805266086158477</v>
      </c>
      <c r="EU66" s="311">
        <f t="shared" si="652"/>
        <v>0.29805266086158477</v>
      </c>
      <c r="EV66" s="311">
        <f t="shared" si="653"/>
        <v>0.29805266086158455</v>
      </c>
      <c r="EW66" s="311">
        <f t="shared" si="654"/>
        <v>0.29805266086158455</v>
      </c>
      <c r="EX66" s="311">
        <f t="shared" si="655"/>
        <v>0.29805266086158477</v>
      </c>
      <c r="EY66" s="311">
        <f t="shared" si="656"/>
        <v>0.29805266086158455</v>
      </c>
      <c r="EZ66" s="311">
        <f t="shared" si="657"/>
        <v>0.29805266086158477</v>
      </c>
      <c r="FA66" s="311">
        <f t="shared" si="658"/>
        <v>0.29805266086158477</v>
      </c>
      <c r="FB66" s="311">
        <f t="shared" si="659"/>
        <v>0.29805266086158477</v>
      </c>
    </row>
    <row r="67" spans="3:158" x14ac:dyDescent="0.25">
      <c r="C67" s="2" t="s">
        <v>313</v>
      </c>
      <c r="D67" s="79"/>
      <c r="E67" s="312">
        <f t="shared" ref="E67:L67" si="663">IFERROR(E55/D55-1,"na")</f>
        <v>0.37971552165172118</v>
      </c>
      <c r="F67" s="312">
        <f t="shared" si="663"/>
        <v>5.9495818823723123E-2</v>
      </c>
      <c r="G67" s="312">
        <f t="shared" si="663"/>
        <v>1.2580093160715258</v>
      </c>
      <c r="H67" s="312">
        <f t="shared" si="663"/>
        <v>0.52638415438714814</v>
      </c>
      <c r="I67" s="312">
        <f t="shared" si="663"/>
        <v>0.62743724720934213</v>
      </c>
      <c r="J67" s="312">
        <f t="shared" si="663"/>
        <v>0.58581722357194721</v>
      </c>
      <c r="K67" s="312">
        <f t="shared" si="663"/>
        <v>0.54704404184366884</v>
      </c>
      <c r="L67" s="312">
        <f t="shared" si="663"/>
        <v>0.51044395244075491</v>
      </c>
      <c r="N67" s="79"/>
      <c r="O67" s="79"/>
      <c r="P67" s="79"/>
      <c r="Q67" s="79"/>
      <c r="R67" s="312">
        <f t="shared" si="661"/>
        <v>0.48503363525958698</v>
      </c>
      <c r="S67" s="312">
        <f t="shared" si="598"/>
        <v>1.3562553100261487</v>
      </c>
      <c r="T67" s="312">
        <f t="shared" si="598"/>
        <v>8.0973442571113718E-2</v>
      </c>
      <c r="U67" s="312">
        <f t="shared" si="598"/>
        <v>-1.3882398433859744E-2</v>
      </c>
      <c r="V67" s="312">
        <f t="shared" si="598"/>
        <v>-0.10722315941324101</v>
      </c>
      <c r="W67" s="312">
        <f t="shared" si="598"/>
        <v>-0.29014375651760527</v>
      </c>
      <c r="X67" s="312">
        <f t="shared" si="598"/>
        <v>1.1139534748725843</v>
      </c>
      <c r="Y67" s="312">
        <f t="shared" si="598"/>
        <v>-2.7721208176400003E-3</v>
      </c>
      <c r="Z67" s="312">
        <f t="shared" si="598"/>
        <v>0.86558611947473652</v>
      </c>
      <c r="AA67" s="312">
        <f t="shared" si="598"/>
        <v>1.2322689566492633</v>
      </c>
      <c r="AB67" s="312">
        <f t="shared" si="598"/>
        <v>0.93410807725149914</v>
      </c>
      <c r="AC67" s="312">
        <f t="shared" si="598"/>
        <v>1.8901147665391869</v>
      </c>
      <c r="AD67" s="312">
        <f t="shared" si="598"/>
        <v>1.1240216654099351</v>
      </c>
      <c r="AE67" s="312">
        <f t="shared" si="598"/>
        <v>0.50697747088818135</v>
      </c>
      <c r="AF67" s="312">
        <f t="shared" si="598"/>
        <v>0.25271791288779788</v>
      </c>
      <c r="AG67" s="312">
        <f t="shared" si="598"/>
        <v>0.54353845620034225</v>
      </c>
      <c r="AH67" s="312">
        <f t="shared" si="598"/>
        <v>0.67709513208910432</v>
      </c>
      <c r="AI67" s="312">
        <f t="shared" si="598"/>
        <v>0.71037626955045718</v>
      </c>
      <c r="AJ67" s="312">
        <f t="shared" si="598"/>
        <v>0.62743724720934213</v>
      </c>
      <c r="AK67" s="312">
        <f t="shared" si="598"/>
        <v>0.54776411397445601</v>
      </c>
      <c r="AL67" s="312">
        <f t="shared" si="598"/>
        <v>0.58581722357194721</v>
      </c>
      <c r="AM67" s="312">
        <f t="shared" si="598"/>
        <v>0.58581722357194743</v>
      </c>
      <c r="AN67" s="312">
        <f t="shared" si="598"/>
        <v>0.58581722357194721</v>
      </c>
      <c r="AO67" s="312">
        <f t="shared" si="598"/>
        <v>0.58581722357194699</v>
      </c>
      <c r="AP67" s="312">
        <f t="shared" si="598"/>
        <v>0.54704404184366884</v>
      </c>
      <c r="AQ67" s="312">
        <f t="shared" si="598"/>
        <v>0.54704404184366862</v>
      </c>
      <c r="AR67" s="312">
        <f t="shared" si="598"/>
        <v>0.54704404184366862</v>
      </c>
      <c r="AS67" s="312">
        <f t="shared" si="598"/>
        <v>0.54704404184366862</v>
      </c>
      <c r="AT67" s="312">
        <f t="shared" si="598"/>
        <v>0.51044395244075491</v>
      </c>
      <c r="AU67" s="312">
        <f t="shared" si="598"/>
        <v>0.51044395244075536</v>
      </c>
      <c r="AV67" s="312">
        <f t="shared" si="598"/>
        <v>0.51044395244075558</v>
      </c>
      <c r="AW67" s="312">
        <f t="shared" si="598"/>
        <v>0.51044395244075536</v>
      </c>
      <c r="AY67" s="79"/>
      <c r="AZ67" s="79"/>
      <c r="BA67" s="79"/>
      <c r="BB67" s="79"/>
      <c r="BC67" s="79"/>
      <c r="BD67" s="79"/>
      <c r="BE67" s="79"/>
      <c r="BF67" s="79"/>
      <c r="BG67" s="79"/>
      <c r="BH67" s="79"/>
      <c r="BI67" s="79"/>
      <c r="BJ67" s="79"/>
      <c r="BK67" s="312">
        <f t="shared" si="662"/>
        <v>11.81</v>
      </c>
      <c r="BL67" s="312">
        <f t="shared" si="599"/>
        <v>0.40531100134177955</v>
      </c>
      <c r="BM67" s="312">
        <f t="shared" si="599"/>
        <v>0.30251253532166</v>
      </c>
      <c r="BN67" s="312">
        <f t="shared" si="599"/>
        <v>0.49797751451119687</v>
      </c>
      <c r="BO67" s="312">
        <f t="shared" si="599"/>
        <v>2.1015201499964933</v>
      </c>
      <c r="BP67" s="312">
        <f t="shared" si="599"/>
        <v>1.052519754766081</v>
      </c>
      <c r="BQ67" s="312">
        <f t="shared" si="599"/>
        <v>0.29453276784549121</v>
      </c>
      <c r="BR67" s="312">
        <f t="shared" si="599"/>
        <v>-9.534687493568772E-2</v>
      </c>
      <c r="BS67" s="312">
        <f t="shared" si="599"/>
        <v>2.8084497849419021E-2</v>
      </c>
      <c r="BT67" s="312">
        <f t="shared" si="599"/>
        <v>-0.66019399610633844</v>
      </c>
      <c r="BU67" s="312">
        <f t="shared" si="599"/>
        <v>-0.32658593146096371</v>
      </c>
      <c r="BV67" s="312">
        <f t="shared" si="599"/>
        <v>0.68987274512210095</v>
      </c>
      <c r="BW67" s="312">
        <f t="shared" si="599"/>
        <v>1.5201282331511838</v>
      </c>
      <c r="BX67" s="312">
        <f t="shared" si="599"/>
        <v>0.26356748363563165</v>
      </c>
      <c r="BY67" s="312">
        <f t="shared" si="599"/>
        <v>-0.59308543407571435</v>
      </c>
      <c r="BZ67" s="312">
        <f t="shared" si="599"/>
        <v>0.70127887813286582</v>
      </c>
      <c r="CA67" s="312">
        <f t="shared" si="599"/>
        <v>-0.78462574084440129</v>
      </c>
      <c r="CB67" s="312">
        <f t="shared" si="599"/>
        <v>7.7818112283634111E-2</v>
      </c>
      <c r="CC67" s="312">
        <f t="shared" si="599"/>
        <v>-0.52012465800671093</v>
      </c>
      <c r="CD67" s="312">
        <f t="shared" si="599"/>
        <v>6.8545100626355469</v>
      </c>
      <c r="CE67" s="312">
        <f t="shared" si="599"/>
        <v>0.72751767637462605</v>
      </c>
      <c r="CF67" s="312">
        <f t="shared" si="599"/>
        <v>1.4218840417328522</v>
      </c>
      <c r="CG67" s="312">
        <f t="shared" si="599"/>
        <v>0.25491042653585971</v>
      </c>
      <c r="CH67" s="312">
        <f t="shared" si="599"/>
        <v>-0.26481584100858635</v>
      </c>
      <c r="CI67" s="312">
        <f t="shared" si="599"/>
        <v>9.2665053205558179E-2</v>
      </c>
      <c r="CJ67" s="312">
        <f t="shared" si="599"/>
        <v>-0.20785889952487535</v>
      </c>
      <c r="CK67" s="312">
        <f t="shared" si="599"/>
        <v>3.3703474056989675</v>
      </c>
      <c r="CL67" s="312">
        <f t="shared" si="599"/>
        <v>7.5148411048305608E-2</v>
      </c>
      <c r="CM67" s="312">
        <f t="shared" si="599"/>
        <v>2.3781065207036378</v>
      </c>
      <c r="CN67" s="312">
        <f t="shared" si="599"/>
        <v>1.5241684072193258</v>
      </c>
      <c r="CO67" s="312">
        <f t="shared" si="599"/>
        <v>2.9550173940421716</v>
      </c>
      <c r="CP67" s="312">
        <f t="shared" si="599"/>
        <v>0.41372831624290063</v>
      </c>
      <c r="CQ67" s="312">
        <f t="shared" si="599"/>
        <v>1.1594973706975669</v>
      </c>
      <c r="CR67" s="312">
        <f t="shared" si="599"/>
        <v>1.3248235553686882</v>
      </c>
      <c r="CS67" s="312">
        <f t="shared" si="599"/>
        <v>1.7173558042707624</v>
      </c>
      <c r="CT67" s="312">
        <f t="shared" si="599"/>
        <v>2.2094263538198833</v>
      </c>
      <c r="CU67" s="312">
        <f t="shared" si="600"/>
        <v>0.4973644606102301</v>
      </c>
      <c r="CV67" s="312">
        <f t="shared" si="601"/>
        <v>2.5730529667217419</v>
      </c>
      <c r="CW67" s="312">
        <f t="shared" si="602"/>
        <v>0.91653195989716774</v>
      </c>
      <c r="CX67" s="312">
        <f t="shared" si="603"/>
        <v>0.84900890619811875</v>
      </c>
      <c r="CY67" s="312">
        <f t="shared" si="604"/>
        <v>1.1677024981824116</v>
      </c>
      <c r="CZ67" s="312">
        <f t="shared" si="605"/>
        <v>0.17797896677323366</v>
      </c>
      <c r="DA67" s="312">
        <f t="shared" si="606"/>
        <v>0.41114474824014935</v>
      </c>
      <c r="DB67" s="312">
        <f t="shared" si="607"/>
        <v>7.8376076701480502E-2</v>
      </c>
      <c r="DC67" s="312">
        <f t="shared" si="608"/>
        <v>0.32722914761251465</v>
      </c>
      <c r="DD67" s="312">
        <f t="shared" si="609"/>
        <v>1.2932638641641931</v>
      </c>
      <c r="DE67" s="312">
        <f t="shared" si="610"/>
        <v>0.5292795928182128</v>
      </c>
      <c r="DF67" s="312">
        <f t="shared" si="611"/>
        <v>0.40500046531327616</v>
      </c>
      <c r="DG67" s="312">
        <f t="shared" si="612"/>
        <v>0.75265563875081098</v>
      </c>
      <c r="DH67" s="312">
        <f t="shared" si="613"/>
        <v>0.68441200057560958</v>
      </c>
      <c r="DI67" s="312">
        <f t="shared" si="614"/>
        <v>0.65611051871393444</v>
      </c>
      <c r="DJ67" s="312">
        <f t="shared" si="615"/>
        <v>0.78679710987930207</v>
      </c>
      <c r="DK67" s="312">
        <f t="shared" si="616"/>
        <v>0.70868667971397281</v>
      </c>
      <c r="DL67" s="312">
        <f t="shared" si="617"/>
        <v>0.68429332840736024</v>
      </c>
      <c r="DM67" s="312">
        <f t="shared" si="618"/>
        <v>0.62743724720934235</v>
      </c>
      <c r="DN67" s="312">
        <f t="shared" si="619"/>
        <v>0.62743724720934191</v>
      </c>
      <c r="DO67" s="312">
        <f t="shared" si="620"/>
        <v>0.62743724720934191</v>
      </c>
      <c r="DP67" s="312">
        <f t="shared" si="621"/>
        <v>0.4486839471701114</v>
      </c>
      <c r="DQ67" s="312">
        <f t="shared" si="622"/>
        <v>0.56042391532660929</v>
      </c>
      <c r="DR67" s="312">
        <f t="shared" si="623"/>
        <v>0.56908445748429859</v>
      </c>
      <c r="DS67" s="312">
        <f t="shared" si="624"/>
        <v>0.58581722357194743</v>
      </c>
      <c r="DT67" s="312">
        <f t="shared" si="625"/>
        <v>0.58581722357194721</v>
      </c>
      <c r="DU67" s="312">
        <f t="shared" si="626"/>
        <v>0.58581722357194721</v>
      </c>
      <c r="DV67" s="312">
        <f t="shared" si="627"/>
        <v>0.58581722357194765</v>
      </c>
      <c r="DW67" s="312">
        <f t="shared" si="628"/>
        <v>0.58581722357194721</v>
      </c>
      <c r="DX67" s="312">
        <f t="shared" si="629"/>
        <v>0.58581722357194743</v>
      </c>
      <c r="DY67" s="312">
        <f t="shared" si="630"/>
        <v>0.58581722357194743</v>
      </c>
      <c r="DZ67" s="312">
        <f t="shared" si="631"/>
        <v>0.58581722357194721</v>
      </c>
      <c r="EA67" s="312">
        <f t="shared" si="632"/>
        <v>0.58581722357194721</v>
      </c>
      <c r="EB67" s="312">
        <f t="shared" si="633"/>
        <v>0.58581722357194721</v>
      </c>
      <c r="EC67" s="312">
        <f t="shared" si="634"/>
        <v>0.58581722357194721</v>
      </c>
      <c r="ED67" s="312">
        <f t="shared" si="635"/>
        <v>0.58581722357194699</v>
      </c>
      <c r="EE67" s="312">
        <f t="shared" si="636"/>
        <v>0.54704404184366862</v>
      </c>
      <c r="EF67" s="312">
        <f t="shared" si="637"/>
        <v>0.54704404184366884</v>
      </c>
      <c r="EG67" s="312">
        <f t="shared" si="638"/>
        <v>0.54704404184366884</v>
      </c>
      <c r="EH67" s="312">
        <f t="shared" si="639"/>
        <v>0.54704404184366839</v>
      </c>
      <c r="EI67" s="312">
        <f t="shared" si="640"/>
        <v>0.54704404184366862</v>
      </c>
      <c r="EJ67" s="312">
        <f t="shared" si="641"/>
        <v>0.54704404184366884</v>
      </c>
      <c r="EK67" s="312">
        <f t="shared" si="642"/>
        <v>0.54704404184366862</v>
      </c>
      <c r="EL67" s="312">
        <f t="shared" si="643"/>
        <v>0.54704404184366862</v>
      </c>
      <c r="EM67" s="312">
        <f t="shared" si="644"/>
        <v>0.54704404184366884</v>
      </c>
      <c r="EN67" s="312">
        <f t="shared" si="645"/>
        <v>0.54704404184366862</v>
      </c>
      <c r="EO67" s="312">
        <f t="shared" si="646"/>
        <v>0.54704404184366862</v>
      </c>
      <c r="EP67" s="312">
        <f t="shared" si="647"/>
        <v>0.54704404184366862</v>
      </c>
      <c r="EQ67" s="312">
        <f t="shared" si="648"/>
        <v>0.51044395244075491</v>
      </c>
      <c r="ER67" s="312">
        <f t="shared" si="649"/>
        <v>0.51044395244075536</v>
      </c>
      <c r="ES67" s="312">
        <f t="shared" si="650"/>
        <v>0.51044395244075513</v>
      </c>
      <c r="ET67" s="312">
        <f t="shared" si="651"/>
        <v>0.51044395244075536</v>
      </c>
      <c r="EU67" s="312">
        <f t="shared" si="652"/>
        <v>0.51044395244075536</v>
      </c>
      <c r="EV67" s="312">
        <f t="shared" si="653"/>
        <v>0.51044395244075513</v>
      </c>
      <c r="EW67" s="312">
        <f t="shared" si="654"/>
        <v>0.51044395244075513</v>
      </c>
      <c r="EX67" s="312">
        <f t="shared" si="655"/>
        <v>0.51044395244075558</v>
      </c>
      <c r="EY67" s="312">
        <f t="shared" si="656"/>
        <v>0.51044395244075536</v>
      </c>
      <c r="EZ67" s="312">
        <f t="shared" si="657"/>
        <v>0.51044395244075513</v>
      </c>
      <c r="FA67" s="312">
        <f t="shared" si="658"/>
        <v>0.51044395244075536</v>
      </c>
      <c r="FB67" s="312">
        <f t="shared" si="659"/>
        <v>0.51044395244075536</v>
      </c>
    </row>
    <row r="68" spans="3:158" x14ac:dyDescent="0.25">
      <c r="C68" s="310" t="s">
        <v>308</v>
      </c>
      <c r="D68" s="79"/>
      <c r="E68" s="311">
        <f t="shared" ref="E68:L68" si="664">IFERROR(E56/D56-1,"na")</f>
        <v>0.46678569327373309</v>
      </c>
      <c r="F68" s="311">
        <f t="shared" si="664"/>
        <v>0.1660307015608451</v>
      </c>
      <c r="G68" s="311">
        <f t="shared" si="664"/>
        <v>0.97675785309607921</v>
      </c>
      <c r="H68" s="311">
        <f t="shared" si="664"/>
        <v>0.368636494265971</v>
      </c>
      <c r="I68" s="311">
        <f t="shared" si="664"/>
        <v>0.47500000000000031</v>
      </c>
      <c r="J68" s="311">
        <f t="shared" si="664"/>
        <v>0.44999999999999996</v>
      </c>
      <c r="K68" s="311">
        <f t="shared" si="664"/>
        <v>0.42500000000000027</v>
      </c>
      <c r="L68" s="311">
        <f t="shared" si="664"/>
        <v>0.39999999999999991</v>
      </c>
      <c r="N68" s="79"/>
      <c r="O68" s="79"/>
      <c r="P68" s="79"/>
      <c r="Q68" s="79"/>
      <c r="R68" s="311">
        <f t="shared" si="661"/>
        <v>0.66685541477792309</v>
      </c>
      <c r="S68" s="311">
        <f t="shared" si="598"/>
        <v>0.79535548122875643</v>
      </c>
      <c r="T68" s="311">
        <f t="shared" si="598"/>
        <v>0.3974077244440235</v>
      </c>
      <c r="U68" s="311">
        <f t="shared" si="598"/>
        <v>0.2162056894696045</v>
      </c>
      <c r="V68" s="311">
        <f t="shared" si="598"/>
        <v>-8.1344029057984657E-2</v>
      </c>
      <c r="W68" s="311">
        <f t="shared" si="598"/>
        <v>8.0798711845910809E-2</v>
      </c>
      <c r="X68" s="311">
        <f t="shared" si="598"/>
        <v>0.35579371148008732</v>
      </c>
      <c r="Y68" s="311">
        <f t="shared" si="598"/>
        <v>0.27219944083573711</v>
      </c>
      <c r="Z68" s="311">
        <f t="shared" si="598"/>
        <v>0.73542206786775144</v>
      </c>
      <c r="AA68" s="311">
        <f t="shared" si="598"/>
        <v>0.74914013153930226</v>
      </c>
      <c r="AB68" s="311">
        <f t="shared" si="598"/>
        <v>1.121869442850767</v>
      </c>
      <c r="AC68" s="311">
        <f t="shared" si="598"/>
        <v>1.1540638695694918</v>
      </c>
      <c r="AD68" s="311">
        <f t="shared" si="598"/>
        <v>0.7075580690782366</v>
      </c>
      <c r="AE68" s="311">
        <f t="shared" si="598"/>
        <v>0.45224765937638911</v>
      </c>
      <c r="AF68" s="311">
        <f t="shared" si="598"/>
        <v>0.17421157609769544</v>
      </c>
      <c r="AG68" s="311">
        <f t="shared" si="598"/>
        <v>0.33028976440234326</v>
      </c>
      <c r="AH68" s="311">
        <f t="shared" si="598"/>
        <v>0.52000657725712474</v>
      </c>
      <c r="AI68" s="311">
        <f t="shared" si="598"/>
        <v>0.55017036872722413</v>
      </c>
      <c r="AJ68" s="311">
        <f t="shared" si="598"/>
        <v>0.47499999999999987</v>
      </c>
      <c r="AK68" s="311">
        <f t="shared" si="598"/>
        <v>0.40278961417838288</v>
      </c>
      <c r="AL68" s="311">
        <f t="shared" si="598"/>
        <v>0.45000000000000018</v>
      </c>
      <c r="AM68" s="311">
        <f t="shared" si="598"/>
        <v>0.45000000000000018</v>
      </c>
      <c r="AN68" s="311">
        <f t="shared" si="598"/>
        <v>0.44999999999999996</v>
      </c>
      <c r="AO68" s="311">
        <f t="shared" si="598"/>
        <v>0.44999999999999996</v>
      </c>
      <c r="AP68" s="311">
        <f t="shared" si="598"/>
        <v>0.42500000000000004</v>
      </c>
      <c r="AQ68" s="311">
        <f t="shared" si="598"/>
        <v>0.42500000000000027</v>
      </c>
      <c r="AR68" s="311">
        <f t="shared" si="598"/>
        <v>0.42500000000000004</v>
      </c>
      <c r="AS68" s="311">
        <f t="shared" si="598"/>
        <v>0.42499999999999982</v>
      </c>
      <c r="AT68" s="311">
        <f t="shared" si="598"/>
        <v>0.39999999999999969</v>
      </c>
      <c r="AU68" s="311">
        <f t="shared" si="598"/>
        <v>0.39999999999999991</v>
      </c>
      <c r="AV68" s="311">
        <f t="shared" si="598"/>
        <v>0.40000000000000013</v>
      </c>
      <c r="AW68" s="311">
        <f t="shared" si="598"/>
        <v>0.40000000000000013</v>
      </c>
      <c r="AY68" s="79"/>
      <c r="AZ68" s="79"/>
      <c r="BA68" s="79"/>
      <c r="BB68" s="79"/>
      <c r="BC68" s="79"/>
      <c r="BD68" s="79"/>
      <c r="BE68" s="79"/>
      <c r="BF68" s="79"/>
      <c r="BG68" s="79"/>
      <c r="BH68" s="79"/>
      <c r="BI68" s="79"/>
      <c r="BJ68" s="79"/>
      <c r="BK68" s="311">
        <f t="shared" si="662"/>
        <v>2.1780669846025873</v>
      </c>
      <c r="BL68" s="311">
        <f t="shared" si="599"/>
        <v>0.30096914896750415</v>
      </c>
      <c r="BM68" s="311">
        <f t="shared" si="599"/>
        <v>0.67725709149997182</v>
      </c>
      <c r="BN68" s="311">
        <f t="shared" si="599"/>
        <v>1.0196814984091644</v>
      </c>
      <c r="BO68" s="311">
        <f t="shared" si="599"/>
        <v>1.0474757217207626</v>
      </c>
      <c r="BP68" s="311">
        <f t="shared" si="599"/>
        <v>0.5301152604379411</v>
      </c>
      <c r="BQ68" s="311">
        <f t="shared" si="599"/>
        <v>0.57044533636149497</v>
      </c>
      <c r="BR68" s="311">
        <f t="shared" si="599"/>
        <v>0.17360770114406021</v>
      </c>
      <c r="BS68" s="311">
        <f t="shared" si="599"/>
        <v>0.44502584516478572</v>
      </c>
      <c r="BT68" s="311">
        <f t="shared" si="599"/>
        <v>-0.33383673116706902</v>
      </c>
      <c r="BU68" s="311">
        <f t="shared" si="599"/>
        <v>8.2781898275485544E-2</v>
      </c>
      <c r="BV68" s="311">
        <f t="shared" si="599"/>
        <v>0.60881779381005696</v>
      </c>
      <c r="BW68" s="311">
        <f t="shared" si="599"/>
        <v>0.40184347322300096</v>
      </c>
      <c r="BX68" s="311">
        <f t="shared" si="599"/>
        <v>0.18723070859646462</v>
      </c>
      <c r="BY68" s="311">
        <f t="shared" si="599"/>
        <v>-0.29840982761423285</v>
      </c>
      <c r="BZ68" s="311">
        <f t="shared" si="599"/>
        <v>0.26854502061704921</v>
      </c>
      <c r="CA68" s="311">
        <f t="shared" si="599"/>
        <v>-0.38165538797181264</v>
      </c>
      <c r="CB68" s="311">
        <f t="shared" si="599"/>
        <v>0.4699237300846244</v>
      </c>
      <c r="CC68" s="311">
        <f t="shared" si="599"/>
        <v>-0.14068493708865759</v>
      </c>
      <c r="CD68" s="311">
        <f t="shared" si="599"/>
        <v>1.5648988106227257</v>
      </c>
      <c r="CE68" s="311">
        <f t="shared" si="599"/>
        <v>7.5932725596227435E-2</v>
      </c>
      <c r="CF68" s="311">
        <f t="shared" si="599"/>
        <v>0.9860283089518036</v>
      </c>
      <c r="CG68" s="311">
        <f t="shared" si="599"/>
        <v>0.17074214253864795</v>
      </c>
      <c r="CH68" s="311">
        <f t="shared" si="599"/>
        <v>0.21983619221810513</v>
      </c>
      <c r="CI68" s="311">
        <f t="shared" si="599"/>
        <v>0.32990619231928364</v>
      </c>
      <c r="CJ68" s="311">
        <f t="shared" si="599"/>
        <v>0.34541659292145255</v>
      </c>
      <c r="CK68" s="311">
        <f t="shared" si="599"/>
        <v>1.1838723545013354</v>
      </c>
      <c r="CL68" s="311">
        <f t="shared" si="599"/>
        <v>0.54925109215629009</v>
      </c>
      <c r="CM68" s="311">
        <f t="shared" si="599"/>
        <v>1.1935077020538043</v>
      </c>
      <c r="CN68" s="311">
        <f t="shared" si="599"/>
        <v>0.63368249032929413</v>
      </c>
      <c r="CO68" s="311">
        <f t="shared" si="599"/>
        <v>1.4710365910605594</v>
      </c>
      <c r="CP68" s="311">
        <f t="shared" si="599"/>
        <v>0.80470945299798702</v>
      </c>
      <c r="CQ68" s="311">
        <f t="shared" si="599"/>
        <v>1.3079526513097788</v>
      </c>
      <c r="CR68" s="311">
        <f t="shared" si="599"/>
        <v>0.47617798228132391</v>
      </c>
      <c r="CS68" s="311">
        <f t="shared" si="599"/>
        <v>1.3871760884531272</v>
      </c>
      <c r="CT68" s="311">
        <f t="shared" si="599"/>
        <v>1.1840329117261916</v>
      </c>
      <c r="CU68" s="311">
        <f t="shared" si="600"/>
        <v>0.39512804270880819</v>
      </c>
      <c r="CV68" s="311">
        <f t="shared" si="601"/>
        <v>1.0007969607494793</v>
      </c>
      <c r="CW68" s="311">
        <f t="shared" si="602"/>
        <v>0.67001816810105685</v>
      </c>
      <c r="CX68" s="311">
        <f t="shared" si="603"/>
        <v>0.37145304094905018</v>
      </c>
      <c r="CY68" s="311">
        <f t="shared" si="604"/>
        <v>0.65899389579133927</v>
      </c>
      <c r="CZ68" s="311">
        <f t="shared" si="605"/>
        <v>0.36209313876112725</v>
      </c>
      <c r="DA68" s="311">
        <f t="shared" si="606"/>
        <v>0.32270999072195972</v>
      </c>
      <c r="DB68" s="311">
        <f t="shared" si="607"/>
        <v>1.0795534751093294E-2</v>
      </c>
      <c r="DC68" s="311">
        <f t="shared" si="608"/>
        <v>0.24405328065303822</v>
      </c>
      <c r="DD68" s="311">
        <f t="shared" si="609"/>
        <v>0.9764363066671975</v>
      </c>
      <c r="DE68" s="311">
        <f t="shared" si="610"/>
        <v>0.31800084478841151</v>
      </c>
      <c r="DF68" s="311">
        <f t="shared" si="611"/>
        <v>0.21089159164051807</v>
      </c>
      <c r="DG68" s="311">
        <f t="shared" si="612"/>
        <v>0.58848955410746417</v>
      </c>
      <c r="DH68" s="311">
        <f t="shared" si="613"/>
        <v>0.52663809625185198</v>
      </c>
      <c r="DI68" s="311">
        <f t="shared" si="614"/>
        <v>0.50098753072771118</v>
      </c>
      <c r="DJ68" s="311">
        <f t="shared" si="615"/>
        <v>0.61943309432744953</v>
      </c>
      <c r="DK68" s="311">
        <f t="shared" si="616"/>
        <v>0.54863903778768242</v>
      </c>
      <c r="DL68" s="311">
        <f t="shared" si="617"/>
        <v>0.52653053975560749</v>
      </c>
      <c r="DM68" s="311">
        <f t="shared" si="618"/>
        <v>0.47500000000000031</v>
      </c>
      <c r="DN68" s="311">
        <f t="shared" si="619"/>
        <v>0.47500000000000031</v>
      </c>
      <c r="DO68" s="311">
        <f t="shared" si="620"/>
        <v>0.47500000000000009</v>
      </c>
      <c r="DP68" s="311">
        <f t="shared" si="621"/>
        <v>0.31298999438535668</v>
      </c>
      <c r="DQ68" s="311">
        <f t="shared" si="622"/>
        <v>0.41426360927493544</v>
      </c>
      <c r="DR68" s="311">
        <f t="shared" si="623"/>
        <v>0.42211294399091059</v>
      </c>
      <c r="DS68" s="311">
        <f t="shared" si="624"/>
        <v>0.45000000000000018</v>
      </c>
      <c r="DT68" s="311">
        <f t="shared" si="625"/>
        <v>0.44999999999999996</v>
      </c>
      <c r="DU68" s="311">
        <f t="shared" si="626"/>
        <v>0.45000000000000018</v>
      </c>
      <c r="DV68" s="311">
        <f t="shared" si="627"/>
        <v>0.4500000000000004</v>
      </c>
      <c r="DW68" s="311">
        <f t="shared" si="628"/>
        <v>0.44999999999999996</v>
      </c>
      <c r="DX68" s="311">
        <f t="shared" si="629"/>
        <v>0.44999999999999996</v>
      </c>
      <c r="DY68" s="311">
        <f t="shared" si="630"/>
        <v>0.44999999999999996</v>
      </c>
      <c r="DZ68" s="311">
        <f t="shared" si="631"/>
        <v>0.44999999999999996</v>
      </c>
      <c r="EA68" s="311">
        <f t="shared" si="632"/>
        <v>0.45000000000000018</v>
      </c>
      <c r="EB68" s="311">
        <f t="shared" si="633"/>
        <v>0.45000000000000018</v>
      </c>
      <c r="EC68" s="311">
        <f t="shared" si="634"/>
        <v>0.44999999999999996</v>
      </c>
      <c r="ED68" s="311">
        <f t="shared" si="635"/>
        <v>0.44999999999999996</v>
      </c>
      <c r="EE68" s="311">
        <f t="shared" si="636"/>
        <v>0.42500000000000004</v>
      </c>
      <c r="EF68" s="311">
        <f t="shared" si="637"/>
        <v>0.42500000000000004</v>
      </c>
      <c r="EG68" s="311">
        <f t="shared" si="638"/>
        <v>0.42500000000000004</v>
      </c>
      <c r="EH68" s="311">
        <f t="shared" si="639"/>
        <v>0.42500000000000004</v>
      </c>
      <c r="EI68" s="311">
        <f t="shared" si="640"/>
        <v>0.42500000000000004</v>
      </c>
      <c r="EJ68" s="311">
        <f t="shared" si="641"/>
        <v>0.42500000000000004</v>
      </c>
      <c r="EK68" s="311">
        <f t="shared" si="642"/>
        <v>0.42500000000000004</v>
      </c>
      <c r="EL68" s="311">
        <f t="shared" si="643"/>
        <v>0.42500000000000027</v>
      </c>
      <c r="EM68" s="311">
        <f t="shared" si="644"/>
        <v>0.42500000000000004</v>
      </c>
      <c r="EN68" s="311">
        <f t="shared" si="645"/>
        <v>0.42500000000000004</v>
      </c>
      <c r="EO68" s="311">
        <f t="shared" si="646"/>
        <v>0.42500000000000004</v>
      </c>
      <c r="EP68" s="311">
        <f t="shared" si="647"/>
        <v>0.42500000000000004</v>
      </c>
      <c r="EQ68" s="311">
        <f t="shared" si="648"/>
        <v>0.39999999999999969</v>
      </c>
      <c r="ER68" s="311">
        <f t="shared" si="649"/>
        <v>0.40000000000000013</v>
      </c>
      <c r="ES68" s="311">
        <f t="shared" si="650"/>
        <v>0.39999999999999991</v>
      </c>
      <c r="ET68" s="311">
        <f t="shared" si="651"/>
        <v>0.39999999999999991</v>
      </c>
      <c r="EU68" s="311">
        <f t="shared" si="652"/>
        <v>0.39999999999999991</v>
      </c>
      <c r="EV68" s="311">
        <f t="shared" si="653"/>
        <v>0.39999999999999991</v>
      </c>
      <c r="EW68" s="311">
        <f t="shared" si="654"/>
        <v>0.39999999999999991</v>
      </c>
      <c r="EX68" s="311">
        <f t="shared" si="655"/>
        <v>0.39999999999999991</v>
      </c>
      <c r="EY68" s="311">
        <f t="shared" si="656"/>
        <v>0.39999999999999991</v>
      </c>
      <c r="EZ68" s="311">
        <f t="shared" si="657"/>
        <v>0.39999999999999991</v>
      </c>
      <c r="FA68" s="311">
        <f t="shared" si="658"/>
        <v>0.39999999999999991</v>
      </c>
      <c r="FB68" s="311">
        <f t="shared" si="659"/>
        <v>0.39999999999999991</v>
      </c>
    </row>
    <row r="70" spans="3:158" x14ac:dyDescent="0.25">
      <c r="C70" s="1" t="s">
        <v>624</v>
      </c>
    </row>
    <row r="71" spans="3:158" x14ac:dyDescent="0.25">
      <c r="C71" s="2" t="s">
        <v>607</v>
      </c>
      <c r="D71" s="19">
        <f>D8/SUM(D8:D9)</f>
        <v>0.92868615590039572</v>
      </c>
      <c r="E71" s="19">
        <f t="shared" ref="E71:G71" si="665">E8/SUM(E8:E9)</f>
        <v>0.84357617084675851</v>
      </c>
      <c r="F71" s="19">
        <f t="shared" si="665"/>
        <v>0.797855863048198</v>
      </c>
      <c r="G71" s="19">
        <f t="shared" si="665"/>
        <v>0.87615496628128398</v>
      </c>
      <c r="H71" s="250">
        <v>0.77</v>
      </c>
      <c r="I71" s="250">
        <f>H71-2%</f>
        <v>0.75</v>
      </c>
      <c r="J71" s="250">
        <f t="shared" ref="J71:L71" si="666">I71-2%</f>
        <v>0.73</v>
      </c>
      <c r="K71" s="250">
        <f t="shared" si="666"/>
        <v>0.71</v>
      </c>
      <c r="L71" s="250">
        <f t="shared" si="666"/>
        <v>0.69</v>
      </c>
      <c r="N71" s="19">
        <f t="shared" ref="N71:AW71" si="667">N8/SUM(N8:N9)</f>
        <v>0.92310776327306887</v>
      </c>
      <c r="O71" s="19">
        <f t="shared" si="667"/>
        <v>0.87292139425910642</v>
      </c>
      <c r="P71" s="19">
        <f t="shared" si="667"/>
        <v>0.88072569813980006</v>
      </c>
      <c r="Q71" s="19">
        <f t="shared" si="667"/>
        <v>0.98794864371671243</v>
      </c>
      <c r="R71" s="19">
        <f t="shared" si="667"/>
        <v>0.91140358300494584</v>
      </c>
      <c r="S71" s="19">
        <f t="shared" si="667"/>
        <v>0.89649524624041599</v>
      </c>
      <c r="T71" s="19">
        <f t="shared" si="667"/>
        <v>0.78438653863979202</v>
      </c>
      <c r="U71" s="19">
        <f t="shared" si="667"/>
        <v>0.78725924820091187</v>
      </c>
      <c r="V71" s="19">
        <f t="shared" si="667"/>
        <v>0.79691937486962428</v>
      </c>
      <c r="W71" s="19">
        <f t="shared" si="667"/>
        <v>0.84333103910988461</v>
      </c>
      <c r="X71" s="19">
        <f t="shared" si="667"/>
        <v>0.74884639170770539</v>
      </c>
      <c r="Y71" s="19">
        <f t="shared" si="667"/>
        <v>0.7938841639265759</v>
      </c>
      <c r="Z71" s="19">
        <f t="shared" si="667"/>
        <v>0.75431576489186702</v>
      </c>
      <c r="AA71" s="19">
        <f t="shared" si="667"/>
        <v>0.76285502618379131</v>
      </c>
      <c r="AB71" s="19">
        <f t="shared" si="667"/>
        <v>0.9595080117806144</v>
      </c>
      <c r="AC71" s="19">
        <f t="shared" si="667"/>
        <v>0.96138055737080463</v>
      </c>
      <c r="AD71" s="19">
        <f t="shared" si="667"/>
        <v>0.77</v>
      </c>
      <c r="AE71" s="19">
        <f t="shared" si="667"/>
        <v>0.77</v>
      </c>
      <c r="AF71" s="19">
        <f t="shared" si="667"/>
        <v>0.77</v>
      </c>
      <c r="AG71" s="19">
        <f t="shared" si="667"/>
        <v>0.77</v>
      </c>
      <c r="AH71" s="19">
        <f t="shared" si="667"/>
        <v>0.75</v>
      </c>
      <c r="AI71" s="19">
        <f t="shared" si="667"/>
        <v>0.75</v>
      </c>
      <c r="AJ71" s="19">
        <f t="shared" si="667"/>
        <v>0.75</v>
      </c>
      <c r="AK71" s="19">
        <f t="shared" si="667"/>
        <v>0.74999999999999989</v>
      </c>
      <c r="AL71" s="19">
        <f t="shared" si="667"/>
        <v>0.73</v>
      </c>
      <c r="AM71" s="19">
        <f t="shared" si="667"/>
        <v>0.73</v>
      </c>
      <c r="AN71" s="19">
        <f t="shared" si="667"/>
        <v>0.73</v>
      </c>
      <c r="AO71" s="19">
        <f t="shared" si="667"/>
        <v>0.73</v>
      </c>
      <c r="AP71" s="19">
        <f t="shared" si="667"/>
        <v>0.71</v>
      </c>
      <c r="AQ71" s="19">
        <f t="shared" si="667"/>
        <v>0.71</v>
      </c>
      <c r="AR71" s="19">
        <f t="shared" si="667"/>
        <v>0.71</v>
      </c>
      <c r="AS71" s="19">
        <f t="shared" si="667"/>
        <v>0.71000000000000008</v>
      </c>
      <c r="AT71" s="19">
        <f t="shared" si="667"/>
        <v>0.69000000000000006</v>
      </c>
      <c r="AU71" s="19">
        <f t="shared" si="667"/>
        <v>0.69</v>
      </c>
      <c r="AV71" s="19">
        <f t="shared" si="667"/>
        <v>0.69</v>
      </c>
      <c r="AW71" s="19">
        <f t="shared" si="667"/>
        <v>0.69</v>
      </c>
      <c r="AY71" s="19">
        <f t="shared" ref="AY71:BK71" si="668">AY8/SUM(AY8:AY9)</f>
        <v>0.8855416232855009</v>
      </c>
      <c r="AZ71" s="19">
        <f t="shared" si="668"/>
        <v>0.94520843444965752</v>
      </c>
      <c r="BA71" s="19">
        <f t="shared" si="668"/>
        <v>0.9109459842458294</v>
      </c>
      <c r="BB71" s="19">
        <f t="shared" si="668"/>
        <v>0.82108850355818386</v>
      </c>
      <c r="BC71" s="19">
        <f t="shared" si="668"/>
        <v>0.86</v>
      </c>
      <c r="BD71" s="19">
        <f t="shared" si="668"/>
        <v>0.90056469204368639</v>
      </c>
      <c r="BE71" s="19">
        <f t="shared" si="668"/>
        <v>0.84614744103622541</v>
      </c>
      <c r="BF71" s="19">
        <f t="shared" si="668"/>
        <v>0.87244727116494381</v>
      </c>
      <c r="BG71" s="19">
        <f t="shared" si="668"/>
        <v>0.90071668651401082</v>
      </c>
      <c r="BH71" s="19">
        <f t="shared" si="668"/>
        <v>0.98837630068029403</v>
      </c>
      <c r="BI71" s="19">
        <f t="shared" si="668"/>
        <v>1.0335660193675154</v>
      </c>
      <c r="BJ71" s="19">
        <f t="shared" si="668"/>
        <v>0.9415286914425065</v>
      </c>
      <c r="BK71" s="19">
        <f t="shared" si="668"/>
        <v>0.94569215823516128</v>
      </c>
      <c r="BL71" s="19">
        <f t="shared" ref="BL71:CT71" si="669">BL8/SUM(BL8:BL9)</f>
        <v>0.89073349189440165</v>
      </c>
      <c r="BM71" s="19">
        <f t="shared" si="669"/>
        <v>0.91358677732072469</v>
      </c>
      <c r="BN71" s="19">
        <f t="shared" si="669"/>
        <v>0.90856936402558852</v>
      </c>
      <c r="BO71" s="19">
        <f t="shared" si="669"/>
        <v>0.91270854142247093</v>
      </c>
      <c r="BP71" s="19">
        <f t="shared" si="669"/>
        <v>0.8767356130706736</v>
      </c>
      <c r="BQ71" s="19">
        <f t="shared" si="669"/>
        <v>0.95553927008419548</v>
      </c>
      <c r="BR71" s="19">
        <f t="shared" si="669"/>
        <v>0.81987372059935593</v>
      </c>
      <c r="BS71" s="19">
        <f t="shared" si="669"/>
        <v>0.70311394911439651</v>
      </c>
      <c r="BT71" s="19">
        <f t="shared" si="669"/>
        <v>0.64383265525921451</v>
      </c>
      <c r="BU71" s="19">
        <f t="shared" si="669"/>
        <v>0.81377085252252035</v>
      </c>
      <c r="BV71" s="19">
        <f t="shared" si="669"/>
        <v>0.81459959898554279</v>
      </c>
      <c r="BW71" s="19">
        <f t="shared" si="669"/>
        <v>0.72985668954430938</v>
      </c>
      <c r="BX71" s="19">
        <f t="shared" si="669"/>
        <v>0.80765620439742092</v>
      </c>
      <c r="BY71" s="19">
        <f t="shared" si="669"/>
        <v>0.81604087548042192</v>
      </c>
      <c r="BZ71" s="19">
        <f t="shared" si="669"/>
        <v>0.8150456062357696</v>
      </c>
      <c r="CA71" s="19">
        <f t="shared" si="669"/>
        <v>0.84675429329024887</v>
      </c>
      <c r="CB71" s="19">
        <f t="shared" si="669"/>
        <v>0.84983418482773421</v>
      </c>
      <c r="CC71" s="19">
        <f t="shared" si="669"/>
        <v>0.64121572658310233</v>
      </c>
      <c r="CD71" s="19">
        <f t="shared" si="669"/>
        <v>0.85451079396705687</v>
      </c>
      <c r="CE71" s="19">
        <f t="shared" si="669"/>
        <v>0.71162876705770661</v>
      </c>
      <c r="CF71" s="19">
        <f t="shared" si="669"/>
        <v>0.70480558917160285</v>
      </c>
      <c r="CG71" s="19">
        <f t="shared" si="669"/>
        <v>0.71497996693778587</v>
      </c>
      <c r="CH71" s="19">
        <f t="shared" si="669"/>
        <v>0.87998717266428539</v>
      </c>
      <c r="CI71" s="19">
        <f t="shared" si="669"/>
        <v>0.63940249561409668</v>
      </c>
      <c r="CJ71" s="19">
        <f t="shared" si="669"/>
        <v>0.78190963913155487</v>
      </c>
      <c r="CK71" s="19">
        <f t="shared" si="669"/>
        <v>0.7832385385576307</v>
      </c>
      <c r="CL71" s="19">
        <f t="shared" si="669"/>
        <v>0.63580533514992843</v>
      </c>
      <c r="CM71" s="19">
        <f t="shared" si="669"/>
        <v>0.73607234093222562</v>
      </c>
      <c r="CN71" s="19">
        <f t="shared" si="669"/>
        <v>0.82354101562584126</v>
      </c>
      <c r="CO71" s="19">
        <f t="shared" si="669"/>
        <v>0.9595080117806144</v>
      </c>
      <c r="CP71" s="19">
        <f t="shared" si="669"/>
        <v>0.9595080117806144</v>
      </c>
      <c r="CQ71" s="19">
        <f t="shared" si="669"/>
        <v>0.9595080117806144</v>
      </c>
      <c r="CR71" s="19">
        <f t="shared" si="669"/>
        <v>0.96138055737080463</v>
      </c>
      <c r="CS71" s="19">
        <f t="shared" si="669"/>
        <v>0.96138055737080463</v>
      </c>
      <c r="CT71" s="19">
        <f t="shared" si="669"/>
        <v>0.96138055737080463</v>
      </c>
      <c r="CU71" s="85">
        <f t="shared" ref="CU71:DJ73" si="670">INDEX($D71:$L71,1,MATCH(CU$2,$D$2:$L$2,0))</f>
        <v>0.77</v>
      </c>
      <c r="CV71" s="85">
        <f t="shared" si="670"/>
        <v>0.77</v>
      </c>
      <c r="CW71" s="85">
        <f t="shared" si="670"/>
        <v>0.77</v>
      </c>
      <c r="CX71" s="85">
        <f t="shared" si="670"/>
        <v>0.77</v>
      </c>
      <c r="CY71" s="85">
        <f t="shared" si="670"/>
        <v>0.77</v>
      </c>
      <c r="CZ71" s="85">
        <f t="shared" si="670"/>
        <v>0.77</v>
      </c>
      <c r="DA71" s="85">
        <f t="shared" si="670"/>
        <v>0.77</v>
      </c>
      <c r="DB71" s="85">
        <f t="shared" si="670"/>
        <v>0.77</v>
      </c>
      <c r="DC71" s="85">
        <f t="shared" si="670"/>
        <v>0.77</v>
      </c>
      <c r="DD71" s="85">
        <f t="shared" si="670"/>
        <v>0.77</v>
      </c>
      <c r="DE71" s="85">
        <f t="shared" si="670"/>
        <v>0.77</v>
      </c>
      <c r="DF71" s="85">
        <f t="shared" si="670"/>
        <v>0.77</v>
      </c>
      <c r="DG71" s="85">
        <f t="shared" si="670"/>
        <v>0.75</v>
      </c>
      <c r="DH71" s="85">
        <f t="shared" si="670"/>
        <v>0.75</v>
      </c>
      <c r="DI71" s="85">
        <f t="shared" si="670"/>
        <v>0.75</v>
      </c>
      <c r="DJ71" s="85">
        <f t="shared" si="670"/>
        <v>0.75</v>
      </c>
      <c r="DK71" s="85">
        <f t="shared" ref="DK71:DZ73" si="671">INDEX($D71:$L71,1,MATCH(DK$2,$D$2:$L$2,0))</f>
        <v>0.75</v>
      </c>
      <c r="DL71" s="85">
        <f t="shared" si="671"/>
        <v>0.75</v>
      </c>
      <c r="DM71" s="85">
        <f t="shared" si="671"/>
        <v>0.75</v>
      </c>
      <c r="DN71" s="85">
        <f t="shared" si="671"/>
        <v>0.75</v>
      </c>
      <c r="DO71" s="85">
        <f t="shared" si="671"/>
        <v>0.75</v>
      </c>
      <c r="DP71" s="85">
        <f t="shared" si="671"/>
        <v>0.75</v>
      </c>
      <c r="DQ71" s="85">
        <f t="shared" si="671"/>
        <v>0.75</v>
      </c>
      <c r="DR71" s="85">
        <f t="shared" si="671"/>
        <v>0.75</v>
      </c>
      <c r="DS71" s="85">
        <f t="shared" si="671"/>
        <v>0.73</v>
      </c>
      <c r="DT71" s="85">
        <f t="shared" si="671"/>
        <v>0.73</v>
      </c>
      <c r="DU71" s="85">
        <f t="shared" si="671"/>
        <v>0.73</v>
      </c>
      <c r="DV71" s="85">
        <f t="shared" si="671"/>
        <v>0.73</v>
      </c>
      <c r="DW71" s="85">
        <f t="shared" si="671"/>
        <v>0.73</v>
      </c>
      <c r="DX71" s="85">
        <f t="shared" si="671"/>
        <v>0.73</v>
      </c>
      <c r="DY71" s="85">
        <f t="shared" si="671"/>
        <v>0.73</v>
      </c>
      <c r="DZ71" s="85">
        <f t="shared" si="671"/>
        <v>0.73</v>
      </c>
      <c r="EA71" s="85">
        <f t="shared" ref="EA71:EP73" si="672">INDEX($D71:$L71,1,MATCH(EA$2,$D$2:$L$2,0))</f>
        <v>0.73</v>
      </c>
      <c r="EB71" s="85">
        <f t="shared" si="672"/>
        <v>0.73</v>
      </c>
      <c r="EC71" s="85">
        <f t="shared" si="672"/>
        <v>0.73</v>
      </c>
      <c r="ED71" s="85">
        <f t="shared" si="672"/>
        <v>0.73</v>
      </c>
      <c r="EE71" s="85">
        <f t="shared" si="672"/>
        <v>0.71</v>
      </c>
      <c r="EF71" s="85">
        <f t="shared" si="672"/>
        <v>0.71</v>
      </c>
      <c r="EG71" s="85">
        <f t="shared" si="672"/>
        <v>0.71</v>
      </c>
      <c r="EH71" s="85">
        <f t="shared" si="672"/>
        <v>0.71</v>
      </c>
      <c r="EI71" s="85">
        <f t="shared" si="672"/>
        <v>0.71</v>
      </c>
      <c r="EJ71" s="85">
        <f t="shared" si="672"/>
        <v>0.71</v>
      </c>
      <c r="EK71" s="85">
        <f t="shared" si="672"/>
        <v>0.71</v>
      </c>
      <c r="EL71" s="85">
        <f t="shared" si="672"/>
        <v>0.71</v>
      </c>
      <c r="EM71" s="85">
        <f t="shared" si="672"/>
        <v>0.71</v>
      </c>
      <c r="EN71" s="85">
        <f t="shared" si="672"/>
        <v>0.71</v>
      </c>
      <c r="EO71" s="85">
        <f t="shared" si="672"/>
        <v>0.71</v>
      </c>
      <c r="EP71" s="85">
        <f t="shared" si="672"/>
        <v>0.71</v>
      </c>
      <c r="EQ71" s="85">
        <f t="shared" ref="EQ71:FB73" si="673">INDEX($D71:$L71,1,MATCH(EQ$2,$D$2:$L$2,0))</f>
        <v>0.69</v>
      </c>
      <c r="ER71" s="85">
        <f t="shared" si="673"/>
        <v>0.69</v>
      </c>
      <c r="ES71" s="85">
        <f t="shared" si="673"/>
        <v>0.69</v>
      </c>
      <c r="ET71" s="85">
        <f t="shared" si="673"/>
        <v>0.69</v>
      </c>
      <c r="EU71" s="85">
        <f t="shared" si="673"/>
        <v>0.69</v>
      </c>
      <c r="EV71" s="85">
        <f t="shared" si="673"/>
        <v>0.69</v>
      </c>
      <c r="EW71" s="85">
        <f t="shared" si="673"/>
        <v>0.69</v>
      </c>
      <c r="EX71" s="85">
        <f t="shared" si="673"/>
        <v>0.69</v>
      </c>
      <c r="EY71" s="85">
        <f t="shared" si="673"/>
        <v>0.69</v>
      </c>
      <c r="EZ71" s="85">
        <f t="shared" si="673"/>
        <v>0.69</v>
      </c>
      <c r="FA71" s="85">
        <f t="shared" si="673"/>
        <v>0.69</v>
      </c>
      <c r="FB71" s="85">
        <f t="shared" si="673"/>
        <v>0.69</v>
      </c>
    </row>
    <row r="72" spans="3:158" x14ac:dyDescent="0.25">
      <c r="C72" s="2" t="s">
        <v>608</v>
      </c>
      <c r="D72" s="19">
        <f>D19/SUM(D19:D20)</f>
        <v>0.68576084120729364</v>
      </c>
      <c r="E72" s="19">
        <f t="shared" ref="E72:G72" si="674">E19/SUM(E19:E20)</f>
        <v>0.70219356137034739</v>
      </c>
      <c r="F72" s="19">
        <f t="shared" si="674"/>
        <v>0.54636879031546071</v>
      </c>
      <c r="G72" s="19">
        <f t="shared" si="674"/>
        <v>0.45642616156453836</v>
      </c>
      <c r="H72" s="250">
        <f>G72-3%</f>
        <v>0.42642616156453839</v>
      </c>
      <c r="I72" s="250">
        <v>0.42</v>
      </c>
      <c r="J72" s="250">
        <f t="shared" ref="J72:L72" si="675">I72-3%</f>
        <v>0.39</v>
      </c>
      <c r="K72" s="250">
        <f t="shared" si="675"/>
        <v>0.36</v>
      </c>
      <c r="L72" s="250">
        <f t="shared" si="675"/>
        <v>0.32999999999999996</v>
      </c>
      <c r="N72" s="19">
        <f t="shared" ref="N72:AW72" si="676">N19/SUM(N19:N20)</f>
        <v>0.81946845881220809</v>
      </c>
      <c r="O72" s="19">
        <f t="shared" si="676"/>
        <v>0.70103389250714065</v>
      </c>
      <c r="P72" s="19">
        <f t="shared" si="676"/>
        <v>0.68018678110024466</v>
      </c>
      <c r="Q72" s="19">
        <f t="shared" si="676"/>
        <v>0.59426899094755625</v>
      </c>
      <c r="R72" s="19">
        <f t="shared" si="676"/>
        <v>0.71461347811597864</v>
      </c>
      <c r="S72" s="19">
        <f t="shared" si="676"/>
        <v>0.69756121363488266</v>
      </c>
      <c r="T72" s="19">
        <f t="shared" si="676"/>
        <v>0.74356678185706171</v>
      </c>
      <c r="U72" s="19">
        <f t="shared" si="676"/>
        <v>0.66483034325825774</v>
      </c>
      <c r="V72" s="19">
        <f t="shared" si="676"/>
        <v>0.7035414191902245</v>
      </c>
      <c r="W72" s="19">
        <f t="shared" si="676"/>
        <v>0.57950684786192508</v>
      </c>
      <c r="X72" s="19">
        <f t="shared" si="676"/>
        <v>0.40701138711203677</v>
      </c>
      <c r="Y72" s="19">
        <f t="shared" si="676"/>
        <v>0.52440386658459992</v>
      </c>
      <c r="Z72" s="19">
        <f t="shared" si="676"/>
        <v>0.4180880151453546</v>
      </c>
      <c r="AA72" s="19">
        <f t="shared" si="676"/>
        <v>0.4593499454949565</v>
      </c>
      <c r="AB72" s="19">
        <f t="shared" si="676"/>
        <v>0.46364850235017457</v>
      </c>
      <c r="AC72" s="19">
        <f t="shared" si="676"/>
        <v>0.462476380870398</v>
      </c>
      <c r="AD72" s="19">
        <f t="shared" si="676"/>
        <v>0.42642616156453844</v>
      </c>
      <c r="AE72" s="19">
        <f t="shared" si="676"/>
        <v>0.42642616156453839</v>
      </c>
      <c r="AF72" s="19">
        <f t="shared" si="676"/>
        <v>0.42642616156453839</v>
      </c>
      <c r="AG72" s="19">
        <f t="shared" si="676"/>
        <v>0.42642616156453839</v>
      </c>
      <c r="AH72" s="19">
        <f t="shared" si="676"/>
        <v>0.42</v>
      </c>
      <c r="AI72" s="19">
        <f t="shared" si="676"/>
        <v>0.42</v>
      </c>
      <c r="AJ72" s="19">
        <f t="shared" si="676"/>
        <v>0.41999999999999993</v>
      </c>
      <c r="AK72" s="19">
        <f t="shared" si="676"/>
        <v>0.42</v>
      </c>
      <c r="AL72" s="19">
        <f t="shared" si="676"/>
        <v>0.39</v>
      </c>
      <c r="AM72" s="19">
        <f t="shared" si="676"/>
        <v>0.39</v>
      </c>
      <c r="AN72" s="19">
        <f t="shared" si="676"/>
        <v>0.39</v>
      </c>
      <c r="AO72" s="19">
        <f t="shared" si="676"/>
        <v>0.39</v>
      </c>
      <c r="AP72" s="19">
        <f t="shared" si="676"/>
        <v>0.36000000000000004</v>
      </c>
      <c r="AQ72" s="19">
        <f t="shared" si="676"/>
        <v>0.36</v>
      </c>
      <c r="AR72" s="19">
        <f t="shared" si="676"/>
        <v>0.36</v>
      </c>
      <c r="AS72" s="19">
        <f t="shared" si="676"/>
        <v>0.36000000000000004</v>
      </c>
      <c r="AT72" s="19">
        <f t="shared" si="676"/>
        <v>0.33</v>
      </c>
      <c r="AU72" s="19">
        <f t="shared" si="676"/>
        <v>0.32999999999999996</v>
      </c>
      <c r="AV72" s="19">
        <f t="shared" si="676"/>
        <v>0.32999999999999996</v>
      </c>
      <c r="AW72" s="19">
        <f t="shared" si="676"/>
        <v>0.32999999999999996</v>
      </c>
      <c r="AY72" s="19">
        <f t="shared" ref="AY72:BK72" si="677">AY19/SUM(AY19:AY20)</f>
        <v>0.45538035002599203</v>
      </c>
      <c r="AZ72" s="19">
        <f t="shared" si="677"/>
        <v>0.84007352941176472</v>
      </c>
      <c r="BA72" s="19">
        <f t="shared" si="677"/>
        <v>0.8833911382714098</v>
      </c>
      <c r="BB72" s="19">
        <f t="shared" si="677"/>
        <v>0.87835090061258259</v>
      </c>
      <c r="BC72" s="19">
        <f t="shared" si="677"/>
        <v>0.77020671103856408</v>
      </c>
      <c r="BD72" s="19">
        <f t="shared" si="677"/>
        <v>0.61489107078959737</v>
      </c>
      <c r="BE72" s="19">
        <f t="shared" si="677"/>
        <v>0.86898395721925137</v>
      </c>
      <c r="BF72" s="19">
        <f t="shared" si="677"/>
        <v>0.77821533887450367</v>
      </c>
      <c r="BG72" s="19">
        <f t="shared" si="677"/>
        <v>0.6152710930046793</v>
      </c>
      <c r="BH72" s="19">
        <f t="shared" si="677"/>
        <v>0.83047635766776151</v>
      </c>
      <c r="BI72" s="19">
        <f t="shared" si="677"/>
        <v>0.50138966305473276</v>
      </c>
      <c r="BJ72" s="19">
        <f t="shared" si="677"/>
        <v>0.59851458547145275</v>
      </c>
      <c r="BK72" s="19">
        <f t="shared" si="677"/>
        <v>0.44545563405580169</v>
      </c>
      <c r="BL72" s="19">
        <f t="shared" ref="BL72:CT72" si="678">BL19/SUM(BL19:BL20)</f>
        <v>0.61712355463167468</v>
      </c>
      <c r="BM72" s="19">
        <f t="shared" si="678"/>
        <v>0.78101189568966489</v>
      </c>
      <c r="BN72" s="19">
        <f t="shared" si="678"/>
        <v>0.92175449000608978</v>
      </c>
      <c r="BO72" s="19">
        <f t="shared" si="678"/>
        <v>0.63940187330945364</v>
      </c>
      <c r="BP72" s="19">
        <f t="shared" si="678"/>
        <v>0.65702078351071325</v>
      </c>
      <c r="BQ72" s="19">
        <f t="shared" si="678"/>
        <v>0.67983488431038852</v>
      </c>
      <c r="BR72" s="19">
        <f t="shared" si="678"/>
        <v>0.8383420602728735</v>
      </c>
      <c r="BS72" s="19">
        <f t="shared" si="678"/>
        <v>0.71274209481861406</v>
      </c>
      <c r="BT72" s="19">
        <f t="shared" si="678"/>
        <v>0.54573032382414988</v>
      </c>
      <c r="BU72" s="19">
        <f t="shared" si="678"/>
        <v>0.67296199173178639</v>
      </c>
      <c r="BV72" s="19">
        <f t="shared" si="678"/>
        <v>0.67559046124047273</v>
      </c>
      <c r="BW72" s="19">
        <f t="shared" si="678"/>
        <v>0.48373305842757952</v>
      </c>
      <c r="BX72" s="19">
        <f t="shared" si="678"/>
        <v>0.92894972259767228</v>
      </c>
      <c r="BY72" s="19">
        <f t="shared" si="678"/>
        <v>0.64844436238208292</v>
      </c>
      <c r="BZ72" s="19">
        <f t="shared" si="678"/>
        <v>0.64276108441654523</v>
      </c>
      <c r="CA72" s="19">
        <f t="shared" si="678"/>
        <v>0.53877590998879554</v>
      </c>
      <c r="CB72" s="19">
        <f t="shared" si="678"/>
        <v>0.58101098969041254</v>
      </c>
      <c r="CC72" s="19">
        <f t="shared" si="678"/>
        <v>0.51394748665701961</v>
      </c>
      <c r="CD72" s="19">
        <f t="shared" si="678"/>
        <v>0.53707716659129601</v>
      </c>
      <c r="CE72" s="19">
        <f t="shared" si="678"/>
        <v>0.23588526020040396</v>
      </c>
      <c r="CF72" s="19">
        <f t="shared" si="678"/>
        <v>0.26828787669173232</v>
      </c>
      <c r="CG72" s="19">
        <f t="shared" si="678"/>
        <v>0.62927949695436658</v>
      </c>
      <c r="CH72" s="19">
        <f t="shared" si="678"/>
        <v>0.51089293651183987</v>
      </c>
      <c r="CI72" s="19">
        <f t="shared" si="678"/>
        <v>0.50868603384667277</v>
      </c>
      <c r="CJ72" s="19">
        <f t="shared" si="678"/>
        <v>0.43412897164215214</v>
      </c>
      <c r="CK72" s="19">
        <f t="shared" si="678"/>
        <v>0.39620884385509153</v>
      </c>
      <c r="CL72" s="19">
        <f t="shared" si="678"/>
        <v>0.42321124696230678</v>
      </c>
      <c r="CM72" s="19">
        <f t="shared" si="678"/>
        <v>0.42388091924846683</v>
      </c>
      <c r="CN72" s="19">
        <f t="shared" si="678"/>
        <v>0.51264843521107717</v>
      </c>
      <c r="CO72" s="19">
        <f t="shared" si="678"/>
        <v>0.46364850235017452</v>
      </c>
      <c r="CP72" s="19">
        <f t="shared" si="678"/>
        <v>0.46364850235017452</v>
      </c>
      <c r="CQ72" s="19">
        <f t="shared" si="678"/>
        <v>0.46364850235017457</v>
      </c>
      <c r="CR72" s="19">
        <f t="shared" si="678"/>
        <v>0.46247638087039805</v>
      </c>
      <c r="CS72" s="19">
        <f t="shared" si="678"/>
        <v>0.46247638087039805</v>
      </c>
      <c r="CT72" s="19">
        <f t="shared" si="678"/>
        <v>0.462476380870398</v>
      </c>
      <c r="CU72" s="85">
        <f t="shared" si="670"/>
        <v>0.42642616156453839</v>
      </c>
      <c r="CV72" s="85">
        <f t="shared" si="670"/>
        <v>0.42642616156453839</v>
      </c>
      <c r="CW72" s="85">
        <f t="shared" si="670"/>
        <v>0.42642616156453839</v>
      </c>
      <c r="CX72" s="85">
        <f t="shared" si="670"/>
        <v>0.42642616156453839</v>
      </c>
      <c r="CY72" s="85">
        <f t="shared" si="670"/>
        <v>0.42642616156453839</v>
      </c>
      <c r="CZ72" s="85">
        <f t="shared" si="670"/>
        <v>0.42642616156453839</v>
      </c>
      <c r="DA72" s="85">
        <f t="shared" si="670"/>
        <v>0.42642616156453839</v>
      </c>
      <c r="DB72" s="85">
        <f t="shared" si="670"/>
        <v>0.42642616156453839</v>
      </c>
      <c r="DC72" s="85">
        <f t="shared" si="670"/>
        <v>0.42642616156453839</v>
      </c>
      <c r="DD72" s="85">
        <f t="shared" si="670"/>
        <v>0.42642616156453839</v>
      </c>
      <c r="DE72" s="85">
        <f t="shared" si="670"/>
        <v>0.42642616156453839</v>
      </c>
      <c r="DF72" s="85">
        <f t="shared" si="670"/>
        <v>0.42642616156453839</v>
      </c>
      <c r="DG72" s="85">
        <f t="shared" si="670"/>
        <v>0.42</v>
      </c>
      <c r="DH72" s="85">
        <f t="shared" si="670"/>
        <v>0.42</v>
      </c>
      <c r="DI72" s="85">
        <f t="shared" si="670"/>
        <v>0.42</v>
      </c>
      <c r="DJ72" s="85">
        <f t="shared" si="670"/>
        <v>0.42</v>
      </c>
      <c r="DK72" s="85">
        <f t="shared" si="671"/>
        <v>0.42</v>
      </c>
      <c r="DL72" s="85">
        <f t="shared" si="671"/>
        <v>0.42</v>
      </c>
      <c r="DM72" s="85">
        <f t="shared" si="671"/>
        <v>0.42</v>
      </c>
      <c r="DN72" s="85">
        <f t="shared" si="671"/>
        <v>0.42</v>
      </c>
      <c r="DO72" s="85">
        <f t="shared" si="671"/>
        <v>0.42</v>
      </c>
      <c r="DP72" s="85">
        <f t="shared" si="671"/>
        <v>0.42</v>
      </c>
      <c r="DQ72" s="85">
        <f t="shared" si="671"/>
        <v>0.42</v>
      </c>
      <c r="DR72" s="85">
        <f t="shared" si="671"/>
        <v>0.42</v>
      </c>
      <c r="DS72" s="85">
        <f t="shared" si="671"/>
        <v>0.39</v>
      </c>
      <c r="DT72" s="85">
        <f t="shared" si="671"/>
        <v>0.39</v>
      </c>
      <c r="DU72" s="85">
        <f t="shared" si="671"/>
        <v>0.39</v>
      </c>
      <c r="DV72" s="85">
        <f t="shared" si="671"/>
        <v>0.39</v>
      </c>
      <c r="DW72" s="85">
        <f t="shared" si="671"/>
        <v>0.39</v>
      </c>
      <c r="DX72" s="85">
        <f t="shared" si="671"/>
        <v>0.39</v>
      </c>
      <c r="DY72" s="85">
        <f t="shared" si="671"/>
        <v>0.39</v>
      </c>
      <c r="DZ72" s="85">
        <f t="shared" si="671"/>
        <v>0.39</v>
      </c>
      <c r="EA72" s="85">
        <f t="shared" si="672"/>
        <v>0.39</v>
      </c>
      <c r="EB72" s="85">
        <f t="shared" si="672"/>
        <v>0.39</v>
      </c>
      <c r="EC72" s="85">
        <f t="shared" si="672"/>
        <v>0.39</v>
      </c>
      <c r="ED72" s="85">
        <f t="shared" si="672"/>
        <v>0.39</v>
      </c>
      <c r="EE72" s="85">
        <f t="shared" si="672"/>
        <v>0.36</v>
      </c>
      <c r="EF72" s="85">
        <f t="shared" si="672"/>
        <v>0.36</v>
      </c>
      <c r="EG72" s="85">
        <f t="shared" si="672"/>
        <v>0.36</v>
      </c>
      <c r="EH72" s="85">
        <f t="shared" si="672"/>
        <v>0.36</v>
      </c>
      <c r="EI72" s="85">
        <f t="shared" si="672"/>
        <v>0.36</v>
      </c>
      <c r="EJ72" s="85">
        <f t="shared" si="672"/>
        <v>0.36</v>
      </c>
      <c r="EK72" s="85">
        <f t="shared" si="672"/>
        <v>0.36</v>
      </c>
      <c r="EL72" s="85">
        <f t="shared" si="672"/>
        <v>0.36</v>
      </c>
      <c r="EM72" s="85">
        <f t="shared" si="672"/>
        <v>0.36</v>
      </c>
      <c r="EN72" s="85">
        <f t="shared" si="672"/>
        <v>0.36</v>
      </c>
      <c r="EO72" s="85">
        <f t="shared" si="672"/>
        <v>0.36</v>
      </c>
      <c r="EP72" s="85">
        <f t="shared" si="672"/>
        <v>0.36</v>
      </c>
      <c r="EQ72" s="85">
        <f t="shared" si="673"/>
        <v>0.32999999999999996</v>
      </c>
      <c r="ER72" s="85">
        <f t="shared" si="673"/>
        <v>0.32999999999999996</v>
      </c>
      <c r="ES72" s="85">
        <f t="shared" si="673"/>
        <v>0.32999999999999996</v>
      </c>
      <c r="ET72" s="85">
        <f t="shared" si="673"/>
        <v>0.32999999999999996</v>
      </c>
      <c r="EU72" s="85">
        <f t="shared" si="673"/>
        <v>0.32999999999999996</v>
      </c>
      <c r="EV72" s="85">
        <f t="shared" si="673"/>
        <v>0.32999999999999996</v>
      </c>
      <c r="EW72" s="85">
        <f t="shared" si="673"/>
        <v>0.32999999999999996</v>
      </c>
      <c r="EX72" s="85">
        <f t="shared" si="673"/>
        <v>0.32999999999999996</v>
      </c>
      <c r="EY72" s="85">
        <f t="shared" si="673"/>
        <v>0.32999999999999996</v>
      </c>
      <c r="EZ72" s="85">
        <f t="shared" si="673"/>
        <v>0.32999999999999996</v>
      </c>
      <c r="FA72" s="85">
        <f t="shared" si="673"/>
        <v>0.32999999999999996</v>
      </c>
      <c r="FB72" s="85">
        <f t="shared" si="673"/>
        <v>0.32999999999999996</v>
      </c>
    </row>
    <row r="73" spans="3:158" x14ac:dyDescent="0.25">
      <c r="C73" s="2" t="s">
        <v>313</v>
      </c>
      <c r="D73" s="313">
        <f>D30/SUM(D30:D31)</f>
        <v>0.4548410044136077</v>
      </c>
      <c r="E73" s="313">
        <f t="shared" ref="E73:G73" si="679">E30/SUM(E30:E31)</f>
        <v>0.29654216515305315</v>
      </c>
      <c r="F73" s="313">
        <f t="shared" si="679"/>
        <v>0.23943315552853389</v>
      </c>
      <c r="G73" s="313">
        <f t="shared" si="679"/>
        <v>0.26086210497762574</v>
      </c>
      <c r="H73" s="250">
        <v>0.2</v>
      </c>
      <c r="I73" s="250">
        <v>0.18</v>
      </c>
      <c r="J73" s="250">
        <v>0.16</v>
      </c>
      <c r="K73" s="250">
        <v>0.15</v>
      </c>
      <c r="L73" s="250">
        <f t="shared" ref="L73" si="680">K73</f>
        <v>0.15</v>
      </c>
      <c r="N73" s="313">
        <f t="shared" ref="N73:AW73" si="681">N30/SUM(N30:N31)</f>
        <v>0.31913576951750083</v>
      </c>
      <c r="O73" s="313">
        <f t="shared" si="681"/>
        <v>0.55855431378619969</v>
      </c>
      <c r="P73" s="313">
        <f t="shared" si="681"/>
        <v>0.39744063303169347</v>
      </c>
      <c r="Q73" s="313">
        <f t="shared" si="681"/>
        <v>0.48739993632953821</v>
      </c>
      <c r="R73" s="313">
        <f t="shared" si="681"/>
        <v>0.36159033117930239</v>
      </c>
      <c r="S73" s="313">
        <f t="shared" si="681"/>
        <v>0.25589412837863079</v>
      </c>
      <c r="T73" s="313">
        <f t="shared" si="681"/>
        <v>0.40674994251728175</v>
      </c>
      <c r="U73" s="313">
        <f t="shared" si="681"/>
        <v>0.2434602771643336</v>
      </c>
      <c r="V73" s="313">
        <f t="shared" si="681"/>
        <v>0.17308726882246528</v>
      </c>
      <c r="W73" s="313">
        <f t="shared" si="681"/>
        <v>0.25068028428939443</v>
      </c>
      <c r="X73" s="313">
        <f t="shared" si="681"/>
        <v>0.30495697768973024</v>
      </c>
      <c r="Y73" s="313">
        <f t="shared" si="681"/>
        <v>0.18794658925476718</v>
      </c>
      <c r="Z73" s="313">
        <f t="shared" si="681"/>
        <v>0.47631041828936205</v>
      </c>
      <c r="AA73" s="313">
        <f t="shared" si="681"/>
        <v>0.23910961299041331</v>
      </c>
      <c r="AB73" s="313">
        <f t="shared" si="681"/>
        <v>0.22123322991319197</v>
      </c>
      <c r="AC73" s="313">
        <f t="shared" si="681"/>
        <v>0.22955541000872745</v>
      </c>
      <c r="AD73" s="313">
        <f t="shared" si="681"/>
        <v>0.2</v>
      </c>
      <c r="AE73" s="313">
        <f t="shared" si="681"/>
        <v>0.2</v>
      </c>
      <c r="AF73" s="313">
        <f t="shared" si="681"/>
        <v>0.2</v>
      </c>
      <c r="AG73" s="313">
        <f t="shared" si="681"/>
        <v>0.2</v>
      </c>
      <c r="AH73" s="313">
        <f t="shared" si="681"/>
        <v>0.18</v>
      </c>
      <c r="AI73" s="313">
        <f t="shared" si="681"/>
        <v>0.18000000000000002</v>
      </c>
      <c r="AJ73" s="313">
        <f t="shared" si="681"/>
        <v>0.18</v>
      </c>
      <c r="AK73" s="313">
        <f t="shared" si="681"/>
        <v>0.18</v>
      </c>
      <c r="AL73" s="313">
        <f t="shared" si="681"/>
        <v>0.16</v>
      </c>
      <c r="AM73" s="313">
        <f t="shared" si="681"/>
        <v>0.16000000000000003</v>
      </c>
      <c r="AN73" s="313">
        <f t="shared" si="681"/>
        <v>0.16</v>
      </c>
      <c r="AO73" s="313">
        <f t="shared" si="681"/>
        <v>0.16</v>
      </c>
      <c r="AP73" s="313">
        <f t="shared" si="681"/>
        <v>0.15000000000000002</v>
      </c>
      <c r="AQ73" s="313">
        <f t="shared" si="681"/>
        <v>0.15</v>
      </c>
      <c r="AR73" s="313">
        <f t="shared" si="681"/>
        <v>0.15</v>
      </c>
      <c r="AS73" s="313">
        <f t="shared" si="681"/>
        <v>0.14999999999999997</v>
      </c>
      <c r="AT73" s="313">
        <f t="shared" si="681"/>
        <v>0.15000000000000002</v>
      </c>
      <c r="AU73" s="313">
        <f t="shared" si="681"/>
        <v>0.15</v>
      </c>
      <c r="AV73" s="313">
        <f t="shared" si="681"/>
        <v>0.15</v>
      </c>
      <c r="AW73" s="313">
        <f t="shared" si="681"/>
        <v>0.15000000000000002</v>
      </c>
      <c r="AY73" s="313">
        <f t="shared" ref="AY73:BK73" si="682">AY30/SUM(AY30:AY31)</f>
        <v>1</v>
      </c>
      <c r="AZ73" s="313">
        <f t="shared" si="682"/>
        <v>0.39927898295731978</v>
      </c>
      <c r="BA73" s="313">
        <f t="shared" si="682"/>
        <v>0.27040597347901835</v>
      </c>
      <c r="BB73" s="313">
        <f t="shared" si="682"/>
        <v>0.72766557413070143</v>
      </c>
      <c r="BC73" s="313">
        <f t="shared" si="682"/>
        <v>0.67767292210296004</v>
      </c>
      <c r="BD73" s="313">
        <f t="shared" si="682"/>
        <v>0.36812230481883973</v>
      </c>
      <c r="BE73" s="313">
        <f t="shared" si="682"/>
        <v>0.28187393971029623</v>
      </c>
      <c r="BF73" s="313">
        <f t="shared" si="682"/>
        <v>0.52593187124273133</v>
      </c>
      <c r="BG73" s="313">
        <f t="shared" si="682"/>
        <v>0.41722127089009242</v>
      </c>
      <c r="BH73" s="313">
        <f t="shared" si="682"/>
        <v>0.89253788468922468</v>
      </c>
      <c r="BI73" s="313">
        <f t="shared" si="682"/>
        <v>0.25715021901571761</v>
      </c>
      <c r="BJ73" s="313">
        <f t="shared" si="682"/>
        <v>0.63837076123859782</v>
      </c>
      <c r="BK73" s="313">
        <f t="shared" si="682"/>
        <v>0.23861566484517305</v>
      </c>
      <c r="BL73" s="313">
        <f t="shared" ref="BL73:CT73" si="683">BL30/SUM(BL30:BL31)</f>
        <v>0.71352137380591973</v>
      </c>
      <c r="BM73" s="313">
        <f t="shared" si="683"/>
        <v>0.21607692209185378</v>
      </c>
      <c r="BN73" s="313">
        <f t="shared" si="683"/>
        <v>0.77227457217872941</v>
      </c>
      <c r="BO73" s="313">
        <f t="shared" si="683"/>
        <v>1.220599634566419E-2</v>
      </c>
      <c r="BP73" s="313">
        <f t="shared" si="683"/>
        <v>0.42783522587912853</v>
      </c>
      <c r="BQ73" s="313">
        <f t="shared" si="683"/>
        <v>0.41532285176561312</v>
      </c>
      <c r="BR73" s="313">
        <f t="shared" si="683"/>
        <v>0</v>
      </c>
      <c r="BS73" s="313">
        <f t="shared" si="683"/>
        <v>0.49735139117173505</v>
      </c>
      <c r="BT73" s="313">
        <f t="shared" si="683"/>
        <v>0</v>
      </c>
      <c r="BU73" s="313">
        <f t="shared" si="683"/>
        <v>5.7393859622271878E-2</v>
      </c>
      <c r="BV73" s="313">
        <f t="shared" si="683"/>
        <v>0.36686181911017873</v>
      </c>
      <c r="BW73" s="313">
        <f t="shared" si="683"/>
        <v>0.18482469862629197</v>
      </c>
      <c r="BX73" s="313">
        <f t="shared" si="683"/>
        <v>0.20692222292659218</v>
      </c>
      <c r="BY73" s="313">
        <f t="shared" si="683"/>
        <v>0.10893716376090501</v>
      </c>
      <c r="BZ73" s="313">
        <f t="shared" si="683"/>
        <v>0.13665756377845145</v>
      </c>
      <c r="CA73" s="313">
        <f t="shared" si="683"/>
        <v>0.41282858508108317</v>
      </c>
      <c r="CB73" s="313">
        <f t="shared" si="683"/>
        <v>0.26545352799549127</v>
      </c>
      <c r="CC73" s="313">
        <f t="shared" si="683"/>
        <v>0.32261513695502714</v>
      </c>
      <c r="CD73" s="313">
        <f t="shared" si="683"/>
        <v>0.16923245363742589</v>
      </c>
      <c r="CE73" s="313">
        <f t="shared" si="683"/>
        <v>0.4471897802224295</v>
      </c>
      <c r="CF73" s="313">
        <f t="shared" si="683"/>
        <v>0.11982289921842343</v>
      </c>
      <c r="CG73" s="313">
        <f t="shared" si="683"/>
        <v>0.15518064945546772</v>
      </c>
      <c r="CH73" s="313">
        <f t="shared" si="683"/>
        <v>0.2377150540400276</v>
      </c>
      <c r="CI73" s="313">
        <f t="shared" si="683"/>
        <v>0.39972405999217447</v>
      </c>
      <c r="CJ73" s="313">
        <f t="shared" si="683"/>
        <v>8.6183767390011809E-2</v>
      </c>
      <c r="CK73" s="313">
        <f t="shared" si="683"/>
        <v>0.60406873914284287</v>
      </c>
      <c r="CL73" s="313">
        <f t="shared" si="683"/>
        <v>0.21106774738735162</v>
      </c>
      <c r="CM73" s="313">
        <f t="shared" si="683"/>
        <v>0.13896352634400769</v>
      </c>
      <c r="CN73" s="313">
        <f t="shared" si="683"/>
        <v>0.28356624711888762</v>
      </c>
      <c r="CO73" s="313">
        <f t="shared" si="683"/>
        <v>0.221233229913192</v>
      </c>
      <c r="CP73" s="313">
        <f t="shared" si="683"/>
        <v>0.22123322991319197</v>
      </c>
      <c r="CQ73" s="313">
        <f t="shared" si="683"/>
        <v>0.22123322991319197</v>
      </c>
      <c r="CR73" s="313">
        <f t="shared" si="683"/>
        <v>0.22955541000872742</v>
      </c>
      <c r="CS73" s="313">
        <f t="shared" si="683"/>
        <v>0.22955541000872742</v>
      </c>
      <c r="CT73" s="313">
        <f t="shared" si="683"/>
        <v>0.22955541000872742</v>
      </c>
      <c r="CU73" s="315">
        <f t="shared" si="670"/>
        <v>0.2</v>
      </c>
      <c r="CV73" s="315">
        <f t="shared" si="670"/>
        <v>0.2</v>
      </c>
      <c r="CW73" s="315">
        <f t="shared" si="670"/>
        <v>0.2</v>
      </c>
      <c r="CX73" s="315">
        <f t="shared" si="670"/>
        <v>0.2</v>
      </c>
      <c r="CY73" s="315">
        <f t="shared" si="670"/>
        <v>0.2</v>
      </c>
      <c r="CZ73" s="315">
        <f t="shared" si="670"/>
        <v>0.2</v>
      </c>
      <c r="DA73" s="315">
        <f t="shared" si="670"/>
        <v>0.2</v>
      </c>
      <c r="DB73" s="315">
        <f t="shared" si="670"/>
        <v>0.2</v>
      </c>
      <c r="DC73" s="315">
        <f t="shared" si="670"/>
        <v>0.2</v>
      </c>
      <c r="DD73" s="315">
        <f t="shared" si="670"/>
        <v>0.2</v>
      </c>
      <c r="DE73" s="315">
        <f t="shared" si="670"/>
        <v>0.2</v>
      </c>
      <c r="DF73" s="315">
        <f t="shared" si="670"/>
        <v>0.2</v>
      </c>
      <c r="DG73" s="315">
        <f t="shared" si="670"/>
        <v>0.18</v>
      </c>
      <c r="DH73" s="315">
        <f t="shared" si="670"/>
        <v>0.18</v>
      </c>
      <c r="DI73" s="315">
        <f t="shared" si="670"/>
        <v>0.18</v>
      </c>
      <c r="DJ73" s="315">
        <f t="shared" si="670"/>
        <v>0.18</v>
      </c>
      <c r="DK73" s="315">
        <f t="shared" si="671"/>
        <v>0.18</v>
      </c>
      <c r="DL73" s="315">
        <f t="shared" si="671"/>
        <v>0.18</v>
      </c>
      <c r="DM73" s="315">
        <f t="shared" si="671"/>
        <v>0.18</v>
      </c>
      <c r="DN73" s="315">
        <f t="shared" si="671"/>
        <v>0.18</v>
      </c>
      <c r="DO73" s="315">
        <f t="shared" si="671"/>
        <v>0.18</v>
      </c>
      <c r="DP73" s="315">
        <f t="shared" si="671"/>
        <v>0.18</v>
      </c>
      <c r="DQ73" s="315">
        <f t="shared" si="671"/>
        <v>0.18</v>
      </c>
      <c r="DR73" s="315">
        <f t="shared" si="671"/>
        <v>0.18</v>
      </c>
      <c r="DS73" s="315">
        <f t="shared" si="671"/>
        <v>0.16</v>
      </c>
      <c r="DT73" s="315">
        <f t="shared" si="671"/>
        <v>0.16</v>
      </c>
      <c r="DU73" s="315">
        <f t="shared" si="671"/>
        <v>0.16</v>
      </c>
      <c r="DV73" s="315">
        <f t="shared" si="671"/>
        <v>0.16</v>
      </c>
      <c r="DW73" s="315">
        <f t="shared" si="671"/>
        <v>0.16</v>
      </c>
      <c r="DX73" s="315">
        <f t="shared" si="671"/>
        <v>0.16</v>
      </c>
      <c r="DY73" s="315">
        <f t="shared" si="671"/>
        <v>0.16</v>
      </c>
      <c r="DZ73" s="315">
        <f t="shared" si="671"/>
        <v>0.16</v>
      </c>
      <c r="EA73" s="315">
        <f t="shared" si="672"/>
        <v>0.16</v>
      </c>
      <c r="EB73" s="315">
        <f t="shared" si="672"/>
        <v>0.16</v>
      </c>
      <c r="EC73" s="315">
        <f t="shared" si="672"/>
        <v>0.16</v>
      </c>
      <c r="ED73" s="315">
        <f t="shared" si="672"/>
        <v>0.16</v>
      </c>
      <c r="EE73" s="315">
        <f t="shared" si="672"/>
        <v>0.15</v>
      </c>
      <c r="EF73" s="315">
        <f t="shared" si="672"/>
        <v>0.15</v>
      </c>
      <c r="EG73" s="315">
        <f t="shared" si="672"/>
        <v>0.15</v>
      </c>
      <c r="EH73" s="315">
        <f t="shared" si="672"/>
        <v>0.15</v>
      </c>
      <c r="EI73" s="315">
        <f t="shared" si="672"/>
        <v>0.15</v>
      </c>
      <c r="EJ73" s="315">
        <f t="shared" si="672"/>
        <v>0.15</v>
      </c>
      <c r="EK73" s="315">
        <f t="shared" si="672"/>
        <v>0.15</v>
      </c>
      <c r="EL73" s="315">
        <f t="shared" si="672"/>
        <v>0.15</v>
      </c>
      <c r="EM73" s="315">
        <f t="shared" si="672"/>
        <v>0.15</v>
      </c>
      <c r="EN73" s="315">
        <f t="shared" si="672"/>
        <v>0.15</v>
      </c>
      <c r="EO73" s="315">
        <f t="shared" si="672"/>
        <v>0.15</v>
      </c>
      <c r="EP73" s="315">
        <f t="shared" si="672"/>
        <v>0.15</v>
      </c>
      <c r="EQ73" s="315">
        <f t="shared" si="673"/>
        <v>0.15</v>
      </c>
      <c r="ER73" s="315">
        <f t="shared" si="673"/>
        <v>0.15</v>
      </c>
      <c r="ES73" s="315">
        <f t="shared" si="673"/>
        <v>0.15</v>
      </c>
      <c r="ET73" s="315">
        <f t="shared" si="673"/>
        <v>0.15</v>
      </c>
      <c r="EU73" s="315">
        <f t="shared" si="673"/>
        <v>0.15</v>
      </c>
      <c r="EV73" s="315">
        <f t="shared" si="673"/>
        <v>0.15</v>
      </c>
      <c r="EW73" s="315">
        <f t="shared" si="673"/>
        <v>0.15</v>
      </c>
      <c r="EX73" s="315">
        <f t="shared" si="673"/>
        <v>0.15</v>
      </c>
      <c r="EY73" s="315">
        <f t="shared" si="673"/>
        <v>0.15</v>
      </c>
      <c r="EZ73" s="315">
        <f t="shared" si="673"/>
        <v>0.15</v>
      </c>
      <c r="FA73" s="315">
        <f t="shared" si="673"/>
        <v>0.15</v>
      </c>
      <c r="FB73" s="315">
        <f t="shared" si="673"/>
        <v>0.15</v>
      </c>
    </row>
    <row r="74" spans="3:158" x14ac:dyDescent="0.25">
      <c r="C74" s="310" t="s">
        <v>308</v>
      </c>
      <c r="D74" s="19">
        <f>D80/D56</f>
        <v>0.68277752794718871</v>
      </c>
      <c r="E74" s="19">
        <f t="shared" ref="E74:BP74" si="684">E80/E56</f>
        <v>0.6138694279986705</v>
      </c>
      <c r="F74" s="19">
        <f t="shared" si="684"/>
        <v>0.53749676613031816</v>
      </c>
      <c r="G74" s="19">
        <f t="shared" si="684"/>
        <v>0.51376346237786508</v>
      </c>
      <c r="H74" s="19">
        <f t="shared" si="684"/>
        <v>0.43440709260780197</v>
      </c>
      <c r="I74" s="19">
        <f t="shared" si="684"/>
        <v>0.40274959938365384</v>
      </c>
      <c r="J74" s="19">
        <f t="shared" si="684"/>
        <v>0.36360308336502739</v>
      </c>
      <c r="K74" s="19">
        <f t="shared" si="684"/>
        <v>0.32992701246923734</v>
      </c>
      <c r="L74" s="19">
        <f t="shared" si="684"/>
        <v>0.30292138669628355</v>
      </c>
      <c r="N74" s="19">
        <f t="shared" si="684"/>
        <v>0.68626307544660636</v>
      </c>
      <c r="O74" s="19">
        <f t="shared" si="684"/>
        <v>0.69737573310180423</v>
      </c>
      <c r="P74" s="19">
        <f t="shared" si="684"/>
        <v>0.65959671466473235</v>
      </c>
      <c r="Q74" s="19">
        <f t="shared" si="684"/>
        <v>0.6866030973985876</v>
      </c>
      <c r="R74" s="19">
        <f t="shared" si="684"/>
        <v>0.68413064755138986</v>
      </c>
      <c r="S74" s="19">
        <f t="shared" si="684"/>
        <v>0.56427021782531506</v>
      </c>
      <c r="T74" s="19">
        <f t="shared" si="684"/>
        <v>0.67131691338062716</v>
      </c>
      <c r="U74" s="19">
        <f t="shared" si="684"/>
        <v>0.57015855178754604</v>
      </c>
      <c r="V74" s="19">
        <f t="shared" si="684"/>
        <v>0.57663347103362772</v>
      </c>
      <c r="W74" s="19">
        <f t="shared" si="684"/>
        <v>0.57968062779962015</v>
      </c>
      <c r="X74" s="19">
        <f t="shared" si="684"/>
        <v>0.46673737966319889</v>
      </c>
      <c r="Y74" s="19">
        <f t="shared" si="684"/>
        <v>0.54028023244017376</v>
      </c>
      <c r="Z74" s="19">
        <f t="shared" si="684"/>
        <v>0.55802957864286939</v>
      </c>
      <c r="AA74" s="19">
        <f t="shared" si="684"/>
        <v>0.47806990653505721</v>
      </c>
      <c r="AB74" s="19">
        <f t="shared" si="684"/>
        <v>0.51252361834511651</v>
      </c>
      <c r="AC74" s="19">
        <f t="shared" si="684"/>
        <v>0.51917040916154555</v>
      </c>
      <c r="AD74" s="19">
        <f t="shared" si="684"/>
        <v>0.43440709260780197</v>
      </c>
      <c r="AE74" s="19">
        <f t="shared" si="684"/>
        <v>0.43440709260780186</v>
      </c>
      <c r="AF74" s="19">
        <f t="shared" si="684"/>
        <v>0.43440709260780186</v>
      </c>
      <c r="AG74" s="19">
        <f t="shared" si="684"/>
        <v>0.43440709260780197</v>
      </c>
      <c r="AH74" s="19">
        <f t="shared" si="684"/>
        <v>0.40274959938365379</v>
      </c>
      <c r="AI74" s="19">
        <f t="shared" si="684"/>
        <v>0.40274959938365384</v>
      </c>
      <c r="AJ74" s="19">
        <f t="shared" si="684"/>
        <v>0.40274959938365384</v>
      </c>
      <c r="AK74" s="19">
        <f t="shared" si="684"/>
        <v>0.40274959938365379</v>
      </c>
      <c r="AL74" s="19">
        <f t="shared" si="684"/>
        <v>0.36360308336502745</v>
      </c>
      <c r="AM74" s="19">
        <f t="shared" si="684"/>
        <v>0.36360308336502745</v>
      </c>
      <c r="AN74" s="19">
        <f t="shared" si="684"/>
        <v>0.36360308336502745</v>
      </c>
      <c r="AO74" s="19">
        <f t="shared" si="684"/>
        <v>0.36360308336502745</v>
      </c>
      <c r="AP74" s="19">
        <f t="shared" si="684"/>
        <v>0.32992701246923728</v>
      </c>
      <c r="AQ74" s="19">
        <f t="shared" si="684"/>
        <v>0.32992701246923728</v>
      </c>
      <c r="AR74" s="19">
        <f t="shared" si="684"/>
        <v>0.32992701246923734</v>
      </c>
      <c r="AS74" s="19">
        <f t="shared" si="684"/>
        <v>0.32992701246923734</v>
      </c>
      <c r="AT74" s="19">
        <f t="shared" si="684"/>
        <v>0.30292138669628366</v>
      </c>
      <c r="AU74" s="19">
        <f t="shared" si="684"/>
        <v>0.3029213866962836</v>
      </c>
      <c r="AV74" s="19">
        <f t="shared" si="684"/>
        <v>0.30292138669628355</v>
      </c>
      <c r="AW74" s="19">
        <f t="shared" si="684"/>
        <v>0.3029213866962836</v>
      </c>
      <c r="AY74" s="19">
        <f t="shared" si="684"/>
        <v>0.64186174229422666</v>
      </c>
      <c r="AZ74" s="19">
        <f t="shared" si="684"/>
        <v>0.74397773124869038</v>
      </c>
      <c r="BA74" s="19">
        <f t="shared" si="684"/>
        <v>0.66156061510225661</v>
      </c>
      <c r="BB74" s="19">
        <f t="shared" si="684"/>
        <v>0.79828249841003251</v>
      </c>
      <c r="BC74" s="19">
        <f t="shared" si="684"/>
        <v>0.75706832452756556</v>
      </c>
      <c r="BD74" s="19">
        <f t="shared" si="684"/>
        <v>0.61889919004002236</v>
      </c>
      <c r="BE74" s="19">
        <f t="shared" si="684"/>
        <v>0.57049409448978283</v>
      </c>
      <c r="BF74" s="19">
        <f t="shared" si="684"/>
        <v>0.76975020763973911</v>
      </c>
      <c r="BG74" s="19">
        <f t="shared" si="684"/>
        <v>0.63742927927522597</v>
      </c>
      <c r="BH74" s="19">
        <f t="shared" si="684"/>
        <v>0.91722557006249983</v>
      </c>
      <c r="BI74" s="19">
        <f t="shared" si="684"/>
        <v>0.5580159585989154</v>
      </c>
      <c r="BJ74" s="19">
        <f t="shared" si="684"/>
        <v>0.73107953302264528</v>
      </c>
      <c r="BK74" s="19">
        <f t="shared" si="684"/>
        <v>0.61381848513290105</v>
      </c>
      <c r="BL74" s="19">
        <f t="shared" si="684"/>
        <v>0.78455930392069684</v>
      </c>
      <c r="BM74" s="19">
        <f t="shared" si="684"/>
        <v>0.65950405711454063</v>
      </c>
      <c r="BN74" s="19">
        <f t="shared" si="684"/>
        <v>0.86964746088636413</v>
      </c>
      <c r="BO74" s="19">
        <f t="shared" si="684"/>
        <v>0.36117313169896414</v>
      </c>
      <c r="BP74" s="19">
        <f t="shared" si="684"/>
        <v>0.6386435082606372</v>
      </c>
      <c r="BQ74" s="19">
        <f t="shared" ref="BQ74:EB74" si="685">BQ80/BQ56</f>
        <v>0.6739621608873414</v>
      </c>
      <c r="BR74" s="19">
        <f t="shared" si="685"/>
        <v>0.70541411494030759</v>
      </c>
      <c r="BS74" s="19">
        <f t="shared" si="685"/>
        <v>0.6575847057083114</v>
      </c>
      <c r="BT74" s="19">
        <f t="shared" si="685"/>
        <v>0.50382704890663288</v>
      </c>
      <c r="BU74" s="19">
        <f t="shared" si="685"/>
        <v>0.54755372268021574</v>
      </c>
      <c r="BV74" s="19">
        <f t="shared" si="685"/>
        <v>0.59945285050029573</v>
      </c>
      <c r="BW74" s="19">
        <f t="shared" si="685"/>
        <v>0.41705753671247142</v>
      </c>
      <c r="BX74" s="19">
        <f t="shared" si="685"/>
        <v>0.63226228208013835</v>
      </c>
      <c r="BY74" s="19">
        <f t="shared" si="685"/>
        <v>0.61053079613871108</v>
      </c>
      <c r="BZ74" s="19">
        <f t="shared" si="685"/>
        <v>0.48345286318416447</v>
      </c>
      <c r="CA74" s="19">
        <f t="shared" si="685"/>
        <v>0.63115376266848777</v>
      </c>
      <c r="CB74" s="19">
        <f t="shared" si="685"/>
        <v>0.59361092260330151</v>
      </c>
      <c r="CC74" s="19">
        <f t="shared" si="685"/>
        <v>0.51326974605208797</v>
      </c>
      <c r="CD74" s="19">
        <f t="shared" si="685"/>
        <v>0.44212700239318908</v>
      </c>
      <c r="CE74" s="19">
        <f t="shared" si="685"/>
        <v>0.47573007168729448</v>
      </c>
      <c r="CF74" s="19">
        <f t="shared" si="685"/>
        <v>0.44536125440504593</v>
      </c>
      <c r="CG74" s="19">
        <f t="shared" si="685"/>
        <v>0.51853690148929765</v>
      </c>
      <c r="CH74" s="19">
        <f t="shared" si="685"/>
        <v>0.58428153173926423</v>
      </c>
      <c r="CI74" s="19">
        <f t="shared" si="685"/>
        <v>0.52751492267249522</v>
      </c>
      <c r="CJ74" s="19">
        <f t="shared" si="685"/>
        <v>0.49795873361384357</v>
      </c>
      <c r="CK74" s="19">
        <f t="shared" si="685"/>
        <v>0.591627239423132</v>
      </c>
      <c r="CL74" s="19">
        <f t="shared" si="685"/>
        <v>0.42930277865812327</v>
      </c>
      <c r="CM74" s="19">
        <f t="shared" si="685"/>
        <v>0.45092883953126095</v>
      </c>
      <c r="CN74" s="19">
        <f t="shared" si="685"/>
        <v>0.51094376499648975</v>
      </c>
      <c r="CO74" s="19">
        <f t="shared" si="685"/>
        <v>0.51252361834511651</v>
      </c>
      <c r="CP74" s="19">
        <f t="shared" si="685"/>
        <v>0.51252361834511639</v>
      </c>
      <c r="CQ74" s="19">
        <f t="shared" si="685"/>
        <v>0.51252361834511651</v>
      </c>
      <c r="CR74" s="19">
        <f t="shared" si="685"/>
        <v>0.51917040916154567</v>
      </c>
      <c r="CS74" s="19">
        <f t="shared" si="685"/>
        <v>0.51917040916154567</v>
      </c>
      <c r="CT74" s="19">
        <f t="shared" si="685"/>
        <v>0.51917040916154555</v>
      </c>
      <c r="CU74" s="19">
        <f t="shared" si="685"/>
        <v>0.43440709260780186</v>
      </c>
      <c r="CV74" s="19">
        <f t="shared" si="685"/>
        <v>0.43440709260780186</v>
      </c>
      <c r="CW74" s="19">
        <f t="shared" si="685"/>
        <v>0.43440709260780175</v>
      </c>
      <c r="CX74" s="19">
        <f t="shared" si="685"/>
        <v>0.4344070926078018</v>
      </c>
      <c r="CY74" s="19">
        <f t="shared" si="685"/>
        <v>0.43440709260780186</v>
      </c>
      <c r="CZ74" s="19">
        <f t="shared" si="685"/>
        <v>0.43440709260780186</v>
      </c>
      <c r="DA74" s="19">
        <f t="shared" si="685"/>
        <v>0.4344070926078018</v>
      </c>
      <c r="DB74" s="19">
        <f t="shared" si="685"/>
        <v>0.4344070926078018</v>
      </c>
      <c r="DC74" s="19">
        <f t="shared" si="685"/>
        <v>0.4344070926078018</v>
      </c>
      <c r="DD74" s="19">
        <f t="shared" si="685"/>
        <v>0.43440709260780186</v>
      </c>
      <c r="DE74" s="19">
        <f t="shared" si="685"/>
        <v>0.43440709260780186</v>
      </c>
      <c r="DF74" s="19">
        <f t="shared" si="685"/>
        <v>0.4344070926078018</v>
      </c>
      <c r="DG74" s="19">
        <f t="shared" si="685"/>
        <v>0.40274959938365379</v>
      </c>
      <c r="DH74" s="19">
        <f t="shared" si="685"/>
        <v>0.40274959938365373</v>
      </c>
      <c r="DI74" s="19">
        <f t="shared" si="685"/>
        <v>0.40274959938365379</v>
      </c>
      <c r="DJ74" s="19">
        <f t="shared" si="685"/>
        <v>0.40274959938365373</v>
      </c>
      <c r="DK74" s="19">
        <f t="shared" si="685"/>
        <v>0.40274959938365368</v>
      </c>
      <c r="DL74" s="19">
        <f t="shared" si="685"/>
        <v>0.40274959938365373</v>
      </c>
      <c r="DM74" s="19">
        <f t="shared" si="685"/>
        <v>0.40274959938365373</v>
      </c>
      <c r="DN74" s="19">
        <f t="shared" si="685"/>
        <v>0.40274959938365373</v>
      </c>
      <c r="DO74" s="19">
        <f t="shared" si="685"/>
        <v>0.40274959938365373</v>
      </c>
      <c r="DP74" s="19">
        <f t="shared" si="685"/>
        <v>0.40274959938365373</v>
      </c>
      <c r="DQ74" s="19">
        <f t="shared" si="685"/>
        <v>0.40274959938365373</v>
      </c>
      <c r="DR74" s="19">
        <f t="shared" si="685"/>
        <v>0.40274959938365373</v>
      </c>
      <c r="DS74" s="19">
        <f t="shared" si="685"/>
        <v>0.36360308336502734</v>
      </c>
      <c r="DT74" s="19">
        <f t="shared" si="685"/>
        <v>0.36360308336502728</v>
      </c>
      <c r="DU74" s="19">
        <f t="shared" si="685"/>
        <v>0.36360308336502728</v>
      </c>
      <c r="DV74" s="19">
        <f t="shared" si="685"/>
        <v>0.36360308336502734</v>
      </c>
      <c r="DW74" s="19">
        <f t="shared" si="685"/>
        <v>0.36360308336502734</v>
      </c>
      <c r="DX74" s="19">
        <f t="shared" si="685"/>
        <v>0.36360308336502728</v>
      </c>
      <c r="DY74" s="19">
        <f t="shared" si="685"/>
        <v>0.36360308336502728</v>
      </c>
      <c r="DZ74" s="19">
        <f t="shared" si="685"/>
        <v>0.36360308336502728</v>
      </c>
      <c r="EA74" s="19">
        <f t="shared" si="685"/>
        <v>0.36360308336502734</v>
      </c>
      <c r="EB74" s="19">
        <f t="shared" si="685"/>
        <v>0.36360308336502734</v>
      </c>
      <c r="EC74" s="19">
        <f t="shared" ref="EC74:FB74" si="686">EC80/EC56</f>
        <v>0.36360308336502728</v>
      </c>
      <c r="ED74" s="19">
        <f t="shared" si="686"/>
        <v>0.36360308336502728</v>
      </c>
      <c r="EE74" s="19">
        <f t="shared" si="686"/>
        <v>0.32992701246923722</v>
      </c>
      <c r="EF74" s="19">
        <f t="shared" si="686"/>
        <v>0.32992701246923722</v>
      </c>
      <c r="EG74" s="19">
        <f t="shared" si="686"/>
        <v>0.32992701246923717</v>
      </c>
      <c r="EH74" s="19">
        <f t="shared" si="686"/>
        <v>0.32992701246923722</v>
      </c>
      <c r="EI74" s="19">
        <f t="shared" si="686"/>
        <v>0.32992701246923722</v>
      </c>
      <c r="EJ74" s="19">
        <f t="shared" si="686"/>
        <v>0.32992701246923728</v>
      </c>
      <c r="EK74" s="19">
        <f t="shared" si="686"/>
        <v>0.32992701246923722</v>
      </c>
      <c r="EL74" s="19">
        <f t="shared" si="686"/>
        <v>0.32992701246923722</v>
      </c>
      <c r="EM74" s="19">
        <f t="shared" si="686"/>
        <v>0.32992701246923722</v>
      </c>
      <c r="EN74" s="19">
        <f t="shared" si="686"/>
        <v>0.32992701246923722</v>
      </c>
      <c r="EO74" s="19">
        <f t="shared" si="686"/>
        <v>0.32992701246923722</v>
      </c>
      <c r="EP74" s="19">
        <f t="shared" si="686"/>
        <v>0.32992701246923722</v>
      </c>
      <c r="EQ74" s="19">
        <f t="shared" si="686"/>
        <v>0.30292138669628355</v>
      </c>
      <c r="ER74" s="19">
        <f t="shared" si="686"/>
        <v>0.30292138669628355</v>
      </c>
      <c r="ES74" s="19">
        <f t="shared" si="686"/>
        <v>0.30292138669628355</v>
      </c>
      <c r="ET74" s="19">
        <f t="shared" si="686"/>
        <v>0.30292138669628355</v>
      </c>
      <c r="EU74" s="19">
        <f t="shared" si="686"/>
        <v>0.30292138669628349</v>
      </c>
      <c r="EV74" s="19">
        <f t="shared" si="686"/>
        <v>0.30292138669628355</v>
      </c>
      <c r="EW74" s="19">
        <f t="shared" si="686"/>
        <v>0.3029213866962836</v>
      </c>
      <c r="EX74" s="19">
        <f t="shared" si="686"/>
        <v>0.30292138669628349</v>
      </c>
      <c r="EY74" s="19">
        <f t="shared" si="686"/>
        <v>0.30292138669628349</v>
      </c>
      <c r="EZ74" s="19">
        <f t="shared" si="686"/>
        <v>0.30292138669628355</v>
      </c>
      <c r="FA74" s="19">
        <f t="shared" si="686"/>
        <v>0.30292138669628349</v>
      </c>
      <c r="FB74" s="19">
        <f t="shared" si="686"/>
        <v>0.30292138669628355</v>
      </c>
    </row>
    <row r="76" spans="3:158" x14ac:dyDescent="0.25">
      <c r="C76" s="1" t="s">
        <v>626</v>
      </c>
    </row>
    <row r="77" spans="3:158" x14ac:dyDescent="0.25">
      <c r="C77" s="2" t="s">
        <v>607</v>
      </c>
      <c r="D77" s="20">
        <f t="shared" ref="D77:L79" si="687">SUMIF($AY$2:$FB$2,D$2,$AY77:$FB77)</f>
        <v>5718339.0999999996</v>
      </c>
      <c r="E77" s="20">
        <f t="shared" si="687"/>
        <v>7829961.8145050006</v>
      </c>
      <c r="F77" s="20">
        <f t="shared" si="687"/>
        <v>8657987.1461899988</v>
      </c>
      <c r="G77" s="20">
        <f t="shared" si="687"/>
        <v>16709358.41097267</v>
      </c>
      <c r="H77" s="20">
        <f t="shared" si="687"/>
        <v>18750724.309394229</v>
      </c>
      <c r="I77" s="20">
        <f t="shared" si="687"/>
        <v>25003008.950996581</v>
      </c>
      <c r="J77" s="20">
        <f t="shared" si="687"/>
        <v>32555326.841173172</v>
      </c>
      <c r="K77" s="20">
        <f t="shared" si="687"/>
        <v>41333554.564846858</v>
      </c>
      <c r="L77" s="20">
        <f t="shared" si="687"/>
        <v>51084752.170930743</v>
      </c>
      <c r="N77" s="20">
        <f t="shared" ref="N77:N79" si="688">SUM(AY77:BA77)</f>
        <v>1035185.6</v>
      </c>
      <c r="O77" s="20">
        <f t="shared" ref="O77:O79" si="689">SUM(BB77:BD77)</f>
        <v>947839</v>
      </c>
      <c r="P77" s="20">
        <f t="shared" ref="P77:P79" si="690">SUM(BE77:BG77)</f>
        <v>1374139.5</v>
      </c>
      <c r="Q77" s="20">
        <f t="shared" ref="Q77:Q79" si="691">SUM(BH77:BJ77)</f>
        <v>2361175</v>
      </c>
      <c r="R77" s="20">
        <f t="shared" ref="R77:R79" si="692">SUM(BK77:BM77)</f>
        <v>1966893.72</v>
      </c>
      <c r="S77" s="20">
        <f t="shared" ref="S77:S79" si="693">SUM(BN77:BP77)</f>
        <v>2138899.92</v>
      </c>
      <c r="T77" s="20">
        <f t="shared" ref="T77:T79" si="694">SUM(BQ77:BS77)</f>
        <v>1586173.72</v>
      </c>
      <c r="U77" s="20">
        <f t="shared" ref="U77:U79" si="695">SUM(BT77:BV77)</f>
        <v>2137994.4545049998</v>
      </c>
      <c r="V77" s="20">
        <f t="shared" ref="V77:V79" si="696">SUM(BW77:BY77)</f>
        <v>1187612.8935159999</v>
      </c>
      <c r="W77" s="20">
        <f t="shared" ref="W77:W79" si="697">SUM(BZ77:CB77)</f>
        <v>2496187.72487</v>
      </c>
      <c r="X77" s="20">
        <f t="shared" ref="X77:X79" si="698">SUM(CC77:CE77)</f>
        <v>1792109.2252369998</v>
      </c>
      <c r="Y77" s="20">
        <f t="shared" ref="Y77:Y79" si="699">SUM(CF77:CH77)</f>
        <v>3182077.302567</v>
      </c>
      <c r="Z77" s="20">
        <f t="shared" ref="Z77:Z79" si="700">SUM(CI77:CK77)</f>
        <v>2478561.1667750003</v>
      </c>
      <c r="AA77" s="20">
        <f t="shared" ref="AA77:AA79" si="701">SUM(CL77:CN77)</f>
        <v>3596821.8275309997</v>
      </c>
      <c r="AB77" s="20">
        <f t="shared" ref="AB77:AB79" si="702">SUM(CO77:CQ77)</f>
        <v>4579891.458333334</v>
      </c>
      <c r="AC77" s="20">
        <f t="shared" ref="AC77:AC79" si="703">SUM(CR77:CT77)</f>
        <v>6054083.958333334</v>
      </c>
      <c r="AD77" s="20">
        <f t="shared" ref="AD77:AD79" si="704">SUM(CU77:CW77)</f>
        <v>3318393.1822028025</v>
      </c>
      <c r="AE77" s="20">
        <f t="shared" ref="AE77:AE79" si="705">SUM(CX77:CZ77)</f>
        <v>4415141.5763387</v>
      </c>
      <c r="AF77" s="20">
        <f t="shared" ref="AF77:AF79" si="706">SUM(DA77:DC77)</f>
        <v>4352811.0971852168</v>
      </c>
      <c r="AG77" s="20">
        <f t="shared" ref="AG77:AG79" si="707">SUM(DD77:DF77)</f>
        <v>6664378.4536675103</v>
      </c>
      <c r="AH77" s="20">
        <f t="shared" ref="AH77:AH79" si="708">SUM(DG77:DI77)</f>
        <v>4559902.0857307035</v>
      </c>
      <c r="AI77" s="20">
        <f t="shared" ref="AI77:AI79" si="709">SUM(DJ77:DL77)</f>
        <v>6187372.6460760506</v>
      </c>
      <c r="AJ77" s="20">
        <f t="shared" ref="AJ77:AJ79" si="710">SUM(DM77:DO77)</f>
        <v>5804222.4411775414</v>
      </c>
      <c r="AK77" s="20">
        <f t="shared" ref="AK77:AK79" si="711">SUM(DP77:DR77)</f>
        <v>8451511.778012285</v>
      </c>
      <c r="AL77" s="20">
        <f t="shared" ref="AL77:AL79" si="712">SUM(DS77:DU77)</f>
        <v>5937249.5148746241</v>
      </c>
      <c r="AM77" s="20">
        <f t="shared" ref="AM77:AM79" si="713">SUM(DV77:DX77)</f>
        <v>8056307.9098170549</v>
      </c>
      <c r="AN77" s="20">
        <f t="shared" ref="AN77:AN79" si="714">SUM(DY77:EA77)</f>
        <v>7557424.7484271415</v>
      </c>
      <c r="AO77" s="20">
        <f t="shared" ref="AO77:AO79" si="715">SUM(EB77:ED77)</f>
        <v>11004344.668054355</v>
      </c>
      <c r="AP77" s="20">
        <f t="shared" ref="AP77:AP79" si="716">SUM(EE77:EG77)</f>
        <v>7538171.1873281021</v>
      </c>
      <c r="AQ77" s="20">
        <f t="shared" ref="AQ77:AQ79" si="717">SUM(EH77:EJ77)</f>
        <v>10228613.099361856</v>
      </c>
      <c r="AR77" s="20">
        <f t="shared" ref="AR77:AR79" si="718">SUM(EK77:EM77)</f>
        <v>9595210.938376205</v>
      </c>
      <c r="AS77" s="20">
        <f t="shared" ref="AS77:AS79" si="719">SUM(EN77:EP77)</f>
        <v>13971559.339780699</v>
      </c>
      <c r="AT77" s="20">
        <f t="shared" ref="AT77:AT79" si="720">SUM(EQ77:ES77)</f>
        <v>9316537.3987508994</v>
      </c>
      <c r="AU77" s="20">
        <f t="shared" ref="AU77:AU79" si="721">SUM(ET77:EV77)</f>
        <v>12641694.399001226</v>
      </c>
      <c r="AV77" s="20">
        <f t="shared" ref="AV77:AV79" si="722">SUM(EW77:EY77)</f>
        <v>11858863.288559953</v>
      </c>
      <c r="AW77" s="20">
        <f t="shared" ref="AW77:AW79" si="723">SUM(EZ77:FB77)</f>
        <v>17267657.084618654</v>
      </c>
      <c r="AY77" s="20">
        <f>AY8</f>
        <v>78250</v>
      </c>
      <c r="AZ77" s="20">
        <f t="shared" ref="AZ77:BK77" si="724">AZ8</f>
        <v>438175</v>
      </c>
      <c r="BA77" s="20">
        <f t="shared" si="724"/>
        <v>518760.6</v>
      </c>
      <c r="BB77" s="20">
        <f t="shared" si="724"/>
        <v>163840</v>
      </c>
      <c r="BC77" s="20">
        <f t="shared" si="724"/>
        <v>300140</v>
      </c>
      <c r="BD77" s="20">
        <f t="shared" si="724"/>
        <v>483859</v>
      </c>
      <c r="BE77" s="20">
        <f t="shared" si="724"/>
        <v>270916.67</v>
      </c>
      <c r="BF77" s="20">
        <f t="shared" si="724"/>
        <v>423389.5</v>
      </c>
      <c r="BG77" s="20">
        <f t="shared" si="724"/>
        <v>679833.33</v>
      </c>
      <c r="BH77" s="20">
        <f t="shared" si="724"/>
        <v>491650</v>
      </c>
      <c r="BI77" s="20">
        <f t="shared" si="724"/>
        <v>984175</v>
      </c>
      <c r="BJ77" s="20">
        <f t="shared" si="724"/>
        <v>885350</v>
      </c>
      <c r="BK77" s="20">
        <f t="shared" si="724"/>
        <v>325633.33</v>
      </c>
      <c r="BL77" s="20">
        <f t="shared" ref="BL77:CT77" si="725">BL8</f>
        <v>614517.32999999996</v>
      </c>
      <c r="BM77" s="20">
        <f t="shared" si="725"/>
        <v>1026743.06</v>
      </c>
      <c r="BN77" s="20">
        <f t="shared" si="725"/>
        <v>548266.67000000004</v>
      </c>
      <c r="BO77" s="20">
        <f t="shared" si="725"/>
        <v>708736.61</v>
      </c>
      <c r="BP77" s="20">
        <f t="shared" si="725"/>
        <v>881896.64</v>
      </c>
      <c r="BQ77" s="20">
        <f t="shared" si="725"/>
        <v>429835.17</v>
      </c>
      <c r="BR77" s="20">
        <f t="shared" si="725"/>
        <v>356700</v>
      </c>
      <c r="BS77" s="20">
        <f t="shared" si="725"/>
        <v>799638.55</v>
      </c>
      <c r="BT77" s="20">
        <f t="shared" si="725"/>
        <v>276754.48</v>
      </c>
      <c r="BU77" s="20">
        <f t="shared" si="725"/>
        <v>829160.48</v>
      </c>
      <c r="BV77" s="20">
        <f t="shared" si="725"/>
        <v>1032079.494505</v>
      </c>
      <c r="BW77" s="20">
        <f t="shared" si="725"/>
        <v>211086.86</v>
      </c>
      <c r="BX77" s="20">
        <f t="shared" si="725"/>
        <v>343880.24212399998</v>
      </c>
      <c r="BY77" s="20">
        <f t="shared" si="725"/>
        <v>632645.79139200004</v>
      </c>
      <c r="BZ77" s="20">
        <f t="shared" si="725"/>
        <v>398339.78897400002</v>
      </c>
      <c r="CA77" s="20">
        <f t="shared" si="725"/>
        <v>617609.16853400005</v>
      </c>
      <c r="CB77" s="20">
        <f t="shared" si="725"/>
        <v>1480238.767362</v>
      </c>
      <c r="CC77" s="20">
        <f t="shared" si="725"/>
        <v>225861.55</v>
      </c>
      <c r="CD77" s="20">
        <f t="shared" si="725"/>
        <v>681003.32150099997</v>
      </c>
      <c r="CE77" s="20">
        <f t="shared" si="725"/>
        <v>885244.35373600002</v>
      </c>
      <c r="CF77" s="20">
        <f t="shared" si="725"/>
        <v>533185.24945200002</v>
      </c>
      <c r="CG77" s="20">
        <f t="shared" si="725"/>
        <v>921185.87619099999</v>
      </c>
      <c r="CH77" s="20">
        <f t="shared" si="725"/>
        <v>1727706.176924</v>
      </c>
      <c r="CI77" s="20">
        <f t="shared" si="725"/>
        <v>417149.06475100003</v>
      </c>
      <c r="CJ77" s="20">
        <f t="shared" si="725"/>
        <v>703910.10811300005</v>
      </c>
      <c r="CK77" s="20">
        <f t="shared" si="725"/>
        <v>1357501.993911</v>
      </c>
      <c r="CL77" s="20">
        <f t="shared" si="725"/>
        <v>522178.75454599998</v>
      </c>
      <c r="CM77" s="20">
        <f t="shared" si="725"/>
        <v>1110364.198349</v>
      </c>
      <c r="CN77" s="20">
        <f t="shared" si="725"/>
        <v>1964278.874636</v>
      </c>
      <c r="CO77" s="20">
        <f t="shared" si="725"/>
        <v>686983.71875000012</v>
      </c>
      <c r="CP77" s="20">
        <f t="shared" si="725"/>
        <v>1602962.0104166667</v>
      </c>
      <c r="CQ77" s="20">
        <f t="shared" si="725"/>
        <v>2289945.729166667</v>
      </c>
      <c r="CR77" s="20">
        <f t="shared" si="725"/>
        <v>605408.39583333349</v>
      </c>
      <c r="CS77" s="20">
        <f t="shared" si="725"/>
        <v>2421633.583333334</v>
      </c>
      <c r="CT77" s="20">
        <f t="shared" si="725"/>
        <v>3027041.979166667</v>
      </c>
      <c r="CU77" s="20">
        <f>CU71*CU53</f>
        <v>438658.63632085227</v>
      </c>
      <c r="CV77" s="20">
        <f t="shared" ref="CV77:FB79" si="726">CV71*CV53</f>
        <v>964078.39666739036</v>
      </c>
      <c r="CW77" s="20">
        <f t="shared" si="726"/>
        <v>1915656.1492145599</v>
      </c>
      <c r="CX77" s="20">
        <f t="shared" si="726"/>
        <v>765955.15688817343</v>
      </c>
      <c r="CY77" s="20">
        <f t="shared" si="726"/>
        <v>1502318.2913442629</v>
      </c>
      <c r="CZ77" s="20">
        <f t="shared" si="726"/>
        <v>2146868.1281062635</v>
      </c>
      <c r="DA77" s="20">
        <f t="shared" si="726"/>
        <v>735494.374673062</v>
      </c>
      <c r="DB77" s="20">
        <f t="shared" si="726"/>
        <v>1311459.3132739773</v>
      </c>
      <c r="DC77" s="20">
        <f t="shared" si="726"/>
        <v>2305857.4092381778</v>
      </c>
      <c r="DD77" s="20">
        <f t="shared" si="726"/>
        <v>990139.13281642762</v>
      </c>
      <c r="DE77" s="20">
        <f t="shared" si="726"/>
        <v>2641125.7658198043</v>
      </c>
      <c r="DF77" s="20">
        <f t="shared" si="726"/>
        <v>3033113.5550312777</v>
      </c>
      <c r="DG77" s="20">
        <f t="shared" si="726"/>
        <v>629931.39707068913</v>
      </c>
      <c r="DH77" s="20">
        <f t="shared" si="726"/>
        <v>1330548.3308065883</v>
      </c>
      <c r="DI77" s="20">
        <f t="shared" si="726"/>
        <v>2599422.3578534261</v>
      </c>
      <c r="DJ77" s="20">
        <f t="shared" si="726"/>
        <v>1121369.0419513234</v>
      </c>
      <c r="DK77" s="20">
        <f t="shared" si="726"/>
        <v>2103266.793643259</v>
      </c>
      <c r="DL77" s="20">
        <f t="shared" si="726"/>
        <v>2962736.8104814682</v>
      </c>
      <c r="DM77" s="20">
        <f t="shared" si="726"/>
        <v>980739.31064865121</v>
      </c>
      <c r="DN77" s="20">
        <f t="shared" si="726"/>
        <v>1748755.3231332442</v>
      </c>
      <c r="DO77" s="20">
        <f t="shared" si="726"/>
        <v>3074727.8073956454</v>
      </c>
      <c r="DP77" s="20">
        <f t="shared" si="726"/>
        <v>1175275.9507309641</v>
      </c>
      <c r="DQ77" s="20">
        <f t="shared" si="726"/>
        <v>3376771.3640189609</v>
      </c>
      <c r="DR77" s="20">
        <f t="shared" si="726"/>
        <v>3899464.4632623605</v>
      </c>
      <c r="DS77" s="20">
        <f t="shared" si="726"/>
        <v>820206.18235773256</v>
      </c>
      <c r="DT77" s="20">
        <f t="shared" si="726"/>
        <v>1732448.9173395813</v>
      </c>
      <c r="DU77" s="20">
        <f t="shared" si="726"/>
        <v>3384594.4151773099</v>
      </c>
      <c r="DV77" s="20">
        <f t="shared" si="726"/>
        <v>1460085.6937598099</v>
      </c>
      <c r="DW77" s="20">
        <f t="shared" si="726"/>
        <v>2738571.9069029661</v>
      </c>
      <c r="DX77" s="20">
        <f t="shared" si="726"/>
        <v>3857650.3091542781</v>
      </c>
      <c r="DY77" s="20">
        <f t="shared" si="726"/>
        <v>1276977.8576142571</v>
      </c>
      <c r="DZ77" s="20">
        <f t="shared" si="726"/>
        <v>2276977.9917858639</v>
      </c>
      <c r="EA77" s="20">
        <f t="shared" si="726"/>
        <v>4003468.8990270202</v>
      </c>
      <c r="EB77" s="20">
        <f t="shared" si="726"/>
        <v>1530275.5272217761</v>
      </c>
      <c r="EC77" s="20">
        <f t="shared" si="726"/>
        <v>4396746.6331355171</v>
      </c>
      <c r="ED77" s="20">
        <f t="shared" si="726"/>
        <v>5077322.5076970626</v>
      </c>
      <c r="EE77" s="20">
        <f t="shared" si="726"/>
        <v>1041366.8140487443</v>
      </c>
      <c r="EF77" s="20">
        <f t="shared" si="726"/>
        <v>2199586.9433293934</v>
      </c>
      <c r="EG77" s="20">
        <f t="shared" si="726"/>
        <v>4297217.4299499644</v>
      </c>
      <c r="EH77" s="20">
        <f t="shared" si="726"/>
        <v>1853783.6215499833</v>
      </c>
      <c r="EI77" s="20">
        <f t="shared" si="726"/>
        <v>3477001.2261271873</v>
      </c>
      <c r="EJ77" s="20">
        <f t="shared" si="726"/>
        <v>4897828.2516846852</v>
      </c>
      <c r="EK77" s="20">
        <f t="shared" si="726"/>
        <v>1621302.5356282396</v>
      </c>
      <c r="EL77" s="20">
        <f t="shared" si="726"/>
        <v>2890942.9945395952</v>
      </c>
      <c r="EM77" s="20">
        <f t="shared" si="726"/>
        <v>5082965.4082083702</v>
      </c>
      <c r="EN77" s="20">
        <f t="shared" si="726"/>
        <v>1942899.4619607306</v>
      </c>
      <c r="EO77" s="20">
        <f t="shared" si="726"/>
        <v>5582286.6640267661</v>
      </c>
      <c r="EP77" s="20">
        <f t="shared" si="726"/>
        <v>6446373.2137932032</v>
      </c>
      <c r="EQ77" s="20">
        <f t="shared" si="726"/>
        <v>1287040.6664699318</v>
      </c>
      <c r="ER77" s="20">
        <f t="shared" si="726"/>
        <v>2718502.0756468163</v>
      </c>
      <c r="ES77" s="20">
        <f t="shared" si="726"/>
        <v>5310994.656634151</v>
      </c>
      <c r="ET77" s="20">
        <f t="shared" si="726"/>
        <v>2291118.6294621597</v>
      </c>
      <c r="EU77" s="20">
        <f t="shared" si="726"/>
        <v>4297277.3042314742</v>
      </c>
      <c r="EV77" s="20">
        <f t="shared" si="726"/>
        <v>6053298.4653075915</v>
      </c>
      <c r="EW77" s="20">
        <f t="shared" si="726"/>
        <v>2003791.8126961619</v>
      </c>
      <c r="EX77" s="20">
        <f t="shared" si="726"/>
        <v>3572959.2572215963</v>
      </c>
      <c r="EY77" s="20">
        <f t="shared" si="726"/>
        <v>6282112.2186421948</v>
      </c>
      <c r="EZ77" s="20">
        <f t="shared" si="726"/>
        <v>2401258.216289734</v>
      </c>
      <c r="FA77" s="20">
        <f t="shared" si="726"/>
        <v>6899230.7528621936</v>
      </c>
      <c r="FB77" s="20">
        <f t="shared" si="726"/>
        <v>7967168.115466726</v>
      </c>
    </row>
    <row r="78" spans="3:158" x14ac:dyDescent="0.25">
      <c r="C78" s="2" t="s">
        <v>608</v>
      </c>
      <c r="D78" s="20">
        <f t="shared" si="687"/>
        <v>4135547.4499999997</v>
      </c>
      <c r="E78" s="20">
        <f t="shared" si="687"/>
        <v>6446601.9000000004</v>
      </c>
      <c r="F78" s="20">
        <f t="shared" si="687"/>
        <v>6373032.4761190014</v>
      </c>
      <c r="G78" s="20">
        <f t="shared" si="687"/>
        <v>10348857.147820331</v>
      </c>
      <c r="H78" s="20">
        <f t="shared" si="687"/>
        <v>12486617.328824773</v>
      </c>
      <c r="I78" s="20">
        <f t="shared" si="687"/>
        <v>17056083.393466983</v>
      </c>
      <c r="J78" s="20">
        <f t="shared" si="687"/>
        <v>21505101.122632332</v>
      </c>
      <c r="K78" s="20">
        <f t="shared" si="687"/>
        <v>26367416.356500991</v>
      </c>
      <c r="L78" s="20">
        <f t="shared" si="687"/>
        <v>31374103.714801259</v>
      </c>
      <c r="N78" s="20">
        <f t="shared" si="688"/>
        <v>942678</v>
      </c>
      <c r="O78" s="20">
        <f t="shared" si="689"/>
        <v>1175560.1099999999</v>
      </c>
      <c r="P78" s="20">
        <f t="shared" si="690"/>
        <v>899799</v>
      </c>
      <c r="Q78" s="20">
        <f t="shared" si="691"/>
        <v>1117510.3399999999</v>
      </c>
      <c r="R78" s="20">
        <f t="shared" si="692"/>
        <v>1312061.26</v>
      </c>
      <c r="S78" s="20">
        <f t="shared" si="693"/>
        <v>1241153.3400000001</v>
      </c>
      <c r="T78" s="20">
        <f t="shared" si="694"/>
        <v>1826211.1400000001</v>
      </c>
      <c r="U78" s="20">
        <f t="shared" si="695"/>
        <v>2067176.1600000001</v>
      </c>
      <c r="V78" s="20">
        <f t="shared" si="696"/>
        <v>1563850.5114290002</v>
      </c>
      <c r="W78" s="20">
        <f t="shared" si="697"/>
        <v>1611306.3739199999</v>
      </c>
      <c r="X78" s="20">
        <f t="shared" si="698"/>
        <v>1023480.697692</v>
      </c>
      <c r="Y78" s="20">
        <f t="shared" si="699"/>
        <v>2174394.8930780003</v>
      </c>
      <c r="Z78" s="20">
        <f t="shared" si="700"/>
        <v>1237977.660779</v>
      </c>
      <c r="AA78" s="20">
        <f t="shared" si="701"/>
        <v>1920331.1687080001</v>
      </c>
      <c r="AB78" s="20">
        <f t="shared" si="702"/>
        <v>2897690.6083333329</v>
      </c>
      <c r="AC78" s="20">
        <f t="shared" si="703"/>
        <v>4292857.709999999</v>
      </c>
      <c r="AD78" s="20">
        <f t="shared" si="704"/>
        <v>2209808.2788187577</v>
      </c>
      <c r="AE78" s="20">
        <f t="shared" si="705"/>
        <v>2940162.8655328783</v>
      </c>
      <c r="AF78" s="20">
        <f t="shared" si="706"/>
        <v>2898655.3041038038</v>
      </c>
      <c r="AG78" s="20">
        <f t="shared" si="707"/>
        <v>4437990.8803693345</v>
      </c>
      <c r="AH78" s="20">
        <f t="shared" si="708"/>
        <v>3110588.4252849882</v>
      </c>
      <c r="AI78" s="20">
        <f t="shared" si="709"/>
        <v>4220785.7480178699</v>
      </c>
      <c r="AJ78" s="20">
        <f t="shared" si="710"/>
        <v>3959415.5321458131</v>
      </c>
      <c r="AK78" s="20">
        <f t="shared" si="711"/>
        <v>5765293.6880183127</v>
      </c>
      <c r="AL78" s="20">
        <f t="shared" si="712"/>
        <v>3921974.1773932497</v>
      </c>
      <c r="AM78" s="20">
        <f t="shared" si="713"/>
        <v>5321762.4605926126</v>
      </c>
      <c r="AN78" s="20">
        <f t="shared" si="714"/>
        <v>4992214.7682469143</v>
      </c>
      <c r="AO78" s="20">
        <f t="shared" si="715"/>
        <v>7269149.7163995579</v>
      </c>
      <c r="AP78" s="20">
        <f t="shared" si="716"/>
        <v>4808734.703690391</v>
      </c>
      <c r="AQ78" s="20">
        <f t="shared" si="717"/>
        <v>6525015.8903538603</v>
      </c>
      <c r="AR78" s="20">
        <f t="shared" si="718"/>
        <v>6120957.2828703402</v>
      </c>
      <c r="AS78" s="20">
        <f t="shared" si="719"/>
        <v>8912708.4795864001</v>
      </c>
      <c r="AT78" s="20">
        <f t="shared" si="720"/>
        <v>5721824.9710441921</v>
      </c>
      <c r="AU78" s="20">
        <f t="shared" si="721"/>
        <v>7763996.3854181198</v>
      </c>
      <c r="AV78" s="20">
        <f t="shared" si="722"/>
        <v>7283214.4807124436</v>
      </c>
      <c r="AW78" s="20">
        <f t="shared" si="723"/>
        <v>10605067.877626508</v>
      </c>
      <c r="AY78" s="20">
        <f>AY19</f>
        <v>65700</v>
      </c>
      <c r="AZ78" s="20">
        <f t="shared" ref="AZ78:BK78" si="727">AZ19</f>
        <v>228500</v>
      </c>
      <c r="BA78" s="20">
        <f t="shared" si="727"/>
        <v>648478</v>
      </c>
      <c r="BB78" s="20">
        <f t="shared" si="727"/>
        <v>161613.43</v>
      </c>
      <c r="BC78" s="20">
        <f t="shared" si="727"/>
        <v>475946.68</v>
      </c>
      <c r="BD78" s="20">
        <f t="shared" si="727"/>
        <v>538000</v>
      </c>
      <c r="BE78" s="20">
        <f t="shared" si="727"/>
        <v>65000</v>
      </c>
      <c r="BF78" s="20">
        <f t="shared" si="727"/>
        <v>319499</v>
      </c>
      <c r="BG78" s="20">
        <f t="shared" si="727"/>
        <v>515300</v>
      </c>
      <c r="BH78" s="20">
        <f t="shared" si="727"/>
        <v>242494.67</v>
      </c>
      <c r="BI78" s="20">
        <f t="shared" si="727"/>
        <v>390866.67</v>
      </c>
      <c r="BJ78" s="20">
        <f t="shared" si="727"/>
        <v>484149</v>
      </c>
      <c r="BK78" s="20">
        <f t="shared" si="727"/>
        <v>111600</v>
      </c>
      <c r="BL78" s="20">
        <f t="shared" ref="BL78:CT78" si="728">BL19</f>
        <v>142500</v>
      </c>
      <c r="BM78" s="20">
        <f t="shared" si="728"/>
        <v>1057961.26</v>
      </c>
      <c r="BN78" s="20">
        <f t="shared" si="728"/>
        <v>289100</v>
      </c>
      <c r="BO78" s="20">
        <f t="shared" si="728"/>
        <v>395523.34</v>
      </c>
      <c r="BP78" s="20">
        <f t="shared" si="728"/>
        <v>556530</v>
      </c>
      <c r="BQ78" s="20">
        <f t="shared" si="728"/>
        <v>187750</v>
      </c>
      <c r="BR78" s="20">
        <f t="shared" si="728"/>
        <v>565973.67000000004</v>
      </c>
      <c r="BS78" s="20">
        <f t="shared" si="728"/>
        <v>1072487.47</v>
      </c>
      <c r="BT78" s="20">
        <f t="shared" si="728"/>
        <v>125000</v>
      </c>
      <c r="BU78" s="20">
        <f t="shared" si="728"/>
        <v>950419.49</v>
      </c>
      <c r="BV78" s="20">
        <f t="shared" si="728"/>
        <v>991756.67</v>
      </c>
      <c r="BW78" s="20">
        <f t="shared" si="728"/>
        <v>159540</v>
      </c>
      <c r="BX78" s="20">
        <f t="shared" si="728"/>
        <v>585490.86307700002</v>
      </c>
      <c r="BY78" s="20">
        <f t="shared" si="728"/>
        <v>818819.64835200005</v>
      </c>
      <c r="BZ78" s="20">
        <f t="shared" si="728"/>
        <v>319848.90109900001</v>
      </c>
      <c r="CA78" s="20">
        <f t="shared" si="728"/>
        <v>445334.56</v>
      </c>
      <c r="CB78" s="20">
        <f t="shared" si="728"/>
        <v>846122.91282099998</v>
      </c>
      <c r="CC78" s="20">
        <f t="shared" si="728"/>
        <v>236328.37</v>
      </c>
      <c r="CD78" s="20">
        <f t="shared" si="728"/>
        <v>539332.34769199998</v>
      </c>
      <c r="CE78" s="20">
        <f t="shared" si="728"/>
        <v>247819.98</v>
      </c>
      <c r="CF78" s="20">
        <f t="shared" si="728"/>
        <v>131927.69</v>
      </c>
      <c r="CG78" s="20">
        <f t="shared" si="728"/>
        <v>931908.91362699994</v>
      </c>
      <c r="CH78" s="20">
        <f t="shared" si="728"/>
        <v>1110558.289451</v>
      </c>
      <c r="CI78" s="20">
        <f t="shared" si="728"/>
        <v>145344.536234</v>
      </c>
      <c r="CJ78" s="20">
        <f t="shared" si="728"/>
        <v>373766.72</v>
      </c>
      <c r="CK78" s="20">
        <f t="shared" si="728"/>
        <v>718866.40454500006</v>
      </c>
      <c r="CL78" s="20">
        <f t="shared" si="728"/>
        <v>438762.17</v>
      </c>
      <c r="CM78" s="20">
        <f t="shared" si="728"/>
        <v>621217.30753200001</v>
      </c>
      <c r="CN78" s="20">
        <f t="shared" si="728"/>
        <v>860351.69117600005</v>
      </c>
      <c r="CO78" s="20">
        <f t="shared" si="728"/>
        <v>434653.59124999994</v>
      </c>
      <c r="CP78" s="20">
        <f t="shared" si="728"/>
        <v>1014191.7129166665</v>
      </c>
      <c r="CQ78" s="20">
        <f t="shared" si="728"/>
        <v>1448845.3041666665</v>
      </c>
      <c r="CR78" s="20">
        <f t="shared" si="728"/>
        <v>429285.77099999995</v>
      </c>
      <c r="CS78" s="20">
        <f t="shared" si="728"/>
        <v>1717143.0839999998</v>
      </c>
      <c r="CT78" s="20">
        <f t="shared" si="728"/>
        <v>2146428.8549999995</v>
      </c>
      <c r="CU78" s="20">
        <f t="shared" ref="CU78:DJ79" si="729">CU72*CU54</f>
        <v>292114.71724206436</v>
      </c>
      <c r="CV78" s="20">
        <f t="shared" si="729"/>
        <v>642006.02683606674</v>
      </c>
      <c r="CW78" s="20">
        <f t="shared" si="729"/>
        <v>1275687.5347406266</v>
      </c>
      <c r="CX78" s="20">
        <f t="shared" si="729"/>
        <v>510070.37260479829</v>
      </c>
      <c r="CY78" s="20">
        <f t="shared" si="729"/>
        <v>1000434.6125824797</v>
      </c>
      <c r="CZ78" s="20">
        <f t="shared" si="729"/>
        <v>1429657.8803456002</v>
      </c>
      <c r="DA78" s="20">
        <f t="shared" si="729"/>
        <v>489785.70920829108</v>
      </c>
      <c r="DB78" s="20">
        <f t="shared" si="729"/>
        <v>873336.42780781328</v>
      </c>
      <c r="DC78" s="20">
        <f t="shared" si="729"/>
        <v>1535533.1670876993</v>
      </c>
      <c r="DD78" s="20">
        <f t="shared" si="729"/>
        <v>659360.57987791731</v>
      </c>
      <c r="DE78" s="20">
        <f t="shared" si="729"/>
        <v>1758797.4848826837</v>
      </c>
      <c r="DF78" s="20">
        <f t="shared" si="729"/>
        <v>2019832.8156087331</v>
      </c>
      <c r="DG78" s="20">
        <f t="shared" si="729"/>
        <v>429714.77799565368</v>
      </c>
      <c r="DH78" s="20">
        <f t="shared" si="729"/>
        <v>907648.48877802445</v>
      </c>
      <c r="DI78" s="20">
        <f t="shared" si="729"/>
        <v>1773225.1585113101</v>
      </c>
      <c r="DJ78" s="20">
        <f t="shared" si="729"/>
        <v>764954.48735227576</v>
      </c>
      <c r="DK78" s="20">
        <f t="shared" si="726"/>
        <v>1434767.0674916699</v>
      </c>
      <c r="DL78" s="20">
        <f t="shared" si="726"/>
        <v>2021064.1931739242</v>
      </c>
      <c r="DM78" s="20">
        <f t="shared" si="726"/>
        <v>669022.3365699345</v>
      </c>
      <c r="DN78" s="20">
        <f t="shared" si="726"/>
        <v>1192933.0859572829</v>
      </c>
      <c r="DO78" s="20">
        <f t="shared" si="726"/>
        <v>2097460.1096185958</v>
      </c>
      <c r="DP78" s="20">
        <f t="shared" si="726"/>
        <v>801727.69066678802</v>
      </c>
      <c r="DQ78" s="20">
        <f t="shared" si="726"/>
        <v>2303502.5143676968</v>
      </c>
      <c r="DR78" s="20">
        <f t="shared" si="726"/>
        <v>2660063.4829838281</v>
      </c>
      <c r="DS78" s="20">
        <f t="shared" si="726"/>
        <v>541804.32526647078</v>
      </c>
      <c r="DT78" s="20">
        <f t="shared" si="726"/>
        <v>1144405.3177209634</v>
      </c>
      <c r="DU78" s="20">
        <f t="shared" si="726"/>
        <v>2235764.5344058154</v>
      </c>
      <c r="DV78" s="20">
        <f t="shared" si="726"/>
        <v>964490.10158000863</v>
      </c>
      <c r="DW78" s="20">
        <f t="shared" si="726"/>
        <v>1809020.8732005483</v>
      </c>
      <c r="DX78" s="20">
        <f t="shared" si="726"/>
        <v>2548251.4858120554</v>
      </c>
      <c r="DY78" s="20">
        <f t="shared" si="726"/>
        <v>843534.39587115461</v>
      </c>
      <c r="DZ78" s="20">
        <f t="shared" si="726"/>
        <v>1504105.3713346384</v>
      </c>
      <c r="EA78" s="20">
        <f t="shared" si="726"/>
        <v>2644575.0010411213</v>
      </c>
      <c r="EB78" s="20">
        <f t="shared" si="726"/>
        <v>1010855.4621166843</v>
      </c>
      <c r="EC78" s="20">
        <f t="shared" si="726"/>
        <v>2904362.8226330909</v>
      </c>
      <c r="ED78" s="20">
        <f t="shared" si="726"/>
        <v>3353931.4316497822</v>
      </c>
      <c r="EE78" s="20">
        <f t="shared" si="726"/>
        <v>664306.58226569858</v>
      </c>
      <c r="EF78" s="20">
        <f t="shared" si="726"/>
        <v>1403155.9917282022</v>
      </c>
      <c r="EG78" s="20">
        <f t="shared" si="726"/>
        <v>2741272.1296964898</v>
      </c>
      <c r="EH78" s="20">
        <f t="shared" si="726"/>
        <v>1182561.8459110563</v>
      </c>
      <c r="EI78" s="20">
        <f t="shared" si="726"/>
        <v>2218041.4911455768</v>
      </c>
      <c r="EJ78" s="20">
        <f t="shared" si="726"/>
        <v>3124412.5532972268</v>
      </c>
      <c r="EK78" s="20">
        <f t="shared" si="726"/>
        <v>1034257.9883782361</v>
      </c>
      <c r="EL78" s="20">
        <f t="shared" si="726"/>
        <v>1844184.426005407</v>
      </c>
      <c r="EM78" s="20">
        <f t="shared" si="726"/>
        <v>3242514.8684866969</v>
      </c>
      <c r="EN78" s="20">
        <f t="shared" si="726"/>
        <v>1239410.4400570837</v>
      </c>
      <c r="EO78" s="20">
        <f t="shared" si="726"/>
        <v>3561040.8599341335</v>
      </c>
      <c r="EP78" s="20">
        <f t="shared" si="726"/>
        <v>4112257.1795951831</v>
      </c>
      <c r="EQ78" s="20">
        <f t="shared" si="726"/>
        <v>790446.18284303392</v>
      </c>
      <c r="ER78" s="20">
        <f t="shared" si="726"/>
        <v>1669589.5046111129</v>
      </c>
      <c r="ES78" s="20">
        <f t="shared" si="726"/>
        <v>3261789.2835900453</v>
      </c>
      <c r="ET78" s="20">
        <f t="shared" si="726"/>
        <v>1407108.5881583809</v>
      </c>
      <c r="EU78" s="20">
        <f t="shared" si="726"/>
        <v>2639206.7711926699</v>
      </c>
      <c r="EV78" s="20">
        <f t="shared" si="726"/>
        <v>3717681.0260670688</v>
      </c>
      <c r="EW78" s="20">
        <f t="shared" si="726"/>
        <v>1230644.5560124093</v>
      </c>
      <c r="EX78" s="20">
        <f t="shared" si="726"/>
        <v>2194361.1261878284</v>
      </c>
      <c r="EY78" s="20">
        <f t="shared" si="726"/>
        <v>3858208.7985122064</v>
      </c>
      <c r="EZ78" s="20">
        <f t="shared" si="726"/>
        <v>1474751.684647748</v>
      </c>
      <c r="FA78" s="20">
        <f t="shared" si="726"/>
        <v>4237217.0167014673</v>
      </c>
      <c r="FB78" s="20">
        <f t="shared" si="726"/>
        <v>4893099.176277292</v>
      </c>
    </row>
    <row r="79" spans="3:158" x14ac:dyDescent="0.25">
      <c r="C79" s="2" t="s">
        <v>313</v>
      </c>
      <c r="D79" s="29">
        <f t="shared" si="687"/>
        <v>3057385.5</v>
      </c>
      <c r="E79" s="29">
        <f t="shared" si="687"/>
        <v>2750214.6799999997</v>
      </c>
      <c r="F79" s="29">
        <f t="shared" si="687"/>
        <v>2352684.4286809997</v>
      </c>
      <c r="G79" s="29">
        <f t="shared" si="687"/>
        <v>5787834.6133333333</v>
      </c>
      <c r="H79" s="29">
        <f t="shared" si="687"/>
        <v>6773278.9649636559</v>
      </c>
      <c r="I79" s="29">
        <f t="shared" si="687"/>
        <v>9920777.825989252</v>
      </c>
      <c r="J79" s="29">
        <f t="shared" si="687"/>
        <v>13984480.309052814</v>
      </c>
      <c r="K79" s="29">
        <f t="shared" si="687"/>
        <v>20282444.006625246</v>
      </c>
      <c r="L79" s="29">
        <f t="shared" si="687"/>
        <v>30635494.890525348</v>
      </c>
      <c r="N79" s="29">
        <f t="shared" si="688"/>
        <v>364083.32999999996</v>
      </c>
      <c r="O79" s="29">
        <f t="shared" si="689"/>
        <v>791616.66999999993</v>
      </c>
      <c r="P79" s="29">
        <f t="shared" si="690"/>
        <v>564350</v>
      </c>
      <c r="Q79" s="29">
        <f t="shared" si="691"/>
        <v>1337335.5</v>
      </c>
      <c r="R79" s="29">
        <f t="shared" si="692"/>
        <v>612602</v>
      </c>
      <c r="S79" s="29">
        <f t="shared" si="693"/>
        <v>854539.59</v>
      </c>
      <c r="T79" s="29">
        <f t="shared" si="694"/>
        <v>624336.59</v>
      </c>
      <c r="U79" s="29">
        <f t="shared" si="695"/>
        <v>658736.5</v>
      </c>
      <c r="V79" s="29">
        <f t="shared" si="696"/>
        <v>261800</v>
      </c>
      <c r="W79" s="29">
        <f t="shared" si="697"/>
        <v>594240.78</v>
      </c>
      <c r="X79" s="29">
        <f t="shared" si="698"/>
        <v>989521.62000000011</v>
      </c>
      <c r="Y79" s="29">
        <f t="shared" si="699"/>
        <v>507122.028681</v>
      </c>
      <c r="Z79" s="29">
        <f t="shared" si="700"/>
        <v>1344032.9</v>
      </c>
      <c r="AA79" s="29">
        <f t="shared" si="701"/>
        <v>1265277.6299999999</v>
      </c>
      <c r="AB79" s="29">
        <f t="shared" si="702"/>
        <v>1388410.2499999998</v>
      </c>
      <c r="AC79" s="29">
        <f t="shared" si="703"/>
        <v>1790113.833333333</v>
      </c>
      <c r="AD79" s="29">
        <f t="shared" si="704"/>
        <v>1198695.173990278</v>
      </c>
      <c r="AE79" s="29">
        <f t="shared" si="705"/>
        <v>1594870.9539379664</v>
      </c>
      <c r="AF79" s="29">
        <f t="shared" si="706"/>
        <v>1572355.4651301624</v>
      </c>
      <c r="AG79" s="29">
        <f t="shared" si="707"/>
        <v>2407357.3719052495</v>
      </c>
      <c r="AH79" s="29">
        <f t="shared" si="708"/>
        <v>1809293.2570420168</v>
      </c>
      <c r="AI79" s="29">
        <f t="shared" si="709"/>
        <v>2455046.4893497182</v>
      </c>
      <c r="AJ79" s="29">
        <f t="shared" si="710"/>
        <v>2303018.8648253959</v>
      </c>
      <c r="AK79" s="29">
        <f t="shared" si="711"/>
        <v>3353419.214772122</v>
      </c>
      <c r="AL79" s="29">
        <f t="shared" si="712"/>
        <v>2550407.4751198376</v>
      </c>
      <c r="AM79" s="29">
        <f t="shared" si="713"/>
        <v>3460671.1177605567</v>
      </c>
      <c r="AN79" s="29">
        <f t="shared" si="714"/>
        <v>3246370.6507122023</v>
      </c>
      <c r="AO79" s="29">
        <f t="shared" si="715"/>
        <v>4727031.0654602181</v>
      </c>
      <c r="AP79" s="29">
        <f t="shared" si="716"/>
        <v>3698993.1456165928</v>
      </c>
      <c r="AQ79" s="29">
        <f t="shared" si="717"/>
        <v>5019197.4689174425</v>
      </c>
      <c r="AR79" s="29">
        <f t="shared" si="718"/>
        <v>4708385.9745004363</v>
      </c>
      <c r="AS79" s="29">
        <f t="shared" si="719"/>
        <v>6855867.4175907746</v>
      </c>
      <c r="AT79" s="29">
        <f t="shared" si="720"/>
        <v>5587121.8269163892</v>
      </c>
      <c r="AU79" s="29">
        <f t="shared" si="721"/>
        <v>7581216.4630322959</v>
      </c>
      <c r="AV79" s="29">
        <f t="shared" si="722"/>
        <v>7111753.1209410578</v>
      </c>
      <c r="AW79" s="29">
        <f t="shared" si="723"/>
        <v>10355403.479635604</v>
      </c>
      <c r="AY79" s="29">
        <f>AY30</f>
        <v>15000</v>
      </c>
      <c r="AZ79" s="29">
        <f t="shared" ref="AZ79:BK79" si="730">AZ30</f>
        <v>138333.32999999999</v>
      </c>
      <c r="BA79" s="29">
        <f t="shared" si="730"/>
        <v>210750</v>
      </c>
      <c r="BB79" s="29">
        <f t="shared" si="730"/>
        <v>198700</v>
      </c>
      <c r="BC79" s="29">
        <f t="shared" si="730"/>
        <v>375916.67</v>
      </c>
      <c r="BD79" s="29">
        <f t="shared" si="730"/>
        <v>217000</v>
      </c>
      <c r="BE79" s="29">
        <f t="shared" si="730"/>
        <v>108000</v>
      </c>
      <c r="BF79" s="29">
        <f t="shared" si="730"/>
        <v>115000</v>
      </c>
      <c r="BG79" s="29">
        <f t="shared" si="730"/>
        <v>341350</v>
      </c>
      <c r="BH79" s="29">
        <f t="shared" si="730"/>
        <v>363785.5</v>
      </c>
      <c r="BI79" s="29">
        <f t="shared" si="730"/>
        <v>349300</v>
      </c>
      <c r="BJ79" s="29">
        <f t="shared" si="730"/>
        <v>624250</v>
      </c>
      <c r="BK79" s="29">
        <f t="shared" si="730"/>
        <v>45850</v>
      </c>
      <c r="BL79" s="29">
        <f t="shared" ref="BL79:CT79" si="731">BL30</f>
        <v>347400</v>
      </c>
      <c r="BM79" s="29">
        <f t="shared" si="731"/>
        <v>219352</v>
      </c>
      <c r="BN79" s="29">
        <f t="shared" si="731"/>
        <v>315895.23</v>
      </c>
      <c r="BO79" s="29">
        <f t="shared" si="731"/>
        <v>21000</v>
      </c>
      <c r="BP79" s="29">
        <f t="shared" si="731"/>
        <v>517644.36</v>
      </c>
      <c r="BQ79" s="29">
        <f t="shared" si="731"/>
        <v>206000.23</v>
      </c>
      <c r="BR79" s="29">
        <f t="shared" si="731"/>
        <v>0</v>
      </c>
      <c r="BS79" s="29">
        <f t="shared" si="731"/>
        <v>418336.36</v>
      </c>
      <c r="BT79" s="29">
        <f t="shared" si="731"/>
        <v>0</v>
      </c>
      <c r="BU79" s="29">
        <f t="shared" si="731"/>
        <v>52500</v>
      </c>
      <c r="BV79" s="29">
        <f t="shared" si="731"/>
        <v>606236.5</v>
      </c>
      <c r="BW79" s="29">
        <f t="shared" si="731"/>
        <v>89500</v>
      </c>
      <c r="BX79" s="29">
        <f t="shared" si="731"/>
        <v>127300</v>
      </c>
      <c r="BY79" s="29">
        <f t="shared" si="731"/>
        <v>45000</v>
      </c>
      <c r="BZ79" s="29">
        <f t="shared" si="731"/>
        <v>95100</v>
      </c>
      <c r="CA79" s="29">
        <f t="shared" si="731"/>
        <v>152971.18</v>
      </c>
      <c r="CB79" s="29">
        <f t="shared" si="731"/>
        <v>346169.59999999998</v>
      </c>
      <c r="CC79" s="29">
        <f t="shared" si="731"/>
        <v>76788.3</v>
      </c>
      <c r="CD79" s="29">
        <f t="shared" si="731"/>
        <v>262937.90000000002</v>
      </c>
      <c r="CE79" s="29">
        <f t="shared" si="731"/>
        <v>649795.42000000004</v>
      </c>
      <c r="CF79" s="29">
        <f t="shared" si="731"/>
        <v>40192.307692000002</v>
      </c>
      <c r="CG79" s="29">
        <f t="shared" si="731"/>
        <v>178132.910989</v>
      </c>
      <c r="CH79" s="29">
        <f t="shared" si="731"/>
        <v>288796.81</v>
      </c>
      <c r="CI79" s="29">
        <f t="shared" si="731"/>
        <v>211500</v>
      </c>
      <c r="CJ79" s="29">
        <f t="shared" si="731"/>
        <v>42000</v>
      </c>
      <c r="CK79" s="29">
        <f t="shared" si="731"/>
        <v>1090532.8999999999</v>
      </c>
      <c r="CL79" s="29">
        <f t="shared" si="731"/>
        <v>157920</v>
      </c>
      <c r="CM79" s="29">
        <f t="shared" si="731"/>
        <v>173945.83</v>
      </c>
      <c r="CN79" s="29">
        <f t="shared" si="731"/>
        <v>933411.8</v>
      </c>
      <c r="CO79" s="29">
        <f t="shared" si="731"/>
        <v>208261.53749999998</v>
      </c>
      <c r="CP79" s="29">
        <f t="shared" si="731"/>
        <v>485943.58749999991</v>
      </c>
      <c r="CQ79" s="29">
        <f t="shared" si="731"/>
        <v>694205.12499999988</v>
      </c>
      <c r="CR79" s="29">
        <f t="shared" si="731"/>
        <v>179011.3833333333</v>
      </c>
      <c r="CS79" s="29">
        <f t="shared" si="731"/>
        <v>716045.53333333321</v>
      </c>
      <c r="CT79" s="29">
        <f t="shared" si="731"/>
        <v>895056.9166666664</v>
      </c>
      <c r="CU79" s="29">
        <f t="shared" si="729"/>
        <v>158455.60230988532</v>
      </c>
      <c r="CV79" s="29">
        <f t="shared" si="726"/>
        <v>348251.71641244635</v>
      </c>
      <c r="CW79" s="29">
        <f t="shared" si="726"/>
        <v>691987.85526794638</v>
      </c>
      <c r="CX79" s="29">
        <f t="shared" si="726"/>
        <v>276684.13585798751</v>
      </c>
      <c r="CY79" s="29">
        <f t="shared" si="726"/>
        <v>542678.81675078475</v>
      </c>
      <c r="CZ79" s="29">
        <f t="shared" si="726"/>
        <v>775508.00132919417</v>
      </c>
      <c r="DA79" s="29">
        <f t="shared" si="726"/>
        <v>265680.86088953278</v>
      </c>
      <c r="DB79" s="29">
        <f t="shared" si="726"/>
        <v>473735.28795119311</v>
      </c>
      <c r="DC79" s="29">
        <f t="shared" si="726"/>
        <v>832939.31628943642</v>
      </c>
      <c r="DD79" s="29">
        <f t="shared" si="726"/>
        <v>357665.57334176538</v>
      </c>
      <c r="DE79" s="29">
        <f t="shared" si="726"/>
        <v>954047.49695393187</v>
      </c>
      <c r="DF79" s="29">
        <f t="shared" si="726"/>
        <v>1095644.301609552</v>
      </c>
      <c r="DG79" s="29">
        <f t="shared" si="726"/>
        <v>249946.29439206884</v>
      </c>
      <c r="DH79" s="29">
        <f t="shared" si="726"/>
        <v>527939.43331156066</v>
      </c>
      <c r="DI79" s="29">
        <f t="shared" si="726"/>
        <v>1031407.5293383874</v>
      </c>
      <c r="DJ79" s="29">
        <f t="shared" si="726"/>
        <v>444940.57287045382</v>
      </c>
      <c r="DK79" s="29">
        <f t="shared" si="726"/>
        <v>834541.25899050524</v>
      </c>
      <c r="DL79" s="29">
        <f t="shared" si="726"/>
        <v>1175564.6574887589</v>
      </c>
      <c r="DM79" s="29">
        <f t="shared" si="726"/>
        <v>389141.03599404241</v>
      </c>
      <c r="DN79" s="29">
        <f t="shared" si="726"/>
        <v>693877.00763629319</v>
      </c>
      <c r="DO79" s="29">
        <f t="shared" si="726"/>
        <v>1220000.8211950604</v>
      </c>
      <c r="DP79" s="29">
        <f t="shared" si="726"/>
        <v>466329.93710004858</v>
      </c>
      <c r="DQ79" s="29">
        <f t="shared" si="726"/>
        <v>1339846.6775439652</v>
      </c>
      <c r="DR79" s="29">
        <f t="shared" si="726"/>
        <v>1547242.6001281082</v>
      </c>
      <c r="DS79" s="29">
        <f t="shared" si="726"/>
        <v>352328.1232132687</v>
      </c>
      <c r="DT79" s="29">
        <f t="shared" si="726"/>
        <v>744191.50786514347</v>
      </c>
      <c r="DU79" s="29">
        <f t="shared" si="726"/>
        <v>1453887.8440414253</v>
      </c>
      <c r="DV79" s="29">
        <f t="shared" si="726"/>
        <v>627195.0434879422</v>
      </c>
      <c r="DW79" s="29">
        <f t="shared" si="726"/>
        <v>1176382.1353676093</v>
      </c>
      <c r="DX79" s="29">
        <f t="shared" si="726"/>
        <v>1657093.9389050056</v>
      </c>
      <c r="DY79" s="29">
        <f t="shared" si="726"/>
        <v>548539.16202487436</v>
      </c>
      <c r="DZ79" s="29">
        <f t="shared" si="726"/>
        <v>978099.65311128646</v>
      </c>
      <c r="EA79" s="29">
        <f t="shared" si="726"/>
        <v>1719731.8355760414</v>
      </c>
      <c r="EB79" s="29">
        <f t="shared" si="726"/>
        <v>657345.81877375988</v>
      </c>
      <c r="EC79" s="29">
        <f t="shared" si="726"/>
        <v>1888668.3895065503</v>
      </c>
      <c r="ED79" s="29">
        <f t="shared" si="726"/>
        <v>2181016.8571799085</v>
      </c>
      <c r="EE79" s="29">
        <f t="shared" si="726"/>
        <v>511000.42855410866</v>
      </c>
      <c r="EF79" s="29">
        <f t="shared" si="726"/>
        <v>1079340.9733438368</v>
      </c>
      <c r="EG79" s="29">
        <f t="shared" si="726"/>
        <v>2108651.7437186474</v>
      </c>
      <c r="EH79" s="29">
        <f t="shared" si="726"/>
        <v>909654.70790803258</v>
      </c>
      <c r="EI79" s="29">
        <f t="shared" si="726"/>
        <v>1706170.287611055</v>
      </c>
      <c r="EJ79" s="29">
        <f t="shared" si="726"/>
        <v>2403372.4733983548</v>
      </c>
      <c r="EK79" s="29">
        <f t="shared" si="726"/>
        <v>795575.85218296933</v>
      </c>
      <c r="EL79" s="29">
        <f t="shared" si="726"/>
        <v>1418590.5381329765</v>
      </c>
      <c r="EM79" s="29">
        <f t="shared" si="726"/>
        <v>2494219.5841844911</v>
      </c>
      <c r="EN79" s="29">
        <f t="shared" si="726"/>
        <v>953383.99909199367</v>
      </c>
      <c r="EO79" s="29">
        <f t="shared" si="726"/>
        <v>2739237.3553167991</v>
      </c>
      <c r="EP79" s="29">
        <f t="shared" si="726"/>
        <v>3163246.0631819819</v>
      </c>
      <c r="EQ79" s="29">
        <f t="shared" si="726"/>
        <v>771837.50700418756</v>
      </c>
      <c r="ER79" s="29">
        <f t="shared" si="726"/>
        <v>1630284.0458087169</v>
      </c>
      <c r="ES79" s="29">
        <f t="shared" si="726"/>
        <v>3185000.2741034846</v>
      </c>
      <c r="ET79" s="29">
        <f t="shared" si="726"/>
        <v>1373982.4523689495</v>
      </c>
      <c r="EU79" s="29">
        <f t="shared" si="726"/>
        <v>2577074.592756222</v>
      </c>
      <c r="EV79" s="29">
        <f t="shared" si="726"/>
        <v>3630159.4179071249</v>
      </c>
      <c r="EW79" s="29">
        <f t="shared" si="726"/>
        <v>1201672.7346376663</v>
      </c>
      <c r="EX79" s="29">
        <f t="shared" si="726"/>
        <v>2142701.4993126313</v>
      </c>
      <c r="EY79" s="29">
        <f t="shared" si="726"/>
        <v>3767378.88699076</v>
      </c>
      <c r="EZ79" s="29">
        <f t="shared" si="726"/>
        <v>1440033.0957822844</v>
      </c>
      <c r="FA79" s="29">
        <f t="shared" si="726"/>
        <v>4137464.4976380672</v>
      </c>
      <c r="FB79" s="29">
        <f t="shared" si="726"/>
        <v>4777905.8862152528</v>
      </c>
    </row>
    <row r="80" spans="3:158" x14ac:dyDescent="0.25">
      <c r="C80" s="310" t="s">
        <v>308</v>
      </c>
      <c r="D80" s="20">
        <f>SUM(D77:D79)</f>
        <v>12911272.049999999</v>
      </c>
      <c r="E80" s="20">
        <f t="shared" ref="E80:L80" si="732">SUM(E77:E79)</f>
        <v>17026778.394505002</v>
      </c>
      <c r="F80" s="20">
        <f t="shared" si="732"/>
        <v>17383704.05099</v>
      </c>
      <c r="G80" s="20">
        <f t="shared" si="732"/>
        <v>32846050.172126334</v>
      </c>
      <c r="H80" s="20">
        <f t="shared" si="732"/>
        <v>38010620.603182659</v>
      </c>
      <c r="I80" s="20">
        <f t="shared" si="732"/>
        <v>51979870.170452818</v>
      </c>
      <c r="J80" s="20">
        <f t="shared" si="732"/>
        <v>68044908.272858322</v>
      </c>
      <c r="K80" s="20">
        <f t="shared" si="732"/>
        <v>87983414.927973107</v>
      </c>
      <c r="L80" s="20">
        <f t="shared" si="732"/>
        <v>113094350.77625734</v>
      </c>
      <c r="N80" s="20">
        <f>SUM(N77:N79)</f>
        <v>2341946.9300000002</v>
      </c>
      <c r="O80" s="20">
        <f t="shared" ref="O80:AW80" si="733">SUM(O77:O79)</f>
        <v>2915015.78</v>
      </c>
      <c r="P80" s="20">
        <f t="shared" si="733"/>
        <v>2838288.5</v>
      </c>
      <c r="Q80" s="20">
        <f t="shared" si="733"/>
        <v>4816020.84</v>
      </c>
      <c r="R80" s="20">
        <f t="shared" si="733"/>
        <v>3891556.98</v>
      </c>
      <c r="S80" s="20">
        <f t="shared" si="733"/>
        <v>4234592.8499999996</v>
      </c>
      <c r="T80" s="20">
        <f t="shared" si="733"/>
        <v>4036721.45</v>
      </c>
      <c r="U80" s="20">
        <f t="shared" si="733"/>
        <v>4863907.1145050004</v>
      </c>
      <c r="V80" s="20">
        <f t="shared" si="733"/>
        <v>3013263.4049450001</v>
      </c>
      <c r="W80" s="20">
        <f t="shared" si="733"/>
        <v>4701734.8787900005</v>
      </c>
      <c r="X80" s="20">
        <f t="shared" si="733"/>
        <v>3805111.5429289998</v>
      </c>
      <c r="Y80" s="20">
        <f t="shared" si="733"/>
        <v>5863594.2243260005</v>
      </c>
      <c r="Z80" s="20">
        <f t="shared" si="733"/>
        <v>5060571.7275540009</v>
      </c>
      <c r="AA80" s="20">
        <f t="shared" si="733"/>
        <v>6782430.6262389999</v>
      </c>
      <c r="AB80" s="20">
        <f t="shared" si="733"/>
        <v>8865992.3166666664</v>
      </c>
      <c r="AC80" s="20">
        <f t="shared" si="733"/>
        <v>12137055.501666665</v>
      </c>
      <c r="AD80" s="20">
        <f t="shared" si="733"/>
        <v>6726896.6350118387</v>
      </c>
      <c r="AE80" s="20">
        <f t="shared" si="733"/>
        <v>8950175.3958095443</v>
      </c>
      <c r="AF80" s="20">
        <f t="shared" si="733"/>
        <v>8823821.8664191831</v>
      </c>
      <c r="AG80" s="20">
        <f t="shared" si="733"/>
        <v>13509726.705942094</v>
      </c>
      <c r="AH80" s="20">
        <f t="shared" si="733"/>
        <v>9479783.7680577077</v>
      </c>
      <c r="AI80" s="20">
        <f t="shared" si="733"/>
        <v>12863204.883443639</v>
      </c>
      <c r="AJ80" s="20">
        <f t="shared" si="733"/>
        <v>12066656.83814875</v>
      </c>
      <c r="AK80" s="20">
        <f t="shared" si="733"/>
        <v>17570224.680802718</v>
      </c>
      <c r="AL80" s="20">
        <f t="shared" si="733"/>
        <v>12409631.167387713</v>
      </c>
      <c r="AM80" s="20">
        <f t="shared" si="733"/>
        <v>16838741.488170225</v>
      </c>
      <c r="AN80" s="20">
        <f t="shared" si="733"/>
        <v>15796010.16738626</v>
      </c>
      <c r="AO80" s="20">
        <f t="shared" si="733"/>
        <v>23000525.449914135</v>
      </c>
      <c r="AP80" s="20">
        <f t="shared" si="733"/>
        <v>16045899.036635086</v>
      </c>
      <c r="AQ80" s="20">
        <f t="shared" si="733"/>
        <v>21772826.458633158</v>
      </c>
      <c r="AR80" s="20">
        <f t="shared" si="733"/>
        <v>20424554.195746981</v>
      </c>
      <c r="AS80" s="20">
        <f t="shared" si="733"/>
        <v>29740135.236957874</v>
      </c>
      <c r="AT80" s="20">
        <f t="shared" si="733"/>
        <v>20625484.196711481</v>
      </c>
      <c r="AU80" s="20">
        <f t="shared" si="733"/>
        <v>27986907.247451641</v>
      </c>
      <c r="AV80" s="20">
        <f t="shared" si="733"/>
        <v>26253830.890213452</v>
      </c>
      <c r="AW80" s="20">
        <f t="shared" si="733"/>
        <v>38228128.441880763</v>
      </c>
      <c r="AY80" s="20">
        <f>SUM(AY77:AY79)</f>
        <v>158950</v>
      </c>
      <c r="AZ80" s="20">
        <f t="shared" ref="AZ80:BK80" si="734">SUM(AZ77:AZ79)</f>
        <v>805008.33</v>
      </c>
      <c r="BA80" s="20">
        <f t="shared" si="734"/>
        <v>1377988.6</v>
      </c>
      <c r="BB80" s="20">
        <f t="shared" si="734"/>
        <v>524153.43</v>
      </c>
      <c r="BC80" s="20">
        <f t="shared" si="734"/>
        <v>1152003.3499999999</v>
      </c>
      <c r="BD80" s="20">
        <f t="shared" si="734"/>
        <v>1238859</v>
      </c>
      <c r="BE80" s="20">
        <f t="shared" si="734"/>
        <v>443916.67</v>
      </c>
      <c r="BF80" s="20">
        <f t="shared" si="734"/>
        <v>857888.5</v>
      </c>
      <c r="BG80" s="20">
        <f t="shared" si="734"/>
        <v>1536483.33</v>
      </c>
      <c r="BH80" s="20">
        <f t="shared" si="734"/>
        <v>1097930.17</v>
      </c>
      <c r="BI80" s="20">
        <f t="shared" si="734"/>
        <v>1724341.67</v>
      </c>
      <c r="BJ80" s="20">
        <f t="shared" si="734"/>
        <v>1993749</v>
      </c>
      <c r="BK80" s="20">
        <f t="shared" si="734"/>
        <v>483083.33</v>
      </c>
      <c r="BL80" s="20">
        <f t="shared" ref="BL80" si="735">SUM(BL77:BL79)</f>
        <v>1104417.33</v>
      </c>
      <c r="BM80" s="20">
        <f t="shared" ref="BM80" si="736">SUM(BM77:BM79)</f>
        <v>2304056.3200000003</v>
      </c>
      <c r="BN80" s="20">
        <f t="shared" ref="BN80" si="737">SUM(BN77:BN79)</f>
        <v>1153261.8999999999</v>
      </c>
      <c r="BO80" s="20">
        <f t="shared" ref="BO80" si="738">SUM(BO77:BO79)</f>
        <v>1125259.95</v>
      </c>
      <c r="BP80" s="20">
        <f t="shared" ref="BP80" si="739">SUM(BP77:BP79)</f>
        <v>1956071</v>
      </c>
      <c r="BQ80" s="20">
        <f t="shared" ref="BQ80" si="740">SUM(BQ77:BQ79)</f>
        <v>823585.39999999991</v>
      </c>
      <c r="BR80" s="20">
        <f t="shared" ref="BR80" si="741">SUM(BR77:BR79)</f>
        <v>922673.67</v>
      </c>
      <c r="BS80" s="20">
        <f t="shared" ref="BS80" si="742">SUM(BS77:BS79)</f>
        <v>2290462.38</v>
      </c>
      <c r="BT80" s="20">
        <f t="shared" ref="BT80" si="743">SUM(BT77:BT79)</f>
        <v>401754.48</v>
      </c>
      <c r="BU80" s="20">
        <f t="shared" ref="BU80" si="744">SUM(BU77:BU79)</f>
        <v>1832079.97</v>
      </c>
      <c r="BV80" s="20">
        <f t="shared" ref="BV80" si="745">SUM(BV77:BV79)</f>
        <v>2630072.6645050002</v>
      </c>
      <c r="BW80" s="20">
        <f t="shared" ref="BW80" si="746">SUM(BW77:BW79)</f>
        <v>460126.86</v>
      </c>
      <c r="BX80" s="20">
        <f t="shared" ref="BX80" si="747">SUM(BX77:BX79)</f>
        <v>1056671.1052009999</v>
      </c>
      <c r="BY80" s="20">
        <f t="shared" ref="BY80" si="748">SUM(BY77:BY79)</f>
        <v>1496465.4397440001</v>
      </c>
      <c r="BZ80" s="20">
        <f t="shared" ref="BZ80" si="749">SUM(BZ77:BZ79)</f>
        <v>813288.69007300003</v>
      </c>
      <c r="CA80" s="20">
        <f t="shared" ref="CA80" si="750">SUM(CA77:CA79)</f>
        <v>1215914.9085339999</v>
      </c>
      <c r="CB80" s="20">
        <f t="shared" ref="CB80" si="751">SUM(CB77:CB79)</f>
        <v>2672531.280183</v>
      </c>
      <c r="CC80" s="20">
        <f t="shared" ref="CC80" si="752">SUM(CC77:CC79)</f>
        <v>538978.22</v>
      </c>
      <c r="CD80" s="20">
        <f t="shared" ref="CD80" si="753">SUM(CD77:CD79)</f>
        <v>1483273.569193</v>
      </c>
      <c r="CE80" s="20">
        <f t="shared" ref="CE80" si="754">SUM(CE77:CE79)</f>
        <v>1782859.753736</v>
      </c>
      <c r="CF80" s="20">
        <f t="shared" ref="CF80" si="755">SUM(CF77:CF79)</f>
        <v>705305.24714399991</v>
      </c>
      <c r="CG80" s="20">
        <f t="shared" ref="CG80" si="756">SUM(CG77:CG79)</f>
        <v>2031227.700807</v>
      </c>
      <c r="CH80" s="20">
        <f t="shared" ref="CH80" si="757">SUM(CH77:CH79)</f>
        <v>3127061.2763749999</v>
      </c>
      <c r="CI80" s="20">
        <f t="shared" ref="CI80" si="758">SUM(CI77:CI79)</f>
        <v>773993.60098500003</v>
      </c>
      <c r="CJ80" s="20">
        <f t="shared" ref="CJ80" si="759">SUM(CJ77:CJ79)</f>
        <v>1119676.8281129999</v>
      </c>
      <c r="CK80" s="20">
        <f t="shared" ref="CK80" si="760">SUM(CK77:CK79)</f>
        <v>3166901.2984560002</v>
      </c>
      <c r="CL80" s="20">
        <f t="shared" ref="CL80" si="761">SUM(CL77:CL79)</f>
        <v>1118860.9245460001</v>
      </c>
      <c r="CM80" s="20">
        <f t="shared" ref="CM80" si="762">SUM(CM77:CM79)</f>
        <v>1905527.3358809999</v>
      </c>
      <c r="CN80" s="20">
        <f t="shared" ref="CN80" si="763">SUM(CN77:CN79)</f>
        <v>3758042.3658119999</v>
      </c>
      <c r="CO80" s="20">
        <f t="shared" ref="CO80" si="764">SUM(CO77:CO79)</f>
        <v>1329898.8475000001</v>
      </c>
      <c r="CP80" s="20">
        <f t="shared" ref="CP80" si="765">SUM(CP77:CP79)</f>
        <v>3103097.3108333331</v>
      </c>
      <c r="CQ80" s="20">
        <f t="shared" ref="CQ80" si="766">SUM(CQ77:CQ79)</f>
        <v>4432996.1583333332</v>
      </c>
      <c r="CR80" s="20">
        <f t="shared" ref="CR80" si="767">SUM(CR77:CR79)</f>
        <v>1213705.5501666667</v>
      </c>
      <c r="CS80" s="20">
        <f t="shared" ref="CS80" si="768">SUM(CS77:CS79)</f>
        <v>4854822.200666667</v>
      </c>
      <c r="CT80" s="20">
        <f t="shared" ref="CT80:CU80" si="769">SUM(CT77:CT79)</f>
        <v>6068527.7508333325</v>
      </c>
      <c r="CU80" s="20">
        <f t="shared" si="769"/>
        <v>889228.95587280195</v>
      </c>
      <c r="CV80" s="20">
        <f t="shared" ref="CV80" si="770">SUM(CV77:CV79)</f>
        <v>1954336.1399159036</v>
      </c>
      <c r="CW80" s="20">
        <f t="shared" ref="CW80" si="771">SUM(CW77:CW79)</f>
        <v>3883331.5392231327</v>
      </c>
      <c r="CX80" s="20">
        <f t="shared" ref="CX80" si="772">SUM(CX77:CX79)</f>
        <v>1552709.6653509592</v>
      </c>
      <c r="CY80" s="20">
        <f t="shared" ref="CY80" si="773">SUM(CY77:CY79)</f>
        <v>3045431.7206775276</v>
      </c>
      <c r="CZ80" s="20">
        <f t="shared" ref="CZ80" si="774">SUM(CZ77:CZ79)</f>
        <v>4352034.0097810579</v>
      </c>
      <c r="DA80" s="20">
        <f t="shared" ref="DA80" si="775">SUM(DA77:DA79)</f>
        <v>1490960.9447708859</v>
      </c>
      <c r="DB80" s="20">
        <f t="shared" ref="DB80" si="776">SUM(DB77:DB79)</f>
        <v>2658531.0290329838</v>
      </c>
      <c r="DC80" s="20">
        <f t="shared" ref="DC80" si="777">SUM(DC77:DC79)</f>
        <v>4674329.8926153136</v>
      </c>
      <c r="DD80" s="20">
        <f t="shared" ref="DD80" si="778">SUM(DD77:DD79)</f>
        <v>2007165.2860361105</v>
      </c>
      <c r="DE80" s="20">
        <f t="shared" ref="DE80" si="779">SUM(DE77:DE79)</f>
        <v>5353970.7476564199</v>
      </c>
      <c r="DF80" s="20">
        <f t="shared" ref="DF80" si="780">SUM(DF77:DF79)</f>
        <v>6148590.672249563</v>
      </c>
      <c r="DG80" s="20">
        <f t="shared" ref="DG80" si="781">SUM(DG77:DG79)</f>
        <v>1309592.4694584117</v>
      </c>
      <c r="DH80" s="20">
        <f t="shared" ref="DH80" si="782">SUM(DH77:DH79)</f>
        <v>2766136.2528961734</v>
      </c>
      <c r="DI80" s="20">
        <f t="shared" ref="DI80" si="783">SUM(DI77:DI79)</f>
        <v>5404055.0457031243</v>
      </c>
      <c r="DJ80" s="20">
        <f t="shared" ref="DJ80" si="784">SUM(DJ77:DJ79)</f>
        <v>2331264.102174053</v>
      </c>
      <c r="DK80" s="20">
        <f t="shared" ref="DK80" si="785">SUM(DK77:DK79)</f>
        <v>4372575.1201254334</v>
      </c>
      <c r="DL80" s="20">
        <f t="shared" ref="DL80" si="786">SUM(DL77:DL79)</f>
        <v>6159365.6611441514</v>
      </c>
      <c r="DM80" s="20">
        <f t="shared" ref="DM80" si="787">SUM(DM77:DM79)</f>
        <v>2038902.6832126281</v>
      </c>
      <c r="DN80" s="20">
        <f t="shared" ref="DN80" si="788">SUM(DN77:DN79)</f>
        <v>3635565.4167268206</v>
      </c>
      <c r="DO80" s="20">
        <f t="shared" ref="DO80" si="789">SUM(DO77:DO79)</f>
        <v>6392188.7382093016</v>
      </c>
      <c r="DP80" s="20">
        <f t="shared" ref="DP80" si="790">SUM(DP77:DP79)</f>
        <v>2443333.5784978005</v>
      </c>
      <c r="DQ80" s="20">
        <f t="shared" ref="DQ80" si="791">SUM(DQ77:DQ79)</f>
        <v>7020120.5559306229</v>
      </c>
      <c r="DR80" s="20">
        <f t="shared" ref="DR80" si="792">SUM(DR77:DR79)</f>
        <v>8106770.5463742968</v>
      </c>
      <c r="DS80" s="20">
        <f t="shared" ref="DS80" si="793">SUM(DS77:DS79)</f>
        <v>1714338.6308374722</v>
      </c>
      <c r="DT80" s="20">
        <f t="shared" ref="DT80" si="794">SUM(DT77:DT79)</f>
        <v>3621045.7429256882</v>
      </c>
      <c r="DU80" s="20">
        <f t="shared" ref="DU80" si="795">SUM(DU77:DU79)</f>
        <v>7074246.7936245501</v>
      </c>
      <c r="DV80" s="20">
        <f t="shared" ref="DV80" si="796">SUM(DV77:DV79)</f>
        <v>3051770.8388277609</v>
      </c>
      <c r="DW80" s="20">
        <f t="shared" ref="DW80" si="797">SUM(DW77:DW79)</f>
        <v>5723974.9154711235</v>
      </c>
      <c r="DX80" s="20">
        <f t="shared" ref="DX80" si="798">SUM(DX77:DX79)</f>
        <v>8062995.7338713389</v>
      </c>
      <c r="DY80" s="20">
        <f t="shared" ref="DY80" si="799">SUM(DY77:DY79)</f>
        <v>2669051.4155102861</v>
      </c>
      <c r="DZ80" s="20">
        <f t="shared" ref="DZ80" si="800">SUM(DZ77:DZ79)</f>
        <v>4759183.0162317883</v>
      </c>
      <c r="EA80" s="20">
        <f t="shared" ref="EA80" si="801">SUM(EA77:EA79)</f>
        <v>8367775.7356441831</v>
      </c>
      <c r="EB80" s="20">
        <f t="shared" ref="EB80" si="802">SUM(EB77:EB79)</f>
        <v>3198476.8081122204</v>
      </c>
      <c r="EC80" s="20">
        <f t="shared" ref="EC80" si="803">SUM(EC77:EC79)</f>
        <v>9189777.8452751581</v>
      </c>
      <c r="ED80" s="20">
        <f t="shared" ref="ED80" si="804">SUM(ED77:ED79)</f>
        <v>10612270.796526752</v>
      </c>
      <c r="EE80" s="20">
        <f t="shared" ref="EE80" si="805">SUM(EE77:EE79)</f>
        <v>2216673.8248685515</v>
      </c>
      <c r="EF80" s="20">
        <f t="shared" ref="EF80" si="806">SUM(EF77:EF79)</f>
        <v>4682083.9084014324</v>
      </c>
      <c r="EG80" s="20">
        <f t="shared" ref="EG80" si="807">SUM(EG77:EG79)</f>
        <v>9147141.3033651002</v>
      </c>
      <c r="EH80" s="20">
        <f t="shared" ref="EH80" si="808">SUM(EH77:EH79)</f>
        <v>3946000.1753690718</v>
      </c>
      <c r="EI80" s="20">
        <f t="shared" ref="EI80" si="809">SUM(EI77:EI79)</f>
        <v>7401213.0048838193</v>
      </c>
      <c r="EJ80" s="20">
        <f t="shared" ref="EJ80" si="810">SUM(EJ77:EJ79)</f>
        <v>10425613.278380267</v>
      </c>
      <c r="EK80" s="20">
        <f t="shared" ref="EK80" si="811">SUM(EK77:EK79)</f>
        <v>3451136.3761894451</v>
      </c>
      <c r="EL80" s="20">
        <f t="shared" ref="EL80" si="812">SUM(EL77:EL79)</f>
        <v>6153717.9586779792</v>
      </c>
      <c r="EM80" s="20">
        <f t="shared" ref="EM80" si="813">SUM(EM77:EM79)</f>
        <v>10819699.860879559</v>
      </c>
      <c r="EN80" s="20">
        <f t="shared" ref="EN80" si="814">SUM(EN77:EN79)</f>
        <v>4135693.9011098077</v>
      </c>
      <c r="EO80" s="20">
        <f t="shared" ref="EO80" si="815">SUM(EO77:EO79)</f>
        <v>11882564.879277699</v>
      </c>
      <c r="EP80" s="20">
        <f t="shared" ref="EP80" si="816">SUM(EP77:EP79)</f>
        <v>13721876.456570368</v>
      </c>
      <c r="EQ80" s="20">
        <f t="shared" ref="EQ80" si="817">SUM(EQ77:EQ79)</f>
        <v>2849324.3563171532</v>
      </c>
      <c r="ER80" s="20">
        <f t="shared" ref="ER80" si="818">SUM(ER77:ER79)</f>
        <v>6018375.6260666456</v>
      </c>
      <c r="ES80" s="20">
        <f t="shared" ref="ES80" si="819">SUM(ES77:ES79)</f>
        <v>11757784.214327682</v>
      </c>
      <c r="ET80" s="20">
        <f t="shared" ref="ET80" si="820">SUM(ET77:ET79)</f>
        <v>5072209.66998949</v>
      </c>
      <c r="EU80" s="20">
        <f t="shared" ref="EU80" si="821">SUM(EU77:EU79)</f>
        <v>9513558.6681803651</v>
      </c>
      <c r="EV80" s="20">
        <f t="shared" ref="EV80" si="822">SUM(EV77:EV79)</f>
        <v>13401138.909281785</v>
      </c>
      <c r="EW80" s="20">
        <f t="shared" ref="EW80" si="823">SUM(EW77:EW79)</f>
        <v>4436109.1033462379</v>
      </c>
      <c r="EX80" s="20">
        <f t="shared" ref="EX80" si="824">SUM(EX77:EX79)</f>
        <v>7910021.8827220555</v>
      </c>
      <c r="EY80" s="20">
        <f t="shared" ref="EY80" si="825">SUM(EY77:EY79)</f>
        <v>13907699.904145161</v>
      </c>
      <c r="EZ80" s="20">
        <f t="shared" ref="EZ80" si="826">SUM(EZ77:EZ79)</f>
        <v>5316042.9967197664</v>
      </c>
      <c r="FA80" s="20">
        <f t="shared" ref="FA80" si="827">SUM(FA77:FA79)</f>
        <v>15273912.267201727</v>
      </c>
      <c r="FB80" s="20">
        <f t="shared" ref="FB80" si="828">SUM(FB77:FB79)</f>
        <v>17638173.177959271</v>
      </c>
    </row>
    <row r="82" spans="3:158" x14ac:dyDescent="0.25">
      <c r="C82" s="1" t="s">
        <v>627</v>
      </c>
    </row>
    <row r="83" spans="3:158" x14ac:dyDescent="0.25">
      <c r="C83" s="2" t="s">
        <v>607</v>
      </c>
      <c r="D83" s="20">
        <f t="shared" ref="D83:L85" si="829">SUMIF($AY$2:$FB$2,D$2,$AY83:$FB83)</f>
        <v>439111.47</v>
      </c>
      <c r="E83" s="20">
        <f t="shared" si="829"/>
        <v>1451905.1764100001</v>
      </c>
      <c r="F83" s="20">
        <f t="shared" si="829"/>
        <v>2193580.8464450003</v>
      </c>
      <c r="G83" s="20">
        <f t="shared" si="829"/>
        <v>2361877.9045540001</v>
      </c>
      <c r="H83" s="20">
        <f t="shared" si="829"/>
        <v>5600865.7028060667</v>
      </c>
      <c r="I83" s="20">
        <f t="shared" si="829"/>
        <v>8334336.3169988608</v>
      </c>
      <c r="J83" s="20">
        <f t="shared" si="829"/>
        <v>12041011.297420217</v>
      </c>
      <c r="K83" s="20">
        <f t="shared" si="829"/>
        <v>16882719.47014872</v>
      </c>
      <c r="L83" s="20">
        <f t="shared" si="829"/>
        <v>22951120.540563088</v>
      </c>
      <c r="N83" s="20">
        <f t="shared" ref="N83:N85" si="830">SUM(AY83:BA83)</f>
        <v>86228</v>
      </c>
      <c r="O83" s="20">
        <f t="shared" ref="O83:O85" si="831">SUM(BB83:BD83)</f>
        <v>137985</v>
      </c>
      <c r="P83" s="20">
        <f t="shared" ref="P83:P85" si="832">SUM(BE83:BG83)</f>
        <v>186096</v>
      </c>
      <c r="Q83" s="20">
        <f t="shared" ref="Q83:Q85" si="833">SUM(BH83:BJ83)</f>
        <v>28802.47</v>
      </c>
      <c r="R83" s="20">
        <f t="shared" ref="R83:R85" si="834">SUM(BK83:BM83)</f>
        <v>191199.31</v>
      </c>
      <c r="S83" s="20">
        <f t="shared" ref="S83:S85" si="835">SUM(BN83:BP83)</f>
        <v>246946.44</v>
      </c>
      <c r="T83" s="20">
        <f t="shared" ref="T83:T85" si="836">SUM(BQ83:BS83)</f>
        <v>436010.04</v>
      </c>
      <c r="U83" s="20">
        <f t="shared" ref="U83:U85" si="837">SUM(BT83:BV83)</f>
        <v>577749.38641000004</v>
      </c>
      <c r="V83" s="20">
        <f t="shared" ref="V83:V85" si="838">SUM(BW83:BY83)</f>
        <v>302641.86871800001</v>
      </c>
      <c r="W83" s="20">
        <f t="shared" ref="W83:W85" si="839">SUM(BZ83:CB83)</f>
        <v>463726.72047599999</v>
      </c>
      <c r="X83" s="20">
        <f t="shared" ref="X83:X85" si="840">SUM(CC83:CE83)</f>
        <v>601050.76736199996</v>
      </c>
      <c r="Y83" s="20">
        <f t="shared" ref="Y83:Y85" si="841">SUM(CF83:CH83)</f>
        <v>826161.48988900008</v>
      </c>
      <c r="Z83" s="20">
        <f t="shared" ref="Z83:Z85" si="842">SUM(CI83:CK83)</f>
        <v>807279.16977200005</v>
      </c>
      <c r="AA83" s="20">
        <f t="shared" ref="AA83:AA85" si="843">SUM(CL83:CN83)</f>
        <v>1118126.2347820001</v>
      </c>
      <c r="AB83" s="20">
        <f t="shared" ref="AB83:AB85" si="844">SUM(CO83:CQ83)</f>
        <v>193275</v>
      </c>
      <c r="AC83" s="20">
        <f t="shared" ref="AC83:AC85" si="845">SUM(CR83:CT83)</f>
        <v>243197.5</v>
      </c>
      <c r="AD83" s="20">
        <f t="shared" ref="AD83:AD85" si="846">SUM(CU83:CW83)</f>
        <v>991208.35312551237</v>
      </c>
      <c r="AE83" s="20">
        <f t="shared" ref="AE83:AE85" si="847">SUM(CX83:CZ83)</f>
        <v>1318808.5228024684</v>
      </c>
      <c r="AF83" s="20">
        <f t="shared" ref="AF83:AF85" si="848">SUM(DA83:DC83)</f>
        <v>1300190.3277306494</v>
      </c>
      <c r="AG83" s="20">
        <f t="shared" ref="AG83:AG85" si="849">SUM(DD83:DF83)</f>
        <v>1990658.4991474373</v>
      </c>
      <c r="AH83" s="20">
        <f t="shared" ref="AH83:AH85" si="850">SUM(DG83:DI83)</f>
        <v>1519967.3619102342</v>
      </c>
      <c r="AI83" s="20">
        <f t="shared" ref="AI83:AI85" si="851">SUM(DJ83:DL83)</f>
        <v>2062457.5486920166</v>
      </c>
      <c r="AJ83" s="20">
        <f t="shared" ref="AJ83:AJ85" si="852">SUM(DM83:DO83)</f>
        <v>1934740.8137258468</v>
      </c>
      <c r="AK83" s="20">
        <f t="shared" ref="AK83:AK85" si="853">SUM(DP83:DR83)</f>
        <v>2817170.592670762</v>
      </c>
      <c r="AL83" s="20">
        <f t="shared" ref="AL83:AL85" si="854">SUM(DS83:DU83)</f>
        <v>2195968.998652258</v>
      </c>
      <c r="AM83" s="20">
        <f t="shared" ref="AM83:AM85" si="855">SUM(DV83:DX83)</f>
        <v>2979730.3228090471</v>
      </c>
      <c r="AN83" s="20">
        <f t="shared" ref="AN83:AN85" si="856">SUM(DY83:EA83)</f>
        <v>2795211.893253874</v>
      </c>
      <c r="AO83" s="20">
        <f t="shared" ref="AO83:AO85" si="857">SUM(EB83:ED83)</f>
        <v>4070100.0827050363</v>
      </c>
      <c r="AP83" s="20">
        <f t="shared" ref="AP83:AP85" si="858">SUM(EE83:EG83)</f>
        <v>3078971.330035422</v>
      </c>
      <c r="AQ83" s="20">
        <f t="shared" ref="AQ83:AQ85" si="859">SUM(EH83:EJ83)</f>
        <v>4177884.2236830126</v>
      </c>
      <c r="AR83" s="20">
        <f t="shared" ref="AR83:AR85" si="860">SUM(EK83:EM83)</f>
        <v>3919170.6649705637</v>
      </c>
      <c r="AS83" s="20">
        <f t="shared" ref="AS83:AS85" si="861">SUM(EN83:EP83)</f>
        <v>5706693.2514597233</v>
      </c>
      <c r="AT83" s="20">
        <f t="shared" ref="AT83:AT85" si="862">SUM(EQ83:ES83)</f>
        <v>4185690.7153808391</v>
      </c>
      <c r="AU83" s="20">
        <f t="shared" ref="AU83:AU85" si="863">SUM(ET83:EV83)</f>
        <v>5679601.8314353339</v>
      </c>
      <c r="AV83" s="20">
        <f t="shared" ref="AV83:AV85" si="864">SUM(EW83:EY83)</f>
        <v>5327895.1006573718</v>
      </c>
      <c r="AW83" s="20">
        <f t="shared" ref="AW83:AW85" si="865">SUM(EZ83:FB83)</f>
        <v>7757932.8930895422</v>
      </c>
      <c r="AY83" s="20">
        <f>AY9</f>
        <v>10114</v>
      </c>
      <c r="AZ83" s="20">
        <f t="shared" ref="AZ83:BK83" si="866">AZ9</f>
        <v>25400</v>
      </c>
      <c r="BA83" s="20">
        <f t="shared" si="866"/>
        <v>50714</v>
      </c>
      <c r="BB83" s="20">
        <f t="shared" si="866"/>
        <v>35700</v>
      </c>
      <c r="BC83" s="20">
        <f t="shared" si="866"/>
        <v>48860</v>
      </c>
      <c r="BD83" s="20">
        <f t="shared" si="866"/>
        <v>53425</v>
      </c>
      <c r="BE83" s="20">
        <f t="shared" si="866"/>
        <v>49260</v>
      </c>
      <c r="BF83" s="20">
        <f t="shared" si="866"/>
        <v>61900</v>
      </c>
      <c r="BG83" s="20">
        <f t="shared" si="866"/>
        <v>74936</v>
      </c>
      <c r="BH83" s="20">
        <f t="shared" si="866"/>
        <v>5782</v>
      </c>
      <c r="BI83" s="20">
        <f t="shared" si="866"/>
        <v>-31962</v>
      </c>
      <c r="BJ83" s="20">
        <f t="shared" si="866"/>
        <v>54982.47</v>
      </c>
      <c r="BK83" s="20">
        <f t="shared" si="866"/>
        <v>18700</v>
      </c>
      <c r="BL83" s="20">
        <f t="shared" ref="BL83:CT83" si="867">BL9</f>
        <v>75383</v>
      </c>
      <c r="BM83" s="20">
        <f t="shared" si="867"/>
        <v>97116.31</v>
      </c>
      <c r="BN83" s="20">
        <f t="shared" si="867"/>
        <v>55172.86</v>
      </c>
      <c r="BO83" s="20">
        <f t="shared" si="867"/>
        <v>67783.58</v>
      </c>
      <c r="BP83" s="20">
        <f t="shared" si="867"/>
        <v>123990</v>
      </c>
      <c r="BQ83" s="20">
        <f t="shared" si="867"/>
        <v>20000</v>
      </c>
      <c r="BR83" s="20">
        <f t="shared" si="867"/>
        <v>78367</v>
      </c>
      <c r="BS83" s="20">
        <f t="shared" si="867"/>
        <v>337643.04</v>
      </c>
      <c r="BT83" s="20">
        <f t="shared" si="867"/>
        <v>153100.20000000001</v>
      </c>
      <c r="BU83" s="20">
        <f t="shared" si="867"/>
        <v>189751.02</v>
      </c>
      <c r="BV83" s="20">
        <f t="shared" si="867"/>
        <v>234898.16641000001</v>
      </c>
      <c r="BW83" s="20">
        <f t="shared" si="867"/>
        <v>78130</v>
      </c>
      <c r="BX83" s="20">
        <f t="shared" si="867"/>
        <v>81895.28</v>
      </c>
      <c r="BY83" s="20">
        <f t="shared" si="867"/>
        <v>142616.58871800001</v>
      </c>
      <c r="BZ83" s="20">
        <f t="shared" si="867"/>
        <v>90393.339487000005</v>
      </c>
      <c r="CA83" s="20">
        <f t="shared" si="867"/>
        <v>111774.990989</v>
      </c>
      <c r="CB83" s="20">
        <f t="shared" si="867"/>
        <v>261558.39</v>
      </c>
      <c r="CC83" s="20">
        <f t="shared" si="867"/>
        <v>126378.017179</v>
      </c>
      <c r="CD83" s="20">
        <f t="shared" si="867"/>
        <v>115947.783516</v>
      </c>
      <c r="CE83" s="20">
        <f t="shared" si="867"/>
        <v>358724.96666699997</v>
      </c>
      <c r="CF83" s="20">
        <f t="shared" si="867"/>
        <v>223314.496923</v>
      </c>
      <c r="CG83" s="20">
        <f t="shared" si="867"/>
        <v>367222.077582</v>
      </c>
      <c r="CH83" s="20">
        <f t="shared" si="867"/>
        <v>235624.91538399999</v>
      </c>
      <c r="CI83" s="20">
        <f t="shared" si="867"/>
        <v>235255.434156</v>
      </c>
      <c r="CJ83" s="20">
        <f t="shared" si="867"/>
        <v>196334.71927500001</v>
      </c>
      <c r="CK83" s="20">
        <f t="shared" si="867"/>
        <v>375689.01634099998</v>
      </c>
      <c r="CL83" s="20">
        <f t="shared" si="867"/>
        <v>299108.39999300003</v>
      </c>
      <c r="CM83" s="20">
        <f t="shared" si="867"/>
        <v>398134.54097700003</v>
      </c>
      <c r="CN83" s="20">
        <f t="shared" si="867"/>
        <v>420883.29381200002</v>
      </c>
      <c r="CO83" s="20">
        <f t="shared" si="867"/>
        <v>28991.25</v>
      </c>
      <c r="CP83" s="20">
        <f t="shared" si="867"/>
        <v>67646.25</v>
      </c>
      <c r="CQ83" s="20">
        <f t="shared" si="867"/>
        <v>96637.5</v>
      </c>
      <c r="CR83" s="20">
        <f t="shared" si="867"/>
        <v>24319.75</v>
      </c>
      <c r="CS83" s="20">
        <f t="shared" si="867"/>
        <v>97279</v>
      </c>
      <c r="CT83" s="20">
        <f t="shared" si="867"/>
        <v>121598.75</v>
      </c>
      <c r="CU83" s="20">
        <f>CU53-CU77</f>
        <v>131027.90435557923</v>
      </c>
      <c r="CV83" s="20">
        <f t="shared" ref="CV83:FB85" si="868">CV53-CV77</f>
        <v>287971.46913441527</v>
      </c>
      <c r="CW83" s="20">
        <f t="shared" si="868"/>
        <v>572208.97963551781</v>
      </c>
      <c r="CX83" s="20">
        <f t="shared" si="868"/>
        <v>228791.80010945431</v>
      </c>
      <c r="CY83" s="20">
        <f t="shared" si="868"/>
        <v>448744.42468724726</v>
      </c>
      <c r="CZ83" s="20">
        <f t="shared" si="868"/>
        <v>641272.2980057667</v>
      </c>
      <c r="DA83" s="20">
        <f t="shared" si="868"/>
        <v>219693.12490234314</v>
      </c>
      <c r="DB83" s="20">
        <f t="shared" si="868"/>
        <v>391734.60006885044</v>
      </c>
      <c r="DC83" s="20">
        <f t="shared" si="868"/>
        <v>688762.6027594558</v>
      </c>
      <c r="DD83" s="20">
        <f t="shared" si="868"/>
        <v>295755.8448672446</v>
      </c>
      <c r="DE83" s="20">
        <f t="shared" si="868"/>
        <v>788907.69628383731</v>
      </c>
      <c r="DF83" s="20">
        <f t="shared" si="868"/>
        <v>905994.95799635537</v>
      </c>
      <c r="DG83" s="20">
        <f t="shared" si="868"/>
        <v>209977.1323568963</v>
      </c>
      <c r="DH83" s="20">
        <f t="shared" si="868"/>
        <v>443516.11026886269</v>
      </c>
      <c r="DI83" s="20">
        <f t="shared" si="868"/>
        <v>866474.11928447522</v>
      </c>
      <c r="DJ83" s="20">
        <f t="shared" si="868"/>
        <v>373789.68065044121</v>
      </c>
      <c r="DK83" s="20">
        <f t="shared" si="868"/>
        <v>701088.93121441966</v>
      </c>
      <c r="DL83" s="20">
        <f t="shared" si="868"/>
        <v>987578.93682715576</v>
      </c>
      <c r="DM83" s="20">
        <f t="shared" si="868"/>
        <v>326913.1035495504</v>
      </c>
      <c r="DN83" s="20">
        <f t="shared" si="868"/>
        <v>582918.44104441488</v>
      </c>
      <c r="DO83" s="20">
        <f t="shared" si="868"/>
        <v>1024909.2691318817</v>
      </c>
      <c r="DP83" s="20">
        <f t="shared" si="868"/>
        <v>391758.65024365461</v>
      </c>
      <c r="DQ83" s="20">
        <f t="shared" si="868"/>
        <v>1125590.4546729866</v>
      </c>
      <c r="DR83" s="20">
        <f t="shared" si="868"/>
        <v>1299821.4877541205</v>
      </c>
      <c r="DS83" s="20">
        <f t="shared" si="868"/>
        <v>303363.93046107923</v>
      </c>
      <c r="DT83" s="20">
        <f t="shared" si="868"/>
        <v>640768.77764614648</v>
      </c>
      <c r="DU83" s="20">
        <f t="shared" si="868"/>
        <v>1251836.2905450324</v>
      </c>
      <c r="DV83" s="20">
        <f t="shared" si="868"/>
        <v>540031.69495225837</v>
      </c>
      <c r="DW83" s="20">
        <f t="shared" si="868"/>
        <v>1012896.4587175352</v>
      </c>
      <c r="DX83" s="20">
        <f t="shared" si="868"/>
        <v>1426802.1691392534</v>
      </c>
      <c r="DY83" s="20">
        <f t="shared" si="868"/>
        <v>472306.8788436295</v>
      </c>
      <c r="DZ83" s="20">
        <f t="shared" si="868"/>
        <v>842169.94216737431</v>
      </c>
      <c r="EA83" s="20">
        <f t="shared" si="868"/>
        <v>1480735.0722428705</v>
      </c>
      <c r="EB83" s="20">
        <f t="shared" si="868"/>
        <v>565992.31828750623</v>
      </c>
      <c r="EC83" s="20">
        <f t="shared" si="868"/>
        <v>1626193.960200808</v>
      </c>
      <c r="ED83" s="20">
        <f t="shared" si="868"/>
        <v>1877913.804216722</v>
      </c>
      <c r="EE83" s="20">
        <f t="shared" si="868"/>
        <v>425347.00855512102</v>
      </c>
      <c r="EF83" s="20">
        <f t="shared" si="868"/>
        <v>898422.8360077804</v>
      </c>
      <c r="EG83" s="20">
        <f t="shared" si="868"/>
        <v>1755201.4854725208</v>
      </c>
      <c r="EH83" s="20">
        <f t="shared" si="868"/>
        <v>757179.22570351441</v>
      </c>
      <c r="EI83" s="20">
        <f t="shared" si="868"/>
        <v>1420183.5994040626</v>
      </c>
      <c r="EJ83" s="20">
        <f t="shared" si="868"/>
        <v>2000521.3985754354</v>
      </c>
      <c r="EK83" s="20">
        <f t="shared" si="868"/>
        <v>662222.16243970348</v>
      </c>
      <c r="EL83" s="20">
        <f t="shared" si="868"/>
        <v>1180807.7019950463</v>
      </c>
      <c r="EM83" s="20">
        <f t="shared" si="868"/>
        <v>2076140.8005358139</v>
      </c>
      <c r="EN83" s="20">
        <f t="shared" si="868"/>
        <v>793578.65347691812</v>
      </c>
      <c r="EO83" s="20">
        <f t="shared" si="868"/>
        <v>2280088.9191095252</v>
      </c>
      <c r="EP83" s="20">
        <f t="shared" si="868"/>
        <v>2633025.6788732801</v>
      </c>
      <c r="EQ83" s="20">
        <f t="shared" si="868"/>
        <v>578235.66174736083</v>
      </c>
      <c r="ER83" s="20">
        <f t="shared" si="868"/>
        <v>1221356.0050007435</v>
      </c>
      <c r="ES83" s="20">
        <f t="shared" si="868"/>
        <v>2386099.0486327345</v>
      </c>
      <c r="ET83" s="20">
        <f t="shared" si="868"/>
        <v>1029343.1523670573</v>
      </c>
      <c r="EU83" s="20">
        <f t="shared" si="868"/>
        <v>1930660.8178431261</v>
      </c>
      <c r="EV83" s="20">
        <f t="shared" si="868"/>
        <v>2719597.8612251505</v>
      </c>
      <c r="EW83" s="20">
        <f t="shared" si="868"/>
        <v>900254.29266059469</v>
      </c>
      <c r="EX83" s="20">
        <f t="shared" si="868"/>
        <v>1605242.5648386888</v>
      </c>
      <c r="EY83" s="20">
        <f t="shared" si="868"/>
        <v>2822398.2431580881</v>
      </c>
      <c r="EZ83" s="20">
        <f t="shared" si="868"/>
        <v>1078826.1551446631</v>
      </c>
      <c r="FA83" s="20">
        <f t="shared" si="868"/>
        <v>3099654.3962134505</v>
      </c>
      <c r="FB83" s="20">
        <f t="shared" si="868"/>
        <v>3579452.3417314282</v>
      </c>
    </row>
    <row r="84" spans="3:158" x14ac:dyDescent="0.25">
      <c r="C84" s="2" t="s">
        <v>608</v>
      </c>
      <c r="D84" s="20">
        <f t="shared" si="829"/>
        <v>1895049.81</v>
      </c>
      <c r="E84" s="20">
        <f t="shared" si="829"/>
        <v>2734060.3200000003</v>
      </c>
      <c r="F84" s="20">
        <f t="shared" si="829"/>
        <v>5291309.6112820003</v>
      </c>
      <c r="G84" s="20">
        <f t="shared" si="829"/>
        <v>12324815.001792001</v>
      </c>
      <c r="H84" s="20">
        <f t="shared" si="829"/>
        <v>16795397.834156636</v>
      </c>
      <c r="I84" s="20">
        <f t="shared" si="829"/>
        <v>23553638.971930597</v>
      </c>
      <c r="J84" s="20">
        <f t="shared" si="829"/>
        <v>33636183.807194166</v>
      </c>
      <c r="K84" s="20">
        <f t="shared" si="829"/>
        <v>46875406.856001765</v>
      </c>
      <c r="L84" s="20">
        <f t="shared" si="829"/>
        <v>63698937.84520258</v>
      </c>
      <c r="N84" s="20">
        <f t="shared" si="830"/>
        <v>207675</v>
      </c>
      <c r="O84" s="20">
        <f t="shared" si="831"/>
        <v>501334.72</v>
      </c>
      <c r="P84" s="20">
        <f t="shared" si="832"/>
        <v>423071.46</v>
      </c>
      <c r="Q84" s="20">
        <f t="shared" si="833"/>
        <v>762968.63</v>
      </c>
      <c r="R84" s="20">
        <f t="shared" si="834"/>
        <v>523982</v>
      </c>
      <c r="S84" s="20">
        <f t="shared" si="835"/>
        <v>538121.82000000007</v>
      </c>
      <c r="T84" s="20">
        <f t="shared" si="836"/>
        <v>629803.82000000007</v>
      </c>
      <c r="U84" s="20">
        <f t="shared" si="837"/>
        <v>1042152.6799999999</v>
      </c>
      <c r="V84" s="20">
        <f t="shared" si="838"/>
        <v>658975.99</v>
      </c>
      <c r="W84" s="20">
        <f t="shared" si="839"/>
        <v>1169172.2</v>
      </c>
      <c r="X84" s="20">
        <f t="shared" si="840"/>
        <v>1491143.536667</v>
      </c>
      <c r="Y84" s="20">
        <f t="shared" si="841"/>
        <v>1972017.8846149999</v>
      </c>
      <c r="Z84" s="20">
        <f t="shared" si="842"/>
        <v>1723067.898847</v>
      </c>
      <c r="AA84" s="20">
        <f t="shared" si="843"/>
        <v>2260209.5879450003</v>
      </c>
      <c r="AB84" s="20">
        <f t="shared" si="844"/>
        <v>3352066.6833333336</v>
      </c>
      <c r="AC84" s="20">
        <f t="shared" si="845"/>
        <v>4989470.831666667</v>
      </c>
      <c r="AD84" s="20">
        <f t="shared" si="846"/>
        <v>2972350.974054168</v>
      </c>
      <c r="AE84" s="20">
        <f t="shared" si="847"/>
        <v>3954730.3904192261</v>
      </c>
      <c r="AF84" s="20">
        <f t="shared" si="848"/>
        <v>3898899.7367707239</v>
      </c>
      <c r="AG84" s="20">
        <f t="shared" si="849"/>
        <v>5969416.7329125181</v>
      </c>
      <c r="AH84" s="20">
        <f t="shared" si="850"/>
        <v>4295574.4920602217</v>
      </c>
      <c r="AI84" s="20">
        <f t="shared" si="851"/>
        <v>5828704.1282151546</v>
      </c>
      <c r="AJ84" s="20">
        <f t="shared" si="852"/>
        <v>5467764.3062966</v>
      </c>
      <c r="AK84" s="20">
        <f t="shared" si="853"/>
        <v>7961596.0453586224</v>
      </c>
      <c r="AL84" s="20">
        <f t="shared" si="854"/>
        <v>6134369.8672048263</v>
      </c>
      <c r="AM84" s="20">
        <f t="shared" si="855"/>
        <v>8323782.3101576753</v>
      </c>
      <c r="AN84" s="20">
        <f t="shared" si="856"/>
        <v>7808335.919565686</v>
      </c>
      <c r="AO84" s="20">
        <f t="shared" si="857"/>
        <v>11369695.710265975</v>
      </c>
      <c r="AP84" s="20">
        <f t="shared" si="858"/>
        <v>8548861.6954495832</v>
      </c>
      <c r="AQ84" s="20">
        <f t="shared" si="859"/>
        <v>11600028.249517974</v>
      </c>
      <c r="AR84" s="20">
        <f t="shared" si="860"/>
        <v>10881701.836213939</v>
      </c>
      <c r="AS84" s="20">
        <f t="shared" si="861"/>
        <v>15844815.074820267</v>
      </c>
      <c r="AT84" s="20">
        <f t="shared" si="862"/>
        <v>11617038.577574573</v>
      </c>
      <c r="AU84" s="20">
        <f t="shared" si="863"/>
        <v>15763265.388576185</v>
      </c>
      <c r="AV84" s="20">
        <f t="shared" si="864"/>
        <v>14787132.430537388</v>
      </c>
      <c r="AW84" s="20">
        <f t="shared" si="865"/>
        <v>21531501.448514428</v>
      </c>
      <c r="AY84" s="20">
        <f>AY20</f>
        <v>78575</v>
      </c>
      <c r="AZ84" s="20">
        <f t="shared" ref="AZ84:BK84" si="869">AZ20</f>
        <v>43500</v>
      </c>
      <c r="BA84" s="20">
        <f t="shared" si="869"/>
        <v>85600</v>
      </c>
      <c r="BB84" s="20">
        <f t="shared" si="869"/>
        <v>22383</v>
      </c>
      <c r="BC84" s="20">
        <f t="shared" si="869"/>
        <v>142000</v>
      </c>
      <c r="BD84" s="20">
        <f t="shared" si="869"/>
        <v>336951.72</v>
      </c>
      <c r="BE84" s="20">
        <f t="shared" si="869"/>
        <v>9800</v>
      </c>
      <c r="BF84" s="20">
        <f t="shared" si="869"/>
        <v>91054.46</v>
      </c>
      <c r="BG84" s="20">
        <f t="shared" si="869"/>
        <v>322217</v>
      </c>
      <c r="BH84" s="20">
        <f t="shared" si="869"/>
        <v>49500</v>
      </c>
      <c r="BI84" s="20">
        <f t="shared" si="869"/>
        <v>388700</v>
      </c>
      <c r="BJ84" s="20">
        <f t="shared" si="869"/>
        <v>324768.63</v>
      </c>
      <c r="BK84" s="20">
        <f t="shared" si="869"/>
        <v>138930</v>
      </c>
      <c r="BL84" s="20">
        <f t="shared" ref="BL84:CT84" si="870">BL20</f>
        <v>88410</v>
      </c>
      <c r="BM84" s="20">
        <f t="shared" si="870"/>
        <v>296642</v>
      </c>
      <c r="BN84" s="20">
        <f t="shared" si="870"/>
        <v>24541</v>
      </c>
      <c r="BO84" s="20">
        <f t="shared" si="870"/>
        <v>223059.99</v>
      </c>
      <c r="BP84" s="20">
        <f t="shared" si="870"/>
        <v>290520.83</v>
      </c>
      <c r="BQ84" s="20">
        <f t="shared" si="870"/>
        <v>88420</v>
      </c>
      <c r="BR84" s="20">
        <f t="shared" si="870"/>
        <v>109137</v>
      </c>
      <c r="BS84" s="20">
        <f t="shared" si="870"/>
        <v>432246.82</v>
      </c>
      <c r="BT84" s="20">
        <f t="shared" si="870"/>
        <v>104050.86</v>
      </c>
      <c r="BU84" s="20">
        <f t="shared" si="870"/>
        <v>461873.48</v>
      </c>
      <c r="BV84" s="20">
        <f t="shared" si="870"/>
        <v>476228.34</v>
      </c>
      <c r="BW84" s="20">
        <f t="shared" si="870"/>
        <v>170270</v>
      </c>
      <c r="BX84" s="20">
        <f t="shared" si="870"/>
        <v>44780.99</v>
      </c>
      <c r="BY84" s="20">
        <f t="shared" si="870"/>
        <v>443925</v>
      </c>
      <c r="BZ84" s="20">
        <f t="shared" si="870"/>
        <v>177768.19</v>
      </c>
      <c r="CA84" s="20">
        <f t="shared" si="870"/>
        <v>381232.76</v>
      </c>
      <c r="CB84" s="20">
        <f t="shared" si="870"/>
        <v>610171.25</v>
      </c>
      <c r="CC84" s="20">
        <f t="shared" si="870"/>
        <v>223501.43</v>
      </c>
      <c r="CD84" s="20">
        <f t="shared" si="870"/>
        <v>464866.641282</v>
      </c>
      <c r="CE84" s="20">
        <f t="shared" si="870"/>
        <v>802775.46538499999</v>
      </c>
      <c r="CF84" s="20">
        <f t="shared" si="870"/>
        <v>359811.6</v>
      </c>
      <c r="CG84" s="20">
        <f t="shared" si="870"/>
        <v>549005.24</v>
      </c>
      <c r="CH84" s="20">
        <f t="shared" si="870"/>
        <v>1063201.044615</v>
      </c>
      <c r="CI84" s="20">
        <f t="shared" si="870"/>
        <v>140380.89470599999</v>
      </c>
      <c r="CJ84" s="20">
        <f t="shared" si="870"/>
        <v>487191.07</v>
      </c>
      <c r="CK84" s="20">
        <f t="shared" si="870"/>
        <v>1095495.934141</v>
      </c>
      <c r="CL84" s="20">
        <f t="shared" si="870"/>
        <v>597982.89088700002</v>
      </c>
      <c r="CM84" s="20">
        <f t="shared" si="870"/>
        <v>844329.451764</v>
      </c>
      <c r="CN84" s="20">
        <f t="shared" si="870"/>
        <v>817897.24529400002</v>
      </c>
      <c r="CO84" s="20">
        <f t="shared" si="870"/>
        <v>502810.0025</v>
      </c>
      <c r="CP84" s="20">
        <f t="shared" si="870"/>
        <v>1173223.3391666668</v>
      </c>
      <c r="CQ84" s="20">
        <f t="shared" si="870"/>
        <v>1676033.3416666668</v>
      </c>
      <c r="CR84" s="20">
        <f t="shared" si="870"/>
        <v>498947.08316666668</v>
      </c>
      <c r="CS84" s="20">
        <f t="shared" si="870"/>
        <v>1995788.3326666667</v>
      </c>
      <c r="CT84" s="20">
        <f t="shared" si="870"/>
        <v>2494735.4158333335</v>
      </c>
      <c r="CU84" s="20">
        <f t="shared" ref="CU84:DJ85" si="871">CU54-CU78</f>
        <v>392915.29163522547</v>
      </c>
      <c r="CV84" s="20">
        <f t="shared" si="871"/>
        <v>863544.25291359867</v>
      </c>
      <c r="CW84" s="20">
        <f t="shared" si="871"/>
        <v>1715891.4295053438</v>
      </c>
      <c r="CX84" s="20">
        <f t="shared" si="871"/>
        <v>686081.3145557011</v>
      </c>
      <c r="CY84" s="20">
        <f t="shared" si="871"/>
        <v>1345656.4642687393</v>
      </c>
      <c r="CZ84" s="20">
        <f t="shared" si="871"/>
        <v>1922992.6115947859</v>
      </c>
      <c r="DA84" s="20">
        <f t="shared" si="871"/>
        <v>658796.98424393381</v>
      </c>
      <c r="DB84" s="20">
        <f t="shared" si="871"/>
        <v>1174700.2700429501</v>
      </c>
      <c r="DC84" s="20">
        <f t="shared" si="871"/>
        <v>2065402.4824838401</v>
      </c>
      <c r="DD84" s="20">
        <f t="shared" si="871"/>
        <v>886887.37418464071</v>
      </c>
      <c r="DE84" s="20">
        <f t="shared" si="871"/>
        <v>2365709.0379576012</v>
      </c>
      <c r="DF84" s="20">
        <f t="shared" si="871"/>
        <v>2716820.3207702767</v>
      </c>
      <c r="DG84" s="20">
        <f t="shared" si="871"/>
        <v>593415.64580352174</v>
      </c>
      <c r="DH84" s="20">
        <f t="shared" si="871"/>
        <v>1253419.3416458433</v>
      </c>
      <c r="DI84" s="20">
        <f t="shared" si="871"/>
        <v>2448739.504610857</v>
      </c>
      <c r="DJ84" s="20">
        <f t="shared" si="871"/>
        <v>1056365.7206293333</v>
      </c>
      <c r="DK84" s="20">
        <f t="shared" si="868"/>
        <v>1981344.9979646874</v>
      </c>
      <c r="DL84" s="20">
        <f t="shared" si="868"/>
        <v>2790993.4096211335</v>
      </c>
      <c r="DM84" s="20">
        <f t="shared" si="868"/>
        <v>923887.98859657615</v>
      </c>
      <c r="DN84" s="20">
        <f t="shared" si="868"/>
        <v>1647383.7853695813</v>
      </c>
      <c r="DO84" s="20">
        <f t="shared" si="868"/>
        <v>2896492.5323304422</v>
      </c>
      <c r="DP84" s="20">
        <f t="shared" si="868"/>
        <v>1107147.7633017551</v>
      </c>
      <c r="DQ84" s="20">
        <f t="shared" si="868"/>
        <v>3181027.2817458669</v>
      </c>
      <c r="DR84" s="20">
        <f t="shared" si="868"/>
        <v>3673421.0003110007</v>
      </c>
      <c r="DS84" s="20">
        <f t="shared" si="868"/>
        <v>847437.5343911465</v>
      </c>
      <c r="DT84" s="20">
        <f t="shared" si="868"/>
        <v>1789967.2918199685</v>
      </c>
      <c r="DU84" s="20">
        <f t="shared" si="868"/>
        <v>3496965.040993711</v>
      </c>
      <c r="DV84" s="20">
        <f t="shared" si="868"/>
        <v>1508561.4409328338</v>
      </c>
      <c r="DW84" s="20">
        <f t="shared" si="868"/>
        <v>2829494.1862880369</v>
      </c>
      <c r="DX84" s="20">
        <f t="shared" si="868"/>
        <v>3985726.6829368048</v>
      </c>
      <c r="DY84" s="20">
        <f t="shared" si="868"/>
        <v>1319374.3114907802</v>
      </c>
      <c r="DZ84" s="20">
        <f t="shared" si="868"/>
        <v>2352575.067984947</v>
      </c>
      <c r="EA84" s="20">
        <f t="shared" si="868"/>
        <v>4136386.5400899588</v>
      </c>
      <c r="EB84" s="20">
        <f t="shared" si="868"/>
        <v>1581081.6202337882</v>
      </c>
      <c r="EC84" s="20">
        <f t="shared" si="868"/>
        <v>4542721.3379645776</v>
      </c>
      <c r="ED84" s="20">
        <f t="shared" si="868"/>
        <v>5245892.7520676088</v>
      </c>
      <c r="EE84" s="20">
        <f t="shared" si="868"/>
        <v>1180989.4795834641</v>
      </c>
      <c r="EF84" s="20">
        <f t="shared" si="868"/>
        <v>2494499.5408501374</v>
      </c>
      <c r="EG84" s="20">
        <f t="shared" si="868"/>
        <v>4873372.6750159822</v>
      </c>
      <c r="EH84" s="20">
        <f t="shared" si="868"/>
        <v>2102332.1705085444</v>
      </c>
      <c r="EI84" s="20">
        <f t="shared" si="868"/>
        <v>3943184.8731476921</v>
      </c>
      <c r="EJ84" s="20">
        <f t="shared" si="868"/>
        <v>5554511.2058617361</v>
      </c>
      <c r="EK84" s="20">
        <f t="shared" si="868"/>
        <v>1838680.8682279754</v>
      </c>
      <c r="EL84" s="20">
        <f t="shared" si="868"/>
        <v>3278550.0906762788</v>
      </c>
      <c r="EM84" s="20">
        <f t="shared" si="868"/>
        <v>5764470.8773096837</v>
      </c>
      <c r="EN84" s="20">
        <f t="shared" si="868"/>
        <v>2203396.3378792601</v>
      </c>
      <c r="EO84" s="20">
        <f t="shared" si="868"/>
        <v>6330739.3065495705</v>
      </c>
      <c r="EP84" s="20">
        <f t="shared" si="868"/>
        <v>7310679.4303914364</v>
      </c>
      <c r="EQ84" s="20">
        <f t="shared" si="868"/>
        <v>1604845.2803176751</v>
      </c>
      <c r="ER84" s="20">
        <f t="shared" si="868"/>
        <v>3389772.6305740783</v>
      </c>
      <c r="ES84" s="20">
        <f t="shared" si="868"/>
        <v>6622420.6666828208</v>
      </c>
      <c r="ET84" s="20">
        <f t="shared" si="868"/>
        <v>2856856.8305033799</v>
      </c>
      <c r="EU84" s="20">
        <f t="shared" si="868"/>
        <v>5358389.5051487554</v>
      </c>
      <c r="EV84" s="20">
        <f t="shared" si="868"/>
        <v>7548019.05292405</v>
      </c>
      <c r="EW84" s="20">
        <f t="shared" si="868"/>
        <v>2498581.371297922</v>
      </c>
      <c r="EX84" s="20">
        <f t="shared" si="868"/>
        <v>4455218.0440783184</v>
      </c>
      <c r="EY84" s="20">
        <f t="shared" si="868"/>
        <v>7833333.0151611483</v>
      </c>
      <c r="EZ84" s="20">
        <f t="shared" si="868"/>
        <v>2994192.814284822</v>
      </c>
      <c r="FA84" s="20">
        <f t="shared" si="868"/>
        <v>8602834.5490605552</v>
      </c>
      <c r="FB84" s="20">
        <f t="shared" si="868"/>
        <v>9934474.0851690508</v>
      </c>
    </row>
    <row r="85" spans="3:158" x14ac:dyDescent="0.25">
      <c r="C85" s="2" t="s">
        <v>313</v>
      </c>
      <c r="D85" s="29">
        <f t="shared" si="829"/>
        <v>3664491.9699999997</v>
      </c>
      <c r="E85" s="29">
        <f t="shared" si="829"/>
        <v>6524064</v>
      </c>
      <c r="F85" s="29">
        <f t="shared" si="829"/>
        <v>7473375.0553849991</v>
      </c>
      <c r="G85" s="29">
        <f t="shared" si="829"/>
        <v>16399499.241960667</v>
      </c>
      <c r="H85" s="29">
        <f t="shared" si="829"/>
        <v>27093115.859854624</v>
      </c>
      <c r="I85" s="29">
        <f t="shared" si="829"/>
        <v>45194654.540617704</v>
      </c>
      <c r="J85" s="29">
        <f t="shared" si="829"/>
        <v>73418521.622527272</v>
      </c>
      <c r="K85" s="29">
        <f t="shared" si="829"/>
        <v>114933849.37087639</v>
      </c>
      <c r="L85" s="29">
        <f t="shared" si="829"/>
        <v>173601137.71297699</v>
      </c>
      <c r="N85" s="29">
        <f t="shared" si="830"/>
        <v>776758.17</v>
      </c>
      <c r="O85" s="29">
        <f t="shared" si="831"/>
        <v>625643.30000000005</v>
      </c>
      <c r="P85" s="29">
        <f t="shared" si="832"/>
        <v>855610.5</v>
      </c>
      <c r="Q85" s="29">
        <f t="shared" si="833"/>
        <v>1406480</v>
      </c>
      <c r="R85" s="29">
        <f t="shared" si="834"/>
        <v>1081586</v>
      </c>
      <c r="S85" s="29">
        <f t="shared" si="835"/>
        <v>2484886.7400000002</v>
      </c>
      <c r="T85" s="29">
        <f t="shared" si="836"/>
        <v>910603</v>
      </c>
      <c r="U85" s="29">
        <f t="shared" si="837"/>
        <v>2046988.26</v>
      </c>
      <c r="V85" s="29">
        <f t="shared" si="838"/>
        <v>1250731.81</v>
      </c>
      <c r="W85" s="29">
        <f t="shared" si="839"/>
        <v>1776271.85</v>
      </c>
      <c r="X85" s="29">
        <f t="shared" si="840"/>
        <v>2255269.2599999998</v>
      </c>
      <c r="Y85" s="29">
        <f t="shared" si="841"/>
        <v>2191102.1353850001</v>
      </c>
      <c r="Z85" s="29">
        <f t="shared" si="842"/>
        <v>1477725.45</v>
      </c>
      <c r="AA85" s="29">
        <f t="shared" si="843"/>
        <v>4026344.1252939999</v>
      </c>
      <c r="AB85" s="29">
        <f t="shared" si="844"/>
        <v>4887366</v>
      </c>
      <c r="AC85" s="29">
        <f t="shared" si="845"/>
        <v>6008063.666666666</v>
      </c>
      <c r="AD85" s="29">
        <f t="shared" si="846"/>
        <v>4794780.6959611122</v>
      </c>
      <c r="AE85" s="29">
        <f t="shared" si="847"/>
        <v>6379483.8157518655</v>
      </c>
      <c r="AF85" s="29">
        <f t="shared" si="848"/>
        <v>6289421.8605206488</v>
      </c>
      <c r="AG85" s="29">
        <f t="shared" si="849"/>
        <v>9629429.4876209963</v>
      </c>
      <c r="AH85" s="29">
        <f t="shared" si="850"/>
        <v>8242335.9487469662</v>
      </c>
      <c r="AI85" s="29">
        <f t="shared" si="851"/>
        <v>11184100.673704272</v>
      </c>
      <c r="AJ85" s="29">
        <f t="shared" si="852"/>
        <v>10491530.384204581</v>
      </c>
      <c r="AK85" s="29">
        <f t="shared" si="853"/>
        <v>15276687.533961888</v>
      </c>
      <c r="AL85" s="29">
        <f t="shared" si="854"/>
        <v>13389639.244379146</v>
      </c>
      <c r="AM85" s="29">
        <f t="shared" si="855"/>
        <v>18168523.368242919</v>
      </c>
      <c r="AN85" s="29">
        <f t="shared" si="856"/>
        <v>17043445.91623906</v>
      </c>
      <c r="AO85" s="29">
        <f t="shared" si="857"/>
        <v>24816913.093666147</v>
      </c>
      <c r="AP85" s="29">
        <f t="shared" si="858"/>
        <v>20960961.158494025</v>
      </c>
      <c r="AQ85" s="29">
        <f t="shared" si="859"/>
        <v>28442118.990532175</v>
      </c>
      <c r="AR85" s="29">
        <f t="shared" si="860"/>
        <v>26680853.855502475</v>
      </c>
      <c r="AS85" s="29">
        <f t="shared" si="861"/>
        <v>38849915.36634773</v>
      </c>
      <c r="AT85" s="29">
        <f t="shared" si="862"/>
        <v>31660357.019192871</v>
      </c>
      <c r="AU85" s="29">
        <f t="shared" si="863"/>
        <v>42960226.623849675</v>
      </c>
      <c r="AV85" s="29">
        <f t="shared" si="864"/>
        <v>40299934.351999328</v>
      </c>
      <c r="AW85" s="29">
        <f t="shared" si="865"/>
        <v>58680619.717935085</v>
      </c>
      <c r="AY85" s="29">
        <f>AY31</f>
        <v>0</v>
      </c>
      <c r="AZ85" s="29">
        <f t="shared" ref="AZ85:CT85" si="872">AZ31</f>
        <v>208124.5</v>
      </c>
      <c r="BA85" s="29">
        <f t="shared" si="872"/>
        <v>568633.67000000004</v>
      </c>
      <c r="BB85" s="29">
        <f t="shared" si="872"/>
        <v>74365</v>
      </c>
      <c r="BC85" s="29">
        <f t="shared" si="872"/>
        <v>178800.3</v>
      </c>
      <c r="BD85" s="29">
        <f t="shared" si="872"/>
        <v>372478</v>
      </c>
      <c r="BE85" s="29">
        <f t="shared" si="872"/>
        <v>275150</v>
      </c>
      <c r="BF85" s="29">
        <f t="shared" si="872"/>
        <v>103659.5</v>
      </c>
      <c r="BG85" s="29">
        <f t="shared" si="872"/>
        <v>476801</v>
      </c>
      <c r="BH85" s="29">
        <f t="shared" si="872"/>
        <v>43800</v>
      </c>
      <c r="BI85" s="29">
        <f t="shared" si="872"/>
        <v>1009050</v>
      </c>
      <c r="BJ85" s="29">
        <f t="shared" si="872"/>
        <v>353630</v>
      </c>
      <c r="BK85" s="29">
        <f t="shared" si="872"/>
        <v>146300</v>
      </c>
      <c r="BL85" s="29">
        <f t="shared" si="872"/>
        <v>139481</v>
      </c>
      <c r="BM85" s="29">
        <f t="shared" si="872"/>
        <v>795805</v>
      </c>
      <c r="BN85" s="29">
        <f t="shared" si="872"/>
        <v>93150</v>
      </c>
      <c r="BO85" s="29">
        <f t="shared" si="872"/>
        <v>1699465.86</v>
      </c>
      <c r="BP85" s="29">
        <f t="shared" si="872"/>
        <v>692270.88</v>
      </c>
      <c r="BQ85" s="29">
        <f t="shared" si="872"/>
        <v>290000</v>
      </c>
      <c r="BR85" s="29">
        <f t="shared" si="872"/>
        <v>197811</v>
      </c>
      <c r="BS85" s="29">
        <f t="shared" si="872"/>
        <v>422792</v>
      </c>
      <c r="BT85" s="29">
        <f t="shared" si="872"/>
        <v>138500</v>
      </c>
      <c r="BU85" s="29">
        <f t="shared" si="872"/>
        <v>862232</v>
      </c>
      <c r="BV85" s="29">
        <f t="shared" si="872"/>
        <v>1046256.26</v>
      </c>
      <c r="BW85" s="29">
        <f t="shared" si="872"/>
        <v>394742.64</v>
      </c>
      <c r="BX85" s="29">
        <f t="shared" si="872"/>
        <v>487907</v>
      </c>
      <c r="BY85" s="29">
        <f t="shared" si="872"/>
        <v>368082.17</v>
      </c>
      <c r="BZ85" s="29">
        <f t="shared" si="872"/>
        <v>600800.01</v>
      </c>
      <c r="CA85" s="29">
        <f t="shared" si="872"/>
        <v>217572.88</v>
      </c>
      <c r="CB85" s="29">
        <f t="shared" si="872"/>
        <v>957898.96</v>
      </c>
      <c r="CC85" s="29">
        <f t="shared" si="872"/>
        <v>161229.98000000001</v>
      </c>
      <c r="CD85" s="29">
        <f t="shared" si="872"/>
        <v>1290770.5900000001</v>
      </c>
      <c r="CE85" s="29">
        <f t="shared" si="872"/>
        <v>803268.69</v>
      </c>
      <c r="CF85" s="29">
        <f t="shared" si="872"/>
        <v>295238.63208800001</v>
      </c>
      <c r="CG85" s="29">
        <f t="shared" si="872"/>
        <v>969773.81329700002</v>
      </c>
      <c r="CH85" s="29">
        <f t="shared" si="872"/>
        <v>926089.69</v>
      </c>
      <c r="CI85" s="29">
        <f t="shared" si="872"/>
        <v>317615.01</v>
      </c>
      <c r="CJ85" s="29">
        <f t="shared" si="872"/>
        <v>445330.75</v>
      </c>
      <c r="CK85" s="29">
        <f t="shared" si="872"/>
        <v>714779.69</v>
      </c>
      <c r="CL85" s="29">
        <f t="shared" si="872"/>
        <v>590275.79</v>
      </c>
      <c r="CM85" s="29">
        <f t="shared" si="872"/>
        <v>1077791.475294</v>
      </c>
      <c r="CN85" s="29">
        <f t="shared" si="872"/>
        <v>2358276.86</v>
      </c>
      <c r="CO85" s="29">
        <f t="shared" si="872"/>
        <v>733104.9</v>
      </c>
      <c r="CP85" s="29">
        <f t="shared" si="872"/>
        <v>1710578.1</v>
      </c>
      <c r="CQ85" s="29">
        <f t="shared" si="872"/>
        <v>2443683</v>
      </c>
      <c r="CR85" s="29">
        <f t="shared" si="872"/>
        <v>600806.3666666667</v>
      </c>
      <c r="CS85" s="29">
        <f t="shared" si="872"/>
        <v>2403225.4666666668</v>
      </c>
      <c r="CT85" s="29">
        <f t="shared" si="872"/>
        <v>3004031.833333333</v>
      </c>
      <c r="CU85" s="29">
        <f t="shared" si="871"/>
        <v>633822.40923954116</v>
      </c>
      <c r="CV85" s="29">
        <f t="shared" si="868"/>
        <v>1393006.8656497854</v>
      </c>
      <c r="CW85" s="29">
        <f t="shared" si="868"/>
        <v>2767951.4210717855</v>
      </c>
      <c r="CX85" s="29">
        <f t="shared" si="868"/>
        <v>1106736.54343195</v>
      </c>
      <c r="CY85" s="29">
        <f t="shared" si="868"/>
        <v>2170715.267003139</v>
      </c>
      <c r="CZ85" s="29">
        <f t="shared" si="868"/>
        <v>3102032.0053167762</v>
      </c>
      <c r="DA85" s="29">
        <f t="shared" si="868"/>
        <v>1062723.4435581309</v>
      </c>
      <c r="DB85" s="29">
        <f t="shared" si="868"/>
        <v>1894941.1518047724</v>
      </c>
      <c r="DC85" s="29">
        <f t="shared" si="868"/>
        <v>3331757.2651577452</v>
      </c>
      <c r="DD85" s="29">
        <f t="shared" si="868"/>
        <v>1430662.2933670613</v>
      </c>
      <c r="DE85" s="29">
        <f t="shared" si="868"/>
        <v>3816189.9878157275</v>
      </c>
      <c r="DF85" s="29">
        <f t="shared" si="868"/>
        <v>4382577.206438208</v>
      </c>
      <c r="DG85" s="29">
        <f t="shared" si="868"/>
        <v>1138644.2300083137</v>
      </c>
      <c r="DH85" s="29">
        <f t="shared" si="868"/>
        <v>2405057.4184193322</v>
      </c>
      <c r="DI85" s="29">
        <f t="shared" si="868"/>
        <v>4698634.3003193205</v>
      </c>
      <c r="DJ85" s="29">
        <f t="shared" si="868"/>
        <v>2026951.4986320673</v>
      </c>
      <c r="DK85" s="29">
        <f t="shared" si="868"/>
        <v>3801799.0687345243</v>
      </c>
      <c r="DL85" s="29">
        <f t="shared" si="868"/>
        <v>5355350.1063376805</v>
      </c>
      <c r="DM85" s="29">
        <f t="shared" si="868"/>
        <v>1772753.6084173045</v>
      </c>
      <c r="DN85" s="29">
        <f t="shared" si="868"/>
        <v>3160995.25700978</v>
      </c>
      <c r="DO85" s="29">
        <f t="shared" si="868"/>
        <v>5557781.518777498</v>
      </c>
      <c r="DP85" s="29">
        <f t="shared" si="868"/>
        <v>2124391.9356779992</v>
      </c>
      <c r="DQ85" s="29">
        <f t="shared" si="868"/>
        <v>6103745.9754780633</v>
      </c>
      <c r="DR85" s="29">
        <f t="shared" si="868"/>
        <v>7048549.6228058264</v>
      </c>
      <c r="DS85" s="29">
        <f t="shared" si="868"/>
        <v>1849722.6468696604</v>
      </c>
      <c r="DT85" s="29">
        <f t="shared" si="868"/>
        <v>3907005.4162920029</v>
      </c>
      <c r="DU85" s="29">
        <f t="shared" si="868"/>
        <v>7632911.1812174823</v>
      </c>
      <c r="DV85" s="29">
        <f t="shared" si="868"/>
        <v>3292773.9783116961</v>
      </c>
      <c r="DW85" s="29">
        <f t="shared" si="868"/>
        <v>6176006.2106799483</v>
      </c>
      <c r="DX85" s="29">
        <f t="shared" si="868"/>
        <v>8699743.1792512778</v>
      </c>
      <c r="DY85" s="29">
        <f t="shared" si="868"/>
        <v>2879830.6006305902</v>
      </c>
      <c r="DZ85" s="29">
        <f t="shared" si="868"/>
        <v>5135023.1788342539</v>
      </c>
      <c r="EA85" s="29">
        <f t="shared" si="868"/>
        <v>9028592.1367742177</v>
      </c>
      <c r="EB85" s="29">
        <f t="shared" si="868"/>
        <v>3451065.5485622394</v>
      </c>
      <c r="EC85" s="29">
        <f t="shared" si="868"/>
        <v>9915509.0449093878</v>
      </c>
      <c r="ED85" s="29">
        <f t="shared" si="868"/>
        <v>11450338.50019452</v>
      </c>
      <c r="EE85" s="29">
        <f t="shared" si="868"/>
        <v>2895669.0951399491</v>
      </c>
      <c r="EF85" s="29">
        <f t="shared" si="868"/>
        <v>6116265.5156150749</v>
      </c>
      <c r="EG85" s="29">
        <f t="shared" si="868"/>
        <v>11949026.547739003</v>
      </c>
      <c r="EH85" s="29">
        <f t="shared" si="868"/>
        <v>5154710.0114788515</v>
      </c>
      <c r="EI85" s="29">
        <f t="shared" si="868"/>
        <v>9668298.2964626458</v>
      </c>
      <c r="EJ85" s="29">
        <f t="shared" si="868"/>
        <v>13619110.682590678</v>
      </c>
      <c r="EK85" s="29">
        <f t="shared" si="868"/>
        <v>4508263.1623701593</v>
      </c>
      <c r="EL85" s="29">
        <f t="shared" si="868"/>
        <v>8038679.7160868663</v>
      </c>
      <c r="EM85" s="29">
        <f t="shared" si="868"/>
        <v>14133910.97704545</v>
      </c>
      <c r="EN85" s="29">
        <f t="shared" si="868"/>
        <v>5402509.3281879639</v>
      </c>
      <c r="EO85" s="29">
        <f t="shared" si="868"/>
        <v>15522345.013461862</v>
      </c>
      <c r="EP85" s="29">
        <f t="shared" si="868"/>
        <v>17925061.0246979</v>
      </c>
      <c r="EQ85" s="29">
        <f t="shared" si="868"/>
        <v>4373745.8730237298</v>
      </c>
      <c r="ER85" s="29">
        <f t="shared" si="868"/>
        <v>9238276.2595827281</v>
      </c>
      <c r="ES85" s="29">
        <f t="shared" si="868"/>
        <v>18048334.886586413</v>
      </c>
      <c r="ET85" s="29">
        <f t="shared" si="868"/>
        <v>7785900.563424048</v>
      </c>
      <c r="EU85" s="29">
        <f t="shared" si="868"/>
        <v>14603422.692285258</v>
      </c>
      <c r="EV85" s="29">
        <f t="shared" si="868"/>
        <v>20570903.368140373</v>
      </c>
      <c r="EW85" s="29">
        <f t="shared" si="868"/>
        <v>6809478.8296134416</v>
      </c>
      <c r="EX85" s="29">
        <f t="shared" si="868"/>
        <v>12141975.162771577</v>
      </c>
      <c r="EY85" s="29">
        <f t="shared" si="868"/>
        <v>21348480.359614309</v>
      </c>
      <c r="EZ85" s="29">
        <f t="shared" si="868"/>
        <v>8160187.5427662777</v>
      </c>
      <c r="FA85" s="29">
        <f t="shared" si="868"/>
        <v>23445632.153282382</v>
      </c>
      <c r="FB85" s="29">
        <f t="shared" si="868"/>
        <v>27074800.021886431</v>
      </c>
    </row>
    <row r="86" spans="3:158" x14ac:dyDescent="0.25">
      <c r="C86" s="310" t="s">
        <v>308</v>
      </c>
      <c r="D86" s="20">
        <f>SUM(D83:D85)</f>
        <v>5998653.25</v>
      </c>
      <c r="E86" s="20">
        <f t="shared" ref="E86:L86" si="873">SUM(E83:E85)</f>
        <v>10710029.496410001</v>
      </c>
      <c r="F86" s="20">
        <f t="shared" si="873"/>
        <v>14958265.513111999</v>
      </c>
      <c r="G86" s="20">
        <f t="shared" si="873"/>
        <v>31086192.148306668</v>
      </c>
      <c r="H86" s="20">
        <f t="shared" si="873"/>
        <v>49489379.396817327</v>
      </c>
      <c r="I86" s="20">
        <f t="shared" si="873"/>
        <v>77082629.829547167</v>
      </c>
      <c r="J86" s="20">
        <f t="shared" si="873"/>
        <v>119095716.72714165</v>
      </c>
      <c r="K86" s="20">
        <f t="shared" si="873"/>
        <v>178691975.69702688</v>
      </c>
      <c r="L86" s="20">
        <f t="shared" si="873"/>
        <v>260251196.09874266</v>
      </c>
      <c r="N86" s="20">
        <f>SUM(N83:N85)</f>
        <v>1070661.17</v>
      </c>
      <c r="O86" s="20">
        <f t="shared" ref="O86:AW86" si="874">SUM(O83:O85)</f>
        <v>1264963.02</v>
      </c>
      <c r="P86" s="20">
        <f t="shared" si="874"/>
        <v>1464777.96</v>
      </c>
      <c r="Q86" s="20">
        <f t="shared" si="874"/>
        <v>2198251.1</v>
      </c>
      <c r="R86" s="20">
        <f t="shared" si="874"/>
        <v>1796767.31</v>
      </c>
      <c r="S86" s="20">
        <f t="shared" si="874"/>
        <v>3269955</v>
      </c>
      <c r="T86" s="20">
        <f t="shared" si="874"/>
        <v>1976416.86</v>
      </c>
      <c r="U86" s="20">
        <f t="shared" si="874"/>
        <v>3666890.3264100002</v>
      </c>
      <c r="V86" s="20">
        <f t="shared" si="874"/>
        <v>2212349.6687179999</v>
      </c>
      <c r="W86" s="20">
        <f t="shared" si="874"/>
        <v>3409170.7704759999</v>
      </c>
      <c r="X86" s="20">
        <f t="shared" si="874"/>
        <v>4347463.5640289998</v>
      </c>
      <c r="Y86" s="20">
        <f t="shared" si="874"/>
        <v>4989281.5098890001</v>
      </c>
      <c r="Z86" s="20">
        <f t="shared" si="874"/>
        <v>4008072.518619</v>
      </c>
      <c r="AA86" s="20">
        <f t="shared" si="874"/>
        <v>7404679.9480210003</v>
      </c>
      <c r="AB86" s="20">
        <f t="shared" si="874"/>
        <v>8432707.6833333336</v>
      </c>
      <c r="AC86" s="20">
        <f t="shared" si="874"/>
        <v>11240731.998333333</v>
      </c>
      <c r="AD86" s="20">
        <f t="shared" si="874"/>
        <v>8758340.0231407918</v>
      </c>
      <c r="AE86" s="20">
        <f t="shared" si="874"/>
        <v>11653022.72897356</v>
      </c>
      <c r="AF86" s="20">
        <f t="shared" si="874"/>
        <v>11488511.925022021</v>
      </c>
      <c r="AG86" s="20">
        <f t="shared" si="874"/>
        <v>17589504.71968095</v>
      </c>
      <c r="AH86" s="20">
        <f t="shared" si="874"/>
        <v>14057877.802717421</v>
      </c>
      <c r="AI86" s="20">
        <f t="shared" si="874"/>
        <v>19075262.350611445</v>
      </c>
      <c r="AJ86" s="20">
        <f t="shared" si="874"/>
        <v>17894035.504227027</v>
      </c>
      <c r="AK86" s="20">
        <f t="shared" si="874"/>
        <v>26055454.171991274</v>
      </c>
      <c r="AL86" s="20">
        <f t="shared" si="874"/>
        <v>21719978.110236231</v>
      </c>
      <c r="AM86" s="20">
        <f t="shared" si="874"/>
        <v>29472036.001209643</v>
      </c>
      <c r="AN86" s="20">
        <f t="shared" si="874"/>
        <v>27646993.72905862</v>
      </c>
      <c r="AO86" s="20">
        <f t="shared" si="874"/>
        <v>40256708.886637159</v>
      </c>
      <c r="AP86" s="20">
        <f t="shared" si="874"/>
        <v>32588794.183979031</v>
      </c>
      <c r="AQ86" s="20">
        <f t="shared" si="874"/>
        <v>44220031.463733159</v>
      </c>
      <c r="AR86" s="20">
        <f t="shared" si="874"/>
        <v>41481726.35668698</v>
      </c>
      <c r="AS86" s="20">
        <f t="shared" si="874"/>
        <v>60401423.692627721</v>
      </c>
      <c r="AT86" s="20">
        <f t="shared" si="874"/>
        <v>47463086.312148288</v>
      </c>
      <c r="AU86" s="20">
        <f t="shared" si="874"/>
        <v>64403093.843861192</v>
      </c>
      <c r="AV86" s="20">
        <f t="shared" si="874"/>
        <v>60414961.883194089</v>
      </c>
      <c r="AW86" s="20">
        <f t="shared" si="874"/>
        <v>87970054.05953905</v>
      </c>
      <c r="AY86" s="20">
        <f>SUM(AY83:AY85)</f>
        <v>88689</v>
      </c>
      <c r="AZ86" s="20">
        <f t="shared" ref="AZ86:BK86" si="875">SUM(AZ83:AZ85)</f>
        <v>277024.5</v>
      </c>
      <c r="BA86" s="20">
        <f t="shared" si="875"/>
        <v>704947.67</v>
      </c>
      <c r="BB86" s="20">
        <f t="shared" si="875"/>
        <v>132448</v>
      </c>
      <c r="BC86" s="20">
        <f t="shared" si="875"/>
        <v>369660.3</v>
      </c>
      <c r="BD86" s="20">
        <f t="shared" si="875"/>
        <v>762854.72</v>
      </c>
      <c r="BE86" s="20">
        <f t="shared" si="875"/>
        <v>334210</v>
      </c>
      <c r="BF86" s="20">
        <f t="shared" si="875"/>
        <v>256613.96000000002</v>
      </c>
      <c r="BG86" s="20">
        <f t="shared" si="875"/>
        <v>873954</v>
      </c>
      <c r="BH86" s="20">
        <f t="shared" si="875"/>
        <v>99082</v>
      </c>
      <c r="BI86" s="20">
        <f t="shared" si="875"/>
        <v>1365788</v>
      </c>
      <c r="BJ86" s="20">
        <f t="shared" si="875"/>
        <v>733381.1</v>
      </c>
      <c r="BK86" s="20">
        <f t="shared" si="875"/>
        <v>303930</v>
      </c>
      <c r="BL86" s="20">
        <f t="shared" ref="BL86" si="876">SUM(BL83:BL85)</f>
        <v>303274</v>
      </c>
      <c r="BM86" s="20">
        <f t="shared" ref="BM86" si="877">SUM(BM83:BM85)</f>
        <v>1189563.31</v>
      </c>
      <c r="BN86" s="20">
        <f t="shared" ref="BN86" si="878">SUM(BN83:BN85)</f>
        <v>172863.86</v>
      </c>
      <c r="BO86" s="20">
        <f t="shared" ref="BO86" si="879">SUM(BO83:BO85)</f>
        <v>1990309.4300000002</v>
      </c>
      <c r="BP86" s="20">
        <f t="shared" ref="BP86" si="880">SUM(BP83:BP85)</f>
        <v>1106781.71</v>
      </c>
      <c r="BQ86" s="20">
        <f t="shared" ref="BQ86" si="881">SUM(BQ83:BQ85)</f>
        <v>398420</v>
      </c>
      <c r="BR86" s="20">
        <f t="shared" ref="BR86" si="882">SUM(BR83:BR85)</f>
        <v>385315</v>
      </c>
      <c r="BS86" s="20">
        <f t="shared" ref="BS86" si="883">SUM(BS83:BS85)</f>
        <v>1192681.8599999999</v>
      </c>
      <c r="BT86" s="20">
        <f t="shared" ref="BT86" si="884">SUM(BT83:BT85)</f>
        <v>395651.06</v>
      </c>
      <c r="BU86" s="20">
        <f t="shared" ref="BU86" si="885">SUM(BU83:BU85)</f>
        <v>1513856.5</v>
      </c>
      <c r="BV86" s="20">
        <f t="shared" ref="BV86" si="886">SUM(BV83:BV85)</f>
        <v>1757382.7664100002</v>
      </c>
      <c r="BW86" s="20">
        <f t="shared" ref="BW86" si="887">SUM(BW83:BW85)</f>
        <v>643142.64</v>
      </c>
      <c r="BX86" s="20">
        <f t="shared" ref="BX86" si="888">SUM(BX83:BX85)</f>
        <v>614583.27</v>
      </c>
      <c r="BY86" s="20">
        <f t="shared" ref="BY86" si="889">SUM(BY83:BY85)</f>
        <v>954623.75871800003</v>
      </c>
      <c r="BZ86" s="20">
        <f t="shared" ref="BZ86" si="890">SUM(BZ83:BZ85)</f>
        <v>868961.53948700009</v>
      </c>
      <c r="CA86" s="20">
        <f t="shared" ref="CA86" si="891">SUM(CA83:CA85)</f>
        <v>710580.63098899997</v>
      </c>
      <c r="CB86" s="20">
        <f t="shared" ref="CB86" si="892">SUM(CB83:CB85)</f>
        <v>1829628.6</v>
      </c>
      <c r="CC86" s="20">
        <f t="shared" ref="CC86" si="893">SUM(CC83:CC85)</f>
        <v>511109.42717899999</v>
      </c>
      <c r="CD86" s="20">
        <f t="shared" ref="CD86" si="894">SUM(CD83:CD85)</f>
        <v>1871585.014798</v>
      </c>
      <c r="CE86" s="20">
        <f t="shared" ref="CE86" si="895">SUM(CE83:CE85)</f>
        <v>1964769.1220519999</v>
      </c>
      <c r="CF86" s="20">
        <f t="shared" ref="CF86" si="896">SUM(CF83:CF85)</f>
        <v>878364.7290109999</v>
      </c>
      <c r="CG86" s="20">
        <f t="shared" ref="CG86" si="897">SUM(CG83:CG85)</f>
        <v>1886001.1308790001</v>
      </c>
      <c r="CH86" s="20">
        <f t="shared" ref="CH86" si="898">SUM(CH83:CH85)</f>
        <v>2224915.6499990001</v>
      </c>
      <c r="CI86" s="20">
        <f t="shared" ref="CI86" si="899">SUM(CI83:CI85)</f>
        <v>693251.33886200003</v>
      </c>
      <c r="CJ86" s="20">
        <f t="shared" ref="CJ86" si="900">SUM(CJ83:CJ85)</f>
        <v>1128856.5392749999</v>
      </c>
      <c r="CK86" s="20">
        <f t="shared" ref="CK86" si="901">SUM(CK83:CK85)</f>
        <v>2185964.6404820001</v>
      </c>
      <c r="CL86" s="20">
        <f t="shared" ref="CL86" si="902">SUM(CL83:CL85)</f>
        <v>1487367.08088</v>
      </c>
      <c r="CM86" s="20">
        <f t="shared" ref="CM86" si="903">SUM(CM83:CM85)</f>
        <v>2320255.4680349999</v>
      </c>
      <c r="CN86" s="20">
        <f t="shared" ref="CN86" si="904">SUM(CN83:CN85)</f>
        <v>3597057.3991059996</v>
      </c>
      <c r="CO86" s="20">
        <f t="shared" ref="CO86" si="905">SUM(CO83:CO85)</f>
        <v>1264906.1524999999</v>
      </c>
      <c r="CP86" s="20">
        <f t="shared" ref="CP86" si="906">SUM(CP83:CP85)</f>
        <v>2951447.6891666669</v>
      </c>
      <c r="CQ86" s="20">
        <f t="shared" ref="CQ86" si="907">SUM(CQ83:CQ85)</f>
        <v>4216353.8416666668</v>
      </c>
      <c r="CR86" s="20">
        <f t="shared" ref="CR86" si="908">SUM(CR83:CR85)</f>
        <v>1124073.1998333335</v>
      </c>
      <c r="CS86" s="20">
        <f t="shared" ref="CS86" si="909">SUM(CS83:CS85)</f>
        <v>4496292.799333334</v>
      </c>
      <c r="CT86" s="20">
        <f t="shared" ref="CT86:CU86" si="910">SUM(CT83:CT85)</f>
        <v>5620365.9991666665</v>
      </c>
      <c r="CU86" s="20">
        <f t="shared" si="910"/>
        <v>1157765.6052303459</v>
      </c>
      <c r="CV86" s="20">
        <f t="shared" ref="CV86" si="911">SUM(CV83:CV85)</f>
        <v>2544522.5876977993</v>
      </c>
      <c r="CW86" s="20">
        <f t="shared" ref="CW86" si="912">SUM(CW83:CW85)</f>
        <v>5056051.8302126471</v>
      </c>
      <c r="CX86" s="20">
        <f t="shared" ref="CX86" si="913">SUM(CX83:CX85)</f>
        <v>2021609.6580971056</v>
      </c>
      <c r="CY86" s="20">
        <f t="shared" ref="CY86" si="914">SUM(CY83:CY85)</f>
        <v>3965116.1559591256</v>
      </c>
      <c r="CZ86" s="20">
        <f t="shared" ref="CZ86" si="915">SUM(CZ83:CZ85)</f>
        <v>5666296.9149173293</v>
      </c>
      <c r="DA86" s="20">
        <f t="shared" ref="DA86" si="916">SUM(DA83:DA85)</f>
        <v>1941213.5527044078</v>
      </c>
      <c r="DB86" s="20">
        <f t="shared" ref="DB86" si="917">SUM(DB83:DB85)</f>
        <v>3461376.0219165729</v>
      </c>
      <c r="DC86" s="20">
        <f t="shared" ref="DC86" si="918">SUM(DC83:DC85)</f>
        <v>6085922.3504010411</v>
      </c>
      <c r="DD86" s="20">
        <f t="shared" ref="DD86" si="919">SUM(DD83:DD85)</f>
        <v>2613305.5124189467</v>
      </c>
      <c r="DE86" s="20">
        <f t="shared" ref="DE86" si="920">SUM(DE83:DE85)</f>
        <v>6970806.7220571656</v>
      </c>
      <c r="DF86" s="20">
        <f t="shared" ref="DF86" si="921">SUM(DF83:DF85)</f>
        <v>8005392.4852048401</v>
      </c>
      <c r="DG86" s="20">
        <f t="shared" ref="DG86" si="922">SUM(DG83:DG85)</f>
        <v>1942037.0081687318</v>
      </c>
      <c r="DH86" s="20">
        <f t="shared" ref="DH86" si="923">SUM(DH83:DH85)</f>
        <v>4101992.8703340385</v>
      </c>
      <c r="DI86" s="20">
        <f t="shared" ref="DI86" si="924">SUM(DI83:DI85)</f>
        <v>8013847.9242146527</v>
      </c>
      <c r="DJ86" s="20">
        <f t="shared" ref="DJ86" si="925">SUM(DJ83:DJ85)</f>
        <v>3457106.8999118418</v>
      </c>
      <c r="DK86" s="20">
        <f t="shared" ref="DK86" si="926">SUM(DK83:DK85)</f>
        <v>6484232.9979136307</v>
      </c>
      <c r="DL86" s="20">
        <f t="shared" ref="DL86" si="927">SUM(DL83:DL85)</f>
        <v>9133922.4527859688</v>
      </c>
      <c r="DM86" s="20">
        <f t="shared" ref="DM86" si="928">SUM(DM83:DM85)</f>
        <v>3023554.7005634308</v>
      </c>
      <c r="DN86" s="20">
        <f t="shared" ref="DN86" si="929">SUM(DN83:DN85)</f>
        <v>5391297.483423776</v>
      </c>
      <c r="DO86" s="20">
        <f t="shared" ref="DO86" si="930">SUM(DO83:DO85)</f>
        <v>9479183.3202398214</v>
      </c>
      <c r="DP86" s="20">
        <f t="shared" ref="DP86" si="931">SUM(DP83:DP85)</f>
        <v>3623298.3492234088</v>
      </c>
      <c r="DQ86" s="20">
        <f t="shared" ref="DQ86" si="932">SUM(DQ83:DQ85)</f>
        <v>10410363.711896917</v>
      </c>
      <c r="DR86" s="20">
        <f t="shared" ref="DR86" si="933">SUM(DR83:DR85)</f>
        <v>12021792.110870948</v>
      </c>
      <c r="DS86" s="20">
        <f t="shared" ref="DS86" si="934">SUM(DS83:DS85)</f>
        <v>3000524.1117218863</v>
      </c>
      <c r="DT86" s="20">
        <f t="shared" ref="DT86" si="935">SUM(DT83:DT85)</f>
        <v>6337741.4857581183</v>
      </c>
      <c r="DU86" s="20">
        <f t="shared" ref="DU86" si="936">SUM(DU83:DU85)</f>
        <v>12381712.512756225</v>
      </c>
      <c r="DV86" s="20">
        <f t="shared" ref="DV86" si="937">SUM(DV83:DV85)</f>
        <v>5341367.1141967885</v>
      </c>
      <c r="DW86" s="20">
        <f t="shared" ref="DW86" si="938">SUM(DW83:DW85)</f>
        <v>10018396.855685521</v>
      </c>
      <c r="DX86" s="20">
        <f t="shared" ref="DX86" si="939">SUM(DX83:DX85)</f>
        <v>14112272.031327337</v>
      </c>
      <c r="DY86" s="20">
        <f t="shared" ref="DY86" si="940">SUM(DY83:DY85)</f>
        <v>4671511.7909650002</v>
      </c>
      <c r="DZ86" s="20">
        <f t="shared" ref="DZ86" si="941">SUM(DZ83:DZ85)</f>
        <v>8329768.1889865752</v>
      </c>
      <c r="EA86" s="20">
        <f t="shared" ref="EA86" si="942">SUM(EA83:EA85)</f>
        <v>14645713.749107048</v>
      </c>
      <c r="EB86" s="20">
        <f t="shared" ref="EB86" si="943">SUM(EB83:EB85)</f>
        <v>5598139.4870835338</v>
      </c>
      <c r="EC86" s="20">
        <f t="shared" ref="EC86" si="944">SUM(EC83:EC85)</f>
        <v>16084424.343074773</v>
      </c>
      <c r="ED86" s="20">
        <f t="shared" ref="ED86" si="945">SUM(ED83:ED85)</f>
        <v>18574145.056478851</v>
      </c>
      <c r="EE86" s="20">
        <f t="shared" ref="EE86" si="946">SUM(EE83:EE85)</f>
        <v>4502005.583278534</v>
      </c>
      <c r="EF86" s="20">
        <f t="shared" ref="EF86" si="947">SUM(EF83:EF85)</f>
        <v>9509187.8924729936</v>
      </c>
      <c r="EG86" s="20">
        <f t="shared" ref="EG86" si="948">SUM(EG83:EG85)</f>
        <v>18577600.708227508</v>
      </c>
      <c r="EH86" s="20">
        <f t="shared" ref="EH86" si="949">SUM(EH83:EH85)</f>
        <v>8014221.4076909106</v>
      </c>
      <c r="EI86" s="20">
        <f t="shared" ref="EI86" si="950">SUM(EI83:EI85)</f>
        <v>15031666.769014399</v>
      </c>
      <c r="EJ86" s="20">
        <f t="shared" ref="EJ86" si="951">SUM(EJ83:EJ85)</f>
        <v>21174143.287027851</v>
      </c>
      <c r="EK86" s="20">
        <f t="shared" ref="EK86" si="952">SUM(EK83:EK85)</f>
        <v>7009166.1930378377</v>
      </c>
      <c r="EL86" s="20">
        <f t="shared" ref="EL86" si="953">SUM(EL83:EL85)</f>
        <v>12498037.508758191</v>
      </c>
      <c r="EM86" s="20">
        <f t="shared" ref="EM86" si="954">SUM(EM83:EM85)</f>
        <v>21974522.654890947</v>
      </c>
      <c r="EN86" s="20">
        <f t="shared" ref="EN86" si="955">SUM(EN83:EN85)</f>
        <v>8399484.3195441421</v>
      </c>
      <c r="EO86" s="20">
        <f t="shared" ref="EO86" si="956">SUM(EO83:EO85)</f>
        <v>24133173.239120957</v>
      </c>
      <c r="EP86" s="20">
        <f t="shared" ref="EP86" si="957">SUM(EP83:EP85)</f>
        <v>27868766.133962616</v>
      </c>
      <c r="EQ86" s="20">
        <f t="shared" ref="EQ86" si="958">SUM(EQ83:EQ85)</f>
        <v>6556826.8150887657</v>
      </c>
      <c r="ER86" s="20">
        <f t="shared" ref="ER86" si="959">SUM(ER83:ER85)</f>
        <v>13849404.89515755</v>
      </c>
      <c r="ES86" s="20">
        <f t="shared" ref="ES86" si="960">SUM(ES83:ES85)</f>
        <v>27056854.601901967</v>
      </c>
      <c r="ET86" s="20">
        <f t="shared" ref="ET86" si="961">SUM(ET83:ET85)</f>
        <v>11672100.546294484</v>
      </c>
      <c r="EU86" s="20">
        <f t="shared" ref="EU86" si="962">SUM(EU83:EU85)</f>
        <v>21892473.01527714</v>
      </c>
      <c r="EV86" s="20">
        <f t="shared" ref="EV86" si="963">SUM(EV83:EV85)</f>
        <v>30838520.282289572</v>
      </c>
      <c r="EW86" s="20">
        <f t="shared" ref="EW86" si="964">SUM(EW83:EW85)</f>
        <v>10208314.493571959</v>
      </c>
      <c r="EX86" s="20">
        <f t="shared" ref="EX86" si="965">SUM(EX83:EX85)</f>
        <v>18202435.771688584</v>
      </c>
      <c r="EY86" s="20">
        <f t="shared" ref="EY86" si="966">SUM(EY83:EY85)</f>
        <v>32004211.617933545</v>
      </c>
      <c r="EZ86" s="20">
        <f t="shared" ref="EZ86" si="967">SUM(EZ83:EZ85)</f>
        <v>12233206.512195762</v>
      </c>
      <c r="FA86" s="20">
        <f t="shared" ref="FA86" si="968">SUM(FA83:FA85)</f>
        <v>35148121.098556384</v>
      </c>
      <c r="FB86" s="20">
        <f t="shared" ref="FB86" si="969">SUM(FB83:FB85)</f>
        <v>40588726.448786914</v>
      </c>
    </row>
    <row r="88" spans="3:158" x14ac:dyDescent="0.25">
      <c r="C88" s="309" t="s">
        <v>628</v>
      </c>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row>
    <row r="90" spans="3:158" x14ac:dyDescent="0.25">
      <c r="C90" s="289" t="s">
        <v>618</v>
      </c>
      <c r="D90" s="260">
        <f>SUM(D10:D11)/D7+1</f>
        <v>0.86498869956570257</v>
      </c>
      <c r="E90" s="260">
        <f t="shared" ref="E90:F90" si="970">SUM(E10:E11)/E7+1</f>
        <v>0.85906966350119651</v>
      </c>
      <c r="F90" s="260">
        <f t="shared" si="970"/>
        <v>0.83443676832600044</v>
      </c>
      <c r="G90" s="260">
        <f t="shared" ref="G90" si="971">SUM(G10:G11)/G7+1</f>
        <v>0.87205372828294847</v>
      </c>
      <c r="H90" s="261">
        <f>G90</f>
        <v>0.87205372828294847</v>
      </c>
      <c r="I90" s="261">
        <v>0.86</v>
      </c>
      <c r="J90" s="261">
        <v>0.86</v>
      </c>
      <c r="K90" s="261">
        <v>0.86</v>
      </c>
      <c r="L90" s="261">
        <v>0.86</v>
      </c>
      <c r="N90" s="260">
        <f>IFERROR(SUM(N10:N11)/N7*4+1,"")</f>
        <v>0.86425004650175818</v>
      </c>
      <c r="O90" s="260">
        <f t="shared" ref="O90:AW90" si="972">IFERROR(SUM(O10:O11)/O7*4+1,"")</f>
        <v>0.93847475653674151</v>
      </c>
      <c r="P90" s="260">
        <f t="shared" si="972"/>
        <v>0.94548619675555923</v>
      </c>
      <c r="Q90" s="260">
        <f t="shared" si="972"/>
        <v>0.86775074021613174</v>
      </c>
      <c r="R90" s="260">
        <f t="shared" si="972"/>
        <v>0.88696761886378295</v>
      </c>
      <c r="S90" s="260">
        <f t="shared" si="972"/>
        <v>0.89996065946999848</v>
      </c>
      <c r="T90" s="260">
        <f t="shared" si="972"/>
        <v>0.9173374797479571</v>
      </c>
      <c r="U90" s="260">
        <f t="shared" si="972"/>
        <v>0.86554794808351376</v>
      </c>
      <c r="V90" s="260">
        <f t="shared" si="972"/>
        <v>0.82106298493678986</v>
      </c>
      <c r="W90" s="260">
        <f t="shared" si="972"/>
        <v>0.86318257417762312</v>
      </c>
      <c r="X90" s="260">
        <f t="shared" si="972"/>
        <v>0.87252029645708395</v>
      </c>
      <c r="Y90" s="260">
        <f t="shared" si="972"/>
        <v>0.84946252024117719</v>
      </c>
      <c r="Z90" s="260">
        <f t="shared" si="972"/>
        <v>0.87240114192590412</v>
      </c>
      <c r="AA90" s="260">
        <f t="shared" si="972"/>
        <v>0.90062941133615537</v>
      </c>
      <c r="AB90" s="260">
        <f t="shared" si="972"/>
        <v>0.90718277318249196</v>
      </c>
      <c r="AC90" s="260">
        <f t="shared" si="972"/>
        <v>0.88761560766848846</v>
      </c>
      <c r="AD90" s="260">
        <f t="shared" si="972"/>
        <v>0.89469568026935764</v>
      </c>
      <c r="AE90" s="260">
        <f t="shared" si="972"/>
        <v>0.88996919998801727</v>
      </c>
      <c r="AF90" s="260">
        <f t="shared" si="972"/>
        <v>0.90842470783703611</v>
      </c>
      <c r="AG90" s="260">
        <f t="shared" si="972"/>
        <v>0.8618410823214131</v>
      </c>
      <c r="AH90" s="260">
        <f t="shared" si="972"/>
        <v>0.88477503436057392</v>
      </c>
      <c r="AI90" s="260">
        <f t="shared" si="972"/>
        <v>0.87891837398916017</v>
      </c>
      <c r="AJ90" s="260">
        <f t="shared" si="972"/>
        <v>0.89885635542376885</v>
      </c>
      <c r="AK90" s="260">
        <f t="shared" si="972"/>
        <v>0.84618461699007919</v>
      </c>
      <c r="AL90" s="260">
        <f t="shared" si="972"/>
        <v>0.88477503436057392</v>
      </c>
      <c r="AM90" s="260">
        <f t="shared" si="972"/>
        <v>0.87831622744419335</v>
      </c>
      <c r="AN90" s="260">
        <f t="shared" si="972"/>
        <v>0.89776965971355005</v>
      </c>
      <c r="AO90" s="260">
        <f t="shared" si="972"/>
        <v>0.84382538546452368</v>
      </c>
      <c r="AP90" s="260">
        <f t="shared" si="972"/>
        <v>0.88477503436057392</v>
      </c>
      <c r="AQ90" s="260">
        <f t="shared" si="972"/>
        <v>0.87770233015899768</v>
      </c>
      <c r="AR90" s="260">
        <f t="shared" si="972"/>
        <v>0.89664883341337731</v>
      </c>
      <c r="AS90" s="260">
        <f t="shared" si="972"/>
        <v>0.84136948304302994</v>
      </c>
      <c r="AT90" s="260">
        <f t="shared" si="972"/>
        <v>0.88477503436057392</v>
      </c>
      <c r="AU90" s="260">
        <f t="shared" si="972"/>
        <v>0.87707106298551796</v>
      </c>
      <c r="AV90" s="260">
        <f t="shared" si="972"/>
        <v>0.89548244341300642</v>
      </c>
      <c r="AW90" s="260">
        <f t="shared" si="972"/>
        <v>0.83878905821130556</v>
      </c>
      <c r="AY90" s="19">
        <f>IFERROR(SUM(AY10:AY11)/AY7*12+1,"")</f>
        <v>0.95147992377199897</v>
      </c>
      <c r="AZ90" s="19">
        <f t="shared" ref="AZ90:DK90" si="973">IFERROR(SUM(AZ10:AZ11)/AZ7*12+1,"")</f>
        <v>0.84338293905319972</v>
      </c>
      <c r="BA90" s="19">
        <f t="shared" si="973"/>
        <v>0.82199721988117247</v>
      </c>
      <c r="BB90" s="19">
        <f t="shared" si="973"/>
        <v>0.9186047362742884</v>
      </c>
      <c r="BC90" s="19">
        <f t="shared" si="973"/>
        <v>0.95573680266265615</v>
      </c>
      <c r="BD90" s="19">
        <f t="shared" si="973"/>
        <v>0.94771257654890151</v>
      </c>
      <c r="BE90" s="19">
        <f t="shared" si="973"/>
        <v>1</v>
      </c>
      <c r="BF90" s="19">
        <f t="shared" si="973"/>
        <v>0.89805025464302934</v>
      </c>
      <c r="BG90" s="19">
        <f t="shared" si="973"/>
        <v>0.95006268253985326</v>
      </c>
      <c r="BH90" s="19">
        <f t="shared" si="973"/>
        <v>1</v>
      </c>
      <c r="BI90" s="19">
        <f t="shared" si="973"/>
        <v>0.89841072520540466</v>
      </c>
      <c r="BJ90" s="19">
        <f t="shared" si="973"/>
        <v>0.75645785487029849</v>
      </c>
      <c r="BK90" s="19">
        <f t="shared" si="973"/>
        <v>0.96465281262906222</v>
      </c>
      <c r="BL90" s="19">
        <f t="shared" si="973"/>
        <v>0.90624032092695483</v>
      </c>
      <c r="BM90" s="19">
        <f t="shared" si="973"/>
        <v>0.81124998868091269</v>
      </c>
      <c r="BN90" s="19">
        <f t="shared" si="973"/>
        <v>0.89780192895566868</v>
      </c>
      <c r="BO90" s="19">
        <f t="shared" si="973"/>
        <v>0.9217782878607127</v>
      </c>
      <c r="BP90" s="19">
        <f t="shared" si="973"/>
        <v>0.89472087448612636</v>
      </c>
      <c r="BQ90" s="19">
        <f t="shared" si="973"/>
        <v>0.90760368710135053</v>
      </c>
      <c r="BR90" s="19">
        <f t="shared" si="973"/>
        <v>0.96556243471636616</v>
      </c>
      <c r="BS90" s="19">
        <f t="shared" si="973"/>
        <v>0.88591374971462933</v>
      </c>
      <c r="BT90" s="19">
        <f t="shared" si="973"/>
        <v>0.94990485157657911</v>
      </c>
      <c r="BU90" s="19">
        <f t="shared" si="973"/>
        <v>0.90581135312952177</v>
      </c>
      <c r="BV90" s="19">
        <f t="shared" si="973"/>
        <v>0.7626505026811542</v>
      </c>
      <c r="BW90" s="19">
        <f t="shared" si="973"/>
        <v>0.81950730951729955</v>
      </c>
      <c r="BX90" s="19">
        <f t="shared" si="973"/>
        <v>0.82354907849058234</v>
      </c>
      <c r="BY90" s="19">
        <f t="shared" si="973"/>
        <v>0.8223277549793051</v>
      </c>
      <c r="BZ90" s="19">
        <f t="shared" si="973"/>
        <v>0.84498456851278991</v>
      </c>
      <c r="CA90" s="19">
        <f t="shared" si="973"/>
        <v>0.86609306738748049</v>
      </c>
      <c r="CB90" s="19">
        <f t="shared" si="973"/>
        <v>0.88519543984678029</v>
      </c>
      <c r="CC90" s="19">
        <f t="shared" si="973"/>
        <v>0.87078016504840328</v>
      </c>
      <c r="CD90" s="19">
        <f t="shared" si="973"/>
        <v>0.89889918981648553</v>
      </c>
      <c r="CE90" s="19">
        <f t="shared" si="973"/>
        <v>0.85385945570127397</v>
      </c>
      <c r="CF90" s="19">
        <f t="shared" si="973"/>
        <v>0.89217307139730317</v>
      </c>
      <c r="CG90" s="19">
        <f t="shared" si="973"/>
        <v>0.82122989458033224</v>
      </c>
      <c r="CH90" s="19">
        <f t="shared" si="973"/>
        <v>0.84955369665553926</v>
      </c>
      <c r="CI90" s="19">
        <f t="shared" si="973"/>
        <v>0.89853512794156121</v>
      </c>
      <c r="CJ90" s="19">
        <f t="shared" si="973"/>
        <v>0.92383022410646798</v>
      </c>
      <c r="CK90" s="19">
        <f t="shared" si="973"/>
        <v>0.8050992825416815</v>
      </c>
      <c r="CL90" s="19">
        <f t="shared" si="973"/>
        <v>0.89249951615855216</v>
      </c>
      <c r="CM90" s="19">
        <f t="shared" si="973"/>
        <v>0.91751286105359009</v>
      </c>
      <c r="CN90" s="19">
        <f t="shared" si="973"/>
        <v>0.90026927036113502</v>
      </c>
      <c r="CO90" s="19">
        <f t="shared" si="973"/>
        <v>0.95063115009636001</v>
      </c>
      <c r="CP90" s="19">
        <f t="shared" si="973"/>
        <v>0.92399675735437425</v>
      </c>
      <c r="CQ90" s="19">
        <f t="shared" si="973"/>
        <v>0.8574348571363033</v>
      </c>
      <c r="CR90" s="19">
        <f t="shared" si="973"/>
        <v>0.93994170881904748</v>
      </c>
      <c r="CS90" s="19">
        <f t="shared" si="973"/>
        <v>0.88554966420413772</v>
      </c>
      <c r="CT90" s="19">
        <f t="shared" si="973"/>
        <v>0.84971278996867883</v>
      </c>
      <c r="CU90" s="19">
        <f t="shared" si="973"/>
        <v>0.93162204113730918</v>
      </c>
      <c r="CV90" s="19">
        <f t="shared" si="973"/>
        <v>0.91421104756477456</v>
      </c>
      <c r="CW90" s="19">
        <f t="shared" si="973"/>
        <v>0.84381900111247621</v>
      </c>
      <c r="CX90" s="19">
        <f t="shared" si="973"/>
        <v>0.90093727455807227</v>
      </c>
      <c r="CY90" s="19">
        <f t="shared" si="973"/>
        <v>0.9199675211594226</v>
      </c>
      <c r="CZ90" s="19">
        <f t="shared" si="973"/>
        <v>0.85741889958359452</v>
      </c>
      <c r="DA90" s="19">
        <f t="shared" si="973"/>
        <v>0.90927314298152961</v>
      </c>
      <c r="DB90" s="19">
        <f t="shared" si="973"/>
        <v>0.92966785228606297</v>
      </c>
      <c r="DC90" s="19">
        <f t="shared" si="973"/>
        <v>0.89158468620472831</v>
      </c>
      <c r="DD90" s="19">
        <f t="shared" si="973"/>
        <v>0.9183489827798762</v>
      </c>
      <c r="DE90" s="19">
        <f t="shared" si="973"/>
        <v>0.83128993803570617</v>
      </c>
      <c r="DF90" s="19">
        <f t="shared" si="973"/>
        <v>0.8488969693178211</v>
      </c>
      <c r="DG90" s="19">
        <f t="shared" si="973"/>
        <v>0.92518020171821125</v>
      </c>
      <c r="DH90" s="19">
        <f t="shared" si="973"/>
        <v>0.90609024096876023</v>
      </c>
      <c r="DI90" s="19">
        <f t="shared" si="973"/>
        <v>0.82877027081621801</v>
      </c>
      <c r="DJ90" s="19">
        <f t="shared" si="973"/>
        <v>0.89098801542597406</v>
      </c>
      <c r="DK90" s="19">
        <f t="shared" si="973"/>
        <v>0.91192409795642515</v>
      </c>
      <c r="DL90" s="19">
        <f t="shared" ref="DL90:FB90" si="974">IFERROR(SUM(DL10:DL11)/DL7*12+1,"")</f>
        <v>0.84291666591837144</v>
      </c>
      <c r="DM90" s="19">
        <f t="shared" si="974"/>
        <v>0.8997934403150506</v>
      </c>
      <c r="DN90" s="19">
        <f t="shared" si="974"/>
        <v>0.92217678387165114</v>
      </c>
      <c r="DO90" s="19">
        <f t="shared" si="974"/>
        <v>0.87975281309283471</v>
      </c>
      <c r="DP90" s="19">
        <f t="shared" si="974"/>
        <v>0.90909611411345392</v>
      </c>
      <c r="DQ90" s="19">
        <f t="shared" si="974"/>
        <v>0.81135361293507957</v>
      </c>
      <c r="DR90" s="19">
        <f t="shared" si="974"/>
        <v>0.82993335334246732</v>
      </c>
      <c r="DS90" s="19">
        <f t="shared" si="974"/>
        <v>0.92518020171821125</v>
      </c>
      <c r="DT90" s="19">
        <f t="shared" si="974"/>
        <v>0.90602190305401997</v>
      </c>
      <c r="DU90" s="19">
        <f t="shared" si="974"/>
        <v>0.82839001138028034</v>
      </c>
      <c r="DV90" s="19">
        <f t="shared" si="974"/>
        <v>0.89044589196733004</v>
      </c>
      <c r="DW90" s="19">
        <f t="shared" si="974"/>
        <v>0.91138530736032897</v>
      </c>
      <c r="DX90" s="19">
        <f t="shared" si="974"/>
        <v>0.84164247071421994</v>
      </c>
      <c r="DY90" s="19">
        <f t="shared" si="974"/>
        <v>0.89871681272266291</v>
      </c>
      <c r="DZ90" s="19">
        <f t="shared" si="974"/>
        <v>0.92127265355278887</v>
      </c>
      <c r="EA90" s="19">
        <f t="shared" si="974"/>
        <v>0.87818603684391439</v>
      </c>
      <c r="EB90" s="19">
        <f t="shared" si="974"/>
        <v>0.9077018237038581</v>
      </c>
      <c r="EC90" s="19">
        <f t="shared" si="974"/>
        <v>0.80829111053520442</v>
      </c>
      <c r="ED90" s="19">
        <f t="shared" si="974"/>
        <v>0.82677186825200688</v>
      </c>
      <c r="EE90" s="19">
        <f t="shared" si="974"/>
        <v>0.92518020171821125</v>
      </c>
      <c r="EF90" s="19">
        <f t="shared" si="974"/>
        <v>0.90595282337120742</v>
      </c>
      <c r="EG90" s="19">
        <f t="shared" si="974"/>
        <v>0.82800446949440054</v>
      </c>
      <c r="EH90" s="19">
        <f t="shared" si="974"/>
        <v>0.88989318910407489</v>
      </c>
      <c r="EI90" s="19">
        <f t="shared" si="974"/>
        <v>0.91083473782834767</v>
      </c>
      <c r="EJ90" s="19">
        <f t="shared" si="974"/>
        <v>0.84033519064963469</v>
      </c>
      <c r="EK90" s="19">
        <f t="shared" si="974"/>
        <v>0.8976063707565336</v>
      </c>
      <c r="EL90" s="19">
        <f t="shared" si="974"/>
        <v>0.92033848771471005</v>
      </c>
      <c r="EM90" s="19">
        <f t="shared" si="974"/>
        <v>0.87656261137235236</v>
      </c>
      <c r="EN90" s="19">
        <f t="shared" si="974"/>
        <v>0.90625040142668867</v>
      </c>
      <c r="EO90" s="19">
        <f t="shared" si="974"/>
        <v>0.80509737305920048</v>
      </c>
      <c r="EP90" s="19">
        <f t="shared" si="974"/>
        <v>0.82345925666551256</v>
      </c>
      <c r="EQ90" s="19">
        <f t="shared" si="974"/>
        <v>0.92518020171821125</v>
      </c>
      <c r="ER90" s="19">
        <f t="shared" si="974"/>
        <v>0.90588240425896471</v>
      </c>
      <c r="ES90" s="19">
        <f t="shared" si="974"/>
        <v>0.82761025147306433</v>
      </c>
      <c r="ET90" s="19">
        <f t="shared" si="974"/>
        <v>0.8893248478152711</v>
      </c>
      <c r="EU90" s="19">
        <f t="shared" si="974"/>
        <v>0.91026725407903719</v>
      </c>
      <c r="EV90" s="19">
        <f t="shared" si="974"/>
        <v>0.83898218414242054</v>
      </c>
      <c r="EW90" s="19">
        <f t="shared" si="974"/>
        <v>0.89645078723294402</v>
      </c>
      <c r="EX90" s="19">
        <f t="shared" si="974"/>
        <v>0.91936457444573971</v>
      </c>
      <c r="EY90" s="19">
        <f t="shared" si="974"/>
        <v>0.87486511159409164</v>
      </c>
      <c r="EZ90" s="19">
        <f t="shared" si="974"/>
        <v>0.9047253872190606</v>
      </c>
      <c r="FA90" s="19">
        <f t="shared" si="974"/>
        <v>0.80173536893377251</v>
      </c>
      <c r="FB90" s="19">
        <f t="shared" si="974"/>
        <v>0.81995472608791742</v>
      </c>
    </row>
    <row r="91" spans="3:158" x14ac:dyDescent="0.25">
      <c r="C91" s="289" t="s">
        <v>622</v>
      </c>
      <c r="D91" s="260">
        <f>SUM(D21:D22)/D18+1</f>
        <v>0.91067880609610274</v>
      </c>
      <c r="E91" s="260">
        <f t="shared" ref="E91:F91" si="975">SUM(E21:E22)/E18+1</f>
        <v>0.89939768153155575</v>
      </c>
      <c r="F91" s="260">
        <f t="shared" si="975"/>
        <v>0.92230171336637012</v>
      </c>
      <c r="G91" s="260">
        <f t="shared" ref="G91" si="976">SUM(G21:G22)/G18+1</f>
        <v>0.92310209762177919</v>
      </c>
      <c r="H91" s="261">
        <f t="shared" ref="H91:H92" si="977">G91</f>
        <v>0.92310209762177919</v>
      </c>
      <c r="I91" s="261">
        <f>H91+0.002</f>
        <v>0.9251020976217792</v>
      </c>
      <c r="J91" s="261">
        <f t="shared" ref="J91:L91" si="978">I91+0.002</f>
        <v>0.9271020976217792</v>
      </c>
      <c r="K91" s="261">
        <f t="shared" si="978"/>
        <v>0.9291020976217792</v>
      </c>
      <c r="L91" s="261">
        <f t="shared" si="978"/>
        <v>0.9311020976217792</v>
      </c>
      <c r="N91" s="260">
        <f>IFERROR(SUM(N21:N22)/N18*4+1,"")</f>
        <v>0.95937530709770291</v>
      </c>
      <c r="O91" s="260">
        <f t="shared" ref="O91:AW91" si="979">IFERROR(SUM(O21:O22)/O18*4+1,"")</f>
        <v>0.97425515223626813</v>
      </c>
      <c r="P91" s="260">
        <f t="shared" si="979"/>
        <v>0.94269862930722481</v>
      </c>
      <c r="Q91" s="260">
        <f t="shared" si="979"/>
        <v>0.89061532750867711</v>
      </c>
      <c r="R91" s="260">
        <f t="shared" si="979"/>
        <v>0.87456608195295737</v>
      </c>
      <c r="S91" s="260">
        <f t="shared" si="979"/>
        <v>0.92565076173083194</v>
      </c>
      <c r="T91" s="260">
        <f t="shared" si="979"/>
        <v>0.9206618843469927</v>
      </c>
      <c r="U91" s="260">
        <f t="shared" si="979"/>
        <v>0.94008867255407291</v>
      </c>
      <c r="V91" s="260">
        <f t="shared" si="979"/>
        <v>0.94546761128095802</v>
      </c>
      <c r="W91" s="260">
        <f t="shared" si="979"/>
        <v>0.94480917418668509</v>
      </c>
      <c r="X91" s="260">
        <f t="shared" si="979"/>
        <v>0.90165079819203253</v>
      </c>
      <c r="Y91" s="260">
        <f t="shared" si="979"/>
        <v>0.94535964200379841</v>
      </c>
      <c r="Z91" s="260">
        <f t="shared" si="979"/>
        <v>0.93497893400261078</v>
      </c>
      <c r="AA91" s="260">
        <f t="shared" si="979"/>
        <v>0.92772623834768286</v>
      </c>
      <c r="AB91" s="260">
        <f t="shared" si="979"/>
        <v>0.94310883449666694</v>
      </c>
      <c r="AC91" s="260">
        <f t="shared" si="979"/>
        <v>0.93254007490466262</v>
      </c>
      <c r="AD91" s="260">
        <f t="shared" si="979"/>
        <v>0.93671029886232549</v>
      </c>
      <c r="AE91" s="260">
        <f t="shared" si="979"/>
        <v>0.93455106181923164</v>
      </c>
      <c r="AF91" s="260">
        <f t="shared" si="979"/>
        <v>0.94605294450722932</v>
      </c>
      <c r="AG91" s="260">
        <f t="shared" si="979"/>
        <v>0.91919503597970653</v>
      </c>
      <c r="AH91" s="260">
        <f t="shared" si="979"/>
        <v>0.93835636980003156</v>
      </c>
      <c r="AI91" s="260">
        <f t="shared" si="979"/>
        <v>0.93592136775723567</v>
      </c>
      <c r="AJ91" s="260">
        <f t="shared" si="979"/>
        <v>0.94699123159463794</v>
      </c>
      <c r="AK91" s="260">
        <f t="shared" si="979"/>
        <v>0.91997674203309443</v>
      </c>
      <c r="AL91" s="260">
        <f t="shared" si="979"/>
        <v>0.94000244073773775</v>
      </c>
      <c r="AM91" s="260">
        <f t="shared" si="979"/>
        <v>0.93722668844155044</v>
      </c>
      <c r="AN91" s="260">
        <f t="shared" si="979"/>
        <v>0.94768317318489914</v>
      </c>
      <c r="AO91" s="260">
        <f t="shared" si="979"/>
        <v>0.92056081358389119</v>
      </c>
      <c r="AP91" s="260">
        <f t="shared" si="979"/>
        <v>0.94164851167544383</v>
      </c>
      <c r="AQ91" s="260">
        <f t="shared" si="979"/>
        <v>0.93860382627315819</v>
      </c>
      <c r="AR91" s="260">
        <f t="shared" si="979"/>
        <v>0.9484939348360526</v>
      </c>
      <c r="AS91" s="260">
        <f t="shared" si="979"/>
        <v>0.92138464960397082</v>
      </c>
      <c r="AT91" s="260">
        <f t="shared" si="979"/>
        <v>0.94329458261314991</v>
      </c>
      <c r="AU91" s="260">
        <f t="shared" si="979"/>
        <v>0.94002524994712533</v>
      </c>
      <c r="AV91" s="260">
        <f t="shared" si="979"/>
        <v>0.94937732920954543</v>
      </c>
      <c r="AW91" s="260">
        <f t="shared" si="979"/>
        <v>0.92235334330417962</v>
      </c>
      <c r="AY91" s="19">
        <f>IFERROR(SUM(AY21:AY22)/AY18*12+1,"")</f>
        <v>0.90710618374198815</v>
      </c>
      <c r="AZ91" s="19">
        <f t="shared" ref="AZ91:DK91" si="980">IFERROR(SUM(AZ21:AZ22)/AZ18*12+1,"")</f>
        <v>1</v>
      </c>
      <c r="BA91" s="19">
        <f t="shared" si="980"/>
        <v>0.97306754541779727</v>
      </c>
      <c r="BB91" s="19">
        <f t="shared" si="980"/>
        <v>0.95847605199398078</v>
      </c>
      <c r="BC91" s="19">
        <f t="shared" si="980"/>
        <v>1</v>
      </c>
      <c r="BD91" s="19">
        <f t="shared" si="980"/>
        <v>0.96836079767293493</v>
      </c>
      <c r="BE91" s="19">
        <f t="shared" si="980"/>
        <v>0.99649651945492546</v>
      </c>
      <c r="BF91" s="19">
        <f t="shared" si="980"/>
        <v>0.99537225808557239</v>
      </c>
      <c r="BG91" s="19">
        <f t="shared" si="980"/>
        <v>0.8458724410688947</v>
      </c>
      <c r="BH91" s="19">
        <f t="shared" si="980"/>
        <v>0.98183671690836694</v>
      </c>
      <c r="BI91" s="19">
        <f t="shared" si="980"/>
        <v>0.73879714491117832</v>
      </c>
      <c r="BJ91" s="19">
        <f t="shared" si="980"/>
        <v>0.96293322836454553</v>
      </c>
      <c r="BK91" s="19">
        <f t="shared" si="980"/>
        <v>0.96362144139966144</v>
      </c>
      <c r="BL91" s="19">
        <f t="shared" si="980"/>
        <v>0.93539041172804249</v>
      </c>
      <c r="BM91" s="19">
        <f t="shared" si="980"/>
        <v>0.73582041301874979</v>
      </c>
      <c r="BN91" s="19">
        <f t="shared" si="980"/>
        <v>0.89743084529978234</v>
      </c>
      <c r="BO91" s="19">
        <f t="shared" si="980"/>
        <v>0.91180559706912645</v>
      </c>
      <c r="BP91" s="19">
        <f t="shared" si="980"/>
        <v>0.97103045840727598</v>
      </c>
      <c r="BQ91" s="19">
        <f t="shared" si="980"/>
        <v>0.98860970432788497</v>
      </c>
      <c r="BR91" s="19">
        <f t="shared" si="980"/>
        <v>0.87883404447593672</v>
      </c>
      <c r="BS91" s="19">
        <f t="shared" si="980"/>
        <v>0.90259482623650311</v>
      </c>
      <c r="BT91" s="19">
        <f t="shared" si="980"/>
        <v>0.93659007338630706</v>
      </c>
      <c r="BU91" s="19">
        <f t="shared" si="980"/>
        <v>0.91342737788466521</v>
      </c>
      <c r="BV91" s="19">
        <f t="shared" si="980"/>
        <v>0.97346848385272766</v>
      </c>
      <c r="BW91" s="19">
        <f t="shared" si="980"/>
        <v>0.97270274601780415</v>
      </c>
      <c r="BX91" s="19">
        <f t="shared" si="980"/>
        <v>0.97157222293910162</v>
      </c>
      <c r="BY91" s="19">
        <f t="shared" si="980"/>
        <v>0.8973616986620766</v>
      </c>
      <c r="BZ91" s="19">
        <f t="shared" si="980"/>
        <v>0.91599447551539881</v>
      </c>
      <c r="CA91" s="19">
        <f t="shared" si="980"/>
        <v>0.97845964215228221</v>
      </c>
      <c r="CB91" s="19">
        <f t="shared" si="980"/>
        <v>0.94346925354262157</v>
      </c>
      <c r="CC91" s="19">
        <f t="shared" si="980"/>
        <v>0.82626726991156363</v>
      </c>
      <c r="CD91" s="19">
        <f t="shared" si="980"/>
        <v>0.94716878378134006</v>
      </c>
      <c r="CE91" s="19">
        <f t="shared" si="980"/>
        <v>0.93469872936552933</v>
      </c>
      <c r="CF91" s="19">
        <f t="shared" si="980"/>
        <v>0.95929455591978174</v>
      </c>
      <c r="CG91" s="19">
        <f t="shared" si="980"/>
        <v>0.95076182359067996</v>
      </c>
      <c r="CH91" s="19">
        <f t="shared" si="980"/>
        <v>0.93167716396571321</v>
      </c>
      <c r="CI91" s="19">
        <f t="shared" si="980"/>
        <v>0.91625045345152722</v>
      </c>
      <c r="CJ91" s="19">
        <f t="shared" si="980"/>
        <v>0.95682021396399841</v>
      </c>
      <c r="CK91" s="19">
        <f t="shared" si="980"/>
        <v>0.93391535490119815</v>
      </c>
      <c r="CL91" s="19">
        <f t="shared" si="980"/>
        <v>0.91309542518822751</v>
      </c>
      <c r="CM91" s="19">
        <f t="shared" si="980"/>
        <v>0.9181664164895178</v>
      </c>
      <c r="CN91" s="19">
        <f t="shared" si="980"/>
        <v>0.95685425566698612</v>
      </c>
      <c r="CO91" s="19">
        <f t="shared" si="980"/>
        <v>0.97359831710964106</v>
      </c>
      <c r="CP91" s="19">
        <f t="shared" si="980"/>
        <v>0.95112996933853566</v>
      </c>
      <c r="CQ91" s="19">
        <f t="shared" si="980"/>
        <v>0.91301352947179282</v>
      </c>
      <c r="CR91" s="19">
        <f t="shared" si="980"/>
        <v>0.98179209339535412</v>
      </c>
      <c r="CS91" s="19">
        <f t="shared" si="980"/>
        <v>0.91651618369938836</v>
      </c>
      <c r="CT91" s="19">
        <f t="shared" si="980"/>
        <v>0.91050926275567223</v>
      </c>
      <c r="CU91" s="19">
        <f t="shared" si="980"/>
        <v>0.95890367468406312</v>
      </c>
      <c r="CV91" s="19">
        <f t="shared" si="980"/>
        <v>0.94856023639664255</v>
      </c>
      <c r="CW91" s="19">
        <f t="shared" si="980"/>
        <v>0.90662634761389105</v>
      </c>
      <c r="CX91" s="19">
        <f t="shared" si="980"/>
        <v>0.9410751335738623</v>
      </c>
      <c r="CY91" s="19">
        <f t="shared" si="980"/>
        <v>0.95254766660517542</v>
      </c>
      <c r="CZ91" s="19">
        <f t="shared" si="980"/>
        <v>0.91565921759837243</v>
      </c>
      <c r="DA91" s="19">
        <f t="shared" si="980"/>
        <v>0.94655275812224404</v>
      </c>
      <c r="DB91" s="19">
        <f t="shared" si="980"/>
        <v>0.95868375250408033</v>
      </c>
      <c r="DC91" s="19">
        <f t="shared" si="980"/>
        <v>0.9364278777586249</v>
      </c>
      <c r="DD91" s="19">
        <f t="shared" si="980"/>
        <v>0.95224479447615817</v>
      </c>
      <c r="DE91" s="19">
        <f t="shared" si="980"/>
        <v>0.901553176856003</v>
      </c>
      <c r="DF91" s="19">
        <f t="shared" si="980"/>
        <v>0.91219949193619376</v>
      </c>
      <c r="DG91" s="19">
        <f t="shared" si="980"/>
        <v>0.95997252894523155</v>
      </c>
      <c r="DH91" s="19">
        <f t="shared" si="980"/>
        <v>0.94989207446084745</v>
      </c>
      <c r="DI91" s="19">
        <f t="shared" si="980"/>
        <v>0.90891055109481433</v>
      </c>
      <c r="DJ91" s="19">
        <f t="shared" si="980"/>
        <v>0.94230884487009159</v>
      </c>
      <c r="DK91" s="19">
        <f t="shared" si="980"/>
        <v>0.95355525246067352</v>
      </c>
      <c r="DL91" s="19">
        <f t="shared" ref="DL91:FB91" si="981">IFERROR(SUM(DL21:DL22)/DL18*12+1,"")</f>
        <v>0.91733665605607584</v>
      </c>
      <c r="DM91" s="19">
        <f t="shared" si="981"/>
        <v>0.94748235208160714</v>
      </c>
      <c r="DN91" s="19">
        <f t="shared" si="981"/>
        <v>0.9593458190802836</v>
      </c>
      <c r="DO91" s="19">
        <f t="shared" si="981"/>
        <v>0.93729337956381709</v>
      </c>
      <c r="DP91" s="19">
        <f t="shared" si="981"/>
        <v>0.95270677764379375</v>
      </c>
      <c r="DQ91" s="19">
        <f t="shared" si="981"/>
        <v>0.90212016334756207</v>
      </c>
      <c r="DR91" s="19">
        <f t="shared" si="981"/>
        <v>0.91217057697493675</v>
      </c>
      <c r="DS91" s="19">
        <f t="shared" si="981"/>
        <v>0.96104138320639998</v>
      </c>
      <c r="DT91" s="19">
        <f t="shared" si="981"/>
        <v>0.95118491345269607</v>
      </c>
      <c r="DU91" s="19">
        <f t="shared" si="981"/>
        <v>0.91108634402562583</v>
      </c>
      <c r="DV91" s="19">
        <f t="shared" si="981"/>
        <v>0.94348404876345482</v>
      </c>
      <c r="DW91" s="19">
        <f t="shared" si="981"/>
        <v>0.95443644327517518</v>
      </c>
      <c r="DX91" s="19">
        <f t="shared" si="981"/>
        <v>0.91869151639965418</v>
      </c>
      <c r="DY91" s="19">
        <f t="shared" si="981"/>
        <v>0.94816788290812148</v>
      </c>
      <c r="DZ91" s="19">
        <f t="shared" si="981"/>
        <v>0.95983521523301407</v>
      </c>
      <c r="EA91" s="19">
        <f t="shared" si="981"/>
        <v>0.93793580162697443</v>
      </c>
      <c r="EB91" s="19">
        <f t="shared" si="981"/>
        <v>0.95305196011231041</v>
      </c>
      <c r="EC91" s="19">
        <f t="shared" si="981"/>
        <v>0.90273201820398841</v>
      </c>
      <c r="ED91" s="19">
        <f t="shared" si="981"/>
        <v>0.91246838625808446</v>
      </c>
      <c r="EE91" s="19">
        <f t="shared" si="981"/>
        <v>0.96211023746756841</v>
      </c>
      <c r="EF91" s="19">
        <f t="shared" si="981"/>
        <v>0.95248635527585768</v>
      </c>
      <c r="EG91" s="19">
        <f t="shared" si="981"/>
        <v>0.91330929449333209</v>
      </c>
      <c r="EH91" s="19">
        <f t="shared" si="981"/>
        <v>0.94472391093744046</v>
      </c>
      <c r="EI91" s="19">
        <f t="shared" si="981"/>
        <v>0.95538057160285472</v>
      </c>
      <c r="EJ91" s="19">
        <f t="shared" si="981"/>
        <v>0.92019135078804837</v>
      </c>
      <c r="EK91" s="19">
        <f t="shared" si="981"/>
        <v>0.94897113294055768</v>
      </c>
      <c r="EL91" s="19">
        <f t="shared" si="981"/>
        <v>0.96042179022393059</v>
      </c>
      <c r="EM91" s="19">
        <f t="shared" si="981"/>
        <v>0.93874309698999348</v>
      </c>
      <c r="EN91" s="19">
        <f t="shared" si="981"/>
        <v>0.95353884181486237</v>
      </c>
      <c r="EO91" s="19">
        <f t="shared" si="981"/>
        <v>0.90364993387069326</v>
      </c>
      <c r="EP91" s="19">
        <f t="shared" si="981"/>
        <v>0.91306956601952871</v>
      </c>
      <c r="EQ91" s="19">
        <f t="shared" si="981"/>
        <v>0.96317909172873684</v>
      </c>
      <c r="ER91" s="19">
        <f t="shared" si="981"/>
        <v>0.95379309124006528</v>
      </c>
      <c r="ES91" s="19">
        <f t="shared" si="981"/>
        <v>0.91556136533369759</v>
      </c>
      <c r="ET91" s="19">
        <f t="shared" si="981"/>
        <v>0.94600364445874119</v>
      </c>
      <c r="EU91" s="19">
        <f t="shared" si="981"/>
        <v>0.95636342947939545</v>
      </c>
      <c r="EV91" s="19">
        <f t="shared" si="981"/>
        <v>0.92178022309102581</v>
      </c>
      <c r="EW91" s="19">
        <f t="shared" si="981"/>
        <v>0.94984634276104263</v>
      </c>
      <c r="EX91" s="19">
        <f t="shared" si="981"/>
        <v>0.96106763867186451</v>
      </c>
      <c r="EY91" s="19">
        <f t="shared" si="981"/>
        <v>0.93965063293302653</v>
      </c>
      <c r="EZ91" s="19">
        <f t="shared" si="981"/>
        <v>0.95411133345945365</v>
      </c>
      <c r="FA91" s="19">
        <f t="shared" si="981"/>
        <v>0.90475224266945098</v>
      </c>
      <c r="FB91" s="19">
        <f t="shared" si="981"/>
        <v>0.9138520310550684</v>
      </c>
    </row>
    <row r="92" spans="3:158" x14ac:dyDescent="0.25">
      <c r="C92" s="289" t="s">
        <v>620</v>
      </c>
      <c r="D92" s="260">
        <f>SUM(D32:D33)/D29+1</f>
        <v>0.89887997605214986</v>
      </c>
      <c r="E92" s="260">
        <f t="shared" ref="E92:F92" si="982">SUM(E32:E33)/E29+1</f>
        <v>0.95321929000291783</v>
      </c>
      <c r="F92" s="260">
        <f t="shared" si="982"/>
        <v>0.93037834857628077</v>
      </c>
      <c r="G92" s="260">
        <f t="shared" ref="G92" si="983">SUM(G32:G33)/G29+1</f>
        <v>0.95800171828669556</v>
      </c>
      <c r="H92" s="261">
        <f t="shared" si="977"/>
        <v>0.95800171828669556</v>
      </c>
      <c r="I92" s="261">
        <f>H92+0.001</f>
        <v>0.95900171828669556</v>
      </c>
      <c r="J92" s="261">
        <f t="shared" ref="J92:L92" si="984">I92+0.001</f>
        <v>0.96000171828669556</v>
      </c>
      <c r="K92" s="261">
        <f t="shared" si="984"/>
        <v>0.96100171828669556</v>
      </c>
      <c r="L92" s="261">
        <f t="shared" si="984"/>
        <v>0.96200171828669556</v>
      </c>
      <c r="N92" s="260">
        <f>IFERROR(SUM(N32:N33)/N29*4+1,"")</f>
        <v>0.94454995990016388</v>
      </c>
      <c r="O92" s="260">
        <f t="shared" ref="O92:AW92" si="985">IFERROR(SUM(O32:O33)/O29*4+1,"")</f>
        <v>0.88766861804085373</v>
      </c>
      <c r="P92" s="260">
        <f t="shared" si="985"/>
        <v>0.95992104924235711</v>
      </c>
      <c r="Q92" s="260">
        <f t="shared" si="985"/>
        <v>0.9165969975859527</v>
      </c>
      <c r="R92" s="260">
        <f t="shared" si="985"/>
        <v>0.9582316913936284</v>
      </c>
      <c r="S92" s="260">
        <f t="shared" si="985"/>
        <v>0.92695312876407887</v>
      </c>
      <c r="T92" s="260">
        <f t="shared" si="985"/>
        <v>0.99479371634626113</v>
      </c>
      <c r="U92" s="260">
        <f t="shared" si="985"/>
        <v>0.96549055953394947</v>
      </c>
      <c r="V92" s="260">
        <f t="shared" si="985"/>
        <v>0.97885941385770892</v>
      </c>
      <c r="W92" s="260">
        <f t="shared" si="985"/>
        <v>0.89758162010991627</v>
      </c>
      <c r="X92" s="260">
        <f t="shared" si="985"/>
        <v>0.95223246180824916</v>
      </c>
      <c r="Y92" s="260">
        <f t="shared" si="985"/>
        <v>0.93017163606208686</v>
      </c>
      <c r="Z92" s="260">
        <f t="shared" si="985"/>
        <v>0.93534965563283601</v>
      </c>
      <c r="AA92" s="260">
        <f t="shared" si="985"/>
        <v>0.97827084043889756</v>
      </c>
      <c r="AB92" s="260">
        <f t="shared" si="985"/>
        <v>0.97080021090429391</v>
      </c>
      <c r="AC92" s="260">
        <f t="shared" si="985"/>
        <v>0.97110456187892968</v>
      </c>
      <c r="AD92" s="260">
        <f t="shared" si="985"/>
        <v>0.96543392451906829</v>
      </c>
      <c r="AE92" s="260">
        <f t="shared" si="985"/>
        <v>0.96503228801350671</v>
      </c>
      <c r="AF92" s="260">
        <f t="shared" si="985"/>
        <v>0.97181602937995026</v>
      </c>
      <c r="AG92" s="260">
        <f t="shared" si="985"/>
        <v>0.95850687337299956</v>
      </c>
      <c r="AH92" s="260">
        <f t="shared" si="985"/>
        <v>0.96625695998792138</v>
      </c>
      <c r="AI92" s="260">
        <f t="shared" si="985"/>
        <v>0.96593763948217737</v>
      </c>
      <c r="AJ92" s="260">
        <f t="shared" si="985"/>
        <v>0.97267659626948133</v>
      </c>
      <c r="AK92" s="260">
        <f t="shared" si="985"/>
        <v>0.95969439864269324</v>
      </c>
      <c r="AL92" s="260">
        <f t="shared" si="985"/>
        <v>0.96707999545677437</v>
      </c>
      <c r="AM92" s="260">
        <f t="shared" si="985"/>
        <v>0.96665136351693781</v>
      </c>
      <c r="AN92" s="260">
        <f t="shared" si="985"/>
        <v>0.97314754879684784</v>
      </c>
      <c r="AO92" s="260">
        <f t="shared" si="985"/>
        <v>0.96027818630713124</v>
      </c>
      <c r="AP92" s="260">
        <f t="shared" si="985"/>
        <v>0.96790303092562746</v>
      </c>
      <c r="AQ92" s="260">
        <f t="shared" si="985"/>
        <v>0.96733505467716308</v>
      </c>
      <c r="AR92" s="260">
        <f t="shared" si="985"/>
        <v>0.97356645246718065</v>
      </c>
      <c r="AS92" s="260">
        <f t="shared" si="985"/>
        <v>0.96075249665932438</v>
      </c>
      <c r="AT92" s="260">
        <f t="shared" si="985"/>
        <v>0.96872606639448045</v>
      </c>
      <c r="AU92" s="260">
        <f t="shared" si="985"/>
        <v>0.96801156316846759</v>
      </c>
      <c r="AV92" s="260">
        <f t="shared" si="985"/>
        <v>0.97397049828597027</v>
      </c>
      <c r="AW92" s="260">
        <f t="shared" si="985"/>
        <v>0.96119189658066861</v>
      </c>
      <c r="AY92" s="19">
        <f>IFERROR(SUM(AY32:AY33)/AY29*12+1,"")</f>
        <v>0.98125603114044879</v>
      </c>
      <c r="AZ92" s="19">
        <f t="shared" ref="AZ92:DK92" si="986">IFERROR(SUM(AZ32:AZ33)/AZ29*12+1,"")</f>
        <v>0.93595713759514254</v>
      </c>
      <c r="BA92" s="19">
        <f t="shared" si="986"/>
        <v>0.92211453194499138</v>
      </c>
      <c r="BB92" s="19">
        <f t="shared" si="986"/>
        <v>1</v>
      </c>
      <c r="BC92" s="19">
        <f t="shared" si="986"/>
        <v>1</v>
      </c>
      <c r="BD92" s="19">
        <f t="shared" si="986"/>
        <v>0.70582882107789746</v>
      </c>
      <c r="BE92" s="19">
        <f t="shared" si="986"/>
        <v>0.89631327685333184</v>
      </c>
      <c r="BF92" s="19">
        <f t="shared" si="986"/>
        <v>0.99409341564513565</v>
      </c>
      <c r="BG92" s="19">
        <f t="shared" si="986"/>
        <v>0.99037719608456765</v>
      </c>
      <c r="BH92" s="19">
        <f t="shared" si="986"/>
        <v>0.86255750018501076</v>
      </c>
      <c r="BI92" s="19">
        <f t="shared" si="986"/>
        <v>0.94570349712058022</v>
      </c>
      <c r="BJ92" s="19">
        <f t="shared" si="986"/>
        <v>0.95285285158586619</v>
      </c>
      <c r="BK92" s="19">
        <f t="shared" si="986"/>
        <v>0.94588251117473676</v>
      </c>
      <c r="BL92" s="19">
        <f t="shared" si="986"/>
        <v>0.95639692992382375</v>
      </c>
      <c r="BM92" s="19">
        <f t="shared" si="986"/>
        <v>0.97438131273080975</v>
      </c>
      <c r="BN92" s="19">
        <f t="shared" si="986"/>
        <v>0.97830625070539334</v>
      </c>
      <c r="BO92" s="19">
        <f t="shared" si="986"/>
        <v>0.98179501146439074</v>
      </c>
      <c r="BP92" s="19">
        <f t="shared" si="986"/>
        <v>0.84698797576181595</v>
      </c>
      <c r="BQ92" s="19">
        <f t="shared" si="986"/>
        <v>1</v>
      </c>
      <c r="BR92" s="19">
        <f t="shared" si="986"/>
        <v>0.99495456710701224</v>
      </c>
      <c r="BS92" s="19">
        <f t="shared" si="986"/>
        <v>0.99002781375091786</v>
      </c>
      <c r="BT92" s="19">
        <f t="shared" si="986"/>
        <v>0.94074789896170308</v>
      </c>
      <c r="BU92" s="19">
        <f t="shared" si="986"/>
        <v>1</v>
      </c>
      <c r="BV92" s="19">
        <f t="shared" si="986"/>
        <v>0.95810163435355766</v>
      </c>
      <c r="BW92" s="19">
        <f t="shared" si="986"/>
        <v>0.99971392541064652</v>
      </c>
      <c r="BX92" s="19">
        <f t="shared" si="986"/>
        <v>0.99254288527394885</v>
      </c>
      <c r="BY92" s="19">
        <f t="shared" si="986"/>
        <v>0.94741546292170886</v>
      </c>
      <c r="BZ92" s="19">
        <f t="shared" si="986"/>
        <v>0.90864439027823463</v>
      </c>
      <c r="CA92" s="19">
        <f t="shared" si="986"/>
        <v>0.83786280215564979</v>
      </c>
      <c r="CB92" s="19">
        <f t="shared" si="986"/>
        <v>0.95177505796609474</v>
      </c>
      <c r="CC92" s="19">
        <f t="shared" si="986"/>
        <v>0.90945185666389483</v>
      </c>
      <c r="CD92" s="19">
        <f t="shared" si="986"/>
        <v>0.96625575992974699</v>
      </c>
      <c r="CE92" s="19">
        <f t="shared" si="986"/>
        <v>0.98229008772579807</v>
      </c>
      <c r="CF92" s="19">
        <f t="shared" si="986"/>
        <v>0.99164198967640826</v>
      </c>
      <c r="CG92" s="19">
        <f t="shared" si="986"/>
        <v>0.83064793722213892</v>
      </c>
      <c r="CH92" s="19">
        <f t="shared" si="986"/>
        <v>0.97151335020071716</v>
      </c>
      <c r="CI92" s="19">
        <f t="shared" si="986"/>
        <v>1</v>
      </c>
      <c r="CJ92" s="19">
        <f t="shared" si="986"/>
        <v>0.87833530783223124</v>
      </c>
      <c r="CK92" s="19">
        <f t="shared" si="986"/>
        <v>0.93176943797329137</v>
      </c>
      <c r="CL92" s="19">
        <f t="shared" si="986"/>
        <v>0.99527222250037417</v>
      </c>
      <c r="CM92" s="19">
        <f t="shared" si="986"/>
        <v>0.9767266530956682</v>
      </c>
      <c r="CN92" s="19">
        <f t="shared" si="986"/>
        <v>0.96555584048965992</v>
      </c>
      <c r="CO92" s="19">
        <f t="shared" si="986"/>
        <v>0.98762365754822923</v>
      </c>
      <c r="CP92" s="19">
        <f t="shared" si="986"/>
        <v>0.97254203338254075</v>
      </c>
      <c r="CQ92" s="19">
        <f t="shared" si="986"/>
        <v>0.95661243557697317</v>
      </c>
      <c r="CR92" s="19">
        <f t="shared" si="986"/>
        <v>0.98718029377534555</v>
      </c>
      <c r="CS92" s="19">
        <f t="shared" si="986"/>
        <v>0.95859933392704755</v>
      </c>
      <c r="CT92" s="19">
        <f t="shared" si="986"/>
        <v>0.97086336579087862</v>
      </c>
      <c r="CU92" s="19">
        <f t="shared" si="986"/>
        <v>0.9775549788144916</v>
      </c>
      <c r="CV92" s="19">
        <f t="shared" si="986"/>
        <v>0.97201129509737361</v>
      </c>
      <c r="CW92" s="19">
        <f t="shared" si="986"/>
        <v>0.94952553603427226</v>
      </c>
      <c r="CX92" s="19">
        <f t="shared" si="986"/>
        <v>0.96851793451039947</v>
      </c>
      <c r="CY92" s="19">
        <f t="shared" si="986"/>
        <v>0.9747796891451328</v>
      </c>
      <c r="CZ92" s="19">
        <f t="shared" si="986"/>
        <v>0.9554941870314636</v>
      </c>
      <c r="DA92" s="19">
        <f t="shared" si="986"/>
        <v>0.97207715080932955</v>
      </c>
      <c r="DB92" s="19">
        <f t="shared" si="986"/>
        <v>0.97850540339149217</v>
      </c>
      <c r="DC92" s="19">
        <f t="shared" si="986"/>
        <v>0.96709517341921936</v>
      </c>
      <c r="DD92" s="19">
        <f t="shared" si="986"/>
        <v>0.9754778333989288</v>
      </c>
      <c r="DE92" s="19">
        <f t="shared" si="986"/>
        <v>0.94965116627691248</v>
      </c>
      <c r="DF92" s="19">
        <f t="shared" si="986"/>
        <v>0.95549509847810365</v>
      </c>
      <c r="DG92" s="19">
        <f t="shared" si="986"/>
        <v>0.97808940594507587</v>
      </c>
      <c r="DH92" s="19">
        <f t="shared" si="986"/>
        <v>0.97270655817740936</v>
      </c>
      <c r="DI92" s="19">
        <f t="shared" si="986"/>
        <v>0.95081735911209342</v>
      </c>
      <c r="DJ92" s="19">
        <f t="shared" si="986"/>
        <v>0.96933303886263167</v>
      </c>
      <c r="DK92" s="19">
        <f t="shared" si="986"/>
        <v>0.97548407999778919</v>
      </c>
      <c r="DL92" s="19">
        <f t="shared" ref="DL92:FB92" si="987">IFERROR(SUM(DL32:DL33)/DL29*12+1,"")</f>
        <v>0.95680493191502114</v>
      </c>
      <c r="DM92" s="19">
        <f t="shared" si="987"/>
        <v>0.97292974464001458</v>
      </c>
      <c r="DN92" s="19">
        <f t="shared" si="987"/>
        <v>0.97915480307600089</v>
      </c>
      <c r="DO92" s="19">
        <f t="shared" si="987"/>
        <v>0.96806927562977563</v>
      </c>
      <c r="DP92" s="19">
        <f t="shared" si="987"/>
        <v>0.97617965307061061</v>
      </c>
      <c r="DQ92" s="19">
        <f t="shared" si="987"/>
        <v>0.95094079944188459</v>
      </c>
      <c r="DR92" s="19">
        <f t="shared" si="987"/>
        <v>0.95648931562928241</v>
      </c>
      <c r="DS92" s="19">
        <f t="shared" si="987"/>
        <v>0.97862383307566003</v>
      </c>
      <c r="DT92" s="19">
        <f t="shared" si="987"/>
        <v>0.97335850035592386</v>
      </c>
      <c r="DU92" s="19">
        <f t="shared" si="987"/>
        <v>0.95194039906060313</v>
      </c>
      <c r="DV92" s="19">
        <f t="shared" si="987"/>
        <v>0.96997561755958817</v>
      </c>
      <c r="DW92" s="19">
        <f t="shared" si="987"/>
        <v>0.97597991251314886</v>
      </c>
      <c r="DX92" s="19">
        <f t="shared" si="987"/>
        <v>0.95762132683512857</v>
      </c>
      <c r="DY92" s="19">
        <f t="shared" si="987"/>
        <v>0.97339633384332092</v>
      </c>
      <c r="DZ92" s="19">
        <f t="shared" si="987"/>
        <v>0.97950387090659885</v>
      </c>
      <c r="EA92" s="19">
        <f t="shared" si="987"/>
        <v>0.96857632862058385</v>
      </c>
      <c r="EB92" s="19">
        <f t="shared" si="987"/>
        <v>0.97652466776414493</v>
      </c>
      <c r="EC92" s="19">
        <f t="shared" si="987"/>
        <v>0.95162782865453055</v>
      </c>
      <c r="ED92" s="19">
        <f t="shared" si="987"/>
        <v>0.95704218234259542</v>
      </c>
      <c r="EE92" s="19">
        <f t="shared" si="987"/>
        <v>0.9791582602062443</v>
      </c>
      <c r="EF92" s="19">
        <f t="shared" si="987"/>
        <v>0.97400690503432652</v>
      </c>
      <c r="EG92" s="19">
        <f t="shared" si="987"/>
        <v>0.9530440626772112</v>
      </c>
      <c r="EH92" s="19">
        <f t="shared" si="987"/>
        <v>0.97059115711474087</v>
      </c>
      <c r="EI92" s="19">
        <f t="shared" si="987"/>
        <v>0.97644920317252382</v>
      </c>
      <c r="EJ92" s="19">
        <f t="shared" si="987"/>
        <v>0.95837561322327636</v>
      </c>
      <c r="EK92" s="19">
        <f t="shared" si="987"/>
        <v>0.97381135641660588</v>
      </c>
      <c r="EL92" s="19">
        <f t="shared" si="987"/>
        <v>0.97981012468909578</v>
      </c>
      <c r="EM92" s="19">
        <f t="shared" si="987"/>
        <v>0.96900979709626467</v>
      </c>
      <c r="EN92" s="19">
        <f t="shared" si="987"/>
        <v>0.97680498208178246</v>
      </c>
      <c r="EO92" s="19">
        <f t="shared" si="987"/>
        <v>0.95217416427304202</v>
      </c>
      <c r="EP92" s="19">
        <f t="shared" si="987"/>
        <v>0.95745257473902412</v>
      </c>
      <c r="EQ92" s="19">
        <f t="shared" si="987"/>
        <v>0.97969268733682846</v>
      </c>
      <c r="ER92" s="19">
        <f t="shared" si="987"/>
        <v>0.97465458302914865</v>
      </c>
      <c r="ES92" s="19">
        <f t="shared" si="987"/>
        <v>0.95414354545509705</v>
      </c>
      <c r="ET92" s="19">
        <f t="shared" si="987"/>
        <v>0.97120022998275535</v>
      </c>
      <c r="EU92" s="19">
        <f t="shared" si="987"/>
        <v>0.97691188498425963</v>
      </c>
      <c r="EV92" s="19">
        <f t="shared" si="987"/>
        <v>0.95911344425900513</v>
      </c>
      <c r="EW92" s="19">
        <f t="shared" si="987"/>
        <v>0.97421165879472993</v>
      </c>
      <c r="EX92" s="19">
        <f t="shared" si="987"/>
        <v>0.9801038842490406</v>
      </c>
      <c r="EY92" s="19">
        <f t="shared" si="987"/>
        <v>0.96942102490726167</v>
      </c>
      <c r="EZ92" s="19">
        <f t="shared" si="987"/>
        <v>0.97706466456299346</v>
      </c>
      <c r="FA92" s="19">
        <f t="shared" si="987"/>
        <v>0.95267480617076605</v>
      </c>
      <c r="FB92" s="19">
        <f t="shared" si="987"/>
        <v>0.95781449144900355</v>
      </c>
    </row>
    <row r="93" spans="3:158" x14ac:dyDescent="0.25">
      <c r="C93" s="289"/>
    </row>
    <row r="94" spans="3:158" x14ac:dyDescent="0.25">
      <c r="C94" s="289" t="s">
        <v>193</v>
      </c>
      <c r="D94" s="19">
        <f t="shared" ref="D94:L94" si="988">SUMIF($AY$2:$FB$2,D$2,$AY94:$FB94)</f>
        <v>1</v>
      </c>
      <c r="E94" s="19">
        <f t="shared" si="988"/>
        <v>1</v>
      </c>
      <c r="F94" s="19">
        <f t="shared" si="988"/>
        <v>0.99999999999999989</v>
      </c>
      <c r="G94" s="19">
        <f t="shared" si="988"/>
        <v>1</v>
      </c>
      <c r="H94" s="19">
        <f t="shared" si="988"/>
        <v>1</v>
      </c>
      <c r="I94" s="67">
        <f t="shared" si="988"/>
        <v>1</v>
      </c>
      <c r="J94" s="67">
        <f t="shared" si="988"/>
        <v>1</v>
      </c>
      <c r="K94" s="67">
        <f t="shared" si="988"/>
        <v>1</v>
      </c>
      <c r="L94" s="67">
        <f t="shared" si="988"/>
        <v>1</v>
      </c>
      <c r="M94" s="61"/>
      <c r="N94" s="67">
        <f>SUM(AY94:BA94)</f>
        <v>0.17269832686866399</v>
      </c>
      <c r="O94" s="67">
        <f>SUM(BB94:BD94)</f>
        <v>0.18975193187368342</v>
      </c>
      <c r="P94" s="67">
        <f>SUM(BE94:BG94)</f>
        <v>0.18025026816765666</v>
      </c>
      <c r="Q94" s="67">
        <f>SUM(BH94:BJ94)</f>
        <v>0.4572994730899958</v>
      </c>
      <c r="R94" s="67">
        <f>SUM(BK94:BM94)</f>
        <v>0.24476567936842944</v>
      </c>
      <c r="S94" s="67">
        <f>SUM(BN94:BP94)</f>
        <v>0.25256257450117625</v>
      </c>
      <c r="T94" s="67">
        <f>SUM(BQ94:BS94)</f>
        <v>0.19524689302434012</v>
      </c>
      <c r="U94" s="67">
        <f>SUM(BT94:BV94)</f>
        <v>0.30742485310605416</v>
      </c>
      <c r="V94" s="67">
        <f>SUM(BW94:BY94)</f>
        <v>0.19981259540268881</v>
      </c>
      <c r="W94" s="67">
        <f>SUM(BZ94:CB94)</f>
        <v>0.25296563288679946</v>
      </c>
      <c r="X94" s="67">
        <f>SUM(CC94:CE94)</f>
        <v>0.26174484866043846</v>
      </c>
      <c r="Y94" s="67">
        <f>SUM(CF94:CH94)</f>
        <v>0.28547692305007322</v>
      </c>
      <c r="Z94" s="67">
        <f>SUM(CI94:CK94)</f>
        <v>0.26066611646358984</v>
      </c>
      <c r="AA94" s="67">
        <f>SUM(CL94:CN94)</f>
        <v>0.21418931353482024</v>
      </c>
      <c r="AB94" s="67">
        <f>SUM(CO94:CQ94)</f>
        <v>0.22506195857210998</v>
      </c>
      <c r="AC94" s="67">
        <f>SUM(CR94:CT94)</f>
        <v>0.30008261142947995</v>
      </c>
      <c r="AD94" s="67">
        <f>SUM(CU94:CW94)</f>
        <v>0.20575886721326075</v>
      </c>
      <c r="AE94" s="67">
        <f>SUM(CX94:CZ94)</f>
        <v>0.23176004642055303</v>
      </c>
      <c r="AF94" s="67">
        <f>SUM(DA94:DC94)</f>
        <v>0.21241400328414506</v>
      </c>
      <c r="AG94" s="67">
        <f>SUM(DD94:DF94)</f>
        <v>0.35006708308204104</v>
      </c>
      <c r="AH94" s="67">
        <f>SUM(DG94:DI94)</f>
        <v>0.20575886721326075</v>
      </c>
      <c r="AI94" s="67">
        <f>SUM(DJ94:DL94)</f>
        <v>0.23176004642055303</v>
      </c>
      <c r="AJ94" s="67">
        <f>SUM(DM94:DO94)</f>
        <v>0.21241400328414506</v>
      </c>
      <c r="AK94" s="67">
        <f>SUM(DP94:DR94)</f>
        <v>0.35006708308204104</v>
      </c>
      <c r="AL94" s="67">
        <f>SUM(DS94:DU94)</f>
        <v>0.20575886721326075</v>
      </c>
      <c r="AM94" s="67">
        <f>SUM(DV94:DX94)</f>
        <v>0.23176004642055303</v>
      </c>
      <c r="AN94" s="67">
        <f>SUM(DY94:EA94)</f>
        <v>0.21241400328414506</v>
      </c>
      <c r="AO94" s="67">
        <f>SUM(EB94:ED94)</f>
        <v>0.35006708308204104</v>
      </c>
      <c r="AP94" s="67">
        <f>SUM(EE94:EG94)</f>
        <v>0.20575886721326075</v>
      </c>
      <c r="AQ94" s="67">
        <f>SUM(EH94:EJ94)</f>
        <v>0.23176004642055303</v>
      </c>
      <c r="AR94" s="67">
        <f>SUM(EK94:EM94)</f>
        <v>0.21241400328414506</v>
      </c>
      <c r="AS94" s="67">
        <f>SUM(EN94:EP94)</f>
        <v>0.35006708308204104</v>
      </c>
      <c r="AT94" s="67">
        <f>SUM(EQ94:ES94)</f>
        <v>0.20575886721326075</v>
      </c>
      <c r="AU94" s="67">
        <f>SUM(ET94:EV94)</f>
        <v>0.23176004642055303</v>
      </c>
      <c r="AV94" s="67">
        <f>SUM(EW94:EY94)</f>
        <v>0.21241400328414506</v>
      </c>
      <c r="AW94" s="67">
        <f>SUM(EZ94:FB94)</f>
        <v>0.35006708308204104</v>
      </c>
      <c r="AX94" s="61"/>
      <c r="AY94" s="19">
        <f>SUM(AY43:AY44)/(SUMIF($AY$2:$CT$2,AY$2,$AY$44:$DR$44)+SUMIF($AY$2:$CT$2,AY$2,$AY$43:$DR$43))</f>
        <v>4.2614751918632024E-2</v>
      </c>
      <c r="AZ94" s="19">
        <f t="shared" ref="AZ94:CT94" si="989">SUM(AZ43:AZ44)/(SUMIF($AY$2:$CT$2,AZ$2,$AY$44:$DR$44)+SUMIF($AY$2:$CT$2,AZ$2,$AY$43:$DR$43))</f>
        <v>5.3759069134395404E-2</v>
      </c>
      <c r="BA94" s="19">
        <f t="shared" si="989"/>
        <v>7.6324505815636573E-2</v>
      </c>
      <c r="BB94" s="19">
        <f t="shared" si="989"/>
        <v>3.7833309478858469E-2</v>
      </c>
      <c r="BC94" s="19">
        <f t="shared" si="989"/>
        <v>1.3138476564476306E-2</v>
      </c>
      <c r="BD94" s="19">
        <f t="shared" si="989"/>
        <v>0.13878014583034864</v>
      </c>
      <c r="BE94" s="19">
        <f t="shared" si="989"/>
        <v>4.282042754652618E-2</v>
      </c>
      <c r="BF94" s="19">
        <f t="shared" si="989"/>
        <v>4.1584310144098746E-2</v>
      </c>
      <c r="BG94" s="19">
        <f t="shared" si="989"/>
        <v>9.5845530477031732E-2</v>
      </c>
      <c r="BH94" s="19">
        <f t="shared" si="989"/>
        <v>7.4634801426475342E-2</v>
      </c>
      <c r="BI94" s="19">
        <f t="shared" si="989"/>
        <v>0.21107340933925972</v>
      </c>
      <c r="BJ94" s="19">
        <f t="shared" si="989"/>
        <v>0.17159126232426075</v>
      </c>
      <c r="BK94" s="19">
        <f t="shared" si="989"/>
        <v>3.7350772015022148E-2</v>
      </c>
      <c r="BL94" s="19">
        <f t="shared" si="989"/>
        <v>6.0024196267122187E-2</v>
      </c>
      <c r="BM94" s="19">
        <f t="shared" si="989"/>
        <v>0.1473907110862851</v>
      </c>
      <c r="BN94" s="19">
        <f t="shared" si="989"/>
        <v>7.6394619701182276E-2</v>
      </c>
      <c r="BO94" s="19">
        <f t="shared" si="989"/>
        <v>6.4216356101768748E-2</v>
      </c>
      <c r="BP94" s="19">
        <f t="shared" si="989"/>
        <v>0.11195159869822521</v>
      </c>
      <c r="BQ94" s="19">
        <f t="shared" si="989"/>
        <v>4.0228898231536199E-2</v>
      </c>
      <c r="BR94" s="19">
        <f t="shared" si="989"/>
        <v>6.383738574585765E-2</v>
      </c>
      <c r="BS94" s="19">
        <f t="shared" si="989"/>
        <v>9.1180609046946262E-2</v>
      </c>
      <c r="BT94" s="19">
        <f t="shared" si="989"/>
        <v>7.9188757892872788E-2</v>
      </c>
      <c r="BU94" s="19">
        <f t="shared" si="989"/>
        <v>8.1435509253996896E-2</v>
      </c>
      <c r="BV94" s="19">
        <f t="shared" si="989"/>
        <v>0.14680058595918449</v>
      </c>
      <c r="BW94" s="19">
        <f t="shared" si="989"/>
        <v>5.3641258712397055E-2</v>
      </c>
      <c r="BX94" s="19">
        <f t="shared" si="989"/>
        <v>5.5199823894007377E-2</v>
      </c>
      <c r="BY94" s="19">
        <f t="shared" si="989"/>
        <v>9.0971512796284362E-2</v>
      </c>
      <c r="BZ94" s="19">
        <f t="shared" si="989"/>
        <v>9.4429845229191747E-2</v>
      </c>
      <c r="CA94" s="19">
        <f t="shared" si="989"/>
        <v>9.3592639987323076E-2</v>
      </c>
      <c r="CB94" s="19">
        <f t="shared" si="989"/>
        <v>6.4943147670284654E-2</v>
      </c>
      <c r="CC94" s="19">
        <f t="shared" si="989"/>
        <v>0.12739668481600097</v>
      </c>
      <c r="CD94" s="19">
        <f t="shared" si="989"/>
        <v>5.9661387882112997E-2</v>
      </c>
      <c r="CE94" s="19">
        <f t="shared" si="989"/>
        <v>7.4686775962324495E-2</v>
      </c>
      <c r="CF94" s="19">
        <f t="shared" si="989"/>
        <v>5.3063798436497431E-2</v>
      </c>
      <c r="CG94" s="19">
        <f t="shared" si="989"/>
        <v>0.1423199132466629</v>
      </c>
      <c r="CH94" s="19">
        <f t="shared" si="989"/>
        <v>9.0093211366912881E-2</v>
      </c>
      <c r="CI94" s="19">
        <f t="shared" si="989"/>
        <v>6.2611176524001069E-2</v>
      </c>
      <c r="CJ94" s="19">
        <f t="shared" si="989"/>
        <v>8.3888268955568709E-2</v>
      </c>
      <c r="CK94" s="19">
        <f t="shared" si="989"/>
        <v>0.11416667098402009</v>
      </c>
      <c r="CL94" s="19">
        <f t="shared" si="989"/>
        <v>7.3506361057315409E-2</v>
      </c>
      <c r="CM94" s="19">
        <f t="shared" si="989"/>
        <v>7.1459673346997016E-2</v>
      </c>
      <c r="CN94" s="19">
        <f t="shared" si="989"/>
        <v>6.9223279130507798E-2</v>
      </c>
      <c r="CO94" s="19">
        <f>SUM(CO43:CO44)/(SUMIF($AY$2:$CT$2,CO$2,$AY$44:$DR$44)+SUMIF($AY$2:$CT$2,CO$2,$AY$43:$DR$43))</f>
        <v>3.6811160887677143E-2</v>
      </c>
      <c r="CP94" s="19">
        <f t="shared" si="989"/>
        <v>6.540037149753973E-2</v>
      </c>
      <c r="CQ94" s="19">
        <f t="shared" si="989"/>
        <v>0.12285042618689308</v>
      </c>
      <c r="CR94" s="19">
        <f t="shared" si="989"/>
        <v>4.3000936413781277E-2</v>
      </c>
      <c r="CS94" s="19">
        <f t="shared" si="989"/>
        <v>0.11755439042221764</v>
      </c>
      <c r="CT94" s="19">
        <f t="shared" si="989"/>
        <v>0.13952728459348102</v>
      </c>
      <c r="CU94" s="97">
        <f>AVERAGE(AY94,BK94,BW94)</f>
        <v>4.4535594215350409E-2</v>
      </c>
      <c r="CV94" s="97">
        <f t="shared" ref="CV94:DF94" si="990">AVERAGE(AZ94,BL94,BX94)</f>
        <v>5.6327696431841656E-2</v>
      </c>
      <c r="CW94" s="97">
        <f t="shared" si="990"/>
        <v>0.10489557656606868</v>
      </c>
      <c r="CX94" s="97">
        <f t="shared" si="990"/>
        <v>6.9552591469744171E-2</v>
      </c>
      <c r="CY94" s="97">
        <f t="shared" si="990"/>
        <v>5.6982490884522709E-2</v>
      </c>
      <c r="CZ94" s="97">
        <f t="shared" si="990"/>
        <v>0.10522496406628616</v>
      </c>
      <c r="DA94" s="97">
        <f t="shared" si="990"/>
        <v>7.014867019802111E-2</v>
      </c>
      <c r="DB94" s="97">
        <f t="shared" si="990"/>
        <v>5.5027694590689798E-2</v>
      </c>
      <c r="DC94" s="97">
        <f t="shared" si="990"/>
        <v>8.7237638495434158E-2</v>
      </c>
      <c r="DD94" s="97">
        <f t="shared" si="990"/>
        <v>6.8962452585281844E-2</v>
      </c>
      <c r="DE94" s="97">
        <f t="shared" si="990"/>
        <v>0.14494294394663984</v>
      </c>
      <c r="DF94" s="97">
        <f t="shared" si="990"/>
        <v>0.13616168655011937</v>
      </c>
      <c r="DG94" s="97">
        <f>AVERAGE(AY94,BK94,BW94)</f>
        <v>4.4535594215350409E-2</v>
      </c>
      <c r="DH94" s="97">
        <f t="shared" ref="DH94:DR94" si="991">AVERAGE(AZ94,BL94,BX94)</f>
        <v>5.6327696431841656E-2</v>
      </c>
      <c r="DI94" s="97">
        <f t="shared" si="991"/>
        <v>0.10489557656606868</v>
      </c>
      <c r="DJ94" s="97">
        <f t="shared" si="991"/>
        <v>6.9552591469744171E-2</v>
      </c>
      <c r="DK94" s="97">
        <f t="shared" si="991"/>
        <v>5.6982490884522709E-2</v>
      </c>
      <c r="DL94" s="97">
        <f t="shared" si="991"/>
        <v>0.10522496406628616</v>
      </c>
      <c r="DM94" s="97">
        <f t="shared" si="991"/>
        <v>7.014867019802111E-2</v>
      </c>
      <c r="DN94" s="97">
        <f t="shared" si="991"/>
        <v>5.5027694590689798E-2</v>
      </c>
      <c r="DO94" s="97">
        <f t="shared" si="991"/>
        <v>8.7237638495434158E-2</v>
      </c>
      <c r="DP94" s="97">
        <f t="shared" si="991"/>
        <v>6.8962452585281844E-2</v>
      </c>
      <c r="DQ94" s="97">
        <f t="shared" si="991"/>
        <v>0.14494294394663984</v>
      </c>
      <c r="DR94" s="97">
        <f t="shared" si="991"/>
        <v>0.13616168655011937</v>
      </c>
      <c r="DS94" s="97">
        <f>DG94</f>
        <v>4.4535594215350409E-2</v>
      </c>
      <c r="DT94" s="97">
        <f t="shared" ref="DT94:FB94" si="992">DH94</f>
        <v>5.6327696431841656E-2</v>
      </c>
      <c r="DU94" s="97">
        <f t="shared" si="992"/>
        <v>0.10489557656606868</v>
      </c>
      <c r="DV94" s="97">
        <f t="shared" si="992"/>
        <v>6.9552591469744171E-2</v>
      </c>
      <c r="DW94" s="97">
        <f t="shared" si="992"/>
        <v>5.6982490884522709E-2</v>
      </c>
      <c r="DX94" s="97">
        <f t="shared" si="992"/>
        <v>0.10522496406628616</v>
      </c>
      <c r="DY94" s="97">
        <f t="shared" si="992"/>
        <v>7.014867019802111E-2</v>
      </c>
      <c r="DZ94" s="97">
        <f t="shared" si="992"/>
        <v>5.5027694590689798E-2</v>
      </c>
      <c r="EA94" s="97">
        <f t="shared" si="992"/>
        <v>8.7237638495434158E-2</v>
      </c>
      <c r="EB94" s="97">
        <f t="shared" si="992"/>
        <v>6.8962452585281844E-2</v>
      </c>
      <c r="EC94" s="97">
        <f t="shared" si="992"/>
        <v>0.14494294394663984</v>
      </c>
      <c r="ED94" s="97">
        <f t="shared" si="992"/>
        <v>0.13616168655011937</v>
      </c>
      <c r="EE94" s="97">
        <f t="shared" si="992"/>
        <v>4.4535594215350409E-2</v>
      </c>
      <c r="EF94" s="97">
        <f t="shared" si="992"/>
        <v>5.6327696431841656E-2</v>
      </c>
      <c r="EG94" s="97">
        <f t="shared" si="992"/>
        <v>0.10489557656606868</v>
      </c>
      <c r="EH94" s="97">
        <f t="shared" si="992"/>
        <v>6.9552591469744171E-2</v>
      </c>
      <c r="EI94" s="97">
        <f t="shared" si="992"/>
        <v>5.6982490884522709E-2</v>
      </c>
      <c r="EJ94" s="97">
        <f t="shared" si="992"/>
        <v>0.10522496406628616</v>
      </c>
      <c r="EK94" s="97">
        <f t="shared" si="992"/>
        <v>7.014867019802111E-2</v>
      </c>
      <c r="EL94" s="97">
        <f t="shared" si="992"/>
        <v>5.5027694590689798E-2</v>
      </c>
      <c r="EM94" s="97">
        <f t="shared" si="992"/>
        <v>8.7237638495434158E-2</v>
      </c>
      <c r="EN94" s="97">
        <f t="shared" si="992"/>
        <v>6.8962452585281844E-2</v>
      </c>
      <c r="EO94" s="97">
        <f t="shared" si="992"/>
        <v>0.14494294394663984</v>
      </c>
      <c r="EP94" s="97">
        <f t="shared" si="992"/>
        <v>0.13616168655011937</v>
      </c>
      <c r="EQ94" s="97">
        <f t="shared" si="992"/>
        <v>4.4535594215350409E-2</v>
      </c>
      <c r="ER94" s="97">
        <f t="shared" si="992"/>
        <v>5.6327696431841656E-2</v>
      </c>
      <c r="ES94" s="97">
        <f t="shared" si="992"/>
        <v>0.10489557656606868</v>
      </c>
      <c r="ET94" s="97">
        <f t="shared" si="992"/>
        <v>6.9552591469744171E-2</v>
      </c>
      <c r="EU94" s="97">
        <f t="shared" si="992"/>
        <v>5.6982490884522709E-2</v>
      </c>
      <c r="EV94" s="97">
        <f t="shared" si="992"/>
        <v>0.10522496406628616</v>
      </c>
      <c r="EW94" s="97">
        <f t="shared" si="992"/>
        <v>7.014867019802111E-2</v>
      </c>
      <c r="EX94" s="97">
        <f t="shared" si="992"/>
        <v>5.5027694590689798E-2</v>
      </c>
      <c r="EY94" s="97">
        <f t="shared" si="992"/>
        <v>8.7237638495434158E-2</v>
      </c>
      <c r="EZ94" s="97">
        <f t="shared" si="992"/>
        <v>6.8962452585281844E-2</v>
      </c>
      <c r="FA94" s="97">
        <f t="shared" si="992"/>
        <v>0.14494294394663984</v>
      </c>
      <c r="FB94" s="97">
        <f t="shared" si="992"/>
        <v>0.13616168655011937</v>
      </c>
    </row>
    <row r="95" spans="3:158" x14ac:dyDescent="0.25">
      <c r="C95" s="2"/>
      <c r="D95" s="19"/>
      <c r="E95" s="19"/>
      <c r="F95" s="19"/>
      <c r="G95" s="19"/>
      <c r="H95" s="19"/>
      <c r="I95" s="67"/>
      <c r="J95" s="67"/>
      <c r="K95" s="67"/>
      <c r="L95" s="67"/>
      <c r="M95" s="61"/>
      <c r="N95" s="67"/>
      <c r="O95" s="67"/>
      <c r="P95" s="67"/>
      <c r="Q95" s="67"/>
      <c r="R95" s="67"/>
      <c r="S95" s="67"/>
      <c r="T95" s="67"/>
      <c r="U95" s="67"/>
      <c r="V95" s="67"/>
      <c r="W95" s="67"/>
      <c r="X95" s="67"/>
      <c r="Y95" s="67"/>
      <c r="Z95" s="67"/>
      <c r="AA95" s="67"/>
      <c r="AB95" s="67"/>
      <c r="AC95" s="67"/>
      <c r="AD95" s="67"/>
      <c r="AE95" s="67"/>
      <c r="AF95" s="67"/>
      <c r="AG95" s="67"/>
      <c r="AH95" s="67"/>
      <c r="AI95" s="67"/>
      <c r="AJ95" s="67"/>
      <c r="AK95" s="67"/>
      <c r="AL95" s="67"/>
      <c r="AM95" s="67"/>
      <c r="AN95" s="67"/>
      <c r="AO95" s="67"/>
      <c r="AP95" s="67"/>
      <c r="AQ95" s="67"/>
      <c r="AR95" s="67"/>
      <c r="AS95" s="67"/>
      <c r="AT95" s="67"/>
      <c r="AU95" s="67"/>
      <c r="AV95" s="67"/>
      <c r="AW95" s="67"/>
      <c r="AX95" s="61"/>
      <c r="AY95" s="19"/>
      <c r="AZ95" s="19"/>
      <c r="BA95" s="19"/>
      <c r="BB95" s="19"/>
      <c r="BC95" s="19"/>
      <c r="BD95" s="19"/>
      <c r="BE95" s="19"/>
      <c r="BF95" s="19"/>
      <c r="BG95" s="19"/>
      <c r="BH95" s="19"/>
      <c r="BI95" s="19"/>
      <c r="BJ95" s="19"/>
      <c r="BK95" s="19"/>
      <c r="BL95" s="19"/>
      <c r="BM95" s="19"/>
      <c r="BN95" s="19"/>
      <c r="BO95" s="19"/>
      <c r="BP95" s="19"/>
      <c r="BQ95" s="19"/>
      <c r="BR95" s="19"/>
      <c r="BS95" s="19"/>
      <c r="BT95" s="19"/>
      <c r="BU95" s="19"/>
      <c r="BV95" s="19"/>
      <c r="BW95" s="19"/>
      <c r="BX95" s="19"/>
      <c r="BY95" s="19"/>
      <c r="BZ95" s="19"/>
      <c r="CA95" s="19"/>
      <c r="CB95" s="19"/>
      <c r="CC95" s="19"/>
      <c r="CD95" s="19"/>
      <c r="CE95" s="19"/>
      <c r="CF95" s="19"/>
      <c r="CG95" s="19"/>
      <c r="CH95" s="19"/>
      <c r="CI95" s="19"/>
      <c r="CJ95" s="19"/>
      <c r="CK95" s="19"/>
      <c r="CL95" s="19"/>
      <c r="CM95" s="19"/>
      <c r="CN95" s="19"/>
      <c r="CO95" s="19"/>
      <c r="CP95" s="19"/>
      <c r="CQ95" s="19"/>
      <c r="CR95" s="19"/>
      <c r="CS95" s="19"/>
      <c r="CT95" s="19"/>
      <c r="CU95" s="97"/>
      <c r="CV95" s="97"/>
      <c r="CW95" s="97"/>
      <c r="CX95" s="97"/>
      <c r="CY95" s="97"/>
      <c r="CZ95" s="97"/>
      <c r="DA95" s="97"/>
      <c r="DB95" s="97"/>
      <c r="DC95" s="97"/>
      <c r="DD95" s="97"/>
      <c r="DE95" s="97"/>
      <c r="DF95" s="97"/>
      <c r="DG95" s="97"/>
      <c r="DH95" s="97"/>
      <c r="DI95" s="97"/>
      <c r="DJ95" s="97"/>
      <c r="DK95" s="97"/>
      <c r="DL95" s="97"/>
      <c r="DM95" s="97"/>
      <c r="DN95" s="97"/>
      <c r="DO95" s="97"/>
      <c r="DP95" s="97"/>
      <c r="DQ95" s="97"/>
      <c r="DR95" s="97"/>
      <c r="DS95" s="97"/>
      <c r="DT95" s="97"/>
      <c r="DU95" s="97"/>
      <c r="DV95" s="97"/>
      <c r="DW95" s="97"/>
      <c r="DX95" s="97"/>
      <c r="DY95" s="97"/>
      <c r="DZ95" s="97"/>
      <c r="EA95" s="97"/>
      <c r="EB95" s="97"/>
      <c r="EC95" s="97"/>
      <c r="ED95" s="97"/>
      <c r="EE95" s="97"/>
      <c r="EF95" s="97"/>
      <c r="EG95" s="97"/>
      <c r="EH95" s="97"/>
      <c r="EI95" s="97"/>
      <c r="EJ95" s="97"/>
      <c r="EK95" s="97"/>
      <c r="EL95" s="97"/>
      <c r="EM95" s="97"/>
      <c r="EN95" s="97"/>
      <c r="EO95" s="97"/>
      <c r="EP95" s="97"/>
      <c r="EQ95" s="97"/>
      <c r="ER95" s="97"/>
      <c r="ES95" s="97"/>
      <c r="ET95" s="97"/>
      <c r="EU95" s="97"/>
      <c r="EV95" s="97"/>
      <c r="EW95" s="97"/>
      <c r="EX95" s="97"/>
      <c r="EY95" s="97"/>
      <c r="EZ95" s="97"/>
      <c r="FA95" s="97"/>
      <c r="FB95" s="97"/>
    </row>
    <row r="96" spans="3:158" x14ac:dyDescent="0.25">
      <c r="C96" s="1" t="s">
        <v>607</v>
      </c>
    </row>
    <row r="97" spans="3:158" x14ac:dyDescent="0.25">
      <c r="C97" s="258" t="s">
        <v>583</v>
      </c>
      <c r="D97" s="20">
        <f t="shared" ref="D97:L98" si="993">SUMIF($AY$2:$FB$2,D$2,$AY97:$FB97)</f>
        <v>-94675.41</v>
      </c>
      <c r="E97" s="20">
        <f t="shared" si="993"/>
        <v>-188897.5</v>
      </c>
      <c r="F97" s="20">
        <f t="shared" si="993"/>
        <v>-510444.66230800003</v>
      </c>
      <c r="G97" s="20">
        <f t="shared" si="993"/>
        <v>-650085.40134785243</v>
      </c>
      <c r="H97" s="20">
        <f t="shared" si="993"/>
        <v>-1052948.2956437089</v>
      </c>
      <c r="I97" s="20">
        <f t="shared" si="993"/>
        <v>-1683811.4317105005</v>
      </c>
      <c r="J97" s="20">
        <f t="shared" si="993"/>
        <v>-2377736.6491556466</v>
      </c>
      <c r="K97" s="20">
        <f t="shared" si="993"/>
        <v>-3288485.2070787</v>
      </c>
      <c r="L97" s="20">
        <f t="shared" si="993"/>
        <v>-4451540.0587274004</v>
      </c>
      <c r="N97" s="20">
        <f t="shared" ref="N97:N98" si="994">SUM(AY97:BA97)</f>
        <v>-22049.4</v>
      </c>
      <c r="O97" s="20">
        <f t="shared" ref="O97:O98" si="995">SUM(BB97:BD97)</f>
        <v>-11000</v>
      </c>
      <c r="P97" s="20">
        <f t="shared" ref="P97:P98" si="996">SUM(BE97:BG97)</f>
        <v>-12626</v>
      </c>
      <c r="Q97" s="20">
        <f t="shared" ref="Q97:Q98" si="997">SUM(BH97:BJ97)</f>
        <v>-49000.01</v>
      </c>
      <c r="R97" s="20">
        <f t="shared" ref="R97:R98" si="998">SUM(BK97:BM97)</f>
        <v>-68050.5</v>
      </c>
      <c r="S97" s="20">
        <f t="shared" ref="S97:S98" si="999">SUM(BN97:BP97)</f>
        <v>-34819</v>
      </c>
      <c r="T97" s="20">
        <f t="shared" ref="T97:T98" si="1000">SUM(BQ97:BS97)</f>
        <v>-39635</v>
      </c>
      <c r="U97" s="20">
        <f t="shared" ref="U97:U98" si="1001">SUM(BT97:BV97)</f>
        <v>-46393</v>
      </c>
      <c r="V97" s="20">
        <f t="shared" ref="V97:V98" si="1002">SUM(BW97:BY97)</f>
        <v>-102463.13</v>
      </c>
      <c r="W97" s="20">
        <f t="shared" ref="W97:W98" si="1003">SUM(BZ97:CB97)</f>
        <v>-92597.39230800001</v>
      </c>
      <c r="X97" s="20">
        <f t="shared" ref="X97:X98" si="1004">SUM(CC97:CE97)</f>
        <v>-67657.820000000007</v>
      </c>
      <c r="Y97" s="20">
        <f t="shared" ref="Y97:Y98" si="1005">SUM(CF97:CH97)</f>
        <v>-247726.31999999998</v>
      </c>
      <c r="Z97" s="20">
        <f t="shared" ref="Z97:Z98" si="1006">SUM(CI97:CK97)</f>
        <v>-186557.249412</v>
      </c>
      <c r="AA97" s="20">
        <f t="shared" ref="AA97:AA98" si="1007">SUM(CL97:CN97)</f>
        <v>-107671.763766</v>
      </c>
      <c r="AB97" s="20">
        <f t="shared" ref="AB97:AB98" si="1008">SUM(CO97:CQ97)</f>
        <v>-150574.51859129546</v>
      </c>
      <c r="AC97" s="20">
        <f t="shared" ref="AC97:AC98" si="1009">SUM(CR97:CT97)</f>
        <v>-205281.86957855683</v>
      </c>
      <c r="AD97" s="20">
        <f t="shared" ref="AD97:AD98" si="1010">SUM(CU97:CW97)</f>
        <v>-216653.44854578315</v>
      </c>
      <c r="AE97" s="20">
        <f t="shared" ref="AE97:AE98" si="1011">SUM(CX97:CZ97)</f>
        <v>-244031.34587682824</v>
      </c>
      <c r="AF97" s="20">
        <f t="shared" ref="AF97:AF98" si="1012">SUM(DA97:DC97)</f>
        <v>-223660.96272889775</v>
      </c>
      <c r="AG97" s="20">
        <f t="shared" ref="AG97:AG98" si="1013">SUM(DD97:DF97)</f>
        <v>-368602.53849219985</v>
      </c>
      <c r="AH97" s="20">
        <f t="shared" ref="AH97:AH98" si="1014">SUM(DG97:DI97)</f>
        <v>-346459.13278949133</v>
      </c>
      <c r="AI97" s="20">
        <f t="shared" ref="AI97:AI98" si="1015">SUM(DJ97:DL97)</f>
        <v>-390240.21557668352</v>
      </c>
      <c r="AJ97" s="20">
        <f t="shared" ref="AJ97:AJ98" si="1016">SUM(DM97:DO97)</f>
        <v>-357665.12698523526</v>
      </c>
      <c r="AK97" s="20">
        <f t="shared" ref="AK97:AK98" si="1017">SUM(DP97:DR97)</f>
        <v>-589446.95635909028</v>
      </c>
      <c r="AL97" s="20">
        <f t="shared" ref="AL97:AL98" si="1018">SUM(DS97:DU97)</f>
        <v>-489240.3994617202</v>
      </c>
      <c r="AM97" s="20">
        <f t="shared" ref="AM97:AM98" si="1019">SUM(DV97:DX97)</f>
        <v>-551064.3561841629</v>
      </c>
      <c r="AN97" s="20">
        <f t="shared" ref="AN97:AN98" si="1020">SUM(DY97:EA97)</f>
        <v>-505064.56040257961</v>
      </c>
      <c r="AO97" s="20">
        <f t="shared" ref="AO97:AO98" si="1021">SUM(EB97:ED97)</f>
        <v>-832367.33310718357</v>
      </c>
      <c r="AP97" s="20">
        <f t="shared" ref="AP97:AP98" si="1022">SUM(EE97:EG97)</f>
        <v>-676634.99105607858</v>
      </c>
      <c r="AQ97" s="20">
        <f t="shared" ref="AQ97:AQ98" si="1023">SUM(EH97:EJ97)</f>
        <v>-762139.48424586165</v>
      </c>
      <c r="AR97" s="20">
        <f t="shared" ref="AR97:AR98" si="1024">SUM(EK97:EM97)</f>
        <v>-698520.30757627753</v>
      </c>
      <c r="AS97" s="20">
        <f t="shared" ref="AS97:AS98" si="1025">SUM(EN97:EP97)</f>
        <v>-1151190.4242004824</v>
      </c>
      <c r="AT97" s="20">
        <f t="shared" ref="AT97:AT98" si="1026">SUM(EQ97:ES97)</f>
        <v>-915943.83983820211</v>
      </c>
      <c r="AU97" s="20">
        <f t="shared" ref="AU97:AU98" si="1027">SUM(ET97:EV97)</f>
        <v>-1031689.1306536137</v>
      </c>
      <c r="AV97" s="20">
        <f t="shared" ref="AV97:AV98" si="1028">SUM(EW97:EY97)</f>
        <v>-945569.44465402537</v>
      </c>
      <c r="AW97" s="20">
        <f t="shared" ref="AW97:AW98" si="1029">SUM(EZ97:FB97)</f>
        <v>-1558337.643581559</v>
      </c>
      <c r="AY97" s="20">
        <f t="shared" ref="AY97" si="1030">AY10</f>
        <v>0</v>
      </c>
      <c r="AZ97" s="20">
        <f t="shared" ref="AZ97:CT97" si="1031">AZ10</f>
        <v>-1050</v>
      </c>
      <c r="BA97" s="20">
        <f t="shared" si="1031"/>
        <v>-20999.4</v>
      </c>
      <c r="BB97" s="20">
        <f t="shared" si="1031"/>
        <v>-6000</v>
      </c>
      <c r="BC97" s="20">
        <f t="shared" si="1031"/>
        <v>-3500</v>
      </c>
      <c r="BD97" s="20">
        <f t="shared" si="1031"/>
        <v>-1500</v>
      </c>
      <c r="BE97" s="20">
        <f t="shared" si="1031"/>
        <v>0</v>
      </c>
      <c r="BF97" s="20">
        <f t="shared" si="1031"/>
        <v>-1</v>
      </c>
      <c r="BG97" s="20">
        <f t="shared" si="1031"/>
        <v>-12625</v>
      </c>
      <c r="BH97" s="20">
        <f t="shared" si="1031"/>
        <v>0</v>
      </c>
      <c r="BI97" s="20">
        <f t="shared" si="1031"/>
        <v>0</v>
      </c>
      <c r="BJ97" s="20">
        <f t="shared" si="1031"/>
        <v>-49000.01</v>
      </c>
      <c r="BK97" s="20">
        <f t="shared" si="1031"/>
        <v>-16400</v>
      </c>
      <c r="BL97" s="20">
        <f t="shared" si="1031"/>
        <v>-0.5</v>
      </c>
      <c r="BM97" s="20">
        <f t="shared" si="1031"/>
        <v>-51650</v>
      </c>
      <c r="BN97" s="20">
        <f t="shared" si="1031"/>
        <v>-24519</v>
      </c>
      <c r="BO97" s="20">
        <f t="shared" si="1031"/>
        <v>0</v>
      </c>
      <c r="BP97" s="20">
        <f t="shared" si="1031"/>
        <v>-10300</v>
      </c>
      <c r="BQ97" s="20">
        <f t="shared" si="1031"/>
        <v>-6920</v>
      </c>
      <c r="BR97" s="20">
        <f t="shared" si="1031"/>
        <v>-4500</v>
      </c>
      <c r="BS97" s="20">
        <f t="shared" si="1031"/>
        <v>-28215</v>
      </c>
      <c r="BT97" s="20">
        <f t="shared" si="1031"/>
        <v>0</v>
      </c>
      <c r="BU97" s="20">
        <f t="shared" si="1031"/>
        <v>-6500</v>
      </c>
      <c r="BV97" s="20">
        <f t="shared" si="1031"/>
        <v>-39893</v>
      </c>
      <c r="BW97" s="20">
        <f t="shared" si="1031"/>
        <v>-21677</v>
      </c>
      <c r="BX97" s="20">
        <f t="shared" si="1031"/>
        <v>-34500</v>
      </c>
      <c r="BY97" s="20">
        <f t="shared" si="1031"/>
        <v>-46286.13</v>
      </c>
      <c r="BZ97" s="20">
        <f t="shared" si="1031"/>
        <v>-42533.837692000001</v>
      </c>
      <c r="CA97" s="20">
        <f t="shared" si="1031"/>
        <v>-49563.554616000001</v>
      </c>
      <c r="CB97" s="20">
        <f t="shared" si="1031"/>
        <v>-500</v>
      </c>
      <c r="CC97" s="20">
        <f t="shared" si="1031"/>
        <v>-24383.33</v>
      </c>
      <c r="CD97" s="20">
        <f t="shared" si="1031"/>
        <v>-20190</v>
      </c>
      <c r="CE97" s="20">
        <f t="shared" si="1031"/>
        <v>-23084.49</v>
      </c>
      <c r="CF97" s="20">
        <f t="shared" si="1031"/>
        <v>-36049.99</v>
      </c>
      <c r="CG97" s="20">
        <f t="shared" si="1031"/>
        <v>-155911.32999999999</v>
      </c>
      <c r="CH97" s="20">
        <f t="shared" si="1031"/>
        <v>-55765</v>
      </c>
      <c r="CI97" s="20">
        <f t="shared" si="1031"/>
        <v>-55331.402941</v>
      </c>
      <c r="CJ97" s="20">
        <f t="shared" si="1031"/>
        <v>-44150</v>
      </c>
      <c r="CK97" s="20">
        <f t="shared" si="1031"/>
        <v>-87075.846470999997</v>
      </c>
      <c r="CL97" s="20">
        <f t="shared" si="1031"/>
        <v>-17490.400000000001</v>
      </c>
      <c r="CM97" s="20">
        <f t="shared" si="1031"/>
        <v>-44790.363766000002</v>
      </c>
      <c r="CN97" s="20">
        <f t="shared" si="1031"/>
        <v>-45391</v>
      </c>
      <c r="CO97" s="20">
        <f t="shared" si="1031"/>
        <v>-26696.519825506879</v>
      </c>
      <c r="CP97" s="20">
        <f t="shared" si="1031"/>
        <v>-41849.712731998516</v>
      </c>
      <c r="CQ97" s="20">
        <f t="shared" si="1031"/>
        <v>-82028.286033790078</v>
      </c>
      <c r="CR97" s="20">
        <f t="shared" si="1031"/>
        <v>-36567.587490119142</v>
      </c>
      <c r="CS97" s="20">
        <f t="shared" si="1031"/>
        <v>-70554.338046361823</v>
      </c>
      <c r="CT97" s="20">
        <f t="shared" si="1031"/>
        <v>-98159.944042075862</v>
      </c>
      <c r="CU97" s="20">
        <f>CU99*CU100</f>
        <v>-46893.678024533045</v>
      </c>
      <c r="CV97" s="20">
        <f t="shared" ref="CV97:FB97" si="1032">CV99*CV100</f>
        <v>-59310.1519554439</v>
      </c>
      <c r="CW97" s="20">
        <f t="shared" si="1032"/>
        <v>-110449.6185658062</v>
      </c>
      <c r="CX97" s="20">
        <f t="shared" si="1032"/>
        <v>-73235.282645670304</v>
      </c>
      <c r="CY97" s="20">
        <f t="shared" si="1032"/>
        <v>-59999.61665839138</v>
      </c>
      <c r="CZ97" s="20">
        <f t="shared" si="1032"/>
        <v>-110796.44657276654</v>
      </c>
      <c r="DA97" s="20">
        <f t="shared" si="1032"/>
        <v>-73862.922726678982</v>
      </c>
      <c r="DB97" s="20">
        <f t="shared" si="1032"/>
        <v>-57941.317232469373</v>
      </c>
      <c r="DC97" s="20">
        <f t="shared" si="1032"/>
        <v>-91856.722769749424</v>
      </c>
      <c r="DD97" s="20">
        <f t="shared" si="1032"/>
        <v>-72613.896913082615</v>
      </c>
      <c r="DE97" s="20">
        <f t="shared" si="1032"/>
        <v>-152617.42579419608</v>
      </c>
      <c r="DF97" s="20">
        <f t="shared" si="1032"/>
        <v>-143371.21578492114</v>
      </c>
      <c r="DG97" s="20">
        <f t="shared" si="1032"/>
        <v>-74989.542657827056</v>
      </c>
      <c r="DH97" s="20">
        <f t="shared" si="1032"/>
        <v>-94845.219173853751</v>
      </c>
      <c r="DI97" s="20">
        <f t="shared" si="1032"/>
        <v>-176624.37095781055</v>
      </c>
      <c r="DJ97" s="20">
        <f t="shared" si="1032"/>
        <v>-117113.44862184548</v>
      </c>
      <c r="DK97" s="20">
        <f t="shared" si="1032"/>
        <v>-95947.769558698739</v>
      </c>
      <c r="DL97" s="20">
        <f t="shared" si="1032"/>
        <v>-177178.99739613928</v>
      </c>
      <c r="DM97" s="20">
        <f t="shared" si="1032"/>
        <v>-118117.13279871763</v>
      </c>
      <c r="DN97" s="20">
        <f t="shared" si="1032"/>
        <v>-92656.261212477548</v>
      </c>
      <c r="DO97" s="20">
        <f t="shared" si="1032"/>
        <v>-146891.73297404006</v>
      </c>
      <c r="DP97" s="20">
        <f t="shared" si="1032"/>
        <v>-116119.76602189094</v>
      </c>
      <c r="DQ97" s="20">
        <f t="shared" si="1032"/>
        <v>-244056.58596312645</v>
      </c>
      <c r="DR97" s="20">
        <f t="shared" si="1032"/>
        <v>-229270.60437407292</v>
      </c>
      <c r="DS97" s="20">
        <f t="shared" si="1032"/>
        <v>-105893.91455776288</v>
      </c>
      <c r="DT97" s="20">
        <f t="shared" si="1032"/>
        <v>-133932.42816850363</v>
      </c>
      <c r="DU97" s="20">
        <f t="shared" si="1032"/>
        <v>-249414.05673545369</v>
      </c>
      <c r="DV97" s="20">
        <f t="shared" si="1032"/>
        <v>-165377.74578136113</v>
      </c>
      <c r="DW97" s="20">
        <f t="shared" si="1032"/>
        <v>-135489.35693630722</v>
      </c>
      <c r="DX97" s="20">
        <f t="shared" si="1032"/>
        <v>-250197.25346649459</v>
      </c>
      <c r="DY97" s="20">
        <f t="shared" si="1032"/>
        <v>-166795.06401936727</v>
      </c>
      <c r="DZ97" s="20">
        <f t="shared" si="1032"/>
        <v>-130841.36614682706</v>
      </c>
      <c r="EA97" s="20">
        <f t="shared" si="1032"/>
        <v>-207428.13023638524</v>
      </c>
      <c r="EB97" s="20">
        <f t="shared" si="1032"/>
        <v>-163974.55092768322</v>
      </c>
      <c r="EC97" s="20">
        <f t="shared" si="1032"/>
        <v>-344636.14985843812</v>
      </c>
      <c r="ED97" s="20">
        <f t="shared" si="1032"/>
        <v>-323756.63232106226</v>
      </c>
      <c r="EE97" s="20">
        <f t="shared" si="1032"/>
        <v>-146454.64276563955</v>
      </c>
      <c r="EF97" s="20">
        <f t="shared" si="1032"/>
        <v>-185232.79646493099</v>
      </c>
      <c r="EG97" s="20">
        <f t="shared" si="1032"/>
        <v>-344947.55182550807</v>
      </c>
      <c r="EH97" s="20">
        <f t="shared" si="1032"/>
        <v>-228722.6681622419</v>
      </c>
      <c r="EI97" s="20">
        <f t="shared" si="1032"/>
        <v>-187386.07833624983</v>
      </c>
      <c r="EJ97" s="20">
        <f t="shared" si="1032"/>
        <v>-346030.73774736986</v>
      </c>
      <c r="EK97" s="20">
        <f t="shared" si="1032"/>
        <v>-230682.86424243494</v>
      </c>
      <c r="EL97" s="20">
        <f t="shared" si="1032"/>
        <v>-180957.75964112801</v>
      </c>
      <c r="EM97" s="20">
        <f t="shared" si="1032"/>
        <v>-286879.68369271461</v>
      </c>
      <c r="EN97" s="20">
        <f t="shared" si="1032"/>
        <v>-226782.00517056562</v>
      </c>
      <c r="EO97" s="20">
        <f t="shared" si="1032"/>
        <v>-476642.72703896242</v>
      </c>
      <c r="EP97" s="20">
        <f t="shared" si="1032"/>
        <v>-447765.69199095434</v>
      </c>
      <c r="EQ97" s="20">
        <f t="shared" si="1032"/>
        <v>-198251.98168886063</v>
      </c>
      <c r="ER97" s="20">
        <f t="shared" si="1032"/>
        <v>-250744.99708217962</v>
      </c>
      <c r="ES97" s="20">
        <f t="shared" si="1032"/>
        <v>-466946.8610671619</v>
      </c>
      <c r="ET97" s="20">
        <f t="shared" si="1032"/>
        <v>-309616.14711586788</v>
      </c>
      <c r="EU97" s="20">
        <f t="shared" si="1032"/>
        <v>-253659.84081852177</v>
      </c>
      <c r="EV97" s="20">
        <f t="shared" si="1032"/>
        <v>-468413.14271922415</v>
      </c>
      <c r="EW97" s="20">
        <f t="shared" si="1032"/>
        <v>-312269.61545294797</v>
      </c>
      <c r="EX97" s="20">
        <f t="shared" si="1032"/>
        <v>-244957.98680987276</v>
      </c>
      <c r="EY97" s="20">
        <f t="shared" si="1032"/>
        <v>-388341.84239120473</v>
      </c>
      <c r="EZ97" s="20">
        <f t="shared" si="1032"/>
        <v>-306989.12023147114</v>
      </c>
      <c r="FA97" s="20">
        <f t="shared" si="1032"/>
        <v>-645219.32120834745</v>
      </c>
      <c r="FB97" s="20">
        <f t="shared" si="1032"/>
        <v>-606129.20214174036</v>
      </c>
    </row>
    <row r="98" spans="3:158" x14ac:dyDescent="0.25">
      <c r="C98" s="258" t="s">
        <v>22</v>
      </c>
      <c r="D98" s="29">
        <f t="shared" si="993"/>
        <v>-449131</v>
      </c>
      <c r="E98" s="29">
        <f t="shared" si="993"/>
        <v>-1169882.71</v>
      </c>
      <c r="F98" s="29">
        <f t="shared" si="993"/>
        <v>-2397605.5235900003</v>
      </c>
      <c r="G98" s="29">
        <f t="shared" si="993"/>
        <v>-2613581.8157095336</v>
      </c>
      <c r="H98" s="29">
        <f t="shared" si="993"/>
        <v>-4233238.4524724949</v>
      </c>
      <c r="I98" s="29">
        <f t="shared" si="993"/>
        <v>-6769539.7095182538</v>
      </c>
      <c r="J98" s="29">
        <f t="shared" si="993"/>
        <v>-9559373.6698204428</v>
      </c>
      <c r="K98" s="29">
        <f t="shared" si="993"/>
        <v>-13220917.006643813</v>
      </c>
      <c r="L98" s="29">
        <f t="shared" si="993"/>
        <v>-17896824.209973343</v>
      </c>
      <c r="N98" s="29">
        <f t="shared" si="994"/>
        <v>-114646</v>
      </c>
      <c r="O98" s="29">
        <f t="shared" si="995"/>
        <v>-66100</v>
      </c>
      <c r="P98" s="29">
        <f t="shared" si="996"/>
        <v>-69435</v>
      </c>
      <c r="Q98" s="29">
        <f t="shared" si="997"/>
        <v>-198950</v>
      </c>
      <c r="R98" s="29">
        <f t="shared" si="998"/>
        <v>-204400</v>
      </c>
      <c r="S98" s="29">
        <f t="shared" si="999"/>
        <v>-253473</v>
      </c>
      <c r="T98" s="29">
        <f t="shared" si="1000"/>
        <v>-241928</v>
      </c>
      <c r="U98" s="29">
        <f t="shared" si="1001"/>
        <v>-470081.71</v>
      </c>
      <c r="V98" s="29">
        <f t="shared" si="1002"/>
        <v>-683275.67</v>
      </c>
      <c r="W98" s="29">
        <f t="shared" si="1003"/>
        <v>-532285.6</v>
      </c>
      <c r="X98" s="29">
        <f t="shared" si="1004"/>
        <v>-588994.49358999997</v>
      </c>
      <c r="Y98" s="29">
        <f t="shared" si="1005"/>
        <v>-593049.76</v>
      </c>
      <c r="Z98" s="29">
        <f t="shared" si="1006"/>
        <v>-627144.08873900003</v>
      </c>
      <c r="AA98" s="29">
        <f t="shared" si="1007"/>
        <v>-587431.62059599999</v>
      </c>
      <c r="AB98" s="29">
        <f t="shared" si="1008"/>
        <v>-591965.40508099971</v>
      </c>
      <c r="AC98" s="29">
        <f t="shared" si="1009"/>
        <v>-807040.70129353367</v>
      </c>
      <c r="AD98" s="29">
        <f t="shared" si="1010"/>
        <v>-871026.34862435749</v>
      </c>
      <c r="AE98" s="29">
        <f t="shared" si="1011"/>
        <v>-981095.54025429569</v>
      </c>
      <c r="AF98" s="29">
        <f t="shared" si="1012"/>
        <v>-899199.12654606183</v>
      </c>
      <c r="AG98" s="29">
        <f t="shared" si="1013"/>
        <v>-1481917.43704778</v>
      </c>
      <c r="AH98" s="29">
        <f t="shared" si="1014"/>
        <v>-1392892.8221856623</v>
      </c>
      <c r="AI98" s="29">
        <f t="shared" si="1015"/>
        <v>-1568908.837323728</v>
      </c>
      <c r="AJ98" s="29">
        <f t="shared" si="1016"/>
        <v>-1437945.0300897611</v>
      </c>
      <c r="AK98" s="29">
        <f t="shared" si="1017"/>
        <v>-2369793.019919103</v>
      </c>
      <c r="AL98" s="29">
        <f t="shared" si="1018"/>
        <v>-1966925.897570526</v>
      </c>
      <c r="AM98" s="29">
        <f t="shared" si="1019"/>
        <v>-2215480.8854689989</v>
      </c>
      <c r="AN98" s="29">
        <f t="shared" si="1020"/>
        <v>-2030544.8300956099</v>
      </c>
      <c r="AO98" s="29">
        <f t="shared" si="1021"/>
        <v>-3346422.0566853089</v>
      </c>
      <c r="AP98" s="29">
        <f t="shared" si="1022"/>
        <v>-2720320.9068075651</v>
      </c>
      <c r="AQ98" s="29">
        <f t="shared" si="1023"/>
        <v>-3064080.339182049</v>
      </c>
      <c r="AR98" s="29">
        <f t="shared" si="1024"/>
        <v>-2808307.9084686483</v>
      </c>
      <c r="AS98" s="29">
        <f t="shared" si="1025"/>
        <v>-4628207.8521855492</v>
      </c>
      <c r="AT98" s="29">
        <f t="shared" si="1026"/>
        <v>-3682430.2761589754</v>
      </c>
      <c r="AU98" s="29">
        <f t="shared" si="1027"/>
        <v>-4147768.8096838999</v>
      </c>
      <c r="AV98" s="29">
        <f t="shared" si="1028"/>
        <v>-3801536.0765130445</v>
      </c>
      <c r="AW98" s="29">
        <f t="shared" si="1029"/>
        <v>-6265089.0476174224</v>
      </c>
      <c r="AY98" s="29">
        <f t="shared" ref="AY98" si="1033">AY11</f>
        <v>-16286</v>
      </c>
      <c r="AZ98" s="29">
        <f t="shared" ref="AZ98:CT98" si="1034">AZ11</f>
        <v>-52460</v>
      </c>
      <c r="BA98" s="29">
        <f t="shared" si="1034"/>
        <v>-45900</v>
      </c>
      <c r="BB98" s="29">
        <f t="shared" si="1034"/>
        <v>-28000</v>
      </c>
      <c r="BC98" s="29">
        <f t="shared" si="1034"/>
        <v>-15600</v>
      </c>
      <c r="BD98" s="29">
        <f t="shared" si="1034"/>
        <v>-22500</v>
      </c>
      <c r="BE98" s="29">
        <f t="shared" si="1034"/>
        <v>0</v>
      </c>
      <c r="BF98" s="29">
        <f t="shared" si="1034"/>
        <v>-53875</v>
      </c>
      <c r="BG98" s="29">
        <f t="shared" si="1034"/>
        <v>-15560</v>
      </c>
      <c r="BH98" s="29">
        <f t="shared" si="1034"/>
        <v>0</v>
      </c>
      <c r="BI98" s="29">
        <f t="shared" si="1034"/>
        <v>-67700</v>
      </c>
      <c r="BJ98" s="29">
        <f t="shared" si="1034"/>
        <v>-131250</v>
      </c>
      <c r="BK98" s="29">
        <f t="shared" si="1034"/>
        <v>-12000</v>
      </c>
      <c r="BL98" s="29">
        <f t="shared" si="1034"/>
        <v>-77800</v>
      </c>
      <c r="BM98" s="29">
        <f t="shared" si="1034"/>
        <v>-114600</v>
      </c>
      <c r="BN98" s="29">
        <f t="shared" si="1034"/>
        <v>-73652</v>
      </c>
      <c r="BO98" s="29">
        <f t="shared" si="1034"/>
        <v>-78433</v>
      </c>
      <c r="BP98" s="29">
        <f t="shared" si="1034"/>
        <v>-101388</v>
      </c>
      <c r="BQ98" s="29">
        <f t="shared" si="1034"/>
        <v>-97986</v>
      </c>
      <c r="BR98" s="29">
        <f t="shared" si="1034"/>
        <v>-35590</v>
      </c>
      <c r="BS98" s="29">
        <f t="shared" si="1034"/>
        <v>-108352</v>
      </c>
      <c r="BT98" s="29">
        <f t="shared" si="1034"/>
        <v>-64144</v>
      </c>
      <c r="BU98" s="29">
        <f t="shared" si="1034"/>
        <v>-116973.71</v>
      </c>
      <c r="BV98" s="29">
        <f t="shared" si="1034"/>
        <v>-288964</v>
      </c>
      <c r="BW98" s="29">
        <f t="shared" si="1034"/>
        <v>-242513</v>
      </c>
      <c r="BX98" s="29">
        <f t="shared" si="1034"/>
        <v>-224142</v>
      </c>
      <c r="BY98" s="29">
        <f t="shared" si="1034"/>
        <v>-216620.67</v>
      </c>
      <c r="BZ98" s="29">
        <f t="shared" si="1034"/>
        <v>-193465.60000000001</v>
      </c>
      <c r="CA98" s="29">
        <f t="shared" si="1034"/>
        <v>-157120</v>
      </c>
      <c r="CB98" s="29">
        <f t="shared" si="1034"/>
        <v>-181700</v>
      </c>
      <c r="CC98" s="29">
        <f t="shared" si="1034"/>
        <v>-197488.6</v>
      </c>
      <c r="CD98" s="29">
        <f t="shared" si="1034"/>
        <v>-154499.6</v>
      </c>
      <c r="CE98" s="29">
        <f t="shared" si="1034"/>
        <v>-237006.29358999999</v>
      </c>
      <c r="CF98" s="29">
        <f t="shared" si="1034"/>
        <v>-164693.6</v>
      </c>
      <c r="CG98" s="29">
        <f t="shared" si="1034"/>
        <v>-185188</v>
      </c>
      <c r="CH98" s="29">
        <f t="shared" si="1034"/>
        <v>-243168.16</v>
      </c>
      <c r="CI98" s="29">
        <f t="shared" si="1034"/>
        <v>-160350</v>
      </c>
      <c r="CJ98" s="29">
        <f t="shared" si="1034"/>
        <v>-120534.325882</v>
      </c>
      <c r="CK98" s="29">
        <f t="shared" si="1034"/>
        <v>-346259.76285699999</v>
      </c>
      <c r="CL98" s="29">
        <f t="shared" si="1034"/>
        <v>-233167.100519</v>
      </c>
      <c r="CM98" s="29">
        <f t="shared" si="1034"/>
        <v>-151466.30831200001</v>
      </c>
      <c r="CN98" s="29">
        <f t="shared" si="1034"/>
        <v>-202798.21176500001</v>
      </c>
      <c r="CO98" s="29">
        <f t="shared" si="1034"/>
        <v>-104954.12052854933</v>
      </c>
      <c r="CP98" s="29">
        <f t="shared" si="1034"/>
        <v>-164527.05531912687</v>
      </c>
      <c r="CQ98" s="29">
        <f t="shared" si="1034"/>
        <v>-322484.22923332348</v>
      </c>
      <c r="CR98" s="29">
        <f t="shared" si="1034"/>
        <v>-143761.02240897116</v>
      </c>
      <c r="CS98" s="29">
        <f t="shared" si="1034"/>
        <v>-277375.7983261504</v>
      </c>
      <c r="CT98" s="29">
        <f t="shared" si="1034"/>
        <v>-385903.88055841217</v>
      </c>
      <c r="CU98" s="29">
        <f>CU99-CU97</f>
        <v>-188529.78993613296</v>
      </c>
      <c r="CV98" s="29">
        <f t="shared" ref="CV98:FB98" si="1035">CV99-CV97</f>
        <v>-238448.57047446986</v>
      </c>
      <c r="CW98" s="29">
        <f t="shared" si="1035"/>
        <v>-444047.98821375472</v>
      </c>
      <c r="CX98" s="29">
        <f t="shared" si="1035"/>
        <v>-294432.70467883151</v>
      </c>
      <c r="CY98" s="29">
        <f t="shared" si="1035"/>
        <v>-241220.47153002501</v>
      </c>
      <c r="CZ98" s="29">
        <f t="shared" si="1035"/>
        <v>-445442.36404543917</v>
      </c>
      <c r="DA98" s="29">
        <f t="shared" si="1035"/>
        <v>-296956.04807207431</v>
      </c>
      <c r="DB98" s="29">
        <f t="shared" si="1035"/>
        <v>-232945.35269222077</v>
      </c>
      <c r="DC98" s="29">
        <f t="shared" si="1035"/>
        <v>-369297.7257817667</v>
      </c>
      <c r="DD98" s="29">
        <f t="shared" si="1035"/>
        <v>-291934.50606082636</v>
      </c>
      <c r="DE98" s="29">
        <f t="shared" si="1035"/>
        <v>-613578.04372948129</v>
      </c>
      <c r="DF98" s="29">
        <f t="shared" si="1035"/>
        <v>-576404.88725747238</v>
      </c>
      <c r="DG98" s="29">
        <f t="shared" si="1035"/>
        <v>-301485.47352780611</v>
      </c>
      <c r="DH98" s="29">
        <f t="shared" si="1035"/>
        <v>-381312.57774104184</v>
      </c>
      <c r="DI98" s="29">
        <f t="shared" si="1035"/>
        <v>-710094.77091681445</v>
      </c>
      <c r="DJ98" s="29">
        <f t="shared" si="1035"/>
        <v>-470839.02985433384</v>
      </c>
      <c r="DK98" s="29">
        <f t="shared" si="1035"/>
        <v>-385745.23479003849</v>
      </c>
      <c r="DL98" s="29">
        <f t="shared" si="1035"/>
        <v>-712324.57267935562</v>
      </c>
      <c r="DM98" s="29">
        <f t="shared" si="1035"/>
        <v>-474874.20847540366</v>
      </c>
      <c r="DN98" s="29">
        <f t="shared" si="1035"/>
        <v>-372512.1636549175</v>
      </c>
      <c r="DO98" s="29">
        <f t="shared" si="1035"/>
        <v>-590558.65795943991</v>
      </c>
      <c r="DP98" s="29">
        <f t="shared" si="1035"/>
        <v>-466844.06124183536</v>
      </c>
      <c r="DQ98" s="29">
        <f t="shared" si="1035"/>
        <v>-981197.01466125692</v>
      </c>
      <c r="DR98" s="29">
        <f t="shared" si="1035"/>
        <v>-921751.94401601073</v>
      </c>
      <c r="DS98" s="29">
        <f t="shared" si="1035"/>
        <v>-425732.38671202841</v>
      </c>
      <c r="DT98" s="29">
        <f t="shared" si="1035"/>
        <v>-538457.49815218616</v>
      </c>
      <c r="DU98" s="29">
        <f t="shared" si="1035"/>
        <v>-1002736.0127063114</v>
      </c>
      <c r="DV98" s="29">
        <f t="shared" si="1035"/>
        <v>-664879.21156365052</v>
      </c>
      <c r="DW98" s="29">
        <f t="shared" si="1035"/>
        <v>-544716.92300228984</v>
      </c>
      <c r="DX98" s="29">
        <f t="shared" si="1035"/>
        <v>-1005884.7509030583</v>
      </c>
      <c r="DY98" s="29">
        <f t="shared" si="1035"/>
        <v>-670577.35086388118</v>
      </c>
      <c r="DZ98" s="29">
        <f t="shared" si="1035"/>
        <v>-526030.29478116101</v>
      </c>
      <c r="EA98" s="29">
        <f t="shared" si="1035"/>
        <v>-833937.1844505677</v>
      </c>
      <c r="EB98" s="29">
        <f t="shared" si="1035"/>
        <v>-659237.8534499841</v>
      </c>
      <c r="EC98" s="29">
        <f t="shared" si="1035"/>
        <v>-1385563.7619897695</v>
      </c>
      <c r="ED98" s="29">
        <f t="shared" si="1035"/>
        <v>-1301620.4412455556</v>
      </c>
      <c r="EE98" s="29">
        <f t="shared" si="1035"/>
        <v>-588801.39496271405</v>
      </c>
      <c r="EF98" s="29">
        <f t="shared" si="1035"/>
        <v>-744703.79970080545</v>
      </c>
      <c r="EG98" s="29">
        <f t="shared" si="1035"/>
        <v>-1386815.7121440459</v>
      </c>
      <c r="EH98" s="29">
        <f t="shared" si="1035"/>
        <v>-919549.03941849002</v>
      </c>
      <c r="EI98" s="29">
        <f t="shared" si="1035"/>
        <v>-753360.78281611239</v>
      </c>
      <c r="EJ98" s="29">
        <f t="shared" si="1035"/>
        <v>-1391170.5169474469</v>
      </c>
      <c r="EK98" s="29">
        <f t="shared" si="1035"/>
        <v>-927429.74681446538</v>
      </c>
      <c r="EL98" s="29">
        <f t="shared" si="1035"/>
        <v>-727516.58325045253</v>
      </c>
      <c r="EM98" s="29">
        <f t="shared" si="1035"/>
        <v>-1153361.5784037304</v>
      </c>
      <c r="EN98" s="29">
        <f t="shared" si="1035"/>
        <v>-911746.86220462038</v>
      </c>
      <c r="EO98" s="29">
        <f t="shared" si="1035"/>
        <v>-1916278.6326171518</v>
      </c>
      <c r="EP98" s="29">
        <f t="shared" si="1035"/>
        <v>-1800182.3573637772</v>
      </c>
      <c r="EQ98" s="29">
        <f t="shared" si="1035"/>
        <v>-797045.70075883204</v>
      </c>
      <c r="ER98" s="29">
        <f t="shared" si="1035"/>
        <v>-1008086.8811934129</v>
      </c>
      <c r="ES98" s="29">
        <f t="shared" si="1035"/>
        <v>-1877297.6942067305</v>
      </c>
      <c r="ET98" s="29">
        <f t="shared" si="1035"/>
        <v>-1244770.502882103</v>
      </c>
      <c r="EU98" s="29">
        <f t="shared" si="1035"/>
        <v>-1019805.6224067113</v>
      </c>
      <c r="EV98" s="29">
        <f t="shared" si="1035"/>
        <v>-1883192.6843950856</v>
      </c>
      <c r="EW98" s="29">
        <f t="shared" si="1035"/>
        <v>-1255438.4190973798</v>
      </c>
      <c r="EX98" s="29">
        <f t="shared" si="1035"/>
        <v>-984820.97676967643</v>
      </c>
      <c r="EY98" s="29">
        <f t="shared" si="1035"/>
        <v>-1561276.6806459886</v>
      </c>
      <c r="EZ98" s="29">
        <f t="shared" si="1035"/>
        <v>-1234208.8910074108</v>
      </c>
      <c r="FA98" s="29">
        <f t="shared" si="1035"/>
        <v>-2594018.388289033</v>
      </c>
      <c r="FB98" s="29">
        <f t="shared" si="1035"/>
        <v>-2436861.7683209782</v>
      </c>
    </row>
    <row r="99" spans="3:158" x14ac:dyDescent="0.25">
      <c r="C99" s="2" t="s">
        <v>308</v>
      </c>
      <c r="D99" s="20">
        <f>SUM(D97:D98)</f>
        <v>-543806.41</v>
      </c>
      <c r="E99" s="20">
        <f t="shared" ref="E99:G99" si="1036">SUM(E97:E98)</f>
        <v>-1358780.21</v>
      </c>
      <c r="F99" s="20">
        <f t="shared" si="1036"/>
        <v>-2908050.1858980004</v>
      </c>
      <c r="G99" s="20">
        <f t="shared" si="1036"/>
        <v>-3263667.2170573859</v>
      </c>
      <c r="H99" s="20">
        <f>-(1-H90)*H7</f>
        <v>-5286186.7481162045</v>
      </c>
      <c r="I99" s="20">
        <f t="shared" ref="I99:L99" si="1037">-(1-I90)*I7</f>
        <v>-8453351.1412287559</v>
      </c>
      <c r="J99" s="20">
        <f t="shared" si="1037"/>
        <v>-11937110.318976091</v>
      </c>
      <c r="K99" s="20">
        <f t="shared" si="1037"/>
        <v>-16509402.213722514</v>
      </c>
      <c r="L99" s="20">
        <f t="shared" si="1037"/>
        <v>-22348364.268700745</v>
      </c>
      <c r="N99" s="20">
        <f t="shared" ref="N99" si="1038">SUM(N97:N98)</f>
        <v>-136695.4</v>
      </c>
      <c r="O99" s="20">
        <f t="shared" ref="O99" si="1039">SUM(O97:O98)</f>
        <v>-77100</v>
      </c>
      <c r="P99" s="20">
        <f t="shared" ref="P99" si="1040">SUM(P97:P98)</f>
        <v>-82061</v>
      </c>
      <c r="Q99" s="20">
        <f t="shared" ref="Q99" si="1041">SUM(Q97:Q98)</f>
        <v>-247950.01</v>
      </c>
      <c r="R99" s="20">
        <f t="shared" ref="R99" si="1042">SUM(R97:R98)</f>
        <v>-272450.5</v>
      </c>
      <c r="S99" s="20">
        <f t="shared" ref="S99" si="1043">SUM(S97:S98)</f>
        <v>-288292</v>
      </c>
      <c r="T99" s="20">
        <f t="shared" ref="T99" si="1044">SUM(T97:T98)</f>
        <v>-281563</v>
      </c>
      <c r="U99" s="20">
        <f t="shared" ref="U99" si="1045">SUM(U97:U98)</f>
        <v>-516474.71</v>
      </c>
      <c r="V99" s="20">
        <f t="shared" ref="V99" si="1046">SUM(V97:V98)</f>
        <v>-785738.8</v>
      </c>
      <c r="W99" s="20">
        <f t="shared" ref="W99" si="1047">SUM(W97:W98)</f>
        <v>-624882.99230799999</v>
      </c>
      <c r="X99" s="20">
        <f t="shared" ref="X99" si="1048">SUM(X97:X98)</f>
        <v>-656652.31358999992</v>
      </c>
      <c r="Y99" s="20">
        <f t="shared" ref="Y99" si="1049">SUM(Y97:Y98)</f>
        <v>-840776.08</v>
      </c>
      <c r="Z99" s="20">
        <f t="shared" ref="Z99" si="1050">SUM(Z97:Z98)</f>
        <v>-813701.33815099997</v>
      </c>
      <c r="AA99" s="20">
        <f t="shared" ref="AA99" si="1051">SUM(AA97:AA98)</f>
        <v>-695103.38436200004</v>
      </c>
      <c r="AB99" s="20">
        <f t="shared" ref="AB99" si="1052">SUM(AB97:AB98)</f>
        <v>-742539.92367229518</v>
      </c>
      <c r="AC99" s="20">
        <f t="shared" ref="AC99" si="1053">SUM(AC97:AC98)</f>
        <v>-1012322.5708720905</v>
      </c>
      <c r="AD99" s="20">
        <f t="shared" ref="AD99" si="1054">SUM(AD97:AD98)</f>
        <v>-1087679.7971701405</v>
      </c>
      <c r="AE99" s="20">
        <f t="shared" ref="AE99" si="1055">SUM(AE97:AE98)</f>
        <v>-1225126.8861311239</v>
      </c>
      <c r="AF99" s="20">
        <f t="shared" ref="AF99" si="1056">SUM(AF97:AF98)</f>
        <v>-1122860.0892749596</v>
      </c>
      <c r="AG99" s="20">
        <f t="shared" ref="AG99" si="1057">SUM(AG97:AG98)</f>
        <v>-1850519.97553998</v>
      </c>
      <c r="AH99" s="20">
        <f t="shared" ref="AH99" si="1058">SUM(AH97:AH98)</f>
        <v>-1739351.9549751538</v>
      </c>
      <c r="AI99" s="20">
        <f t="shared" ref="AI99" si="1059">SUM(AI97:AI98)</f>
        <v>-1959149.0529004117</v>
      </c>
      <c r="AJ99" s="20">
        <f t="shared" ref="AJ99" si="1060">SUM(AJ97:AJ98)</f>
        <v>-1795610.1570749963</v>
      </c>
      <c r="AK99" s="20">
        <f t="shared" ref="AK99" si="1061">SUM(AK97:AK98)</f>
        <v>-2959239.9762781933</v>
      </c>
      <c r="AL99" s="20">
        <f t="shared" ref="AL99" si="1062">SUM(AL97:AL98)</f>
        <v>-2456166.2970322464</v>
      </c>
      <c r="AM99" s="20">
        <f t="shared" ref="AM99" si="1063">SUM(AM97:AM98)</f>
        <v>-2766545.2416531621</v>
      </c>
      <c r="AN99" s="20">
        <f t="shared" ref="AN99" si="1064">SUM(AN97:AN98)</f>
        <v>-2535609.3904981893</v>
      </c>
      <c r="AO99" s="20">
        <f t="shared" ref="AO99" si="1065">SUM(AO97:AO98)</f>
        <v>-4178789.3897924926</v>
      </c>
      <c r="AP99" s="20">
        <f t="shared" ref="AP99" si="1066">SUM(AP97:AP98)</f>
        <v>-3396955.8978636437</v>
      </c>
      <c r="AQ99" s="20">
        <f t="shared" ref="AQ99" si="1067">SUM(AQ97:AQ98)</f>
        <v>-3826219.8234279109</v>
      </c>
      <c r="AR99" s="20">
        <f t="shared" ref="AR99" si="1068">SUM(AR97:AR98)</f>
        <v>-3506828.2160449261</v>
      </c>
      <c r="AS99" s="20">
        <f t="shared" ref="AS99" si="1069">SUM(AS97:AS98)</f>
        <v>-5779398.2763860319</v>
      </c>
      <c r="AT99" s="20">
        <f t="shared" ref="AT99" si="1070">SUM(AT97:AT98)</f>
        <v>-4598374.1159971775</v>
      </c>
      <c r="AU99" s="20">
        <f t="shared" ref="AU99" si="1071">SUM(AU97:AU98)</f>
        <v>-5179457.9403375136</v>
      </c>
      <c r="AV99" s="20">
        <f t="shared" ref="AV99" si="1072">SUM(AV97:AV98)</f>
        <v>-4747105.5211670697</v>
      </c>
      <c r="AW99" s="20">
        <f t="shared" ref="AW99" si="1073">SUM(AW97:AW98)</f>
        <v>-7823426.6911989814</v>
      </c>
      <c r="AY99" s="20">
        <f t="shared" ref="AY99" si="1074">SUM(AY97:AY98)</f>
        <v>-16286</v>
      </c>
      <c r="AZ99" s="20">
        <f t="shared" ref="AZ99" si="1075">SUM(AZ97:AZ98)</f>
        <v>-53510</v>
      </c>
      <c r="BA99" s="20">
        <f t="shared" ref="BA99" si="1076">SUM(BA97:BA98)</f>
        <v>-66899.399999999994</v>
      </c>
      <c r="BB99" s="20">
        <f t="shared" ref="BB99" si="1077">SUM(BB97:BB98)</f>
        <v>-34000</v>
      </c>
      <c r="BC99" s="20">
        <f t="shared" ref="BC99" si="1078">SUM(BC97:BC98)</f>
        <v>-19100</v>
      </c>
      <c r="BD99" s="20">
        <f t="shared" ref="BD99" si="1079">SUM(BD97:BD98)</f>
        <v>-24000</v>
      </c>
      <c r="BE99" s="20">
        <f t="shared" ref="BE99" si="1080">SUM(BE97:BE98)</f>
        <v>0</v>
      </c>
      <c r="BF99" s="20">
        <f t="shared" ref="BF99" si="1081">SUM(BF97:BF98)</f>
        <v>-53876</v>
      </c>
      <c r="BG99" s="20">
        <f t="shared" ref="BG99" si="1082">SUM(BG97:BG98)</f>
        <v>-28185</v>
      </c>
      <c r="BH99" s="20">
        <f t="shared" ref="BH99" si="1083">SUM(BH97:BH98)</f>
        <v>0</v>
      </c>
      <c r="BI99" s="20">
        <f t="shared" ref="BI99" si="1084">SUM(BI97:BI98)</f>
        <v>-67700</v>
      </c>
      <c r="BJ99" s="20">
        <f t="shared" ref="BJ99" si="1085">SUM(BJ97:BJ98)</f>
        <v>-180250.01</v>
      </c>
      <c r="BK99" s="20">
        <f t="shared" ref="BK99" si="1086">SUM(BK97:BK98)</f>
        <v>-28400</v>
      </c>
      <c r="BL99" s="20">
        <f t="shared" ref="BL99" si="1087">SUM(BL97:BL98)</f>
        <v>-77800.5</v>
      </c>
      <c r="BM99" s="20">
        <f t="shared" ref="BM99" si="1088">SUM(BM97:BM98)</f>
        <v>-166250</v>
      </c>
      <c r="BN99" s="20">
        <f t="shared" ref="BN99" si="1089">SUM(BN97:BN98)</f>
        <v>-98171</v>
      </c>
      <c r="BO99" s="20">
        <f t="shared" ref="BO99" si="1090">SUM(BO97:BO98)</f>
        <v>-78433</v>
      </c>
      <c r="BP99" s="20">
        <f t="shared" ref="BP99" si="1091">SUM(BP97:BP98)</f>
        <v>-111688</v>
      </c>
      <c r="BQ99" s="20">
        <f t="shared" ref="BQ99" si="1092">SUM(BQ97:BQ98)</f>
        <v>-104906</v>
      </c>
      <c r="BR99" s="20">
        <f t="shared" ref="BR99" si="1093">SUM(BR97:BR98)</f>
        <v>-40090</v>
      </c>
      <c r="BS99" s="20">
        <f t="shared" ref="BS99" si="1094">SUM(BS97:BS98)</f>
        <v>-136567</v>
      </c>
      <c r="BT99" s="20">
        <f t="shared" ref="BT99" si="1095">SUM(BT97:BT98)</f>
        <v>-64144</v>
      </c>
      <c r="BU99" s="20">
        <f t="shared" ref="BU99" si="1096">SUM(BU97:BU98)</f>
        <v>-123473.71</v>
      </c>
      <c r="BV99" s="20">
        <f t="shared" ref="BV99" si="1097">SUM(BV97:BV98)</f>
        <v>-328857</v>
      </c>
      <c r="BW99" s="20">
        <f t="shared" ref="BW99" si="1098">SUM(BW97:BW98)</f>
        <v>-264190</v>
      </c>
      <c r="BX99" s="20">
        <f t="shared" ref="BX99" si="1099">SUM(BX97:BX98)</f>
        <v>-258642</v>
      </c>
      <c r="BY99" s="20">
        <f t="shared" ref="BY99" si="1100">SUM(BY97:BY98)</f>
        <v>-262906.8</v>
      </c>
      <c r="BZ99" s="20">
        <f t="shared" ref="BZ99" si="1101">SUM(BZ97:BZ98)</f>
        <v>-235999.43769200001</v>
      </c>
      <c r="CA99" s="20">
        <f t="shared" ref="CA99" si="1102">SUM(CA97:CA98)</f>
        <v>-206683.55461600001</v>
      </c>
      <c r="CB99" s="20">
        <f t="shared" ref="CB99" si="1103">SUM(CB97:CB98)</f>
        <v>-182200</v>
      </c>
      <c r="CC99" s="20">
        <f t="shared" ref="CC99" si="1104">SUM(CC97:CC98)</f>
        <v>-221871.93</v>
      </c>
      <c r="CD99" s="20">
        <f t="shared" ref="CD99" si="1105">SUM(CD97:CD98)</f>
        <v>-174689.6</v>
      </c>
      <c r="CE99" s="20">
        <f t="shared" ref="CE99" si="1106">SUM(CE97:CE98)</f>
        <v>-260090.78358999998</v>
      </c>
      <c r="CF99" s="20">
        <f t="shared" ref="CF99" si="1107">SUM(CF97:CF98)</f>
        <v>-200743.59</v>
      </c>
      <c r="CG99" s="20">
        <f t="shared" ref="CG99" si="1108">SUM(CG97:CG98)</f>
        <v>-341099.32999999996</v>
      </c>
      <c r="CH99" s="20">
        <f t="shared" ref="CH99" si="1109">SUM(CH97:CH98)</f>
        <v>-298933.16000000003</v>
      </c>
      <c r="CI99" s="20">
        <f t="shared" ref="CI99" si="1110">SUM(CI97:CI98)</f>
        <v>-215681.40294100001</v>
      </c>
      <c r="CJ99" s="20">
        <f t="shared" ref="CJ99" si="1111">SUM(CJ97:CJ98)</f>
        <v>-164684.325882</v>
      </c>
      <c r="CK99" s="20">
        <f t="shared" ref="CK99" si="1112">SUM(CK97:CK98)</f>
        <v>-433335.60932799999</v>
      </c>
      <c r="CL99" s="20">
        <f t="shared" ref="CL99" si="1113">SUM(CL97:CL98)</f>
        <v>-250657.50051899999</v>
      </c>
      <c r="CM99" s="20">
        <f t="shared" ref="CM99" si="1114">SUM(CM97:CM98)</f>
        <v>-196256.672078</v>
      </c>
      <c r="CN99" s="20">
        <f t="shared" ref="CN99" si="1115">SUM(CN97:CN98)</f>
        <v>-248189.21176500001</v>
      </c>
      <c r="CO99" s="20">
        <f t="shared" ref="CO99" si="1116">SUM(CO97:CO98)</f>
        <v>-131650.6403540562</v>
      </c>
      <c r="CP99" s="20">
        <f t="shared" ref="CP99" si="1117">SUM(CP97:CP98)</f>
        <v>-206376.7680511254</v>
      </c>
      <c r="CQ99" s="20">
        <f t="shared" ref="CQ99" si="1118">SUM(CQ97:CQ98)</f>
        <v>-404512.51526711357</v>
      </c>
      <c r="CR99" s="20">
        <f t="shared" ref="CR99" si="1119">SUM(CR97:CR98)</f>
        <v>-180328.60989909031</v>
      </c>
      <c r="CS99" s="20">
        <f t="shared" ref="CS99" si="1120">SUM(CS97:CS98)</f>
        <v>-347930.13637251221</v>
      </c>
      <c r="CT99" s="20">
        <f t="shared" ref="CT99" si="1121">SUM(CT97:CT98)</f>
        <v>-484063.82460048806</v>
      </c>
      <c r="CU99" s="20">
        <f>INDEX($D99:$L99,1,MATCH(CU$2,$D$2:$L$2,))*CU$94</f>
        <v>-235423.46796066602</v>
      </c>
      <c r="CV99" s="20">
        <f t="shared" ref="CV99:FB99" si="1122">INDEX($D99:$L99,1,MATCH(CV$2,$D$2:$L$2,))*CV$94</f>
        <v>-297758.72242991376</v>
      </c>
      <c r="CW99" s="20">
        <f t="shared" si="1122"/>
        <v>-554497.60677956091</v>
      </c>
      <c r="CX99" s="20">
        <f t="shared" si="1122"/>
        <v>-367667.9873245018</v>
      </c>
      <c r="CY99" s="20">
        <f t="shared" si="1122"/>
        <v>-301220.08818841638</v>
      </c>
      <c r="CZ99" s="20">
        <f t="shared" si="1122"/>
        <v>-556238.81061820569</v>
      </c>
      <c r="DA99" s="20">
        <f t="shared" si="1122"/>
        <v>-370818.97079875332</v>
      </c>
      <c r="DB99" s="20">
        <f t="shared" si="1122"/>
        <v>-290886.66992469016</v>
      </c>
      <c r="DC99" s="20">
        <f t="shared" si="1122"/>
        <v>-461154.44855151611</v>
      </c>
      <c r="DD99" s="20">
        <f t="shared" si="1122"/>
        <v>-364548.40297390899</v>
      </c>
      <c r="DE99" s="20">
        <f t="shared" si="1122"/>
        <v>-766195.46952367737</v>
      </c>
      <c r="DF99" s="20">
        <f t="shared" si="1122"/>
        <v>-719776.10304239346</v>
      </c>
      <c r="DG99" s="20">
        <f t="shared" si="1122"/>
        <v>-376475.01618563314</v>
      </c>
      <c r="DH99" s="20">
        <f t="shared" si="1122"/>
        <v>-476157.79691489559</v>
      </c>
      <c r="DI99" s="20">
        <f t="shared" si="1122"/>
        <v>-886719.141874625</v>
      </c>
      <c r="DJ99" s="20">
        <f t="shared" si="1122"/>
        <v>-587952.4784761793</v>
      </c>
      <c r="DK99" s="20">
        <f t="shared" si="1122"/>
        <v>-481693.00434873725</v>
      </c>
      <c r="DL99" s="20">
        <f t="shared" si="1122"/>
        <v>-889503.57007549494</v>
      </c>
      <c r="DM99" s="20">
        <f t="shared" si="1122"/>
        <v>-592991.34127412131</v>
      </c>
      <c r="DN99" s="20">
        <f t="shared" si="1122"/>
        <v>-465168.42486739502</v>
      </c>
      <c r="DO99" s="20">
        <f t="shared" si="1122"/>
        <v>-737450.39093348</v>
      </c>
      <c r="DP99" s="20">
        <f t="shared" si="1122"/>
        <v>-582963.82726372627</v>
      </c>
      <c r="DQ99" s="20">
        <f t="shared" si="1122"/>
        <v>-1225253.6006243834</v>
      </c>
      <c r="DR99" s="20">
        <f t="shared" si="1122"/>
        <v>-1151022.5483900837</v>
      </c>
      <c r="DS99" s="20">
        <f t="shared" si="1122"/>
        <v>-531626.30126979132</v>
      </c>
      <c r="DT99" s="20">
        <f t="shared" si="1122"/>
        <v>-672389.92632068973</v>
      </c>
      <c r="DU99" s="20">
        <f t="shared" si="1122"/>
        <v>-1252150.0694417651</v>
      </c>
      <c r="DV99" s="20">
        <f t="shared" si="1122"/>
        <v>-830256.95734501164</v>
      </c>
      <c r="DW99" s="20">
        <f t="shared" si="1122"/>
        <v>-680206.27993859712</v>
      </c>
      <c r="DX99" s="20">
        <f t="shared" si="1122"/>
        <v>-1256082.0043695529</v>
      </c>
      <c r="DY99" s="20">
        <f t="shared" si="1122"/>
        <v>-837372.41488324839</v>
      </c>
      <c r="DZ99" s="20">
        <f t="shared" si="1122"/>
        <v>-656871.66092798801</v>
      </c>
      <c r="EA99" s="20">
        <f t="shared" si="1122"/>
        <v>-1041365.314686953</v>
      </c>
      <c r="EB99" s="20">
        <f t="shared" si="1122"/>
        <v>-823212.40437766735</v>
      </c>
      <c r="EC99" s="20">
        <f t="shared" si="1122"/>
        <v>-1730199.9118482077</v>
      </c>
      <c r="ED99" s="20">
        <f t="shared" si="1122"/>
        <v>-1625377.0735666179</v>
      </c>
      <c r="EE99" s="20">
        <f t="shared" si="1122"/>
        <v>-735256.03772835364</v>
      </c>
      <c r="EF99" s="20">
        <f t="shared" si="1122"/>
        <v>-929936.59616573644</v>
      </c>
      <c r="EG99" s="20">
        <f t="shared" si="1122"/>
        <v>-1731763.2639695539</v>
      </c>
      <c r="EH99" s="20">
        <f t="shared" si="1122"/>
        <v>-1148271.7075807319</v>
      </c>
      <c r="EI99" s="20">
        <f t="shared" si="1122"/>
        <v>-940746.86115236219</v>
      </c>
      <c r="EJ99" s="20">
        <f t="shared" si="1122"/>
        <v>-1737201.2546948167</v>
      </c>
      <c r="EK99" s="20">
        <f t="shared" si="1122"/>
        <v>-1158112.6110569004</v>
      </c>
      <c r="EL99" s="20">
        <f t="shared" si="1122"/>
        <v>-908474.34289158054</v>
      </c>
      <c r="EM99" s="20">
        <f t="shared" si="1122"/>
        <v>-1440241.2620964451</v>
      </c>
      <c r="EN99" s="20">
        <f t="shared" si="1122"/>
        <v>-1138528.8673751859</v>
      </c>
      <c r="EO99" s="20">
        <f t="shared" si="1122"/>
        <v>-2392921.3596561141</v>
      </c>
      <c r="EP99" s="20">
        <f t="shared" si="1122"/>
        <v>-2247948.0493547316</v>
      </c>
      <c r="EQ99" s="20">
        <f t="shared" si="1122"/>
        <v>-995297.68244769261</v>
      </c>
      <c r="ER99" s="20">
        <f t="shared" si="1122"/>
        <v>-1258831.8782755926</v>
      </c>
      <c r="ES99" s="20">
        <f t="shared" si="1122"/>
        <v>-2344244.5552738924</v>
      </c>
      <c r="ET99" s="20">
        <f t="shared" si="1122"/>
        <v>-1554386.6499979708</v>
      </c>
      <c r="EU99" s="20">
        <f t="shared" si="1122"/>
        <v>-1273465.4632252331</v>
      </c>
      <c r="EV99" s="20">
        <f t="shared" si="1122"/>
        <v>-2351605.8271143096</v>
      </c>
      <c r="EW99" s="20">
        <f t="shared" si="1122"/>
        <v>-1567708.0345503278</v>
      </c>
      <c r="EX99" s="20">
        <f t="shared" si="1122"/>
        <v>-1229778.9635795492</v>
      </c>
      <c r="EY99" s="20">
        <f t="shared" si="1122"/>
        <v>-1949618.5230371933</v>
      </c>
      <c r="EZ99" s="20">
        <f t="shared" si="1122"/>
        <v>-1541198.0112388821</v>
      </c>
      <c r="FA99" s="20">
        <f t="shared" si="1122"/>
        <v>-3239237.7094973805</v>
      </c>
      <c r="FB99" s="20">
        <f t="shared" si="1122"/>
        <v>-3042990.9704627185</v>
      </c>
    </row>
    <row r="100" spans="3:158" x14ac:dyDescent="0.25">
      <c r="C100" s="28" t="s">
        <v>615</v>
      </c>
      <c r="D100" s="76">
        <f>D97/D99</f>
        <v>0.17409763522279922</v>
      </c>
      <c r="E100" s="76">
        <f t="shared" ref="E100:G100" si="1123">E97/E99</f>
        <v>0.1390199081571846</v>
      </c>
      <c r="F100" s="76">
        <f t="shared" si="1123"/>
        <v>0.17552814761701771</v>
      </c>
      <c r="G100" s="76">
        <f t="shared" si="1123"/>
        <v>0.19918862987936242</v>
      </c>
      <c r="H100" s="261">
        <f t="shared" ref="H100:L100" si="1124">G100</f>
        <v>0.19918862987936242</v>
      </c>
      <c r="I100" s="261">
        <f t="shared" si="1124"/>
        <v>0.19918862987936242</v>
      </c>
      <c r="J100" s="261">
        <f t="shared" si="1124"/>
        <v>0.19918862987936242</v>
      </c>
      <c r="K100" s="261">
        <f t="shared" si="1124"/>
        <v>0.19918862987936242</v>
      </c>
      <c r="L100" s="261">
        <f t="shared" si="1124"/>
        <v>0.19918862987936242</v>
      </c>
      <c r="N100" s="76">
        <f t="shared" ref="N100:AW100" si="1125">IFERROR(N97/N99,"")</f>
        <v>0.16130316016486293</v>
      </c>
      <c r="O100" s="76">
        <f t="shared" si="1125"/>
        <v>0.14267185473411154</v>
      </c>
      <c r="P100" s="76">
        <f t="shared" si="1125"/>
        <v>0.15386115206980172</v>
      </c>
      <c r="Q100" s="76">
        <f t="shared" si="1125"/>
        <v>0.1976205203621488</v>
      </c>
      <c r="R100" s="76">
        <f t="shared" si="1125"/>
        <v>0.24977197692791903</v>
      </c>
      <c r="S100" s="76">
        <f t="shared" si="1125"/>
        <v>0.12077685124804018</v>
      </c>
      <c r="T100" s="76">
        <f t="shared" si="1125"/>
        <v>0.14076778554000349</v>
      </c>
      <c r="U100" s="76">
        <f t="shared" si="1125"/>
        <v>8.9826276295309787E-2</v>
      </c>
      <c r="V100" s="76">
        <f t="shared" si="1125"/>
        <v>0.13040355140919604</v>
      </c>
      <c r="W100" s="76">
        <f t="shared" si="1125"/>
        <v>0.14818356948073164</v>
      </c>
      <c r="X100" s="76">
        <f t="shared" si="1125"/>
        <v>0.10303446527144065</v>
      </c>
      <c r="Y100" s="76">
        <f t="shared" si="1125"/>
        <v>0.29464006635393336</v>
      </c>
      <c r="Z100" s="76">
        <f t="shared" si="1125"/>
        <v>0.22926993070445245</v>
      </c>
      <c r="AA100" s="76">
        <f t="shared" si="1125"/>
        <v>0.15490035898016297</v>
      </c>
      <c r="AB100" s="76">
        <f t="shared" si="1125"/>
        <v>0.20278306093848289</v>
      </c>
      <c r="AC100" s="76">
        <f t="shared" si="1125"/>
        <v>0.20278306093848292</v>
      </c>
      <c r="AD100" s="76">
        <f t="shared" si="1125"/>
        <v>0.19918862987936245</v>
      </c>
      <c r="AE100" s="76">
        <f t="shared" si="1125"/>
        <v>0.19918862987936245</v>
      </c>
      <c r="AF100" s="76">
        <f t="shared" si="1125"/>
        <v>0.19918862987936239</v>
      </c>
      <c r="AG100" s="76">
        <f t="shared" si="1125"/>
        <v>0.19918862987936239</v>
      </c>
      <c r="AH100" s="76">
        <f t="shared" si="1125"/>
        <v>0.19918862987936239</v>
      </c>
      <c r="AI100" s="76">
        <f t="shared" si="1125"/>
        <v>0.19918862987936242</v>
      </c>
      <c r="AJ100" s="76">
        <f t="shared" si="1125"/>
        <v>0.19918862987936242</v>
      </c>
      <c r="AK100" s="76">
        <f t="shared" si="1125"/>
        <v>0.19918862987936242</v>
      </c>
      <c r="AL100" s="76">
        <f t="shared" si="1125"/>
        <v>0.19918862987936239</v>
      </c>
      <c r="AM100" s="76">
        <f t="shared" si="1125"/>
        <v>0.19918862987936239</v>
      </c>
      <c r="AN100" s="76">
        <f t="shared" si="1125"/>
        <v>0.19918862987936245</v>
      </c>
      <c r="AO100" s="76">
        <f t="shared" si="1125"/>
        <v>0.19918862987936242</v>
      </c>
      <c r="AP100" s="76">
        <f t="shared" si="1125"/>
        <v>0.19918862987936242</v>
      </c>
      <c r="AQ100" s="76">
        <f t="shared" si="1125"/>
        <v>0.19918862987936245</v>
      </c>
      <c r="AR100" s="76">
        <f t="shared" si="1125"/>
        <v>0.19918862987936239</v>
      </c>
      <c r="AS100" s="76">
        <f t="shared" si="1125"/>
        <v>0.19918862987936242</v>
      </c>
      <c r="AT100" s="76">
        <f t="shared" si="1125"/>
        <v>0.19918862987936242</v>
      </c>
      <c r="AU100" s="76">
        <f t="shared" si="1125"/>
        <v>0.19918862987936239</v>
      </c>
      <c r="AV100" s="76">
        <f t="shared" si="1125"/>
        <v>0.19918862987936245</v>
      </c>
      <c r="AW100" s="76">
        <f t="shared" si="1125"/>
        <v>0.19918862987936242</v>
      </c>
      <c r="AY100" s="76">
        <f>IFERROR(AY97/AY99,"")</f>
        <v>0</v>
      </c>
      <c r="AZ100" s="76">
        <f t="shared" ref="AZ100:CT100" si="1126">IFERROR(AZ97/AZ99,"")</f>
        <v>1.9622500467202392E-2</v>
      </c>
      <c r="BA100" s="76">
        <f t="shared" si="1126"/>
        <v>0.31389519188512904</v>
      </c>
      <c r="BB100" s="76">
        <f t="shared" si="1126"/>
        <v>0.17647058823529413</v>
      </c>
      <c r="BC100" s="76">
        <f t="shared" si="1126"/>
        <v>0.18324607329842932</v>
      </c>
      <c r="BD100" s="76">
        <f t="shared" si="1126"/>
        <v>6.25E-2</v>
      </c>
      <c r="BE100" s="76" t="str">
        <f t="shared" si="1126"/>
        <v/>
      </c>
      <c r="BF100" s="76">
        <f t="shared" si="1126"/>
        <v>1.8561140396465958E-5</v>
      </c>
      <c r="BG100" s="76">
        <f t="shared" si="1126"/>
        <v>0.44793329785346814</v>
      </c>
      <c r="BH100" s="76" t="str">
        <f t="shared" si="1126"/>
        <v/>
      </c>
      <c r="BI100" s="76">
        <f t="shared" si="1126"/>
        <v>0</v>
      </c>
      <c r="BJ100" s="76">
        <f t="shared" si="1126"/>
        <v>0.27184470059114002</v>
      </c>
      <c r="BK100" s="76">
        <f t="shared" si="1126"/>
        <v>0.57746478873239437</v>
      </c>
      <c r="BL100" s="76">
        <f t="shared" si="1126"/>
        <v>6.42669391584887E-6</v>
      </c>
      <c r="BM100" s="76">
        <f t="shared" si="1126"/>
        <v>0.31067669172932333</v>
      </c>
      <c r="BN100" s="76">
        <f t="shared" si="1126"/>
        <v>0.24975807519532245</v>
      </c>
      <c r="BO100" s="76">
        <f t="shared" si="1126"/>
        <v>0</v>
      </c>
      <c r="BP100" s="76">
        <f t="shared" si="1126"/>
        <v>9.2221187594011891E-2</v>
      </c>
      <c r="BQ100" s="76">
        <f t="shared" si="1126"/>
        <v>6.596381522505862E-2</v>
      </c>
      <c r="BR100" s="76">
        <f t="shared" si="1126"/>
        <v>0.11224744325268146</v>
      </c>
      <c r="BS100" s="76">
        <f t="shared" si="1126"/>
        <v>0.20660188771811638</v>
      </c>
      <c r="BT100" s="76">
        <f t="shared" si="1126"/>
        <v>0</v>
      </c>
      <c r="BU100" s="76">
        <f t="shared" si="1126"/>
        <v>5.2642785253638198E-2</v>
      </c>
      <c r="BV100" s="76">
        <f t="shared" si="1126"/>
        <v>0.12130804574632743</v>
      </c>
      <c r="BW100" s="76">
        <f t="shared" si="1126"/>
        <v>8.2050796775048257E-2</v>
      </c>
      <c r="BX100" s="76">
        <f t="shared" si="1126"/>
        <v>0.13338900874567935</v>
      </c>
      <c r="BY100" s="76">
        <f t="shared" si="1126"/>
        <v>0.17605527890491993</v>
      </c>
      <c r="BZ100" s="76">
        <f t="shared" si="1126"/>
        <v>0.18022855523711204</v>
      </c>
      <c r="CA100" s="76">
        <f t="shared" si="1126"/>
        <v>0.2398040555673854</v>
      </c>
      <c r="CB100" s="76">
        <f t="shared" si="1126"/>
        <v>2.7442371020856204E-3</v>
      </c>
      <c r="CC100" s="76">
        <f t="shared" si="1126"/>
        <v>0.10989821921141625</v>
      </c>
      <c r="CD100" s="76">
        <f t="shared" si="1126"/>
        <v>0.11557642813310008</v>
      </c>
      <c r="CE100" s="76">
        <f t="shared" si="1126"/>
        <v>8.8755509447000488E-2</v>
      </c>
      <c r="CF100" s="76">
        <f t="shared" si="1126"/>
        <v>0.17958227209147748</v>
      </c>
      <c r="CG100" s="76">
        <f t="shared" si="1126"/>
        <v>0.45708483215138535</v>
      </c>
      <c r="CH100" s="76">
        <f t="shared" si="1126"/>
        <v>0.18654671833663417</v>
      </c>
      <c r="CI100" s="76">
        <f t="shared" si="1126"/>
        <v>0.25654229890249736</v>
      </c>
      <c r="CJ100" s="76">
        <f t="shared" si="1126"/>
        <v>0.26808865848978525</v>
      </c>
      <c r="CK100" s="76">
        <f t="shared" si="1126"/>
        <v>0.20094320567385135</v>
      </c>
      <c r="CL100" s="76">
        <f t="shared" si="1126"/>
        <v>6.9778083495547413E-2</v>
      </c>
      <c r="CM100" s="76">
        <f t="shared" si="1126"/>
        <v>0.22822339384313303</v>
      </c>
      <c r="CN100" s="76">
        <f t="shared" si="1126"/>
        <v>0.1828886907581577</v>
      </c>
      <c r="CO100" s="76">
        <f t="shared" si="1126"/>
        <v>0.20278306093848292</v>
      </c>
      <c r="CP100" s="76">
        <f t="shared" si="1126"/>
        <v>0.20278306093848292</v>
      </c>
      <c r="CQ100" s="76">
        <f t="shared" si="1126"/>
        <v>0.20278306093848289</v>
      </c>
      <c r="CR100" s="76">
        <f t="shared" si="1126"/>
        <v>0.20278306093848289</v>
      </c>
      <c r="CS100" s="76">
        <f t="shared" si="1126"/>
        <v>0.20278306093848295</v>
      </c>
      <c r="CT100" s="76">
        <f t="shared" si="1126"/>
        <v>0.20278306093848289</v>
      </c>
      <c r="CU100" s="85">
        <f t="shared" ref="CU100:FB100" si="1127">INDEX($D100:$L100,1,MATCH(CU$2,$D$2:$L$2,0))</f>
        <v>0.19918862987936242</v>
      </c>
      <c r="CV100" s="85">
        <f t="shared" si="1127"/>
        <v>0.19918862987936242</v>
      </c>
      <c r="CW100" s="85">
        <f t="shared" si="1127"/>
        <v>0.19918862987936242</v>
      </c>
      <c r="CX100" s="85">
        <f t="shared" si="1127"/>
        <v>0.19918862987936242</v>
      </c>
      <c r="CY100" s="85">
        <f t="shared" si="1127"/>
        <v>0.19918862987936242</v>
      </c>
      <c r="CZ100" s="85">
        <f t="shared" si="1127"/>
        <v>0.19918862987936242</v>
      </c>
      <c r="DA100" s="85">
        <f t="shared" si="1127"/>
        <v>0.19918862987936242</v>
      </c>
      <c r="DB100" s="85">
        <f t="shared" si="1127"/>
        <v>0.19918862987936242</v>
      </c>
      <c r="DC100" s="85">
        <f t="shared" si="1127"/>
        <v>0.19918862987936242</v>
      </c>
      <c r="DD100" s="85">
        <f t="shared" si="1127"/>
        <v>0.19918862987936242</v>
      </c>
      <c r="DE100" s="85">
        <f t="shared" si="1127"/>
        <v>0.19918862987936242</v>
      </c>
      <c r="DF100" s="85">
        <f t="shared" si="1127"/>
        <v>0.19918862987936242</v>
      </c>
      <c r="DG100" s="85">
        <f t="shared" si="1127"/>
        <v>0.19918862987936242</v>
      </c>
      <c r="DH100" s="85">
        <f t="shared" si="1127"/>
        <v>0.19918862987936242</v>
      </c>
      <c r="DI100" s="85">
        <f t="shared" si="1127"/>
        <v>0.19918862987936242</v>
      </c>
      <c r="DJ100" s="85">
        <f t="shared" si="1127"/>
        <v>0.19918862987936242</v>
      </c>
      <c r="DK100" s="85">
        <f t="shared" si="1127"/>
        <v>0.19918862987936242</v>
      </c>
      <c r="DL100" s="85">
        <f t="shared" si="1127"/>
        <v>0.19918862987936242</v>
      </c>
      <c r="DM100" s="85">
        <f t="shared" si="1127"/>
        <v>0.19918862987936242</v>
      </c>
      <c r="DN100" s="85">
        <f t="shared" si="1127"/>
        <v>0.19918862987936242</v>
      </c>
      <c r="DO100" s="85">
        <f t="shared" si="1127"/>
        <v>0.19918862987936242</v>
      </c>
      <c r="DP100" s="85">
        <f t="shared" si="1127"/>
        <v>0.19918862987936242</v>
      </c>
      <c r="DQ100" s="85">
        <f t="shared" si="1127"/>
        <v>0.19918862987936242</v>
      </c>
      <c r="DR100" s="85">
        <f t="shared" si="1127"/>
        <v>0.19918862987936242</v>
      </c>
      <c r="DS100" s="85">
        <f t="shared" si="1127"/>
        <v>0.19918862987936242</v>
      </c>
      <c r="DT100" s="85">
        <f t="shared" si="1127"/>
        <v>0.19918862987936242</v>
      </c>
      <c r="DU100" s="85">
        <f t="shared" si="1127"/>
        <v>0.19918862987936242</v>
      </c>
      <c r="DV100" s="85">
        <f t="shared" si="1127"/>
        <v>0.19918862987936242</v>
      </c>
      <c r="DW100" s="85">
        <f t="shared" si="1127"/>
        <v>0.19918862987936242</v>
      </c>
      <c r="DX100" s="85">
        <f t="shared" si="1127"/>
        <v>0.19918862987936242</v>
      </c>
      <c r="DY100" s="85">
        <f t="shared" si="1127"/>
        <v>0.19918862987936242</v>
      </c>
      <c r="DZ100" s="85">
        <f t="shared" si="1127"/>
        <v>0.19918862987936242</v>
      </c>
      <c r="EA100" s="85">
        <f t="shared" si="1127"/>
        <v>0.19918862987936242</v>
      </c>
      <c r="EB100" s="85">
        <f t="shared" si="1127"/>
        <v>0.19918862987936242</v>
      </c>
      <c r="EC100" s="85">
        <f t="shared" si="1127"/>
        <v>0.19918862987936242</v>
      </c>
      <c r="ED100" s="85">
        <f t="shared" si="1127"/>
        <v>0.19918862987936242</v>
      </c>
      <c r="EE100" s="85">
        <f t="shared" si="1127"/>
        <v>0.19918862987936242</v>
      </c>
      <c r="EF100" s="85">
        <f t="shared" si="1127"/>
        <v>0.19918862987936242</v>
      </c>
      <c r="EG100" s="85">
        <f t="shared" si="1127"/>
        <v>0.19918862987936242</v>
      </c>
      <c r="EH100" s="85">
        <f t="shared" si="1127"/>
        <v>0.19918862987936242</v>
      </c>
      <c r="EI100" s="85">
        <f t="shared" si="1127"/>
        <v>0.19918862987936242</v>
      </c>
      <c r="EJ100" s="85">
        <f t="shared" si="1127"/>
        <v>0.19918862987936242</v>
      </c>
      <c r="EK100" s="85">
        <f t="shared" si="1127"/>
        <v>0.19918862987936242</v>
      </c>
      <c r="EL100" s="85">
        <f t="shared" si="1127"/>
        <v>0.19918862987936242</v>
      </c>
      <c r="EM100" s="85">
        <f t="shared" si="1127"/>
        <v>0.19918862987936242</v>
      </c>
      <c r="EN100" s="85">
        <f t="shared" si="1127"/>
        <v>0.19918862987936242</v>
      </c>
      <c r="EO100" s="85">
        <f t="shared" si="1127"/>
        <v>0.19918862987936242</v>
      </c>
      <c r="EP100" s="85">
        <f t="shared" si="1127"/>
        <v>0.19918862987936242</v>
      </c>
      <c r="EQ100" s="85">
        <f t="shared" si="1127"/>
        <v>0.19918862987936242</v>
      </c>
      <c r="ER100" s="85">
        <f t="shared" si="1127"/>
        <v>0.19918862987936242</v>
      </c>
      <c r="ES100" s="85">
        <f t="shared" si="1127"/>
        <v>0.19918862987936242</v>
      </c>
      <c r="ET100" s="85">
        <f t="shared" si="1127"/>
        <v>0.19918862987936242</v>
      </c>
      <c r="EU100" s="85">
        <f t="shared" si="1127"/>
        <v>0.19918862987936242</v>
      </c>
      <c r="EV100" s="85">
        <f t="shared" si="1127"/>
        <v>0.19918862987936242</v>
      </c>
      <c r="EW100" s="85">
        <f t="shared" si="1127"/>
        <v>0.19918862987936242</v>
      </c>
      <c r="EX100" s="85">
        <f t="shared" si="1127"/>
        <v>0.19918862987936242</v>
      </c>
      <c r="EY100" s="85">
        <f t="shared" si="1127"/>
        <v>0.19918862987936242</v>
      </c>
      <c r="EZ100" s="85">
        <f t="shared" si="1127"/>
        <v>0.19918862987936242</v>
      </c>
      <c r="FA100" s="85">
        <f t="shared" si="1127"/>
        <v>0.19918862987936242</v>
      </c>
      <c r="FB100" s="85">
        <f t="shared" si="1127"/>
        <v>0.19918862987936242</v>
      </c>
    </row>
    <row r="102" spans="3:158" x14ac:dyDescent="0.25">
      <c r="C102" s="1" t="s">
        <v>608</v>
      </c>
    </row>
    <row r="103" spans="3:158" x14ac:dyDescent="0.25">
      <c r="C103" s="258" t="s">
        <v>583</v>
      </c>
      <c r="D103" s="20">
        <f t="shared" ref="D103:L104" si="1128">SUMIF($AY$2:$FB$2,D$2,$AY103:$FB103)</f>
        <v>-91265</v>
      </c>
      <c r="E103" s="20">
        <f t="shared" si="1128"/>
        <v>-132447.25</v>
      </c>
      <c r="F103" s="20">
        <f t="shared" si="1128"/>
        <v>-374225.74000000005</v>
      </c>
      <c r="G103" s="20">
        <f t="shared" si="1128"/>
        <v>-771029.74174830795</v>
      </c>
      <c r="H103" s="20">
        <f t="shared" si="1128"/>
        <v>-1316911.2003414431</v>
      </c>
      <c r="I103" s="20">
        <f t="shared" si="1128"/>
        <v>-1945251.5247633921</v>
      </c>
      <c r="J103" s="20">
        <f t="shared" si="1128"/>
        <v>-2779016.1975932093</v>
      </c>
      <c r="K103" s="20">
        <f t="shared" si="1128"/>
        <v>-3862661.0734715476</v>
      </c>
      <c r="L103" s="20">
        <f t="shared" si="1128"/>
        <v>-5239081.5963725559</v>
      </c>
      <c r="N103" s="20">
        <f t="shared" ref="N103:N104" si="1129">SUM(AY103:BA103)</f>
        <v>-27665</v>
      </c>
      <c r="O103" s="20">
        <f t="shared" ref="O103:O104" si="1130">SUM(BB103:BD103)</f>
        <v>-21000</v>
      </c>
      <c r="P103" s="20">
        <f t="shared" ref="P103:P104" si="1131">SUM(BE103:BG103)</f>
        <v>-36600</v>
      </c>
      <c r="Q103" s="20">
        <f t="shared" ref="Q103:Q104" si="1132">SUM(BH103:BJ103)</f>
        <v>-6000</v>
      </c>
      <c r="R103" s="20">
        <f t="shared" ref="R103:R104" si="1133">SUM(BK103:BM103)</f>
        <v>-16884.25</v>
      </c>
      <c r="S103" s="20">
        <f t="shared" ref="S103:S104" si="1134">SUM(BN103:BP103)</f>
        <v>-62400</v>
      </c>
      <c r="T103" s="20">
        <f t="shared" ref="T103:T104" si="1135">SUM(BQ103:BS103)</f>
        <v>-2375</v>
      </c>
      <c r="U103" s="20">
        <f t="shared" ref="U103:U104" si="1136">SUM(BT103:BV103)</f>
        <v>-50788</v>
      </c>
      <c r="V103" s="20">
        <f t="shared" ref="V103:V104" si="1137">SUM(BW103:BY103)</f>
        <v>-84540</v>
      </c>
      <c r="W103" s="20">
        <f t="shared" ref="W103:W104" si="1138">SUM(BZ103:CB103)</f>
        <v>-79712.179999999993</v>
      </c>
      <c r="X103" s="20">
        <f t="shared" ref="X103:X104" si="1139">SUM(CC103:CE103)</f>
        <v>-116608.33</v>
      </c>
      <c r="Y103" s="20">
        <f t="shared" ref="Y103:Y104" si="1140">SUM(CF103:CH103)</f>
        <v>-93365.23000000001</v>
      </c>
      <c r="Z103" s="20">
        <f t="shared" ref="Z103:Z104" si="1141">SUM(CI103:CK103)</f>
        <v>-139240.1</v>
      </c>
      <c r="AA103" s="20">
        <f t="shared" ref="AA103:AA104" si="1142">SUM(CL103:CN103)</f>
        <v>-260784.03</v>
      </c>
      <c r="AB103" s="20">
        <f t="shared" ref="AB103:AB104" si="1143">SUM(CO103:CQ103)</f>
        <v>-155839.7432855806</v>
      </c>
      <c r="AC103" s="20">
        <f t="shared" ref="AC103:AC104" si="1144">SUM(CR103:CT103)</f>
        <v>-215165.86846272729</v>
      </c>
      <c r="AD103" s="20">
        <f t="shared" ref="AD103:AD104" si="1145">SUM(CU103:CW103)</f>
        <v>-270966.15680271084</v>
      </c>
      <c r="AE103" s="20">
        <f t="shared" ref="AE103:AE104" si="1146">SUM(CX103:CZ103)</f>
        <v>-305207.40092287911</v>
      </c>
      <c r="AF103" s="20">
        <f t="shared" ref="AF103:AF104" si="1147">SUM(DA103:DC103)</f>
        <v>-279730.38003425475</v>
      </c>
      <c r="AG103" s="20">
        <f t="shared" ref="AG103:AG104" si="1148">SUM(DD103:DF103)</f>
        <v>-461007.26258159842</v>
      </c>
      <c r="AH103" s="20">
        <f t="shared" ref="AH103:AH104" si="1149">SUM(DG103:DI103)</f>
        <v>-400252.75018018374</v>
      </c>
      <c r="AI103" s="20">
        <f t="shared" ref="AI103:AI104" si="1150">SUM(DJ103:DL103)</f>
        <v>-450831.58367881528</v>
      </c>
      <c r="AJ103" s="20">
        <f t="shared" ref="AJ103:AJ104" si="1151">SUM(DM103:DO103)</f>
        <v>-413198.66376957938</v>
      </c>
      <c r="AK103" s="20">
        <f t="shared" ref="AK103:AK104" si="1152">SUM(DP103:DR103)</f>
        <v>-680968.52713481337</v>
      </c>
      <c r="AL103" s="20">
        <f t="shared" ref="AL103:AL104" si="1153">SUM(DS103:DU103)</f>
        <v>-571807.22478408203</v>
      </c>
      <c r="AM103" s="20">
        <f t="shared" ref="AM103:AM104" si="1154">SUM(DV103:DX103)</f>
        <v>-644064.92295767111</v>
      </c>
      <c r="AN103" s="20">
        <f t="shared" ref="AN103:AN104" si="1155">SUM(DY103:EA103)</f>
        <v>-590301.95572225633</v>
      </c>
      <c r="AO103" s="20">
        <f t="shared" ref="AO103:AO104" si="1156">SUM(EB103:ED103)</f>
        <v>-972842.09412919986</v>
      </c>
      <c r="AP103" s="20">
        <f t="shared" ref="AP103:AP104" si="1157">SUM(EE103:EG103)</f>
        <v>-794776.76690626354</v>
      </c>
      <c r="AQ103" s="20">
        <f t="shared" ref="AQ103:AQ104" si="1158">SUM(EH103:EJ103)</f>
        <v>-895210.50969462923</v>
      </c>
      <c r="AR103" s="20">
        <f t="shared" ref="AR103:AR104" si="1159">SUM(EK103:EM103)</f>
        <v>-820483.30194592476</v>
      </c>
      <c r="AS103" s="20">
        <f t="shared" ref="AS103:AS104" si="1160">SUM(EN103:EP103)</f>
        <v>-1352190.4949247304</v>
      </c>
      <c r="AT103" s="20">
        <f t="shared" ref="AT103:AT104" si="1161">SUM(EQ103:ES103)</f>
        <v>-1077987.494507459</v>
      </c>
      <c r="AU103" s="20">
        <f t="shared" ref="AU103:AU104" si="1162">SUM(ET103:EV103)</f>
        <v>-1214209.7939763688</v>
      </c>
      <c r="AV103" s="20">
        <f t="shared" ref="AV103:AV104" si="1163">SUM(EW103:EY103)</f>
        <v>-1112854.2954177842</v>
      </c>
      <c r="AW103" s="20">
        <f t="shared" ref="AW103:AW104" si="1164">SUM(EZ103:FB103)</f>
        <v>-1834030.0124709439</v>
      </c>
      <c r="AY103" s="20">
        <f t="shared" ref="AY103" si="1165">AY21</f>
        <v>-27665</v>
      </c>
      <c r="AZ103" s="20">
        <f t="shared" ref="AZ103:CT103" si="1166">AZ21</f>
        <v>0</v>
      </c>
      <c r="BA103" s="20">
        <f t="shared" si="1166"/>
        <v>0</v>
      </c>
      <c r="BB103" s="20">
        <f t="shared" si="1166"/>
        <v>-21000</v>
      </c>
      <c r="BC103" s="20">
        <f t="shared" si="1166"/>
        <v>0</v>
      </c>
      <c r="BD103" s="20">
        <f t="shared" si="1166"/>
        <v>0</v>
      </c>
      <c r="BE103" s="20">
        <f t="shared" si="1166"/>
        <v>-2250</v>
      </c>
      <c r="BF103" s="20">
        <f t="shared" si="1166"/>
        <v>-3000</v>
      </c>
      <c r="BG103" s="20">
        <f t="shared" si="1166"/>
        <v>-31350</v>
      </c>
      <c r="BH103" s="20">
        <f t="shared" si="1166"/>
        <v>0</v>
      </c>
      <c r="BI103" s="20">
        <f t="shared" si="1166"/>
        <v>-6000</v>
      </c>
      <c r="BJ103" s="20">
        <f t="shared" si="1166"/>
        <v>0</v>
      </c>
      <c r="BK103" s="20">
        <f t="shared" si="1166"/>
        <v>0</v>
      </c>
      <c r="BL103" s="20">
        <f t="shared" si="1166"/>
        <v>-16884.25</v>
      </c>
      <c r="BM103" s="20">
        <f t="shared" si="1166"/>
        <v>0</v>
      </c>
      <c r="BN103" s="20">
        <f t="shared" si="1166"/>
        <v>-20000</v>
      </c>
      <c r="BO103" s="20">
        <f t="shared" si="1166"/>
        <v>-29500</v>
      </c>
      <c r="BP103" s="20">
        <f t="shared" si="1166"/>
        <v>-12900</v>
      </c>
      <c r="BQ103" s="20">
        <f t="shared" si="1166"/>
        <v>0</v>
      </c>
      <c r="BR103" s="20">
        <f t="shared" si="1166"/>
        <v>-2375</v>
      </c>
      <c r="BS103" s="20">
        <f t="shared" si="1166"/>
        <v>0</v>
      </c>
      <c r="BT103" s="20">
        <f t="shared" si="1166"/>
        <v>0</v>
      </c>
      <c r="BU103" s="20">
        <f t="shared" si="1166"/>
        <v>-33000</v>
      </c>
      <c r="BV103" s="20">
        <f t="shared" si="1166"/>
        <v>-17788</v>
      </c>
      <c r="BW103" s="20">
        <f t="shared" si="1166"/>
        <v>-9900</v>
      </c>
      <c r="BX103" s="20">
        <f t="shared" si="1166"/>
        <v>-17000</v>
      </c>
      <c r="BY103" s="20">
        <f t="shared" si="1166"/>
        <v>-57640</v>
      </c>
      <c r="BZ103" s="20">
        <f t="shared" si="1166"/>
        <v>-46000</v>
      </c>
      <c r="CA103" s="20">
        <f t="shared" si="1166"/>
        <v>-2700</v>
      </c>
      <c r="CB103" s="20">
        <f t="shared" si="1166"/>
        <v>-31012.18</v>
      </c>
      <c r="CC103" s="20">
        <f t="shared" si="1166"/>
        <v>-26490</v>
      </c>
      <c r="CD103" s="20">
        <f t="shared" si="1166"/>
        <v>-10118.33</v>
      </c>
      <c r="CE103" s="20">
        <f t="shared" si="1166"/>
        <v>-80000</v>
      </c>
      <c r="CF103" s="20">
        <f t="shared" si="1166"/>
        <v>0</v>
      </c>
      <c r="CG103" s="20">
        <f t="shared" si="1166"/>
        <v>-54862.83</v>
      </c>
      <c r="CH103" s="20">
        <f t="shared" si="1166"/>
        <v>-38502.400000000001</v>
      </c>
      <c r="CI103" s="20">
        <f t="shared" si="1166"/>
        <v>-65940.100000000006</v>
      </c>
      <c r="CJ103" s="20">
        <f t="shared" si="1166"/>
        <v>-34050</v>
      </c>
      <c r="CK103" s="20">
        <f t="shared" si="1166"/>
        <v>-39250</v>
      </c>
      <c r="CL103" s="20">
        <f t="shared" si="1166"/>
        <v>-30500</v>
      </c>
      <c r="CM103" s="20">
        <f t="shared" si="1166"/>
        <v>-124510</v>
      </c>
      <c r="CN103" s="20">
        <f t="shared" si="1166"/>
        <v>-105774.03</v>
      </c>
      <c r="CO103" s="20">
        <f t="shared" si="1166"/>
        <v>-24107.032246215145</v>
      </c>
      <c r="CP103" s="20">
        <f t="shared" si="1166"/>
        <v>-45719.858515981781</v>
      </c>
      <c r="CQ103" s="20">
        <f t="shared" si="1166"/>
        <v>-86012.852523383684</v>
      </c>
      <c r="CR103" s="20">
        <f t="shared" si="1166"/>
        <v>-19358.258659691426</v>
      </c>
      <c r="CS103" s="20">
        <f t="shared" si="1166"/>
        <v>-90645.593961045932</v>
      </c>
      <c r="CT103" s="20">
        <f t="shared" si="1166"/>
        <v>-105162.01584198991</v>
      </c>
      <c r="CU103" s="20">
        <f>CU105*CU106</f>
        <v>-58649.422836056547</v>
      </c>
      <c r="CV103" s="20">
        <f t="shared" ref="CV103:FB103" si="1167">CV105*CV106</f>
        <v>-74178.574320525033</v>
      </c>
      <c r="CW103" s="20">
        <f t="shared" si="1167"/>
        <v>-138138.15964612926</v>
      </c>
      <c r="CX103" s="20">
        <f t="shared" si="1167"/>
        <v>-91594.586719278814</v>
      </c>
      <c r="CY103" s="20">
        <f t="shared" si="1167"/>
        <v>-75040.880469182142</v>
      </c>
      <c r="CZ103" s="20">
        <f t="shared" si="1167"/>
        <v>-138571.93373441815</v>
      </c>
      <c r="DA103" s="20">
        <f t="shared" si="1167"/>
        <v>-92379.569472832009</v>
      </c>
      <c r="DB103" s="20">
        <f t="shared" si="1167"/>
        <v>-72466.58733544765</v>
      </c>
      <c r="DC103" s="20">
        <f t="shared" si="1167"/>
        <v>-114884.2232259751</v>
      </c>
      <c r="DD103" s="20">
        <f t="shared" si="1167"/>
        <v>-90817.42621257338</v>
      </c>
      <c r="DE103" s="20">
        <f t="shared" si="1167"/>
        <v>-190876.986293792</v>
      </c>
      <c r="DF103" s="20">
        <f t="shared" si="1167"/>
        <v>-179312.85007523303</v>
      </c>
      <c r="DG103" s="20">
        <f t="shared" si="1167"/>
        <v>-86632.932553654085</v>
      </c>
      <c r="DH103" s="20">
        <f t="shared" si="1167"/>
        <v>-109571.53737044946</v>
      </c>
      <c r="DI103" s="20">
        <f t="shared" si="1167"/>
        <v>-204048.28025608021</v>
      </c>
      <c r="DJ103" s="20">
        <f t="shared" si="1167"/>
        <v>-135297.28460776515</v>
      </c>
      <c r="DK103" s="20">
        <f t="shared" si="1167"/>
        <v>-110845.27727793387</v>
      </c>
      <c r="DL103" s="20">
        <f t="shared" si="1167"/>
        <v>-204689.02179311629</v>
      </c>
      <c r="DM103" s="20">
        <f t="shared" si="1167"/>
        <v>-136456.80766282487</v>
      </c>
      <c r="DN103" s="20">
        <f t="shared" si="1167"/>
        <v>-107042.70680675357</v>
      </c>
      <c r="DO103" s="20">
        <f t="shared" si="1167"/>
        <v>-169699.14930000089</v>
      </c>
      <c r="DP103" s="20">
        <f t="shared" si="1167"/>
        <v>-134149.31604294264</v>
      </c>
      <c r="DQ103" s="20">
        <f t="shared" si="1167"/>
        <v>-281950.48271589604</v>
      </c>
      <c r="DR103" s="20">
        <f t="shared" si="1167"/>
        <v>-264868.72837597475</v>
      </c>
      <c r="DS103" s="20">
        <f t="shared" si="1167"/>
        <v>-123765.13769389724</v>
      </c>
      <c r="DT103" s="20">
        <f t="shared" si="1167"/>
        <v>-156535.58075720121</v>
      </c>
      <c r="DU103" s="20">
        <f t="shared" si="1167"/>
        <v>-291506.50633298355</v>
      </c>
      <c r="DV103" s="20">
        <f t="shared" si="1167"/>
        <v>-193287.77827900235</v>
      </c>
      <c r="DW103" s="20">
        <f t="shared" si="1167"/>
        <v>-158355.26514729601</v>
      </c>
      <c r="DX103" s="20">
        <f t="shared" si="1167"/>
        <v>-292421.87953137269</v>
      </c>
      <c r="DY103" s="20">
        <f t="shared" si="1167"/>
        <v>-194944.29071992473</v>
      </c>
      <c r="DZ103" s="20">
        <f t="shared" si="1167"/>
        <v>-152922.85458373919</v>
      </c>
      <c r="EA103" s="20">
        <f t="shared" si="1167"/>
        <v>-242434.81041859245</v>
      </c>
      <c r="EB103" s="20">
        <f t="shared" si="1167"/>
        <v>-191647.77276025194</v>
      </c>
      <c r="EC103" s="20">
        <f t="shared" si="1167"/>
        <v>-402798.78895455675</v>
      </c>
      <c r="ED103" s="20">
        <f t="shared" si="1167"/>
        <v>-378395.53241439123</v>
      </c>
      <c r="EE103" s="20">
        <f t="shared" si="1167"/>
        <v>-172025.90615955868</v>
      </c>
      <c r="EF103" s="20">
        <f t="shared" si="1167"/>
        <v>-217574.80036559701</v>
      </c>
      <c r="EG103" s="20">
        <f t="shared" si="1167"/>
        <v>-405176.06038110785</v>
      </c>
      <c r="EH103" s="20">
        <f t="shared" si="1167"/>
        <v>-268658.08762925008</v>
      </c>
      <c r="EI103" s="20">
        <f t="shared" si="1167"/>
        <v>-220104.04940909319</v>
      </c>
      <c r="EJ103" s="20">
        <f t="shared" si="1167"/>
        <v>-406448.372656286</v>
      </c>
      <c r="EK103" s="20">
        <f t="shared" si="1167"/>
        <v>-270960.53772968985</v>
      </c>
      <c r="EL103" s="20">
        <f t="shared" si="1167"/>
        <v>-212553.33385833836</v>
      </c>
      <c r="EM103" s="20">
        <f t="shared" si="1167"/>
        <v>-336969.43035789661</v>
      </c>
      <c r="EN103" s="20">
        <f t="shared" si="1167"/>
        <v>-266378.58113229554</v>
      </c>
      <c r="EO103" s="20">
        <f t="shared" si="1167"/>
        <v>-559865.4674570543</v>
      </c>
      <c r="EP103" s="20">
        <f t="shared" si="1167"/>
        <v>-525946.44633538055</v>
      </c>
      <c r="EQ103" s="20">
        <f t="shared" si="1167"/>
        <v>-233325.6120371584</v>
      </c>
      <c r="ER103" s="20">
        <f t="shared" si="1167"/>
        <v>-295105.39774212171</v>
      </c>
      <c r="ES103" s="20">
        <f t="shared" si="1167"/>
        <v>-549556.48472817882</v>
      </c>
      <c r="ET103" s="20">
        <f t="shared" si="1167"/>
        <v>-364391.70194915554</v>
      </c>
      <c r="EU103" s="20">
        <f t="shared" si="1167"/>
        <v>-298535.91930856986</v>
      </c>
      <c r="EV103" s="20">
        <f t="shared" si="1167"/>
        <v>-551282.17271864333</v>
      </c>
      <c r="EW103" s="20">
        <f t="shared" si="1167"/>
        <v>-367514.60704446037</v>
      </c>
      <c r="EX103" s="20">
        <f t="shared" si="1167"/>
        <v>-288294.58202089259</v>
      </c>
      <c r="EY103" s="20">
        <f t="shared" si="1167"/>
        <v>-457045.10635243118</v>
      </c>
      <c r="EZ103" s="20">
        <f t="shared" si="1167"/>
        <v>-361299.91618026514</v>
      </c>
      <c r="FA103" s="20">
        <f t="shared" si="1167"/>
        <v>-759367.91015489982</v>
      </c>
      <c r="FB103" s="20">
        <f t="shared" si="1167"/>
        <v>-713362.18613577902</v>
      </c>
    </row>
    <row r="104" spans="3:158" x14ac:dyDescent="0.25">
      <c r="C104" s="258" t="s">
        <v>22</v>
      </c>
      <c r="D104" s="29">
        <f t="shared" si="1128"/>
        <v>-352563</v>
      </c>
      <c r="E104" s="29">
        <f t="shared" si="1128"/>
        <v>-929477.46</v>
      </c>
      <c r="F104" s="29">
        <f t="shared" si="1128"/>
        <v>-1076743.5999999999</v>
      </c>
      <c r="G104" s="29">
        <f t="shared" si="1128"/>
        <v>-1450379.8382962472</v>
      </c>
      <c r="H104" s="29">
        <f t="shared" si="1128"/>
        <v>-2477234.4701914745</v>
      </c>
      <c r="I104" s="29">
        <f t="shared" si="1128"/>
        <v>-3659202.0244698268</v>
      </c>
      <c r="J104" s="29">
        <f t="shared" si="1128"/>
        <v>-5227592.1991653005</v>
      </c>
      <c r="K104" s="29">
        <f t="shared" si="1128"/>
        <v>-7266030.6597662671</v>
      </c>
      <c r="L104" s="29">
        <f t="shared" si="1128"/>
        <v>-9855207.7917743269</v>
      </c>
      <c r="N104" s="29">
        <f t="shared" si="1129"/>
        <v>-22800</v>
      </c>
      <c r="O104" s="29">
        <f t="shared" si="1130"/>
        <v>-18060</v>
      </c>
      <c r="P104" s="29">
        <f t="shared" si="1131"/>
        <v>-73800</v>
      </c>
      <c r="Q104" s="29">
        <f t="shared" si="1132"/>
        <v>-237903</v>
      </c>
      <c r="R104" s="29">
        <f t="shared" si="1133"/>
        <v>-314125.45999999996</v>
      </c>
      <c r="S104" s="29">
        <f t="shared" si="1134"/>
        <v>-161776</v>
      </c>
      <c r="T104" s="29">
        <f t="shared" si="1135"/>
        <v>-267688</v>
      </c>
      <c r="U104" s="29">
        <f t="shared" si="1136"/>
        <v>-185888</v>
      </c>
      <c r="V104" s="29">
        <f t="shared" si="1137"/>
        <v>-170049.99</v>
      </c>
      <c r="W104" s="29">
        <f t="shared" si="1138"/>
        <v>-205108.94</v>
      </c>
      <c r="X104" s="29">
        <f t="shared" si="1139"/>
        <v>-452300</v>
      </c>
      <c r="Y104" s="29">
        <f t="shared" si="1140"/>
        <v>-249284.66999999998</v>
      </c>
      <c r="Z104" s="29">
        <f t="shared" si="1141"/>
        <v>-330338.44</v>
      </c>
      <c r="AA104" s="29">
        <f t="shared" si="1142"/>
        <v>-306190</v>
      </c>
      <c r="AB104" s="29">
        <f t="shared" si="1143"/>
        <v>-341855.72661671857</v>
      </c>
      <c r="AC104" s="29">
        <f t="shared" si="1144"/>
        <v>-471995.67167952855</v>
      </c>
      <c r="AD104" s="29">
        <f t="shared" si="1145"/>
        <v>-509712.95840824</v>
      </c>
      <c r="AE104" s="29">
        <f t="shared" si="1146"/>
        <v>-574123.97580617026</v>
      </c>
      <c r="AF104" s="29">
        <f t="shared" si="1147"/>
        <v>-526199.29088684928</v>
      </c>
      <c r="AG104" s="29">
        <f t="shared" si="1148"/>
        <v>-867198.245090215</v>
      </c>
      <c r="AH104" s="29">
        <f t="shared" si="1149"/>
        <v>-752913.26345938211</v>
      </c>
      <c r="AI104" s="29">
        <f t="shared" si="1150"/>
        <v>-848056.83105330891</v>
      </c>
      <c r="AJ104" s="29">
        <f t="shared" si="1151"/>
        <v>-777265.75084308418</v>
      </c>
      <c r="AK104" s="29">
        <f t="shared" si="1152"/>
        <v>-1280966.1791140519</v>
      </c>
      <c r="AL104" s="29">
        <f t="shared" si="1153"/>
        <v>-1075623.4491531311</v>
      </c>
      <c r="AM104" s="29">
        <f t="shared" si="1154"/>
        <v>-1211547.0107462711</v>
      </c>
      <c r="AN104" s="29">
        <f t="shared" si="1155"/>
        <v>-1110413.7865616693</v>
      </c>
      <c r="AO104" s="29">
        <f t="shared" si="1156"/>
        <v>-1830007.9527042292</v>
      </c>
      <c r="AP104" s="29">
        <f t="shared" si="1157"/>
        <v>-1495050.2376903289</v>
      </c>
      <c r="AQ104" s="29">
        <f t="shared" si="1158"/>
        <v>-1683975.6030005917</v>
      </c>
      <c r="AR104" s="29">
        <f t="shared" si="1159"/>
        <v>-1543406.6604262907</v>
      </c>
      <c r="AS104" s="29">
        <f t="shared" si="1160"/>
        <v>-2543598.1586490558</v>
      </c>
      <c r="AT104" s="29">
        <f t="shared" si="1161"/>
        <v>-2027796.3913867869</v>
      </c>
      <c r="AU104" s="29">
        <f t="shared" si="1162"/>
        <v>-2284043.4153058142</v>
      </c>
      <c r="AV104" s="29">
        <f t="shared" si="1163"/>
        <v>-2093384.1402478842</v>
      </c>
      <c r="AW104" s="29">
        <f t="shared" si="1164"/>
        <v>-3449983.844833842</v>
      </c>
      <c r="AY104" s="29">
        <f t="shared" ref="AY104" si="1168">AY22</f>
        <v>-10800</v>
      </c>
      <c r="AZ104" s="29">
        <f t="shared" ref="AZ104:CT104" si="1169">AZ22</f>
        <v>0</v>
      </c>
      <c r="BA104" s="29">
        <f t="shared" si="1169"/>
        <v>-12000</v>
      </c>
      <c r="BB104" s="29">
        <f t="shared" si="1169"/>
        <v>0</v>
      </c>
      <c r="BC104" s="29">
        <f t="shared" si="1169"/>
        <v>0</v>
      </c>
      <c r="BD104" s="29">
        <f t="shared" si="1169"/>
        <v>-18060</v>
      </c>
      <c r="BE104" s="29">
        <f t="shared" si="1169"/>
        <v>0</v>
      </c>
      <c r="BF104" s="29">
        <f t="shared" si="1169"/>
        <v>0</v>
      </c>
      <c r="BG104" s="29">
        <f t="shared" si="1169"/>
        <v>-73800</v>
      </c>
      <c r="BH104" s="29">
        <f t="shared" si="1169"/>
        <v>-13500</v>
      </c>
      <c r="BI104" s="29">
        <f t="shared" si="1169"/>
        <v>-194203</v>
      </c>
      <c r="BJ104" s="29">
        <f t="shared" si="1169"/>
        <v>-30200</v>
      </c>
      <c r="BK104" s="29">
        <f t="shared" si="1169"/>
        <v>-32000</v>
      </c>
      <c r="BL104" s="29">
        <f t="shared" si="1169"/>
        <v>-41125.46</v>
      </c>
      <c r="BM104" s="29">
        <f t="shared" si="1169"/>
        <v>-241000</v>
      </c>
      <c r="BN104" s="29">
        <f t="shared" si="1169"/>
        <v>-83088</v>
      </c>
      <c r="BO104" s="29">
        <f t="shared" si="1169"/>
        <v>-60688</v>
      </c>
      <c r="BP104" s="29">
        <f t="shared" si="1169"/>
        <v>-18000</v>
      </c>
      <c r="BQ104" s="29">
        <f t="shared" si="1169"/>
        <v>-12924</v>
      </c>
      <c r="BR104" s="29">
        <f t="shared" si="1169"/>
        <v>-137764</v>
      </c>
      <c r="BS104" s="29">
        <f t="shared" si="1169"/>
        <v>-117000</v>
      </c>
      <c r="BT104" s="29">
        <f t="shared" si="1169"/>
        <v>-83499</v>
      </c>
      <c r="BU104" s="29">
        <f t="shared" si="1169"/>
        <v>-82050</v>
      </c>
      <c r="BV104" s="29">
        <f t="shared" si="1169"/>
        <v>-20339</v>
      </c>
      <c r="BW104" s="29">
        <f t="shared" si="1169"/>
        <v>-32580</v>
      </c>
      <c r="BX104" s="29">
        <f t="shared" si="1169"/>
        <v>-27920</v>
      </c>
      <c r="BY104" s="29">
        <f t="shared" si="1169"/>
        <v>-109549.99</v>
      </c>
      <c r="BZ104" s="29">
        <f t="shared" si="1169"/>
        <v>-98508</v>
      </c>
      <c r="CA104" s="29">
        <f t="shared" si="1169"/>
        <v>-34988</v>
      </c>
      <c r="CB104" s="29">
        <f t="shared" si="1169"/>
        <v>-71612.94</v>
      </c>
      <c r="CC104" s="29">
        <f t="shared" si="1169"/>
        <v>-308500</v>
      </c>
      <c r="CD104" s="29">
        <f t="shared" si="1169"/>
        <v>-92300</v>
      </c>
      <c r="CE104" s="29">
        <f t="shared" si="1169"/>
        <v>-51500</v>
      </c>
      <c r="CF104" s="29">
        <f t="shared" si="1169"/>
        <v>-85088</v>
      </c>
      <c r="CG104" s="29">
        <f t="shared" si="1169"/>
        <v>-49730</v>
      </c>
      <c r="CH104" s="29">
        <f t="shared" si="1169"/>
        <v>-114466.67</v>
      </c>
      <c r="CI104" s="29">
        <f t="shared" si="1169"/>
        <v>-135671.43</v>
      </c>
      <c r="CJ104" s="29">
        <f t="shared" si="1169"/>
        <v>-70200.009999999995</v>
      </c>
      <c r="CK104" s="29">
        <f t="shared" si="1169"/>
        <v>-124467</v>
      </c>
      <c r="CL104" s="29">
        <f t="shared" si="1169"/>
        <v>-196750</v>
      </c>
      <c r="CM104" s="29">
        <f t="shared" si="1169"/>
        <v>-95000</v>
      </c>
      <c r="CN104" s="29">
        <f t="shared" si="1169"/>
        <v>-14440</v>
      </c>
      <c r="CO104" s="29">
        <f t="shared" si="1169"/>
        <v>-52882.062376093971</v>
      </c>
      <c r="CP104" s="29">
        <f t="shared" si="1169"/>
        <v>-100292.74384232562</v>
      </c>
      <c r="CQ104" s="29">
        <f t="shared" si="1169"/>
        <v>-188680.920398299</v>
      </c>
      <c r="CR104" s="29">
        <f t="shared" si="1169"/>
        <v>-42464.979989193263</v>
      </c>
      <c r="CS104" s="29">
        <f t="shared" si="1169"/>
        <v>-198843.4704449657</v>
      </c>
      <c r="CT104" s="29">
        <f t="shared" si="1169"/>
        <v>-230687.22124536958</v>
      </c>
      <c r="CU104" s="29">
        <f>CU105-CU103</f>
        <v>-110325.10914072608</v>
      </c>
      <c r="CV104" s="29">
        <f t="shared" ref="CV104" si="1170">CV105-CV103</f>
        <v>-139536.91122743947</v>
      </c>
      <c r="CW104" s="29">
        <f t="shared" ref="CW104" si="1171">CW105-CW103</f>
        <v>-259850.93804007446</v>
      </c>
      <c r="CX104" s="29">
        <f t="shared" ref="CX104" si="1172">CX105-CX103</f>
        <v>-172298.07707999577</v>
      </c>
      <c r="CY104" s="29">
        <f t="shared" ref="CY104" si="1173">CY105-CY103</f>
        <v>-141158.99061651115</v>
      </c>
      <c r="CZ104" s="29">
        <f t="shared" ref="CZ104" si="1174">CZ105-CZ103</f>
        <v>-260666.90810966337</v>
      </c>
      <c r="DA104" s="29">
        <f t="shared" ref="DA104" si="1175">DA105-DA103</f>
        <v>-173774.70385263133</v>
      </c>
      <c r="DB104" s="29">
        <f t="shared" ref="DB104" si="1176">DB105-DB103</f>
        <v>-136316.50185522571</v>
      </c>
      <c r="DC104" s="29">
        <f t="shared" ref="DC104" si="1177">DC105-DC103</f>
        <v>-216108.08517899225</v>
      </c>
      <c r="DD104" s="29">
        <f t="shared" ref="DD104" si="1178">DD105-DD103</f>
        <v>-170836.16469320538</v>
      </c>
      <c r="DE104" s="29">
        <f t="shared" ref="DE104" si="1179">DE105-DE103</f>
        <v>-359057.65695564693</v>
      </c>
      <c r="DF104" s="29">
        <f t="shared" ref="DF104" si="1180">DF105-DF103</f>
        <v>-337304.42344136263</v>
      </c>
      <c r="DG104" s="29">
        <f t="shared" ref="DG104" si="1181">DG105-DG103</f>
        <v>-162964.73651377694</v>
      </c>
      <c r="DH104" s="29">
        <f t="shared" ref="DH104" si="1182">DH105-DH103</f>
        <v>-206114.42081711686</v>
      </c>
      <c r="DI104" s="29">
        <f t="shared" ref="DI104" si="1183">DI105-DI103</f>
        <v>-383834.10612848832</v>
      </c>
      <c r="DJ104" s="29">
        <f t="shared" ref="DJ104" si="1184">DJ105-DJ103</f>
        <v>-254506.98351321073</v>
      </c>
      <c r="DK104" s="29">
        <f t="shared" ref="DK104" si="1185">DK105-DK103</f>
        <v>-208510.44600397898</v>
      </c>
      <c r="DL104" s="29">
        <f t="shared" ref="DL104" si="1186">DL105-DL103</f>
        <v>-385039.40153611923</v>
      </c>
      <c r="DM104" s="29">
        <f t="shared" ref="DM104" si="1187">DM105-DM103</f>
        <v>-256688.15600246511</v>
      </c>
      <c r="DN104" s="29">
        <f t="shared" ref="DN104" si="1188">DN105-DN103</f>
        <v>-201357.45144815947</v>
      </c>
      <c r="DO104" s="29">
        <f t="shared" ref="DO104" si="1189">DO105-DO103</f>
        <v>-319220.14339245961</v>
      </c>
      <c r="DP104" s="29">
        <f t="shared" ref="DP104" si="1190">DP105-DP103</f>
        <v>-252347.54611246783</v>
      </c>
      <c r="DQ104" s="29">
        <f t="shared" ref="DQ104" si="1191">DQ105-DQ103</f>
        <v>-530375.51392216119</v>
      </c>
      <c r="DR104" s="29">
        <f t="shared" ref="DR104" si="1192">DR105-DR103</f>
        <v>-498243.11907942285</v>
      </c>
      <c r="DS104" s="29">
        <f t="shared" ref="DS104" si="1193">DS105-DS103</f>
        <v>-232813.92490535713</v>
      </c>
      <c r="DT104" s="29">
        <f t="shared" ref="DT104" si="1194">DT105-DT103</f>
        <v>-294458.22646404663</v>
      </c>
      <c r="DU104" s="29">
        <f t="shared" ref="DU104" si="1195">DU105-DU103</f>
        <v>-548351.29778372729</v>
      </c>
      <c r="DV104" s="29">
        <f t="shared" ref="DV104" si="1196">DV105-DV103</f>
        <v>-363592.58459896565</v>
      </c>
      <c r="DW104" s="29">
        <f t="shared" ref="DW104" si="1197">DW105-DW103</f>
        <v>-297881.22483693878</v>
      </c>
      <c r="DX104" s="29">
        <f t="shared" ref="DX104" si="1198">DX105-DX103</f>
        <v>-550073.20131036662</v>
      </c>
      <c r="DY104" s="29">
        <f t="shared" ref="DY104" si="1199">DY105-DY103</f>
        <v>-366708.64110899461</v>
      </c>
      <c r="DZ104" s="29">
        <f t="shared" ref="DZ104" si="1200">DZ105-DZ103</f>
        <v>-287662.3469803406</v>
      </c>
      <c r="EA104" s="29">
        <f t="shared" ref="EA104" si="1201">EA105-EA103</f>
        <v>-456042.79847233417</v>
      </c>
      <c r="EB104" s="29">
        <f t="shared" ref="EB104" si="1202">EB105-EB103</f>
        <v>-360507.57917012629</v>
      </c>
      <c r="EC104" s="29">
        <f t="shared" ref="EC104" si="1203">EC105-EC103</f>
        <v>-757702.60309950798</v>
      </c>
      <c r="ED104" s="29">
        <f t="shared" ref="ED104" si="1204">ED105-ED103</f>
        <v>-711797.77043459495</v>
      </c>
      <c r="EE104" s="29">
        <f t="shared" ref="EE104" si="1205">EE105-EE103</f>
        <v>-323596.99301964534</v>
      </c>
      <c r="EF104" s="29">
        <f t="shared" ref="EF104" si="1206">EF105-EF103</f>
        <v>-409278.76926776848</v>
      </c>
      <c r="EG104" s="29">
        <f t="shared" ref="EG104" si="1207">EG105-EG103</f>
        <v>-762174.47540291504</v>
      </c>
      <c r="EH104" s="29">
        <f t="shared" ref="EH104" si="1208">EH105-EH103</f>
        <v>-505371.2620853589</v>
      </c>
      <c r="EI104" s="29">
        <f t="shared" ref="EI104" si="1209">EI105-EI103</f>
        <v>-414036.52583679382</v>
      </c>
      <c r="EJ104" s="29">
        <f t="shared" ref="EJ104" si="1210">EJ105-EJ103</f>
        <v>-764567.81507843896</v>
      </c>
      <c r="EK104" s="29">
        <f t="shared" ref="EK104" si="1211">EK105-EK103</f>
        <v>-509702.38840065361</v>
      </c>
      <c r="EL104" s="29">
        <f t="shared" ref="EL104" si="1212">EL105-EL103</f>
        <v>-399832.91603220644</v>
      </c>
      <c r="EM104" s="29">
        <f t="shared" ref="EM104" si="1213">EM105-EM103</f>
        <v>-633871.3559934306</v>
      </c>
      <c r="EN104" s="29">
        <f t="shared" ref="EN104" si="1214">EN105-EN103</f>
        <v>-501083.29485733539</v>
      </c>
      <c r="EO104" s="29">
        <f t="shared" ref="EO104" si="1215">EO105-EO103</f>
        <v>-1053159.8746330687</v>
      </c>
      <c r="EP104" s="29">
        <f t="shared" ref="EP104" si="1216">EP105-EP103</f>
        <v>-989354.98915865168</v>
      </c>
      <c r="EQ104" s="29">
        <f t="shared" ref="EQ104" si="1217">EQ105-EQ103</f>
        <v>-438907.53512242105</v>
      </c>
      <c r="ER104" s="29">
        <f t="shared" ref="ER104" si="1218">ER105-ER103</f>
        <v>-555121.15276778489</v>
      </c>
      <c r="ES104" s="29">
        <f t="shared" ref="ES104" si="1219">ES105-ES103</f>
        <v>-1033767.7034965808</v>
      </c>
      <c r="ET104" s="29">
        <f t="shared" ref="ET104" si="1220">ET105-ET103</f>
        <v>-685455.24139071943</v>
      </c>
      <c r="EU104" s="29">
        <f t="shared" ref="EU104" si="1221">EU105-EU103</f>
        <v>-561574.28815985785</v>
      </c>
      <c r="EV104" s="29">
        <f t="shared" ref="EV104" si="1222">EV105-EV103</f>
        <v>-1037013.8857552371</v>
      </c>
      <c r="EW104" s="29">
        <f t="shared" ref="EW104" si="1223">EW105-EW103</f>
        <v>-691329.72111814527</v>
      </c>
      <c r="EX104" s="29">
        <f t="shared" ref="EX104" si="1224">EX105-EX103</f>
        <v>-542309.36449354421</v>
      </c>
      <c r="EY104" s="29">
        <f t="shared" ref="EY104" si="1225">EY105-EY103</f>
        <v>-859745.05463619484</v>
      </c>
      <c r="EZ104" s="29">
        <f t="shared" ref="EZ104" si="1226">EZ105-EZ103</f>
        <v>-679639.30005833728</v>
      </c>
      <c r="FA104" s="29">
        <f t="shared" ref="FA104" si="1227">FA105-FA103</f>
        <v>-1428442.8305456347</v>
      </c>
      <c r="FB104" s="29">
        <f t="shared" ref="FB104" si="1228">FB105-FB103</f>
        <v>-1341901.7142298701</v>
      </c>
    </row>
    <row r="105" spans="3:158" x14ac:dyDescent="0.25">
      <c r="C105" s="2" t="s">
        <v>308</v>
      </c>
      <c r="D105" s="20">
        <f>SUM(D103:D104)</f>
        <v>-443828</v>
      </c>
      <c r="E105" s="20">
        <f t="shared" ref="E105" si="1229">SUM(E103:E104)</f>
        <v>-1061924.71</v>
      </c>
      <c r="F105" s="20">
        <f t="shared" ref="F105" si="1230">SUM(F103:F104)</f>
        <v>-1450969.3399999999</v>
      </c>
      <c r="G105" s="20">
        <f t="shared" ref="G105" si="1231">SUM(G103:G104)</f>
        <v>-2221409.580044555</v>
      </c>
      <c r="H105" s="20">
        <f>-(1-H91)*H18</f>
        <v>-3794145.6705329181</v>
      </c>
      <c r="I105" s="20">
        <f t="shared" ref="I105:L105" si="1232">-(1-I91)*I18</f>
        <v>-5604453.5492332196</v>
      </c>
      <c r="J105" s="20">
        <f t="shared" si="1232"/>
        <v>-8006608.3967585107</v>
      </c>
      <c r="K105" s="20">
        <f t="shared" si="1232"/>
        <v>-11128691.733237816</v>
      </c>
      <c r="L105" s="20">
        <f t="shared" si="1232"/>
        <v>-15094289.388146885</v>
      </c>
      <c r="N105" s="20">
        <f t="shared" ref="N105" si="1233">SUM(N103:N104)</f>
        <v>-50465</v>
      </c>
      <c r="O105" s="20">
        <f t="shared" ref="O105" si="1234">SUM(O103:O104)</f>
        <v>-39060</v>
      </c>
      <c r="P105" s="20">
        <f t="shared" ref="P105" si="1235">SUM(P103:P104)</f>
        <v>-110400</v>
      </c>
      <c r="Q105" s="20">
        <f t="shared" ref="Q105" si="1236">SUM(Q103:Q104)</f>
        <v>-243903</v>
      </c>
      <c r="R105" s="20">
        <f t="shared" ref="R105" si="1237">SUM(R103:R104)</f>
        <v>-331009.70999999996</v>
      </c>
      <c r="S105" s="20">
        <f t="shared" ref="S105" si="1238">SUM(S103:S104)</f>
        <v>-224176</v>
      </c>
      <c r="T105" s="20">
        <f t="shared" ref="T105" si="1239">SUM(T103:T104)</f>
        <v>-270063</v>
      </c>
      <c r="U105" s="20">
        <f t="shared" ref="U105" si="1240">SUM(U103:U104)</f>
        <v>-236676</v>
      </c>
      <c r="V105" s="20">
        <f t="shared" ref="V105" si="1241">SUM(V103:V104)</f>
        <v>-254589.99</v>
      </c>
      <c r="W105" s="20">
        <f t="shared" ref="W105" si="1242">SUM(W103:W104)</f>
        <v>-284821.12</v>
      </c>
      <c r="X105" s="20">
        <f t="shared" ref="X105" si="1243">SUM(X103:X104)</f>
        <v>-568908.32999999996</v>
      </c>
      <c r="Y105" s="20">
        <f t="shared" ref="Y105" si="1244">SUM(Y103:Y104)</f>
        <v>-342649.9</v>
      </c>
      <c r="Z105" s="20">
        <f t="shared" ref="Z105" si="1245">SUM(Z103:Z104)</f>
        <v>-469578.54000000004</v>
      </c>
      <c r="AA105" s="20">
        <f t="shared" ref="AA105" si="1246">SUM(AA103:AA104)</f>
        <v>-566974.03</v>
      </c>
      <c r="AB105" s="20">
        <f t="shared" ref="AB105" si="1247">SUM(AB103:AB104)</f>
        <v>-497695.46990229917</v>
      </c>
      <c r="AC105" s="20">
        <f t="shared" ref="AC105" si="1248">SUM(AC103:AC104)</f>
        <v>-687161.54014225584</v>
      </c>
      <c r="AD105" s="20">
        <f t="shared" ref="AD105" si="1249">SUM(AD103:AD104)</f>
        <v>-780679.11521095084</v>
      </c>
      <c r="AE105" s="20">
        <f t="shared" ref="AE105" si="1250">SUM(AE103:AE104)</f>
        <v>-879331.37672904937</v>
      </c>
      <c r="AF105" s="20">
        <f t="shared" ref="AF105" si="1251">SUM(AF103:AF104)</f>
        <v>-805929.67092110403</v>
      </c>
      <c r="AG105" s="20">
        <f t="shared" ref="AG105" si="1252">SUM(AG103:AG104)</f>
        <v>-1328205.5076718135</v>
      </c>
      <c r="AH105" s="20">
        <f t="shared" ref="AH105" si="1253">SUM(AH103:AH104)</f>
        <v>-1153166.0136395658</v>
      </c>
      <c r="AI105" s="20">
        <f t="shared" ref="AI105" si="1254">SUM(AI103:AI104)</f>
        <v>-1298888.4147321242</v>
      </c>
      <c r="AJ105" s="20">
        <f t="shared" ref="AJ105" si="1255">SUM(AJ103:AJ104)</f>
        <v>-1190464.4146126634</v>
      </c>
      <c r="AK105" s="20">
        <f t="shared" ref="AK105" si="1256">SUM(AK103:AK104)</f>
        <v>-1961934.7062488652</v>
      </c>
      <c r="AL105" s="20">
        <f t="shared" ref="AL105" si="1257">SUM(AL103:AL104)</f>
        <v>-1647430.6739372131</v>
      </c>
      <c r="AM105" s="20">
        <f t="shared" ref="AM105" si="1258">SUM(AM103:AM104)</f>
        <v>-1855611.9337039422</v>
      </c>
      <c r="AN105" s="20">
        <f t="shared" ref="AN105" si="1259">SUM(AN103:AN104)</f>
        <v>-1700715.7422839256</v>
      </c>
      <c r="AO105" s="20">
        <f t="shared" ref="AO105" si="1260">SUM(AO103:AO104)</f>
        <v>-2802850.046833429</v>
      </c>
      <c r="AP105" s="20">
        <f t="shared" ref="AP105" si="1261">SUM(AP103:AP104)</f>
        <v>-2289827.0045965924</v>
      </c>
      <c r="AQ105" s="20">
        <f t="shared" ref="AQ105" si="1262">SUM(AQ103:AQ104)</f>
        <v>-2579186.1126952209</v>
      </c>
      <c r="AR105" s="20">
        <f t="shared" ref="AR105" si="1263">SUM(AR103:AR104)</f>
        <v>-2363889.9623722155</v>
      </c>
      <c r="AS105" s="20">
        <f t="shared" ref="AS105" si="1264">SUM(AS103:AS104)</f>
        <v>-3895788.6535737859</v>
      </c>
      <c r="AT105" s="20">
        <f t="shared" ref="AT105" si="1265">SUM(AT103:AT104)</f>
        <v>-3105783.8858942459</v>
      </c>
      <c r="AU105" s="20">
        <f t="shared" ref="AU105" si="1266">SUM(AU103:AU104)</f>
        <v>-3498253.2092821831</v>
      </c>
      <c r="AV105" s="20">
        <f t="shared" ref="AV105" si="1267">SUM(AV103:AV104)</f>
        <v>-3206238.4356656685</v>
      </c>
      <c r="AW105" s="20">
        <f t="shared" ref="AW105" si="1268">SUM(AW103:AW104)</f>
        <v>-5284013.8573047854</v>
      </c>
      <c r="AY105" s="20">
        <f t="shared" ref="AY105" si="1269">SUM(AY103:AY104)</f>
        <v>-38465</v>
      </c>
      <c r="AZ105" s="20">
        <f t="shared" ref="AZ105" si="1270">SUM(AZ103:AZ104)</f>
        <v>0</v>
      </c>
      <c r="BA105" s="20">
        <f t="shared" ref="BA105" si="1271">SUM(BA103:BA104)</f>
        <v>-12000</v>
      </c>
      <c r="BB105" s="20">
        <f t="shared" ref="BB105" si="1272">SUM(BB103:BB104)</f>
        <v>-21000</v>
      </c>
      <c r="BC105" s="20">
        <f t="shared" ref="BC105" si="1273">SUM(BC103:BC104)</f>
        <v>0</v>
      </c>
      <c r="BD105" s="20">
        <f t="shared" ref="BD105" si="1274">SUM(BD103:BD104)</f>
        <v>-18060</v>
      </c>
      <c r="BE105" s="20">
        <f t="shared" ref="BE105" si="1275">SUM(BE103:BE104)</f>
        <v>-2250</v>
      </c>
      <c r="BF105" s="20">
        <f t="shared" ref="BF105" si="1276">SUM(BF103:BF104)</f>
        <v>-3000</v>
      </c>
      <c r="BG105" s="20">
        <f t="shared" ref="BG105" si="1277">SUM(BG103:BG104)</f>
        <v>-105150</v>
      </c>
      <c r="BH105" s="20">
        <f t="shared" ref="BH105" si="1278">SUM(BH103:BH104)</f>
        <v>-13500</v>
      </c>
      <c r="BI105" s="20">
        <f t="shared" ref="BI105" si="1279">SUM(BI103:BI104)</f>
        <v>-200203</v>
      </c>
      <c r="BJ105" s="20">
        <f t="shared" ref="BJ105" si="1280">SUM(BJ103:BJ104)</f>
        <v>-30200</v>
      </c>
      <c r="BK105" s="20">
        <f t="shared" ref="BK105" si="1281">SUM(BK103:BK104)</f>
        <v>-32000</v>
      </c>
      <c r="BL105" s="20">
        <f t="shared" ref="BL105" si="1282">SUM(BL103:BL104)</f>
        <v>-58009.71</v>
      </c>
      <c r="BM105" s="20">
        <f t="shared" ref="BM105" si="1283">SUM(BM103:BM104)</f>
        <v>-241000</v>
      </c>
      <c r="BN105" s="20">
        <f t="shared" ref="BN105" si="1284">SUM(BN103:BN104)</f>
        <v>-103088</v>
      </c>
      <c r="BO105" s="20">
        <f t="shared" ref="BO105" si="1285">SUM(BO103:BO104)</f>
        <v>-90188</v>
      </c>
      <c r="BP105" s="20">
        <f t="shared" ref="BP105" si="1286">SUM(BP103:BP104)</f>
        <v>-30900</v>
      </c>
      <c r="BQ105" s="20">
        <f t="shared" ref="BQ105" si="1287">SUM(BQ103:BQ104)</f>
        <v>-12924</v>
      </c>
      <c r="BR105" s="20">
        <f t="shared" ref="BR105" si="1288">SUM(BR103:BR104)</f>
        <v>-140139</v>
      </c>
      <c r="BS105" s="20">
        <f t="shared" ref="BS105" si="1289">SUM(BS103:BS104)</f>
        <v>-117000</v>
      </c>
      <c r="BT105" s="20">
        <f t="shared" ref="BT105" si="1290">SUM(BT103:BT104)</f>
        <v>-83499</v>
      </c>
      <c r="BU105" s="20">
        <f t="shared" ref="BU105" si="1291">SUM(BU103:BU104)</f>
        <v>-115050</v>
      </c>
      <c r="BV105" s="20">
        <f t="shared" ref="BV105" si="1292">SUM(BV103:BV104)</f>
        <v>-38127</v>
      </c>
      <c r="BW105" s="20">
        <f t="shared" ref="BW105" si="1293">SUM(BW103:BW104)</f>
        <v>-42480</v>
      </c>
      <c r="BX105" s="20">
        <f t="shared" ref="BX105" si="1294">SUM(BX103:BX104)</f>
        <v>-44920</v>
      </c>
      <c r="BY105" s="20">
        <f t="shared" ref="BY105" si="1295">SUM(BY103:BY104)</f>
        <v>-167189.99</v>
      </c>
      <c r="BZ105" s="20">
        <f t="shared" ref="BZ105" si="1296">SUM(BZ103:BZ104)</f>
        <v>-144508</v>
      </c>
      <c r="CA105" s="20">
        <f t="shared" ref="CA105" si="1297">SUM(CA103:CA104)</f>
        <v>-37688</v>
      </c>
      <c r="CB105" s="20">
        <f t="shared" ref="CB105" si="1298">SUM(CB103:CB104)</f>
        <v>-102625.12</v>
      </c>
      <c r="CC105" s="20">
        <f t="shared" ref="CC105" si="1299">SUM(CC103:CC104)</f>
        <v>-334990</v>
      </c>
      <c r="CD105" s="20">
        <f t="shared" ref="CD105" si="1300">SUM(CD103:CD104)</f>
        <v>-102418.33</v>
      </c>
      <c r="CE105" s="20">
        <f t="shared" ref="CE105" si="1301">SUM(CE103:CE104)</f>
        <v>-131500</v>
      </c>
      <c r="CF105" s="20">
        <f t="shared" ref="CF105" si="1302">SUM(CF103:CF104)</f>
        <v>-85088</v>
      </c>
      <c r="CG105" s="20">
        <f t="shared" ref="CG105" si="1303">SUM(CG103:CG104)</f>
        <v>-104592.83</v>
      </c>
      <c r="CH105" s="20">
        <f t="shared" ref="CH105" si="1304">SUM(CH103:CH104)</f>
        <v>-152969.07</v>
      </c>
      <c r="CI105" s="20">
        <f t="shared" ref="CI105" si="1305">SUM(CI103:CI104)</f>
        <v>-201611.53</v>
      </c>
      <c r="CJ105" s="20">
        <f t="shared" ref="CJ105" si="1306">SUM(CJ103:CJ104)</f>
        <v>-104250.01</v>
      </c>
      <c r="CK105" s="20">
        <f t="shared" ref="CK105" si="1307">SUM(CK103:CK104)</f>
        <v>-163717</v>
      </c>
      <c r="CL105" s="20">
        <f t="shared" ref="CL105" si="1308">SUM(CL103:CL104)</f>
        <v>-227250</v>
      </c>
      <c r="CM105" s="20">
        <f t="shared" ref="CM105" si="1309">SUM(CM103:CM104)</f>
        <v>-219510</v>
      </c>
      <c r="CN105" s="20">
        <f t="shared" ref="CN105" si="1310">SUM(CN103:CN104)</f>
        <v>-120214.03</v>
      </c>
      <c r="CO105" s="20">
        <f t="shared" ref="CO105" si="1311">SUM(CO103:CO104)</f>
        <v>-76989.094622309116</v>
      </c>
      <c r="CP105" s="20">
        <f t="shared" ref="CP105" si="1312">SUM(CP103:CP104)</f>
        <v>-146012.6023583074</v>
      </c>
      <c r="CQ105" s="20">
        <f t="shared" ref="CQ105" si="1313">SUM(CQ103:CQ104)</f>
        <v>-274693.77292168268</v>
      </c>
      <c r="CR105" s="20">
        <f t="shared" ref="CR105" si="1314">SUM(CR103:CR104)</f>
        <v>-61823.23864888469</v>
      </c>
      <c r="CS105" s="20">
        <f t="shared" ref="CS105" si="1315">SUM(CS103:CS104)</f>
        <v>-289489.0644060116</v>
      </c>
      <c r="CT105" s="20">
        <f t="shared" ref="CT105" si="1316">SUM(CT103:CT104)</f>
        <v>-335849.23708735948</v>
      </c>
      <c r="CU105" s="20">
        <f>INDEX($D105:$L105,1,MATCH(CU$2,$D$2:$L$2,))*CU$94</f>
        <v>-168974.53197678263</v>
      </c>
      <c r="CV105" s="20">
        <f t="shared" ref="CV105:FB105" si="1317">INDEX($D105:$L105,1,MATCH(CV$2,$D$2:$L$2,))*CV$94</f>
        <v>-213715.48554796452</v>
      </c>
      <c r="CW105" s="20">
        <f t="shared" si="1317"/>
        <v>-397989.09768620372</v>
      </c>
      <c r="CX105" s="20">
        <f t="shared" si="1317"/>
        <v>-263892.6637992746</v>
      </c>
      <c r="CY105" s="20">
        <f t="shared" si="1317"/>
        <v>-216199.8710856933</v>
      </c>
      <c r="CZ105" s="20">
        <f t="shared" si="1317"/>
        <v>-399238.84184408153</v>
      </c>
      <c r="DA105" s="20">
        <f t="shared" si="1317"/>
        <v>-266154.27332546335</v>
      </c>
      <c r="DB105" s="20">
        <f t="shared" si="1317"/>
        <v>-208783.08919067337</v>
      </c>
      <c r="DC105" s="20">
        <f t="shared" si="1317"/>
        <v>-330992.30840496736</v>
      </c>
      <c r="DD105" s="20">
        <f t="shared" si="1317"/>
        <v>-261653.59090577875</v>
      </c>
      <c r="DE105" s="20">
        <f t="shared" si="1317"/>
        <v>-549934.64324943896</v>
      </c>
      <c r="DF105" s="20">
        <f t="shared" si="1317"/>
        <v>-516617.27351659565</v>
      </c>
      <c r="DG105" s="20">
        <f t="shared" si="1317"/>
        <v>-249597.66906743104</v>
      </c>
      <c r="DH105" s="20">
        <f t="shared" si="1317"/>
        <v>-315685.95818756631</v>
      </c>
      <c r="DI105" s="20">
        <f t="shared" si="1317"/>
        <v>-587882.38638456853</v>
      </c>
      <c r="DJ105" s="20">
        <f t="shared" si="1317"/>
        <v>-389804.26812097587</v>
      </c>
      <c r="DK105" s="20">
        <f t="shared" si="1317"/>
        <v>-319355.72328191285</v>
      </c>
      <c r="DL105" s="20">
        <f t="shared" si="1317"/>
        <v>-589728.42332923552</v>
      </c>
      <c r="DM105" s="20">
        <f t="shared" si="1317"/>
        <v>-393144.96366528998</v>
      </c>
      <c r="DN105" s="20">
        <f t="shared" si="1317"/>
        <v>-308400.15825491305</v>
      </c>
      <c r="DO105" s="20">
        <f t="shared" si="1317"/>
        <v>-488919.29269246053</v>
      </c>
      <c r="DP105" s="20">
        <f t="shared" si="1317"/>
        <v>-386496.86215541046</v>
      </c>
      <c r="DQ105" s="20">
        <f t="shared" si="1317"/>
        <v>-812325.99663805729</v>
      </c>
      <c r="DR105" s="20">
        <f t="shared" si="1317"/>
        <v>-763111.8474553976</v>
      </c>
      <c r="DS105" s="20">
        <f t="shared" si="1317"/>
        <v>-356579.06259925436</v>
      </c>
      <c r="DT105" s="20">
        <f t="shared" si="1317"/>
        <v>-450993.80722124781</v>
      </c>
      <c r="DU105" s="20">
        <f t="shared" si="1317"/>
        <v>-839857.80411671079</v>
      </c>
      <c r="DV105" s="20">
        <f t="shared" si="1317"/>
        <v>-556880.362877968</v>
      </c>
      <c r="DW105" s="20">
        <f t="shared" si="1317"/>
        <v>-456236.48998423479</v>
      </c>
      <c r="DX105" s="20">
        <f t="shared" si="1317"/>
        <v>-842495.08084173931</v>
      </c>
      <c r="DY105" s="20">
        <f t="shared" si="1317"/>
        <v>-561652.93182891933</v>
      </c>
      <c r="DZ105" s="20">
        <f t="shared" si="1317"/>
        <v>-440585.20156407979</v>
      </c>
      <c r="EA105" s="20">
        <f t="shared" si="1317"/>
        <v>-698477.60889092658</v>
      </c>
      <c r="EB105" s="20">
        <f t="shared" si="1317"/>
        <v>-552155.35193037824</v>
      </c>
      <c r="EC105" s="20">
        <f t="shared" si="1317"/>
        <v>-1160501.3920540647</v>
      </c>
      <c r="ED105" s="20">
        <f t="shared" si="1317"/>
        <v>-1090193.3028489861</v>
      </c>
      <c r="EE105" s="20">
        <f t="shared" si="1317"/>
        <v>-495622.89917920402</v>
      </c>
      <c r="EF105" s="20">
        <f t="shared" si="1317"/>
        <v>-626853.56963336549</v>
      </c>
      <c r="EG105" s="20">
        <f t="shared" si="1317"/>
        <v>-1167350.5357840229</v>
      </c>
      <c r="EH105" s="20">
        <f t="shared" si="1317"/>
        <v>-774029.34971460898</v>
      </c>
      <c r="EI105" s="20">
        <f t="shared" si="1317"/>
        <v>-634140.57524588704</v>
      </c>
      <c r="EJ105" s="20">
        <f t="shared" si="1317"/>
        <v>-1171016.187734725</v>
      </c>
      <c r="EK105" s="20">
        <f t="shared" si="1317"/>
        <v>-780662.92613034346</v>
      </c>
      <c r="EL105" s="20">
        <f t="shared" si="1317"/>
        <v>-612386.2498905448</v>
      </c>
      <c r="EM105" s="20">
        <f t="shared" si="1317"/>
        <v>-970840.7863513272</v>
      </c>
      <c r="EN105" s="20">
        <f t="shared" si="1317"/>
        <v>-767461.87598963093</v>
      </c>
      <c r="EO105" s="20">
        <f t="shared" si="1317"/>
        <v>-1613025.3420901229</v>
      </c>
      <c r="EP105" s="20">
        <f t="shared" si="1317"/>
        <v>-1515301.4354940322</v>
      </c>
      <c r="EQ105" s="20">
        <f t="shared" si="1317"/>
        <v>-672233.14715957944</v>
      </c>
      <c r="ER105" s="20">
        <f t="shared" si="1317"/>
        <v>-850226.55050990661</v>
      </c>
      <c r="ES105" s="20">
        <f t="shared" si="1317"/>
        <v>-1583324.1882247597</v>
      </c>
      <c r="ET105" s="20">
        <f t="shared" si="1317"/>
        <v>-1049846.943339875</v>
      </c>
      <c r="EU105" s="20">
        <f t="shared" si="1317"/>
        <v>-860110.20746842772</v>
      </c>
      <c r="EV105" s="20">
        <f t="shared" si="1317"/>
        <v>-1588296.0584738804</v>
      </c>
      <c r="EW105" s="20">
        <f t="shared" si="1317"/>
        <v>-1058844.3281626056</v>
      </c>
      <c r="EX105" s="20">
        <f t="shared" si="1317"/>
        <v>-830603.94651443674</v>
      </c>
      <c r="EY105" s="20">
        <f t="shared" si="1317"/>
        <v>-1316790.1609886261</v>
      </c>
      <c r="EZ105" s="20">
        <f t="shared" si="1317"/>
        <v>-1040939.2162386024</v>
      </c>
      <c r="FA105" s="20">
        <f t="shared" si="1317"/>
        <v>-2187810.7407005345</v>
      </c>
      <c r="FB105" s="20">
        <f t="shared" si="1317"/>
        <v>-2055263.9003656493</v>
      </c>
    </row>
    <row r="106" spans="3:158" x14ac:dyDescent="0.25">
      <c r="C106" s="28" t="s">
        <v>615</v>
      </c>
      <c r="D106" s="76">
        <f>D103/D105</f>
        <v>0.20563146083617978</v>
      </c>
      <c r="E106" s="76">
        <f t="shared" ref="E106" si="1318">E103/E105</f>
        <v>0.12472376690434109</v>
      </c>
      <c r="F106" s="76">
        <f t="shared" ref="F106" si="1319">F103/F105</f>
        <v>0.25791429886450951</v>
      </c>
      <c r="G106" s="76">
        <f t="shared" ref="G106" si="1320">G103/G105</f>
        <v>0.34709031088847797</v>
      </c>
      <c r="H106" s="261">
        <f t="shared" ref="H106:L106" si="1321">G106</f>
        <v>0.34709031088847797</v>
      </c>
      <c r="I106" s="261">
        <f t="shared" si="1321"/>
        <v>0.34709031088847797</v>
      </c>
      <c r="J106" s="261">
        <f t="shared" si="1321"/>
        <v>0.34709031088847797</v>
      </c>
      <c r="K106" s="261">
        <f t="shared" si="1321"/>
        <v>0.34709031088847797</v>
      </c>
      <c r="L106" s="261">
        <f t="shared" si="1321"/>
        <v>0.34709031088847797</v>
      </c>
      <c r="N106" s="76">
        <f t="shared" ref="N106:AW106" si="1322">IFERROR(N103/N105,"")</f>
        <v>0.54820172396710587</v>
      </c>
      <c r="O106" s="76">
        <f t="shared" si="1322"/>
        <v>0.5376344086021505</v>
      </c>
      <c r="P106" s="76">
        <f t="shared" si="1322"/>
        <v>0.33152173913043476</v>
      </c>
      <c r="Q106" s="76">
        <f t="shared" si="1322"/>
        <v>2.4599943420130135E-2</v>
      </c>
      <c r="R106" s="76">
        <f t="shared" si="1322"/>
        <v>5.1008322384258765E-2</v>
      </c>
      <c r="S106" s="76">
        <f t="shared" si="1322"/>
        <v>0.27835272286060952</v>
      </c>
      <c r="T106" s="76">
        <f t="shared" si="1322"/>
        <v>8.7942443059582393E-3</v>
      </c>
      <c r="U106" s="76">
        <f t="shared" si="1322"/>
        <v>0.21458872044482752</v>
      </c>
      <c r="V106" s="76">
        <f t="shared" si="1322"/>
        <v>0.33206333053393028</v>
      </c>
      <c r="W106" s="76">
        <f t="shared" si="1322"/>
        <v>0.2798675182514555</v>
      </c>
      <c r="X106" s="76">
        <f t="shared" si="1322"/>
        <v>0.20496857551725425</v>
      </c>
      <c r="Y106" s="76">
        <f t="shared" si="1322"/>
        <v>0.27247995694730981</v>
      </c>
      <c r="Z106" s="76">
        <f t="shared" si="1322"/>
        <v>0.29652142962069772</v>
      </c>
      <c r="AA106" s="76">
        <f t="shared" si="1322"/>
        <v>0.45995762804162299</v>
      </c>
      <c r="AB106" s="76">
        <f t="shared" si="1322"/>
        <v>0.31312268788818381</v>
      </c>
      <c r="AC106" s="76">
        <f t="shared" si="1322"/>
        <v>0.31312268788818387</v>
      </c>
      <c r="AD106" s="76">
        <f t="shared" si="1322"/>
        <v>0.34709031088847797</v>
      </c>
      <c r="AE106" s="76">
        <f t="shared" si="1322"/>
        <v>0.34709031088847797</v>
      </c>
      <c r="AF106" s="76">
        <f t="shared" si="1322"/>
        <v>0.34709031088847797</v>
      </c>
      <c r="AG106" s="76">
        <f t="shared" si="1322"/>
        <v>0.34709031088847797</v>
      </c>
      <c r="AH106" s="76">
        <f t="shared" si="1322"/>
        <v>0.34709031088847797</v>
      </c>
      <c r="AI106" s="76">
        <f t="shared" si="1322"/>
        <v>0.34709031088847797</v>
      </c>
      <c r="AJ106" s="76">
        <f t="shared" si="1322"/>
        <v>0.34709031088847803</v>
      </c>
      <c r="AK106" s="76">
        <f t="shared" si="1322"/>
        <v>0.34709031088847797</v>
      </c>
      <c r="AL106" s="76">
        <f t="shared" si="1322"/>
        <v>0.34709031088847792</v>
      </c>
      <c r="AM106" s="76">
        <f t="shared" si="1322"/>
        <v>0.34709031088847797</v>
      </c>
      <c r="AN106" s="76">
        <f t="shared" si="1322"/>
        <v>0.34709031088847797</v>
      </c>
      <c r="AO106" s="76">
        <f t="shared" si="1322"/>
        <v>0.34709031088847797</v>
      </c>
      <c r="AP106" s="76">
        <f t="shared" si="1322"/>
        <v>0.34709031088847797</v>
      </c>
      <c r="AQ106" s="76">
        <f t="shared" si="1322"/>
        <v>0.34709031088847797</v>
      </c>
      <c r="AR106" s="76">
        <f t="shared" si="1322"/>
        <v>0.34709031088847797</v>
      </c>
      <c r="AS106" s="76">
        <f t="shared" si="1322"/>
        <v>0.34709031088847797</v>
      </c>
      <c r="AT106" s="76">
        <f t="shared" si="1322"/>
        <v>0.34709031088847797</v>
      </c>
      <c r="AU106" s="76">
        <f t="shared" si="1322"/>
        <v>0.34709031088847803</v>
      </c>
      <c r="AV106" s="76">
        <f t="shared" si="1322"/>
        <v>0.34709031088847803</v>
      </c>
      <c r="AW106" s="76">
        <f t="shared" si="1322"/>
        <v>0.34709031088847803</v>
      </c>
      <c r="AY106" s="76">
        <f>IFERROR(AY103/AY105,"")</f>
        <v>0.71922526972572465</v>
      </c>
      <c r="AZ106" s="76" t="str">
        <f t="shared" ref="AZ106:CT106" si="1323">IFERROR(AZ103/AZ105,"")</f>
        <v/>
      </c>
      <c r="BA106" s="76">
        <f t="shared" si="1323"/>
        <v>0</v>
      </c>
      <c r="BB106" s="76">
        <f t="shared" si="1323"/>
        <v>1</v>
      </c>
      <c r="BC106" s="76" t="str">
        <f t="shared" si="1323"/>
        <v/>
      </c>
      <c r="BD106" s="76">
        <f t="shared" si="1323"/>
        <v>0</v>
      </c>
      <c r="BE106" s="76">
        <f t="shared" si="1323"/>
        <v>1</v>
      </c>
      <c r="BF106" s="76">
        <f t="shared" si="1323"/>
        <v>1</v>
      </c>
      <c r="BG106" s="76">
        <f t="shared" si="1323"/>
        <v>0.29814550641940085</v>
      </c>
      <c r="BH106" s="76">
        <f t="shared" si="1323"/>
        <v>0</v>
      </c>
      <c r="BI106" s="76">
        <f t="shared" si="1323"/>
        <v>2.9969580875411458E-2</v>
      </c>
      <c r="BJ106" s="76">
        <f t="shared" si="1323"/>
        <v>0</v>
      </c>
      <c r="BK106" s="76">
        <f t="shared" si="1323"/>
        <v>0</v>
      </c>
      <c r="BL106" s="76">
        <f t="shared" si="1323"/>
        <v>0.29105903132423866</v>
      </c>
      <c r="BM106" s="76">
        <f t="shared" si="1323"/>
        <v>0</v>
      </c>
      <c r="BN106" s="76">
        <f t="shared" si="1323"/>
        <v>0.19400900201769361</v>
      </c>
      <c r="BO106" s="76">
        <f t="shared" si="1323"/>
        <v>0.32709451368252984</v>
      </c>
      <c r="BP106" s="76">
        <f t="shared" si="1323"/>
        <v>0.41747572815533979</v>
      </c>
      <c r="BQ106" s="76">
        <f t="shared" si="1323"/>
        <v>0</v>
      </c>
      <c r="BR106" s="76">
        <f t="shared" si="1323"/>
        <v>1.6947459308258229E-2</v>
      </c>
      <c r="BS106" s="76">
        <f t="shared" si="1323"/>
        <v>0</v>
      </c>
      <c r="BT106" s="76">
        <f t="shared" si="1323"/>
        <v>0</v>
      </c>
      <c r="BU106" s="76">
        <f t="shared" si="1323"/>
        <v>0.28683181225554105</v>
      </c>
      <c r="BV106" s="76">
        <f t="shared" si="1323"/>
        <v>0.46654601725811107</v>
      </c>
      <c r="BW106" s="76">
        <f t="shared" si="1323"/>
        <v>0.23305084745762711</v>
      </c>
      <c r="BX106" s="76">
        <f t="shared" si="1323"/>
        <v>0.37845057880676758</v>
      </c>
      <c r="BY106" s="76">
        <f t="shared" si="1323"/>
        <v>0.34475748219136804</v>
      </c>
      <c r="BZ106" s="76">
        <f t="shared" si="1323"/>
        <v>0.31832147701165331</v>
      </c>
      <c r="CA106" s="76">
        <f t="shared" si="1323"/>
        <v>7.1640840585862869E-2</v>
      </c>
      <c r="CB106" s="76">
        <f t="shared" si="1323"/>
        <v>0.30218897673396145</v>
      </c>
      <c r="CC106" s="76">
        <f t="shared" si="1323"/>
        <v>7.9076987372757396E-2</v>
      </c>
      <c r="CD106" s="76">
        <f t="shared" si="1323"/>
        <v>9.8794131870730564E-2</v>
      </c>
      <c r="CE106" s="76">
        <f t="shared" si="1323"/>
        <v>0.60836501901140683</v>
      </c>
      <c r="CF106" s="76">
        <f t="shared" si="1323"/>
        <v>0</v>
      </c>
      <c r="CG106" s="76">
        <f t="shared" si="1323"/>
        <v>0.52453719819991484</v>
      </c>
      <c r="CH106" s="76">
        <f t="shared" si="1323"/>
        <v>0.25170055619740644</v>
      </c>
      <c r="CI106" s="76">
        <f t="shared" si="1323"/>
        <v>0.32706512370597063</v>
      </c>
      <c r="CJ106" s="76">
        <f t="shared" si="1323"/>
        <v>0.32661867370564285</v>
      </c>
      <c r="CK106" s="76">
        <f t="shared" si="1323"/>
        <v>0.23974297110257334</v>
      </c>
      <c r="CL106" s="76">
        <f t="shared" si="1323"/>
        <v>0.13421342134213421</v>
      </c>
      <c r="CM106" s="76">
        <f t="shared" si="1323"/>
        <v>0.56721789440116621</v>
      </c>
      <c r="CN106" s="76">
        <f t="shared" si="1323"/>
        <v>0.87988090907525518</v>
      </c>
      <c r="CO106" s="76">
        <f t="shared" si="1323"/>
        <v>0.31312268788818376</v>
      </c>
      <c r="CP106" s="76">
        <f t="shared" si="1323"/>
        <v>0.31312268788818381</v>
      </c>
      <c r="CQ106" s="76">
        <f t="shared" si="1323"/>
        <v>0.31312268788818381</v>
      </c>
      <c r="CR106" s="76">
        <f t="shared" si="1323"/>
        <v>0.31312268788818387</v>
      </c>
      <c r="CS106" s="76">
        <f t="shared" si="1323"/>
        <v>0.31312268788818387</v>
      </c>
      <c r="CT106" s="76">
        <f t="shared" si="1323"/>
        <v>0.31312268788818381</v>
      </c>
      <c r="CU106" s="85">
        <f t="shared" ref="CU106:FB106" si="1324">INDEX($D106:$L106,1,MATCH(CU$2,$D$2:$L$2,0))</f>
        <v>0.34709031088847797</v>
      </c>
      <c r="CV106" s="85">
        <f t="shared" si="1324"/>
        <v>0.34709031088847797</v>
      </c>
      <c r="CW106" s="85">
        <f t="shared" si="1324"/>
        <v>0.34709031088847797</v>
      </c>
      <c r="CX106" s="85">
        <f t="shared" si="1324"/>
        <v>0.34709031088847797</v>
      </c>
      <c r="CY106" s="85">
        <f t="shared" si="1324"/>
        <v>0.34709031088847797</v>
      </c>
      <c r="CZ106" s="85">
        <f t="shared" si="1324"/>
        <v>0.34709031088847797</v>
      </c>
      <c r="DA106" s="85">
        <f t="shared" si="1324"/>
        <v>0.34709031088847797</v>
      </c>
      <c r="DB106" s="85">
        <f t="shared" si="1324"/>
        <v>0.34709031088847797</v>
      </c>
      <c r="DC106" s="85">
        <f t="shared" si="1324"/>
        <v>0.34709031088847797</v>
      </c>
      <c r="DD106" s="85">
        <f t="shared" si="1324"/>
        <v>0.34709031088847797</v>
      </c>
      <c r="DE106" s="85">
        <f t="shared" si="1324"/>
        <v>0.34709031088847797</v>
      </c>
      <c r="DF106" s="85">
        <f t="shared" si="1324"/>
        <v>0.34709031088847797</v>
      </c>
      <c r="DG106" s="85">
        <f t="shared" si="1324"/>
        <v>0.34709031088847797</v>
      </c>
      <c r="DH106" s="85">
        <f t="shared" si="1324"/>
        <v>0.34709031088847797</v>
      </c>
      <c r="DI106" s="85">
        <f t="shared" si="1324"/>
        <v>0.34709031088847797</v>
      </c>
      <c r="DJ106" s="85">
        <f t="shared" si="1324"/>
        <v>0.34709031088847797</v>
      </c>
      <c r="DK106" s="85">
        <f t="shared" si="1324"/>
        <v>0.34709031088847797</v>
      </c>
      <c r="DL106" s="85">
        <f t="shared" si="1324"/>
        <v>0.34709031088847797</v>
      </c>
      <c r="DM106" s="85">
        <f t="shared" si="1324"/>
        <v>0.34709031088847797</v>
      </c>
      <c r="DN106" s="85">
        <f t="shared" si="1324"/>
        <v>0.34709031088847797</v>
      </c>
      <c r="DO106" s="85">
        <f t="shared" si="1324"/>
        <v>0.34709031088847797</v>
      </c>
      <c r="DP106" s="85">
        <f t="shared" si="1324"/>
        <v>0.34709031088847797</v>
      </c>
      <c r="DQ106" s="85">
        <f t="shared" si="1324"/>
        <v>0.34709031088847797</v>
      </c>
      <c r="DR106" s="85">
        <f t="shared" si="1324"/>
        <v>0.34709031088847797</v>
      </c>
      <c r="DS106" s="85">
        <f t="shared" si="1324"/>
        <v>0.34709031088847797</v>
      </c>
      <c r="DT106" s="85">
        <f t="shared" si="1324"/>
        <v>0.34709031088847797</v>
      </c>
      <c r="DU106" s="85">
        <f t="shared" si="1324"/>
        <v>0.34709031088847797</v>
      </c>
      <c r="DV106" s="85">
        <f t="shared" si="1324"/>
        <v>0.34709031088847797</v>
      </c>
      <c r="DW106" s="85">
        <f t="shared" si="1324"/>
        <v>0.34709031088847797</v>
      </c>
      <c r="DX106" s="85">
        <f t="shared" si="1324"/>
        <v>0.34709031088847797</v>
      </c>
      <c r="DY106" s="85">
        <f t="shared" si="1324"/>
        <v>0.34709031088847797</v>
      </c>
      <c r="DZ106" s="85">
        <f t="shared" si="1324"/>
        <v>0.34709031088847797</v>
      </c>
      <c r="EA106" s="85">
        <f t="shared" si="1324"/>
        <v>0.34709031088847797</v>
      </c>
      <c r="EB106" s="85">
        <f t="shared" si="1324"/>
        <v>0.34709031088847797</v>
      </c>
      <c r="EC106" s="85">
        <f t="shared" si="1324"/>
        <v>0.34709031088847797</v>
      </c>
      <c r="ED106" s="85">
        <f t="shared" si="1324"/>
        <v>0.34709031088847797</v>
      </c>
      <c r="EE106" s="85">
        <f t="shared" si="1324"/>
        <v>0.34709031088847797</v>
      </c>
      <c r="EF106" s="85">
        <f t="shared" si="1324"/>
        <v>0.34709031088847797</v>
      </c>
      <c r="EG106" s="85">
        <f t="shared" si="1324"/>
        <v>0.34709031088847797</v>
      </c>
      <c r="EH106" s="85">
        <f t="shared" si="1324"/>
        <v>0.34709031088847797</v>
      </c>
      <c r="EI106" s="85">
        <f t="shared" si="1324"/>
        <v>0.34709031088847797</v>
      </c>
      <c r="EJ106" s="85">
        <f t="shared" si="1324"/>
        <v>0.34709031088847797</v>
      </c>
      <c r="EK106" s="85">
        <f t="shared" si="1324"/>
        <v>0.34709031088847797</v>
      </c>
      <c r="EL106" s="85">
        <f t="shared" si="1324"/>
        <v>0.34709031088847797</v>
      </c>
      <c r="EM106" s="85">
        <f t="shared" si="1324"/>
        <v>0.34709031088847797</v>
      </c>
      <c r="EN106" s="85">
        <f t="shared" si="1324"/>
        <v>0.34709031088847797</v>
      </c>
      <c r="EO106" s="85">
        <f t="shared" si="1324"/>
        <v>0.34709031088847797</v>
      </c>
      <c r="EP106" s="85">
        <f t="shared" si="1324"/>
        <v>0.34709031088847797</v>
      </c>
      <c r="EQ106" s="85">
        <f t="shared" si="1324"/>
        <v>0.34709031088847797</v>
      </c>
      <c r="ER106" s="85">
        <f t="shared" si="1324"/>
        <v>0.34709031088847797</v>
      </c>
      <c r="ES106" s="85">
        <f t="shared" si="1324"/>
        <v>0.34709031088847797</v>
      </c>
      <c r="ET106" s="85">
        <f t="shared" si="1324"/>
        <v>0.34709031088847797</v>
      </c>
      <c r="EU106" s="85">
        <f t="shared" si="1324"/>
        <v>0.34709031088847797</v>
      </c>
      <c r="EV106" s="85">
        <f t="shared" si="1324"/>
        <v>0.34709031088847797</v>
      </c>
      <c r="EW106" s="85">
        <f t="shared" si="1324"/>
        <v>0.34709031088847797</v>
      </c>
      <c r="EX106" s="85">
        <f t="shared" si="1324"/>
        <v>0.34709031088847797</v>
      </c>
      <c r="EY106" s="85">
        <f t="shared" si="1324"/>
        <v>0.34709031088847797</v>
      </c>
      <c r="EZ106" s="85">
        <f t="shared" si="1324"/>
        <v>0.34709031088847797</v>
      </c>
      <c r="FA106" s="85">
        <f t="shared" si="1324"/>
        <v>0.34709031088847797</v>
      </c>
      <c r="FB106" s="85">
        <f t="shared" si="1324"/>
        <v>0.34709031088847797</v>
      </c>
    </row>
    <row r="108" spans="3:158" x14ac:dyDescent="0.25">
      <c r="C108" s="1" t="s">
        <v>313</v>
      </c>
      <c r="D108" s="20"/>
    </row>
    <row r="109" spans="3:158" x14ac:dyDescent="0.25">
      <c r="C109" s="258" t="s">
        <v>583</v>
      </c>
      <c r="D109" s="20">
        <f t="shared" ref="D109:L110" si="1325">SUMIF($AY$2:$FB$2,D$2,$AY109:$FB109)</f>
        <v>-250321</v>
      </c>
      <c r="E109" s="20">
        <f t="shared" si="1325"/>
        <v>-339419.07</v>
      </c>
      <c r="F109" s="20">
        <f t="shared" si="1325"/>
        <v>-466971.60076899995</v>
      </c>
      <c r="G109" s="20">
        <f t="shared" si="1325"/>
        <v>-788183.57850139972</v>
      </c>
      <c r="H109" s="20">
        <f t="shared" si="1325"/>
        <v>-1377628.5259046492</v>
      </c>
      <c r="I109" s="20">
        <f t="shared" si="1325"/>
        <v>-2215966.6030625738</v>
      </c>
      <c r="J109" s="20">
        <f t="shared" si="1325"/>
        <v>-3546103.5373059665</v>
      </c>
      <c r="K109" s="20">
        <f t="shared" si="1325"/>
        <v>-5596388.5535649722</v>
      </c>
      <c r="L109" s="20">
        <f t="shared" si="1325"/>
        <v>-8672875.4296420012</v>
      </c>
      <c r="N109" s="20">
        <f t="shared" ref="N109:N110" si="1326">SUM(AY109:BA109)</f>
        <v>-27800</v>
      </c>
      <c r="O109" s="20">
        <f t="shared" ref="O109:O110" si="1327">SUM(BB109:BD109)</f>
        <v>0</v>
      </c>
      <c r="P109" s="20">
        <f t="shared" ref="P109:P110" si="1328">SUM(BE109:BG109)</f>
        <v>-69577</v>
      </c>
      <c r="Q109" s="20">
        <f t="shared" ref="Q109:Q110" si="1329">SUM(BH109:BJ109)</f>
        <v>-152944</v>
      </c>
      <c r="R109" s="20">
        <f t="shared" ref="R109:R110" si="1330">SUM(BK109:BM109)</f>
        <v>-101455.77</v>
      </c>
      <c r="S109" s="20">
        <f t="shared" ref="S109:S110" si="1331">SUM(BN109:BP109)</f>
        <v>-132720</v>
      </c>
      <c r="T109" s="20">
        <f t="shared" ref="T109:T110" si="1332">SUM(BQ109:BS109)</f>
        <v>-20250</v>
      </c>
      <c r="U109" s="20">
        <f t="shared" ref="U109:U110" si="1333">SUM(BT109:BV109)</f>
        <v>-84993.3</v>
      </c>
      <c r="V109" s="20">
        <f t="shared" ref="V109:V110" si="1334">SUM(BW109:BY109)</f>
        <v>-31354</v>
      </c>
      <c r="W109" s="20">
        <f t="shared" ref="W109:W110" si="1335">SUM(BZ109:CB109)</f>
        <v>-219721.23076900002</v>
      </c>
      <c r="X109" s="20">
        <f t="shared" ref="X109:X110" si="1336">SUM(CC109:CE109)</f>
        <v>-71732.539999999994</v>
      </c>
      <c r="Y109" s="20">
        <f t="shared" ref="Y109:Y110" si="1337">SUM(CF109:CH109)</f>
        <v>-144163.82999999999</v>
      </c>
      <c r="Z109" s="20">
        <f t="shared" ref="Z109:Z110" si="1338">SUM(CI109:CK109)</f>
        <v>-391015.83</v>
      </c>
      <c r="AA109" s="20">
        <f t="shared" ref="AA109:AA110" si="1339">SUM(CL109:CN109)</f>
        <v>-101708.23999999999</v>
      </c>
      <c r="AB109" s="20">
        <f t="shared" ref="AB109:AB110" si="1340">SUM(CO109:CQ109)</f>
        <v>-136984.82022687755</v>
      </c>
      <c r="AC109" s="20">
        <f t="shared" ref="AC109:AC110" si="1341">SUM(CR109:CT109)</f>
        <v>-158474.68827452211</v>
      </c>
      <c r="AD109" s="20">
        <f t="shared" ref="AD109:AD110" si="1342">SUM(CU109:CW109)</f>
        <v>-283459.28493081487</v>
      </c>
      <c r="AE109" s="20">
        <f t="shared" ref="AE109:AE110" si="1343">SUM(CX109:CZ109)</f>
        <v>-319279.25111393956</v>
      </c>
      <c r="AF109" s="20">
        <f t="shared" ref="AF109:AF110" si="1344">SUM(DA109:DC109)</f>
        <v>-292627.59022584202</v>
      </c>
      <c r="AG109" s="20">
        <f t="shared" ref="AG109:AG110" si="1345">SUM(DD109:DF109)</f>
        <v>-482262.39963405253</v>
      </c>
      <c r="AH109" s="20">
        <f t="shared" ref="AH109:AH110" si="1346">SUM(DG109:DI109)</f>
        <v>-455954.77802857256</v>
      </c>
      <c r="AI109" s="20">
        <f t="shared" ref="AI109:AI110" si="1347">SUM(DJ109:DL109)</f>
        <v>-513572.52279217727</v>
      </c>
      <c r="AJ109" s="20">
        <f t="shared" ref="AJ109:AJ110" si="1348">SUM(DM109:DO109)</f>
        <v>-470702.33730048931</v>
      </c>
      <c r="AK109" s="20">
        <f t="shared" ref="AK109:AK110" si="1349">SUM(DP109:DR109)</f>
        <v>-775736.96494133421</v>
      </c>
      <c r="AL109" s="20">
        <f t="shared" ref="AL109:AL110" si="1350">SUM(DS109:DU109)</f>
        <v>-729642.24685701262</v>
      </c>
      <c r="AM109" s="20">
        <f t="shared" ref="AM109:AM110" si="1351">SUM(DV109:DX109)</f>
        <v>-821845.1204181182</v>
      </c>
      <c r="AN109" s="20">
        <f t="shared" ref="AN109:AN110" si="1352">SUM(DY109:EA109)</f>
        <v>-753242.04841922806</v>
      </c>
      <c r="AO109" s="20">
        <f t="shared" ref="AO109:AO110" si="1353">SUM(EB109:ED109)</f>
        <v>-1241374.1216116075</v>
      </c>
      <c r="AP109" s="20">
        <f t="shared" ref="AP109:AP110" si="1354">SUM(EE109:EG109)</f>
        <v>-1151506.5692667875</v>
      </c>
      <c r="AQ109" s="20">
        <f t="shared" ref="AQ109:AQ110" si="1355">SUM(EH109:EJ109)</f>
        <v>-1297019.2709616697</v>
      </c>
      <c r="AR109" s="20">
        <f t="shared" ref="AR109:AR110" si="1356">SUM(EK109:EM109)</f>
        <v>-1188751.296596302</v>
      </c>
      <c r="AS109" s="20">
        <f t="shared" ref="AS109:AS110" si="1357">SUM(EN109:EP109)</f>
        <v>-1959111.4167402128</v>
      </c>
      <c r="AT109" s="20">
        <f t="shared" ref="AT109:AT110" si="1358">SUM(EQ109:ES109)</f>
        <v>-1784521.0238848603</v>
      </c>
      <c r="AU109" s="20">
        <f t="shared" ref="AU109:AU110" si="1359">SUM(ET109:EV109)</f>
        <v>-2010026.0121735041</v>
      </c>
      <c r="AV109" s="20">
        <f t="shared" ref="AV109:AV110" si="1360">SUM(EW109:EY109)</f>
        <v>-1842240.1899949571</v>
      </c>
      <c r="AW109" s="20">
        <f t="shared" ref="AW109:AW110" si="1361">SUM(EZ109:FB109)</f>
        <v>-3036088.2035886785</v>
      </c>
      <c r="AY109" s="20">
        <f t="shared" ref="AY109" si="1362">AY32</f>
        <v>-7200</v>
      </c>
      <c r="AZ109" s="20">
        <f t="shared" ref="AZ109:CT109" si="1363">AZ32</f>
        <v>0</v>
      </c>
      <c r="BA109" s="20">
        <f t="shared" si="1363"/>
        <v>-20600</v>
      </c>
      <c r="BB109" s="20">
        <f t="shared" si="1363"/>
        <v>0</v>
      </c>
      <c r="BC109" s="20">
        <f t="shared" si="1363"/>
        <v>0</v>
      </c>
      <c r="BD109" s="20">
        <f t="shared" si="1363"/>
        <v>0</v>
      </c>
      <c r="BE109" s="20">
        <f t="shared" si="1363"/>
        <v>-60000</v>
      </c>
      <c r="BF109" s="20">
        <f t="shared" si="1363"/>
        <v>-3577</v>
      </c>
      <c r="BG109" s="20">
        <f t="shared" si="1363"/>
        <v>-6000</v>
      </c>
      <c r="BH109" s="20">
        <f t="shared" si="1363"/>
        <v>-75000</v>
      </c>
      <c r="BI109" s="20">
        <f t="shared" si="1363"/>
        <v>-38944</v>
      </c>
      <c r="BJ109" s="20">
        <f t="shared" si="1363"/>
        <v>-39000</v>
      </c>
      <c r="BK109" s="20">
        <f t="shared" si="1363"/>
        <v>-49000</v>
      </c>
      <c r="BL109" s="20">
        <f t="shared" si="1363"/>
        <v>-40000</v>
      </c>
      <c r="BM109" s="20">
        <f t="shared" si="1363"/>
        <v>-12455.77</v>
      </c>
      <c r="BN109" s="20">
        <f t="shared" si="1363"/>
        <v>-22500</v>
      </c>
      <c r="BO109" s="20">
        <f t="shared" si="1363"/>
        <v>-19000</v>
      </c>
      <c r="BP109" s="20">
        <f t="shared" si="1363"/>
        <v>-91220</v>
      </c>
      <c r="BQ109" s="20">
        <f t="shared" si="1363"/>
        <v>0</v>
      </c>
      <c r="BR109" s="20">
        <f t="shared" si="1363"/>
        <v>-6750</v>
      </c>
      <c r="BS109" s="20">
        <f t="shared" si="1363"/>
        <v>-13500</v>
      </c>
      <c r="BT109" s="20">
        <f t="shared" si="1363"/>
        <v>-73500</v>
      </c>
      <c r="BU109" s="20">
        <f t="shared" si="1363"/>
        <v>0</v>
      </c>
      <c r="BV109" s="20">
        <f t="shared" si="1363"/>
        <v>-11493.3</v>
      </c>
      <c r="BW109" s="20">
        <f t="shared" si="1363"/>
        <v>-468</v>
      </c>
      <c r="BX109" s="20">
        <f t="shared" si="1363"/>
        <v>-12500</v>
      </c>
      <c r="BY109" s="20">
        <f t="shared" si="1363"/>
        <v>-18386</v>
      </c>
      <c r="BZ109" s="20">
        <f t="shared" si="1363"/>
        <v>-120177</v>
      </c>
      <c r="CA109" s="20">
        <f t="shared" si="1363"/>
        <v>-32519.230769000002</v>
      </c>
      <c r="CB109" s="20">
        <f t="shared" si="1363"/>
        <v>-67025</v>
      </c>
      <c r="CC109" s="20">
        <f t="shared" si="1363"/>
        <v>-40183.339999999997</v>
      </c>
      <c r="CD109" s="20">
        <f t="shared" si="1363"/>
        <v>-13500</v>
      </c>
      <c r="CE109" s="20">
        <f t="shared" si="1363"/>
        <v>-18049.2</v>
      </c>
      <c r="CF109" s="20">
        <f t="shared" si="1363"/>
        <v>0</v>
      </c>
      <c r="CG109" s="20">
        <f t="shared" si="1363"/>
        <v>-86200.23</v>
      </c>
      <c r="CH109" s="20">
        <f t="shared" si="1363"/>
        <v>-57963.6</v>
      </c>
      <c r="CI109" s="20">
        <f t="shared" si="1363"/>
        <v>0</v>
      </c>
      <c r="CJ109" s="20">
        <f t="shared" si="1363"/>
        <v>-267166.83</v>
      </c>
      <c r="CK109" s="20">
        <f t="shared" si="1363"/>
        <v>-123849</v>
      </c>
      <c r="CL109" s="20">
        <f t="shared" si="1363"/>
        <v>0</v>
      </c>
      <c r="CM109" s="20">
        <f t="shared" si="1363"/>
        <v>-38000</v>
      </c>
      <c r="CN109" s="20">
        <f t="shared" si="1363"/>
        <v>-63708.24</v>
      </c>
      <c r="CO109" s="20">
        <f t="shared" si="1363"/>
        <v>-19353.690538258052</v>
      </c>
      <c r="CP109" s="20">
        <f t="shared" si="1363"/>
        <v>-44029.416689425358</v>
      </c>
      <c r="CQ109" s="20">
        <f t="shared" si="1363"/>
        <v>-73601.712999194133</v>
      </c>
      <c r="CR109" s="20">
        <f t="shared" si="1363"/>
        <v>-23436.213232123002</v>
      </c>
      <c r="CS109" s="20">
        <f t="shared" si="1363"/>
        <v>-77024.111806279878</v>
      </c>
      <c r="CT109" s="20">
        <f t="shared" si="1363"/>
        <v>-58014.363236119229</v>
      </c>
      <c r="CU109" s="20">
        <f>CU111*CU112</f>
        <v>-61353.505009180801</v>
      </c>
      <c r="CV109" s="20">
        <f t="shared" ref="CV109:FB109" si="1364">CV111*CV112</f>
        <v>-77598.641403002577</v>
      </c>
      <c r="CW109" s="20">
        <f t="shared" si="1364"/>
        <v>-144507.13851863146</v>
      </c>
      <c r="CX109" s="20">
        <f t="shared" si="1364"/>
        <v>-95817.634059311924</v>
      </c>
      <c r="CY109" s="20">
        <f t="shared" si="1364"/>
        <v>-78500.704919620126</v>
      </c>
      <c r="CZ109" s="20">
        <f t="shared" si="1364"/>
        <v>-144960.91213500747</v>
      </c>
      <c r="DA109" s="20">
        <f t="shared" si="1364"/>
        <v>-96638.8091190712</v>
      </c>
      <c r="DB109" s="20">
        <f t="shared" si="1364"/>
        <v>-75807.721782903216</v>
      </c>
      <c r="DC109" s="20">
        <f t="shared" si="1364"/>
        <v>-120181.05932386762</v>
      </c>
      <c r="DD109" s="20">
        <f t="shared" si="1364"/>
        <v>-95004.641897831083</v>
      </c>
      <c r="DE109" s="20">
        <f t="shared" si="1364"/>
        <v>-199677.53420948965</v>
      </c>
      <c r="DF109" s="20">
        <f t="shared" si="1364"/>
        <v>-187580.22352673183</v>
      </c>
      <c r="DG109" s="20">
        <f t="shared" si="1364"/>
        <v>-98689.389428763257</v>
      </c>
      <c r="DH109" s="20">
        <f t="shared" si="1364"/>
        <v>-124820.294120408</v>
      </c>
      <c r="DI109" s="20">
        <f t="shared" si="1364"/>
        <v>-232445.0944794013</v>
      </c>
      <c r="DJ109" s="20">
        <f t="shared" si="1364"/>
        <v>-154126.21985340794</v>
      </c>
      <c r="DK109" s="20">
        <f t="shared" si="1364"/>
        <v>-126271.29675941984</v>
      </c>
      <c r="DL109" s="20">
        <f t="shared" si="1364"/>
        <v>-233175.00617934953</v>
      </c>
      <c r="DM109" s="20">
        <f t="shared" si="1364"/>
        <v>-155447.11040806564</v>
      </c>
      <c r="DN109" s="20">
        <f t="shared" si="1364"/>
        <v>-121939.53345649563</v>
      </c>
      <c r="DO109" s="20">
        <f t="shared" si="1364"/>
        <v>-193315.69343592806</v>
      </c>
      <c r="DP109" s="20">
        <f t="shared" si="1364"/>
        <v>-152818.49179427081</v>
      </c>
      <c r="DQ109" s="20">
        <f t="shared" si="1364"/>
        <v>-321188.72313532454</v>
      </c>
      <c r="DR109" s="20">
        <f t="shared" si="1364"/>
        <v>-301729.75001173891</v>
      </c>
      <c r="DS109" s="20">
        <f t="shared" si="1364"/>
        <v>-157927.82818307725</v>
      </c>
      <c r="DT109" s="20">
        <f t="shared" si="1364"/>
        <v>-199743.84356525037</v>
      </c>
      <c r="DU109" s="20">
        <f t="shared" si="1364"/>
        <v>-371970.57510868501</v>
      </c>
      <c r="DV109" s="20">
        <f t="shared" si="1364"/>
        <v>-246640.69063965662</v>
      </c>
      <c r="DW109" s="20">
        <f t="shared" si="1364"/>
        <v>-202065.81249011095</v>
      </c>
      <c r="DX109" s="20">
        <f t="shared" si="1364"/>
        <v>-373138.61728835059</v>
      </c>
      <c r="DY109" s="20">
        <f t="shared" si="1364"/>
        <v>-248754.44752651229</v>
      </c>
      <c r="DZ109" s="20">
        <f t="shared" si="1364"/>
        <v>-195133.9024378375</v>
      </c>
      <c r="EA109" s="20">
        <f t="shared" si="1364"/>
        <v>-309353.69845487823</v>
      </c>
      <c r="EB109" s="20">
        <f t="shared" si="1364"/>
        <v>-244547.99705396293</v>
      </c>
      <c r="EC109" s="20">
        <f t="shared" si="1364"/>
        <v>-513982.68623672001</v>
      </c>
      <c r="ED109" s="20">
        <f t="shared" si="1364"/>
        <v>-482843.43832092453</v>
      </c>
      <c r="EE109" s="20">
        <f t="shared" si="1364"/>
        <v>-249238.48969300147</v>
      </c>
      <c r="EF109" s="20">
        <f t="shared" si="1364"/>
        <v>-315231.67555984115</v>
      </c>
      <c r="EG109" s="20">
        <f t="shared" si="1364"/>
        <v>-587036.40401394491</v>
      </c>
      <c r="EH109" s="20">
        <f t="shared" si="1364"/>
        <v>-389243.32677205704</v>
      </c>
      <c r="EI109" s="20">
        <f t="shared" si="1364"/>
        <v>-318896.1597397633</v>
      </c>
      <c r="EJ109" s="20">
        <f t="shared" si="1364"/>
        <v>-588879.78444984939</v>
      </c>
      <c r="EK109" s="20">
        <f t="shared" si="1364"/>
        <v>-392579.21494400967</v>
      </c>
      <c r="EL109" s="20">
        <f t="shared" si="1364"/>
        <v>-307956.36013640556</v>
      </c>
      <c r="EM109" s="20">
        <f t="shared" si="1364"/>
        <v>-488215.72151588672</v>
      </c>
      <c r="EN109" s="20">
        <f t="shared" si="1364"/>
        <v>-385940.68027403846</v>
      </c>
      <c r="EO109" s="20">
        <f t="shared" si="1364"/>
        <v>-811157.03242298472</v>
      </c>
      <c r="EP109" s="20">
        <f t="shared" si="1364"/>
        <v>-762013.70404318976</v>
      </c>
      <c r="EQ109" s="20">
        <f t="shared" si="1364"/>
        <v>-386251.66081481904</v>
      </c>
      <c r="ER109" s="20">
        <f t="shared" si="1364"/>
        <v>-488523.09439205291</v>
      </c>
      <c r="ES109" s="20">
        <f t="shared" si="1364"/>
        <v>-909746.26867798844</v>
      </c>
      <c r="ET109" s="20">
        <f t="shared" si="1364"/>
        <v>-603220.96162587206</v>
      </c>
      <c r="EU109" s="20">
        <f t="shared" si="1364"/>
        <v>-494202.04511217627</v>
      </c>
      <c r="EV109" s="20">
        <f t="shared" si="1364"/>
        <v>-912603.00543545571</v>
      </c>
      <c r="EW109" s="20">
        <f t="shared" si="1364"/>
        <v>-608390.67818247736</v>
      </c>
      <c r="EX109" s="20">
        <f t="shared" si="1364"/>
        <v>-477248.34036543762</v>
      </c>
      <c r="EY109" s="20">
        <f t="shared" si="1364"/>
        <v>-756601.17144704214</v>
      </c>
      <c r="EZ109" s="20">
        <f t="shared" si="1364"/>
        <v>-598102.76059474237</v>
      </c>
      <c r="FA109" s="20">
        <f t="shared" si="1364"/>
        <v>-1257072.0972547904</v>
      </c>
      <c r="FB109" s="20">
        <f t="shared" si="1364"/>
        <v>-1180913.345739146</v>
      </c>
    </row>
    <row r="110" spans="3:158" x14ac:dyDescent="0.25">
      <c r="C110" s="258" t="s">
        <v>22</v>
      </c>
      <c r="D110" s="29">
        <f t="shared" si="1325"/>
        <v>-215790</v>
      </c>
      <c r="E110" s="29">
        <f t="shared" si="1325"/>
        <v>-168865</v>
      </c>
      <c r="F110" s="29">
        <f t="shared" si="1325"/>
        <v>-899788.01</v>
      </c>
      <c r="G110" s="29">
        <f t="shared" si="1325"/>
        <v>-391570.9869096594</v>
      </c>
      <c r="H110" s="29">
        <f t="shared" si="1325"/>
        <v>-684408.27263749531</v>
      </c>
      <c r="I110" s="29">
        <f t="shared" si="1325"/>
        <v>-1100896.102618454</v>
      </c>
      <c r="J110" s="29">
        <f t="shared" si="1325"/>
        <v>-1761710.4690595446</v>
      </c>
      <c r="K110" s="29">
        <f t="shared" si="1325"/>
        <v>-2780295.6681943424</v>
      </c>
      <c r="L110" s="29">
        <f t="shared" si="1325"/>
        <v>-4308699.7546770424</v>
      </c>
      <c r="N110" s="29">
        <f t="shared" si="1326"/>
        <v>-36099</v>
      </c>
      <c r="O110" s="29">
        <f t="shared" si="1327"/>
        <v>-159691</v>
      </c>
      <c r="P110" s="29">
        <f t="shared" si="1328"/>
        <v>0</v>
      </c>
      <c r="Q110" s="29">
        <f t="shared" si="1329"/>
        <v>-20000</v>
      </c>
      <c r="R110" s="29">
        <f t="shared" si="1330"/>
        <v>-12000</v>
      </c>
      <c r="S110" s="29">
        <f t="shared" si="1331"/>
        <v>-94565</v>
      </c>
      <c r="T110" s="29">
        <f t="shared" si="1332"/>
        <v>0</v>
      </c>
      <c r="U110" s="29">
        <f t="shared" si="1333"/>
        <v>-62300</v>
      </c>
      <c r="V110" s="29">
        <f t="shared" si="1334"/>
        <v>-72400</v>
      </c>
      <c r="W110" s="29">
        <f t="shared" si="1335"/>
        <v>-319000</v>
      </c>
      <c r="X110" s="29">
        <f t="shared" si="1336"/>
        <v>-201400.01</v>
      </c>
      <c r="Y110" s="29">
        <f t="shared" si="1337"/>
        <v>-306988</v>
      </c>
      <c r="Z110" s="29">
        <f t="shared" si="1338"/>
        <v>-63000</v>
      </c>
      <c r="AA110" s="29">
        <f t="shared" si="1339"/>
        <v>-63750</v>
      </c>
      <c r="AB110" s="29">
        <f t="shared" si="1340"/>
        <v>-122779.78619852793</v>
      </c>
      <c r="AC110" s="29">
        <f t="shared" si="1341"/>
        <v>-142041.2007111315</v>
      </c>
      <c r="AD110" s="29">
        <f t="shared" si="1342"/>
        <v>-140823.07088927558</v>
      </c>
      <c r="AE110" s="29">
        <f t="shared" si="1343"/>
        <v>-158618.49303707643</v>
      </c>
      <c r="AF110" s="29">
        <f t="shared" si="1344"/>
        <v>-145377.90107171697</v>
      </c>
      <c r="AG110" s="29">
        <f t="shared" si="1345"/>
        <v>-239588.80763942632</v>
      </c>
      <c r="AH110" s="29">
        <f t="shared" si="1346"/>
        <v>-226519.13499426679</v>
      </c>
      <c r="AI110" s="29">
        <f t="shared" si="1347"/>
        <v>-255143.73184705887</v>
      </c>
      <c r="AJ110" s="29">
        <f t="shared" si="1348"/>
        <v>-233845.74835709881</v>
      </c>
      <c r="AK110" s="29">
        <f t="shared" si="1349"/>
        <v>-385387.48742002959</v>
      </c>
      <c r="AL110" s="29">
        <f t="shared" si="1350"/>
        <v>-362487.5504714342</v>
      </c>
      <c r="AM110" s="29">
        <f t="shared" si="1351"/>
        <v>-408294.10008881439</v>
      </c>
      <c r="AN110" s="29">
        <f t="shared" si="1352"/>
        <v>-374211.97336052696</v>
      </c>
      <c r="AO110" s="29">
        <f t="shared" si="1353"/>
        <v>-616716.84513876925</v>
      </c>
      <c r="AP110" s="29">
        <f t="shared" si="1354"/>
        <v>-572070.48720560386</v>
      </c>
      <c r="AQ110" s="29">
        <f t="shared" si="1355"/>
        <v>-644361.45312358346</v>
      </c>
      <c r="AR110" s="29">
        <f t="shared" si="1356"/>
        <v>-590573.73319472745</v>
      </c>
      <c r="AS110" s="29">
        <f t="shared" si="1357"/>
        <v>-973289.99467042787</v>
      </c>
      <c r="AT110" s="29">
        <f t="shared" si="1358"/>
        <v>-886553.18068440282</v>
      </c>
      <c r="AU110" s="29">
        <f t="shared" si="1359"/>
        <v>-998584.45515617693</v>
      </c>
      <c r="AV110" s="29">
        <f t="shared" si="1360"/>
        <v>-915228.16384036443</v>
      </c>
      <c r="AW110" s="29">
        <f t="shared" si="1361"/>
        <v>-1508333.9549960983</v>
      </c>
      <c r="AY110" s="29">
        <f t="shared" ref="AY110" si="1365">AY33</f>
        <v>0</v>
      </c>
      <c r="AZ110" s="29">
        <f t="shared" ref="AZ110:CT110" si="1366">AZ33</f>
        <v>-24642</v>
      </c>
      <c r="BA110" s="29">
        <f t="shared" si="1366"/>
        <v>-11457</v>
      </c>
      <c r="BB110" s="29">
        <f t="shared" si="1366"/>
        <v>0</v>
      </c>
      <c r="BC110" s="29">
        <f t="shared" si="1366"/>
        <v>0</v>
      </c>
      <c r="BD110" s="29">
        <f t="shared" si="1366"/>
        <v>-159691</v>
      </c>
      <c r="BE110" s="29">
        <f t="shared" si="1366"/>
        <v>0</v>
      </c>
      <c r="BF110" s="29">
        <f t="shared" si="1366"/>
        <v>0</v>
      </c>
      <c r="BG110" s="29">
        <f t="shared" si="1366"/>
        <v>0</v>
      </c>
      <c r="BH110" s="29">
        <f t="shared" si="1366"/>
        <v>-20000</v>
      </c>
      <c r="BI110" s="29">
        <f t="shared" si="1366"/>
        <v>0</v>
      </c>
      <c r="BJ110" s="29">
        <f t="shared" si="1366"/>
        <v>0</v>
      </c>
      <c r="BK110" s="29">
        <f t="shared" si="1366"/>
        <v>0</v>
      </c>
      <c r="BL110" s="29">
        <f t="shared" si="1366"/>
        <v>0</v>
      </c>
      <c r="BM110" s="29">
        <f t="shared" si="1366"/>
        <v>-12000</v>
      </c>
      <c r="BN110" s="29">
        <f t="shared" si="1366"/>
        <v>0</v>
      </c>
      <c r="BO110" s="29">
        <f t="shared" si="1366"/>
        <v>-468</v>
      </c>
      <c r="BP110" s="29">
        <f t="shared" si="1366"/>
        <v>-94097</v>
      </c>
      <c r="BQ110" s="29">
        <f t="shared" si="1366"/>
        <v>0</v>
      </c>
      <c r="BR110" s="29">
        <f t="shared" si="1366"/>
        <v>0</v>
      </c>
      <c r="BS110" s="29">
        <f t="shared" si="1366"/>
        <v>0</v>
      </c>
      <c r="BT110" s="29">
        <f t="shared" si="1366"/>
        <v>-10800</v>
      </c>
      <c r="BU110" s="29">
        <f t="shared" si="1366"/>
        <v>0</v>
      </c>
      <c r="BV110" s="29">
        <f t="shared" si="1366"/>
        <v>-51500</v>
      </c>
      <c r="BW110" s="29">
        <f t="shared" si="1366"/>
        <v>0</v>
      </c>
      <c r="BX110" s="29">
        <f t="shared" si="1366"/>
        <v>0</v>
      </c>
      <c r="BY110" s="29">
        <f t="shared" si="1366"/>
        <v>-72400</v>
      </c>
      <c r="BZ110" s="29">
        <f t="shared" si="1366"/>
        <v>-40000</v>
      </c>
      <c r="CA110" s="29">
        <f t="shared" si="1366"/>
        <v>-259000</v>
      </c>
      <c r="CB110" s="29">
        <f t="shared" si="1366"/>
        <v>-20000</v>
      </c>
      <c r="CC110" s="29">
        <f t="shared" si="1366"/>
        <v>-132400.01</v>
      </c>
      <c r="CD110" s="29">
        <f t="shared" si="1366"/>
        <v>-51000</v>
      </c>
      <c r="CE110" s="29">
        <f t="shared" si="1366"/>
        <v>-18000</v>
      </c>
      <c r="CF110" s="29">
        <f t="shared" si="1366"/>
        <v>-18000</v>
      </c>
      <c r="CG110" s="29">
        <f t="shared" si="1366"/>
        <v>-283000</v>
      </c>
      <c r="CH110" s="29">
        <f t="shared" si="1366"/>
        <v>-5988</v>
      </c>
      <c r="CI110" s="29">
        <f t="shared" si="1366"/>
        <v>0</v>
      </c>
      <c r="CJ110" s="29">
        <f t="shared" si="1366"/>
        <v>-23000</v>
      </c>
      <c r="CK110" s="29">
        <f t="shared" si="1366"/>
        <v>-40000</v>
      </c>
      <c r="CL110" s="29">
        <f t="shared" si="1366"/>
        <v>-12000</v>
      </c>
      <c r="CM110" s="29">
        <f t="shared" si="1366"/>
        <v>-22500</v>
      </c>
      <c r="CN110" s="29">
        <f t="shared" si="1366"/>
        <v>-29250</v>
      </c>
      <c r="CO110" s="29">
        <f t="shared" si="1366"/>
        <v>-17346.754060079118</v>
      </c>
      <c r="CP110" s="29">
        <f t="shared" si="1366"/>
        <v>-39463.659977945907</v>
      </c>
      <c r="CQ110" s="29">
        <f t="shared" si="1366"/>
        <v>-65969.372160502899</v>
      </c>
      <c r="CR110" s="29">
        <f t="shared" si="1366"/>
        <v>-21005.927847898765</v>
      </c>
      <c r="CS110" s="29">
        <f t="shared" si="1366"/>
        <v>-69036.875502290204</v>
      </c>
      <c r="CT110" s="29">
        <f t="shared" si="1366"/>
        <v>-51998.397360942537</v>
      </c>
      <c r="CU110" s="29">
        <f>CU111-CU109</f>
        <v>-30480.529107812406</v>
      </c>
      <c r="CV110" s="29">
        <f t="shared" ref="CV110" si="1367">CV111-CV109</f>
        <v>-38551.141416565966</v>
      </c>
      <c r="CW110" s="29">
        <f t="shared" ref="CW110" si="1368">CW111-CW109</f>
        <v>-71791.400364897214</v>
      </c>
      <c r="CX110" s="29">
        <f t="shared" ref="CX110" si="1369">CX111-CX109</f>
        <v>-47602.368985269</v>
      </c>
      <c r="CY110" s="29">
        <f t="shared" ref="CY110" si="1370">CY111-CY109</f>
        <v>-38999.288156858005</v>
      </c>
      <c r="CZ110" s="29">
        <f t="shared" ref="CZ110" si="1371">CZ111-CZ109</f>
        <v>-72016.835894949443</v>
      </c>
      <c r="DA110" s="29">
        <f t="shared" ref="DA110" si="1372">DA111-DA109</f>
        <v>-48010.330198044976</v>
      </c>
      <c r="DB110" s="29">
        <f t="shared" ref="DB110" si="1373">DB111-DB109</f>
        <v>-37661.409402037651</v>
      </c>
      <c r="DC110" s="29">
        <f t="shared" ref="DC110" si="1374">DC111-DC109</f>
        <v>-59706.161471634361</v>
      </c>
      <c r="DD110" s="29">
        <f t="shared" ref="DD110" si="1375">DD111-DD109</f>
        <v>-47198.473050737928</v>
      </c>
      <c r="DE110" s="29">
        <f t="shared" ref="DE110" si="1376">DE111-DE109</f>
        <v>-99200.149897513096</v>
      </c>
      <c r="DF110" s="29">
        <f t="shared" ref="DF110" si="1377">DF111-DF109</f>
        <v>-93190.184691175295</v>
      </c>
      <c r="DG110" s="29">
        <f t="shared" ref="DG110" si="1378">DG111-DG109</f>
        <v>-49029.062099476243</v>
      </c>
      <c r="DH110" s="29">
        <f t="shared" ref="DH110" si="1379">DH111-DH109</f>
        <v>-62010.941471289887</v>
      </c>
      <c r="DI110" s="29">
        <f t="shared" ref="DI110" si="1380">DI111-DI109</f>
        <v>-115479.13142350066</v>
      </c>
      <c r="DJ110" s="29">
        <f t="shared" ref="DJ110" si="1381">DJ111-DJ109</f>
        <v>-76570.176876054902</v>
      </c>
      <c r="DK110" s="29">
        <f t="shared" ref="DK110" si="1382">DK111-DK109</f>
        <v>-62731.802132262645</v>
      </c>
      <c r="DL110" s="29">
        <f t="shared" ref="DL110" si="1383">DL111-DL109</f>
        <v>-115841.75283874132</v>
      </c>
      <c r="DM110" s="29">
        <f t="shared" ref="DM110" si="1384">DM111-DM109</f>
        <v>-77226.397624868754</v>
      </c>
      <c r="DN110" s="29">
        <f t="shared" ref="DN110" si="1385">DN111-DN109</f>
        <v>-60579.774510968986</v>
      </c>
      <c r="DO110" s="29">
        <f t="shared" ref="DO110" si="1386">DO111-DO109</f>
        <v>-96039.576221261086</v>
      </c>
      <c r="DP110" s="29">
        <f t="shared" ref="DP110" si="1387">DP111-DP109</f>
        <v>-75920.495278146729</v>
      </c>
      <c r="DQ110" s="29">
        <f t="shared" ref="DQ110" si="1388">DQ111-DQ109</f>
        <v>-159567.12209290086</v>
      </c>
      <c r="DR110" s="29">
        <f t="shared" ref="DR110" si="1389">DR111-DR109</f>
        <v>-149899.87004898203</v>
      </c>
      <c r="DS110" s="29">
        <f t="shared" ref="DS110" si="1390">DS111-DS109</f>
        <v>-78458.822574970516</v>
      </c>
      <c r="DT110" s="29">
        <f t="shared" ref="DT110" si="1391">DT111-DT109</f>
        <v>-99233.092501983425</v>
      </c>
      <c r="DU110" s="29">
        <f t="shared" ref="DU110" si="1392">DU111-DU109</f>
        <v>-184795.63539448025</v>
      </c>
      <c r="DV110" s="29">
        <f t="shared" ref="DV110" si="1393">DV111-DV109</f>
        <v>-122531.5285424699</v>
      </c>
      <c r="DW110" s="29">
        <f t="shared" ref="DW110" si="1394">DW111-DW109</f>
        <v>-100386.65074435374</v>
      </c>
      <c r="DX110" s="29">
        <f t="shared" ref="DX110" si="1395">DX111-DX109</f>
        <v>-185375.92080199078</v>
      </c>
      <c r="DY110" s="29">
        <f t="shared" ref="DY110" si="1396">DY111-DY109</f>
        <v>-123581.6466784591</v>
      </c>
      <c r="DZ110" s="29">
        <f t="shared" ref="DZ110" si="1397">DZ111-DZ109</f>
        <v>-96942.865648629493</v>
      </c>
      <c r="EA110" s="29">
        <f t="shared" ref="EA110" si="1398">EA111-EA109</f>
        <v>-153687.46103343833</v>
      </c>
      <c r="EB110" s="29">
        <f t="shared" ref="EB110" si="1399">EB111-EB109</f>
        <v>-121491.87469151351</v>
      </c>
      <c r="EC110" s="29">
        <f t="shared" ref="EC110" si="1400">EC111-EC109</f>
        <v>-255347.50176710618</v>
      </c>
      <c r="ED110" s="29">
        <f t="shared" ref="ED110" si="1401">ED111-ED109</f>
        <v>-239877.46868014953</v>
      </c>
      <c r="EE110" s="29">
        <f t="shared" ref="EE110" si="1402">EE111-EE109</f>
        <v>-123822.11967739978</v>
      </c>
      <c r="EF110" s="29">
        <f t="shared" ref="EF110" si="1403">EF111-EF109</f>
        <v>-156607.65038881532</v>
      </c>
      <c r="EG110" s="29">
        <f t="shared" ref="EG110" si="1404">EG111-EG109</f>
        <v>-291640.71713938878</v>
      </c>
      <c r="EH110" s="29">
        <f t="shared" ref="EH110" si="1405">EH111-EH109</f>
        <v>-193376.76877502055</v>
      </c>
      <c r="EI110" s="29">
        <f t="shared" ref="EI110" si="1406">EI111-EI109</f>
        <v>-158428.1725691621</v>
      </c>
      <c r="EJ110" s="29">
        <f t="shared" ref="EJ110" si="1407">EJ111-EJ109</f>
        <v>-292556.51177940087</v>
      </c>
      <c r="EK110" s="29">
        <f t="shared" ref="EK110" si="1408">EK111-EK109</f>
        <v>-195034.04388115171</v>
      </c>
      <c r="EL110" s="29">
        <f t="shared" ref="EL110" si="1409">EL111-EL109</f>
        <v>-152993.26090121613</v>
      </c>
      <c r="EM110" s="29">
        <f t="shared" ref="EM110" si="1410">EM111-EM109</f>
        <v>-242546.42841235967</v>
      </c>
      <c r="EN110" s="29">
        <f t="shared" ref="EN110" si="1411">EN111-EN109</f>
        <v>-191736.00819091685</v>
      </c>
      <c r="EO110" s="29">
        <f t="shared" ref="EO110" si="1412">EO111-EO109</f>
        <v>-402984.23919017822</v>
      </c>
      <c r="EP110" s="29">
        <f t="shared" ref="EP110" si="1413">EP111-EP109</f>
        <v>-378569.74728933279</v>
      </c>
      <c r="EQ110" s="29">
        <f t="shared" ref="EQ110" si="1414">EQ111-EQ109</f>
        <v>-191890.50387007662</v>
      </c>
      <c r="ER110" s="29">
        <f t="shared" ref="ER110" si="1415">ER111-ER109</f>
        <v>-242699.13179739908</v>
      </c>
      <c r="ES110" s="29">
        <f t="shared" ref="ES110" si="1416">ES111-ES109</f>
        <v>-451963.54501692706</v>
      </c>
      <c r="ET110" s="29">
        <f t="shared" ref="ET110" si="1417">ET111-ET109</f>
        <v>-299681.2338028393</v>
      </c>
      <c r="EU110" s="29">
        <f t="shared" ref="EU110" si="1418">EU111-EU109</f>
        <v>-245520.44449502981</v>
      </c>
      <c r="EV110" s="29">
        <f t="shared" ref="EV110" si="1419">EV111-EV109</f>
        <v>-453382.77685830777</v>
      </c>
      <c r="EW110" s="29">
        <f t="shared" ref="EW110" si="1420">EW111-EW109</f>
        <v>-302249.55807313428</v>
      </c>
      <c r="EX110" s="29">
        <f t="shared" ref="EX110" si="1421">EX111-EX109</f>
        <v>-237097.81418334838</v>
      </c>
      <c r="EY110" s="29">
        <f t="shared" ref="EY110" si="1422">EY111-EY109</f>
        <v>-375880.79158388171</v>
      </c>
      <c r="EZ110" s="29">
        <f t="shared" ref="EZ110" si="1423">EZ111-EZ109</f>
        <v>-297138.50253613107</v>
      </c>
      <c r="FA110" s="29">
        <f t="shared" ref="FA110" si="1424">FA111-FA109</f>
        <v>-624515.62702505547</v>
      </c>
      <c r="FB110" s="29">
        <f t="shared" ref="FB110" si="1425">FB111-FB109</f>
        <v>-586679.82543491176</v>
      </c>
    </row>
    <row r="111" spans="3:158" x14ac:dyDescent="0.25">
      <c r="C111" s="2" t="s">
        <v>308</v>
      </c>
      <c r="D111" s="20">
        <f>SUM(D109:D110)</f>
        <v>-466111</v>
      </c>
      <c r="E111" s="20">
        <f t="shared" ref="E111" si="1426">SUM(E109:E110)</f>
        <v>-508284.07</v>
      </c>
      <c r="F111" s="20">
        <f t="shared" ref="F111" si="1427">SUM(F109:F110)</f>
        <v>-1366759.6107689999</v>
      </c>
      <c r="G111" s="20">
        <f t="shared" ref="G111" si="1428">SUM(G109:G110)</f>
        <v>-1179754.5654110592</v>
      </c>
      <c r="H111" s="20">
        <f>-(1-H92)*H29</f>
        <v>-2062036.7985421445</v>
      </c>
      <c r="I111" s="20">
        <f t="shared" ref="I111:L111" si="1429">-(1-I92)*I29</f>
        <v>-3316862.7056810278</v>
      </c>
      <c r="J111" s="20">
        <f t="shared" si="1429"/>
        <v>-5307814.0063655116</v>
      </c>
      <c r="K111" s="20">
        <f t="shared" si="1429"/>
        <v>-8376684.2217593156</v>
      </c>
      <c r="L111" s="20">
        <f t="shared" si="1429"/>
        <v>-12981575.184319044</v>
      </c>
      <c r="N111" s="20">
        <f t="shared" ref="N111" si="1430">SUM(N109:N110)</f>
        <v>-63899</v>
      </c>
      <c r="O111" s="20">
        <f t="shared" ref="O111" si="1431">SUM(O109:O110)</f>
        <v>-159691</v>
      </c>
      <c r="P111" s="20">
        <f t="shared" ref="P111" si="1432">SUM(P109:P110)</f>
        <v>-69577</v>
      </c>
      <c r="Q111" s="20">
        <f t="shared" ref="Q111" si="1433">SUM(Q109:Q110)</f>
        <v>-172944</v>
      </c>
      <c r="R111" s="20">
        <f t="shared" ref="R111" si="1434">SUM(R109:R110)</f>
        <v>-113455.77</v>
      </c>
      <c r="S111" s="20">
        <f t="shared" ref="S111" si="1435">SUM(S109:S110)</f>
        <v>-227285</v>
      </c>
      <c r="T111" s="20">
        <f t="shared" ref="T111" si="1436">SUM(T109:T110)</f>
        <v>-20250</v>
      </c>
      <c r="U111" s="20">
        <f t="shared" ref="U111" si="1437">SUM(U109:U110)</f>
        <v>-147293.29999999999</v>
      </c>
      <c r="V111" s="20">
        <f t="shared" ref="V111" si="1438">SUM(V109:V110)</f>
        <v>-103754</v>
      </c>
      <c r="W111" s="20">
        <f t="shared" ref="W111" si="1439">SUM(W109:W110)</f>
        <v>-538721.23076900002</v>
      </c>
      <c r="X111" s="20">
        <f t="shared" ref="X111" si="1440">SUM(X109:X110)</f>
        <v>-273132.55</v>
      </c>
      <c r="Y111" s="20">
        <f t="shared" ref="Y111" si="1441">SUM(Y109:Y110)</f>
        <v>-451151.82999999996</v>
      </c>
      <c r="Z111" s="20">
        <f t="shared" ref="Z111" si="1442">SUM(Z109:Z110)</f>
        <v>-454015.83</v>
      </c>
      <c r="AA111" s="20">
        <f t="shared" ref="AA111" si="1443">SUM(AA109:AA110)</f>
        <v>-165458.23999999999</v>
      </c>
      <c r="AB111" s="20">
        <f t="shared" ref="AB111" si="1444">SUM(AB109:AB110)</f>
        <v>-259764.60642540548</v>
      </c>
      <c r="AC111" s="20">
        <f t="shared" ref="AC111" si="1445">SUM(AC109:AC110)</f>
        <v>-300515.88898565364</v>
      </c>
      <c r="AD111" s="20">
        <f t="shared" ref="AD111" si="1446">SUM(AD109:AD110)</f>
        <v>-424282.35582009045</v>
      </c>
      <c r="AE111" s="20">
        <f t="shared" ref="AE111" si="1447">SUM(AE109:AE110)</f>
        <v>-477897.744151016</v>
      </c>
      <c r="AF111" s="20">
        <f t="shared" ref="AF111" si="1448">SUM(AF109:AF110)</f>
        <v>-438005.491297559</v>
      </c>
      <c r="AG111" s="20">
        <f t="shared" ref="AG111" si="1449">SUM(AG109:AG110)</f>
        <v>-721851.20727347885</v>
      </c>
      <c r="AH111" s="20">
        <f t="shared" ref="AH111" si="1450">SUM(AH109:AH110)</f>
        <v>-682473.91302283935</v>
      </c>
      <c r="AI111" s="20">
        <f t="shared" ref="AI111" si="1451">SUM(AI109:AI110)</f>
        <v>-768716.25463923614</v>
      </c>
      <c r="AJ111" s="20">
        <f t="shared" ref="AJ111" si="1452">SUM(AJ109:AJ110)</f>
        <v>-704548.08565758809</v>
      </c>
      <c r="AK111" s="20">
        <f t="shared" ref="AK111" si="1453">SUM(AK109:AK110)</f>
        <v>-1161124.4523613639</v>
      </c>
      <c r="AL111" s="20">
        <f t="shared" ref="AL111" si="1454">SUM(AL109:AL110)</f>
        <v>-1092129.7973284468</v>
      </c>
      <c r="AM111" s="20">
        <f t="shared" ref="AM111" si="1455">SUM(AM109:AM110)</f>
        <v>-1230139.2205069326</v>
      </c>
      <c r="AN111" s="20">
        <f t="shared" ref="AN111" si="1456">SUM(AN109:AN110)</f>
        <v>-1127454.0217797551</v>
      </c>
      <c r="AO111" s="20">
        <f t="shared" ref="AO111" si="1457">SUM(AO109:AO110)</f>
        <v>-1858090.9667503769</v>
      </c>
      <c r="AP111" s="20">
        <f t="shared" ref="AP111" si="1458">SUM(AP109:AP110)</f>
        <v>-1723577.0564723914</v>
      </c>
      <c r="AQ111" s="20">
        <f t="shared" ref="AQ111" si="1459">SUM(AQ109:AQ110)</f>
        <v>-1941380.7240852532</v>
      </c>
      <c r="AR111" s="20">
        <f t="shared" ref="AR111" si="1460">SUM(AR109:AR110)</f>
        <v>-1779325.0297910294</v>
      </c>
      <c r="AS111" s="20">
        <f t="shared" ref="AS111" si="1461">SUM(AS109:AS110)</f>
        <v>-2932401.4114106409</v>
      </c>
      <c r="AT111" s="20">
        <f t="shared" ref="AT111" si="1462">SUM(AT109:AT110)</f>
        <v>-2671074.2045692634</v>
      </c>
      <c r="AU111" s="20">
        <f t="shared" ref="AU111" si="1463">SUM(AU109:AU110)</f>
        <v>-3008610.4673296809</v>
      </c>
      <c r="AV111" s="20">
        <f t="shared" ref="AV111" si="1464">SUM(AV109:AV110)</f>
        <v>-2757468.3538353215</v>
      </c>
      <c r="AW111" s="20">
        <f t="shared" ref="AW111" si="1465">SUM(AW109:AW110)</f>
        <v>-4544422.1585847773</v>
      </c>
      <c r="AY111" s="20">
        <f t="shared" ref="AY111" si="1466">SUM(AY109:AY110)</f>
        <v>-7200</v>
      </c>
      <c r="AZ111" s="20">
        <f t="shared" ref="AZ111" si="1467">SUM(AZ109:AZ110)</f>
        <v>-24642</v>
      </c>
      <c r="BA111" s="20">
        <f t="shared" ref="BA111" si="1468">SUM(BA109:BA110)</f>
        <v>-32057</v>
      </c>
      <c r="BB111" s="20">
        <f t="shared" ref="BB111" si="1469">SUM(BB109:BB110)</f>
        <v>0</v>
      </c>
      <c r="BC111" s="20">
        <f t="shared" ref="BC111" si="1470">SUM(BC109:BC110)</f>
        <v>0</v>
      </c>
      <c r="BD111" s="20">
        <f t="shared" ref="BD111" si="1471">SUM(BD109:BD110)</f>
        <v>-159691</v>
      </c>
      <c r="BE111" s="20">
        <f t="shared" ref="BE111" si="1472">SUM(BE109:BE110)</f>
        <v>-60000</v>
      </c>
      <c r="BF111" s="20">
        <f t="shared" ref="BF111" si="1473">SUM(BF109:BF110)</f>
        <v>-3577</v>
      </c>
      <c r="BG111" s="20">
        <f t="shared" ref="BG111" si="1474">SUM(BG109:BG110)</f>
        <v>-6000</v>
      </c>
      <c r="BH111" s="20">
        <f t="shared" ref="BH111" si="1475">SUM(BH109:BH110)</f>
        <v>-95000</v>
      </c>
      <c r="BI111" s="20">
        <f t="shared" ref="BI111" si="1476">SUM(BI109:BI110)</f>
        <v>-38944</v>
      </c>
      <c r="BJ111" s="20">
        <f t="shared" ref="BJ111" si="1477">SUM(BJ109:BJ110)</f>
        <v>-39000</v>
      </c>
      <c r="BK111" s="20">
        <f t="shared" ref="BK111" si="1478">SUM(BK109:BK110)</f>
        <v>-49000</v>
      </c>
      <c r="BL111" s="20">
        <f t="shared" ref="BL111" si="1479">SUM(BL109:BL110)</f>
        <v>-40000</v>
      </c>
      <c r="BM111" s="20">
        <f t="shared" ref="BM111" si="1480">SUM(BM109:BM110)</f>
        <v>-24455.77</v>
      </c>
      <c r="BN111" s="20">
        <f t="shared" ref="BN111" si="1481">SUM(BN109:BN110)</f>
        <v>-22500</v>
      </c>
      <c r="BO111" s="20">
        <f t="shared" ref="BO111" si="1482">SUM(BO109:BO110)</f>
        <v>-19468</v>
      </c>
      <c r="BP111" s="20">
        <f t="shared" ref="BP111" si="1483">SUM(BP109:BP110)</f>
        <v>-185317</v>
      </c>
      <c r="BQ111" s="20">
        <f t="shared" ref="BQ111" si="1484">SUM(BQ109:BQ110)</f>
        <v>0</v>
      </c>
      <c r="BR111" s="20">
        <f t="shared" ref="BR111" si="1485">SUM(BR109:BR110)</f>
        <v>-6750</v>
      </c>
      <c r="BS111" s="20">
        <f t="shared" ref="BS111" si="1486">SUM(BS109:BS110)</f>
        <v>-13500</v>
      </c>
      <c r="BT111" s="20">
        <f t="shared" ref="BT111" si="1487">SUM(BT109:BT110)</f>
        <v>-84300</v>
      </c>
      <c r="BU111" s="20">
        <f t="shared" ref="BU111" si="1488">SUM(BU109:BU110)</f>
        <v>0</v>
      </c>
      <c r="BV111" s="20">
        <f t="shared" ref="BV111" si="1489">SUM(BV109:BV110)</f>
        <v>-62993.3</v>
      </c>
      <c r="BW111" s="20">
        <f t="shared" ref="BW111" si="1490">SUM(BW109:BW110)</f>
        <v>-468</v>
      </c>
      <c r="BX111" s="20">
        <f t="shared" ref="BX111" si="1491">SUM(BX109:BX110)</f>
        <v>-12500</v>
      </c>
      <c r="BY111" s="20">
        <f t="shared" ref="BY111" si="1492">SUM(BY109:BY110)</f>
        <v>-90786</v>
      </c>
      <c r="BZ111" s="20">
        <f t="shared" ref="BZ111" si="1493">SUM(BZ109:BZ110)</f>
        <v>-160177</v>
      </c>
      <c r="CA111" s="20">
        <f t="shared" ref="CA111" si="1494">SUM(CA109:CA110)</f>
        <v>-291519.23076900002</v>
      </c>
      <c r="CB111" s="20">
        <f t="shared" ref="CB111" si="1495">SUM(CB109:CB110)</f>
        <v>-87025</v>
      </c>
      <c r="CC111" s="20">
        <f t="shared" ref="CC111" si="1496">SUM(CC109:CC110)</f>
        <v>-172583.35</v>
      </c>
      <c r="CD111" s="20">
        <f t="shared" ref="CD111" si="1497">SUM(CD109:CD110)</f>
        <v>-64500</v>
      </c>
      <c r="CE111" s="20">
        <f t="shared" ref="CE111" si="1498">SUM(CE109:CE110)</f>
        <v>-36049.199999999997</v>
      </c>
      <c r="CF111" s="20">
        <f t="shared" ref="CF111" si="1499">SUM(CF109:CF110)</f>
        <v>-18000</v>
      </c>
      <c r="CG111" s="20">
        <f t="shared" ref="CG111" si="1500">SUM(CG109:CG110)</f>
        <v>-369200.23</v>
      </c>
      <c r="CH111" s="20">
        <f t="shared" ref="CH111" si="1501">SUM(CH109:CH110)</f>
        <v>-63951.6</v>
      </c>
      <c r="CI111" s="20">
        <f t="shared" ref="CI111" si="1502">SUM(CI109:CI110)</f>
        <v>0</v>
      </c>
      <c r="CJ111" s="20">
        <f t="shared" ref="CJ111" si="1503">SUM(CJ109:CJ110)</f>
        <v>-290166.83</v>
      </c>
      <c r="CK111" s="20">
        <f t="shared" ref="CK111" si="1504">SUM(CK109:CK110)</f>
        <v>-163849</v>
      </c>
      <c r="CL111" s="20">
        <f t="shared" ref="CL111" si="1505">SUM(CL109:CL110)</f>
        <v>-12000</v>
      </c>
      <c r="CM111" s="20">
        <f t="shared" ref="CM111" si="1506">SUM(CM109:CM110)</f>
        <v>-60500</v>
      </c>
      <c r="CN111" s="20">
        <f t="shared" ref="CN111" si="1507">SUM(CN109:CN110)</f>
        <v>-92958.239999999991</v>
      </c>
      <c r="CO111" s="20">
        <f t="shared" ref="CO111" si="1508">SUM(CO109:CO110)</f>
        <v>-36700.44459833717</v>
      </c>
      <c r="CP111" s="20">
        <f t="shared" ref="CP111" si="1509">SUM(CP109:CP110)</f>
        <v>-83493.076667371264</v>
      </c>
      <c r="CQ111" s="20">
        <f t="shared" ref="CQ111" si="1510">SUM(CQ109:CQ110)</f>
        <v>-139571.08515969705</v>
      </c>
      <c r="CR111" s="20">
        <f t="shared" ref="CR111" si="1511">SUM(CR109:CR110)</f>
        <v>-44442.141080021771</v>
      </c>
      <c r="CS111" s="20">
        <f t="shared" ref="CS111" si="1512">SUM(CS109:CS110)</f>
        <v>-146060.98730857007</v>
      </c>
      <c r="CT111" s="20">
        <f t="shared" ref="CT111" si="1513">SUM(CT109:CT110)</f>
        <v>-110012.76059706177</v>
      </c>
      <c r="CU111" s="20">
        <f>INDEX($D111:$L111,1,MATCH(CU$2,$D$2:$L$2,))*CU$94</f>
        <v>-91834.034116993207</v>
      </c>
      <c r="CV111" s="20">
        <f t="shared" ref="CV111:FB111" si="1514">INDEX($D111:$L111,1,MATCH(CV$2,$D$2:$L$2,))*CV$94</f>
        <v>-116149.78281956854</v>
      </c>
      <c r="CW111" s="20">
        <f t="shared" si="1514"/>
        <v>-216298.53888352867</v>
      </c>
      <c r="CX111" s="20">
        <f t="shared" si="1514"/>
        <v>-143420.00304458092</v>
      </c>
      <c r="CY111" s="20">
        <f t="shared" si="1514"/>
        <v>-117499.99307647813</v>
      </c>
      <c r="CZ111" s="20">
        <f t="shared" si="1514"/>
        <v>-216977.74802995691</v>
      </c>
      <c r="DA111" s="20">
        <f t="shared" si="1514"/>
        <v>-144649.13931711618</v>
      </c>
      <c r="DB111" s="20">
        <f t="shared" si="1514"/>
        <v>-113469.13118494087</v>
      </c>
      <c r="DC111" s="20">
        <f t="shared" si="1514"/>
        <v>-179887.22079550198</v>
      </c>
      <c r="DD111" s="20">
        <f t="shared" si="1514"/>
        <v>-142203.11494856901</v>
      </c>
      <c r="DE111" s="20">
        <f t="shared" si="1514"/>
        <v>-298877.68410700274</v>
      </c>
      <c r="DF111" s="20">
        <f t="shared" si="1514"/>
        <v>-280770.40821790713</v>
      </c>
      <c r="DG111" s="20">
        <f t="shared" si="1514"/>
        <v>-147718.4515282395</v>
      </c>
      <c r="DH111" s="20">
        <f t="shared" si="1514"/>
        <v>-186831.23559169788</v>
      </c>
      <c r="DI111" s="20">
        <f t="shared" si="1514"/>
        <v>-347924.22590290196</v>
      </c>
      <c r="DJ111" s="20">
        <f t="shared" si="1514"/>
        <v>-230696.39672946284</v>
      </c>
      <c r="DK111" s="20">
        <f t="shared" si="1514"/>
        <v>-189003.09889168249</v>
      </c>
      <c r="DL111" s="20">
        <f t="shared" si="1514"/>
        <v>-349016.75901809084</v>
      </c>
      <c r="DM111" s="20">
        <f t="shared" si="1514"/>
        <v>-232673.50803293439</v>
      </c>
      <c r="DN111" s="20">
        <f t="shared" si="1514"/>
        <v>-182519.30796746461</v>
      </c>
      <c r="DO111" s="20">
        <f t="shared" si="1514"/>
        <v>-289355.26965718914</v>
      </c>
      <c r="DP111" s="20">
        <f t="shared" si="1514"/>
        <v>-228738.98707241754</v>
      </c>
      <c r="DQ111" s="20">
        <f t="shared" si="1514"/>
        <v>-480755.8452282254</v>
      </c>
      <c r="DR111" s="20">
        <f t="shared" si="1514"/>
        <v>-451629.62006072095</v>
      </c>
      <c r="DS111" s="20">
        <f t="shared" si="1514"/>
        <v>-236386.65075804776</v>
      </c>
      <c r="DT111" s="20">
        <f t="shared" si="1514"/>
        <v>-298976.93606723379</v>
      </c>
      <c r="DU111" s="20">
        <f t="shared" si="1514"/>
        <v>-556766.21050316526</v>
      </c>
      <c r="DV111" s="20">
        <f t="shared" si="1514"/>
        <v>-369172.21918212652</v>
      </c>
      <c r="DW111" s="20">
        <f t="shared" si="1514"/>
        <v>-302452.4632344647</v>
      </c>
      <c r="DX111" s="20">
        <f t="shared" si="1514"/>
        <v>-558514.53809034138</v>
      </c>
      <c r="DY111" s="20">
        <f t="shared" si="1514"/>
        <v>-372336.09420497139</v>
      </c>
      <c r="DZ111" s="20">
        <f t="shared" si="1514"/>
        <v>-292076.768086467</v>
      </c>
      <c r="EA111" s="20">
        <f t="shared" si="1514"/>
        <v>-463041.15948831657</v>
      </c>
      <c r="EB111" s="20">
        <f t="shared" si="1514"/>
        <v>-366039.87174547644</v>
      </c>
      <c r="EC111" s="20">
        <f t="shared" si="1514"/>
        <v>-769330.18800382619</v>
      </c>
      <c r="ED111" s="20">
        <f t="shared" si="1514"/>
        <v>-722720.90700107405</v>
      </c>
      <c r="EE111" s="20">
        <f t="shared" si="1514"/>
        <v>-373060.60937040125</v>
      </c>
      <c r="EF111" s="20">
        <f t="shared" si="1514"/>
        <v>-471839.32594865648</v>
      </c>
      <c r="EG111" s="20">
        <f t="shared" si="1514"/>
        <v>-878677.12115333369</v>
      </c>
      <c r="EH111" s="20">
        <f t="shared" si="1514"/>
        <v>-582620.0955470776</v>
      </c>
      <c r="EI111" s="20">
        <f t="shared" si="1514"/>
        <v>-477324.3323089254</v>
      </c>
      <c r="EJ111" s="20">
        <f t="shared" si="1514"/>
        <v>-881436.29622925026</v>
      </c>
      <c r="EK111" s="20">
        <f t="shared" si="1514"/>
        <v>-587613.25882516138</v>
      </c>
      <c r="EL111" s="20">
        <f t="shared" si="1514"/>
        <v>-460949.62103762169</v>
      </c>
      <c r="EM111" s="20">
        <f t="shared" si="1514"/>
        <v>-730762.14992824639</v>
      </c>
      <c r="EN111" s="20">
        <f t="shared" si="1514"/>
        <v>-577676.68846495531</v>
      </c>
      <c r="EO111" s="20">
        <f t="shared" si="1514"/>
        <v>-1214141.2716131629</v>
      </c>
      <c r="EP111" s="20">
        <f t="shared" si="1514"/>
        <v>-1140583.4513325226</v>
      </c>
      <c r="EQ111" s="20">
        <f t="shared" si="1514"/>
        <v>-578142.16468489566</v>
      </c>
      <c r="ER111" s="20">
        <f t="shared" si="1514"/>
        <v>-731222.22618945199</v>
      </c>
      <c r="ES111" s="20">
        <f t="shared" si="1514"/>
        <v>-1361709.8136949155</v>
      </c>
      <c r="ET111" s="20">
        <f t="shared" si="1514"/>
        <v>-902902.19542871136</v>
      </c>
      <c r="EU111" s="20">
        <f t="shared" si="1514"/>
        <v>-739722.48960720608</v>
      </c>
      <c r="EV111" s="20">
        <f t="shared" si="1514"/>
        <v>-1365985.7822937635</v>
      </c>
      <c r="EW111" s="20">
        <f t="shared" si="1514"/>
        <v>-910640.23625561164</v>
      </c>
      <c r="EX111" s="20">
        <f t="shared" si="1514"/>
        <v>-714346.154548786</v>
      </c>
      <c r="EY111" s="20">
        <f t="shared" si="1514"/>
        <v>-1132481.9630309239</v>
      </c>
      <c r="EZ111" s="20">
        <f t="shared" si="1514"/>
        <v>-895241.26313087344</v>
      </c>
      <c r="FA111" s="20">
        <f t="shared" si="1514"/>
        <v>-1881587.7242798458</v>
      </c>
      <c r="FB111" s="20">
        <f t="shared" si="1514"/>
        <v>-1767593.1711740578</v>
      </c>
    </row>
    <row r="112" spans="3:158" x14ac:dyDescent="0.25">
      <c r="C112" s="28" t="s">
        <v>615</v>
      </c>
      <c r="D112" s="76">
        <f>D109/D111</f>
        <v>0.53704160596939354</v>
      </c>
      <c r="E112" s="76">
        <f t="shared" ref="E112" si="1515">E109/E111</f>
        <v>0.66777436090019504</v>
      </c>
      <c r="F112" s="76">
        <f t="shared" ref="F112" si="1516">F109/F111</f>
        <v>0.34166330135133338</v>
      </c>
      <c r="G112" s="76">
        <f t="shared" ref="G112" si="1517">G109/G111</f>
        <v>0.6680911450652236</v>
      </c>
      <c r="H112" s="261">
        <f t="shared" ref="H112:L112" si="1518">G112</f>
        <v>0.6680911450652236</v>
      </c>
      <c r="I112" s="261">
        <f t="shared" si="1518"/>
        <v>0.6680911450652236</v>
      </c>
      <c r="J112" s="261">
        <f t="shared" si="1518"/>
        <v>0.6680911450652236</v>
      </c>
      <c r="K112" s="261">
        <f t="shared" si="1518"/>
        <v>0.6680911450652236</v>
      </c>
      <c r="L112" s="261">
        <f t="shared" si="1518"/>
        <v>0.6680911450652236</v>
      </c>
      <c r="N112" s="76">
        <f t="shared" ref="N112:AW112" si="1519">IFERROR(N109/N111,"")</f>
        <v>0.43506158155839686</v>
      </c>
      <c r="O112" s="76">
        <f t="shared" si="1519"/>
        <v>0</v>
      </c>
      <c r="P112" s="76">
        <f t="shared" si="1519"/>
        <v>1</v>
      </c>
      <c r="Q112" s="76">
        <f t="shared" si="1519"/>
        <v>0.88435562956795266</v>
      </c>
      <c r="R112" s="76">
        <f t="shared" si="1519"/>
        <v>0.89423191081423181</v>
      </c>
      <c r="S112" s="76">
        <f t="shared" si="1519"/>
        <v>0.58393646743075878</v>
      </c>
      <c r="T112" s="76">
        <f t="shared" si="1519"/>
        <v>1</v>
      </c>
      <c r="U112" s="76">
        <f t="shared" si="1519"/>
        <v>0.57703439328197559</v>
      </c>
      <c r="V112" s="76">
        <f t="shared" si="1519"/>
        <v>0.30219557800181196</v>
      </c>
      <c r="W112" s="76">
        <f t="shared" si="1519"/>
        <v>0.40785701067574032</v>
      </c>
      <c r="X112" s="76">
        <f t="shared" si="1519"/>
        <v>0.26262904219947419</v>
      </c>
      <c r="Y112" s="76">
        <f t="shared" si="1519"/>
        <v>0.31954614924204122</v>
      </c>
      <c r="Z112" s="76">
        <f t="shared" si="1519"/>
        <v>0.86123831849651589</v>
      </c>
      <c r="AA112" s="76">
        <f t="shared" si="1519"/>
        <v>0.61470640567674351</v>
      </c>
      <c r="AB112" s="76">
        <f t="shared" si="1519"/>
        <v>0.5273421275974115</v>
      </c>
      <c r="AC112" s="76">
        <f t="shared" si="1519"/>
        <v>0.5273421275974115</v>
      </c>
      <c r="AD112" s="76">
        <f t="shared" si="1519"/>
        <v>0.6680911450652236</v>
      </c>
      <c r="AE112" s="76">
        <f t="shared" si="1519"/>
        <v>0.6680911450652236</v>
      </c>
      <c r="AF112" s="76">
        <f t="shared" si="1519"/>
        <v>0.6680911450652236</v>
      </c>
      <c r="AG112" s="76">
        <f t="shared" si="1519"/>
        <v>0.6680911450652236</v>
      </c>
      <c r="AH112" s="76">
        <f t="shared" si="1519"/>
        <v>0.6680911450652236</v>
      </c>
      <c r="AI112" s="76">
        <f t="shared" si="1519"/>
        <v>0.6680911450652236</v>
      </c>
      <c r="AJ112" s="76">
        <f t="shared" si="1519"/>
        <v>0.6680911450652236</v>
      </c>
      <c r="AK112" s="76">
        <f t="shared" si="1519"/>
        <v>0.66809114506522349</v>
      </c>
      <c r="AL112" s="76">
        <f t="shared" si="1519"/>
        <v>0.6680911450652236</v>
      </c>
      <c r="AM112" s="76">
        <f t="shared" si="1519"/>
        <v>0.6680911450652236</v>
      </c>
      <c r="AN112" s="76">
        <f t="shared" si="1519"/>
        <v>0.66809114506522349</v>
      </c>
      <c r="AO112" s="76">
        <f t="shared" si="1519"/>
        <v>0.6680911450652236</v>
      </c>
      <c r="AP112" s="76">
        <f t="shared" si="1519"/>
        <v>0.6680911450652236</v>
      </c>
      <c r="AQ112" s="76">
        <f t="shared" si="1519"/>
        <v>0.6680911450652236</v>
      </c>
      <c r="AR112" s="76">
        <f t="shared" si="1519"/>
        <v>0.6680911450652236</v>
      </c>
      <c r="AS112" s="76">
        <f t="shared" si="1519"/>
        <v>0.6680911450652236</v>
      </c>
      <c r="AT112" s="76">
        <f t="shared" si="1519"/>
        <v>0.66809114506522349</v>
      </c>
      <c r="AU112" s="76">
        <f t="shared" si="1519"/>
        <v>0.6680911450652236</v>
      </c>
      <c r="AV112" s="76">
        <f t="shared" si="1519"/>
        <v>0.6680911450652236</v>
      </c>
      <c r="AW112" s="76">
        <f t="shared" si="1519"/>
        <v>0.66809114506522349</v>
      </c>
      <c r="AY112" s="76">
        <f>IFERROR(AY109/AY111,"")</f>
        <v>1</v>
      </c>
      <c r="AZ112" s="76">
        <f t="shared" ref="AZ112:CT112" si="1520">IFERROR(AZ109/AZ111,"")</f>
        <v>0</v>
      </c>
      <c r="BA112" s="76">
        <f t="shared" si="1520"/>
        <v>0.64260535920391804</v>
      </c>
      <c r="BB112" s="76" t="str">
        <f t="shared" si="1520"/>
        <v/>
      </c>
      <c r="BC112" s="76" t="str">
        <f t="shared" si="1520"/>
        <v/>
      </c>
      <c r="BD112" s="76">
        <f t="shared" si="1520"/>
        <v>0</v>
      </c>
      <c r="BE112" s="76">
        <f t="shared" si="1520"/>
        <v>1</v>
      </c>
      <c r="BF112" s="76">
        <f t="shared" si="1520"/>
        <v>1</v>
      </c>
      <c r="BG112" s="76">
        <f t="shared" si="1520"/>
        <v>1</v>
      </c>
      <c r="BH112" s="76">
        <f t="shared" si="1520"/>
        <v>0.78947368421052633</v>
      </c>
      <c r="BI112" s="76">
        <f t="shared" si="1520"/>
        <v>1</v>
      </c>
      <c r="BJ112" s="76">
        <f t="shared" si="1520"/>
        <v>1</v>
      </c>
      <c r="BK112" s="76">
        <f t="shared" si="1520"/>
        <v>1</v>
      </c>
      <c r="BL112" s="76">
        <f t="shared" si="1520"/>
        <v>1</v>
      </c>
      <c r="BM112" s="76">
        <f t="shared" si="1520"/>
        <v>0.50931825086676885</v>
      </c>
      <c r="BN112" s="76">
        <f t="shared" si="1520"/>
        <v>1</v>
      </c>
      <c r="BO112" s="76">
        <f t="shared" si="1520"/>
        <v>0.97596055064721599</v>
      </c>
      <c r="BP112" s="76">
        <f t="shared" si="1520"/>
        <v>0.49223762525834114</v>
      </c>
      <c r="BQ112" s="76" t="str">
        <f t="shared" si="1520"/>
        <v/>
      </c>
      <c r="BR112" s="76">
        <f t="shared" si="1520"/>
        <v>1</v>
      </c>
      <c r="BS112" s="76">
        <f t="shared" si="1520"/>
        <v>1</v>
      </c>
      <c r="BT112" s="76">
        <f t="shared" si="1520"/>
        <v>0.87188612099644125</v>
      </c>
      <c r="BU112" s="76" t="str">
        <f t="shared" si="1520"/>
        <v/>
      </c>
      <c r="BV112" s="76">
        <f t="shared" si="1520"/>
        <v>0.18245273703711345</v>
      </c>
      <c r="BW112" s="76">
        <f t="shared" si="1520"/>
        <v>1</v>
      </c>
      <c r="BX112" s="76">
        <f t="shared" si="1520"/>
        <v>1</v>
      </c>
      <c r="BY112" s="76">
        <f t="shared" si="1520"/>
        <v>0.20252021236754567</v>
      </c>
      <c r="BZ112" s="76">
        <f t="shared" si="1520"/>
        <v>0.75027625689081456</v>
      </c>
      <c r="CA112" s="76">
        <f t="shared" si="1520"/>
        <v>0.11155089385773063</v>
      </c>
      <c r="CB112" s="76">
        <f t="shared" si="1520"/>
        <v>0.77018098247629996</v>
      </c>
      <c r="CC112" s="76">
        <f t="shared" si="1520"/>
        <v>0.23283439567026595</v>
      </c>
      <c r="CD112" s="76">
        <f t="shared" si="1520"/>
        <v>0.20930232558139536</v>
      </c>
      <c r="CE112" s="76">
        <f t="shared" si="1520"/>
        <v>0.50068240071901737</v>
      </c>
      <c r="CF112" s="76">
        <f t="shared" si="1520"/>
        <v>0</v>
      </c>
      <c r="CG112" s="76">
        <f t="shared" si="1520"/>
        <v>0.23347826733477386</v>
      </c>
      <c r="CH112" s="76">
        <f t="shared" si="1520"/>
        <v>0.90636668980916824</v>
      </c>
      <c r="CI112" s="76" t="str">
        <f t="shared" si="1520"/>
        <v/>
      </c>
      <c r="CJ112" s="76">
        <f t="shared" si="1520"/>
        <v>0.92073525426734681</v>
      </c>
      <c r="CK112" s="76">
        <f t="shared" si="1520"/>
        <v>0.75587278530842417</v>
      </c>
      <c r="CL112" s="76">
        <f t="shared" si="1520"/>
        <v>0</v>
      </c>
      <c r="CM112" s="76">
        <f t="shared" si="1520"/>
        <v>0.62809917355371903</v>
      </c>
      <c r="CN112" s="76">
        <f t="shared" si="1520"/>
        <v>0.68534257963575906</v>
      </c>
      <c r="CO112" s="76">
        <f t="shared" si="1520"/>
        <v>0.5273421275974115</v>
      </c>
      <c r="CP112" s="76">
        <f t="shared" si="1520"/>
        <v>0.5273421275974115</v>
      </c>
      <c r="CQ112" s="76">
        <f t="shared" si="1520"/>
        <v>0.52734212759741139</v>
      </c>
      <c r="CR112" s="76">
        <f t="shared" si="1520"/>
        <v>0.5273421275974115</v>
      </c>
      <c r="CS112" s="76">
        <f t="shared" si="1520"/>
        <v>0.52734212759741161</v>
      </c>
      <c r="CT112" s="76">
        <f t="shared" si="1520"/>
        <v>0.5273421275974115</v>
      </c>
      <c r="CU112" s="85">
        <f t="shared" ref="CU112:FB112" si="1521">INDEX($D112:$L112,1,MATCH(CU$2,$D$2:$L$2,0))</f>
        <v>0.6680911450652236</v>
      </c>
      <c r="CV112" s="85">
        <f t="shared" si="1521"/>
        <v>0.6680911450652236</v>
      </c>
      <c r="CW112" s="85">
        <f t="shared" si="1521"/>
        <v>0.6680911450652236</v>
      </c>
      <c r="CX112" s="85">
        <f t="shared" si="1521"/>
        <v>0.6680911450652236</v>
      </c>
      <c r="CY112" s="85">
        <f t="shared" si="1521"/>
        <v>0.6680911450652236</v>
      </c>
      <c r="CZ112" s="85">
        <f t="shared" si="1521"/>
        <v>0.6680911450652236</v>
      </c>
      <c r="DA112" s="85">
        <f t="shared" si="1521"/>
        <v>0.6680911450652236</v>
      </c>
      <c r="DB112" s="85">
        <f t="shared" si="1521"/>
        <v>0.6680911450652236</v>
      </c>
      <c r="DC112" s="85">
        <f t="shared" si="1521"/>
        <v>0.6680911450652236</v>
      </c>
      <c r="DD112" s="85">
        <f t="shared" si="1521"/>
        <v>0.6680911450652236</v>
      </c>
      <c r="DE112" s="85">
        <f t="shared" si="1521"/>
        <v>0.6680911450652236</v>
      </c>
      <c r="DF112" s="85">
        <f t="shared" si="1521"/>
        <v>0.6680911450652236</v>
      </c>
      <c r="DG112" s="85">
        <f t="shared" si="1521"/>
        <v>0.6680911450652236</v>
      </c>
      <c r="DH112" s="85">
        <f t="shared" si="1521"/>
        <v>0.6680911450652236</v>
      </c>
      <c r="DI112" s="85">
        <f t="shared" si="1521"/>
        <v>0.6680911450652236</v>
      </c>
      <c r="DJ112" s="85">
        <f t="shared" si="1521"/>
        <v>0.6680911450652236</v>
      </c>
      <c r="DK112" s="85">
        <f t="shared" si="1521"/>
        <v>0.6680911450652236</v>
      </c>
      <c r="DL112" s="85">
        <f t="shared" si="1521"/>
        <v>0.6680911450652236</v>
      </c>
      <c r="DM112" s="85">
        <f t="shared" si="1521"/>
        <v>0.6680911450652236</v>
      </c>
      <c r="DN112" s="85">
        <f t="shared" si="1521"/>
        <v>0.6680911450652236</v>
      </c>
      <c r="DO112" s="85">
        <f t="shared" si="1521"/>
        <v>0.6680911450652236</v>
      </c>
      <c r="DP112" s="85">
        <f t="shared" si="1521"/>
        <v>0.6680911450652236</v>
      </c>
      <c r="DQ112" s="85">
        <f t="shared" si="1521"/>
        <v>0.6680911450652236</v>
      </c>
      <c r="DR112" s="85">
        <f t="shared" si="1521"/>
        <v>0.6680911450652236</v>
      </c>
      <c r="DS112" s="85">
        <f t="shared" si="1521"/>
        <v>0.6680911450652236</v>
      </c>
      <c r="DT112" s="85">
        <f t="shared" si="1521"/>
        <v>0.6680911450652236</v>
      </c>
      <c r="DU112" s="85">
        <f t="shared" si="1521"/>
        <v>0.6680911450652236</v>
      </c>
      <c r="DV112" s="85">
        <f t="shared" si="1521"/>
        <v>0.6680911450652236</v>
      </c>
      <c r="DW112" s="85">
        <f t="shared" si="1521"/>
        <v>0.6680911450652236</v>
      </c>
      <c r="DX112" s="85">
        <f t="shared" si="1521"/>
        <v>0.6680911450652236</v>
      </c>
      <c r="DY112" s="85">
        <f t="shared" si="1521"/>
        <v>0.6680911450652236</v>
      </c>
      <c r="DZ112" s="85">
        <f t="shared" si="1521"/>
        <v>0.6680911450652236</v>
      </c>
      <c r="EA112" s="85">
        <f t="shared" si="1521"/>
        <v>0.6680911450652236</v>
      </c>
      <c r="EB112" s="85">
        <f t="shared" si="1521"/>
        <v>0.6680911450652236</v>
      </c>
      <c r="EC112" s="85">
        <f t="shared" si="1521"/>
        <v>0.6680911450652236</v>
      </c>
      <c r="ED112" s="85">
        <f t="shared" si="1521"/>
        <v>0.6680911450652236</v>
      </c>
      <c r="EE112" s="85">
        <f t="shared" si="1521"/>
        <v>0.6680911450652236</v>
      </c>
      <c r="EF112" s="85">
        <f t="shared" si="1521"/>
        <v>0.6680911450652236</v>
      </c>
      <c r="EG112" s="85">
        <f t="shared" si="1521"/>
        <v>0.6680911450652236</v>
      </c>
      <c r="EH112" s="85">
        <f t="shared" si="1521"/>
        <v>0.6680911450652236</v>
      </c>
      <c r="EI112" s="85">
        <f t="shared" si="1521"/>
        <v>0.6680911450652236</v>
      </c>
      <c r="EJ112" s="85">
        <f t="shared" si="1521"/>
        <v>0.6680911450652236</v>
      </c>
      <c r="EK112" s="85">
        <f t="shared" si="1521"/>
        <v>0.6680911450652236</v>
      </c>
      <c r="EL112" s="85">
        <f t="shared" si="1521"/>
        <v>0.6680911450652236</v>
      </c>
      <c r="EM112" s="85">
        <f t="shared" si="1521"/>
        <v>0.6680911450652236</v>
      </c>
      <c r="EN112" s="85">
        <f t="shared" si="1521"/>
        <v>0.6680911450652236</v>
      </c>
      <c r="EO112" s="85">
        <f t="shared" si="1521"/>
        <v>0.6680911450652236</v>
      </c>
      <c r="EP112" s="85">
        <f t="shared" si="1521"/>
        <v>0.6680911450652236</v>
      </c>
      <c r="EQ112" s="85">
        <f t="shared" si="1521"/>
        <v>0.6680911450652236</v>
      </c>
      <c r="ER112" s="85">
        <f t="shared" si="1521"/>
        <v>0.6680911450652236</v>
      </c>
      <c r="ES112" s="85">
        <f t="shared" si="1521"/>
        <v>0.6680911450652236</v>
      </c>
      <c r="ET112" s="85">
        <f t="shared" si="1521"/>
        <v>0.6680911450652236</v>
      </c>
      <c r="EU112" s="85">
        <f t="shared" si="1521"/>
        <v>0.6680911450652236</v>
      </c>
      <c r="EV112" s="85">
        <f t="shared" si="1521"/>
        <v>0.6680911450652236</v>
      </c>
      <c r="EW112" s="85">
        <f t="shared" si="1521"/>
        <v>0.6680911450652236</v>
      </c>
      <c r="EX112" s="85">
        <f t="shared" si="1521"/>
        <v>0.6680911450652236</v>
      </c>
      <c r="EY112" s="85">
        <f t="shared" si="1521"/>
        <v>0.6680911450652236</v>
      </c>
      <c r="EZ112" s="85">
        <f t="shared" si="1521"/>
        <v>0.6680911450652236</v>
      </c>
      <c r="FA112" s="85">
        <f t="shared" si="1521"/>
        <v>0.6680911450652236</v>
      </c>
      <c r="FB112" s="85">
        <f t="shared" si="1521"/>
        <v>0.6680911450652236</v>
      </c>
    </row>
    <row r="115" spans="4:7" x14ac:dyDescent="0.25">
      <c r="D115" s="20"/>
      <c r="E115" s="20"/>
      <c r="F115" s="20"/>
      <c r="G115" s="20"/>
    </row>
  </sheetData>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F40B68-6B54-4CBD-A596-E8D67B31575F}">
  <dimension ref="A1:FB184"/>
  <sheetViews>
    <sheetView showGridLines="0" zoomScale="88" zoomScaleNormal="115" workbookViewId="0">
      <pane xSplit="3" ySplit="5" topLeftCell="D126" activePane="bottomRight" state="frozen"/>
      <selection pane="topRight" activeCell="D1" sqref="D1"/>
      <selection pane="bottomLeft" activeCell="A6" sqref="A6"/>
      <selection pane="bottomRight" activeCell="H132" sqref="H132"/>
    </sheetView>
  </sheetViews>
  <sheetFormatPr defaultColWidth="8.85546875" defaultRowHeight="15" outlineLevelRow="1" outlineLevelCol="1" x14ac:dyDescent="0.25"/>
  <cols>
    <col min="1" max="1" width="2.7109375" customWidth="1"/>
    <col min="2" max="2" width="5.140625" bestFit="1" customWidth="1"/>
    <col min="3" max="3" width="30.28515625" bestFit="1" customWidth="1"/>
    <col min="4" max="11" width="13.85546875" customWidth="1"/>
    <col min="12" max="12" width="14.42578125" customWidth="1" outlineLevel="1"/>
    <col min="13" max="13" width="9.140625" customWidth="1"/>
    <col min="14" max="49" width="13.85546875" customWidth="1"/>
    <col min="50" max="50" width="9.140625" customWidth="1"/>
    <col min="51" max="92" width="14.28515625" bestFit="1" customWidth="1"/>
    <col min="93" max="158" width="15.28515625" bestFit="1" customWidth="1"/>
  </cols>
  <sheetData>
    <row r="1" spans="3:158" s="99" customFormat="1" x14ac:dyDescent="0.25"/>
    <row r="2" spans="3:158" outlineLevel="1" x14ac:dyDescent="0.25">
      <c r="D2" s="66" t="s">
        <v>36</v>
      </c>
      <c r="E2" s="66" t="s">
        <v>37</v>
      </c>
      <c r="F2" s="66" t="s">
        <v>38</v>
      </c>
      <c r="G2" s="66" t="s">
        <v>39</v>
      </c>
      <c r="H2" s="66" t="s">
        <v>40</v>
      </c>
      <c r="I2" s="66" t="s">
        <v>41</v>
      </c>
      <c r="J2" s="66" t="s">
        <v>233</v>
      </c>
      <c r="K2" s="66" t="s">
        <v>234</v>
      </c>
      <c r="L2" s="66" t="s">
        <v>235</v>
      </c>
      <c r="AY2" s="66" t="s">
        <v>36</v>
      </c>
      <c r="AZ2" s="66" t="s">
        <v>36</v>
      </c>
      <c r="BA2" s="66" t="s">
        <v>36</v>
      </c>
      <c r="BB2" s="66" t="s">
        <v>36</v>
      </c>
      <c r="BC2" s="66" t="s">
        <v>36</v>
      </c>
      <c r="BD2" s="66" t="s">
        <v>36</v>
      </c>
      <c r="BE2" s="66" t="s">
        <v>36</v>
      </c>
      <c r="BF2" s="66" t="s">
        <v>36</v>
      </c>
      <c r="BG2" s="66" t="s">
        <v>36</v>
      </c>
      <c r="BH2" s="66" t="s">
        <v>36</v>
      </c>
      <c r="BI2" s="66" t="s">
        <v>36</v>
      </c>
      <c r="BJ2" s="66" t="s">
        <v>36</v>
      </c>
      <c r="BK2" s="66" t="s">
        <v>37</v>
      </c>
      <c r="BL2" s="66" t="s">
        <v>37</v>
      </c>
      <c r="BM2" s="66" t="s">
        <v>37</v>
      </c>
      <c r="BN2" s="66" t="s">
        <v>37</v>
      </c>
      <c r="BO2" s="66" t="s">
        <v>37</v>
      </c>
      <c r="BP2" s="66" t="s">
        <v>37</v>
      </c>
      <c r="BQ2" s="66" t="s">
        <v>37</v>
      </c>
      <c r="BR2" s="66" t="s">
        <v>37</v>
      </c>
      <c r="BS2" s="66" t="s">
        <v>37</v>
      </c>
      <c r="BT2" s="66" t="s">
        <v>37</v>
      </c>
      <c r="BU2" s="66" t="s">
        <v>37</v>
      </c>
      <c r="BV2" s="66" t="s">
        <v>37</v>
      </c>
      <c r="BW2" s="66" t="s">
        <v>38</v>
      </c>
      <c r="BX2" s="66" t="s">
        <v>38</v>
      </c>
      <c r="BY2" s="66" t="s">
        <v>38</v>
      </c>
      <c r="BZ2" s="66" t="s">
        <v>38</v>
      </c>
      <c r="CA2" s="66" t="s">
        <v>38</v>
      </c>
      <c r="CB2" s="66" t="s">
        <v>38</v>
      </c>
      <c r="CC2" s="66" t="s">
        <v>38</v>
      </c>
      <c r="CD2" s="66" t="s">
        <v>38</v>
      </c>
      <c r="CE2" s="66" t="s">
        <v>38</v>
      </c>
      <c r="CF2" s="66" t="s">
        <v>38</v>
      </c>
      <c r="CG2" s="66" t="s">
        <v>38</v>
      </c>
      <c r="CH2" s="66" t="s">
        <v>38</v>
      </c>
      <c r="CI2" s="66" t="s">
        <v>39</v>
      </c>
      <c r="CJ2" s="66" t="s">
        <v>39</v>
      </c>
      <c r="CK2" s="66" t="s">
        <v>39</v>
      </c>
      <c r="CL2" s="66" t="s">
        <v>39</v>
      </c>
      <c r="CM2" s="66" t="s">
        <v>39</v>
      </c>
      <c r="CN2" s="66" t="s">
        <v>39</v>
      </c>
      <c r="CO2" s="66" t="s">
        <v>39</v>
      </c>
      <c r="CP2" s="66" t="s">
        <v>39</v>
      </c>
      <c r="CQ2" s="66" t="s">
        <v>39</v>
      </c>
      <c r="CR2" s="66" t="s">
        <v>39</v>
      </c>
      <c r="CS2" s="66" t="s">
        <v>39</v>
      </c>
      <c r="CT2" s="66" t="s">
        <v>39</v>
      </c>
      <c r="CU2" s="66" t="s">
        <v>40</v>
      </c>
      <c r="CV2" s="66" t="s">
        <v>40</v>
      </c>
      <c r="CW2" s="66" t="s">
        <v>40</v>
      </c>
      <c r="CX2" s="66" t="s">
        <v>40</v>
      </c>
      <c r="CY2" s="66" t="s">
        <v>40</v>
      </c>
      <c r="CZ2" s="66" t="s">
        <v>40</v>
      </c>
      <c r="DA2" s="66" t="s">
        <v>40</v>
      </c>
      <c r="DB2" s="66" t="s">
        <v>40</v>
      </c>
      <c r="DC2" s="66" t="s">
        <v>40</v>
      </c>
      <c r="DD2" s="66" t="s">
        <v>40</v>
      </c>
      <c r="DE2" s="66" t="s">
        <v>40</v>
      </c>
      <c r="DF2" s="66" t="s">
        <v>40</v>
      </c>
      <c r="DG2" s="66" t="s">
        <v>41</v>
      </c>
      <c r="DH2" s="66" t="s">
        <v>41</v>
      </c>
      <c r="DI2" s="66" t="s">
        <v>41</v>
      </c>
      <c r="DJ2" s="66" t="s">
        <v>41</v>
      </c>
      <c r="DK2" s="66" t="s">
        <v>41</v>
      </c>
      <c r="DL2" s="66" t="s">
        <v>41</v>
      </c>
      <c r="DM2" s="66" t="s">
        <v>41</v>
      </c>
      <c r="DN2" s="66" t="s">
        <v>41</v>
      </c>
      <c r="DO2" s="66" t="s">
        <v>41</v>
      </c>
      <c r="DP2" s="66" t="s">
        <v>41</v>
      </c>
      <c r="DQ2" s="66" t="s">
        <v>41</v>
      </c>
      <c r="DR2" s="66" t="s">
        <v>41</v>
      </c>
      <c r="DS2" s="66" t="s">
        <v>233</v>
      </c>
      <c r="DT2" s="66" t="s">
        <v>233</v>
      </c>
      <c r="DU2" s="66" t="s">
        <v>233</v>
      </c>
      <c r="DV2" s="66" t="s">
        <v>233</v>
      </c>
      <c r="DW2" s="66" t="s">
        <v>233</v>
      </c>
      <c r="DX2" s="66" t="s">
        <v>233</v>
      </c>
      <c r="DY2" s="66" t="s">
        <v>233</v>
      </c>
      <c r="DZ2" s="66" t="s">
        <v>233</v>
      </c>
      <c r="EA2" s="66" t="s">
        <v>233</v>
      </c>
      <c r="EB2" s="66" t="s">
        <v>233</v>
      </c>
      <c r="EC2" s="66" t="s">
        <v>233</v>
      </c>
      <c r="ED2" s="66" t="s">
        <v>233</v>
      </c>
      <c r="EE2" s="66" t="s">
        <v>234</v>
      </c>
      <c r="EF2" s="66" t="s">
        <v>234</v>
      </c>
      <c r="EG2" s="66" t="s">
        <v>234</v>
      </c>
      <c r="EH2" s="66" t="s">
        <v>234</v>
      </c>
      <c r="EI2" s="66" t="s">
        <v>234</v>
      </c>
      <c r="EJ2" s="66" t="s">
        <v>234</v>
      </c>
      <c r="EK2" s="66" t="s">
        <v>234</v>
      </c>
      <c r="EL2" s="66" t="s">
        <v>234</v>
      </c>
      <c r="EM2" s="66" t="s">
        <v>234</v>
      </c>
      <c r="EN2" s="66" t="s">
        <v>234</v>
      </c>
      <c r="EO2" s="66" t="s">
        <v>234</v>
      </c>
      <c r="EP2" s="66" t="s">
        <v>234</v>
      </c>
      <c r="EQ2" s="66" t="s">
        <v>235</v>
      </c>
      <c r="ER2" s="66" t="s">
        <v>235</v>
      </c>
      <c r="ES2" s="66" t="s">
        <v>235</v>
      </c>
      <c r="ET2" s="66" t="s">
        <v>235</v>
      </c>
      <c r="EU2" s="66" t="s">
        <v>235</v>
      </c>
      <c r="EV2" s="66" t="s">
        <v>235</v>
      </c>
      <c r="EW2" s="66" t="s">
        <v>235</v>
      </c>
      <c r="EX2" s="66" t="s">
        <v>235</v>
      </c>
      <c r="EY2" s="66" t="s">
        <v>235</v>
      </c>
      <c r="EZ2" s="66" t="s">
        <v>235</v>
      </c>
      <c r="FA2" s="66" t="s">
        <v>235</v>
      </c>
      <c r="FB2" s="66" t="s">
        <v>235</v>
      </c>
    </row>
    <row r="4" spans="3:158" s="1" customFormat="1" x14ac:dyDescent="0.25">
      <c r="D4" s="25" t="s">
        <v>53</v>
      </c>
      <c r="E4" s="25"/>
      <c r="F4" s="25"/>
      <c r="G4" s="94" t="s">
        <v>54</v>
      </c>
      <c r="H4" s="94"/>
      <c r="I4" s="94"/>
      <c r="J4" s="94"/>
      <c r="K4" s="94"/>
      <c r="L4" s="94"/>
      <c r="N4" s="71" t="s">
        <v>36</v>
      </c>
      <c r="O4" s="71"/>
      <c r="P4" s="71"/>
      <c r="Q4" s="71"/>
      <c r="R4" s="69" t="s">
        <v>37</v>
      </c>
      <c r="S4" s="69"/>
      <c r="T4" s="69"/>
      <c r="U4" s="69"/>
      <c r="V4" s="71" t="s">
        <v>38</v>
      </c>
      <c r="W4" s="71"/>
      <c r="X4" s="71"/>
      <c r="Y4" s="71"/>
      <c r="Z4" s="69" t="s">
        <v>39</v>
      </c>
      <c r="AA4" s="69"/>
      <c r="AB4" s="69"/>
      <c r="AC4" s="69"/>
      <c r="AD4" s="71" t="s">
        <v>40</v>
      </c>
      <c r="AE4" s="71"/>
      <c r="AF4" s="71"/>
      <c r="AG4" s="71"/>
      <c r="AH4" s="69" t="s">
        <v>41</v>
      </c>
      <c r="AI4" s="69"/>
      <c r="AJ4" s="69"/>
      <c r="AK4" s="69"/>
      <c r="AL4" s="71" t="s">
        <v>233</v>
      </c>
      <c r="AM4" s="71"/>
      <c r="AN4" s="71"/>
      <c r="AO4" s="71"/>
      <c r="AP4" s="69" t="s">
        <v>234</v>
      </c>
      <c r="AQ4" s="69"/>
      <c r="AR4" s="69"/>
      <c r="AS4" s="69"/>
      <c r="AT4" s="71" t="s">
        <v>235</v>
      </c>
      <c r="AU4" s="71"/>
      <c r="AV4" s="71"/>
      <c r="AW4" s="71"/>
      <c r="AY4" s="71" t="s">
        <v>36</v>
      </c>
      <c r="AZ4" s="71"/>
      <c r="BA4" s="71"/>
      <c r="BB4" s="71"/>
      <c r="BC4" s="71"/>
      <c r="BD4" s="71"/>
      <c r="BE4" s="71"/>
      <c r="BF4" s="71"/>
      <c r="BG4" s="71"/>
      <c r="BH4" s="71"/>
      <c r="BI4" s="71"/>
      <c r="BJ4" s="71"/>
      <c r="BK4" s="69" t="s">
        <v>37</v>
      </c>
      <c r="BL4" s="69"/>
      <c r="BM4" s="69"/>
      <c r="BN4" s="69"/>
      <c r="BO4" s="69"/>
      <c r="BP4" s="69"/>
      <c r="BQ4" s="69"/>
      <c r="BR4" s="69"/>
      <c r="BS4" s="69"/>
      <c r="BT4" s="69"/>
      <c r="BU4" s="69"/>
      <c r="BV4" s="69"/>
      <c r="BW4" s="71" t="s">
        <v>38</v>
      </c>
      <c r="BX4" s="71"/>
      <c r="BY4" s="71"/>
      <c r="BZ4" s="71"/>
      <c r="CA4" s="71"/>
      <c r="CB4" s="71"/>
      <c r="CC4" s="71"/>
      <c r="CD4" s="71"/>
      <c r="CE4" s="71"/>
      <c r="CF4" s="71"/>
      <c r="CG4" s="71"/>
      <c r="CH4" s="71"/>
      <c r="CI4" s="69" t="s">
        <v>39</v>
      </c>
      <c r="CJ4" s="69"/>
      <c r="CK4" s="69"/>
      <c r="CL4" s="69"/>
      <c r="CM4" s="69"/>
      <c r="CN4" s="69"/>
      <c r="CO4" s="69"/>
      <c r="CP4" s="69"/>
      <c r="CQ4" s="69"/>
      <c r="CR4" s="69"/>
      <c r="CS4" s="69"/>
      <c r="CT4" s="69"/>
      <c r="CU4" s="71" t="s">
        <v>40</v>
      </c>
      <c r="CV4" s="71"/>
      <c r="CW4" s="71"/>
      <c r="CX4" s="71"/>
      <c r="CY4" s="71"/>
      <c r="CZ4" s="71"/>
      <c r="DA4" s="71"/>
      <c r="DB4" s="71"/>
      <c r="DC4" s="71"/>
      <c r="DD4" s="71"/>
      <c r="DE4" s="71"/>
      <c r="DF4" s="71"/>
      <c r="DG4" s="69" t="s">
        <v>41</v>
      </c>
      <c r="DH4" s="69"/>
      <c r="DI4" s="69"/>
      <c r="DJ4" s="69"/>
      <c r="DK4" s="69"/>
      <c r="DL4" s="69"/>
      <c r="DM4" s="69"/>
      <c r="DN4" s="69"/>
      <c r="DO4" s="69"/>
      <c r="DP4" s="69"/>
      <c r="DQ4" s="69"/>
      <c r="DR4" s="69"/>
      <c r="DS4" s="71" t="s">
        <v>233</v>
      </c>
      <c r="DT4" s="71"/>
      <c r="DU4" s="71"/>
      <c r="DV4" s="71"/>
      <c r="DW4" s="71"/>
      <c r="DX4" s="71"/>
      <c r="DY4" s="71"/>
      <c r="DZ4" s="71"/>
      <c r="EA4" s="71"/>
      <c r="EB4" s="71"/>
      <c r="EC4" s="71"/>
      <c r="ED4" s="71"/>
      <c r="EE4" s="69" t="s">
        <v>234</v>
      </c>
      <c r="EF4" s="69"/>
      <c r="EG4" s="69"/>
      <c r="EH4" s="69"/>
      <c r="EI4" s="69"/>
      <c r="EJ4" s="69"/>
      <c r="EK4" s="69"/>
      <c r="EL4" s="69"/>
      <c r="EM4" s="69"/>
      <c r="EN4" s="69"/>
      <c r="EO4" s="69"/>
      <c r="EP4" s="69"/>
      <c r="EQ4" s="71" t="s">
        <v>235</v>
      </c>
      <c r="ER4" s="71"/>
      <c r="ES4" s="71"/>
      <c r="ET4" s="71"/>
      <c r="EU4" s="71"/>
      <c r="EV4" s="71"/>
      <c r="EW4" s="71"/>
      <c r="EX4" s="71"/>
      <c r="EY4" s="71"/>
      <c r="EZ4" s="71"/>
      <c r="FA4" s="71"/>
      <c r="FB4" s="71"/>
    </row>
    <row r="5" spans="3:158" x14ac:dyDescent="0.25">
      <c r="D5" s="26" t="s">
        <v>36</v>
      </c>
      <c r="E5" s="26" t="s">
        <v>37</v>
      </c>
      <c r="F5" s="26" t="s">
        <v>38</v>
      </c>
      <c r="G5" s="95" t="s">
        <v>39</v>
      </c>
      <c r="H5" s="95" t="s">
        <v>40</v>
      </c>
      <c r="I5" s="95" t="s">
        <v>41</v>
      </c>
      <c r="J5" s="95" t="s">
        <v>233</v>
      </c>
      <c r="K5" s="95" t="s">
        <v>234</v>
      </c>
      <c r="L5" s="96" t="s">
        <v>235</v>
      </c>
      <c r="M5" s="24"/>
      <c r="N5" s="72" t="s">
        <v>194</v>
      </c>
      <c r="O5" s="72" t="s">
        <v>195</v>
      </c>
      <c r="P5" s="72" t="s">
        <v>196</v>
      </c>
      <c r="Q5" s="72" t="s">
        <v>197</v>
      </c>
      <c r="R5" s="70" t="s">
        <v>198</v>
      </c>
      <c r="S5" s="70" t="s">
        <v>199</v>
      </c>
      <c r="T5" s="70" t="s">
        <v>200</v>
      </c>
      <c r="U5" s="70" t="s">
        <v>201</v>
      </c>
      <c r="V5" s="72" t="s">
        <v>202</v>
      </c>
      <c r="W5" s="72" t="s">
        <v>203</v>
      </c>
      <c r="X5" s="72" t="s">
        <v>204</v>
      </c>
      <c r="Y5" s="72" t="s">
        <v>205</v>
      </c>
      <c r="Z5" s="70" t="s">
        <v>206</v>
      </c>
      <c r="AA5" s="70" t="s">
        <v>207</v>
      </c>
      <c r="AB5" s="70" t="s">
        <v>208</v>
      </c>
      <c r="AC5" s="70" t="s">
        <v>209</v>
      </c>
      <c r="AD5" s="72" t="s">
        <v>210</v>
      </c>
      <c r="AE5" s="72" t="s">
        <v>211</v>
      </c>
      <c r="AF5" s="72" t="s">
        <v>212</v>
      </c>
      <c r="AG5" s="72" t="s">
        <v>213</v>
      </c>
      <c r="AH5" s="70" t="s">
        <v>214</v>
      </c>
      <c r="AI5" s="70" t="s">
        <v>215</v>
      </c>
      <c r="AJ5" s="70" t="s">
        <v>216</v>
      </c>
      <c r="AK5" s="70" t="s">
        <v>217</v>
      </c>
      <c r="AL5" s="72" t="s">
        <v>236</v>
      </c>
      <c r="AM5" s="72" t="s">
        <v>237</v>
      </c>
      <c r="AN5" s="72" t="s">
        <v>238</v>
      </c>
      <c r="AO5" s="72" t="s">
        <v>239</v>
      </c>
      <c r="AP5" s="70" t="s">
        <v>240</v>
      </c>
      <c r="AQ5" s="70" t="s">
        <v>241</v>
      </c>
      <c r="AR5" s="70" t="s">
        <v>242</v>
      </c>
      <c r="AS5" s="70" t="s">
        <v>243</v>
      </c>
      <c r="AT5" s="72" t="s">
        <v>244</v>
      </c>
      <c r="AU5" s="72" t="s">
        <v>245</v>
      </c>
      <c r="AV5" s="72" t="s">
        <v>246</v>
      </c>
      <c r="AW5" s="72" t="s">
        <v>247</v>
      </c>
      <c r="AX5" s="24"/>
      <c r="AY5" s="72">
        <v>43132</v>
      </c>
      <c r="AZ5" s="72">
        <v>43160</v>
      </c>
      <c r="BA5" s="73">
        <v>43191</v>
      </c>
      <c r="BB5" s="73">
        <v>43221</v>
      </c>
      <c r="BC5" s="73">
        <v>43252</v>
      </c>
      <c r="BD5" s="73">
        <v>43282</v>
      </c>
      <c r="BE5" s="73">
        <v>43313</v>
      </c>
      <c r="BF5" s="73">
        <v>43344</v>
      </c>
      <c r="BG5" s="74">
        <v>43374</v>
      </c>
      <c r="BH5" s="73">
        <v>43405</v>
      </c>
      <c r="BI5" s="73">
        <v>43435</v>
      </c>
      <c r="BJ5" s="73">
        <v>43466</v>
      </c>
      <c r="BK5" s="75">
        <v>43497</v>
      </c>
      <c r="BL5" s="75">
        <v>43525</v>
      </c>
      <c r="BM5" s="75">
        <v>43556</v>
      </c>
      <c r="BN5" s="75">
        <v>43586</v>
      </c>
      <c r="BO5" s="75">
        <v>43617</v>
      </c>
      <c r="BP5" s="75">
        <v>43647</v>
      </c>
      <c r="BQ5" s="75">
        <v>43678</v>
      </c>
      <c r="BR5" s="75">
        <v>43709</v>
      </c>
      <c r="BS5" s="75">
        <v>43739</v>
      </c>
      <c r="BT5" s="75">
        <v>43770</v>
      </c>
      <c r="BU5" s="75">
        <v>43800</v>
      </c>
      <c r="BV5" s="75">
        <v>43831</v>
      </c>
      <c r="BW5" s="73">
        <v>43862</v>
      </c>
      <c r="BX5" s="73">
        <v>43891</v>
      </c>
      <c r="BY5" s="73">
        <v>43922</v>
      </c>
      <c r="BZ5" s="73">
        <v>43952</v>
      </c>
      <c r="CA5" s="73">
        <v>43983</v>
      </c>
      <c r="CB5" s="73">
        <v>44013</v>
      </c>
      <c r="CC5" s="73">
        <v>44044</v>
      </c>
      <c r="CD5" s="73">
        <v>44075</v>
      </c>
      <c r="CE5" s="73">
        <v>44105</v>
      </c>
      <c r="CF5" s="73">
        <v>44136</v>
      </c>
      <c r="CG5" s="73">
        <v>44166</v>
      </c>
      <c r="CH5" s="73">
        <v>44197</v>
      </c>
      <c r="CI5" s="75">
        <v>44228</v>
      </c>
      <c r="CJ5" s="75">
        <v>44256</v>
      </c>
      <c r="CK5" s="75">
        <v>44287</v>
      </c>
      <c r="CL5" s="75">
        <v>44317</v>
      </c>
      <c r="CM5" s="75">
        <v>44348</v>
      </c>
      <c r="CN5" s="75">
        <v>44378</v>
      </c>
      <c r="CO5" s="75">
        <v>44409</v>
      </c>
      <c r="CP5" s="75">
        <v>44440</v>
      </c>
      <c r="CQ5" s="75">
        <v>44470</v>
      </c>
      <c r="CR5" s="75">
        <v>44501</v>
      </c>
      <c r="CS5" s="75">
        <v>44531</v>
      </c>
      <c r="CT5" s="75">
        <v>44562</v>
      </c>
      <c r="CU5" s="73">
        <v>44593</v>
      </c>
      <c r="CV5" s="73">
        <v>44621</v>
      </c>
      <c r="CW5" s="73">
        <v>44652</v>
      </c>
      <c r="CX5" s="73">
        <v>44682</v>
      </c>
      <c r="CY5" s="73">
        <v>44713</v>
      </c>
      <c r="CZ5" s="73">
        <v>44743</v>
      </c>
      <c r="DA5" s="73">
        <v>44774</v>
      </c>
      <c r="DB5" s="73">
        <v>44805</v>
      </c>
      <c r="DC5" s="73">
        <v>44835</v>
      </c>
      <c r="DD5" s="73">
        <v>44866</v>
      </c>
      <c r="DE5" s="73">
        <v>44896</v>
      </c>
      <c r="DF5" s="73">
        <v>44927</v>
      </c>
      <c r="DG5" s="75">
        <v>44958</v>
      </c>
      <c r="DH5" s="75">
        <v>44986</v>
      </c>
      <c r="DI5" s="75">
        <v>45017</v>
      </c>
      <c r="DJ5" s="75">
        <v>45047</v>
      </c>
      <c r="DK5" s="75">
        <v>45078</v>
      </c>
      <c r="DL5" s="75">
        <v>45108</v>
      </c>
      <c r="DM5" s="75">
        <v>45139</v>
      </c>
      <c r="DN5" s="75">
        <v>45170</v>
      </c>
      <c r="DO5" s="75">
        <v>45200</v>
      </c>
      <c r="DP5" s="75">
        <v>45231</v>
      </c>
      <c r="DQ5" s="75">
        <v>45261</v>
      </c>
      <c r="DR5" s="75">
        <v>45292</v>
      </c>
      <c r="DS5" s="73">
        <v>45323</v>
      </c>
      <c r="DT5" s="73">
        <v>45352</v>
      </c>
      <c r="DU5" s="73">
        <v>45383</v>
      </c>
      <c r="DV5" s="73">
        <v>45413</v>
      </c>
      <c r="DW5" s="73">
        <v>45444</v>
      </c>
      <c r="DX5" s="73">
        <v>45474</v>
      </c>
      <c r="DY5" s="73">
        <v>45505</v>
      </c>
      <c r="DZ5" s="73">
        <v>45536</v>
      </c>
      <c r="EA5" s="73">
        <v>45566</v>
      </c>
      <c r="EB5" s="73">
        <v>45597</v>
      </c>
      <c r="EC5" s="73">
        <v>45627</v>
      </c>
      <c r="ED5" s="73">
        <v>45658</v>
      </c>
      <c r="EE5" s="75">
        <v>45689</v>
      </c>
      <c r="EF5" s="75">
        <v>45717</v>
      </c>
      <c r="EG5" s="75">
        <v>45748</v>
      </c>
      <c r="EH5" s="75">
        <v>45778</v>
      </c>
      <c r="EI5" s="75">
        <v>45809</v>
      </c>
      <c r="EJ5" s="75">
        <v>45839</v>
      </c>
      <c r="EK5" s="75">
        <v>45870</v>
      </c>
      <c r="EL5" s="75">
        <v>45901</v>
      </c>
      <c r="EM5" s="75">
        <v>45931</v>
      </c>
      <c r="EN5" s="75">
        <v>45962</v>
      </c>
      <c r="EO5" s="75">
        <v>45992</v>
      </c>
      <c r="EP5" s="75">
        <v>46023</v>
      </c>
      <c r="EQ5" s="73">
        <v>46054</v>
      </c>
      <c r="ER5" s="73">
        <v>46082</v>
      </c>
      <c r="ES5" s="73">
        <v>46113</v>
      </c>
      <c r="ET5" s="73">
        <v>46143</v>
      </c>
      <c r="EU5" s="73">
        <v>46174</v>
      </c>
      <c r="EV5" s="73">
        <v>46204</v>
      </c>
      <c r="EW5" s="73">
        <v>46235</v>
      </c>
      <c r="EX5" s="73">
        <v>46266</v>
      </c>
      <c r="EY5" s="73">
        <v>46296</v>
      </c>
      <c r="EZ5" s="73">
        <v>46327</v>
      </c>
      <c r="FA5" s="73">
        <v>46357</v>
      </c>
      <c r="FB5" s="73">
        <v>46388</v>
      </c>
    </row>
    <row r="7" spans="3:158" x14ac:dyDescent="0.25">
      <c r="C7" s="3" t="s">
        <v>17</v>
      </c>
      <c r="D7" s="4"/>
      <c r="E7" s="4"/>
      <c r="F7" s="4"/>
      <c r="G7" s="4"/>
      <c r="H7" s="4"/>
      <c r="I7" s="4"/>
      <c r="J7" s="4"/>
      <c r="K7" s="4"/>
      <c r="L7" s="4"/>
      <c r="M7" s="3"/>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3"/>
      <c r="AY7" s="4"/>
      <c r="AZ7" s="4"/>
      <c r="BA7" s="4"/>
      <c r="BB7" s="4"/>
      <c r="BC7" s="4"/>
      <c r="BD7" s="4"/>
      <c r="BE7" s="4"/>
      <c r="BF7" s="4"/>
      <c r="BG7" s="4"/>
      <c r="BH7" s="4"/>
      <c r="BI7" s="4"/>
      <c r="BJ7" s="4"/>
      <c r="BK7" s="4"/>
      <c r="BL7" s="4"/>
      <c r="BM7" s="4"/>
      <c r="BN7" s="4"/>
      <c r="BO7" s="4"/>
      <c r="BP7" s="4"/>
      <c r="BQ7" s="4"/>
      <c r="BR7" s="4"/>
      <c r="BS7" s="4"/>
      <c r="BT7" s="4"/>
      <c r="BU7" s="4"/>
      <c r="BV7" s="4"/>
      <c r="BW7" s="4"/>
      <c r="BX7" s="4"/>
      <c r="BY7" s="4"/>
      <c r="BZ7" s="4"/>
      <c r="CA7" s="4"/>
      <c r="CB7" s="4"/>
      <c r="CC7" s="4"/>
      <c r="CD7" s="4"/>
      <c r="CE7" s="4"/>
      <c r="CF7" s="4"/>
      <c r="CG7" s="4"/>
      <c r="CH7" s="4"/>
      <c r="CI7" s="4"/>
      <c r="CJ7" s="4"/>
      <c r="CK7" s="4"/>
      <c r="CL7" s="4"/>
      <c r="CM7" s="4"/>
      <c r="CN7" s="4"/>
      <c r="CO7" s="4"/>
      <c r="CP7" s="4"/>
      <c r="CQ7" s="4"/>
      <c r="CR7" s="4"/>
      <c r="CS7" s="4"/>
      <c r="CT7" s="4"/>
      <c r="CU7" s="4"/>
      <c r="CV7" s="4"/>
      <c r="CW7" s="4"/>
      <c r="CX7" s="4"/>
      <c r="CY7" s="4"/>
      <c r="CZ7" s="4"/>
      <c r="DA7" s="4"/>
      <c r="DB7" s="4"/>
      <c r="DC7" s="4"/>
      <c r="DD7" s="4"/>
      <c r="DE7" s="4"/>
      <c r="DF7" s="4"/>
      <c r="DG7" s="4"/>
      <c r="DH7" s="4"/>
      <c r="DI7" s="4"/>
      <c r="DJ7" s="4"/>
      <c r="DK7" s="4"/>
      <c r="DL7" s="4"/>
      <c r="DM7" s="4"/>
      <c r="DN7" s="4"/>
      <c r="DO7" s="4"/>
      <c r="DP7" s="4"/>
      <c r="DQ7" s="4"/>
      <c r="DR7" s="4"/>
      <c r="DS7" s="4"/>
      <c r="DT7" s="4"/>
      <c r="DU7" s="4"/>
      <c r="DV7" s="4"/>
      <c r="DW7" s="4"/>
      <c r="DX7" s="4"/>
      <c r="DY7" s="4"/>
      <c r="DZ7" s="4"/>
      <c r="EA7" s="4"/>
      <c r="EB7" s="4"/>
      <c r="EC7" s="4"/>
      <c r="ED7" s="4"/>
      <c r="EE7" s="4"/>
      <c r="EF7" s="4"/>
      <c r="EG7" s="4"/>
      <c r="EH7" s="4"/>
      <c r="EI7" s="4"/>
      <c r="EJ7" s="4"/>
      <c r="EK7" s="4"/>
      <c r="EL7" s="4"/>
      <c r="EM7" s="4"/>
      <c r="EN7" s="4"/>
      <c r="EO7" s="4"/>
      <c r="EP7" s="4"/>
      <c r="EQ7" s="4"/>
      <c r="ER7" s="4"/>
      <c r="ES7" s="4"/>
      <c r="ET7" s="4"/>
      <c r="EU7" s="4"/>
      <c r="EV7" s="4"/>
      <c r="EW7" s="4"/>
      <c r="EX7" s="4"/>
      <c r="EY7" s="4"/>
      <c r="EZ7" s="4"/>
      <c r="FA7" s="4"/>
      <c r="FB7" s="4"/>
    </row>
    <row r="9" spans="3:158" x14ac:dyDescent="0.25">
      <c r="C9" t="s">
        <v>523</v>
      </c>
      <c r="D9" s="248">
        <f>Forecast!D14</f>
        <v>31062420.149999995</v>
      </c>
      <c r="E9" s="248">
        <f>Forecast!E14</f>
        <v>55699084.79091499</v>
      </c>
      <c r="F9" s="248">
        <f>Forecast!F14</f>
        <v>82420487.857434958</v>
      </c>
      <c r="G9" s="248">
        <f>Forecast!G14</f>
        <v>139753842.15791994</v>
      </c>
      <c r="H9" s="248">
        <f>Forecast!H14</f>
        <v>216111472.94072866</v>
      </c>
      <c r="I9" s="248">
        <f>Forecast!I14</f>
        <v>327799305.54458565</v>
      </c>
      <c r="J9" s="248">
        <f>Forecast!J14</f>
        <v>489688397.82248545</v>
      </c>
      <c r="K9" s="248">
        <f>Forecast!K14</f>
        <v>720349010.2787658</v>
      </c>
      <c r="L9" s="248">
        <f>Forecast!L14</f>
        <v>1043270328.3125989</v>
      </c>
      <c r="M9" s="248"/>
      <c r="N9" s="248">
        <f>Forecast!N14</f>
        <v>16767788.959999992</v>
      </c>
      <c r="O9" s="248">
        <f>Forecast!O14</f>
        <v>20521462.5</v>
      </c>
      <c r="P9" s="248">
        <f>Forecast!P14</f>
        <v>24541790.959999997</v>
      </c>
      <c r="Q9" s="248">
        <f>Forecast!Q14</f>
        <v>30891265.889999993</v>
      </c>
      <c r="R9" s="248">
        <f>Forecast!R14</f>
        <v>35862674.200000003</v>
      </c>
      <c r="S9" s="248">
        <f>Forecast!S14</f>
        <v>42639457.509999998</v>
      </c>
      <c r="T9" s="248">
        <f>Forecast!T14</f>
        <v>48074719.82</v>
      </c>
      <c r="U9" s="248">
        <f>Forecast!U14</f>
        <v>55752573.250914991</v>
      </c>
      <c r="V9" s="248">
        <f>Forecast!V14</f>
        <v>59885827.713662975</v>
      </c>
      <c r="W9" s="248">
        <f>Forecast!W14</f>
        <v>66564252.016188964</v>
      </c>
      <c r="X9" s="248">
        <f>Forecast!X14</f>
        <v>73268133.943367943</v>
      </c>
      <c r="Y9" s="248">
        <f>Forecast!Y14</f>
        <v>82486431.884214967</v>
      </c>
      <c r="Z9" s="248">
        <f>Forecast!Z14</f>
        <v>89817779.738021955</v>
      </c>
      <c r="AA9" s="248">
        <f>Forecast!AA14</f>
        <v>102577354.82989797</v>
      </c>
      <c r="AB9" s="248">
        <f>Forecast!AB14</f>
        <v>118376054.83999997</v>
      </c>
      <c r="AC9" s="248">
        <f>Forecast!AC14</f>
        <v>139391097.48368567</v>
      </c>
      <c r="AD9" s="248">
        <f>Forecast!AD14</f>
        <v>152234808.50887677</v>
      </c>
      <c r="AE9" s="248">
        <f>Forecast!AE14</f>
        <v>170255650.62664872</v>
      </c>
      <c r="AF9" s="248">
        <f>Forecast!AF14</f>
        <v>188201189.16659629</v>
      </c>
      <c r="AG9" s="248">
        <f>Forecast!AG14</f>
        <v>215399843.90173402</v>
      </c>
      <c r="AH9" s="248">
        <f>Forecast!AH14</f>
        <v>235362513.59087154</v>
      </c>
      <c r="AI9" s="248">
        <f>Forecast!AI14</f>
        <v>263274227.10265484</v>
      </c>
      <c r="AJ9" s="248">
        <f>Forecast!AJ14</f>
        <v>289544296.78768539</v>
      </c>
      <c r="AK9" s="248">
        <f>Forecast!AK14</f>
        <v>327087676.50559098</v>
      </c>
      <c r="AL9" s="248">
        <f>Forecast!AL14</f>
        <v>356021559.01491708</v>
      </c>
      <c r="AM9" s="248">
        <f>Forecast!AM14</f>
        <v>396480040.10843301</v>
      </c>
      <c r="AN9" s="248">
        <f>Forecast!AN14</f>
        <v>434559264.85031599</v>
      </c>
      <c r="AO9" s="248">
        <f>Forecast!AO14</f>
        <v>488976768.78349108</v>
      </c>
      <c r="AP9" s="248">
        <f>Forecast!AP14</f>
        <v>530201102.04517245</v>
      </c>
      <c r="AQ9" s="248">
        <f>Forecast!AQ14</f>
        <v>587847173.30733061</v>
      </c>
      <c r="AR9" s="248">
        <f>Forecast!AR14</f>
        <v>642103410.65155625</v>
      </c>
      <c r="AS9" s="248">
        <f>Forecast!AS14</f>
        <v>719637381.23977137</v>
      </c>
      <c r="AT9" s="248">
        <f>Forecast!AT14</f>
        <v>777350719.54217052</v>
      </c>
      <c r="AU9" s="248">
        <f>Forecast!AU14</f>
        <v>858054399.01653433</v>
      </c>
      <c r="AV9" s="248">
        <f>Forecast!AV14</f>
        <v>934012379.47927368</v>
      </c>
      <c r="AW9" s="248">
        <f>Forecast!AW14</f>
        <v>1042558699.273605</v>
      </c>
      <c r="AX9" s="248"/>
      <c r="AY9" s="248">
        <f>Forecast!AY14</f>
        <v>13791928.259999994</v>
      </c>
      <c r="AZ9" s="248">
        <f>Forecast!AZ14</f>
        <v>14645354.83</v>
      </c>
      <c r="BA9" s="248">
        <f>Forecast!BA14</f>
        <v>16617334.699999999</v>
      </c>
      <c r="BB9" s="248">
        <f>Forecast!BB14</f>
        <v>17218936.129999999</v>
      </c>
      <c r="BC9" s="248">
        <f>Forecast!BC14</f>
        <v>18721499.780000001</v>
      </c>
      <c r="BD9" s="248">
        <f>Forecast!BD14</f>
        <v>20521462.499999996</v>
      </c>
      <c r="BE9" s="248">
        <f>Forecast!BE14</f>
        <v>21216639.169999998</v>
      </c>
      <c r="BF9" s="248">
        <f>Forecast!BF14</f>
        <v>22270688.629999995</v>
      </c>
      <c r="BG9" s="248">
        <f>Forecast!BG14</f>
        <v>24541790.959999993</v>
      </c>
      <c r="BH9" s="248">
        <f>Forecast!BH14</f>
        <v>25630303.129999995</v>
      </c>
      <c r="BI9" s="248">
        <f>Forecast!BI14</f>
        <v>28413585.799999997</v>
      </c>
      <c r="BJ9" s="248">
        <f>Forecast!BJ14</f>
        <v>30891265.889999997</v>
      </c>
      <c r="BK9" s="248">
        <f>Forecast!BK14</f>
        <v>31568879.219999995</v>
      </c>
      <c r="BL9" s="248">
        <f>Forecast!BL14</f>
        <v>32800760.339999996</v>
      </c>
      <c r="BM9" s="248">
        <f>Forecast!BM14</f>
        <v>35862674.659999996</v>
      </c>
      <c r="BN9" s="248">
        <f>Forecast!BN14</f>
        <v>36977029.419999994</v>
      </c>
      <c r="BO9" s="248">
        <f>Forecast!BO14</f>
        <v>39904509.799999997</v>
      </c>
      <c r="BP9" s="248">
        <f>Forecast!BP14</f>
        <v>42639457.509999998</v>
      </c>
      <c r="BQ9" s="248">
        <f>Forecast!BQ14</f>
        <v>43737632.909999996</v>
      </c>
      <c r="BR9" s="248">
        <f>Forecast!BR14</f>
        <v>44858642.579999998</v>
      </c>
      <c r="BS9" s="248">
        <f>Forecast!BS14</f>
        <v>48074719.82</v>
      </c>
      <c r="BT9" s="248">
        <f>Forecast!BT14</f>
        <v>48687682.359999985</v>
      </c>
      <c r="BU9" s="248">
        <f>Forecast!BU14</f>
        <v>51795095.119999982</v>
      </c>
      <c r="BV9" s="248">
        <f>Forecast!BV14</f>
        <v>55792573.250914983</v>
      </c>
      <c r="BW9" s="248">
        <f>Forecast!BW14</f>
        <v>56600428.92999997</v>
      </c>
      <c r="BX9" s="248">
        <f>Forecast!BX14</f>
        <v>57971565.305200972</v>
      </c>
      <c r="BY9" s="248">
        <f>Forecast!BY14</f>
        <v>59901771.70846197</v>
      </c>
      <c r="BZ9" s="248">
        <f>Forecast!BZ14</f>
        <v>61043337.501867957</v>
      </c>
      <c r="CA9" s="248">
        <f>Forecast!CA14</f>
        <v>62448942.254137963</v>
      </c>
      <c r="CB9" s="248">
        <f>Forecast!CB14</f>
        <v>66579252.010182969</v>
      </c>
      <c r="CC9" s="248">
        <f>Forecast!CC14</f>
        <v>66934894.397178948</v>
      </c>
      <c r="CD9" s="248">
        <f>Forecast!CD14</f>
        <v>69990459.993990958</v>
      </c>
      <c r="CE9" s="248">
        <f>Forecast!CE14</f>
        <v>73255804.912197962</v>
      </c>
      <c r="CF9" s="248">
        <f>Forecast!CF14</f>
        <v>74547972.346154958</v>
      </c>
      <c r="CG9" s="248">
        <f>Forecast!CG14</f>
        <v>77650308.781685963</v>
      </c>
      <c r="CH9" s="248">
        <f>Forecast!CH14</f>
        <v>82486431.876373962</v>
      </c>
      <c r="CI9" s="248">
        <f>Forecast!CI14</f>
        <v>83536383.206905961</v>
      </c>
      <c r="CJ9" s="248">
        <f>Forecast!CJ14</f>
        <v>85225815.411505967</v>
      </c>
      <c r="CK9" s="248">
        <f>Forecast!CK14</f>
        <v>89817780.519609958</v>
      </c>
      <c r="CL9" s="248">
        <f>Forecast!CL14</f>
        <v>91934100.414906979</v>
      </c>
      <c r="CM9" s="248">
        <f>Forecast!CM14</f>
        <v>95683616.54183796</v>
      </c>
      <c r="CN9" s="248">
        <f>Forecast!CN14</f>
        <v>102577354.83315296</v>
      </c>
      <c r="CO9" s="248">
        <f>Forecast!CO14</f>
        <v>104926819.66042528</v>
      </c>
      <c r="CP9" s="248">
        <f>Forecast!CP14</f>
        <v>110486151.62122318</v>
      </c>
      <c r="CQ9" s="248">
        <f>Forecast!CQ14</f>
        <v>118211314.83745149</v>
      </c>
      <c r="CR9" s="248">
        <f>Forecast!CR14</f>
        <v>120064494.74405769</v>
      </c>
      <c r="CS9" s="248">
        <f>Forecast!CS14</f>
        <v>128538689.15333514</v>
      </c>
      <c r="CT9" s="248">
        <f>Forecast!CT14</f>
        <v>139042213.1189253</v>
      </c>
      <c r="CU9" s="248">
        <f>Forecast!CU14</f>
        <v>140592975.64597401</v>
      </c>
      <c r="CV9" s="248">
        <f>Forecast!CV14</f>
        <v>144464210.38279027</v>
      </c>
      <c r="CW9" s="248">
        <f>Forecast!CW14</f>
        <v>152234808.50887677</v>
      </c>
      <c r="CX9" s="248">
        <f>Forecast!CX14</f>
        <v>155034147.1781565</v>
      </c>
      <c r="CY9" s="248">
        <f>Forecast!CY14</f>
        <v>161409775.10244256</v>
      </c>
      <c r="CZ9" s="248">
        <f>Forecast!CZ14</f>
        <v>170255650.62664869</v>
      </c>
      <c r="DA9" s="248">
        <f>Forecast!DA14</f>
        <v>172906202.74068263</v>
      </c>
      <c r="DB9" s="248">
        <f>Forecast!DB14</f>
        <v>178412970.90133187</v>
      </c>
      <c r="DC9" s="248">
        <f>Forecast!DC14</f>
        <v>188201189.16659623</v>
      </c>
      <c r="DD9" s="248">
        <f>Forecast!DD14</f>
        <v>192053254.85622305</v>
      </c>
      <c r="DE9" s="248">
        <f>Forecast!DE14</f>
        <v>202763024.52905649</v>
      </c>
      <c r="DF9" s="248">
        <f>Forecast!DF14</f>
        <v>215399843.90173399</v>
      </c>
      <c r="DG9" s="248">
        <f>Forecast!DG14</f>
        <v>217877682.24257982</v>
      </c>
      <c r="DH9" s="248">
        <f>Forecast!DH14</f>
        <v>223767136.37511584</v>
      </c>
      <c r="DI9" s="248">
        <f>Forecast!DI14</f>
        <v>235362513.59087151</v>
      </c>
      <c r="DJ9" s="248">
        <f>Forecast!DJ14</f>
        <v>239942431.4496308</v>
      </c>
      <c r="DK9" s="248">
        <f>Forecast!DK14</f>
        <v>249809187.74114755</v>
      </c>
      <c r="DL9" s="248">
        <f>Forecast!DL14</f>
        <v>263274227.10265484</v>
      </c>
      <c r="DM9" s="248">
        <f>Forecast!DM14</f>
        <v>267117874.67345858</v>
      </c>
      <c r="DN9" s="248">
        <f>Forecast!DN14</f>
        <v>275188649.68251938</v>
      </c>
      <c r="DO9" s="248">
        <f>Forecast!DO14</f>
        <v>289544296.78768539</v>
      </c>
      <c r="DP9" s="248">
        <f>Forecast!DP14</f>
        <v>294412729.0389151</v>
      </c>
      <c r="DQ9" s="248">
        <f>Forecast!DQ14</f>
        <v>309324877.86425197</v>
      </c>
      <c r="DR9" s="248">
        <f>Forecast!DR14</f>
        <v>327087676.50559103</v>
      </c>
      <c r="DS9" s="248">
        <f>Forecast!DS14</f>
        <v>330677947.23352331</v>
      </c>
      <c r="DT9" s="248">
        <f>Forecast!DT14</f>
        <v>339214373.79259795</v>
      </c>
      <c r="DU9" s="248">
        <f>Forecast!DU14</f>
        <v>356021559.01491714</v>
      </c>
      <c r="DV9" s="248">
        <f>Forecast!DV14</f>
        <v>362658387.42853659</v>
      </c>
      <c r="DW9" s="248">
        <f>Forecast!DW14</f>
        <v>376961863.96653599</v>
      </c>
      <c r="DX9" s="248">
        <f>Forecast!DX14</f>
        <v>396480040.10843301</v>
      </c>
      <c r="DY9" s="248">
        <f>Forecast!DY14</f>
        <v>402049241.87399119</v>
      </c>
      <c r="DZ9" s="248">
        <f>Forecast!DZ14</f>
        <v>413748659.44863105</v>
      </c>
      <c r="EA9" s="248">
        <f>Forecast!EA14</f>
        <v>434559264.85031605</v>
      </c>
      <c r="EB9" s="248">
        <f>Forecast!EB14</f>
        <v>441614473.51745826</v>
      </c>
      <c r="EC9" s="248">
        <f>Forecast!EC14</f>
        <v>463228644.21390212</v>
      </c>
      <c r="ED9" s="248">
        <f>Forecast!ED14</f>
        <v>488976768.78349102</v>
      </c>
      <c r="EE9" s="248">
        <f>Forecast!EE14</f>
        <v>494091508.64536017</v>
      </c>
      <c r="EF9" s="248">
        <f>Forecast!EF14</f>
        <v>506254150.95448685</v>
      </c>
      <c r="EG9" s="248">
        <f>Forecast!EG14</f>
        <v>530201102.04517257</v>
      </c>
      <c r="EH9" s="248">
        <f>Forecast!EH14</f>
        <v>539656402.4753902</v>
      </c>
      <c r="EI9" s="248">
        <f>Forecast!EI14</f>
        <v>560037070.48058116</v>
      </c>
      <c r="EJ9" s="248">
        <f>Forecast!EJ14</f>
        <v>587847173.30733049</v>
      </c>
      <c r="EK9" s="248">
        <f>Forecast!EK14</f>
        <v>595781087.08054543</v>
      </c>
      <c r="EL9" s="248">
        <f>Forecast!EL14</f>
        <v>612451032.33416188</v>
      </c>
      <c r="EM9" s="248">
        <f>Forecast!EM14</f>
        <v>642103410.65155625</v>
      </c>
      <c r="EN9" s="248">
        <f>Forecast!EN14</f>
        <v>652154921.44038045</v>
      </c>
      <c r="EO9" s="248">
        <f>Forecast!EO14</f>
        <v>682950571.58541977</v>
      </c>
      <c r="EP9" s="248">
        <f>Forecast!EP14</f>
        <v>719637381.23977149</v>
      </c>
      <c r="EQ9" s="248">
        <f>Forecast!EQ14</f>
        <v>726797859.41688526</v>
      </c>
      <c r="ER9" s="248">
        <f>Forecast!ER14</f>
        <v>743825359.28313458</v>
      </c>
      <c r="ES9" s="248">
        <f>Forecast!ES14</f>
        <v>777350719.54217076</v>
      </c>
      <c r="ET9" s="248">
        <f>Forecast!ET14</f>
        <v>790587893.96968818</v>
      </c>
      <c r="EU9" s="248">
        <f>Forecast!EU14</f>
        <v>819120627.49284482</v>
      </c>
      <c r="EV9" s="248">
        <f>Forecast!EV14</f>
        <v>858054399.01653421</v>
      </c>
      <c r="EW9" s="248">
        <f>Forecast!EW14</f>
        <v>869161630.01448393</v>
      </c>
      <c r="EX9" s="248">
        <f>Forecast!EX14</f>
        <v>892499358.60425174</v>
      </c>
      <c r="EY9" s="248">
        <f>Forecast!EY14</f>
        <v>934012379.47927368</v>
      </c>
      <c r="EZ9" s="248">
        <f>Forecast!EZ14</f>
        <v>948084250.49758077</v>
      </c>
      <c r="FA9" s="248">
        <f>Forecast!FA14</f>
        <v>991197647.68886113</v>
      </c>
      <c r="FB9" s="248">
        <f>Forecast!FB14</f>
        <v>1042558699.2736049</v>
      </c>
    </row>
    <row r="10" spans="3:158" x14ac:dyDescent="0.25">
      <c r="C10" t="s">
        <v>524</v>
      </c>
      <c r="D10" s="16">
        <f>AVERAGE(AY10:BJ10)</f>
        <v>20479391.652916666</v>
      </c>
      <c r="E10" s="16">
        <f>AVERAGE(BK10:BV10)</f>
        <v>41691312.295038112</v>
      </c>
      <c r="F10" s="16">
        <f>AVERAGE(BW10:CH10)</f>
        <v>66341922.900309771</v>
      </c>
      <c r="G10" s="16">
        <f>AVERAGE(CI10:CT10)</f>
        <v>103450919.04869814</v>
      </c>
      <c r="H10" s="16">
        <f>AVERAGE(CU10:DF10)</f>
        <v>169629103.17909244</v>
      </c>
      <c r="I10" s="16">
        <f>AVERAGE(DG10:DR10)</f>
        <v>261405447.2293745</v>
      </c>
      <c r="J10" s="16">
        <f>AVERAGE(DS10:ED10)</f>
        <v>393770556.50778198</v>
      </c>
      <c r="K10" s="16">
        <f>AVERAGE(EE10:EP10)</f>
        <v>583986292.16766798</v>
      </c>
      <c r="L10" s="16">
        <f>AVERAGE(EQ10:FB10)</f>
        <v>852649180.43853319</v>
      </c>
      <c r="N10" s="16">
        <f>AVERAGE(AY10:BA10)</f>
        <v>14491281.146666666</v>
      </c>
      <c r="O10" s="16">
        <f>AVERAGE(BB10:BD10)</f>
        <v>18169944.836666662</v>
      </c>
      <c r="P10" s="16">
        <f>AVERAGE(BE10:BG10)</f>
        <v>22002868.176666662</v>
      </c>
      <c r="Q10" s="16">
        <f>AVERAGE(BH10:BJ10)</f>
        <v>27253472.451666664</v>
      </c>
      <c r="R10" s="16">
        <f>AVERAGE(BK10:BM10)</f>
        <v>32582203.355</v>
      </c>
      <c r="S10" s="16">
        <f>AVERAGE(BN10:BP10)</f>
        <v>38712866.434999995</v>
      </c>
      <c r="T10" s="16">
        <f>AVERAGE(BQ10:BS10)</f>
        <v>44650121.384999998</v>
      </c>
      <c r="U10" s="16">
        <f>AVERAGE(BT10:BV10)</f>
        <v>50820058.005152486</v>
      </c>
      <c r="V10" s="16">
        <f>AVERAGE(BW10:BY10)</f>
        <v>57477666.933943808</v>
      </c>
      <c r="W10" s="16">
        <f>AVERAGE(BZ10:CB10)</f>
        <v>62246763.871031463</v>
      </c>
      <c r="X10" s="16">
        <f>AVERAGE(CC10:CE10)</f>
        <v>68951406.115561292</v>
      </c>
      <c r="Y10" s="16">
        <f>AVERAGE(CF10:CH10)</f>
        <v>76691854.680702463</v>
      </c>
      <c r="Z10" s="16">
        <f>AVERAGE(CI10:CK10)</f>
        <v>84971434.95633696</v>
      </c>
      <c r="AA10" s="16">
        <f>AVERAGE(CL10:CN10)</f>
        <v>94605094.776649639</v>
      </c>
      <c r="AB10" s="16">
        <f>AVERAGE(CO10:CQ10)</f>
        <v>108574978.70636666</v>
      </c>
      <c r="AC10" s="16">
        <f>AVERAGE(CR10:CT10)</f>
        <v>125652167.75543936</v>
      </c>
      <c r="AD10" s="16">
        <f>AVERAGE(CU10:CW10)</f>
        <v>143565232.28088841</v>
      </c>
      <c r="AE10" s="16">
        <f>AVERAGE(CX10:CZ10)</f>
        <v>159229717.28278726</v>
      </c>
      <c r="AF10" s="16">
        <f>AVERAGE(DA10:DC10)</f>
        <v>176849197.8462123</v>
      </c>
      <c r="AG10" s="16">
        <f>AVERAGE(DD10:DF10)</f>
        <v>198872265.30648157</v>
      </c>
      <c r="AH10" s="16">
        <f>AVERAGE(DG10:DI10)</f>
        <v>222341999.12133279</v>
      </c>
      <c r="AI10" s="16">
        <f>AVERAGE(DJ10:DL10)</f>
        <v>246356663.1791805</v>
      </c>
      <c r="AJ10" s="16">
        <f>AVERAGE(DM10:DO10)</f>
        <v>272905262.10038275</v>
      </c>
      <c r="AK10" s="16">
        <f>AVERAGE(DP10:DR10)</f>
        <v>304017864.51660174</v>
      </c>
      <c r="AL10" s="16">
        <f>AVERAGE(DS10:DU10)</f>
        <v>337148979.59545845</v>
      </c>
      <c r="AM10" s="16">
        <f>AVERAGE(DV10:DX10)</f>
        <v>371957016.98558253</v>
      </c>
      <c r="AN10" s="16">
        <f>AVERAGE(DY10:EA10)</f>
        <v>410439184.60066557</v>
      </c>
      <c r="AO10" s="16">
        <f>AVERAGE(EB10:ED10)</f>
        <v>455537044.84942132</v>
      </c>
      <c r="AP10" s="16">
        <f>AVERAGE(EE10:EG10)</f>
        <v>503311531.67139292</v>
      </c>
      <c r="AQ10" s="16">
        <f>AVERAGE(EH10:EJ10)</f>
        <v>552905870.21074092</v>
      </c>
      <c r="AR10" s="16">
        <f>AVERAGE(EK10:EM10)</f>
        <v>607735803.79805028</v>
      </c>
      <c r="AS10" s="16">
        <f>AVERAGE(EN10:EP10)</f>
        <v>671991962.99048805</v>
      </c>
      <c r="AT10" s="16">
        <f>AVERAGE(EQ10:ES10)</f>
        <v>739705756.36366367</v>
      </c>
      <c r="AU10" s="16">
        <f>AVERAGE(ET10:EV10)</f>
        <v>809137026.91396177</v>
      </c>
      <c r="AV10" s="16">
        <f>AVERAGE(EW10:EY10)</f>
        <v>885898125.9555465</v>
      </c>
      <c r="AW10" s="16">
        <f>AVERAGE(EZ10:FB10)</f>
        <v>975855812.52096033</v>
      </c>
      <c r="AY10" s="16">
        <f>AVERAGE(Forecast!AY9,Forecast!AY14)</f>
        <v>13699084.259999994</v>
      </c>
      <c r="AZ10" s="16">
        <f>AVERAGE(Forecast!AZ9,Forecast!AZ14)</f>
        <v>14143414.414999999</v>
      </c>
      <c r="BA10" s="16">
        <f>AVERAGE(Forecast!BA9,Forecast!BA14)</f>
        <v>15631344.765000001</v>
      </c>
      <c r="BB10" s="16">
        <f>AVERAGE(Forecast!BB9,Forecast!BB14)</f>
        <v>16918135.414999999</v>
      </c>
      <c r="BC10" s="16">
        <f>AVERAGE(Forecast!BC9,Forecast!BC14)</f>
        <v>17970217.954999998</v>
      </c>
      <c r="BD10" s="16">
        <f>AVERAGE(Forecast!BD9,Forecast!BD14)</f>
        <v>19621481.139999997</v>
      </c>
      <c r="BE10" s="16">
        <f>AVERAGE(Forecast!BE9,Forecast!BE14)</f>
        <v>20858700.834999997</v>
      </c>
      <c r="BF10" s="16">
        <f>AVERAGE(Forecast!BF9,Forecast!BF14)</f>
        <v>21743663.899999995</v>
      </c>
      <c r="BG10" s="16">
        <f>AVERAGE(Forecast!BG9,Forecast!BG14)</f>
        <v>23406239.794999994</v>
      </c>
      <c r="BH10" s="16">
        <f>AVERAGE(Forecast!BH9,Forecast!BH14)</f>
        <v>25086047.044999994</v>
      </c>
      <c r="BI10" s="16">
        <f>AVERAGE(Forecast!BI9,Forecast!BI14)</f>
        <v>27021944.464999996</v>
      </c>
      <c r="BJ10" s="16">
        <f>AVERAGE(Forecast!BJ9,Forecast!BJ14)</f>
        <v>29652425.844999999</v>
      </c>
      <c r="BK10" s="16">
        <f>AVERAGE(Forecast!BK9,Forecast!BK14)</f>
        <v>31230072.554999996</v>
      </c>
      <c r="BL10" s="16">
        <f>AVERAGE(Forecast!BL9,Forecast!BL14)</f>
        <v>32184819.779999997</v>
      </c>
      <c r="BM10" s="16">
        <f>AVERAGE(Forecast!BM9,Forecast!BM14)</f>
        <v>34331717.729999997</v>
      </c>
      <c r="BN10" s="16">
        <f>AVERAGE(Forecast!BN9,Forecast!BN14)</f>
        <v>36425846.039999992</v>
      </c>
      <c r="BO10" s="16">
        <f>AVERAGE(Forecast!BO9,Forecast!BO14)</f>
        <v>38440769.609999999</v>
      </c>
      <c r="BP10" s="16">
        <f>AVERAGE(Forecast!BP9,Forecast!BP14)</f>
        <v>41271983.655000001</v>
      </c>
      <c r="BQ10" s="16">
        <f>AVERAGE(Forecast!BQ9,Forecast!BQ14)</f>
        <v>43185545.209999993</v>
      </c>
      <c r="BR10" s="16">
        <f>AVERAGE(Forecast!BR9,Forecast!BR14)</f>
        <v>44298137.744999997</v>
      </c>
      <c r="BS10" s="16">
        <f>AVERAGE(Forecast!BS9,Forecast!BS14)</f>
        <v>46466681.200000003</v>
      </c>
      <c r="BT10" s="16">
        <f>AVERAGE(Forecast!BT9,Forecast!BT14)</f>
        <v>48404951.089999989</v>
      </c>
      <c r="BU10" s="16">
        <f>AVERAGE(Forecast!BU9,Forecast!BU14)</f>
        <v>50241388.73999998</v>
      </c>
      <c r="BV10" s="16">
        <f>AVERAGE(Forecast!BV9,Forecast!BV14)</f>
        <v>53813834.185457483</v>
      </c>
      <c r="BW10" s="16">
        <f>AVERAGE(Forecast!BW9,Forecast!BW14)</f>
        <v>56202363.17999997</v>
      </c>
      <c r="BX10" s="16">
        <f>AVERAGE(Forecast!BX9,Forecast!BX14)</f>
        <v>57293969.117600471</v>
      </c>
      <c r="BY10" s="16">
        <f>AVERAGE(Forecast!BY9,Forecast!BY14)</f>
        <v>58936668.504230969</v>
      </c>
      <c r="BZ10" s="16">
        <f>AVERAGE(Forecast!BZ9,Forecast!BZ14)</f>
        <v>60472554.605933964</v>
      </c>
      <c r="CA10" s="16">
        <f>AVERAGE(Forecast!CA9,Forecast!CA14)</f>
        <v>61753639.877068967</v>
      </c>
      <c r="CB10" s="16">
        <f>AVERAGE(Forecast!CB9,Forecast!CB14)</f>
        <v>64514097.130091466</v>
      </c>
      <c r="CC10" s="16">
        <f>AVERAGE(Forecast!CC9,Forecast!CC14)</f>
        <v>66774573.213589452</v>
      </c>
      <c r="CD10" s="16">
        <f>AVERAGE(Forecast!CD9,Forecast!CD14)</f>
        <v>68483834.666995466</v>
      </c>
      <c r="CE10" s="16">
        <f>AVERAGE(Forecast!CE9,Forecast!CE14)</f>
        <v>71595810.466098964</v>
      </c>
      <c r="CF10" s="16">
        <f>AVERAGE(Forecast!CF9,Forecast!CF14)</f>
        <v>73908053.153077453</v>
      </c>
      <c r="CG10" s="16">
        <f>AVERAGE(Forecast!CG9,Forecast!CG14)</f>
        <v>76099140.560842961</v>
      </c>
      <c r="CH10" s="16">
        <f>AVERAGE(Forecast!CH9,Forecast!CH14)</f>
        <v>80068370.328186959</v>
      </c>
      <c r="CI10" s="16">
        <f>AVERAGE(Forecast!CI9,Forecast!CI14)</f>
        <v>83011407.20345296</v>
      </c>
      <c r="CJ10" s="16">
        <f>AVERAGE(Forecast!CJ9,Forecast!CJ14)</f>
        <v>84381099.310752958</v>
      </c>
      <c r="CK10" s="16">
        <f>AVERAGE(Forecast!CK9,Forecast!CK14)</f>
        <v>87521798.354804963</v>
      </c>
      <c r="CL10" s="16">
        <f>AVERAGE(Forecast!CL9,Forecast!CL14)</f>
        <v>90875940.162453473</v>
      </c>
      <c r="CM10" s="16">
        <f>AVERAGE(Forecast!CM9,Forecast!CM14)</f>
        <v>93808858.475918964</v>
      </c>
      <c r="CN10" s="16">
        <f>AVERAGE(Forecast!CN9,Forecast!CN14)</f>
        <v>99130485.691576466</v>
      </c>
      <c r="CO10" s="16">
        <f>AVERAGE(Forecast!CO9,Forecast!CO14)</f>
        <v>103752087.25021262</v>
      </c>
      <c r="CP10" s="16">
        <f>AVERAGE(Forecast!CP9,Forecast!CP14)</f>
        <v>107676820.34476158</v>
      </c>
      <c r="CQ10" s="16">
        <f>AVERAGE(Forecast!CQ9,Forecast!CQ14)</f>
        <v>114296028.52412573</v>
      </c>
      <c r="CR10" s="16">
        <f>AVERAGE(Forecast!CR9,Forecast!CR14)</f>
        <v>119038902.36387169</v>
      </c>
      <c r="CS10" s="16">
        <f>AVERAGE(Forecast!CS9,Forecast!CS14)</f>
        <v>124254871.74737868</v>
      </c>
      <c r="CT10" s="16">
        <f>AVERAGE(Forecast!CT9,Forecast!CT14)</f>
        <v>133662729.15506774</v>
      </c>
      <c r="CU10" s="16">
        <f>AVERAGE(Forecast!CU9,Forecast!CU14)</f>
        <v>139817594.38244966</v>
      </c>
      <c r="CV10" s="16">
        <f>AVERAGE(Forecast!CV9,Forecast!CV14)</f>
        <v>142528593.01438212</v>
      </c>
      <c r="CW10" s="16">
        <f>AVERAGE(Forecast!CW9,Forecast!CW14)</f>
        <v>148349509.4458335</v>
      </c>
      <c r="CX10" s="16">
        <f>AVERAGE(Forecast!CX9,Forecast!CX14)</f>
        <v>153634477.84351665</v>
      </c>
      <c r="CY10" s="16">
        <f>AVERAGE(Forecast!CY9,Forecast!CY14)</f>
        <v>158221961.14029953</v>
      </c>
      <c r="CZ10" s="16">
        <f>AVERAGE(Forecast!CZ9,Forecast!CZ14)</f>
        <v>165832712.86454564</v>
      </c>
      <c r="DA10" s="16">
        <f>AVERAGE(Forecast!DA9,Forecast!DA14)</f>
        <v>171580926.68366566</v>
      </c>
      <c r="DB10" s="16">
        <f>AVERAGE(Forecast!DB9,Forecast!DB14)</f>
        <v>175659586.82100725</v>
      </c>
      <c r="DC10" s="16">
        <f>AVERAGE(Forecast!DC9,Forecast!DC14)</f>
        <v>183307080.03396404</v>
      </c>
      <c r="DD10" s="16">
        <f>AVERAGE(Forecast!DD9,Forecast!DD14)</f>
        <v>190127222.01140964</v>
      </c>
      <c r="DE10" s="16">
        <f>AVERAGE(Forecast!DE9,Forecast!DE14)</f>
        <v>197408139.69263977</v>
      </c>
      <c r="DF10" s="16">
        <f>AVERAGE(Forecast!DF9,Forecast!DF14)</f>
        <v>209081434.21539524</v>
      </c>
      <c r="DG10" s="16">
        <f>AVERAGE(Forecast!DG9,Forecast!DG14)</f>
        <v>216638763.07215691</v>
      </c>
      <c r="DH10" s="16">
        <f>AVERAGE(Forecast!DH9,Forecast!DH14)</f>
        <v>220822409.30884784</v>
      </c>
      <c r="DI10" s="16">
        <f>AVERAGE(Forecast!DI9,Forecast!DI14)</f>
        <v>229564824.98299366</v>
      </c>
      <c r="DJ10" s="16">
        <f>AVERAGE(Forecast!DJ9,Forecast!DJ14)</f>
        <v>237652472.52025115</v>
      </c>
      <c r="DK10" s="16">
        <f>AVERAGE(Forecast!DK9,Forecast!DK14)</f>
        <v>244875809.59538919</v>
      </c>
      <c r="DL10" s="16">
        <f>AVERAGE(Forecast!DL9,Forecast!DL14)</f>
        <v>256541707.4219012</v>
      </c>
      <c r="DM10" s="16">
        <f>AVERAGE(Forecast!DM9,Forecast!DM14)</f>
        <v>265196050.8880567</v>
      </c>
      <c r="DN10" s="16">
        <f>AVERAGE(Forecast!DN9,Forecast!DN14)</f>
        <v>271153262.17798901</v>
      </c>
      <c r="DO10" s="16">
        <f>AVERAGE(Forecast!DO9,Forecast!DO14)</f>
        <v>282366473.23510242</v>
      </c>
      <c r="DP10" s="16">
        <f>AVERAGE(Forecast!DP9,Forecast!DP14)</f>
        <v>291978512.91330028</v>
      </c>
      <c r="DQ10" s="16">
        <f>AVERAGE(Forecast!DQ9,Forecast!DQ14)</f>
        <v>301868803.4515835</v>
      </c>
      <c r="DR10" s="16">
        <f>AVERAGE(Forecast!DR9,Forecast!DR14)</f>
        <v>318206277.1849215</v>
      </c>
      <c r="DS10" s="16">
        <f>AVERAGE(Forecast!DS9,Forecast!DS14)</f>
        <v>328882811.86955714</v>
      </c>
      <c r="DT10" s="16">
        <f>AVERAGE(Forecast!DT9,Forecast!DT14)</f>
        <v>334946160.51306063</v>
      </c>
      <c r="DU10" s="16">
        <f>AVERAGE(Forecast!DU9,Forecast!DU14)</f>
        <v>347617966.40375757</v>
      </c>
      <c r="DV10" s="16">
        <f>AVERAGE(Forecast!DV9,Forecast!DV14)</f>
        <v>359339973.22172689</v>
      </c>
      <c r="DW10" s="16">
        <f>AVERAGE(Forecast!DW9,Forecast!DW14)</f>
        <v>369810125.69753629</v>
      </c>
      <c r="DX10" s="16">
        <f>AVERAGE(Forecast!DX9,Forecast!DX14)</f>
        <v>386720952.03748453</v>
      </c>
      <c r="DY10" s="16">
        <f>AVERAGE(Forecast!DY9,Forecast!DY14)</f>
        <v>399264640.99121213</v>
      </c>
      <c r="DZ10" s="16">
        <f>AVERAGE(Forecast!DZ9,Forecast!DZ14)</f>
        <v>407898950.66131115</v>
      </c>
      <c r="EA10" s="16">
        <f>AVERAGE(Forecast!EA9,Forecast!EA14)</f>
        <v>424153962.14947355</v>
      </c>
      <c r="EB10" s="16">
        <f>AVERAGE(Forecast!EB9,Forecast!EB14)</f>
        <v>438086869.18388712</v>
      </c>
      <c r="EC10" s="16">
        <f>AVERAGE(Forecast!EC9,Forecast!EC14)</f>
        <v>452421558.86568022</v>
      </c>
      <c r="ED10" s="16">
        <f>AVERAGE(Forecast!ED9,Forecast!ED14)</f>
        <v>476102706.49869657</v>
      </c>
      <c r="EE10" s="16">
        <f>AVERAGE(Forecast!EE9,Forecast!EE14)</f>
        <v>491534138.71442556</v>
      </c>
      <c r="EF10" s="16">
        <f>AVERAGE(Forecast!EF9,Forecast!EF14)</f>
        <v>500172829.79992354</v>
      </c>
      <c r="EG10" s="16">
        <f>AVERAGE(Forecast!EG9,Forecast!EG14)</f>
        <v>518227626.49982971</v>
      </c>
      <c r="EH10" s="16">
        <f>AVERAGE(Forecast!EH9,Forecast!EH14)</f>
        <v>534928752.26028138</v>
      </c>
      <c r="EI10" s="16">
        <f>AVERAGE(Forecast!EI9,Forecast!EI14)</f>
        <v>549846736.47798562</v>
      </c>
      <c r="EJ10" s="16">
        <f>AVERAGE(Forecast!EJ9,Forecast!EJ14)</f>
        <v>573942121.89395583</v>
      </c>
      <c r="EK10" s="16">
        <f>AVERAGE(Forecast!EK9,Forecast!EK14)</f>
        <v>591814130.19393802</v>
      </c>
      <c r="EL10" s="16">
        <f>AVERAGE(Forecast!EL9,Forecast!EL14)</f>
        <v>604116059.70735359</v>
      </c>
      <c r="EM10" s="16">
        <f>AVERAGE(Forecast!EM9,Forecast!EM14)</f>
        <v>627277221.49285913</v>
      </c>
      <c r="EN10" s="16">
        <f>AVERAGE(Forecast!EN9,Forecast!EN14)</f>
        <v>647129166.04596829</v>
      </c>
      <c r="EO10" s="16">
        <f>AVERAGE(Forecast!EO9,Forecast!EO14)</f>
        <v>667552746.51290011</v>
      </c>
      <c r="EP10" s="16">
        <f>AVERAGE(Forecast!EP9,Forecast!EP14)</f>
        <v>701293976.41259563</v>
      </c>
      <c r="EQ10" s="16">
        <f>AVERAGE(Forecast!EQ9,Forecast!EQ14)</f>
        <v>723217620.32832837</v>
      </c>
      <c r="ER10" s="16">
        <f>AVERAGE(Forecast!ER9,Forecast!ER14)</f>
        <v>735311609.35000992</v>
      </c>
      <c r="ES10" s="16">
        <f>AVERAGE(Forecast!ES9,Forecast!ES14)</f>
        <v>760588039.41265273</v>
      </c>
      <c r="ET10" s="16">
        <f>AVERAGE(Forecast!ET9,Forecast!ET14)</f>
        <v>783969306.75592947</v>
      </c>
      <c r="EU10" s="16">
        <f>AVERAGE(Forecast!EU9,Forecast!EU14)</f>
        <v>804854260.7312665</v>
      </c>
      <c r="EV10" s="16">
        <f>AVERAGE(Forecast!EV9,Forecast!EV14)</f>
        <v>838587513.25468946</v>
      </c>
      <c r="EW10" s="16">
        <f>AVERAGE(Forecast!EW9,Forecast!EW14)</f>
        <v>863608014.51550913</v>
      </c>
      <c r="EX10" s="16">
        <f>AVERAGE(Forecast!EX9,Forecast!EX14)</f>
        <v>880830494.3093679</v>
      </c>
      <c r="EY10" s="16">
        <f>AVERAGE(Forecast!EY9,Forecast!EY14)</f>
        <v>913255869.04176271</v>
      </c>
      <c r="EZ10" s="16">
        <f>AVERAGE(Forecast!EZ9,Forecast!EZ14)</f>
        <v>941048314.98842716</v>
      </c>
      <c r="FA10" s="16">
        <f>AVERAGE(Forecast!FA9,Forecast!FA14)</f>
        <v>969640949.09322095</v>
      </c>
      <c r="FB10" s="16">
        <f>AVERAGE(Forecast!FB9,Forecast!FB14)</f>
        <v>1016878173.481233</v>
      </c>
    </row>
    <row r="11" spans="3:158" x14ac:dyDescent="0.25">
      <c r="C11" t="s">
        <v>249</v>
      </c>
      <c r="D11" s="16">
        <f>SUM(Forecast!D11:D12)</f>
        <v>18909925.299999997</v>
      </c>
      <c r="E11" s="16">
        <f>SUM(Forecast!E11:E12)</f>
        <v>27736807.890915003</v>
      </c>
      <c r="F11" s="16">
        <f>SUM(Forecast!F11:F12)</f>
        <v>32341969.564101998</v>
      </c>
      <c r="G11" s="16">
        <f>SUM(Forecast!G11:G12)</f>
        <v>63932242.320432998</v>
      </c>
      <c r="H11" s="16">
        <f>SUM(Forecast!H11:H12)</f>
        <v>87499999.99999997</v>
      </c>
      <c r="I11" s="16">
        <f>SUM(Forecast!I11:I12)</f>
        <v>129062499.99999997</v>
      </c>
      <c r="J11" s="16">
        <f>SUM(Forecast!J11:J12)</f>
        <v>187140624.99999997</v>
      </c>
      <c r="K11" s="16">
        <f>SUM(Forecast!K11:K12)</f>
        <v>266675390.625</v>
      </c>
      <c r="L11" s="16">
        <f>SUM(Forecast!L11:L12)</f>
        <v>373345546.87499994</v>
      </c>
      <c r="N11" s="16">
        <f>SUM(Forecast!N11:N12)</f>
        <v>3412608.1</v>
      </c>
      <c r="O11" s="16">
        <f>SUM(Forecast!O11:O12)</f>
        <v>4179978.8</v>
      </c>
      <c r="P11" s="16">
        <f>SUM(Forecast!P11:P12)</f>
        <v>4303066.46</v>
      </c>
      <c r="Q11" s="16">
        <f>SUM(Forecast!Q11:Q12)</f>
        <v>7014271.9399999995</v>
      </c>
      <c r="R11" s="16">
        <f>SUM(Forecast!R11:R12)</f>
        <v>5688324.290000001</v>
      </c>
      <c r="S11" s="16">
        <f>SUM(Forecast!S11:S12)</f>
        <v>7504547.8499999996</v>
      </c>
      <c r="T11" s="16">
        <f>SUM(Forecast!T11:T12)</f>
        <v>6013138.3099999996</v>
      </c>
      <c r="U11" s="16">
        <f>SUM(Forecast!U11:U12)</f>
        <v>8530797.4409149997</v>
      </c>
      <c r="V11" s="16">
        <f>SUM(Forecast!V11:V12)</f>
        <v>5225613.073663</v>
      </c>
      <c r="W11" s="16">
        <f>SUM(Forecast!W11:W12)</f>
        <v>8110905.6492660008</v>
      </c>
      <c r="X11" s="16">
        <f>SUM(Forecast!X11:X12)</f>
        <v>8152575.106958</v>
      </c>
      <c r="Y11" s="16">
        <f>SUM(Forecast!Y11:Y12)</f>
        <v>10852875.734214999</v>
      </c>
      <c r="Z11" s="16">
        <f>SUM(Forecast!Z11:Z12)</f>
        <v>9068644.246173</v>
      </c>
      <c r="AA11" s="16">
        <f>SUM(Forecast!AA11:AA12)</f>
        <v>14187110.57426</v>
      </c>
      <c r="AB11" s="16">
        <f>SUM(Forecast!AB11:AB12)</f>
        <v>17298700</v>
      </c>
      <c r="AC11" s="16">
        <f>SUM(Forecast!AC11:AC12)</f>
        <v>23377787.5</v>
      </c>
      <c r="AD11" s="16">
        <f>SUM(Forecast!AD11:AD12)</f>
        <v>15485236.658152631</v>
      </c>
      <c r="AE11" s="16">
        <f>SUM(Forecast!AE11:AE12)</f>
        <v>20603198.124783106</v>
      </c>
      <c r="AF11" s="16">
        <f>SUM(Forecast!AF11:AF12)</f>
        <v>20312333.791441202</v>
      </c>
      <c r="AG11" s="16">
        <f>SUM(Forecast!AG11:AG12)</f>
        <v>31099231.425623044</v>
      </c>
      <c r="AH11" s="16">
        <f>SUM(Forecast!AH11:AH12)</f>
        <v>23537661.570775133</v>
      </c>
      <c r="AI11" s="16">
        <f>SUM(Forecast!AI11:AI12)</f>
        <v>31938467.23405508</v>
      </c>
      <c r="AJ11" s="16">
        <f>SUM(Forecast!AJ11:AJ12)</f>
        <v>29960692.342375778</v>
      </c>
      <c r="AK11" s="16">
        <f>SUM(Forecast!AK11:AK12)</f>
        <v>43625678.852793992</v>
      </c>
      <c r="AL11" s="16">
        <f>SUM(Forecast!AL11:AL12)</f>
        <v>34129609.277623937</v>
      </c>
      <c r="AM11" s="16">
        <f>SUM(Forecast!AM11:AM12)</f>
        <v>46310777.489379868</v>
      </c>
      <c r="AN11" s="16">
        <f>SUM(Forecast!AN11:AN12)</f>
        <v>43443003.896444879</v>
      </c>
      <c r="AO11" s="16">
        <f>SUM(Forecast!AO11:AO12)</f>
        <v>63257234.336551294</v>
      </c>
      <c r="AP11" s="16">
        <f>SUM(Forecast!AP11:AP12)</f>
        <v>48634693.22061412</v>
      </c>
      <c r="AQ11" s="16">
        <f>SUM(Forecast!AQ11:AQ12)</f>
        <v>65992857.922366321</v>
      </c>
      <c r="AR11" s="16">
        <f>SUM(Forecast!AR11:AR12)</f>
        <v>61906280.552433968</v>
      </c>
      <c r="AS11" s="16">
        <f>SUM(Forecast!AS11:AS12)</f>
        <v>90141558.929585591</v>
      </c>
      <c r="AT11" s="16">
        <f>SUM(Forecast!AT11:AT12)</f>
        <v>68088570.508859769</v>
      </c>
      <c r="AU11" s="16">
        <f>SUM(Forecast!AU11:AU12)</f>
        <v>92390001.091312841</v>
      </c>
      <c r="AV11" s="16">
        <f>SUM(Forecast!AV11:AV12)</f>
        <v>86668792.773407549</v>
      </c>
      <c r="AW11" s="16">
        <f>SUM(Forecast!AW11:AW12)</f>
        <v>126198182.50141983</v>
      </c>
      <c r="AY11" s="16">
        <f>SUM(Forecast!AY11:AY12)</f>
        <v>247639</v>
      </c>
      <c r="AZ11" s="16">
        <f>SUM(Forecast!AZ11:AZ12)</f>
        <v>1082032.83</v>
      </c>
      <c r="BA11" s="16">
        <f>SUM(Forecast!BA11:BA12)</f>
        <v>2082936.27</v>
      </c>
      <c r="BB11" s="16">
        <f>SUM(Forecast!BB11:BB12)</f>
        <v>656601.42999999993</v>
      </c>
      <c r="BC11" s="16">
        <f>SUM(Forecast!BC11:BC12)</f>
        <v>1521663.65</v>
      </c>
      <c r="BD11" s="16">
        <f>SUM(Forecast!BD11:BD12)</f>
        <v>2001713.72</v>
      </c>
      <c r="BE11" s="16">
        <f>SUM(Forecast!BE11:BE12)</f>
        <v>778126.66999999993</v>
      </c>
      <c r="BF11" s="16">
        <f>SUM(Forecast!BF11:BF12)</f>
        <v>1114502.46</v>
      </c>
      <c r="BG11" s="16">
        <f>SUM(Forecast!BG11:BG12)</f>
        <v>2410437.33</v>
      </c>
      <c r="BH11" s="16">
        <f>SUM(Forecast!BH11:BH12)</f>
        <v>1197012.17</v>
      </c>
      <c r="BI11" s="16">
        <f>SUM(Forecast!BI11:BI12)</f>
        <v>3090129.67</v>
      </c>
      <c r="BJ11" s="16">
        <f>SUM(Forecast!BJ11:BJ12)</f>
        <v>2727130.1</v>
      </c>
      <c r="BK11" s="16">
        <f>SUM(Forecast!BK11:BK12)</f>
        <v>787013.33000000007</v>
      </c>
      <c r="BL11" s="16">
        <f>SUM(Forecast!BL11:BL12)</f>
        <v>1407691.33</v>
      </c>
      <c r="BM11" s="16">
        <f>SUM(Forecast!BM11:BM12)</f>
        <v>3493619.6300000004</v>
      </c>
      <c r="BN11" s="16">
        <f>SUM(Forecast!BN11:BN12)</f>
        <v>1326125.7599999998</v>
      </c>
      <c r="BO11" s="16">
        <f>SUM(Forecast!BO11:BO12)</f>
        <v>3115569.38</v>
      </c>
      <c r="BP11" s="16">
        <f>SUM(Forecast!BP11:BP12)</f>
        <v>3062852.71</v>
      </c>
      <c r="BQ11" s="16">
        <f>SUM(Forecast!BQ11:BQ12)</f>
        <v>1222005.3999999999</v>
      </c>
      <c r="BR11" s="16">
        <f>SUM(Forecast!BR11:BR12)</f>
        <v>1307988.67</v>
      </c>
      <c r="BS11" s="16">
        <f>SUM(Forecast!BS11:BS12)</f>
        <v>3483144.2399999998</v>
      </c>
      <c r="BT11" s="16">
        <f>SUM(Forecast!BT11:BT12)</f>
        <v>797405.54</v>
      </c>
      <c r="BU11" s="16">
        <f>SUM(Forecast!BU11:BU12)</f>
        <v>3345936.4699999997</v>
      </c>
      <c r="BV11" s="16">
        <f>SUM(Forecast!BV11:BV12)</f>
        <v>4387455.4309149999</v>
      </c>
      <c r="BW11" s="16">
        <f>SUM(Forecast!BW11:BW12)</f>
        <v>1103269.5</v>
      </c>
      <c r="BX11" s="16">
        <f>SUM(Forecast!BX11:BX12)</f>
        <v>1671254.3752009999</v>
      </c>
      <c r="BY11" s="16">
        <f>SUM(Forecast!BY11:BY12)</f>
        <v>2451089.1984620001</v>
      </c>
      <c r="BZ11" s="16">
        <f>SUM(Forecast!BZ11:BZ12)</f>
        <v>1682250.2295600001</v>
      </c>
      <c r="CA11" s="16">
        <f>SUM(Forecast!CA11:CA12)</f>
        <v>1926495.5395229999</v>
      </c>
      <c r="CB11" s="16">
        <f>SUM(Forecast!CB11:CB12)</f>
        <v>4502159.8801830001</v>
      </c>
      <c r="CC11" s="16">
        <f>SUM(Forecast!CC11:CC12)</f>
        <v>1050087.6471790001</v>
      </c>
      <c r="CD11" s="16">
        <f>SUM(Forecast!CD11:CD12)</f>
        <v>3354858.583991</v>
      </c>
      <c r="CE11" s="16">
        <f>SUM(Forecast!CE11:CE12)</f>
        <v>3747628.8757879999</v>
      </c>
      <c r="CF11" s="16">
        <f>SUM(Forecast!CF11:CF12)</f>
        <v>1583669.9761549998</v>
      </c>
      <c r="CG11" s="16">
        <f>SUM(Forecast!CG11:CG12)</f>
        <v>3917228.8316860003</v>
      </c>
      <c r="CH11" s="16">
        <f>SUM(Forecast!CH11:CH12)</f>
        <v>5351976.9263739996</v>
      </c>
      <c r="CI11" s="16">
        <f>SUM(Forecast!CI11:CI12)</f>
        <v>1467244.9398469999</v>
      </c>
      <c r="CJ11" s="16">
        <f>SUM(Forecast!CJ11:CJ12)</f>
        <v>2248533.3673879998</v>
      </c>
      <c r="CK11" s="16">
        <f>SUM(Forecast!CK11:CK12)</f>
        <v>5352865.9389380002</v>
      </c>
      <c r="CL11" s="16">
        <f>SUM(Forecast!CL11:CL12)</f>
        <v>2606228.0054259999</v>
      </c>
      <c r="CM11" s="16">
        <f>SUM(Forecast!CM11:CM12)</f>
        <v>4225782.8039159998</v>
      </c>
      <c r="CN11" s="16">
        <f>SUM(Forecast!CN11:CN12)</f>
        <v>7355099.7649179995</v>
      </c>
      <c r="CO11" s="16">
        <f>SUM(Forecast!CO11:CO12)</f>
        <v>2594805</v>
      </c>
      <c r="CP11" s="16">
        <f>SUM(Forecast!CP11:CP12)</f>
        <v>6054545</v>
      </c>
      <c r="CQ11" s="16">
        <f>SUM(Forecast!CQ11:CQ12)</f>
        <v>8649350</v>
      </c>
      <c r="CR11" s="16">
        <f>SUM(Forecast!CR11:CR12)</f>
        <v>2337778.75</v>
      </c>
      <c r="CS11" s="16">
        <f>SUM(Forecast!CS11:CS12)</f>
        <v>9351115</v>
      </c>
      <c r="CT11" s="16">
        <f>SUM(Forecast!CT11:CT12)</f>
        <v>11688893.75</v>
      </c>
      <c r="CU11" s="16">
        <f>SUM(Forecast!CU11:CU12)</f>
        <v>2046994.5611031479</v>
      </c>
      <c r="CV11" s="16">
        <f>SUM(Forecast!CV11:CV12)</f>
        <v>4498858.7276137024</v>
      </c>
      <c r="CW11" s="16">
        <f>SUM(Forecast!CW11:CW12)</f>
        <v>8939383.3694357798</v>
      </c>
      <c r="CX11" s="16">
        <f>SUM(Forecast!CX11:CX12)</f>
        <v>3574319.3234480647</v>
      </c>
      <c r="CY11" s="16">
        <f>SUM(Forecast!CY11:CY12)</f>
        <v>7010547.8766366532</v>
      </c>
      <c r="CZ11" s="16">
        <f>SUM(Forecast!CZ11:CZ12)</f>
        <v>10018330.924698386</v>
      </c>
      <c r="DA11" s="16">
        <f>SUM(Forecast!DA11:DA12)</f>
        <v>3432174.4974752935</v>
      </c>
      <c r="DB11" s="16">
        <f>SUM(Forecast!DB11:DB12)</f>
        <v>6119907.0509495568</v>
      </c>
      <c r="DC11" s="16">
        <f>SUM(Forecast!DC11:DC12)</f>
        <v>10760252.243016355</v>
      </c>
      <c r="DD11" s="16">
        <f>SUM(Forecast!DD11:DD12)</f>
        <v>4620470.7984550577</v>
      </c>
      <c r="DE11" s="16">
        <f>SUM(Forecast!DE11:DE12)</f>
        <v>12324777.469713585</v>
      </c>
      <c r="DF11" s="16">
        <f>SUM(Forecast!DF11:DF12)</f>
        <v>14153983.157454403</v>
      </c>
      <c r="DG11" s="16">
        <f>SUM(Forecast!DG11:DG12)</f>
        <v>3251629.4776271433</v>
      </c>
      <c r="DH11" s="16">
        <f>SUM(Forecast!DH11:DH12)</f>
        <v>6868129.1232302114</v>
      </c>
      <c r="DI11" s="16">
        <f>SUM(Forecast!DI11:DI12)</f>
        <v>13417902.969917778</v>
      </c>
      <c r="DJ11" s="16">
        <f>SUM(Forecast!DJ11:DJ12)</f>
        <v>5788371.0020858943</v>
      </c>
      <c r="DK11" s="16">
        <f>SUM(Forecast!DK11:DK12)</f>
        <v>10856808.118039064</v>
      </c>
      <c r="DL11" s="16">
        <f>SUM(Forecast!DL11:DL12)</f>
        <v>15293288.113930121</v>
      </c>
      <c r="DM11" s="16">
        <f>SUM(Forecast!DM11:DM12)</f>
        <v>5062457.3837760594</v>
      </c>
      <c r="DN11" s="16">
        <f>SUM(Forecast!DN11:DN12)</f>
        <v>9026862.9001505971</v>
      </c>
      <c r="DO11" s="16">
        <f>SUM(Forecast!DO11:DO12)</f>
        <v>15871372.058449123</v>
      </c>
      <c r="DP11" s="16">
        <f>SUM(Forecast!DP11:DP12)</f>
        <v>6066631.9277212098</v>
      </c>
      <c r="DQ11" s="16">
        <f>SUM(Forecast!DQ11:DQ12)</f>
        <v>17430484.267827541</v>
      </c>
      <c r="DR11" s="16">
        <f>SUM(Forecast!DR11:DR12)</f>
        <v>20128562.657245245</v>
      </c>
      <c r="DS11" s="16">
        <f>SUM(Forecast!DS11:DS12)</f>
        <v>4714862.7425593585</v>
      </c>
      <c r="DT11" s="16">
        <f>SUM(Forecast!DT11:DT12)</f>
        <v>9958787.228683807</v>
      </c>
      <c r="DU11" s="16">
        <f>SUM(Forecast!DU11:DU12)</f>
        <v>19455959.306380775</v>
      </c>
      <c r="DV11" s="16">
        <f>SUM(Forecast!DV11:DV12)</f>
        <v>8393137.9530245494</v>
      </c>
      <c r="DW11" s="16">
        <f>SUM(Forecast!DW11:DW12)</f>
        <v>15742371.771156644</v>
      </c>
      <c r="DX11" s="16">
        <f>SUM(Forecast!DX11:DX12)</f>
        <v>22175267.765198678</v>
      </c>
      <c r="DY11" s="16">
        <f>SUM(Forecast!DY11:DY12)</f>
        <v>7340563.2064752858</v>
      </c>
      <c r="DZ11" s="16">
        <f>SUM(Forecast!DZ11:DZ12)</f>
        <v>13088951.205218364</v>
      </c>
      <c r="EA11" s="16">
        <f>SUM(Forecast!EA11:EA12)</f>
        <v>23013489.484751232</v>
      </c>
      <c r="EB11" s="16">
        <f>SUM(Forecast!EB11:EB12)</f>
        <v>8796616.2951957546</v>
      </c>
      <c r="EC11" s="16">
        <f>SUM(Forecast!EC11:EC12)</f>
        <v>25274202.188349932</v>
      </c>
      <c r="ED11" s="16">
        <f>SUM(Forecast!ED11:ED12)</f>
        <v>29186415.853005603</v>
      </c>
      <c r="EE11" s="16">
        <f>SUM(Forecast!EE11:EE12)</f>
        <v>6718679.4081470855</v>
      </c>
      <c r="EF11" s="16">
        <f>SUM(Forecast!EF11:EF12)</f>
        <v>14191271.800874427</v>
      </c>
      <c r="EG11" s="16">
        <f>SUM(Forecast!EG11:EG12)</f>
        <v>27724742.011592608</v>
      </c>
      <c r="EH11" s="16">
        <f>SUM(Forecast!EH11:EH12)</f>
        <v>11960221.583059981</v>
      </c>
      <c r="EI11" s="16">
        <f>SUM(Forecast!EI11:EI12)</f>
        <v>22432879.773898218</v>
      </c>
      <c r="EJ11" s="16">
        <f>SUM(Forecast!EJ11:EJ12)</f>
        <v>31599756.565408118</v>
      </c>
      <c r="EK11" s="16">
        <f>SUM(Forecast!EK11:EK12)</f>
        <v>10460302.569227282</v>
      </c>
      <c r="EL11" s="16">
        <f>SUM(Forecast!EL11:EL12)</f>
        <v>18651755.467436172</v>
      </c>
      <c r="EM11" s="16">
        <f>SUM(Forecast!EM11:EM12)</f>
        <v>32794222.515770506</v>
      </c>
      <c r="EN11" s="16">
        <f>SUM(Forecast!EN11:EN12)</f>
        <v>12535178.220653949</v>
      </c>
      <c r="EO11" s="16">
        <f>SUM(Forecast!EO11:EO12)</f>
        <v>36015738.118398651</v>
      </c>
      <c r="EP11" s="16">
        <f>SUM(Forecast!EP11:EP12)</f>
        <v>41590642.590532988</v>
      </c>
      <c r="EQ11" s="16">
        <f>SUM(Forecast!EQ11:EQ12)</f>
        <v>9406151.1714059189</v>
      </c>
      <c r="ER11" s="16">
        <f>SUM(Forecast!ER11:ER12)</f>
        <v>19867780.521224193</v>
      </c>
      <c r="ES11" s="16">
        <f>SUM(Forecast!ES11:ES12)</f>
        <v>38814638.816229649</v>
      </c>
      <c r="ET11" s="16">
        <f>SUM(Forecast!ET11:ET12)</f>
        <v>16744310.216283973</v>
      </c>
      <c r="EU11" s="16">
        <f>SUM(Forecast!EU11:EU12)</f>
        <v>31406031.683457505</v>
      </c>
      <c r="EV11" s="16">
        <f>SUM(Forecast!EV11:EV12)</f>
        <v>44239659.191571355</v>
      </c>
      <c r="EW11" s="16">
        <f>SUM(Forecast!EW11:EW12)</f>
        <v>14644423.596918197</v>
      </c>
      <c r="EX11" s="16">
        <f>SUM(Forecast!EX11:EX12)</f>
        <v>26112457.654410638</v>
      </c>
      <c r="EY11" s="16">
        <f>SUM(Forecast!EY11:EY12)</f>
        <v>45911911.522078708</v>
      </c>
      <c r="EZ11" s="16">
        <f>SUM(Forecast!EZ11:EZ12)</f>
        <v>17549249.508915529</v>
      </c>
      <c r="FA11" s="16">
        <f>SUM(Forecast!FA11:FA12)</f>
        <v>50422033.365758114</v>
      </c>
      <c r="FB11" s="16">
        <f>SUM(Forecast!FB11:FB12)</f>
        <v>58226899.626746185</v>
      </c>
    </row>
    <row r="13" spans="3:158" x14ac:dyDescent="0.25">
      <c r="D13" s="16"/>
      <c r="E13" s="16"/>
      <c r="F13" s="16"/>
      <c r="G13" s="16"/>
      <c r="H13" s="16"/>
      <c r="I13" s="55"/>
      <c r="J13" s="55"/>
      <c r="K13" s="55"/>
      <c r="L13" s="55"/>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c r="EZ13" s="16"/>
      <c r="FA13" s="16"/>
      <c r="FB13" s="16"/>
    </row>
    <row r="14" spans="3:158" x14ac:dyDescent="0.25">
      <c r="C14" s="3" t="s">
        <v>60</v>
      </c>
      <c r="D14" s="4"/>
      <c r="E14" s="4"/>
      <c r="F14" s="4"/>
      <c r="G14" s="4"/>
      <c r="H14" s="4"/>
      <c r="I14" s="4"/>
      <c r="J14" s="4"/>
      <c r="K14" s="4"/>
      <c r="L14" s="4"/>
      <c r="M14" s="3"/>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3"/>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c r="EC14" s="4"/>
      <c r="ED14" s="4"/>
      <c r="EE14" s="4"/>
      <c r="EF14" s="4"/>
      <c r="EG14" s="4"/>
      <c r="EH14" s="4"/>
      <c r="EI14" s="4"/>
      <c r="EJ14" s="4"/>
      <c r="EK14" s="4"/>
      <c r="EL14" s="4"/>
      <c r="EM14" s="4"/>
      <c r="EN14" s="4"/>
      <c r="EO14" s="4"/>
      <c r="EP14" s="4"/>
      <c r="EQ14" s="4"/>
      <c r="ER14" s="4"/>
      <c r="ES14" s="4"/>
      <c r="ET14" s="4"/>
      <c r="EU14" s="4"/>
      <c r="EV14" s="4"/>
      <c r="EW14" s="4"/>
      <c r="EX14" s="4"/>
      <c r="EY14" s="4"/>
      <c r="EZ14" s="4"/>
      <c r="FA14" s="4"/>
      <c r="FB14" s="4"/>
    </row>
    <row r="15" spans="3:158" x14ac:dyDescent="0.25">
      <c r="D15" s="16"/>
      <c r="E15" s="16"/>
      <c r="F15" s="16"/>
      <c r="G15" s="16"/>
      <c r="H15" s="16"/>
      <c r="I15" s="55"/>
      <c r="J15" s="55"/>
      <c r="K15" s="55"/>
      <c r="L15" s="55"/>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Y15" s="16"/>
      <c r="AZ15" s="16"/>
      <c r="BA15" s="16"/>
      <c r="BB15" s="16"/>
      <c r="BC15" s="16"/>
      <c r="BD15" s="16"/>
      <c r="BE15" s="16"/>
      <c r="BF15" s="16"/>
      <c r="BG15" s="16"/>
      <c r="BH15" s="16"/>
      <c r="BI15" s="16"/>
      <c r="BJ15" s="16"/>
      <c r="BK15" s="16"/>
      <c r="BL15" s="16"/>
      <c r="BM15" s="16"/>
      <c r="BN15" s="16"/>
      <c r="BO15" s="16"/>
      <c r="BP15" s="16"/>
      <c r="BQ15" s="16"/>
      <c r="BR15" s="16"/>
      <c r="BS15" s="16"/>
      <c r="BT15" s="16"/>
      <c r="BU15" s="16"/>
      <c r="BV15" s="16"/>
      <c r="BW15" s="16"/>
      <c r="BX15" s="16"/>
      <c r="BY15" s="16"/>
      <c r="BZ15" s="16"/>
      <c r="CA15" s="16"/>
      <c r="CB15" s="16"/>
      <c r="CC15" s="16"/>
      <c r="CD15" s="16"/>
      <c r="CE15" s="16"/>
      <c r="CF15" s="16"/>
      <c r="CG15" s="16"/>
      <c r="CH15" s="16"/>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6"/>
      <c r="DG15" s="16"/>
      <c r="DH15" s="16"/>
      <c r="DI15" s="16"/>
      <c r="DJ15" s="16"/>
      <c r="DK15" s="16"/>
      <c r="DL15" s="16"/>
      <c r="DM15" s="16"/>
      <c r="DN15" s="16"/>
      <c r="DO15" s="16"/>
      <c r="DP15" s="16"/>
      <c r="DQ15" s="16"/>
      <c r="DR15" s="16"/>
      <c r="DS15" s="16"/>
      <c r="DT15" s="16"/>
      <c r="DU15" s="16"/>
      <c r="DV15" s="16"/>
      <c r="DW15" s="16"/>
      <c r="DX15" s="16"/>
      <c r="DY15" s="16"/>
      <c r="DZ15" s="16"/>
      <c r="EA15" s="16"/>
      <c r="EB15" s="16"/>
      <c r="EC15" s="16"/>
      <c r="ED15" s="16"/>
      <c r="EE15" s="16"/>
      <c r="EF15" s="16"/>
      <c r="EG15" s="16"/>
      <c r="EH15" s="16"/>
      <c r="EI15" s="16"/>
      <c r="EJ15" s="16"/>
      <c r="EK15" s="16"/>
      <c r="EL15" s="16"/>
      <c r="EM15" s="16"/>
      <c r="EN15" s="16"/>
      <c r="EO15" s="16"/>
      <c r="EP15" s="16"/>
      <c r="EQ15" s="16"/>
      <c r="ER15" s="16"/>
      <c r="ES15" s="16"/>
      <c r="ET15" s="16"/>
      <c r="EU15" s="16"/>
      <c r="EV15" s="16"/>
      <c r="EW15" s="16"/>
      <c r="EX15" s="16"/>
      <c r="EY15" s="16"/>
      <c r="EZ15" s="16"/>
      <c r="FA15" s="16"/>
      <c r="FB15" s="16"/>
    </row>
    <row r="16" spans="3:158" x14ac:dyDescent="0.25">
      <c r="C16" t="s">
        <v>4</v>
      </c>
      <c r="D16" s="16">
        <f>D41</f>
        <v>7199227.5299999993</v>
      </c>
      <c r="E16" s="16">
        <f t="shared" ref="E16:L16" si="0">E41</f>
        <v>15574148.279999999</v>
      </c>
      <c r="F16" s="16">
        <f t="shared" si="0"/>
        <v>22066794.163999997</v>
      </c>
      <c r="G16" s="16">
        <f t="shared" si="0"/>
        <v>32317451.906568326</v>
      </c>
      <c r="H16" s="16">
        <f t="shared" si="0"/>
        <v>41022301.372007795</v>
      </c>
      <c r="I16" s="16">
        <f t="shared" si="0"/>
        <v>60225697.59751948</v>
      </c>
      <c r="J16" s="16">
        <f t="shared" si="0"/>
        <v>86325724.795119628</v>
      </c>
      <c r="K16" s="16">
        <f t="shared" si="0"/>
        <v>121515681.42430785</v>
      </c>
      <c r="L16" s="16">
        <f t="shared" si="0"/>
        <v>166693515.65262061</v>
      </c>
      <c r="N16" s="16">
        <f t="shared" ref="N16:AW16" si="1">N41</f>
        <v>1180571.48</v>
      </c>
      <c r="O16" s="16">
        <f t="shared" si="1"/>
        <v>1511098.9</v>
      </c>
      <c r="P16" s="16">
        <f t="shared" si="1"/>
        <v>2186340.4</v>
      </c>
      <c r="Q16" s="16">
        <f t="shared" si="1"/>
        <v>2321216.75</v>
      </c>
      <c r="R16" s="16">
        <f t="shared" si="1"/>
        <v>2802222.1</v>
      </c>
      <c r="S16" s="16">
        <f t="shared" si="1"/>
        <v>3468795.6799999997</v>
      </c>
      <c r="T16" s="16">
        <f t="shared" si="1"/>
        <v>4631892.1099999994</v>
      </c>
      <c r="U16" s="16">
        <f t="shared" si="1"/>
        <v>4671238.3900000006</v>
      </c>
      <c r="V16" s="16">
        <f t="shared" si="1"/>
        <v>5360841.4000000004</v>
      </c>
      <c r="W16" s="16">
        <f t="shared" si="1"/>
        <v>5149615.3059999999</v>
      </c>
      <c r="X16" s="16">
        <f t="shared" si="1"/>
        <v>5794625.8040000005</v>
      </c>
      <c r="Y16" s="16">
        <f t="shared" si="1"/>
        <v>5761711.6540000001</v>
      </c>
      <c r="Z16" s="16">
        <f t="shared" si="1"/>
        <v>7124170.6100000003</v>
      </c>
      <c r="AA16" s="16">
        <f t="shared" si="1"/>
        <v>7652398.3069790276</v>
      </c>
      <c r="AB16" s="16">
        <f t="shared" si="1"/>
        <v>8546847.4116935022</v>
      </c>
      <c r="AC16" s="16">
        <f t="shared" si="1"/>
        <v>8994035.5778957941</v>
      </c>
      <c r="AD16" s="16">
        <f t="shared" si="1"/>
        <v>8749068.9175087456</v>
      </c>
      <c r="AE16" s="16">
        <f t="shared" si="1"/>
        <v>9663141.2178335767</v>
      </c>
      <c r="AF16" s="16">
        <f t="shared" si="1"/>
        <v>10657235.88023586</v>
      </c>
      <c r="AG16" s="16">
        <f t="shared" si="1"/>
        <v>11952855.356429614</v>
      </c>
      <c r="AH16" s="16">
        <f t="shared" si="1"/>
        <v>12906585.757186662</v>
      </c>
      <c r="AI16" s="16">
        <f t="shared" si="1"/>
        <v>14247304.448640261</v>
      </c>
      <c r="AJ16" s="16">
        <f t="shared" si="1"/>
        <v>15670293.757887475</v>
      </c>
      <c r="AK16" s="16">
        <f t="shared" si="1"/>
        <v>17401513.633805089</v>
      </c>
      <c r="AL16" s="16">
        <f t="shared" si="1"/>
        <v>18632183.938127588</v>
      </c>
      <c r="AM16" s="16">
        <f t="shared" si="1"/>
        <v>20470423.304136075</v>
      </c>
      <c r="AN16" s="16">
        <f t="shared" si="1"/>
        <v>22424394.040158886</v>
      </c>
      <c r="AO16" s="16">
        <f t="shared" si="1"/>
        <v>24798723.512697071</v>
      </c>
      <c r="AP16" s="16">
        <f t="shared" si="1"/>
        <v>26415481.329665173</v>
      </c>
      <c r="AQ16" s="16">
        <f t="shared" si="1"/>
        <v>28884302.593047205</v>
      </c>
      <c r="AR16" s="16">
        <f t="shared" si="1"/>
        <v>31512964.865249787</v>
      </c>
      <c r="AS16" s="16">
        <f t="shared" si="1"/>
        <v>34702932.636345677</v>
      </c>
      <c r="AT16" s="16">
        <f t="shared" si="1"/>
        <v>36684605.02423232</v>
      </c>
      <c r="AU16" s="16">
        <f t="shared" si="1"/>
        <v>39791923.493965782</v>
      </c>
      <c r="AV16" s="16">
        <f t="shared" si="1"/>
        <v>43099397.044165775</v>
      </c>
      <c r="AW16" s="16">
        <f t="shared" si="1"/>
        <v>47117590.090256721</v>
      </c>
      <c r="AY16" s="16">
        <f t="shared" ref="AY16:DJ16" si="2">AY41</f>
        <v>382304.89</v>
      </c>
      <c r="AZ16" s="16">
        <f t="shared" si="2"/>
        <v>393742.84</v>
      </c>
      <c r="BA16" s="16">
        <f t="shared" si="2"/>
        <v>404523.75</v>
      </c>
      <c r="BB16" s="16">
        <f t="shared" si="2"/>
        <v>447141.29999999993</v>
      </c>
      <c r="BC16" s="16">
        <f t="shared" si="2"/>
        <v>542963.23</v>
      </c>
      <c r="BD16" s="16">
        <f t="shared" si="2"/>
        <v>520994.37</v>
      </c>
      <c r="BE16" s="16">
        <f t="shared" si="2"/>
        <v>655068.74</v>
      </c>
      <c r="BF16" s="16">
        <f t="shared" si="2"/>
        <v>748231.26</v>
      </c>
      <c r="BG16" s="16">
        <f t="shared" si="2"/>
        <v>783040.39999999991</v>
      </c>
      <c r="BH16" s="16">
        <f t="shared" si="2"/>
        <v>765083.02</v>
      </c>
      <c r="BI16" s="16">
        <f t="shared" si="2"/>
        <v>713986.41999999993</v>
      </c>
      <c r="BJ16" s="16">
        <f t="shared" si="2"/>
        <v>842147.31</v>
      </c>
      <c r="BK16" s="16">
        <f t="shared" si="2"/>
        <v>809163.06</v>
      </c>
      <c r="BL16" s="16">
        <f t="shared" si="2"/>
        <v>928864.85999999987</v>
      </c>
      <c r="BM16" s="16">
        <f t="shared" si="2"/>
        <v>1064194.1800000002</v>
      </c>
      <c r="BN16" s="16">
        <f t="shared" si="2"/>
        <v>1067050.55</v>
      </c>
      <c r="BO16" s="16">
        <f t="shared" si="2"/>
        <v>1164477.6200000001</v>
      </c>
      <c r="BP16" s="16">
        <f t="shared" si="2"/>
        <v>1237267.51</v>
      </c>
      <c r="BQ16" s="16">
        <f t="shared" si="2"/>
        <v>1404176.4</v>
      </c>
      <c r="BR16" s="16">
        <f t="shared" si="2"/>
        <v>1466811.63</v>
      </c>
      <c r="BS16" s="16">
        <f t="shared" si="2"/>
        <v>1760904.08</v>
      </c>
      <c r="BT16" s="16">
        <f t="shared" si="2"/>
        <v>1469949.23</v>
      </c>
      <c r="BU16" s="16">
        <f t="shared" si="2"/>
        <v>1501241.8499999999</v>
      </c>
      <c r="BV16" s="16">
        <f t="shared" si="2"/>
        <v>1700047.31</v>
      </c>
      <c r="BW16" s="16">
        <f t="shared" si="2"/>
        <v>1496591.2000000002</v>
      </c>
      <c r="BX16" s="16">
        <f t="shared" si="2"/>
        <v>1635874.8599999999</v>
      </c>
      <c r="BY16" s="16">
        <f t="shared" si="2"/>
        <v>2228375.34</v>
      </c>
      <c r="BZ16" s="16">
        <f t="shared" si="2"/>
        <v>1841103.52</v>
      </c>
      <c r="CA16" s="16">
        <f t="shared" si="2"/>
        <v>1554036.46</v>
      </c>
      <c r="CB16" s="16">
        <f t="shared" si="2"/>
        <v>1754475.3260000001</v>
      </c>
      <c r="CC16" s="16">
        <f t="shared" si="2"/>
        <v>1823877.0700000003</v>
      </c>
      <c r="CD16" s="16">
        <f t="shared" si="2"/>
        <v>1904495.0099999998</v>
      </c>
      <c r="CE16" s="16">
        <f t="shared" si="2"/>
        <v>2066253.7240000002</v>
      </c>
      <c r="CF16" s="16">
        <f t="shared" si="2"/>
        <v>1834294.57</v>
      </c>
      <c r="CG16" s="16">
        <f t="shared" si="2"/>
        <v>1639402.2</v>
      </c>
      <c r="CH16" s="16">
        <f t="shared" si="2"/>
        <v>2288014.8840000001</v>
      </c>
      <c r="CI16" s="16">
        <f t="shared" si="2"/>
        <v>2101704.2999999998</v>
      </c>
      <c r="CJ16" s="16">
        <f t="shared" si="2"/>
        <v>2435711.7799999998</v>
      </c>
      <c r="CK16" s="16">
        <f t="shared" si="2"/>
        <v>2586754.5300000003</v>
      </c>
      <c r="CL16" s="16">
        <f t="shared" si="2"/>
        <v>2403657.9500000002</v>
      </c>
      <c r="CM16" s="16">
        <f t="shared" si="2"/>
        <v>2642766.4631761736</v>
      </c>
      <c r="CN16" s="16">
        <f t="shared" si="2"/>
        <v>2605973.8938028542</v>
      </c>
      <c r="CO16" s="16">
        <f t="shared" si="2"/>
        <v>2794102.5774540864</v>
      </c>
      <c r="CP16" s="16">
        <f t="shared" si="2"/>
        <v>2854207.7654557074</v>
      </c>
      <c r="CQ16" s="16">
        <f t="shared" si="2"/>
        <v>2898537.0687837088</v>
      </c>
      <c r="CR16" s="16">
        <f t="shared" si="2"/>
        <v>2917766.7937582615</v>
      </c>
      <c r="CS16" s="16">
        <f t="shared" si="2"/>
        <v>3006512.0047775814</v>
      </c>
      <c r="CT16" s="16">
        <f t="shared" si="2"/>
        <v>3069756.7793599507</v>
      </c>
      <c r="CU16" s="16">
        <f t="shared" si="2"/>
        <v>2831163.8632040587</v>
      </c>
      <c r="CV16" s="16">
        <f t="shared" si="2"/>
        <v>2892676.8510311134</v>
      </c>
      <c r="CW16" s="16">
        <f t="shared" si="2"/>
        <v>3025228.2032735739</v>
      </c>
      <c r="CX16" s="16">
        <f t="shared" si="2"/>
        <v>3097791.2413274106</v>
      </c>
      <c r="CY16" s="16">
        <f t="shared" si="2"/>
        <v>3203043.9625444063</v>
      </c>
      <c r="CZ16" s="16">
        <f t="shared" si="2"/>
        <v>3362306.0139617608</v>
      </c>
      <c r="DA16" s="16">
        <f t="shared" si="2"/>
        <v>3436191.4365809159</v>
      </c>
      <c r="DB16" s="16">
        <f t="shared" si="2"/>
        <v>3526256.3392998064</v>
      </c>
      <c r="DC16" s="16">
        <f t="shared" si="2"/>
        <v>3694788.1043551378</v>
      </c>
      <c r="DD16" s="16">
        <f t="shared" si="2"/>
        <v>3790161.6288261199</v>
      </c>
      <c r="DE16" s="16">
        <f t="shared" si="2"/>
        <v>3964582.3658941044</v>
      </c>
      <c r="DF16" s="16">
        <f t="shared" si="2"/>
        <v>4198111.3617093908</v>
      </c>
      <c r="DG16" s="16">
        <f t="shared" si="2"/>
        <v>4179937.6444969755</v>
      </c>
      <c r="DH16" s="16">
        <f t="shared" si="2"/>
        <v>4269298.9783978052</v>
      </c>
      <c r="DI16" s="16">
        <f t="shared" si="2"/>
        <v>4457349.1342918808</v>
      </c>
      <c r="DJ16" s="16">
        <f t="shared" si="2"/>
        <v>4568076.6325686779</v>
      </c>
      <c r="DK16" s="16">
        <f t="shared" ref="DK16:FB16" si="3">DK41</f>
        <v>4723883.3757172208</v>
      </c>
      <c r="DL16" s="16">
        <f t="shared" si="3"/>
        <v>4955344.4403543621</v>
      </c>
      <c r="DM16" s="16">
        <f t="shared" si="3"/>
        <v>5062033.97286902</v>
      </c>
      <c r="DN16" s="16">
        <f t="shared" si="3"/>
        <v>5186896.5275637964</v>
      </c>
      <c r="DO16" s="16">
        <f t="shared" si="3"/>
        <v>5421363.2574546589</v>
      </c>
      <c r="DP16" s="16">
        <f t="shared" si="3"/>
        <v>5545220.2036134452</v>
      </c>
      <c r="DQ16" s="16">
        <f t="shared" si="3"/>
        <v>5772327.3087670319</v>
      </c>
      <c r="DR16" s="16">
        <f t="shared" si="3"/>
        <v>6083966.1214246098</v>
      </c>
      <c r="DS16" s="16">
        <f t="shared" si="3"/>
        <v>6044344.9408820635</v>
      </c>
      <c r="DT16" s="16">
        <f t="shared" si="3"/>
        <v>6165546.2780158781</v>
      </c>
      <c r="DU16" s="16">
        <f t="shared" si="3"/>
        <v>6422292.7192296451</v>
      </c>
      <c r="DV16" s="16">
        <f t="shared" si="3"/>
        <v>6576183.2675354593</v>
      </c>
      <c r="DW16" s="16">
        <f t="shared" si="3"/>
        <v>6788498.363625343</v>
      </c>
      <c r="DX16" s="16">
        <f t="shared" si="3"/>
        <v>7105741.6729752738</v>
      </c>
      <c r="DY16" s="16">
        <f t="shared" si="3"/>
        <v>7254760.8219907582</v>
      </c>
      <c r="DZ16" s="16">
        <f t="shared" si="3"/>
        <v>7424588.1124208327</v>
      </c>
      <c r="EA16" s="16">
        <f t="shared" si="3"/>
        <v>7745045.1057472955</v>
      </c>
      <c r="EB16" s="16">
        <f t="shared" si="3"/>
        <v>7917626.3600936159</v>
      </c>
      <c r="EC16" s="16">
        <f t="shared" si="3"/>
        <v>8226638.5489256643</v>
      </c>
      <c r="ED16" s="16">
        <f t="shared" si="3"/>
        <v>8654458.6036777925</v>
      </c>
      <c r="EE16" s="16">
        <f t="shared" si="3"/>
        <v>8583582.8293006402</v>
      </c>
      <c r="EF16" s="16">
        <f t="shared" si="3"/>
        <v>8744350.3109783195</v>
      </c>
      <c r="EG16" s="16">
        <f t="shared" si="3"/>
        <v>9087548.1893862151</v>
      </c>
      <c r="EH16" s="16">
        <f t="shared" si="3"/>
        <v>9297357.6032694392</v>
      </c>
      <c r="EI16" s="16">
        <f t="shared" si="3"/>
        <v>9580513.8111263961</v>
      </c>
      <c r="EJ16" s="16">
        <f t="shared" si="3"/>
        <v>10006431.17865137</v>
      </c>
      <c r="EK16" s="16">
        <f t="shared" si="3"/>
        <v>10210701.848419871</v>
      </c>
      <c r="EL16" s="16">
        <f t="shared" si="3"/>
        <v>10436705.660192475</v>
      </c>
      <c r="EM16" s="16">
        <f t="shared" si="3"/>
        <v>10865557.356637441</v>
      </c>
      <c r="EN16" s="16">
        <f t="shared" si="3"/>
        <v>11101503.533444384</v>
      </c>
      <c r="EO16" s="16">
        <f t="shared" si="3"/>
        <v>11512994.540598121</v>
      </c>
      <c r="EP16" s="16">
        <f t="shared" si="3"/>
        <v>12088434.562303171</v>
      </c>
      <c r="EQ16" s="16">
        <f t="shared" si="3"/>
        <v>11953941.04944649</v>
      </c>
      <c r="ER16" s="16">
        <f t="shared" si="3"/>
        <v>12148359.906109612</v>
      </c>
      <c r="ES16" s="16">
        <f t="shared" si="3"/>
        <v>12582304.068676218</v>
      </c>
      <c r="ET16" s="16">
        <f t="shared" si="3"/>
        <v>12847460.808180312</v>
      </c>
      <c r="EU16" s="16">
        <f t="shared" si="3"/>
        <v>13201106.672472423</v>
      </c>
      <c r="EV16" s="16">
        <f t="shared" si="3"/>
        <v>13743356.013313049</v>
      </c>
      <c r="EW16" s="16">
        <f t="shared" si="3"/>
        <v>14000827.802808926</v>
      </c>
      <c r="EX16" s="16">
        <f t="shared" si="3"/>
        <v>14278189.423535254</v>
      </c>
      <c r="EY16" s="16">
        <f t="shared" si="3"/>
        <v>14820379.817821592</v>
      </c>
      <c r="EZ16" s="16">
        <f t="shared" si="3"/>
        <v>15117508.156217135</v>
      </c>
      <c r="FA16" s="16">
        <f t="shared" si="3"/>
        <v>15633302.966259718</v>
      </c>
      <c r="FB16" s="16">
        <f t="shared" si="3"/>
        <v>16366778.967779864</v>
      </c>
    </row>
    <row r="17" spans="2:158" x14ac:dyDescent="0.25">
      <c r="C17" t="s">
        <v>5</v>
      </c>
      <c r="D17" s="16">
        <f>D28</f>
        <v>952192.13000000012</v>
      </c>
      <c r="E17" s="16">
        <f t="shared" ref="E17:L17" si="4">E28</f>
        <v>2392031.35</v>
      </c>
      <c r="F17" s="16">
        <f t="shared" si="4"/>
        <v>2554243.31</v>
      </c>
      <c r="G17" s="16">
        <f t="shared" si="4"/>
        <v>4928051.0796406185</v>
      </c>
      <c r="H17" s="16">
        <f t="shared" si="4"/>
        <v>9450000</v>
      </c>
      <c r="I17" s="16">
        <f t="shared" si="4"/>
        <v>13938750.000000004</v>
      </c>
      <c r="J17" s="16">
        <f t="shared" si="4"/>
        <v>20211187.500000004</v>
      </c>
      <c r="K17" s="16">
        <f t="shared" si="4"/>
        <v>28800942.1875</v>
      </c>
      <c r="L17" s="16">
        <f t="shared" si="4"/>
        <v>36289187.156250015</v>
      </c>
      <c r="N17" s="16">
        <f t="shared" ref="N17:AW17" si="5">N28</f>
        <v>158823.1</v>
      </c>
      <c r="O17" s="16">
        <f t="shared" si="5"/>
        <v>166559.29</v>
      </c>
      <c r="P17" s="16">
        <f t="shared" si="5"/>
        <v>243576.93000000002</v>
      </c>
      <c r="Q17" s="16">
        <f t="shared" si="5"/>
        <v>383232.81</v>
      </c>
      <c r="R17" s="16">
        <f t="shared" si="5"/>
        <v>502792.44999999995</v>
      </c>
      <c r="S17" s="16">
        <f t="shared" si="5"/>
        <v>591254.05000000005</v>
      </c>
      <c r="T17" s="16">
        <f t="shared" si="5"/>
        <v>659489.53</v>
      </c>
      <c r="U17" s="16">
        <f t="shared" si="5"/>
        <v>638495.32000000007</v>
      </c>
      <c r="V17" s="16">
        <f t="shared" si="5"/>
        <v>713782.15999999992</v>
      </c>
      <c r="W17" s="16">
        <f t="shared" si="5"/>
        <v>699208.99</v>
      </c>
      <c r="X17" s="16">
        <f t="shared" si="5"/>
        <v>571825.48</v>
      </c>
      <c r="Y17" s="16">
        <f t="shared" si="5"/>
        <v>569426.67999999993</v>
      </c>
      <c r="Z17" s="16">
        <f t="shared" si="5"/>
        <v>617223.60999999987</v>
      </c>
      <c r="AA17" s="16">
        <f t="shared" si="5"/>
        <v>995324.05708206259</v>
      </c>
      <c r="AB17" s="16">
        <f t="shared" si="5"/>
        <v>1388738.1916152411</v>
      </c>
      <c r="AC17" s="16">
        <f t="shared" si="5"/>
        <v>1926765.220943315</v>
      </c>
      <c r="AD17" s="16">
        <f t="shared" si="5"/>
        <v>2179458.2874072623</v>
      </c>
      <c r="AE17" s="16">
        <f t="shared" si="5"/>
        <v>2316739.5718518151</v>
      </c>
      <c r="AF17" s="16">
        <f t="shared" si="5"/>
        <v>2408260.4281481844</v>
      </c>
      <c r="AG17" s="16">
        <f t="shared" si="5"/>
        <v>2545541.7125927377</v>
      </c>
      <c r="AH17" s="16">
        <f t="shared" si="5"/>
        <v>2975473.9985186458</v>
      </c>
      <c r="AI17" s="16">
        <f t="shared" si="5"/>
        <v>3357384.1246296624</v>
      </c>
      <c r="AJ17" s="16">
        <f t="shared" si="5"/>
        <v>3611990.8753703395</v>
      </c>
      <c r="AK17" s="16">
        <f t="shared" si="5"/>
        <v>3993901.0014813561</v>
      </c>
      <c r="AL17" s="16">
        <f t="shared" si="5"/>
        <v>4569108.6887961859</v>
      </c>
      <c r="AM17" s="16">
        <f t="shared" si="5"/>
        <v>4931874.8284490462</v>
      </c>
      <c r="AN17" s="16">
        <f t="shared" si="5"/>
        <v>5173718.9215509556</v>
      </c>
      <c r="AO17" s="16">
        <f t="shared" si="5"/>
        <v>5536485.061203815</v>
      </c>
      <c r="AP17" s="16">
        <f t="shared" si="5"/>
        <v>6360263.4910533391</v>
      </c>
      <c r="AQ17" s="16">
        <f t="shared" si="5"/>
        <v>6990242.5329195848</v>
      </c>
      <c r="AR17" s="16">
        <f t="shared" si="5"/>
        <v>7410228.5608304152</v>
      </c>
      <c r="AS17" s="16">
        <f t="shared" si="5"/>
        <v>8040207.6026966628</v>
      </c>
      <c r="AT17" s="16">
        <f t="shared" si="5"/>
        <v>8799239.3613439556</v>
      </c>
      <c r="AU17" s="16">
        <f t="shared" si="5"/>
        <v>9004032.4321328644</v>
      </c>
      <c r="AV17" s="16">
        <f t="shared" si="5"/>
        <v>9140561.1459921431</v>
      </c>
      <c r="AW17" s="16">
        <f t="shared" si="5"/>
        <v>9345354.2167810556</v>
      </c>
      <c r="AY17" s="16">
        <f t="shared" ref="AY17:DJ17" si="6">AY28</f>
        <v>50730.32</v>
      </c>
      <c r="AZ17" s="16">
        <f t="shared" si="6"/>
        <v>62551.22</v>
      </c>
      <c r="BA17" s="16">
        <f t="shared" si="6"/>
        <v>45541.56</v>
      </c>
      <c r="BB17" s="16">
        <f t="shared" si="6"/>
        <v>51680.179999999993</v>
      </c>
      <c r="BC17" s="16">
        <f t="shared" si="6"/>
        <v>57718.850000000006</v>
      </c>
      <c r="BD17" s="16">
        <f t="shared" si="6"/>
        <v>57160.26</v>
      </c>
      <c r="BE17" s="16">
        <f t="shared" si="6"/>
        <v>58279.35</v>
      </c>
      <c r="BF17" s="16">
        <f t="shared" si="6"/>
        <v>80514.090000000026</v>
      </c>
      <c r="BG17" s="16">
        <f t="shared" si="6"/>
        <v>104783.48999999999</v>
      </c>
      <c r="BH17" s="16">
        <f t="shared" si="6"/>
        <v>102804.95999999999</v>
      </c>
      <c r="BI17" s="16">
        <f t="shared" si="6"/>
        <v>129697.28</v>
      </c>
      <c r="BJ17" s="16">
        <f t="shared" si="6"/>
        <v>150730.57</v>
      </c>
      <c r="BK17" s="16">
        <f t="shared" si="6"/>
        <v>158099.10999999999</v>
      </c>
      <c r="BL17" s="16">
        <f t="shared" si="6"/>
        <v>158071.94999999998</v>
      </c>
      <c r="BM17" s="16">
        <f t="shared" si="6"/>
        <v>186621.39</v>
      </c>
      <c r="BN17" s="16">
        <f t="shared" si="6"/>
        <v>171924.2</v>
      </c>
      <c r="BO17" s="16">
        <f t="shared" si="6"/>
        <v>196985.69</v>
      </c>
      <c r="BP17" s="16">
        <f t="shared" si="6"/>
        <v>222344.16</v>
      </c>
      <c r="BQ17" s="16">
        <f t="shared" si="6"/>
        <v>203358.72</v>
      </c>
      <c r="BR17" s="16">
        <f t="shared" si="6"/>
        <v>227587.74999999997</v>
      </c>
      <c r="BS17" s="16">
        <f t="shared" si="6"/>
        <v>228543.06</v>
      </c>
      <c r="BT17" s="16">
        <f t="shared" si="6"/>
        <v>198939.88</v>
      </c>
      <c r="BU17" s="16">
        <f t="shared" si="6"/>
        <v>214740.26</v>
      </c>
      <c r="BV17" s="16">
        <f t="shared" si="6"/>
        <v>224815.18000000002</v>
      </c>
      <c r="BW17" s="16">
        <f t="shared" si="6"/>
        <v>274982.59999999998</v>
      </c>
      <c r="BX17" s="16">
        <f t="shared" si="6"/>
        <v>227922.77</v>
      </c>
      <c r="BY17" s="16">
        <f t="shared" si="6"/>
        <v>210876.78999999998</v>
      </c>
      <c r="BZ17" s="16">
        <f t="shared" si="6"/>
        <v>244538.66</v>
      </c>
      <c r="CA17" s="16">
        <f t="shared" si="6"/>
        <v>249975.96999999997</v>
      </c>
      <c r="CB17" s="16">
        <f t="shared" si="6"/>
        <v>204694.36</v>
      </c>
      <c r="CC17" s="16">
        <f t="shared" si="6"/>
        <v>187388.45</v>
      </c>
      <c r="CD17" s="16">
        <f t="shared" si="6"/>
        <v>186840.67</v>
      </c>
      <c r="CE17" s="16">
        <f t="shared" si="6"/>
        <v>197596.36000000002</v>
      </c>
      <c r="CF17" s="16">
        <f t="shared" si="6"/>
        <v>193429.44999999998</v>
      </c>
      <c r="CG17" s="16">
        <f t="shared" si="6"/>
        <v>174278.89</v>
      </c>
      <c r="CH17" s="16">
        <f t="shared" si="6"/>
        <v>201718.34</v>
      </c>
      <c r="CI17" s="16">
        <f t="shared" si="6"/>
        <v>178801.72</v>
      </c>
      <c r="CJ17" s="16">
        <f t="shared" si="6"/>
        <v>183838.84999999998</v>
      </c>
      <c r="CK17" s="16">
        <f t="shared" si="6"/>
        <v>254583.03999999998</v>
      </c>
      <c r="CL17" s="16">
        <f t="shared" si="6"/>
        <v>276395.36</v>
      </c>
      <c r="CM17" s="16">
        <f t="shared" si="6"/>
        <v>348088.06037259905</v>
      </c>
      <c r="CN17" s="16">
        <f t="shared" si="6"/>
        <v>370840.63670946361</v>
      </c>
      <c r="CO17" s="16">
        <f t="shared" si="6"/>
        <v>413063.28337646555</v>
      </c>
      <c r="CP17" s="16">
        <f t="shared" si="6"/>
        <v>473888.89658142399</v>
      </c>
      <c r="CQ17" s="16">
        <f t="shared" si="6"/>
        <v>501786.01165735169</v>
      </c>
      <c r="CR17" s="16">
        <f t="shared" si="6"/>
        <v>565262.29500994552</v>
      </c>
      <c r="CS17" s="16">
        <f t="shared" si="6"/>
        <v>660642.10486079217</v>
      </c>
      <c r="CT17" s="16">
        <f t="shared" si="6"/>
        <v>700860.82107257727</v>
      </c>
      <c r="CU17" s="16">
        <f t="shared" si="6"/>
        <v>711232.61975302594</v>
      </c>
      <c r="CV17" s="16">
        <f t="shared" si="6"/>
        <v>726486.09580242075</v>
      </c>
      <c r="CW17" s="16">
        <f t="shared" si="6"/>
        <v>741739.57185181545</v>
      </c>
      <c r="CX17" s="16">
        <f t="shared" si="6"/>
        <v>756993.04790121026</v>
      </c>
      <c r="CY17" s="16">
        <f t="shared" si="6"/>
        <v>772246.52395060507</v>
      </c>
      <c r="CZ17" s="16">
        <f t="shared" si="6"/>
        <v>787500</v>
      </c>
      <c r="DA17" s="16">
        <f t="shared" si="6"/>
        <v>787500</v>
      </c>
      <c r="DB17" s="16">
        <f t="shared" si="6"/>
        <v>802753.47604939493</v>
      </c>
      <c r="DC17" s="16">
        <f t="shared" si="6"/>
        <v>818006.95209878962</v>
      </c>
      <c r="DD17" s="16">
        <f t="shared" si="6"/>
        <v>833260.42814818444</v>
      </c>
      <c r="DE17" s="16">
        <f t="shared" si="6"/>
        <v>848513.90419757925</v>
      </c>
      <c r="DF17" s="16">
        <f t="shared" si="6"/>
        <v>863767.38024697395</v>
      </c>
      <c r="DG17" s="16">
        <f t="shared" si="6"/>
        <v>949390.20771610225</v>
      </c>
      <c r="DH17" s="16">
        <f t="shared" si="6"/>
        <v>991824.66617288196</v>
      </c>
      <c r="DI17" s="16">
        <f t="shared" si="6"/>
        <v>1034259.1246296614</v>
      </c>
      <c r="DJ17" s="16">
        <f t="shared" si="6"/>
        <v>1076693.583086441</v>
      </c>
      <c r="DK17" s="16">
        <f t="shared" ref="DK17:FB17" si="7">DK28</f>
        <v>1119128.0415432209</v>
      </c>
      <c r="DL17" s="16">
        <f t="shared" si="7"/>
        <v>1161562.5000000002</v>
      </c>
      <c r="DM17" s="16">
        <f t="shared" si="7"/>
        <v>1161562.5000000002</v>
      </c>
      <c r="DN17" s="16">
        <f t="shared" si="7"/>
        <v>1203996.9584567798</v>
      </c>
      <c r="DO17" s="16">
        <f t="shared" si="7"/>
        <v>1246431.4169135594</v>
      </c>
      <c r="DP17" s="16">
        <f t="shared" si="7"/>
        <v>1288865.8753703393</v>
      </c>
      <c r="DQ17" s="16">
        <f t="shared" si="7"/>
        <v>1331300.3338271186</v>
      </c>
      <c r="DR17" s="16">
        <f t="shared" si="7"/>
        <v>1373734.792283898</v>
      </c>
      <c r="DS17" s="16">
        <f t="shared" si="7"/>
        <v>1482728.8807484107</v>
      </c>
      <c r="DT17" s="16">
        <f t="shared" si="7"/>
        <v>1523036.2295987287</v>
      </c>
      <c r="DU17" s="16">
        <f t="shared" si="7"/>
        <v>1563343.5784490462</v>
      </c>
      <c r="DV17" s="16">
        <f t="shared" si="7"/>
        <v>1603650.9272993642</v>
      </c>
      <c r="DW17" s="16">
        <f t="shared" si="7"/>
        <v>1643958.2761496818</v>
      </c>
      <c r="DX17" s="16">
        <f t="shared" si="7"/>
        <v>1684265.6250000002</v>
      </c>
      <c r="DY17" s="16">
        <f t="shared" si="7"/>
        <v>1684265.6250000002</v>
      </c>
      <c r="DZ17" s="16">
        <f t="shared" si="7"/>
        <v>1724572.9738503189</v>
      </c>
      <c r="EA17" s="16">
        <f t="shared" si="7"/>
        <v>1764880.3227006365</v>
      </c>
      <c r="EB17" s="16">
        <f t="shared" si="7"/>
        <v>1805187.671550954</v>
      </c>
      <c r="EC17" s="16">
        <f t="shared" si="7"/>
        <v>1845495.020401272</v>
      </c>
      <c r="ED17" s="16">
        <f t="shared" si="7"/>
        <v>1885802.3692515895</v>
      </c>
      <c r="EE17" s="16">
        <f t="shared" si="7"/>
        <v>2050090.159032641</v>
      </c>
      <c r="EF17" s="16">
        <f t="shared" si="7"/>
        <v>2120087.8303511129</v>
      </c>
      <c r="EG17" s="16">
        <f t="shared" si="7"/>
        <v>2190085.5016695848</v>
      </c>
      <c r="EH17" s="16">
        <f t="shared" si="7"/>
        <v>2260083.1729880567</v>
      </c>
      <c r="EI17" s="16">
        <f t="shared" si="7"/>
        <v>2330080.8443065281</v>
      </c>
      <c r="EJ17" s="16">
        <f t="shared" si="7"/>
        <v>2400078.515625</v>
      </c>
      <c r="EK17" s="16">
        <f t="shared" si="7"/>
        <v>2400078.515625</v>
      </c>
      <c r="EL17" s="16">
        <f t="shared" si="7"/>
        <v>2470076.1869434719</v>
      </c>
      <c r="EM17" s="16">
        <f t="shared" si="7"/>
        <v>2540073.8582619438</v>
      </c>
      <c r="EN17" s="16">
        <f t="shared" si="7"/>
        <v>2610071.5295804157</v>
      </c>
      <c r="EO17" s="16">
        <f t="shared" si="7"/>
        <v>2680069.2008988871</v>
      </c>
      <c r="EP17" s="16">
        <f t="shared" si="7"/>
        <v>2750066.8722173595</v>
      </c>
      <c r="EQ17" s="16">
        <f t="shared" si="7"/>
        <v>2910325.0014714394</v>
      </c>
      <c r="ER17" s="16">
        <f t="shared" si="7"/>
        <v>2933079.7871146519</v>
      </c>
      <c r="ES17" s="16">
        <f t="shared" si="7"/>
        <v>2955834.5727578639</v>
      </c>
      <c r="ET17" s="16">
        <f t="shared" si="7"/>
        <v>2978589.3584010755</v>
      </c>
      <c r="EU17" s="16">
        <f t="shared" si="7"/>
        <v>3001344.144044288</v>
      </c>
      <c r="EV17" s="16">
        <f t="shared" si="7"/>
        <v>3024098.9296875014</v>
      </c>
      <c r="EW17" s="16">
        <f t="shared" si="7"/>
        <v>3024098.9296875014</v>
      </c>
      <c r="EX17" s="16">
        <f t="shared" si="7"/>
        <v>3046853.7153307148</v>
      </c>
      <c r="EY17" s="16">
        <f t="shared" si="7"/>
        <v>3069608.5009739273</v>
      </c>
      <c r="EZ17" s="16">
        <f t="shared" si="7"/>
        <v>3092363.2866171394</v>
      </c>
      <c r="FA17" s="16">
        <f t="shared" si="7"/>
        <v>3115118.0722603514</v>
      </c>
      <c r="FB17" s="16">
        <f t="shared" si="7"/>
        <v>3137872.8579035639</v>
      </c>
    </row>
    <row r="18" spans="2:158" x14ac:dyDescent="0.25">
      <c r="D18" s="16"/>
      <c r="E18" s="16"/>
      <c r="F18" s="16"/>
      <c r="G18" s="16"/>
      <c r="H18" s="16"/>
      <c r="I18" s="55"/>
      <c r="J18" s="55"/>
      <c r="K18" s="55"/>
      <c r="L18" s="55"/>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Y18" s="16"/>
      <c r="AZ18" s="16"/>
      <c r="BA18" s="16"/>
      <c r="BB18" s="16"/>
      <c r="BC18" s="16"/>
      <c r="BD18" s="16"/>
      <c r="BE18" s="16"/>
      <c r="BF18" s="16"/>
      <c r="BG18" s="16"/>
      <c r="BH18" s="16"/>
      <c r="BI18" s="16"/>
      <c r="BJ18" s="16"/>
      <c r="BK18" s="16"/>
      <c r="BL18" s="16"/>
      <c r="BM18" s="16"/>
      <c r="BN18" s="16"/>
      <c r="BO18" s="16"/>
      <c r="BP18" s="16"/>
      <c r="BQ18" s="16"/>
      <c r="BR18" s="16"/>
      <c r="BS18" s="16"/>
      <c r="BT18" s="16"/>
      <c r="BU18" s="16"/>
      <c r="BV18" s="16"/>
      <c r="BW18" s="16"/>
      <c r="BX18" s="16"/>
      <c r="BY18" s="16"/>
      <c r="BZ18" s="16"/>
      <c r="CA18" s="16"/>
      <c r="CB18" s="16"/>
      <c r="CC18" s="16"/>
      <c r="CD18" s="16"/>
      <c r="CE18" s="16"/>
      <c r="CF18" s="16"/>
      <c r="CG18" s="16"/>
      <c r="CH18" s="16"/>
      <c r="CI18" s="16"/>
      <c r="CJ18" s="16"/>
      <c r="CK18" s="16"/>
      <c r="CL18" s="16"/>
      <c r="CM18" s="16"/>
      <c r="CN18" s="16"/>
      <c r="CO18" s="16"/>
      <c r="CP18" s="16"/>
      <c r="CQ18" s="16"/>
      <c r="CR18" s="16"/>
      <c r="CS18" s="16"/>
      <c r="CT18" s="16"/>
      <c r="CU18" s="16"/>
      <c r="CV18" s="16"/>
      <c r="CW18" s="16"/>
      <c r="CX18" s="16"/>
      <c r="CY18" s="16"/>
      <c r="CZ18" s="16"/>
      <c r="DA18" s="16"/>
      <c r="DB18" s="16"/>
      <c r="DC18" s="16"/>
      <c r="DD18" s="16"/>
      <c r="DE18" s="16"/>
      <c r="DF18" s="16"/>
      <c r="DG18" s="16"/>
      <c r="DH18" s="16"/>
      <c r="DI18" s="16"/>
      <c r="DJ18" s="16"/>
      <c r="DK18" s="16"/>
      <c r="DL18" s="16"/>
      <c r="DM18" s="16"/>
      <c r="DN18" s="16"/>
      <c r="DO18" s="16"/>
      <c r="DP18" s="16"/>
      <c r="DQ18" s="16"/>
      <c r="DR18" s="16"/>
      <c r="DS18" s="16"/>
      <c r="DT18" s="16"/>
      <c r="DU18" s="16"/>
      <c r="DV18" s="16"/>
      <c r="DW18" s="16"/>
      <c r="DX18" s="16"/>
      <c r="DY18" s="16"/>
      <c r="DZ18" s="16"/>
      <c r="EA18" s="16"/>
      <c r="EB18" s="16"/>
      <c r="EC18" s="16"/>
      <c r="ED18" s="16"/>
      <c r="EE18" s="16"/>
      <c r="EF18" s="16"/>
      <c r="EG18" s="16"/>
      <c r="EH18" s="16"/>
      <c r="EI18" s="16"/>
      <c r="EJ18" s="16"/>
      <c r="EK18" s="16"/>
      <c r="EL18" s="16"/>
      <c r="EM18" s="16"/>
      <c r="EN18" s="16"/>
      <c r="EO18" s="16"/>
      <c r="EP18" s="16"/>
      <c r="EQ18" s="16"/>
      <c r="ER18" s="16"/>
      <c r="ES18" s="16"/>
      <c r="ET18" s="16"/>
      <c r="EU18" s="16"/>
      <c r="EV18" s="16"/>
      <c r="EW18" s="16"/>
      <c r="EX18" s="16"/>
      <c r="EY18" s="16"/>
      <c r="EZ18" s="16"/>
      <c r="FA18" s="16"/>
      <c r="FB18" s="16"/>
    </row>
    <row r="19" spans="2:158" s="1" customFormat="1" x14ac:dyDescent="0.25">
      <c r="C19" s="1" t="s">
        <v>32</v>
      </c>
      <c r="D19" s="22">
        <f t="shared" ref="D19:K23" si="8">SUMIF($AY$2:$FB$2,D$2,$AY19:$FB19)</f>
        <v>42665529.149999991</v>
      </c>
      <c r="E19" s="22">
        <f t="shared" si="8"/>
        <v>64802282.424548998</v>
      </c>
      <c r="F19" s="22">
        <f t="shared" si="8"/>
        <v>78786249.065277979</v>
      </c>
      <c r="G19" s="22">
        <f t="shared" si="8"/>
        <v>140824494.49286538</v>
      </c>
      <c r="H19" s="22">
        <f t="shared" si="8"/>
        <v>202003221.65133443</v>
      </c>
      <c r="I19" s="53">
        <f t="shared" si="8"/>
        <v>274122993.14508611</v>
      </c>
      <c r="J19" s="53">
        <f t="shared" si="8"/>
        <v>361335224.05001068</v>
      </c>
      <c r="K19" s="53">
        <f t="shared" si="8"/>
        <v>469883690.57221091</v>
      </c>
      <c r="L19" s="53">
        <f t="shared" ref="L19" si="9">SUM(L20:L23)</f>
        <v>644072899.73897004</v>
      </c>
      <c r="N19" s="53">
        <f t="shared" ref="N19:AW19" si="10">SUM(N20:N23)</f>
        <v>8465664.8699999992</v>
      </c>
      <c r="O19" s="53">
        <f t="shared" si="10"/>
        <v>9061842.9199999999</v>
      </c>
      <c r="P19" s="53">
        <f t="shared" si="10"/>
        <v>11436258.719999999</v>
      </c>
      <c r="Q19" s="53">
        <f t="shared" si="10"/>
        <v>13701762.640000001</v>
      </c>
      <c r="R19" s="53">
        <f t="shared" si="10"/>
        <v>14761478.224617999</v>
      </c>
      <c r="S19" s="53">
        <f t="shared" si="10"/>
        <v>15597636.899755999</v>
      </c>
      <c r="T19" s="53">
        <f t="shared" si="10"/>
        <v>16959439.239999998</v>
      </c>
      <c r="U19" s="53">
        <f t="shared" si="10"/>
        <v>17483728.060175002</v>
      </c>
      <c r="V19" s="53">
        <f t="shared" si="10"/>
        <v>19245652.59</v>
      </c>
      <c r="W19" s="53">
        <f t="shared" si="10"/>
        <v>18460268.233999997</v>
      </c>
      <c r="X19" s="53">
        <f t="shared" si="10"/>
        <v>19390576.525999997</v>
      </c>
      <c r="Y19" s="53">
        <f t="shared" si="10"/>
        <v>21689751.715277992</v>
      </c>
      <c r="Z19" s="53">
        <f t="shared" si="10"/>
        <v>27196423.428897221</v>
      </c>
      <c r="AA19" s="53">
        <f t="shared" si="10"/>
        <v>33247330.00086185</v>
      </c>
      <c r="AB19" s="53">
        <f t="shared" si="10"/>
        <v>38020394.546850137</v>
      </c>
      <c r="AC19" s="53">
        <f t="shared" si="10"/>
        <v>42360346.516256154</v>
      </c>
      <c r="AD19" s="53">
        <f t="shared" si="10"/>
        <v>48768515.229991801</v>
      </c>
      <c r="AE19" s="53">
        <f t="shared" si="10"/>
        <v>48275162.130762383</v>
      </c>
      <c r="AF19" s="53">
        <f t="shared" si="10"/>
        <v>52440789.28857398</v>
      </c>
      <c r="AG19" s="53">
        <f t="shared" si="10"/>
        <v>52518755.002006263</v>
      </c>
      <c r="AH19" s="53">
        <f t="shared" si="10"/>
        <v>62378728.646085098</v>
      </c>
      <c r="AI19" s="53">
        <f t="shared" si="10"/>
        <v>63709159.501627922</v>
      </c>
      <c r="AJ19" s="53">
        <f t="shared" si="10"/>
        <v>72519325.032916367</v>
      </c>
      <c r="AK19" s="53">
        <f t="shared" si="10"/>
        <v>75515779.964456752</v>
      </c>
      <c r="AL19" s="53">
        <f t="shared" si="10"/>
        <v>87609089.426178783</v>
      </c>
      <c r="AM19" s="53">
        <f t="shared" si="10"/>
        <v>85301665.616912574</v>
      </c>
      <c r="AN19" s="53">
        <f t="shared" si="10"/>
        <v>94252384.870915726</v>
      </c>
      <c r="AO19" s="53">
        <f t="shared" si="10"/>
        <v>94172084.136003643</v>
      </c>
      <c r="AP19" s="53">
        <f t="shared" si="10"/>
        <v>111331360.95285356</v>
      </c>
      <c r="AQ19" s="53">
        <f t="shared" si="10"/>
        <v>110073014.23597614</v>
      </c>
      <c r="AR19" s="53">
        <f t="shared" si="10"/>
        <v>123553680.73091923</v>
      </c>
      <c r="AS19" s="53">
        <f t="shared" si="10"/>
        <v>124925634.65246187</v>
      </c>
      <c r="AT19" s="53">
        <f t="shared" si="10"/>
        <v>150790626.36188468</v>
      </c>
      <c r="AU19" s="53">
        <f t="shared" si="10"/>
        <v>150881988.98699865</v>
      </c>
      <c r="AV19" s="53">
        <f t="shared" si="10"/>
        <v>169902840.8701776</v>
      </c>
      <c r="AW19" s="53">
        <f t="shared" si="10"/>
        <v>172497443.5199092</v>
      </c>
      <c r="AY19" s="53">
        <f t="shared" ref="AY19:DJ19" si="11">SUM(AY20:AY23)</f>
        <v>2483573.44</v>
      </c>
      <c r="AZ19" s="53">
        <f t="shared" si="11"/>
        <v>2851949.98</v>
      </c>
      <c r="BA19" s="53">
        <f t="shared" si="11"/>
        <v>3130141.4499999997</v>
      </c>
      <c r="BB19" s="53">
        <f t="shared" si="11"/>
        <v>2609905.7300000004</v>
      </c>
      <c r="BC19" s="53">
        <f t="shared" si="11"/>
        <v>3027872.18</v>
      </c>
      <c r="BD19" s="53">
        <f t="shared" si="11"/>
        <v>3424065.01</v>
      </c>
      <c r="BE19" s="53">
        <f t="shared" si="11"/>
        <v>3367876.0599999996</v>
      </c>
      <c r="BF19" s="53">
        <f t="shared" si="11"/>
        <v>3626676.92</v>
      </c>
      <c r="BG19" s="53">
        <f t="shared" si="11"/>
        <v>4441705.74</v>
      </c>
      <c r="BH19" s="53">
        <f t="shared" si="11"/>
        <v>3784611.9899999998</v>
      </c>
      <c r="BI19" s="53">
        <f t="shared" si="11"/>
        <v>4137299.63</v>
      </c>
      <c r="BJ19" s="53">
        <f t="shared" si="11"/>
        <v>5779851.0199999996</v>
      </c>
      <c r="BK19" s="53">
        <f t="shared" si="11"/>
        <v>4949309.1382059995</v>
      </c>
      <c r="BL19" s="53">
        <f t="shared" si="11"/>
        <v>4555509.7482059989</v>
      </c>
      <c r="BM19" s="53">
        <f t="shared" si="11"/>
        <v>5256659.3382059988</v>
      </c>
      <c r="BN19" s="53">
        <f t="shared" si="11"/>
        <v>5239605.2165853335</v>
      </c>
      <c r="BO19" s="53">
        <f t="shared" si="11"/>
        <v>5174202.1265853336</v>
      </c>
      <c r="BP19" s="53">
        <f t="shared" si="11"/>
        <v>5183829.5565853333</v>
      </c>
      <c r="BQ19" s="53">
        <f t="shared" si="11"/>
        <v>5238727.6633333331</v>
      </c>
      <c r="BR19" s="53">
        <f t="shared" si="11"/>
        <v>5602249.8833333328</v>
      </c>
      <c r="BS19" s="53">
        <f t="shared" si="11"/>
        <v>6118461.6933333324</v>
      </c>
      <c r="BT19" s="53">
        <f t="shared" si="11"/>
        <v>5185251.4800583329</v>
      </c>
      <c r="BU19" s="53">
        <f t="shared" si="11"/>
        <v>6010953.6000583339</v>
      </c>
      <c r="BV19" s="53">
        <f t="shared" si="11"/>
        <v>6287522.9800583348</v>
      </c>
      <c r="BW19" s="53">
        <f t="shared" si="11"/>
        <v>7286781.209999999</v>
      </c>
      <c r="BX19" s="53">
        <f t="shared" si="11"/>
        <v>5951734.8899999997</v>
      </c>
      <c r="BY19" s="53">
        <f t="shared" si="11"/>
        <v>6007136.4899999993</v>
      </c>
      <c r="BZ19" s="53">
        <f t="shared" si="11"/>
        <v>5665240.5933333328</v>
      </c>
      <c r="CA19" s="53">
        <f t="shared" si="11"/>
        <v>5573561.3033333337</v>
      </c>
      <c r="CB19" s="53">
        <f t="shared" si="11"/>
        <v>7221466.3373333327</v>
      </c>
      <c r="CC19" s="53">
        <f t="shared" si="11"/>
        <v>5893013.1499999994</v>
      </c>
      <c r="CD19" s="53">
        <f t="shared" si="11"/>
        <v>6692172.4000000004</v>
      </c>
      <c r="CE19" s="53">
        <f t="shared" si="11"/>
        <v>6805390.9760000017</v>
      </c>
      <c r="CF19" s="53">
        <f t="shared" si="11"/>
        <v>6416403.3397593293</v>
      </c>
      <c r="CG19" s="53">
        <f t="shared" si="11"/>
        <v>7064235.5997593291</v>
      </c>
      <c r="CH19" s="53">
        <f t="shared" si="11"/>
        <v>8209112.77575933</v>
      </c>
      <c r="CI19" s="53">
        <f t="shared" si="11"/>
        <v>8254291.6296324069</v>
      </c>
      <c r="CJ19" s="53">
        <f t="shared" si="11"/>
        <v>8150002.1596324062</v>
      </c>
      <c r="CK19" s="53">
        <f t="shared" si="11"/>
        <v>10792129.639632408</v>
      </c>
      <c r="CL19" s="53">
        <f t="shared" si="11"/>
        <v>9615439.2813686915</v>
      </c>
      <c r="CM19" s="53">
        <f t="shared" si="11"/>
        <v>11422833.777735444</v>
      </c>
      <c r="CN19" s="53">
        <f t="shared" si="11"/>
        <v>12209056.941757714</v>
      </c>
      <c r="CO19" s="53">
        <f t="shared" si="11"/>
        <v>10982996.159038184</v>
      </c>
      <c r="CP19" s="53">
        <f t="shared" si="11"/>
        <v>12450486.414489863</v>
      </c>
      <c r="CQ19" s="53">
        <f t="shared" si="11"/>
        <v>14586911.973322092</v>
      </c>
      <c r="CR19" s="53">
        <f t="shared" si="11"/>
        <v>12277522.11713225</v>
      </c>
      <c r="CS19" s="53">
        <f t="shared" si="11"/>
        <v>13707220.992807927</v>
      </c>
      <c r="CT19" s="53">
        <f t="shared" si="11"/>
        <v>16375603.406315982</v>
      </c>
      <c r="CU19" s="53">
        <f t="shared" si="11"/>
        <v>17366972.284655485</v>
      </c>
      <c r="CV19" s="53">
        <f t="shared" si="11"/>
        <v>16376111.441365469</v>
      </c>
      <c r="CW19" s="53">
        <f t="shared" si="11"/>
        <v>15025431.503970847</v>
      </c>
      <c r="CX19" s="53">
        <f t="shared" si="11"/>
        <v>17021501.498887714</v>
      </c>
      <c r="CY19" s="53">
        <f t="shared" si="11"/>
        <v>15957142.643949438</v>
      </c>
      <c r="CZ19" s="53">
        <f t="shared" si="11"/>
        <v>15296517.987925228</v>
      </c>
      <c r="DA19" s="53">
        <f t="shared" si="11"/>
        <v>18167022.111926816</v>
      </c>
      <c r="DB19" s="53">
        <f t="shared" si="11"/>
        <v>17621375.352459472</v>
      </c>
      <c r="DC19" s="53">
        <f t="shared" si="11"/>
        <v>16652391.82418769</v>
      </c>
      <c r="DD19" s="53">
        <f t="shared" si="11"/>
        <v>18960036.687768355</v>
      </c>
      <c r="DE19" s="53">
        <f t="shared" si="11"/>
        <v>16452629.623944031</v>
      </c>
      <c r="DF19" s="53">
        <f t="shared" si="11"/>
        <v>17106088.690293871</v>
      </c>
      <c r="DG19" s="53">
        <f t="shared" si="11"/>
        <v>22150561.829372305</v>
      </c>
      <c r="DH19" s="53">
        <f t="shared" si="11"/>
        <v>20962801.823384646</v>
      </c>
      <c r="DI19" s="53">
        <f t="shared" si="11"/>
        <v>19265364.993328147</v>
      </c>
      <c r="DJ19" s="53">
        <f t="shared" si="11"/>
        <v>22363865.183367416</v>
      </c>
      <c r="DK19" s="53">
        <f t="shared" ref="DK19:FB19" si="12">SUM(DK20:DK23)</f>
        <v>21000672.991665468</v>
      </c>
      <c r="DL19" s="53">
        <f t="shared" si="12"/>
        <v>20344621.326595034</v>
      </c>
      <c r="DM19" s="53">
        <f t="shared" si="12"/>
        <v>24868344.998708323</v>
      </c>
      <c r="DN19" s="53">
        <f t="shared" si="12"/>
        <v>24389783.904956084</v>
      </c>
      <c r="DO19" s="53">
        <f t="shared" si="12"/>
        <v>23261196.129251957</v>
      </c>
      <c r="DP19" s="53">
        <f t="shared" si="12"/>
        <v>27143527.437598836</v>
      </c>
      <c r="DQ19" s="53">
        <f t="shared" si="12"/>
        <v>23630420.745713096</v>
      </c>
      <c r="DR19" s="53">
        <f t="shared" si="12"/>
        <v>24741831.781144809</v>
      </c>
      <c r="DS19" s="53">
        <f t="shared" si="12"/>
        <v>31554814.852819331</v>
      </c>
      <c r="DT19" s="53">
        <f t="shared" si="12"/>
        <v>29445444.769451335</v>
      </c>
      <c r="DU19" s="53">
        <f t="shared" si="12"/>
        <v>26608829.803908098</v>
      </c>
      <c r="DV19" s="53">
        <f t="shared" si="12"/>
        <v>30714433.897209518</v>
      </c>
      <c r="DW19" s="53">
        <f t="shared" si="12"/>
        <v>28161646.583455998</v>
      </c>
      <c r="DX19" s="53">
        <f t="shared" si="12"/>
        <v>26425585.136247069</v>
      </c>
      <c r="DY19" s="53">
        <f t="shared" si="12"/>
        <v>32901261.354219891</v>
      </c>
      <c r="DZ19" s="53">
        <f t="shared" si="12"/>
        <v>31749985.862409949</v>
      </c>
      <c r="EA19" s="53">
        <f t="shared" si="12"/>
        <v>29601137.65428587</v>
      </c>
      <c r="EB19" s="53">
        <f t="shared" si="12"/>
        <v>34717997.904226981</v>
      </c>
      <c r="EC19" s="53">
        <f t="shared" si="12"/>
        <v>29166571.048201673</v>
      </c>
      <c r="ED19" s="53">
        <f t="shared" si="12"/>
        <v>30287515.183574986</v>
      </c>
      <c r="EE19" s="53">
        <f t="shared" si="12"/>
        <v>40218112.936165556</v>
      </c>
      <c r="EF19" s="53">
        <f t="shared" si="12"/>
        <v>37455964.313608676</v>
      </c>
      <c r="EG19" s="53">
        <f t="shared" si="12"/>
        <v>33657283.703079328</v>
      </c>
      <c r="EH19" s="53">
        <f t="shared" si="12"/>
        <v>39751299.490766034</v>
      </c>
      <c r="EI19" s="53">
        <f t="shared" si="12"/>
        <v>36357153.093812034</v>
      </c>
      <c r="EJ19" s="53">
        <f t="shared" si="12"/>
        <v>33964561.651398078</v>
      </c>
      <c r="EK19" s="53">
        <f t="shared" si="12"/>
        <v>43111201.602070078</v>
      </c>
      <c r="EL19" s="53">
        <f t="shared" si="12"/>
        <v>41658775.85170725</v>
      </c>
      <c r="EM19" s="53">
        <f t="shared" si="12"/>
        <v>38783703.277141884</v>
      </c>
      <c r="EN19" s="53">
        <f t="shared" si="12"/>
        <v>46256966.625515386</v>
      </c>
      <c r="EO19" s="53">
        <f t="shared" si="12"/>
        <v>38494696.660776466</v>
      </c>
      <c r="EP19" s="53">
        <f t="shared" si="12"/>
        <v>40173971.366170019</v>
      </c>
      <c r="EQ19" s="53">
        <f t="shared" si="12"/>
        <v>54390705.836739413</v>
      </c>
      <c r="ER19" s="53">
        <f t="shared" si="12"/>
        <v>50753946.046013087</v>
      </c>
      <c r="ES19" s="53">
        <f t="shared" si="12"/>
        <v>45645974.479132168</v>
      </c>
      <c r="ET19" s="53">
        <f t="shared" si="12"/>
        <v>54405000.470003769</v>
      </c>
      <c r="EU19" s="53">
        <f t="shared" si="12"/>
        <v>49870373.135315485</v>
      </c>
      <c r="EV19" s="53">
        <f t="shared" si="12"/>
        <v>46606615.381679408</v>
      </c>
      <c r="EW19" s="53">
        <f t="shared" si="12"/>
        <v>59214155.006489545</v>
      </c>
      <c r="EX19" s="53">
        <f t="shared" si="12"/>
        <v>57328123.240847155</v>
      </c>
      <c r="EY19" s="53">
        <f t="shared" si="12"/>
        <v>53360562.622840881</v>
      </c>
      <c r="EZ19" s="53">
        <f t="shared" si="12"/>
        <v>63931657.292948395</v>
      </c>
      <c r="FA19" s="53">
        <f t="shared" si="12"/>
        <v>53125174.939558275</v>
      </c>
      <c r="FB19" s="53">
        <f t="shared" si="12"/>
        <v>55440611.28740254</v>
      </c>
    </row>
    <row r="20" spans="2:158" x14ac:dyDescent="0.25">
      <c r="C20" s="2" t="s">
        <v>12</v>
      </c>
      <c r="D20" s="50">
        <f t="shared" si="8"/>
        <v>21897839.32</v>
      </c>
      <c r="E20" s="50">
        <f t="shared" si="8"/>
        <v>35972484.089999989</v>
      </c>
      <c r="F20" s="50">
        <f t="shared" si="8"/>
        <v>41965414.965999998</v>
      </c>
      <c r="G20" s="50">
        <f t="shared" si="8"/>
        <v>78131728.179255486</v>
      </c>
      <c r="H20" s="50">
        <f t="shared" si="8"/>
        <v>107499918.29485127</v>
      </c>
      <c r="I20" s="50">
        <f t="shared" si="8"/>
        <v>152744986.91895646</v>
      </c>
      <c r="J20" s="50">
        <f t="shared" si="8"/>
        <v>205764168.63084328</v>
      </c>
      <c r="K20" s="50">
        <f t="shared" si="8"/>
        <v>272851453.68555015</v>
      </c>
      <c r="L20" s="50">
        <f>L67-L65</f>
        <v>397892912.84112906</v>
      </c>
      <c r="M20" s="2"/>
      <c r="N20" s="16">
        <f t="shared" ref="N20:N23" si="13">SUM(AY20:BA20)</f>
        <v>4255105.68</v>
      </c>
      <c r="O20" s="16">
        <f>SUM(BB20:BD20)</f>
        <v>4541925.12</v>
      </c>
      <c r="P20" s="16">
        <f>SUM(BE20:BG20)</f>
        <v>5790073.8700000001</v>
      </c>
      <c r="Q20" s="16">
        <f>SUM(BH20:BJ20)</f>
        <v>7310734.6500000004</v>
      </c>
      <c r="R20" s="16">
        <f>SUM(BK20:BM20)</f>
        <v>7622718.6499999985</v>
      </c>
      <c r="S20" s="16">
        <f>SUM(BN20:BP20)</f>
        <v>8985839.8499999996</v>
      </c>
      <c r="T20" s="16">
        <f>SUM(BQ20:BS20)</f>
        <v>9247463.6500000004</v>
      </c>
      <c r="U20" s="16">
        <f>SUM(BT20:BV20)</f>
        <v>10116461.939999999</v>
      </c>
      <c r="V20" s="16">
        <f>SUM(BW20:BY20)</f>
        <v>9626274.1999999993</v>
      </c>
      <c r="W20" s="16">
        <f>SUM(BZ20:CB20)</f>
        <v>9989832.2239999995</v>
      </c>
      <c r="X20" s="16">
        <f>SUM(CC20:CE20)</f>
        <v>10258787.905999999</v>
      </c>
      <c r="Y20" s="16">
        <f>SUM(CF20:CH20)</f>
        <v>12090520.636000002</v>
      </c>
      <c r="Z20" s="16">
        <f>SUM(CI20:CK20)</f>
        <v>13919396.699999999</v>
      </c>
      <c r="AA20" s="16">
        <f>SUM(CL20:CN20)</f>
        <v>18593695.905886412</v>
      </c>
      <c r="AB20" s="16">
        <f>SUM(CO20:CQ20)</f>
        <v>21940119.888907984</v>
      </c>
      <c r="AC20" s="16">
        <f>SUM(CR20:CT20)</f>
        <v>23678515.684461087</v>
      </c>
      <c r="AD20" s="16">
        <f>SUM(CU20:CW20)</f>
        <v>25209041.573190093</v>
      </c>
      <c r="AE20" s="16">
        <f>SUM(CX20:CZ20)</f>
        <v>25859305.586289961</v>
      </c>
      <c r="AF20" s="16">
        <f>SUM(DA20:DC20)</f>
        <v>27849268.709999181</v>
      </c>
      <c r="AG20" s="16">
        <f>SUM(DD20:DF20)</f>
        <v>28582302.425372042</v>
      </c>
      <c r="AH20" s="16">
        <f>SUM(DG20:DI20)</f>
        <v>32596499.219090432</v>
      </c>
      <c r="AI20" s="16">
        <f>SUM(DJ20:DL20)</f>
        <v>35907348.033131413</v>
      </c>
      <c r="AJ20" s="16">
        <f>SUM(DM20:DO20)</f>
        <v>40410411.923171528</v>
      </c>
      <c r="AK20" s="16">
        <f>SUM(DP20:DR20)</f>
        <v>43830727.743563086</v>
      </c>
      <c r="AL20" s="16">
        <f>SUM(DS20:DU20)</f>
        <v>48106224.106616788</v>
      </c>
      <c r="AM20" s="16">
        <f>SUM(DV20:DX20)</f>
        <v>49329342.607542127</v>
      </c>
      <c r="AN20" s="16">
        <f>SUM(DY20:EA20)</f>
        <v>53473357.203628488</v>
      </c>
      <c r="AO20" s="16">
        <f>SUM(EB20:ED20)</f>
        <v>54855244.713055819</v>
      </c>
      <c r="AP20" s="16">
        <f>SUM(EE20:EG20)</f>
        <v>60619355.550919265</v>
      </c>
      <c r="AQ20" s="16">
        <f>SUM(EH20:EJ20)</f>
        <v>64493525.858985275</v>
      </c>
      <c r="AR20" s="16">
        <f>SUM(EK20:EM20)</f>
        <v>71819041.208150133</v>
      </c>
      <c r="AS20" s="16">
        <f>SUM(EN20:EP20)</f>
        <v>75919531.067495465</v>
      </c>
      <c r="AT20" s="16">
        <f>SUM(EQ20:ES20)</f>
        <v>85945325.756611317</v>
      </c>
      <c r="AU20" s="16">
        <f>SUM(ET20:EV20)</f>
        <v>93548801.88591218</v>
      </c>
      <c r="AV20" s="16">
        <f>SUM(EW20:EY20)</f>
        <v>105243374.47256416</v>
      </c>
      <c r="AW20" s="16">
        <f>SUM(EZ20:FB20)</f>
        <v>113155410.72604148</v>
      </c>
      <c r="AX20" s="2"/>
      <c r="AY20" s="16">
        <f>AY67-AY65</f>
        <v>1101901.5599999998</v>
      </c>
      <c r="AZ20" s="16">
        <f t="shared" ref="AZ20:DK20" si="14">AZ67-AZ65</f>
        <v>1475476.4000000001</v>
      </c>
      <c r="BA20" s="16">
        <f t="shared" si="14"/>
        <v>1677727.7199999997</v>
      </c>
      <c r="BB20" s="16">
        <f t="shared" si="14"/>
        <v>1180946.5300000003</v>
      </c>
      <c r="BC20" s="16">
        <f t="shared" si="14"/>
        <v>1495305.8699999999</v>
      </c>
      <c r="BD20" s="16">
        <f t="shared" si="14"/>
        <v>1865672.7199999997</v>
      </c>
      <c r="BE20" s="16">
        <f t="shared" si="14"/>
        <v>1518966.61</v>
      </c>
      <c r="BF20" s="16">
        <f t="shared" si="14"/>
        <v>1886019.46</v>
      </c>
      <c r="BG20" s="16">
        <f t="shared" si="14"/>
        <v>2385087.7999999998</v>
      </c>
      <c r="BH20" s="16">
        <f t="shared" si="14"/>
        <v>1783761.27</v>
      </c>
      <c r="BI20" s="16">
        <f t="shared" si="14"/>
        <v>2315586.14</v>
      </c>
      <c r="BJ20" s="16">
        <f t="shared" si="14"/>
        <v>3211387.24</v>
      </c>
      <c r="BK20" s="16">
        <f t="shared" si="14"/>
        <v>2315871.44</v>
      </c>
      <c r="BL20" s="16">
        <f t="shared" si="14"/>
        <v>2420663.9599999995</v>
      </c>
      <c r="BM20" s="16">
        <f t="shared" si="14"/>
        <v>2886183.2499999991</v>
      </c>
      <c r="BN20" s="16">
        <f t="shared" si="14"/>
        <v>3150093.08</v>
      </c>
      <c r="BO20" s="16">
        <f t="shared" si="14"/>
        <v>2927963.9099999992</v>
      </c>
      <c r="BP20" s="16">
        <f t="shared" si="14"/>
        <v>2907782.86</v>
      </c>
      <c r="BQ20" s="16">
        <f t="shared" si="14"/>
        <v>2722517.3800000004</v>
      </c>
      <c r="BR20" s="16">
        <f t="shared" si="14"/>
        <v>3170981.01</v>
      </c>
      <c r="BS20" s="16">
        <f t="shared" si="14"/>
        <v>3353965.2599999993</v>
      </c>
      <c r="BT20" s="16">
        <f t="shared" si="14"/>
        <v>2737065.86</v>
      </c>
      <c r="BU20" s="16">
        <f t="shared" si="14"/>
        <v>3484610.01</v>
      </c>
      <c r="BV20" s="16">
        <f t="shared" si="14"/>
        <v>3894786.0700000003</v>
      </c>
      <c r="BW20" s="16">
        <f t="shared" si="14"/>
        <v>3483849.1399999997</v>
      </c>
      <c r="BX20" s="16">
        <f t="shared" si="14"/>
        <v>3128988.9799999995</v>
      </c>
      <c r="BY20" s="16">
        <f t="shared" si="14"/>
        <v>3013436.0799999996</v>
      </c>
      <c r="BZ20" s="16">
        <f t="shared" si="14"/>
        <v>3039587.4000000004</v>
      </c>
      <c r="CA20" s="16">
        <f t="shared" si="14"/>
        <v>2862137.0000000005</v>
      </c>
      <c r="CB20" s="16">
        <f t="shared" si="14"/>
        <v>4088107.824</v>
      </c>
      <c r="CC20" s="16">
        <f t="shared" si="14"/>
        <v>2855471.0199999996</v>
      </c>
      <c r="CD20" s="16">
        <f t="shared" si="14"/>
        <v>3641119.3899999997</v>
      </c>
      <c r="CE20" s="16">
        <f t="shared" si="14"/>
        <v>3762197.4960000012</v>
      </c>
      <c r="CF20" s="16">
        <f t="shared" si="14"/>
        <v>3270313.31</v>
      </c>
      <c r="CG20" s="16">
        <f t="shared" si="14"/>
        <v>4043817.69</v>
      </c>
      <c r="CH20" s="16">
        <f t="shared" si="14"/>
        <v>4776389.6360000018</v>
      </c>
      <c r="CI20" s="16">
        <f t="shared" si="14"/>
        <v>4120621.6100000003</v>
      </c>
      <c r="CJ20" s="16">
        <f t="shared" si="14"/>
        <v>4030975.8099999996</v>
      </c>
      <c r="CK20" s="16">
        <f t="shared" si="14"/>
        <v>5767799.2800000003</v>
      </c>
      <c r="CL20" s="16">
        <f t="shared" si="14"/>
        <v>4982542.2100000009</v>
      </c>
      <c r="CM20" s="16">
        <f t="shared" si="14"/>
        <v>6616786.0435712598</v>
      </c>
      <c r="CN20" s="16">
        <f t="shared" si="14"/>
        <v>6994367.6523151491</v>
      </c>
      <c r="CO20" s="16">
        <f t="shared" si="14"/>
        <v>5988981.0397350071</v>
      </c>
      <c r="CP20" s="16">
        <f t="shared" si="14"/>
        <v>7123780.5549263312</v>
      </c>
      <c r="CQ20" s="16">
        <f t="shared" si="14"/>
        <v>8827358.2942466456</v>
      </c>
      <c r="CR20" s="16">
        <f t="shared" si="14"/>
        <v>6704641.0531731145</v>
      </c>
      <c r="CS20" s="16">
        <f t="shared" si="14"/>
        <v>7788171.19195484</v>
      </c>
      <c r="CT20" s="16">
        <f t="shared" si="14"/>
        <v>9185703.4393331334</v>
      </c>
      <c r="CU20" s="16">
        <f t="shared" si="14"/>
        <v>8359530.3854167694</v>
      </c>
      <c r="CV20" s="16">
        <f t="shared" si="14"/>
        <v>8275568.7528793737</v>
      </c>
      <c r="CW20" s="16">
        <f t="shared" si="14"/>
        <v>8573942.434893949</v>
      </c>
      <c r="CX20" s="16">
        <f t="shared" si="14"/>
        <v>8517115.7872654852</v>
      </c>
      <c r="CY20" s="16">
        <f t="shared" si="14"/>
        <v>8579610.6168341339</v>
      </c>
      <c r="CZ20" s="16">
        <f t="shared" si="14"/>
        <v>8762579.18219034</v>
      </c>
      <c r="DA20" s="16">
        <f t="shared" si="14"/>
        <v>8940547.3885129802</v>
      </c>
      <c r="DB20" s="16">
        <f t="shared" si="14"/>
        <v>9244074.823742114</v>
      </c>
      <c r="DC20" s="16">
        <f t="shared" si="14"/>
        <v>9664646.4977440853</v>
      </c>
      <c r="DD20" s="16">
        <f t="shared" si="14"/>
        <v>9289346.2098136209</v>
      </c>
      <c r="DE20" s="16">
        <f t="shared" si="14"/>
        <v>9285902.0705159809</v>
      </c>
      <c r="DF20" s="16">
        <f t="shared" si="14"/>
        <v>10007054.145042442</v>
      </c>
      <c r="DG20" s="16">
        <f t="shared" si="14"/>
        <v>10540302.843769122</v>
      </c>
      <c r="DH20" s="16">
        <f t="shared" si="14"/>
        <v>10677547.45143361</v>
      </c>
      <c r="DI20" s="16">
        <f t="shared" si="14"/>
        <v>11378648.923887698</v>
      </c>
      <c r="DJ20" s="16">
        <f t="shared" si="14"/>
        <v>11556109.546751279</v>
      </c>
      <c r="DK20" s="16">
        <f t="shared" si="14"/>
        <v>11909900.456905976</v>
      </c>
      <c r="DL20" s="16">
        <f t="shared" ref="DL20:FB20" si="15">DL67-DL65</f>
        <v>12441338.029474158</v>
      </c>
      <c r="DM20" s="16">
        <f t="shared" si="15"/>
        <v>12704256.538972359</v>
      </c>
      <c r="DN20" s="16">
        <f t="shared" si="15"/>
        <v>13412597.140273683</v>
      </c>
      <c r="DO20" s="16">
        <f t="shared" si="15"/>
        <v>14293558.243925488</v>
      </c>
      <c r="DP20" s="16">
        <f t="shared" si="15"/>
        <v>13999902.492087089</v>
      </c>
      <c r="DQ20" s="16">
        <f t="shared" si="15"/>
        <v>14253993.845876213</v>
      </c>
      <c r="DR20" s="16">
        <f t="shared" si="15"/>
        <v>15576831.405599784</v>
      </c>
      <c r="DS20" s="16">
        <f t="shared" si="15"/>
        <v>15961385.01944557</v>
      </c>
      <c r="DT20" s="16">
        <f t="shared" si="15"/>
        <v>15762878.018024068</v>
      </c>
      <c r="DU20" s="16">
        <f t="shared" si="15"/>
        <v>16381961.069147147</v>
      </c>
      <c r="DV20" s="16">
        <f t="shared" si="15"/>
        <v>16241765.190507986</v>
      </c>
      <c r="DW20" s="16">
        <f t="shared" si="15"/>
        <v>16357251.981144976</v>
      </c>
      <c r="DX20" s="16">
        <f t="shared" si="15"/>
        <v>16730325.43588917</v>
      </c>
      <c r="DY20" s="16">
        <f t="shared" si="15"/>
        <v>17111432.216702722</v>
      </c>
      <c r="DZ20" s="16">
        <f t="shared" si="15"/>
        <v>17741019.150450043</v>
      </c>
      <c r="EA20" s="16">
        <f t="shared" si="15"/>
        <v>18620905.836475722</v>
      </c>
      <c r="EB20" s="16">
        <f t="shared" si="15"/>
        <v>17797598.280271113</v>
      </c>
      <c r="EC20" s="16">
        <f t="shared" si="15"/>
        <v>17768521.809193362</v>
      </c>
      <c r="ED20" s="16">
        <f t="shared" si="15"/>
        <v>19289124.623591349</v>
      </c>
      <c r="EE20" s="16">
        <f t="shared" si="15"/>
        <v>19864167.767156921</v>
      </c>
      <c r="EF20" s="16">
        <f t="shared" si="15"/>
        <v>19818096.672087073</v>
      </c>
      <c r="EG20" s="16">
        <f t="shared" si="15"/>
        <v>20937091.111675274</v>
      </c>
      <c r="EH20" s="16">
        <f t="shared" si="15"/>
        <v>20974114.228208695</v>
      </c>
      <c r="EI20" s="16">
        <f t="shared" si="15"/>
        <v>21375488.144454487</v>
      </c>
      <c r="EJ20" s="16">
        <f t="shared" si="15"/>
        <v>22143923.486322094</v>
      </c>
      <c r="EK20" s="16">
        <f t="shared" si="15"/>
        <v>22686816.562033638</v>
      </c>
      <c r="EL20" s="16">
        <f t="shared" si="15"/>
        <v>23820787.705878776</v>
      </c>
      <c r="EM20" s="16">
        <f t="shared" si="15"/>
        <v>25311436.94023772</v>
      </c>
      <c r="EN20" s="16">
        <f t="shared" si="15"/>
        <v>24375035.40556585</v>
      </c>
      <c r="EO20" s="16">
        <f t="shared" si="15"/>
        <v>24570412.882512063</v>
      </c>
      <c r="EP20" s="16">
        <f t="shared" si="15"/>
        <v>26974082.77941756</v>
      </c>
      <c r="EQ20" s="16">
        <f t="shared" si="15"/>
        <v>27926822.339843079</v>
      </c>
      <c r="ER20" s="16">
        <f t="shared" si="15"/>
        <v>28104808.480879989</v>
      </c>
      <c r="ES20" s="16">
        <f t="shared" si="15"/>
        <v>29913694.935888238</v>
      </c>
      <c r="ET20" s="16">
        <f t="shared" si="15"/>
        <v>30207718.775601588</v>
      </c>
      <c r="EU20" s="16">
        <f t="shared" si="15"/>
        <v>31011768.866563834</v>
      </c>
      <c r="EV20" s="16">
        <f t="shared" si="15"/>
        <v>32329314.243746765</v>
      </c>
      <c r="EW20" s="16">
        <f t="shared" si="15"/>
        <v>33085392.686141692</v>
      </c>
      <c r="EX20" s="16">
        <f t="shared" si="15"/>
        <v>34914865.2254875</v>
      </c>
      <c r="EY20" s="16">
        <f t="shared" si="15"/>
        <v>37243116.560934953</v>
      </c>
      <c r="EZ20" s="16">
        <f t="shared" si="15"/>
        <v>36173512.964894123</v>
      </c>
      <c r="FA20" s="16">
        <f t="shared" si="15"/>
        <v>36688246.875936426</v>
      </c>
      <c r="FB20" s="16">
        <f t="shared" si="15"/>
        <v>40293650.885210931</v>
      </c>
    </row>
    <row r="21" spans="2:158" x14ac:dyDescent="0.25">
      <c r="C21" s="2" t="s">
        <v>13</v>
      </c>
      <c r="D21" s="50">
        <f t="shared" si="8"/>
        <v>11212258.129999999</v>
      </c>
      <c r="E21" s="50">
        <f t="shared" si="8"/>
        <v>18344354.129999999</v>
      </c>
      <c r="F21" s="50">
        <f t="shared" si="8"/>
        <v>23430625.959999997</v>
      </c>
      <c r="G21" s="50">
        <f t="shared" si="8"/>
        <v>40842125.008719303</v>
      </c>
      <c r="H21" s="50">
        <f t="shared" si="8"/>
        <v>64849449.862995654</v>
      </c>
      <c r="I21" s="50">
        <f t="shared" si="8"/>
        <v>91582075.091912612</v>
      </c>
      <c r="J21" s="50">
        <f t="shared" si="8"/>
        <v>122784294.96101049</v>
      </c>
      <c r="K21" s="50">
        <f t="shared" si="8"/>
        <v>159593752.96896461</v>
      </c>
      <c r="L21" s="50">
        <f>L104</f>
        <v>204279714.31497389</v>
      </c>
      <c r="M21" s="2"/>
      <c r="N21" s="16">
        <f t="shared" si="13"/>
        <v>2330511.27</v>
      </c>
      <c r="O21" s="16">
        <f>SUM(BB21:BD21)</f>
        <v>2534803.06</v>
      </c>
      <c r="P21" s="16">
        <f>SUM(BE21:BG21)</f>
        <v>3002091.31</v>
      </c>
      <c r="Q21" s="16">
        <f>SUM(BH21:BJ21)</f>
        <v>3344852.4899999998</v>
      </c>
      <c r="R21" s="16">
        <f>SUM(BK21:BM21)</f>
        <v>3892519.04</v>
      </c>
      <c r="S21" s="16">
        <f>SUM(BN21:BP21)</f>
        <v>4616561.3999999994</v>
      </c>
      <c r="T21" s="16">
        <f>SUM(BQ21:BS21)</f>
        <v>4971272.5399999991</v>
      </c>
      <c r="U21" s="16">
        <f>SUM(BT21:BV21)</f>
        <v>4864001.1500000004</v>
      </c>
      <c r="V21" s="16">
        <f>SUM(BW21:BY21)</f>
        <v>5086617.08</v>
      </c>
      <c r="W21" s="16">
        <f>SUM(BZ21:CB21)</f>
        <v>5872593.6299999999</v>
      </c>
      <c r="X21" s="16">
        <f>SUM(CC21:CE21)</f>
        <v>6107599.7199999997</v>
      </c>
      <c r="Y21" s="16">
        <f>SUM(CF21:CH21)</f>
        <v>6363815.5299999993</v>
      </c>
      <c r="Z21" s="16">
        <f>SUM(CI21:CK21)</f>
        <v>8112919.4199999999</v>
      </c>
      <c r="AA21" s="16">
        <f>SUM(CL21:CN21)</f>
        <v>9211486.0650891773</v>
      </c>
      <c r="AB21" s="16">
        <f>SUM(CO21:CQ21)</f>
        <v>10824143.673175517</v>
      </c>
      <c r="AC21" s="16">
        <f>SUM(CR21:CT21)</f>
        <v>12693575.850454602</v>
      </c>
      <c r="AD21" s="16">
        <f>SUM(CU21:CW21)</f>
        <v>14450121.402541447</v>
      </c>
      <c r="AE21" s="16">
        <f>SUM(CX21:CZ21)</f>
        <v>15001501.287402686</v>
      </c>
      <c r="AF21" s="16">
        <f>SUM(DA21:DC21)</f>
        <v>16661484.517079376</v>
      </c>
      <c r="AG21" s="16">
        <f>SUM(DD21:DF21)</f>
        <v>18736342.655972142</v>
      </c>
      <c r="AH21" s="16">
        <f>SUM(DG21:DI21)</f>
        <v>20683087.497624896</v>
      </c>
      <c r="AI21" s="16">
        <f>SUM(DJ21:DL21)</f>
        <v>21271760.842431162</v>
      </c>
      <c r="AJ21" s="16">
        <f>SUM(DM21:DO21)</f>
        <v>23475452.272902206</v>
      </c>
      <c r="AK21" s="16">
        <f>SUM(DP21:DR21)</f>
        <v>26151774.478954345</v>
      </c>
      <c r="AL21" s="16">
        <f>SUM(DS21:DU21)</f>
        <v>28740882.554903079</v>
      </c>
      <c r="AM21" s="16">
        <f>SUM(DV21:DX21)</f>
        <v>28863153.324514695</v>
      </c>
      <c r="AN21" s="16">
        <f>SUM(DY21:EA21)</f>
        <v>30892917.70340794</v>
      </c>
      <c r="AO21" s="16">
        <f>SUM(EB21:ED21)</f>
        <v>34287341.37818478</v>
      </c>
      <c r="AP21" s="16">
        <f>SUM(EE21:EG21)</f>
        <v>37627040.487792343</v>
      </c>
      <c r="AQ21" s="16">
        <f>SUM(EH21:EJ21)</f>
        <v>37684533.03222277</v>
      </c>
      <c r="AR21" s="16">
        <f>SUM(EK21:EM21)</f>
        <v>40025151.756922543</v>
      </c>
      <c r="AS21" s="16">
        <f>SUM(EN21:EP21)</f>
        <v>44257027.692026943</v>
      </c>
      <c r="AT21" s="16">
        <f>SUM(EQ21:ES21)</f>
        <v>48496184.591306522</v>
      </c>
      <c r="AU21" s="16">
        <f>SUM(ET21:EV21)</f>
        <v>48496184.591306522</v>
      </c>
      <c r="AV21" s="16">
        <f>SUM(EW21:EY21)</f>
        <v>51051675.53413704</v>
      </c>
      <c r="AW21" s="16">
        <f>SUM(EZ21:FB21)</f>
        <v>56235669.598223761</v>
      </c>
      <c r="AX21" s="2"/>
      <c r="AY21" s="16">
        <f>AY104</f>
        <v>762237.13</v>
      </c>
      <c r="AZ21" s="16">
        <f t="shared" ref="AZ21:DK21" si="16">AZ104</f>
        <v>739223.72</v>
      </c>
      <c r="BA21" s="16">
        <f t="shared" si="16"/>
        <v>829050.41999999993</v>
      </c>
      <c r="BB21" s="16">
        <f t="shared" si="16"/>
        <v>796057.22</v>
      </c>
      <c r="BC21" s="16">
        <f t="shared" si="16"/>
        <v>837025.71000000008</v>
      </c>
      <c r="BD21" s="16">
        <f t="shared" si="16"/>
        <v>901720.12999999989</v>
      </c>
      <c r="BE21" s="16">
        <f t="shared" si="16"/>
        <v>932565.64999999991</v>
      </c>
      <c r="BF21" s="16">
        <f t="shared" si="16"/>
        <v>920719.59000000008</v>
      </c>
      <c r="BG21" s="16">
        <f t="shared" si="16"/>
        <v>1148806.07</v>
      </c>
      <c r="BH21" s="16">
        <f t="shared" si="16"/>
        <v>1057964.69</v>
      </c>
      <c r="BI21" s="16">
        <f t="shared" si="16"/>
        <v>1037174.7</v>
      </c>
      <c r="BJ21" s="16">
        <f t="shared" si="16"/>
        <v>1249713.0999999999</v>
      </c>
      <c r="BK21" s="16">
        <f t="shared" si="16"/>
        <v>1279492.6299999999</v>
      </c>
      <c r="BL21" s="16">
        <f t="shared" si="16"/>
        <v>1284218.48</v>
      </c>
      <c r="BM21" s="16">
        <f t="shared" si="16"/>
        <v>1328807.93</v>
      </c>
      <c r="BN21" s="16">
        <f t="shared" si="16"/>
        <v>1399002.3599999999</v>
      </c>
      <c r="BO21" s="16">
        <f t="shared" si="16"/>
        <v>1581251.52</v>
      </c>
      <c r="BP21" s="16">
        <f t="shared" si="16"/>
        <v>1636307.5199999998</v>
      </c>
      <c r="BQ21" s="16">
        <f t="shared" si="16"/>
        <v>1595061.13</v>
      </c>
      <c r="BR21" s="16">
        <f t="shared" si="16"/>
        <v>1645643.72</v>
      </c>
      <c r="BS21" s="16">
        <f t="shared" si="16"/>
        <v>1730567.69</v>
      </c>
      <c r="BT21" s="16">
        <f t="shared" si="16"/>
        <v>1633636.18</v>
      </c>
      <c r="BU21" s="16">
        <f t="shared" si="16"/>
        <v>1664366.2399999998</v>
      </c>
      <c r="BV21" s="16">
        <f t="shared" si="16"/>
        <v>1565998.73</v>
      </c>
      <c r="BW21" s="16">
        <f t="shared" si="16"/>
        <v>1681040.6899999997</v>
      </c>
      <c r="BX21" s="16">
        <f t="shared" si="16"/>
        <v>1588878.73</v>
      </c>
      <c r="BY21" s="16">
        <f t="shared" si="16"/>
        <v>1816697.66</v>
      </c>
      <c r="BZ21" s="16">
        <f t="shared" si="16"/>
        <v>1812507.8800000001</v>
      </c>
      <c r="CA21" s="16">
        <f t="shared" si="16"/>
        <v>1888285.8200000003</v>
      </c>
      <c r="CB21" s="16">
        <f t="shared" si="16"/>
        <v>2171799.9299999997</v>
      </c>
      <c r="CC21" s="16">
        <f t="shared" si="16"/>
        <v>2057336.25</v>
      </c>
      <c r="CD21" s="16">
        <f t="shared" si="16"/>
        <v>2061086.85</v>
      </c>
      <c r="CE21" s="16">
        <f t="shared" si="16"/>
        <v>1989176.6199999999</v>
      </c>
      <c r="CF21" s="16">
        <f t="shared" si="16"/>
        <v>2032100.77</v>
      </c>
      <c r="CG21" s="16">
        <f t="shared" si="16"/>
        <v>2025268.7399999995</v>
      </c>
      <c r="CH21" s="16">
        <f t="shared" si="16"/>
        <v>2306446.02</v>
      </c>
      <c r="CI21" s="16">
        <f t="shared" si="16"/>
        <v>2467252.9399999995</v>
      </c>
      <c r="CJ21" s="16">
        <f t="shared" si="16"/>
        <v>2578609.33</v>
      </c>
      <c r="CK21" s="16">
        <f t="shared" si="16"/>
        <v>3067057.15</v>
      </c>
      <c r="CL21" s="16">
        <f t="shared" si="16"/>
        <v>2955682.11</v>
      </c>
      <c r="CM21" s="16">
        <f t="shared" si="16"/>
        <v>3077863.3234469071</v>
      </c>
      <c r="CN21" s="16">
        <f t="shared" si="16"/>
        <v>3177940.6316422718</v>
      </c>
      <c r="CO21" s="16">
        <f t="shared" si="16"/>
        <v>3386816.3110165456</v>
      </c>
      <c r="CP21" s="16">
        <f t="shared" si="16"/>
        <v>3622682.1077233544</v>
      </c>
      <c r="CQ21" s="16">
        <f t="shared" si="16"/>
        <v>3814645.2544356179</v>
      </c>
      <c r="CR21" s="16">
        <f t="shared" si="16"/>
        <v>3965208.1616100431</v>
      </c>
      <c r="CS21" s="16">
        <f t="shared" si="16"/>
        <v>4188708.1021237718</v>
      </c>
      <c r="CT21" s="16">
        <f t="shared" si="16"/>
        <v>4539659.5867207879</v>
      </c>
      <c r="CU21" s="16">
        <f t="shared" si="16"/>
        <v>4816707.1341804825</v>
      </c>
      <c r="CV21" s="16">
        <f t="shared" si="16"/>
        <v>4816707.1341804825</v>
      </c>
      <c r="CW21" s="16">
        <f t="shared" si="16"/>
        <v>4816707.1341804825</v>
      </c>
      <c r="CX21" s="16">
        <f t="shared" si="16"/>
        <v>4824785.7591929911</v>
      </c>
      <c r="CY21" s="16">
        <f t="shared" si="16"/>
        <v>4968852.5363352802</v>
      </c>
      <c r="CZ21" s="16">
        <f t="shared" si="16"/>
        <v>5207862.9918744154</v>
      </c>
      <c r="DA21" s="16">
        <f t="shared" si="16"/>
        <v>5388381.7176485537</v>
      </c>
      <c r="DB21" s="16">
        <f t="shared" si="16"/>
        <v>5516469.2512767622</v>
      </c>
      <c r="DC21" s="16">
        <f t="shared" si="16"/>
        <v>5756633.5481540607</v>
      </c>
      <c r="DD21" s="16">
        <f t="shared" si="16"/>
        <v>5970815.4450194873</v>
      </c>
      <c r="DE21" s="16">
        <f t="shared" si="16"/>
        <v>6199467.6878971299</v>
      </c>
      <c r="DF21" s="16">
        <f t="shared" si="16"/>
        <v>6566059.5230555227</v>
      </c>
      <c r="DG21" s="16">
        <f t="shared" si="16"/>
        <v>6894362.4992082994</v>
      </c>
      <c r="DH21" s="16">
        <f t="shared" si="16"/>
        <v>6894362.4992082994</v>
      </c>
      <c r="DI21" s="16">
        <f t="shared" si="16"/>
        <v>6894362.4992082994</v>
      </c>
      <c r="DJ21" s="16">
        <f t="shared" si="16"/>
        <v>6894362.4992082994</v>
      </c>
      <c r="DK21" s="16">
        <f t="shared" si="16"/>
        <v>7021448.0740821473</v>
      </c>
      <c r="DL21" s="16">
        <f t="shared" ref="DL21:FB21" si="17">DL104</f>
        <v>7355950.2691407157</v>
      </c>
      <c r="DM21" s="16">
        <f t="shared" si="17"/>
        <v>7604100.6412141649</v>
      </c>
      <c r="DN21" s="16">
        <f t="shared" si="17"/>
        <v>7774914.7767864326</v>
      </c>
      <c r="DO21" s="16">
        <f t="shared" si="17"/>
        <v>8096436.854901609</v>
      </c>
      <c r="DP21" s="16">
        <f t="shared" si="17"/>
        <v>8372047.7353638262</v>
      </c>
      <c r="DQ21" s="16">
        <f t="shared" si="17"/>
        <v>8655637.0436212849</v>
      </c>
      <c r="DR21" s="16">
        <f t="shared" si="17"/>
        <v>9124089.6999692302</v>
      </c>
      <c r="DS21" s="16">
        <f t="shared" si="17"/>
        <v>9580294.1849676929</v>
      </c>
      <c r="DT21" s="16">
        <f t="shared" si="17"/>
        <v>9580294.1849676929</v>
      </c>
      <c r="DU21" s="16">
        <f t="shared" si="17"/>
        <v>9580294.1849676929</v>
      </c>
      <c r="DV21" s="16">
        <f t="shared" si="17"/>
        <v>9580294.1849676929</v>
      </c>
      <c r="DW21" s="16">
        <f t="shared" si="17"/>
        <v>9580294.1849676929</v>
      </c>
      <c r="DX21" s="16">
        <f t="shared" si="17"/>
        <v>9702564.9545793105</v>
      </c>
      <c r="DY21" s="16">
        <f t="shared" si="17"/>
        <v>10017277.556010287</v>
      </c>
      <c r="DZ21" s="16">
        <f t="shared" si="17"/>
        <v>10233906.497293945</v>
      </c>
      <c r="EA21" s="16">
        <f t="shared" si="17"/>
        <v>10641733.650103707</v>
      </c>
      <c r="EB21" s="16">
        <f t="shared" si="17"/>
        <v>10991300.785774209</v>
      </c>
      <c r="EC21" s="16">
        <f t="shared" si="17"/>
        <v>11350948.374063795</v>
      </c>
      <c r="ED21" s="16">
        <f t="shared" si="17"/>
        <v>11945092.218346773</v>
      </c>
      <c r="EE21" s="16">
        <f t="shared" si="17"/>
        <v>12542346.829264114</v>
      </c>
      <c r="EF21" s="16">
        <f t="shared" si="17"/>
        <v>12542346.829264114</v>
      </c>
      <c r="EG21" s="16">
        <f t="shared" si="17"/>
        <v>12542346.829264114</v>
      </c>
      <c r="EH21" s="16">
        <f t="shared" si="17"/>
        <v>12542346.829264114</v>
      </c>
      <c r="EI21" s="16">
        <f t="shared" si="17"/>
        <v>12542346.829264114</v>
      </c>
      <c r="EJ21" s="16">
        <f t="shared" si="17"/>
        <v>12599839.373694541</v>
      </c>
      <c r="EK21" s="16">
        <f t="shared" si="17"/>
        <v>12992186.311260341</v>
      </c>
      <c r="EL21" s="16">
        <f t="shared" si="17"/>
        <v>13262252.455463268</v>
      </c>
      <c r="EM21" s="16">
        <f t="shared" si="17"/>
        <v>13770712.990198934</v>
      </c>
      <c r="EN21" s="16">
        <f t="shared" si="17"/>
        <v>14206525.771807043</v>
      </c>
      <c r="EO21" s="16">
        <f t="shared" si="17"/>
        <v>14654887.764249574</v>
      </c>
      <c r="EP21" s="16">
        <f t="shared" si="17"/>
        <v>15395614.155970326</v>
      </c>
      <c r="EQ21" s="16">
        <f t="shared" si="17"/>
        <v>16165394.863768842</v>
      </c>
      <c r="ER21" s="16">
        <f t="shared" si="17"/>
        <v>16165394.863768842</v>
      </c>
      <c r="ES21" s="16">
        <f t="shared" si="17"/>
        <v>16165394.863768842</v>
      </c>
      <c r="ET21" s="16">
        <f t="shared" si="17"/>
        <v>16165394.863768842</v>
      </c>
      <c r="EU21" s="16">
        <f t="shared" si="17"/>
        <v>16165394.863768842</v>
      </c>
      <c r="EV21" s="16">
        <f t="shared" si="17"/>
        <v>16165394.863768842</v>
      </c>
      <c r="EW21" s="16">
        <f t="shared" si="17"/>
        <v>16589054.224179275</v>
      </c>
      <c r="EX21" s="16">
        <f t="shared" si="17"/>
        <v>16919880.995553598</v>
      </c>
      <c r="EY21" s="16">
        <f t="shared" si="17"/>
        <v>17542740.314404171</v>
      </c>
      <c r="EZ21" s="16">
        <f t="shared" si="17"/>
        <v>18076605.66197212</v>
      </c>
      <c r="FA21" s="16">
        <f t="shared" si="17"/>
        <v>18625841.83116474</v>
      </c>
      <c r="FB21" s="16">
        <f t="shared" si="17"/>
        <v>19533222.1050869</v>
      </c>
    </row>
    <row r="22" spans="2:158" x14ac:dyDescent="0.25">
      <c r="C22" s="2" t="s">
        <v>14</v>
      </c>
      <c r="D22" s="50">
        <f t="shared" si="8"/>
        <v>9555431.7000000011</v>
      </c>
      <c r="E22" s="50">
        <f t="shared" si="8"/>
        <v>14377398.870000003</v>
      </c>
      <c r="F22" s="50">
        <f t="shared" si="8"/>
        <v>16501535.249999998</v>
      </c>
      <c r="G22" s="50">
        <f t="shared" si="8"/>
        <v>32153075.513169423</v>
      </c>
      <c r="H22" s="50">
        <f t="shared" si="8"/>
        <v>49099742.379827887</v>
      </c>
      <c r="I22" s="50">
        <f t="shared" si="8"/>
        <v>60388487.041385069</v>
      </c>
      <c r="J22" s="50">
        <f t="shared" si="8"/>
        <v>75862664.803885713</v>
      </c>
      <c r="K22" s="50">
        <f t="shared" si="8"/>
        <v>93686112.431114972</v>
      </c>
      <c r="L22" s="50">
        <f>L132</f>
        <v>116659090.10749698</v>
      </c>
      <c r="M22" s="2"/>
      <c r="N22" s="16">
        <f t="shared" si="13"/>
        <v>1880047.92</v>
      </c>
      <c r="O22" s="16">
        <f>SUM(BB22:BD22)</f>
        <v>1985114.7400000002</v>
      </c>
      <c r="P22" s="16">
        <f>SUM(BE22:BG22)</f>
        <v>2644093.54</v>
      </c>
      <c r="Q22" s="16">
        <f>SUM(BH22:BJ22)</f>
        <v>3046175.5</v>
      </c>
      <c r="R22" s="16">
        <f>SUM(BK22:BM22)</f>
        <v>4000997.91</v>
      </c>
      <c r="S22" s="16">
        <f>SUM(BN22:BP22)</f>
        <v>3259350.52</v>
      </c>
      <c r="T22" s="16">
        <f>SUM(BQ22:BS22)</f>
        <v>3416674.05</v>
      </c>
      <c r="U22" s="16">
        <f>SUM(BT22:BV22)</f>
        <v>3700376.3900000006</v>
      </c>
      <c r="V22" s="16">
        <f>SUM(BW22:BY22)</f>
        <v>4894012.9399999995</v>
      </c>
      <c r="W22" s="16">
        <f>SUM(BZ22:CB22)</f>
        <v>3536406.38</v>
      </c>
      <c r="X22" s="16">
        <f>SUM(CC22:CE22)</f>
        <v>3683483.9</v>
      </c>
      <c r="Y22" s="16">
        <f>SUM(CF22:CH22)</f>
        <v>4387632.03</v>
      </c>
      <c r="Z22" s="16">
        <f>SUM(CI22:CK22)</f>
        <v>6034833.4900000002</v>
      </c>
      <c r="AA22" s="16">
        <f>SUM(CL22:CN22)</f>
        <v>7784350.445780186</v>
      </c>
      <c r="AB22" s="16">
        <f>SUM(CO22:CQ22)</f>
        <v>8447304.5198474564</v>
      </c>
      <c r="AC22" s="16">
        <f>SUM(CR22:CT22)</f>
        <v>9886587.057541782</v>
      </c>
      <c r="AD22" s="16">
        <f>SUM(CU22:CW22)</f>
        <v>11838806.95769627</v>
      </c>
      <c r="AE22" s="16">
        <f>SUM(CX22:CZ22)</f>
        <v>11929071.630307704</v>
      </c>
      <c r="AF22" s="16">
        <f>SUM(DA22:DC22)</f>
        <v>12139424.346230891</v>
      </c>
      <c r="AG22" s="16">
        <f>SUM(DD22:DF22)</f>
        <v>13192439.445593026</v>
      </c>
      <c r="AH22" s="16">
        <f>SUM(DG22:DI22)</f>
        <v>13960033.919779833</v>
      </c>
      <c r="AI22" s="16">
        <f>SUM(DJ22:DL22)</f>
        <v>14225526.683408018</v>
      </c>
      <c r="AJ22" s="16">
        <f>SUM(DM22:DO22)</f>
        <v>15273669.891698185</v>
      </c>
      <c r="AK22" s="16">
        <f>SUM(DP22:DR22)</f>
        <v>16929256.54649904</v>
      </c>
      <c r="AL22" s="16">
        <f>SUM(DS22:DU22)</f>
        <v>18024460.273198582</v>
      </c>
      <c r="AM22" s="16">
        <f>SUM(DV22:DX22)</f>
        <v>18171554.952088583</v>
      </c>
      <c r="AN22" s="16">
        <f>SUM(DY22:EA22)</f>
        <v>19037249.083440833</v>
      </c>
      <c r="AO22" s="16">
        <f>SUM(EB22:ED22)</f>
        <v>20629400.495157715</v>
      </c>
      <c r="AP22" s="16">
        <f>SUM(EE22:EG22)</f>
        <v>22150111.568999872</v>
      </c>
      <c r="AQ22" s="16">
        <f>SUM(EH22:EJ22)</f>
        <v>22374970.555763744</v>
      </c>
      <c r="AR22" s="16">
        <f>SUM(EK22:EM22)</f>
        <v>23465977.216410615</v>
      </c>
      <c r="AS22" s="16">
        <f>SUM(EN22:EP22)</f>
        <v>25695053.089940745</v>
      </c>
      <c r="AT22" s="16">
        <f>SUM(EQ22:ES22)</f>
        <v>27625265.330105394</v>
      </c>
      <c r="AU22" s="16">
        <f>SUM(ET22:EV22)</f>
        <v>27924419.376707383</v>
      </c>
      <c r="AV22" s="16">
        <f>SUM(EW22:EY22)</f>
        <v>29181388.341002263</v>
      </c>
      <c r="AW22" s="16">
        <f>SUM(EZ22:FB22)</f>
        <v>31928017.059681952</v>
      </c>
      <c r="AX22" s="2"/>
      <c r="AY22" s="16">
        <f>AY132</f>
        <v>619434.75</v>
      </c>
      <c r="AZ22" s="16">
        <f t="shared" ref="AZ22:DK22" si="18">AZ132</f>
        <v>637249.86</v>
      </c>
      <c r="BA22" s="16">
        <f t="shared" si="18"/>
        <v>623363.30999999994</v>
      </c>
      <c r="BB22" s="16">
        <f t="shared" si="18"/>
        <v>632901.98</v>
      </c>
      <c r="BC22" s="16">
        <f t="shared" si="18"/>
        <v>695540.60000000009</v>
      </c>
      <c r="BD22" s="16">
        <f t="shared" si="18"/>
        <v>656672.16</v>
      </c>
      <c r="BE22" s="16">
        <f t="shared" si="18"/>
        <v>916343.8</v>
      </c>
      <c r="BF22" s="16">
        <f t="shared" si="18"/>
        <v>819937.87</v>
      </c>
      <c r="BG22" s="16">
        <f t="shared" si="18"/>
        <v>907811.87</v>
      </c>
      <c r="BH22" s="16">
        <f t="shared" si="18"/>
        <v>942886.02999999991</v>
      </c>
      <c r="BI22" s="16">
        <f t="shared" si="18"/>
        <v>784538.78999999992</v>
      </c>
      <c r="BJ22" s="16">
        <f t="shared" si="18"/>
        <v>1318750.68</v>
      </c>
      <c r="BK22" s="16">
        <f t="shared" si="18"/>
        <v>1605530.8599999999</v>
      </c>
      <c r="BL22" s="16">
        <f t="shared" si="18"/>
        <v>1102213.1000000001</v>
      </c>
      <c r="BM22" s="16">
        <f t="shared" si="18"/>
        <v>1293253.9500000002</v>
      </c>
      <c r="BN22" s="16">
        <f t="shared" si="18"/>
        <v>1111881.3999999999</v>
      </c>
      <c r="BO22" s="16">
        <f t="shared" si="18"/>
        <v>1086358.3199999998</v>
      </c>
      <c r="BP22" s="16">
        <f t="shared" si="18"/>
        <v>1061110.8000000003</v>
      </c>
      <c r="BQ22" s="16">
        <f t="shared" si="18"/>
        <v>1146472.82</v>
      </c>
      <c r="BR22" s="16">
        <f t="shared" si="18"/>
        <v>1010948.82</v>
      </c>
      <c r="BS22" s="16">
        <f t="shared" si="18"/>
        <v>1259252.4099999999</v>
      </c>
      <c r="BT22" s="16">
        <f t="shared" si="18"/>
        <v>1213586.5800000003</v>
      </c>
      <c r="BU22" s="16">
        <f t="shared" si="18"/>
        <v>1261014.4899999998</v>
      </c>
      <c r="BV22" s="16">
        <f t="shared" si="18"/>
        <v>1225775.32</v>
      </c>
      <c r="BW22" s="16">
        <f t="shared" si="18"/>
        <v>2242308.59</v>
      </c>
      <c r="BX22" s="16">
        <f t="shared" si="18"/>
        <v>1354284.3900000001</v>
      </c>
      <c r="BY22" s="16">
        <f t="shared" si="18"/>
        <v>1297419.9599999997</v>
      </c>
      <c r="BZ22" s="16">
        <f t="shared" si="18"/>
        <v>1125999.98</v>
      </c>
      <c r="CA22" s="16">
        <f t="shared" si="18"/>
        <v>1135993.1500000001</v>
      </c>
      <c r="CB22" s="16">
        <f t="shared" si="18"/>
        <v>1274413.25</v>
      </c>
      <c r="CC22" s="16">
        <f t="shared" si="18"/>
        <v>1199970.8799999999</v>
      </c>
      <c r="CD22" s="16">
        <f t="shared" si="18"/>
        <v>1209731.1599999999</v>
      </c>
      <c r="CE22" s="16">
        <f t="shared" si="18"/>
        <v>1273781.8599999999</v>
      </c>
      <c r="CF22" s="16">
        <f t="shared" si="18"/>
        <v>1498061.42</v>
      </c>
      <c r="CG22" s="16">
        <f t="shared" si="18"/>
        <v>1379221.3299999998</v>
      </c>
      <c r="CH22" s="16">
        <f t="shared" si="18"/>
        <v>1510349.28</v>
      </c>
      <c r="CI22" s="16">
        <f t="shared" si="18"/>
        <v>1956659.1400000001</v>
      </c>
      <c r="CJ22" s="16">
        <f t="shared" si="18"/>
        <v>1830659.0799999998</v>
      </c>
      <c r="CK22" s="16">
        <f t="shared" si="18"/>
        <v>2247515.27</v>
      </c>
      <c r="CL22" s="16">
        <f t="shared" si="18"/>
        <v>2457949.1</v>
      </c>
      <c r="CM22" s="16">
        <f t="shared" si="18"/>
        <v>2508918.5493485848</v>
      </c>
      <c r="CN22" s="16">
        <f t="shared" si="18"/>
        <v>2817482.7964316015</v>
      </c>
      <c r="CO22" s="16">
        <f t="shared" si="18"/>
        <v>2670923.3199802372</v>
      </c>
      <c r="CP22" s="16">
        <f t="shared" si="18"/>
        <v>2767748.2635337845</v>
      </c>
      <c r="CQ22" s="16">
        <f t="shared" si="18"/>
        <v>3008632.9363334342</v>
      </c>
      <c r="CR22" s="16">
        <f t="shared" si="18"/>
        <v>2907116.9277495304</v>
      </c>
      <c r="CS22" s="16">
        <f t="shared" si="18"/>
        <v>3029785.7241297532</v>
      </c>
      <c r="CT22" s="16">
        <f t="shared" si="18"/>
        <v>3949684.4056624984</v>
      </c>
      <c r="CU22" s="16">
        <f t="shared" si="18"/>
        <v>3940399.1956838272</v>
      </c>
      <c r="CV22" s="16">
        <f t="shared" si="18"/>
        <v>3945647.7178187822</v>
      </c>
      <c r="CW22" s="16">
        <f t="shared" si="18"/>
        <v>3952760.0441936613</v>
      </c>
      <c r="CX22" s="16">
        <f t="shared" si="18"/>
        <v>3959958.5299387383</v>
      </c>
      <c r="CY22" s="16">
        <f t="shared" si="18"/>
        <v>3974056.267633114</v>
      </c>
      <c r="CZ22" s="16">
        <f t="shared" si="18"/>
        <v>3995056.8327358523</v>
      </c>
      <c r="DA22" s="16">
        <f t="shared" si="18"/>
        <v>4007764.8038717918</v>
      </c>
      <c r="DB22" s="16">
        <f t="shared" si="18"/>
        <v>4020627.1228532884</v>
      </c>
      <c r="DC22" s="16">
        <f t="shared" si="18"/>
        <v>4111032.4195058104</v>
      </c>
      <c r="DD22" s="16">
        <f t="shared" si="18"/>
        <v>4237601.8759381874</v>
      </c>
      <c r="DE22" s="16">
        <f t="shared" si="18"/>
        <v>4372098.4701131675</v>
      </c>
      <c r="DF22" s="16">
        <f t="shared" si="18"/>
        <v>4582739.0995416706</v>
      </c>
      <c r="DG22" s="16">
        <f t="shared" si="18"/>
        <v>4635902.8492568973</v>
      </c>
      <c r="DH22" s="16">
        <f t="shared" si="18"/>
        <v>4652566.8794740671</v>
      </c>
      <c r="DI22" s="16">
        <f t="shared" si="18"/>
        <v>4671564.1910488689</v>
      </c>
      <c r="DJ22" s="16">
        <f t="shared" si="18"/>
        <v>4690192.706196472</v>
      </c>
      <c r="DK22" s="16">
        <f t="shared" si="18"/>
        <v>4714230.2759315232</v>
      </c>
      <c r="DL22" s="16">
        <f t="shared" ref="DL22:FB22" si="19">DL132</f>
        <v>4821103.7012800239</v>
      </c>
      <c r="DM22" s="16">
        <f t="shared" si="19"/>
        <v>4945858.5997709753</v>
      </c>
      <c r="DN22" s="16">
        <f t="shared" si="19"/>
        <v>5065753.0811189683</v>
      </c>
      <c r="DO22" s="16">
        <f t="shared" si="19"/>
        <v>5262058.2108082417</v>
      </c>
      <c r="DP22" s="16">
        <f t="shared" si="19"/>
        <v>5434985.7050494365</v>
      </c>
      <c r="DQ22" s="16">
        <f t="shared" si="19"/>
        <v>5611880.3580538351</v>
      </c>
      <c r="DR22" s="16">
        <f t="shared" si="19"/>
        <v>5882390.4833957683</v>
      </c>
      <c r="DS22" s="16">
        <f t="shared" si="19"/>
        <v>5998533.253196653</v>
      </c>
      <c r="DT22" s="16">
        <f t="shared" si="19"/>
        <v>6007133.2674644915</v>
      </c>
      <c r="DU22" s="16">
        <f t="shared" si="19"/>
        <v>6018793.7525374349</v>
      </c>
      <c r="DV22" s="16">
        <f t="shared" si="19"/>
        <v>6029970.4838053063</v>
      </c>
      <c r="DW22" s="16">
        <f t="shared" si="19"/>
        <v>6040529.8205104377</v>
      </c>
      <c r="DX22" s="16">
        <f t="shared" si="19"/>
        <v>6101054.6477728384</v>
      </c>
      <c r="DY22" s="16">
        <f t="shared" si="19"/>
        <v>6227147.6121028969</v>
      </c>
      <c r="DZ22" s="16">
        <f t="shared" si="19"/>
        <v>6320086.516193985</v>
      </c>
      <c r="EA22" s="16">
        <f t="shared" si="19"/>
        <v>6490014.9551439527</v>
      </c>
      <c r="EB22" s="16">
        <f t="shared" si="19"/>
        <v>6651218.8773074653</v>
      </c>
      <c r="EC22" s="16">
        <f t="shared" si="19"/>
        <v>6838520.8978959983</v>
      </c>
      <c r="ED22" s="16">
        <f t="shared" si="19"/>
        <v>7139660.7199542522</v>
      </c>
      <c r="EE22" s="16">
        <f t="shared" si="19"/>
        <v>7362828.6616340661</v>
      </c>
      <c r="EF22" s="16">
        <f t="shared" si="19"/>
        <v>7381986.0462524565</v>
      </c>
      <c r="EG22" s="16">
        <f t="shared" si="19"/>
        <v>7405296.8611133499</v>
      </c>
      <c r="EH22" s="16">
        <f t="shared" si="19"/>
        <v>7427951.4143080218</v>
      </c>
      <c r="EI22" s="16">
        <f t="shared" si="19"/>
        <v>7449768.7546695219</v>
      </c>
      <c r="EJ22" s="16">
        <f t="shared" si="19"/>
        <v>7497250.3867861992</v>
      </c>
      <c r="EK22" s="16">
        <f t="shared" si="19"/>
        <v>7652036.8074383764</v>
      </c>
      <c r="EL22" s="16">
        <f t="shared" si="19"/>
        <v>7774436.9051055992</v>
      </c>
      <c r="EM22" s="16">
        <f t="shared" si="19"/>
        <v>8039503.503866639</v>
      </c>
      <c r="EN22" s="16">
        <f t="shared" si="19"/>
        <v>8276465.238959725</v>
      </c>
      <c r="EO22" s="16">
        <f t="shared" si="19"/>
        <v>8519208.2960336525</v>
      </c>
      <c r="EP22" s="16">
        <f t="shared" si="19"/>
        <v>8899379.5549473688</v>
      </c>
      <c r="EQ22" s="16">
        <f t="shared" si="19"/>
        <v>9177840.8916038703</v>
      </c>
      <c r="ER22" s="16">
        <f t="shared" si="19"/>
        <v>9206589.5970027819</v>
      </c>
      <c r="ES22" s="16">
        <f t="shared" si="19"/>
        <v>9240834.84149874</v>
      </c>
      <c r="ET22" s="16">
        <f t="shared" si="19"/>
        <v>9274182.8639491163</v>
      </c>
      <c r="EU22" s="16">
        <f t="shared" si="19"/>
        <v>9306400.584949078</v>
      </c>
      <c r="EV22" s="16">
        <f t="shared" si="19"/>
        <v>9343835.9278091844</v>
      </c>
      <c r="EW22" s="16">
        <f t="shared" si="19"/>
        <v>9508726.0978744831</v>
      </c>
      <c r="EX22" s="16">
        <f t="shared" si="19"/>
        <v>9670947.0455213226</v>
      </c>
      <c r="EY22" s="16">
        <f t="shared" si="19"/>
        <v>10001715.197606459</v>
      </c>
      <c r="EZ22" s="16">
        <f t="shared" si="19"/>
        <v>10291629.60943</v>
      </c>
      <c r="FA22" s="16">
        <f t="shared" si="19"/>
        <v>10588342.687987182</v>
      </c>
      <c r="FB22" s="16">
        <f t="shared" si="19"/>
        <v>11048044.76226477</v>
      </c>
    </row>
    <row r="23" spans="2:158" x14ac:dyDescent="0.25">
      <c r="C23" s="2" t="s">
        <v>15</v>
      </c>
      <c r="D23" s="50">
        <f t="shared" si="8"/>
        <v>0</v>
      </c>
      <c r="E23" s="50">
        <f t="shared" si="8"/>
        <v>-3891954.665450999</v>
      </c>
      <c r="F23" s="50">
        <f t="shared" si="8"/>
        <v>-3111327.1107220119</v>
      </c>
      <c r="G23" s="50">
        <f t="shared" si="8"/>
        <v>-10302434.208278835</v>
      </c>
      <c r="H23" s="50">
        <f t="shared" si="8"/>
        <v>-19445888.886340402</v>
      </c>
      <c r="I23" s="50">
        <f t="shared" si="8"/>
        <v>-30592555.907168016</v>
      </c>
      <c r="J23" s="50">
        <f t="shared" si="8"/>
        <v>-43075904.345728733</v>
      </c>
      <c r="K23" s="50">
        <f t="shared" si="8"/>
        <v>-56247628.513418943</v>
      </c>
      <c r="L23" s="50">
        <f>L65</f>
        <v>-74758817.524629831</v>
      </c>
      <c r="M23" s="2"/>
      <c r="N23" s="16">
        <f t="shared" si="13"/>
        <v>0</v>
      </c>
      <c r="O23" s="16">
        <f>SUM(BB23:BD23)</f>
        <v>0</v>
      </c>
      <c r="P23" s="16">
        <f>SUM(BE23:BG23)</f>
        <v>0</v>
      </c>
      <c r="Q23" s="16">
        <f>SUM(BH23:BJ23)</f>
        <v>0</v>
      </c>
      <c r="R23" s="16">
        <f>SUM(BK23:BM23)</f>
        <v>-754757.3753819993</v>
      </c>
      <c r="S23" s="16">
        <f>SUM(BN23:BP23)</f>
        <v>-1264114.8702439996</v>
      </c>
      <c r="T23" s="16">
        <f>SUM(BQ23:BS23)</f>
        <v>-675971</v>
      </c>
      <c r="U23" s="16">
        <f>SUM(BT23:BV23)</f>
        <v>-1197111.4198250002</v>
      </c>
      <c r="V23" s="16">
        <f>SUM(BW23:BY23)</f>
        <v>-361251.62999999995</v>
      </c>
      <c r="W23" s="16">
        <f>SUM(BZ23:CB23)</f>
        <v>-938564</v>
      </c>
      <c r="X23" s="16">
        <f>SUM(CC23:CE23)</f>
        <v>-659295.00000000116</v>
      </c>
      <c r="Y23" s="16">
        <f>SUM(CF23:CH23)</f>
        <v>-1152216.4807220106</v>
      </c>
      <c r="Z23" s="16">
        <f>SUM(CI23:CK23)</f>
        <v>-870726.18110277783</v>
      </c>
      <c r="AA23" s="16">
        <f>SUM(CL23:CN23)</f>
        <v>-2342202.415893924</v>
      </c>
      <c r="AB23" s="16">
        <f>SUM(CO23:CQ23)</f>
        <v>-3191173.5350808203</v>
      </c>
      <c r="AC23" s="16">
        <f>SUM(CR23:CT23)</f>
        <v>-3898332.0762013132</v>
      </c>
      <c r="AD23" s="16">
        <f>SUM(CU23:CW23)</f>
        <v>-2729454.7034360068</v>
      </c>
      <c r="AE23" s="16">
        <f>SUM(CX23:CZ23)</f>
        <v>-4514716.3732379684</v>
      </c>
      <c r="AF23" s="16">
        <f>SUM(DA23:DC23)</f>
        <v>-4209388.2847354691</v>
      </c>
      <c r="AG23" s="16">
        <f>SUM(DD23:DF23)</f>
        <v>-7992329.5249309577</v>
      </c>
      <c r="AH23" s="16">
        <f>SUM(DG23:DI23)</f>
        <v>-4860891.9904100578</v>
      </c>
      <c r="AI23" s="16">
        <f>SUM(DJ23:DL23)</f>
        <v>-7695476.0573426764</v>
      </c>
      <c r="AJ23" s="16">
        <f>SUM(DM23:DO23)</f>
        <v>-6640209.0548555609</v>
      </c>
      <c r="AK23" s="16">
        <f>SUM(DP23:DR23)</f>
        <v>-11395978.804559723</v>
      </c>
      <c r="AL23" s="16">
        <f>SUM(DS23:DU23)</f>
        <v>-7262477.5085396795</v>
      </c>
      <c r="AM23" s="16">
        <f>SUM(DV23:DX23)</f>
        <v>-11062385.267232828</v>
      </c>
      <c r="AN23" s="16">
        <f>SUM(DY23:EA23)</f>
        <v>-9151139.1195615437</v>
      </c>
      <c r="AO23" s="16">
        <f>SUM(EB23:ED23)</f>
        <v>-15599902.450394683</v>
      </c>
      <c r="AP23" s="16">
        <f>SUM(EE23:EG23)</f>
        <v>-9065146.6548579223</v>
      </c>
      <c r="AQ23" s="16">
        <f>SUM(EH23:EJ23)</f>
        <v>-14480015.210995654</v>
      </c>
      <c r="AR23" s="16">
        <f>SUM(EK23:EM23)</f>
        <v>-11756489.450564075</v>
      </c>
      <c r="AS23" s="16">
        <f>SUM(EN23:EP23)</f>
        <v>-20945977.197001293</v>
      </c>
      <c r="AT23" s="16">
        <f>SUM(EQ23:ES23)</f>
        <v>-11276149.316138564</v>
      </c>
      <c r="AU23" s="16">
        <f>SUM(ET23:EV23)</f>
        <v>-19087416.866927426</v>
      </c>
      <c r="AV23" s="16">
        <f>SUM(EW23:EY23)</f>
        <v>-15573597.477525864</v>
      </c>
      <c r="AW23" s="16">
        <f>SUM(EZ23:FB23)</f>
        <v>-28821653.864037976</v>
      </c>
      <c r="AX23" s="2"/>
      <c r="AY23" s="16">
        <f>AY65</f>
        <v>0</v>
      </c>
      <c r="AZ23" s="16">
        <f t="shared" ref="AZ23:DK23" si="20">AZ65</f>
        <v>0</v>
      </c>
      <c r="BA23" s="16">
        <f t="shared" si="20"/>
        <v>0</v>
      </c>
      <c r="BB23" s="16">
        <f t="shared" si="20"/>
        <v>0</v>
      </c>
      <c r="BC23" s="16">
        <f t="shared" si="20"/>
        <v>0</v>
      </c>
      <c r="BD23" s="16">
        <f t="shared" si="20"/>
        <v>0</v>
      </c>
      <c r="BE23" s="16">
        <f t="shared" si="20"/>
        <v>0</v>
      </c>
      <c r="BF23" s="16">
        <f t="shared" si="20"/>
        <v>0</v>
      </c>
      <c r="BG23" s="16">
        <f t="shared" si="20"/>
        <v>0</v>
      </c>
      <c r="BH23" s="16">
        <f t="shared" si="20"/>
        <v>0</v>
      </c>
      <c r="BI23" s="16">
        <f t="shared" si="20"/>
        <v>0</v>
      </c>
      <c r="BJ23" s="16">
        <f t="shared" si="20"/>
        <v>0</v>
      </c>
      <c r="BK23" s="16">
        <f t="shared" si="20"/>
        <v>-251585.79179399976</v>
      </c>
      <c r="BL23" s="16">
        <f t="shared" si="20"/>
        <v>-251585.79179399976</v>
      </c>
      <c r="BM23" s="16">
        <f t="shared" si="20"/>
        <v>-251585.79179399976</v>
      </c>
      <c r="BN23" s="16">
        <f t="shared" si="20"/>
        <v>-421371.62341466657</v>
      </c>
      <c r="BO23" s="16">
        <f t="shared" si="20"/>
        <v>-421371.62341466657</v>
      </c>
      <c r="BP23" s="16">
        <f t="shared" si="20"/>
        <v>-421371.62341466657</v>
      </c>
      <c r="BQ23" s="16">
        <f t="shared" si="20"/>
        <v>-225323.66666666666</v>
      </c>
      <c r="BR23" s="16">
        <f t="shared" si="20"/>
        <v>-225323.66666666666</v>
      </c>
      <c r="BS23" s="16">
        <f t="shared" si="20"/>
        <v>-225323.66666666666</v>
      </c>
      <c r="BT23" s="16">
        <f t="shared" si="20"/>
        <v>-399037.13994166674</v>
      </c>
      <c r="BU23" s="16">
        <f t="shared" si="20"/>
        <v>-399037.13994166674</v>
      </c>
      <c r="BV23" s="16">
        <f t="shared" si="20"/>
        <v>-399037.13994166674</v>
      </c>
      <c r="BW23" s="16">
        <f t="shared" si="20"/>
        <v>-120417.20999999998</v>
      </c>
      <c r="BX23" s="16">
        <f t="shared" si="20"/>
        <v>-120417.20999999998</v>
      </c>
      <c r="BY23" s="16">
        <f t="shared" si="20"/>
        <v>-120417.20999999998</v>
      </c>
      <c r="BZ23" s="16">
        <f t="shared" si="20"/>
        <v>-312854.66666666669</v>
      </c>
      <c r="CA23" s="16">
        <f t="shared" si="20"/>
        <v>-312854.66666666669</v>
      </c>
      <c r="CB23" s="16">
        <f t="shared" si="20"/>
        <v>-312854.66666666669</v>
      </c>
      <c r="CC23" s="16">
        <f t="shared" si="20"/>
        <v>-219765.00000000038</v>
      </c>
      <c r="CD23" s="16">
        <f t="shared" si="20"/>
        <v>-219765.00000000038</v>
      </c>
      <c r="CE23" s="16">
        <f t="shared" si="20"/>
        <v>-219765.00000000038</v>
      </c>
      <c r="CF23" s="16">
        <f t="shared" si="20"/>
        <v>-384072.1602406702</v>
      </c>
      <c r="CG23" s="16">
        <f t="shared" si="20"/>
        <v>-384072.1602406702</v>
      </c>
      <c r="CH23" s="16">
        <f t="shared" si="20"/>
        <v>-384072.1602406702</v>
      </c>
      <c r="CI23" s="16">
        <f t="shared" si="20"/>
        <v>-290242.06036759261</v>
      </c>
      <c r="CJ23" s="16">
        <f t="shared" si="20"/>
        <v>-290242.06036759261</v>
      </c>
      <c r="CK23" s="16">
        <f t="shared" si="20"/>
        <v>-290242.06036759261</v>
      </c>
      <c r="CL23" s="16">
        <f t="shared" si="20"/>
        <v>-780734.13863130799</v>
      </c>
      <c r="CM23" s="16">
        <f t="shared" si="20"/>
        <v>-780734.13863130799</v>
      </c>
      <c r="CN23" s="16">
        <f t="shared" si="20"/>
        <v>-780734.13863130799</v>
      </c>
      <c r="CO23" s="16">
        <f t="shared" si="20"/>
        <v>-1063724.5116936069</v>
      </c>
      <c r="CP23" s="16">
        <f t="shared" si="20"/>
        <v>-1063724.5116936069</v>
      </c>
      <c r="CQ23" s="16">
        <f t="shared" si="20"/>
        <v>-1063724.5116936069</v>
      </c>
      <c r="CR23" s="16">
        <f t="shared" si="20"/>
        <v>-1299444.0254004376</v>
      </c>
      <c r="CS23" s="16">
        <f t="shared" si="20"/>
        <v>-1299444.0254004376</v>
      </c>
      <c r="CT23" s="16">
        <f t="shared" si="20"/>
        <v>-1299444.0254004376</v>
      </c>
      <c r="CU23" s="16">
        <f t="shared" si="20"/>
        <v>250335.56937440927</v>
      </c>
      <c r="CV23" s="16">
        <f t="shared" si="20"/>
        <v>-661812.16351316939</v>
      </c>
      <c r="CW23" s="16">
        <f t="shared" si="20"/>
        <v>-2317978.1092972467</v>
      </c>
      <c r="CX23" s="16">
        <f t="shared" si="20"/>
        <v>-280358.57750950125</v>
      </c>
      <c r="CY23" s="16">
        <f t="shared" si="20"/>
        <v>-1565376.7768530878</v>
      </c>
      <c r="CZ23" s="16">
        <f t="shared" si="20"/>
        <v>-2668981.0188753791</v>
      </c>
      <c r="DA23" s="16">
        <f t="shared" si="20"/>
        <v>-169671.79810651066</v>
      </c>
      <c r="DB23" s="16">
        <f t="shared" si="20"/>
        <v>-1159795.8454126893</v>
      </c>
      <c r="DC23" s="16">
        <f t="shared" si="20"/>
        <v>-2879920.6412162688</v>
      </c>
      <c r="DD23" s="16">
        <f t="shared" si="20"/>
        <v>-537726.84300294262</v>
      </c>
      <c r="DE23" s="16">
        <f t="shared" si="20"/>
        <v>-3404838.6045822487</v>
      </c>
      <c r="DF23" s="16">
        <f t="shared" si="20"/>
        <v>-4049764.0773457666</v>
      </c>
      <c r="DG23" s="16">
        <f t="shared" si="20"/>
        <v>79993.637137989048</v>
      </c>
      <c r="DH23" s="16">
        <f t="shared" si="20"/>
        <v>-1261675.006731329</v>
      </c>
      <c r="DI23" s="16">
        <f t="shared" si="20"/>
        <v>-3679210.6208167179</v>
      </c>
      <c r="DJ23" s="16">
        <f t="shared" si="20"/>
        <v>-776799.56878863461</v>
      </c>
      <c r="DK23" s="16">
        <f t="shared" si="20"/>
        <v>-2644905.8152541774</v>
      </c>
      <c r="DL23" s="16">
        <f t="shared" ref="DL23:FB23" si="21">DL65</f>
        <v>-4273770.6732998639</v>
      </c>
      <c r="DM23" s="16">
        <f t="shared" si="21"/>
        <v>-385870.78124917857</v>
      </c>
      <c r="DN23" s="16">
        <f t="shared" si="21"/>
        <v>-1863481.0932229976</v>
      </c>
      <c r="DO23" s="16">
        <f t="shared" si="21"/>
        <v>-4390857.1803833842</v>
      </c>
      <c r="DP23" s="16">
        <f t="shared" si="21"/>
        <v>-663408.49490151624</v>
      </c>
      <c r="DQ23" s="16">
        <f t="shared" si="21"/>
        <v>-4891090.5018382324</v>
      </c>
      <c r="DR23" s="16">
        <f t="shared" si="21"/>
        <v>-5841479.8078199746</v>
      </c>
      <c r="DS23" s="16">
        <f t="shared" si="21"/>
        <v>14602.395209414419</v>
      </c>
      <c r="DT23" s="16">
        <f t="shared" si="21"/>
        <v>-1904860.7010049189</v>
      </c>
      <c r="DU23" s="16">
        <f t="shared" si="21"/>
        <v>-5372219.2027441747</v>
      </c>
      <c r="DV23" s="16">
        <f t="shared" si="21"/>
        <v>-1137595.9620714665</v>
      </c>
      <c r="DW23" s="16">
        <f t="shared" si="21"/>
        <v>-3816429.4031671113</v>
      </c>
      <c r="DX23" s="16">
        <f t="shared" si="21"/>
        <v>-6108359.9019942489</v>
      </c>
      <c r="DY23" s="16">
        <f t="shared" si="21"/>
        <v>-454596.03059601225</v>
      </c>
      <c r="DZ23" s="16">
        <f t="shared" si="21"/>
        <v>-2545026.3015280203</v>
      </c>
      <c r="EA23" s="16">
        <f t="shared" si="21"/>
        <v>-6151516.7874375116</v>
      </c>
      <c r="EB23" s="16">
        <f t="shared" si="21"/>
        <v>-722120.03912580805</v>
      </c>
      <c r="EC23" s="16">
        <f t="shared" si="21"/>
        <v>-6791420.0329514835</v>
      </c>
      <c r="ED23" s="16">
        <f t="shared" si="21"/>
        <v>-8086362.3783173906</v>
      </c>
      <c r="EE23" s="16">
        <f t="shared" si="21"/>
        <v>448769.67811045609</v>
      </c>
      <c r="EF23" s="16">
        <f t="shared" si="21"/>
        <v>-2286465.2339949701</v>
      </c>
      <c r="EG23" s="16">
        <f t="shared" si="21"/>
        <v>-7227451.0989734093</v>
      </c>
      <c r="EH23" s="16">
        <f t="shared" si="21"/>
        <v>-1193112.9810147984</v>
      </c>
      <c r="EI23" s="16">
        <f t="shared" si="21"/>
        <v>-5010450.6345760925</v>
      </c>
      <c r="EJ23" s="16">
        <f t="shared" si="21"/>
        <v>-8276451.5954047628</v>
      </c>
      <c r="EK23" s="16">
        <f t="shared" si="21"/>
        <v>-219838.0786622758</v>
      </c>
      <c r="EL23" s="16">
        <f t="shared" si="21"/>
        <v>-3198701.2147403881</v>
      </c>
      <c r="EM23" s="16">
        <f t="shared" si="21"/>
        <v>-8337950.1571614118</v>
      </c>
      <c r="EN23" s="16">
        <f t="shared" si="21"/>
        <v>-601059.7908172328</v>
      </c>
      <c r="EO23" s="16">
        <f t="shared" si="21"/>
        <v>-9249812.2820188217</v>
      </c>
      <c r="EP23" s="16">
        <f t="shared" si="21"/>
        <v>-11095105.124165241</v>
      </c>
      <c r="EQ23" s="16">
        <f t="shared" si="21"/>
        <v>1120647.7415236137</v>
      </c>
      <c r="ER23" s="16">
        <f t="shared" si="21"/>
        <v>-2722846.8956385264</v>
      </c>
      <c r="ES23" s="16">
        <f t="shared" si="21"/>
        <v>-9673950.1620236505</v>
      </c>
      <c r="ET23" s="16">
        <f t="shared" si="21"/>
        <v>-1242296.0333157806</v>
      </c>
      <c r="EU23" s="16">
        <f t="shared" si="21"/>
        <v>-6613191.1799662635</v>
      </c>
      <c r="EV23" s="16">
        <f t="shared" si="21"/>
        <v>-11231929.653645383</v>
      </c>
      <c r="EW23" s="16">
        <f t="shared" si="21"/>
        <v>30981.998294092715</v>
      </c>
      <c r="EX23" s="16">
        <f t="shared" si="21"/>
        <v>-4177570.0257152626</v>
      </c>
      <c r="EY23" s="16">
        <f t="shared" si="21"/>
        <v>-11427009.450104695</v>
      </c>
      <c r="EZ23" s="16">
        <f t="shared" si="21"/>
        <v>-610090.94334784709</v>
      </c>
      <c r="FA23" s="16">
        <f t="shared" si="21"/>
        <v>-12777256.45553007</v>
      </c>
      <c r="FB23" s="16">
        <f t="shared" si="21"/>
        <v>-15434306.465160059</v>
      </c>
    </row>
    <row r="24" spans="2:158" x14ac:dyDescent="0.25">
      <c r="D24" s="16"/>
      <c r="E24" s="16"/>
      <c r="F24" s="16"/>
      <c r="G24" s="16"/>
      <c r="H24" s="16"/>
      <c r="I24" s="55"/>
      <c r="J24" s="55"/>
      <c r="K24" s="55"/>
      <c r="L24" s="55"/>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Y24" s="16"/>
      <c r="AZ24" s="16"/>
      <c r="BA24" s="16"/>
      <c r="BB24" s="16"/>
      <c r="BC24" s="16"/>
      <c r="BD24" s="16"/>
      <c r="BE24" s="16"/>
      <c r="BF24" s="16"/>
      <c r="BG24" s="16"/>
      <c r="BH24" s="16"/>
      <c r="BI24" s="16"/>
      <c r="BJ24" s="16"/>
      <c r="BK24" s="16"/>
      <c r="BL24" s="16"/>
      <c r="BM24" s="16"/>
      <c r="BN24" s="16"/>
      <c r="BO24" s="16"/>
      <c r="BP24" s="16"/>
      <c r="BQ24" s="16"/>
      <c r="BR24" s="16"/>
      <c r="BS24" s="16"/>
      <c r="BT24" s="16"/>
      <c r="BU24" s="16"/>
      <c r="BV24" s="16"/>
      <c r="BW24" s="16"/>
      <c r="BX24" s="16"/>
      <c r="BY24" s="16"/>
      <c r="BZ24" s="16"/>
      <c r="CA24" s="16"/>
      <c r="CB24" s="16"/>
      <c r="CC24" s="16"/>
      <c r="CD24" s="16"/>
      <c r="CE24" s="16"/>
      <c r="CF24" s="16"/>
      <c r="CG24" s="16"/>
      <c r="CH24" s="16"/>
      <c r="CI24" s="16"/>
      <c r="CJ24" s="16"/>
      <c r="CK24" s="16"/>
      <c r="CL24" s="16"/>
      <c r="CM24" s="16"/>
      <c r="CN24" s="16"/>
      <c r="CO24" s="16"/>
      <c r="CP24" s="16"/>
      <c r="CQ24" s="16"/>
      <c r="CR24" s="16"/>
      <c r="CS24" s="16"/>
      <c r="CT24" s="16"/>
      <c r="CU24" s="16"/>
      <c r="CV24" s="16"/>
      <c r="CW24" s="16"/>
      <c r="CX24" s="16"/>
      <c r="CY24" s="16"/>
      <c r="CZ24" s="16"/>
      <c r="DA24" s="16"/>
      <c r="DB24" s="16"/>
      <c r="DC24" s="16"/>
      <c r="DD24" s="16"/>
      <c r="DE24" s="16"/>
      <c r="DF24" s="16"/>
      <c r="DG24" s="16"/>
      <c r="DH24" s="16"/>
      <c r="DI24" s="16"/>
      <c r="DJ24" s="16"/>
      <c r="DK24" s="16"/>
      <c r="DL24" s="16"/>
      <c r="DM24" s="16"/>
      <c r="DN24" s="16"/>
      <c r="DO24" s="16"/>
      <c r="DP24" s="16"/>
      <c r="DQ24" s="16"/>
      <c r="DR24" s="16"/>
      <c r="DS24" s="16"/>
      <c r="DT24" s="16"/>
      <c r="DU24" s="16"/>
      <c r="DV24" s="16"/>
      <c r="DW24" s="16"/>
      <c r="DX24" s="16"/>
      <c r="DY24" s="16"/>
      <c r="DZ24" s="16"/>
      <c r="EA24" s="16"/>
      <c r="EB24" s="16"/>
      <c r="EC24" s="16"/>
      <c r="ED24" s="16"/>
      <c r="EE24" s="16"/>
      <c r="EF24" s="16"/>
      <c r="EG24" s="16"/>
      <c r="EH24" s="16"/>
      <c r="EI24" s="16"/>
      <c r="EJ24" s="16"/>
      <c r="EK24" s="16"/>
      <c r="EL24" s="16"/>
      <c r="EM24" s="16"/>
      <c r="EN24" s="16"/>
      <c r="EO24" s="16"/>
      <c r="EP24" s="16"/>
      <c r="EQ24" s="16"/>
      <c r="ER24" s="16"/>
      <c r="ES24" s="16"/>
      <c r="ET24" s="16"/>
      <c r="EU24" s="16"/>
      <c r="EV24" s="16"/>
      <c r="EW24" s="16"/>
      <c r="EX24" s="16"/>
      <c r="EY24" s="16"/>
      <c r="EZ24" s="16"/>
      <c r="FA24" s="16"/>
      <c r="FB24" s="16"/>
    </row>
    <row r="25" spans="2:158" x14ac:dyDescent="0.25">
      <c r="C25" s="3" t="s">
        <v>5</v>
      </c>
      <c r="D25" s="4"/>
      <c r="E25" s="4"/>
      <c r="F25" s="4"/>
      <c r="G25" s="4"/>
      <c r="H25" s="4"/>
      <c r="I25" s="4"/>
      <c r="J25" s="4"/>
      <c r="K25" s="4"/>
      <c r="L25" s="4"/>
      <c r="M25" s="3"/>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3"/>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row>
    <row r="26" spans="2:158" x14ac:dyDescent="0.25">
      <c r="D26" s="16"/>
      <c r="E26" s="16"/>
      <c r="F26" s="16"/>
      <c r="G26" s="16"/>
      <c r="H26" s="16"/>
      <c r="I26" s="55"/>
      <c r="J26" s="55"/>
      <c r="K26" s="55"/>
      <c r="L26" s="55"/>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Y26" s="16"/>
      <c r="AZ26" s="16"/>
      <c r="BA26" s="16"/>
      <c r="BB26" s="16"/>
      <c r="BC26" s="16"/>
      <c r="BD26" s="16"/>
      <c r="BE26" s="16"/>
      <c r="BF26" s="16"/>
      <c r="BG26" s="16"/>
      <c r="BH26" s="16"/>
      <c r="BI26" s="16"/>
      <c r="BJ26" s="16"/>
      <c r="BK26" s="16"/>
      <c r="BL26" s="16"/>
      <c r="BM26" s="16"/>
      <c r="BN26" s="16"/>
      <c r="BO26" s="16"/>
      <c r="BP26" s="16"/>
      <c r="BQ26" s="16"/>
      <c r="BR26" s="16"/>
      <c r="BS26" s="16"/>
      <c r="BT26" s="16"/>
      <c r="BU26" s="16"/>
      <c r="BV26" s="16"/>
      <c r="BW26" s="16"/>
      <c r="BX26" s="16"/>
      <c r="BY26" s="16"/>
      <c r="BZ26" s="16"/>
      <c r="CA26" s="16"/>
      <c r="CB26" s="16"/>
      <c r="CC26" s="16"/>
      <c r="CD26" s="16"/>
      <c r="CE26" s="16"/>
      <c r="CF26" s="16"/>
      <c r="CG26" s="16"/>
      <c r="CH26" s="16"/>
      <c r="CI26" s="16"/>
      <c r="CJ26" s="16"/>
      <c r="CK26" s="16"/>
      <c r="CL26" s="16"/>
      <c r="CM26" s="16"/>
      <c r="CN26" s="16"/>
      <c r="CO26" s="16"/>
      <c r="CP26" s="16"/>
      <c r="CQ26" s="16"/>
      <c r="CR26" s="16"/>
      <c r="CS26" s="16"/>
      <c r="CT26" s="16"/>
      <c r="CU26" s="16"/>
      <c r="CV26" s="16"/>
      <c r="CW26" s="16"/>
      <c r="CX26" s="16"/>
      <c r="CY26" s="16"/>
      <c r="CZ26" s="16"/>
      <c r="DA26" s="16"/>
      <c r="DB26" s="16"/>
      <c r="DC26" s="16"/>
      <c r="DD26" s="16"/>
      <c r="DE26" s="16"/>
      <c r="DF26" s="16"/>
      <c r="DG26" s="16"/>
      <c r="DH26" s="16"/>
      <c r="DI26" s="16"/>
      <c r="DJ26" s="16"/>
      <c r="DK26" s="16"/>
      <c r="DL26" s="16"/>
      <c r="DM26" s="16"/>
      <c r="DN26" s="16"/>
      <c r="DO26" s="16"/>
      <c r="DP26" s="16"/>
      <c r="DQ26" s="16"/>
      <c r="DR26" s="16"/>
      <c r="DS26" s="16"/>
      <c r="DT26" s="16"/>
      <c r="DU26" s="16"/>
      <c r="DV26" s="16"/>
      <c r="DW26" s="16"/>
      <c r="DX26" s="16"/>
      <c r="DY26" s="16"/>
      <c r="DZ26" s="16"/>
      <c r="EA26" s="16"/>
      <c r="EB26" s="16"/>
      <c r="EC26" s="16"/>
      <c r="ED26" s="16"/>
      <c r="EE26" s="16"/>
      <c r="EF26" s="16"/>
      <c r="EG26" s="16"/>
      <c r="EH26" s="16"/>
      <c r="EI26" s="16"/>
      <c r="EJ26" s="16"/>
      <c r="EK26" s="16"/>
      <c r="EL26" s="16"/>
      <c r="EM26" s="16"/>
      <c r="EN26" s="16"/>
      <c r="EO26" s="16"/>
      <c r="EP26" s="16"/>
      <c r="EQ26" s="16"/>
      <c r="ER26" s="16"/>
      <c r="ES26" s="16"/>
      <c r="ET26" s="16"/>
      <c r="EU26" s="16"/>
      <c r="EV26" s="16"/>
      <c r="EW26" s="16"/>
      <c r="EX26" s="16"/>
      <c r="EY26" s="16"/>
      <c r="EZ26" s="16"/>
      <c r="FA26" s="16"/>
      <c r="FB26" s="16"/>
    </row>
    <row r="27" spans="2:158" x14ac:dyDescent="0.25">
      <c r="B27" s="99"/>
      <c r="C27" t="s">
        <v>562</v>
      </c>
      <c r="D27" s="50">
        <f t="shared" ref="D27:L28" si="22">SUMIF($AY$2:$FB$2,D$2,$AY27:$FB27)</f>
        <v>1217695</v>
      </c>
      <c r="E27" s="50">
        <f t="shared" si="22"/>
        <v>2680076</v>
      </c>
      <c r="F27" s="50">
        <f t="shared" si="22"/>
        <v>3539607</v>
      </c>
      <c r="G27" s="50">
        <f t="shared" si="22"/>
        <v>5634818.8723765453</v>
      </c>
      <c r="H27" s="50">
        <f t="shared" si="22"/>
        <v>11812500</v>
      </c>
      <c r="I27" s="50">
        <f t="shared" si="22"/>
        <v>17423437.500000004</v>
      </c>
      <c r="J27" s="50">
        <f t="shared" si="22"/>
        <v>25263984.375000004</v>
      </c>
      <c r="K27" s="50">
        <f t="shared" si="22"/>
        <v>36001177.734375</v>
      </c>
      <c r="L27" s="50">
        <f t="shared" si="22"/>
        <v>45361483.945312515</v>
      </c>
      <c r="M27" s="2"/>
      <c r="N27" s="50">
        <f t="shared" ref="N27:N28" si="23">SUM(AY27:BA27)</f>
        <v>66755</v>
      </c>
      <c r="O27" s="16">
        <f t="shared" ref="O27:O28" si="24">SUM(BB27:BD27)</f>
        <v>224387</v>
      </c>
      <c r="P27" s="16">
        <f t="shared" ref="P27:P28" si="25">SUM(BE27:BG27)</f>
        <v>392750</v>
      </c>
      <c r="Q27" s="16">
        <f t="shared" ref="Q27:Q28" si="26">SUM(BH27:BJ27)</f>
        <v>533803</v>
      </c>
      <c r="R27" s="16">
        <f t="shared" ref="R27:R28" si="27">SUM(BK27:BM27)</f>
        <v>544732</v>
      </c>
      <c r="S27" s="16">
        <f t="shared" ref="S27:S28" si="28">SUM(BN27:BP27)</f>
        <v>613804</v>
      </c>
      <c r="T27" s="16">
        <f t="shared" ref="T27:T28" si="29">SUM(BQ27:BS27)</f>
        <v>652511</v>
      </c>
      <c r="U27" s="16">
        <f t="shared" ref="U27:U28" si="30">SUM(BT27:BV27)</f>
        <v>869029</v>
      </c>
      <c r="V27" s="16">
        <f t="shared" ref="V27:V28" si="31">SUM(BW27:BY27)</f>
        <v>875546</v>
      </c>
      <c r="W27" s="16">
        <f t="shared" ref="W27:W28" si="32">SUM(BZ27:CB27)</f>
        <v>779242</v>
      </c>
      <c r="X27" s="16">
        <f t="shared" ref="X27:X28" si="33">SUM(CC27:CE27)</f>
        <v>970220</v>
      </c>
      <c r="Y27" s="16">
        <f t="shared" ref="Y27:Y28" si="34">SUM(CF27:CH27)</f>
        <v>914599</v>
      </c>
      <c r="Z27" s="16">
        <f t="shared" ref="Z27:Z28" si="35">SUM(CI27:CK27)</f>
        <v>1040095.15</v>
      </c>
      <c r="AA27" s="16">
        <f t="shared" ref="AA27:AA28" si="36">SUM(CL27:CN27)</f>
        <v>1137199</v>
      </c>
      <c r="AB27" s="16">
        <f t="shared" ref="AB27:AB28" si="37">SUM(CO27:CQ27)</f>
        <v>1593904.5898655455</v>
      </c>
      <c r="AC27" s="16">
        <f t="shared" ref="AC27:AC28" si="38">SUM(CR27:CT27)</f>
        <v>1863620.1325110001</v>
      </c>
      <c r="AD27" s="16">
        <f t="shared" ref="AD27:AD28" si="39">SUM(CU27:CW27)</f>
        <v>2090506.9488506054</v>
      </c>
      <c r="AE27" s="16">
        <f t="shared" ref="AE27:AE28" si="40">SUM(CX27:CZ27)</f>
        <v>2781431.7468457194</v>
      </c>
      <c r="AF27" s="16">
        <f t="shared" ref="AF27:AF28" si="41">SUM(DA27:DC27)</f>
        <v>2742165.0618445631</v>
      </c>
      <c r="AG27" s="16">
        <f t="shared" ref="AG27:AG28" si="42">SUM(DD27:DF27)</f>
        <v>4198396.2424591118</v>
      </c>
      <c r="AH27" s="16">
        <f t="shared" ref="AH27:AH28" si="43">SUM(DG27:DI27)</f>
        <v>3177584.3120546434</v>
      </c>
      <c r="AI27" s="16">
        <f t="shared" ref="AI27:AI28" si="44">SUM(DJ27:DL27)</f>
        <v>4311693.0765974363</v>
      </c>
      <c r="AJ27" s="16">
        <f t="shared" ref="AJ27:AJ28" si="45">SUM(DM27:DO27)</f>
        <v>4044693.4662207309</v>
      </c>
      <c r="AK27" s="16">
        <f t="shared" ref="AK27:AK28" si="46">SUM(DP27:DR27)</f>
        <v>5889466.6451271903</v>
      </c>
      <c r="AL27" s="16">
        <f t="shared" ref="AL27:AL28" si="47">SUM(DS27:DU27)</f>
        <v>4607497.2524792338</v>
      </c>
      <c r="AM27" s="16">
        <f t="shared" ref="AM27:AM28" si="48">SUM(DV27:DX27)</f>
        <v>6251954.9610662842</v>
      </c>
      <c r="AN27" s="16">
        <f t="shared" ref="AN27:AN28" si="49">SUM(DY27:EA27)</f>
        <v>5864805.5260200594</v>
      </c>
      <c r="AO27" s="16">
        <f t="shared" ref="AO27:AO28" si="50">SUM(EB27:ED27)</f>
        <v>8539726.6354344264</v>
      </c>
      <c r="AP27" s="16">
        <f t="shared" ref="AP27:AP28" si="51">SUM(EE27:EG27)</f>
        <v>6565683.5847829077</v>
      </c>
      <c r="AQ27" s="16">
        <f t="shared" ref="AQ27:AQ28" si="52">SUM(EH27:EJ27)</f>
        <v>8909035.8195194565</v>
      </c>
      <c r="AR27" s="16">
        <f t="shared" ref="AR27:AR28" si="53">SUM(EK27:EM27)</f>
        <v>8357347.8745785868</v>
      </c>
      <c r="AS27" s="16">
        <f t="shared" ref="AS27:AS28" si="54">SUM(EN27:EP27)</f>
        <v>12169110.455494057</v>
      </c>
      <c r="AT27" s="16">
        <f t="shared" ref="AT27:AT28" si="55">SUM(EQ27:ES27)</f>
        <v>8272761.3168264646</v>
      </c>
      <c r="AU27" s="16">
        <f t="shared" ref="AU27:AU28" si="56">SUM(ET27:EV27)</f>
        <v>11225385.132594515</v>
      </c>
      <c r="AV27" s="16">
        <f t="shared" ref="AV27:AV28" si="57">SUM(EW27:EY27)</f>
        <v>10530258.321969019</v>
      </c>
      <c r="AW27" s="16">
        <f t="shared" ref="AW27:AW28" si="58">SUM(EZ27:FB27)</f>
        <v>15333079.173922513</v>
      </c>
      <c r="AX27" s="2"/>
      <c r="AY27" s="16">
        <f>Forecast!AY30</f>
        <v>12650</v>
      </c>
      <c r="AZ27" s="16">
        <f>Forecast!AZ30</f>
        <v>16000</v>
      </c>
      <c r="BA27" s="16">
        <f>Forecast!BA30</f>
        <v>38105</v>
      </c>
      <c r="BB27" s="16">
        <f>Forecast!BB30</f>
        <v>5120</v>
      </c>
      <c r="BC27" s="16">
        <f>Forecast!BC30</f>
        <v>118749</v>
      </c>
      <c r="BD27" s="16">
        <f>Forecast!BD30</f>
        <v>100518</v>
      </c>
      <c r="BE27" s="16">
        <f>Forecast!BE30</f>
        <v>152940</v>
      </c>
      <c r="BF27" s="16">
        <f>Forecast!BF30</f>
        <v>135562</v>
      </c>
      <c r="BG27" s="16">
        <f>Forecast!BG30</f>
        <v>104248</v>
      </c>
      <c r="BH27" s="16">
        <f>Forecast!BH30</f>
        <v>165132</v>
      </c>
      <c r="BI27" s="16">
        <f>Forecast!BI30</f>
        <v>189147</v>
      </c>
      <c r="BJ27" s="16">
        <f>Forecast!BJ30</f>
        <v>179524</v>
      </c>
      <c r="BK27" s="16">
        <f>Forecast!BK30</f>
        <v>230146</v>
      </c>
      <c r="BL27" s="16">
        <f>Forecast!BL30</f>
        <v>169713</v>
      </c>
      <c r="BM27" s="16">
        <f>Forecast!BM30</f>
        <v>144873</v>
      </c>
      <c r="BN27" s="16">
        <f>Forecast!BN30</f>
        <v>224892</v>
      </c>
      <c r="BO27" s="16">
        <f>Forecast!BO30</f>
        <v>215948</v>
      </c>
      <c r="BP27" s="16">
        <f>Forecast!BP30</f>
        <v>172964</v>
      </c>
      <c r="BQ27" s="16">
        <f>Forecast!BQ30</f>
        <v>204212</v>
      </c>
      <c r="BR27" s="16">
        <f>Forecast!BR30</f>
        <v>255199</v>
      </c>
      <c r="BS27" s="16">
        <f>Forecast!BS30</f>
        <v>193100</v>
      </c>
      <c r="BT27" s="16">
        <f>Forecast!BT30</f>
        <v>270475</v>
      </c>
      <c r="BU27" s="16">
        <f>Forecast!BU30</f>
        <v>281661</v>
      </c>
      <c r="BV27" s="16">
        <f>Forecast!BV30</f>
        <v>316893</v>
      </c>
      <c r="BW27" s="16">
        <f>Forecast!BW30</f>
        <v>396398</v>
      </c>
      <c r="BX27" s="16">
        <f>Forecast!BX30</f>
        <v>270210</v>
      </c>
      <c r="BY27" s="16">
        <f>Forecast!BY30</f>
        <v>208938</v>
      </c>
      <c r="BZ27" s="16">
        <f>Forecast!BZ30</f>
        <v>291526</v>
      </c>
      <c r="CA27" s="16">
        <f>Forecast!CA30</f>
        <v>260539</v>
      </c>
      <c r="CB27" s="16">
        <f>Forecast!CB30</f>
        <v>227177</v>
      </c>
      <c r="CC27" s="16">
        <f>Forecast!CC30</f>
        <v>337063</v>
      </c>
      <c r="CD27" s="16">
        <f>Forecast!CD30</f>
        <v>324489</v>
      </c>
      <c r="CE27" s="16">
        <f>Forecast!CE30</f>
        <v>308668</v>
      </c>
      <c r="CF27" s="16">
        <f>Forecast!CF30</f>
        <v>309140</v>
      </c>
      <c r="CG27" s="16">
        <f>Forecast!CG30</f>
        <v>298689</v>
      </c>
      <c r="CH27" s="16">
        <f>Forecast!CH30</f>
        <v>306770</v>
      </c>
      <c r="CI27" s="16">
        <f>Forecast!CI30</f>
        <v>396476.15</v>
      </c>
      <c r="CJ27" s="16">
        <f>Forecast!CJ30</f>
        <v>388299</v>
      </c>
      <c r="CK27" s="16">
        <f>Forecast!CK30</f>
        <v>255320</v>
      </c>
      <c r="CL27" s="16">
        <f>Forecast!CL30</f>
        <v>361185</v>
      </c>
      <c r="CM27" s="16">
        <f>Forecast!CM30</f>
        <v>412503</v>
      </c>
      <c r="CN27" s="16">
        <f>Forecast!CN30</f>
        <v>363511</v>
      </c>
      <c r="CO27" s="16">
        <f>Forecast!CO30</f>
        <v>516541.66339999996</v>
      </c>
      <c r="CP27" s="16">
        <f>Forecast!CP30</f>
        <v>510656.18875615153</v>
      </c>
      <c r="CQ27" s="16">
        <f>Forecast!CQ30</f>
        <v>566706.73770939396</v>
      </c>
      <c r="CR27" s="16">
        <f>Forecast!CR30</f>
        <v>595313.47548545455</v>
      </c>
      <c r="CS27" s="16">
        <f>Forecast!CS30</f>
        <v>591436.61501600011</v>
      </c>
      <c r="CT27" s="16">
        <f>Forecast!CT30</f>
        <v>676870.04200954549</v>
      </c>
      <c r="CU27" s="16">
        <f>Forecast!CU30</f>
        <v>276344.26574892498</v>
      </c>
      <c r="CV27" s="16">
        <f>Forecast!CV30</f>
        <v>607345.92822784989</v>
      </c>
      <c r="CW27" s="16">
        <f>Forecast!CW30</f>
        <v>1206816.7548738306</v>
      </c>
      <c r="CX27" s="16">
        <f>Forecast!CX30</f>
        <v>482533.10866548883</v>
      </c>
      <c r="CY27" s="16">
        <f>Forecast!CY30</f>
        <v>946423.96334594837</v>
      </c>
      <c r="CZ27" s="16">
        <f>Forecast!CZ30</f>
        <v>1352474.6748342824</v>
      </c>
      <c r="DA27" s="16">
        <f>Forecast!DA30</f>
        <v>463343.55715916475</v>
      </c>
      <c r="DB27" s="16">
        <f>Forecast!DB30</f>
        <v>826187.45187819027</v>
      </c>
      <c r="DC27" s="16">
        <f>Forecast!DC30</f>
        <v>1452634.0528072082</v>
      </c>
      <c r="DD27" s="16">
        <f>Forecast!DD30</f>
        <v>623763.55779143283</v>
      </c>
      <c r="DE27" s="16">
        <f>Forecast!DE30</f>
        <v>1663844.9584113343</v>
      </c>
      <c r="DF27" s="16">
        <f>Forecast!DF30</f>
        <v>1910787.7262563445</v>
      </c>
      <c r="DG27" s="16">
        <f>Forecast!DG30</f>
        <v>438969.97947966441</v>
      </c>
      <c r="DH27" s="16">
        <f>Forecast!DH30</f>
        <v>927197.43163607887</v>
      </c>
      <c r="DI27" s="16">
        <f>Forecast!DI30</f>
        <v>1811416.9009389002</v>
      </c>
      <c r="DJ27" s="16">
        <f>Forecast!DJ30</f>
        <v>781430.08528159594</v>
      </c>
      <c r="DK27" s="16">
        <f>Forecast!DK30</f>
        <v>1465669.0959352741</v>
      </c>
      <c r="DL27" s="16">
        <f>Forecast!DL30</f>
        <v>2064593.8953805666</v>
      </c>
      <c r="DM27" s="16">
        <f>Forecast!DM30</f>
        <v>683431.74680976814</v>
      </c>
      <c r="DN27" s="16">
        <f>Forecast!DN30</f>
        <v>1218626.4915203308</v>
      </c>
      <c r="DO27" s="16">
        <f>Forecast!DO30</f>
        <v>2142635.2278906321</v>
      </c>
      <c r="DP27" s="16">
        <f>Forecast!DP30</f>
        <v>818995.31024236348</v>
      </c>
      <c r="DQ27" s="16">
        <f>Forecast!DQ30</f>
        <v>2353115.3761567185</v>
      </c>
      <c r="DR27" s="16">
        <f>Forecast!DR30</f>
        <v>2717355.9587281086</v>
      </c>
      <c r="DS27" s="16">
        <f>Forecast!DS30</f>
        <v>636506.4702455136</v>
      </c>
      <c r="DT27" s="16">
        <f>Forecast!DT30</f>
        <v>1344436.2758723143</v>
      </c>
      <c r="DU27" s="16">
        <f>Forecast!DU30</f>
        <v>2626554.5063614058</v>
      </c>
      <c r="DV27" s="16">
        <f>Forecast!DV30</f>
        <v>1133073.6236583146</v>
      </c>
      <c r="DW27" s="16">
        <f>Forecast!DW30</f>
        <v>2125220.1891061477</v>
      </c>
      <c r="DX27" s="16">
        <f>Forecast!DX30</f>
        <v>2993661.1483018221</v>
      </c>
      <c r="DY27" s="16">
        <f>Forecast!DY30</f>
        <v>990976.03287416382</v>
      </c>
      <c r="DZ27" s="16">
        <f>Forecast!DZ30</f>
        <v>1767008.4127044794</v>
      </c>
      <c r="EA27" s="16">
        <f>Forecast!EA30</f>
        <v>3106821.0804414167</v>
      </c>
      <c r="EB27" s="16">
        <f>Forecast!EB30</f>
        <v>1187543.199851427</v>
      </c>
      <c r="EC27" s="16">
        <f>Forecast!EC30</f>
        <v>3412017.2954272418</v>
      </c>
      <c r="ED27" s="16">
        <f>Forecast!ED30</f>
        <v>3940166.1401557573</v>
      </c>
      <c r="EE27" s="16">
        <f>Forecast!EE30</f>
        <v>907021.72009985673</v>
      </c>
      <c r="EF27" s="16">
        <f>Forecast!EF30</f>
        <v>1915821.6931180479</v>
      </c>
      <c r="EG27" s="16">
        <f>Forecast!EG30</f>
        <v>3742840.1715650032</v>
      </c>
      <c r="EH27" s="16">
        <f>Forecast!EH30</f>
        <v>1614629.9137130978</v>
      </c>
      <c r="EI27" s="16">
        <f>Forecast!EI30</f>
        <v>3028438.7694762605</v>
      </c>
      <c r="EJ27" s="16">
        <f>Forecast!EJ30</f>
        <v>4265967.136330097</v>
      </c>
      <c r="EK27" s="16">
        <f>Forecast!EK30</f>
        <v>1412140.8468456836</v>
      </c>
      <c r="EL27" s="16">
        <f>Forecast!EL30</f>
        <v>2517986.9881038833</v>
      </c>
      <c r="EM27" s="16">
        <f>Forecast!EM30</f>
        <v>4427220.0396290198</v>
      </c>
      <c r="EN27" s="16">
        <f>Forecast!EN30</f>
        <v>1692249.0597882837</v>
      </c>
      <c r="EO27" s="16">
        <f>Forecast!EO30</f>
        <v>4862124.6459838198</v>
      </c>
      <c r="EP27" s="16">
        <f>Forecast!EP30</f>
        <v>5614736.7497219536</v>
      </c>
      <c r="EQ27" s="16">
        <f>Forecast!EQ30</f>
        <v>1142847.3673258196</v>
      </c>
      <c r="ER27" s="16">
        <f>Forecast!ER30</f>
        <v>2413935.3333287407</v>
      </c>
      <c r="ES27" s="16">
        <f>Forecast!ES30</f>
        <v>4715978.6161719039</v>
      </c>
      <c r="ET27" s="16">
        <f>Forecast!ET30</f>
        <v>2034433.6912785037</v>
      </c>
      <c r="EU27" s="16">
        <f>Forecast!EU30</f>
        <v>3815832.8495400879</v>
      </c>
      <c r="EV27" s="16">
        <f>Forecast!EV30</f>
        <v>5375118.5917759221</v>
      </c>
      <c r="EW27" s="16">
        <f>Forecast!EW30</f>
        <v>1779297.4670255613</v>
      </c>
      <c r="EX27" s="16">
        <f>Forecast!EX30</f>
        <v>3172663.6050108937</v>
      </c>
      <c r="EY27" s="16">
        <f>Forecast!EY30</f>
        <v>5578297.2499325648</v>
      </c>
      <c r="EZ27" s="16">
        <f>Forecast!EZ30</f>
        <v>2132233.8153332374</v>
      </c>
      <c r="FA27" s="16">
        <f>Forecast!FA30</f>
        <v>6126277.0539396126</v>
      </c>
      <c r="FB27" s="16">
        <f>Forecast!FB30</f>
        <v>7074568.3046496632</v>
      </c>
    </row>
    <row r="28" spans="2:158" x14ac:dyDescent="0.25">
      <c r="B28" s="99"/>
      <c r="C28" t="s">
        <v>5</v>
      </c>
      <c r="D28" s="51">
        <f t="shared" si="22"/>
        <v>952192.13000000012</v>
      </c>
      <c r="E28" s="51">
        <f t="shared" si="22"/>
        <v>2392031.35</v>
      </c>
      <c r="F28" s="51">
        <f t="shared" si="22"/>
        <v>2554243.31</v>
      </c>
      <c r="G28" s="51">
        <f t="shared" si="22"/>
        <v>4928051.0796406185</v>
      </c>
      <c r="H28" s="51">
        <f>H27*(1-H30)</f>
        <v>9450000</v>
      </c>
      <c r="I28" s="51">
        <f t="shared" ref="I28:L28" si="59">I27*(1-I30)</f>
        <v>13938750.000000004</v>
      </c>
      <c r="J28" s="51">
        <f t="shared" si="59"/>
        <v>20211187.500000004</v>
      </c>
      <c r="K28" s="51">
        <f t="shared" si="59"/>
        <v>28800942.1875</v>
      </c>
      <c r="L28" s="51">
        <f t="shared" si="59"/>
        <v>36289187.156250015</v>
      </c>
      <c r="M28" s="2"/>
      <c r="N28" s="51">
        <f t="shared" si="23"/>
        <v>158823.1</v>
      </c>
      <c r="O28" s="27">
        <f t="shared" si="24"/>
        <v>166559.29</v>
      </c>
      <c r="P28" s="27">
        <f t="shared" si="25"/>
        <v>243576.93000000002</v>
      </c>
      <c r="Q28" s="27">
        <f t="shared" si="26"/>
        <v>383232.81</v>
      </c>
      <c r="R28" s="27">
        <f t="shared" si="27"/>
        <v>502792.44999999995</v>
      </c>
      <c r="S28" s="27">
        <f t="shared" si="28"/>
        <v>591254.05000000005</v>
      </c>
      <c r="T28" s="27">
        <f t="shared" si="29"/>
        <v>659489.53</v>
      </c>
      <c r="U28" s="27">
        <f t="shared" si="30"/>
        <v>638495.32000000007</v>
      </c>
      <c r="V28" s="27">
        <f t="shared" si="31"/>
        <v>713782.15999999992</v>
      </c>
      <c r="W28" s="27">
        <f t="shared" si="32"/>
        <v>699208.99</v>
      </c>
      <c r="X28" s="27">
        <f t="shared" si="33"/>
        <v>571825.48</v>
      </c>
      <c r="Y28" s="27">
        <f t="shared" si="34"/>
        <v>569426.67999999993</v>
      </c>
      <c r="Z28" s="27">
        <f t="shared" si="35"/>
        <v>617223.60999999987</v>
      </c>
      <c r="AA28" s="27">
        <f t="shared" si="36"/>
        <v>995324.05708206259</v>
      </c>
      <c r="AB28" s="27">
        <f t="shared" si="37"/>
        <v>1388738.1916152411</v>
      </c>
      <c r="AC28" s="27">
        <f t="shared" si="38"/>
        <v>1926765.220943315</v>
      </c>
      <c r="AD28" s="27">
        <f t="shared" si="39"/>
        <v>2179458.2874072623</v>
      </c>
      <c r="AE28" s="27">
        <f t="shared" si="40"/>
        <v>2316739.5718518151</v>
      </c>
      <c r="AF28" s="27">
        <f t="shared" si="41"/>
        <v>2408260.4281481844</v>
      </c>
      <c r="AG28" s="27">
        <f t="shared" si="42"/>
        <v>2545541.7125927377</v>
      </c>
      <c r="AH28" s="27">
        <f t="shared" si="43"/>
        <v>2975473.9985186458</v>
      </c>
      <c r="AI28" s="27">
        <f t="shared" si="44"/>
        <v>3357384.1246296624</v>
      </c>
      <c r="AJ28" s="27">
        <f t="shared" si="45"/>
        <v>3611990.8753703395</v>
      </c>
      <c r="AK28" s="27">
        <f t="shared" si="46"/>
        <v>3993901.0014813561</v>
      </c>
      <c r="AL28" s="27">
        <f t="shared" si="47"/>
        <v>4569108.6887961859</v>
      </c>
      <c r="AM28" s="27">
        <f t="shared" si="48"/>
        <v>4931874.8284490462</v>
      </c>
      <c r="AN28" s="27">
        <f t="shared" si="49"/>
        <v>5173718.9215509556</v>
      </c>
      <c r="AO28" s="27">
        <f t="shared" si="50"/>
        <v>5536485.061203815</v>
      </c>
      <c r="AP28" s="27">
        <f t="shared" si="51"/>
        <v>6360263.4910533391</v>
      </c>
      <c r="AQ28" s="27">
        <f t="shared" si="52"/>
        <v>6990242.5329195848</v>
      </c>
      <c r="AR28" s="27">
        <f t="shared" si="53"/>
        <v>7410228.5608304152</v>
      </c>
      <c r="AS28" s="27">
        <f t="shared" si="54"/>
        <v>8040207.6026966628</v>
      </c>
      <c r="AT28" s="27">
        <f t="shared" si="55"/>
        <v>8799239.3613439556</v>
      </c>
      <c r="AU28" s="27">
        <f t="shared" si="56"/>
        <v>9004032.4321328644</v>
      </c>
      <c r="AV28" s="27">
        <f t="shared" si="57"/>
        <v>9140561.1459921431</v>
      </c>
      <c r="AW28" s="27">
        <f t="shared" si="58"/>
        <v>9345354.2167810556</v>
      </c>
      <c r="AX28" s="2"/>
      <c r="AY28" s="27">
        <f>'Expense Details'!H5</f>
        <v>50730.32</v>
      </c>
      <c r="AZ28" s="27">
        <f>'Expense Details'!I5</f>
        <v>62551.22</v>
      </c>
      <c r="BA28" s="27">
        <f>'Expense Details'!J5</f>
        <v>45541.56</v>
      </c>
      <c r="BB28" s="27">
        <f>'Expense Details'!K5</f>
        <v>51680.179999999993</v>
      </c>
      <c r="BC28" s="27">
        <f>'Expense Details'!L5</f>
        <v>57718.850000000006</v>
      </c>
      <c r="BD28" s="27">
        <f>'Expense Details'!M5</f>
        <v>57160.26</v>
      </c>
      <c r="BE28" s="27">
        <f>'Expense Details'!N5</f>
        <v>58279.35</v>
      </c>
      <c r="BF28" s="27">
        <f>'Expense Details'!O5</f>
        <v>80514.090000000026</v>
      </c>
      <c r="BG28" s="27">
        <f>'Expense Details'!P5</f>
        <v>104783.48999999999</v>
      </c>
      <c r="BH28" s="27">
        <f>'Expense Details'!Q5</f>
        <v>102804.95999999999</v>
      </c>
      <c r="BI28" s="27">
        <f>'Expense Details'!R5</f>
        <v>129697.28</v>
      </c>
      <c r="BJ28" s="27">
        <f>'Expense Details'!S5</f>
        <v>150730.57</v>
      </c>
      <c r="BK28" s="27">
        <f>'Expense Details'!T5</f>
        <v>158099.10999999999</v>
      </c>
      <c r="BL28" s="27">
        <f>'Expense Details'!U5</f>
        <v>158071.94999999998</v>
      </c>
      <c r="BM28" s="27">
        <f>'Expense Details'!V5</f>
        <v>186621.39</v>
      </c>
      <c r="BN28" s="27">
        <f>'Expense Details'!W5</f>
        <v>171924.2</v>
      </c>
      <c r="BO28" s="27">
        <f>'Expense Details'!X5</f>
        <v>196985.69</v>
      </c>
      <c r="BP28" s="27">
        <f>'Expense Details'!Y5</f>
        <v>222344.16</v>
      </c>
      <c r="BQ28" s="27">
        <f>'Expense Details'!Z5</f>
        <v>203358.72</v>
      </c>
      <c r="BR28" s="27">
        <f>'Expense Details'!AA5</f>
        <v>227587.74999999997</v>
      </c>
      <c r="BS28" s="27">
        <f>'Expense Details'!AB5</f>
        <v>228543.06</v>
      </c>
      <c r="BT28" s="27">
        <f>'Expense Details'!AC5</f>
        <v>198939.88</v>
      </c>
      <c r="BU28" s="27">
        <f>'Expense Details'!AD5</f>
        <v>214740.26</v>
      </c>
      <c r="BV28" s="27">
        <f>'Expense Details'!AE5</f>
        <v>224815.18000000002</v>
      </c>
      <c r="BW28" s="27">
        <f>'Expense Details'!AF5</f>
        <v>274982.59999999998</v>
      </c>
      <c r="BX28" s="27">
        <f>'Expense Details'!AG5</f>
        <v>227922.77</v>
      </c>
      <c r="BY28" s="27">
        <f>'Expense Details'!AH5</f>
        <v>210876.78999999998</v>
      </c>
      <c r="BZ28" s="27">
        <f>'Expense Details'!AI5</f>
        <v>244538.66</v>
      </c>
      <c r="CA28" s="27">
        <f>'Expense Details'!AJ5</f>
        <v>249975.96999999997</v>
      </c>
      <c r="CB28" s="27">
        <f>'Expense Details'!AK5</f>
        <v>204694.36</v>
      </c>
      <c r="CC28" s="27">
        <f>'Expense Details'!AL5</f>
        <v>187388.45</v>
      </c>
      <c r="CD28" s="27">
        <f>'Expense Details'!AM5</f>
        <v>186840.67</v>
      </c>
      <c r="CE28" s="27">
        <f>'Expense Details'!AN5</f>
        <v>197596.36000000002</v>
      </c>
      <c r="CF28" s="27">
        <f>'Expense Details'!AO5</f>
        <v>193429.44999999998</v>
      </c>
      <c r="CG28" s="27">
        <f>'Expense Details'!AP5</f>
        <v>174278.89</v>
      </c>
      <c r="CH28" s="27">
        <f>'Expense Details'!AQ5</f>
        <v>201718.34</v>
      </c>
      <c r="CI28" s="27">
        <f>'Expense Details'!AR5</f>
        <v>178801.72</v>
      </c>
      <c r="CJ28" s="27">
        <f>'Expense Details'!AS5</f>
        <v>183838.84999999998</v>
      </c>
      <c r="CK28" s="27">
        <f>'Expense Details'!AT5</f>
        <v>254583.03999999998</v>
      </c>
      <c r="CL28" s="27">
        <f>'Expense Details'!AU5</f>
        <v>276395.36</v>
      </c>
      <c r="CM28" s="27">
        <f>'Expense Details'!AV5</f>
        <v>348088.06037259905</v>
      </c>
      <c r="CN28" s="27">
        <f>'Expense Details'!AW5</f>
        <v>370840.63670946361</v>
      </c>
      <c r="CO28" s="27">
        <f>'Expense Details'!AX5</f>
        <v>413063.28337646555</v>
      </c>
      <c r="CP28" s="27">
        <f>'Expense Details'!AY5</f>
        <v>473888.89658142399</v>
      </c>
      <c r="CQ28" s="27">
        <f>'Expense Details'!AZ5</f>
        <v>501786.01165735169</v>
      </c>
      <c r="CR28" s="27">
        <f>'Expense Details'!BA5</f>
        <v>565262.29500994552</v>
      </c>
      <c r="CS28" s="27">
        <f>'Expense Details'!BB5</f>
        <v>660642.10486079217</v>
      </c>
      <c r="CT28" s="27">
        <f>'Expense Details'!BC5</f>
        <v>700860.82107257727</v>
      </c>
      <c r="CU28" s="27">
        <f>CU33*CU34/12</f>
        <v>711232.61975302594</v>
      </c>
      <c r="CV28" s="27">
        <f t="shared" ref="CV28:FB28" si="60">CV33*CV34/12</f>
        <v>726486.09580242075</v>
      </c>
      <c r="CW28" s="27">
        <f t="shared" si="60"/>
        <v>741739.57185181545</v>
      </c>
      <c r="CX28" s="27">
        <f t="shared" si="60"/>
        <v>756993.04790121026</v>
      </c>
      <c r="CY28" s="27">
        <f t="shared" si="60"/>
        <v>772246.52395060507</v>
      </c>
      <c r="CZ28" s="27">
        <f t="shared" si="60"/>
        <v>787500</v>
      </c>
      <c r="DA28" s="27">
        <f t="shared" si="60"/>
        <v>787500</v>
      </c>
      <c r="DB28" s="27">
        <f t="shared" si="60"/>
        <v>802753.47604939493</v>
      </c>
      <c r="DC28" s="27">
        <f t="shared" si="60"/>
        <v>818006.95209878962</v>
      </c>
      <c r="DD28" s="27">
        <f t="shared" si="60"/>
        <v>833260.42814818444</v>
      </c>
      <c r="DE28" s="27">
        <f t="shared" si="60"/>
        <v>848513.90419757925</v>
      </c>
      <c r="DF28" s="27">
        <f t="shared" si="60"/>
        <v>863767.38024697395</v>
      </c>
      <c r="DG28" s="27">
        <f t="shared" si="60"/>
        <v>949390.20771610225</v>
      </c>
      <c r="DH28" s="27">
        <f t="shared" si="60"/>
        <v>991824.66617288196</v>
      </c>
      <c r="DI28" s="27">
        <f t="shared" si="60"/>
        <v>1034259.1246296614</v>
      </c>
      <c r="DJ28" s="27">
        <f t="shared" si="60"/>
        <v>1076693.583086441</v>
      </c>
      <c r="DK28" s="27">
        <f t="shared" si="60"/>
        <v>1119128.0415432209</v>
      </c>
      <c r="DL28" s="27">
        <f t="shared" si="60"/>
        <v>1161562.5000000002</v>
      </c>
      <c r="DM28" s="27">
        <f t="shared" si="60"/>
        <v>1161562.5000000002</v>
      </c>
      <c r="DN28" s="27">
        <f t="shared" si="60"/>
        <v>1203996.9584567798</v>
      </c>
      <c r="DO28" s="27">
        <f t="shared" si="60"/>
        <v>1246431.4169135594</v>
      </c>
      <c r="DP28" s="27">
        <f t="shared" si="60"/>
        <v>1288865.8753703393</v>
      </c>
      <c r="DQ28" s="27">
        <f t="shared" si="60"/>
        <v>1331300.3338271186</v>
      </c>
      <c r="DR28" s="27">
        <f t="shared" si="60"/>
        <v>1373734.792283898</v>
      </c>
      <c r="DS28" s="27">
        <f t="shared" si="60"/>
        <v>1482728.8807484107</v>
      </c>
      <c r="DT28" s="27">
        <f t="shared" si="60"/>
        <v>1523036.2295987287</v>
      </c>
      <c r="DU28" s="27">
        <f t="shared" si="60"/>
        <v>1563343.5784490462</v>
      </c>
      <c r="DV28" s="27">
        <f t="shared" si="60"/>
        <v>1603650.9272993642</v>
      </c>
      <c r="DW28" s="27">
        <f t="shared" si="60"/>
        <v>1643958.2761496818</v>
      </c>
      <c r="DX28" s="27">
        <f t="shared" si="60"/>
        <v>1684265.6250000002</v>
      </c>
      <c r="DY28" s="27">
        <f t="shared" si="60"/>
        <v>1684265.6250000002</v>
      </c>
      <c r="DZ28" s="27">
        <f t="shared" si="60"/>
        <v>1724572.9738503189</v>
      </c>
      <c r="EA28" s="27">
        <f t="shared" si="60"/>
        <v>1764880.3227006365</v>
      </c>
      <c r="EB28" s="27">
        <f t="shared" si="60"/>
        <v>1805187.671550954</v>
      </c>
      <c r="EC28" s="27">
        <f t="shared" si="60"/>
        <v>1845495.020401272</v>
      </c>
      <c r="ED28" s="27">
        <f t="shared" si="60"/>
        <v>1885802.3692515895</v>
      </c>
      <c r="EE28" s="27">
        <f t="shared" si="60"/>
        <v>2050090.159032641</v>
      </c>
      <c r="EF28" s="27">
        <f t="shared" si="60"/>
        <v>2120087.8303511129</v>
      </c>
      <c r="EG28" s="27">
        <f t="shared" si="60"/>
        <v>2190085.5016695848</v>
      </c>
      <c r="EH28" s="27">
        <f t="shared" si="60"/>
        <v>2260083.1729880567</v>
      </c>
      <c r="EI28" s="27">
        <f t="shared" si="60"/>
        <v>2330080.8443065281</v>
      </c>
      <c r="EJ28" s="27">
        <f t="shared" si="60"/>
        <v>2400078.515625</v>
      </c>
      <c r="EK28" s="27">
        <f t="shared" si="60"/>
        <v>2400078.515625</v>
      </c>
      <c r="EL28" s="27">
        <f t="shared" si="60"/>
        <v>2470076.1869434719</v>
      </c>
      <c r="EM28" s="27">
        <f t="shared" si="60"/>
        <v>2540073.8582619438</v>
      </c>
      <c r="EN28" s="27">
        <f t="shared" si="60"/>
        <v>2610071.5295804157</v>
      </c>
      <c r="EO28" s="27">
        <f t="shared" si="60"/>
        <v>2680069.2008988871</v>
      </c>
      <c r="EP28" s="27">
        <f t="shared" si="60"/>
        <v>2750066.8722173595</v>
      </c>
      <c r="EQ28" s="27">
        <f t="shared" si="60"/>
        <v>2910325.0014714394</v>
      </c>
      <c r="ER28" s="27">
        <f t="shared" si="60"/>
        <v>2933079.7871146519</v>
      </c>
      <c r="ES28" s="27">
        <f t="shared" si="60"/>
        <v>2955834.5727578639</v>
      </c>
      <c r="ET28" s="27">
        <f t="shared" si="60"/>
        <v>2978589.3584010755</v>
      </c>
      <c r="EU28" s="27">
        <f t="shared" si="60"/>
        <v>3001344.144044288</v>
      </c>
      <c r="EV28" s="27">
        <f t="shared" si="60"/>
        <v>3024098.9296875014</v>
      </c>
      <c r="EW28" s="27">
        <f t="shared" si="60"/>
        <v>3024098.9296875014</v>
      </c>
      <c r="EX28" s="27">
        <f t="shared" si="60"/>
        <v>3046853.7153307148</v>
      </c>
      <c r="EY28" s="27">
        <f t="shared" si="60"/>
        <v>3069608.5009739273</v>
      </c>
      <c r="EZ28" s="27">
        <f t="shared" si="60"/>
        <v>3092363.2866171394</v>
      </c>
      <c r="FA28" s="27">
        <f t="shared" si="60"/>
        <v>3115118.0722603514</v>
      </c>
      <c r="FB28" s="27">
        <f t="shared" si="60"/>
        <v>3137872.8579035639</v>
      </c>
    </row>
    <row r="29" spans="2:158" s="1" customFormat="1" x14ac:dyDescent="0.25">
      <c r="B29" s="201"/>
      <c r="C29" s="1" t="s">
        <v>563</v>
      </c>
      <c r="D29" s="18">
        <f>D27-D28</f>
        <v>265502.86999999988</v>
      </c>
      <c r="E29" s="18">
        <f t="shared" ref="E29:L29" si="61">E27-E28</f>
        <v>288044.64999999991</v>
      </c>
      <c r="F29" s="18">
        <f t="shared" si="61"/>
        <v>985363.69</v>
      </c>
      <c r="G29" s="18">
        <f t="shared" si="61"/>
        <v>706767.79273592681</v>
      </c>
      <c r="H29" s="18">
        <f t="shared" si="61"/>
        <v>2362500</v>
      </c>
      <c r="I29" s="18">
        <f t="shared" si="61"/>
        <v>3484687.5</v>
      </c>
      <c r="J29" s="18">
        <f t="shared" si="61"/>
        <v>5052796.875</v>
      </c>
      <c r="K29" s="18">
        <f t="shared" si="61"/>
        <v>7200235.546875</v>
      </c>
      <c r="L29" s="18">
        <f t="shared" si="61"/>
        <v>9072296.7890625</v>
      </c>
      <c r="N29" s="18">
        <f t="shared" ref="N29" si="62">N27-N28</f>
        <v>-92068.1</v>
      </c>
      <c r="O29" s="18">
        <f t="shared" ref="O29" si="63">O27-O28</f>
        <v>57827.709999999992</v>
      </c>
      <c r="P29" s="18">
        <f t="shared" ref="P29" si="64">P27-P28</f>
        <v>149173.06999999998</v>
      </c>
      <c r="Q29" s="18">
        <f t="shared" ref="Q29" si="65">Q27-Q28</f>
        <v>150570.19</v>
      </c>
      <c r="R29" s="18">
        <f t="shared" ref="R29" si="66">R27-R28</f>
        <v>41939.550000000047</v>
      </c>
      <c r="S29" s="18">
        <f t="shared" ref="S29" si="67">S27-S28</f>
        <v>22549.949999999953</v>
      </c>
      <c r="T29" s="18">
        <f t="shared" ref="T29" si="68">T27-T28</f>
        <v>-6978.5300000000279</v>
      </c>
      <c r="U29" s="18">
        <f t="shared" ref="U29" si="69">U27-U28</f>
        <v>230533.67999999993</v>
      </c>
      <c r="V29" s="18">
        <f t="shared" ref="V29" si="70">V27-V28</f>
        <v>161763.84000000008</v>
      </c>
      <c r="W29" s="18">
        <f t="shared" ref="W29" si="71">W27-W28</f>
        <v>80033.010000000009</v>
      </c>
      <c r="X29" s="18">
        <f t="shared" ref="X29" si="72">X27-X28</f>
        <v>398394.52</v>
      </c>
      <c r="Y29" s="18">
        <f t="shared" ref="Y29" si="73">Y27-Y28</f>
        <v>345172.32000000007</v>
      </c>
      <c r="Z29" s="18">
        <f t="shared" ref="Z29" si="74">Z27-Z28</f>
        <v>422871.54000000015</v>
      </c>
      <c r="AA29" s="18">
        <f t="shared" ref="AA29" si="75">AA27-AA28</f>
        <v>141874.94291793741</v>
      </c>
      <c r="AB29" s="18">
        <f t="shared" ref="AB29" si="76">AB27-AB28</f>
        <v>205166.3982503044</v>
      </c>
      <c r="AC29" s="18">
        <f t="shared" ref="AC29" si="77">AC27-AC28</f>
        <v>-63145.088432314806</v>
      </c>
      <c r="AD29" s="18">
        <f t="shared" ref="AD29" si="78">AD27-AD28</f>
        <v>-88951.338556656847</v>
      </c>
      <c r="AE29" s="18">
        <f t="shared" ref="AE29" si="79">AE27-AE28</f>
        <v>464692.17499390431</v>
      </c>
      <c r="AF29" s="18">
        <f t="shared" ref="AF29" si="80">AF27-AF28</f>
        <v>333904.63369637867</v>
      </c>
      <c r="AG29" s="18">
        <f t="shared" ref="AG29" si="81">AG27-AG28</f>
        <v>1652854.5298663741</v>
      </c>
      <c r="AH29" s="18">
        <f t="shared" ref="AH29" si="82">AH27-AH28</f>
        <v>202110.31353599764</v>
      </c>
      <c r="AI29" s="18">
        <f t="shared" ref="AI29" si="83">AI27-AI28</f>
        <v>954308.95196777396</v>
      </c>
      <c r="AJ29" s="18">
        <f t="shared" ref="AJ29" si="84">AJ27-AJ28</f>
        <v>432702.59085039143</v>
      </c>
      <c r="AK29" s="18">
        <f t="shared" ref="AK29" si="85">AK27-AK28</f>
        <v>1895565.6436458342</v>
      </c>
      <c r="AL29" s="18">
        <f t="shared" ref="AL29" si="86">AL27-AL28</f>
        <v>38388.563683047891</v>
      </c>
      <c r="AM29" s="18">
        <f t="shared" ref="AM29" si="87">AM27-AM28</f>
        <v>1320080.132617238</v>
      </c>
      <c r="AN29" s="18">
        <f t="shared" ref="AN29" si="88">AN27-AN28</f>
        <v>691086.60446910374</v>
      </c>
      <c r="AO29" s="18">
        <f t="shared" ref="AO29" si="89">AO27-AO28</f>
        <v>3003241.5742306113</v>
      </c>
      <c r="AP29" s="18">
        <f t="shared" ref="AP29" si="90">AP27-AP28</f>
        <v>205420.09372956865</v>
      </c>
      <c r="AQ29" s="18">
        <f t="shared" ref="AQ29" si="91">AQ27-AQ28</f>
        <v>1918793.2865998717</v>
      </c>
      <c r="AR29" s="18">
        <f t="shared" ref="AR29" si="92">AR27-AR28</f>
        <v>947119.31374817155</v>
      </c>
      <c r="AS29" s="18">
        <f t="shared" ref="AS29" si="93">AS27-AS28</f>
        <v>4128902.8527973946</v>
      </c>
      <c r="AT29" s="18">
        <f t="shared" ref="AT29" si="94">AT27-AT28</f>
        <v>-526478.04451749101</v>
      </c>
      <c r="AU29" s="18">
        <f t="shared" ref="AU29" si="95">AU27-AU28</f>
        <v>2221352.7004616503</v>
      </c>
      <c r="AV29" s="18">
        <f t="shared" ref="AV29" si="96">AV27-AV28</f>
        <v>1389697.1759768762</v>
      </c>
      <c r="AW29" s="18">
        <f t="shared" ref="AW29" si="97">AW27-AW28</f>
        <v>5987724.9571414571</v>
      </c>
      <c r="AY29" s="18">
        <f t="shared" ref="AY29" si="98">AY27-AY28</f>
        <v>-38080.32</v>
      </c>
      <c r="AZ29" s="18">
        <f t="shared" ref="AZ29" si="99">AZ27-AZ28</f>
        <v>-46551.22</v>
      </c>
      <c r="BA29" s="18">
        <f t="shared" ref="BA29" si="100">BA27-BA28</f>
        <v>-7436.5599999999977</v>
      </c>
      <c r="BB29" s="18">
        <f t="shared" ref="BB29" si="101">BB27-BB28</f>
        <v>-46560.179999999993</v>
      </c>
      <c r="BC29" s="18">
        <f t="shared" ref="BC29" si="102">BC27-BC28</f>
        <v>61030.149999999994</v>
      </c>
      <c r="BD29" s="18">
        <f t="shared" ref="BD29" si="103">BD27-BD28</f>
        <v>43357.74</v>
      </c>
      <c r="BE29" s="18">
        <f t="shared" ref="BE29" si="104">BE27-BE28</f>
        <v>94660.65</v>
      </c>
      <c r="BF29" s="18">
        <f t="shared" ref="BF29" si="105">BF27-BF28</f>
        <v>55047.909999999974</v>
      </c>
      <c r="BG29" s="18">
        <f t="shared" ref="BG29" si="106">BG27-BG28</f>
        <v>-535.48999999999069</v>
      </c>
      <c r="BH29" s="18">
        <f t="shared" ref="BH29" si="107">BH27-BH28</f>
        <v>62327.040000000008</v>
      </c>
      <c r="BI29" s="18">
        <f t="shared" ref="BI29" si="108">BI27-BI28</f>
        <v>59449.72</v>
      </c>
      <c r="BJ29" s="18">
        <f t="shared" ref="BJ29" si="109">BJ27-BJ28</f>
        <v>28793.429999999993</v>
      </c>
      <c r="BK29" s="18">
        <f t="shared" ref="BK29" si="110">BK27-BK28</f>
        <v>72046.890000000014</v>
      </c>
      <c r="BL29" s="18">
        <f t="shared" ref="BL29" si="111">BL27-BL28</f>
        <v>11641.050000000017</v>
      </c>
      <c r="BM29" s="18">
        <f t="shared" ref="BM29" si="112">BM27-BM28</f>
        <v>-41748.390000000014</v>
      </c>
      <c r="BN29" s="18">
        <f t="shared" ref="BN29" si="113">BN27-BN28</f>
        <v>52967.799999999988</v>
      </c>
      <c r="BO29" s="18">
        <f t="shared" ref="BO29" si="114">BO27-BO28</f>
        <v>18962.309999999998</v>
      </c>
      <c r="BP29" s="18">
        <f t="shared" ref="BP29" si="115">BP27-BP28</f>
        <v>-49380.160000000003</v>
      </c>
      <c r="BQ29" s="18">
        <f t="shared" ref="BQ29" si="116">BQ27-BQ28</f>
        <v>853.27999999999884</v>
      </c>
      <c r="BR29" s="18">
        <f t="shared" ref="BR29" si="117">BR27-BR28</f>
        <v>27611.250000000029</v>
      </c>
      <c r="BS29" s="18">
        <f t="shared" ref="BS29" si="118">BS27-BS28</f>
        <v>-35443.06</v>
      </c>
      <c r="BT29" s="18">
        <f t="shared" ref="BT29" si="119">BT27-BT28</f>
        <v>71535.12</v>
      </c>
      <c r="BU29" s="18">
        <f t="shared" ref="BU29" si="120">BU27-BU28</f>
        <v>66920.739999999991</v>
      </c>
      <c r="BV29" s="18">
        <f t="shared" ref="BV29" si="121">BV27-BV28</f>
        <v>92077.819999999978</v>
      </c>
      <c r="BW29" s="18">
        <f t="shared" ref="BW29" si="122">BW27-BW28</f>
        <v>121415.40000000002</v>
      </c>
      <c r="BX29" s="18">
        <f t="shared" ref="BX29" si="123">BX27-BX28</f>
        <v>42287.23000000001</v>
      </c>
      <c r="BY29" s="18">
        <f t="shared" ref="BY29" si="124">BY27-BY28</f>
        <v>-1938.789999999979</v>
      </c>
      <c r="BZ29" s="18">
        <f t="shared" ref="BZ29" si="125">BZ27-BZ28</f>
        <v>46987.34</v>
      </c>
      <c r="CA29" s="18">
        <f t="shared" ref="CA29" si="126">CA27-CA28</f>
        <v>10563.030000000028</v>
      </c>
      <c r="CB29" s="18">
        <f t="shared" ref="CB29" si="127">CB27-CB28</f>
        <v>22482.640000000014</v>
      </c>
      <c r="CC29" s="18">
        <f t="shared" ref="CC29" si="128">CC27-CC28</f>
        <v>149674.54999999999</v>
      </c>
      <c r="CD29" s="18">
        <f t="shared" ref="CD29" si="129">CD27-CD28</f>
        <v>137648.32999999999</v>
      </c>
      <c r="CE29" s="18">
        <f t="shared" ref="CE29" si="130">CE27-CE28</f>
        <v>111071.63999999998</v>
      </c>
      <c r="CF29" s="18">
        <f t="shared" ref="CF29" si="131">CF27-CF28</f>
        <v>115710.55000000002</v>
      </c>
      <c r="CG29" s="18">
        <f t="shared" ref="CG29" si="132">CG27-CG28</f>
        <v>124410.10999999999</v>
      </c>
      <c r="CH29" s="18">
        <f t="shared" ref="CH29" si="133">CH27-CH28</f>
        <v>105051.66</v>
      </c>
      <c r="CI29" s="18">
        <f t="shared" ref="CI29" si="134">CI27-CI28</f>
        <v>217674.43000000002</v>
      </c>
      <c r="CJ29" s="18">
        <f t="shared" ref="CJ29" si="135">CJ27-CJ28</f>
        <v>204460.15000000002</v>
      </c>
      <c r="CK29" s="18">
        <f t="shared" ref="CK29" si="136">CK27-CK28</f>
        <v>736.96000000002095</v>
      </c>
      <c r="CL29" s="18">
        <f t="shared" ref="CL29" si="137">CL27-CL28</f>
        <v>84789.640000000014</v>
      </c>
      <c r="CM29" s="18">
        <f t="shared" ref="CM29" si="138">CM27-CM28</f>
        <v>64414.939627400949</v>
      </c>
      <c r="CN29" s="18">
        <f t="shared" ref="CN29" si="139">CN27-CN28</f>
        <v>-7329.636709463608</v>
      </c>
      <c r="CO29" s="18">
        <f t="shared" ref="CO29" si="140">CO27-CO28</f>
        <v>103478.38002353441</v>
      </c>
      <c r="CP29" s="18">
        <f t="shared" ref="CP29" si="141">CP27-CP28</f>
        <v>36767.29217472754</v>
      </c>
      <c r="CQ29" s="18">
        <f t="shared" ref="CQ29" si="142">CQ27-CQ28</f>
        <v>64920.726052042271</v>
      </c>
      <c r="CR29" s="18">
        <f t="shared" ref="CR29" si="143">CR27-CR28</f>
        <v>30051.180475509027</v>
      </c>
      <c r="CS29" s="18">
        <f t="shared" ref="CS29" si="144">CS27-CS28</f>
        <v>-69205.489844792057</v>
      </c>
      <c r="CT29" s="18">
        <f t="shared" ref="CT29" si="145">CT27-CT28</f>
        <v>-23990.779063031776</v>
      </c>
      <c r="CU29" s="18">
        <f t="shared" ref="CU29" si="146">CU27-CU28</f>
        <v>-434888.35400410095</v>
      </c>
      <c r="CV29" s="18">
        <f t="shared" ref="CV29" si="147">CV27-CV28</f>
        <v>-119140.16757457086</v>
      </c>
      <c r="CW29" s="18">
        <f t="shared" ref="CW29" si="148">CW27-CW28</f>
        <v>465077.18302201515</v>
      </c>
      <c r="CX29" s="18">
        <f t="shared" ref="CX29" si="149">CX27-CX28</f>
        <v>-274459.93923572142</v>
      </c>
      <c r="CY29" s="18">
        <f t="shared" ref="CY29" si="150">CY27-CY28</f>
        <v>174177.4393953433</v>
      </c>
      <c r="CZ29" s="18">
        <f t="shared" ref="CZ29" si="151">CZ27-CZ28</f>
        <v>564974.67483428237</v>
      </c>
      <c r="DA29" s="18">
        <f t="shared" ref="DA29" si="152">DA27-DA28</f>
        <v>-324156.44284083525</v>
      </c>
      <c r="DB29" s="18">
        <f t="shared" ref="DB29" si="153">DB27-DB28</f>
        <v>23433.975828795345</v>
      </c>
      <c r="DC29" s="18">
        <f t="shared" ref="DC29" si="154">DC27-DC28</f>
        <v>634627.10070841853</v>
      </c>
      <c r="DD29" s="18">
        <f t="shared" ref="DD29" si="155">DD27-DD28</f>
        <v>-209496.87035675161</v>
      </c>
      <c r="DE29" s="18">
        <f t="shared" ref="DE29" si="156">DE27-DE28</f>
        <v>815331.05421375507</v>
      </c>
      <c r="DF29" s="18">
        <f t="shared" ref="DF29" si="157">DF27-DF28</f>
        <v>1047020.3460093705</v>
      </c>
      <c r="DG29" s="18">
        <f t="shared" ref="DG29" si="158">DG27-DG28</f>
        <v>-510420.22823643783</v>
      </c>
      <c r="DH29" s="18">
        <f t="shared" ref="DH29" si="159">DH27-DH28</f>
        <v>-64627.234536803095</v>
      </c>
      <c r="DI29" s="18">
        <f t="shared" ref="DI29" si="160">DI27-DI28</f>
        <v>777157.77630923875</v>
      </c>
      <c r="DJ29" s="18">
        <f t="shared" ref="DJ29" si="161">DJ27-DJ28</f>
        <v>-295263.4978048451</v>
      </c>
      <c r="DK29" s="18">
        <f t="shared" ref="DK29" si="162">DK27-DK28</f>
        <v>346541.05439205328</v>
      </c>
      <c r="DL29" s="18">
        <f t="shared" ref="DL29" si="163">DL27-DL28</f>
        <v>903031.39538056636</v>
      </c>
      <c r="DM29" s="18">
        <f t="shared" ref="DM29" si="164">DM27-DM28</f>
        <v>-478130.75319023209</v>
      </c>
      <c r="DN29" s="18">
        <f t="shared" ref="DN29" si="165">DN27-DN28</f>
        <v>14629.533063550945</v>
      </c>
      <c r="DO29" s="18">
        <f t="shared" ref="DO29" si="166">DO27-DO28</f>
        <v>896203.81097707269</v>
      </c>
      <c r="DP29" s="18">
        <f t="shared" ref="DP29" si="167">DP27-DP28</f>
        <v>-469870.56512797577</v>
      </c>
      <c r="DQ29" s="18">
        <f t="shared" ref="DQ29" si="168">DQ27-DQ28</f>
        <v>1021815.0423295998</v>
      </c>
      <c r="DR29" s="18">
        <f t="shared" ref="DR29" si="169">DR27-DR28</f>
        <v>1343621.1664442106</v>
      </c>
      <c r="DS29" s="18">
        <f t="shared" ref="DS29" si="170">DS27-DS28</f>
        <v>-846222.41050289711</v>
      </c>
      <c r="DT29" s="18">
        <f t="shared" ref="DT29" si="171">DT27-DT28</f>
        <v>-178599.95372641436</v>
      </c>
      <c r="DU29" s="18">
        <f t="shared" ref="DU29" si="172">DU27-DU28</f>
        <v>1063210.9279123596</v>
      </c>
      <c r="DV29" s="18">
        <f t="shared" ref="DV29" si="173">DV27-DV28</f>
        <v>-470577.30364104966</v>
      </c>
      <c r="DW29" s="18">
        <f t="shared" ref="DW29" si="174">DW27-DW28</f>
        <v>481261.91295646597</v>
      </c>
      <c r="DX29" s="18">
        <f t="shared" ref="DX29" si="175">DX27-DX28</f>
        <v>1309395.5233018219</v>
      </c>
      <c r="DY29" s="18">
        <f t="shared" ref="DY29" si="176">DY27-DY28</f>
        <v>-693289.59212583641</v>
      </c>
      <c r="DZ29" s="18">
        <f t="shared" ref="DZ29" si="177">DZ27-DZ28</f>
        <v>42435.438854160486</v>
      </c>
      <c r="EA29" s="18">
        <f t="shared" ref="EA29" si="178">EA27-EA28</f>
        <v>1341940.7577407802</v>
      </c>
      <c r="EB29" s="18">
        <f t="shared" ref="EB29" si="179">EB27-EB28</f>
        <v>-617644.471699527</v>
      </c>
      <c r="EC29" s="18">
        <f t="shared" ref="EC29" si="180">EC27-EC28</f>
        <v>1566522.2750259698</v>
      </c>
      <c r="ED29" s="18">
        <f t="shared" ref="ED29" si="181">ED27-ED28</f>
        <v>2054363.7709041678</v>
      </c>
      <c r="EE29" s="18">
        <f t="shared" ref="EE29" si="182">EE27-EE28</f>
        <v>-1143068.4389327844</v>
      </c>
      <c r="EF29" s="18">
        <f t="shared" ref="EF29" si="183">EF27-EF28</f>
        <v>-204266.13723306498</v>
      </c>
      <c r="EG29" s="18">
        <f t="shared" ref="EG29" si="184">EG27-EG28</f>
        <v>1552754.6698954185</v>
      </c>
      <c r="EH29" s="18">
        <f t="shared" ref="EH29" si="185">EH27-EH28</f>
        <v>-645453.25927495887</v>
      </c>
      <c r="EI29" s="18">
        <f t="shared" ref="EI29" si="186">EI27-EI28</f>
        <v>698357.92516973242</v>
      </c>
      <c r="EJ29" s="18">
        <f t="shared" ref="EJ29" si="187">EJ27-EJ28</f>
        <v>1865888.620705097</v>
      </c>
      <c r="EK29" s="18">
        <f t="shared" ref="EK29" si="188">EK27-EK28</f>
        <v>-987937.66877931636</v>
      </c>
      <c r="EL29" s="18">
        <f t="shared" ref="EL29" si="189">EL27-EL28</f>
        <v>47910.801160411444</v>
      </c>
      <c r="EM29" s="18">
        <f t="shared" ref="EM29" si="190">EM27-EM28</f>
        <v>1887146.181367076</v>
      </c>
      <c r="EN29" s="18">
        <f t="shared" ref="EN29" si="191">EN27-EN28</f>
        <v>-917822.46979213203</v>
      </c>
      <c r="EO29" s="18">
        <f t="shared" ref="EO29" si="192">EO27-EO28</f>
        <v>2182055.4450849327</v>
      </c>
      <c r="EP29" s="18">
        <f t="shared" ref="EP29" si="193">EP27-EP28</f>
        <v>2864669.8775045942</v>
      </c>
      <c r="EQ29" s="18">
        <f t="shared" ref="EQ29" si="194">EQ27-EQ28</f>
        <v>-1767477.6341456198</v>
      </c>
      <c r="ER29" s="18">
        <f t="shared" ref="ER29" si="195">ER27-ER28</f>
        <v>-519144.4537859112</v>
      </c>
      <c r="ES29" s="18">
        <f t="shared" ref="ES29" si="196">ES27-ES28</f>
        <v>1760144.04341404</v>
      </c>
      <c r="ET29" s="18">
        <f t="shared" ref="ET29" si="197">ET27-ET28</f>
        <v>-944155.66712257173</v>
      </c>
      <c r="EU29" s="18">
        <f t="shared" ref="EU29" si="198">EU27-EU28</f>
        <v>814488.70549579989</v>
      </c>
      <c r="EV29" s="18">
        <f t="shared" ref="EV29" si="199">EV27-EV28</f>
        <v>2351019.6620884207</v>
      </c>
      <c r="EW29" s="18">
        <f t="shared" ref="EW29" si="200">EW27-EW28</f>
        <v>-1244801.4626619401</v>
      </c>
      <c r="EX29" s="18">
        <f t="shared" ref="EX29" si="201">EX27-EX28</f>
        <v>125809.88968017884</v>
      </c>
      <c r="EY29" s="18">
        <f t="shared" ref="EY29" si="202">EY27-EY28</f>
        <v>2508688.7489586375</v>
      </c>
      <c r="EZ29" s="18">
        <f t="shared" ref="EZ29" si="203">EZ27-EZ28</f>
        <v>-960129.47128390195</v>
      </c>
      <c r="FA29" s="18">
        <f t="shared" ref="FA29" si="204">FA27-FA28</f>
        <v>3011158.9816792612</v>
      </c>
      <c r="FB29" s="18">
        <f t="shared" ref="FB29" si="205">FB27-FB28</f>
        <v>3936695.4467460993</v>
      </c>
    </row>
    <row r="30" spans="2:158" x14ac:dyDescent="0.25">
      <c r="B30" s="99"/>
      <c r="C30" t="s">
        <v>564</v>
      </c>
      <c r="D30" s="19">
        <f>D29/D27</f>
        <v>0.21803725070727881</v>
      </c>
      <c r="E30" s="19">
        <f t="shared" ref="E30:G30" si="206">E29/E27</f>
        <v>0.10747629917957546</v>
      </c>
      <c r="F30" s="19">
        <f t="shared" si="206"/>
        <v>0.27838223000463042</v>
      </c>
      <c r="G30" s="19">
        <f t="shared" si="206"/>
        <v>0.1254286621706156</v>
      </c>
      <c r="H30" s="263">
        <v>0.2</v>
      </c>
      <c r="I30" s="263">
        <v>0.2</v>
      </c>
      <c r="J30" s="263">
        <v>0.2</v>
      </c>
      <c r="K30" s="263">
        <v>0.2</v>
      </c>
      <c r="L30" s="263">
        <v>0.2</v>
      </c>
      <c r="N30" s="19">
        <f t="shared" ref="N30" si="207">N29/N27</f>
        <v>-1.3791940678600856</v>
      </c>
      <c r="O30" s="19">
        <f t="shared" ref="O30" si="208">O29/O27</f>
        <v>0.25771417238966604</v>
      </c>
      <c r="P30" s="19">
        <f t="shared" ref="P30" si="209">P29/P27</f>
        <v>0.37981685550604705</v>
      </c>
      <c r="Q30" s="19">
        <f t="shared" ref="Q30" si="210">Q29/Q27</f>
        <v>0.28207070773300263</v>
      </c>
      <c r="R30" s="19">
        <f t="shared" ref="R30" si="211">R29/R27</f>
        <v>7.699116262675966E-2</v>
      </c>
      <c r="S30" s="19">
        <f t="shared" ref="S30" si="212">S29/S27</f>
        <v>3.6738030381033612E-2</v>
      </c>
      <c r="T30" s="19">
        <f t="shared" ref="T30" si="213">T29/T27</f>
        <v>-1.0694884837190527E-2</v>
      </c>
      <c r="U30" s="19">
        <f t="shared" ref="U30" si="214">U29/U27</f>
        <v>0.26527731525645282</v>
      </c>
      <c r="V30" s="19">
        <f t="shared" ref="V30" si="215">V29/V27</f>
        <v>0.18475767121316308</v>
      </c>
      <c r="W30" s="19">
        <f t="shared" ref="W30" si="216">W29/W27</f>
        <v>0.10270623246693583</v>
      </c>
      <c r="X30" s="19">
        <f t="shared" ref="X30" si="217">X29/X27</f>
        <v>0.41062286904001155</v>
      </c>
      <c r="Y30" s="19">
        <f t="shared" ref="Y30" si="218">Y29/Y27</f>
        <v>0.37740290553565015</v>
      </c>
      <c r="Z30" s="19">
        <f t="shared" ref="Z30" si="219">Z29/Z27</f>
        <v>0.40657005274950098</v>
      </c>
      <c r="AA30" s="19">
        <f t="shared" ref="AA30" si="220">AA29/AA27</f>
        <v>0.12475823749223963</v>
      </c>
      <c r="AB30" s="19">
        <f t="shared" ref="AB30" si="221">AB29/AB27</f>
        <v>0.12871937226030028</v>
      </c>
      <c r="AC30" s="19">
        <f t="shared" ref="AC30" si="222">AC29/AC27</f>
        <v>-3.3883025478606804E-2</v>
      </c>
      <c r="AD30" s="19">
        <f t="shared" ref="AD30" si="223">AD29/AD27</f>
        <v>-4.2550128142632454E-2</v>
      </c>
      <c r="AE30" s="19">
        <f t="shared" ref="AE30" si="224">AE29/AE27</f>
        <v>0.16706941506685832</v>
      </c>
      <c r="AF30" s="19">
        <f t="shared" ref="AF30" si="225">AF29/AF27</f>
        <v>0.12176678871102389</v>
      </c>
      <c r="AG30" s="19">
        <f t="shared" ref="AG30" si="226">AG29/AG27</f>
        <v>0.39368712108465814</v>
      </c>
      <c r="AH30" s="19">
        <f t="shared" ref="AH30" si="227">AH29/AH27</f>
        <v>6.3605019942118229E-2</v>
      </c>
      <c r="AI30" s="19">
        <f t="shared" ref="AI30" si="228">AI29/AI27</f>
        <v>0.22133044607174704</v>
      </c>
      <c r="AJ30" s="19">
        <f t="shared" ref="AJ30" si="229">AJ29/AJ27</f>
        <v>0.10698031741196418</v>
      </c>
      <c r="AK30" s="19">
        <f t="shared" ref="AK30" si="230">AK29/AK27</f>
        <v>0.32185692828639784</v>
      </c>
      <c r="AL30" s="19">
        <f t="shared" ref="AL30" si="231">AL29/AL27</f>
        <v>8.3317605154059528E-3</v>
      </c>
      <c r="AM30" s="19">
        <f t="shared" ref="AM30" si="232">AM29/AM27</f>
        <v>0.21114677582259733</v>
      </c>
      <c r="AN30" s="19">
        <f t="shared" ref="AN30" si="233">AN29/AN27</f>
        <v>0.11783623538802743</v>
      </c>
      <c r="AO30" s="19">
        <f t="shared" ref="AO30" si="234">AO29/AO27</f>
        <v>0.35167888884979898</v>
      </c>
      <c r="AP30" s="19">
        <f t="shared" ref="AP30" si="235">AP29/AP27</f>
        <v>3.1286931676949035E-2</v>
      </c>
      <c r="AQ30" s="19">
        <f t="shared" ref="AQ30" si="236">AQ29/AQ27</f>
        <v>0.21537608844223607</v>
      </c>
      <c r="AR30" s="19">
        <f t="shared" ref="AR30" si="237">AR29/AR27</f>
        <v>0.1133277360188778</v>
      </c>
      <c r="AS30" s="19">
        <f t="shared" ref="AS30" si="238">AS29/AS27</f>
        <v>0.33929372799252516</v>
      </c>
      <c r="AT30" s="19">
        <f t="shared" ref="AT30" si="239">AT29/AT27</f>
        <v>-6.3639941291024044E-2</v>
      </c>
      <c r="AU30" s="19">
        <f t="shared" ref="AU30" si="240">AU29/AU27</f>
        <v>0.19788654680645515</v>
      </c>
      <c r="AV30" s="19">
        <f t="shared" ref="AV30" si="241">AV29/AV27</f>
        <v>0.13197180292126215</v>
      </c>
      <c r="AW30" s="19">
        <f t="shared" ref="AW30" si="242">AW29/AW27</f>
        <v>0.39051027450017894</v>
      </c>
      <c r="AY30" s="19">
        <f t="shared" ref="AY30" si="243">AY29/AY27</f>
        <v>-3.0103019762845848</v>
      </c>
      <c r="AZ30" s="19">
        <f t="shared" ref="AZ30" si="244">AZ29/AZ27</f>
        <v>-2.90945125</v>
      </c>
      <c r="BA30" s="19">
        <f t="shared" ref="BA30" si="245">BA29/BA27</f>
        <v>-0.19515969032935304</v>
      </c>
      <c r="BB30" s="19">
        <f t="shared" ref="BB30" si="246">BB29/BB27</f>
        <v>-9.0937851562499983</v>
      </c>
      <c r="BC30" s="19">
        <f t="shared" ref="BC30" si="247">BC29/BC27</f>
        <v>0.51394243319943744</v>
      </c>
      <c r="BD30" s="19">
        <f t="shared" ref="BD30" si="248">BD29/BD27</f>
        <v>0.43134304303706794</v>
      </c>
      <c r="BE30" s="19">
        <f t="shared" ref="BE30" si="249">BE29/BE27</f>
        <v>0.61893978030600227</v>
      </c>
      <c r="BF30" s="19">
        <f t="shared" ref="BF30" si="250">BF29/BF27</f>
        <v>0.40607183428984506</v>
      </c>
      <c r="BG30" s="19">
        <f t="shared" ref="BG30" si="251">BG29/BG27</f>
        <v>-5.136693269894777E-3</v>
      </c>
      <c r="BH30" s="19">
        <f t="shared" ref="BH30" si="252">BH29/BH27</f>
        <v>0.37743768621466467</v>
      </c>
      <c r="BI30" s="19">
        <f t="shared" ref="BI30" si="253">BI29/BI27</f>
        <v>0.31430432414999976</v>
      </c>
      <c r="BJ30" s="19">
        <f t="shared" ref="BJ30" si="254">BJ29/BJ27</f>
        <v>0.16038763619348942</v>
      </c>
      <c r="BK30" s="19">
        <f t="shared" ref="BK30" si="255">BK29/BK27</f>
        <v>0.31304863000008698</v>
      </c>
      <c r="BL30" s="19">
        <f t="shared" ref="BL30" si="256">BL29/BL27</f>
        <v>6.8592565095190211E-2</v>
      </c>
      <c r="BM30" s="19">
        <f t="shared" ref="BM30" si="257">BM29/BM27</f>
        <v>-0.28817233024787237</v>
      </c>
      <c r="BN30" s="19">
        <f t="shared" ref="BN30" si="258">BN29/BN27</f>
        <v>0.23552549668285216</v>
      </c>
      <c r="BO30" s="19">
        <f t="shared" ref="BO30" si="259">BO29/BO27</f>
        <v>8.780961157315649E-2</v>
      </c>
      <c r="BP30" s="19">
        <f t="shared" ref="BP30" si="260">BP29/BP27</f>
        <v>-0.28549385999398719</v>
      </c>
      <c r="BQ30" s="19">
        <f t="shared" ref="BQ30" si="261">BQ29/BQ27</f>
        <v>4.1784028362681861E-3</v>
      </c>
      <c r="BR30" s="19">
        <f t="shared" ref="BR30" si="262">BR29/BR27</f>
        <v>0.10819497725304578</v>
      </c>
      <c r="BS30" s="19">
        <f t="shared" ref="BS30" si="263">BS29/BS27</f>
        <v>-0.1835476954945624</v>
      </c>
      <c r="BT30" s="19">
        <f t="shared" ref="BT30" si="264">BT29/BT27</f>
        <v>0.26447960070246784</v>
      </c>
      <c r="BU30" s="19">
        <f t="shared" ref="BU30" si="265">BU29/BU27</f>
        <v>0.23759320601716244</v>
      </c>
      <c r="BV30" s="19">
        <f t="shared" ref="BV30" si="266">BV29/BV27</f>
        <v>0.2905643860861552</v>
      </c>
      <c r="BW30" s="19">
        <f t="shared" ref="BW30" si="267">BW29/BW27</f>
        <v>0.30629670179970642</v>
      </c>
      <c r="BX30" s="19">
        <f t="shared" ref="BX30" si="268">BX29/BX27</f>
        <v>0.15649764997594467</v>
      </c>
      <c r="BY30" s="19">
        <f t="shared" ref="BY30" si="269">BY29/BY27</f>
        <v>-9.2792598761354036E-3</v>
      </c>
      <c r="BZ30" s="19">
        <f t="shared" ref="BZ30" si="270">BZ29/BZ27</f>
        <v>0.16117718488230895</v>
      </c>
      <c r="CA30" s="19">
        <f t="shared" ref="CA30" si="271">CA29/CA27</f>
        <v>4.0542989725146819E-2</v>
      </c>
      <c r="CB30" s="19">
        <f t="shared" ref="CB30" si="272">CB29/CB27</f>
        <v>9.8965300184437749E-2</v>
      </c>
      <c r="CC30" s="19">
        <f t="shared" ref="CC30" si="273">CC29/CC27</f>
        <v>0.44405511729261293</v>
      </c>
      <c r="CD30" s="19">
        <f t="shared" ref="CD30" si="274">CD29/CD27</f>
        <v>0.42420029646613594</v>
      </c>
      <c r="CE30" s="19">
        <f t="shared" ref="CE30" si="275">CE29/CE27</f>
        <v>0.3598417717418067</v>
      </c>
      <c r="CF30" s="19">
        <f t="shared" ref="CF30" si="276">CF29/CF27</f>
        <v>0.37429821440124222</v>
      </c>
      <c r="CG30" s="19">
        <f t="shared" ref="CG30" si="277">CG29/CG27</f>
        <v>0.41652056152051126</v>
      </c>
      <c r="CH30" s="19">
        <f t="shared" ref="CH30" si="278">CH29/CH27</f>
        <v>0.34244437200508526</v>
      </c>
      <c r="CI30" s="19">
        <f t="shared" ref="CI30" si="279">CI29/CI27</f>
        <v>0.54902275962879488</v>
      </c>
      <c r="CJ30" s="19">
        <f t="shared" ref="CJ30" si="280">CJ29/CJ27</f>
        <v>0.52655337768060184</v>
      </c>
      <c r="CK30" s="19">
        <f t="shared" ref="CK30" si="281">CK29/CK27</f>
        <v>2.8864170452765976E-3</v>
      </c>
      <c r="CL30" s="19">
        <f t="shared" ref="CL30" si="282">CL29/CL27</f>
        <v>0.23475404571064692</v>
      </c>
      <c r="CM30" s="19">
        <f t="shared" ref="CM30" si="283">CM29/CM27</f>
        <v>0.15615629371762374</v>
      </c>
      <c r="CN30" s="19">
        <f t="shared" ref="CN30" si="284">CN29/CN27</f>
        <v>-2.0163452301205764E-2</v>
      </c>
      <c r="CO30" s="19">
        <f t="shared" ref="CO30" si="285">CO29/CO27</f>
        <v>0.20032920353881065</v>
      </c>
      <c r="CP30" s="19">
        <f t="shared" ref="CP30" si="286">CP29/CP27</f>
        <v>7.200009122436124E-2</v>
      </c>
      <c r="CQ30" s="19">
        <f t="shared" ref="CQ30" si="287">CQ29/CQ27</f>
        <v>0.11455788634955931</v>
      </c>
      <c r="CR30" s="19">
        <f t="shared" ref="CR30" si="288">CR29/CR27</f>
        <v>5.0479590523301157E-2</v>
      </c>
      <c r="CS30" s="19">
        <f t="shared" ref="CS30" si="289">CS29/CS27</f>
        <v>-0.11701252186241436</v>
      </c>
      <c r="CT30" s="19">
        <f t="shared" ref="CT30" si="290">CT29/CT27</f>
        <v>-3.5443700524558669E-2</v>
      </c>
      <c r="CU30" s="19">
        <f t="shared" ref="CU30" si="291">CU29/CU27</f>
        <v>-1.5737194793078233</v>
      </c>
      <c r="CV30" s="19">
        <f t="shared" ref="CV30" si="292">CV29/CV27</f>
        <v>-0.19616525284396841</v>
      </c>
      <c r="CW30" s="19">
        <f t="shared" ref="CW30" si="293">CW29/CW27</f>
        <v>0.38537514593144484</v>
      </c>
      <c r="CX30" s="19">
        <f t="shared" ref="CX30" si="294">CX29/CX27</f>
        <v>-0.56878985981869279</v>
      </c>
      <c r="CY30" s="19">
        <f t="shared" ref="CY30" si="295">CY29/CY27</f>
        <v>0.18403743580156565</v>
      </c>
      <c r="CZ30" s="19">
        <f t="shared" ref="CZ30" si="296">CZ29/CZ27</f>
        <v>0.41773401406093486</v>
      </c>
      <c r="DA30" s="19">
        <f t="shared" ref="DA30" si="297">DA29/DA27</f>
        <v>-0.69960278465571313</v>
      </c>
      <c r="DB30" s="19">
        <f t="shared" ref="DB30" si="298">DB29/DB27</f>
        <v>2.8363993879987365E-2</v>
      </c>
      <c r="DC30" s="19">
        <f t="shared" ref="DC30" si="299">DC29/DC27</f>
        <v>0.43688023110982754</v>
      </c>
      <c r="DD30" s="19">
        <f t="shared" ref="DD30" si="300">DD29/DD27</f>
        <v>-0.3358594258031356</v>
      </c>
      <c r="DE30" s="19">
        <f t="shared" ref="DE30" si="301">DE29/DE27</f>
        <v>0.49002826260461563</v>
      </c>
      <c r="DF30" s="19">
        <f t="shared" ref="DF30" si="302">DF29/DF27</f>
        <v>0.547952204016254</v>
      </c>
      <c r="DG30" s="19">
        <f t="shared" ref="DG30" si="303">DG29/DG27</f>
        <v>-1.1627679615846791</v>
      </c>
      <c r="DH30" s="19">
        <f t="shared" ref="DH30" si="304">DH29/DH27</f>
        <v>-6.970169710540032E-2</v>
      </c>
      <c r="DI30" s="19">
        <f t="shared" ref="DI30" si="305">DI29/DI27</f>
        <v>0.42903308228294629</v>
      </c>
      <c r="DJ30" s="19">
        <f t="shared" ref="DJ30" si="306">DJ29/DJ27</f>
        <v>-0.37785017926260672</v>
      </c>
      <c r="DK30" s="19">
        <f t="shared" ref="DK30" si="307">DK29/DK27</f>
        <v>0.2364388082911158</v>
      </c>
      <c r="DL30" s="19">
        <f t="shared" ref="DL30" si="308">DL29/DL27</f>
        <v>0.4373893565223928</v>
      </c>
      <c r="DM30" s="19">
        <f t="shared" ref="DM30" si="309">DM29/DM27</f>
        <v>-0.69960278465571313</v>
      </c>
      <c r="DN30" s="19">
        <f t="shared" ref="DN30" si="310">DN29/DN27</f>
        <v>1.2004936020469629E-2</v>
      </c>
      <c r="DO30" s="19">
        <f t="shared" ref="DO30" si="311">DO29/DO27</f>
        <v>0.41827176147913975</v>
      </c>
      <c r="DP30" s="19">
        <f t="shared" ref="DP30" si="312">DP29/DP27</f>
        <v>-0.57371581894520007</v>
      </c>
      <c r="DQ30" s="19">
        <f t="shared" ref="DQ30" si="313">DQ29/DQ27</f>
        <v>0.43423924414556481</v>
      </c>
      <c r="DR30" s="19">
        <f t="shared" ref="DR30" si="314">DR29/DR27</f>
        <v>0.49445902077293868</v>
      </c>
      <c r="DS30" s="19">
        <f t="shared" ref="DS30" si="315">DS29/DS27</f>
        <v>-1.3294796676245755</v>
      </c>
      <c r="DT30" s="19">
        <f t="shared" ref="DT30" si="316">DT29/DT27</f>
        <v>-0.13284374791994724</v>
      </c>
      <c r="DU30" s="19">
        <f t="shared" ref="DU30" si="317">DU29/DU27</f>
        <v>0.40479301889121544</v>
      </c>
      <c r="DV30" s="19">
        <f t="shared" ref="DV30" si="318">DV29/DV27</f>
        <v>-0.41531043862949824</v>
      </c>
      <c r="DW30" s="19">
        <f t="shared" ref="DW30" si="319">DW29/DW27</f>
        <v>0.2264527296622762</v>
      </c>
      <c r="DX30" s="19">
        <f t="shared" ref="DX30" si="320">DX29/DX27</f>
        <v>0.43738935652239291</v>
      </c>
      <c r="DY30" s="19">
        <f t="shared" ref="DY30" si="321">DY29/DY27</f>
        <v>-0.69960278465571302</v>
      </c>
      <c r="DZ30" s="19">
        <f t="shared" ref="DZ30" si="322">DZ29/DZ27</f>
        <v>2.4015414159353828E-2</v>
      </c>
      <c r="EA30" s="19">
        <f t="shared" ref="EA30" si="323">EA29/EA27</f>
        <v>0.4319337106950869</v>
      </c>
      <c r="EB30" s="19">
        <f t="shared" ref="EB30" si="324">EB29/EB27</f>
        <v>-0.52010273965342924</v>
      </c>
      <c r="EC30" s="19">
        <f t="shared" ref="EC30" si="325">EC29/EC27</f>
        <v>0.45911908979049149</v>
      </c>
      <c r="ED30" s="19">
        <f t="shared" ref="ED30" si="326">ED29/ED27</f>
        <v>0.52139013884905816</v>
      </c>
      <c r="EE30" s="19">
        <f t="shared" ref="EE30" si="327">EE29/EE27</f>
        <v>-1.2602437335314756</v>
      </c>
      <c r="EF30" s="19">
        <f t="shared" ref="EF30" si="328">EF29/EF27</f>
        <v>-0.10662064114151287</v>
      </c>
      <c r="EG30" s="19">
        <f t="shared" ref="EG30" si="329">EG29/EG27</f>
        <v>0.41485999901677906</v>
      </c>
      <c r="EH30" s="19">
        <f t="shared" ref="EH30" si="330">EH29/EH27</f>
        <v>-0.39975306650341724</v>
      </c>
      <c r="EI30" s="19">
        <f t="shared" ref="EI30" si="331">EI29/EI27</f>
        <v>0.23059998181521985</v>
      </c>
      <c r="EJ30" s="19">
        <f t="shared" ref="EJ30" si="332">EJ29/EJ27</f>
        <v>0.43738935652239308</v>
      </c>
      <c r="EK30" s="19">
        <f t="shared" ref="EK30" si="333">EK29/EK27</f>
        <v>-0.69960278465571257</v>
      </c>
      <c r="EL30" s="19">
        <f t="shared" ref="EL30" si="334">EL29/EL27</f>
        <v>1.9027422058479203E-2</v>
      </c>
      <c r="EM30" s="19">
        <f t="shared" ref="EM30" si="335">EM29/EM27</f>
        <v>0.42625985708295855</v>
      </c>
      <c r="EN30" s="19">
        <f t="shared" ref="EN30" si="336">EN29/EN27</f>
        <v>-0.54236843240259225</v>
      </c>
      <c r="EO30" s="19">
        <f t="shared" ref="EO30" si="337">EO29/EO27</f>
        <v>0.44878640593620728</v>
      </c>
      <c r="EP30" s="19">
        <f t="shared" ref="EP30" si="338">EP29/EP27</f>
        <v>0.51020555463200568</v>
      </c>
      <c r="EQ30" s="19">
        <f t="shared" ref="EQ30" si="339">EQ29/EQ27</f>
        <v>-1.5465561584845666</v>
      </c>
      <c r="ER30" s="19">
        <f t="shared" ref="ER30" si="340">ER29/ER27</f>
        <v>-0.2150614586141491</v>
      </c>
      <c r="ES30" s="19">
        <f t="shared" ref="ES30" si="341">ES29/ES27</f>
        <v>0.37322986100450128</v>
      </c>
      <c r="ET30" s="19">
        <f t="shared" ref="ET30" si="342">ET29/ET27</f>
        <v>-0.46408770714430797</v>
      </c>
      <c r="EU30" s="19">
        <f t="shared" ref="EU30" si="343">EU29/EU27</f>
        <v>0.21344978609164394</v>
      </c>
      <c r="EV30" s="19">
        <f t="shared" ref="EV30" si="344">EV29/EV27</f>
        <v>0.4373893565223928</v>
      </c>
      <c r="EW30" s="19">
        <f t="shared" ref="EW30" si="345">EW29/EW27</f>
        <v>-0.69960278465571346</v>
      </c>
      <c r="EX30" s="19">
        <f t="shared" ref="EX30" si="346">EX29/EX27</f>
        <v>3.9654342641771145E-2</v>
      </c>
      <c r="EY30" s="19">
        <f t="shared" ref="EY30" si="347">EY29/EY27</f>
        <v>0.44972303134060571</v>
      </c>
      <c r="EZ30" s="19">
        <f t="shared" ref="EZ30" si="348">EZ29/EZ27</f>
        <v>-0.45029277013592789</v>
      </c>
      <c r="FA30" s="19">
        <f t="shared" ref="FA30" si="349">FA29/FA27</f>
        <v>0.49151531267148313</v>
      </c>
      <c r="FB30" s="19">
        <f t="shared" ref="FB30" si="350">FB29/FB27</f>
        <v>0.55645733806241715</v>
      </c>
    </row>
    <row r="31" spans="2:158" x14ac:dyDescent="0.25">
      <c r="C31" s="28"/>
      <c r="D31" s="16"/>
      <c r="E31" s="16"/>
      <c r="F31" s="16"/>
      <c r="G31" s="16"/>
      <c r="H31" s="16"/>
      <c r="I31" s="55"/>
      <c r="J31" s="55"/>
      <c r="K31" s="55"/>
      <c r="L31" s="55"/>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Y31" s="16"/>
      <c r="AZ31" s="16"/>
      <c r="BA31" s="16"/>
      <c r="BB31" s="16"/>
      <c r="BC31" s="16"/>
      <c r="BD31" s="16"/>
      <c r="BE31" s="16"/>
      <c r="BF31" s="16"/>
      <c r="BG31" s="16"/>
      <c r="BH31" s="16"/>
      <c r="BI31" s="16"/>
      <c r="BJ31" s="16"/>
      <c r="BK31" s="16"/>
      <c r="BL31" s="16"/>
      <c r="BM31" s="16"/>
      <c r="BN31" s="16"/>
      <c r="BO31" s="16"/>
      <c r="BP31" s="16"/>
      <c r="BQ31" s="16"/>
      <c r="BR31" s="16"/>
      <c r="BS31" s="16"/>
      <c r="BT31" s="16"/>
      <c r="BU31" s="16"/>
      <c r="BV31" s="16"/>
      <c r="BW31" s="16"/>
      <c r="BX31" s="16"/>
      <c r="BY31" s="16"/>
      <c r="BZ31" s="16"/>
      <c r="CA31" s="16"/>
      <c r="CB31" s="16"/>
      <c r="CC31" s="16"/>
      <c r="CD31" s="16"/>
      <c r="CE31" s="16"/>
      <c r="CF31" s="16"/>
      <c r="CG31" s="16"/>
      <c r="CH31" s="16"/>
      <c r="CI31" s="16"/>
      <c r="CJ31" s="16"/>
      <c r="CK31" s="16"/>
      <c r="CL31" s="16"/>
      <c r="CM31" s="16"/>
      <c r="CN31" s="16"/>
      <c r="CO31" s="16"/>
      <c r="CP31" s="16"/>
      <c r="CQ31" s="16"/>
      <c r="CR31" s="16"/>
      <c r="CS31" s="16"/>
      <c r="CT31" s="16"/>
      <c r="CU31" s="16"/>
      <c r="CV31" s="16"/>
      <c r="CW31" s="16"/>
      <c r="CX31" s="16"/>
      <c r="CY31" s="16"/>
      <c r="CZ31" s="16"/>
      <c r="DA31" s="16"/>
      <c r="DB31" s="16"/>
      <c r="DC31" s="16"/>
      <c r="DD31" s="16"/>
      <c r="DE31" s="16"/>
      <c r="DF31" s="16"/>
      <c r="DG31" s="16"/>
      <c r="DH31" s="16"/>
      <c r="DI31" s="16"/>
      <c r="DJ31" s="16"/>
      <c r="DK31" s="16"/>
      <c r="DL31" s="16"/>
      <c r="DM31" s="16"/>
      <c r="DN31" s="16"/>
      <c r="DO31" s="16"/>
      <c r="DP31" s="16"/>
      <c r="DQ31" s="16"/>
      <c r="DR31" s="16"/>
      <c r="DS31" s="16"/>
      <c r="DT31" s="16"/>
      <c r="DU31" s="16"/>
      <c r="DV31" s="16"/>
      <c r="DW31" s="16"/>
      <c r="DX31" s="16"/>
      <c r="DY31" s="16"/>
      <c r="DZ31" s="16"/>
      <c r="EA31" s="16"/>
      <c r="EB31" s="16"/>
      <c r="EC31" s="16"/>
      <c r="ED31" s="16"/>
      <c r="EE31" s="16"/>
      <c r="EF31" s="16"/>
      <c r="EG31" s="16"/>
      <c r="EH31" s="16"/>
      <c r="EI31" s="16"/>
      <c r="EJ31" s="16"/>
      <c r="EK31" s="16"/>
      <c r="EL31" s="16"/>
      <c r="EM31" s="16"/>
      <c r="EN31" s="16"/>
      <c r="EO31" s="16"/>
      <c r="EP31" s="16"/>
      <c r="EQ31" s="16"/>
      <c r="ER31" s="16"/>
      <c r="ES31" s="16"/>
      <c r="ET31" s="16"/>
      <c r="EU31" s="16"/>
      <c r="EV31" s="16"/>
      <c r="EW31" s="16"/>
      <c r="EX31" s="16"/>
      <c r="EY31" s="16"/>
      <c r="EZ31" s="16"/>
      <c r="FA31" s="16"/>
      <c r="FB31" s="16"/>
    </row>
    <row r="32" spans="2:158" x14ac:dyDescent="0.25">
      <c r="C32" t="s">
        <v>569</v>
      </c>
      <c r="D32" s="55">
        <f>BJ32</f>
        <v>15</v>
      </c>
      <c r="E32" s="16">
        <f>BV32</f>
        <v>20</v>
      </c>
      <c r="F32" s="16">
        <f>CH32</f>
        <v>16</v>
      </c>
      <c r="G32" s="55">
        <f>CT32</f>
        <v>46</v>
      </c>
      <c r="H32" s="251">
        <f>DF32</f>
        <v>57.089784731078716</v>
      </c>
      <c r="I32" s="251">
        <f>DR32</f>
        <v>86.471940481251352</v>
      </c>
      <c r="J32" s="251">
        <f>ED32</f>
        <v>113.05224348581552</v>
      </c>
      <c r="K32" s="251">
        <f>EP32</f>
        <v>157.01348879874712</v>
      </c>
      <c r="L32" s="251">
        <f>FB32</f>
        <v>170.62385604535626</v>
      </c>
      <c r="N32" s="16">
        <f>BA32</f>
        <v>4</v>
      </c>
      <c r="O32" s="16">
        <f t="shared" ref="O32" si="351">BD32</f>
        <v>6</v>
      </c>
      <c r="P32" s="16">
        <f t="shared" ref="P32" si="352">BG32</f>
        <v>11</v>
      </c>
      <c r="Q32" s="16">
        <f t="shared" ref="Q32" si="353">BJ32</f>
        <v>15</v>
      </c>
      <c r="R32" s="16">
        <f t="shared" ref="R32" si="354">BM32</f>
        <v>17</v>
      </c>
      <c r="S32" s="16">
        <f t="shared" ref="S32" si="355">BP32</f>
        <v>20</v>
      </c>
      <c r="T32" s="16">
        <f t="shared" ref="T32" si="356">BS32</f>
        <v>19</v>
      </c>
      <c r="U32" s="16">
        <f t="shared" ref="U32" si="357">BV32</f>
        <v>20</v>
      </c>
      <c r="V32" s="16">
        <f t="shared" ref="V32" si="358">BY32</f>
        <v>18</v>
      </c>
      <c r="W32" s="16">
        <f t="shared" ref="W32" si="359">CB32</f>
        <v>18</v>
      </c>
      <c r="X32" s="16">
        <f t="shared" ref="X32" si="360">CE32</f>
        <v>17</v>
      </c>
      <c r="Y32" s="16">
        <f t="shared" ref="Y32" si="361">CH32</f>
        <v>16</v>
      </c>
      <c r="Z32" s="16">
        <f t="shared" ref="Z32" si="362">CK32</f>
        <v>20</v>
      </c>
      <c r="AA32" s="16">
        <f t="shared" ref="AA32" si="363">CN32</f>
        <v>26</v>
      </c>
      <c r="AB32" s="16">
        <f t="shared" ref="AB32" si="364">CQ32</f>
        <v>33</v>
      </c>
      <c r="AC32" s="16">
        <f t="shared" ref="AC32" si="365">CT32</f>
        <v>46</v>
      </c>
      <c r="AD32" s="16">
        <f t="shared" ref="AD32" si="366">CW32</f>
        <v>49.024486744839642</v>
      </c>
      <c r="AE32" s="16">
        <f t="shared" ref="AE32" si="367">CZ32</f>
        <v>52.048973489679298</v>
      </c>
      <c r="AF32" s="16">
        <f t="shared" ref="AF32" si="368">DC32</f>
        <v>54.065297986239074</v>
      </c>
      <c r="AG32" s="16">
        <f t="shared" ref="AG32" si="369">DF32</f>
        <v>57.089784731078716</v>
      </c>
      <c r="AH32" s="16">
        <f t="shared" ref="AH32" si="370">DI32</f>
        <v>65.103099935671253</v>
      </c>
      <c r="AI32" s="16">
        <f t="shared" ref="AI32" si="371">DL32</f>
        <v>73.116415140263797</v>
      </c>
      <c r="AJ32" s="16">
        <f t="shared" ref="AJ32" si="372">DO32</f>
        <v>78.458625276658822</v>
      </c>
      <c r="AK32" s="16">
        <f t="shared" ref="AK32" si="373">DR32</f>
        <v>86.471940481251352</v>
      </c>
      <c r="AL32" s="16">
        <f t="shared" ref="AL32" si="374">DU32</f>
        <v>93.721114027950648</v>
      </c>
      <c r="AM32" s="16">
        <f t="shared" ref="AM32" si="375">DX32</f>
        <v>100.97028757464999</v>
      </c>
      <c r="AN32" s="16">
        <f t="shared" ref="AN32" si="376">EA32</f>
        <v>105.80306993911623</v>
      </c>
      <c r="AO32" s="16">
        <f t="shared" ref="AO32" si="377">ED32</f>
        <v>113.05224348581552</v>
      </c>
      <c r="AP32" s="16">
        <f t="shared" ref="AP32" si="378">EG32</f>
        <v>125.04167402570596</v>
      </c>
      <c r="AQ32" s="16">
        <f t="shared" ref="AQ32" si="379">EJ32</f>
        <v>137.03110456559639</v>
      </c>
      <c r="AR32" s="16">
        <f t="shared" ref="AR32" si="380">EM32</f>
        <v>145.02405825885668</v>
      </c>
      <c r="AS32" s="16">
        <f t="shared" ref="AS32" si="381">EP32</f>
        <v>157.01348879874712</v>
      </c>
      <c r="AT32" s="16">
        <f t="shared" ref="AT32" si="382">ES32</f>
        <v>160.72540713873138</v>
      </c>
      <c r="AU32" s="16">
        <f t="shared" ref="AU32" si="383">EV32</f>
        <v>164.43732547871574</v>
      </c>
      <c r="AV32" s="16">
        <f t="shared" ref="AV32" si="384">EY32</f>
        <v>166.911937705372</v>
      </c>
      <c r="AW32" s="16">
        <f t="shared" ref="AW32" si="385">FB32</f>
        <v>170.62385604535626</v>
      </c>
      <c r="AY32" s="16">
        <f>AY33</f>
        <v>4</v>
      </c>
      <c r="AZ32" s="16">
        <f t="shared" ref="AZ32:CT32" si="386">AZ33</f>
        <v>4</v>
      </c>
      <c r="BA32" s="16">
        <f t="shared" si="386"/>
        <v>4</v>
      </c>
      <c r="BB32" s="16">
        <f t="shared" si="386"/>
        <v>5</v>
      </c>
      <c r="BC32" s="16">
        <f t="shared" si="386"/>
        <v>5</v>
      </c>
      <c r="BD32" s="16">
        <f t="shared" si="386"/>
        <v>6</v>
      </c>
      <c r="BE32" s="16">
        <f t="shared" si="386"/>
        <v>7</v>
      </c>
      <c r="BF32" s="16">
        <f t="shared" si="386"/>
        <v>9</v>
      </c>
      <c r="BG32" s="16">
        <f t="shared" si="386"/>
        <v>11</v>
      </c>
      <c r="BH32" s="16">
        <f t="shared" si="386"/>
        <v>13</v>
      </c>
      <c r="BI32" s="16">
        <f t="shared" si="386"/>
        <v>14</v>
      </c>
      <c r="BJ32" s="16">
        <f t="shared" si="386"/>
        <v>15</v>
      </c>
      <c r="BK32" s="16">
        <f t="shared" si="386"/>
        <v>16</v>
      </c>
      <c r="BL32" s="16">
        <f t="shared" si="386"/>
        <v>16</v>
      </c>
      <c r="BM32" s="16">
        <f t="shared" si="386"/>
        <v>17</v>
      </c>
      <c r="BN32" s="16">
        <f t="shared" si="386"/>
        <v>18</v>
      </c>
      <c r="BO32" s="16">
        <f t="shared" si="386"/>
        <v>19</v>
      </c>
      <c r="BP32" s="16">
        <f t="shared" si="386"/>
        <v>20</v>
      </c>
      <c r="BQ32" s="16">
        <f t="shared" si="386"/>
        <v>20</v>
      </c>
      <c r="BR32" s="16">
        <f t="shared" si="386"/>
        <v>20</v>
      </c>
      <c r="BS32" s="16">
        <f t="shared" si="386"/>
        <v>19</v>
      </c>
      <c r="BT32" s="16">
        <f t="shared" si="386"/>
        <v>19</v>
      </c>
      <c r="BU32" s="16">
        <f t="shared" si="386"/>
        <v>19</v>
      </c>
      <c r="BV32" s="16">
        <f t="shared" si="386"/>
        <v>20</v>
      </c>
      <c r="BW32" s="16">
        <f t="shared" si="386"/>
        <v>19</v>
      </c>
      <c r="BX32" s="16">
        <f t="shared" si="386"/>
        <v>18</v>
      </c>
      <c r="BY32" s="16">
        <f t="shared" si="386"/>
        <v>18</v>
      </c>
      <c r="BZ32" s="16">
        <f t="shared" si="386"/>
        <v>19</v>
      </c>
      <c r="CA32" s="16">
        <f t="shared" si="386"/>
        <v>18</v>
      </c>
      <c r="CB32" s="16">
        <f t="shared" si="386"/>
        <v>18</v>
      </c>
      <c r="CC32" s="16">
        <f t="shared" si="386"/>
        <v>17</v>
      </c>
      <c r="CD32" s="16">
        <f t="shared" si="386"/>
        <v>17</v>
      </c>
      <c r="CE32" s="16">
        <f t="shared" si="386"/>
        <v>17</v>
      </c>
      <c r="CF32" s="16">
        <f t="shared" si="386"/>
        <v>16</v>
      </c>
      <c r="CG32" s="16">
        <f t="shared" si="386"/>
        <v>16</v>
      </c>
      <c r="CH32" s="16">
        <f t="shared" si="386"/>
        <v>16</v>
      </c>
      <c r="CI32" s="16">
        <f t="shared" si="386"/>
        <v>15</v>
      </c>
      <c r="CJ32" s="16">
        <f t="shared" si="386"/>
        <v>15</v>
      </c>
      <c r="CK32" s="16">
        <f t="shared" si="386"/>
        <v>20</v>
      </c>
      <c r="CL32" s="16">
        <f t="shared" si="386"/>
        <v>21</v>
      </c>
      <c r="CM32" s="16">
        <f t="shared" si="386"/>
        <v>24</v>
      </c>
      <c r="CN32" s="16">
        <f t="shared" si="386"/>
        <v>26</v>
      </c>
      <c r="CO32" s="16">
        <f t="shared" si="386"/>
        <v>28</v>
      </c>
      <c r="CP32" s="16">
        <f t="shared" si="386"/>
        <v>32</v>
      </c>
      <c r="CQ32" s="16">
        <f t="shared" si="386"/>
        <v>33</v>
      </c>
      <c r="CR32" s="16">
        <f t="shared" si="386"/>
        <v>38</v>
      </c>
      <c r="CS32" s="16">
        <f t="shared" si="386"/>
        <v>44</v>
      </c>
      <c r="CT32" s="16">
        <f t="shared" si="386"/>
        <v>46</v>
      </c>
      <c r="CU32" s="55">
        <f>CU33</f>
        <v>47.008162248279881</v>
      </c>
      <c r="CV32" s="55">
        <f t="shared" ref="CV32:FB32" si="387">CV33</f>
        <v>48.016324496559761</v>
      </c>
      <c r="CW32" s="55">
        <f t="shared" si="387"/>
        <v>49.024486744839642</v>
      </c>
      <c r="CX32" s="55">
        <f t="shared" si="387"/>
        <v>50.032648993119523</v>
      </c>
      <c r="CY32" s="55">
        <f t="shared" si="387"/>
        <v>51.040811241399403</v>
      </c>
      <c r="CZ32" s="55">
        <f t="shared" si="387"/>
        <v>52.048973489679298</v>
      </c>
      <c r="DA32" s="55">
        <f t="shared" si="387"/>
        <v>52.048973489679298</v>
      </c>
      <c r="DB32" s="55">
        <f t="shared" si="387"/>
        <v>53.057135737959193</v>
      </c>
      <c r="DC32" s="55">
        <f t="shared" si="387"/>
        <v>54.065297986239074</v>
      </c>
      <c r="DD32" s="55">
        <f t="shared" si="387"/>
        <v>55.073460234518954</v>
      </c>
      <c r="DE32" s="55">
        <f t="shared" si="387"/>
        <v>56.081622482798835</v>
      </c>
      <c r="DF32" s="55">
        <f t="shared" si="387"/>
        <v>57.089784731078716</v>
      </c>
      <c r="DG32" s="55">
        <f t="shared" si="387"/>
        <v>59.760889799276228</v>
      </c>
      <c r="DH32" s="55">
        <f t="shared" si="387"/>
        <v>62.43199486747374</v>
      </c>
      <c r="DI32" s="55">
        <f t="shared" si="387"/>
        <v>65.103099935671253</v>
      </c>
      <c r="DJ32" s="55">
        <f t="shared" si="387"/>
        <v>67.774205003868772</v>
      </c>
      <c r="DK32" s="55">
        <f t="shared" si="387"/>
        <v>70.445310072066292</v>
      </c>
      <c r="DL32" s="55">
        <f t="shared" si="387"/>
        <v>73.116415140263797</v>
      </c>
      <c r="DM32" s="55">
        <f t="shared" si="387"/>
        <v>73.116415140263797</v>
      </c>
      <c r="DN32" s="55">
        <f t="shared" si="387"/>
        <v>75.787520208461302</v>
      </c>
      <c r="DO32" s="55">
        <f t="shared" si="387"/>
        <v>78.458625276658822</v>
      </c>
      <c r="DP32" s="55">
        <f t="shared" si="387"/>
        <v>81.129730344856341</v>
      </c>
      <c r="DQ32" s="55">
        <f t="shared" si="387"/>
        <v>83.800835413053846</v>
      </c>
      <c r="DR32" s="55">
        <f t="shared" si="387"/>
        <v>86.471940481251352</v>
      </c>
      <c r="DS32" s="55">
        <f t="shared" si="387"/>
        <v>88.88833166348445</v>
      </c>
      <c r="DT32" s="55">
        <f t="shared" si="387"/>
        <v>91.304722845717549</v>
      </c>
      <c r="DU32" s="55">
        <f t="shared" si="387"/>
        <v>93.721114027950648</v>
      </c>
      <c r="DV32" s="55">
        <f t="shared" si="387"/>
        <v>96.137505210183747</v>
      </c>
      <c r="DW32" s="55">
        <f t="shared" si="387"/>
        <v>98.553896392416846</v>
      </c>
      <c r="DX32" s="55">
        <f t="shared" si="387"/>
        <v>100.97028757464999</v>
      </c>
      <c r="DY32" s="55">
        <f t="shared" si="387"/>
        <v>100.97028757464999</v>
      </c>
      <c r="DZ32" s="55">
        <f t="shared" si="387"/>
        <v>103.38667875688313</v>
      </c>
      <c r="EA32" s="55">
        <f t="shared" si="387"/>
        <v>105.80306993911623</v>
      </c>
      <c r="EB32" s="55">
        <f t="shared" si="387"/>
        <v>108.21946112134933</v>
      </c>
      <c r="EC32" s="55">
        <f t="shared" si="387"/>
        <v>110.63585230358242</v>
      </c>
      <c r="ED32" s="55">
        <f t="shared" si="387"/>
        <v>113.05224348581552</v>
      </c>
      <c r="EE32" s="55">
        <f t="shared" si="387"/>
        <v>117.04872033244567</v>
      </c>
      <c r="EF32" s="55">
        <f t="shared" si="387"/>
        <v>121.04519717907581</v>
      </c>
      <c r="EG32" s="55">
        <f t="shared" si="387"/>
        <v>125.04167402570596</v>
      </c>
      <c r="EH32" s="55">
        <f t="shared" si="387"/>
        <v>129.0381508723361</v>
      </c>
      <c r="EI32" s="55">
        <f t="shared" si="387"/>
        <v>133.03462771896625</v>
      </c>
      <c r="EJ32" s="55">
        <f t="shared" si="387"/>
        <v>137.03110456559639</v>
      </c>
      <c r="EK32" s="55">
        <f t="shared" si="387"/>
        <v>137.03110456559639</v>
      </c>
      <c r="EL32" s="55">
        <f t="shared" si="387"/>
        <v>141.02758141222654</v>
      </c>
      <c r="EM32" s="55">
        <f t="shared" si="387"/>
        <v>145.02405825885668</v>
      </c>
      <c r="EN32" s="55">
        <f t="shared" si="387"/>
        <v>149.02053510548683</v>
      </c>
      <c r="EO32" s="55">
        <f t="shared" si="387"/>
        <v>153.01701195211697</v>
      </c>
      <c r="EP32" s="55">
        <f t="shared" si="387"/>
        <v>157.01348879874712</v>
      </c>
      <c r="EQ32" s="55">
        <f t="shared" si="387"/>
        <v>158.25079491207521</v>
      </c>
      <c r="ER32" s="55">
        <f t="shared" si="387"/>
        <v>159.4881010254033</v>
      </c>
      <c r="ES32" s="55">
        <f t="shared" si="387"/>
        <v>160.72540713873138</v>
      </c>
      <c r="ET32" s="55">
        <f t="shared" si="387"/>
        <v>161.96271325205947</v>
      </c>
      <c r="EU32" s="55">
        <f t="shared" si="387"/>
        <v>163.20001936538756</v>
      </c>
      <c r="EV32" s="55">
        <f t="shared" si="387"/>
        <v>164.43732547871574</v>
      </c>
      <c r="EW32" s="55">
        <f t="shared" si="387"/>
        <v>164.43732547871574</v>
      </c>
      <c r="EX32" s="55">
        <f t="shared" si="387"/>
        <v>165.67463159204391</v>
      </c>
      <c r="EY32" s="55">
        <f t="shared" si="387"/>
        <v>166.911937705372</v>
      </c>
      <c r="EZ32" s="55">
        <f t="shared" si="387"/>
        <v>168.14924381870009</v>
      </c>
      <c r="FA32" s="55">
        <f t="shared" si="387"/>
        <v>169.38654993202817</v>
      </c>
      <c r="FB32" s="55">
        <f t="shared" si="387"/>
        <v>170.62385604535626</v>
      </c>
    </row>
    <row r="33" spans="1:158" x14ac:dyDescent="0.25">
      <c r="C33" t="s">
        <v>570</v>
      </c>
      <c r="D33" s="55">
        <f>AVERAGE(AY33:BJ33)</f>
        <v>8.0833333333333339</v>
      </c>
      <c r="E33" s="16">
        <f>AVERAGE(BK33:BV33)</f>
        <v>18.583333333333332</v>
      </c>
      <c r="F33" s="16">
        <f>AVERAGE(BW33:CH33)</f>
        <v>17.416666666666668</v>
      </c>
      <c r="G33" s="55">
        <f>AVERAGE(CI33:CT33)</f>
        <v>28.5</v>
      </c>
      <c r="H33" s="16">
        <f>H28/H34</f>
        <v>52.048973489679298</v>
      </c>
      <c r="I33" s="16">
        <f t="shared" ref="I33:L33" si="388">I28/I34</f>
        <v>73.116415140263797</v>
      </c>
      <c r="J33" s="16">
        <f t="shared" si="388"/>
        <v>100.97028757464999</v>
      </c>
      <c r="K33" s="16">
        <f t="shared" si="388"/>
        <v>137.03110456559639</v>
      </c>
      <c r="L33" s="16">
        <f t="shared" si="388"/>
        <v>164.43732547871574</v>
      </c>
      <c r="N33" s="16">
        <f>AVERAGE(AY33:BA33)</f>
        <v>4</v>
      </c>
      <c r="O33" s="16">
        <f>AVERAGE(BB33:BD33)</f>
        <v>5.333333333333333</v>
      </c>
      <c r="P33" s="16">
        <f>AVERAGE(BE33:BG33)</f>
        <v>9</v>
      </c>
      <c r="Q33" s="16">
        <f>AVERAGE(BH33:BJ33)</f>
        <v>14</v>
      </c>
      <c r="R33" s="16">
        <f>AVERAGE(BK33:BM33)</f>
        <v>16.333333333333332</v>
      </c>
      <c r="S33" s="16">
        <f>AVERAGE(BN33:BP33)</f>
        <v>19</v>
      </c>
      <c r="T33" s="16">
        <f>AVERAGE(BQ33:BS33)</f>
        <v>19.666666666666668</v>
      </c>
      <c r="U33" s="16">
        <f>AVERAGE(BT33:BV33)</f>
        <v>19.333333333333332</v>
      </c>
      <c r="V33" s="16">
        <f>AVERAGE(BW33:BY33)</f>
        <v>18.333333333333332</v>
      </c>
      <c r="W33" s="16">
        <f>AVERAGE(BZ33:CB33)</f>
        <v>18.333333333333332</v>
      </c>
      <c r="X33" s="16">
        <f>AVERAGE(CC33:CE33)</f>
        <v>17</v>
      </c>
      <c r="Y33" s="16">
        <f>AVERAGE(CF33:CH33)</f>
        <v>16</v>
      </c>
      <c r="Z33" s="16">
        <f>AVERAGE(CI33:CK33)</f>
        <v>16.666666666666668</v>
      </c>
      <c r="AA33" s="16">
        <f>AVERAGE(CL33:CN33)</f>
        <v>23.666666666666668</v>
      </c>
      <c r="AB33" s="16">
        <f>AVERAGE(CO33:CQ33)</f>
        <v>31</v>
      </c>
      <c r="AC33" s="16">
        <f>AVERAGE(CR33:CT33)</f>
        <v>42.666666666666664</v>
      </c>
      <c r="AD33" s="16">
        <f>AVERAGE(CU33:CW33)</f>
        <v>48.016324496559754</v>
      </c>
      <c r="AE33" s="16">
        <f>AVERAGE(CX33:CZ33)</f>
        <v>51.04081124139941</v>
      </c>
      <c r="AF33" s="16">
        <f>AVERAGE(DA33:DC33)</f>
        <v>53.057135737959186</v>
      </c>
      <c r="AG33" s="16">
        <f>AVERAGE(DD33:DF33)</f>
        <v>56.081622482798828</v>
      </c>
      <c r="AH33" s="16">
        <f>AVERAGE(DG33:DI33)</f>
        <v>62.43199486747374</v>
      </c>
      <c r="AI33" s="16">
        <f>AVERAGE(DJ33:DL33)</f>
        <v>70.445310072066292</v>
      </c>
      <c r="AJ33" s="16">
        <f>AVERAGE(DM33:DO33)</f>
        <v>75.787520208461316</v>
      </c>
      <c r="AK33" s="16">
        <f>AVERAGE(DP33:DR33)</f>
        <v>83.800835413053846</v>
      </c>
      <c r="AL33" s="16">
        <f>AVERAGE(DS33:DU33)</f>
        <v>91.304722845717549</v>
      </c>
      <c r="AM33" s="16">
        <f>AVERAGE(DV33:DX33)</f>
        <v>98.55389639241686</v>
      </c>
      <c r="AN33" s="16">
        <f>AVERAGE(DY33:EA33)</f>
        <v>103.38667875688311</v>
      </c>
      <c r="AO33" s="16">
        <f>AVERAGE(EB33:ED33)</f>
        <v>110.63585230358244</v>
      </c>
      <c r="AP33" s="16">
        <f>AVERAGE(EE33:EG33)</f>
        <v>121.04519717907583</v>
      </c>
      <c r="AQ33" s="16">
        <f>AVERAGE(EH33:EJ33)</f>
        <v>133.03462771896625</v>
      </c>
      <c r="AR33" s="16">
        <f>AVERAGE(EK33:EM33)</f>
        <v>141.02758141222657</v>
      </c>
      <c r="AS33" s="16">
        <f>AVERAGE(EN33:EP33)</f>
        <v>153.01701195211697</v>
      </c>
      <c r="AT33" s="16">
        <f>AVERAGE(EQ33:ES33)</f>
        <v>159.4881010254033</v>
      </c>
      <c r="AU33" s="16">
        <f>AVERAGE(ET33:EV33)</f>
        <v>163.20001936538759</v>
      </c>
      <c r="AV33" s="16">
        <f>AVERAGE(EW33:EY33)</f>
        <v>165.67463159204388</v>
      </c>
      <c r="AW33" s="16">
        <f>AVERAGE(EZ33:FB33)</f>
        <v>169.38654993202817</v>
      </c>
      <c r="AY33" s="16">
        <v>4</v>
      </c>
      <c r="AZ33" s="16">
        <v>4</v>
      </c>
      <c r="BA33" s="16">
        <v>4</v>
      </c>
      <c r="BB33" s="16">
        <v>5</v>
      </c>
      <c r="BC33" s="16">
        <v>5</v>
      </c>
      <c r="BD33" s="16">
        <v>6</v>
      </c>
      <c r="BE33" s="16">
        <v>7</v>
      </c>
      <c r="BF33" s="16">
        <v>9</v>
      </c>
      <c r="BG33" s="16">
        <v>11</v>
      </c>
      <c r="BH33" s="16">
        <v>13</v>
      </c>
      <c r="BI33" s="16">
        <v>14</v>
      </c>
      <c r="BJ33" s="16">
        <v>15</v>
      </c>
      <c r="BK33" s="16">
        <v>16</v>
      </c>
      <c r="BL33" s="16">
        <v>16</v>
      </c>
      <c r="BM33" s="16">
        <v>17</v>
      </c>
      <c r="BN33" s="16">
        <v>18</v>
      </c>
      <c r="BO33" s="16">
        <v>19</v>
      </c>
      <c r="BP33" s="16">
        <v>20</v>
      </c>
      <c r="BQ33" s="16">
        <v>20</v>
      </c>
      <c r="BR33" s="16">
        <v>20</v>
      </c>
      <c r="BS33" s="16">
        <v>19</v>
      </c>
      <c r="BT33" s="16">
        <v>19</v>
      </c>
      <c r="BU33" s="16">
        <v>19</v>
      </c>
      <c r="BV33" s="16">
        <v>20</v>
      </c>
      <c r="BW33" s="16">
        <v>19</v>
      </c>
      <c r="BX33" s="16">
        <v>18</v>
      </c>
      <c r="BY33" s="16">
        <v>18</v>
      </c>
      <c r="BZ33" s="16">
        <v>19</v>
      </c>
      <c r="CA33" s="16">
        <v>18</v>
      </c>
      <c r="CB33" s="16">
        <v>18</v>
      </c>
      <c r="CC33" s="16">
        <v>17</v>
      </c>
      <c r="CD33" s="16">
        <v>17</v>
      </c>
      <c r="CE33" s="16">
        <v>17</v>
      </c>
      <c r="CF33" s="16">
        <v>16</v>
      </c>
      <c r="CG33" s="16">
        <v>16</v>
      </c>
      <c r="CH33" s="16">
        <v>16</v>
      </c>
      <c r="CI33" s="16">
        <v>15</v>
      </c>
      <c r="CJ33" s="16">
        <v>15</v>
      </c>
      <c r="CK33" s="16">
        <v>20</v>
      </c>
      <c r="CL33" s="16">
        <v>21</v>
      </c>
      <c r="CM33" s="16">
        <v>24</v>
      </c>
      <c r="CN33" s="16">
        <v>26</v>
      </c>
      <c r="CO33" s="16">
        <v>28</v>
      </c>
      <c r="CP33" s="16">
        <v>32</v>
      </c>
      <c r="CQ33" s="16">
        <v>33</v>
      </c>
      <c r="CR33" s="16">
        <v>38</v>
      </c>
      <c r="CS33" s="16">
        <v>44</v>
      </c>
      <c r="CT33" s="16">
        <v>46</v>
      </c>
      <c r="CU33" s="16">
        <f>(CZ33-CT33)/6+CT33</f>
        <v>47.008162248279881</v>
      </c>
      <c r="CV33" s="16">
        <f>(CZ33-CT33)/6+CU33</f>
        <v>48.016324496559761</v>
      </c>
      <c r="CW33" s="16">
        <f>(CZ33-CT33)/6+CV33</f>
        <v>49.024486744839642</v>
      </c>
      <c r="CX33" s="16">
        <f>(CZ33-CT33)/6+CW33</f>
        <v>50.032648993119523</v>
      </c>
      <c r="CY33" s="16">
        <f>(CZ33-CT33)/6+CX33</f>
        <v>51.040811241399403</v>
      </c>
      <c r="CZ33" s="90">
        <f t="shared" ref="CZ33:DA33" si="389">INDEX($D33:$L33,1,MATCH(CZ$2,$D$2:$L$2,))</f>
        <v>52.048973489679298</v>
      </c>
      <c r="DA33" s="90">
        <f t="shared" si="389"/>
        <v>52.048973489679298</v>
      </c>
      <c r="DB33" s="16">
        <f>CZ33-CY33+DA33</f>
        <v>53.057135737959193</v>
      </c>
      <c r="DC33" s="16">
        <f>CY33-CX33+DB33</f>
        <v>54.065297986239074</v>
      </c>
      <c r="DD33" s="16">
        <f>CX33-CW33+DC33</f>
        <v>55.073460234518954</v>
      </c>
      <c r="DE33" s="16">
        <f>CW33-CV33+DD33</f>
        <v>56.081622482798835</v>
      </c>
      <c r="DF33" s="16">
        <f>CV33-CU33+DE33</f>
        <v>57.089784731078716</v>
      </c>
      <c r="DG33" s="16">
        <f>(DL33-DF33)/6+DF33</f>
        <v>59.760889799276228</v>
      </c>
      <c r="DH33" s="16">
        <f>(DL33-DF33)/6+DG33</f>
        <v>62.43199486747374</v>
      </c>
      <c r="DI33" s="16">
        <f>(DL33-DF33)/6+DH33</f>
        <v>65.103099935671253</v>
      </c>
      <c r="DJ33" s="16">
        <f>(DL33-DF33)/6+DI33</f>
        <v>67.774205003868772</v>
      </c>
      <c r="DK33" s="16">
        <f>(DL33-DF33)/6+DJ33</f>
        <v>70.445310072066292</v>
      </c>
      <c r="DL33" s="90">
        <f t="shared" ref="DL33:DM33" si="390">INDEX($D33:$L33,1,MATCH(DL$2,$D$2:$L$2,))</f>
        <v>73.116415140263797</v>
      </c>
      <c r="DM33" s="90">
        <f t="shared" si="390"/>
        <v>73.116415140263797</v>
      </c>
      <c r="DN33" s="16">
        <f>DL33-DK33+DM33</f>
        <v>75.787520208461302</v>
      </c>
      <c r="DO33" s="16">
        <f>DK33-DJ33+DN33</f>
        <v>78.458625276658822</v>
      </c>
      <c r="DP33" s="16">
        <f>DJ33-DI33+DO33</f>
        <v>81.129730344856341</v>
      </c>
      <c r="DQ33" s="16">
        <f>DI33-DH33+DP33</f>
        <v>83.800835413053846</v>
      </c>
      <c r="DR33" s="16">
        <f>DH33-DG33+DQ33</f>
        <v>86.471940481251352</v>
      </c>
      <c r="DS33" s="16">
        <f>(DX33-DR33)/6+DR33</f>
        <v>88.88833166348445</v>
      </c>
      <c r="DT33" s="16">
        <f>(DX33-DR33)/6+DS33</f>
        <v>91.304722845717549</v>
      </c>
      <c r="DU33" s="16">
        <f>(DX33-DR33)/6+DT33</f>
        <v>93.721114027950648</v>
      </c>
      <c r="DV33" s="16">
        <f>(DX33-DR33)/6+DU33</f>
        <v>96.137505210183747</v>
      </c>
      <c r="DW33" s="16">
        <f>(DX33-DR33)/6+DV33</f>
        <v>98.553896392416846</v>
      </c>
      <c r="DX33" s="90">
        <f t="shared" ref="DX33:DY33" si="391">INDEX($D33:$L33,1,MATCH(DX$2,$D$2:$L$2,))</f>
        <v>100.97028757464999</v>
      </c>
      <c r="DY33" s="90">
        <f t="shared" si="391"/>
        <v>100.97028757464999</v>
      </c>
      <c r="DZ33" s="16">
        <f>DX33-DW33+DY33</f>
        <v>103.38667875688313</v>
      </c>
      <c r="EA33" s="16">
        <f>DW33-DV33+DZ33</f>
        <v>105.80306993911623</v>
      </c>
      <c r="EB33" s="16">
        <f>DV33-DU33+EA33</f>
        <v>108.21946112134933</v>
      </c>
      <c r="EC33" s="16">
        <f>DU33-DT33+EB33</f>
        <v>110.63585230358242</v>
      </c>
      <c r="ED33" s="16">
        <f>DT33-DS33+EC33</f>
        <v>113.05224348581552</v>
      </c>
      <c r="EE33" s="16">
        <f>(EJ33-ED33)/6+ED33</f>
        <v>117.04872033244567</v>
      </c>
      <c r="EF33" s="16">
        <f>(EJ33-ED33)/6+EE33</f>
        <v>121.04519717907581</v>
      </c>
      <c r="EG33" s="16">
        <f>(EJ33-ED33)/6+EF33</f>
        <v>125.04167402570596</v>
      </c>
      <c r="EH33" s="16">
        <f>(EJ33-ED33)/6+EG33</f>
        <v>129.0381508723361</v>
      </c>
      <c r="EI33" s="16">
        <f>(EJ33-ED33)/6+EH33</f>
        <v>133.03462771896625</v>
      </c>
      <c r="EJ33" s="90">
        <f t="shared" ref="EJ33:EK33" si="392">INDEX($D33:$L33,1,MATCH(EJ$2,$D$2:$L$2,))</f>
        <v>137.03110456559639</v>
      </c>
      <c r="EK33" s="90">
        <f t="shared" si="392"/>
        <v>137.03110456559639</v>
      </c>
      <c r="EL33" s="16">
        <f>EJ33-EI33+EK33</f>
        <v>141.02758141222654</v>
      </c>
      <c r="EM33" s="16">
        <f>EI33-EH33+EL33</f>
        <v>145.02405825885668</v>
      </c>
      <c r="EN33" s="16">
        <f>EH33-EG33+EM33</f>
        <v>149.02053510548683</v>
      </c>
      <c r="EO33" s="16">
        <f>EG33-EF33+EN33</f>
        <v>153.01701195211697</v>
      </c>
      <c r="EP33" s="16">
        <f>EF33-EE33+EO33</f>
        <v>157.01348879874712</v>
      </c>
      <c r="EQ33" s="16">
        <f>(EV33-EP33)/6+EP33</f>
        <v>158.25079491207521</v>
      </c>
      <c r="ER33" s="16">
        <f>(EV33-EP33)/6+EQ33</f>
        <v>159.4881010254033</v>
      </c>
      <c r="ES33" s="16">
        <f>(EV33-EP33)/6+ER33</f>
        <v>160.72540713873138</v>
      </c>
      <c r="ET33" s="16">
        <f>(EV33-EP33)/6+ES33</f>
        <v>161.96271325205947</v>
      </c>
      <c r="EU33" s="16">
        <f>(EV33-EP33)/6+ET33</f>
        <v>163.20001936538756</v>
      </c>
      <c r="EV33" s="90">
        <f t="shared" ref="EV33:EW33" si="393">INDEX($D33:$L33,1,MATCH(EV$2,$D$2:$L$2,))</f>
        <v>164.43732547871574</v>
      </c>
      <c r="EW33" s="90">
        <f t="shared" si="393"/>
        <v>164.43732547871574</v>
      </c>
      <c r="EX33" s="16">
        <f>EV33-EU33+EW33</f>
        <v>165.67463159204391</v>
      </c>
      <c r="EY33" s="16">
        <f>EU33-ET33+EX33</f>
        <v>166.911937705372</v>
      </c>
      <c r="EZ33" s="16">
        <f>ET33-ES33+EY33</f>
        <v>168.14924381870009</v>
      </c>
      <c r="FA33" s="16">
        <f>ES33-ER33+EZ33</f>
        <v>169.38654993202817</v>
      </c>
      <c r="FB33" s="16">
        <f>ER33-EQ33+FA33</f>
        <v>170.62385604535626</v>
      </c>
    </row>
    <row r="34" spans="1:158" x14ac:dyDescent="0.25">
      <c r="B34" s="303">
        <v>0.05</v>
      </c>
      <c r="C34" s="28" t="s">
        <v>518</v>
      </c>
      <c r="D34" s="55">
        <f>D28/D33</f>
        <v>117796.96453608248</v>
      </c>
      <c r="E34" s="16">
        <f>E28/E33</f>
        <v>128719.17578475337</v>
      </c>
      <c r="F34" s="16">
        <f>F28/F33</f>
        <v>146655.11827751197</v>
      </c>
      <c r="G34" s="55">
        <f>G28/G33</f>
        <v>172914.07296984625</v>
      </c>
      <c r="H34" s="249">
        <f>G34*(1+$B34)</f>
        <v>181559.77661833857</v>
      </c>
      <c r="I34" s="249">
        <f t="shared" ref="I34:L34" si="394">H34*(1+$B34)</f>
        <v>190637.7654492555</v>
      </c>
      <c r="J34" s="249">
        <f t="shared" si="394"/>
        <v>200169.65372171829</v>
      </c>
      <c r="K34" s="249">
        <f t="shared" si="394"/>
        <v>210178.13640780421</v>
      </c>
      <c r="L34" s="249">
        <f t="shared" si="394"/>
        <v>220687.04322819444</v>
      </c>
      <c r="N34" s="16">
        <f t="shared" ref="N34:AW34" si="395">N28/N33*4</f>
        <v>158823.1</v>
      </c>
      <c r="O34" s="16">
        <f t="shared" si="395"/>
        <v>124919.46750000001</v>
      </c>
      <c r="P34" s="16">
        <f t="shared" si="395"/>
        <v>108256.41333333334</v>
      </c>
      <c r="Q34" s="16">
        <f t="shared" si="395"/>
        <v>109495.08857142857</v>
      </c>
      <c r="R34" s="16">
        <f t="shared" si="395"/>
        <v>123132.84489795918</v>
      </c>
      <c r="S34" s="16">
        <f t="shared" si="395"/>
        <v>124474.53684210527</v>
      </c>
      <c r="T34" s="16">
        <f t="shared" si="395"/>
        <v>134133.46372881357</v>
      </c>
      <c r="U34" s="16">
        <f t="shared" si="395"/>
        <v>132102.48000000001</v>
      </c>
      <c r="V34" s="16">
        <f t="shared" si="395"/>
        <v>155734.28945454545</v>
      </c>
      <c r="W34" s="16">
        <f t="shared" si="395"/>
        <v>152554.68872727273</v>
      </c>
      <c r="X34" s="16">
        <f t="shared" si="395"/>
        <v>134547.17176470588</v>
      </c>
      <c r="Y34" s="16">
        <f t="shared" si="395"/>
        <v>142356.66999999998</v>
      </c>
      <c r="Z34" s="16">
        <f t="shared" si="395"/>
        <v>148133.66639999996</v>
      </c>
      <c r="AA34" s="16">
        <f t="shared" si="395"/>
        <v>168223.78429555986</v>
      </c>
      <c r="AB34" s="16">
        <f t="shared" si="395"/>
        <v>179192.02472454723</v>
      </c>
      <c r="AC34" s="16">
        <f t="shared" si="395"/>
        <v>180634.23946343578</v>
      </c>
      <c r="AD34" s="16">
        <f t="shared" si="395"/>
        <v>181559.7766183386</v>
      </c>
      <c r="AE34" s="16">
        <f t="shared" si="395"/>
        <v>181559.77661833857</v>
      </c>
      <c r="AF34" s="16">
        <f t="shared" si="395"/>
        <v>181559.77661833857</v>
      </c>
      <c r="AG34" s="16">
        <f t="shared" si="395"/>
        <v>181559.7766183386</v>
      </c>
      <c r="AH34" s="16">
        <f t="shared" si="395"/>
        <v>190637.7654492555</v>
      </c>
      <c r="AI34" s="16">
        <f t="shared" si="395"/>
        <v>190637.7654492555</v>
      </c>
      <c r="AJ34" s="16">
        <f t="shared" si="395"/>
        <v>190637.76544925547</v>
      </c>
      <c r="AK34" s="16">
        <f t="shared" si="395"/>
        <v>190637.7654492555</v>
      </c>
      <c r="AL34" s="16">
        <f t="shared" si="395"/>
        <v>200169.65372171829</v>
      </c>
      <c r="AM34" s="16">
        <f t="shared" si="395"/>
        <v>200169.65372171829</v>
      </c>
      <c r="AN34" s="16">
        <f t="shared" si="395"/>
        <v>200169.65372171829</v>
      </c>
      <c r="AO34" s="16">
        <f t="shared" si="395"/>
        <v>200169.65372171823</v>
      </c>
      <c r="AP34" s="16">
        <f t="shared" si="395"/>
        <v>210178.13640780421</v>
      </c>
      <c r="AQ34" s="16">
        <f t="shared" si="395"/>
        <v>210178.13640780421</v>
      </c>
      <c r="AR34" s="16">
        <f t="shared" si="395"/>
        <v>210178.13640780415</v>
      </c>
      <c r="AS34" s="16">
        <f t="shared" si="395"/>
        <v>210178.13640780424</v>
      </c>
      <c r="AT34" s="16">
        <f t="shared" si="395"/>
        <v>220687.04322819447</v>
      </c>
      <c r="AU34" s="16">
        <f t="shared" si="395"/>
        <v>220687.04322819441</v>
      </c>
      <c r="AV34" s="16">
        <f t="shared" si="395"/>
        <v>220687.04322819441</v>
      </c>
      <c r="AW34" s="16">
        <f t="shared" si="395"/>
        <v>220687.04322819447</v>
      </c>
      <c r="AY34" s="16">
        <f t="shared" ref="AY34:CT34" si="396">AY28/AY33*12</f>
        <v>152190.96</v>
      </c>
      <c r="AZ34" s="16">
        <f t="shared" si="396"/>
        <v>187653.66</v>
      </c>
      <c r="BA34" s="16">
        <f t="shared" si="396"/>
        <v>136624.68</v>
      </c>
      <c r="BB34" s="16">
        <f t="shared" si="396"/>
        <v>124032.43199999997</v>
      </c>
      <c r="BC34" s="16">
        <f t="shared" si="396"/>
        <v>138525.24</v>
      </c>
      <c r="BD34" s="16">
        <f t="shared" si="396"/>
        <v>114320.52000000002</v>
      </c>
      <c r="BE34" s="16">
        <f t="shared" si="396"/>
        <v>99907.457142857136</v>
      </c>
      <c r="BF34" s="16">
        <f t="shared" si="396"/>
        <v>107352.12000000002</v>
      </c>
      <c r="BG34" s="16">
        <f t="shared" si="396"/>
        <v>114309.26181818181</v>
      </c>
      <c r="BH34" s="16">
        <f t="shared" si="396"/>
        <v>94896.88615384615</v>
      </c>
      <c r="BI34" s="16">
        <f t="shared" si="396"/>
        <v>111169.09714285714</v>
      </c>
      <c r="BJ34" s="16">
        <f t="shared" si="396"/>
        <v>120584.45600000001</v>
      </c>
      <c r="BK34" s="16">
        <f t="shared" si="396"/>
        <v>118574.33249999999</v>
      </c>
      <c r="BL34" s="16">
        <f t="shared" si="396"/>
        <v>118553.96249999999</v>
      </c>
      <c r="BM34" s="16">
        <f t="shared" si="396"/>
        <v>131732.74588235296</v>
      </c>
      <c r="BN34" s="16">
        <f t="shared" si="396"/>
        <v>114616.13333333333</v>
      </c>
      <c r="BO34" s="16">
        <f t="shared" si="396"/>
        <v>124412.0147368421</v>
      </c>
      <c r="BP34" s="16">
        <f t="shared" si="396"/>
        <v>133406.49600000001</v>
      </c>
      <c r="BQ34" s="16">
        <f t="shared" si="396"/>
        <v>122015.23199999999</v>
      </c>
      <c r="BR34" s="16">
        <f t="shared" si="396"/>
        <v>136552.65</v>
      </c>
      <c r="BS34" s="16">
        <f t="shared" si="396"/>
        <v>144342.9852631579</v>
      </c>
      <c r="BT34" s="16">
        <f t="shared" si="396"/>
        <v>125646.24</v>
      </c>
      <c r="BU34" s="16">
        <f t="shared" si="396"/>
        <v>135625.42736842105</v>
      </c>
      <c r="BV34" s="16">
        <f t="shared" si="396"/>
        <v>134889.10800000001</v>
      </c>
      <c r="BW34" s="16">
        <f t="shared" si="396"/>
        <v>173673.22105263156</v>
      </c>
      <c r="BX34" s="16">
        <f t="shared" si="396"/>
        <v>151948.51333333334</v>
      </c>
      <c r="BY34" s="16">
        <f t="shared" si="396"/>
        <v>140584.52666666667</v>
      </c>
      <c r="BZ34" s="16">
        <f t="shared" si="396"/>
        <v>154445.46947368421</v>
      </c>
      <c r="CA34" s="16">
        <f t="shared" si="396"/>
        <v>166650.64666666667</v>
      </c>
      <c r="CB34" s="16">
        <f t="shared" si="396"/>
        <v>136462.90666666665</v>
      </c>
      <c r="CC34" s="16">
        <f t="shared" si="396"/>
        <v>132274.20000000001</v>
      </c>
      <c r="CD34" s="16">
        <f t="shared" si="396"/>
        <v>131887.5317647059</v>
      </c>
      <c r="CE34" s="16">
        <f t="shared" si="396"/>
        <v>139479.78352941177</v>
      </c>
      <c r="CF34" s="16">
        <f t="shared" si="396"/>
        <v>145072.08749999999</v>
      </c>
      <c r="CG34" s="16">
        <f t="shared" si="396"/>
        <v>130709.16750000001</v>
      </c>
      <c r="CH34" s="16">
        <f t="shared" si="396"/>
        <v>151288.755</v>
      </c>
      <c r="CI34" s="16">
        <f t="shared" si="396"/>
        <v>143041.37599999999</v>
      </c>
      <c r="CJ34" s="16">
        <f t="shared" si="396"/>
        <v>147071.07999999999</v>
      </c>
      <c r="CK34" s="16">
        <f t="shared" si="396"/>
        <v>152749.82399999996</v>
      </c>
      <c r="CL34" s="16">
        <f t="shared" si="396"/>
        <v>157940.20571428572</v>
      </c>
      <c r="CM34" s="16">
        <f t="shared" si="396"/>
        <v>174044.03018629953</v>
      </c>
      <c r="CN34" s="16">
        <f t="shared" si="396"/>
        <v>171157.21694282934</v>
      </c>
      <c r="CO34" s="16">
        <f t="shared" si="396"/>
        <v>177027.12144705665</v>
      </c>
      <c r="CP34" s="16">
        <f t="shared" si="396"/>
        <v>177708.336218034</v>
      </c>
      <c r="CQ34" s="16">
        <f t="shared" si="396"/>
        <v>182467.64060267335</v>
      </c>
      <c r="CR34" s="16">
        <f t="shared" si="396"/>
        <v>178503.88263471966</v>
      </c>
      <c r="CS34" s="16">
        <f t="shared" si="396"/>
        <v>180175.11950748877</v>
      </c>
      <c r="CT34" s="16">
        <f t="shared" si="396"/>
        <v>182833.25767110713</v>
      </c>
      <c r="CU34" s="90">
        <f t="shared" ref="CU34:DZ34" si="397">INDEX($D34:$L34,1,MATCH(CU$2,$D$2:$L$2,))</f>
        <v>181559.77661833857</v>
      </c>
      <c r="CV34" s="90">
        <f t="shared" si="397"/>
        <v>181559.77661833857</v>
      </c>
      <c r="CW34" s="90">
        <f t="shared" si="397"/>
        <v>181559.77661833857</v>
      </c>
      <c r="CX34" s="90">
        <f t="shared" si="397"/>
        <v>181559.77661833857</v>
      </c>
      <c r="CY34" s="90">
        <f t="shared" si="397"/>
        <v>181559.77661833857</v>
      </c>
      <c r="CZ34" s="90">
        <f t="shared" si="397"/>
        <v>181559.77661833857</v>
      </c>
      <c r="DA34" s="90">
        <f t="shared" si="397"/>
        <v>181559.77661833857</v>
      </c>
      <c r="DB34" s="90">
        <f t="shared" si="397"/>
        <v>181559.77661833857</v>
      </c>
      <c r="DC34" s="90">
        <f t="shared" si="397"/>
        <v>181559.77661833857</v>
      </c>
      <c r="DD34" s="90">
        <f t="shared" si="397"/>
        <v>181559.77661833857</v>
      </c>
      <c r="DE34" s="90">
        <f t="shared" si="397"/>
        <v>181559.77661833857</v>
      </c>
      <c r="DF34" s="90">
        <f t="shared" si="397"/>
        <v>181559.77661833857</v>
      </c>
      <c r="DG34" s="90">
        <f t="shared" si="397"/>
        <v>190637.7654492555</v>
      </c>
      <c r="DH34" s="90">
        <f t="shared" si="397"/>
        <v>190637.7654492555</v>
      </c>
      <c r="DI34" s="90">
        <f t="shared" si="397"/>
        <v>190637.7654492555</v>
      </c>
      <c r="DJ34" s="90">
        <f t="shared" si="397"/>
        <v>190637.7654492555</v>
      </c>
      <c r="DK34" s="90">
        <f t="shared" si="397"/>
        <v>190637.7654492555</v>
      </c>
      <c r="DL34" s="90">
        <f t="shared" si="397"/>
        <v>190637.7654492555</v>
      </c>
      <c r="DM34" s="90">
        <f t="shared" si="397"/>
        <v>190637.7654492555</v>
      </c>
      <c r="DN34" s="90">
        <f t="shared" si="397"/>
        <v>190637.7654492555</v>
      </c>
      <c r="DO34" s="90">
        <f t="shared" si="397"/>
        <v>190637.7654492555</v>
      </c>
      <c r="DP34" s="90">
        <f t="shared" si="397"/>
        <v>190637.7654492555</v>
      </c>
      <c r="DQ34" s="90">
        <f t="shared" si="397"/>
        <v>190637.7654492555</v>
      </c>
      <c r="DR34" s="90">
        <f t="shared" si="397"/>
        <v>190637.7654492555</v>
      </c>
      <c r="DS34" s="90">
        <f t="shared" si="397"/>
        <v>200169.65372171829</v>
      </c>
      <c r="DT34" s="90">
        <f t="shared" si="397"/>
        <v>200169.65372171829</v>
      </c>
      <c r="DU34" s="90">
        <f t="shared" si="397"/>
        <v>200169.65372171829</v>
      </c>
      <c r="DV34" s="90">
        <f t="shared" si="397"/>
        <v>200169.65372171829</v>
      </c>
      <c r="DW34" s="90">
        <f t="shared" si="397"/>
        <v>200169.65372171829</v>
      </c>
      <c r="DX34" s="90">
        <f t="shared" si="397"/>
        <v>200169.65372171829</v>
      </c>
      <c r="DY34" s="90">
        <f t="shared" si="397"/>
        <v>200169.65372171829</v>
      </c>
      <c r="DZ34" s="90">
        <f t="shared" si="397"/>
        <v>200169.65372171829</v>
      </c>
      <c r="EA34" s="90">
        <f t="shared" ref="EA34:FB34" si="398">INDEX($D34:$L34,1,MATCH(EA$2,$D$2:$L$2,))</f>
        <v>200169.65372171829</v>
      </c>
      <c r="EB34" s="90">
        <f t="shared" si="398"/>
        <v>200169.65372171829</v>
      </c>
      <c r="EC34" s="90">
        <f t="shared" si="398"/>
        <v>200169.65372171829</v>
      </c>
      <c r="ED34" s="90">
        <f t="shared" si="398"/>
        <v>200169.65372171829</v>
      </c>
      <c r="EE34" s="90">
        <f t="shared" si="398"/>
        <v>210178.13640780421</v>
      </c>
      <c r="EF34" s="90">
        <f t="shared" si="398"/>
        <v>210178.13640780421</v>
      </c>
      <c r="EG34" s="90">
        <f t="shared" si="398"/>
        <v>210178.13640780421</v>
      </c>
      <c r="EH34" s="90">
        <f t="shared" si="398"/>
        <v>210178.13640780421</v>
      </c>
      <c r="EI34" s="90">
        <f t="shared" si="398"/>
        <v>210178.13640780421</v>
      </c>
      <c r="EJ34" s="90">
        <f t="shared" si="398"/>
        <v>210178.13640780421</v>
      </c>
      <c r="EK34" s="90">
        <f t="shared" si="398"/>
        <v>210178.13640780421</v>
      </c>
      <c r="EL34" s="90">
        <f t="shared" si="398"/>
        <v>210178.13640780421</v>
      </c>
      <c r="EM34" s="90">
        <f t="shared" si="398"/>
        <v>210178.13640780421</v>
      </c>
      <c r="EN34" s="90">
        <f t="shared" si="398"/>
        <v>210178.13640780421</v>
      </c>
      <c r="EO34" s="90">
        <f t="shared" si="398"/>
        <v>210178.13640780421</v>
      </c>
      <c r="EP34" s="90">
        <f t="shared" si="398"/>
        <v>210178.13640780421</v>
      </c>
      <c r="EQ34" s="90">
        <f t="shared" si="398"/>
        <v>220687.04322819444</v>
      </c>
      <c r="ER34" s="90">
        <f t="shared" si="398"/>
        <v>220687.04322819444</v>
      </c>
      <c r="ES34" s="90">
        <f t="shared" si="398"/>
        <v>220687.04322819444</v>
      </c>
      <c r="ET34" s="90">
        <f t="shared" si="398"/>
        <v>220687.04322819444</v>
      </c>
      <c r="EU34" s="90">
        <f t="shared" si="398"/>
        <v>220687.04322819444</v>
      </c>
      <c r="EV34" s="90">
        <f t="shared" si="398"/>
        <v>220687.04322819444</v>
      </c>
      <c r="EW34" s="90">
        <f t="shared" si="398"/>
        <v>220687.04322819444</v>
      </c>
      <c r="EX34" s="90">
        <f t="shared" si="398"/>
        <v>220687.04322819444</v>
      </c>
      <c r="EY34" s="90">
        <f t="shared" si="398"/>
        <v>220687.04322819444</v>
      </c>
      <c r="EZ34" s="90">
        <f t="shared" si="398"/>
        <v>220687.04322819444</v>
      </c>
      <c r="FA34" s="90">
        <f t="shared" si="398"/>
        <v>220687.04322819444</v>
      </c>
      <c r="FB34" s="90">
        <f t="shared" si="398"/>
        <v>220687.04322819444</v>
      </c>
    </row>
    <row r="35" spans="1:158" x14ac:dyDescent="0.25">
      <c r="B35" s="99"/>
      <c r="D35" s="16"/>
      <c r="E35" s="16"/>
      <c r="F35" s="16"/>
      <c r="G35" s="16"/>
      <c r="H35" s="15"/>
      <c r="I35" s="55"/>
      <c r="J35" s="55"/>
      <c r="K35" s="55"/>
      <c r="L35" s="55"/>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Y35" s="16"/>
      <c r="AZ35" s="16"/>
      <c r="BA35" s="16"/>
      <c r="BB35" s="16"/>
      <c r="BC35" s="16"/>
      <c r="BD35" s="16"/>
      <c r="BE35" s="16"/>
      <c r="BF35" s="16"/>
      <c r="BG35" s="16"/>
      <c r="BH35" s="16"/>
      <c r="BI35" s="16"/>
      <c r="BJ35" s="16"/>
      <c r="BK35" s="16"/>
      <c r="BL35" s="16"/>
      <c r="BM35" s="16"/>
      <c r="BN35" s="16"/>
      <c r="BO35" s="16"/>
      <c r="BP35" s="16"/>
      <c r="BQ35" s="16"/>
      <c r="BR35" s="16"/>
      <c r="BS35" s="16"/>
      <c r="BT35" s="16"/>
      <c r="BU35" s="16"/>
      <c r="BV35" s="16"/>
      <c r="BW35" s="16"/>
      <c r="BX35" s="16"/>
      <c r="BY35" s="16"/>
      <c r="BZ35" s="16"/>
      <c r="CA35" s="16"/>
      <c r="CB35" s="16"/>
      <c r="CC35" s="16"/>
      <c r="CD35" s="16"/>
      <c r="CE35" s="16"/>
      <c r="CF35" s="16"/>
      <c r="CG35" s="16"/>
      <c r="CH35" s="16"/>
      <c r="CI35" s="16"/>
      <c r="CJ35" s="16"/>
      <c r="CK35" s="16"/>
      <c r="CL35" s="16"/>
      <c r="CM35" s="16"/>
      <c r="CN35" s="16"/>
      <c r="CO35" s="16"/>
      <c r="CP35" s="16"/>
      <c r="CQ35" s="16"/>
      <c r="CR35" s="16"/>
      <c r="CS35" s="16"/>
      <c r="CT35" s="16"/>
      <c r="CU35" s="16"/>
      <c r="CV35" s="16"/>
      <c r="CW35" s="16"/>
      <c r="CX35" s="16"/>
      <c r="CY35" s="16"/>
      <c r="CZ35" s="16"/>
      <c r="DA35" s="16"/>
      <c r="DB35" s="16"/>
      <c r="DC35" s="16"/>
      <c r="DD35" s="16"/>
      <c r="DE35" s="16"/>
      <c r="DF35" s="16"/>
      <c r="DG35" s="16"/>
      <c r="DH35" s="16"/>
      <c r="DI35" s="16"/>
      <c r="DJ35" s="16"/>
      <c r="DK35" s="16"/>
      <c r="DL35" s="16"/>
      <c r="DM35" s="16"/>
      <c r="DN35" s="16"/>
      <c r="DO35" s="16"/>
      <c r="DP35" s="16"/>
      <c r="DQ35" s="16"/>
      <c r="DR35" s="16"/>
      <c r="DS35" s="16"/>
      <c r="DT35" s="16"/>
      <c r="DU35" s="16"/>
      <c r="DV35" s="16"/>
      <c r="DW35" s="16"/>
      <c r="DX35" s="16"/>
      <c r="DY35" s="16"/>
      <c r="DZ35" s="16"/>
      <c r="EA35" s="16"/>
      <c r="EB35" s="16"/>
      <c r="EC35" s="16"/>
      <c r="ED35" s="16"/>
      <c r="EE35" s="16"/>
      <c r="EF35" s="16"/>
      <c r="EG35" s="16"/>
      <c r="EH35" s="16"/>
      <c r="EI35" s="16"/>
      <c r="EJ35" s="16"/>
      <c r="EK35" s="16"/>
      <c r="EL35" s="16"/>
      <c r="EM35" s="16"/>
      <c r="EN35" s="16"/>
      <c r="EO35" s="16"/>
      <c r="EP35" s="16"/>
      <c r="EQ35" s="16"/>
      <c r="ER35" s="16"/>
      <c r="ES35" s="16"/>
      <c r="ET35" s="16"/>
      <c r="EU35" s="16"/>
      <c r="EV35" s="16"/>
      <c r="EW35" s="16"/>
      <c r="EX35" s="16"/>
      <c r="EY35" s="16"/>
      <c r="EZ35" s="16"/>
      <c r="FA35" s="16"/>
      <c r="FB35" s="16"/>
    </row>
    <row r="36" spans="1:158" x14ac:dyDescent="0.25">
      <c r="B36" s="99"/>
      <c r="C36" s="3" t="s">
        <v>4</v>
      </c>
      <c r="D36" s="4"/>
      <c r="E36" s="4"/>
      <c r="F36" s="4"/>
      <c r="G36" s="4"/>
      <c r="H36" s="4"/>
      <c r="I36" s="4"/>
      <c r="J36" s="4"/>
      <c r="K36" s="4"/>
      <c r="L36" s="4"/>
      <c r="M36" s="3"/>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3"/>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row>
    <row r="37" spans="1:158" x14ac:dyDescent="0.25">
      <c r="B37" s="99"/>
      <c r="D37" s="16"/>
      <c r="E37" s="16"/>
      <c r="F37" s="16"/>
      <c r="G37" s="16"/>
      <c r="H37" s="16"/>
      <c r="I37" s="55"/>
      <c r="J37" s="55"/>
      <c r="K37" s="55"/>
      <c r="L37" s="55"/>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Y37" s="16"/>
      <c r="AZ37" s="16"/>
      <c r="BA37" s="16"/>
      <c r="BB37" s="16"/>
      <c r="BC37" s="16"/>
      <c r="BD37" s="16"/>
      <c r="BE37" s="16"/>
      <c r="BF37" s="16"/>
      <c r="BG37" s="16"/>
      <c r="BH37" s="16"/>
      <c r="BI37" s="16"/>
      <c r="BJ37" s="16"/>
      <c r="BK37" s="16"/>
      <c r="BL37" s="16"/>
      <c r="BM37" s="16"/>
      <c r="BN37" s="16"/>
      <c r="BO37" s="16"/>
      <c r="BP37" s="16"/>
      <c r="BQ37" s="16"/>
      <c r="BR37" s="16"/>
      <c r="BS37" s="16"/>
      <c r="BT37" s="16"/>
      <c r="BU37" s="16"/>
      <c r="BV37" s="16"/>
      <c r="BW37" s="16"/>
      <c r="BX37" s="16"/>
      <c r="BY37" s="16"/>
      <c r="BZ37" s="16"/>
      <c r="CA37" s="16"/>
      <c r="CB37" s="16"/>
      <c r="CC37" s="16"/>
      <c r="CD37" s="16"/>
      <c r="CE37" s="16"/>
      <c r="CF37" s="16"/>
      <c r="CG37" s="16"/>
      <c r="CH37" s="16"/>
      <c r="CI37" s="16"/>
      <c r="CJ37" s="16"/>
      <c r="CK37" s="16"/>
      <c r="CL37" s="16"/>
      <c r="CM37" s="16"/>
      <c r="CN37" s="16"/>
      <c r="CO37" s="16"/>
      <c r="CP37" s="16"/>
      <c r="CQ37" s="16"/>
      <c r="CR37" s="16"/>
      <c r="CS37" s="16"/>
      <c r="CT37" s="16"/>
      <c r="CU37" s="16"/>
      <c r="CV37" s="16"/>
      <c r="CW37" s="16"/>
      <c r="CX37" s="16"/>
      <c r="CY37" s="16"/>
      <c r="CZ37" s="16"/>
      <c r="DA37" s="16"/>
      <c r="DB37" s="16"/>
      <c r="DC37" s="16"/>
      <c r="DD37" s="16"/>
      <c r="DE37" s="16"/>
      <c r="DF37" s="16"/>
      <c r="DG37" s="16"/>
      <c r="DH37" s="16"/>
      <c r="DI37" s="16"/>
      <c r="DJ37" s="16"/>
      <c r="DK37" s="16"/>
      <c r="DL37" s="16"/>
      <c r="DM37" s="16"/>
      <c r="DN37" s="16"/>
      <c r="DO37" s="16"/>
      <c r="DP37" s="16"/>
      <c r="DQ37" s="16"/>
      <c r="DR37" s="16"/>
      <c r="DS37" s="16"/>
      <c r="DT37" s="16"/>
      <c r="DU37" s="16"/>
      <c r="DV37" s="16"/>
      <c r="DW37" s="16"/>
      <c r="DX37" s="16"/>
      <c r="DY37" s="16"/>
      <c r="DZ37" s="16"/>
      <c r="EA37" s="16"/>
      <c r="EB37" s="16"/>
      <c r="EC37" s="16"/>
      <c r="ED37" s="16"/>
      <c r="EE37" s="16"/>
      <c r="EF37" s="16"/>
      <c r="EG37" s="16"/>
      <c r="EH37" s="16"/>
      <c r="EI37" s="16"/>
      <c r="EJ37" s="16"/>
      <c r="EK37" s="16"/>
      <c r="EL37" s="16"/>
      <c r="EM37" s="16"/>
      <c r="EN37" s="16"/>
      <c r="EO37" s="16"/>
      <c r="EP37" s="16"/>
      <c r="EQ37" s="16"/>
      <c r="ER37" s="16"/>
      <c r="ES37" s="16"/>
      <c r="ET37" s="16"/>
      <c r="EU37" s="16"/>
      <c r="EV37" s="16"/>
      <c r="EW37" s="16"/>
      <c r="EX37" s="16"/>
      <c r="EY37" s="16"/>
      <c r="EZ37" s="16"/>
      <c r="FA37" s="16"/>
      <c r="FB37" s="16"/>
    </row>
    <row r="38" spans="1:158" x14ac:dyDescent="0.25">
      <c r="B38" s="99"/>
      <c r="C38" s="2" t="s">
        <v>348</v>
      </c>
      <c r="D38" s="16">
        <f t="shared" ref="D38:L42" si="399">SUMIF($AY$2:$FB$2,D$2,$AY38:$FB38)</f>
        <v>19713700</v>
      </c>
      <c r="E38" s="16">
        <f t="shared" si="399"/>
        <v>40419920</v>
      </c>
      <c r="F38" s="16">
        <f t="shared" si="399"/>
        <v>64239584.310000002</v>
      </c>
      <c r="G38" s="16">
        <f t="shared" si="399"/>
        <v>99185125.011610255</v>
      </c>
      <c r="H38" s="55">
        <f t="shared" si="399"/>
        <v>163824516.22970057</v>
      </c>
      <c r="I38" s="55">
        <f t="shared" si="399"/>
        <v>252224033.36129937</v>
      </c>
      <c r="J38" s="55">
        <f t="shared" si="399"/>
        <v>379689106.71435434</v>
      </c>
      <c r="K38" s="55">
        <f t="shared" si="399"/>
        <v>562730099.1669724</v>
      </c>
      <c r="L38" s="16">
        <f t="shared" si="399"/>
        <v>821066815.11806583</v>
      </c>
      <c r="N38" s="16">
        <f t="shared" ref="N38:N42" si="400">SUM(AY38:BA38)</f>
        <v>3465852</v>
      </c>
      <c r="O38" s="16">
        <f t="shared" ref="O38:O42" si="401">SUM(BB38:BD38)</f>
        <v>4455495</v>
      </c>
      <c r="P38" s="16">
        <f t="shared" ref="P38:P42" si="402">SUM(BE38:BG38)</f>
        <v>5387049</v>
      </c>
      <c r="Q38" s="16">
        <f t="shared" ref="Q38:Q42" si="403">SUM(BH38:BJ38)</f>
        <v>6405304</v>
      </c>
      <c r="R38" s="16">
        <f t="shared" ref="R38:R42" si="404">SUM(BK38:BM38)</f>
        <v>7893746</v>
      </c>
      <c r="S38" s="16">
        <f t="shared" ref="S38:S42" si="405">SUM(BN38:BP38)</f>
        <v>9292873</v>
      </c>
      <c r="T38" s="16">
        <f t="shared" ref="T38:T42" si="406">SUM(BQ38:BS38)</f>
        <v>10939757</v>
      </c>
      <c r="U38" s="16">
        <f t="shared" ref="U38:U42" si="407">SUM(BT38:BV38)</f>
        <v>12293544</v>
      </c>
      <c r="V38" s="16">
        <f t="shared" ref="V38:V42" si="408">SUM(BW38:BY38)</f>
        <v>14083520.309999999</v>
      </c>
      <c r="W38" s="16">
        <f t="shared" ref="W38:W42" si="409">SUM(BZ38:CB38)</f>
        <v>15021986</v>
      </c>
      <c r="X38" s="16">
        <f t="shared" ref="X38:X42" si="410">SUM(CC38:CE38)</f>
        <v>16643571</v>
      </c>
      <c r="Y38" s="16">
        <f t="shared" ref="Y38:Y42" si="411">SUM(CF38:CH38)</f>
        <v>18490507</v>
      </c>
      <c r="Z38" s="16">
        <f t="shared" ref="Z38:Z42" si="412">SUM(CI38:CK38)</f>
        <v>20816942.379999999</v>
      </c>
      <c r="AA38" s="16">
        <f t="shared" ref="AA38:AA42" si="413">SUM(CL38:CN38)</f>
        <v>23022949</v>
      </c>
      <c r="AB38" s="16">
        <f t="shared" ref="AB38:AB42" si="414">SUM(CO38:CQ38)</f>
        <v>25897843.698182579</v>
      </c>
      <c r="AC38" s="16">
        <f t="shared" ref="AC38:AC42" si="415">SUM(CR38:CT38)</f>
        <v>29447389.933427677</v>
      </c>
      <c r="AD38" s="16">
        <f t="shared" ref="AD38:AD42" si="416">SUM(CU38:CW38)</f>
        <v>34546067.568473645</v>
      </c>
      <c r="AE38" s="16">
        <f t="shared" ref="AE38:AE42" si="417">SUM(CX38:CZ38)</f>
        <v>38449266.259672567</v>
      </c>
      <c r="AF38" s="16">
        <f t="shared" ref="AF38:AF42" si="418">SUM(DA38:DC38)</f>
        <v>42622108.661880247</v>
      </c>
      <c r="AG38" s="16">
        <f t="shared" ref="AG38:AG42" si="419">SUM(DD38:DF38)</f>
        <v>48207073.739674069</v>
      </c>
      <c r="AH38" s="16">
        <f t="shared" ref="AH38:AH42" si="420">SUM(DG38:DI38)</f>
        <v>53483579.24447681</v>
      </c>
      <c r="AI38" s="16">
        <f t="shared" ref="AI38:AI42" si="421">SUM(DJ38:DL38)</f>
        <v>59489041.857181221</v>
      </c>
      <c r="AJ38" s="16">
        <f t="shared" ref="AJ38:AJ42" si="422">SUM(DM38:DO38)</f>
        <v>65716214.870349407</v>
      </c>
      <c r="AK38" s="16">
        <f t="shared" ref="AK38:AK42" si="423">SUM(DP38:DR38)</f>
        <v>73535197.389291897</v>
      </c>
      <c r="AL38" s="16">
        <f t="shared" ref="AL38:AL42" si="424">SUM(DS38:DU38)</f>
        <v>81047196.523242041</v>
      </c>
      <c r="AM38" s="16">
        <f t="shared" ref="AM38:AM42" si="425">SUM(DV38:DX38)</f>
        <v>89751923.028776944</v>
      </c>
      <c r="AN38" s="16">
        <f t="shared" ref="AN38:AN42" si="426">SUM(DY38:EA38)</f>
        <v>98778216.127662122</v>
      </c>
      <c r="AO38" s="16">
        <f t="shared" ref="AO38:AO42" si="427">SUM(EB38:ED38)</f>
        <v>110111771.03467326</v>
      </c>
      <c r="AP38" s="16">
        <f t="shared" ref="AP38:AP42" si="428">SUM(EE38:EG38)</f>
        <v>120913194.16995655</v>
      </c>
      <c r="AQ38" s="16">
        <f t="shared" ref="AQ38:AQ42" si="429">SUM(EH38:EJ38)</f>
        <v>133315711.05480084</v>
      </c>
      <c r="AR38" s="16">
        <f t="shared" ref="AR38:AR42" si="430">SUM(EK38:EM38)</f>
        <v>146176506.87523484</v>
      </c>
      <c r="AS38" s="16">
        <f t="shared" ref="AS38:AS42" si="431">SUM(EN38:EP38)</f>
        <v>162324687.06698018</v>
      </c>
      <c r="AT38" s="16">
        <f t="shared" ref="AT38:AT42" si="432">SUM(EQ38:ES38)</f>
        <v>177589941.12113309</v>
      </c>
      <c r="AU38" s="16">
        <f t="shared" ref="AU38:AU42" si="433">SUM(ET38:EV38)</f>
        <v>194953270.7178463</v>
      </c>
      <c r="AV38" s="16">
        <f t="shared" ref="AV38:AV42" si="434">SUM(EW38:EY38)</f>
        <v>212958196.07974273</v>
      </c>
      <c r="AW38" s="16">
        <f t="shared" ref="AW38:AW42" si="435">SUM(EZ38:FB38)</f>
        <v>235565407.19934368</v>
      </c>
      <c r="AY38" s="16">
        <f>Forecast!AY29</f>
        <v>1098069</v>
      </c>
      <c r="AZ38" s="16">
        <f>Forecast!AZ29</f>
        <v>1140048</v>
      </c>
      <c r="BA38" s="16">
        <f>Forecast!BA29</f>
        <v>1227735</v>
      </c>
      <c r="BB38" s="16">
        <f>Forecast!BB29</f>
        <v>1453867</v>
      </c>
      <c r="BC38" s="16">
        <f>Forecast!BC29</f>
        <v>1439738</v>
      </c>
      <c r="BD38" s="16">
        <f>Forecast!BD29</f>
        <v>1561890</v>
      </c>
      <c r="BE38" s="16">
        <f>Forecast!BE29</f>
        <v>1692687</v>
      </c>
      <c r="BF38" s="16">
        <f>Forecast!BF29</f>
        <v>1747361</v>
      </c>
      <c r="BG38" s="16">
        <f>Forecast!BG29</f>
        <v>1947001</v>
      </c>
      <c r="BH38" s="16">
        <f>Forecast!BH29</f>
        <v>2029419</v>
      </c>
      <c r="BI38" s="16">
        <f>Forecast!BI29</f>
        <v>2083742</v>
      </c>
      <c r="BJ38" s="16">
        <f>Forecast!BJ29</f>
        <v>2292143</v>
      </c>
      <c r="BK38" s="16">
        <f>Forecast!BK29</f>
        <v>2530196</v>
      </c>
      <c r="BL38" s="16">
        <f>Forecast!BL29</f>
        <v>2594958</v>
      </c>
      <c r="BM38" s="16">
        <f>Forecast!BM29</f>
        <v>2768592</v>
      </c>
      <c r="BN38" s="16">
        <f>Forecast!BN29</f>
        <v>2924581</v>
      </c>
      <c r="BO38" s="16">
        <f>Forecast!BO29</f>
        <v>3088258</v>
      </c>
      <c r="BP38" s="16">
        <f>Forecast!BP29</f>
        <v>3280034</v>
      </c>
      <c r="BQ38" s="16">
        <f>Forecast!BQ29</f>
        <v>3493109</v>
      </c>
      <c r="BR38" s="16">
        <f>Forecast!BR29</f>
        <v>3610885</v>
      </c>
      <c r="BS38" s="16">
        <f>Forecast!BS29</f>
        <v>3835763</v>
      </c>
      <c r="BT38" s="16">
        <f>Forecast!BT29</f>
        <v>3956020</v>
      </c>
      <c r="BU38" s="16">
        <f>Forecast!BU29</f>
        <v>4133582</v>
      </c>
      <c r="BV38" s="16">
        <f>Forecast!BV29</f>
        <v>4203942</v>
      </c>
      <c r="BW38" s="16">
        <f>Forecast!BW29</f>
        <v>4638943.3099999996</v>
      </c>
      <c r="BX38" s="16">
        <f>Forecast!BX29</f>
        <v>4698460</v>
      </c>
      <c r="BY38" s="16">
        <f>Forecast!BY29</f>
        <v>4746117</v>
      </c>
      <c r="BZ38" s="16">
        <f>Forecast!BZ29</f>
        <v>4914182</v>
      </c>
      <c r="CA38" s="16">
        <f>Forecast!CA29</f>
        <v>4969103</v>
      </c>
      <c r="CB38" s="16">
        <f>Forecast!CB29</f>
        <v>5138701</v>
      </c>
      <c r="CC38" s="16">
        <f>Forecast!CC29</f>
        <v>5352375</v>
      </c>
      <c r="CD38" s="16">
        <f>Forecast!CD29</f>
        <v>5573901</v>
      </c>
      <c r="CE38" s="16">
        <f>Forecast!CE29</f>
        <v>5717295</v>
      </c>
      <c r="CF38" s="16">
        <f>Forecast!CF29</f>
        <v>6023768</v>
      </c>
      <c r="CG38" s="16">
        <f>Forecast!CG29</f>
        <v>6143071</v>
      </c>
      <c r="CH38" s="16">
        <f>Forecast!CH29</f>
        <v>6323668</v>
      </c>
      <c r="CI38" s="16">
        <f>Forecast!CI29</f>
        <v>6691585.3799999999</v>
      </c>
      <c r="CJ38" s="16">
        <f>Forecast!CJ29</f>
        <v>6919358</v>
      </c>
      <c r="CK38" s="16">
        <f>Forecast!CK29</f>
        <v>7205999</v>
      </c>
      <c r="CL38" s="16">
        <f>Forecast!CL29</f>
        <v>7416491</v>
      </c>
      <c r="CM38" s="16">
        <f>Forecast!CM29</f>
        <v>7668693</v>
      </c>
      <c r="CN38" s="16">
        <f>Forecast!CN29</f>
        <v>7937765</v>
      </c>
      <c r="CO38" s="16">
        <f>Forecast!CO29</f>
        <v>8302009.5512404144</v>
      </c>
      <c r="CP38" s="16">
        <f>Forecast!CP29</f>
        <v>8646491.473179331</v>
      </c>
      <c r="CQ38" s="16">
        <f>Forecast!CQ29</f>
        <v>8949342.6737628318</v>
      </c>
      <c r="CR38" s="16">
        <f>Forecast!CR29</f>
        <v>9526840.2687318306</v>
      </c>
      <c r="CS38" s="16">
        <f>Forecast!CS29</f>
        <v>9667647.6895076577</v>
      </c>
      <c r="CT38" s="16">
        <f>Forecast!CT29</f>
        <v>10252901.975188186</v>
      </c>
      <c r="CU38" s="16">
        <f>Forecast!CU29</f>
        <v>11106845.076031948</v>
      </c>
      <c r="CV38" s="16">
        <f>Forecast!CV29</f>
        <v>11412672.620240431</v>
      </c>
      <c r="CW38" s="16">
        <f>Forecast!CW29</f>
        <v>12026549.872201266</v>
      </c>
      <c r="CX38" s="16">
        <f>Forecast!CX29</f>
        <v>12247697.627074363</v>
      </c>
      <c r="CY38" s="16">
        <f>Forecast!CY29</f>
        <v>12751372.233092962</v>
      </c>
      <c r="CZ38" s="16">
        <f>Forecast!CZ29</f>
        <v>13450196.399505246</v>
      </c>
      <c r="DA38" s="16">
        <f>Forecast!DA29</f>
        <v>13659590.016513929</v>
      </c>
      <c r="DB38" s="16">
        <f>Forecast!DB29</f>
        <v>14094624.701205218</v>
      </c>
      <c r="DC38" s="16">
        <f>Forecast!DC29</f>
        <v>14867893.944161102</v>
      </c>
      <c r="DD38" s="16">
        <f>Forecast!DD29</f>
        <v>15172207.133641621</v>
      </c>
      <c r="DE38" s="16">
        <f>Forecast!DE29</f>
        <v>16018278.937795462</v>
      </c>
      <c r="DF38" s="16">
        <f>Forecast!DF29</f>
        <v>17016587.668236986</v>
      </c>
      <c r="DG38" s="16">
        <f>Forecast!DG29</f>
        <v>17212336.897163805</v>
      </c>
      <c r="DH38" s="16">
        <f>Forecast!DH29</f>
        <v>17677603.773634151</v>
      </c>
      <c r="DI38" s="16">
        <f>Forecast!DI29</f>
        <v>18593638.573678851</v>
      </c>
      <c r="DJ38" s="16">
        <f>Forecast!DJ29</f>
        <v>18955452.084520832</v>
      </c>
      <c r="DK38" s="16">
        <f>Forecast!DK29</f>
        <v>19734925.831550658</v>
      </c>
      <c r="DL38" s="16">
        <f>Forecast!DL29</f>
        <v>20798663.941109732</v>
      </c>
      <c r="DM38" s="16">
        <f>Forecast!DM29</f>
        <v>21102312.099203229</v>
      </c>
      <c r="DN38" s="16">
        <f>Forecast!DN29</f>
        <v>21739903.32491903</v>
      </c>
      <c r="DO38" s="16">
        <f>Forecast!DO29</f>
        <v>22873999.446227148</v>
      </c>
      <c r="DP38" s="16">
        <f>Forecast!DP29</f>
        <v>23258605.594074294</v>
      </c>
      <c r="DQ38" s="16">
        <f>Forecast!DQ29</f>
        <v>24436665.351275906</v>
      </c>
      <c r="DR38" s="16">
        <f>Forecast!DR29</f>
        <v>25839926.443941694</v>
      </c>
      <c r="DS38" s="16">
        <f>Forecast!DS29</f>
        <v>26123557.831448343</v>
      </c>
      <c r="DT38" s="16">
        <f>Forecast!DT29</f>
        <v>26797935.529615238</v>
      </c>
      <c r="DU38" s="16">
        <f>Forecast!DU29</f>
        <v>28125703.162178453</v>
      </c>
      <c r="DV38" s="16">
        <f>Forecast!DV29</f>
        <v>28650012.60685439</v>
      </c>
      <c r="DW38" s="16">
        <f>Forecast!DW29</f>
        <v>29779987.253356345</v>
      </c>
      <c r="DX38" s="16">
        <f>Forecast!DX29</f>
        <v>31321923.168566208</v>
      </c>
      <c r="DY38" s="16">
        <f>Forecast!DY29</f>
        <v>31761890.108045306</v>
      </c>
      <c r="DZ38" s="16">
        <f>Forecast!DZ29</f>
        <v>32686144.096441854</v>
      </c>
      <c r="EA38" s="16">
        <f>Forecast!EA29</f>
        <v>34330181.92317497</v>
      </c>
      <c r="EB38" s="16">
        <f>Forecast!EB29</f>
        <v>34887543.407879204</v>
      </c>
      <c r="EC38" s="16">
        <f>Forecast!EC29</f>
        <v>36595062.892898269</v>
      </c>
      <c r="ED38" s="16">
        <f>Forecast!ED29</f>
        <v>38629164.733895794</v>
      </c>
      <c r="EE38" s="16">
        <f>Forecast!EE29</f>
        <v>39033229.182983451</v>
      </c>
      <c r="EF38" s="16">
        <f>Forecast!EF29</f>
        <v>39994077.925404459</v>
      </c>
      <c r="EG38" s="16">
        <f>Forecast!EG29</f>
        <v>41885887.061568633</v>
      </c>
      <c r="EH38" s="16">
        <f>Forecast!EH29</f>
        <v>42632855.795555823</v>
      </c>
      <c r="EI38" s="16">
        <f>Forecast!EI29</f>
        <v>44242928.56796591</v>
      </c>
      <c r="EJ38" s="16">
        <f>Forecast!EJ29</f>
        <v>46439926.691279106</v>
      </c>
      <c r="EK38" s="16">
        <f>Forecast!EK29</f>
        <v>47066705.87936309</v>
      </c>
      <c r="EL38" s="16">
        <f>Forecast!EL29</f>
        <v>48383631.55439879</v>
      </c>
      <c r="EM38" s="16">
        <f>Forecast!EM29</f>
        <v>50726169.441472948</v>
      </c>
      <c r="EN38" s="16">
        <f>Forecast!EN29</f>
        <v>51520238.793790057</v>
      </c>
      <c r="EO38" s="16">
        <f>Forecast!EO29</f>
        <v>53953095.155248165</v>
      </c>
      <c r="EP38" s="16">
        <f>Forecast!EP29</f>
        <v>56851353.117941946</v>
      </c>
      <c r="EQ38" s="16">
        <f>Forecast!EQ29</f>
        <v>57417030.893933937</v>
      </c>
      <c r="ER38" s="16">
        <f>Forecast!ER29</f>
        <v>58762203.383367635</v>
      </c>
      <c r="ES38" s="16">
        <f>Forecast!ES29</f>
        <v>61410706.843831494</v>
      </c>
      <c r="ET38" s="16">
        <f>Forecast!ET29</f>
        <v>62456443.623605363</v>
      </c>
      <c r="EU38" s="16">
        <f>Forecast!EU29</f>
        <v>64710529.571934745</v>
      </c>
      <c r="EV38" s="16">
        <f>Forecast!EV29</f>
        <v>67786297.522306204</v>
      </c>
      <c r="EW38" s="16">
        <f>Forecast!EW29</f>
        <v>68663768.771144226</v>
      </c>
      <c r="EX38" s="16">
        <f>Forecast!EX29</f>
        <v>70507449.32973589</v>
      </c>
      <c r="EY38" s="16">
        <f>Forecast!EY29</f>
        <v>73786977.978862628</v>
      </c>
      <c r="EZ38" s="16">
        <f>Forecast!EZ29</f>
        <v>74898655.789308876</v>
      </c>
      <c r="FA38" s="16">
        <f>Forecast!FA29</f>
        <v>78304614.16742003</v>
      </c>
      <c r="FB38" s="16">
        <f>Forecast!FB29</f>
        <v>82362137.242614791</v>
      </c>
    </row>
    <row r="39" spans="1:158" x14ac:dyDescent="0.25">
      <c r="B39" s="99"/>
      <c r="C39" s="258" t="s">
        <v>554</v>
      </c>
      <c r="D39" s="16">
        <f t="shared" si="399"/>
        <v>5290868.209999999</v>
      </c>
      <c r="E39" s="16">
        <f t="shared" si="399"/>
        <v>11779888.01</v>
      </c>
      <c r="F39" s="16">
        <f t="shared" si="399"/>
        <v>15244871.67</v>
      </c>
      <c r="G39" s="16">
        <f t="shared" si="399"/>
        <v>19837270.12321654</v>
      </c>
      <c r="H39" s="55">
        <f t="shared" si="399"/>
        <v>22820755.110797286</v>
      </c>
      <c r="I39" s="55">
        <f t="shared" si="399"/>
        <v>32234231.463574048</v>
      </c>
      <c r="J39" s="55">
        <f t="shared" si="399"/>
        <v>44157843.110879421</v>
      </c>
      <c r="K39" s="55">
        <f t="shared" si="399"/>
        <v>58974114.392698713</v>
      </c>
      <c r="L39" s="16">
        <f t="shared" si="399"/>
        <v>76605533.850515559</v>
      </c>
      <c r="N39" s="16">
        <f t="shared" si="400"/>
        <v>862294.17</v>
      </c>
      <c r="O39" s="16">
        <f t="shared" si="401"/>
        <v>1076422.22</v>
      </c>
      <c r="P39" s="16">
        <f t="shared" si="402"/>
        <v>1621754.2999999998</v>
      </c>
      <c r="Q39" s="16">
        <f t="shared" si="403"/>
        <v>1730397.52</v>
      </c>
      <c r="R39" s="16">
        <f t="shared" si="404"/>
        <v>2148582.5300000003</v>
      </c>
      <c r="S39" s="16">
        <f t="shared" si="405"/>
        <v>2621827.7400000002</v>
      </c>
      <c r="T39" s="16">
        <f t="shared" si="406"/>
        <v>3610409.1500000004</v>
      </c>
      <c r="U39" s="16">
        <f t="shared" si="407"/>
        <v>3399068.59</v>
      </c>
      <c r="V39" s="16">
        <f t="shared" si="408"/>
        <v>3660104.51</v>
      </c>
      <c r="W39" s="16">
        <f t="shared" si="409"/>
        <v>3565899.2200000007</v>
      </c>
      <c r="X39" s="16">
        <f t="shared" si="410"/>
        <v>4077938.2800000003</v>
      </c>
      <c r="Y39" s="16">
        <f t="shared" si="411"/>
        <v>3940929.66</v>
      </c>
      <c r="Z39" s="16">
        <f t="shared" si="412"/>
        <v>4820183.76</v>
      </c>
      <c r="AA39" s="16">
        <f t="shared" si="413"/>
        <v>4584188.3632165417</v>
      </c>
      <c r="AB39" s="16">
        <f t="shared" si="414"/>
        <v>5099410</v>
      </c>
      <c r="AC39" s="16">
        <f t="shared" si="415"/>
        <v>5333488</v>
      </c>
      <c r="AD39" s="16">
        <f t="shared" si="416"/>
        <v>4812267.2122883787</v>
      </c>
      <c r="AE39" s="16">
        <f t="shared" si="417"/>
        <v>5355982.7899723891</v>
      </c>
      <c r="AF39" s="16">
        <f t="shared" si="418"/>
        <v>5937259.7365999185</v>
      </c>
      <c r="AG39" s="16">
        <f t="shared" si="419"/>
        <v>6715245.3719365988</v>
      </c>
      <c r="AH39" s="16">
        <f t="shared" si="420"/>
        <v>6835201.4274441358</v>
      </c>
      <c r="AI39" s="16">
        <f t="shared" si="421"/>
        <v>7602699.5493477602</v>
      </c>
      <c r="AJ39" s="16">
        <f t="shared" si="422"/>
        <v>8398532.2604306545</v>
      </c>
      <c r="AK39" s="16">
        <f t="shared" si="423"/>
        <v>9397798.2263515033</v>
      </c>
      <c r="AL39" s="16">
        <f t="shared" si="424"/>
        <v>9425788.9556530491</v>
      </c>
      <c r="AM39" s="16">
        <f t="shared" si="425"/>
        <v>10438148.64824676</v>
      </c>
      <c r="AN39" s="16">
        <f t="shared" si="426"/>
        <v>11487906.535647105</v>
      </c>
      <c r="AO39" s="16">
        <f t="shared" si="427"/>
        <v>12805998.971332502</v>
      </c>
      <c r="AP39" s="16">
        <f t="shared" si="428"/>
        <v>12671702.749011446</v>
      </c>
      <c r="AQ39" s="16">
        <f t="shared" si="429"/>
        <v>13971486.518543128</v>
      </c>
      <c r="AR39" s="16">
        <f t="shared" si="430"/>
        <v>15319297.92052461</v>
      </c>
      <c r="AS39" s="16">
        <f t="shared" si="431"/>
        <v>17011627.204619519</v>
      </c>
      <c r="AT39" s="16">
        <f t="shared" si="432"/>
        <v>16569141.506601717</v>
      </c>
      <c r="AU39" s="16">
        <f t="shared" si="433"/>
        <v>18189140.157975063</v>
      </c>
      <c r="AV39" s="16">
        <f t="shared" si="434"/>
        <v>19868999.69424</v>
      </c>
      <c r="AW39" s="16">
        <f t="shared" si="435"/>
        <v>21978252.491698768</v>
      </c>
      <c r="AY39" s="55">
        <f>'Expense Details'!H4</f>
        <v>275444.11</v>
      </c>
      <c r="AZ39" s="55">
        <f>'Expense Details'!I4</f>
        <v>292890.48000000004</v>
      </c>
      <c r="BA39" s="55">
        <f>'Expense Details'!J4</f>
        <v>293959.57999999996</v>
      </c>
      <c r="BB39" s="55">
        <f>'Expense Details'!K4</f>
        <v>313191.08999999997</v>
      </c>
      <c r="BC39" s="55">
        <f>'Expense Details'!L4</f>
        <v>399757.45</v>
      </c>
      <c r="BD39" s="55">
        <f>'Expense Details'!M4</f>
        <v>363473.68</v>
      </c>
      <c r="BE39" s="55">
        <f>'Expense Details'!N4</f>
        <v>479393.31</v>
      </c>
      <c r="BF39" s="55">
        <f>'Expense Details'!O4</f>
        <v>563156.65</v>
      </c>
      <c r="BG39" s="55">
        <f>'Expense Details'!P4</f>
        <v>579204.34</v>
      </c>
      <c r="BH39" s="55">
        <f>'Expense Details'!Q4</f>
        <v>568257.75</v>
      </c>
      <c r="BI39" s="55">
        <f>'Expense Details'!R4</f>
        <v>529797.1399999999</v>
      </c>
      <c r="BJ39" s="55">
        <f>'Expense Details'!S4</f>
        <v>632342.63000000012</v>
      </c>
      <c r="BK39" s="55">
        <f>'Expense Details'!T4</f>
        <v>614808.9</v>
      </c>
      <c r="BL39" s="55">
        <f>'Expense Details'!U4</f>
        <v>713443.29999999993</v>
      </c>
      <c r="BM39" s="55">
        <f>'Expense Details'!V4</f>
        <v>820330.33000000007</v>
      </c>
      <c r="BN39" s="55">
        <f>'Expense Details'!W4</f>
        <v>804510.3600000001</v>
      </c>
      <c r="BO39" s="55">
        <f>'Expense Details'!X4</f>
        <v>901748.19000000006</v>
      </c>
      <c r="BP39" s="55">
        <f>'Expense Details'!Y4</f>
        <v>915569.19000000006</v>
      </c>
      <c r="BQ39" s="55">
        <f>'Expense Details'!Z4</f>
        <v>1077053.02</v>
      </c>
      <c r="BR39" s="55">
        <f>'Expense Details'!AA4</f>
        <v>1155312.3899999999</v>
      </c>
      <c r="BS39" s="55">
        <f>'Expense Details'!AB4</f>
        <v>1378043.74</v>
      </c>
      <c r="BT39" s="55">
        <f>'Expense Details'!AC4</f>
        <v>1122882.3900000001</v>
      </c>
      <c r="BU39" s="55">
        <f>'Expense Details'!AD4</f>
        <v>1151427.7999999998</v>
      </c>
      <c r="BV39" s="55">
        <f>'Expense Details'!AE4</f>
        <v>1124758.4000000001</v>
      </c>
      <c r="BW39" s="55">
        <f>'Expense Details'!AF4</f>
        <v>1123635.7400000002</v>
      </c>
      <c r="BX39" s="55">
        <f>'Expense Details'!AG4</f>
        <v>1290483.3499999999</v>
      </c>
      <c r="BY39" s="55">
        <f>'Expense Details'!AH4</f>
        <v>1245985.42</v>
      </c>
      <c r="BZ39" s="55">
        <f>'Expense Details'!AI4</f>
        <v>1289967.8500000001</v>
      </c>
      <c r="CA39" s="55">
        <f>'Expense Details'!AJ4</f>
        <v>1090477.8</v>
      </c>
      <c r="CB39" s="55">
        <f>'Expense Details'!AK4</f>
        <v>1185453.57</v>
      </c>
      <c r="CC39" s="55">
        <f>'Expense Details'!AL4</f>
        <v>1310977.2200000002</v>
      </c>
      <c r="CD39" s="55">
        <f>'Expense Details'!AM4</f>
        <v>1366696.63</v>
      </c>
      <c r="CE39" s="55">
        <f>'Expense Details'!AN4</f>
        <v>1400264.4300000002</v>
      </c>
      <c r="CF39" s="55">
        <f>'Expense Details'!AO4</f>
        <v>1304132.55</v>
      </c>
      <c r="CG39" s="55">
        <f>'Expense Details'!AP4</f>
        <v>1143090.1399999999</v>
      </c>
      <c r="CH39" s="55">
        <f>'Expense Details'!AQ4</f>
        <v>1493706.9700000002</v>
      </c>
      <c r="CI39" s="55">
        <f>'Expense Details'!AR4</f>
        <v>1472586.76</v>
      </c>
      <c r="CJ39" s="55">
        <f>'Expense Details'!AS4</f>
        <v>1722873.16</v>
      </c>
      <c r="CK39" s="55">
        <f>'Expense Details'!AT4</f>
        <v>1624723.84</v>
      </c>
      <c r="CL39" s="55">
        <f>'Expense Details'!AU4</f>
        <v>1504260.16</v>
      </c>
      <c r="CM39" s="55">
        <f>'Expense Details'!AV4</f>
        <v>1539592.2032165413</v>
      </c>
      <c r="CN39" s="55">
        <f>'Expense Details'!AW4</f>
        <v>1540336</v>
      </c>
      <c r="CO39" s="55">
        <f>'Expense Details'!AX4</f>
        <v>1661147</v>
      </c>
      <c r="CP39" s="55">
        <f>'Expense Details'!AY4</f>
        <v>1704878</v>
      </c>
      <c r="CQ39" s="55">
        <f>'Expense Details'!AZ4</f>
        <v>1733385</v>
      </c>
      <c r="CR39" s="55">
        <f>'Expense Details'!BA4</f>
        <v>1729031</v>
      </c>
      <c r="CS39" s="55">
        <f>'Expense Details'!BB4</f>
        <v>1789538</v>
      </c>
      <c r="CT39" s="55">
        <f>'Expense Details'!BC4</f>
        <v>1814919</v>
      </c>
      <c r="CU39" s="16">
        <f>CU38*CU44</f>
        <v>1547183.5190912504</v>
      </c>
      <c r="CV39" s="16">
        <f t="shared" ref="CV39:FB39" si="436">CV38*CV44</f>
        <v>1589785.2959994921</v>
      </c>
      <c r="CW39" s="16">
        <f t="shared" si="436"/>
        <v>1675298.3971976363</v>
      </c>
      <c r="CX39" s="16">
        <f t="shared" si="436"/>
        <v>1706104.2794514587</v>
      </c>
      <c r="CY39" s="16">
        <f t="shared" si="436"/>
        <v>1776266.1520698497</v>
      </c>
      <c r="CZ39" s="16">
        <f t="shared" si="436"/>
        <v>1873612.358451081</v>
      </c>
      <c r="DA39" s="16">
        <f t="shared" si="436"/>
        <v>1902780.8893003904</v>
      </c>
      <c r="DB39" s="16">
        <f t="shared" si="436"/>
        <v>1963381.220877887</v>
      </c>
      <c r="DC39" s="16">
        <f t="shared" si="436"/>
        <v>2071097.6264216416</v>
      </c>
      <c r="DD39" s="16">
        <f t="shared" si="436"/>
        <v>2113488.4537162781</v>
      </c>
      <c r="DE39" s="16">
        <f t="shared" si="436"/>
        <v>2231346.2560349079</v>
      </c>
      <c r="DF39" s="16">
        <f t="shared" si="436"/>
        <v>2370410.6621854124</v>
      </c>
      <c r="DG39" s="16">
        <f t="shared" si="436"/>
        <v>2199736.6554575344</v>
      </c>
      <c r="DH39" s="16">
        <f t="shared" si="436"/>
        <v>2259197.7622704445</v>
      </c>
      <c r="DI39" s="16">
        <f t="shared" si="436"/>
        <v>2376267.0097161573</v>
      </c>
      <c r="DJ39" s="16">
        <f t="shared" si="436"/>
        <v>2422506.7764017624</v>
      </c>
      <c r="DK39" s="16">
        <f t="shared" si="436"/>
        <v>2522123.5212721741</v>
      </c>
      <c r="DL39" s="16">
        <f t="shared" si="436"/>
        <v>2658069.2516738237</v>
      </c>
      <c r="DM39" s="16">
        <f t="shared" si="436"/>
        <v>2696875.4862781726</v>
      </c>
      <c r="DN39" s="16">
        <f t="shared" si="436"/>
        <v>2778359.6449246518</v>
      </c>
      <c r="DO39" s="16">
        <f t="shared" si="436"/>
        <v>2923297.1292278296</v>
      </c>
      <c r="DP39" s="16">
        <f t="shared" si="436"/>
        <v>2972449.7949226946</v>
      </c>
      <c r="DQ39" s="16">
        <f t="shared" si="436"/>
        <v>3123005.8318930608</v>
      </c>
      <c r="DR39" s="16">
        <f t="shared" si="436"/>
        <v>3302342.5995357484</v>
      </c>
      <c r="DS39" s="16">
        <f t="shared" si="436"/>
        <v>3038169.7757974421</v>
      </c>
      <c r="DT39" s="16">
        <f t="shared" si="436"/>
        <v>3116599.9020942524</v>
      </c>
      <c r="DU39" s="16">
        <f t="shared" si="436"/>
        <v>3271019.2777613541</v>
      </c>
      <c r="DV39" s="16">
        <f t="shared" si="436"/>
        <v>3331996.4661771655</v>
      </c>
      <c r="DW39" s="16">
        <f t="shared" si="436"/>
        <v>3463412.5175653431</v>
      </c>
      <c r="DX39" s="16">
        <f t="shared" si="436"/>
        <v>3642739.66450425</v>
      </c>
      <c r="DY39" s="16">
        <f t="shared" si="436"/>
        <v>3693907.8195656692</v>
      </c>
      <c r="DZ39" s="16">
        <f t="shared" si="436"/>
        <v>3801398.5584161878</v>
      </c>
      <c r="EA39" s="16">
        <f t="shared" si="436"/>
        <v>3992600.157665249</v>
      </c>
      <c r="EB39" s="16">
        <f t="shared" si="436"/>
        <v>4057421.2983363513</v>
      </c>
      <c r="EC39" s="16">
        <f t="shared" si="436"/>
        <v>4256005.8144440688</v>
      </c>
      <c r="ED39" s="16">
        <f t="shared" si="436"/>
        <v>4492571.8585520806</v>
      </c>
      <c r="EE39" s="16">
        <f t="shared" si="436"/>
        <v>4090682.4183766656</v>
      </c>
      <c r="EF39" s="16">
        <f t="shared" si="436"/>
        <v>4191379.3665823876</v>
      </c>
      <c r="EG39" s="16">
        <f t="shared" si="436"/>
        <v>4389640.9640523931</v>
      </c>
      <c r="EH39" s="16">
        <f t="shared" si="436"/>
        <v>4467923.2873742506</v>
      </c>
      <c r="EI39" s="16">
        <f t="shared" si="436"/>
        <v>4636658.9139228277</v>
      </c>
      <c r="EJ39" s="16">
        <f t="shared" si="436"/>
        <v>4866904.3172460506</v>
      </c>
      <c r="EK39" s="16">
        <f t="shared" si="436"/>
        <v>4932590.7761572516</v>
      </c>
      <c r="EL39" s="16">
        <f t="shared" si="436"/>
        <v>5070604.5869009933</v>
      </c>
      <c r="EM39" s="16">
        <f t="shared" si="436"/>
        <v>5316102.5574663654</v>
      </c>
      <c r="EN39" s="16">
        <f t="shared" si="436"/>
        <v>5399321.0255891979</v>
      </c>
      <c r="EO39" s="16">
        <f t="shared" si="436"/>
        <v>5654284.3722700076</v>
      </c>
      <c r="EP39" s="16">
        <f t="shared" si="436"/>
        <v>5958021.8067603158</v>
      </c>
      <c r="EQ39" s="16">
        <f t="shared" si="436"/>
        <v>5357008.9824040364</v>
      </c>
      <c r="ER39" s="16">
        <f t="shared" si="436"/>
        <v>5482513.5756682009</v>
      </c>
      <c r="ES39" s="16">
        <f t="shared" si="436"/>
        <v>5729618.9485294791</v>
      </c>
      <c r="ET39" s="16">
        <f t="shared" si="436"/>
        <v>5827186.1900823805</v>
      </c>
      <c r="EU39" s="16">
        <f t="shared" si="436"/>
        <v>6037492.409061512</v>
      </c>
      <c r="EV39" s="16">
        <f t="shared" si="436"/>
        <v>6324461.5588311693</v>
      </c>
      <c r="EW39" s="16">
        <f t="shared" si="436"/>
        <v>6406329.6263477569</v>
      </c>
      <c r="EX39" s="16">
        <f t="shared" si="436"/>
        <v>6578345.0224643592</v>
      </c>
      <c r="EY39" s="16">
        <f t="shared" si="436"/>
        <v>6884325.045427884</v>
      </c>
      <c r="EZ39" s="16">
        <f t="shared" si="436"/>
        <v>6988044.5851425184</v>
      </c>
      <c r="FA39" s="16">
        <f t="shared" si="436"/>
        <v>7305820.5018202895</v>
      </c>
      <c r="FB39" s="16">
        <f t="shared" si="436"/>
        <v>7684387.404735961</v>
      </c>
    </row>
    <row r="40" spans="1:158" x14ac:dyDescent="0.25">
      <c r="B40" s="99"/>
      <c r="C40" s="258" t="s">
        <v>565</v>
      </c>
      <c r="D40" s="27">
        <f t="shared" si="399"/>
        <v>1908359.3199999998</v>
      </c>
      <c r="E40" s="27">
        <f t="shared" si="399"/>
        <v>3794260.2699999996</v>
      </c>
      <c r="F40" s="27">
        <f t="shared" si="399"/>
        <v>6821922.493999999</v>
      </c>
      <c r="G40" s="27">
        <f t="shared" si="399"/>
        <v>12480181.783351783</v>
      </c>
      <c r="H40" s="83">
        <f t="shared" si="399"/>
        <v>18201546.261210512</v>
      </c>
      <c r="I40" s="83">
        <f t="shared" si="399"/>
        <v>27991466.133945428</v>
      </c>
      <c r="J40" s="83">
        <f t="shared" si="399"/>
        <v>42167881.684240207</v>
      </c>
      <c r="K40" s="83">
        <f t="shared" si="399"/>
        <v>62541567.031609133</v>
      </c>
      <c r="L40" s="27">
        <f t="shared" si="399"/>
        <v>90087981.802105039</v>
      </c>
      <c r="N40" s="27">
        <f t="shared" si="400"/>
        <v>318277.31000000006</v>
      </c>
      <c r="O40" s="27">
        <f t="shared" si="401"/>
        <v>434676.68</v>
      </c>
      <c r="P40" s="27">
        <f t="shared" si="402"/>
        <v>564586.1</v>
      </c>
      <c r="Q40" s="27">
        <f t="shared" si="403"/>
        <v>590819.23</v>
      </c>
      <c r="R40" s="27">
        <f t="shared" si="404"/>
        <v>653639.56999999995</v>
      </c>
      <c r="S40" s="27">
        <f t="shared" si="405"/>
        <v>846967.94</v>
      </c>
      <c r="T40" s="27">
        <f t="shared" si="406"/>
        <v>1021482.96</v>
      </c>
      <c r="U40" s="27">
        <f t="shared" si="407"/>
        <v>1272169.7999999998</v>
      </c>
      <c r="V40" s="27">
        <f t="shared" si="408"/>
        <v>1700736.8900000001</v>
      </c>
      <c r="W40" s="27">
        <f t="shared" si="409"/>
        <v>1583716.0860000001</v>
      </c>
      <c r="X40" s="27">
        <f t="shared" si="410"/>
        <v>1716687.524</v>
      </c>
      <c r="Y40" s="27">
        <f t="shared" si="411"/>
        <v>1820781.9939999999</v>
      </c>
      <c r="Z40" s="27">
        <f t="shared" si="412"/>
        <v>2303986.85</v>
      </c>
      <c r="AA40" s="27">
        <f t="shared" si="413"/>
        <v>3068209.9437624868</v>
      </c>
      <c r="AB40" s="27">
        <f t="shared" si="414"/>
        <v>3447437.4116935022</v>
      </c>
      <c r="AC40" s="27">
        <f t="shared" si="415"/>
        <v>3660547.5778957936</v>
      </c>
      <c r="AD40" s="27">
        <f t="shared" si="416"/>
        <v>3936801.7052203678</v>
      </c>
      <c r="AE40" s="27">
        <f t="shared" si="417"/>
        <v>4307158.4278611885</v>
      </c>
      <c r="AF40" s="27">
        <f t="shared" si="418"/>
        <v>4719976.1436359417</v>
      </c>
      <c r="AG40" s="27">
        <f t="shared" si="419"/>
        <v>5237609.9844930163</v>
      </c>
      <c r="AH40" s="27">
        <f t="shared" si="420"/>
        <v>6071384.3297425257</v>
      </c>
      <c r="AI40" s="27">
        <f t="shared" si="421"/>
        <v>6644604.8992924998</v>
      </c>
      <c r="AJ40" s="27">
        <f t="shared" si="422"/>
        <v>7271761.4974568207</v>
      </c>
      <c r="AK40" s="27">
        <f t="shared" si="423"/>
        <v>8003715.4074535836</v>
      </c>
      <c r="AL40" s="27">
        <f t="shared" si="424"/>
        <v>9206394.9824745394</v>
      </c>
      <c r="AM40" s="27">
        <f t="shared" si="425"/>
        <v>10032274.655889317</v>
      </c>
      <c r="AN40" s="27">
        <f t="shared" si="426"/>
        <v>10936487.504511781</v>
      </c>
      <c r="AO40" s="27">
        <f t="shared" si="427"/>
        <v>11992724.541364571</v>
      </c>
      <c r="AP40" s="27">
        <f t="shared" si="428"/>
        <v>13743778.580653727</v>
      </c>
      <c r="AQ40" s="27">
        <f t="shared" si="429"/>
        <v>14912816.074504077</v>
      </c>
      <c r="AR40" s="27">
        <f t="shared" si="430"/>
        <v>16193666.944725176</v>
      </c>
      <c r="AS40" s="27">
        <f t="shared" si="431"/>
        <v>17691305.431726154</v>
      </c>
      <c r="AT40" s="27">
        <f t="shared" si="432"/>
        <v>20115463.517630607</v>
      </c>
      <c r="AU40" s="27">
        <f t="shared" si="433"/>
        <v>21602783.335990723</v>
      </c>
      <c r="AV40" s="27">
        <f t="shared" si="434"/>
        <v>23230397.349925771</v>
      </c>
      <c r="AW40" s="27">
        <f t="shared" si="435"/>
        <v>25139337.598557949</v>
      </c>
      <c r="AY40" s="83">
        <f>-AY62</f>
        <v>106860.78</v>
      </c>
      <c r="AZ40" s="83">
        <f t="shared" ref="AZ40:CT40" si="437">-AZ62</f>
        <v>100852.36</v>
      </c>
      <c r="BA40" s="83">
        <f t="shared" si="437"/>
        <v>110564.17000000001</v>
      </c>
      <c r="BB40" s="83">
        <f t="shared" si="437"/>
        <v>133950.21</v>
      </c>
      <c r="BC40" s="83">
        <f t="shared" si="437"/>
        <v>143205.78</v>
      </c>
      <c r="BD40" s="83">
        <f t="shared" si="437"/>
        <v>157520.69</v>
      </c>
      <c r="BE40" s="83">
        <f t="shared" si="437"/>
        <v>175675.43</v>
      </c>
      <c r="BF40" s="83">
        <f t="shared" si="437"/>
        <v>185074.61</v>
      </c>
      <c r="BG40" s="83">
        <f t="shared" si="437"/>
        <v>203836.06</v>
      </c>
      <c r="BH40" s="83">
        <f t="shared" si="437"/>
        <v>196825.27</v>
      </c>
      <c r="BI40" s="83">
        <f t="shared" si="437"/>
        <v>184189.28</v>
      </c>
      <c r="BJ40" s="83">
        <f t="shared" si="437"/>
        <v>209804.68</v>
      </c>
      <c r="BK40" s="83">
        <f t="shared" si="437"/>
        <v>194354.16</v>
      </c>
      <c r="BL40" s="83">
        <f t="shared" si="437"/>
        <v>215421.56</v>
      </c>
      <c r="BM40" s="83">
        <f t="shared" si="437"/>
        <v>243863.85</v>
      </c>
      <c r="BN40" s="83">
        <f t="shared" si="437"/>
        <v>262540.19</v>
      </c>
      <c r="BO40" s="83">
        <f t="shared" si="437"/>
        <v>262729.43</v>
      </c>
      <c r="BP40" s="83">
        <f t="shared" si="437"/>
        <v>321698.32</v>
      </c>
      <c r="BQ40" s="83">
        <f t="shared" si="437"/>
        <v>327123.38</v>
      </c>
      <c r="BR40" s="83">
        <f t="shared" si="437"/>
        <v>311499.24</v>
      </c>
      <c r="BS40" s="83">
        <f t="shared" si="437"/>
        <v>382860.33999999997</v>
      </c>
      <c r="BT40" s="83">
        <f t="shared" si="437"/>
        <v>347066.83999999997</v>
      </c>
      <c r="BU40" s="83">
        <f t="shared" si="437"/>
        <v>349814.05</v>
      </c>
      <c r="BV40" s="83">
        <f t="shared" si="437"/>
        <v>575288.91</v>
      </c>
      <c r="BW40" s="83">
        <f t="shared" si="437"/>
        <v>372955.45999999996</v>
      </c>
      <c r="BX40" s="83">
        <f t="shared" si="437"/>
        <v>345391.51</v>
      </c>
      <c r="BY40" s="83">
        <f t="shared" si="437"/>
        <v>982389.92</v>
      </c>
      <c r="BZ40" s="83">
        <f t="shared" si="437"/>
        <v>551135.66999999993</v>
      </c>
      <c r="CA40" s="83">
        <f t="shared" si="437"/>
        <v>463558.66000000003</v>
      </c>
      <c r="CB40" s="83">
        <f t="shared" si="437"/>
        <v>569021.75600000005</v>
      </c>
      <c r="CC40" s="83">
        <f t="shared" si="437"/>
        <v>512899.85</v>
      </c>
      <c r="CD40" s="83">
        <f t="shared" si="437"/>
        <v>537798.38</v>
      </c>
      <c r="CE40" s="83">
        <f t="shared" si="437"/>
        <v>665989.29399999999</v>
      </c>
      <c r="CF40" s="83">
        <f t="shared" si="437"/>
        <v>530162.02</v>
      </c>
      <c r="CG40" s="83">
        <f t="shared" si="437"/>
        <v>496312.06</v>
      </c>
      <c r="CH40" s="83">
        <f t="shared" si="437"/>
        <v>794307.91399999987</v>
      </c>
      <c r="CI40" s="83">
        <f t="shared" si="437"/>
        <v>629117.54</v>
      </c>
      <c r="CJ40" s="83">
        <f t="shared" si="437"/>
        <v>712838.62</v>
      </c>
      <c r="CK40" s="83">
        <f t="shared" si="437"/>
        <v>962030.69000000006</v>
      </c>
      <c r="CL40" s="83">
        <f t="shared" si="437"/>
        <v>899397.79</v>
      </c>
      <c r="CM40" s="83">
        <f t="shared" si="437"/>
        <v>1103174.2599596323</v>
      </c>
      <c r="CN40" s="83">
        <f t="shared" si="437"/>
        <v>1065637.8938028542</v>
      </c>
      <c r="CO40" s="83">
        <f t="shared" si="437"/>
        <v>1132955.5774540862</v>
      </c>
      <c r="CP40" s="83">
        <f t="shared" si="437"/>
        <v>1149329.7654557074</v>
      </c>
      <c r="CQ40" s="83">
        <f t="shared" si="437"/>
        <v>1165152.0687837088</v>
      </c>
      <c r="CR40" s="83">
        <f t="shared" si="437"/>
        <v>1188735.7937582615</v>
      </c>
      <c r="CS40" s="83">
        <f t="shared" si="437"/>
        <v>1216974.0047775814</v>
      </c>
      <c r="CT40" s="83">
        <f t="shared" si="437"/>
        <v>1254837.7793599507</v>
      </c>
      <c r="CU40" s="27">
        <f t="shared" ref="CU40:DK40" si="438">-CU62</f>
        <v>1283980.3441128084</v>
      </c>
      <c r="CV40" s="27">
        <f t="shared" si="438"/>
        <v>1302891.5550316214</v>
      </c>
      <c r="CW40" s="27">
        <f t="shared" si="438"/>
        <v>1349929.8060759378</v>
      </c>
      <c r="CX40" s="27">
        <f t="shared" si="438"/>
        <v>1391686.9618759521</v>
      </c>
      <c r="CY40" s="27">
        <f t="shared" si="438"/>
        <v>1426777.8104745566</v>
      </c>
      <c r="CZ40" s="27">
        <f t="shared" si="438"/>
        <v>1488693.6555106798</v>
      </c>
      <c r="DA40" s="27">
        <f t="shared" si="438"/>
        <v>1533410.5472805253</v>
      </c>
      <c r="DB40" s="27">
        <f t="shared" si="438"/>
        <v>1562875.1184219196</v>
      </c>
      <c r="DC40" s="27">
        <f t="shared" si="438"/>
        <v>1623690.4779334962</v>
      </c>
      <c r="DD40" s="27">
        <f t="shared" si="438"/>
        <v>1676673.1751098416</v>
      </c>
      <c r="DE40" s="27">
        <f t="shared" si="438"/>
        <v>1733236.1098591962</v>
      </c>
      <c r="DF40" s="27">
        <f t="shared" si="438"/>
        <v>1827700.6995239786</v>
      </c>
      <c r="DG40" s="27">
        <f t="shared" si="438"/>
        <v>1980200.9890394411</v>
      </c>
      <c r="DH40" s="27">
        <f t="shared" si="438"/>
        <v>2010101.2161273612</v>
      </c>
      <c r="DI40" s="27">
        <f t="shared" si="438"/>
        <v>2081082.1245757237</v>
      </c>
      <c r="DJ40" s="27">
        <f t="shared" si="438"/>
        <v>2145569.856166915</v>
      </c>
      <c r="DK40" s="27">
        <f t="shared" si="438"/>
        <v>2201759.8544450467</v>
      </c>
      <c r="DL40" s="27">
        <f t="shared" ref="DL40:FB40" si="439">-DL62</f>
        <v>2297275.188680538</v>
      </c>
      <c r="DM40" s="27">
        <f t="shared" si="439"/>
        <v>2365158.4865908474</v>
      </c>
      <c r="DN40" s="27">
        <f t="shared" si="439"/>
        <v>2408536.8826391445</v>
      </c>
      <c r="DO40" s="27">
        <f t="shared" si="439"/>
        <v>2498066.1282268292</v>
      </c>
      <c r="DP40" s="27">
        <f t="shared" si="439"/>
        <v>2572770.4086907506</v>
      </c>
      <c r="DQ40" s="27">
        <f t="shared" si="439"/>
        <v>2649321.4768739715</v>
      </c>
      <c r="DR40" s="27">
        <f t="shared" si="439"/>
        <v>2781623.5218888614</v>
      </c>
      <c r="DS40" s="27">
        <f t="shared" si="439"/>
        <v>3006175.1650846214</v>
      </c>
      <c r="DT40" s="27">
        <f t="shared" si="439"/>
        <v>3048946.3759216261</v>
      </c>
      <c r="DU40" s="27">
        <f t="shared" si="439"/>
        <v>3151273.441468291</v>
      </c>
      <c r="DV40" s="27">
        <f t="shared" si="439"/>
        <v>3244186.8013582942</v>
      </c>
      <c r="DW40" s="27">
        <f t="shared" si="439"/>
        <v>3325085.8460599999</v>
      </c>
      <c r="DX40" s="27">
        <f t="shared" si="439"/>
        <v>3463002.0084710233</v>
      </c>
      <c r="DY40" s="27">
        <f t="shared" si="439"/>
        <v>3560853.002425089</v>
      </c>
      <c r="DZ40" s="27">
        <f t="shared" si="439"/>
        <v>3623189.554004645</v>
      </c>
      <c r="EA40" s="27">
        <f t="shared" si="439"/>
        <v>3752444.9480820466</v>
      </c>
      <c r="EB40" s="27">
        <f t="shared" si="439"/>
        <v>3860205.0617572642</v>
      </c>
      <c r="EC40" s="27">
        <f t="shared" si="439"/>
        <v>3970632.734481595</v>
      </c>
      <c r="ED40" s="27">
        <f t="shared" si="439"/>
        <v>4161886.7451257124</v>
      </c>
      <c r="EE40" s="27">
        <f t="shared" si="439"/>
        <v>4492900.4109239746</v>
      </c>
      <c r="EF40" s="27">
        <f t="shared" si="439"/>
        <v>4552970.9443959314</v>
      </c>
      <c r="EG40" s="27">
        <f t="shared" si="439"/>
        <v>4697907.225333822</v>
      </c>
      <c r="EH40" s="27">
        <f t="shared" si="439"/>
        <v>4829434.3158951877</v>
      </c>
      <c r="EI40" s="27">
        <f t="shared" si="439"/>
        <v>4943854.8972035693</v>
      </c>
      <c r="EJ40" s="27">
        <f t="shared" si="439"/>
        <v>5139526.8614053195</v>
      </c>
      <c r="EK40" s="27">
        <f t="shared" si="439"/>
        <v>5278111.0722626206</v>
      </c>
      <c r="EL40" s="27">
        <f t="shared" si="439"/>
        <v>5366101.0732914805</v>
      </c>
      <c r="EM40" s="27">
        <f t="shared" si="439"/>
        <v>5549454.7991710752</v>
      </c>
      <c r="EN40" s="27">
        <f t="shared" si="439"/>
        <v>5702182.5078551862</v>
      </c>
      <c r="EO40" s="27">
        <f t="shared" si="439"/>
        <v>5858710.168328112</v>
      </c>
      <c r="EP40" s="27">
        <f t="shared" si="439"/>
        <v>6130412.7555428557</v>
      </c>
      <c r="EQ40" s="27">
        <f t="shared" si="439"/>
        <v>6596932.0670424541</v>
      </c>
      <c r="ER40" s="27">
        <f t="shared" si="439"/>
        <v>6665846.3304414116</v>
      </c>
      <c r="ES40" s="27">
        <f t="shared" si="439"/>
        <v>6852685.1201467393</v>
      </c>
      <c r="ET40" s="27">
        <f t="shared" si="439"/>
        <v>7020274.6180979311</v>
      </c>
      <c r="EU40" s="27">
        <f t="shared" si="439"/>
        <v>7163614.263410911</v>
      </c>
      <c r="EV40" s="27">
        <f t="shared" si="439"/>
        <v>7418894.4544818802</v>
      </c>
      <c r="EW40" s="27">
        <f t="shared" si="439"/>
        <v>7594498.1764611686</v>
      </c>
      <c r="EX40" s="27">
        <f t="shared" si="439"/>
        <v>7699844.4010708937</v>
      </c>
      <c r="EY40" s="27">
        <f t="shared" si="439"/>
        <v>7936054.772393709</v>
      </c>
      <c r="EZ40" s="27">
        <f t="shared" si="439"/>
        <v>8129463.571074618</v>
      </c>
      <c r="FA40" s="27">
        <f t="shared" si="439"/>
        <v>8327482.4644394284</v>
      </c>
      <c r="FB40" s="27">
        <f t="shared" si="439"/>
        <v>8682391.5630439017</v>
      </c>
    </row>
    <row r="41" spans="1:158" x14ac:dyDescent="0.25">
      <c r="B41" s="99"/>
      <c r="C41" s="2" t="s">
        <v>4</v>
      </c>
      <c r="D41" s="16">
        <f t="shared" si="399"/>
        <v>7199227.5299999993</v>
      </c>
      <c r="E41" s="16">
        <f t="shared" si="399"/>
        <v>15574148.279999999</v>
      </c>
      <c r="F41" s="16">
        <f t="shared" si="399"/>
        <v>22066794.163999997</v>
      </c>
      <c r="G41" s="16">
        <f t="shared" si="399"/>
        <v>32317451.906568326</v>
      </c>
      <c r="H41" s="55">
        <f t="shared" si="399"/>
        <v>41022301.372007795</v>
      </c>
      <c r="I41" s="55">
        <f t="shared" si="399"/>
        <v>60225697.59751948</v>
      </c>
      <c r="J41" s="55">
        <f t="shared" si="399"/>
        <v>86325724.795119628</v>
      </c>
      <c r="K41" s="55">
        <f t="shared" si="399"/>
        <v>121515681.42430785</v>
      </c>
      <c r="L41" s="16">
        <f t="shared" si="399"/>
        <v>166693515.65262061</v>
      </c>
      <c r="N41" s="16">
        <f t="shared" si="400"/>
        <v>1180571.48</v>
      </c>
      <c r="O41" s="16">
        <f t="shared" si="401"/>
        <v>1511098.9</v>
      </c>
      <c r="P41" s="16">
        <f t="shared" si="402"/>
        <v>2186340.4</v>
      </c>
      <c r="Q41" s="16">
        <f t="shared" si="403"/>
        <v>2321216.75</v>
      </c>
      <c r="R41" s="16">
        <f t="shared" si="404"/>
        <v>2802222.1</v>
      </c>
      <c r="S41" s="16">
        <f t="shared" si="405"/>
        <v>3468795.6799999997</v>
      </c>
      <c r="T41" s="16">
        <f t="shared" si="406"/>
        <v>4631892.1099999994</v>
      </c>
      <c r="U41" s="16">
        <f t="shared" si="407"/>
        <v>4671238.3900000006</v>
      </c>
      <c r="V41" s="16">
        <f t="shared" si="408"/>
        <v>5360841.4000000004</v>
      </c>
      <c r="W41" s="16">
        <f t="shared" si="409"/>
        <v>5149615.3059999999</v>
      </c>
      <c r="X41" s="16">
        <f t="shared" si="410"/>
        <v>5794625.8040000005</v>
      </c>
      <c r="Y41" s="16">
        <f t="shared" si="411"/>
        <v>5761711.6540000001</v>
      </c>
      <c r="Z41" s="16">
        <f t="shared" si="412"/>
        <v>7124170.6100000003</v>
      </c>
      <c r="AA41" s="16">
        <f t="shared" si="413"/>
        <v>7652398.3069790276</v>
      </c>
      <c r="AB41" s="16">
        <f t="shared" si="414"/>
        <v>8546847.4116935022</v>
      </c>
      <c r="AC41" s="16">
        <f t="shared" si="415"/>
        <v>8994035.5778957941</v>
      </c>
      <c r="AD41" s="16">
        <f t="shared" si="416"/>
        <v>8749068.9175087456</v>
      </c>
      <c r="AE41" s="16">
        <f t="shared" si="417"/>
        <v>9663141.2178335767</v>
      </c>
      <c r="AF41" s="16">
        <f t="shared" si="418"/>
        <v>10657235.88023586</v>
      </c>
      <c r="AG41" s="16">
        <f t="shared" si="419"/>
        <v>11952855.356429614</v>
      </c>
      <c r="AH41" s="16">
        <f t="shared" si="420"/>
        <v>12906585.757186662</v>
      </c>
      <c r="AI41" s="16">
        <f t="shared" si="421"/>
        <v>14247304.448640261</v>
      </c>
      <c r="AJ41" s="16">
        <f t="shared" si="422"/>
        <v>15670293.757887475</v>
      </c>
      <c r="AK41" s="16">
        <f t="shared" si="423"/>
        <v>17401513.633805089</v>
      </c>
      <c r="AL41" s="16">
        <f t="shared" si="424"/>
        <v>18632183.938127588</v>
      </c>
      <c r="AM41" s="16">
        <f t="shared" si="425"/>
        <v>20470423.304136075</v>
      </c>
      <c r="AN41" s="16">
        <f t="shared" si="426"/>
        <v>22424394.040158886</v>
      </c>
      <c r="AO41" s="16">
        <f t="shared" si="427"/>
        <v>24798723.512697071</v>
      </c>
      <c r="AP41" s="16">
        <f t="shared" si="428"/>
        <v>26415481.329665173</v>
      </c>
      <c r="AQ41" s="16">
        <f t="shared" si="429"/>
        <v>28884302.593047205</v>
      </c>
      <c r="AR41" s="16">
        <f t="shared" si="430"/>
        <v>31512964.865249787</v>
      </c>
      <c r="AS41" s="16">
        <f t="shared" si="431"/>
        <v>34702932.636345677</v>
      </c>
      <c r="AT41" s="16">
        <f t="shared" si="432"/>
        <v>36684605.02423232</v>
      </c>
      <c r="AU41" s="16">
        <f t="shared" si="433"/>
        <v>39791923.493965782</v>
      </c>
      <c r="AV41" s="16">
        <f t="shared" si="434"/>
        <v>43099397.044165775</v>
      </c>
      <c r="AW41" s="16">
        <f t="shared" si="435"/>
        <v>47117590.090256721</v>
      </c>
      <c r="AY41" s="16">
        <f t="shared" ref="AY41" si="440">SUM(AY39:AY40)</f>
        <v>382304.89</v>
      </c>
      <c r="AZ41" s="16">
        <f t="shared" ref="AZ41" si="441">SUM(AZ39:AZ40)</f>
        <v>393742.84</v>
      </c>
      <c r="BA41" s="16">
        <f t="shared" ref="BA41" si="442">SUM(BA39:BA40)</f>
        <v>404523.75</v>
      </c>
      <c r="BB41" s="16">
        <f t="shared" ref="BB41" si="443">SUM(BB39:BB40)</f>
        <v>447141.29999999993</v>
      </c>
      <c r="BC41" s="16">
        <f t="shared" ref="BC41" si="444">SUM(BC39:BC40)</f>
        <v>542963.23</v>
      </c>
      <c r="BD41" s="16">
        <f t="shared" ref="BD41" si="445">SUM(BD39:BD40)</f>
        <v>520994.37</v>
      </c>
      <c r="BE41" s="16">
        <f t="shared" ref="BE41" si="446">SUM(BE39:BE40)</f>
        <v>655068.74</v>
      </c>
      <c r="BF41" s="16">
        <f t="shared" ref="BF41" si="447">SUM(BF39:BF40)</f>
        <v>748231.26</v>
      </c>
      <c r="BG41" s="16">
        <f t="shared" ref="BG41" si="448">SUM(BG39:BG40)</f>
        <v>783040.39999999991</v>
      </c>
      <c r="BH41" s="16">
        <f t="shared" ref="BH41" si="449">SUM(BH39:BH40)</f>
        <v>765083.02</v>
      </c>
      <c r="BI41" s="16">
        <f t="shared" ref="BI41" si="450">SUM(BI39:BI40)</f>
        <v>713986.41999999993</v>
      </c>
      <c r="BJ41" s="16">
        <f t="shared" ref="BJ41" si="451">SUM(BJ39:BJ40)</f>
        <v>842147.31</v>
      </c>
      <c r="BK41" s="16">
        <f t="shared" ref="BK41" si="452">SUM(BK39:BK40)</f>
        <v>809163.06</v>
      </c>
      <c r="BL41" s="16">
        <f t="shared" ref="BL41" si="453">SUM(BL39:BL40)</f>
        <v>928864.85999999987</v>
      </c>
      <c r="BM41" s="16">
        <f t="shared" ref="BM41" si="454">SUM(BM39:BM40)</f>
        <v>1064194.1800000002</v>
      </c>
      <c r="BN41" s="16">
        <f t="shared" ref="BN41" si="455">SUM(BN39:BN40)</f>
        <v>1067050.55</v>
      </c>
      <c r="BO41" s="16">
        <f t="shared" ref="BO41" si="456">SUM(BO39:BO40)</f>
        <v>1164477.6200000001</v>
      </c>
      <c r="BP41" s="16">
        <f t="shared" ref="BP41" si="457">SUM(BP39:BP40)</f>
        <v>1237267.51</v>
      </c>
      <c r="BQ41" s="16">
        <f t="shared" ref="BQ41" si="458">SUM(BQ39:BQ40)</f>
        <v>1404176.4</v>
      </c>
      <c r="BR41" s="16">
        <f t="shared" ref="BR41" si="459">SUM(BR39:BR40)</f>
        <v>1466811.63</v>
      </c>
      <c r="BS41" s="16">
        <f t="shared" ref="BS41" si="460">SUM(BS39:BS40)</f>
        <v>1760904.08</v>
      </c>
      <c r="BT41" s="16">
        <f t="shared" ref="BT41" si="461">SUM(BT39:BT40)</f>
        <v>1469949.23</v>
      </c>
      <c r="BU41" s="16">
        <f t="shared" ref="BU41" si="462">SUM(BU39:BU40)</f>
        <v>1501241.8499999999</v>
      </c>
      <c r="BV41" s="16">
        <f t="shared" ref="BV41" si="463">SUM(BV39:BV40)</f>
        <v>1700047.31</v>
      </c>
      <c r="BW41" s="16">
        <f t="shared" ref="BW41" si="464">SUM(BW39:BW40)</f>
        <v>1496591.2000000002</v>
      </c>
      <c r="BX41" s="16">
        <f t="shared" ref="BX41" si="465">SUM(BX39:BX40)</f>
        <v>1635874.8599999999</v>
      </c>
      <c r="BY41" s="16">
        <f t="shared" ref="BY41" si="466">SUM(BY39:BY40)</f>
        <v>2228375.34</v>
      </c>
      <c r="BZ41" s="16">
        <f t="shared" ref="BZ41" si="467">SUM(BZ39:BZ40)</f>
        <v>1841103.52</v>
      </c>
      <c r="CA41" s="16">
        <f t="shared" ref="CA41" si="468">SUM(CA39:CA40)</f>
        <v>1554036.46</v>
      </c>
      <c r="CB41" s="16">
        <f t="shared" ref="CB41" si="469">SUM(CB39:CB40)</f>
        <v>1754475.3260000001</v>
      </c>
      <c r="CC41" s="16">
        <f t="shared" ref="CC41" si="470">SUM(CC39:CC40)</f>
        <v>1823877.0700000003</v>
      </c>
      <c r="CD41" s="16">
        <f t="shared" ref="CD41" si="471">SUM(CD39:CD40)</f>
        <v>1904495.0099999998</v>
      </c>
      <c r="CE41" s="16">
        <f t="shared" ref="CE41" si="472">SUM(CE39:CE40)</f>
        <v>2066253.7240000002</v>
      </c>
      <c r="CF41" s="16">
        <f t="shared" ref="CF41" si="473">SUM(CF39:CF40)</f>
        <v>1834294.57</v>
      </c>
      <c r="CG41" s="16">
        <f t="shared" ref="CG41" si="474">SUM(CG39:CG40)</f>
        <v>1639402.2</v>
      </c>
      <c r="CH41" s="16">
        <f t="shared" ref="CH41" si="475">SUM(CH39:CH40)</f>
        <v>2288014.8840000001</v>
      </c>
      <c r="CI41" s="16">
        <f t="shared" ref="CI41" si="476">SUM(CI39:CI40)</f>
        <v>2101704.2999999998</v>
      </c>
      <c r="CJ41" s="16">
        <f t="shared" ref="CJ41" si="477">SUM(CJ39:CJ40)</f>
        <v>2435711.7799999998</v>
      </c>
      <c r="CK41" s="16">
        <f t="shared" ref="CK41" si="478">SUM(CK39:CK40)</f>
        <v>2586754.5300000003</v>
      </c>
      <c r="CL41" s="16">
        <f t="shared" ref="CL41" si="479">SUM(CL39:CL40)</f>
        <v>2403657.9500000002</v>
      </c>
      <c r="CM41" s="16">
        <f t="shared" ref="CM41" si="480">SUM(CM39:CM40)</f>
        <v>2642766.4631761736</v>
      </c>
      <c r="CN41" s="16">
        <f t="shared" ref="CN41" si="481">SUM(CN39:CN40)</f>
        <v>2605973.8938028542</v>
      </c>
      <c r="CO41" s="16">
        <f t="shared" ref="CO41" si="482">SUM(CO39:CO40)</f>
        <v>2794102.5774540864</v>
      </c>
      <c r="CP41" s="16">
        <f t="shared" ref="CP41" si="483">SUM(CP39:CP40)</f>
        <v>2854207.7654557074</v>
      </c>
      <c r="CQ41" s="16">
        <f t="shared" ref="CQ41" si="484">SUM(CQ39:CQ40)</f>
        <v>2898537.0687837088</v>
      </c>
      <c r="CR41" s="16">
        <f t="shared" ref="CR41" si="485">SUM(CR39:CR40)</f>
        <v>2917766.7937582615</v>
      </c>
      <c r="CS41" s="16">
        <f t="shared" ref="CS41" si="486">SUM(CS39:CS40)</f>
        <v>3006512.0047775814</v>
      </c>
      <c r="CT41" s="16">
        <f t="shared" ref="CT41" si="487">SUM(CT39:CT40)</f>
        <v>3069756.7793599507</v>
      </c>
      <c r="CU41" s="16">
        <f t="shared" ref="CU41:FA41" si="488">SUM(CU39:CU40)</f>
        <v>2831163.8632040587</v>
      </c>
      <c r="CV41" s="16">
        <f t="shared" si="488"/>
        <v>2892676.8510311134</v>
      </c>
      <c r="CW41" s="16">
        <f t="shared" si="488"/>
        <v>3025228.2032735739</v>
      </c>
      <c r="CX41" s="16">
        <f t="shared" si="488"/>
        <v>3097791.2413274106</v>
      </c>
      <c r="CY41" s="16">
        <f t="shared" si="488"/>
        <v>3203043.9625444063</v>
      </c>
      <c r="CZ41" s="16">
        <f t="shared" si="488"/>
        <v>3362306.0139617608</v>
      </c>
      <c r="DA41" s="16">
        <f t="shared" si="488"/>
        <v>3436191.4365809159</v>
      </c>
      <c r="DB41" s="16">
        <f t="shared" si="488"/>
        <v>3526256.3392998064</v>
      </c>
      <c r="DC41" s="16">
        <f t="shared" si="488"/>
        <v>3694788.1043551378</v>
      </c>
      <c r="DD41" s="16">
        <f t="shared" si="488"/>
        <v>3790161.6288261199</v>
      </c>
      <c r="DE41" s="16">
        <f t="shared" si="488"/>
        <v>3964582.3658941044</v>
      </c>
      <c r="DF41" s="16">
        <f t="shared" si="488"/>
        <v>4198111.3617093908</v>
      </c>
      <c r="DG41" s="16">
        <f t="shared" si="488"/>
        <v>4179937.6444969755</v>
      </c>
      <c r="DH41" s="16">
        <f t="shared" si="488"/>
        <v>4269298.9783978052</v>
      </c>
      <c r="DI41" s="16">
        <f t="shared" si="488"/>
        <v>4457349.1342918808</v>
      </c>
      <c r="DJ41" s="16">
        <f t="shared" si="488"/>
        <v>4568076.6325686779</v>
      </c>
      <c r="DK41" s="16">
        <f t="shared" si="488"/>
        <v>4723883.3757172208</v>
      </c>
      <c r="DL41" s="16">
        <f t="shared" si="488"/>
        <v>4955344.4403543621</v>
      </c>
      <c r="DM41" s="16">
        <f t="shared" si="488"/>
        <v>5062033.97286902</v>
      </c>
      <c r="DN41" s="16">
        <f t="shared" si="488"/>
        <v>5186896.5275637964</v>
      </c>
      <c r="DO41" s="16">
        <f t="shared" si="488"/>
        <v>5421363.2574546589</v>
      </c>
      <c r="DP41" s="16">
        <f t="shared" si="488"/>
        <v>5545220.2036134452</v>
      </c>
      <c r="DQ41" s="16">
        <f t="shared" si="488"/>
        <v>5772327.3087670319</v>
      </c>
      <c r="DR41" s="16">
        <f t="shared" si="488"/>
        <v>6083966.1214246098</v>
      </c>
      <c r="DS41" s="16">
        <f t="shared" si="488"/>
        <v>6044344.9408820635</v>
      </c>
      <c r="DT41" s="16">
        <f t="shared" si="488"/>
        <v>6165546.2780158781</v>
      </c>
      <c r="DU41" s="16">
        <f t="shared" si="488"/>
        <v>6422292.7192296451</v>
      </c>
      <c r="DV41" s="16">
        <f t="shared" si="488"/>
        <v>6576183.2675354593</v>
      </c>
      <c r="DW41" s="16">
        <f t="shared" si="488"/>
        <v>6788498.363625343</v>
      </c>
      <c r="DX41" s="16">
        <f t="shared" si="488"/>
        <v>7105741.6729752738</v>
      </c>
      <c r="DY41" s="16">
        <f t="shared" si="488"/>
        <v>7254760.8219907582</v>
      </c>
      <c r="DZ41" s="16">
        <f t="shared" si="488"/>
        <v>7424588.1124208327</v>
      </c>
      <c r="EA41" s="16">
        <f t="shared" si="488"/>
        <v>7745045.1057472955</v>
      </c>
      <c r="EB41" s="16">
        <f t="shared" si="488"/>
        <v>7917626.3600936159</v>
      </c>
      <c r="EC41" s="16">
        <f t="shared" si="488"/>
        <v>8226638.5489256643</v>
      </c>
      <c r="ED41" s="16">
        <f t="shared" si="488"/>
        <v>8654458.6036777925</v>
      </c>
      <c r="EE41" s="16">
        <f t="shared" si="488"/>
        <v>8583582.8293006402</v>
      </c>
      <c r="EF41" s="16">
        <f t="shared" si="488"/>
        <v>8744350.3109783195</v>
      </c>
      <c r="EG41" s="16">
        <f t="shared" si="488"/>
        <v>9087548.1893862151</v>
      </c>
      <c r="EH41" s="16">
        <f t="shared" si="488"/>
        <v>9297357.6032694392</v>
      </c>
      <c r="EI41" s="16">
        <f t="shared" si="488"/>
        <v>9580513.8111263961</v>
      </c>
      <c r="EJ41" s="16">
        <f t="shared" si="488"/>
        <v>10006431.17865137</v>
      </c>
      <c r="EK41" s="16">
        <f t="shared" si="488"/>
        <v>10210701.848419871</v>
      </c>
      <c r="EL41" s="16">
        <f t="shared" si="488"/>
        <v>10436705.660192475</v>
      </c>
      <c r="EM41" s="16">
        <f t="shared" si="488"/>
        <v>10865557.356637441</v>
      </c>
      <c r="EN41" s="16">
        <f t="shared" si="488"/>
        <v>11101503.533444384</v>
      </c>
      <c r="EO41" s="16">
        <f t="shared" si="488"/>
        <v>11512994.540598121</v>
      </c>
      <c r="EP41" s="16">
        <f t="shared" si="488"/>
        <v>12088434.562303171</v>
      </c>
      <c r="EQ41" s="16">
        <f t="shared" si="488"/>
        <v>11953941.04944649</v>
      </c>
      <c r="ER41" s="16">
        <f t="shared" si="488"/>
        <v>12148359.906109612</v>
      </c>
      <c r="ES41" s="16">
        <f t="shared" si="488"/>
        <v>12582304.068676218</v>
      </c>
      <c r="ET41" s="16">
        <f t="shared" si="488"/>
        <v>12847460.808180312</v>
      </c>
      <c r="EU41" s="16">
        <f t="shared" si="488"/>
        <v>13201106.672472423</v>
      </c>
      <c r="EV41" s="16">
        <f t="shared" si="488"/>
        <v>13743356.013313049</v>
      </c>
      <c r="EW41" s="16">
        <f t="shared" si="488"/>
        <v>14000827.802808926</v>
      </c>
      <c r="EX41" s="16">
        <f t="shared" si="488"/>
        <v>14278189.423535254</v>
      </c>
      <c r="EY41" s="16">
        <f t="shared" si="488"/>
        <v>14820379.817821592</v>
      </c>
      <c r="EZ41" s="16">
        <f t="shared" si="488"/>
        <v>15117508.156217135</v>
      </c>
      <c r="FA41" s="16">
        <f t="shared" si="488"/>
        <v>15633302.966259718</v>
      </c>
      <c r="FB41" s="16">
        <f>SUM(FB39:FB40)</f>
        <v>16366778.967779864</v>
      </c>
    </row>
    <row r="42" spans="1:158" s="1" customFormat="1" ht="15.75" thickBot="1" x14ac:dyDescent="0.3">
      <c r="B42" s="201"/>
      <c r="C42" s="259" t="s">
        <v>558</v>
      </c>
      <c r="D42" s="23">
        <f t="shared" si="399"/>
        <v>12514472.470000001</v>
      </c>
      <c r="E42" s="23">
        <f t="shared" si="399"/>
        <v>24845771.720000003</v>
      </c>
      <c r="F42" s="23">
        <f t="shared" si="399"/>
        <v>42172790.14599999</v>
      </c>
      <c r="G42" s="23">
        <f t="shared" si="399"/>
        <v>66867673.105041921</v>
      </c>
      <c r="H42" s="57">
        <f t="shared" si="399"/>
        <v>122802214.85769273</v>
      </c>
      <c r="I42" s="57">
        <f t="shared" si="399"/>
        <v>191998335.76377982</v>
      </c>
      <c r="J42" s="57">
        <f t="shared" si="399"/>
        <v>293363381.91923475</v>
      </c>
      <c r="K42" s="57">
        <f t="shared" si="399"/>
        <v>441214417.74266458</v>
      </c>
      <c r="L42" s="23">
        <f t="shared" si="399"/>
        <v>654373299.46544528</v>
      </c>
      <c r="M42"/>
      <c r="N42" s="23">
        <f t="shared" si="400"/>
        <v>2285280.52</v>
      </c>
      <c r="O42" s="23">
        <f t="shared" si="401"/>
        <v>2944396.1</v>
      </c>
      <c r="P42" s="23">
        <f t="shared" si="402"/>
        <v>3200708.6</v>
      </c>
      <c r="Q42" s="23">
        <f t="shared" si="403"/>
        <v>4084087.25</v>
      </c>
      <c r="R42" s="23">
        <f t="shared" si="404"/>
        <v>5091523.9000000004</v>
      </c>
      <c r="S42" s="23">
        <f t="shared" si="405"/>
        <v>5824077.3200000003</v>
      </c>
      <c r="T42" s="23">
        <f t="shared" si="406"/>
        <v>6307864.8900000006</v>
      </c>
      <c r="U42" s="23">
        <f t="shared" si="407"/>
        <v>7622305.6099999994</v>
      </c>
      <c r="V42" s="23">
        <f t="shared" si="408"/>
        <v>8722678.9100000001</v>
      </c>
      <c r="W42" s="23">
        <f t="shared" si="409"/>
        <v>9872370.6939999983</v>
      </c>
      <c r="X42" s="23">
        <f t="shared" si="410"/>
        <v>10848945.195999999</v>
      </c>
      <c r="Y42" s="23">
        <f t="shared" si="411"/>
        <v>12728795.346000001</v>
      </c>
      <c r="Z42" s="23">
        <f t="shared" si="412"/>
        <v>13692771.77</v>
      </c>
      <c r="AA42" s="23">
        <f t="shared" si="413"/>
        <v>15370550.69302097</v>
      </c>
      <c r="AB42" s="23">
        <f t="shared" si="414"/>
        <v>17350996.286489073</v>
      </c>
      <c r="AC42" s="23">
        <f t="shared" si="415"/>
        <v>20453354.355531882</v>
      </c>
      <c r="AD42" s="23">
        <f t="shared" si="416"/>
        <v>25796998.650964901</v>
      </c>
      <c r="AE42" s="23">
        <f t="shared" si="417"/>
        <v>28786125.041838996</v>
      </c>
      <c r="AF42" s="23">
        <f t="shared" si="418"/>
        <v>31964872.781644389</v>
      </c>
      <c r="AG42" s="23">
        <f t="shared" si="419"/>
        <v>36254218.383244455</v>
      </c>
      <c r="AH42" s="23">
        <f t="shared" si="420"/>
        <v>40576993.487290144</v>
      </c>
      <c r="AI42" s="23">
        <f t="shared" si="421"/>
        <v>45241737.408540964</v>
      </c>
      <c r="AJ42" s="23">
        <f t="shared" si="422"/>
        <v>50045921.112461932</v>
      </c>
      <c r="AK42" s="23">
        <f t="shared" si="423"/>
        <v>56133683.755486801</v>
      </c>
      <c r="AL42" s="23">
        <f t="shared" si="424"/>
        <v>62415012.585114449</v>
      </c>
      <c r="AM42" s="23">
        <f t="shared" si="425"/>
        <v>69281499.724640876</v>
      </c>
      <c r="AN42" s="23">
        <f t="shared" si="426"/>
        <v>76353822.087503254</v>
      </c>
      <c r="AO42" s="23">
        <f t="shared" si="427"/>
        <v>85313047.521976188</v>
      </c>
      <c r="AP42" s="23">
        <f t="shared" si="428"/>
        <v>94497712.840291366</v>
      </c>
      <c r="AQ42" s="23">
        <f t="shared" si="429"/>
        <v>104431408.46175364</v>
      </c>
      <c r="AR42" s="23">
        <f t="shared" si="430"/>
        <v>114663542.00998503</v>
      </c>
      <c r="AS42" s="23">
        <f t="shared" si="431"/>
        <v>127621754.43063448</v>
      </c>
      <c r="AT42" s="23">
        <f t="shared" si="432"/>
        <v>140905336.09690076</v>
      </c>
      <c r="AU42" s="23">
        <f t="shared" si="433"/>
        <v>155161347.22388053</v>
      </c>
      <c r="AV42" s="23">
        <f t="shared" si="434"/>
        <v>169858799.03557697</v>
      </c>
      <c r="AW42" s="23">
        <f t="shared" si="435"/>
        <v>188447817.10908699</v>
      </c>
      <c r="AX42"/>
      <c r="AY42" s="23">
        <f>AY38-AY41</f>
        <v>715764.11</v>
      </c>
      <c r="AZ42" s="23">
        <f t="shared" ref="AZ42:CT42" si="489">AZ38-AZ41</f>
        <v>746305.15999999992</v>
      </c>
      <c r="BA42" s="23">
        <f t="shared" si="489"/>
        <v>823211.25</v>
      </c>
      <c r="BB42" s="23">
        <f t="shared" si="489"/>
        <v>1006725.7000000001</v>
      </c>
      <c r="BC42" s="23">
        <f t="shared" si="489"/>
        <v>896774.77</v>
      </c>
      <c r="BD42" s="23">
        <f t="shared" si="489"/>
        <v>1040895.63</v>
      </c>
      <c r="BE42" s="23">
        <f t="shared" si="489"/>
        <v>1037618.26</v>
      </c>
      <c r="BF42" s="23">
        <f t="shared" si="489"/>
        <v>999129.74</v>
      </c>
      <c r="BG42" s="23">
        <f t="shared" si="489"/>
        <v>1163960.6000000001</v>
      </c>
      <c r="BH42" s="23">
        <f t="shared" si="489"/>
        <v>1264335.98</v>
      </c>
      <c r="BI42" s="23">
        <f t="shared" si="489"/>
        <v>1369755.58</v>
      </c>
      <c r="BJ42" s="23">
        <f t="shared" si="489"/>
        <v>1449995.69</v>
      </c>
      <c r="BK42" s="23">
        <f t="shared" si="489"/>
        <v>1721032.94</v>
      </c>
      <c r="BL42" s="23">
        <f t="shared" si="489"/>
        <v>1666093.1400000001</v>
      </c>
      <c r="BM42" s="23">
        <f t="shared" si="489"/>
        <v>1704397.8199999998</v>
      </c>
      <c r="BN42" s="23">
        <f t="shared" si="489"/>
        <v>1857530.45</v>
      </c>
      <c r="BO42" s="23">
        <f t="shared" si="489"/>
        <v>1923780.38</v>
      </c>
      <c r="BP42" s="23">
        <f t="shared" si="489"/>
        <v>2042766.49</v>
      </c>
      <c r="BQ42" s="23">
        <f t="shared" si="489"/>
        <v>2088932.6</v>
      </c>
      <c r="BR42" s="23">
        <f t="shared" si="489"/>
        <v>2144073.37</v>
      </c>
      <c r="BS42" s="23">
        <f t="shared" si="489"/>
        <v>2074858.92</v>
      </c>
      <c r="BT42" s="23">
        <f t="shared" si="489"/>
        <v>2486070.77</v>
      </c>
      <c r="BU42" s="23">
        <f t="shared" si="489"/>
        <v>2632340.1500000004</v>
      </c>
      <c r="BV42" s="23">
        <f t="shared" si="489"/>
        <v>2503894.69</v>
      </c>
      <c r="BW42" s="23">
        <f t="shared" si="489"/>
        <v>3142352.1099999994</v>
      </c>
      <c r="BX42" s="23">
        <f t="shared" si="489"/>
        <v>3062585.14</v>
      </c>
      <c r="BY42" s="23">
        <f t="shared" si="489"/>
        <v>2517741.66</v>
      </c>
      <c r="BZ42" s="23">
        <f t="shared" si="489"/>
        <v>3073078.48</v>
      </c>
      <c r="CA42" s="23">
        <f t="shared" si="489"/>
        <v>3415066.54</v>
      </c>
      <c r="CB42" s="23">
        <f t="shared" si="489"/>
        <v>3384225.6739999996</v>
      </c>
      <c r="CC42" s="23">
        <f t="shared" si="489"/>
        <v>3528497.9299999997</v>
      </c>
      <c r="CD42" s="23">
        <f t="shared" si="489"/>
        <v>3669405.99</v>
      </c>
      <c r="CE42" s="23">
        <f t="shared" si="489"/>
        <v>3651041.2759999996</v>
      </c>
      <c r="CF42" s="23">
        <f t="shared" si="489"/>
        <v>4189473.4299999997</v>
      </c>
      <c r="CG42" s="23">
        <f t="shared" si="489"/>
        <v>4503668.8</v>
      </c>
      <c r="CH42" s="23">
        <f t="shared" si="489"/>
        <v>4035653.1159999999</v>
      </c>
      <c r="CI42" s="23">
        <f t="shared" si="489"/>
        <v>4589881.08</v>
      </c>
      <c r="CJ42" s="23">
        <f t="shared" si="489"/>
        <v>4483646.2200000007</v>
      </c>
      <c r="CK42" s="23">
        <f t="shared" si="489"/>
        <v>4619244.47</v>
      </c>
      <c r="CL42" s="23">
        <f t="shared" si="489"/>
        <v>5012833.05</v>
      </c>
      <c r="CM42" s="23">
        <f t="shared" si="489"/>
        <v>5025926.5368238259</v>
      </c>
      <c r="CN42" s="23">
        <f t="shared" si="489"/>
        <v>5331791.1061971458</v>
      </c>
      <c r="CO42" s="23">
        <f t="shared" si="489"/>
        <v>5507906.973786328</v>
      </c>
      <c r="CP42" s="23">
        <f t="shared" si="489"/>
        <v>5792283.7077236231</v>
      </c>
      <c r="CQ42" s="23">
        <f t="shared" si="489"/>
        <v>6050805.604979123</v>
      </c>
      <c r="CR42" s="23">
        <f t="shared" si="489"/>
        <v>6609073.4749735687</v>
      </c>
      <c r="CS42" s="23">
        <f t="shared" si="489"/>
        <v>6661135.6847300762</v>
      </c>
      <c r="CT42" s="23">
        <f t="shared" si="489"/>
        <v>7183145.1958282357</v>
      </c>
      <c r="CU42" s="23">
        <f t="shared" ref="CU42" si="490">CU38-CU41</f>
        <v>8275681.2128278892</v>
      </c>
      <c r="CV42" s="23">
        <f t="shared" ref="CV42" si="491">CV38-CV41</f>
        <v>8519995.7692093179</v>
      </c>
      <c r="CW42" s="23">
        <f t="shared" ref="CW42" si="492">CW38-CW41</f>
        <v>9001321.6689276919</v>
      </c>
      <c r="CX42" s="23">
        <f t="shared" ref="CX42" si="493">CX38-CX41</f>
        <v>9149906.3857469521</v>
      </c>
      <c r="CY42" s="23">
        <f t="shared" ref="CY42" si="494">CY38-CY41</f>
        <v>9548328.270548556</v>
      </c>
      <c r="CZ42" s="23">
        <f t="shared" ref="CZ42" si="495">CZ38-CZ41</f>
        <v>10087890.385543486</v>
      </c>
      <c r="DA42" s="23">
        <f t="shared" ref="DA42" si="496">DA38-DA41</f>
        <v>10223398.579933014</v>
      </c>
      <c r="DB42" s="23">
        <f t="shared" ref="DB42" si="497">DB38-DB41</f>
        <v>10568368.361905411</v>
      </c>
      <c r="DC42" s="23">
        <f t="shared" ref="DC42" si="498">DC38-DC41</f>
        <v>11173105.839805964</v>
      </c>
      <c r="DD42" s="23">
        <f t="shared" ref="DD42" si="499">DD38-DD41</f>
        <v>11382045.5048155</v>
      </c>
      <c r="DE42" s="23">
        <f t="shared" ref="DE42" si="500">DE38-DE41</f>
        <v>12053696.571901359</v>
      </c>
      <c r="DF42" s="23">
        <f t="shared" ref="DF42" si="501">DF38-DF41</f>
        <v>12818476.306527596</v>
      </c>
      <c r="DG42" s="23">
        <f t="shared" ref="DG42" si="502">DG38-DG41</f>
        <v>13032399.252666829</v>
      </c>
      <c r="DH42" s="23">
        <f t="shared" ref="DH42" si="503">DH38-DH41</f>
        <v>13408304.795236345</v>
      </c>
      <c r="DI42" s="23">
        <f t="shared" ref="DI42" si="504">DI38-DI41</f>
        <v>14136289.439386971</v>
      </c>
      <c r="DJ42" s="23">
        <f t="shared" ref="DJ42" si="505">DJ38-DJ41</f>
        <v>14387375.451952154</v>
      </c>
      <c r="DK42" s="23">
        <f t="shared" ref="DK42" si="506">DK38-DK41</f>
        <v>15011042.455833437</v>
      </c>
      <c r="DL42" s="23">
        <f t="shared" ref="DL42" si="507">DL38-DL41</f>
        <v>15843319.50075537</v>
      </c>
      <c r="DM42" s="23">
        <f t="shared" ref="DM42" si="508">DM38-DM41</f>
        <v>16040278.126334209</v>
      </c>
      <c r="DN42" s="23">
        <f t="shared" ref="DN42" si="509">DN38-DN41</f>
        <v>16553006.797355235</v>
      </c>
      <c r="DO42" s="23">
        <f t="shared" ref="DO42" si="510">DO38-DO41</f>
        <v>17452636.188772488</v>
      </c>
      <c r="DP42" s="23">
        <f t="shared" ref="DP42" si="511">DP38-DP41</f>
        <v>17713385.390460849</v>
      </c>
      <c r="DQ42" s="23">
        <f t="shared" ref="DQ42" si="512">DQ38-DQ41</f>
        <v>18664338.042508874</v>
      </c>
      <c r="DR42" s="23">
        <f t="shared" ref="DR42" si="513">DR38-DR41</f>
        <v>19755960.322517082</v>
      </c>
      <c r="DS42" s="23">
        <f t="shared" ref="DS42" si="514">DS38-DS41</f>
        <v>20079212.890566278</v>
      </c>
      <c r="DT42" s="23">
        <f t="shared" ref="DT42" si="515">DT38-DT41</f>
        <v>20632389.25159936</v>
      </c>
      <c r="DU42" s="23">
        <f t="shared" ref="DU42" si="516">DU38-DU41</f>
        <v>21703410.442948807</v>
      </c>
      <c r="DV42" s="23">
        <f t="shared" ref="DV42" si="517">DV38-DV41</f>
        <v>22073829.339318931</v>
      </c>
      <c r="DW42" s="23">
        <f t="shared" ref="DW42" si="518">DW38-DW41</f>
        <v>22991488.889731001</v>
      </c>
      <c r="DX42" s="23">
        <f t="shared" ref="DX42" si="519">DX38-DX41</f>
        <v>24216181.495590933</v>
      </c>
      <c r="DY42" s="23">
        <f t="shared" ref="DY42" si="520">DY38-DY41</f>
        <v>24507129.286054548</v>
      </c>
      <c r="DZ42" s="23">
        <f t="shared" ref="DZ42" si="521">DZ38-DZ41</f>
        <v>25261555.984021023</v>
      </c>
      <c r="EA42" s="23">
        <f t="shared" ref="EA42" si="522">EA38-EA41</f>
        <v>26585136.817427672</v>
      </c>
      <c r="EB42" s="23">
        <f t="shared" ref="EB42" si="523">EB38-EB41</f>
        <v>26969917.047785588</v>
      </c>
      <c r="EC42" s="23">
        <f t="shared" ref="EC42" si="524">EC38-EC41</f>
        <v>28368424.343972605</v>
      </c>
      <c r="ED42" s="23">
        <f t="shared" ref="ED42" si="525">ED38-ED41</f>
        <v>29974706.130217999</v>
      </c>
      <c r="EE42" s="23">
        <f t="shared" ref="EE42" si="526">EE38-EE41</f>
        <v>30449646.353682809</v>
      </c>
      <c r="EF42" s="23">
        <f t="shared" ref="EF42" si="527">EF38-EF41</f>
        <v>31249727.61442614</v>
      </c>
      <c r="EG42" s="23">
        <f t="shared" ref="EG42" si="528">EG38-EG41</f>
        <v>32798338.872182418</v>
      </c>
      <c r="EH42" s="23">
        <f t="shared" ref="EH42" si="529">EH38-EH41</f>
        <v>33335498.192286383</v>
      </c>
      <c r="EI42" s="23">
        <f t="shared" ref="EI42" si="530">EI38-EI41</f>
        <v>34662414.756839514</v>
      </c>
      <c r="EJ42" s="23">
        <f t="shared" ref="EJ42" si="531">EJ38-EJ41</f>
        <v>36433495.512627736</v>
      </c>
      <c r="EK42" s="23">
        <f t="shared" ref="EK42" si="532">EK38-EK41</f>
        <v>36856004.030943215</v>
      </c>
      <c r="EL42" s="23">
        <f t="shared" ref="EL42" si="533">EL38-EL41</f>
        <v>37946925.894206315</v>
      </c>
      <c r="EM42" s="23">
        <f t="shared" ref="EM42" si="534">EM38-EM41</f>
        <v>39860612.084835507</v>
      </c>
      <c r="EN42" s="23">
        <f t="shared" ref="EN42" si="535">EN38-EN41</f>
        <v>40418735.260345675</v>
      </c>
      <c r="EO42" s="23">
        <f t="shared" ref="EO42" si="536">EO38-EO41</f>
        <v>42440100.614650041</v>
      </c>
      <c r="EP42" s="23">
        <f t="shared" ref="EP42" si="537">EP38-EP41</f>
        <v>44762918.555638775</v>
      </c>
      <c r="EQ42" s="23">
        <f t="shared" ref="EQ42" si="538">EQ38-EQ41</f>
        <v>45463089.844487444</v>
      </c>
      <c r="ER42" s="23">
        <f t="shared" ref="ER42" si="539">ER38-ER41</f>
        <v>46613843.477258027</v>
      </c>
      <c r="ES42" s="23">
        <f t="shared" ref="ES42" si="540">ES38-ES41</f>
        <v>48828402.775155276</v>
      </c>
      <c r="ET42" s="23">
        <f t="shared" ref="ET42" si="541">ET38-ET41</f>
        <v>49608982.815425053</v>
      </c>
      <c r="EU42" s="23">
        <f t="shared" ref="EU42" si="542">EU38-EU41</f>
        <v>51509422.89946232</v>
      </c>
      <c r="EV42" s="23">
        <f t="shared" ref="EV42" si="543">EV38-EV41</f>
        <v>54042941.508993156</v>
      </c>
      <c r="EW42" s="23">
        <f t="shared" ref="EW42" si="544">EW38-EW41</f>
        <v>54662940.968335301</v>
      </c>
      <c r="EX42" s="23">
        <f t="shared" ref="EX42" si="545">EX38-EX41</f>
        <v>56229259.906200632</v>
      </c>
      <c r="EY42" s="23">
        <f t="shared" ref="EY42" si="546">EY38-EY41</f>
        <v>58966598.161041036</v>
      </c>
      <c r="EZ42" s="23">
        <f t="shared" ref="EZ42" si="547">EZ38-EZ41</f>
        <v>59781147.63309174</v>
      </c>
      <c r="FA42" s="23">
        <f t="shared" ref="FA42" si="548">FA38-FA41</f>
        <v>62671311.201160312</v>
      </c>
      <c r="FB42" s="23">
        <f t="shared" ref="FB42" si="549">FB38-FB41</f>
        <v>65995358.274834931</v>
      </c>
    </row>
    <row r="43" spans="1:158" ht="15.75" thickTop="1" x14ac:dyDescent="0.25">
      <c r="B43" s="99"/>
      <c r="D43" s="16"/>
      <c r="E43" s="16"/>
      <c r="F43" s="16"/>
      <c r="G43" s="16"/>
      <c r="H43" s="16"/>
      <c r="I43" s="55"/>
      <c r="J43" s="55"/>
      <c r="K43" s="55"/>
      <c r="L43" s="55"/>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Y43" s="16"/>
      <c r="AZ43" s="16"/>
      <c r="BA43" s="16"/>
      <c r="BB43" s="16"/>
      <c r="BC43" s="16"/>
      <c r="BD43" s="16"/>
      <c r="BE43" s="16"/>
      <c r="BF43" s="16"/>
      <c r="BG43" s="16"/>
      <c r="BH43" s="16"/>
      <c r="BI43" s="16"/>
      <c r="BJ43" s="16"/>
      <c r="BK43" s="16"/>
      <c r="BL43" s="16"/>
      <c r="BM43" s="16"/>
      <c r="BN43" s="16"/>
      <c r="BO43" s="16"/>
      <c r="BP43" s="16"/>
      <c r="BQ43" s="16"/>
      <c r="BR43" s="16"/>
      <c r="BS43" s="16"/>
      <c r="BT43" s="16"/>
      <c r="BU43" s="16"/>
      <c r="BV43" s="16"/>
      <c r="BW43" s="16"/>
      <c r="BX43" s="16"/>
      <c r="BY43" s="16"/>
      <c r="BZ43" s="16"/>
      <c r="CA43" s="16"/>
      <c r="CB43" s="16"/>
      <c r="CC43" s="16"/>
      <c r="CD43" s="16"/>
      <c r="CE43" s="16"/>
      <c r="CF43" s="16"/>
      <c r="CG43" s="16"/>
      <c r="CH43" s="16"/>
      <c r="CI43" s="16"/>
      <c r="CJ43" s="16"/>
      <c r="CK43" s="16"/>
      <c r="CL43" s="16"/>
      <c r="CM43" s="16"/>
      <c r="CN43" s="16"/>
      <c r="CO43" s="16"/>
      <c r="CP43" s="16"/>
      <c r="CQ43" s="16"/>
      <c r="CR43" s="16"/>
      <c r="CS43" s="16"/>
      <c r="CT43" s="16"/>
      <c r="CU43" s="16"/>
      <c r="CV43" s="16"/>
      <c r="CW43" s="16"/>
      <c r="CX43" s="16"/>
      <c r="CY43" s="16"/>
      <c r="CZ43" s="16"/>
      <c r="DA43" s="16"/>
      <c r="DB43" s="16"/>
      <c r="DC43" s="16"/>
      <c r="DD43" s="16"/>
      <c r="DE43" s="16"/>
      <c r="DF43" s="16"/>
      <c r="DG43" s="16"/>
      <c r="DH43" s="16"/>
      <c r="DI43" s="16"/>
      <c r="DJ43" s="16"/>
      <c r="DK43" s="16"/>
      <c r="DL43" s="16"/>
      <c r="DM43" s="16"/>
      <c r="DN43" s="16"/>
      <c r="DO43" s="16"/>
      <c r="DP43" s="16"/>
      <c r="DQ43" s="16"/>
      <c r="DR43" s="16"/>
      <c r="DS43" s="16"/>
      <c r="DT43" s="16"/>
      <c r="DU43" s="16"/>
      <c r="DV43" s="16"/>
      <c r="DW43" s="16"/>
      <c r="DX43" s="16"/>
      <c r="DY43" s="16"/>
      <c r="DZ43" s="16"/>
      <c r="EA43" s="16"/>
      <c r="EB43" s="16"/>
      <c r="EC43" s="16"/>
      <c r="ED43" s="16"/>
      <c r="EE43" s="16"/>
      <c r="EF43" s="16"/>
      <c r="EG43" s="16"/>
      <c r="EH43" s="16"/>
      <c r="EI43" s="16"/>
      <c r="EJ43" s="16"/>
      <c r="EK43" s="16"/>
      <c r="EL43" s="16"/>
      <c r="EM43" s="16"/>
      <c r="EN43" s="16"/>
      <c r="EO43" s="16"/>
      <c r="EP43" s="16"/>
      <c r="EQ43" s="16"/>
      <c r="ER43" s="16"/>
      <c r="ES43" s="16"/>
      <c r="ET43" s="16"/>
      <c r="EU43" s="16"/>
      <c r="EV43" s="16"/>
      <c r="EW43" s="16"/>
      <c r="EX43" s="16"/>
      <c r="EY43" s="16"/>
      <c r="EZ43" s="16"/>
      <c r="FA43" s="16"/>
      <c r="FB43" s="16"/>
    </row>
    <row r="44" spans="1:158" x14ac:dyDescent="0.25">
      <c r="B44" s="99"/>
      <c r="C44" s="258" t="s">
        <v>555</v>
      </c>
      <c r="D44" s="260">
        <f>D39/D38</f>
        <v>0.26838534673856246</v>
      </c>
      <c r="E44" s="260">
        <f t="shared" ref="E44:G44" si="550">E39/E38</f>
        <v>0.29143768740759507</v>
      </c>
      <c r="F44" s="260">
        <f t="shared" si="550"/>
        <v>0.23731273845784945</v>
      </c>
      <c r="G44" s="260">
        <f t="shared" si="550"/>
        <v>0.2000024713473362</v>
      </c>
      <c r="H44" s="261">
        <v>0.13930000000000001</v>
      </c>
      <c r="I44" s="261">
        <f>H44-1.15%</f>
        <v>0.1278</v>
      </c>
      <c r="J44" s="261">
        <f t="shared" ref="J44:L44" si="551">I44-1.15%</f>
        <v>0.1163</v>
      </c>
      <c r="K44" s="261">
        <f t="shared" si="551"/>
        <v>0.1048</v>
      </c>
      <c r="L44" s="261">
        <f t="shared" si="551"/>
        <v>9.3300000000000008E-2</v>
      </c>
      <c r="N44" s="260">
        <f t="shared" ref="N44:BY44" si="552">N39/N38</f>
        <v>0.248797170219617</v>
      </c>
      <c r="O44" s="260">
        <f t="shared" si="552"/>
        <v>0.24159430545876495</v>
      </c>
      <c r="P44" s="260">
        <f t="shared" si="552"/>
        <v>0.30104688114030514</v>
      </c>
      <c r="Q44" s="260">
        <f t="shared" si="552"/>
        <v>0.2701507250865845</v>
      </c>
      <c r="R44" s="260">
        <f t="shared" si="552"/>
        <v>0.27218794853546091</v>
      </c>
      <c r="S44" s="260">
        <f t="shared" si="552"/>
        <v>0.28213317237844532</v>
      </c>
      <c r="T44" s="260">
        <f t="shared" si="552"/>
        <v>0.33002644848509893</v>
      </c>
      <c r="U44" s="260">
        <f t="shared" si="552"/>
        <v>0.27649216450520697</v>
      </c>
      <c r="V44" s="260">
        <f t="shared" si="552"/>
        <v>0.25988562727467679</v>
      </c>
      <c r="W44" s="260">
        <f t="shared" si="552"/>
        <v>0.23737868082156385</v>
      </c>
      <c r="X44" s="260">
        <f t="shared" si="552"/>
        <v>0.24501582502937622</v>
      </c>
      <c r="Y44" s="260">
        <f t="shared" si="552"/>
        <v>0.21313259068558801</v>
      </c>
      <c r="Z44" s="260">
        <f t="shared" si="552"/>
        <v>0.23155099687603592</v>
      </c>
      <c r="AA44" s="260">
        <f t="shared" si="552"/>
        <v>0.19911386517932789</v>
      </c>
      <c r="AB44" s="260">
        <f t="shared" si="552"/>
        <v>0.19690481027800236</v>
      </c>
      <c r="AC44" s="260">
        <f t="shared" si="552"/>
        <v>0.18111920995570496</v>
      </c>
      <c r="AD44" s="260">
        <f t="shared" si="552"/>
        <v>0.13930000000000001</v>
      </c>
      <c r="AE44" s="260">
        <f t="shared" si="552"/>
        <v>0.13930000000000001</v>
      </c>
      <c r="AF44" s="260">
        <f t="shared" si="552"/>
        <v>0.13930000000000001</v>
      </c>
      <c r="AG44" s="260">
        <f t="shared" si="552"/>
        <v>0.13930000000000001</v>
      </c>
      <c r="AH44" s="260">
        <f t="shared" si="552"/>
        <v>0.1278</v>
      </c>
      <c r="AI44" s="260">
        <f t="shared" si="552"/>
        <v>0.1278</v>
      </c>
      <c r="AJ44" s="260">
        <f t="shared" si="552"/>
        <v>0.1278</v>
      </c>
      <c r="AK44" s="260">
        <f t="shared" si="552"/>
        <v>0.1278</v>
      </c>
      <c r="AL44" s="260">
        <f t="shared" si="552"/>
        <v>0.1163</v>
      </c>
      <c r="AM44" s="260">
        <f t="shared" si="552"/>
        <v>0.11630000000000001</v>
      </c>
      <c r="AN44" s="260">
        <f t="shared" si="552"/>
        <v>0.1163</v>
      </c>
      <c r="AO44" s="260">
        <f t="shared" si="552"/>
        <v>0.11630000000000001</v>
      </c>
      <c r="AP44" s="260">
        <f t="shared" si="552"/>
        <v>0.10479999999999999</v>
      </c>
      <c r="AQ44" s="260">
        <f t="shared" si="552"/>
        <v>0.1048</v>
      </c>
      <c r="AR44" s="260">
        <f t="shared" si="552"/>
        <v>0.10479999999999999</v>
      </c>
      <c r="AS44" s="260">
        <f t="shared" si="552"/>
        <v>0.10479999999999998</v>
      </c>
      <c r="AT44" s="260">
        <f t="shared" si="552"/>
        <v>9.3299999999999994E-2</v>
      </c>
      <c r="AU44" s="260">
        <f t="shared" si="552"/>
        <v>9.3300000000000008E-2</v>
      </c>
      <c r="AV44" s="260">
        <f t="shared" si="552"/>
        <v>9.3300000000000022E-2</v>
      </c>
      <c r="AW44" s="260">
        <f t="shared" si="552"/>
        <v>9.3300000000000008E-2</v>
      </c>
      <c r="AY44" s="260">
        <f t="shared" si="552"/>
        <v>0.25084408174713974</v>
      </c>
      <c r="AZ44" s="260">
        <f t="shared" si="552"/>
        <v>0.25691065639341504</v>
      </c>
      <c r="BA44" s="260">
        <f t="shared" si="552"/>
        <v>0.23943243452373678</v>
      </c>
      <c r="BB44" s="260">
        <f t="shared" si="552"/>
        <v>0.21541935403995</v>
      </c>
      <c r="BC44" s="260">
        <f t="shared" si="552"/>
        <v>0.27765985894655831</v>
      </c>
      <c r="BD44" s="260">
        <f t="shared" si="552"/>
        <v>0.2327140067482345</v>
      </c>
      <c r="BE44" s="260">
        <f t="shared" si="552"/>
        <v>0.28321438635731239</v>
      </c>
      <c r="BF44" s="260">
        <f t="shared" si="552"/>
        <v>0.32228981303806142</v>
      </c>
      <c r="BG44" s="260">
        <f t="shared" si="552"/>
        <v>0.2974853839314926</v>
      </c>
      <c r="BH44" s="260">
        <f t="shared" si="552"/>
        <v>0.28001006692063096</v>
      </c>
      <c r="BI44" s="260">
        <f t="shared" si="552"/>
        <v>0.2542527529799754</v>
      </c>
      <c r="BJ44" s="260">
        <f t="shared" si="552"/>
        <v>0.27587398779221023</v>
      </c>
      <c r="BK44" s="260">
        <f t="shared" si="552"/>
        <v>0.24298864593889169</v>
      </c>
      <c r="BL44" s="260">
        <f t="shared" si="552"/>
        <v>0.27493443053798944</v>
      </c>
      <c r="BM44" s="260">
        <f t="shared" si="552"/>
        <v>0.29629874318787314</v>
      </c>
      <c r="BN44" s="260">
        <f t="shared" si="552"/>
        <v>0.27508568235928499</v>
      </c>
      <c r="BO44" s="260">
        <f t="shared" si="552"/>
        <v>0.29199250515986686</v>
      </c>
      <c r="BP44" s="260">
        <f t="shared" si="552"/>
        <v>0.27913405470796954</v>
      </c>
      <c r="BQ44" s="260">
        <f t="shared" si="552"/>
        <v>0.30833650481562414</v>
      </c>
      <c r="BR44" s="260">
        <f t="shared" si="552"/>
        <v>0.31995269580726055</v>
      </c>
      <c r="BS44" s="260">
        <f t="shared" si="552"/>
        <v>0.35926196170097058</v>
      </c>
      <c r="BT44" s="260">
        <f t="shared" si="552"/>
        <v>0.28384143406757301</v>
      </c>
      <c r="BU44" s="260">
        <f t="shared" si="552"/>
        <v>0.27855448373831698</v>
      </c>
      <c r="BV44" s="260">
        <f t="shared" si="552"/>
        <v>0.26754850566444544</v>
      </c>
      <c r="BW44" s="260">
        <f t="shared" si="552"/>
        <v>0.24221803650366236</v>
      </c>
      <c r="BX44" s="260">
        <f t="shared" si="552"/>
        <v>0.27466092081235127</v>
      </c>
      <c r="BY44" s="260">
        <f t="shared" si="552"/>
        <v>0.26252732918299315</v>
      </c>
      <c r="BZ44" s="260">
        <f t="shared" ref="BZ44:CT44" si="553">BZ39/BZ38</f>
        <v>0.26249899779861635</v>
      </c>
      <c r="CA44" s="260">
        <f t="shared" si="553"/>
        <v>0.21945163946088461</v>
      </c>
      <c r="CB44" s="260">
        <f t="shared" si="553"/>
        <v>0.23069129143727179</v>
      </c>
      <c r="CC44" s="260">
        <f t="shared" si="553"/>
        <v>0.24493373876083052</v>
      </c>
      <c r="CD44" s="260">
        <f t="shared" si="553"/>
        <v>0.24519571302037835</v>
      </c>
      <c r="CE44" s="260">
        <f t="shared" si="553"/>
        <v>0.24491729567916298</v>
      </c>
      <c r="CF44" s="260">
        <f t="shared" si="553"/>
        <v>0.2164978050283477</v>
      </c>
      <c r="CG44" s="260">
        <f t="shared" si="553"/>
        <v>0.18607796328578977</v>
      </c>
      <c r="CH44" s="260">
        <f t="shared" si="553"/>
        <v>0.23620894866713435</v>
      </c>
      <c r="CI44" s="260">
        <f t="shared" si="553"/>
        <v>0.22006545181375239</v>
      </c>
      <c r="CJ44" s="260">
        <f t="shared" si="553"/>
        <v>0.2489932100637082</v>
      </c>
      <c r="CK44" s="260">
        <f t="shared" si="553"/>
        <v>0.22546823001224398</v>
      </c>
      <c r="CL44" s="260">
        <f t="shared" si="553"/>
        <v>0.20282639862975629</v>
      </c>
      <c r="CM44" s="260">
        <f t="shared" si="553"/>
        <v>0.20076331171642173</v>
      </c>
      <c r="CN44" s="260">
        <f t="shared" si="553"/>
        <v>0.19405160016704953</v>
      </c>
      <c r="CO44" s="260">
        <f t="shared" si="553"/>
        <v>0.20008974812029767</v>
      </c>
      <c r="CP44" s="260">
        <f t="shared" si="553"/>
        <v>0.19717569898592791</v>
      </c>
      <c r="CQ44" s="260">
        <f t="shared" si="553"/>
        <v>0.19368852698889702</v>
      </c>
      <c r="CR44" s="260">
        <f t="shared" si="553"/>
        <v>0.18149049960193786</v>
      </c>
      <c r="CS44" s="260">
        <f t="shared" si="553"/>
        <v>0.18510583520148274</v>
      </c>
      <c r="CT44" s="260">
        <f t="shared" si="553"/>
        <v>0.1770151518459912</v>
      </c>
      <c r="CU44" s="262">
        <f t="shared" ref="CU44:FB44" si="554">INDEX($D44:$L44,1,MATCH(CU$2,$D$2:$L$2,))</f>
        <v>0.13930000000000001</v>
      </c>
      <c r="CV44" s="262">
        <f t="shared" si="554"/>
        <v>0.13930000000000001</v>
      </c>
      <c r="CW44" s="262">
        <f t="shared" si="554"/>
        <v>0.13930000000000001</v>
      </c>
      <c r="CX44" s="262">
        <f t="shared" si="554"/>
        <v>0.13930000000000001</v>
      </c>
      <c r="CY44" s="262">
        <f t="shared" si="554"/>
        <v>0.13930000000000001</v>
      </c>
      <c r="CZ44" s="262">
        <f t="shared" si="554"/>
        <v>0.13930000000000001</v>
      </c>
      <c r="DA44" s="262">
        <f t="shared" si="554"/>
        <v>0.13930000000000001</v>
      </c>
      <c r="DB44" s="262">
        <f t="shared" si="554"/>
        <v>0.13930000000000001</v>
      </c>
      <c r="DC44" s="262">
        <f t="shared" si="554"/>
        <v>0.13930000000000001</v>
      </c>
      <c r="DD44" s="262">
        <f t="shared" si="554"/>
        <v>0.13930000000000001</v>
      </c>
      <c r="DE44" s="262">
        <f t="shared" si="554"/>
        <v>0.13930000000000001</v>
      </c>
      <c r="DF44" s="262">
        <f t="shared" si="554"/>
        <v>0.13930000000000001</v>
      </c>
      <c r="DG44" s="262">
        <f t="shared" si="554"/>
        <v>0.1278</v>
      </c>
      <c r="DH44" s="262">
        <f t="shared" si="554"/>
        <v>0.1278</v>
      </c>
      <c r="DI44" s="262">
        <f t="shared" si="554"/>
        <v>0.1278</v>
      </c>
      <c r="DJ44" s="262">
        <f t="shared" si="554"/>
        <v>0.1278</v>
      </c>
      <c r="DK44" s="262">
        <f t="shared" si="554"/>
        <v>0.1278</v>
      </c>
      <c r="DL44" s="262">
        <f t="shared" si="554"/>
        <v>0.1278</v>
      </c>
      <c r="DM44" s="262">
        <f t="shared" si="554"/>
        <v>0.1278</v>
      </c>
      <c r="DN44" s="262">
        <f t="shared" si="554"/>
        <v>0.1278</v>
      </c>
      <c r="DO44" s="262">
        <f t="shared" si="554"/>
        <v>0.1278</v>
      </c>
      <c r="DP44" s="262">
        <f t="shared" si="554"/>
        <v>0.1278</v>
      </c>
      <c r="DQ44" s="262">
        <f t="shared" si="554"/>
        <v>0.1278</v>
      </c>
      <c r="DR44" s="262">
        <f t="shared" si="554"/>
        <v>0.1278</v>
      </c>
      <c r="DS44" s="262">
        <f t="shared" si="554"/>
        <v>0.1163</v>
      </c>
      <c r="DT44" s="262">
        <f t="shared" si="554"/>
        <v>0.1163</v>
      </c>
      <c r="DU44" s="262">
        <f t="shared" si="554"/>
        <v>0.1163</v>
      </c>
      <c r="DV44" s="262">
        <f t="shared" si="554"/>
        <v>0.1163</v>
      </c>
      <c r="DW44" s="262">
        <f t="shared" si="554"/>
        <v>0.1163</v>
      </c>
      <c r="DX44" s="262">
        <f t="shared" si="554"/>
        <v>0.1163</v>
      </c>
      <c r="DY44" s="262">
        <f t="shared" si="554"/>
        <v>0.1163</v>
      </c>
      <c r="DZ44" s="262">
        <f t="shared" si="554"/>
        <v>0.1163</v>
      </c>
      <c r="EA44" s="262">
        <f t="shared" si="554"/>
        <v>0.1163</v>
      </c>
      <c r="EB44" s="262">
        <f t="shared" si="554"/>
        <v>0.1163</v>
      </c>
      <c r="EC44" s="262">
        <f t="shared" si="554"/>
        <v>0.1163</v>
      </c>
      <c r="ED44" s="262">
        <f t="shared" si="554"/>
        <v>0.1163</v>
      </c>
      <c r="EE44" s="262">
        <f t="shared" si="554"/>
        <v>0.1048</v>
      </c>
      <c r="EF44" s="262">
        <f t="shared" si="554"/>
        <v>0.1048</v>
      </c>
      <c r="EG44" s="262">
        <f t="shared" si="554"/>
        <v>0.1048</v>
      </c>
      <c r="EH44" s="262">
        <f t="shared" si="554"/>
        <v>0.1048</v>
      </c>
      <c r="EI44" s="262">
        <f t="shared" si="554"/>
        <v>0.1048</v>
      </c>
      <c r="EJ44" s="262">
        <f t="shared" si="554"/>
        <v>0.1048</v>
      </c>
      <c r="EK44" s="262">
        <f t="shared" si="554"/>
        <v>0.1048</v>
      </c>
      <c r="EL44" s="262">
        <f t="shared" si="554"/>
        <v>0.1048</v>
      </c>
      <c r="EM44" s="262">
        <f t="shared" si="554"/>
        <v>0.1048</v>
      </c>
      <c r="EN44" s="262">
        <f t="shared" si="554"/>
        <v>0.1048</v>
      </c>
      <c r="EO44" s="262">
        <f t="shared" si="554"/>
        <v>0.1048</v>
      </c>
      <c r="EP44" s="262">
        <f t="shared" si="554"/>
        <v>0.1048</v>
      </c>
      <c r="EQ44" s="262">
        <f t="shared" si="554"/>
        <v>9.3300000000000008E-2</v>
      </c>
      <c r="ER44" s="262">
        <f t="shared" si="554"/>
        <v>9.3300000000000008E-2</v>
      </c>
      <c r="ES44" s="262">
        <f t="shared" si="554"/>
        <v>9.3300000000000008E-2</v>
      </c>
      <c r="ET44" s="262">
        <f t="shared" si="554"/>
        <v>9.3300000000000008E-2</v>
      </c>
      <c r="EU44" s="262">
        <f t="shared" si="554"/>
        <v>9.3300000000000008E-2</v>
      </c>
      <c r="EV44" s="262">
        <f t="shared" si="554"/>
        <v>9.3300000000000008E-2</v>
      </c>
      <c r="EW44" s="262">
        <f t="shared" si="554"/>
        <v>9.3300000000000008E-2</v>
      </c>
      <c r="EX44" s="262">
        <f t="shared" si="554"/>
        <v>9.3300000000000008E-2</v>
      </c>
      <c r="EY44" s="262">
        <f t="shared" si="554"/>
        <v>9.3300000000000008E-2</v>
      </c>
      <c r="EZ44" s="262">
        <f t="shared" si="554"/>
        <v>9.3300000000000008E-2</v>
      </c>
      <c r="FA44" s="262">
        <f t="shared" si="554"/>
        <v>9.3300000000000008E-2</v>
      </c>
      <c r="FB44" s="262">
        <f t="shared" si="554"/>
        <v>9.3300000000000008E-2</v>
      </c>
    </row>
    <row r="45" spans="1:158" x14ac:dyDescent="0.25">
      <c r="B45" s="99"/>
      <c r="C45" s="258" t="s">
        <v>556</v>
      </c>
      <c r="D45" s="260">
        <f>D40/D38</f>
        <v>9.6803711124750794E-2</v>
      </c>
      <c r="E45" s="260">
        <f t="shared" ref="E45:L45" si="555">E40/E38</f>
        <v>9.3871048483025188E-2</v>
      </c>
      <c r="F45" s="260">
        <f t="shared" si="555"/>
        <v>0.10619499748129672</v>
      </c>
      <c r="G45" s="260">
        <f t="shared" si="555"/>
        <v>0.12582715182232113</v>
      </c>
      <c r="H45" s="260">
        <f t="shared" si="555"/>
        <v>0.11110392192881485</v>
      </c>
      <c r="I45" s="260">
        <f t="shared" si="555"/>
        <v>0.11097858424081632</v>
      </c>
      <c r="J45" s="260">
        <f t="shared" si="555"/>
        <v>0.11105897150734882</v>
      </c>
      <c r="K45" s="260">
        <f t="shared" si="555"/>
        <v>0.11113954473768409</v>
      </c>
      <c r="L45" s="260">
        <f t="shared" si="555"/>
        <v>0.10972064653368165</v>
      </c>
      <c r="N45" s="260">
        <f t="shared" ref="N45:BY45" si="556">N40/N38</f>
        <v>9.1832343100628669E-2</v>
      </c>
      <c r="O45" s="260">
        <f t="shared" si="556"/>
        <v>9.7559683043073775E-2</v>
      </c>
      <c r="P45" s="260">
        <f t="shared" si="556"/>
        <v>0.1048043372169067</v>
      </c>
      <c r="Q45" s="260">
        <f t="shared" si="556"/>
        <v>9.223906156522782E-2</v>
      </c>
      <c r="R45" s="260">
        <f t="shared" si="556"/>
        <v>8.2804738079993959E-2</v>
      </c>
      <c r="S45" s="260">
        <f t="shared" si="556"/>
        <v>9.1141667383165564E-2</v>
      </c>
      <c r="T45" s="260">
        <f t="shared" si="556"/>
        <v>9.3373459757835564E-2</v>
      </c>
      <c r="U45" s="260">
        <f t="shared" si="556"/>
        <v>0.10348275485083877</v>
      </c>
      <c r="V45" s="260">
        <f t="shared" si="556"/>
        <v>0.12076077944747894</v>
      </c>
      <c r="W45" s="260">
        <f t="shared" si="556"/>
        <v>0.10542654519848442</v>
      </c>
      <c r="X45" s="260">
        <f t="shared" si="556"/>
        <v>0.1031441824594013</v>
      </c>
      <c r="Y45" s="260">
        <f t="shared" si="556"/>
        <v>9.8471177345218278E-2</v>
      </c>
      <c r="Z45" s="260">
        <f t="shared" si="556"/>
        <v>0.11067844681232193</v>
      </c>
      <c r="AA45" s="260">
        <f t="shared" si="556"/>
        <v>0.13326746038322401</v>
      </c>
      <c r="AB45" s="260">
        <f t="shared" si="556"/>
        <v>0.13311677419442575</v>
      </c>
      <c r="AC45" s="260">
        <f t="shared" si="556"/>
        <v>0.12430804856292083</v>
      </c>
      <c r="AD45" s="260">
        <f t="shared" si="556"/>
        <v>0.11395802713050469</v>
      </c>
      <c r="AE45" s="260">
        <f t="shared" si="556"/>
        <v>0.11202186275213118</v>
      </c>
      <c r="AF45" s="260">
        <f t="shared" si="556"/>
        <v>0.11074008986930593</v>
      </c>
      <c r="AG45" s="260">
        <f t="shared" si="556"/>
        <v>0.10864816256587052</v>
      </c>
      <c r="AH45" s="260">
        <f t="shared" si="556"/>
        <v>0.11351866153141781</v>
      </c>
      <c r="AI45" s="260">
        <f t="shared" si="556"/>
        <v>0.11169460276809612</v>
      </c>
      <c r="AJ45" s="260">
        <f t="shared" si="556"/>
        <v>0.11065399174013867</v>
      </c>
      <c r="AK45" s="260">
        <f t="shared" si="556"/>
        <v>0.10884196536635767</v>
      </c>
      <c r="AL45" s="260">
        <f t="shared" si="556"/>
        <v>0.11359300972038441</v>
      </c>
      <c r="AM45" s="260">
        <f t="shared" si="556"/>
        <v>0.11177782399907681</v>
      </c>
      <c r="AN45" s="260">
        <f t="shared" si="556"/>
        <v>0.11071760488544698</v>
      </c>
      <c r="AO45" s="260">
        <f t="shared" si="556"/>
        <v>0.10891410090559858</v>
      </c>
      <c r="AP45" s="260">
        <f t="shared" si="556"/>
        <v>0.11366649169267137</v>
      </c>
      <c r="AQ45" s="260">
        <f t="shared" si="556"/>
        <v>0.11186090488895195</v>
      </c>
      <c r="AR45" s="260">
        <f t="shared" si="556"/>
        <v>0.11078159747343573</v>
      </c>
      <c r="AS45" s="260">
        <f t="shared" si="556"/>
        <v>0.10898715254831309</v>
      </c>
      <c r="AT45" s="260">
        <f t="shared" si="556"/>
        <v>0.11326916035131722</v>
      </c>
      <c r="AU45" s="260">
        <f t="shared" si="556"/>
        <v>0.11081005851528487</v>
      </c>
      <c r="AV45" s="260">
        <f t="shared" si="556"/>
        <v>0.10908430751933629</v>
      </c>
      <c r="AW45" s="260">
        <f t="shared" si="556"/>
        <v>0.10671913969645026</v>
      </c>
      <c r="AY45" s="260">
        <f t="shared" si="556"/>
        <v>9.7316999204967988E-2</v>
      </c>
      <c r="AZ45" s="260">
        <f t="shared" si="556"/>
        <v>8.8463257687395616E-2</v>
      </c>
      <c r="BA45" s="260">
        <f t="shared" si="556"/>
        <v>9.0055402835302417E-2</v>
      </c>
      <c r="BB45" s="260">
        <f t="shared" si="556"/>
        <v>9.213374400822083E-2</v>
      </c>
      <c r="BC45" s="260">
        <f t="shared" si="556"/>
        <v>9.9466555720554711E-2</v>
      </c>
      <c r="BD45" s="260">
        <f t="shared" si="556"/>
        <v>0.10085261446068546</v>
      </c>
      <c r="BE45" s="260">
        <f t="shared" si="556"/>
        <v>0.10378494665582</v>
      </c>
      <c r="BF45" s="260">
        <f t="shared" si="556"/>
        <v>0.10591664229658324</v>
      </c>
      <c r="BG45" s="260">
        <f t="shared" si="556"/>
        <v>0.1046923242463666</v>
      </c>
      <c r="BH45" s="260">
        <f t="shared" si="556"/>
        <v>9.6986019151294039E-2</v>
      </c>
      <c r="BI45" s="260">
        <f t="shared" si="556"/>
        <v>8.8393515128072475E-2</v>
      </c>
      <c r="BJ45" s="260">
        <f t="shared" si="556"/>
        <v>9.1532107726263148E-2</v>
      </c>
      <c r="BK45" s="260">
        <f t="shared" si="556"/>
        <v>7.6813875288712807E-2</v>
      </c>
      <c r="BL45" s="260">
        <f t="shared" si="556"/>
        <v>8.3015432234356007E-2</v>
      </c>
      <c r="BM45" s="260">
        <f t="shared" si="556"/>
        <v>8.8082263475441666E-2</v>
      </c>
      <c r="BN45" s="260">
        <f t="shared" si="556"/>
        <v>8.9770189302330827E-2</v>
      </c>
      <c r="BO45" s="260">
        <f t="shared" si="556"/>
        <v>8.5073666125045244E-2</v>
      </c>
      <c r="BP45" s="260">
        <f t="shared" si="556"/>
        <v>9.8077739438066802E-2</v>
      </c>
      <c r="BQ45" s="260">
        <f t="shared" si="556"/>
        <v>9.3648202790121926E-2</v>
      </c>
      <c r="BR45" s="260">
        <f t="shared" si="556"/>
        <v>8.6266729624454946E-2</v>
      </c>
      <c r="BS45" s="260">
        <f t="shared" si="556"/>
        <v>9.9813346132177599E-2</v>
      </c>
      <c r="BT45" s="260">
        <f t="shared" si="556"/>
        <v>8.7731315817412447E-2</v>
      </c>
      <c r="BU45" s="260">
        <f t="shared" si="556"/>
        <v>8.4627340161632203E-2</v>
      </c>
      <c r="BV45" s="260">
        <f t="shared" si="556"/>
        <v>0.13684511108859257</v>
      </c>
      <c r="BW45" s="260">
        <f t="shared" si="556"/>
        <v>8.0396641018663367E-2</v>
      </c>
      <c r="BX45" s="260">
        <f t="shared" si="556"/>
        <v>7.351164211252198E-2</v>
      </c>
      <c r="BY45" s="260">
        <f t="shared" si="556"/>
        <v>0.20698813788197806</v>
      </c>
      <c r="BZ45" s="260">
        <f t="shared" ref="BZ45:EK45" si="557">BZ40/BZ38</f>
        <v>0.11215206722095354</v>
      </c>
      <c r="CA45" s="260">
        <f t="shared" si="557"/>
        <v>9.328819708506747E-2</v>
      </c>
      <c r="CB45" s="260">
        <f t="shared" si="557"/>
        <v>0.11073260654784157</v>
      </c>
      <c r="CC45" s="260">
        <f t="shared" si="557"/>
        <v>9.5826590999322725E-2</v>
      </c>
      <c r="CD45" s="260">
        <f t="shared" si="557"/>
        <v>9.6485097241590767E-2</v>
      </c>
      <c r="CE45" s="260">
        <f t="shared" si="557"/>
        <v>0.11648678159864062</v>
      </c>
      <c r="CF45" s="260">
        <f t="shared" si="557"/>
        <v>8.8011693013409553E-2</v>
      </c>
      <c r="CG45" s="260">
        <f t="shared" si="557"/>
        <v>8.0792173816646426E-2</v>
      </c>
      <c r="CH45" s="260">
        <f t="shared" si="557"/>
        <v>0.12560873119841204</v>
      </c>
      <c r="CI45" s="260">
        <f t="shared" si="557"/>
        <v>9.4016216527749066E-2</v>
      </c>
      <c r="CJ45" s="260">
        <f t="shared" si="557"/>
        <v>0.1030209189927736</v>
      </c>
      <c r="CK45" s="260">
        <f t="shared" si="557"/>
        <v>0.13350413870443226</v>
      </c>
      <c r="CL45" s="260">
        <f t="shared" si="557"/>
        <v>0.1212699900802145</v>
      </c>
      <c r="CM45" s="260">
        <f t="shared" si="557"/>
        <v>0.14385427346741253</v>
      </c>
      <c r="CN45" s="260">
        <f t="shared" si="557"/>
        <v>0.13424911090248379</v>
      </c>
      <c r="CO45" s="260">
        <f t="shared" si="557"/>
        <v>0.13646763117549168</v>
      </c>
      <c r="CP45" s="260">
        <f t="shared" si="557"/>
        <v>0.1329244085905629</v>
      </c>
      <c r="CQ45" s="260">
        <f t="shared" si="557"/>
        <v>0.13019415070557469</v>
      </c>
      <c r="CR45" s="260">
        <f t="shared" si="557"/>
        <v>0.12477755060718579</v>
      </c>
      <c r="CS45" s="260">
        <f t="shared" si="557"/>
        <v>0.12588108750574029</v>
      </c>
      <c r="CT45" s="260">
        <f t="shared" si="557"/>
        <v>0.12238854739825197</v>
      </c>
      <c r="CU45" s="260">
        <f t="shared" si="557"/>
        <v>0.1156026158034362</v>
      </c>
      <c r="CV45" s="260">
        <f t="shared" si="557"/>
        <v>0.11416182680303444</v>
      </c>
      <c r="CW45" s="260">
        <f t="shared" si="557"/>
        <v>0.11224580785186192</v>
      </c>
      <c r="CX45" s="260">
        <f t="shared" si="557"/>
        <v>0.11362845526162681</v>
      </c>
      <c r="CY45" s="260">
        <f t="shared" si="557"/>
        <v>0.11189209948492568</v>
      </c>
      <c r="CZ45" s="260">
        <f t="shared" si="557"/>
        <v>0.11068192696170891</v>
      </c>
      <c r="DA45" s="260">
        <f t="shared" si="557"/>
        <v>0.11225889982251955</v>
      </c>
      <c r="DB45" s="260">
        <f t="shared" si="557"/>
        <v>0.11088447912261755</v>
      </c>
      <c r="DC45" s="260">
        <f t="shared" si="557"/>
        <v>0.10920783293394083</v>
      </c>
      <c r="DD45" s="260">
        <f t="shared" si="557"/>
        <v>0.11050950994414797</v>
      </c>
      <c r="DE45" s="260">
        <f t="shared" si="557"/>
        <v>0.1082036413893124</v>
      </c>
      <c r="DF45" s="260">
        <f t="shared" si="557"/>
        <v>0.10740700398679512</v>
      </c>
      <c r="DG45" s="260">
        <f t="shared" si="557"/>
        <v>0.11504544681354294</v>
      </c>
      <c r="DH45" s="260">
        <f t="shared" si="557"/>
        <v>0.11370891902925177</v>
      </c>
      <c r="DI45" s="260">
        <f t="shared" si="557"/>
        <v>0.11192441524176461</v>
      </c>
      <c r="DJ45" s="260">
        <f t="shared" si="557"/>
        <v>0.11319011789325795</v>
      </c>
      <c r="DK45" s="260">
        <f t="shared" si="557"/>
        <v>0.11156666476673782</v>
      </c>
      <c r="DL45" s="260">
        <f t="shared" si="557"/>
        <v>0.11045301732770652</v>
      </c>
      <c r="DM45" s="260">
        <f t="shared" si="557"/>
        <v>0.11208053769047184</v>
      </c>
      <c r="DN45" s="260">
        <f t="shared" si="557"/>
        <v>0.110788757734649</v>
      </c>
      <c r="DO45" s="260">
        <f t="shared" si="557"/>
        <v>0.10920985348886426</v>
      </c>
      <c r="DP45" s="260">
        <f t="shared" si="557"/>
        <v>0.11061584918685871</v>
      </c>
      <c r="DQ45" s="260">
        <f t="shared" si="557"/>
        <v>0.10841583492633307</v>
      </c>
      <c r="DR45" s="260">
        <f t="shared" si="557"/>
        <v>0.1076482755445702</v>
      </c>
      <c r="DS45" s="260">
        <f t="shared" si="557"/>
        <v>0.11507525829677362</v>
      </c>
      <c r="DT45" s="260">
        <f t="shared" si="557"/>
        <v>0.11377542022041735</v>
      </c>
      <c r="DU45" s="260">
        <f t="shared" si="557"/>
        <v>0.11204247670884583</v>
      </c>
      <c r="DV45" s="260">
        <f t="shared" si="557"/>
        <v>0.11323509158184931</v>
      </c>
      <c r="DW45" s="260">
        <f t="shared" si="557"/>
        <v>0.1116550459800901</v>
      </c>
      <c r="DX45" s="260">
        <f t="shared" si="557"/>
        <v>0.11056160216708512</v>
      </c>
      <c r="DY45" s="260">
        <f t="shared" si="557"/>
        <v>0.11211086589343507</v>
      </c>
      <c r="DZ45" s="260">
        <f t="shared" si="557"/>
        <v>0.11084787313285625</v>
      </c>
      <c r="EA45" s="260">
        <f t="shared" si="557"/>
        <v>0.10930454596714261</v>
      </c>
      <c r="EB45" s="260">
        <f t="shared" si="557"/>
        <v>0.11064708731786066</v>
      </c>
      <c r="EC45" s="260">
        <f t="shared" si="557"/>
        <v>0.10850186939430417</v>
      </c>
      <c r="ED45" s="260">
        <f t="shared" si="557"/>
        <v>0.10773949615001115</v>
      </c>
      <c r="EE45" s="260">
        <f t="shared" si="557"/>
        <v>0.11510450211182262</v>
      </c>
      <c r="EF45" s="260">
        <f t="shared" si="557"/>
        <v>0.11384112800119987</v>
      </c>
      <c r="EG45" s="260">
        <f t="shared" si="557"/>
        <v>0.11215966892209552</v>
      </c>
      <c r="EH45" s="260">
        <f t="shared" si="557"/>
        <v>0.11327963435183769</v>
      </c>
      <c r="EI45" s="260">
        <f t="shared" si="557"/>
        <v>0.11174339170628879</v>
      </c>
      <c r="EJ45" s="260">
        <f t="shared" si="557"/>
        <v>0.11067043442104453</v>
      </c>
      <c r="EK45" s="260">
        <f t="shared" si="557"/>
        <v>0.11214107666236454</v>
      </c>
      <c r="EL45" s="260">
        <f t="shared" ref="EL45:FB45" si="558">EL40/EL38</f>
        <v>0.11090736476153623</v>
      </c>
      <c r="EM45" s="260">
        <f t="shared" si="558"/>
        <v>0.10940023384919589</v>
      </c>
      <c r="EN45" s="260">
        <f t="shared" si="558"/>
        <v>0.11067849531284574</v>
      </c>
      <c r="EO45" s="260">
        <f t="shared" si="558"/>
        <v>0.10858895400662143</v>
      </c>
      <c r="EP45" s="260">
        <f t="shared" si="558"/>
        <v>0.10783231039065866</v>
      </c>
      <c r="EQ45" s="260">
        <f t="shared" si="558"/>
        <v>0.11489504010106198</v>
      </c>
      <c r="ER45" s="260">
        <f t="shared" si="558"/>
        <v>0.1134376511880109</v>
      </c>
      <c r="ES45" s="260">
        <f t="shared" si="558"/>
        <v>0.11158779099503345</v>
      </c>
      <c r="ET45" s="260">
        <f t="shared" si="558"/>
        <v>0.11240272757772946</v>
      </c>
      <c r="EU45" s="260">
        <f t="shared" si="558"/>
        <v>0.1107024515298945</v>
      </c>
      <c r="EV45" s="260">
        <f t="shared" si="558"/>
        <v>0.10944534110364369</v>
      </c>
      <c r="EW45" s="260">
        <f t="shared" si="558"/>
        <v>0.11060415576333377</v>
      </c>
      <c r="EX45" s="260">
        <f t="shared" si="558"/>
        <v>0.10920611189693899</v>
      </c>
      <c r="EY45" s="260">
        <f t="shared" si="558"/>
        <v>0.10755359536024242</v>
      </c>
      <c r="EZ45" s="260">
        <f t="shared" si="558"/>
        <v>0.1085395122970288</v>
      </c>
      <c r="FA45" s="260">
        <f t="shared" si="558"/>
        <v>0.10634727663218881</v>
      </c>
      <c r="FB45" s="260">
        <f t="shared" si="558"/>
        <v>0.10541726882909938</v>
      </c>
    </row>
    <row r="46" spans="1:158" s="1" customFormat="1" x14ac:dyDescent="0.25">
      <c r="B46" s="201"/>
      <c r="C46" s="259" t="s">
        <v>557</v>
      </c>
      <c r="D46" s="260">
        <f>D42/D38</f>
        <v>0.63481094213668665</v>
      </c>
      <c r="E46" s="260">
        <f t="shared" ref="E46:BP46" si="559">E42/E38</f>
        <v>0.6146912641093798</v>
      </c>
      <c r="F46" s="260">
        <f t="shared" si="559"/>
        <v>0.65649226406085359</v>
      </c>
      <c r="G46" s="260">
        <f t="shared" si="559"/>
        <v>0.67417037683034253</v>
      </c>
      <c r="H46" s="260">
        <f t="shared" si="559"/>
        <v>0.749596078071185</v>
      </c>
      <c r="I46" s="260">
        <f t="shared" si="559"/>
        <v>0.76122141575918345</v>
      </c>
      <c r="J46" s="260">
        <f t="shared" si="559"/>
        <v>0.77264102849265126</v>
      </c>
      <c r="K46" s="260">
        <f t="shared" si="559"/>
        <v>0.78406045526231594</v>
      </c>
      <c r="L46" s="260">
        <f t="shared" si="559"/>
        <v>0.79697935346631843</v>
      </c>
      <c r="N46" s="260">
        <f t="shared" si="559"/>
        <v>0.6593704866797544</v>
      </c>
      <c r="O46" s="260">
        <f t="shared" si="559"/>
        <v>0.66084601149816125</v>
      </c>
      <c r="P46" s="260">
        <f t="shared" si="559"/>
        <v>0.59414878164278817</v>
      </c>
      <c r="Q46" s="260">
        <f t="shared" si="559"/>
        <v>0.63761021334818768</v>
      </c>
      <c r="R46" s="260">
        <f t="shared" si="559"/>
        <v>0.6450073133845452</v>
      </c>
      <c r="S46" s="260">
        <f t="shared" si="559"/>
        <v>0.6267251602383892</v>
      </c>
      <c r="T46" s="260">
        <f t="shared" si="559"/>
        <v>0.57660009175706561</v>
      </c>
      <c r="U46" s="260">
        <f t="shared" si="559"/>
        <v>0.62002508064395423</v>
      </c>
      <c r="V46" s="260">
        <f t="shared" si="559"/>
        <v>0.61935359327784434</v>
      </c>
      <c r="W46" s="260">
        <f t="shared" si="559"/>
        <v>0.65719477397995163</v>
      </c>
      <c r="X46" s="260">
        <f t="shared" si="559"/>
        <v>0.65183999251122238</v>
      </c>
      <c r="Y46" s="260">
        <f t="shared" si="559"/>
        <v>0.68839623196919375</v>
      </c>
      <c r="Z46" s="260">
        <f t="shared" si="559"/>
        <v>0.65777055631164216</v>
      </c>
      <c r="AA46" s="260">
        <f t="shared" si="559"/>
        <v>0.66761867443744805</v>
      </c>
      <c r="AB46" s="260">
        <f t="shared" si="559"/>
        <v>0.66997841552757176</v>
      </c>
      <c r="AC46" s="260">
        <f t="shared" si="559"/>
        <v>0.69457274148137416</v>
      </c>
      <c r="AD46" s="260">
        <f t="shared" si="559"/>
        <v>0.7467419728694954</v>
      </c>
      <c r="AE46" s="260">
        <f t="shared" si="559"/>
        <v>0.74867813724786902</v>
      </c>
      <c r="AF46" s="260">
        <f t="shared" si="559"/>
        <v>0.74995991013069407</v>
      </c>
      <c r="AG46" s="260">
        <f t="shared" si="559"/>
        <v>0.75205183743412951</v>
      </c>
      <c r="AH46" s="260">
        <f t="shared" si="559"/>
        <v>0.7586813384685821</v>
      </c>
      <c r="AI46" s="260">
        <f t="shared" si="559"/>
        <v>0.76050539723190391</v>
      </c>
      <c r="AJ46" s="260">
        <f t="shared" si="559"/>
        <v>0.7615460082598613</v>
      </c>
      <c r="AK46" s="260">
        <f t="shared" si="559"/>
        <v>0.76335803463364227</v>
      </c>
      <c r="AL46" s="260">
        <f t="shared" si="559"/>
        <v>0.77010699027961549</v>
      </c>
      <c r="AM46" s="260">
        <f t="shared" si="559"/>
        <v>0.77192217600092328</v>
      </c>
      <c r="AN46" s="260">
        <f t="shared" si="559"/>
        <v>0.77298239511455324</v>
      </c>
      <c r="AO46" s="260">
        <f t="shared" si="559"/>
        <v>0.77478589909440143</v>
      </c>
      <c r="AP46" s="260">
        <f t="shared" si="559"/>
        <v>0.78153350830732848</v>
      </c>
      <c r="AQ46" s="260">
        <f t="shared" si="559"/>
        <v>0.78333909511104804</v>
      </c>
      <c r="AR46" s="260">
        <f t="shared" si="559"/>
        <v>0.78441840252656414</v>
      </c>
      <c r="AS46" s="260">
        <f t="shared" si="559"/>
        <v>0.78621284745168674</v>
      </c>
      <c r="AT46" s="260">
        <f t="shared" si="559"/>
        <v>0.79343083964868277</v>
      </c>
      <c r="AU46" s="260">
        <f t="shared" si="559"/>
        <v>0.79588994148471515</v>
      </c>
      <c r="AV46" s="260">
        <f t="shared" si="559"/>
        <v>0.79761569248066377</v>
      </c>
      <c r="AW46" s="260">
        <f t="shared" si="559"/>
        <v>0.79998086030354987</v>
      </c>
      <c r="AY46" s="260">
        <f t="shared" si="559"/>
        <v>0.65183891904789226</v>
      </c>
      <c r="AZ46" s="260">
        <f t="shared" si="559"/>
        <v>0.65462608591918925</v>
      </c>
      <c r="BA46" s="260">
        <f t="shared" si="559"/>
        <v>0.67051216264096081</v>
      </c>
      <c r="BB46" s="260">
        <f t="shared" si="559"/>
        <v>0.69244690195182923</v>
      </c>
      <c r="BC46" s="260">
        <f t="shared" si="559"/>
        <v>0.62287358533288695</v>
      </c>
      <c r="BD46" s="260">
        <f t="shared" si="559"/>
        <v>0.66643337879108</v>
      </c>
      <c r="BE46" s="260">
        <f t="shared" si="559"/>
        <v>0.61300066698686762</v>
      </c>
      <c r="BF46" s="260">
        <f t="shared" si="559"/>
        <v>0.57179354466535537</v>
      </c>
      <c r="BG46" s="260">
        <f t="shared" si="559"/>
        <v>0.59782229182214086</v>
      </c>
      <c r="BH46" s="260">
        <f t="shared" si="559"/>
        <v>0.62300391392807497</v>
      </c>
      <c r="BI46" s="260">
        <f t="shared" si="559"/>
        <v>0.65735373189195212</v>
      </c>
      <c r="BJ46" s="260">
        <f t="shared" si="559"/>
        <v>0.63259390448152664</v>
      </c>
      <c r="BK46" s="260">
        <f t="shared" si="559"/>
        <v>0.68019747877239545</v>
      </c>
      <c r="BL46" s="260">
        <f t="shared" si="559"/>
        <v>0.64205013722765458</v>
      </c>
      <c r="BM46" s="260">
        <f t="shared" si="559"/>
        <v>0.61561899333668513</v>
      </c>
      <c r="BN46" s="260">
        <f t="shared" si="559"/>
        <v>0.63514412833838418</v>
      </c>
      <c r="BO46" s="260">
        <f t="shared" si="559"/>
        <v>0.62293382871508785</v>
      </c>
      <c r="BP46" s="260">
        <f t="shared" si="559"/>
        <v>0.62278820585396366</v>
      </c>
      <c r="BQ46" s="260">
        <f t="shared" ref="BQ46:EB46" si="560">BQ42/BQ38</f>
        <v>0.59801529239425399</v>
      </c>
      <c r="BR46" s="260">
        <f t="shared" si="560"/>
        <v>0.59378057456828459</v>
      </c>
      <c r="BS46" s="260">
        <f t="shared" si="560"/>
        <v>0.54092469216685179</v>
      </c>
      <c r="BT46" s="260">
        <f t="shared" si="560"/>
        <v>0.62842725011501455</v>
      </c>
      <c r="BU46" s="260">
        <f t="shared" si="560"/>
        <v>0.63681817610005087</v>
      </c>
      <c r="BV46" s="260">
        <f t="shared" si="560"/>
        <v>0.59560638324696202</v>
      </c>
      <c r="BW46" s="260">
        <f t="shared" si="560"/>
        <v>0.67738532247767425</v>
      </c>
      <c r="BX46" s="260">
        <f t="shared" si="560"/>
        <v>0.6518274370751268</v>
      </c>
      <c r="BY46" s="260">
        <f t="shared" si="560"/>
        <v>0.53048453293502884</v>
      </c>
      <c r="BZ46" s="260">
        <f t="shared" si="560"/>
        <v>0.62534893498043009</v>
      </c>
      <c r="CA46" s="260">
        <f t="shared" si="560"/>
        <v>0.68726016345404795</v>
      </c>
      <c r="CB46" s="260">
        <f t="shared" si="560"/>
        <v>0.65857610201488659</v>
      </c>
      <c r="CC46" s="260">
        <f t="shared" si="560"/>
        <v>0.65923967023984675</v>
      </c>
      <c r="CD46" s="260">
        <f t="shared" si="560"/>
        <v>0.65831918973803094</v>
      </c>
      <c r="CE46" s="260">
        <f t="shared" si="560"/>
        <v>0.63859592272219634</v>
      </c>
      <c r="CF46" s="260">
        <f t="shared" si="560"/>
        <v>0.69549050195824269</v>
      </c>
      <c r="CG46" s="260">
        <f t="shared" si="560"/>
        <v>0.73312986289756377</v>
      </c>
      <c r="CH46" s="260">
        <f t="shared" si="560"/>
        <v>0.63818232013445364</v>
      </c>
      <c r="CI46" s="260">
        <f t="shared" si="560"/>
        <v>0.68591833165849858</v>
      </c>
      <c r="CJ46" s="260">
        <f t="shared" si="560"/>
        <v>0.64798587094351823</v>
      </c>
      <c r="CK46" s="260">
        <f t="shared" si="560"/>
        <v>0.64102763128332374</v>
      </c>
      <c r="CL46" s="260">
        <f t="shared" si="560"/>
        <v>0.67590361129002918</v>
      </c>
      <c r="CM46" s="260">
        <f t="shared" si="560"/>
        <v>0.65538241481616566</v>
      </c>
      <c r="CN46" s="260">
        <f t="shared" si="560"/>
        <v>0.67169928893046671</v>
      </c>
      <c r="CO46" s="260">
        <f t="shared" si="560"/>
        <v>0.66344262070421056</v>
      </c>
      <c r="CP46" s="260">
        <f t="shared" si="560"/>
        <v>0.66989989242350911</v>
      </c>
      <c r="CQ46" s="260">
        <f t="shared" si="560"/>
        <v>0.67611732230552835</v>
      </c>
      <c r="CR46" s="260">
        <f t="shared" si="560"/>
        <v>0.69373194979087627</v>
      </c>
      <c r="CS46" s="260">
        <f t="shared" si="560"/>
        <v>0.68901307729277694</v>
      </c>
      <c r="CT46" s="260">
        <f t="shared" si="560"/>
        <v>0.70059630075575685</v>
      </c>
      <c r="CU46" s="260">
        <f t="shared" si="560"/>
        <v>0.74509738419656379</v>
      </c>
      <c r="CV46" s="260">
        <f t="shared" si="560"/>
        <v>0.74653817319696558</v>
      </c>
      <c r="CW46" s="260">
        <f t="shared" si="560"/>
        <v>0.74845419214813813</v>
      </c>
      <c r="CX46" s="260">
        <f t="shared" si="560"/>
        <v>0.74707154473837323</v>
      </c>
      <c r="CY46" s="260">
        <f t="shared" si="560"/>
        <v>0.7488079005150744</v>
      </c>
      <c r="CZ46" s="260">
        <f t="shared" si="560"/>
        <v>0.75001807303829116</v>
      </c>
      <c r="DA46" s="260">
        <f t="shared" si="560"/>
        <v>0.74844110017748045</v>
      </c>
      <c r="DB46" s="260">
        <f t="shared" si="560"/>
        <v>0.74981552087738235</v>
      </c>
      <c r="DC46" s="260">
        <f t="shared" si="560"/>
        <v>0.75149216706605915</v>
      </c>
      <c r="DD46" s="260">
        <f t="shared" si="560"/>
        <v>0.75019049005585192</v>
      </c>
      <c r="DE46" s="260">
        <f t="shared" si="560"/>
        <v>0.75249635861068764</v>
      </c>
      <c r="DF46" s="260">
        <f t="shared" si="560"/>
        <v>0.75329299601320499</v>
      </c>
      <c r="DG46" s="260">
        <f t="shared" si="560"/>
        <v>0.75715455318645708</v>
      </c>
      <c r="DH46" s="260">
        <f t="shared" si="560"/>
        <v>0.75849108097074824</v>
      </c>
      <c r="DI46" s="260">
        <f t="shared" si="560"/>
        <v>0.76027558475823542</v>
      </c>
      <c r="DJ46" s="260">
        <f t="shared" si="560"/>
        <v>0.75900988210674203</v>
      </c>
      <c r="DK46" s="260">
        <f t="shared" si="560"/>
        <v>0.76063333523326215</v>
      </c>
      <c r="DL46" s="260">
        <f t="shared" si="560"/>
        <v>0.76174698267229346</v>
      </c>
      <c r="DM46" s="260">
        <f t="shared" si="560"/>
        <v>0.7601194623095282</v>
      </c>
      <c r="DN46" s="260">
        <f t="shared" si="560"/>
        <v>0.76141124226535106</v>
      </c>
      <c r="DO46" s="260">
        <f t="shared" si="560"/>
        <v>0.76299014651113573</v>
      </c>
      <c r="DP46" s="260">
        <f t="shared" si="560"/>
        <v>0.76158415081314124</v>
      </c>
      <c r="DQ46" s="260">
        <f t="shared" si="560"/>
        <v>0.76378416507366698</v>
      </c>
      <c r="DR46" s="260">
        <f t="shared" si="560"/>
        <v>0.76455172445542974</v>
      </c>
      <c r="DS46" s="260">
        <f t="shared" si="560"/>
        <v>0.76862474170322637</v>
      </c>
      <c r="DT46" s="260">
        <f t="shared" si="560"/>
        <v>0.76992457977958262</v>
      </c>
      <c r="DU46" s="260">
        <f t="shared" si="560"/>
        <v>0.77165752329115411</v>
      </c>
      <c r="DV46" s="260">
        <f t="shared" si="560"/>
        <v>0.77046490841815074</v>
      </c>
      <c r="DW46" s="260">
        <f t="shared" si="560"/>
        <v>0.77204495401990991</v>
      </c>
      <c r="DX46" s="260">
        <f t="shared" si="560"/>
        <v>0.77313839783291483</v>
      </c>
      <c r="DY46" s="260">
        <f t="shared" si="560"/>
        <v>0.77158913410656493</v>
      </c>
      <c r="DZ46" s="260">
        <f t="shared" si="560"/>
        <v>0.77285212686714377</v>
      </c>
      <c r="EA46" s="260">
        <f t="shared" si="560"/>
        <v>0.77439545403285737</v>
      </c>
      <c r="EB46" s="260">
        <f t="shared" si="560"/>
        <v>0.77305291268213938</v>
      </c>
      <c r="EC46" s="260">
        <f t="shared" ref="EC46:FB46" si="561">EC42/EC38</f>
        <v>0.77519813060569576</v>
      </c>
      <c r="ED46" s="260">
        <f t="shared" si="561"/>
        <v>0.77596050384998883</v>
      </c>
      <c r="EE46" s="260">
        <f t="shared" si="561"/>
        <v>0.78009549788817734</v>
      </c>
      <c r="EF46" s="260">
        <f t="shared" si="561"/>
        <v>0.78135887199880005</v>
      </c>
      <c r="EG46" s="260">
        <f t="shared" si="561"/>
        <v>0.78304033107790449</v>
      </c>
      <c r="EH46" s="260">
        <f t="shared" si="561"/>
        <v>0.78192036564816225</v>
      </c>
      <c r="EI46" s="260">
        <f t="shared" si="561"/>
        <v>0.78345660829371122</v>
      </c>
      <c r="EJ46" s="260">
        <f t="shared" si="561"/>
        <v>0.78452956557895548</v>
      </c>
      <c r="EK46" s="260">
        <f t="shared" si="561"/>
        <v>0.78305892333763538</v>
      </c>
      <c r="EL46" s="260">
        <f t="shared" si="561"/>
        <v>0.78429263523846371</v>
      </c>
      <c r="EM46" s="260">
        <f t="shared" si="561"/>
        <v>0.78579976615080405</v>
      </c>
      <c r="EN46" s="260">
        <f t="shared" si="561"/>
        <v>0.78452150468715431</v>
      </c>
      <c r="EO46" s="260">
        <f t="shared" si="561"/>
        <v>0.7866110459933785</v>
      </c>
      <c r="EP46" s="260">
        <f t="shared" si="561"/>
        <v>0.78736768960934134</v>
      </c>
      <c r="EQ46" s="260">
        <f t="shared" si="561"/>
        <v>0.79180495989893795</v>
      </c>
      <c r="ER46" s="260">
        <f t="shared" si="561"/>
        <v>0.7932623488119892</v>
      </c>
      <c r="ES46" s="260">
        <f t="shared" si="561"/>
        <v>0.79511220900496649</v>
      </c>
      <c r="ET46" s="260">
        <f t="shared" si="561"/>
        <v>0.79429727242227055</v>
      </c>
      <c r="EU46" s="260">
        <f t="shared" si="561"/>
        <v>0.79599754847010551</v>
      </c>
      <c r="EV46" s="260">
        <f t="shared" si="561"/>
        <v>0.79725465889635627</v>
      </c>
      <c r="EW46" s="260">
        <f t="shared" si="561"/>
        <v>0.79609584423666624</v>
      </c>
      <c r="EX46" s="260">
        <f t="shared" si="561"/>
        <v>0.79749388810306099</v>
      </c>
      <c r="EY46" s="260">
        <f t="shared" si="561"/>
        <v>0.79914640463975761</v>
      </c>
      <c r="EZ46" s="260">
        <f t="shared" si="561"/>
        <v>0.79816048770297121</v>
      </c>
      <c r="FA46" s="260">
        <f t="shared" si="561"/>
        <v>0.80035272336781116</v>
      </c>
      <c r="FB46" s="260">
        <f t="shared" si="561"/>
        <v>0.80128273117090065</v>
      </c>
    </row>
    <row r="47" spans="1:158" x14ac:dyDescent="0.25">
      <c r="B47" s="99"/>
      <c r="D47" s="260"/>
      <c r="E47" s="260"/>
      <c r="F47" s="260">
        <f t="shared" ref="F47:G47" si="562">F39/F10</f>
        <v>0.22979242993767396</v>
      </c>
      <c r="G47" s="260">
        <f t="shared" si="562"/>
        <v>0.19175537835365589</v>
      </c>
      <c r="H47" s="260">
        <f>H39/H10</f>
        <v>0.13453325333391286</v>
      </c>
      <c r="I47" s="260">
        <f t="shared" ref="I47:L47" si="563">I39/I10</f>
        <v>0.12331124620861321</v>
      </c>
      <c r="J47" s="260">
        <f t="shared" si="563"/>
        <v>0.1121410485905813</v>
      </c>
      <c r="K47" s="260">
        <f t="shared" si="563"/>
        <v>0.10098544295242924</v>
      </c>
      <c r="L47" s="260">
        <f t="shared" si="563"/>
        <v>8.9844141773661151E-2</v>
      </c>
      <c r="N47" s="260">
        <f t="shared" ref="N47:AB47" si="564">N39/N10*4</f>
        <v>0.23801737369462267</v>
      </c>
      <c r="O47" s="260">
        <f t="shared" si="564"/>
        <v>0.23696763631946685</v>
      </c>
      <c r="P47" s="260">
        <f t="shared" si="564"/>
        <v>0.294825981227269</v>
      </c>
      <c r="Q47" s="260">
        <f t="shared" si="564"/>
        <v>0.25397094231846101</v>
      </c>
      <c r="R47" s="260">
        <f t="shared" si="564"/>
        <v>0.26377375484279925</v>
      </c>
      <c r="S47" s="260">
        <f t="shared" si="564"/>
        <v>0.27089988228095935</v>
      </c>
      <c r="T47" s="260">
        <f t="shared" si="564"/>
        <v>0.3234400299939969</v>
      </c>
      <c r="U47" s="260">
        <f t="shared" si="564"/>
        <v>0.26753756083122759</v>
      </c>
      <c r="V47" s="260">
        <f t="shared" si="564"/>
        <v>0.25471489747183884</v>
      </c>
      <c r="W47" s="260">
        <f t="shared" si="564"/>
        <v>0.22914599881132178</v>
      </c>
      <c r="X47" s="260">
        <f t="shared" si="564"/>
        <v>0.23656882490056552</v>
      </c>
      <c r="Y47" s="260">
        <f t="shared" si="564"/>
        <v>0.2055461913866915</v>
      </c>
      <c r="Z47" s="260">
        <f t="shared" si="564"/>
        <v>0.2269084316383207</v>
      </c>
      <c r="AA47" s="260">
        <f t="shared" si="564"/>
        <v>0.19382416450358053</v>
      </c>
      <c r="AB47" s="260">
        <f t="shared" si="564"/>
        <v>0.18786685701467162</v>
      </c>
      <c r="AC47" s="260">
        <f>AC39/AC10*4</f>
        <v>0.16978578548300829</v>
      </c>
      <c r="AD47" s="260">
        <f t="shared" ref="AD47:AW47" si="565">AD39/AD10*4</f>
        <v>0.13407890297208105</v>
      </c>
      <c r="AE47" s="260">
        <f t="shared" si="565"/>
        <v>0.1345473164525017</v>
      </c>
      <c r="AF47" s="260">
        <f t="shared" si="565"/>
        <v>0.13428977476647527</v>
      </c>
      <c r="AG47" s="260">
        <f t="shared" si="565"/>
        <v>0.13506650334751807</v>
      </c>
      <c r="AH47" s="260">
        <f t="shared" si="565"/>
        <v>0.12296734678029306</v>
      </c>
      <c r="AI47" s="260">
        <f t="shared" si="565"/>
        <v>0.12344215823085984</v>
      </c>
      <c r="AJ47" s="260">
        <f t="shared" si="565"/>
        <v>0.1230981358995038</v>
      </c>
      <c r="AK47" s="260">
        <f t="shared" si="565"/>
        <v>0.12364797366489376</v>
      </c>
      <c r="AL47" s="260">
        <f t="shared" si="565"/>
        <v>0.11182936358832175</v>
      </c>
      <c r="AM47" s="260">
        <f t="shared" si="565"/>
        <v>0.11225112764737925</v>
      </c>
      <c r="AN47" s="260">
        <f t="shared" si="565"/>
        <v>0.11195721038988223</v>
      </c>
      <c r="AO47" s="260">
        <f t="shared" si="565"/>
        <v>0.11244748690474163</v>
      </c>
      <c r="AP47" s="260">
        <f t="shared" si="565"/>
        <v>0.10070663556570109</v>
      </c>
      <c r="AQ47" s="260">
        <f t="shared" si="565"/>
        <v>0.10107678193554266</v>
      </c>
      <c r="AR47" s="260">
        <f t="shared" si="565"/>
        <v>0.10082866814682645</v>
      </c>
      <c r="AS47" s="260">
        <f t="shared" si="565"/>
        <v>0.10126089680545966</v>
      </c>
      <c r="AT47" s="260">
        <f t="shared" si="565"/>
        <v>8.9598553825263369E-2</v>
      </c>
      <c r="AU47" s="260">
        <f t="shared" si="565"/>
        <v>8.9918713656440663E-2</v>
      </c>
      <c r="AV47" s="260">
        <f t="shared" si="565"/>
        <v>8.9712345526451687E-2</v>
      </c>
      <c r="AW47" s="260">
        <f t="shared" si="565"/>
        <v>9.0088114287792689E-2</v>
      </c>
      <c r="AY47" s="16"/>
      <c r="AZ47" s="16"/>
      <c r="BA47" s="16"/>
      <c r="BB47" s="16"/>
      <c r="BC47" s="16"/>
      <c r="BD47" s="16"/>
      <c r="BE47" s="16"/>
      <c r="BF47" s="16"/>
      <c r="BG47" s="16"/>
      <c r="BH47" s="16"/>
      <c r="BI47" s="16"/>
      <c r="BJ47" s="16"/>
      <c r="BK47" s="16"/>
      <c r="BL47" s="16"/>
      <c r="BM47" s="16"/>
      <c r="BN47" s="16"/>
      <c r="BO47" s="16"/>
      <c r="BP47" s="16"/>
      <c r="BQ47" s="16"/>
      <c r="BR47" s="16"/>
      <c r="BS47" s="16"/>
      <c r="BT47" s="16"/>
      <c r="BU47" s="16"/>
      <c r="BV47" s="16"/>
      <c r="BW47" s="16"/>
      <c r="BX47" s="16"/>
      <c r="BY47" s="16"/>
      <c r="BZ47" s="16"/>
      <c r="CA47" s="16"/>
      <c r="CB47" s="16"/>
      <c r="CC47" s="16"/>
      <c r="CD47" s="16"/>
      <c r="CE47" s="16"/>
      <c r="CF47" s="16"/>
      <c r="CG47" s="16"/>
      <c r="CH47" s="16"/>
      <c r="CI47" s="16"/>
      <c r="CJ47" s="16"/>
      <c r="CK47" s="16"/>
      <c r="CL47" s="16"/>
      <c r="CM47" s="16"/>
      <c r="CN47" s="16"/>
      <c r="CO47" s="16"/>
      <c r="CP47" s="16"/>
      <c r="CQ47" s="16"/>
      <c r="CR47" s="16"/>
      <c r="CS47" s="16"/>
      <c r="CT47" s="16"/>
      <c r="CU47" s="16"/>
      <c r="CV47" s="16"/>
      <c r="CW47" s="16"/>
      <c r="CX47" s="16"/>
      <c r="CY47" s="16"/>
      <c r="CZ47" s="16"/>
      <c r="DA47" s="16"/>
      <c r="DB47" s="16"/>
      <c r="DC47" s="16"/>
      <c r="DD47" s="16"/>
      <c r="DE47" s="16"/>
      <c r="DF47" s="16"/>
      <c r="DG47" s="16"/>
      <c r="DH47" s="16"/>
      <c r="DI47" s="16"/>
      <c r="DJ47" s="16"/>
      <c r="DK47" s="16"/>
      <c r="DL47" s="16"/>
      <c r="DM47" s="16"/>
      <c r="DN47" s="16"/>
      <c r="DO47" s="16"/>
      <c r="DP47" s="16"/>
      <c r="DQ47" s="16"/>
      <c r="DR47" s="16"/>
      <c r="DS47" s="16"/>
      <c r="DT47" s="16"/>
      <c r="DU47" s="16"/>
      <c r="DV47" s="16"/>
      <c r="DW47" s="16"/>
      <c r="DX47" s="16"/>
      <c r="DY47" s="16"/>
      <c r="DZ47" s="16"/>
      <c r="EA47" s="16"/>
      <c r="EB47" s="16"/>
      <c r="EC47" s="16"/>
      <c r="ED47" s="16"/>
      <c r="EE47" s="16"/>
      <c r="EF47" s="16"/>
      <c r="EG47" s="16"/>
      <c r="EH47" s="16"/>
      <c r="EI47" s="16"/>
      <c r="EJ47" s="16"/>
      <c r="EK47" s="16"/>
      <c r="EL47" s="16"/>
      <c r="EM47" s="16"/>
      <c r="EN47" s="16"/>
      <c r="EO47" s="16"/>
      <c r="EP47" s="16"/>
      <c r="EQ47" s="16"/>
      <c r="ER47" s="16"/>
      <c r="ES47" s="16"/>
      <c r="ET47" s="16"/>
      <c r="EU47" s="16"/>
      <c r="EV47" s="16"/>
      <c r="EW47" s="16"/>
      <c r="EX47" s="16"/>
      <c r="EY47" s="16"/>
      <c r="EZ47" s="16"/>
      <c r="FA47" s="16"/>
      <c r="FB47" s="16"/>
    </row>
    <row r="48" spans="1:158" x14ac:dyDescent="0.25">
      <c r="B48" s="99"/>
      <c r="C48" s="3" t="s">
        <v>12</v>
      </c>
      <c r="D48" s="4"/>
      <c r="E48" s="4"/>
      <c r="F48" s="4"/>
      <c r="G48" s="4"/>
      <c r="H48" s="4"/>
      <c r="I48" s="4"/>
      <c r="J48" s="4"/>
      <c r="K48" s="4"/>
      <c r="L48" s="4"/>
      <c r="M48" s="3"/>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3"/>
      <c r="AY48" s="4"/>
      <c r="AZ48" s="4"/>
      <c r="BA48" s="4"/>
      <c r="BB48" s="4"/>
      <c r="BC48" s="4"/>
      <c r="BD48" s="4"/>
      <c r="BE48" s="4"/>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c r="EC48" s="4"/>
      <c r="ED48" s="4"/>
      <c r="EE48" s="4"/>
      <c r="EF48" s="4"/>
      <c r="EG48" s="4"/>
      <c r="EH48" s="4"/>
      <c r="EI48" s="4"/>
      <c r="EJ48" s="4"/>
      <c r="EK48" s="4"/>
      <c r="EL48" s="4"/>
      <c r="EM48" s="4"/>
      <c r="EN48" s="4"/>
      <c r="EO48" s="4"/>
      <c r="EP48" s="4"/>
      <c r="EQ48" s="4"/>
      <c r="ER48" s="4"/>
      <c r="ES48" s="4"/>
      <c r="ET48" s="4"/>
      <c r="EU48" s="4"/>
      <c r="EV48" s="4"/>
      <c r="EW48" s="4"/>
      <c r="EX48" s="4"/>
      <c r="EY48" s="4"/>
      <c r="EZ48" s="4"/>
      <c r="FA48" s="4"/>
      <c r="FB48" s="4"/>
    </row>
    <row r="49" spans="2:158" x14ac:dyDescent="0.25">
      <c r="B49" s="99"/>
      <c r="D49" s="16"/>
      <c r="E49" s="16"/>
      <c r="F49" s="16"/>
      <c r="G49" s="16"/>
      <c r="H49" s="16"/>
      <c r="I49" s="55"/>
      <c r="J49" s="55"/>
      <c r="K49" s="55"/>
      <c r="L49" s="55"/>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Y49" s="16"/>
      <c r="AZ49" s="16"/>
      <c r="BA49" s="16"/>
      <c r="BB49" s="16"/>
      <c r="BC49" s="16"/>
      <c r="BD49" s="16"/>
      <c r="BE49" s="16"/>
      <c r="BF49" s="16"/>
      <c r="BG49" s="16"/>
      <c r="BH49" s="16"/>
      <c r="BI49" s="16"/>
      <c r="BJ49" s="16"/>
      <c r="BK49" s="16"/>
      <c r="BL49" s="16"/>
      <c r="BM49" s="16"/>
      <c r="BN49" s="16"/>
      <c r="BO49" s="16"/>
      <c r="BP49" s="16"/>
      <c r="BQ49" s="16"/>
      <c r="BR49" s="16"/>
      <c r="BS49" s="16"/>
      <c r="BT49" s="16"/>
      <c r="BU49" s="16"/>
      <c r="BV49" s="16"/>
      <c r="BW49" s="16"/>
      <c r="BX49" s="16"/>
      <c r="BY49" s="16"/>
      <c r="BZ49" s="16"/>
      <c r="CA49" s="16"/>
      <c r="CB49" s="16"/>
      <c r="CC49" s="16"/>
      <c r="CD49" s="16"/>
      <c r="CE49" s="16"/>
      <c r="CF49" s="16"/>
      <c r="CG49" s="16"/>
      <c r="CH49" s="16"/>
      <c r="CI49" s="16"/>
      <c r="CJ49" s="16"/>
      <c r="CK49" s="16"/>
      <c r="CL49" s="16"/>
      <c r="CM49" s="16"/>
      <c r="CN49" s="16"/>
      <c r="CO49" s="16"/>
      <c r="CP49" s="16"/>
      <c r="CQ49" s="16"/>
      <c r="CR49" s="16"/>
      <c r="CS49" s="16"/>
      <c r="CT49" s="16"/>
      <c r="CU49" s="16"/>
      <c r="CV49" s="16"/>
      <c r="CW49" s="16"/>
      <c r="CX49" s="16"/>
      <c r="CY49" s="16"/>
      <c r="CZ49" s="16"/>
      <c r="DA49" s="16"/>
      <c r="DB49" s="16"/>
      <c r="DC49" s="16"/>
      <c r="DD49" s="16"/>
      <c r="DE49" s="16"/>
      <c r="DF49" s="16"/>
      <c r="DG49" s="16"/>
      <c r="DH49" s="16"/>
      <c r="DI49" s="16"/>
      <c r="DJ49" s="16"/>
      <c r="DK49" s="16"/>
      <c r="DL49" s="16"/>
      <c r="DM49" s="16"/>
      <c r="DN49" s="16"/>
      <c r="DO49" s="16"/>
      <c r="DP49" s="16"/>
      <c r="DQ49" s="16"/>
      <c r="DR49" s="16"/>
      <c r="DS49" s="16"/>
      <c r="DT49" s="16"/>
      <c r="DU49" s="16"/>
      <c r="DV49" s="16"/>
      <c r="DW49" s="16"/>
      <c r="DX49" s="16"/>
      <c r="DY49" s="16"/>
      <c r="DZ49" s="16"/>
      <c r="EA49" s="16"/>
      <c r="EB49" s="16"/>
      <c r="EC49" s="16"/>
      <c r="ED49" s="16"/>
      <c r="EE49" s="16"/>
      <c r="EF49" s="16"/>
      <c r="EG49" s="16"/>
      <c r="EH49" s="16"/>
      <c r="EI49" s="16"/>
      <c r="EJ49" s="16"/>
      <c r="EK49" s="16"/>
      <c r="EL49" s="16"/>
      <c r="EM49" s="16"/>
      <c r="EN49" s="16"/>
      <c r="EO49" s="16"/>
      <c r="EP49" s="16"/>
      <c r="EQ49" s="16"/>
      <c r="ER49" s="16"/>
      <c r="ES49" s="16"/>
      <c r="ET49" s="16"/>
      <c r="EU49" s="16"/>
      <c r="EV49" s="16"/>
      <c r="EW49" s="16"/>
      <c r="EX49" s="16"/>
      <c r="EY49" s="16"/>
      <c r="EZ49" s="16"/>
      <c r="FA49" s="16"/>
      <c r="FB49" s="16"/>
    </row>
    <row r="50" spans="2:158" s="99" customFormat="1" x14ac:dyDescent="0.25">
      <c r="C50" s="1" t="s">
        <v>10</v>
      </c>
      <c r="D50" s="53"/>
      <c r="E50" s="53"/>
      <c r="F50" s="53"/>
      <c r="G50" s="53"/>
      <c r="H50" s="53"/>
      <c r="I50" s="53"/>
      <c r="J50" s="53"/>
      <c r="K50" s="53"/>
      <c r="L50" s="53"/>
      <c r="M50" s="201"/>
      <c r="N50" s="53"/>
      <c r="O50" s="53"/>
      <c r="P50" s="53"/>
      <c r="Q50" s="53"/>
      <c r="R50" s="53"/>
      <c r="S50" s="53"/>
      <c r="T50" s="53"/>
      <c r="U50" s="53"/>
      <c r="V50" s="53"/>
      <c r="W50" s="53"/>
      <c r="X50" s="53"/>
      <c r="Y50" s="53"/>
      <c r="Z50" s="53"/>
      <c r="AA50" s="53"/>
      <c r="AB50" s="53"/>
      <c r="AC50" s="53"/>
      <c r="AD50" s="53"/>
      <c r="AE50" s="53"/>
      <c r="AF50" s="53"/>
      <c r="AG50" s="53"/>
      <c r="AH50" s="53"/>
      <c r="AI50" s="53"/>
      <c r="AJ50" s="53"/>
      <c r="AK50" s="53"/>
      <c r="AL50" s="53"/>
      <c r="AM50" s="53"/>
      <c r="AN50" s="53"/>
      <c r="AO50" s="53"/>
      <c r="AP50" s="53"/>
      <c r="AQ50" s="53"/>
      <c r="AR50" s="53"/>
      <c r="AS50" s="53"/>
      <c r="AT50" s="53"/>
      <c r="AU50" s="53"/>
      <c r="AV50" s="53"/>
      <c r="AW50" s="53"/>
      <c r="AX50" s="201"/>
      <c r="AY50" s="202"/>
      <c r="AZ50" s="53"/>
      <c r="BA50" s="53"/>
      <c r="BB50" s="53"/>
      <c r="BC50" s="53"/>
      <c r="BD50" s="53"/>
      <c r="BE50" s="53"/>
      <c r="BF50" s="53"/>
      <c r="BG50" s="53"/>
      <c r="BH50" s="53"/>
      <c r="BI50" s="53"/>
      <c r="BJ50" s="53"/>
      <c r="BK50" s="53"/>
      <c r="BL50" s="53"/>
      <c r="BM50" s="53"/>
      <c r="BN50" s="53"/>
      <c r="BO50" s="53"/>
      <c r="BP50" s="53"/>
      <c r="BQ50" s="53"/>
      <c r="BR50" s="53"/>
      <c r="BS50" s="53"/>
      <c r="BT50" s="53"/>
      <c r="BU50" s="53"/>
      <c r="BV50" s="53"/>
      <c r="BW50" s="53"/>
      <c r="BX50" s="53"/>
      <c r="BY50" s="53"/>
      <c r="BZ50" s="53"/>
      <c r="CA50" s="53"/>
      <c r="CB50" s="53"/>
      <c r="CC50" s="53"/>
      <c r="CD50" s="53"/>
      <c r="CE50" s="53"/>
      <c r="CF50" s="53"/>
      <c r="CG50" s="53"/>
      <c r="CH50" s="53"/>
      <c r="CI50" s="53"/>
      <c r="CJ50" s="53"/>
      <c r="CK50" s="53"/>
      <c r="CL50" s="53"/>
      <c r="CM50" s="53"/>
      <c r="CN50" s="53"/>
      <c r="CO50" s="53"/>
      <c r="CP50" s="53"/>
      <c r="CQ50" s="53"/>
      <c r="CR50" s="53"/>
      <c r="CS50" s="53"/>
      <c r="CT50" s="53"/>
      <c r="CU50" s="202"/>
      <c r="CV50" s="202"/>
      <c r="CW50" s="202"/>
      <c r="CX50" s="202"/>
      <c r="CY50" s="202"/>
      <c r="CZ50" s="202"/>
      <c r="DA50" s="202"/>
      <c r="DB50" s="202"/>
      <c r="DC50" s="202"/>
      <c r="DD50" s="202"/>
      <c r="DE50" s="202"/>
      <c r="DF50" s="202"/>
      <c r="DG50" s="202"/>
      <c r="DH50" s="202"/>
      <c r="DI50" s="202"/>
      <c r="DJ50" s="202"/>
      <c r="DK50" s="202"/>
      <c r="DL50" s="202"/>
      <c r="DM50" s="202"/>
      <c r="DN50" s="202"/>
      <c r="DO50" s="202"/>
      <c r="DP50" s="202"/>
      <c r="DQ50" s="202"/>
      <c r="DR50" s="202"/>
      <c r="DS50" s="202"/>
      <c r="DT50" s="202"/>
      <c r="DU50" s="202"/>
      <c r="DV50" s="202"/>
      <c r="DW50" s="202"/>
      <c r="DX50" s="202"/>
      <c r="DY50" s="202"/>
      <c r="DZ50" s="202"/>
      <c r="EA50" s="202"/>
      <c r="EB50" s="202"/>
      <c r="EC50" s="202"/>
      <c r="ED50" s="202"/>
      <c r="EE50" s="202"/>
      <c r="EF50" s="202"/>
      <c r="EG50" s="202"/>
      <c r="EH50" s="202"/>
      <c r="EI50" s="202"/>
      <c r="EJ50" s="202"/>
      <c r="EK50" s="202"/>
      <c r="EL50" s="202"/>
      <c r="EM50" s="202"/>
      <c r="EN50" s="202"/>
      <c r="EO50" s="202"/>
      <c r="EP50" s="202"/>
      <c r="EQ50" s="202"/>
      <c r="ER50" s="202"/>
      <c r="ES50" s="202"/>
      <c r="ET50" s="202"/>
      <c r="EU50" s="202"/>
      <c r="EV50" s="202"/>
      <c r="EW50" s="202"/>
      <c r="EX50" s="202"/>
      <c r="EY50" s="202"/>
      <c r="EZ50" s="202"/>
      <c r="FA50" s="202"/>
      <c r="FB50" s="202"/>
    </row>
    <row r="51" spans="2:158" s="99" customFormat="1" x14ac:dyDescent="0.25">
      <c r="C51" s="2" t="s">
        <v>349</v>
      </c>
      <c r="D51" s="50">
        <f t="shared" ref="D51:L52" si="566">SUMIF($AY$2:$FB$2,D$2,$AY51:$FB51)</f>
        <v>12397263.15</v>
      </c>
      <c r="E51" s="50">
        <f t="shared" si="566"/>
        <v>20158502.050000001</v>
      </c>
      <c r="F51" s="50">
        <f t="shared" si="566"/>
        <v>27843847.809999995</v>
      </c>
      <c r="G51" s="50">
        <f t="shared" si="566"/>
        <v>50879949.756394848</v>
      </c>
      <c r="H51" s="50">
        <f t="shared" si="566"/>
        <v>73117963.866172045</v>
      </c>
      <c r="I51" s="50">
        <f>SUMIF($AY$2:$FB$2,I$2,$AY51:$FB51)</f>
        <v>102946769.57975814</v>
      </c>
      <c r="J51" s="50">
        <f t="shared" si="566"/>
        <v>136292571.03059286</v>
      </c>
      <c r="K51" s="50">
        <f t="shared" si="566"/>
        <v>177328486.43871707</v>
      </c>
      <c r="L51" s="50">
        <f t="shared" si="566"/>
        <v>260672875.06491408</v>
      </c>
      <c r="M51" s="201"/>
      <c r="N51" s="68">
        <f t="shared" ref="N51:N52" si="567">SUM(AY51:BA51)</f>
        <v>2163321.58</v>
      </c>
      <c r="O51" s="68">
        <f t="shared" ref="O51:O52" si="568">SUM(BB51:BD51)</f>
        <v>2654220.88</v>
      </c>
      <c r="P51" s="68">
        <f t="shared" ref="P51:P52" si="569">SUM(BE51:BG51)</f>
        <v>2894951</v>
      </c>
      <c r="Q51" s="68">
        <f t="shared" ref="Q51:Q52" si="570">SUM(BH51:BJ51)</f>
        <v>4684769.6899999995</v>
      </c>
      <c r="R51" s="68">
        <f t="shared" ref="R51:R52" si="571">SUM(BK51:BM51)</f>
        <v>4118569.48</v>
      </c>
      <c r="S51" s="68">
        <f t="shared" ref="S51:S52" si="572">SUM(BN51:BP51)</f>
        <v>5156282.22</v>
      </c>
      <c r="T51" s="68">
        <f t="shared" ref="T51:T52" si="573">SUM(BQ51:BS51)</f>
        <v>4860305.6099999994</v>
      </c>
      <c r="U51" s="68">
        <f t="shared" ref="U51:U52" si="574">SUM(BT51:BV51)</f>
        <v>6023344.7400000002</v>
      </c>
      <c r="V51" s="68">
        <f t="shared" ref="V51:V52" si="575">SUM(BW51:BY51)</f>
        <v>6038110.629999999</v>
      </c>
      <c r="W51" s="68">
        <f t="shared" ref="W51:W52" si="576">SUM(BZ51:CB51)</f>
        <v>7062436.1500000004</v>
      </c>
      <c r="X51" s="68">
        <f t="shared" ref="X51:X52" si="577">SUM(CC51:CE51)</f>
        <v>6837765.9100000001</v>
      </c>
      <c r="Y51" s="68">
        <f t="shared" ref="Y51:Y52" si="578">SUM(CF51:CH51)</f>
        <v>7905535.1200000001</v>
      </c>
      <c r="Z51" s="68">
        <f t="shared" ref="Z51:Z52" si="579">SUM(CI51:CK51)</f>
        <v>9170419.290000001</v>
      </c>
      <c r="AA51" s="68">
        <f t="shared" ref="AA51:AA52" si="580">SUM(CL51:CN51)</f>
        <v>12224961.243233886</v>
      </c>
      <c r="AB51" s="68">
        <f t="shared" ref="AB51:AB52" si="581">SUM(CO51:CQ51)</f>
        <v>13802269.116624666</v>
      </c>
      <c r="AC51" s="68">
        <f t="shared" ref="AC51:AC52" si="582">SUM(CR51:CT51)</f>
        <v>15682300.106536292</v>
      </c>
      <c r="AD51" s="68">
        <f t="shared" ref="AD51:AD52" si="583">SUM(CU51:CW51)</f>
        <v>17400868.790754709</v>
      </c>
      <c r="AE51" s="68">
        <f t="shared" ref="AE51:AE52" si="584">SUM(CX51:CZ51)</f>
        <v>18059835.422595933</v>
      </c>
      <c r="AF51" s="68">
        <f t="shared" ref="AF51:AF52" si="585">SUM(DA51:DC51)</f>
        <v>18499146.510490082</v>
      </c>
      <c r="AG51" s="68">
        <f t="shared" ref="AG51:AG52" si="586">SUM(DD51:DF51)</f>
        <v>19158113.14233131</v>
      </c>
      <c r="AH51" s="68">
        <f t="shared" ref="AH51:AH52" si="587">SUM(DG51:DI51)</f>
        <v>22143335.545374714</v>
      </c>
      <c r="AI51" s="68">
        <f t="shared" ref="AI51:AI52" si="588">SUM(DJ51:DL51)</f>
        <v>24838353.182548329</v>
      </c>
      <c r="AJ51" s="68">
        <f t="shared" ref="AJ51:AJ52" si="589">SUM(DM51:DO51)</f>
        <v>26635031.607330739</v>
      </c>
      <c r="AK51" s="68">
        <f t="shared" ref="AK51:AK52" si="590">SUM(DP51:DR51)</f>
        <v>29330049.244504355</v>
      </c>
      <c r="AL51" s="68">
        <f t="shared" ref="AL51:AL52" si="591">SUM(DS51:DU51)</f>
        <v>32517586.172376297</v>
      </c>
      <c r="AM51" s="68">
        <f t="shared" ref="AM51:AM52" si="592">SUM(DV51:DX51)</f>
        <v>33684253.611330241</v>
      </c>
      <c r="AN51" s="68">
        <f t="shared" ref="AN51:AN52" si="593">SUM(DY51:EA51)</f>
        <v>34462031.903966188</v>
      </c>
      <c r="AO51" s="68">
        <f t="shared" ref="AO51:AO52" si="594">SUM(EB51:ED51)</f>
        <v>35628699.342920132</v>
      </c>
      <c r="AP51" s="68">
        <f t="shared" ref="AP51:AP52" si="595">SUM(EE51:EG51)</f>
        <v>39989685.812359765</v>
      </c>
      <c r="AQ51" s="68">
        <f t="shared" ref="AQ51:AQ52" si="596">SUM(EH51:EJ51)</f>
        <v>43246512.660349384</v>
      </c>
      <c r="AR51" s="68">
        <f t="shared" ref="AR51:AR52" si="597">SUM(EK51:EM51)</f>
        <v>45417730.55900915</v>
      </c>
      <c r="AS51" s="68">
        <f t="shared" ref="AS51:AS52" si="598">SUM(EN51:EP51)</f>
        <v>48674557.406998776</v>
      </c>
      <c r="AT51" s="68">
        <f t="shared" ref="AT51:AT52" si="599">SUM(EQ51:ES51)</f>
        <v>56554856.038172901</v>
      </c>
      <c r="AU51" s="68">
        <f t="shared" ref="AU51:AU52" si="600">SUM(ET51:EV51)</f>
        <v>63014878.084214613</v>
      </c>
      <c r="AV51" s="68">
        <f t="shared" ref="AV51:AV52" si="601">SUM(EW51:EY51)</f>
        <v>67321559.448242426</v>
      </c>
      <c r="AW51" s="68">
        <f t="shared" ref="AW51:AW52" si="602">SUM(EZ51:FB51)</f>
        <v>73781581.494284153</v>
      </c>
      <c r="AX51" s="201"/>
      <c r="AY51" s="30">
        <f>'Expense Details'!H11+'Expense Details'!H25</f>
        <v>482108.71</v>
      </c>
      <c r="AZ51" s="30">
        <f>'Expense Details'!I11+'Expense Details'!I25</f>
        <v>639575.56000000006</v>
      </c>
      <c r="BA51" s="30">
        <f>'Expense Details'!J11+'Expense Details'!J25</f>
        <v>1041637.31</v>
      </c>
      <c r="BB51" s="30">
        <f>'Expense Details'!K11+'Expense Details'!K25</f>
        <v>603073.87000000011</v>
      </c>
      <c r="BC51" s="30">
        <f>'Expense Details'!L11+'Expense Details'!L25</f>
        <v>891640.32999999984</v>
      </c>
      <c r="BD51" s="30">
        <f>'Expense Details'!M11+'Expense Details'!M25</f>
        <v>1159506.6799999997</v>
      </c>
      <c r="BE51" s="30">
        <f>'Expense Details'!N11+'Expense Details'!N25</f>
        <v>811161.20000000007</v>
      </c>
      <c r="BF51" s="30">
        <f>'Expense Details'!O11+'Expense Details'!O25</f>
        <v>780781.55000000016</v>
      </c>
      <c r="BG51" s="30">
        <f>'Expense Details'!P11+'Expense Details'!P25</f>
        <v>1303008.25</v>
      </c>
      <c r="BH51" s="30">
        <f>'Expense Details'!Q11+'Expense Details'!Q25</f>
        <v>964941.09000000008</v>
      </c>
      <c r="BI51" s="30">
        <f>'Expense Details'!R11+'Expense Details'!R25</f>
        <v>1552685.83</v>
      </c>
      <c r="BJ51" s="30">
        <f>'Expense Details'!S11+'Expense Details'!S25</f>
        <v>2167142.77</v>
      </c>
      <c r="BK51" s="30">
        <f>'Expense Details'!T11+'Expense Details'!T25</f>
        <v>1048390.7100000002</v>
      </c>
      <c r="BL51" s="30">
        <f>'Expense Details'!U11+'Expense Details'!U25</f>
        <v>1272239.8499999999</v>
      </c>
      <c r="BM51" s="30">
        <f>'Expense Details'!V11+'Expense Details'!V25</f>
        <v>1797938.92</v>
      </c>
      <c r="BN51" s="30">
        <f>'Expense Details'!W11+'Expense Details'!W25</f>
        <v>1461094.3699999999</v>
      </c>
      <c r="BO51" s="30">
        <f>'Expense Details'!X11+'Expense Details'!X25</f>
        <v>1776873.5499999998</v>
      </c>
      <c r="BP51" s="30">
        <f>'Expense Details'!Y11+'Expense Details'!Y25</f>
        <v>1918314.2999999996</v>
      </c>
      <c r="BQ51" s="30">
        <f>'Expense Details'!Z11+'Expense Details'!Z25</f>
        <v>1447907.06</v>
      </c>
      <c r="BR51" s="30">
        <f>'Expense Details'!AA11+'Expense Details'!AA25</f>
        <v>1547434.0599999996</v>
      </c>
      <c r="BS51" s="30">
        <f>'Expense Details'!AB11+'Expense Details'!AB25</f>
        <v>1864964.49</v>
      </c>
      <c r="BT51" s="30">
        <f>'Expense Details'!AC11+'Expense Details'!AC25</f>
        <v>1381034.02</v>
      </c>
      <c r="BU51" s="30">
        <f>'Expense Details'!AD11+'Expense Details'!AD25</f>
        <v>1970707.15</v>
      </c>
      <c r="BV51" s="30">
        <f>'Expense Details'!AE11+'Expense Details'!AE25</f>
        <v>2671603.5700000003</v>
      </c>
      <c r="BW51" s="30">
        <f>'Expense Details'!AF11+'Expense Details'!AF25</f>
        <v>1870762.67</v>
      </c>
      <c r="BX51" s="30">
        <f>'Expense Details'!AG11+'Expense Details'!AG25</f>
        <v>1841844.15</v>
      </c>
      <c r="BY51" s="30">
        <f>'Expense Details'!AH11+'Expense Details'!AH25</f>
        <v>2325503.8099999996</v>
      </c>
      <c r="BZ51" s="30">
        <f>'Expense Details'!AI11+'Expense Details'!AI25</f>
        <v>1989462.7700000003</v>
      </c>
      <c r="CA51" s="30">
        <f>'Expense Details'!AJ11+'Expense Details'!AJ25</f>
        <v>1906396.7000000002</v>
      </c>
      <c r="CB51" s="30">
        <f>'Expense Details'!AK11+'Expense Details'!AK25</f>
        <v>3166576.6799999997</v>
      </c>
      <c r="CC51" s="30">
        <f>'Expense Details'!AL11+'Expense Details'!AL25</f>
        <v>1776333.8599999999</v>
      </c>
      <c r="CD51" s="30">
        <f>'Expense Details'!AM11+'Expense Details'!AM25</f>
        <v>2338357.2599999998</v>
      </c>
      <c r="CE51" s="30">
        <f>'Expense Details'!AN11+'Expense Details'!AN25</f>
        <v>2723074.790000001</v>
      </c>
      <c r="CF51" s="30">
        <f>'Expense Details'!AO11+'Expense Details'!AO25</f>
        <v>1958231.56</v>
      </c>
      <c r="CG51" s="30">
        <f>'Expense Details'!AP11+'Expense Details'!AP25</f>
        <v>2683752.8000000003</v>
      </c>
      <c r="CH51" s="30">
        <f>'Expense Details'!AQ11+'Expense Details'!AQ25</f>
        <v>3263550.76</v>
      </c>
      <c r="CI51" s="30">
        <f>'Expense Details'!AR11+'Expense Details'!AR25</f>
        <v>2530776.5200000005</v>
      </c>
      <c r="CJ51" s="30">
        <f>'Expense Details'!AS11+'Expense Details'!AS25</f>
        <v>2620723.19</v>
      </c>
      <c r="CK51" s="30">
        <f>'Expense Details'!AT11+'Expense Details'!AT25</f>
        <v>4018919.5800000005</v>
      </c>
      <c r="CL51" s="30">
        <f>'Expense Details'!AU11+'Expense Details'!AU25</f>
        <v>3102383.21</v>
      </c>
      <c r="CM51" s="30">
        <f>'Expense Details'!AV11+'Expense Details'!AV25</f>
        <v>4340570.5878456496</v>
      </c>
      <c r="CN51" s="30">
        <f>'Expense Details'!AW11+'Expense Details'!AW25</f>
        <v>4782007.445388237</v>
      </c>
      <c r="CO51" s="30">
        <f>'Expense Details'!AX11+'Expense Details'!AX25</f>
        <v>3567623.7371280007</v>
      </c>
      <c r="CP51" s="30">
        <f>'Expense Details'!AY11+'Expense Details'!AY25</f>
        <v>4690603.4920378616</v>
      </c>
      <c r="CQ51" s="30">
        <f>'Expense Details'!AZ11+'Expense Details'!AZ25</f>
        <v>5544041.8874588041</v>
      </c>
      <c r="CR51" s="30">
        <f>'Expense Details'!BA11+'Expense Details'!BA25</f>
        <v>3790444.4749534512</v>
      </c>
      <c r="CS51" s="30">
        <f>'Expense Details'!BB11+'Expense Details'!BB25</f>
        <v>5580262.9582613269</v>
      </c>
      <c r="CT51" s="30">
        <f>'Expense Details'!BC11+'Expense Details'!BC25</f>
        <v>6311592.6733215135</v>
      </c>
      <c r="CU51" s="30">
        <f>CU71*CU70/12</f>
        <v>5727071.0822692104</v>
      </c>
      <c r="CV51" s="30">
        <f t="shared" ref="CV51:FB51" si="603">CV71*CV70/12</f>
        <v>5800289.5969182365</v>
      </c>
      <c r="CW51" s="30">
        <f t="shared" si="603"/>
        <v>5873508.1115672616</v>
      </c>
      <c r="CX51" s="30">
        <f t="shared" si="603"/>
        <v>5946726.6262162859</v>
      </c>
      <c r="CY51" s="30">
        <f t="shared" si="603"/>
        <v>6019945.140865312</v>
      </c>
      <c r="CZ51" s="30">
        <f t="shared" si="603"/>
        <v>6093163.6555143362</v>
      </c>
      <c r="DA51" s="30">
        <f t="shared" si="603"/>
        <v>6093163.6555143362</v>
      </c>
      <c r="DB51" s="30">
        <f t="shared" si="603"/>
        <v>6166382.1701633604</v>
      </c>
      <c r="DC51" s="30">
        <f t="shared" si="603"/>
        <v>6239600.6848123856</v>
      </c>
      <c r="DD51" s="30">
        <f t="shared" si="603"/>
        <v>6312819.1994614117</v>
      </c>
      <c r="DE51" s="30">
        <f t="shared" si="603"/>
        <v>6386037.7141104368</v>
      </c>
      <c r="DF51" s="30">
        <f t="shared" si="603"/>
        <v>6459256.2287594611</v>
      </c>
      <c r="DG51" s="30">
        <f t="shared" si="603"/>
        <v>7081665.4443278359</v>
      </c>
      <c r="DH51" s="30">
        <f t="shared" si="603"/>
        <v>7381111.8484582379</v>
      </c>
      <c r="DI51" s="30">
        <f t="shared" si="603"/>
        <v>7680558.25258864</v>
      </c>
      <c r="DJ51" s="30">
        <f t="shared" si="603"/>
        <v>7980004.6567190401</v>
      </c>
      <c r="DK51" s="30">
        <f t="shared" si="603"/>
        <v>8279451.0608494421</v>
      </c>
      <c r="DL51" s="30">
        <f t="shared" si="603"/>
        <v>8578897.4649798442</v>
      </c>
      <c r="DM51" s="30">
        <f t="shared" si="603"/>
        <v>8578897.4649798442</v>
      </c>
      <c r="DN51" s="30">
        <f t="shared" si="603"/>
        <v>8878343.8691102471</v>
      </c>
      <c r="DO51" s="30">
        <f t="shared" si="603"/>
        <v>9177790.2732406482</v>
      </c>
      <c r="DP51" s="30">
        <f t="shared" si="603"/>
        <v>9477236.6773710493</v>
      </c>
      <c r="DQ51" s="30">
        <f t="shared" si="603"/>
        <v>9776683.0815014523</v>
      </c>
      <c r="DR51" s="30">
        <f t="shared" si="603"/>
        <v>10076129.485631853</v>
      </c>
      <c r="DS51" s="30">
        <f t="shared" si="603"/>
        <v>10709565.675352773</v>
      </c>
      <c r="DT51" s="30">
        <f t="shared" si="603"/>
        <v>10839195.3907921</v>
      </c>
      <c r="DU51" s="30">
        <f t="shared" si="603"/>
        <v>10968825.106231427</v>
      </c>
      <c r="DV51" s="30">
        <f t="shared" si="603"/>
        <v>11098454.821670754</v>
      </c>
      <c r="DW51" s="30">
        <f t="shared" si="603"/>
        <v>11228084.537110081</v>
      </c>
      <c r="DX51" s="30">
        <f t="shared" si="603"/>
        <v>11357714.252549404</v>
      </c>
      <c r="DY51" s="30">
        <f t="shared" si="603"/>
        <v>11357714.252549404</v>
      </c>
      <c r="DZ51" s="30">
        <f t="shared" si="603"/>
        <v>11487343.967988729</v>
      </c>
      <c r="EA51" s="30">
        <f t="shared" si="603"/>
        <v>11616973.683428057</v>
      </c>
      <c r="EB51" s="30">
        <f t="shared" si="603"/>
        <v>11746603.398867384</v>
      </c>
      <c r="EC51" s="30">
        <f t="shared" si="603"/>
        <v>11876233.114306711</v>
      </c>
      <c r="ED51" s="30">
        <f t="shared" si="603"/>
        <v>12005862.829746036</v>
      </c>
      <c r="EE51" s="30">
        <f t="shared" si="603"/>
        <v>12968025.621009966</v>
      </c>
      <c r="EF51" s="30">
        <f t="shared" si="603"/>
        <v>13329895.270786589</v>
      </c>
      <c r="EG51" s="30">
        <f t="shared" si="603"/>
        <v>13691764.920563214</v>
      </c>
      <c r="EH51" s="30">
        <f t="shared" si="603"/>
        <v>14053634.570339836</v>
      </c>
      <c r="EI51" s="30">
        <f t="shared" si="603"/>
        <v>14415504.220116461</v>
      </c>
      <c r="EJ51" s="30">
        <f t="shared" si="603"/>
        <v>14777373.869893089</v>
      </c>
      <c r="EK51" s="30">
        <f t="shared" si="603"/>
        <v>14777373.869893089</v>
      </c>
      <c r="EL51" s="30">
        <f t="shared" si="603"/>
        <v>15139243.519669719</v>
      </c>
      <c r="EM51" s="30">
        <f t="shared" si="603"/>
        <v>15501113.169446344</v>
      </c>
      <c r="EN51" s="30">
        <f t="shared" si="603"/>
        <v>15862982.819222966</v>
      </c>
      <c r="EO51" s="30">
        <f t="shared" si="603"/>
        <v>16224852.468999593</v>
      </c>
      <c r="EP51" s="30">
        <f t="shared" si="603"/>
        <v>16586722.118776215</v>
      </c>
      <c r="EQ51" s="30">
        <f t="shared" si="603"/>
        <v>18133838.452052996</v>
      </c>
      <c r="ER51" s="30">
        <f t="shared" si="603"/>
        <v>18851618.679390967</v>
      </c>
      <c r="ES51" s="30">
        <f t="shared" si="603"/>
        <v>19569398.906728934</v>
      </c>
      <c r="ET51" s="30">
        <f t="shared" si="603"/>
        <v>20287179.134066906</v>
      </c>
      <c r="EU51" s="30">
        <f t="shared" si="603"/>
        <v>21004959.361404873</v>
      </c>
      <c r="EV51" s="30">
        <f t="shared" si="603"/>
        <v>21722739.588742841</v>
      </c>
      <c r="EW51" s="30">
        <f t="shared" si="603"/>
        <v>21722739.588742841</v>
      </c>
      <c r="EX51" s="30">
        <f t="shared" si="603"/>
        <v>22440519.816080809</v>
      </c>
      <c r="EY51" s="30">
        <f t="shared" si="603"/>
        <v>23158300.043418776</v>
      </c>
      <c r="EZ51" s="30">
        <f t="shared" si="603"/>
        <v>23876080.270756748</v>
      </c>
      <c r="FA51" s="30">
        <f t="shared" si="603"/>
        <v>24593860.498094719</v>
      </c>
      <c r="FB51" s="30">
        <f t="shared" si="603"/>
        <v>25311640.725432683</v>
      </c>
    </row>
    <row r="52" spans="2:158" s="99" customFormat="1" x14ac:dyDescent="0.25">
      <c r="C52" s="2" t="s">
        <v>2</v>
      </c>
      <c r="D52" s="50">
        <f t="shared" si="566"/>
        <v>1732351.75</v>
      </c>
      <c r="E52" s="50">
        <f t="shared" si="566"/>
        <v>3363082.02</v>
      </c>
      <c r="F52" s="50">
        <f t="shared" si="566"/>
        <v>2348930.4900000002</v>
      </c>
      <c r="G52" s="50">
        <f t="shared" si="566"/>
        <v>3759165.5877304636</v>
      </c>
      <c r="H52" s="50">
        <f t="shared" si="566"/>
        <v>5402177.7719245348</v>
      </c>
      <c r="I52" s="50">
        <f t="shared" si="566"/>
        <v>7606020.7493346576</v>
      </c>
      <c r="J52" s="50">
        <f t="shared" si="566"/>
        <v>10069710.079010451</v>
      </c>
      <c r="K52" s="50">
        <f t="shared" si="566"/>
        <v>13101568.439755995</v>
      </c>
      <c r="L52" s="50">
        <f t="shared" si="566"/>
        <v>19259305.606441312</v>
      </c>
      <c r="M52" s="201"/>
      <c r="N52" s="243">
        <f t="shared" si="567"/>
        <v>388044.01</v>
      </c>
      <c r="O52" s="243">
        <f t="shared" si="568"/>
        <v>380990.16000000003</v>
      </c>
      <c r="P52" s="243">
        <f t="shared" si="569"/>
        <v>434596.87</v>
      </c>
      <c r="Q52" s="243">
        <f t="shared" si="570"/>
        <v>528720.71</v>
      </c>
      <c r="R52" s="243">
        <f t="shared" si="571"/>
        <v>470271.04</v>
      </c>
      <c r="S52" s="243">
        <f t="shared" si="572"/>
        <v>721909.44000000006</v>
      </c>
      <c r="T52" s="243">
        <f t="shared" si="573"/>
        <v>1095040.67</v>
      </c>
      <c r="U52" s="243">
        <f t="shared" si="574"/>
        <v>1075860.8700000001</v>
      </c>
      <c r="V52" s="243">
        <f t="shared" si="575"/>
        <v>719040.6</v>
      </c>
      <c r="W52" s="243">
        <f t="shared" si="576"/>
        <v>488098</v>
      </c>
      <c r="X52" s="243">
        <f t="shared" si="577"/>
        <v>496323.19000000006</v>
      </c>
      <c r="Y52" s="243">
        <f t="shared" si="578"/>
        <v>645468.70000000007</v>
      </c>
      <c r="Z52" s="243">
        <f t="shared" si="579"/>
        <v>665186.97</v>
      </c>
      <c r="AA52" s="243">
        <f t="shared" si="580"/>
        <v>936816.45871016232</v>
      </c>
      <c r="AB52" s="243">
        <f t="shared" si="581"/>
        <v>787790.84833456273</v>
      </c>
      <c r="AC52" s="243">
        <f t="shared" si="582"/>
        <v>1369371.3106857385</v>
      </c>
      <c r="AD52" s="243">
        <f t="shared" si="583"/>
        <v>1285629.1617425722</v>
      </c>
      <c r="AE52" s="243">
        <f t="shared" si="584"/>
        <v>1334315.6226714933</v>
      </c>
      <c r="AF52" s="243">
        <f t="shared" si="585"/>
        <v>1366773.2632907738</v>
      </c>
      <c r="AG52" s="243">
        <f t="shared" si="586"/>
        <v>1415459.7242196952</v>
      </c>
      <c r="AH52" s="243">
        <f t="shared" si="587"/>
        <v>1636017.0436150895</v>
      </c>
      <c r="AI52" s="243">
        <f t="shared" si="588"/>
        <v>1835133.1514040204</v>
      </c>
      <c r="AJ52" s="243">
        <f t="shared" si="589"/>
        <v>1967877.2232633082</v>
      </c>
      <c r="AK52" s="243">
        <f t="shared" si="590"/>
        <v>2166993.3310522395</v>
      </c>
      <c r="AL52" s="243">
        <f t="shared" si="591"/>
        <v>2402498.2634715224</v>
      </c>
      <c r="AM52" s="243">
        <f t="shared" si="592"/>
        <v>2488695.2056823405</v>
      </c>
      <c r="AN52" s="243">
        <f t="shared" si="593"/>
        <v>2546159.8338228846</v>
      </c>
      <c r="AO52" s="243">
        <f t="shared" si="594"/>
        <v>2632356.7760337028</v>
      </c>
      <c r="AP52" s="243">
        <f t="shared" si="595"/>
        <v>2954559.7330524493</v>
      </c>
      <c r="AQ52" s="243">
        <f t="shared" si="596"/>
        <v>3195184.0157173607</v>
      </c>
      <c r="AR52" s="243">
        <f t="shared" si="597"/>
        <v>3355600.2041606363</v>
      </c>
      <c r="AS52" s="243">
        <f t="shared" si="598"/>
        <v>3596224.4868255481</v>
      </c>
      <c r="AT52" s="243">
        <f t="shared" si="599"/>
        <v>4178444.9406031389</v>
      </c>
      <c r="AU52" s="243">
        <f t="shared" si="600"/>
        <v>4655731.0363585306</v>
      </c>
      <c r="AV52" s="243">
        <f t="shared" si="601"/>
        <v>4973921.7668621242</v>
      </c>
      <c r="AW52" s="243">
        <f t="shared" si="602"/>
        <v>5451207.862617516</v>
      </c>
      <c r="AX52" s="201"/>
      <c r="AY52" s="243">
        <f>'Expense Details'!H12+'Expense Details'!H26</f>
        <v>111237.6</v>
      </c>
      <c r="AZ52" s="243">
        <f>'Expense Details'!I12+'Expense Details'!I26</f>
        <v>161300.99</v>
      </c>
      <c r="BA52" s="243">
        <f>'Expense Details'!J12+'Expense Details'!J26</f>
        <v>115505.42000000001</v>
      </c>
      <c r="BB52" s="243">
        <f>'Expense Details'!K12+'Expense Details'!K26</f>
        <v>108486.55</v>
      </c>
      <c r="BC52" s="243">
        <f>'Expense Details'!L12+'Expense Details'!L26</f>
        <v>143016.01</v>
      </c>
      <c r="BD52" s="243">
        <f>'Expense Details'!M12+'Expense Details'!M26</f>
        <v>129487.6</v>
      </c>
      <c r="BE52" s="243">
        <f>'Expense Details'!N12+'Expense Details'!N26</f>
        <v>149427.29999999999</v>
      </c>
      <c r="BF52" s="243">
        <f>'Expense Details'!O12+'Expense Details'!O26</f>
        <v>130846.45</v>
      </c>
      <c r="BG52" s="243">
        <f>'Expense Details'!P12+'Expense Details'!P26</f>
        <v>154323.12</v>
      </c>
      <c r="BH52" s="243">
        <f>'Expense Details'!Q12+'Expense Details'!Q26</f>
        <v>163586.61000000004</v>
      </c>
      <c r="BI52" s="243">
        <f>'Expense Details'!R12+'Expense Details'!R26</f>
        <v>138531.15</v>
      </c>
      <c r="BJ52" s="243">
        <f>'Expense Details'!S12+'Expense Details'!S26</f>
        <v>226602.95</v>
      </c>
      <c r="BK52" s="243">
        <f>'Expense Details'!T12+'Expense Details'!T26</f>
        <v>98121.64</v>
      </c>
      <c r="BL52" s="243">
        <f>'Expense Details'!U12+'Expense Details'!U26</f>
        <v>187997.96</v>
      </c>
      <c r="BM52" s="243">
        <f>'Expense Details'!V12+'Expense Details'!V26</f>
        <v>184151.44</v>
      </c>
      <c r="BN52" s="243">
        <f>'Expense Details'!W12+'Expense Details'!W26</f>
        <v>176023.13000000003</v>
      </c>
      <c r="BO52" s="243">
        <f>'Expense Details'!X12+'Expense Details'!X26</f>
        <v>343827.79</v>
      </c>
      <c r="BP52" s="243">
        <f>'Expense Details'!Y12+'Expense Details'!Y26</f>
        <v>202058.52000000002</v>
      </c>
      <c r="BQ52" s="243">
        <f>'Expense Details'!Z12+'Expense Details'!Z26</f>
        <v>438304.86</v>
      </c>
      <c r="BR52" s="243">
        <f>'Expense Details'!AA12+'Expense Details'!AA26</f>
        <v>248405.33000000002</v>
      </c>
      <c r="BS52" s="243">
        <f>'Expense Details'!AB12+'Expense Details'!AB26</f>
        <v>408330.48</v>
      </c>
      <c r="BT52" s="243">
        <f>'Expense Details'!AC12+'Expense Details'!AC26</f>
        <v>320008.51999999996</v>
      </c>
      <c r="BU52" s="243">
        <f>'Expense Details'!AD12+'Expense Details'!AD26</f>
        <v>393069.2900000001</v>
      </c>
      <c r="BV52" s="243">
        <f>'Expense Details'!AE12+'Expense Details'!AE26</f>
        <v>362783.06</v>
      </c>
      <c r="BW52" s="243">
        <f>'Expense Details'!AF12+'Expense Details'!AF26</f>
        <v>322110.43</v>
      </c>
      <c r="BX52" s="243">
        <f>'Expense Details'!AG12+'Expense Details'!AG26</f>
        <v>200279.88999999998</v>
      </c>
      <c r="BY52" s="243">
        <f>'Expense Details'!AH12+'Expense Details'!AH26</f>
        <v>196650.28</v>
      </c>
      <c r="BZ52" s="243">
        <f>'Expense Details'!AI12+'Expense Details'!AI26</f>
        <v>147723.95999999996</v>
      </c>
      <c r="CA52" s="243">
        <f>'Expense Details'!AJ12+'Expense Details'!AJ26</f>
        <v>182599.25</v>
      </c>
      <c r="CB52" s="243">
        <f>'Expense Details'!AK12+'Expense Details'!AK26</f>
        <v>157774.79</v>
      </c>
      <c r="CC52" s="243">
        <f>'Expense Details'!AL12+'Expense Details'!AL26</f>
        <v>150336.09000000003</v>
      </c>
      <c r="CD52" s="243">
        <f>'Expense Details'!AM12+'Expense Details'!AM26</f>
        <v>158197.73000000001</v>
      </c>
      <c r="CE52" s="243">
        <f>'Expense Details'!AN12+'Expense Details'!AN26</f>
        <v>187789.37</v>
      </c>
      <c r="CF52" s="243">
        <f>'Expense Details'!AO12+'Expense Details'!AO26</f>
        <v>228851.04</v>
      </c>
      <c r="CG52" s="243">
        <f>'Expense Details'!AP12+'Expense Details'!AP26</f>
        <v>213263.62</v>
      </c>
      <c r="CH52" s="243">
        <f>'Expense Details'!AQ12+'Expense Details'!AQ26</f>
        <v>203354.04000000004</v>
      </c>
      <c r="CI52" s="243">
        <f>'Expense Details'!AR12+'Expense Details'!AR26</f>
        <v>206387.5</v>
      </c>
      <c r="CJ52" s="243">
        <f>'Expense Details'!AS12+'Expense Details'!AS26</f>
        <v>199864.85999999996</v>
      </c>
      <c r="CK52" s="243">
        <f>'Expense Details'!AT12+'Expense Details'!AT26</f>
        <v>258934.61</v>
      </c>
      <c r="CL52" s="243">
        <f>'Expense Details'!AU12+'Expense Details'!AU26</f>
        <v>288525.63</v>
      </c>
      <c r="CM52" s="243">
        <f>'Expense Details'!AV12+'Expense Details'!AV26</f>
        <v>368572.76998738747</v>
      </c>
      <c r="CN52" s="243">
        <f>'Expense Details'!AW12+'Expense Details'!AW26</f>
        <v>279718.05872277485</v>
      </c>
      <c r="CO52" s="243">
        <f>'Expense Details'!AX12+'Expense Details'!AX26</f>
        <v>257279.59668449449</v>
      </c>
      <c r="CP52" s="243">
        <f>'Expense Details'!AY12+'Expense Details'!AY26</f>
        <v>260785.32226528635</v>
      </c>
      <c r="CQ52" s="243">
        <f>'Expense Details'!AZ12+'Expense Details'!AZ26</f>
        <v>269725.92938478186</v>
      </c>
      <c r="CR52" s="243">
        <f>'Expense Details'!BA12+'Expense Details'!BA26</f>
        <v>777540.45749280858</v>
      </c>
      <c r="CS52" s="243">
        <f>'Expense Details'!BB12+'Expense Details'!BB26</f>
        <v>291919.04172357859</v>
      </c>
      <c r="CT52" s="243">
        <f>'Expense Details'!BC12+'Expense Details'!BC26</f>
        <v>299911.81146935135</v>
      </c>
      <c r="CU52" s="243">
        <f t="shared" ref="CU52:DZ52" si="604">CU51*CU87</f>
        <v>423133.44714431057</v>
      </c>
      <c r="CV52" s="243">
        <f t="shared" si="604"/>
        <v>428543.05391419079</v>
      </c>
      <c r="CW52" s="243">
        <f t="shared" si="604"/>
        <v>433952.6606840709</v>
      </c>
      <c r="CX52" s="243">
        <f t="shared" si="604"/>
        <v>439362.26745395095</v>
      </c>
      <c r="CY52" s="243">
        <f t="shared" si="604"/>
        <v>444771.87422383117</v>
      </c>
      <c r="CZ52" s="243">
        <f t="shared" si="604"/>
        <v>450181.48099371121</v>
      </c>
      <c r="DA52" s="243">
        <f t="shared" si="604"/>
        <v>450181.48099371121</v>
      </c>
      <c r="DB52" s="243">
        <f t="shared" si="604"/>
        <v>455591.08776359126</v>
      </c>
      <c r="DC52" s="243">
        <f t="shared" si="604"/>
        <v>461000.69453347143</v>
      </c>
      <c r="DD52" s="243">
        <f t="shared" si="604"/>
        <v>466410.30130335159</v>
      </c>
      <c r="DE52" s="243">
        <f t="shared" si="604"/>
        <v>471819.90807323169</v>
      </c>
      <c r="DF52" s="243">
        <f t="shared" si="604"/>
        <v>477229.5148431118</v>
      </c>
      <c r="DG52" s="243">
        <f t="shared" si="604"/>
        <v>523215.00256181526</v>
      </c>
      <c r="DH52" s="243">
        <f t="shared" si="604"/>
        <v>545339.0145383632</v>
      </c>
      <c r="DI52" s="243">
        <f t="shared" si="604"/>
        <v>567463.02651491109</v>
      </c>
      <c r="DJ52" s="243">
        <f t="shared" si="604"/>
        <v>589587.03849145898</v>
      </c>
      <c r="DK52" s="243">
        <f t="shared" si="604"/>
        <v>611711.05046800687</v>
      </c>
      <c r="DL52" s="243">
        <f t="shared" si="604"/>
        <v>633835.06244455476</v>
      </c>
      <c r="DM52" s="243">
        <f t="shared" si="604"/>
        <v>633835.06244455476</v>
      </c>
      <c r="DN52" s="243">
        <f t="shared" si="604"/>
        <v>655959.07442110276</v>
      </c>
      <c r="DO52" s="243">
        <f t="shared" si="604"/>
        <v>678083.08639765065</v>
      </c>
      <c r="DP52" s="243">
        <f t="shared" si="604"/>
        <v>700207.09837419854</v>
      </c>
      <c r="DQ52" s="243">
        <f t="shared" si="604"/>
        <v>722331.11035074655</v>
      </c>
      <c r="DR52" s="243">
        <f t="shared" si="604"/>
        <v>744455.12232729443</v>
      </c>
      <c r="DS52" s="243">
        <f t="shared" si="604"/>
        <v>791255.31646708329</v>
      </c>
      <c r="DT52" s="243">
        <f t="shared" si="604"/>
        <v>800832.75449050753</v>
      </c>
      <c r="DU52" s="243">
        <f t="shared" si="604"/>
        <v>810410.19251393178</v>
      </c>
      <c r="DV52" s="243">
        <f t="shared" si="604"/>
        <v>819987.63053735602</v>
      </c>
      <c r="DW52" s="243">
        <f t="shared" si="604"/>
        <v>829565.06856078026</v>
      </c>
      <c r="DX52" s="243">
        <f t="shared" si="604"/>
        <v>839142.50658420415</v>
      </c>
      <c r="DY52" s="243">
        <f t="shared" si="604"/>
        <v>839142.50658420415</v>
      </c>
      <c r="DZ52" s="243">
        <f t="shared" si="604"/>
        <v>848719.94460762828</v>
      </c>
      <c r="EA52" s="243">
        <f t="shared" ref="EA52:FB52" si="605">EA51*EA87</f>
        <v>858297.38263105252</v>
      </c>
      <c r="EB52" s="243">
        <f t="shared" si="605"/>
        <v>867874.82065447676</v>
      </c>
      <c r="EC52" s="243">
        <f t="shared" si="605"/>
        <v>877452.258677901</v>
      </c>
      <c r="ED52" s="243">
        <f t="shared" si="605"/>
        <v>887029.69670132513</v>
      </c>
      <c r="EE52" s="243">
        <f t="shared" si="605"/>
        <v>958117.2129436041</v>
      </c>
      <c r="EF52" s="243">
        <f t="shared" si="605"/>
        <v>984853.24435081636</v>
      </c>
      <c r="EG52" s="243">
        <f t="shared" si="605"/>
        <v>1011589.2757580287</v>
      </c>
      <c r="EH52" s="243">
        <f t="shared" si="605"/>
        <v>1038325.307165241</v>
      </c>
      <c r="EI52" s="243">
        <f t="shared" si="605"/>
        <v>1065061.3385724535</v>
      </c>
      <c r="EJ52" s="243">
        <f t="shared" si="605"/>
        <v>1091797.3699796661</v>
      </c>
      <c r="EK52" s="243">
        <f t="shared" si="605"/>
        <v>1091797.3699796661</v>
      </c>
      <c r="EL52" s="243">
        <f t="shared" si="605"/>
        <v>1118533.4013868789</v>
      </c>
      <c r="EM52" s="243">
        <f t="shared" si="605"/>
        <v>1145269.4327940913</v>
      </c>
      <c r="EN52" s="243">
        <f t="shared" si="605"/>
        <v>1172005.4642013037</v>
      </c>
      <c r="EO52" s="243">
        <f t="shared" si="605"/>
        <v>1198741.495608516</v>
      </c>
      <c r="EP52" s="243">
        <f t="shared" si="605"/>
        <v>1225477.5270157284</v>
      </c>
      <c r="EQ52" s="243">
        <f t="shared" si="605"/>
        <v>1339783.1917837805</v>
      </c>
      <c r="ER52" s="243">
        <f t="shared" si="605"/>
        <v>1392814.9802010464</v>
      </c>
      <c r="ES52" s="243">
        <f t="shared" si="605"/>
        <v>1445846.768618312</v>
      </c>
      <c r="ET52" s="243">
        <f t="shared" si="605"/>
        <v>1498878.5570355779</v>
      </c>
      <c r="EU52" s="243">
        <f t="shared" si="605"/>
        <v>1551910.3454528435</v>
      </c>
      <c r="EV52" s="243">
        <f t="shared" si="605"/>
        <v>1604942.1338701092</v>
      </c>
      <c r="EW52" s="243">
        <f t="shared" si="605"/>
        <v>1604942.1338701092</v>
      </c>
      <c r="EX52" s="243">
        <f t="shared" si="605"/>
        <v>1657973.9222873747</v>
      </c>
      <c r="EY52" s="243">
        <f t="shared" si="605"/>
        <v>1711005.7107046405</v>
      </c>
      <c r="EZ52" s="243">
        <f t="shared" si="605"/>
        <v>1764037.4991219062</v>
      </c>
      <c r="FA52" s="243">
        <f t="shared" si="605"/>
        <v>1817069.2875391722</v>
      </c>
      <c r="FB52" s="243">
        <f t="shared" si="605"/>
        <v>1870101.0759564375</v>
      </c>
    </row>
    <row r="53" spans="2:158" s="99" customFormat="1" x14ac:dyDescent="0.25">
      <c r="C53" s="102"/>
      <c r="D53" s="50"/>
      <c r="E53" s="50"/>
      <c r="F53" s="50"/>
      <c r="G53" s="50"/>
      <c r="H53" s="50"/>
      <c r="I53" s="50"/>
      <c r="J53" s="50"/>
      <c r="K53" s="50"/>
      <c r="L53" s="50"/>
      <c r="M53" s="102"/>
      <c r="N53" s="55"/>
      <c r="O53" s="55"/>
      <c r="P53" s="55"/>
      <c r="Q53" s="55"/>
      <c r="R53" s="55"/>
      <c r="S53" s="55"/>
      <c r="T53" s="55"/>
      <c r="U53" s="55"/>
      <c r="V53" s="55"/>
      <c r="W53" s="55"/>
      <c r="X53" s="55"/>
      <c r="Y53" s="55"/>
      <c r="Z53" s="55"/>
      <c r="AA53" s="55"/>
      <c r="AB53" s="55"/>
      <c r="AC53" s="55"/>
      <c r="AD53" s="55"/>
      <c r="AE53" s="55"/>
      <c r="AF53" s="55"/>
      <c r="AG53" s="55"/>
      <c r="AH53" s="55"/>
      <c r="AI53" s="55"/>
      <c r="AJ53" s="55"/>
      <c r="AK53" s="55"/>
      <c r="AL53" s="55"/>
      <c r="AM53" s="55"/>
      <c r="AN53" s="55"/>
      <c r="AO53" s="55"/>
      <c r="AP53" s="55"/>
      <c r="AQ53" s="55"/>
      <c r="AR53" s="55"/>
      <c r="AS53" s="55"/>
      <c r="AT53" s="55"/>
      <c r="AU53" s="55"/>
      <c r="AV53" s="55"/>
      <c r="AW53" s="55"/>
      <c r="AX53" s="102"/>
      <c r="AY53" s="243"/>
      <c r="AZ53" s="243"/>
      <c r="BA53" s="243"/>
      <c r="BB53" s="243"/>
      <c r="BC53" s="243"/>
      <c r="BD53" s="243"/>
      <c r="BE53" s="243"/>
      <c r="BF53" s="243"/>
      <c r="BG53" s="243"/>
      <c r="BH53" s="243"/>
      <c r="BI53" s="243"/>
      <c r="BJ53" s="243"/>
      <c r="BK53" s="243"/>
      <c r="BL53" s="243"/>
      <c r="BM53" s="243"/>
      <c r="BN53" s="243"/>
      <c r="BO53" s="243"/>
      <c r="BP53" s="243"/>
      <c r="BQ53" s="243"/>
      <c r="BR53" s="243"/>
      <c r="BS53" s="243"/>
      <c r="BT53" s="243"/>
      <c r="BU53" s="243"/>
      <c r="BV53" s="243"/>
      <c r="BW53" s="243"/>
      <c r="BX53" s="243"/>
      <c r="BY53" s="243"/>
      <c r="BZ53" s="243"/>
      <c r="CA53" s="243"/>
      <c r="CB53" s="243"/>
      <c r="CC53" s="243"/>
      <c r="CD53" s="243"/>
      <c r="CE53" s="243"/>
      <c r="CF53" s="243"/>
      <c r="CG53" s="243"/>
      <c r="CH53" s="243"/>
      <c r="CI53" s="243"/>
      <c r="CJ53" s="243"/>
      <c r="CK53" s="243"/>
      <c r="CL53" s="243"/>
      <c r="CM53" s="243"/>
      <c r="CN53" s="243"/>
      <c r="CO53" s="243"/>
      <c r="CP53" s="243"/>
      <c r="CQ53" s="243"/>
      <c r="CR53" s="243"/>
      <c r="CS53" s="243"/>
      <c r="CT53" s="243"/>
      <c r="CU53" s="243"/>
      <c r="CV53" s="243"/>
      <c r="CW53" s="243"/>
      <c r="CX53" s="243"/>
      <c r="CY53" s="243"/>
      <c r="CZ53" s="243"/>
      <c r="DA53" s="243"/>
      <c r="DB53" s="243"/>
      <c r="DC53" s="243"/>
      <c r="DD53" s="243"/>
      <c r="DE53" s="243"/>
      <c r="DF53" s="243"/>
      <c r="DG53" s="243"/>
      <c r="DH53" s="243"/>
      <c r="DI53" s="243"/>
      <c r="DJ53" s="243"/>
      <c r="DK53" s="243"/>
      <c r="DL53" s="243"/>
      <c r="DM53" s="243"/>
      <c r="DN53" s="243"/>
      <c r="DO53" s="243"/>
      <c r="DP53" s="243"/>
      <c r="DQ53" s="243"/>
      <c r="DR53" s="243"/>
      <c r="DS53" s="243"/>
      <c r="DT53" s="243"/>
      <c r="DU53" s="243"/>
      <c r="DV53" s="243"/>
      <c r="DW53" s="243"/>
      <c r="DX53" s="243"/>
      <c r="DY53" s="243"/>
      <c r="DZ53" s="243"/>
      <c r="EA53" s="243"/>
      <c r="EB53" s="243"/>
      <c r="EC53" s="243"/>
      <c r="ED53" s="243"/>
      <c r="EE53" s="243"/>
      <c r="EF53" s="243"/>
      <c r="EG53" s="243"/>
      <c r="EH53" s="243"/>
      <c r="EI53" s="243"/>
      <c r="EJ53" s="243"/>
      <c r="EK53" s="243"/>
      <c r="EL53" s="243"/>
      <c r="EM53" s="243"/>
      <c r="EN53" s="243"/>
      <c r="EO53" s="243"/>
      <c r="EP53" s="243"/>
      <c r="EQ53" s="243"/>
      <c r="ER53" s="243"/>
      <c r="ES53" s="243"/>
      <c r="ET53" s="243"/>
      <c r="EU53" s="243"/>
      <c r="EV53" s="243"/>
      <c r="EW53" s="243"/>
      <c r="EX53" s="243"/>
      <c r="EY53" s="243"/>
      <c r="EZ53" s="243"/>
      <c r="FA53" s="243"/>
      <c r="FB53" s="243"/>
    </row>
    <row r="54" spans="2:158" s="99" customFormat="1" x14ac:dyDescent="0.25">
      <c r="C54" s="1" t="s">
        <v>11</v>
      </c>
      <c r="D54" s="50"/>
      <c r="E54" s="50"/>
      <c r="F54" s="50"/>
      <c r="G54" s="50"/>
      <c r="H54" s="50"/>
      <c r="I54" s="50"/>
      <c r="J54" s="50"/>
      <c r="K54" s="50"/>
      <c r="L54" s="50"/>
      <c r="M54" s="102"/>
      <c r="N54" s="55"/>
      <c r="O54" s="55"/>
      <c r="P54" s="55"/>
      <c r="Q54" s="55"/>
      <c r="R54" s="55"/>
      <c r="S54" s="55"/>
      <c r="T54" s="55"/>
      <c r="U54" s="55"/>
      <c r="V54" s="55"/>
      <c r="W54" s="55"/>
      <c r="X54" s="55"/>
      <c r="Y54" s="55"/>
      <c r="Z54" s="55"/>
      <c r="AA54" s="55"/>
      <c r="AB54" s="55"/>
      <c r="AC54" s="55"/>
      <c r="AD54" s="55"/>
      <c r="AE54" s="55"/>
      <c r="AF54" s="55"/>
      <c r="AG54" s="55"/>
      <c r="AH54" s="55"/>
      <c r="AI54" s="55"/>
      <c r="AJ54" s="55"/>
      <c r="AK54" s="55"/>
      <c r="AL54" s="55"/>
      <c r="AM54" s="55"/>
      <c r="AN54" s="55"/>
      <c r="AO54" s="55"/>
      <c r="AP54" s="55"/>
      <c r="AQ54" s="55"/>
      <c r="AR54" s="55"/>
      <c r="AS54" s="55"/>
      <c r="AT54" s="55"/>
      <c r="AU54" s="55"/>
      <c r="AV54" s="55"/>
      <c r="AW54" s="55"/>
      <c r="AX54" s="102"/>
      <c r="AY54" s="243"/>
      <c r="AZ54" s="243"/>
      <c r="BA54" s="243"/>
      <c r="BB54" s="243"/>
      <c r="BC54" s="243"/>
      <c r="BD54" s="243"/>
      <c r="BE54" s="243"/>
      <c r="BF54" s="243"/>
      <c r="BG54" s="243"/>
      <c r="BH54" s="243"/>
      <c r="BI54" s="243"/>
      <c r="BJ54" s="243"/>
      <c r="BK54" s="243"/>
      <c r="BL54" s="243"/>
      <c r="BM54" s="243"/>
      <c r="BN54" s="243"/>
      <c r="BO54" s="243"/>
      <c r="BP54" s="243"/>
      <c r="BQ54" s="243"/>
      <c r="BR54" s="243"/>
      <c r="BS54" s="243"/>
      <c r="BT54" s="243"/>
      <c r="BU54" s="243"/>
      <c r="BV54" s="243"/>
      <c r="BW54" s="243"/>
      <c r="BX54" s="243"/>
      <c r="BY54" s="243"/>
      <c r="BZ54" s="243"/>
      <c r="CA54" s="243"/>
      <c r="CB54" s="243"/>
      <c r="CC54" s="243"/>
      <c r="CD54" s="243"/>
      <c r="CE54" s="243"/>
      <c r="CF54" s="243"/>
      <c r="CG54" s="243"/>
      <c r="CH54" s="243"/>
      <c r="CI54" s="243"/>
      <c r="CJ54" s="243"/>
      <c r="CK54" s="243"/>
      <c r="CL54" s="243"/>
      <c r="CM54" s="243"/>
      <c r="CN54" s="243"/>
      <c r="CO54" s="243"/>
      <c r="CP54" s="243"/>
      <c r="CQ54" s="243"/>
      <c r="CR54" s="243"/>
      <c r="CS54" s="243"/>
      <c r="CT54" s="243"/>
      <c r="CU54" s="243"/>
      <c r="CV54" s="243"/>
      <c r="CW54" s="243"/>
      <c r="CX54" s="243"/>
      <c r="CY54" s="243"/>
      <c r="CZ54" s="243"/>
      <c r="DA54" s="243"/>
      <c r="DB54" s="243"/>
      <c r="DC54" s="243"/>
      <c r="DD54" s="243"/>
      <c r="DE54" s="243"/>
      <c r="DF54" s="243"/>
      <c r="DG54" s="243"/>
      <c r="DH54" s="243"/>
      <c r="DI54" s="243"/>
      <c r="DJ54" s="243"/>
      <c r="DK54" s="243"/>
      <c r="DL54" s="243"/>
      <c r="DM54" s="243"/>
      <c r="DN54" s="243"/>
      <c r="DO54" s="243"/>
      <c r="DP54" s="243"/>
      <c r="DQ54" s="243"/>
      <c r="DR54" s="243"/>
      <c r="DS54" s="243"/>
      <c r="DT54" s="243"/>
      <c r="DU54" s="243"/>
      <c r="DV54" s="243"/>
      <c r="DW54" s="243"/>
      <c r="DX54" s="243"/>
      <c r="DY54" s="243"/>
      <c r="DZ54" s="243"/>
      <c r="EA54" s="243"/>
      <c r="EB54" s="243"/>
      <c r="EC54" s="243"/>
      <c r="ED54" s="243"/>
      <c r="EE54" s="243"/>
      <c r="EF54" s="243"/>
      <c r="EG54" s="243"/>
      <c r="EH54" s="243"/>
      <c r="EI54" s="243"/>
      <c r="EJ54" s="243"/>
      <c r="EK54" s="243"/>
      <c r="EL54" s="243"/>
      <c r="EM54" s="243"/>
      <c r="EN54" s="243"/>
      <c r="EO54" s="243"/>
      <c r="EP54" s="243"/>
      <c r="EQ54" s="243"/>
      <c r="ER54" s="243"/>
      <c r="ES54" s="243"/>
      <c r="ET54" s="243"/>
      <c r="EU54" s="243"/>
      <c r="EV54" s="243"/>
      <c r="EW54" s="243"/>
      <c r="EX54" s="243"/>
      <c r="EY54" s="243"/>
      <c r="EZ54" s="243"/>
      <c r="FA54" s="243"/>
      <c r="FB54" s="243"/>
    </row>
    <row r="55" spans="2:158" s="201" customFormat="1" x14ac:dyDescent="0.25">
      <c r="C55" s="2" t="s">
        <v>349</v>
      </c>
      <c r="D55" s="50">
        <f t="shared" ref="D55:L57" si="606">SUMIF($AY$2:$FB$2,D$2,$AY55:$FB55)</f>
        <v>2451586.3600000003</v>
      </c>
      <c r="E55" s="50">
        <f t="shared" si="606"/>
        <v>3898218.95</v>
      </c>
      <c r="F55" s="50">
        <f t="shared" si="606"/>
        <v>4332055.7700000005</v>
      </c>
      <c r="G55" s="50">
        <f t="shared" si="606"/>
        <v>7944081.2390568601</v>
      </c>
      <c r="H55" s="50">
        <f t="shared" si="606"/>
        <v>10872559.497186853</v>
      </c>
      <c r="I55" s="50">
        <f t="shared" si="606"/>
        <v>15308069.564789217</v>
      </c>
      <c r="J55" s="50">
        <f t="shared" si="606"/>
        <v>20266552.967297029</v>
      </c>
      <c r="K55" s="50">
        <f t="shared" si="606"/>
        <v>26368547.719407126</v>
      </c>
      <c r="L55" s="50">
        <f t="shared" si="606"/>
        <v>38761765.14752847</v>
      </c>
      <c r="N55" s="68">
        <f t="shared" ref="N55:N57" si="607">SUM(AY55:BA55)</f>
        <v>525785.58000000007</v>
      </c>
      <c r="O55" s="68">
        <f t="shared" ref="O55:O57" si="608">SUM(BB55:BD55)</f>
        <v>529931.06000000006</v>
      </c>
      <c r="P55" s="68">
        <f t="shared" ref="P55:P57" si="609">SUM(BE55:BG55)</f>
        <v>675374.99</v>
      </c>
      <c r="Q55" s="68">
        <f t="shared" ref="Q55:Q57" si="610">SUM(BH55:BJ55)</f>
        <v>720494.73</v>
      </c>
      <c r="R55" s="68">
        <f t="shared" ref="R55:R57" si="611">SUM(BK55:BM55)</f>
        <v>926001.55000000016</v>
      </c>
      <c r="S55" s="68">
        <f t="shared" ref="S55:S57" si="612">SUM(BN55:BP55)</f>
        <v>1010785.6499999999</v>
      </c>
      <c r="T55" s="68">
        <f t="shared" ref="T55:T57" si="613">SUM(BQ55:BS55)</f>
        <v>983552.91999999993</v>
      </c>
      <c r="U55" s="68">
        <f t="shared" ref="U55:U57" si="614">SUM(BT55:BV55)</f>
        <v>977878.83000000007</v>
      </c>
      <c r="V55" s="68">
        <f t="shared" ref="V55:V57" si="615">SUM(BW55:BY55)</f>
        <v>1124448.29</v>
      </c>
      <c r="W55" s="68">
        <f t="shared" ref="W55:W57" si="616">SUM(BZ55:CB55)</f>
        <v>1053562.8899999999</v>
      </c>
      <c r="X55" s="68">
        <f t="shared" ref="X55:X57" si="617">SUM(CC55:CE55)</f>
        <v>1075132.5700000003</v>
      </c>
      <c r="Y55" s="68">
        <f t="shared" ref="Y55:Y57" si="618">SUM(CF55:CH55)</f>
        <v>1078912.02</v>
      </c>
      <c r="Z55" s="68">
        <f t="shared" ref="Z55:Z57" si="619">SUM(CI55:CK55)</f>
        <v>1520507.72</v>
      </c>
      <c r="AA55" s="68">
        <f t="shared" ref="AA55:AA57" si="620">SUM(CL55:CN55)</f>
        <v>1912237.4819053984</v>
      </c>
      <c r="AB55" s="68">
        <f t="shared" ref="AB55:AB57" si="621">SUM(CO55:CQ55)</f>
        <v>2139895.9305736409</v>
      </c>
      <c r="AC55" s="68">
        <f t="shared" ref="AC55:AC57" si="622">SUM(CR55:CT55)</f>
        <v>2371440.1065778201</v>
      </c>
      <c r="AD55" s="68">
        <f t="shared" ref="AD55:AD57" si="623">SUM(CU55:CW55)</f>
        <v>2698388.9208503007</v>
      </c>
      <c r="AE55" s="68">
        <f t="shared" ref="AE55:AE57" si="624">SUM(CX55:CZ55)</f>
        <v>2713202.13593511</v>
      </c>
      <c r="AF55" s="68">
        <f t="shared" ref="AF55:AF57" si="625">SUM(DA55:DC55)</f>
        <v>2723077.6126583167</v>
      </c>
      <c r="AG55" s="68">
        <f t="shared" ref="AG55:AG57" si="626">SUM(DD55:DF55)</f>
        <v>2737890.8277431261</v>
      </c>
      <c r="AH55" s="68">
        <f t="shared" ref="AH55:AH57" si="627">SUM(DG55:DI55)</f>
        <v>3195652.4600057453</v>
      </c>
      <c r="AI55" s="68">
        <f t="shared" ref="AI55:AI57" si="628">SUM(DJ55:DL55)</f>
        <v>3669176.1583994143</v>
      </c>
      <c r="AJ55" s="68">
        <f t="shared" ref="AJ55:AJ57" si="629">SUM(DM55:DO55)</f>
        <v>3984858.6239951942</v>
      </c>
      <c r="AK55" s="68">
        <f t="shared" ref="AK55:AK57" si="630">SUM(DP55:DR55)</f>
        <v>4458382.3223888632</v>
      </c>
      <c r="AL55" s="68">
        <f t="shared" ref="AL55:AL57" si="631">SUM(DS55:DU55)</f>
        <v>4920235.9025721466</v>
      </c>
      <c r="AM55" s="68">
        <f t="shared" ref="AM55:AM57" si="632">SUM(DV55:DX55)</f>
        <v>5030037.6570112305</v>
      </c>
      <c r="AN55" s="68">
        <f t="shared" ref="AN55:AN57" si="633">SUM(DY55:EA55)</f>
        <v>5103238.8266372876</v>
      </c>
      <c r="AO55" s="68">
        <f t="shared" ref="AO55:AO57" si="634">SUM(EB55:ED55)</f>
        <v>5213040.5810763706</v>
      </c>
      <c r="AP55" s="68">
        <f t="shared" ref="AP55:AP57" si="635">SUM(EE55:EG55)</f>
        <v>5872127.7927398393</v>
      </c>
      <c r="AQ55" s="68">
        <f t="shared" ref="AQ55:AQ57" si="636">SUM(EH55:EJ55)</f>
        <v>6412134.6455737967</v>
      </c>
      <c r="AR55" s="68">
        <f t="shared" ref="AR55:AR57" si="637">SUM(EK55:EM55)</f>
        <v>6772139.2141297664</v>
      </c>
      <c r="AS55" s="68">
        <f t="shared" ref="AS55:AS57" si="638">SUM(EN55:EP55)</f>
        <v>7312146.0669637248</v>
      </c>
      <c r="AT55" s="68">
        <f t="shared" ref="AT55:AT57" si="639">SUM(EQ55:ES55)</f>
        <v>8474650.9414965697</v>
      </c>
      <c r="AU55" s="68">
        <f t="shared" ref="AU55:AU57" si="640">SUM(ET55:EV55)</f>
        <v>9386493.7005357295</v>
      </c>
      <c r="AV55" s="68">
        <f t="shared" ref="AV55:AV57" si="641">SUM(EW55:EY55)</f>
        <v>9994388.8732285053</v>
      </c>
      <c r="AW55" s="68">
        <f t="shared" ref="AW55:AW57" si="642">SUM(EZ55:FB55)</f>
        <v>10906231.632267665</v>
      </c>
      <c r="AY55" s="30">
        <f>'Expense Details'!H15</f>
        <v>166498.69</v>
      </c>
      <c r="AZ55" s="30">
        <f>'Expense Details'!I15</f>
        <v>175167.23</v>
      </c>
      <c r="BA55" s="30">
        <f>'Expense Details'!J15</f>
        <v>184119.66</v>
      </c>
      <c r="BB55" s="30">
        <f>'Expense Details'!K15</f>
        <v>167905.43</v>
      </c>
      <c r="BC55" s="30">
        <f>'Expense Details'!L15</f>
        <v>176741.5</v>
      </c>
      <c r="BD55" s="30">
        <f>'Expense Details'!M15</f>
        <v>185284.13</v>
      </c>
      <c r="BE55" s="30">
        <f>'Expense Details'!N15</f>
        <v>197060.96</v>
      </c>
      <c r="BF55" s="30">
        <f>'Expense Details'!O15</f>
        <v>213330.59</v>
      </c>
      <c r="BG55" s="30">
        <f>'Expense Details'!P15</f>
        <v>264983.44</v>
      </c>
      <c r="BH55" s="30">
        <f>'Expense Details'!Q15</f>
        <v>227998.13</v>
      </c>
      <c r="BI55" s="30">
        <f>'Expense Details'!R15</f>
        <v>214948.91</v>
      </c>
      <c r="BJ55" s="30">
        <f>'Expense Details'!S15</f>
        <v>277547.69</v>
      </c>
      <c r="BK55" s="30">
        <f>'Expense Details'!T15</f>
        <v>285683.38</v>
      </c>
      <c r="BL55" s="30">
        <f>'Expense Details'!U15</f>
        <v>305069.00000000006</v>
      </c>
      <c r="BM55" s="30">
        <f>'Expense Details'!V15</f>
        <v>335249.17000000004</v>
      </c>
      <c r="BN55" s="30">
        <f>'Expense Details'!W15</f>
        <v>347711.43</v>
      </c>
      <c r="BO55" s="30">
        <f>'Expense Details'!X15</f>
        <v>317843.05</v>
      </c>
      <c r="BP55" s="30">
        <f>'Expense Details'!Y15</f>
        <v>345231.17</v>
      </c>
      <c r="BQ55" s="30">
        <f>'Expense Details'!Z15</f>
        <v>326836.51999999996</v>
      </c>
      <c r="BR55" s="30">
        <f>'Expense Details'!AA15</f>
        <v>324614.63999999996</v>
      </c>
      <c r="BS55" s="30">
        <f>'Expense Details'!AB15</f>
        <v>332101.76000000001</v>
      </c>
      <c r="BT55" s="30">
        <f>'Expense Details'!AC15</f>
        <v>332738.67</v>
      </c>
      <c r="BU55" s="30">
        <f>'Expense Details'!AD15</f>
        <v>375442.89000000007</v>
      </c>
      <c r="BV55" s="30">
        <f>'Expense Details'!AE15</f>
        <v>269697.27</v>
      </c>
      <c r="BW55" s="30">
        <f>'Expense Details'!AF15</f>
        <v>352253.75999999995</v>
      </c>
      <c r="BX55" s="30">
        <f>'Expense Details'!AG15</f>
        <v>389386.76</v>
      </c>
      <c r="BY55" s="30">
        <f>'Expense Details'!AH15</f>
        <v>382807.7699999999</v>
      </c>
      <c r="BZ55" s="30">
        <f>'Expense Details'!AI15</f>
        <v>353143.36</v>
      </c>
      <c r="CA55" s="30">
        <f>'Expense Details'!AJ15</f>
        <v>356624.08</v>
      </c>
      <c r="CB55" s="30">
        <f>'Expense Details'!AK15</f>
        <v>343795.45</v>
      </c>
      <c r="CC55" s="30">
        <f>'Expense Details'!AL15</f>
        <v>364784.51000000007</v>
      </c>
      <c r="CD55" s="30">
        <f>'Expense Details'!AM15</f>
        <v>361992.18000000005</v>
      </c>
      <c r="CE55" s="30">
        <f>'Expense Details'!AN15</f>
        <v>348355.88</v>
      </c>
      <c r="CF55" s="30">
        <f>'Expense Details'!AO15</f>
        <v>308946.18000000005</v>
      </c>
      <c r="CG55" s="30">
        <f>'Expense Details'!AP15</f>
        <v>343114.77</v>
      </c>
      <c r="CH55" s="30">
        <f>'Expense Details'!AQ15</f>
        <v>426851.07</v>
      </c>
      <c r="CI55" s="30">
        <f>'Expense Details'!AR15</f>
        <v>485125.99999999994</v>
      </c>
      <c r="CJ55" s="30">
        <f>'Expense Details'!AS15</f>
        <v>441815.74999999994</v>
      </c>
      <c r="CK55" s="30">
        <f>'Expense Details'!AT15</f>
        <v>593565.97000000009</v>
      </c>
      <c r="CL55" s="30">
        <f>'Expense Details'!AU15</f>
        <v>553664.84</v>
      </c>
      <c r="CM55" s="30">
        <f>'Expense Details'!AV15</f>
        <v>686737.72407184553</v>
      </c>
      <c r="CN55" s="30">
        <f>'Expense Details'!AW15</f>
        <v>671834.91783355305</v>
      </c>
      <c r="CO55" s="30">
        <f>'Expense Details'!AX15</f>
        <v>688455.77607101854</v>
      </c>
      <c r="CP55" s="30">
        <f>'Expense Details'!AY15</f>
        <v>706806.51808717265</v>
      </c>
      <c r="CQ55" s="30">
        <f>'Expense Details'!AZ15</f>
        <v>744633.63641544955</v>
      </c>
      <c r="CR55" s="30">
        <f>'Expense Details'!BA15</f>
        <v>766734.78013170534</v>
      </c>
      <c r="CS55" s="30">
        <f>'Expense Details'!BB15</f>
        <v>764959.97037172748</v>
      </c>
      <c r="CT55" s="30">
        <f>'Expense Details'!BC15</f>
        <v>839745.35607438697</v>
      </c>
      <c r="CU55" s="30">
        <f>CU75*CU76/12</f>
        <v>897817.06082956574</v>
      </c>
      <c r="CV55" s="30">
        <f t="shared" ref="CV55:FA55" si="643">CV75*CV76/12</f>
        <v>899462.97361676686</v>
      </c>
      <c r="CW55" s="30">
        <f t="shared" si="643"/>
        <v>901108.88640396798</v>
      </c>
      <c r="CX55" s="30">
        <f t="shared" si="643"/>
        <v>902754.79919116898</v>
      </c>
      <c r="CY55" s="30">
        <f t="shared" si="643"/>
        <v>904400.71197836997</v>
      </c>
      <c r="CZ55" s="30">
        <f t="shared" si="643"/>
        <v>906046.62476557109</v>
      </c>
      <c r="DA55" s="30">
        <f t="shared" si="643"/>
        <v>906046.62476557109</v>
      </c>
      <c r="DB55" s="30">
        <f t="shared" si="643"/>
        <v>907692.53755277221</v>
      </c>
      <c r="DC55" s="30">
        <f t="shared" si="643"/>
        <v>909338.45033997332</v>
      </c>
      <c r="DD55" s="30">
        <f t="shared" si="643"/>
        <v>910984.36312717432</v>
      </c>
      <c r="DE55" s="30">
        <f t="shared" si="643"/>
        <v>912630.27591437532</v>
      </c>
      <c r="DF55" s="30">
        <f t="shared" si="643"/>
        <v>914276.18870157644</v>
      </c>
      <c r="DG55" s="30">
        <f t="shared" si="643"/>
        <v>1012603.7424026186</v>
      </c>
      <c r="DH55" s="30">
        <f t="shared" si="643"/>
        <v>1065217.4866685818</v>
      </c>
      <c r="DI55" s="30">
        <f t="shared" si="643"/>
        <v>1117831.2309345452</v>
      </c>
      <c r="DJ55" s="30">
        <f t="shared" si="643"/>
        <v>1170444.9752005083</v>
      </c>
      <c r="DK55" s="30">
        <f t="shared" si="643"/>
        <v>1223058.7194664716</v>
      </c>
      <c r="DL55" s="30">
        <f t="shared" si="643"/>
        <v>1275672.4637324347</v>
      </c>
      <c r="DM55" s="30">
        <f t="shared" si="643"/>
        <v>1275672.4637324347</v>
      </c>
      <c r="DN55" s="30">
        <f t="shared" si="643"/>
        <v>1328286.207998398</v>
      </c>
      <c r="DO55" s="30">
        <f t="shared" si="643"/>
        <v>1380899.9522643613</v>
      </c>
      <c r="DP55" s="30">
        <f t="shared" si="643"/>
        <v>1433513.6965303246</v>
      </c>
      <c r="DQ55" s="30">
        <f t="shared" si="643"/>
        <v>1486127.4407962877</v>
      </c>
      <c r="DR55" s="30">
        <f t="shared" si="643"/>
        <v>1538741.1850622511</v>
      </c>
      <c r="DS55" s="30">
        <f t="shared" si="643"/>
        <v>1627878.4392530397</v>
      </c>
      <c r="DT55" s="30">
        <f t="shared" si="643"/>
        <v>1640078.6341907156</v>
      </c>
      <c r="DU55" s="30">
        <f t="shared" si="643"/>
        <v>1652278.8291283913</v>
      </c>
      <c r="DV55" s="30">
        <f t="shared" si="643"/>
        <v>1664479.0240660673</v>
      </c>
      <c r="DW55" s="30">
        <f t="shared" si="643"/>
        <v>1676679.2190037433</v>
      </c>
      <c r="DX55" s="30">
        <f t="shared" si="643"/>
        <v>1688879.4139414195</v>
      </c>
      <c r="DY55" s="30">
        <f t="shared" si="643"/>
        <v>1688879.4139414195</v>
      </c>
      <c r="DZ55" s="30">
        <f t="shared" si="643"/>
        <v>1701079.6088790959</v>
      </c>
      <c r="EA55" s="30">
        <f t="shared" si="643"/>
        <v>1713279.8038167718</v>
      </c>
      <c r="EB55" s="30">
        <f t="shared" si="643"/>
        <v>1725479.9987544476</v>
      </c>
      <c r="EC55" s="30">
        <f t="shared" si="643"/>
        <v>1737680.1936921235</v>
      </c>
      <c r="ED55" s="30">
        <f t="shared" si="643"/>
        <v>1749880.3886297995</v>
      </c>
      <c r="EE55" s="30">
        <f t="shared" si="643"/>
        <v>1897375.1694872845</v>
      </c>
      <c r="EF55" s="30">
        <f t="shared" si="643"/>
        <v>1957375.9309132798</v>
      </c>
      <c r="EG55" s="30">
        <f t="shared" si="643"/>
        <v>2017376.6923392753</v>
      </c>
      <c r="EH55" s="30">
        <f t="shared" si="643"/>
        <v>2077377.4537652705</v>
      </c>
      <c r="EI55" s="30">
        <f t="shared" si="643"/>
        <v>2137378.215191266</v>
      </c>
      <c r="EJ55" s="30">
        <f t="shared" si="643"/>
        <v>2197378.9766172604</v>
      </c>
      <c r="EK55" s="30">
        <f t="shared" si="643"/>
        <v>2197378.9766172604</v>
      </c>
      <c r="EL55" s="30">
        <f t="shared" si="643"/>
        <v>2257379.7380432552</v>
      </c>
      <c r="EM55" s="30">
        <f t="shared" si="643"/>
        <v>2317380.4994692504</v>
      </c>
      <c r="EN55" s="30">
        <f t="shared" si="643"/>
        <v>2377381.2608952462</v>
      </c>
      <c r="EO55" s="30">
        <f t="shared" si="643"/>
        <v>2437382.0223212414</v>
      </c>
      <c r="EP55" s="30">
        <f t="shared" si="643"/>
        <v>2497382.7837472367</v>
      </c>
      <c r="EQ55" s="30">
        <f t="shared" si="643"/>
        <v>2723567.7850500606</v>
      </c>
      <c r="ER55" s="30">
        <f t="shared" si="643"/>
        <v>2824883.6471655234</v>
      </c>
      <c r="ES55" s="30">
        <f t="shared" si="643"/>
        <v>2926199.5092809852</v>
      </c>
      <c r="ET55" s="30">
        <f t="shared" si="643"/>
        <v>3027515.3713964471</v>
      </c>
      <c r="EU55" s="30">
        <f t="shared" si="643"/>
        <v>3128831.2335119098</v>
      </c>
      <c r="EV55" s="30">
        <f t="shared" si="643"/>
        <v>3230147.0956273726</v>
      </c>
      <c r="EW55" s="30">
        <f t="shared" si="643"/>
        <v>3230147.0956273726</v>
      </c>
      <c r="EX55" s="30">
        <f t="shared" si="643"/>
        <v>3331462.9577428359</v>
      </c>
      <c r="EY55" s="30">
        <f t="shared" si="643"/>
        <v>3432778.8198582977</v>
      </c>
      <c r="EZ55" s="30">
        <f t="shared" si="643"/>
        <v>3534094.6819737596</v>
      </c>
      <c r="FA55" s="30">
        <f t="shared" si="643"/>
        <v>3635410.5440892223</v>
      </c>
      <c r="FB55" s="30">
        <f>FB75*FB76/12</f>
        <v>3736726.4062046842</v>
      </c>
    </row>
    <row r="56" spans="2:158" s="99" customFormat="1" x14ac:dyDescent="0.25">
      <c r="C56" s="2" t="s">
        <v>483</v>
      </c>
      <c r="D56" s="50">
        <f t="shared" si="606"/>
        <v>3727913.7199999997</v>
      </c>
      <c r="E56" s="50">
        <f t="shared" si="606"/>
        <v>5652518.6200000001</v>
      </c>
      <c r="F56" s="50">
        <f t="shared" si="606"/>
        <v>5606982.7299999995</v>
      </c>
      <c r="G56" s="50">
        <f t="shared" si="606"/>
        <v>9721950.6698641367</v>
      </c>
      <c r="H56" s="50">
        <f>H11*H84</f>
        <v>13124999.999999994</v>
      </c>
      <c r="I56" s="50">
        <f>I11*I84</f>
        <v>19359374.999999996</v>
      </c>
      <c r="J56" s="50">
        <f>J11*J84</f>
        <v>28071093.749999996</v>
      </c>
      <c r="K56" s="50">
        <f>K11*K84</f>
        <v>40001308.59375</v>
      </c>
      <c r="L56" s="50">
        <f>L11*L84</f>
        <v>56001832.031249993</v>
      </c>
      <c r="M56" s="102"/>
      <c r="N56" s="55">
        <f t="shared" si="607"/>
        <v>885612.78999999992</v>
      </c>
      <c r="O56" s="55">
        <f t="shared" si="608"/>
        <v>600337.14999999991</v>
      </c>
      <c r="P56" s="55">
        <f t="shared" si="609"/>
        <v>1354322.34</v>
      </c>
      <c r="Q56" s="55">
        <f t="shared" si="610"/>
        <v>887641.44</v>
      </c>
      <c r="R56" s="55">
        <f t="shared" si="611"/>
        <v>1557533.74</v>
      </c>
      <c r="S56" s="55">
        <f t="shared" si="612"/>
        <v>1412618.0200000003</v>
      </c>
      <c r="T56" s="55">
        <f t="shared" si="613"/>
        <v>1431174.41</v>
      </c>
      <c r="U56" s="55">
        <f t="shared" si="614"/>
        <v>1251192.45</v>
      </c>
      <c r="V56" s="55">
        <f t="shared" si="615"/>
        <v>1351074.5899999999</v>
      </c>
      <c r="W56" s="55">
        <f t="shared" si="616"/>
        <v>950748.87000000011</v>
      </c>
      <c r="X56" s="55">
        <f t="shared" si="617"/>
        <v>1382466.0700000003</v>
      </c>
      <c r="Y56" s="55">
        <f t="shared" si="618"/>
        <v>1922693.2000000002</v>
      </c>
      <c r="Z56" s="55">
        <f t="shared" si="619"/>
        <v>1676320.82</v>
      </c>
      <c r="AA56" s="55">
        <f t="shared" si="620"/>
        <v>2143006.5572901294</v>
      </c>
      <c r="AB56" s="55">
        <f t="shared" si="621"/>
        <v>3495602.6884361771</v>
      </c>
      <c r="AC56" s="55">
        <f t="shared" si="622"/>
        <v>2407020.6041378295</v>
      </c>
      <c r="AD56" s="55">
        <f t="shared" si="623"/>
        <v>2712866.9222605722</v>
      </c>
      <c r="AE56" s="55">
        <f t="shared" si="624"/>
        <v>2559341.1300709145</v>
      </c>
      <c r="AF56" s="55">
        <f t="shared" si="625"/>
        <v>3977657.5618146067</v>
      </c>
      <c r="AG56" s="55">
        <f t="shared" si="626"/>
        <v>3875134.385853901</v>
      </c>
      <c r="AH56" s="55">
        <f t="shared" si="627"/>
        <v>4001478.7103343448</v>
      </c>
      <c r="AI56" s="55">
        <f t="shared" si="628"/>
        <v>3775028.1668546004</v>
      </c>
      <c r="AJ56" s="55">
        <f t="shared" si="629"/>
        <v>5867044.9036765471</v>
      </c>
      <c r="AK56" s="55">
        <f t="shared" si="630"/>
        <v>5715823.2191345049</v>
      </c>
      <c r="AL56" s="55">
        <f t="shared" si="631"/>
        <v>5802144.1299847998</v>
      </c>
      <c r="AM56" s="55">
        <f t="shared" si="632"/>
        <v>5473790.8419391708</v>
      </c>
      <c r="AN56" s="55">
        <f t="shared" si="633"/>
        <v>8507215.1103309933</v>
      </c>
      <c r="AO56" s="55">
        <f t="shared" si="634"/>
        <v>8287943.6677450333</v>
      </c>
      <c r="AP56" s="55">
        <f t="shared" si="635"/>
        <v>8268055.3852283414</v>
      </c>
      <c r="AQ56" s="55">
        <f t="shared" si="636"/>
        <v>7800151.9497633185</v>
      </c>
      <c r="AR56" s="55">
        <f t="shared" si="637"/>
        <v>12122781.532221667</v>
      </c>
      <c r="AS56" s="55">
        <f t="shared" si="638"/>
        <v>11810319.726536673</v>
      </c>
      <c r="AT56" s="55">
        <f t="shared" si="639"/>
        <v>11575277.539319677</v>
      </c>
      <c r="AU56" s="55">
        <f t="shared" si="640"/>
        <v>10920212.729668645</v>
      </c>
      <c r="AV56" s="55">
        <f t="shared" si="641"/>
        <v>16971894.145110331</v>
      </c>
      <c r="AW56" s="55">
        <f t="shared" si="642"/>
        <v>16534447.61715134</v>
      </c>
      <c r="AX56" s="102"/>
      <c r="AY56" s="243">
        <f>'Expense Details'!H16</f>
        <v>259916.64</v>
      </c>
      <c r="AZ56" s="243">
        <f>'Expense Details'!I16</f>
        <v>391330.02999999997</v>
      </c>
      <c r="BA56" s="243">
        <f>'Expense Details'!J16</f>
        <v>234366.12</v>
      </c>
      <c r="BB56" s="243">
        <f>'Expense Details'!K16</f>
        <v>182249.62</v>
      </c>
      <c r="BC56" s="243">
        <f>'Expense Details'!L16</f>
        <v>165192.31</v>
      </c>
      <c r="BD56" s="243">
        <f>'Expense Details'!M16</f>
        <v>252895.21999999997</v>
      </c>
      <c r="BE56" s="243">
        <f>'Expense Details'!N16</f>
        <v>213109.52000000002</v>
      </c>
      <c r="BF56" s="243">
        <f>'Expense Details'!O16</f>
        <v>617011.21000000008</v>
      </c>
      <c r="BG56" s="243">
        <f>'Expense Details'!P16</f>
        <v>524201.61</v>
      </c>
      <c r="BH56" s="243">
        <f>'Expense Details'!Q16</f>
        <v>267711.3</v>
      </c>
      <c r="BI56" s="243">
        <f>'Expense Details'!R16</f>
        <v>268150.63</v>
      </c>
      <c r="BJ56" s="243">
        <f>'Expense Details'!S16</f>
        <v>351779.51</v>
      </c>
      <c r="BK56" s="243">
        <f>'Expense Details'!T16</f>
        <v>702830.42999999993</v>
      </c>
      <c r="BL56" s="243">
        <f>'Expense Details'!U16</f>
        <v>451288.59</v>
      </c>
      <c r="BM56" s="243">
        <f>'Expense Details'!V16</f>
        <v>403414.71999999991</v>
      </c>
      <c r="BN56" s="243">
        <f>'Expense Details'!W16</f>
        <v>939182.88000000024</v>
      </c>
      <c r="BO56" s="243">
        <f>'Expense Details'!X16</f>
        <v>249970.65000000002</v>
      </c>
      <c r="BP56" s="243">
        <f>'Expense Details'!Y16</f>
        <v>223464.49000000002</v>
      </c>
      <c r="BQ56" s="243">
        <f>'Expense Details'!Z16</f>
        <v>255558.13999999998</v>
      </c>
      <c r="BR56" s="243">
        <f>'Expense Details'!AA16</f>
        <v>703679.26999999979</v>
      </c>
      <c r="BS56" s="243">
        <f>'Expense Details'!AB16</f>
        <v>471937.00000000006</v>
      </c>
      <c r="BT56" s="243">
        <f>'Expense Details'!AC16</f>
        <v>387898.3</v>
      </c>
      <c r="BU56" s="243">
        <f>'Expense Details'!AD16</f>
        <v>411343.27</v>
      </c>
      <c r="BV56" s="243">
        <f>'Expense Details'!AE16</f>
        <v>451950.87999999995</v>
      </c>
      <c r="BW56" s="243">
        <f>'Expense Details'!AF16</f>
        <v>498389.83999999997</v>
      </c>
      <c r="BX56" s="243">
        <f>'Expense Details'!AG16</f>
        <v>385966.35</v>
      </c>
      <c r="BY56" s="243">
        <f>'Expense Details'!AH16</f>
        <v>466718.39999999997</v>
      </c>
      <c r="BZ56" s="243">
        <f>'Expense Details'!AI16</f>
        <v>362881.23</v>
      </c>
      <c r="CA56" s="243">
        <f>'Expense Details'!AJ16</f>
        <v>246399.13999999998</v>
      </c>
      <c r="CB56" s="243">
        <f>'Expense Details'!AK16</f>
        <v>341468.50000000006</v>
      </c>
      <c r="CC56" s="243">
        <f>'Expense Details'!AL16</f>
        <v>376615.8</v>
      </c>
      <c r="CD56" s="243">
        <f>'Expense Details'!AM16</f>
        <v>584215.13000000012</v>
      </c>
      <c r="CE56" s="243">
        <f>'Expense Details'!AN16</f>
        <v>421635.14</v>
      </c>
      <c r="CF56" s="243">
        <f>'Expense Details'!AO16</f>
        <v>536284.73</v>
      </c>
      <c r="CG56" s="243">
        <f>'Expense Details'!AP16</f>
        <v>587876.32999999996</v>
      </c>
      <c r="CH56" s="243">
        <f>'Expense Details'!AQ16</f>
        <v>798532.14</v>
      </c>
      <c r="CI56" s="243">
        <f>'Expense Details'!AR16</f>
        <v>539270.21000000008</v>
      </c>
      <c r="CJ56" s="243">
        <f>'Expense Details'!AS16</f>
        <v>484616.29</v>
      </c>
      <c r="CK56" s="243">
        <f>'Expense Details'!AT16</f>
        <v>652434.32000000007</v>
      </c>
      <c r="CL56" s="243">
        <f>'Expense Details'!AU16</f>
        <v>615791.22</v>
      </c>
      <c r="CM56" s="243">
        <f>'Expense Details'!AV16</f>
        <v>779970.93216949201</v>
      </c>
      <c r="CN56" s="243">
        <f>'Expense Details'!AW16</f>
        <v>747244.40512063738</v>
      </c>
      <c r="CO56" s="243">
        <f>'Expense Details'!AX16</f>
        <v>935662.85118837119</v>
      </c>
      <c r="CP56" s="243">
        <f>'Expense Details'!AY16</f>
        <v>896790.7902902402</v>
      </c>
      <c r="CQ56" s="243">
        <f>'Expense Details'!AZ16</f>
        <v>1663149.0469575657</v>
      </c>
      <c r="CR56" s="243">
        <f>'Expense Details'!BA16</f>
        <v>772284.98496572149</v>
      </c>
      <c r="CS56" s="243">
        <f>'Expense Details'!BB16</f>
        <v>540495.78823383269</v>
      </c>
      <c r="CT56" s="243">
        <f>'Expense Details'!BC16</f>
        <v>1094239.8309382757</v>
      </c>
      <c r="CU56" s="90">
        <f t="shared" ref="CU56:DZ56" si="644">INDEX($D56:$L56,1,MATCH(CU$2,$D$2:$L$2,))*CU91</f>
        <v>947340.79778964887</v>
      </c>
      <c r="CV56" s="243">
        <f t="shared" si="644"/>
        <v>778866.16596645687</v>
      </c>
      <c r="CW56" s="243">
        <f t="shared" si="644"/>
        <v>986659.95850446646</v>
      </c>
      <c r="CX56" s="243">
        <f t="shared" si="644"/>
        <v>840392.53254626319</v>
      </c>
      <c r="CY56" s="243">
        <f t="shared" si="644"/>
        <v>814884.47961738007</v>
      </c>
      <c r="CZ56" s="243">
        <f t="shared" si="644"/>
        <v>904064.11790727149</v>
      </c>
      <c r="DA56" s="243">
        <f t="shared" si="644"/>
        <v>1072387.0693140116</v>
      </c>
      <c r="DB56" s="243">
        <f t="shared" si="644"/>
        <v>1289125.1876168037</v>
      </c>
      <c r="DC56" s="243">
        <f t="shared" si="644"/>
        <v>1616145.3048837916</v>
      </c>
      <c r="DD56" s="243">
        <f t="shared" si="644"/>
        <v>1148982.9341934614</v>
      </c>
      <c r="DE56" s="243">
        <f t="shared" si="644"/>
        <v>1052904.4691940979</v>
      </c>
      <c r="DF56" s="243">
        <f t="shared" si="644"/>
        <v>1673246.9824663415</v>
      </c>
      <c r="DG56" s="243">
        <f t="shared" si="644"/>
        <v>1397327.6767397325</v>
      </c>
      <c r="DH56" s="243">
        <f t="shared" si="644"/>
        <v>1148827.5948005242</v>
      </c>
      <c r="DI56" s="243">
        <f t="shared" si="644"/>
        <v>1455323.4387940883</v>
      </c>
      <c r="DJ56" s="243">
        <f t="shared" si="644"/>
        <v>1239578.9855057385</v>
      </c>
      <c r="DK56" s="243">
        <f t="shared" si="644"/>
        <v>1201954.607435636</v>
      </c>
      <c r="DL56" s="243">
        <f t="shared" si="644"/>
        <v>1333494.5739132257</v>
      </c>
      <c r="DM56" s="243">
        <f t="shared" si="644"/>
        <v>1581770.9272381675</v>
      </c>
      <c r="DN56" s="243">
        <f t="shared" si="644"/>
        <v>1901459.6517347861</v>
      </c>
      <c r="DO56" s="243">
        <f t="shared" si="644"/>
        <v>2383814.3247035933</v>
      </c>
      <c r="DP56" s="243">
        <f t="shared" si="644"/>
        <v>1694749.8279353559</v>
      </c>
      <c r="DQ56" s="243">
        <f t="shared" si="644"/>
        <v>1553034.0920612949</v>
      </c>
      <c r="DR56" s="243">
        <f t="shared" si="644"/>
        <v>2468039.299137854</v>
      </c>
      <c r="DS56" s="243">
        <f t="shared" si="644"/>
        <v>2026125.1312726121</v>
      </c>
      <c r="DT56" s="243">
        <f t="shared" si="644"/>
        <v>1665800.0124607601</v>
      </c>
      <c r="DU56" s="243">
        <f t="shared" si="644"/>
        <v>2110218.9862514283</v>
      </c>
      <c r="DV56" s="243">
        <f t="shared" si="644"/>
        <v>1797389.528983321</v>
      </c>
      <c r="DW56" s="243">
        <f t="shared" si="644"/>
        <v>1742834.1807816722</v>
      </c>
      <c r="DX56" s="243">
        <f t="shared" si="644"/>
        <v>1933567.1321741773</v>
      </c>
      <c r="DY56" s="243">
        <f t="shared" si="644"/>
        <v>2293567.844495343</v>
      </c>
      <c r="DZ56" s="243">
        <f t="shared" si="644"/>
        <v>2757116.49501544</v>
      </c>
      <c r="EA56" s="243">
        <f t="shared" ref="EA56:FB56" si="645">INDEX($D56:$L56,1,MATCH(EA$2,$D$2:$L$2,))*EA91</f>
        <v>3456530.7708202102</v>
      </c>
      <c r="EB56" s="243">
        <f t="shared" si="645"/>
        <v>2457387.2505062665</v>
      </c>
      <c r="EC56" s="243">
        <f t="shared" si="645"/>
        <v>2251899.433488878</v>
      </c>
      <c r="ED56" s="243">
        <f t="shared" si="645"/>
        <v>3578656.9837498888</v>
      </c>
      <c r="EE56" s="243">
        <f t="shared" si="645"/>
        <v>2887228.3120634728</v>
      </c>
      <c r="EF56" s="243">
        <f t="shared" si="645"/>
        <v>2373765.0177565836</v>
      </c>
      <c r="EG56" s="243">
        <f t="shared" si="645"/>
        <v>3007062.0554082855</v>
      </c>
      <c r="EH56" s="243">
        <f t="shared" si="645"/>
        <v>2561280.0788012329</v>
      </c>
      <c r="EI56" s="243">
        <f t="shared" si="645"/>
        <v>2483538.7076138831</v>
      </c>
      <c r="EJ56" s="243">
        <f t="shared" si="645"/>
        <v>2755333.1633482031</v>
      </c>
      <c r="EK56" s="243">
        <f t="shared" si="645"/>
        <v>3268334.1784058642</v>
      </c>
      <c r="EL56" s="243">
        <f t="shared" si="645"/>
        <v>3928891.0053970022</v>
      </c>
      <c r="EM56" s="243">
        <f t="shared" si="645"/>
        <v>4925556.3484188002</v>
      </c>
      <c r="EN56" s="243">
        <f t="shared" si="645"/>
        <v>3501776.8319714302</v>
      </c>
      <c r="EO56" s="243">
        <f t="shared" si="645"/>
        <v>3208956.6927216514</v>
      </c>
      <c r="EP56" s="243">
        <f t="shared" si="645"/>
        <v>5099586.2018435923</v>
      </c>
      <c r="EQ56" s="243">
        <f t="shared" si="645"/>
        <v>4042119.6368888612</v>
      </c>
      <c r="ER56" s="243">
        <f t="shared" si="645"/>
        <v>3323271.0248592165</v>
      </c>
      <c r="ES56" s="243">
        <f t="shared" si="645"/>
        <v>4209886.8775715996</v>
      </c>
      <c r="ET56" s="243">
        <f t="shared" si="645"/>
        <v>3585792.1103217253</v>
      </c>
      <c r="EU56" s="243">
        <f t="shared" si="645"/>
        <v>3476954.1906594359</v>
      </c>
      <c r="EV56" s="243">
        <f t="shared" si="645"/>
        <v>3857466.428687484</v>
      </c>
      <c r="EW56" s="243">
        <f t="shared" si="645"/>
        <v>4575667.8497682093</v>
      </c>
      <c r="EX56" s="243">
        <f t="shared" si="645"/>
        <v>5500447.4075558027</v>
      </c>
      <c r="EY56" s="243">
        <f t="shared" si="645"/>
        <v>6895778.8877863195</v>
      </c>
      <c r="EZ56" s="243">
        <f t="shared" si="645"/>
        <v>4902487.5647600014</v>
      </c>
      <c r="FA56" s="243">
        <f t="shared" si="645"/>
        <v>4492539.3698103111</v>
      </c>
      <c r="FB56" s="243">
        <f t="shared" si="645"/>
        <v>7139420.682581028</v>
      </c>
    </row>
    <row r="57" spans="2:158" s="99" customFormat="1" x14ac:dyDescent="0.25">
      <c r="C57" s="102" t="s">
        <v>2</v>
      </c>
      <c r="D57" s="50">
        <f t="shared" si="606"/>
        <v>466004.63</v>
      </c>
      <c r="E57" s="50">
        <f t="shared" si="606"/>
        <v>854513.66000000015</v>
      </c>
      <c r="F57" s="50">
        <f t="shared" si="606"/>
        <v>661805.24</v>
      </c>
      <c r="G57" s="50">
        <f t="shared" si="606"/>
        <v>771728.90576913755</v>
      </c>
      <c r="H57" s="50">
        <f t="shared" si="606"/>
        <v>1056216.3441155865</v>
      </c>
      <c r="I57" s="50">
        <f t="shared" si="606"/>
        <v>1487104.6026809223</v>
      </c>
      <c r="J57" s="50">
        <f t="shared" si="606"/>
        <v>1968797.1805058303</v>
      </c>
      <c r="K57" s="50">
        <f t="shared" si="606"/>
        <v>2561576.3315929123</v>
      </c>
      <c r="L57" s="50">
        <f t="shared" si="606"/>
        <v>3765517.2074415814</v>
      </c>
      <c r="M57" s="102"/>
      <c r="N57" s="55">
        <f t="shared" si="607"/>
        <v>88470.709999999992</v>
      </c>
      <c r="O57" s="55">
        <f t="shared" si="608"/>
        <v>106515.92000000001</v>
      </c>
      <c r="P57" s="55">
        <f t="shared" si="609"/>
        <v>121813.69</v>
      </c>
      <c r="Q57" s="55">
        <f t="shared" si="610"/>
        <v>149204.31</v>
      </c>
      <c r="R57" s="55">
        <f t="shared" si="611"/>
        <v>153702.69</v>
      </c>
      <c r="S57" s="55">
        <f t="shared" si="612"/>
        <v>200512.81000000003</v>
      </c>
      <c r="T57" s="55">
        <f t="shared" si="613"/>
        <v>270601.59000000003</v>
      </c>
      <c r="U57" s="55">
        <f t="shared" si="614"/>
        <v>229696.57</v>
      </c>
      <c r="V57" s="55">
        <f t="shared" si="615"/>
        <v>161111.12</v>
      </c>
      <c r="W57" s="55">
        <f t="shared" si="616"/>
        <v>159208.01</v>
      </c>
      <c r="X57" s="55">
        <f t="shared" si="617"/>
        <v>155652.18</v>
      </c>
      <c r="Y57" s="55">
        <f t="shared" si="618"/>
        <v>185833.93</v>
      </c>
      <c r="Z57" s="55">
        <f t="shared" si="619"/>
        <v>159555.31</v>
      </c>
      <c r="AA57" s="55">
        <f t="shared" si="620"/>
        <v>172583.65385467093</v>
      </c>
      <c r="AB57" s="55">
        <f t="shared" si="621"/>
        <v>208215.23747260225</v>
      </c>
      <c r="AC57" s="55">
        <f t="shared" si="622"/>
        <v>231374.70444186428</v>
      </c>
      <c r="AD57" s="55">
        <f t="shared" si="623"/>
        <v>262135.37683743486</v>
      </c>
      <c r="AE57" s="55">
        <f t="shared" si="624"/>
        <v>263574.40873103112</v>
      </c>
      <c r="AF57" s="55">
        <f t="shared" si="625"/>
        <v>264533.76332676207</v>
      </c>
      <c r="AG57" s="55">
        <f t="shared" si="626"/>
        <v>265972.7952203583</v>
      </c>
      <c r="AH57" s="55">
        <f t="shared" si="627"/>
        <v>310442.11431950016</v>
      </c>
      <c r="AI57" s="55">
        <f t="shared" si="628"/>
        <v>356442.64158254792</v>
      </c>
      <c r="AJ57" s="55">
        <f t="shared" si="629"/>
        <v>387109.65975791309</v>
      </c>
      <c r="AK57" s="55">
        <f t="shared" si="630"/>
        <v>433110.1870209609</v>
      </c>
      <c r="AL57" s="55">
        <f t="shared" si="631"/>
        <v>477977.01898486959</v>
      </c>
      <c r="AM57" s="55">
        <f t="shared" si="632"/>
        <v>488643.7260910605</v>
      </c>
      <c r="AN57" s="55">
        <f t="shared" si="633"/>
        <v>495754.86416185461</v>
      </c>
      <c r="AO57" s="55">
        <f t="shared" si="634"/>
        <v>506421.5712680454</v>
      </c>
      <c r="AP57" s="55">
        <f t="shared" si="635"/>
        <v>570448.69251181907</v>
      </c>
      <c r="AQ57" s="55">
        <f t="shared" si="636"/>
        <v>622907.73530162591</v>
      </c>
      <c r="AR57" s="55">
        <f t="shared" si="637"/>
        <v>657880.43049483025</v>
      </c>
      <c r="AS57" s="55">
        <f t="shared" si="638"/>
        <v>710339.47328463709</v>
      </c>
      <c r="AT57" s="55">
        <f t="shared" si="639"/>
        <v>823271.17523699929</v>
      </c>
      <c r="AU57" s="55">
        <f t="shared" si="640"/>
        <v>911852.27020454605</v>
      </c>
      <c r="AV57" s="55">
        <f t="shared" si="641"/>
        <v>970906.33351624408</v>
      </c>
      <c r="AW57" s="55">
        <f t="shared" si="642"/>
        <v>1059487.428483791</v>
      </c>
      <c r="AX57" s="102"/>
      <c r="AY57" s="243">
        <f>'Expense Details'!H17</f>
        <v>17537.980000000003</v>
      </c>
      <c r="AZ57" s="243">
        <f>'Expense Details'!I17</f>
        <v>43007.35</v>
      </c>
      <c r="BA57" s="243">
        <f>'Expense Details'!J17</f>
        <v>27925.379999999994</v>
      </c>
      <c r="BB57" s="243">
        <f>'Expense Details'!K17</f>
        <v>31379.010000000002</v>
      </c>
      <c r="BC57" s="243">
        <f>'Expense Details'!L17</f>
        <v>27208.98</v>
      </c>
      <c r="BD57" s="243">
        <f>'Expense Details'!M17</f>
        <v>47927.93</v>
      </c>
      <c r="BE57" s="243">
        <f>'Expense Details'!N17</f>
        <v>40449.819999999992</v>
      </c>
      <c r="BF57" s="243">
        <f>'Expense Details'!O17</f>
        <v>35502.89</v>
      </c>
      <c r="BG57" s="243">
        <f>'Expense Details'!P17</f>
        <v>45860.98</v>
      </c>
      <c r="BH57" s="243">
        <f>'Expense Details'!Q17</f>
        <v>45621.98</v>
      </c>
      <c r="BI57" s="243">
        <f>'Expense Details'!R17</f>
        <v>39866.36</v>
      </c>
      <c r="BJ57" s="243">
        <f>'Expense Details'!S17</f>
        <v>63715.97</v>
      </c>
      <c r="BK57" s="243">
        <f>'Expense Details'!T17</f>
        <v>48803.030000000006</v>
      </c>
      <c r="BL57" s="243">
        <f>'Expense Details'!U17</f>
        <v>64460.509999999995</v>
      </c>
      <c r="BM57" s="243">
        <f>'Expense Details'!V17</f>
        <v>40439.15</v>
      </c>
      <c r="BN57" s="243">
        <f>'Expense Details'!W17</f>
        <v>74386.849999999991</v>
      </c>
      <c r="BO57" s="243">
        <f>'Expense Details'!X17</f>
        <v>69784.360000000015</v>
      </c>
      <c r="BP57" s="243">
        <f>'Expense Details'!Y17</f>
        <v>56341.600000000006</v>
      </c>
      <c r="BQ57" s="243">
        <f>'Expense Details'!Z17</f>
        <v>58375.07</v>
      </c>
      <c r="BR57" s="243">
        <f>'Expense Details'!AA17</f>
        <v>141381.45000000001</v>
      </c>
      <c r="BS57" s="243">
        <f>'Expense Details'!AB17</f>
        <v>70845.070000000007</v>
      </c>
      <c r="BT57" s="243">
        <f>'Expense Details'!AC17</f>
        <v>59406.259999999995</v>
      </c>
      <c r="BU57" s="243">
        <f>'Expense Details'!AD17</f>
        <v>66762.53</v>
      </c>
      <c r="BV57" s="243">
        <f>'Expense Details'!AE17</f>
        <v>103527.78</v>
      </c>
      <c r="BW57" s="243">
        <f>'Expense Details'!AF17</f>
        <v>66862.37999999999</v>
      </c>
      <c r="BX57" s="243">
        <f>'Expense Details'!AG17</f>
        <v>44190.33</v>
      </c>
      <c r="BY57" s="243">
        <f>'Expense Details'!AH17</f>
        <v>50058.41</v>
      </c>
      <c r="BZ57" s="243">
        <f>'Expense Details'!AI17</f>
        <v>43299.799999999996</v>
      </c>
      <c r="CA57" s="243">
        <f>'Expense Details'!AJ17</f>
        <v>51973.689999999995</v>
      </c>
      <c r="CB57" s="243">
        <f>'Expense Details'!AK17</f>
        <v>63934.520000000004</v>
      </c>
      <c r="CC57" s="243">
        <f>'Expense Details'!AL17</f>
        <v>47210.009999999995</v>
      </c>
      <c r="CD57" s="243">
        <f>'Expense Details'!AM17</f>
        <v>57055.75</v>
      </c>
      <c r="CE57" s="243">
        <f>'Expense Details'!AN17</f>
        <v>51386.42</v>
      </c>
      <c r="CF57" s="243">
        <f>'Expense Details'!AO17</f>
        <v>76544.77</v>
      </c>
      <c r="CG57" s="243">
        <f>'Expense Details'!AP17</f>
        <v>66803.22</v>
      </c>
      <c r="CH57" s="243">
        <f>'Expense Details'!AQ17</f>
        <v>42485.94</v>
      </c>
      <c r="CI57" s="243">
        <f>'Expense Details'!AR17</f>
        <v>47405.21</v>
      </c>
      <c r="CJ57" s="243">
        <f>'Expense Details'!AS17</f>
        <v>57483.659999999996</v>
      </c>
      <c r="CK57" s="243">
        <f>'Expense Details'!AT17</f>
        <v>54666.439999999995</v>
      </c>
      <c r="CL57" s="243">
        <f>'Expense Details'!AU17</f>
        <v>44032.109999999993</v>
      </c>
      <c r="CM57" s="243">
        <f>'Expense Details'!AV17</f>
        <v>62847.397427571268</v>
      </c>
      <c r="CN57" s="243">
        <f>'Expense Details'!AW17</f>
        <v>65704.14642709968</v>
      </c>
      <c r="CO57" s="243">
        <f>'Expense Details'!AX17</f>
        <v>66730.912853093279</v>
      </c>
      <c r="CP57" s="243">
        <f>'Expense Details'!AY17</f>
        <v>69108.916973177198</v>
      </c>
      <c r="CQ57" s="243">
        <f>'Expense Details'!AZ17</f>
        <v>72375.407646331791</v>
      </c>
      <c r="CR57" s="243">
        <f>'Expense Details'!BA17</f>
        <v>73296.158615187334</v>
      </c>
      <c r="CS57" s="243">
        <f>'Expense Details'!BB17</f>
        <v>76780.903018263198</v>
      </c>
      <c r="CT57" s="243">
        <f>'Expense Details'!BC17</f>
        <v>81297.642808413759</v>
      </c>
      <c r="CU57" s="243">
        <f t="shared" ref="CU57:DZ57" si="646">CU55*CU88</f>
        <v>87218.566513189799</v>
      </c>
      <c r="CV57" s="243">
        <f t="shared" si="646"/>
        <v>87378.45894581161</v>
      </c>
      <c r="CW57" s="243">
        <f t="shared" si="646"/>
        <v>87538.351378433435</v>
      </c>
      <c r="CX57" s="243">
        <f t="shared" si="646"/>
        <v>87698.243811055232</v>
      </c>
      <c r="CY57" s="243">
        <f t="shared" si="646"/>
        <v>87858.136243677043</v>
      </c>
      <c r="CZ57" s="243">
        <f t="shared" si="646"/>
        <v>88018.028676298869</v>
      </c>
      <c r="DA57" s="243">
        <f t="shared" si="646"/>
        <v>88018.028676298869</v>
      </c>
      <c r="DB57" s="243">
        <f t="shared" si="646"/>
        <v>88177.92110892068</v>
      </c>
      <c r="DC57" s="243">
        <f t="shared" si="646"/>
        <v>88337.813541542491</v>
      </c>
      <c r="DD57" s="243">
        <f t="shared" si="646"/>
        <v>88497.705974164302</v>
      </c>
      <c r="DE57" s="243">
        <f t="shared" si="646"/>
        <v>88657.598406786114</v>
      </c>
      <c r="DF57" s="243">
        <f t="shared" si="646"/>
        <v>88817.490839407925</v>
      </c>
      <c r="DG57" s="243">
        <f t="shared" si="646"/>
        <v>98369.535077272536</v>
      </c>
      <c r="DH57" s="243">
        <f t="shared" si="646"/>
        <v>103480.70477316673</v>
      </c>
      <c r="DI57" s="243">
        <f t="shared" si="646"/>
        <v>108591.87446906093</v>
      </c>
      <c r="DJ57" s="243">
        <f t="shared" si="646"/>
        <v>113703.04416495512</v>
      </c>
      <c r="DK57" s="243">
        <f t="shared" si="646"/>
        <v>118814.21386084933</v>
      </c>
      <c r="DL57" s="243">
        <f t="shared" si="646"/>
        <v>123925.3835567435</v>
      </c>
      <c r="DM57" s="243">
        <f t="shared" si="646"/>
        <v>123925.3835567435</v>
      </c>
      <c r="DN57" s="243">
        <f t="shared" si="646"/>
        <v>129036.55325263771</v>
      </c>
      <c r="DO57" s="243">
        <f t="shared" si="646"/>
        <v>134147.72294853191</v>
      </c>
      <c r="DP57" s="243">
        <f t="shared" si="646"/>
        <v>139258.89264442612</v>
      </c>
      <c r="DQ57" s="243">
        <f t="shared" si="646"/>
        <v>144370.06234032029</v>
      </c>
      <c r="DR57" s="243">
        <f t="shared" si="646"/>
        <v>149481.2320362145</v>
      </c>
      <c r="DS57" s="243">
        <f t="shared" si="646"/>
        <v>158140.48331649089</v>
      </c>
      <c r="DT57" s="243">
        <f t="shared" si="646"/>
        <v>159325.67299495655</v>
      </c>
      <c r="DU57" s="243">
        <f t="shared" si="646"/>
        <v>160510.86267342218</v>
      </c>
      <c r="DV57" s="243">
        <f t="shared" si="646"/>
        <v>161696.05235188783</v>
      </c>
      <c r="DW57" s="243">
        <f t="shared" si="646"/>
        <v>162881.24203035349</v>
      </c>
      <c r="DX57" s="243">
        <f t="shared" si="646"/>
        <v>164066.43170881917</v>
      </c>
      <c r="DY57" s="243">
        <f t="shared" si="646"/>
        <v>164066.43170881917</v>
      </c>
      <c r="DZ57" s="243">
        <f t="shared" si="646"/>
        <v>165251.62138728486</v>
      </c>
      <c r="EA57" s="243">
        <f t="shared" ref="EA57:FB57" si="647">EA55*EA88</f>
        <v>166436.81106575052</v>
      </c>
      <c r="EB57" s="243">
        <f t="shared" si="647"/>
        <v>167622.00074421614</v>
      </c>
      <c r="EC57" s="243">
        <f t="shared" si="647"/>
        <v>168807.1904226818</v>
      </c>
      <c r="ED57" s="243">
        <f t="shared" si="647"/>
        <v>169992.38010114746</v>
      </c>
      <c r="EE57" s="243">
        <f t="shared" si="647"/>
        <v>184320.78163840558</v>
      </c>
      <c r="EF57" s="243">
        <f t="shared" si="647"/>
        <v>190149.56417060635</v>
      </c>
      <c r="EG57" s="243">
        <f t="shared" si="647"/>
        <v>195978.34670280712</v>
      </c>
      <c r="EH57" s="243">
        <f t="shared" si="647"/>
        <v>201807.12923500789</v>
      </c>
      <c r="EI57" s="243">
        <f t="shared" si="647"/>
        <v>207635.91176720866</v>
      </c>
      <c r="EJ57" s="243">
        <f t="shared" si="647"/>
        <v>213464.69429940934</v>
      </c>
      <c r="EK57" s="243">
        <f t="shared" si="647"/>
        <v>213464.69429940934</v>
      </c>
      <c r="EL57" s="243">
        <f t="shared" si="647"/>
        <v>219293.47683161005</v>
      </c>
      <c r="EM57" s="243">
        <f t="shared" si="647"/>
        <v>225122.25936381082</v>
      </c>
      <c r="EN57" s="243">
        <f t="shared" si="647"/>
        <v>230951.04189601162</v>
      </c>
      <c r="EO57" s="243">
        <f t="shared" si="647"/>
        <v>236779.82442821236</v>
      </c>
      <c r="EP57" s="243">
        <f t="shared" si="647"/>
        <v>242608.60696041313</v>
      </c>
      <c r="EQ57" s="243">
        <f t="shared" si="647"/>
        <v>264581.38119371678</v>
      </c>
      <c r="ER57" s="243">
        <f t="shared" si="647"/>
        <v>274423.72507899976</v>
      </c>
      <c r="ES57" s="243">
        <f t="shared" si="647"/>
        <v>284266.06896428269</v>
      </c>
      <c r="ET57" s="243">
        <f t="shared" si="647"/>
        <v>294108.41284956568</v>
      </c>
      <c r="EU57" s="243">
        <f t="shared" si="647"/>
        <v>303950.75673484866</v>
      </c>
      <c r="EV57" s="243">
        <f t="shared" si="647"/>
        <v>313793.10062013171</v>
      </c>
      <c r="EW57" s="243">
        <f t="shared" si="647"/>
        <v>313793.10062013171</v>
      </c>
      <c r="EX57" s="243">
        <f t="shared" si="647"/>
        <v>323635.44450541475</v>
      </c>
      <c r="EY57" s="243">
        <f t="shared" si="647"/>
        <v>333477.78839069774</v>
      </c>
      <c r="EZ57" s="243">
        <f t="shared" si="647"/>
        <v>343320.13227598066</v>
      </c>
      <c r="FA57" s="243">
        <f t="shared" si="647"/>
        <v>353162.47616126371</v>
      </c>
      <c r="FB57" s="243">
        <f t="shared" si="647"/>
        <v>363004.82004654664</v>
      </c>
    </row>
    <row r="58" spans="2:158" s="99" customFormat="1" x14ac:dyDescent="0.25">
      <c r="C58" s="102"/>
      <c r="D58" s="50"/>
      <c r="E58" s="50"/>
      <c r="F58" s="50"/>
      <c r="G58" s="50"/>
      <c r="H58" s="50"/>
      <c r="I58" s="50"/>
      <c r="J58" s="50"/>
      <c r="K58" s="50"/>
      <c r="L58" s="50"/>
      <c r="M58" s="102"/>
      <c r="N58" s="55"/>
      <c r="O58" s="55"/>
      <c r="P58" s="55"/>
      <c r="Q58" s="55"/>
      <c r="R58" s="55"/>
      <c r="S58" s="55"/>
      <c r="T58" s="55"/>
      <c r="U58" s="55"/>
      <c r="V58" s="55"/>
      <c r="W58" s="55"/>
      <c r="X58" s="55"/>
      <c r="Y58" s="55"/>
      <c r="Z58" s="55"/>
      <c r="AA58" s="55"/>
      <c r="AB58" s="55"/>
      <c r="AC58" s="55"/>
      <c r="AD58" s="55"/>
      <c r="AE58" s="55"/>
      <c r="AF58" s="55"/>
      <c r="AG58" s="55"/>
      <c r="AH58" s="55"/>
      <c r="AI58" s="55"/>
      <c r="AJ58" s="55"/>
      <c r="AK58" s="55"/>
      <c r="AL58" s="55"/>
      <c r="AM58" s="55"/>
      <c r="AN58" s="55"/>
      <c r="AO58" s="55"/>
      <c r="AP58" s="55"/>
      <c r="AQ58" s="55"/>
      <c r="AR58" s="55"/>
      <c r="AS58" s="55"/>
      <c r="AT58" s="55"/>
      <c r="AU58" s="55"/>
      <c r="AV58" s="55"/>
      <c r="AW58" s="55"/>
      <c r="AX58" s="102"/>
      <c r="AY58" s="243"/>
      <c r="AZ58" s="243"/>
      <c r="BA58" s="243"/>
      <c r="BB58" s="243"/>
      <c r="BC58" s="243"/>
      <c r="BD58" s="243"/>
      <c r="BE58" s="243"/>
      <c r="BF58" s="243"/>
      <c r="BG58" s="243"/>
      <c r="BH58" s="243"/>
      <c r="BI58" s="243"/>
      <c r="BJ58" s="243"/>
      <c r="BK58" s="243"/>
      <c r="BL58" s="243"/>
      <c r="BM58" s="243"/>
      <c r="BN58" s="243"/>
      <c r="BO58" s="243"/>
      <c r="BP58" s="243"/>
      <c r="BQ58" s="243"/>
      <c r="BR58" s="243"/>
      <c r="BS58" s="243"/>
      <c r="BT58" s="243"/>
      <c r="BU58" s="243"/>
      <c r="BV58" s="243"/>
      <c r="BW58" s="243"/>
      <c r="BX58" s="243"/>
      <c r="BY58" s="243"/>
      <c r="BZ58" s="243"/>
      <c r="CA58" s="243"/>
      <c r="CB58" s="243"/>
      <c r="CC58" s="243"/>
      <c r="CD58" s="243"/>
      <c r="CE58" s="243"/>
      <c r="CF58" s="243"/>
      <c r="CG58" s="243"/>
      <c r="CH58" s="243"/>
      <c r="CI58" s="243"/>
      <c r="CJ58" s="243"/>
      <c r="CK58" s="243"/>
      <c r="CL58" s="243"/>
      <c r="CM58" s="243"/>
      <c r="CN58" s="243"/>
      <c r="CO58" s="243"/>
      <c r="CP58" s="243"/>
      <c r="CQ58" s="243"/>
      <c r="CR58" s="243"/>
      <c r="CS58" s="243"/>
      <c r="CT58" s="243"/>
      <c r="CU58" s="243"/>
      <c r="CV58" s="243"/>
      <c r="CW58" s="243"/>
      <c r="CX58" s="243"/>
      <c r="CY58" s="243"/>
      <c r="CZ58" s="243"/>
      <c r="DA58" s="243"/>
      <c r="DB58" s="243"/>
      <c r="DC58" s="243"/>
      <c r="DD58" s="243"/>
      <c r="DE58" s="243"/>
      <c r="DF58" s="243"/>
      <c r="DG58" s="243"/>
      <c r="DH58" s="243"/>
      <c r="DI58" s="243"/>
      <c r="DJ58" s="243"/>
      <c r="DK58" s="243"/>
      <c r="DL58" s="243"/>
      <c r="DM58" s="243"/>
      <c r="DN58" s="243"/>
      <c r="DO58" s="243"/>
      <c r="DP58" s="243"/>
      <c r="DQ58" s="243"/>
      <c r="DR58" s="243"/>
      <c r="DS58" s="243"/>
      <c r="DT58" s="243"/>
      <c r="DU58" s="243"/>
      <c r="DV58" s="243"/>
      <c r="DW58" s="243"/>
      <c r="DX58" s="243"/>
      <c r="DY58" s="243"/>
      <c r="DZ58" s="243"/>
      <c r="EA58" s="243"/>
      <c r="EB58" s="243"/>
      <c r="EC58" s="243"/>
      <c r="ED58" s="243"/>
      <c r="EE58" s="243"/>
      <c r="EF58" s="243"/>
      <c r="EG58" s="243"/>
      <c r="EH58" s="243"/>
      <c r="EI58" s="243"/>
      <c r="EJ58" s="243"/>
      <c r="EK58" s="243"/>
      <c r="EL58" s="243"/>
      <c r="EM58" s="243"/>
      <c r="EN58" s="243"/>
      <c r="EO58" s="243"/>
      <c r="EP58" s="243"/>
      <c r="EQ58" s="243"/>
      <c r="ER58" s="243"/>
      <c r="ES58" s="243"/>
      <c r="ET58" s="243"/>
      <c r="EU58" s="243"/>
      <c r="EV58" s="243"/>
      <c r="EW58" s="243"/>
      <c r="EX58" s="243"/>
      <c r="EY58" s="243"/>
      <c r="EZ58" s="243"/>
      <c r="FA58" s="243"/>
      <c r="FB58" s="243"/>
    </row>
    <row r="59" spans="2:158" s="99" customFormat="1" x14ac:dyDescent="0.25">
      <c r="C59" s="1" t="s">
        <v>566</v>
      </c>
      <c r="D59" s="50"/>
      <c r="E59" s="50"/>
      <c r="F59" s="50"/>
      <c r="G59" s="50"/>
      <c r="H59" s="50"/>
      <c r="I59" s="50"/>
      <c r="J59" s="50"/>
      <c r="K59" s="50"/>
      <c r="L59" s="50"/>
      <c r="M59" s="102"/>
      <c r="N59" s="55"/>
      <c r="O59" s="55"/>
      <c r="P59" s="55"/>
      <c r="Q59" s="55"/>
      <c r="R59" s="55"/>
      <c r="S59" s="55"/>
      <c r="T59" s="55"/>
      <c r="U59" s="55"/>
      <c r="V59" s="55"/>
      <c r="W59" s="55"/>
      <c r="X59" s="55"/>
      <c r="Y59" s="55"/>
      <c r="Z59" s="55"/>
      <c r="AA59" s="55"/>
      <c r="AB59" s="55"/>
      <c r="AC59" s="55"/>
      <c r="AD59" s="55"/>
      <c r="AE59" s="55"/>
      <c r="AF59" s="55"/>
      <c r="AG59" s="55"/>
      <c r="AH59" s="55"/>
      <c r="AI59" s="55"/>
      <c r="AJ59" s="55"/>
      <c r="AK59" s="55"/>
      <c r="AL59" s="55"/>
      <c r="AM59" s="55"/>
      <c r="AN59" s="55"/>
      <c r="AO59" s="55"/>
      <c r="AP59" s="55"/>
      <c r="AQ59" s="55"/>
      <c r="AR59" s="55"/>
      <c r="AS59" s="55"/>
      <c r="AT59" s="55"/>
      <c r="AU59" s="55"/>
      <c r="AV59" s="55"/>
      <c r="AW59" s="55"/>
      <c r="AX59" s="102"/>
      <c r="AY59" s="243"/>
      <c r="AZ59" s="243"/>
      <c r="BA59" s="243"/>
      <c r="BB59" s="243"/>
      <c r="BC59" s="243"/>
      <c r="BD59" s="243"/>
      <c r="BE59" s="243"/>
      <c r="BF59" s="243"/>
      <c r="BG59" s="243"/>
      <c r="BH59" s="243"/>
      <c r="BI59" s="243"/>
      <c r="BJ59" s="243"/>
      <c r="BK59" s="243"/>
      <c r="BL59" s="243"/>
      <c r="BM59" s="243"/>
      <c r="BN59" s="243"/>
      <c r="BO59" s="243"/>
      <c r="BP59" s="243"/>
      <c r="BQ59" s="243"/>
      <c r="BR59" s="243"/>
      <c r="BS59" s="243"/>
      <c r="BT59" s="243"/>
      <c r="BU59" s="243"/>
      <c r="BV59" s="243"/>
      <c r="BW59" s="243"/>
      <c r="BX59" s="243"/>
      <c r="BY59" s="243"/>
      <c r="BZ59" s="243"/>
      <c r="CA59" s="243"/>
      <c r="CB59" s="243"/>
      <c r="CC59" s="243"/>
      <c r="CD59" s="243"/>
      <c r="CE59" s="243"/>
      <c r="CF59" s="243"/>
      <c r="CG59" s="243"/>
      <c r="CH59" s="243"/>
      <c r="CI59" s="243"/>
      <c r="CJ59" s="243"/>
      <c r="CK59" s="243"/>
      <c r="CL59" s="243"/>
      <c r="CM59" s="243"/>
      <c r="CN59" s="243"/>
      <c r="CO59" s="243"/>
      <c r="CP59" s="243"/>
      <c r="CQ59" s="243"/>
      <c r="CR59" s="243"/>
      <c r="CS59" s="243"/>
      <c r="CT59" s="243"/>
      <c r="CU59" s="243"/>
      <c r="CV59" s="243"/>
      <c r="CW59" s="243"/>
      <c r="CX59" s="243"/>
      <c r="CY59" s="243"/>
      <c r="CZ59" s="243"/>
      <c r="DA59" s="243"/>
      <c r="DB59" s="243"/>
      <c r="DC59" s="243"/>
      <c r="DD59" s="243"/>
      <c r="DE59" s="243"/>
      <c r="DF59" s="243"/>
      <c r="DG59" s="243"/>
      <c r="DH59" s="243"/>
      <c r="DI59" s="243"/>
      <c r="DJ59" s="243"/>
      <c r="DK59" s="243"/>
      <c r="DL59" s="243"/>
      <c r="DM59" s="243"/>
      <c r="DN59" s="243"/>
      <c r="DO59" s="243"/>
      <c r="DP59" s="243"/>
      <c r="DQ59" s="243"/>
      <c r="DR59" s="243"/>
      <c r="DS59" s="243"/>
      <c r="DT59" s="243"/>
      <c r="DU59" s="243"/>
      <c r="DV59" s="243"/>
      <c r="DW59" s="243"/>
      <c r="DX59" s="243"/>
      <c r="DY59" s="243"/>
      <c r="DZ59" s="243"/>
      <c r="EA59" s="243"/>
      <c r="EB59" s="243"/>
      <c r="EC59" s="243"/>
      <c r="ED59" s="243"/>
      <c r="EE59" s="243"/>
      <c r="EF59" s="243"/>
      <c r="EG59" s="243"/>
      <c r="EH59" s="243"/>
      <c r="EI59" s="243"/>
      <c r="EJ59" s="243"/>
      <c r="EK59" s="243"/>
      <c r="EL59" s="243"/>
      <c r="EM59" s="243"/>
      <c r="EN59" s="243"/>
      <c r="EO59" s="243"/>
      <c r="EP59" s="243"/>
      <c r="EQ59" s="243"/>
      <c r="ER59" s="243"/>
      <c r="ES59" s="243"/>
      <c r="ET59" s="243"/>
      <c r="EU59" s="243"/>
      <c r="EV59" s="243"/>
      <c r="EW59" s="243"/>
      <c r="EX59" s="243"/>
      <c r="EY59" s="243"/>
      <c r="EZ59" s="243"/>
      <c r="FA59" s="243"/>
      <c r="FB59" s="243"/>
    </row>
    <row r="60" spans="2:158" x14ac:dyDescent="0.25">
      <c r="B60" s="99"/>
      <c r="C60" s="2" t="s">
        <v>349</v>
      </c>
      <c r="D60" s="50">
        <f t="shared" ref="D60:L65" si="648">SUMIF($AY$2:$FB$2,D$2,$AY60:$FB60)</f>
        <v>2663648.92</v>
      </c>
      <c r="E60" s="50">
        <f t="shared" si="648"/>
        <v>5330891.04</v>
      </c>
      <c r="F60" s="50">
        <f t="shared" si="648"/>
        <v>7807403.5200000014</v>
      </c>
      <c r="G60" s="50">
        <f t="shared" si="648"/>
        <v>14832702.194985373</v>
      </c>
      <c r="H60" s="50">
        <f t="shared" si="648"/>
        <v>21632546.694225904</v>
      </c>
      <c r="I60" s="50">
        <f t="shared" si="648"/>
        <v>33267871.283708531</v>
      </c>
      <c r="J60" s="50">
        <f t="shared" si="648"/>
        <v>50116548.145962469</v>
      </c>
      <c r="K60" s="50">
        <f t="shared" si="648"/>
        <v>74330683.213688999</v>
      </c>
      <c r="L60" s="50">
        <f t="shared" si="648"/>
        <v>107069610.73278628</v>
      </c>
      <c r="N60" s="68">
        <f t="shared" ref="N60:N62" si="649">SUM(AY60:BA60)</f>
        <v>459611.73</v>
      </c>
      <c r="O60" s="68">
        <f t="shared" ref="O60:O62" si="650">SUM(BB60:BD60)</f>
        <v>622070.11</v>
      </c>
      <c r="P60" s="68">
        <f t="shared" ref="P60:P62" si="651">SUM(BE60:BG60)</f>
        <v>733946.34000000008</v>
      </c>
      <c r="Q60" s="68">
        <f t="shared" ref="Q60:Q62" si="652">SUM(BH60:BJ60)</f>
        <v>848020.74</v>
      </c>
      <c r="R60" s="68">
        <f t="shared" ref="R60:R62" si="653">SUM(BK60:BM60)</f>
        <v>971827.84000000008</v>
      </c>
      <c r="S60" s="68">
        <f t="shared" ref="S60:S62" si="654">SUM(BN60:BP60)</f>
        <v>1173129.27</v>
      </c>
      <c r="T60" s="68">
        <f t="shared" ref="T60:T62" si="655">SUM(BQ60:BS60)</f>
        <v>1468175.53</v>
      </c>
      <c r="U60" s="68">
        <f t="shared" ref="U60:U62" si="656">SUM(BT60:BV60)</f>
        <v>1717758.4</v>
      </c>
      <c r="V60" s="68">
        <f t="shared" ref="V60:V62" si="657">SUM(BW60:BY60)</f>
        <v>1850185.0700000003</v>
      </c>
      <c r="W60" s="68">
        <f t="shared" ref="W60:W62" si="658">SUM(BZ60:CB60)</f>
        <v>1834929.2000000002</v>
      </c>
      <c r="X60" s="68">
        <f t="shared" ref="X60:X62" si="659">SUM(CC60:CE60)</f>
        <v>2006262.35</v>
      </c>
      <c r="Y60" s="68">
        <f t="shared" ref="Y60:Y62" si="660">SUM(CF60:CH60)</f>
        <v>2116026.9</v>
      </c>
      <c r="Z60" s="68">
        <f t="shared" ref="Z60:Z62" si="661">SUM(CI60:CK60)</f>
        <v>2937278.79</v>
      </c>
      <c r="AA60" s="68">
        <f t="shared" ref="AA60:AA62" si="662">SUM(CL60:CN60)</f>
        <v>3746234.1393213132</v>
      </c>
      <c r="AB60" s="68">
        <f t="shared" ref="AB60:AB62" si="663">SUM(CO60:CQ60)</f>
        <v>3956019.8346114485</v>
      </c>
      <c r="AC60" s="68">
        <f t="shared" ref="AC60:AC62" si="664">SUM(CR60:CT60)</f>
        <v>4193169.4310526093</v>
      </c>
      <c r="AD60" s="68">
        <f t="shared" ref="AD60:AD62" si="665">SUM(CU60:CW60)</f>
        <v>4678890.7652082033</v>
      </c>
      <c r="AE60" s="68">
        <f t="shared" ref="AE60:AE62" si="666">SUM(CX60:CZ60)</f>
        <v>5119059.912437303</v>
      </c>
      <c r="AF60" s="68">
        <f t="shared" ref="AF60:AF62" si="667">SUM(DA60:DC60)</f>
        <v>5609693.9709146572</v>
      </c>
      <c r="AG60" s="68">
        <f t="shared" ref="AG60:AG62" si="668">SUM(DD60:DF60)</f>
        <v>6224902.0456657447</v>
      </c>
      <c r="AH60" s="68">
        <f t="shared" ref="AH60:AH62" si="669">SUM(DG60:DI60)</f>
        <v>7215843.2655606586</v>
      </c>
      <c r="AI60" s="68">
        <f t="shared" ref="AI60:AI62" si="670">SUM(DJ60:DL60)</f>
        <v>7897116.1947351871</v>
      </c>
      <c r="AJ60" s="68">
        <f t="shared" ref="AJ60:AJ62" si="671">SUM(DM60:DO60)</f>
        <v>8642492.120476963</v>
      </c>
      <c r="AK60" s="68">
        <f t="shared" ref="AK60:AK62" si="672">SUM(DP60:DR60)</f>
        <v>9512419.7029357255</v>
      </c>
      <c r="AL60" s="68">
        <f t="shared" ref="AL60:AL62" si="673">SUM(DS60:DU60)</f>
        <v>10941804.970069744</v>
      </c>
      <c r="AM60" s="68">
        <f t="shared" ref="AM60:AM62" si="674">SUM(DV60:DX60)</f>
        <v>11923363.368601598</v>
      </c>
      <c r="AN60" s="68">
        <f t="shared" ref="AN60:AN62" si="675">SUM(DY60:EA60)</f>
        <v>12998020.784440486</v>
      </c>
      <c r="AO60" s="68">
        <f t="shared" ref="AO60:AO62" si="676">SUM(EB60:ED60)</f>
        <v>14253359.022850633</v>
      </c>
      <c r="AP60" s="68">
        <f t="shared" ref="AP60:AP62" si="677">SUM(EE60:EG60)</f>
        <v>16334487.610797111</v>
      </c>
      <c r="AQ60" s="68">
        <f t="shared" ref="AQ60:AQ62" si="678">SUM(EH60:EJ60)</f>
        <v>17723889.247893885</v>
      </c>
      <c r="AR60" s="68">
        <f t="shared" ref="AR60:AR62" si="679">SUM(EK60:EM60)</f>
        <v>19246181.137866262</v>
      </c>
      <c r="AS60" s="68">
        <f t="shared" ref="AS60:AS62" si="680">SUM(EN60:EP60)</f>
        <v>21026125.217131749</v>
      </c>
      <c r="AT60" s="68">
        <f t="shared" ref="AT60:AT62" si="681">SUM(EQ60:ES60)</f>
        <v>23907238.295929357</v>
      </c>
      <c r="AU60" s="68">
        <f t="shared" ref="AU60:AU62" si="682">SUM(ET60:EV60)</f>
        <v>25674918.632434078</v>
      </c>
      <c r="AV60" s="68">
        <f t="shared" ref="AV60:AV62" si="683">SUM(EW60:EY60)</f>
        <v>27609338.689463049</v>
      </c>
      <c r="AW60" s="68">
        <f t="shared" ref="AW60:AW62" si="684">SUM(EZ60:FB60)</f>
        <v>29878115.114959791</v>
      </c>
      <c r="AY60" s="30">
        <f>'Expense Details'!H20</f>
        <v>153246.78</v>
      </c>
      <c r="AZ60" s="30">
        <f>'Expense Details'!I20</f>
        <v>150155.03</v>
      </c>
      <c r="BA60" s="30">
        <f>'Expense Details'!J20</f>
        <v>156209.91999999998</v>
      </c>
      <c r="BB60" s="30">
        <f>'Expense Details'!K20</f>
        <v>196821.89</v>
      </c>
      <c r="BC60" s="30">
        <f>'Expense Details'!L20</f>
        <v>205720.12</v>
      </c>
      <c r="BD60" s="30">
        <f>'Expense Details'!M20</f>
        <v>219528.09999999998</v>
      </c>
      <c r="BE60" s="30">
        <f>'Expense Details'!N20</f>
        <v>238576.74000000002</v>
      </c>
      <c r="BF60" s="30">
        <f>'Expense Details'!O20</f>
        <v>244130.66999999998</v>
      </c>
      <c r="BG60" s="30">
        <f>'Expense Details'!P20</f>
        <v>251238.93</v>
      </c>
      <c r="BH60" s="30">
        <f>'Expense Details'!Q20</f>
        <v>277974</v>
      </c>
      <c r="BI60" s="30">
        <f>'Expense Details'!R20</f>
        <v>262235.59999999998</v>
      </c>
      <c r="BJ60" s="30">
        <f>'Expense Details'!S20</f>
        <v>307811.13999999996</v>
      </c>
      <c r="BK60" s="30">
        <f>'Expense Details'!T20</f>
        <v>308468.25</v>
      </c>
      <c r="BL60" s="30">
        <f>'Expense Details'!U20</f>
        <v>323225.75</v>
      </c>
      <c r="BM60" s="30">
        <f>'Expense Details'!V20</f>
        <v>340133.84</v>
      </c>
      <c r="BN60" s="30">
        <f>'Expense Details'!W20</f>
        <v>367260.77000000008</v>
      </c>
      <c r="BO60" s="30">
        <f>'Expense Details'!X20</f>
        <v>385199.62999999995</v>
      </c>
      <c r="BP60" s="30">
        <f>'Expense Details'!Y20</f>
        <v>420668.87</v>
      </c>
      <c r="BQ60" s="30">
        <f>'Expense Details'!Z20</f>
        <v>470844.18000000005</v>
      </c>
      <c r="BR60" s="30">
        <f>'Expense Details'!AA20</f>
        <v>457048.16</v>
      </c>
      <c r="BS60" s="30">
        <f>'Expense Details'!AB20</f>
        <v>540283.18999999994</v>
      </c>
      <c r="BT60" s="30">
        <f>'Expense Details'!AC20</f>
        <v>533254.12000000011</v>
      </c>
      <c r="BU60" s="30">
        <f>'Expense Details'!AD20</f>
        <v>577730.3899999999</v>
      </c>
      <c r="BV60" s="30">
        <f>'Expense Details'!AE20</f>
        <v>606773.8899999999</v>
      </c>
      <c r="BW60" s="30">
        <f>'Expense Details'!AF20</f>
        <v>684753.15000000014</v>
      </c>
      <c r="BX60" s="30">
        <f>'Expense Details'!AG20</f>
        <v>596273.69000000006</v>
      </c>
      <c r="BY60" s="30">
        <f>'Expense Details'!AH20</f>
        <v>569158.23</v>
      </c>
      <c r="BZ60" s="30">
        <f>'Expense Details'!AI20</f>
        <v>685539.02</v>
      </c>
      <c r="CA60" s="30">
        <f>'Expense Details'!AJ20</f>
        <v>575307.66</v>
      </c>
      <c r="CB60" s="30">
        <f>'Expense Details'!AK20</f>
        <v>574082.52</v>
      </c>
      <c r="CC60" s="30">
        <f>'Expense Details'!AL20</f>
        <v>645511.11</v>
      </c>
      <c r="CD60" s="30">
        <f>'Expense Details'!AM20</f>
        <v>671003.55000000005</v>
      </c>
      <c r="CE60" s="30">
        <f>'Expense Details'!AN20</f>
        <v>689747.69000000006</v>
      </c>
      <c r="CF60" s="30">
        <f>'Expense Details'!AO20</f>
        <v>682321.52999999991</v>
      </c>
      <c r="CG60" s="30">
        <f>'Expense Details'!AP20</f>
        <v>631230.91999999993</v>
      </c>
      <c r="CH60" s="30">
        <f>'Expense Details'!AQ20</f>
        <v>802474.45000000007</v>
      </c>
      <c r="CI60" s="30">
        <f>'Expense Details'!AR20</f>
        <v>910293.30999999982</v>
      </c>
      <c r="CJ60" s="30">
        <f>'Expense Details'!AS20</f>
        <v>898158.84</v>
      </c>
      <c r="CK60" s="30">
        <f>'Expense Details'!AT20</f>
        <v>1128826.6399999999</v>
      </c>
      <c r="CL60" s="30">
        <f>'Expense Details'!AU20</f>
        <v>1255866.2200000002</v>
      </c>
      <c r="CM60" s="30">
        <f>'Expense Details'!AV20</f>
        <v>1273497.3570289453</v>
      </c>
      <c r="CN60" s="30">
        <f>'Expense Details'!AW20</f>
        <v>1216870.5622923679</v>
      </c>
      <c r="CO60" s="30">
        <f>'Expense Details'!AX20</f>
        <v>1298983.6402641162</v>
      </c>
      <c r="CP60" s="30">
        <f>'Expense Details'!AY20</f>
        <v>1319251.84328744</v>
      </c>
      <c r="CQ60" s="30">
        <f>'Expense Details'!AZ20</f>
        <v>1337784.3510598924</v>
      </c>
      <c r="CR60" s="30">
        <f>'Expense Details'!BA20</f>
        <v>1362615.8833423946</v>
      </c>
      <c r="CS60" s="30">
        <f>'Expense Details'!BB20</f>
        <v>1394019.7565968125</v>
      </c>
      <c r="CT60" s="30">
        <f>'Expense Details'!BC20</f>
        <v>1436533.7911134022</v>
      </c>
      <c r="CU60" s="30">
        <f t="shared" ref="CU60:FA60" si="685">CU80*CU81/12</f>
        <v>1526011.2712336846</v>
      </c>
      <c r="CV60" s="30">
        <f t="shared" si="685"/>
        <v>1548487.254722923</v>
      </c>
      <c r="CW60" s="30">
        <f t="shared" si="685"/>
        <v>1604392.2392515959</v>
      </c>
      <c r="CX60" s="30">
        <f t="shared" si="685"/>
        <v>1654020.6394819068</v>
      </c>
      <c r="CY60" s="30">
        <f t="shared" si="685"/>
        <v>1695726.1303207297</v>
      </c>
      <c r="CZ60" s="30">
        <f t="shared" si="685"/>
        <v>1769313.1426346665</v>
      </c>
      <c r="DA60" s="30">
        <f t="shared" si="685"/>
        <v>1822459.1905225506</v>
      </c>
      <c r="DB60" s="30">
        <f t="shared" si="685"/>
        <v>1857477.8478329962</v>
      </c>
      <c r="DC60" s="30">
        <f t="shared" si="685"/>
        <v>1929756.93255911</v>
      </c>
      <c r="DD60" s="30">
        <f t="shared" si="685"/>
        <v>1992726.8942428541</v>
      </c>
      <c r="DE60" s="30">
        <f t="shared" si="685"/>
        <v>2059951.9700450951</v>
      </c>
      <c r="DF60" s="30">
        <f t="shared" si="685"/>
        <v>2172223.1813777955</v>
      </c>
      <c r="DG60" s="30">
        <f t="shared" si="685"/>
        <v>2353469.8505608789</v>
      </c>
      <c r="DH60" s="30">
        <f t="shared" si="685"/>
        <v>2389006.2851782958</v>
      </c>
      <c r="DI60" s="30">
        <f t="shared" si="685"/>
        <v>2473367.1298214835</v>
      </c>
      <c r="DJ60" s="30">
        <f t="shared" si="685"/>
        <v>2550010.8305725628</v>
      </c>
      <c r="DK60" s="30">
        <f t="shared" si="685"/>
        <v>2616792.671195115</v>
      </c>
      <c r="DL60" s="30">
        <f t="shared" si="685"/>
        <v>2730312.6929675089</v>
      </c>
      <c r="DM60" s="30">
        <f t="shared" si="685"/>
        <v>2810992.0259608999</v>
      </c>
      <c r="DN60" s="30">
        <f t="shared" si="685"/>
        <v>2862547.2710246239</v>
      </c>
      <c r="DO60" s="30">
        <f t="shared" si="685"/>
        <v>2968952.8234914392</v>
      </c>
      <c r="DP60" s="30">
        <f t="shared" si="685"/>
        <v>3057738.8976085759</v>
      </c>
      <c r="DQ60" s="30">
        <f t="shared" si="685"/>
        <v>3148719.8798394925</v>
      </c>
      <c r="DR60" s="30">
        <f t="shared" si="685"/>
        <v>3305960.9254876575</v>
      </c>
      <c r="DS60" s="30">
        <f t="shared" si="685"/>
        <v>3572840.6639991901</v>
      </c>
      <c r="DT60" s="30">
        <f t="shared" si="685"/>
        <v>3623674.2691403036</v>
      </c>
      <c r="DU60" s="30">
        <f t="shared" si="685"/>
        <v>3745290.0369302495</v>
      </c>
      <c r="DV60" s="30">
        <f t="shared" si="685"/>
        <v>3855717.6109117712</v>
      </c>
      <c r="DW60" s="30">
        <f t="shared" si="685"/>
        <v>3951866.1653759307</v>
      </c>
      <c r="DX60" s="30">
        <f t="shared" si="685"/>
        <v>4115779.592313895</v>
      </c>
      <c r="DY60" s="30">
        <f t="shared" si="685"/>
        <v>4232075.5468119374</v>
      </c>
      <c r="DZ60" s="30">
        <f t="shared" si="685"/>
        <v>4306162.5690599075</v>
      </c>
      <c r="EA60" s="30">
        <f t="shared" si="685"/>
        <v>4459782.6685686409</v>
      </c>
      <c r="EB60" s="30">
        <f t="shared" si="685"/>
        <v>4587855.6167347049</v>
      </c>
      <c r="EC60" s="30">
        <f t="shared" si="685"/>
        <v>4719098.9601441957</v>
      </c>
      <c r="ED60" s="30">
        <f t="shared" si="685"/>
        <v>4946404.445971732</v>
      </c>
      <c r="EE60" s="30">
        <f t="shared" si="685"/>
        <v>5339814.3507702034</v>
      </c>
      <c r="EF60" s="30">
        <f t="shared" si="685"/>
        <v>5411208.2093814639</v>
      </c>
      <c r="EG60" s="30">
        <f t="shared" si="685"/>
        <v>5583465.0506454455</v>
      </c>
      <c r="EH60" s="30">
        <f t="shared" si="685"/>
        <v>5739785.0625439947</v>
      </c>
      <c r="EI60" s="30">
        <f t="shared" si="685"/>
        <v>5875773.9797718124</v>
      </c>
      <c r="EJ60" s="30">
        <f t="shared" si="685"/>
        <v>6108330.2055780776</v>
      </c>
      <c r="EK60" s="30">
        <f t="shared" si="685"/>
        <v>6273037.6084234016</v>
      </c>
      <c r="EL60" s="30">
        <f t="shared" si="685"/>
        <v>6377613.7679741019</v>
      </c>
      <c r="EM60" s="30">
        <f t="shared" si="685"/>
        <v>6595529.7614687579</v>
      </c>
      <c r="EN60" s="30">
        <f t="shared" si="685"/>
        <v>6777046.7184457658</v>
      </c>
      <c r="EO60" s="30">
        <f t="shared" si="685"/>
        <v>6963079.9199949466</v>
      </c>
      <c r="EP60" s="30">
        <f t="shared" si="685"/>
        <v>7285998.5786910355</v>
      </c>
      <c r="EQ60" s="30">
        <f t="shared" si="685"/>
        <v>7840457.0101310248</v>
      </c>
      <c r="ER60" s="30">
        <f t="shared" si="685"/>
        <v>7922361.6461153412</v>
      </c>
      <c r="ES60" s="30">
        <f t="shared" si="685"/>
        <v>8144419.6396829905</v>
      </c>
      <c r="ET60" s="30">
        <f t="shared" si="685"/>
        <v>8343599.8405221431</v>
      </c>
      <c r="EU60" s="30">
        <f t="shared" si="685"/>
        <v>8513959.0795597062</v>
      </c>
      <c r="EV60" s="30">
        <f t="shared" si="685"/>
        <v>8817359.7123522293</v>
      </c>
      <c r="EW60" s="30">
        <f t="shared" si="685"/>
        <v>9026064.8223951254</v>
      </c>
      <c r="EX60" s="30">
        <f t="shared" si="685"/>
        <v>9151268.8622182086</v>
      </c>
      <c r="EY60" s="30">
        <f t="shared" si="685"/>
        <v>9432005.0048497189</v>
      </c>
      <c r="EZ60" s="30">
        <f t="shared" si="685"/>
        <v>9661871.4573200401</v>
      </c>
      <c r="FA60" s="30">
        <f t="shared" si="685"/>
        <v>9897217.0095922761</v>
      </c>
      <c r="FB60" s="30">
        <f>FB80*FB81/12</f>
        <v>10319026.648047479</v>
      </c>
    </row>
    <row r="61" spans="2:158" x14ac:dyDescent="0.25">
      <c r="B61" s="99"/>
      <c r="C61" s="2" t="s">
        <v>2</v>
      </c>
      <c r="D61" s="50">
        <f t="shared" si="648"/>
        <v>367430.11</v>
      </c>
      <c r="E61" s="50">
        <f t="shared" si="648"/>
        <v>509018.02</v>
      </c>
      <c r="F61" s="50">
        <f t="shared" si="648"/>
        <v>186311.9</v>
      </c>
      <c r="G61" s="50">
        <f t="shared" si="648"/>
        <v>339404.94213978492</v>
      </c>
      <c r="H61" s="50">
        <f t="shared" si="648"/>
        <v>495000.38243686862</v>
      </c>
      <c r="I61" s="50">
        <f t="shared" si="648"/>
        <v>761242.27263042156</v>
      </c>
      <c r="J61" s="50">
        <f t="shared" si="648"/>
        <v>1146777.161714795</v>
      </c>
      <c r="K61" s="50">
        <f t="shared" si="648"/>
        <v>1700849.9802471551</v>
      </c>
      <c r="L61" s="50">
        <f t="shared" si="648"/>
        <v>2449988.8528724327</v>
      </c>
      <c r="N61" s="16">
        <f t="shared" si="649"/>
        <v>62536.590000000004</v>
      </c>
      <c r="O61" s="16">
        <f t="shared" si="650"/>
        <v>82536.52</v>
      </c>
      <c r="P61" s="16">
        <f t="shared" si="651"/>
        <v>139654.74</v>
      </c>
      <c r="Q61" s="16">
        <f t="shared" si="652"/>
        <v>82702.259999999995</v>
      </c>
      <c r="R61" s="16">
        <f t="shared" si="653"/>
        <v>78451.88</v>
      </c>
      <c r="S61" s="16">
        <f t="shared" si="654"/>
        <v>157570.38</v>
      </c>
      <c r="T61" s="16">
        <f t="shared" si="655"/>
        <v>160095.88</v>
      </c>
      <c r="U61" s="16">
        <f t="shared" si="656"/>
        <v>112899.88</v>
      </c>
      <c r="V61" s="16">
        <f t="shared" si="657"/>
        <v>83040.790000000008</v>
      </c>
      <c r="W61" s="16">
        <f t="shared" si="658"/>
        <v>24565.19</v>
      </c>
      <c r="X61" s="16">
        <f t="shared" si="659"/>
        <v>21873.16</v>
      </c>
      <c r="Y61" s="16">
        <f t="shared" si="660"/>
        <v>56832.759999999995</v>
      </c>
      <c r="Z61" s="16">
        <f t="shared" si="661"/>
        <v>94114.650000000009</v>
      </c>
      <c r="AA61" s="16">
        <f t="shared" si="662"/>
        <v>78736.315333333332</v>
      </c>
      <c r="AB61" s="16">
        <f t="shared" si="663"/>
        <v>80553.644548387092</v>
      </c>
      <c r="AC61" s="16">
        <f t="shared" si="664"/>
        <v>86000.332258064518</v>
      </c>
      <c r="AD61" s="16">
        <f t="shared" si="665"/>
        <v>107063.34075666586</v>
      </c>
      <c r="AE61" s="16">
        <f t="shared" si="666"/>
        <v>117135.38170936012</v>
      </c>
      <c r="AF61" s="16">
        <f t="shared" si="667"/>
        <v>128362.17113992068</v>
      </c>
      <c r="AG61" s="16">
        <f t="shared" si="668"/>
        <v>142439.488830922</v>
      </c>
      <c r="AH61" s="16">
        <f t="shared" si="669"/>
        <v>165114.40962290467</v>
      </c>
      <c r="AI61" s="16">
        <f t="shared" si="670"/>
        <v>180703.43689981283</v>
      </c>
      <c r="AJ61" s="16">
        <f t="shared" si="671"/>
        <v>197759.28212768404</v>
      </c>
      <c r="AK61" s="16">
        <f t="shared" si="672"/>
        <v>217665.14398002005</v>
      </c>
      <c r="AL61" s="16">
        <f t="shared" si="673"/>
        <v>250372.63163193947</v>
      </c>
      <c r="AM61" s="16">
        <f t="shared" si="674"/>
        <v>272832.85277580854</v>
      </c>
      <c r="AN61" s="16">
        <f t="shared" si="675"/>
        <v>297423.38478057034</v>
      </c>
      <c r="AO61" s="16">
        <f t="shared" si="676"/>
        <v>326148.29252647655</v>
      </c>
      <c r="AP61" s="16">
        <f t="shared" si="677"/>
        <v>373769.10488366312</v>
      </c>
      <c r="AQ61" s="16">
        <f t="shared" si="678"/>
        <v>405561.67888998141</v>
      </c>
      <c r="AR61" s="16">
        <f t="shared" si="679"/>
        <v>440395.07499299326</v>
      </c>
      <c r="AS61" s="16">
        <f t="shared" si="680"/>
        <v>481124.12148051703</v>
      </c>
      <c r="AT61" s="16">
        <f t="shared" si="681"/>
        <v>547050.34348328039</v>
      </c>
      <c r="AU61" s="16">
        <f t="shared" si="682"/>
        <v>587498.76848677394</v>
      </c>
      <c r="AV61" s="16">
        <f t="shared" si="683"/>
        <v>631762.56606722588</v>
      </c>
      <c r="AW61" s="16">
        <f t="shared" si="684"/>
        <v>683677.17483515246</v>
      </c>
      <c r="AY61" s="243">
        <f>'Expense Details'!H21</f>
        <v>18215.940000000002</v>
      </c>
      <c r="AZ61" s="243">
        <f>'Expense Details'!I21</f>
        <v>15792.57</v>
      </c>
      <c r="BA61" s="243">
        <f>'Expense Details'!J21</f>
        <v>28528.080000000002</v>
      </c>
      <c r="BB61" s="243">
        <f>'Expense Details'!K21</f>
        <v>24980.370000000003</v>
      </c>
      <c r="BC61" s="243">
        <f>'Expense Details'!L21</f>
        <v>28992.400000000001</v>
      </c>
      <c r="BD61" s="243">
        <f>'Expense Details'!M21</f>
        <v>28563.75</v>
      </c>
      <c r="BE61" s="243">
        <f>'Expense Details'!N21</f>
        <v>44856.5</v>
      </c>
      <c r="BF61" s="243">
        <f>'Expense Details'!O21</f>
        <v>49490.710000000006</v>
      </c>
      <c r="BG61" s="243">
        <f>'Expense Details'!P21</f>
        <v>45307.53</v>
      </c>
      <c r="BH61" s="243">
        <f>'Expense Details'!Q21</f>
        <v>32753.43</v>
      </c>
      <c r="BI61" s="243">
        <f>'Expense Details'!R21</f>
        <v>23356.94</v>
      </c>
      <c r="BJ61" s="243">
        <f>'Expense Details'!S21</f>
        <v>26591.89</v>
      </c>
      <c r="BK61" s="243">
        <f>'Expense Details'!T21</f>
        <v>17928.16</v>
      </c>
      <c r="BL61" s="243">
        <f>'Expense Details'!U21</f>
        <v>31803.86</v>
      </c>
      <c r="BM61" s="243">
        <f>'Expense Details'!V21</f>
        <v>28719.86</v>
      </c>
      <c r="BN61" s="243">
        <f>'Expense Details'!W21</f>
        <v>46973.84</v>
      </c>
      <c r="BO61" s="243">
        <f>'Expense Details'!X21</f>
        <v>47194.310000000005</v>
      </c>
      <c r="BP61" s="243">
        <f>'Expense Details'!Y21</f>
        <v>63402.23</v>
      </c>
      <c r="BQ61" s="243">
        <f>'Expense Details'!Z21</f>
        <v>51814.929999999993</v>
      </c>
      <c r="BR61" s="243">
        <f>'Expense Details'!AA21</f>
        <v>59917.340000000004</v>
      </c>
      <c r="BS61" s="243">
        <f>'Expense Details'!AB21</f>
        <v>48363.61</v>
      </c>
      <c r="BT61" s="243">
        <f>'Expense Details'!AC21</f>
        <v>69792.81</v>
      </c>
      <c r="BU61" s="243">
        <f>'Expense Details'!AD21</f>
        <v>39368.540000000008</v>
      </c>
      <c r="BV61" s="243">
        <f>'Expense Details'!AE21</f>
        <v>3738.5299999999988</v>
      </c>
      <c r="BW61" s="243">
        <f>'Expense Details'!AF21</f>
        <v>61672.369999999995</v>
      </c>
      <c r="BX61" s="243">
        <f>'Expense Details'!AG21</f>
        <v>16439.32</v>
      </c>
      <c r="BY61" s="243">
        <f>'Expense Details'!AH21</f>
        <v>4929.1000000000004</v>
      </c>
      <c r="BZ61" s="243">
        <f>'Expense Details'!AI21</f>
        <v>8672.9299999999985</v>
      </c>
      <c r="CA61" s="243">
        <f>'Expense Details'!AJ21</f>
        <v>6395.14</v>
      </c>
      <c r="CB61" s="243">
        <f>'Expense Details'!AK21</f>
        <v>9497.119999999999</v>
      </c>
      <c r="CC61" s="243">
        <f>'Expense Details'!AL21</f>
        <v>7579.4900000000007</v>
      </c>
      <c r="CD61" s="243">
        <f>'Expense Details'!AM21</f>
        <v>8096.17</v>
      </c>
      <c r="CE61" s="243">
        <f>'Expense Details'!AN21</f>
        <v>6197.5</v>
      </c>
      <c r="CF61" s="243">
        <f>'Expense Details'!AO21</f>
        <v>9295.52</v>
      </c>
      <c r="CG61" s="243">
        <f>'Expense Details'!AP21</f>
        <v>14088.09</v>
      </c>
      <c r="CH61" s="243">
        <f>'Expense Details'!AQ21</f>
        <v>33449.149999999994</v>
      </c>
      <c r="CI61" s="243">
        <f>'Expense Details'!AR21</f>
        <v>30480.399999999998</v>
      </c>
      <c r="CJ61" s="243">
        <f>'Expense Details'!AS21</f>
        <v>41151.840000000004</v>
      </c>
      <c r="CK61" s="243">
        <f>'Expense Details'!AT21</f>
        <v>22482.41</v>
      </c>
      <c r="CL61" s="243">
        <f>'Expense Details'!AU21</f>
        <v>21676.769999999997</v>
      </c>
      <c r="CM61" s="243">
        <f>'Expense Details'!AV21</f>
        <v>24796.868333333332</v>
      </c>
      <c r="CN61" s="243">
        <f>'Expense Details'!AW21</f>
        <v>32262.677</v>
      </c>
      <c r="CO61" s="243">
        <f>'Expense Details'!AX21</f>
        <v>26660.102999999999</v>
      </c>
      <c r="CP61" s="243">
        <f>'Expense Details'!AY21</f>
        <v>26946.770774193545</v>
      </c>
      <c r="CQ61" s="243">
        <f>'Expense Details'!AZ21</f>
        <v>26946.770774193545</v>
      </c>
      <c r="CR61" s="243">
        <f>'Expense Details'!BA21</f>
        <v>27806.774096774192</v>
      </c>
      <c r="CS61" s="243">
        <f>'Expense Details'!BB21</f>
        <v>28953.445193548388</v>
      </c>
      <c r="CT61" s="243">
        <f>'Expense Details'!BC21</f>
        <v>29240.112967741934</v>
      </c>
      <c r="CU61" s="243">
        <f t="shared" ref="CU61:DZ61" si="686">CU60*CU89</f>
        <v>34918.503749966185</v>
      </c>
      <c r="CV61" s="243">
        <f t="shared" si="686"/>
        <v>35432.803826608913</v>
      </c>
      <c r="CW61" s="243">
        <f t="shared" si="686"/>
        <v>36712.033180090752</v>
      </c>
      <c r="CX61" s="243">
        <f t="shared" si="686"/>
        <v>37847.640440806426</v>
      </c>
      <c r="CY61" s="243">
        <f t="shared" si="686"/>
        <v>38801.954059389529</v>
      </c>
      <c r="CZ61" s="243">
        <f t="shared" si="686"/>
        <v>40485.787209164162</v>
      </c>
      <c r="DA61" s="243">
        <f t="shared" si="686"/>
        <v>41701.886007024732</v>
      </c>
      <c r="DB61" s="243">
        <f t="shared" si="686"/>
        <v>42503.190125588037</v>
      </c>
      <c r="DC61" s="243">
        <f t="shared" si="686"/>
        <v>44157.095007307908</v>
      </c>
      <c r="DD61" s="243">
        <f t="shared" si="686"/>
        <v>45597.986621045093</v>
      </c>
      <c r="DE61" s="243">
        <f t="shared" si="686"/>
        <v>47136.244631154412</v>
      </c>
      <c r="DF61" s="243">
        <f t="shared" si="686"/>
        <v>49705.257578722478</v>
      </c>
      <c r="DG61" s="243">
        <f t="shared" si="686"/>
        <v>53852.58113841145</v>
      </c>
      <c r="DH61" s="243">
        <f t="shared" si="686"/>
        <v>54665.733143799669</v>
      </c>
      <c r="DI61" s="243">
        <f t="shared" si="686"/>
        <v>56596.095340693544</v>
      </c>
      <c r="DJ61" s="243">
        <f t="shared" si="686"/>
        <v>58349.872263929661</v>
      </c>
      <c r="DK61" s="243">
        <f t="shared" si="686"/>
        <v>59877.988075500973</v>
      </c>
      <c r="DL61" s="243">
        <f t="shared" si="686"/>
        <v>62475.5765603822</v>
      </c>
      <c r="DM61" s="243">
        <f t="shared" si="686"/>
        <v>64321.697650560622</v>
      </c>
      <c r="DN61" s="243">
        <f t="shared" si="686"/>
        <v>65501.395371032042</v>
      </c>
      <c r="DO61" s="243">
        <f t="shared" si="686"/>
        <v>67936.189106091391</v>
      </c>
      <c r="DP61" s="243">
        <f t="shared" si="686"/>
        <v>69967.810313907001</v>
      </c>
      <c r="DQ61" s="243">
        <f t="shared" si="686"/>
        <v>72049.655860589963</v>
      </c>
      <c r="DR61" s="243">
        <f t="shared" si="686"/>
        <v>75647.677805523068</v>
      </c>
      <c r="DS61" s="243">
        <f t="shared" si="686"/>
        <v>81754.474869001555</v>
      </c>
      <c r="DT61" s="243">
        <f t="shared" si="686"/>
        <v>82917.659876350343</v>
      </c>
      <c r="DU61" s="243">
        <f t="shared" si="686"/>
        <v>85700.496886587556</v>
      </c>
      <c r="DV61" s="243">
        <f t="shared" si="686"/>
        <v>88227.323345120938</v>
      </c>
      <c r="DW61" s="243">
        <f t="shared" si="686"/>
        <v>90427.414342415053</v>
      </c>
      <c r="DX61" s="243">
        <f t="shared" si="686"/>
        <v>94178.115088272534</v>
      </c>
      <c r="DY61" s="243">
        <f t="shared" si="686"/>
        <v>96839.223036684227</v>
      </c>
      <c r="DZ61" s="243">
        <f t="shared" si="686"/>
        <v>98534.497516602161</v>
      </c>
      <c r="EA61" s="243">
        <f t="shared" ref="EA61:FB61" si="687">EA60*EA89</f>
        <v>102049.66422728397</v>
      </c>
      <c r="EB61" s="243">
        <f t="shared" si="687"/>
        <v>104980.2557668802</v>
      </c>
      <c r="EC61" s="243">
        <f t="shared" si="687"/>
        <v>107983.39294246442</v>
      </c>
      <c r="ED61" s="243">
        <f t="shared" si="687"/>
        <v>113184.64381713195</v>
      </c>
      <c r="EE61" s="243">
        <f t="shared" si="687"/>
        <v>122186.73016795787</v>
      </c>
      <c r="EF61" s="243">
        <f t="shared" si="687"/>
        <v>123820.37912366084</v>
      </c>
      <c r="EG61" s="243">
        <f t="shared" si="687"/>
        <v>127761.99559204442</v>
      </c>
      <c r="EH61" s="243">
        <f t="shared" si="687"/>
        <v>131338.94225329772</v>
      </c>
      <c r="EI61" s="243">
        <f t="shared" si="687"/>
        <v>134450.66862497421</v>
      </c>
      <c r="EJ61" s="243">
        <f t="shared" si="687"/>
        <v>139772.06801170949</v>
      </c>
      <c r="EK61" s="243">
        <f t="shared" si="687"/>
        <v>143540.93667756938</v>
      </c>
      <c r="EL61" s="243">
        <f t="shared" si="687"/>
        <v>145933.86986768668</v>
      </c>
      <c r="EM61" s="243">
        <f t="shared" si="687"/>
        <v>150920.26844773721</v>
      </c>
      <c r="EN61" s="243">
        <f t="shared" si="687"/>
        <v>155073.77678831451</v>
      </c>
      <c r="EO61" s="243">
        <f t="shared" si="687"/>
        <v>159330.62676600943</v>
      </c>
      <c r="EP61" s="243">
        <f t="shared" si="687"/>
        <v>166719.71792619309</v>
      </c>
      <c r="EQ61" s="243">
        <f t="shared" si="687"/>
        <v>179406.94978509384</v>
      </c>
      <c r="ER61" s="243">
        <f t="shared" si="687"/>
        <v>181281.10851030811</v>
      </c>
      <c r="ES61" s="243">
        <f t="shared" si="687"/>
        <v>186362.28518787835</v>
      </c>
      <c r="ET61" s="243">
        <f t="shared" si="687"/>
        <v>190919.96750715654</v>
      </c>
      <c r="EU61" s="243">
        <f t="shared" si="687"/>
        <v>194818.16265113172</v>
      </c>
      <c r="EV61" s="243">
        <f t="shared" si="687"/>
        <v>201760.63832848566</v>
      </c>
      <c r="EW61" s="243">
        <f t="shared" si="687"/>
        <v>206536.27157906993</v>
      </c>
      <c r="EX61" s="243">
        <f t="shared" si="687"/>
        <v>209401.2161679384</v>
      </c>
      <c r="EY61" s="243">
        <f t="shared" si="687"/>
        <v>215825.07832021755</v>
      </c>
      <c r="EZ61" s="243">
        <f t="shared" si="687"/>
        <v>221084.92976029724</v>
      </c>
      <c r="FA61" s="243">
        <f t="shared" si="687"/>
        <v>226470.15508888362</v>
      </c>
      <c r="FB61" s="243">
        <f t="shared" si="687"/>
        <v>236122.08998597151</v>
      </c>
    </row>
    <row r="62" spans="2:158" x14ac:dyDescent="0.25">
      <c r="B62" s="99"/>
      <c r="C62" s="102" t="s">
        <v>517</v>
      </c>
      <c r="D62" s="50">
        <f t="shared" si="648"/>
        <v>-1908359.3199999998</v>
      </c>
      <c r="E62" s="50">
        <f t="shared" si="648"/>
        <v>-3794260.2699999996</v>
      </c>
      <c r="F62" s="50">
        <f t="shared" si="648"/>
        <v>-6821922.493999999</v>
      </c>
      <c r="G62" s="50">
        <f t="shared" si="648"/>
        <v>-12480181.783351783</v>
      </c>
      <c r="H62" s="50">
        <f t="shared" si="648"/>
        <v>-18201546.261210512</v>
      </c>
      <c r="I62" s="50">
        <f t="shared" si="648"/>
        <v>-27991466.133945428</v>
      </c>
      <c r="J62" s="50">
        <f t="shared" si="648"/>
        <v>-42167881.684240207</v>
      </c>
      <c r="K62" s="50">
        <f t="shared" si="648"/>
        <v>-62541567.031609133</v>
      </c>
      <c r="L62" s="50">
        <f t="shared" si="648"/>
        <v>-90087981.802105039</v>
      </c>
      <c r="N62" s="16">
        <f t="shared" si="649"/>
        <v>-318277.31000000006</v>
      </c>
      <c r="O62" s="16">
        <f t="shared" si="650"/>
        <v>-434676.68</v>
      </c>
      <c r="P62" s="16">
        <f t="shared" si="651"/>
        <v>-564586.1</v>
      </c>
      <c r="Q62" s="16">
        <f t="shared" si="652"/>
        <v>-590819.23</v>
      </c>
      <c r="R62" s="16">
        <f t="shared" si="653"/>
        <v>-653639.56999999995</v>
      </c>
      <c r="S62" s="16">
        <f t="shared" si="654"/>
        <v>-846967.94</v>
      </c>
      <c r="T62" s="16">
        <f t="shared" si="655"/>
        <v>-1021482.96</v>
      </c>
      <c r="U62" s="16">
        <f t="shared" si="656"/>
        <v>-1272169.7999999998</v>
      </c>
      <c r="V62" s="16">
        <f t="shared" si="657"/>
        <v>-1700736.8900000001</v>
      </c>
      <c r="W62" s="16">
        <f t="shared" si="658"/>
        <v>-1583716.0860000001</v>
      </c>
      <c r="X62" s="16">
        <f t="shared" si="659"/>
        <v>-1716687.524</v>
      </c>
      <c r="Y62" s="16">
        <f t="shared" si="660"/>
        <v>-1820781.9939999999</v>
      </c>
      <c r="Z62" s="16">
        <f t="shared" si="661"/>
        <v>-2303986.85</v>
      </c>
      <c r="AA62" s="16">
        <f t="shared" si="662"/>
        <v>-3068209.9437624868</v>
      </c>
      <c r="AB62" s="16">
        <f t="shared" si="663"/>
        <v>-3447437.4116935022</v>
      </c>
      <c r="AC62" s="16">
        <f t="shared" si="664"/>
        <v>-3660547.5778957936</v>
      </c>
      <c r="AD62" s="16">
        <f t="shared" si="665"/>
        <v>-3936801.7052203678</v>
      </c>
      <c r="AE62" s="16">
        <f t="shared" si="666"/>
        <v>-4307158.4278611885</v>
      </c>
      <c r="AF62" s="16">
        <f t="shared" si="667"/>
        <v>-4719976.1436359417</v>
      </c>
      <c r="AG62" s="16">
        <f t="shared" si="668"/>
        <v>-5237609.9844930163</v>
      </c>
      <c r="AH62" s="16">
        <f t="shared" si="669"/>
        <v>-6071384.3297425257</v>
      </c>
      <c r="AI62" s="16">
        <f t="shared" si="670"/>
        <v>-6644604.8992924998</v>
      </c>
      <c r="AJ62" s="16">
        <f t="shared" si="671"/>
        <v>-7271761.4974568207</v>
      </c>
      <c r="AK62" s="16">
        <f t="shared" si="672"/>
        <v>-8003715.4074535836</v>
      </c>
      <c r="AL62" s="16">
        <f t="shared" si="673"/>
        <v>-9206394.9824745394</v>
      </c>
      <c r="AM62" s="16">
        <f t="shared" si="674"/>
        <v>-10032274.655889317</v>
      </c>
      <c r="AN62" s="16">
        <f t="shared" si="675"/>
        <v>-10936487.504511781</v>
      </c>
      <c r="AO62" s="16">
        <f t="shared" si="676"/>
        <v>-11992724.541364571</v>
      </c>
      <c r="AP62" s="16">
        <f t="shared" si="677"/>
        <v>-13743778.580653727</v>
      </c>
      <c r="AQ62" s="16">
        <f t="shared" si="678"/>
        <v>-14912816.074504077</v>
      </c>
      <c r="AR62" s="16">
        <f t="shared" si="679"/>
        <v>-16193666.944725176</v>
      </c>
      <c r="AS62" s="16">
        <f t="shared" si="680"/>
        <v>-17691305.431726154</v>
      </c>
      <c r="AT62" s="16">
        <f t="shared" si="681"/>
        <v>-20115463.517630607</v>
      </c>
      <c r="AU62" s="16">
        <f t="shared" si="682"/>
        <v>-21602783.335990723</v>
      </c>
      <c r="AV62" s="16">
        <f t="shared" si="683"/>
        <v>-23230397.349925771</v>
      </c>
      <c r="AW62" s="16">
        <f t="shared" si="684"/>
        <v>-25139337.598557949</v>
      </c>
      <c r="AY62" s="243">
        <f>'Expense Details'!H22</f>
        <v>-106860.78</v>
      </c>
      <c r="AZ62" s="243">
        <f>'Expense Details'!I22</f>
        <v>-100852.36</v>
      </c>
      <c r="BA62" s="243">
        <f>'Expense Details'!J22</f>
        <v>-110564.17000000001</v>
      </c>
      <c r="BB62" s="243">
        <f>'Expense Details'!K22</f>
        <v>-133950.21</v>
      </c>
      <c r="BC62" s="243">
        <f>'Expense Details'!L22</f>
        <v>-143205.78</v>
      </c>
      <c r="BD62" s="243">
        <f>'Expense Details'!M22</f>
        <v>-157520.69</v>
      </c>
      <c r="BE62" s="243">
        <f>'Expense Details'!N22</f>
        <v>-175675.43</v>
      </c>
      <c r="BF62" s="243">
        <f>'Expense Details'!O22</f>
        <v>-185074.61</v>
      </c>
      <c r="BG62" s="243">
        <f>'Expense Details'!P22</f>
        <v>-203836.06</v>
      </c>
      <c r="BH62" s="243">
        <f>'Expense Details'!Q22</f>
        <v>-196825.27</v>
      </c>
      <c r="BI62" s="243">
        <f>'Expense Details'!R22</f>
        <v>-184189.28</v>
      </c>
      <c r="BJ62" s="243">
        <f>'Expense Details'!S22</f>
        <v>-209804.68</v>
      </c>
      <c r="BK62" s="243">
        <f>'Expense Details'!T22</f>
        <v>-194354.16</v>
      </c>
      <c r="BL62" s="243">
        <f>'Expense Details'!U22</f>
        <v>-215421.56</v>
      </c>
      <c r="BM62" s="243">
        <f>'Expense Details'!V22</f>
        <v>-243863.85</v>
      </c>
      <c r="BN62" s="243">
        <f>'Expense Details'!W22</f>
        <v>-262540.19</v>
      </c>
      <c r="BO62" s="243">
        <f>'Expense Details'!X22</f>
        <v>-262729.43</v>
      </c>
      <c r="BP62" s="243">
        <f>'Expense Details'!Y22</f>
        <v>-321698.32</v>
      </c>
      <c r="BQ62" s="243">
        <f>'Expense Details'!Z22</f>
        <v>-327123.38</v>
      </c>
      <c r="BR62" s="243">
        <f>'Expense Details'!AA22</f>
        <v>-311499.24</v>
      </c>
      <c r="BS62" s="243">
        <f>'Expense Details'!AB22</f>
        <v>-382860.33999999997</v>
      </c>
      <c r="BT62" s="243">
        <f>'Expense Details'!AC22</f>
        <v>-347066.83999999997</v>
      </c>
      <c r="BU62" s="243">
        <f>'Expense Details'!AD22</f>
        <v>-349814.05</v>
      </c>
      <c r="BV62" s="243">
        <f>'Expense Details'!AE22</f>
        <v>-575288.91</v>
      </c>
      <c r="BW62" s="243">
        <f>'Expense Details'!AF22</f>
        <v>-372955.45999999996</v>
      </c>
      <c r="BX62" s="243">
        <f>'Expense Details'!AG22</f>
        <v>-345391.51</v>
      </c>
      <c r="BY62" s="243">
        <f>'Expense Details'!AH22</f>
        <v>-982389.92</v>
      </c>
      <c r="BZ62" s="243">
        <f>'Expense Details'!AI22</f>
        <v>-551135.66999999993</v>
      </c>
      <c r="CA62" s="243">
        <f>'Expense Details'!AJ22</f>
        <v>-463558.66000000003</v>
      </c>
      <c r="CB62" s="243">
        <f>'Expense Details'!AK22</f>
        <v>-569021.75600000005</v>
      </c>
      <c r="CC62" s="243">
        <f>'Expense Details'!AL22</f>
        <v>-512899.85</v>
      </c>
      <c r="CD62" s="243">
        <f>'Expense Details'!AM22</f>
        <v>-537798.38</v>
      </c>
      <c r="CE62" s="243">
        <f>'Expense Details'!AN22</f>
        <v>-665989.29399999999</v>
      </c>
      <c r="CF62" s="243">
        <f>'Expense Details'!AO22</f>
        <v>-530162.02</v>
      </c>
      <c r="CG62" s="243">
        <f>'Expense Details'!AP22</f>
        <v>-496312.06</v>
      </c>
      <c r="CH62" s="243">
        <f>'Expense Details'!AQ22</f>
        <v>-794307.91399999987</v>
      </c>
      <c r="CI62" s="243">
        <f>'Expense Details'!AR22</f>
        <v>-629117.54</v>
      </c>
      <c r="CJ62" s="243">
        <f>'Expense Details'!AS22</f>
        <v>-712838.62</v>
      </c>
      <c r="CK62" s="243">
        <f>'Expense Details'!AT22</f>
        <v>-962030.69000000006</v>
      </c>
      <c r="CL62" s="243">
        <f>'Expense Details'!AU22</f>
        <v>-899397.79</v>
      </c>
      <c r="CM62" s="243">
        <f>'Expense Details'!AV22</f>
        <v>-1103174.2599596323</v>
      </c>
      <c r="CN62" s="243">
        <f>'Expense Details'!AW22</f>
        <v>-1065637.8938028542</v>
      </c>
      <c r="CO62" s="243">
        <f>'Expense Details'!AX22</f>
        <v>-1132955.5774540862</v>
      </c>
      <c r="CP62" s="243">
        <f>'Expense Details'!AY22</f>
        <v>-1149329.7654557074</v>
      </c>
      <c r="CQ62" s="243">
        <f>'Expense Details'!AZ22</f>
        <v>-1165152.0687837088</v>
      </c>
      <c r="CR62" s="243">
        <f>'Expense Details'!BA22</f>
        <v>-1188735.7937582615</v>
      </c>
      <c r="CS62" s="243">
        <f>'Expense Details'!BB22</f>
        <v>-1216974.0047775814</v>
      </c>
      <c r="CT62" s="243">
        <f>'Expense Details'!BC22</f>
        <v>-1254837.7793599507</v>
      </c>
      <c r="CU62" s="243">
        <f t="shared" ref="CU62:DZ62" si="688">-SUM(CU60:CU61)*CU90</f>
        <v>-1283980.3441128084</v>
      </c>
      <c r="CV62" s="243">
        <f t="shared" si="688"/>
        <v>-1302891.5550316214</v>
      </c>
      <c r="CW62" s="243">
        <f t="shared" si="688"/>
        <v>-1349929.8060759378</v>
      </c>
      <c r="CX62" s="243">
        <f t="shared" si="688"/>
        <v>-1391686.9618759521</v>
      </c>
      <c r="CY62" s="243">
        <f t="shared" si="688"/>
        <v>-1426777.8104745566</v>
      </c>
      <c r="CZ62" s="243">
        <f t="shared" si="688"/>
        <v>-1488693.6555106798</v>
      </c>
      <c r="DA62" s="243">
        <f t="shared" si="688"/>
        <v>-1533410.5472805253</v>
      </c>
      <c r="DB62" s="243">
        <f t="shared" si="688"/>
        <v>-1562875.1184219196</v>
      </c>
      <c r="DC62" s="243">
        <f t="shared" si="688"/>
        <v>-1623690.4779334962</v>
      </c>
      <c r="DD62" s="243">
        <f t="shared" si="688"/>
        <v>-1676673.1751098416</v>
      </c>
      <c r="DE62" s="243">
        <f t="shared" si="688"/>
        <v>-1733236.1098591962</v>
      </c>
      <c r="DF62" s="243">
        <f t="shared" si="688"/>
        <v>-1827700.6995239786</v>
      </c>
      <c r="DG62" s="243">
        <f t="shared" si="688"/>
        <v>-1980200.9890394411</v>
      </c>
      <c r="DH62" s="243">
        <f t="shared" si="688"/>
        <v>-2010101.2161273612</v>
      </c>
      <c r="DI62" s="243">
        <f t="shared" si="688"/>
        <v>-2081082.1245757237</v>
      </c>
      <c r="DJ62" s="243">
        <f t="shared" si="688"/>
        <v>-2145569.856166915</v>
      </c>
      <c r="DK62" s="243">
        <f t="shared" si="688"/>
        <v>-2201759.8544450467</v>
      </c>
      <c r="DL62" s="243">
        <f t="shared" si="688"/>
        <v>-2297275.188680538</v>
      </c>
      <c r="DM62" s="243">
        <f t="shared" si="688"/>
        <v>-2365158.4865908474</v>
      </c>
      <c r="DN62" s="243">
        <f t="shared" si="688"/>
        <v>-2408536.8826391445</v>
      </c>
      <c r="DO62" s="243">
        <f t="shared" si="688"/>
        <v>-2498066.1282268292</v>
      </c>
      <c r="DP62" s="243">
        <f t="shared" si="688"/>
        <v>-2572770.4086907506</v>
      </c>
      <c r="DQ62" s="243">
        <f t="shared" si="688"/>
        <v>-2649321.4768739715</v>
      </c>
      <c r="DR62" s="243">
        <f t="shared" si="688"/>
        <v>-2781623.5218888614</v>
      </c>
      <c r="DS62" s="243">
        <f t="shared" si="688"/>
        <v>-3006175.1650846214</v>
      </c>
      <c r="DT62" s="243">
        <f t="shared" si="688"/>
        <v>-3048946.3759216261</v>
      </c>
      <c r="DU62" s="243">
        <f t="shared" si="688"/>
        <v>-3151273.441468291</v>
      </c>
      <c r="DV62" s="243">
        <f t="shared" si="688"/>
        <v>-3244186.8013582942</v>
      </c>
      <c r="DW62" s="243">
        <f t="shared" si="688"/>
        <v>-3325085.8460599999</v>
      </c>
      <c r="DX62" s="243">
        <f t="shared" si="688"/>
        <v>-3463002.0084710233</v>
      </c>
      <c r="DY62" s="243">
        <f t="shared" si="688"/>
        <v>-3560853.002425089</v>
      </c>
      <c r="DZ62" s="243">
        <f t="shared" si="688"/>
        <v>-3623189.554004645</v>
      </c>
      <c r="EA62" s="243">
        <f t="shared" ref="EA62:FB62" si="689">-SUM(EA60:EA61)*EA90</f>
        <v>-3752444.9480820466</v>
      </c>
      <c r="EB62" s="243">
        <f t="shared" si="689"/>
        <v>-3860205.0617572642</v>
      </c>
      <c r="EC62" s="243">
        <f t="shared" si="689"/>
        <v>-3970632.734481595</v>
      </c>
      <c r="ED62" s="243">
        <f t="shared" si="689"/>
        <v>-4161886.7451257124</v>
      </c>
      <c r="EE62" s="243">
        <f t="shared" si="689"/>
        <v>-4492900.4109239746</v>
      </c>
      <c r="EF62" s="243">
        <f t="shared" si="689"/>
        <v>-4552970.9443959314</v>
      </c>
      <c r="EG62" s="243">
        <f t="shared" si="689"/>
        <v>-4697907.225333822</v>
      </c>
      <c r="EH62" s="243">
        <f t="shared" si="689"/>
        <v>-4829434.3158951877</v>
      </c>
      <c r="EI62" s="243">
        <f t="shared" si="689"/>
        <v>-4943854.8972035693</v>
      </c>
      <c r="EJ62" s="243">
        <f t="shared" si="689"/>
        <v>-5139526.8614053195</v>
      </c>
      <c r="EK62" s="243">
        <f t="shared" si="689"/>
        <v>-5278111.0722626206</v>
      </c>
      <c r="EL62" s="243">
        <f t="shared" si="689"/>
        <v>-5366101.0732914805</v>
      </c>
      <c r="EM62" s="243">
        <f t="shared" si="689"/>
        <v>-5549454.7991710752</v>
      </c>
      <c r="EN62" s="243">
        <f t="shared" si="689"/>
        <v>-5702182.5078551862</v>
      </c>
      <c r="EO62" s="243">
        <f t="shared" si="689"/>
        <v>-5858710.168328112</v>
      </c>
      <c r="EP62" s="243">
        <f t="shared" si="689"/>
        <v>-6130412.7555428557</v>
      </c>
      <c r="EQ62" s="243">
        <f t="shared" si="689"/>
        <v>-6596932.0670424541</v>
      </c>
      <c r="ER62" s="243">
        <f t="shared" si="689"/>
        <v>-6665846.3304414116</v>
      </c>
      <c r="ES62" s="243">
        <f t="shared" si="689"/>
        <v>-6852685.1201467393</v>
      </c>
      <c r="ET62" s="243">
        <f t="shared" si="689"/>
        <v>-7020274.6180979311</v>
      </c>
      <c r="EU62" s="243">
        <f t="shared" si="689"/>
        <v>-7163614.263410911</v>
      </c>
      <c r="EV62" s="243">
        <f t="shared" si="689"/>
        <v>-7418894.4544818802</v>
      </c>
      <c r="EW62" s="243">
        <f t="shared" si="689"/>
        <v>-7594498.1764611686</v>
      </c>
      <c r="EX62" s="243">
        <f t="shared" si="689"/>
        <v>-7699844.4010708937</v>
      </c>
      <c r="EY62" s="243">
        <f t="shared" si="689"/>
        <v>-7936054.772393709</v>
      </c>
      <c r="EZ62" s="243">
        <f t="shared" si="689"/>
        <v>-8129463.571074618</v>
      </c>
      <c r="FA62" s="243">
        <f t="shared" si="689"/>
        <v>-8327482.4644394284</v>
      </c>
      <c r="FB62" s="243">
        <f t="shared" si="689"/>
        <v>-8682391.5630439017</v>
      </c>
    </row>
    <row r="63" spans="2:158" x14ac:dyDescent="0.25">
      <c r="B63" s="99"/>
      <c r="D63" s="55"/>
      <c r="E63" s="55"/>
      <c r="F63" s="55"/>
      <c r="G63" s="55"/>
      <c r="H63" s="55"/>
      <c r="I63" s="55"/>
      <c r="J63" s="55"/>
      <c r="K63" s="55"/>
      <c r="L63" s="55"/>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Y63" s="244"/>
      <c r="AZ63" s="244"/>
      <c r="BA63" s="244"/>
      <c r="BB63" s="244"/>
      <c r="BC63" s="244"/>
      <c r="BD63" s="244"/>
      <c r="BE63" s="244"/>
      <c r="BF63" s="244"/>
      <c r="BG63" s="244"/>
      <c r="BH63" s="244"/>
      <c r="BI63" s="244"/>
      <c r="BJ63" s="244"/>
      <c r="BK63" s="244"/>
      <c r="BL63" s="244"/>
      <c r="BM63" s="244"/>
      <c r="BN63" s="244"/>
      <c r="BO63" s="244"/>
      <c r="BP63" s="244"/>
      <c r="BQ63" s="244"/>
      <c r="BR63" s="244"/>
      <c r="BS63" s="244"/>
      <c r="BT63" s="244"/>
      <c r="BU63" s="244"/>
      <c r="BV63" s="244"/>
      <c r="BW63" s="244"/>
      <c r="BX63" s="244"/>
      <c r="BY63" s="244"/>
      <c r="BZ63" s="244"/>
      <c r="CA63" s="244"/>
      <c r="CB63" s="244"/>
      <c r="CC63" s="244"/>
      <c r="CD63" s="244"/>
      <c r="CE63" s="244"/>
      <c r="CF63" s="244"/>
      <c r="CG63" s="244"/>
      <c r="CH63" s="244"/>
      <c r="CI63" s="244"/>
      <c r="CJ63" s="244"/>
      <c r="CK63" s="244"/>
      <c r="CL63" s="244"/>
      <c r="CM63" s="244"/>
      <c r="CN63" s="244"/>
      <c r="CO63" s="244"/>
      <c r="CP63" s="244"/>
      <c r="CQ63" s="244"/>
      <c r="CR63" s="244"/>
      <c r="CS63" s="244"/>
      <c r="CT63" s="244"/>
      <c r="CU63" s="244"/>
      <c r="CV63" s="244"/>
      <c r="CW63" s="244"/>
      <c r="CX63" s="244"/>
      <c r="CY63" s="244"/>
      <c r="CZ63" s="244"/>
      <c r="DA63" s="244"/>
      <c r="DB63" s="244"/>
      <c r="DC63" s="244"/>
      <c r="DD63" s="244"/>
      <c r="DE63" s="244"/>
      <c r="DF63" s="244"/>
      <c r="DG63" s="244"/>
      <c r="DH63" s="244"/>
      <c r="DI63" s="244"/>
      <c r="DJ63" s="244"/>
      <c r="DK63" s="244"/>
      <c r="DL63" s="244"/>
      <c r="DM63" s="244"/>
      <c r="DN63" s="244"/>
      <c r="DO63" s="244"/>
      <c r="DP63" s="244"/>
      <c r="DQ63" s="244"/>
      <c r="DR63" s="244"/>
      <c r="DS63" s="244"/>
      <c r="DT63" s="244"/>
      <c r="DU63" s="244"/>
      <c r="DV63" s="244"/>
      <c r="DW63" s="244"/>
      <c r="DX63" s="244"/>
      <c r="DY63" s="244"/>
      <c r="DZ63" s="244"/>
      <c r="EA63" s="244"/>
      <c r="EB63" s="244"/>
      <c r="EC63" s="244"/>
      <c r="ED63" s="244"/>
      <c r="EE63" s="244"/>
      <c r="EF63" s="244"/>
      <c r="EG63" s="244"/>
      <c r="EH63" s="244"/>
      <c r="EI63" s="244"/>
      <c r="EJ63" s="244"/>
      <c r="EK63" s="244"/>
      <c r="EL63" s="244"/>
      <c r="EM63" s="244"/>
      <c r="EN63" s="244"/>
      <c r="EO63" s="244"/>
      <c r="EP63" s="244"/>
      <c r="EQ63" s="244"/>
      <c r="ER63" s="244"/>
      <c r="ES63" s="244"/>
      <c r="ET63" s="244"/>
      <c r="EU63" s="244"/>
      <c r="EV63" s="244"/>
      <c r="EW63" s="244"/>
      <c r="EX63" s="244"/>
      <c r="EY63" s="244"/>
      <c r="EZ63" s="244"/>
      <c r="FA63" s="244"/>
      <c r="FB63" s="244"/>
    </row>
    <row r="64" spans="2:158" x14ac:dyDescent="0.25">
      <c r="B64" s="99"/>
      <c r="C64" t="s">
        <v>489</v>
      </c>
      <c r="D64" s="50">
        <f t="shared" si="648"/>
        <v>0</v>
      </c>
      <c r="E64" s="50">
        <f t="shared" si="648"/>
        <v>0</v>
      </c>
      <c r="F64" s="50">
        <f t="shared" si="648"/>
        <v>0</v>
      </c>
      <c r="G64" s="50">
        <f t="shared" si="648"/>
        <v>2362926.666666667</v>
      </c>
      <c r="H64" s="50">
        <f t="shared" si="648"/>
        <v>0</v>
      </c>
      <c r="I64" s="50">
        <f t="shared" si="648"/>
        <v>0</v>
      </c>
      <c r="J64" s="50">
        <f t="shared" si="648"/>
        <v>0</v>
      </c>
      <c r="K64" s="50">
        <f t="shared" si="648"/>
        <v>0</v>
      </c>
      <c r="L64" s="50">
        <f t="shared" si="648"/>
        <v>0</v>
      </c>
      <c r="N64" s="16">
        <f t="shared" ref="N64:N65" si="690">SUM(AY64:BA64)</f>
        <v>0</v>
      </c>
      <c r="O64" s="16">
        <f t="shared" ref="O64:O65" si="691">SUM(BB64:BD64)</f>
        <v>0</v>
      </c>
      <c r="P64" s="16">
        <f t="shared" ref="P64:P65" si="692">SUM(BE64:BG64)</f>
        <v>0</v>
      </c>
      <c r="Q64" s="16">
        <f t="shared" ref="Q64:Q65" si="693">SUM(BH64:BJ64)</f>
        <v>0</v>
      </c>
      <c r="R64" s="16">
        <f t="shared" ref="R64:R65" si="694">SUM(BK64:BM64)</f>
        <v>0</v>
      </c>
      <c r="S64" s="16">
        <f t="shared" ref="S64:S65" si="695">SUM(BN64:BP64)</f>
        <v>0</v>
      </c>
      <c r="T64" s="16">
        <f t="shared" ref="T64:T65" si="696">SUM(BQ64:BS64)</f>
        <v>0</v>
      </c>
      <c r="U64" s="16">
        <f t="shared" ref="U64:U65" si="697">SUM(BT64:BV64)</f>
        <v>0</v>
      </c>
      <c r="V64" s="16">
        <f t="shared" ref="V64:V65" si="698">SUM(BW64:BY64)</f>
        <v>0</v>
      </c>
      <c r="W64" s="16">
        <f t="shared" ref="W64:W65" si="699">SUM(BZ64:CB64)</f>
        <v>0</v>
      </c>
      <c r="X64" s="16">
        <f t="shared" ref="X64:X65" si="700">SUM(CC64:CE64)</f>
        <v>0</v>
      </c>
      <c r="Y64" s="16">
        <f t="shared" ref="Y64:Y65" si="701">SUM(CF64:CH64)</f>
        <v>0</v>
      </c>
      <c r="Z64" s="16">
        <f t="shared" ref="Z64:Z65" si="702">SUM(CI64:CK64)</f>
        <v>0</v>
      </c>
      <c r="AA64" s="16">
        <f t="shared" ref="AA64:AA65" si="703">SUM(CL64:CN64)</f>
        <v>447330.00000000006</v>
      </c>
      <c r="AB64" s="16">
        <f t="shared" ref="AB64:AB65" si="704">SUM(CO64:CQ64)</f>
        <v>917210.00000000012</v>
      </c>
      <c r="AC64" s="16">
        <f t="shared" ref="AC64:AC65" si="705">SUM(CR64:CT64)</f>
        <v>998386.66666666674</v>
      </c>
      <c r="AD64" s="16">
        <f t="shared" ref="AD64:AD65" si="706">SUM(CU64:CW64)</f>
        <v>0</v>
      </c>
      <c r="AE64" s="16">
        <f t="shared" ref="AE64:AE65" si="707">SUM(CX64:CZ64)</f>
        <v>0</v>
      </c>
      <c r="AF64" s="16">
        <f t="shared" ref="AF64:AF65" si="708">SUM(DA64:DC64)</f>
        <v>0</v>
      </c>
      <c r="AG64" s="16">
        <f t="shared" ref="AG64:AG65" si="709">SUM(DD64:DF64)</f>
        <v>0</v>
      </c>
      <c r="AH64" s="16">
        <f t="shared" ref="AH64:AH65" si="710">SUM(DG64:DI64)</f>
        <v>0</v>
      </c>
      <c r="AI64" s="16">
        <f t="shared" ref="AI64:AI65" si="711">SUM(DJ64:DL64)</f>
        <v>0</v>
      </c>
      <c r="AJ64" s="16">
        <f t="shared" ref="AJ64:AJ65" si="712">SUM(DM64:DO64)</f>
        <v>0</v>
      </c>
      <c r="AK64" s="16">
        <f t="shared" ref="AK64:AK65" si="713">SUM(DP64:DR64)</f>
        <v>0</v>
      </c>
      <c r="AL64" s="16">
        <f t="shared" ref="AL64:AL65" si="714">SUM(DS64:DU64)</f>
        <v>0</v>
      </c>
      <c r="AM64" s="16">
        <f t="shared" ref="AM64:AM65" si="715">SUM(DV64:DX64)</f>
        <v>0</v>
      </c>
      <c r="AN64" s="16">
        <f t="shared" ref="AN64:AN65" si="716">SUM(DY64:EA64)</f>
        <v>0</v>
      </c>
      <c r="AO64" s="16">
        <f t="shared" ref="AO64:AO65" si="717">SUM(EB64:ED64)</f>
        <v>0</v>
      </c>
      <c r="AP64" s="16">
        <f t="shared" ref="AP64:AP65" si="718">SUM(EE64:EG64)</f>
        <v>0</v>
      </c>
      <c r="AQ64" s="16">
        <f t="shared" ref="AQ64:AQ65" si="719">SUM(EH64:EJ64)</f>
        <v>0</v>
      </c>
      <c r="AR64" s="16">
        <f t="shared" ref="AR64:AR65" si="720">SUM(EK64:EM64)</f>
        <v>0</v>
      </c>
      <c r="AS64" s="16">
        <f t="shared" ref="AS64:AS65" si="721">SUM(EN64:EP64)</f>
        <v>0</v>
      </c>
      <c r="AT64" s="16">
        <f t="shared" ref="AT64:AT65" si="722">SUM(EQ64:ES64)</f>
        <v>0</v>
      </c>
      <c r="AU64" s="16">
        <f t="shared" ref="AU64:AU65" si="723">SUM(ET64:EV64)</f>
        <v>0</v>
      </c>
      <c r="AV64" s="16">
        <f t="shared" ref="AV64:AV65" si="724">SUM(EW64:EY64)</f>
        <v>0</v>
      </c>
      <c r="AW64" s="16">
        <f t="shared" ref="AW64:AW65" si="725">SUM(EZ64:FB64)</f>
        <v>0</v>
      </c>
      <c r="AY64" s="30">
        <f>'Expense Details'!H28</f>
        <v>0</v>
      </c>
      <c r="AZ64" s="30">
        <f>'Expense Details'!I28</f>
        <v>0</v>
      </c>
      <c r="BA64" s="30">
        <f>'Expense Details'!J28</f>
        <v>0</v>
      </c>
      <c r="BB64" s="30">
        <f>'Expense Details'!K28</f>
        <v>0</v>
      </c>
      <c r="BC64" s="30">
        <f>'Expense Details'!L28</f>
        <v>0</v>
      </c>
      <c r="BD64" s="30">
        <f>'Expense Details'!M28</f>
        <v>0</v>
      </c>
      <c r="BE64" s="30">
        <f>'Expense Details'!N28</f>
        <v>0</v>
      </c>
      <c r="BF64" s="30">
        <f>'Expense Details'!O28</f>
        <v>0</v>
      </c>
      <c r="BG64" s="30">
        <f>'Expense Details'!P28</f>
        <v>0</v>
      </c>
      <c r="BH64" s="30">
        <f>'Expense Details'!Q28</f>
        <v>0</v>
      </c>
      <c r="BI64" s="30">
        <f>'Expense Details'!R28</f>
        <v>0</v>
      </c>
      <c r="BJ64" s="30">
        <f>'Expense Details'!S28</f>
        <v>0</v>
      </c>
      <c r="BK64" s="30">
        <f>'Expense Details'!T28</f>
        <v>0</v>
      </c>
      <c r="BL64" s="30">
        <f>'Expense Details'!U28</f>
        <v>0</v>
      </c>
      <c r="BM64" s="30">
        <f>'Expense Details'!V28</f>
        <v>0</v>
      </c>
      <c r="BN64" s="30">
        <f>'Expense Details'!W28</f>
        <v>0</v>
      </c>
      <c r="BO64" s="30">
        <f>'Expense Details'!X28</f>
        <v>0</v>
      </c>
      <c r="BP64" s="30">
        <f>'Expense Details'!Y28</f>
        <v>0</v>
      </c>
      <c r="BQ64" s="30">
        <f>'Expense Details'!Z28</f>
        <v>0</v>
      </c>
      <c r="BR64" s="30">
        <f>'Expense Details'!AA28</f>
        <v>0</v>
      </c>
      <c r="BS64" s="30">
        <f>'Expense Details'!AB28</f>
        <v>0</v>
      </c>
      <c r="BT64" s="30">
        <f>'Expense Details'!AC28</f>
        <v>0</v>
      </c>
      <c r="BU64" s="30">
        <f>'Expense Details'!AD28</f>
        <v>0</v>
      </c>
      <c r="BV64" s="30">
        <f>'Expense Details'!AE28</f>
        <v>0</v>
      </c>
      <c r="BW64" s="30">
        <f>'Expense Details'!AF28</f>
        <v>0</v>
      </c>
      <c r="BX64" s="30">
        <f>'Expense Details'!AG28</f>
        <v>0</v>
      </c>
      <c r="BY64" s="30">
        <f>'Expense Details'!AH28</f>
        <v>0</v>
      </c>
      <c r="BZ64" s="30">
        <f>'Expense Details'!AI28</f>
        <v>0</v>
      </c>
      <c r="CA64" s="30">
        <f>'Expense Details'!AJ28</f>
        <v>0</v>
      </c>
      <c r="CB64" s="30">
        <f>'Expense Details'!AK28</f>
        <v>0</v>
      </c>
      <c r="CC64" s="30">
        <f>'Expense Details'!AL28</f>
        <v>0</v>
      </c>
      <c r="CD64" s="30">
        <f>'Expense Details'!AM28</f>
        <v>0</v>
      </c>
      <c r="CE64" s="30">
        <f>'Expense Details'!AN28</f>
        <v>0</v>
      </c>
      <c r="CF64" s="30">
        <f>'Expense Details'!AO28</f>
        <v>0</v>
      </c>
      <c r="CG64" s="30">
        <f>'Expense Details'!AP28</f>
        <v>0</v>
      </c>
      <c r="CH64" s="30">
        <f>'Expense Details'!AQ28</f>
        <v>0</v>
      </c>
      <c r="CI64" s="30">
        <f>'Expense Details'!AR28</f>
        <v>0</v>
      </c>
      <c r="CJ64" s="30">
        <f>'Expense Details'!AS28</f>
        <v>0</v>
      </c>
      <c r="CK64" s="30">
        <f>'Expense Details'!AT28</f>
        <v>0</v>
      </c>
      <c r="CL64" s="30">
        <f>'Expense Details'!AU28</f>
        <v>0</v>
      </c>
      <c r="CM64" s="30">
        <f>'Expense Details'!AV28</f>
        <v>182966.66666666669</v>
      </c>
      <c r="CN64" s="30">
        <f>'Expense Details'!AW28</f>
        <v>264363.33333333337</v>
      </c>
      <c r="CO64" s="30">
        <f>'Expense Details'!AX28</f>
        <v>280540</v>
      </c>
      <c r="CP64" s="30">
        <f>'Expense Details'!AY28</f>
        <v>302816.66666666669</v>
      </c>
      <c r="CQ64" s="30">
        <f>'Expense Details'!AZ28</f>
        <v>333853.33333333337</v>
      </c>
      <c r="CR64" s="30">
        <f>'Expense Details'!BA28</f>
        <v>322653.33333333337</v>
      </c>
      <c r="CS64" s="30">
        <f>'Expense Details'!BB28</f>
        <v>327753.33333333337</v>
      </c>
      <c r="CT64" s="30">
        <f>'Expense Details'!BC28</f>
        <v>347980.00000000006</v>
      </c>
      <c r="CU64" s="30">
        <f>'Expense Details'!BD28</f>
        <v>0</v>
      </c>
      <c r="CV64" s="30">
        <f>'Expense Details'!BE28</f>
        <v>0</v>
      </c>
      <c r="CW64" s="30">
        <f>'Expense Details'!BF28</f>
        <v>0</v>
      </c>
      <c r="CX64" s="30">
        <f>'Expense Details'!BG28</f>
        <v>0</v>
      </c>
      <c r="CY64" s="30">
        <f>'Expense Details'!BH28</f>
        <v>0</v>
      </c>
      <c r="CZ64" s="30">
        <f>'Expense Details'!BI28</f>
        <v>0</v>
      </c>
      <c r="DA64" s="30">
        <f>'Expense Details'!BJ28</f>
        <v>0</v>
      </c>
      <c r="DB64" s="30">
        <f>'Expense Details'!BK28</f>
        <v>0</v>
      </c>
      <c r="DC64" s="30">
        <f>'Expense Details'!BL28</f>
        <v>0</v>
      </c>
      <c r="DD64" s="30">
        <f>'Expense Details'!BM28</f>
        <v>0</v>
      </c>
      <c r="DE64" s="30">
        <f>'Expense Details'!BN28</f>
        <v>0</v>
      </c>
      <c r="DF64" s="30">
        <f>'Expense Details'!BO28</f>
        <v>0</v>
      </c>
      <c r="DG64" s="30">
        <f>'Expense Details'!BP28</f>
        <v>0</v>
      </c>
      <c r="DH64" s="30">
        <f>'Expense Details'!BQ28</f>
        <v>0</v>
      </c>
      <c r="DI64" s="30">
        <f>'Expense Details'!BR28</f>
        <v>0</v>
      </c>
      <c r="DJ64" s="30">
        <f>'Expense Details'!BS28</f>
        <v>0</v>
      </c>
      <c r="DK64" s="30">
        <f>'Expense Details'!BT28</f>
        <v>0</v>
      </c>
      <c r="DL64" s="30">
        <f>'Expense Details'!BU28</f>
        <v>0</v>
      </c>
      <c r="DM64" s="30">
        <f>'Expense Details'!BV28</f>
        <v>0</v>
      </c>
      <c r="DN64" s="30">
        <f>'Expense Details'!BW28</f>
        <v>0</v>
      </c>
      <c r="DO64" s="30">
        <f>'Expense Details'!BX28</f>
        <v>0</v>
      </c>
      <c r="DP64" s="30">
        <f>'Expense Details'!BY28</f>
        <v>0</v>
      </c>
      <c r="DQ64" s="30">
        <f>'Expense Details'!BZ28</f>
        <v>0</v>
      </c>
      <c r="DR64" s="30">
        <f>'Expense Details'!CA28</f>
        <v>0</v>
      </c>
      <c r="DS64" s="30">
        <f>'Expense Details'!CB28</f>
        <v>0</v>
      </c>
      <c r="DT64" s="30">
        <f>'Expense Details'!CC28</f>
        <v>0</v>
      </c>
      <c r="DU64" s="30">
        <f>'Expense Details'!CD28</f>
        <v>0</v>
      </c>
      <c r="DV64" s="30">
        <f>'Expense Details'!CE28</f>
        <v>0</v>
      </c>
      <c r="DW64" s="30">
        <f>'Expense Details'!CF28</f>
        <v>0</v>
      </c>
      <c r="DX64" s="30">
        <f>'Expense Details'!CG28</f>
        <v>0</v>
      </c>
      <c r="DY64" s="30">
        <f>'Expense Details'!CH28</f>
        <v>0</v>
      </c>
      <c r="DZ64" s="30">
        <f>'Expense Details'!CI28</f>
        <v>0</v>
      </c>
      <c r="EA64" s="30">
        <f>'Expense Details'!CJ28</f>
        <v>0</v>
      </c>
      <c r="EB64" s="30">
        <f>'Expense Details'!CK28</f>
        <v>0</v>
      </c>
      <c r="EC64" s="30">
        <f>'Expense Details'!CL28</f>
        <v>0</v>
      </c>
      <c r="ED64" s="30">
        <f>'Expense Details'!CM28</f>
        <v>0</v>
      </c>
      <c r="EE64" s="30">
        <f>'Expense Details'!CN28</f>
        <v>0</v>
      </c>
      <c r="EF64" s="30">
        <f>'Expense Details'!CO28</f>
        <v>0</v>
      </c>
      <c r="EG64" s="30">
        <f>'Expense Details'!CP28</f>
        <v>0</v>
      </c>
      <c r="EH64" s="30">
        <f>'Expense Details'!CQ28</f>
        <v>0</v>
      </c>
      <c r="EI64" s="30">
        <f>'Expense Details'!CR28</f>
        <v>0</v>
      </c>
      <c r="EJ64" s="30">
        <f>'Expense Details'!CS28</f>
        <v>0</v>
      </c>
      <c r="EK64" s="30">
        <f>'Expense Details'!CT28</f>
        <v>0</v>
      </c>
      <c r="EL64" s="30">
        <f>'Expense Details'!CU28</f>
        <v>0</v>
      </c>
      <c r="EM64" s="30">
        <f>'Expense Details'!CV28</f>
        <v>0</v>
      </c>
      <c r="EN64" s="30">
        <f>'Expense Details'!CW28</f>
        <v>0</v>
      </c>
      <c r="EO64" s="30">
        <f>'Expense Details'!CX28</f>
        <v>0</v>
      </c>
      <c r="EP64" s="30">
        <f>'Expense Details'!CY28</f>
        <v>0</v>
      </c>
      <c r="EQ64" s="30">
        <f>'Expense Details'!CZ28</f>
        <v>0</v>
      </c>
      <c r="ER64" s="30">
        <f>'Expense Details'!DA28</f>
        <v>0</v>
      </c>
      <c r="ES64" s="30">
        <f>'Expense Details'!DB28</f>
        <v>0</v>
      </c>
      <c r="ET64" s="30">
        <f>'Expense Details'!DC28</f>
        <v>0</v>
      </c>
      <c r="EU64" s="30">
        <f>'Expense Details'!DD28</f>
        <v>0</v>
      </c>
      <c r="EV64" s="30">
        <f>'Expense Details'!DE28</f>
        <v>0</v>
      </c>
      <c r="EW64" s="30">
        <f>'Expense Details'!DF28</f>
        <v>0</v>
      </c>
      <c r="EX64" s="30">
        <f>'Expense Details'!DG28</f>
        <v>0</v>
      </c>
      <c r="EY64" s="30">
        <f>'Expense Details'!DH28</f>
        <v>0</v>
      </c>
      <c r="EZ64" s="30">
        <f>'Expense Details'!DI28</f>
        <v>0</v>
      </c>
      <c r="FA64" s="30">
        <f>'Expense Details'!DJ28</f>
        <v>0</v>
      </c>
      <c r="FB64" s="30">
        <f>'Expense Details'!DK28</f>
        <v>0</v>
      </c>
    </row>
    <row r="65" spans="2:158" x14ac:dyDescent="0.25">
      <c r="B65" s="99"/>
      <c r="C65" t="s">
        <v>514</v>
      </c>
      <c r="D65" s="50">
        <f t="shared" si="648"/>
        <v>0</v>
      </c>
      <c r="E65" s="50">
        <f t="shared" si="648"/>
        <v>-3891954.665450999</v>
      </c>
      <c r="F65" s="50">
        <f t="shared" si="648"/>
        <v>-3111327.1107220119</v>
      </c>
      <c r="G65" s="50">
        <f t="shared" si="648"/>
        <v>-10302434.208278835</v>
      </c>
      <c r="H65" s="50">
        <f t="shared" si="648"/>
        <v>-19445888.886340402</v>
      </c>
      <c r="I65" s="50">
        <f t="shared" si="648"/>
        <v>-30592555.907168016</v>
      </c>
      <c r="J65" s="50">
        <f t="shared" si="648"/>
        <v>-43075904.345728733</v>
      </c>
      <c r="K65" s="50">
        <f t="shared" si="648"/>
        <v>-56247628.513418943</v>
      </c>
      <c r="L65" s="50">
        <f t="shared" si="648"/>
        <v>-74758817.524629831</v>
      </c>
      <c r="N65" s="16">
        <f t="shared" si="690"/>
        <v>0</v>
      </c>
      <c r="O65" s="16">
        <f t="shared" si="691"/>
        <v>0</v>
      </c>
      <c r="P65" s="16">
        <f t="shared" si="692"/>
        <v>0</v>
      </c>
      <c r="Q65" s="16">
        <f t="shared" si="693"/>
        <v>0</v>
      </c>
      <c r="R65" s="16">
        <f t="shared" si="694"/>
        <v>-754757.3753819993</v>
      </c>
      <c r="S65" s="16">
        <f t="shared" si="695"/>
        <v>-1264114.8702439996</v>
      </c>
      <c r="T65" s="16">
        <f t="shared" si="696"/>
        <v>-675971</v>
      </c>
      <c r="U65" s="16">
        <f t="shared" si="697"/>
        <v>-1197111.4198250002</v>
      </c>
      <c r="V65" s="16">
        <f t="shared" si="698"/>
        <v>-361251.62999999995</v>
      </c>
      <c r="W65" s="16">
        <f t="shared" si="699"/>
        <v>-938564</v>
      </c>
      <c r="X65" s="16">
        <f t="shared" si="700"/>
        <v>-659295.00000000116</v>
      </c>
      <c r="Y65" s="16">
        <f t="shared" si="701"/>
        <v>-1152216.4807220106</v>
      </c>
      <c r="Z65" s="16">
        <f t="shared" si="702"/>
        <v>-870726.18110277783</v>
      </c>
      <c r="AA65" s="16">
        <f t="shared" si="703"/>
        <v>-2342202.415893924</v>
      </c>
      <c r="AB65" s="16">
        <f t="shared" si="704"/>
        <v>-3191173.5350808203</v>
      </c>
      <c r="AC65" s="16">
        <f t="shared" si="705"/>
        <v>-3898332.0762013132</v>
      </c>
      <c r="AD65" s="16">
        <f t="shared" si="706"/>
        <v>-2729454.7034360068</v>
      </c>
      <c r="AE65" s="16">
        <f t="shared" si="707"/>
        <v>-4514716.3732379684</v>
      </c>
      <c r="AF65" s="16">
        <f t="shared" si="708"/>
        <v>-4209388.2847354691</v>
      </c>
      <c r="AG65" s="16">
        <f t="shared" si="709"/>
        <v>-7992329.5249309577</v>
      </c>
      <c r="AH65" s="16">
        <f t="shared" si="710"/>
        <v>-4860891.9904100578</v>
      </c>
      <c r="AI65" s="16">
        <f t="shared" si="711"/>
        <v>-7695476.0573426764</v>
      </c>
      <c r="AJ65" s="16">
        <f t="shared" si="712"/>
        <v>-6640209.0548555609</v>
      </c>
      <c r="AK65" s="16">
        <f t="shared" si="713"/>
        <v>-11395978.804559723</v>
      </c>
      <c r="AL65" s="16">
        <f t="shared" si="714"/>
        <v>-7262477.5085396795</v>
      </c>
      <c r="AM65" s="16">
        <f t="shared" si="715"/>
        <v>-11062385.267232828</v>
      </c>
      <c r="AN65" s="16">
        <f t="shared" si="716"/>
        <v>-9151139.1195615437</v>
      </c>
      <c r="AO65" s="16">
        <f t="shared" si="717"/>
        <v>-15599902.450394683</v>
      </c>
      <c r="AP65" s="16">
        <f t="shared" si="718"/>
        <v>-9065146.6548579223</v>
      </c>
      <c r="AQ65" s="16">
        <f t="shared" si="719"/>
        <v>-14480015.210995654</v>
      </c>
      <c r="AR65" s="16">
        <f t="shared" si="720"/>
        <v>-11756489.450564075</v>
      </c>
      <c r="AS65" s="16">
        <f t="shared" si="721"/>
        <v>-20945977.197001293</v>
      </c>
      <c r="AT65" s="16">
        <f t="shared" si="722"/>
        <v>-11276149.316138564</v>
      </c>
      <c r="AU65" s="16">
        <f t="shared" si="723"/>
        <v>-19087416.866927426</v>
      </c>
      <c r="AV65" s="16">
        <f t="shared" si="724"/>
        <v>-15573597.477525864</v>
      </c>
      <c r="AW65" s="16">
        <f t="shared" si="725"/>
        <v>-28821653.864037976</v>
      </c>
      <c r="AY65" s="243">
        <f>'ASC606'!AY15</f>
        <v>0</v>
      </c>
      <c r="AZ65" s="243">
        <f>'ASC606'!AZ15</f>
        <v>0</v>
      </c>
      <c r="BA65" s="243">
        <f>'ASC606'!BA15</f>
        <v>0</v>
      </c>
      <c r="BB65" s="243">
        <f>'ASC606'!BB15</f>
        <v>0</v>
      </c>
      <c r="BC65" s="243">
        <f>'ASC606'!BC15</f>
        <v>0</v>
      </c>
      <c r="BD65" s="243">
        <f>'ASC606'!BD15</f>
        <v>0</v>
      </c>
      <c r="BE65" s="243">
        <f>'ASC606'!BE15</f>
        <v>0</v>
      </c>
      <c r="BF65" s="243">
        <f>'ASC606'!BF15</f>
        <v>0</v>
      </c>
      <c r="BG65" s="243">
        <f>'ASC606'!BG15</f>
        <v>0</v>
      </c>
      <c r="BH65" s="243">
        <f>'ASC606'!BH15</f>
        <v>0</v>
      </c>
      <c r="BI65" s="243">
        <f>'ASC606'!BI15</f>
        <v>0</v>
      </c>
      <c r="BJ65" s="243">
        <f>'ASC606'!BJ15</f>
        <v>0</v>
      </c>
      <c r="BK65" s="243">
        <f>'ASC606'!BK15</f>
        <v>-251585.79179399976</v>
      </c>
      <c r="BL65" s="243">
        <f>'ASC606'!BL15</f>
        <v>-251585.79179399976</v>
      </c>
      <c r="BM65" s="243">
        <f>'ASC606'!BM15</f>
        <v>-251585.79179399976</v>
      </c>
      <c r="BN65" s="243">
        <f>'ASC606'!BN15</f>
        <v>-421371.62341466657</v>
      </c>
      <c r="BO65" s="243">
        <f>'ASC606'!BO15</f>
        <v>-421371.62341466657</v>
      </c>
      <c r="BP65" s="243">
        <f>'ASC606'!BP15</f>
        <v>-421371.62341466657</v>
      </c>
      <c r="BQ65" s="243">
        <f>'ASC606'!BQ15</f>
        <v>-225323.66666666666</v>
      </c>
      <c r="BR65" s="243">
        <f>'ASC606'!BR15</f>
        <v>-225323.66666666666</v>
      </c>
      <c r="BS65" s="243">
        <f>'ASC606'!BS15</f>
        <v>-225323.66666666666</v>
      </c>
      <c r="BT65" s="243">
        <f>'ASC606'!BT15</f>
        <v>-399037.13994166674</v>
      </c>
      <c r="BU65" s="243">
        <f>'ASC606'!BU15</f>
        <v>-399037.13994166674</v>
      </c>
      <c r="BV65" s="243">
        <f>'ASC606'!BV15</f>
        <v>-399037.13994166674</v>
      </c>
      <c r="BW65" s="243">
        <f>'ASC606'!BW15</f>
        <v>-120417.20999999998</v>
      </c>
      <c r="BX65" s="243">
        <f>'ASC606'!BX15</f>
        <v>-120417.20999999998</v>
      </c>
      <c r="BY65" s="243">
        <f>'ASC606'!BY15</f>
        <v>-120417.20999999998</v>
      </c>
      <c r="BZ65" s="243">
        <f>'ASC606'!BZ15</f>
        <v>-312854.66666666669</v>
      </c>
      <c r="CA65" s="243">
        <f>'ASC606'!CA15</f>
        <v>-312854.66666666669</v>
      </c>
      <c r="CB65" s="243">
        <f>'ASC606'!CB15</f>
        <v>-312854.66666666669</v>
      </c>
      <c r="CC65" s="243">
        <f>'ASC606'!CC15</f>
        <v>-219765.00000000038</v>
      </c>
      <c r="CD65" s="243">
        <f>'ASC606'!CD15</f>
        <v>-219765.00000000038</v>
      </c>
      <c r="CE65" s="243">
        <f>'ASC606'!CE15</f>
        <v>-219765.00000000038</v>
      </c>
      <c r="CF65" s="243">
        <f>'ASC606'!CF15</f>
        <v>-384072.1602406702</v>
      </c>
      <c r="CG65" s="243">
        <f>'ASC606'!CG15</f>
        <v>-384072.1602406702</v>
      </c>
      <c r="CH65" s="243">
        <f>'ASC606'!CH15</f>
        <v>-384072.1602406702</v>
      </c>
      <c r="CI65" s="243">
        <f>'ASC606'!CI15</f>
        <v>-290242.06036759261</v>
      </c>
      <c r="CJ65" s="243">
        <f>'ASC606'!CJ15</f>
        <v>-290242.06036759261</v>
      </c>
      <c r="CK65" s="243">
        <f>'ASC606'!CK15</f>
        <v>-290242.06036759261</v>
      </c>
      <c r="CL65" s="243">
        <f>'ASC606'!CL15</f>
        <v>-780734.13863130799</v>
      </c>
      <c r="CM65" s="243">
        <f>'ASC606'!CM15</f>
        <v>-780734.13863130799</v>
      </c>
      <c r="CN65" s="243">
        <f>'ASC606'!CN15</f>
        <v>-780734.13863130799</v>
      </c>
      <c r="CO65" s="243">
        <f>'ASC606'!CO15</f>
        <v>-1063724.5116936069</v>
      </c>
      <c r="CP65" s="243">
        <f>'ASC606'!CP15</f>
        <v>-1063724.5116936069</v>
      </c>
      <c r="CQ65" s="243">
        <f>'ASC606'!CQ15</f>
        <v>-1063724.5116936069</v>
      </c>
      <c r="CR65" s="243">
        <f>'ASC606'!CR15</f>
        <v>-1299444.0254004376</v>
      </c>
      <c r="CS65" s="243">
        <f>'ASC606'!CS15</f>
        <v>-1299444.0254004376</v>
      </c>
      <c r="CT65" s="243">
        <f>'ASC606'!CT15</f>
        <v>-1299444.0254004376</v>
      </c>
      <c r="CU65" s="243">
        <f>'ASC606'!CU15</f>
        <v>250335.56937440927</v>
      </c>
      <c r="CV65" s="243">
        <f>'ASC606'!CV15</f>
        <v>-661812.16351316939</v>
      </c>
      <c r="CW65" s="243">
        <f>'ASC606'!CW15</f>
        <v>-2317978.1092972467</v>
      </c>
      <c r="CX65" s="243">
        <f>'ASC606'!CX15</f>
        <v>-280358.57750950125</v>
      </c>
      <c r="CY65" s="243">
        <f>'ASC606'!CY15</f>
        <v>-1565376.7768530878</v>
      </c>
      <c r="CZ65" s="243">
        <f>'ASC606'!CZ15</f>
        <v>-2668981.0188753791</v>
      </c>
      <c r="DA65" s="243">
        <f>'ASC606'!DA15</f>
        <v>-169671.79810651066</v>
      </c>
      <c r="DB65" s="243">
        <f>'ASC606'!DB15</f>
        <v>-1159795.8454126893</v>
      </c>
      <c r="DC65" s="243">
        <f>'ASC606'!DC15</f>
        <v>-2879920.6412162688</v>
      </c>
      <c r="DD65" s="243">
        <f>'ASC606'!DD15</f>
        <v>-537726.84300294262</v>
      </c>
      <c r="DE65" s="243">
        <f>'ASC606'!DE15</f>
        <v>-3404838.6045822487</v>
      </c>
      <c r="DF65" s="243">
        <f>'ASC606'!DF15</f>
        <v>-4049764.0773457666</v>
      </c>
      <c r="DG65" s="243">
        <f>'ASC606'!DG15</f>
        <v>79993.637137989048</v>
      </c>
      <c r="DH65" s="243">
        <f>'ASC606'!DH15</f>
        <v>-1261675.006731329</v>
      </c>
      <c r="DI65" s="243">
        <f>'ASC606'!DI15</f>
        <v>-3679210.6208167179</v>
      </c>
      <c r="DJ65" s="243">
        <f>'ASC606'!DJ15</f>
        <v>-776799.56878863461</v>
      </c>
      <c r="DK65" s="243">
        <f>'ASC606'!DK15</f>
        <v>-2644905.8152541774</v>
      </c>
      <c r="DL65" s="243">
        <f>'ASC606'!DL15</f>
        <v>-4273770.6732998639</v>
      </c>
      <c r="DM65" s="243">
        <f>'ASC606'!DM15</f>
        <v>-385870.78124917857</v>
      </c>
      <c r="DN65" s="243">
        <f>'ASC606'!DN15</f>
        <v>-1863481.0932229976</v>
      </c>
      <c r="DO65" s="243">
        <f>'ASC606'!DO15</f>
        <v>-4390857.1803833842</v>
      </c>
      <c r="DP65" s="243">
        <f>'ASC606'!DP15</f>
        <v>-663408.49490151624</v>
      </c>
      <c r="DQ65" s="243">
        <f>'ASC606'!DQ15</f>
        <v>-4891090.5018382324</v>
      </c>
      <c r="DR65" s="243">
        <f>'ASC606'!DR15</f>
        <v>-5841479.8078199746</v>
      </c>
      <c r="DS65" s="243">
        <f>'ASC606'!DS15</f>
        <v>14602.395209414419</v>
      </c>
      <c r="DT65" s="243">
        <f>'ASC606'!DT15</f>
        <v>-1904860.7010049189</v>
      </c>
      <c r="DU65" s="243">
        <f>'ASC606'!DU15</f>
        <v>-5372219.2027441747</v>
      </c>
      <c r="DV65" s="243">
        <f>'ASC606'!DV15</f>
        <v>-1137595.9620714665</v>
      </c>
      <c r="DW65" s="243">
        <f>'ASC606'!DW15</f>
        <v>-3816429.4031671113</v>
      </c>
      <c r="DX65" s="243">
        <f>'ASC606'!DX15</f>
        <v>-6108359.9019942489</v>
      </c>
      <c r="DY65" s="243">
        <f>'ASC606'!DY15</f>
        <v>-454596.03059601225</v>
      </c>
      <c r="DZ65" s="243">
        <f>'ASC606'!DZ15</f>
        <v>-2545026.3015280203</v>
      </c>
      <c r="EA65" s="243">
        <f>'ASC606'!EA15</f>
        <v>-6151516.7874375116</v>
      </c>
      <c r="EB65" s="243">
        <f>'ASC606'!EB15</f>
        <v>-722120.03912580805</v>
      </c>
      <c r="EC65" s="243">
        <f>'ASC606'!EC15</f>
        <v>-6791420.0329514835</v>
      </c>
      <c r="ED65" s="243">
        <f>'ASC606'!ED15</f>
        <v>-8086362.3783173906</v>
      </c>
      <c r="EE65" s="243">
        <f>'ASC606'!EE15</f>
        <v>448769.67811045609</v>
      </c>
      <c r="EF65" s="243">
        <f>'ASC606'!EF15</f>
        <v>-2286465.2339949701</v>
      </c>
      <c r="EG65" s="243">
        <f>'ASC606'!EG15</f>
        <v>-7227451.0989734093</v>
      </c>
      <c r="EH65" s="243">
        <f>'ASC606'!EH15</f>
        <v>-1193112.9810147984</v>
      </c>
      <c r="EI65" s="243">
        <f>'ASC606'!EI15</f>
        <v>-5010450.6345760925</v>
      </c>
      <c r="EJ65" s="243">
        <f>'ASC606'!EJ15</f>
        <v>-8276451.5954047628</v>
      </c>
      <c r="EK65" s="243">
        <f>'ASC606'!EK15</f>
        <v>-219838.0786622758</v>
      </c>
      <c r="EL65" s="243">
        <f>'ASC606'!EL15</f>
        <v>-3198701.2147403881</v>
      </c>
      <c r="EM65" s="243">
        <f>'ASC606'!EM15</f>
        <v>-8337950.1571614118</v>
      </c>
      <c r="EN65" s="243">
        <f>'ASC606'!EN15</f>
        <v>-601059.7908172328</v>
      </c>
      <c r="EO65" s="243">
        <f>'ASC606'!EO15</f>
        <v>-9249812.2820188217</v>
      </c>
      <c r="EP65" s="243">
        <f>'ASC606'!EP15</f>
        <v>-11095105.124165241</v>
      </c>
      <c r="EQ65" s="243">
        <f>'ASC606'!EQ15</f>
        <v>1120647.7415236137</v>
      </c>
      <c r="ER65" s="243">
        <f>'ASC606'!ER15</f>
        <v>-2722846.8956385264</v>
      </c>
      <c r="ES65" s="243">
        <f>'ASC606'!ES15</f>
        <v>-9673950.1620236505</v>
      </c>
      <c r="ET65" s="243">
        <f>'ASC606'!ET15</f>
        <v>-1242296.0333157806</v>
      </c>
      <c r="EU65" s="243">
        <f>'ASC606'!EU15</f>
        <v>-6613191.1799662635</v>
      </c>
      <c r="EV65" s="243">
        <f>'ASC606'!EV15</f>
        <v>-11231929.653645383</v>
      </c>
      <c r="EW65" s="243">
        <f>'ASC606'!EW15</f>
        <v>30981.998294092715</v>
      </c>
      <c r="EX65" s="243">
        <f>'ASC606'!EX15</f>
        <v>-4177570.0257152626</v>
      </c>
      <c r="EY65" s="243">
        <f>'ASC606'!EY15</f>
        <v>-11427009.450104695</v>
      </c>
      <c r="EZ65" s="243">
        <f>'ASC606'!EZ15</f>
        <v>-610090.94334784709</v>
      </c>
      <c r="FA65" s="243">
        <f>'ASC606'!FA15</f>
        <v>-12777256.45553007</v>
      </c>
      <c r="FB65" s="243">
        <f>'ASC606'!FB15</f>
        <v>-15434306.465160059</v>
      </c>
    </row>
    <row r="66" spans="2:158" x14ac:dyDescent="0.25">
      <c r="D66" s="55"/>
      <c r="E66" s="55"/>
      <c r="F66" s="55"/>
      <c r="G66" s="55"/>
      <c r="H66" s="19"/>
      <c r="I66" s="19"/>
      <c r="J66" s="19"/>
      <c r="K66" s="19"/>
      <c r="L66" s="19"/>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Y66" s="16"/>
      <c r="AZ66" s="16"/>
      <c r="BA66" s="16"/>
      <c r="BB66" s="16"/>
      <c r="BC66" s="16"/>
      <c r="BD66" s="16"/>
      <c r="BE66" s="16"/>
      <c r="BF66" s="16"/>
      <c r="BG66" s="16"/>
      <c r="BH66" s="16"/>
      <c r="BI66" s="16"/>
      <c r="BJ66" s="16"/>
      <c r="BK66" s="16"/>
      <c r="BL66" s="16"/>
      <c r="BM66" s="16"/>
      <c r="BN66" s="16"/>
      <c r="BO66" s="16"/>
      <c r="BP66" s="16"/>
      <c r="BQ66" s="16"/>
      <c r="BR66" s="16"/>
      <c r="BS66" s="16"/>
      <c r="BT66" s="16"/>
      <c r="BU66" s="16"/>
      <c r="BV66" s="16"/>
      <c r="BW66" s="16"/>
      <c r="BX66" s="16"/>
      <c r="BY66" s="16"/>
      <c r="BZ66" s="16"/>
      <c r="CA66" s="16"/>
      <c r="CB66" s="16"/>
      <c r="CC66" s="16"/>
      <c r="CD66" s="16"/>
      <c r="CE66" s="16"/>
      <c r="CF66" s="16"/>
      <c r="CG66" s="16"/>
      <c r="CH66" s="16"/>
      <c r="CI66" s="16"/>
      <c r="CJ66" s="16"/>
      <c r="CK66" s="16"/>
      <c r="CL66" s="16"/>
      <c r="CM66" s="16"/>
      <c r="CN66" s="16"/>
      <c r="CO66" s="16"/>
      <c r="CP66" s="16"/>
      <c r="CQ66" s="16"/>
      <c r="CR66" s="16"/>
      <c r="CS66" s="16"/>
      <c r="CT66" s="16"/>
      <c r="CU66" s="16"/>
      <c r="CV66" s="16"/>
      <c r="CW66" s="16"/>
      <c r="CX66" s="16"/>
      <c r="CY66" s="16"/>
      <c r="CZ66" s="16"/>
      <c r="DA66" s="16"/>
      <c r="DB66" s="16"/>
      <c r="DC66" s="16"/>
      <c r="DD66" s="16"/>
      <c r="DE66" s="16"/>
      <c r="DF66" s="16"/>
      <c r="DG66" s="16"/>
      <c r="DH66" s="16"/>
      <c r="DI66" s="16"/>
      <c r="DJ66" s="16"/>
      <c r="DK66" s="16"/>
      <c r="DL66" s="16"/>
      <c r="DM66" s="16"/>
      <c r="DN66" s="16"/>
      <c r="DO66" s="16"/>
      <c r="DP66" s="16"/>
      <c r="DQ66" s="16"/>
      <c r="DR66" s="16"/>
      <c r="DS66" s="16"/>
      <c r="DT66" s="16"/>
      <c r="DU66" s="16"/>
      <c r="DV66" s="16"/>
      <c r="DW66" s="16"/>
      <c r="DX66" s="16"/>
      <c r="DY66" s="16"/>
      <c r="DZ66" s="16"/>
      <c r="EA66" s="16"/>
      <c r="EB66" s="16"/>
      <c r="EC66" s="16"/>
      <c r="ED66" s="16"/>
      <c r="EE66" s="16"/>
      <c r="EF66" s="16"/>
      <c r="EG66" s="16"/>
      <c r="EH66" s="16"/>
      <c r="EI66" s="16"/>
      <c r="EJ66" s="16"/>
      <c r="EK66" s="16"/>
      <c r="EL66" s="16"/>
      <c r="EM66" s="16"/>
      <c r="EN66" s="16"/>
      <c r="EO66" s="16"/>
      <c r="EP66" s="16"/>
      <c r="EQ66" s="16"/>
      <c r="ER66" s="16"/>
      <c r="ES66" s="16"/>
      <c r="ET66" s="16"/>
      <c r="EU66" s="16"/>
      <c r="EV66" s="16"/>
      <c r="EW66" s="16"/>
      <c r="EX66" s="16"/>
      <c r="EY66" s="16"/>
      <c r="EZ66" s="16"/>
      <c r="FA66" s="16"/>
      <c r="FB66" s="16"/>
    </row>
    <row r="67" spans="2:158" ht="15.75" thickBot="1" x14ac:dyDescent="0.3">
      <c r="C67" s="1" t="s">
        <v>501</v>
      </c>
      <c r="D67" s="264">
        <f t="shared" ref="D67:K67" si="726">SUM(D51:D65)</f>
        <v>21897839.32</v>
      </c>
      <c r="E67" s="57">
        <f t="shared" si="726"/>
        <v>32080529.424549006</v>
      </c>
      <c r="F67" s="57">
        <f t="shared" si="726"/>
        <v>38854087.855277993</v>
      </c>
      <c r="G67" s="57">
        <f t="shared" si="726"/>
        <v>67829293.970976681</v>
      </c>
      <c r="H67" s="23">
        <f t="shared" si="726"/>
        <v>88054029.408510894</v>
      </c>
      <c r="I67" s="23">
        <f t="shared" si="726"/>
        <v>122152431.01178844</v>
      </c>
      <c r="J67" s="23">
        <f t="shared" si="726"/>
        <v>162688264.2851145</v>
      </c>
      <c r="K67" s="23">
        <f t="shared" si="726"/>
        <v>216603825.17213121</v>
      </c>
      <c r="L67" s="236">
        <f>SUM(L51:L65)</f>
        <v>323134095.31649923</v>
      </c>
      <c r="N67" s="57">
        <f t="shared" ref="N67" si="727">SUM(AY67:BA67)</f>
        <v>4255105.68</v>
      </c>
      <c r="O67" s="57">
        <f>SUM(BB67:BD67)</f>
        <v>4541925.12</v>
      </c>
      <c r="P67" s="57">
        <f>SUM(BE67:BG67)</f>
        <v>5790073.8700000001</v>
      </c>
      <c r="Q67" s="57">
        <f>SUM(BH67:BJ67)</f>
        <v>7310734.6500000004</v>
      </c>
      <c r="R67" s="57">
        <f>SUM(BK67:BM67)</f>
        <v>6867961.2746179998</v>
      </c>
      <c r="S67" s="57">
        <f>SUM(BN67:BP67)</f>
        <v>7721724.9797559995</v>
      </c>
      <c r="T67" s="57">
        <f>SUM(BQ67:BS67)</f>
        <v>8571492.6499999985</v>
      </c>
      <c r="U67" s="57">
        <f>SUM(BT67:BV67)</f>
        <v>8919350.5201750007</v>
      </c>
      <c r="V67" s="57">
        <f>SUM(BW67:BY67)</f>
        <v>9265022.5699999984</v>
      </c>
      <c r="W67" s="57">
        <f>SUM(BZ67:CB67)</f>
        <v>9051268.2240000013</v>
      </c>
      <c r="X67" s="57">
        <f>SUM(CC67:CE67)</f>
        <v>9599492.9059999995</v>
      </c>
      <c r="Y67" s="57">
        <f>SUM(CF67:CH67)</f>
        <v>10938304.15527799</v>
      </c>
      <c r="Z67" s="57">
        <f>SUM(CI67:CK67)</f>
        <v>13048670.518897222</v>
      </c>
      <c r="AA67" s="57">
        <f>SUM(CL67:CN67)</f>
        <v>16251493.489992484</v>
      </c>
      <c r="AB67" s="57">
        <f>SUM(CO67:CQ67)</f>
        <v>18748946.353827164</v>
      </c>
      <c r="AC67" s="57">
        <f>SUM(CR67:CT67)</f>
        <v>19780183.608259775</v>
      </c>
      <c r="AD67" s="57">
        <f>SUM(CU67:CW67)</f>
        <v>22479586.869754083</v>
      </c>
      <c r="AE67" s="57">
        <f>SUM(CX67:CZ67)</f>
        <v>21344589.21305199</v>
      </c>
      <c r="AF67" s="57">
        <f>SUM(DA67:DC67)</f>
        <v>23639880.42526371</v>
      </c>
      <c r="AG67" s="57">
        <f>SUM(DD67:DF67)</f>
        <v>20589972.900441088</v>
      </c>
      <c r="AH67" s="57">
        <f>SUM(DG67:DI67)</f>
        <v>27735607.228680372</v>
      </c>
      <c r="AI67" s="57">
        <f>SUM(DJ67:DL67)</f>
        <v>28211871.975788739</v>
      </c>
      <c r="AJ67" s="57">
        <f>SUM(DM67:DO67)</f>
        <v>33770202.868315972</v>
      </c>
      <c r="AK67" s="57">
        <f>SUM(DP67:DR67)</f>
        <v>32434748.939003363</v>
      </c>
      <c r="AL67" s="57">
        <f>SUM(DS67:DU67)</f>
        <v>40843746.598077103</v>
      </c>
      <c r="AM67" s="57">
        <f>SUM(DV67:DX67)</f>
        <v>38266957.3403093</v>
      </c>
      <c r="AN67" s="57">
        <f>SUM(DY67:EA67)</f>
        <v>44322218.084066942</v>
      </c>
      <c r="AO67" s="57">
        <f>SUM(EB67:ED67)</f>
        <v>39255342.262661144</v>
      </c>
      <c r="AP67" s="57">
        <f>SUM(EE67:EG67)</f>
        <v>51554208.896061346</v>
      </c>
      <c r="AQ67" s="57">
        <f>SUM(EH67:EJ67)</f>
        <v>50013510.647989616</v>
      </c>
      <c r="AR67" s="57">
        <f>SUM(EK67:EM67)</f>
        <v>60062551.757586055</v>
      </c>
      <c r="AS67" s="57">
        <f>SUM(EN67:EP67)</f>
        <v>54973553.870494187</v>
      </c>
      <c r="AT67" s="57">
        <f>SUM(EQ67:ES67)</f>
        <v>74669176.440472752</v>
      </c>
      <c r="AU67" s="57">
        <f>SUM(ET67:EV67)</f>
        <v>74461385.018984765</v>
      </c>
      <c r="AV67" s="57">
        <f>SUM(EW67:EY67)</f>
        <v>89669776.995038286</v>
      </c>
      <c r="AW67" s="57">
        <f>SUM(EZ67:FB67)</f>
        <v>84333756.862003505</v>
      </c>
      <c r="AY67" s="23">
        <f>SUM(AY51:AY65)</f>
        <v>1101901.5599999998</v>
      </c>
      <c r="AZ67" s="23">
        <f t="shared" ref="AZ67:DK67" si="728">SUM(AZ51:AZ65)</f>
        <v>1475476.4000000001</v>
      </c>
      <c r="BA67" s="23">
        <f t="shared" si="728"/>
        <v>1677727.7199999997</v>
      </c>
      <c r="BB67" s="23">
        <f t="shared" si="728"/>
        <v>1180946.5300000003</v>
      </c>
      <c r="BC67" s="23">
        <f t="shared" si="728"/>
        <v>1495305.8699999999</v>
      </c>
      <c r="BD67" s="23">
        <f t="shared" si="728"/>
        <v>1865672.7199999997</v>
      </c>
      <c r="BE67" s="23">
        <f t="shared" si="728"/>
        <v>1518966.61</v>
      </c>
      <c r="BF67" s="23">
        <f t="shared" si="728"/>
        <v>1886019.46</v>
      </c>
      <c r="BG67" s="23">
        <f t="shared" si="728"/>
        <v>2385087.7999999998</v>
      </c>
      <c r="BH67" s="23">
        <f t="shared" si="728"/>
        <v>1783761.27</v>
      </c>
      <c r="BI67" s="23">
        <f t="shared" si="728"/>
        <v>2315586.14</v>
      </c>
      <c r="BJ67" s="23">
        <f t="shared" si="728"/>
        <v>3211387.24</v>
      </c>
      <c r="BK67" s="23">
        <f t="shared" si="728"/>
        <v>2064285.6482060002</v>
      </c>
      <c r="BL67" s="23">
        <f t="shared" si="728"/>
        <v>2169078.1682059998</v>
      </c>
      <c r="BM67" s="23">
        <f t="shared" si="728"/>
        <v>2634597.4582059993</v>
      </c>
      <c r="BN67" s="23">
        <f t="shared" si="728"/>
        <v>2728721.4565853337</v>
      </c>
      <c r="BO67" s="23">
        <f t="shared" si="728"/>
        <v>2506592.2865853328</v>
      </c>
      <c r="BP67" s="23">
        <f t="shared" si="728"/>
        <v>2486411.2365853335</v>
      </c>
      <c r="BQ67" s="23">
        <f t="shared" si="728"/>
        <v>2497193.7133333338</v>
      </c>
      <c r="BR67" s="23">
        <f t="shared" si="728"/>
        <v>2945657.3433333333</v>
      </c>
      <c r="BS67" s="23">
        <f t="shared" si="728"/>
        <v>3128641.5933333328</v>
      </c>
      <c r="BT67" s="23">
        <f t="shared" si="728"/>
        <v>2338028.7200583331</v>
      </c>
      <c r="BU67" s="23">
        <f t="shared" si="728"/>
        <v>3085572.870058333</v>
      </c>
      <c r="BV67" s="23">
        <f t="shared" si="728"/>
        <v>3495748.9300583336</v>
      </c>
      <c r="BW67" s="23">
        <f t="shared" si="728"/>
        <v>3363431.9299999997</v>
      </c>
      <c r="BX67" s="23">
        <f t="shared" si="728"/>
        <v>3008571.7699999996</v>
      </c>
      <c r="BY67" s="23">
        <f t="shared" si="728"/>
        <v>2893018.8699999996</v>
      </c>
      <c r="BZ67" s="23">
        <f t="shared" si="728"/>
        <v>2726732.7333333339</v>
      </c>
      <c r="CA67" s="23">
        <f t="shared" si="728"/>
        <v>2549282.333333334</v>
      </c>
      <c r="CB67" s="23">
        <f t="shared" si="728"/>
        <v>3775253.1573333335</v>
      </c>
      <c r="CC67" s="23">
        <f t="shared" si="728"/>
        <v>2635706.0199999991</v>
      </c>
      <c r="CD67" s="23">
        <f t="shared" si="728"/>
        <v>3421354.3899999992</v>
      </c>
      <c r="CE67" s="23">
        <f t="shared" si="728"/>
        <v>3542432.4960000007</v>
      </c>
      <c r="CF67" s="23">
        <f t="shared" si="728"/>
        <v>2886241.1497593299</v>
      </c>
      <c r="CG67" s="23">
        <f t="shared" si="728"/>
        <v>3659745.5297593297</v>
      </c>
      <c r="CH67" s="23">
        <f t="shared" si="728"/>
        <v>4392317.4757593311</v>
      </c>
      <c r="CI67" s="23">
        <f t="shared" si="728"/>
        <v>3830379.5496324077</v>
      </c>
      <c r="CJ67" s="23">
        <f t="shared" si="728"/>
        <v>3740733.749632407</v>
      </c>
      <c r="CK67" s="23">
        <f t="shared" si="728"/>
        <v>5477557.2196324077</v>
      </c>
      <c r="CL67" s="23">
        <f t="shared" si="728"/>
        <v>4201808.0713686924</v>
      </c>
      <c r="CM67" s="23">
        <f t="shared" si="728"/>
        <v>5836051.9049399514</v>
      </c>
      <c r="CN67" s="23">
        <f t="shared" si="728"/>
        <v>6213633.5136838406</v>
      </c>
      <c r="CO67" s="23">
        <f t="shared" si="728"/>
        <v>4925256.5280414</v>
      </c>
      <c r="CP67" s="23">
        <f t="shared" si="728"/>
        <v>6060056.0432327241</v>
      </c>
      <c r="CQ67" s="23">
        <f t="shared" si="728"/>
        <v>7763633.7825530386</v>
      </c>
      <c r="CR67" s="23">
        <f t="shared" si="728"/>
        <v>5405197.0277726771</v>
      </c>
      <c r="CS67" s="23">
        <f t="shared" si="728"/>
        <v>6488727.1665544026</v>
      </c>
      <c r="CT67" s="23">
        <f t="shared" si="728"/>
        <v>7886259.413932696</v>
      </c>
      <c r="CU67" s="23">
        <f t="shared" si="728"/>
        <v>8609865.9547911789</v>
      </c>
      <c r="CV67" s="23">
        <f t="shared" si="728"/>
        <v>7613756.5893662041</v>
      </c>
      <c r="CW67" s="23">
        <f t="shared" si="728"/>
        <v>6255964.3255967023</v>
      </c>
      <c r="CX67" s="23">
        <f t="shared" si="728"/>
        <v>8236757.2097559841</v>
      </c>
      <c r="CY67" s="23">
        <f t="shared" si="728"/>
        <v>7014233.8399810456</v>
      </c>
      <c r="CZ67" s="23">
        <f t="shared" si="728"/>
        <v>6093598.1633149609</v>
      </c>
      <c r="DA67" s="23">
        <f t="shared" si="728"/>
        <v>8770875.59040647</v>
      </c>
      <c r="DB67" s="23">
        <f t="shared" si="728"/>
        <v>8084278.9783294247</v>
      </c>
      <c r="DC67" s="23">
        <f t="shared" si="728"/>
        <v>6784725.8565278165</v>
      </c>
      <c r="DD67" s="23">
        <f t="shared" si="728"/>
        <v>8751619.3668106776</v>
      </c>
      <c r="DE67" s="23">
        <f t="shared" si="728"/>
        <v>5881063.4659337327</v>
      </c>
      <c r="DF67" s="23">
        <f t="shared" si="728"/>
        <v>5957290.0676966757</v>
      </c>
      <c r="DG67" s="23">
        <f t="shared" si="728"/>
        <v>10620296.48090711</v>
      </c>
      <c r="DH67" s="23">
        <f t="shared" si="728"/>
        <v>9415872.4447022807</v>
      </c>
      <c r="DI67" s="23">
        <f t="shared" si="728"/>
        <v>7699438.3030709801</v>
      </c>
      <c r="DJ67" s="23">
        <f t="shared" si="728"/>
        <v>10779309.977962645</v>
      </c>
      <c r="DK67" s="23">
        <f t="shared" si="728"/>
        <v>9264994.641651798</v>
      </c>
      <c r="DL67" s="23">
        <f t="shared" ref="DL67:FB67" si="729">SUM(DL51:DL65)</f>
        <v>8167567.3561742939</v>
      </c>
      <c r="DM67" s="23">
        <f t="shared" si="729"/>
        <v>12318385.757723181</v>
      </c>
      <c r="DN67" s="23">
        <f t="shared" si="729"/>
        <v>11549116.047050685</v>
      </c>
      <c r="DO67" s="23">
        <f t="shared" si="729"/>
        <v>9902701.0635421034</v>
      </c>
      <c r="DP67" s="23">
        <f t="shared" si="729"/>
        <v>13336493.997185573</v>
      </c>
      <c r="DQ67" s="23">
        <f t="shared" si="729"/>
        <v>9362903.3440379798</v>
      </c>
      <c r="DR67" s="23">
        <f t="shared" si="729"/>
        <v>9735351.5977798104</v>
      </c>
      <c r="DS67" s="23">
        <f t="shared" si="729"/>
        <v>15975987.414654985</v>
      </c>
      <c r="DT67" s="23">
        <f t="shared" si="729"/>
        <v>13858017.31701915</v>
      </c>
      <c r="DU67" s="23">
        <f t="shared" si="729"/>
        <v>11009741.866402972</v>
      </c>
      <c r="DV67" s="23">
        <f t="shared" si="729"/>
        <v>15104169.228436518</v>
      </c>
      <c r="DW67" s="23">
        <f t="shared" si="729"/>
        <v>12540822.577977864</v>
      </c>
      <c r="DX67" s="23">
        <f t="shared" si="729"/>
        <v>10621965.533894921</v>
      </c>
      <c r="DY67" s="23">
        <f t="shared" si="729"/>
        <v>16656836.18610671</v>
      </c>
      <c r="DZ67" s="23">
        <f t="shared" si="729"/>
        <v>15195992.848922024</v>
      </c>
      <c r="EA67" s="23">
        <f t="shared" si="729"/>
        <v>12469389.049038211</v>
      </c>
      <c r="EB67" s="23">
        <f t="shared" si="729"/>
        <v>17075478.241145305</v>
      </c>
      <c r="EC67" s="23">
        <f t="shared" si="729"/>
        <v>10977101.776241878</v>
      </c>
      <c r="ED67" s="23">
        <f t="shared" si="729"/>
        <v>11202762.245273959</v>
      </c>
      <c r="EE67" s="23">
        <f t="shared" si="729"/>
        <v>20312937.445267379</v>
      </c>
      <c r="EF67" s="23">
        <f t="shared" si="729"/>
        <v>17531631.438092105</v>
      </c>
      <c r="EG67" s="23">
        <f t="shared" si="729"/>
        <v>13709640.012701865</v>
      </c>
      <c r="EH67" s="23">
        <f t="shared" si="729"/>
        <v>19781001.247193895</v>
      </c>
      <c r="EI67" s="23">
        <f t="shared" si="729"/>
        <v>16365037.509878393</v>
      </c>
      <c r="EJ67" s="23">
        <f t="shared" si="729"/>
        <v>13867471.890917331</v>
      </c>
      <c r="EK67" s="23">
        <f t="shared" si="729"/>
        <v>22466978.483371362</v>
      </c>
      <c r="EL67" s="23">
        <f t="shared" si="729"/>
        <v>20622086.491138387</v>
      </c>
      <c r="EM67" s="23">
        <f t="shared" si="729"/>
        <v>16973486.783076309</v>
      </c>
      <c r="EN67" s="23">
        <f t="shared" si="729"/>
        <v>23773975.614748619</v>
      </c>
      <c r="EO67" s="23">
        <f t="shared" si="729"/>
        <v>15320600.600493241</v>
      </c>
      <c r="EP67" s="23">
        <f t="shared" si="729"/>
        <v>15878977.655252319</v>
      </c>
      <c r="EQ67" s="23">
        <f t="shared" si="729"/>
        <v>29047470.081366692</v>
      </c>
      <c r="ER67" s="23">
        <f t="shared" si="729"/>
        <v>25381961.585241463</v>
      </c>
      <c r="ES67" s="23">
        <f t="shared" si="729"/>
        <v>20239744.77386459</v>
      </c>
      <c r="ET67" s="23">
        <f t="shared" si="729"/>
        <v>28965422.742285807</v>
      </c>
      <c r="EU67" s="23">
        <f t="shared" si="729"/>
        <v>24398577.686597571</v>
      </c>
      <c r="EV67" s="23">
        <f t="shared" si="729"/>
        <v>21097384.590101384</v>
      </c>
      <c r="EW67" s="23">
        <f t="shared" si="729"/>
        <v>33116374.684435785</v>
      </c>
      <c r="EX67" s="23">
        <f t="shared" si="729"/>
        <v>30737295.199772239</v>
      </c>
      <c r="EY67" s="23">
        <f t="shared" si="729"/>
        <v>25816107.110830259</v>
      </c>
      <c r="EZ67" s="23">
        <f t="shared" si="729"/>
        <v>35563422.021546274</v>
      </c>
      <c r="FA67" s="23">
        <f t="shared" si="729"/>
        <v>23910990.420406356</v>
      </c>
      <c r="FB67" s="23">
        <f t="shared" si="729"/>
        <v>24859344.420050874</v>
      </c>
    </row>
    <row r="68" spans="2:158" ht="15.75" thickTop="1" x14ac:dyDescent="0.25">
      <c r="D68" s="16"/>
      <c r="E68" s="16"/>
      <c r="F68" s="16"/>
      <c r="G68" s="16"/>
      <c r="H68" s="16"/>
      <c r="I68" s="16"/>
      <c r="J68" s="16"/>
      <c r="K68" s="16"/>
      <c r="L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Y68" s="16"/>
      <c r="AZ68" s="16"/>
      <c r="BA68" s="16"/>
      <c r="BB68" s="16"/>
      <c r="BC68" s="16"/>
      <c r="BD68" s="16"/>
      <c r="BE68" s="16"/>
      <c r="BF68" s="16"/>
      <c r="BG68" s="16"/>
      <c r="BH68" s="16"/>
      <c r="BI68" s="16"/>
      <c r="BJ68" s="16"/>
      <c r="BK68" s="16"/>
      <c r="BL68" s="16"/>
      <c r="BM68" s="16"/>
      <c r="BN68" s="16"/>
      <c r="BO68" s="16"/>
      <c r="BP68" s="16"/>
      <c r="BQ68" s="16"/>
      <c r="BR68" s="16"/>
      <c r="BS68" s="16"/>
      <c r="BT68" s="16"/>
      <c r="BU68" s="16"/>
      <c r="BV68" s="16"/>
      <c r="BW68" s="16"/>
      <c r="BX68" s="16"/>
      <c r="BY68" s="16"/>
      <c r="BZ68" s="16"/>
      <c r="CA68" s="16"/>
      <c r="CB68" s="16"/>
      <c r="CC68" s="16"/>
      <c r="CD68" s="16"/>
      <c r="CE68" s="16"/>
      <c r="CF68" s="16"/>
      <c r="CG68" s="16"/>
      <c r="CH68" s="16"/>
      <c r="CI68" s="16"/>
      <c r="CJ68" s="16"/>
      <c r="CK68" s="16"/>
      <c r="CL68" s="16"/>
      <c r="CM68" s="16"/>
      <c r="CN68" s="16"/>
      <c r="CO68" s="16"/>
      <c r="CP68" s="16"/>
      <c r="CQ68" s="16"/>
      <c r="CR68" s="16"/>
      <c r="CS68" s="16"/>
      <c r="CT68" s="16"/>
      <c r="CU68" s="16"/>
      <c r="CV68" s="16"/>
      <c r="CW68" s="16"/>
      <c r="CX68" s="16"/>
      <c r="CY68" s="16"/>
      <c r="CZ68" s="16"/>
      <c r="DA68" s="16"/>
      <c r="DB68" s="16"/>
      <c r="DC68" s="16"/>
      <c r="DD68" s="16"/>
      <c r="DE68" s="16"/>
      <c r="DF68" s="16"/>
      <c r="DG68" s="16"/>
      <c r="DH68" s="16"/>
      <c r="DI68" s="16"/>
      <c r="DJ68" s="16"/>
      <c r="DK68" s="16"/>
      <c r="DL68" s="16"/>
      <c r="DM68" s="16"/>
      <c r="DN68" s="16"/>
      <c r="DO68" s="16"/>
      <c r="DP68" s="16"/>
      <c r="DQ68" s="16"/>
      <c r="DR68" s="16"/>
      <c r="DS68" s="16"/>
      <c r="DT68" s="16"/>
      <c r="DU68" s="16"/>
      <c r="DV68" s="16"/>
      <c r="DW68" s="16"/>
      <c r="DX68" s="16"/>
      <c r="DY68" s="16"/>
      <c r="DZ68" s="16"/>
      <c r="EA68" s="16"/>
      <c r="EB68" s="16"/>
      <c r="EC68" s="16"/>
      <c r="ED68" s="16"/>
      <c r="EE68" s="16"/>
      <c r="EF68" s="16"/>
      <c r="EG68" s="16"/>
      <c r="EH68" s="16"/>
      <c r="EI68" s="16"/>
      <c r="EJ68" s="16"/>
      <c r="EK68" s="16"/>
      <c r="EL68" s="16"/>
      <c r="EM68" s="16"/>
      <c r="EN68" s="16"/>
      <c r="EO68" s="16"/>
      <c r="EP68" s="16"/>
      <c r="EQ68" s="16"/>
      <c r="ER68" s="16"/>
      <c r="ES68" s="16"/>
      <c r="ET68" s="16"/>
      <c r="EU68" s="16"/>
      <c r="EV68" s="16"/>
      <c r="EW68" s="16"/>
      <c r="EX68" s="16"/>
      <c r="EY68" s="16"/>
      <c r="EZ68" s="16"/>
      <c r="FA68" s="16"/>
      <c r="FB68" s="16"/>
    </row>
    <row r="69" spans="2:158" x14ac:dyDescent="0.25">
      <c r="C69" t="s">
        <v>521</v>
      </c>
      <c r="D69" s="16">
        <f>BJ69</f>
        <v>93</v>
      </c>
      <c r="E69" s="16">
        <f>BV69</f>
        <v>134</v>
      </c>
      <c r="F69" s="16">
        <f>CH69</f>
        <v>137</v>
      </c>
      <c r="G69" s="16">
        <f>CT69</f>
        <v>285</v>
      </c>
      <c r="H69" s="251">
        <f>DF69</f>
        <v>325.5988731894563</v>
      </c>
      <c r="I69" s="251">
        <f>DR69</f>
        <v>483.73200381586048</v>
      </c>
      <c r="J69" s="251">
        <f>ED69</f>
        <v>548.92771621454301</v>
      </c>
      <c r="K69" s="251">
        <f>EP69</f>
        <v>722.25914965054039</v>
      </c>
      <c r="L69" s="251">
        <f>FB69</f>
        <v>1049.6958537189396</v>
      </c>
      <c r="N69" s="16">
        <f>BA69</f>
        <v>59</v>
      </c>
      <c r="O69" s="16">
        <f t="shared" ref="O69" si="730">BD69</f>
        <v>65</v>
      </c>
      <c r="P69" s="16">
        <f t="shared" ref="P69" si="731">BG69</f>
        <v>76</v>
      </c>
      <c r="Q69" s="16">
        <f t="shared" ref="Q69" si="732">BJ69</f>
        <v>93</v>
      </c>
      <c r="R69" s="16">
        <f t="shared" ref="R69" si="733">BM69</f>
        <v>98</v>
      </c>
      <c r="S69" s="16">
        <f t="shared" ref="S69" si="734">BP69</f>
        <v>102</v>
      </c>
      <c r="T69" s="16">
        <f t="shared" ref="T69" si="735">BS69</f>
        <v>114</v>
      </c>
      <c r="U69" s="16">
        <f t="shared" ref="U69" si="736">BV69</f>
        <v>134</v>
      </c>
      <c r="V69" s="16">
        <f t="shared" ref="V69" si="737">BY69</f>
        <v>148</v>
      </c>
      <c r="W69" s="16">
        <f t="shared" ref="W69" si="738">CB69</f>
        <v>126</v>
      </c>
      <c r="X69" s="16">
        <f t="shared" ref="X69" si="739">CE69</f>
        <v>121</v>
      </c>
      <c r="Y69" s="16">
        <f t="shared" ref="Y69" si="740">CH69</f>
        <v>137</v>
      </c>
      <c r="Z69" s="16">
        <f t="shared" ref="Z69" si="741">CK69</f>
        <v>183</v>
      </c>
      <c r="AA69" s="16">
        <f t="shared" ref="AA69" si="742">CN69</f>
        <v>218</v>
      </c>
      <c r="AB69" s="16">
        <f t="shared" ref="AB69" si="743">CQ69</f>
        <v>259</v>
      </c>
      <c r="AC69" s="16">
        <f t="shared" ref="AC69" si="744">CT69</f>
        <v>285</v>
      </c>
      <c r="AD69" s="16">
        <f t="shared" ref="AD69" si="745">CW69</f>
        <v>296.07241996076084</v>
      </c>
      <c r="AE69" s="16">
        <f t="shared" ref="AE69" si="746">CZ69</f>
        <v>307.14483992152162</v>
      </c>
      <c r="AF69" s="16">
        <f t="shared" ref="AF69" si="747">DC69</f>
        <v>314.52645322869546</v>
      </c>
      <c r="AG69" s="16">
        <f t="shared" ref="AG69" si="748">DF69</f>
        <v>325.5988731894563</v>
      </c>
      <c r="AH69" s="16">
        <f t="shared" ref="AH69" si="749">DI69</f>
        <v>368.72609063302104</v>
      </c>
      <c r="AI69" s="16">
        <f t="shared" ref="AI69" si="750">DL69</f>
        <v>411.85330807658585</v>
      </c>
      <c r="AJ69" s="16">
        <f t="shared" ref="AJ69" si="751">DO69</f>
        <v>440.60478637229573</v>
      </c>
      <c r="AK69" s="16">
        <f t="shared" ref="AK69" si="752">DR69</f>
        <v>483.73200381586048</v>
      </c>
      <c r="AL69" s="16">
        <f t="shared" ref="AL69" si="753">DU69</f>
        <v>501.51265265186487</v>
      </c>
      <c r="AM69" s="16">
        <f t="shared" ref="AM69" si="754">DX69</f>
        <v>519.29330148786914</v>
      </c>
      <c r="AN69" s="16">
        <f t="shared" ref="AN69" si="755">EA69</f>
        <v>531.14706737853862</v>
      </c>
      <c r="AO69" s="16">
        <f t="shared" ref="AO69" si="756">ED69</f>
        <v>548.92771621454301</v>
      </c>
      <c r="AP69" s="16">
        <f t="shared" ref="AP69" si="757">EG69</f>
        <v>596.19992533345135</v>
      </c>
      <c r="AQ69" s="16">
        <f t="shared" ref="AQ69" si="758">EJ69</f>
        <v>643.4721344523598</v>
      </c>
      <c r="AR69" s="16">
        <f t="shared" ref="AR69" si="759">EM69</f>
        <v>674.98694053163217</v>
      </c>
      <c r="AS69" s="16">
        <f t="shared" ref="AS69" si="760">EP69</f>
        <v>722.25914965054039</v>
      </c>
      <c r="AT69" s="16">
        <f t="shared" ref="AT69" si="761">ES69</f>
        <v>811.56006894192205</v>
      </c>
      <c r="AU69" s="16">
        <f t="shared" ref="AU69" si="762">EV69</f>
        <v>900.8609882333036</v>
      </c>
      <c r="AV69" s="16">
        <f t="shared" ref="AV69" si="763">EY69</f>
        <v>960.39493442755793</v>
      </c>
      <c r="AW69" s="16">
        <f t="shared" ref="AW69" si="764">FB69</f>
        <v>1049.6958537189396</v>
      </c>
      <c r="AY69" s="16">
        <f>AY70</f>
        <v>54</v>
      </c>
      <c r="AZ69" s="16">
        <f t="shared" ref="AZ69:DK69" si="765">AZ70</f>
        <v>57</v>
      </c>
      <c r="BA69" s="16">
        <f t="shared" si="765"/>
        <v>59</v>
      </c>
      <c r="BB69" s="16">
        <f t="shared" si="765"/>
        <v>60</v>
      </c>
      <c r="BC69" s="16">
        <f t="shared" si="765"/>
        <v>62</v>
      </c>
      <c r="BD69" s="16">
        <f t="shared" si="765"/>
        <v>65</v>
      </c>
      <c r="BE69" s="16">
        <f t="shared" si="765"/>
        <v>72</v>
      </c>
      <c r="BF69" s="16">
        <f t="shared" si="765"/>
        <v>76</v>
      </c>
      <c r="BG69" s="16">
        <f t="shared" si="765"/>
        <v>76</v>
      </c>
      <c r="BH69" s="16">
        <f t="shared" si="765"/>
        <v>82</v>
      </c>
      <c r="BI69" s="16">
        <f t="shared" si="765"/>
        <v>85</v>
      </c>
      <c r="BJ69" s="16">
        <f t="shared" si="765"/>
        <v>93</v>
      </c>
      <c r="BK69" s="16">
        <f t="shared" si="765"/>
        <v>94</v>
      </c>
      <c r="BL69" s="16">
        <f t="shared" si="765"/>
        <v>98</v>
      </c>
      <c r="BM69" s="16">
        <f t="shared" si="765"/>
        <v>98</v>
      </c>
      <c r="BN69" s="16">
        <f t="shared" si="765"/>
        <v>98</v>
      </c>
      <c r="BO69" s="16">
        <f t="shared" si="765"/>
        <v>100</v>
      </c>
      <c r="BP69" s="16">
        <f t="shared" si="765"/>
        <v>102</v>
      </c>
      <c r="BQ69" s="16">
        <f t="shared" si="765"/>
        <v>110</v>
      </c>
      <c r="BR69" s="16">
        <f t="shared" si="765"/>
        <v>110</v>
      </c>
      <c r="BS69" s="16">
        <f t="shared" si="765"/>
        <v>114</v>
      </c>
      <c r="BT69" s="16">
        <f t="shared" si="765"/>
        <v>122</v>
      </c>
      <c r="BU69" s="16">
        <f t="shared" si="765"/>
        <v>121</v>
      </c>
      <c r="BV69" s="16">
        <f t="shared" si="765"/>
        <v>134</v>
      </c>
      <c r="BW69" s="16">
        <f t="shared" si="765"/>
        <v>133</v>
      </c>
      <c r="BX69" s="16">
        <f t="shared" si="765"/>
        <v>144</v>
      </c>
      <c r="BY69" s="16">
        <f t="shared" si="765"/>
        <v>148</v>
      </c>
      <c r="BZ69" s="16">
        <f t="shared" si="765"/>
        <v>125</v>
      </c>
      <c r="CA69" s="16">
        <f t="shared" si="765"/>
        <v>126</v>
      </c>
      <c r="CB69" s="16">
        <f t="shared" si="765"/>
        <v>126</v>
      </c>
      <c r="CC69" s="16">
        <f t="shared" si="765"/>
        <v>125</v>
      </c>
      <c r="CD69" s="16">
        <f t="shared" si="765"/>
        <v>123</v>
      </c>
      <c r="CE69" s="16">
        <f t="shared" si="765"/>
        <v>121</v>
      </c>
      <c r="CF69" s="16">
        <f t="shared" si="765"/>
        <v>128</v>
      </c>
      <c r="CG69" s="16">
        <f t="shared" si="765"/>
        <v>129</v>
      </c>
      <c r="CH69" s="16">
        <f t="shared" si="765"/>
        <v>137</v>
      </c>
      <c r="CI69" s="16">
        <f t="shared" si="765"/>
        <v>145</v>
      </c>
      <c r="CJ69" s="16">
        <f t="shared" si="765"/>
        <v>166</v>
      </c>
      <c r="CK69" s="16">
        <f t="shared" si="765"/>
        <v>183</v>
      </c>
      <c r="CL69" s="16">
        <f t="shared" si="765"/>
        <v>186</v>
      </c>
      <c r="CM69" s="16">
        <f t="shared" si="765"/>
        <v>211</v>
      </c>
      <c r="CN69" s="16">
        <f t="shared" si="765"/>
        <v>218</v>
      </c>
      <c r="CO69" s="16">
        <f t="shared" si="765"/>
        <v>238</v>
      </c>
      <c r="CP69" s="16">
        <f t="shared" si="765"/>
        <v>253</v>
      </c>
      <c r="CQ69" s="16">
        <f t="shared" si="765"/>
        <v>259</v>
      </c>
      <c r="CR69" s="16">
        <f t="shared" si="765"/>
        <v>271</v>
      </c>
      <c r="CS69" s="16">
        <f t="shared" si="765"/>
        <v>278</v>
      </c>
      <c r="CT69" s="16">
        <f t="shared" si="765"/>
        <v>285</v>
      </c>
      <c r="CU69" s="16">
        <f t="shared" si="765"/>
        <v>288.69080665358695</v>
      </c>
      <c r="CV69" s="16">
        <f t="shared" si="765"/>
        <v>292.38161330717389</v>
      </c>
      <c r="CW69" s="16">
        <f t="shared" si="765"/>
        <v>296.07241996076084</v>
      </c>
      <c r="CX69" s="16">
        <f t="shared" si="765"/>
        <v>299.76322661434779</v>
      </c>
      <c r="CY69" s="16">
        <f t="shared" si="765"/>
        <v>303.45403326793473</v>
      </c>
      <c r="CZ69" s="16">
        <f t="shared" si="765"/>
        <v>307.14483992152162</v>
      </c>
      <c r="DA69" s="16">
        <f t="shared" si="765"/>
        <v>307.14483992152162</v>
      </c>
      <c r="DB69" s="16">
        <f t="shared" si="765"/>
        <v>310.83564657510851</v>
      </c>
      <c r="DC69" s="16">
        <f t="shared" si="765"/>
        <v>314.52645322869546</v>
      </c>
      <c r="DD69" s="16">
        <f t="shared" si="765"/>
        <v>318.21725988228241</v>
      </c>
      <c r="DE69" s="16">
        <f t="shared" si="765"/>
        <v>321.90806653586935</v>
      </c>
      <c r="DF69" s="16">
        <f t="shared" si="765"/>
        <v>325.5988731894563</v>
      </c>
      <c r="DG69" s="16">
        <f t="shared" si="765"/>
        <v>339.97461233731121</v>
      </c>
      <c r="DH69" s="16">
        <f t="shared" si="765"/>
        <v>354.35035148516613</v>
      </c>
      <c r="DI69" s="16">
        <f t="shared" si="765"/>
        <v>368.72609063302104</v>
      </c>
      <c r="DJ69" s="16">
        <f t="shared" si="765"/>
        <v>383.10182978087596</v>
      </c>
      <c r="DK69" s="16">
        <f t="shared" si="765"/>
        <v>397.47756892873088</v>
      </c>
      <c r="DL69" s="16">
        <f t="shared" ref="DL69:FB69" si="766">DL70</f>
        <v>411.85330807658585</v>
      </c>
      <c r="DM69" s="16">
        <f t="shared" si="766"/>
        <v>411.85330807658585</v>
      </c>
      <c r="DN69" s="16">
        <f t="shared" si="766"/>
        <v>426.22904722444082</v>
      </c>
      <c r="DO69" s="16">
        <f t="shared" si="766"/>
        <v>440.60478637229573</v>
      </c>
      <c r="DP69" s="16">
        <f t="shared" si="766"/>
        <v>454.98052552015065</v>
      </c>
      <c r="DQ69" s="16">
        <f t="shared" si="766"/>
        <v>469.35626466800556</v>
      </c>
      <c r="DR69" s="16">
        <f t="shared" si="766"/>
        <v>483.73200381586048</v>
      </c>
      <c r="DS69" s="16">
        <f t="shared" si="766"/>
        <v>489.65888676119528</v>
      </c>
      <c r="DT69" s="16">
        <f t="shared" si="766"/>
        <v>495.58576970653007</v>
      </c>
      <c r="DU69" s="16">
        <f t="shared" si="766"/>
        <v>501.51265265186487</v>
      </c>
      <c r="DV69" s="16">
        <f t="shared" si="766"/>
        <v>507.43953559719967</v>
      </c>
      <c r="DW69" s="16">
        <f t="shared" si="766"/>
        <v>513.36641854253446</v>
      </c>
      <c r="DX69" s="16">
        <f t="shared" si="766"/>
        <v>519.29330148786914</v>
      </c>
      <c r="DY69" s="16">
        <f t="shared" si="766"/>
        <v>519.29330148786914</v>
      </c>
      <c r="DZ69" s="16">
        <f t="shared" si="766"/>
        <v>525.22018443320383</v>
      </c>
      <c r="EA69" s="16">
        <f t="shared" si="766"/>
        <v>531.14706737853862</v>
      </c>
      <c r="EB69" s="16">
        <f t="shared" si="766"/>
        <v>537.07395032387342</v>
      </c>
      <c r="EC69" s="16">
        <f t="shared" si="766"/>
        <v>543.00083326920821</v>
      </c>
      <c r="ED69" s="16">
        <f t="shared" si="766"/>
        <v>548.92771621454301</v>
      </c>
      <c r="EE69" s="16">
        <f t="shared" si="766"/>
        <v>564.6851192541792</v>
      </c>
      <c r="EF69" s="16">
        <f t="shared" si="766"/>
        <v>580.44252229381527</v>
      </c>
      <c r="EG69" s="16">
        <f t="shared" si="766"/>
        <v>596.19992533345135</v>
      </c>
      <c r="EH69" s="16">
        <f t="shared" si="766"/>
        <v>611.95732837308742</v>
      </c>
      <c r="EI69" s="16">
        <f t="shared" si="766"/>
        <v>627.71473141272349</v>
      </c>
      <c r="EJ69" s="16">
        <f t="shared" si="766"/>
        <v>643.4721344523598</v>
      </c>
      <c r="EK69" s="16">
        <f t="shared" si="766"/>
        <v>643.4721344523598</v>
      </c>
      <c r="EL69" s="16">
        <f t="shared" si="766"/>
        <v>659.2295374919961</v>
      </c>
      <c r="EM69" s="16">
        <f t="shared" si="766"/>
        <v>674.98694053163217</v>
      </c>
      <c r="EN69" s="16">
        <f t="shared" si="766"/>
        <v>690.74434357126825</v>
      </c>
      <c r="EO69" s="16">
        <f t="shared" si="766"/>
        <v>706.50174661090432</v>
      </c>
      <c r="EP69" s="16">
        <f t="shared" si="766"/>
        <v>722.25914965054039</v>
      </c>
      <c r="EQ69" s="16">
        <f t="shared" si="766"/>
        <v>752.02612274766761</v>
      </c>
      <c r="ER69" s="16">
        <f t="shared" si="766"/>
        <v>781.79309584479483</v>
      </c>
      <c r="ES69" s="16">
        <f t="shared" si="766"/>
        <v>811.56006894192205</v>
      </c>
      <c r="ET69" s="16">
        <f t="shared" si="766"/>
        <v>841.32704203904927</v>
      </c>
      <c r="EU69" s="16">
        <f t="shared" si="766"/>
        <v>871.09401513617649</v>
      </c>
      <c r="EV69" s="16">
        <f t="shared" si="766"/>
        <v>900.8609882333036</v>
      </c>
      <c r="EW69" s="16">
        <f t="shared" si="766"/>
        <v>900.8609882333036</v>
      </c>
      <c r="EX69" s="16">
        <f t="shared" si="766"/>
        <v>930.62796133043071</v>
      </c>
      <c r="EY69" s="16">
        <f t="shared" si="766"/>
        <v>960.39493442755793</v>
      </c>
      <c r="EZ69" s="16">
        <f t="shared" si="766"/>
        <v>990.16190752468515</v>
      </c>
      <c r="FA69" s="16">
        <f t="shared" si="766"/>
        <v>1019.9288806218124</v>
      </c>
      <c r="FB69" s="16">
        <f t="shared" si="766"/>
        <v>1049.6958537189396</v>
      </c>
    </row>
    <row r="70" spans="2:158" x14ac:dyDescent="0.25">
      <c r="C70" t="s">
        <v>519</v>
      </c>
      <c r="D70" s="16">
        <f>AVERAGE(AY70:BJ70)</f>
        <v>70.083333333333329</v>
      </c>
      <c r="E70" s="16">
        <f>AVERAGE(BK70:BV70)</f>
        <v>108.41666666666667</v>
      </c>
      <c r="F70" s="16">
        <f>AVERAGE(BW70:CH70)</f>
        <v>130.41666666666666</v>
      </c>
      <c r="G70" s="16">
        <f>AVERAGE(CI70:CT70)</f>
        <v>224.41666666666666</v>
      </c>
      <c r="H70" s="16">
        <f>H11/H72</f>
        <v>307.14483992152162</v>
      </c>
      <c r="I70" s="16">
        <f>I11/I72</f>
        <v>411.85330807658585</v>
      </c>
      <c r="J70" s="16">
        <f>J11/J72</f>
        <v>519.29330148786914</v>
      </c>
      <c r="K70" s="16">
        <f>K11/K72</f>
        <v>643.4721344523598</v>
      </c>
      <c r="L70" s="16">
        <f>L11/L72</f>
        <v>900.8609882333036</v>
      </c>
      <c r="N70" s="16">
        <f>AVERAGE(AY70:BA70)</f>
        <v>56.666666666666664</v>
      </c>
      <c r="O70" s="16">
        <f>AVERAGE(BB70:BD70)</f>
        <v>62.333333333333336</v>
      </c>
      <c r="P70" s="16">
        <f>AVERAGE(BE70:BG70)</f>
        <v>74.666666666666671</v>
      </c>
      <c r="Q70" s="16">
        <f>AVERAGE(BH70:BJ70)</f>
        <v>86.666666666666671</v>
      </c>
      <c r="R70" s="16">
        <f>AVERAGE(BK70:BM70)</f>
        <v>96.666666666666671</v>
      </c>
      <c r="S70" s="16">
        <f>AVERAGE(BN70:BP70)</f>
        <v>100</v>
      </c>
      <c r="T70" s="16">
        <f>AVERAGE(BQ70:BS70)</f>
        <v>111.33333333333333</v>
      </c>
      <c r="U70" s="16">
        <f>AVERAGE(BT70:BV70)</f>
        <v>125.66666666666667</v>
      </c>
      <c r="V70" s="16">
        <f>AVERAGE(BW70:BY70)</f>
        <v>141.66666666666666</v>
      </c>
      <c r="W70" s="16">
        <f>AVERAGE(BZ70:CB70)</f>
        <v>125.66666666666667</v>
      </c>
      <c r="X70" s="16">
        <f>AVERAGE(CC70:CE70)</f>
        <v>123</v>
      </c>
      <c r="Y70" s="16">
        <f>AVERAGE(CF70:CH70)</f>
        <v>131.33333333333334</v>
      </c>
      <c r="Z70" s="16">
        <f>AVERAGE(CI70:CK70)</f>
        <v>164.66666666666666</v>
      </c>
      <c r="AA70" s="16">
        <f>AVERAGE(CL70:CN70)</f>
        <v>205</v>
      </c>
      <c r="AB70" s="16">
        <f>AVERAGE(CO70:CQ70)</f>
        <v>250</v>
      </c>
      <c r="AC70" s="16">
        <f>AVERAGE(CR70:CT70)</f>
        <v>278</v>
      </c>
      <c r="AD70" s="16">
        <f>AVERAGE(CU70:CW70)</f>
        <v>292.38161330717389</v>
      </c>
      <c r="AE70" s="16">
        <f>AVERAGE(CX70:CZ70)</f>
        <v>303.45403326793468</v>
      </c>
      <c r="AF70" s="16">
        <f>AVERAGE(DA70:DC70)</f>
        <v>310.83564657510857</v>
      </c>
      <c r="AG70" s="16">
        <f>AVERAGE(DD70:DF70)</f>
        <v>321.90806653586935</v>
      </c>
      <c r="AH70" s="16">
        <f>AVERAGE(DG70:DI70)</f>
        <v>354.35035148516613</v>
      </c>
      <c r="AI70" s="16">
        <f>AVERAGE(DJ70:DL70)</f>
        <v>397.47756892873093</v>
      </c>
      <c r="AJ70" s="16">
        <f>AVERAGE(DM70:DO70)</f>
        <v>426.22904722444082</v>
      </c>
      <c r="AK70" s="16">
        <f>AVERAGE(DP70:DR70)</f>
        <v>469.35626466800551</v>
      </c>
      <c r="AL70" s="16">
        <f>AVERAGE(DS70:DU70)</f>
        <v>495.58576970653007</v>
      </c>
      <c r="AM70" s="16">
        <f>AVERAGE(DV70:DX70)</f>
        <v>513.36641854253446</v>
      </c>
      <c r="AN70" s="16">
        <f>AVERAGE(DY70:EA70)</f>
        <v>525.22018443320383</v>
      </c>
      <c r="AO70" s="16">
        <f>AVERAGE(EB70:ED70)</f>
        <v>543.00083326920821</v>
      </c>
      <c r="AP70" s="16">
        <f>AVERAGE(EE70:EG70)</f>
        <v>580.44252229381527</v>
      </c>
      <c r="AQ70" s="16">
        <f>AVERAGE(EH70:EJ70)</f>
        <v>627.71473141272361</v>
      </c>
      <c r="AR70" s="16">
        <f>AVERAGE(EK70:EM70)</f>
        <v>659.22953749199598</v>
      </c>
      <c r="AS70" s="16">
        <f>AVERAGE(EN70:EP70)</f>
        <v>706.50174661090432</v>
      </c>
      <c r="AT70" s="16">
        <f>AVERAGE(EQ70:ES70)</f>
        <v>781.79309584479472</v>
      </c>
      <c r="AU70" s="16">
        <f>AVERAGE(ET70:EV70)</f>
        <v>871.09401513617649</v>
      </c>
      <c r="AV70" s="16">
        <f>AVERAGE(EW70:EY70)</f>
        <v>930.62796133043082</v>
      </c>
      <c r="AW70" s="16">
        <f>AVERAGE(EZ70:FB70)</f>
        <v>1019.9288806218124</v>
      </c>
      <c r="AY70" s="16">
        <v>54</v>
      </c>
      <c r="AZ70" s="16">
        <v>57</v>
      </c>
      <c r="BA70" s="16">
        <v>59</v>
      </c>
      <c r="BB70" s="16">
        <v>60</v>
      </c>
      <c r="BC70" s="16">
        <v>62</v>
      </c>
      <c r="BD70" s="16">
        <v>65</v>
      </c>
      <c r="BE70" s="16">
        <v>72</v>
      </c>
      <c r="BF70" s="16">
        <v>76</v>
      </c>
      <c r="BG70" s="16">
        <v>76</v>
      </c>
      <c r="BH70" s="16">
        <v>82</v>
      </c>
      <c r="BI70" s="16">
        <v>85</v>
      </c>
      <c r="BJ70" s="16">
        <v>93</v>
      </c>
      <c r="BK70" s="16">
        <v>94</v>
      </c>
      <c r="BL70" s="16">
        <v>98</v>
      </c>
      <c r="BM70" s="16">
        <v>98</v>
      </c>
      <c r="BN70" s="16">
        <v>98</v>
      </c>
      <c r="BO70" s="16">
        <v>100</v>
      </c>
      <c r="BP70" s="16">
        <v>102</v>
      </c>
      <c r="BQ70" s="16">
        <v>110</v>
      </c>
      <c r="BR70" s="16">
        <v>110</v>
      </c>
      <c r="BS70" s="16">
        <v>114</v>
      </c>
      <c r="BT70" s="16">
        <v>122</v>
      </c>
      <c r="BU70" s="16">
        <v>121</v>
      </c>
      <c r="BV70" s="16">
        <v>134</v>
      </c>
      <c r="BW70" s="16">
        <v>133</v>
      </c>
      <c r="BX70" s="16">
        <v>144</v>
      </c>
      <c r="BY70" s="16">
        <v>148</v>
      </c>
      <c r="BZ70" s="16">
        <v>125</v>
      </c>
      <c r="CA70" s="16">
        <v>126</v>
      </c>
      <c r="CB70" s="16">
        <v>126</v>
      </c>
      <c r="CC70" s="16">
        <v>125</v>
      </c>
      <c r="CD70" s="16">
        <v>123</v>
      </c>
      <c r="CE70" s="16">
        <v>121</v>
      </c>
      <c r="CF70" s="16">
        <v>128</v>
      </c>
      <c r="CG70" s="16">
        <v>129</v>
      </c>
      <c r="CH70" s="16">
        <v>137</v>
      </c>
      <c r="CI70" s="16">
        <v>145</v>
      </c>
      <c r="CJ70" s="16">
        <v>166</v>
      </c>
      <c r="CK70" s="16">
        <v>183</v>
      </c>
      <c r="CL70" s="16">
        <v>186</v>
      </c>
      <c r="CM70" s="16">
        <v>211</v>
      </c>
      <c r="CN70" s="16">
        <v>218</v>
      </c>
      <c r="CO70" s="16">
        <v>238</v>
      </c>
      <c r="CP70" s="16">
        <v>253</v>
      </c>
      <c r="CQ70" s="16">
        <v>259</v>
      </c>
      <c r="CR70" s="16">
        <v>271</v>
      </c>
      <c r="CS70" s="16">
        <v>278</v>
      </c>
      <c r="CT70" s="16">
        <v>285</v>
      </c>
      <c r="CU70" s="16">
        <f>(CZ70-CT70)/6+CT70</f>
        <v>288.69080665358695</v>
      </c>
      <c r="CV70" s="16">
        <f>(CZ70-CT70)/6+CU70</f>
        <v>292.38161330717389</v>
      </c>
      <c r="CW70" s="16">
        <f>(CZ70-CT70)/6+CV70</f>
        <v>296.07241996076084</v>
      </c>
      <c r="CX70" s="16">
        <f>(CZ70-CT70)/6+CW70</f>
        <v>299.76322661434779</v>
      </c>
      <c r="CY70" s="16">
        <f>(CZ70-CT70)/6+CX70</f>
        <v>303.45403326793473</v>
      </c>
      <c r="CZ70" s="90">
        <f t="shared" ref="CZ70:DA70" si="767">INDEX($D70:$L70,1,MATCH(CZ$2,$D$2:$L$2,))</f>
        <v>307.14483992152162</v>
      </c>
      <c r="DA70" s="90">
        <f t="shared" si="767"/>
        <v>307.14483992152162</v>
      </c>
      <c r="DB70" s="16">
        <f>CZ70-CY70+DA70</f>
        <v>310.83564657510851</v>
      </c>
      <c r="DC70" s="16">
        <f>CY70-CX70+DB70</f>
        <v>314.52645322869546</v>
      </c>
      <c r="DD70" s="16">
        <f>CX70-CW70+DC70</f>
        <v>318.21725988228241</v>
      </c>
      <c r="DE70" s="16">
        <f>CW70-CV70+DD70</f>
        <v>321.90806653586935</v>
      </c>
      <c r="DF70" s="16">
        <f>CV70-CU70+DE70</f>
        <v>325.5988731894563</v>
      </c>
      <c r="DG70" s="16">
        <f>(DL70-DF70)/6+DF70</f>
        <v>339.97461233731121</v>
      </c>
      <c r="DH70" s="16">
        <f>(DL70-DF70)/6+DG70</f>
        <v>354.35035148516613</v>
      </c>
      <c r="DI70" s="16">
        <f>(DL70-DF70)/6+DH70</f>
        <v>368.72609063302104</v>
      </c>
      <c r="DJ70" s="16">
        <f>(DL70-DF70)/6+DI70</f>
        <v>383.10182978087596</v>
      </c>
      <c r="DK70" s="16">
        <f>(DL70-DF70)/6+DJ70</f>
        <v>397.47756892873088</v>
      </c>
      <c r="DL70" s="90">
        <f t="shared" ref="DL70:DM70" si="768">INDEX($D70:$L70,1,MATCH(DL$2,$D$2:$L$2,))</f>
        <v>411.85330807658585</v>
      </c>
      <c r="DM70" s="90">
        <f t="shared" si="768"/>
        <v>411.85330807658585</v>
      </c>
      <c r="DN70" s="16">
        <f>DL70-DK70+DM70</f>
        <v>426.22904722444082</v>
      </c>
      <c r="DO70" s="16">
        <f>DK70-DJ70+DN70</f>
        <v>440.60478637229573</v>
      </c>
      <c r="DP70" s="16">
        <f>DJ70-DI70+DO70</f>
        <v>454.98052552015065</v>
      </c>
      <c r="DQ70" s="16">
        <f>DI70-DH70+DP70</f>
        <v>469.35626466800556</v>
      </c>
      <c r="DR70" s="16">
        <f>DH70-DG70+DQ70</f>
        <v>483.73200381586048</v>
      </c>
      <c r="DS70" s="16">
        <f>(DX70-DR70)/6+DR70</f>
        <v>489.65888676119528</v>
      </c>
      <c r="DT70" s="16">
        <f>(DX70-DR70)/6+DS70</f>
        <v>495.58576970653007</v>
      </c>
      <c r="DU70" s="16">
        <f>(DX70-DR70)/6+DT70</f>
        <v>501.51265265186487</v>
      </c>
      <c r="DV70" s="16">
        <f>(DX70-DR70)/6+DU70</f>
        <v>507.43953559719967</v>
      </c>
      <c r="DW70" s="16">
        <f>(DX70-DR70)/6+DV70</f>
        <v>513.36641854253446</v>
      </c>
      <c r="DX70" s="90">
        <f t="shared" ref="DX70:DY70" si="769">INDEX($D70:$L70,1,MATCH(DX$2,$D$2:$L$2,))</f>
        <v>519.29330148786914</v>
      </c>
      <c r="DY70" s="90">
        <f t="shared" si="769"/>
        <v>519.29330148786914</v>
      </c>
      <c r="DZ70" s="16">
        <f>DX70-DW70+DY70</f>
        <v>525.22018443320383</v>
      </c>
      <c r="EA70" s="16">
        <f>DW70-DV70+DZ70</f>
        <v>531.14706737853862</v>
      </c>
      <c r="EB70" s="16">
        <f>DV70-DU70+EA70</f>
        <v>537.07395032387342</v>
      </c>
      <c r="EC70" s="16">
        <f>DU70-DT70+EB70</f>
        <v>543.00083326920821</v>
      </c>
      <c r="ED70" s="16">
        <f>DT70-DS70+EC70</f>
        <v>548.92771621454301</v>
      </c>
      <c r="EE70" s="16">
        <f>(EJ70-ED70)/6+ED70</f>
        <v>564.6851192541792</v>
      </c>
      <c r="EF70" s="16">
        <f>(EJ70-ED70)/6+EE70</f>
        <v>580.44252229381527</v>
      </c>
      <c r="EG70" s="16">
        <f>(EJ70-ED70)/6+EF70</f>
        <v>596.19992533345135</v>
      </c>
      <c r="EH70" s="16">
        <f>(EJ70-ED70)/6+EG70</f>
        <v>611.95732837308742</v>
      </c>
      <c r="EI70" s="16">
        <f>(EJ70-ED70)/6+EH70</f>
        <v>627.71473141272349</v>
      </c>
      <c r="EJ70" s="90">
        <f t="shared" ref="EJ70:EK70" si="770">INDEX($D70:$L70,1,MATCH(EJ$2,$D$2:$L$2,))</f>
        <v>643.4721344523598</v>
      </c>
      <c r="EK70" s="90">
        <f t="shared" si="770"/>
        <v>643.4721344523598</v>
      </c>
      <c r="EL70" s="16">
        <f>EJ70-EI70+EK70</f>
        <v>659.2295374919961</v>
      </c>
      <c r="EM70" s="16">
        <f>EI70-EH70+EL70</f>
        <v>674.98694053163217</v>
      </c>
      <c r="EN70" s="16">
        <f>EH70-EG70+EM70</f>
        <v>690.74434357126825</v>
      </c>
      <c r="EO70" s="16">
        <f>EG70-EF70+EN70</f>
        <v>706.50174661090432</v>
      </c>
      <c r="EP70" s="16">
        <f>EF70-EE70+EO70</f>
        <v>722.25914965054039</v>
      </c>
      <c r="EQ70" s="16">
        <f>(EV70-EP70)/6+EP70</f>
        <v>752.02612274766761</v>
      </c>
      <c r="ER70" s="16">
        <f>(EV70-EP70)/6+EQ70</f>
        <v>781.79309584479483</v>
      </c>
      <c r="ES70" s="16">
        <f>(EV70-EP70)/6+ER70</f>
        <v>811.56006894192205</v>
      </c>
      <c r="ET70" s="16">
        <f>(EV70-EP70)/6+ES70</f>
        <v>841.32704203904927</v>
      </c>
      <c r="EU70" s="16">
        <f>(EV70-EP70)/6+ET70</f>
        <v>871.09401513617649</v>
      </c>
      <c r="EV70" s="90">
        <f t="shared" ref="EV70:EW70" si="771">INDEX($D70:$L70,1,MATCH(EV$2,$D$2:$L$2,))</f>
        <v>900.8609882333036</v>
      </c>
      <c r="EW70" s="90">
        <f t="shared" si="771"/>
        <v>900.8609882333036</v>
      </c>
      <c r="EX70" s="16">
        <f>EV70-EU70+EW70</f>
        <v>930.62796133043071</v>
      </c>
      <c r="EY70" s="16">
        <f>EU70-ET70+EX70</f>
        <v>960.39493442755793</v>
      </c>
      <c r="EZ70" s="16">
        <f>ET70-ES70+EY70</f>
        <v>990.16190752468515</v>
      </c>
      <c r="FA70" s="16">
        <f>ES70-ER70+EZ70</f>
        <v>1019.9288806218124</v>
      </c>
      <c r="FB70" s="16">
        <f>ER70-EQ70+FA70</f>
        <v>1049.6958537189396</v>
      </c>
    </row>
    <row r="71" spans="2:158" x14ac:dyDescent="0.25">
      <c r="B71" s="303">
        <f>B34</f>
        <v>0.05</v>
      </c>
      <c r="C71" s="28" t="s">
        <v>518</v>
      </c>
      <c r="D71" s="16">
        <f>D51/D70</f>
        <v>176893.17217598099</v>
      </c>
      <c r="E71" s="16">
        <f t="shared" ref="E71:G71" si="772">E51/E70</f>
        <v>185935.45318985396</v>
      </c>
      <c r="F71" s="16">
        <f t="shared" si="772"/>
        <v>213499.1525367412</v>
      </c>
      <c r="G71" s="16">
        <f t="shared" si="772"/>
        <v>226720.90496722548</v>
      </c>
      <c r="H71" s="249">
        <f>G71*(1+$B71)</f>
        <v>238056.95021558675</v>
      </c>
      <c r="I71" s="249">
        <f t="shared" ref="I71:L71" si="773">H71*(1+$B71)</f>
        <v>249959.79772636609</v>
      </c>
      <c r="J71" s="249">
        <f t="shared" si="773"/>
        <v>262457.78761268442</v>
      </c>
      <c r="K71" s="249">
        <f t="shared" si="773"/>
        <v>275580.67699331866</v>
      </c>
      <c r="L71" s="249">
        <f t="shared" si="773"/>
        <v>289359.71084298461</v>
      </c>
      <c r="N71" s="16">
        <f>N51/N70*4</f>
        <v>152705.05270588238</v>
      </c>
      <c r="O71" s="16">
        <f t="shared" ref="O71:AW71" si="774">O51/O70*4</f>
        <v>170324.33454545453</v>
      </c>
      <c r="P71" s="16">
        <f t="shared" si="774"/>
        <v>155086.66071428571</v>
      </c>
      <c r="Q71" s="16">
        <f t="shared" si="774"/>
        <v>216220.13953846152</v>
      </c>
      <c r="R71" s="16">
        <f t="shared" si="774"/>
        <v>170423.56468965518</v>
      </c>
      <c r="S71" s="16">
        <f t="shared" si="774"/>
        <v>206251.28879999998</v>
      </c>
      <c r="T71" s="16">
        <f t="shared" si="774"/>
        <v>174621.75844311377</v>
      </c>
      <c r="U71" s="16">
        <f t="shared" si="774"/>
        <v>191724.50100795756</v>
      </c>
      <c r="V71" s="16">
        <f t="shared" si="774"/>
        <v>170487.82955294117</v>
      </c>
      <c r="W71" s="16">
        <f t="shared" si="774"/>
        <v>224799.02864721484</v>
      </c>
      <c r="X71" s="16">
        <f t="shared" si="774"/>
        <v>222366.37105691058</v>
      </c>
      <c r="Y71" s="16">
        <f t="shared" si="774"/>
        <v>240777.71939086294</v>
      </c>
      <c r="Z71" s="16">
        <f t="shared" si="774"/>
        <v>222763.22161943323</v>
      </c>
      <c r="AA71" s="16">
        <f t="shared" si="774"/>
        <v>238535.82913627094</v>
      </c>
      <c r="AB71" s="16">
        <f t="shared" si="774"/>
        <v>220836.30586599465</v>
      </c>
      <c r="AC71" s="16">
        <f t="shared" si="774"/>
        <v>225644.60584944303</v>
      </c>
      <c r="AD71" s="16">
        <f t="shared" si="774"/>
        <v>238056.95021558678</v>
      </c>
      <c r="AE71" s="16">
        <f t="shared" si="774"/>
        <v>238056.95021558675</v>
      </c>
      <c r="AF71" s="16">
        <f t="shared" si="774"/>
        <v>238056.95021558672</v>
      </c>
      <c r="AG71" s="16">
        <f t="shared" si="774"/>
        <v>238056.95021558675</v>
      </c>
      <c r="AH71" s="16">
        <f t="shared" si="774"/>
        <v>249959.79772636609</v>
      </c>
      <c r="AI71" s="16">
        <f t="shared" si="774"/>
        <v>249959.79772636609</v>
      </c>
      <c r="AJ71" s="16">
        <f t="shared" si="774"/>
        <v>249959.79772636606</v>
      </c>
      <c r="AK71" s="16">
        <f t="shared" si="774"/>
        <v>249959.79772636612</v>
      </c>
      <c r="AL71" s="16">
        <f t="shared" si="774"/>
        <v>262457.78761268442</v>
      </c>
      <c r="AM71" s="16">
        <f t="shared" si="774"/>
        <v>262457.78761268442</v>
      </c>
      <c r="AN71" s="16">
        <f t="shared" si="774"/>
        <v>262457.78761268442</v>
      </c>
      <c r="AO71" s="16">
        <f t="shared" si="774"/>
        <v>262457.78761268442</v>
      </c>
      <c r="AP71" s="16">
        <f t="shared" si="774"/>
        <v>275580.67699331866</v>
      </c>
      <c r="AQ71" s="16">
        <f t="shared" si="774"/>
        <v>275580.6769933186</v>
      </c>
      <c r="AR71" s="16">
        <f t="shared" si="774"/>
        <v>275580.67699331866</v>
      </c>
      <c r="AS71" s="16">
        <f t="shared" si="774"/>
        <v>275580.67699331866</v>
      </c>
      <c r="AT71" s="16">
        <f t="shared" si="774"/>
        <v>289359.71084298467</v>
      </c>
      <c r="AU71" s="16">
        <f t="shared" si="774"/>
        <v>289359.71084298455</v>
      </c>
      <c r="AV71" s="16">
        <f t="shared" si="774"/>
        <v>289359.71084298461</v>
      </c>
      <c r="AW71" s="16">
        <f t="shared" si="774"/>
        <v>289359.71084298461</v>
      </c>
      <c r="AY71" s="16">
        <f>AY51/AY70*12</f>
        <v>107135.2688888889</v>
      </c>
      <c r="AZ71" s="16">
        <f t="shared" ref="AZ71:CT71" si="775">AZ51/AZ70*12</f>
        <v>134647.48631578949</v>
      </c>
      <c r="BA71" s="16">
        <f t="shared" si="775"/>
        <v>211858.4359322034</v>
      </c>
      <c r="BB71" s="16">
        <f t="shared" si="775"/>
        <v>120614.77400000002</v>
      </c>
      <c r="BC71" s="16">
        <f t="shared" si="775"/>
        <v>172575.54774193547</v>
      </c>
      <c r="BD71" s="16">
        <f t="shared" si="775"/>
        <v>214062.77169230767</v>
      </c>
      <c r="BE71" s="16">
        <f t="shared" si="775"/>
        <v>135193.53333333335</v>
      </c>
      <c r="BF71" s="16">
        <f t="shared" si="775"/>
        <v>123281.29736842107</v>
      </c>
      <c r="BG71" s="16">
        <f t="shared" si="775"/>
        <v>205738.14473684214</v>
      </c>
      <c r="BH71" s="16">
        <f t="shared" si="775"/>
        <v>141210.89121951221</v>
      </c>
      <c r="BI71" s="16">
        <f t="shared" si="775"/>
        <v>219202.70541176473</v>
      </c>
      <c r="BJ71" s="16">
        <f t="shared" si="775"/>
        <v>279631.32516129036</v>
      </c>
      <c r="BK71" s="16">
        <f t="shared" si="775"/>
        <v>133837.11191489364</v>
      </c>
      <c r="BL71" s="16">
        <f t="shared" si="775"/>
        <v>155784.47142857141</v>
      </c>
      <c r="BM71" s="16">
        <f t="shared" si="775"/>
        <v>220155.78612244898</v>
      </c>
      <c r="BN71" s="16">
        <f t="shared" si="775"/>
        <v>178909.51469387754</v>
      </c>
      <c r="BO71" s="16">
        <f t="shared" si="775"/>
        <v>213224.826</v>
      </c>
      <c r="BP71" s="16">
        <f t="shared" si="775"/>
        <v>225684.03529411758</v>
      </c>
      <c r="BQ71" s="16">
        <f t="shared" si="775"/>
        <v>157953.49745454546</v>
      </c>
      <c r="BR71" s="16">
        <f t="shared" si="775"/>
        <v>168810.98836363631</v>
      </c>
      <c r="BS71" s="16">
        <f t="shared" si="775"/>
        <v>196312.05157894734</v>
      </c>
      <c r="BT71" s="16">
        <f t="shared" si="775"/>
        <v>135839.41180327869</v>
      </c>
      <c r="BU71" s="16">
        <f t="shared" si="775"/>
        <v>195442.03140495866</v>
      </c>
      <c r="BV71" s="16">
        <f t="shared" si="775"/>
        <v>239248.08089552241</v>
      </c>
      <c r="BW71" s="16">
        <f t="shared" si="775"/>
        <v>168790.61684210526</v>
      </c>
      <c r="BX71" s="16">
        <f t="shared" si="775"/>
        <v>153487.01249999998</v>
      </c>
      <c r="BY71" s="16">
        <f t="shared" si="775"/>
        <v>188554.36297297291</v>
      </c>
      <c r="BZ71" s="16">
        <f t="shared" si="775"/>
        <v>190988.42592000004</v>
      </c>
      <c r="CA71" s="16">
        <f t="shared" si="775"/>
        <v>181561.5904761905</v>
      </c>
      <c r="CB71" s="16">
        <f t="shared" si="775"/>
        <v>301578.73142857139</v>
      </c>
      <c r="CC71" s="16">
        <f t="shared" si="775"/>
        <v>170528.05056</v>
      </c>
      <c r="CD71" s="16">
        <f t="shared" si="775"/>
        <v>228132.41560975608</v>
      </c>
      <c r="CE71" s="16">
        <f t="shared" si="775"/>
        <v>270057.00396694225</v>
      </c>
      <c r="CF71" s="16">
        <f t="shared" si="775"/>
        <v>183584.20874999999</v>
      </c>
      <c r="CG71" s="16">
        <f t="shared" si="775"/>
        <v>249651.42325581401</v>
      </c>
      <c r="CH71" s="16">
        <f t="shared" si="775"/>
        <v>285858.460729927</v>
      </c>
      <c r="CI71" s="16">
        <f t="shared" si="775"/>
        <v>209443.57406896556</v>
      </c>
      <c r="CJ71" s="16">
        <f t="shared" si="775"/>
        <v>189449.86915662649</v>
      </c>
      <c r="CK71" s="16">
        <f t="shared" si="775"/>
        <v>263535.71016393451</v>
      </c>
      <c r="CL71" s="16">
        <f t="shared" si="775"/>
        <v>200153.75548387095</v>
      </c>
      <c r="CM71" s="16">
        <f t="shared" si="775"/>
        <v>246857.09504335449</v>
      </c>
      <c r="CN71" s="16">
        <f t="shared" si="775"/>
        <v>263229.76763604977</v>
      </c>
      <c r="CO71" s="16">
        <f t="shared" si="775"/>
        <v>179880.1884266219</v>
      </c>
      <c r="CP71" s="16">
        <f t="shared" si="775"/>
        <v>222479.21701365351</v>
      </c>
      <c r="CQ71" s="16">
        <f t="shared" si="775"/>
        <v>256866.80559654691</v>
      </c>
      <c r="CR71" s="16">
        <f t="shared" si="775"/>
        <v>167842.55977653657</v>
      </c>
      <c r="CS71" s="16">
        <f t="shared" si="775"/>
        <v>240874.66006883426</v>
      </c>
      <c r="CT71" s="16">
        <f t="shared" si="775"/>
        <v>265751.27045564266</v>
      </c>
      <c r="CU71" s="90">
        <f t="shared" ref="CU71:FB71" si="776">INDEX($D71:$L71,1,MATCH(CU$2,$D$2:$L$2,))</f>
        <v>238056.95021558675</v>
      </c>
      <c r="CV71" s="90">
        <f t="shared" si="776"/>
        <v>238056.95021558675</v>
      </c>
      <c r="CW71" s="90">
        <f t="shared" si="776"/>
        <v>238056.95021558675</v>
      </c>
      <c r="CX71" s="90">
        <f t="shared" si="776"/>
        <v>238056.95021558675</v>
      </c>
      <c r="CY71" s="90">
        <f t="shared" si="776"/>
        <v>238056.95021558675</v>
      </c>
      <c r="CZ71" s="90">
        <f t="shared" si="776"/>
        <v>238056.95021558675</v>
      </c>
      <c r="DA71" s="90">
        <f t="shared" si="776"/>
        <v>238056.95021558675</v>
      </c>
      <c r="DB71" s="90">
        <f t="shared" si="776"/>
        <v>238056.95021558675</v>
      </c>
      <c r="DC71" s="90">
        <f t="shared" si="776"/>
        <v>238056.95021558675</v>
      </c>
      <c r="DD71" s="90">
        <f t="shared" si="776"/>
        <v>238056.95021558675</v>
      </c>
      <c r="DE71" s="90">
        <f t="shared" si="776"/>
        <v>238056.95021558675</v>
      </c>
      <c r="DF71" s="90">
        <f t="shared" si="776"/>
        <v>238056.95021558675</v>
      </c>
      <c r="DG71" s="90">
        <f t="shared" si="776"/>
        <v>249959.79772636609</v>
      </c>
      <c r="DH71" s="90">
        <f t="shared" si="776"/>
        <v>249959.79772636609</v>
      </c>
      <c r="DI71" s="90">
        <f t="shared" si="776"/>
        <v>249959.79772636609</v>
      </c>
      <c r="DJ71" s="90">
        <f t="shared" si="776"/>
        <v>249959.79772636609</v>
      </c>
      <c r="DK71" s="90">
        <f t="shared" si="776"/>
        <v>249959.79772636609</v>
      </c>
      <c r="DL71" s="90">
        <f t="shared" si="776"/>
        <v>249959.79772636609</v>
      </c>
      <c r="DM71" s="90">
        <f t="shared" si="776"/>
        <v>249959.79772636609</v>
      </c>
      <c r="DN71" s="90">
        <f t="shared" si="776"/>
        <v>249959.79772636609</v>
      </c>
      <c r="DO71" s="90">
        <f t="shared" si="776"/>
        <v>249959.79772636609</v>
      </c>
      <c r="DP71" s="90">
        <f t="shared" si="776"/>
        <v>249959.79772636609</v>
      </c>
      <c r="DQ71" s="90">
        <f t="shared" si="776"/>
        <v>249959.79772636609</v>
      </c>
      <c r="DR71" s="90">
        <f t="shared" si="776"/>
        <v>249959.79772636609</v>
      </c>
      <c r="DS71" s="90">
        <f t="shared" si="776"/>
        <v>262457.78761268442</v>
      </c>
      <c r="DT71" s="90">
        <f t="shared" si="776"/>
        <v>262457.78761268442</v>
      </c>
      <c r="DU71" s="90">
        <f t="shared" si="776"/>
        <v>262457.78761268442</v>
      </c>
      <c r="DV71" s="90">
        <f t="shared" si="776"/>
        <v>262457.78761268442</v>
      </c>
      <c r="DW71" s="90">
        <f t="shared" si="776"/>
        <v>262457.78761268442</v>
      </c>
      <c r="DX71" s="90">
        <f t="shared" si="776"/>
        <v>262457.78761268442</v>
      </c>
      <c r="DY71" s="90">
        <f t="shared" si="776"/>
        <v>262457.78761268442</v>
      </c>
      <c r="DZ71" s="90">
        <f t="shared" si="776"/>
        <v>262457.78761268442</v>
      </c>
      <c r="EA71" s="90">
        <f t="shared" si="776"/>
        <v>262457.78761268442</v>
      </c>
      <c r="EB71" s="90">
        <f t="shared" si="776"/>
        <v>262457.78761268442</v>
      </c>
      <c r="EC71" s="90">
        <f t="shared" si="776"/>
        <v>262457.78761268442</v>
      </c>
      <c r="ED71" s="90">
        <f t="shared" si="776"/>
        <v>262457.78761268442</v>
      </c>
      <c r="EE71" s="90">
        <f t="shared" si="776"/>
        <v>275580.67699331866</v>
      </c>
      <c r="EF71" s="90">
        <f t="shared" si="776"/>
        <v>275580.67699331866</v>
      </c>
      <c r="EG71" s="90">
        <f t="shared" si="776"/>
        <v>275580.67699331866</v>
      </c>
      <c r="EH71" s="90">
        <f t="shared" si="776"/>
        <v>275580.67699331866</v>
      </c>
      <c r="EI71" s="90">
        <f t="shared" si="776"/>
        <v>275580.67699331866</v>
      </c>
      <c r="EJ71" s="90">
        <f t="shared" si="776"/>
        <v>275580.67699331866</v>
      </c>
      <c r="EK71" s="90">
        <f t="shared" si="776"/>
        <v>275580.67699331866</v>
      </c>
      <c r="EL71" s="90">
        <f t="shared" si="776"/>
        <v>275580.67699331866</v>
      </c>
      <c r="EM71" s="90">
        <f t="shared" si="776"/>
        <v>275580.67699331866</v>
      </c>
      <c r="EN71" s="90">
        <f t="shared" si="776"/>
        <v>275580.67699331866</v>
      </c>
      <c r="EO71" s="90">
        <f t="shared" si="776"/>
        <v>275580.67699331866</v>
      </c>
      <c r="EP71" s="90">
        <f t="shared" si="776"/>
        <v>275580.67699331866</v>
      </c>
      <c r="EQ71" s="90">
        <f t="shared" si="776"/>
        <v>289359.71084298461</v>
      </c>
      <c r="ER71" s="90">
        <f t="shared" si="776"/>
        <v>289359.71084298461</v>
      </c>
      <c r="ES71" s="90">
        <f t="shared" si="776"/>
        <v>289359.71084298461</v>
      </c>
      <c r="ET71" s="90">
        <f t="shared" si="776"/>
        <v>289359.71084298461</v>
      </c>
      <c r="EU71" s="90">
        <f t="shared" si="776"/>
        <v>289359.71084298461</v>
      </c>
      <c r="EV71" s="90">
        <f t="shared" si="776"/>
        <v>289359.71084298461</v>
      </c>
      <c r="EW71" s="90">
        <f t="shared" si="776"/>
        <v>289359.71084298461</v>
      </c>
      <c r="EX71" s="90">
        <f t="shared" si="776"/>
        <v>289359.71084298461</v>
      </c>
      <c r="EY71" s="90">
        <f t="shared" si="776"/>
        <v>289359.71084298461</v>
      </c>
      <c r="EZ71" s="90">
        <f t="shared" si="776"/>
        <v>289359.71084298461</v>
      </c>
      <c r="FA71" s="90">
        <f t="shared" si="776"/>
        <v>289359.71084298461</v>
      </c>
      <c r="FB71" s="90">
        <f t="shared" si="776"/>
        <v>289359.71084298461</v>
      </c>
    </row>
    <row r="72" spans="2:158" x14ac:dyDescent="0.25">
      <c r="C72" s="28" t="s">
        <v>531</v>
      </c>
      <c r="D72" s="16">
        <f>D11/D70</f>
        <v>269820.57502972649</v>
      </c>
      <c r="E72" s="16">
        <f>E11/E70</f>
        <v>255835.27647269794</v>
      </c>
      <c r="F72" s="16">
        <f>F11/F70</f>
        <v>247989.54298352971</v>
      </c>
      <c r="G72" s="16">
        <f>G11/G70</f>
        <v>284881.88185859489</v>
      </c>
      <c r="H72" s="249">
        <f>G72</f>
        <v>284881.88185859489</v>
      </c>
      <c r="I72" s="249">
        <f>H72*1.1</f>
        <v>313370.07004445442</v>
      </c>
      <c r="J72" s="249">
        <f>I72*1.15</f>
        <v>360375.58055112255</v>
      </c>
      <c r="K72" s="249">
        <f>J72*1.15</f>
        <v>414431.91763379087</v>
      </c>
      <c r="L72" s="249">
        <f>K72</f>
        <v>414431.91763379087</v>
      </c>
      <c r="N72" s="16">
        <f t="shared" ref="N72:AW72" si="777">N11/N70</f>
        <v>60222.495882352945</v>
      </c>
      <c r="O72" s="16">
        <f t="shared" si="777"/>
        <v>67058.483422459889</v>
      </c>
      <c r="P72" s="16">
        <f t="shared" si="777"/>
        <v>57630.354374999995</v>
      </c>
      <c r="Q72" s="16">
        <f t="shared" si="777"/>
        <v>80933.906999999992</v>
      </c>
      <c r="R72" s="16">
        <f t="shared" si="777"/>
        <v>58844.734034482768</v>
      </c>
      <c r="S72" s="16">
        <f t="shared" si="777"/>
        <v>75045.478499999997</v>
      </c>
      <c r="T72" s="16">
        <f t="shared" si="777"/>
        <v>54010.224341317364</v>
      </c>
      <c r="U72" s="16">
        <f t="shared" si="777"/>
        <v>67884.329768554366</v>
      </c>
      <c r="V72" s="16">
        <f t="shared" si="777"/>
        <v>36886.680519974121</v>
      </c>
      <c r="W72" s="16">
        <f t="shared" si="777"/>
        <v>64543.015776652523</v>
      </c>
      <c r="X72" s="16">
        <f t="shared" si="777"/>
        <v>66281.09843055284</v>
      </c>
      <c r="Y72" s="16">
        <f t="shared" si="777"/>
        <v>82636.109651383231</v>
      </c>
      <c r="Z72" s="16">
        <f t="shared" si="777"/>
        <v>55072.738337082999</v>
      </c>
      <c r="AA72" s="16">
        <f t="shared" si="777"/>
        <v>69205.417435414638</v>
      </c>
      <c r="AB72" s="16">
        <f t="shared" si="777"/>
        <v>69194.8</v>
      </c>
      <c r="AC72" s="16">
        <f t="shared" si="777"/>
        <v>84092.760791366905</v>
      </c>
      <c r="AD72" s="16">
        <f t="shared" si="777"/>
        <v>52962.416080124567</v>
      </c>
      <c r="AE72" s="16">
        <f t="shared" si="777"/>
        <v>67895.614709432833</v>
      </c>
      <c r="AF72" s="16">
        <f t="shared" si="777"/>
        <v>65347.504429589433</v>
      </c>
      <c r="AG72" s="16">
        <f t="shared" si="777"/>
        <v>96609.046676864615</v>
      </c>
      <c r="AH72" s="16">
        <f t="shared" si="777"/>
        <v>66424.829189877273</v>
      </c>
      <c r="AI72" s="16">
        <f t="shared" si="777"/>
        <v>80352.879585468516</v>
      </c>
      <c r="AJ72" s="16">
        <f t="shared" si="777"/>
        <v>70292.469594638576</v>
      </c>
      <c r="AK72" s="16">
        <f t="shared" si="777"/>
        <v>92947.899360951706</v>
      </c>
      <c r="AL72" s="16">
        <f t="shared" si="777"/>
        <v>68867.210004505163</v>
      </c>
      <c r="AM72" s="16">
        <f t="shared" si="777"/>
        <v>90209.986116462023</v>
      </c>
      <c r="AN72" s="16">
        <f t="shared" si="777"/>
        <v>82713.888734734734</v>
      </c>
      <c r="AO72" s="16">
        <f t="shared" si="777"/>
        <v>116495.64873722709</v>
      </c>
      <c r="AP72" s="16">
        <f t="shared" si="777"/>
        <v>83788.990903729195</v>
      </c>
      <c r="AQ72" s="16">
        <f t="shared" si="777"/>
        <v>105131.92477392392</v>
      </c>
      <c r="AR72" s="16">
        <f t="shared" si="777"/>
        <v>93907.018772176307</v>
      </c>
      <c r="AS72" s="16">
        <f t="shared" si="777"/>
        <v>127588.58610328357</v>
      </c>
      <c r="AT72" s="16">
        <f t="shared" si="777"/>
        <v>87092.826568497912</v>
      </c>
      <c r="AU72" s="16">
        <f t="shared" si="777"/>
        <v>106062.03175080899</v>
      </c>
      <c r="AV72" s="16">
        <f t="shared" si="777"/>
        <v>93129.366808950566</v>
      </c>
      <c r="AW72" s="16">
        <f t="shared" si="777"/>
        <v>123732.33555704544</v>
      </c>
      <c r="AY72" s="16">
        <f t="shared" ref="AY72:CD72" si="778">AY11/AY70</f>
        <v>4585.9074074074078</v>
      </c>
      <c r="AZ72" s="16">
        <f t="shared" si="778"/>
        <v>18983.032105263159</v>
      </c>
      <c r="BA72" s="16">
        <f t="shared" si="778"/>
        <v>35304.004576271189</v>
      </c>
      <c r="BB72" s="16">
        <f t="shared" si="778"/>
        <v>10943.357166666665</v>
      </c>
      <c r="BC72" s="16">
        <f t="shared" si="778"/>
        <v>24542.96209677419</v>
      </c>
      <c r="BD72" s="16">
        <f t="shared" si="778"/>
        <v>30795.595692307692</v>
      </c>
      <c r="BE72" s="16">
        <f t="shared" si="778"/>
        <v>10807.31486111111</v>
      </c>
      <c r="BF72" s="16">
        <f t="shared" si="778"/>
        <v>14664.506052631579</v>
      </c>
      <c r="BG72" s="16">
        <f t="shared" si="778"/>
        <v>31716.280657894738</v>
      </c>
      <c r="BH72" s="16">
        <f t="shared" si="778"/>
        <v>14597.709390243901</v>
      </c>
      <c r="BI72" s="16">
        <f t="shared" si="778"/>
        <v>36354.466705882354</v>
      </c>
      <c r="BJ72" s="16">
        <f t="shared" si="778"/>
        <v>29323.979569892475</v>
      </c>
      <c r="BK72" s="16">
        <f t="shared" si="778"/>
        <v>8372.4822340425544</v>
      </c>
      <c r="BL72" s="16">
        <f t="shared" si="778"/>
        <v>14364.19724489796</v>
      </c>
      <c r="BM72" s="16">
        <f t="shared" si="778"/>
        <v>35649.179897959184</v>
      </c>
      <c r="BN72" s="16">
        <f t="shared" si="778"/>
        <v>13531.89551020408</v>
      </c>
      <c r="BO72" s="16">
        <f t="shared" si="778"/>
        <v>31155.693799999997</v>
      </c>
      <c r="BP72" s="16">
        <f t="shared" si="778"/>
        <v>30027.967745098038</v>
      </c>
      <c r="BQ72" s="16">
        <f t="shared" si="778"/>
        <v>11109.14</v>
      </c>
      <c r="BR72" s="16">
        <f t="shared" si="778"/>
        <v>11890.806090909091</v>
      </c>
      <c r="BS72" s="16">
        <f t="shared" si="778"/>
        <v>30553.89684210526</v>
      </c>
      <c r="BT72" s="16">
        <f t="shared" si="778"/>
        <v>6536.110983606558</v>
      </c>
      <c r="BU72" s="16">
        <f t="shared" si="778"/>
        <v>27652.367520661155</v>
      </c>
      <c r="BV72" s="16">
        <f t="shared" si="778"/>
        <v>32742.204708320896</v>
      </c>
      <c r="BW72" s="16">
        <f t="shared" si="778"/>
        <v>8295.2593984962405</v>
      </c>
      <c r="BX72" s="16">
        <f t="shared" si="778"/>
        <v>11605.933161118055</v>
      </c>
      <c r="BY72" s="16">
        <f t="shared" si="778"/>
        <v>16561.413503121621</v>
      </c>
      <c r="BZ72" s="16">
        <f t="shared" si="778"/>
        <v>13458.001836480002</v>
      </c>
      <c r="CA72" s="16">
        <f t="shared" si="778"/>
        <v>15289.647139071427</v>
      </c>
      <c r="CB72" s="16">
        <f t="shared" si="778"/>
        <v>35731.427620499999</v>
      </c>
      <c r="CC72" s="16">
        <f t="shared" si="778"/>
        <v>8400.7011774319999</v>
      </c>
      <c r="CD72" s="16">
        <f t="shared" si="778"/>
        <v>27275.273040577234</v>
      </c>
      <c r="CE72" s="16">
        <f t="shared" ref="CE72:DJ72" si="779">CE11/CE70</f>
        <v>30972.139469322312</v>
      </c>
      <c r="CF72" s="16">
        <f t="shared" si="779"/>
        <v>12372.421688710936</v>
      </c>
      <c r="CG72" s="16">
        <f t="shared" si="779"/>
        <v>30366.11497431008</v>
      </c>
      <c r="CH72" s="16">
        <f t="shared" si="779"/>
        <v>39065.525010029196</v>
      </c>
      <c r="CI72" s="16">
        <f t="shared" si="779"/>
        <v>10118.930619634482</v>
      </c>
      <c r="CJ72" s="16">
        <f t="shared" si="779"/>
        <v>13545.38173125301</v>
      </c>
      <c r="CK72" s="16">
        <f t="shared" si="779"/>
        <v>29250.633546109289</v>
      </c>
      <c r="CL72" s="16">
        <f t="shared" si="779"/>
        <v>14011.978523795698</v>
      </c>
      <c r="CM72" s="16">
        <f t="shared" si="779"/>
        <v>20027.406653630333</v>
      </c>
      <c r="CN72" s="16">
        <f t="shared" si="779"/>
        <v>33738.98974733027</v>
      </c>
      <c r="CO72" s="16">
        <f t="shared" si="779"/>
        <v>10902.542016806723</v>
      </c>
      <c r="CP72" s="16">
        <f t="shared" si="779"/>
        <v>23931.00790513834</v>
      </c>
      <c r="CQ72" s="16">
        <f t="shared" si="779"/>
        <v>33395.173745173743</v>
      </c>
      <c r="CR72" s="16">
        <f t="shared" si="779"/>
        <v>8626.4898523985248</v>
      </c>
      <c r="CS72" s="16">
        <f t="shared" si="779"/>
        <v>33637.104316546764</v>
      </c>
      <c r="CT72" s="16">
        <f t="shared" si="779"/>
        <v>41013.662280701756</v>
      </c>
      <c r="CU72" s="16">
        <f t="shared" si="779"/>
        <v>7090.6122187653473</v>
      </c>
      <c r="CV72" s="16">
        <f t="shared" si="779"/>
        <v>15386.941322083874</v>
      </c>
      <c r="CW72" s="16">
        <f t="shared" si="779"/>
        <v>30193.232353829299</v>
      </c>
      <c r="CX72" s="16">
        <f t="shared" si="779"/>
        <v>11923.808546558341</v>
      </c>
      <c r="CY72" s="16">
        <f t="shared" si="779"/>
        <v>23102.503536167173</v>
      </c>
      <c r="CZ72" s="16">
        <f t="shared" si="779"/>
        <v>32617.61105040268</v>
      </c>
      <c r="DA72" s="16">
        <f t="shared" si="779"/>
        <v>11174.449482375307</v>
      </c>
      <c r="DB72" s="16">
        <f t="shared" si="779"/>
        <v>19688.56248754204</v>
      </c>
      <c r="DC72" s="16">
        <f t="shared" si="779"/>
        <v>34210.961057677596</v>
      </c>
      <c r="DD72" s="16">
        <f t="shared" si="779"/>
        <v>14519.862310939076</v>
      </c>
      <c r="DE72" s="16">
        <f t="shared" si="779"/>
        <v>38286.637555695634</v>
      </c>
      <c r="DF72" s="16">
        <f t="shared" si="779"/>
        <v>43470.614682436637</v>
      </c>
      <c r="DG72" s="16">
        <f t="shared" si="779"/>
        <v>9564.3302753471107</v>
      </c>
      <c r="DH72" s="16">
        <f t="shared" si="779"/>
        <v>19382.31215079725</v>
      </c>
      <c r="DI72" s="16">
        <f t="shared" si="779"/>
        <v>36389.892960604469</v>
      </c>
      <c r="DJ72" s="16">
        <f t="shared" si="779"/>
        <v>15109.22306321713</v>
      </c>
      <c r="DK72" s="16">
        <f t="shared" ref="DK72:EP72" si="780">DK11/DK70</f>
        <v>27314.266179346909</v>
      </c>
      <c r="DL72" s="16">
        <f t="shared" si="780"/>
        <v>37132.852435620771</v>
      </c>
      <c r="DM72" s="16">
        <f t="shared" si="780"/>
        <v>12291.89443061284</v>
      </c>
      <c r="DN72" s="16">
        <f t="shared" si="780"/>
        <v>21178.4320166178</v>
      </c>
      <c r="DO72" s="16">
        <f t="shared" si="780"/>
        <v>36021.787664009542</v>
      </c>
      <c r="DP72" s="16">
        <f t="shared" si="780"/>
        <v>13333.827685889655</v>
      </c>
      <c r="DQ72" s="16">
        <f t="shared" si="780"/>
        <v>37137.001420779627</v>
      </c>
      <c r="DR72" s="16">
        <f t="shared" si="780"/>
        <v>41610.9798369005</v>
      </c>
      <c r="DS72" s="16">
        <f t="shared" si="780"/>
        <v>9628.8719964736974</v>
      </c>
      <c r="DT72" s="16">
        <f t="shared" si="780"/>
        <v>20094.982215855551</v>
      </c>
      <c r="DU72" s="16">
        <f t="shared" si="780"/>
        <v>38794.553245073403</v>
      </c>
      <c r="DV72" s="16">
        <f t="shared" si="780"/>
        <v>16540.173487165841</v>
      </c>
      <c r="DW72" s="16">
        <f t="shared" si="780"/>
        <v>30664.981585374826</v>
      </c>
      <c r="DX72" s="16">
        <f t="shared" si="780"/>
        <v>42702.780300963881</v>
      </c>
      <c r="DY72" s="16">
        <f t="shared" si="780"/>
        <v>14135.678595204763</v>
      </c>
      <c r="DZ72" s="16">
        <f t="shared" si="780"/>
        <v>24920.883837210913</v>
      </c>
      <c r="EA72" s="16">
        <f t="shared" si="780"/>
        <v>43327.904639168322</v>
      </c>
      <c r="EB72" s="16">
        <f t="shared" si="780"/>
        <v>16378.780407970082</v>
      </c>
      <c r="EC72" s="16">
        <f t="shared" si="780"/>
        <v>46545.420632567468</v>
      </c>
      <c r="ED72" s="16">
        <f t="shared" si="780"/>
        <v>53169.87098825664</v>
      </c>
      <c r="EE72" s="16">
        <f t="shared" si="780"/>
        <v>11898.098921078237</v>
      </c>
      <c r="EF72" s="16">
        <f t="shared" si="780"/>
        <v>24449.056118068002</v>
      </c>
      <c r="EG72" s="16">
        <f t="shared" si="780"/>
        <v>46502.424494746978</v>
      </c>
      <c r="EH72" s="16">
        <f t="shared" si="780"/>
        <v>19544.208441553761</v>
      </c>
      <c r="EI72" s="16">
        <f t="shared" si="780"/>
        <v>35737.379818076246</v>
      </c>
      <c r="EJ72" s="16">
        <f t="shared" si="780"/>
        <v>49108.197346108456</v>
      </c>
      <c r="EK72" s="16">
        <f t="shared" si="780"/>
        <v>16256.030384485472</v>
      </c>
      <c r="EL72" s="16">
        <f t="shared" si="780"/>
        <v>28293.264192007824</v>
      </c>
      <c r="EM72" s="16">
        <f t="shared" si="780"/>
        <v>48584.973347693471</v>
      </c>
      <c r="EN72" s="16">
        <f t="shared" si="780"/>
        <v>18147.34834576408</v>
      </c>
      <c r="EO72" s="16">
        <f t="shared" si="780"/>
        <v>50977.564161966329</v>
      </c>
      <c r="EP72" s="16">
        <f t="shared" si="780"/>
        <v>57584.099295462445</v>
      </c>
      <c r="EQ72" s="16">
        <f t="shared" ref="EQ72:FB72" si="781">EQ11/EQ70</f>
        <v>12507.745258952964</v>
      </c>
      <c r="ER72" s="16">
        <f t="shared" si="781"/>
        <v>25413.092833411818</v>
      </c>
      <c r="ES72" s="16">
        <f t="shared" si="781"/>
        <v>47827.191481752605</v>
      </c>
      <c r="ET72" s="16">
        <f t="shared" si="781"/>
        <v>19902.260808950443</v>
      </c>
      <c r="EU72" s="16">
        <f t="shared" si="781"/>
        <v>36053.550062042224</v>
      </c>
      <c r="EV72" s="16">
        <f t="shared" si="781"/>
        <v>49108.197346108449</v>
      </c>
      <c r="EW72" s="16">
        <f t="shared" si="781"/>
        <v>16256.030384485477</v>
      </c>
      <c r="EX72" s="16">
        <f t="shared" si="781"/>
        <v>28058.965278756645</v>
      </c>
      <c r="EY72" s="16">
        <f t="shared" si="781"/>
        <v>47805.2412359343</v>
      </c>
      <c r="EZ72" s="16">
        <f t="shared" si="781"/>
        <v>17723.616082936434</v>
      </c>
      <c r="FA72" s="16">
        <f t="shared" si="781"/>
        <v>49436.813020744834</v>
      </c>
      <c r="FB72" s="16">
        <f t="shared" si="781"/>
        <v>55470.257808922128</v>
      </c>
    </row>
    <row r="73" spans="2:158" x14ac:dyDescent="0.25">
      <c r="D73" s="16"/>
      <c r="E73" s="16"/>
      <c r="F73" s="19"/>
      <c r="G73" s="19"/>
      <c r="H73" s="16"/>
      <c r="I73" s="55"/>
      <c r="J73" s="55"/>
      <c r="K73" s="55"/>
      <c r="L73" s="55"/>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Y73" s="16"/>
      <c r="AZ73" s="16"/>
      <c r="BA73" s="16"/>
      <c r="BB73" s="16"/>
      <c r="BC73" s="16"/>
      <c r="BD73" s="16"/>
      <c r="BE73" s="16"/>
      <c r="BF73" s="16"/>
      <c r="BG73" s="16"/>
      <c r="BH73" s="16"/>
      <c r="BI73" s="16"/>
      <c r="BJ73" s="16"/>
      <c r="BK73" s="16"/>
      <c r="BL73" s="16"/>
      <c r="BM73" s="16"/>
      <c r="BN73" s="16"/>
      <c r="BO73" s="16"/>
      <c r="BP73" s="16"/>
      <c r="BQ73" s="16"/>
      <c r="BR73" s="16"/>
      <c r="BS73" s="16"/>
      <c r="BT73" s="16"/>
      <c r="BU73" s="16"/>
      <c r="BV73" s="16"/>
      <c r="BW73" s="16"/>
      <c r="BX73" s="16"/>
      <c r="BY73" s="16"/>
      <c r="BZ73" s="16"/>
      <c r="CA73" s="16"/>
      <c r="CB73" s="16"/>
      <c r="CC73" s="16"/>
      <c r="CD73" s="16"/>
      <c r="CE73" s="16"/>
      <c r="CF73" s="16"/>
      <c r="CG73" s="16"/>
      <c r="CH73" s="16"/>
      <c r="CI73" s="16"/>
      <c r="CJ73" s="16"/>
      <c r="CK73" s="16"/>
      <c r="CL73" s="16"/>
      <c r="CM73" s="16"/>
      <c r="CN73" s="16"/>
      <c r="CO73" s="16"/>
      <c r="CP73" s="16"/>
      <c r="CQ73" s="16"/>
      <c r="CR73" s="16"/>
      <c r="CS73" s="16"/>
      <c r="CT73" s="16"/>
      <c r="CU73" s="16"/>
      <c r="CV73" s="16"/>
      <c r="CW73" s="16"/>
      <c r="CX73" s="16"/>
      <c r="CY73" s="16"/>
      <c r="CZ73" s="16"/>
      <c r="DA73" s="16"/>
      <c r="DB73" s="16"/>
      <c r="DC73" s="16"/>
      <c r="DD73" s="16"/>
      <c r="DE73" s="16"/>
      <c r="DF73" s="16"/>
      <c r="DG73" s="16"/>
      <c r="DH73" s="16"/>
      <c r="DI73" s="16"/>
      <c r="DJ73" s="16"/>
      <c r="DK73" s="16"/>
      <c r="DL73" s="16"/>
      <c r="DM73" s="16"/>
      <c r="DN73" s="16"/>
      <c r="DO73" s="16"/>
      <c r="DP73" s="16"/>
      <c r="DQ73" s="16"/>
      <c r="DR73" s="16"/>
      <c r="DS73" s="16"/>
      <c r="DT73" s="16"/>
      <c r="DU73" s="16"/>
      <c r="DV73" s="16"/>
      <c r="DW73" s="16"/>
      <c r="DX73" s="16"/>
      <c r="DY73" s="16"/>
      <c r="DZ73" s="16"/>
      <c r="EA73" s="16"/>
      <c r="EB73" s="16"/>
      <c r="EC73" s="16"/>
      <c r="ED73" s="16"/>
      <c r="EE73" s="16"/>
      <c r="EF73" s="16"/>
      <c r="EG73" s="16"/>
      <c r="EH73" s="16"/>
      <c r="EI73" s="16"/>
      <c r="EJ73" s="16"/>
      <c r="EK73" s="16"/>
      <c r="EL73" s="16"/>
      <c r="EM73" s="16"/>
      <c r="EN73" s="16"/>
      <c r="EO73" s="16"/>
      <c r="EP73" s="16"/>
      <c r="EQ73" s="16"/>
      <c r="ER73" s="16"/>
      <c r="ES73" s="16"/>
      <c r="ET73" s="16"/>
      <c r="EU73" s="16"/>
      <c r="EV73" s="16"/>
      <c r="EW73" s="16"/>
      <c r="EX73" s="16"/>
      <c r="EY73" s="16"/>
      <c r="EZ73" s="16"/>
      <c r="FA73" s="16"/>
      <c r="FB73" s="16"/>
    </row>
    <row r="74" spans="2:158" x14ac:dyDescent="0.25">
      <c r="C74" t="s">
        <v>522</v>
      </c>
      <c r="D74" s="16">
        <f>BJ74</f>
        <v>22</v>
      </c>
      <c r="E74" s="16">
        <f>BV74</f>
        <v>26</v>
      </c>
      <c r="F74" s="16">
        <f>CH74</f>
        <v>31</v>
      </c>
      <c r="G74" s="16">
        <f>CT74</f>
        <v>52</v>
      </c>
      <c r="H74" s="251">
        <f>DF74</f>
        <v>53.05053829989459</v>
      </c>
      <c r="I74" s="251">
        <f>DR74</f>
        <v>85.033227773431349</v>
      </c>
      <c r="J74" s="251">
        <f>ED74</f>
        <v>92.09629342113891</v>
      </c>
      <c r="K74" s="251">
        <f>EP74</f>
        <v>125.17845934273734</v>
      </c>
      <c r="L74" s="251">
        <f>FB74</f>
        <v>178.38013595221318</v>
      </c>
      <c r="N74" s="16">
        <f>BA74</f>
        <v>15</v>
      </c>
      <c r="O74" s="16">
        <f t="shared" ref="O74" si="782">BD74</f>
        <v>17</v>
      </c>
      <c r="P74" s="16">
        <f t="shared" ref="P74" si="783">BG74</f>
        <v>20</v>
      </c>
      <c r="Q74" s="16">
        <f t="shared" ref="Q74" si="784">BJ74</f>
        <v>22</v>
      </c>
      <c r="R74" s="16">
        <f t="shared" ref="R74" si="785">BM74</f>
        <v>22</v>
      </c>
      <c r="S74" s="16">
        <f t="shared" ref="S74" si="786">BP74</f>
        <v>23</v>
      </c>
      <c r="T74" s="16">
        <f t="shared" ref="T74" si="787">BS74</f>
        <v>22</v>
      </c>
      <c r="U74" s="16">
        <f t="shared" ref="U74" si="788">BV74</f>
        <v>26</v>
      </c>
      <c r="V74" s="16">
        <f t="shared" ref="V74" si="789">BY74</f>
        <v>27</v>
      </c>
      <c r="W74" s="16">
        <f t="shared" ref="W74" si="790">CB74</f>
        <v>28</v>
      </c>
      <c r="X74" s="16">
        <f t="shared" ref="X74" si="791">CE74</f>
        <v>25</v>
      </c>
      <c r="Y74" s="16">
        <f t="shared" ref="Y74" si="792">CH74</f>
        <v>31</v>
      </c>
      <c r="Z74" s="16">
        <f t="shared" ref="Z74" si="793">CK74</f>
        <v>31</v>
      </c>
      <c r="AA74" s="16">
        <f t="shared" ref="AA74" si="794">CN74</f>
        <v>39</v>
      </c>
      <c r="AB74" s="16">
        <f t="shared" ref="AB74" si="795">CQ74</f>
        <v>45</v>
      </c>
      <c r="AC74" s="16">
        <f t="shared" ref="AC74" si="796">CT74</f>
        <v>52</v>
      </c>
      <c r="AD74" s="16">
        <f t="shared" ref="AD74" si="797">CW74</f>
        <v>52.286510445425797</v>
      </c>
      <c r="AE74" s="16">
        <f t="shared" ref="AE74" si="798">CZ74</f>
        <v>52.573020890851595</v>
      </c>
      <c r="AF74" s="16">
        <f t="shared" ref="AF74" si="799">DC74</f>
        <v>52.764027854468793</v>
      </c>
      <c r="AG74" s="16">
        <f t="shared" ref="AG74" si="800">DF74</f>
        <v>53.05053829989459</v>
      </c>
      <c r="AH74" s="16">
        <f t="shared" ref="AH74" si="801">DI74</f>
        <v>61.773089974495527</v>
      </c>
      <c r="AI74" s="16">
        <f t="shared" ref="AI74" si="802">DL74</f>
        <v>70.495641649096456</v>
      </c>
      <c r="AJ74" s="16">
        <f t="shared" ref="AJ74" si="803">DO74</f>
        <v>76.310676098830413</v>
      </c>
      <c r="AK74" s="16">
        <f t="shared" ref="AK74" si="804">DR74</f>
        <v>85.033227773431349</v>
      </c>
      <c r="AL74" s="16">
        <f t="shared" ref="AL74" si="805">DU74</f>
        <v>86.959518404624305</v>
      </c>
      <c r="AM74" s="16">
        <f t="shared" ref="AM74" si="806">DX74</f>
        <v>88.885809035817289</v>
      </c>
      <c r="AN74" s="16">
        <f t="shared" ref="AN74" si="807">EA74</f>
        <v>90.170002789945954</v>
      </c>
      <c r="AO74" s="16">
        <f t="shared" ref="AO74" si="808">ED74</f>
        <v>92.09629342113891</v>
      </c>
      <c r="AP74" s="16">
        <f t="shared" ref="AP74" si="809">EG74</f>
        <v>101.11870230884759</v>
      </c>
      <c r="AQ74" s="16">
        <f t="shared" ref="AQ74" si="810">EJ74</f>
        <v>110.14111119655624</v>
      </c>
      <c r="AR74" s="16">
        <f t="shared" ref="AR74" si="811">EM74</f>
        <v>116.15605045502866</v>
      </c>
      <c r="AS74" s="16">
        <f t="shared" ref="AS74" si="812">EP74</f>
        <v>125.17845934273734</v>
      </c>
      <c r="AT74" s="16">
        <f t="shared" ref="AT74" si="813">ES74</f>
        <v>139.68800750895801</v>
      </c>
      <c r="AU74" s="16">
        <f t="shared" ref="AU74" si="814">EV74</f>
        <v>154.19755567517871</v>
      </c>
      <c r="AV74" s="16">
        <f t="shared" ref="AV74" si="815">EY74</f>
        <v>163.87058778599251</v>
      </c>
      <c r="AW74" s="16">
        <f t="shared" ref="AW74" si="816">FB74</f>
        <v>178.38013595221318</v>
      </c>
      <c r="AY74" s="16">
        <f>AY75</f>
        <v>15</v>
      </c>
      <c r="AZ74" s="16">
        <f t="shared" ref="AZ74:DK74" si="817">AZ75</f>
        <v>16</v>
      </c>
      <c r="BA74" s="16">
        <f t="shared" si="817"/>
        <v>15</v>
      </c>
      <c r="BB74" s="16">
        <f t="shared" si="817"/>
        <v>16</v>
      </c>
      <c r="BC74" s="16">
        <f t="shared" si="817"/>
        <v>17</v>
      </c>
      <c r="BD74" s="16">
        <f t="shared" si="817"/>
        <v>17</v>
      </c>
      <c r="BE74" s="16">
        <f t="shared" si="817"/>
        <v>18</v>
      </c>
      <c r="BF74" s="16">
        <f t="shared" si="817"/>
        <v>20</v>
      </c>
      <c r="BG74" s="16">
        <f t="shared" si="817"/>
        <v>20</v>
      </c>
      <c r="BH74" s="16">
        <f t="shared" si="817"/>
        <v>19</v>
      </c>
      <c r="BI74" s="16">
        <f t="shared" si="817"/>
        <v>18</v>
      </c>
      <c r="BJ74" s="16">
        <f t="shared" si="817"/>
        <v>22</v>
      </c>
      <c r="BK74" s="16">
        <f t="shared" si="817"/>
        <v>21</v>
      </c>
      <c r="BL74" s="16">
        <f t="shared" si="817"/>
        <v>20</v>
      </c>
      <c r="BM74" s="16">
        <f t="shared" si="817"/>
        <v>22</v>
      </c>
      <c r="BN74" s="16">
        <f t="shared" si="817"/>
        <v>20</v>
      </c>
      <c r="BO74" s="16">
        <f t="shared" si="817"/>
        <v>21</v>
      </c>
      <c r="BP74" s="16">
        <f t="shared" si="817"/>
        <v>23</v>
      </c>
      <c r="BQ74" s="16">
        <f t="shared" si="817"/>
        <v>22</v>
      </c>
      <c r="BR74" s="16">
        <f t="shared" si="817"/>
        <v>21</v>
      </c>
      <c r="BS74" s="16">
        <f t="shared" si="817"/>
        <v>22</v>
      </c>
      <c r="BT74" s="16">
        <f t="shared" si="817"/>
        <v>23</v>
      </c>
      <c r="BU74" s="16">
        <f t="shared" si="817"/>
        <v>26</v>
      </c>
      <c r="BV74" s="16">
        <f t="shared" si="817"/>
        <v>26</v>
      </c>
      <c r="BW74" s="16">
        <f t="shared" si="817"/>
        <v>27</v>
      </c>
      <c r="BX74" s="16">
        <f t="shared" si="817"/>
        <v>27</v>
      </c>
      <c r="BY74" s="16">
        <f t="shared" si="817"/>
        <v>27</v>
      </c>
      <c r="BZ74" s="16">
        <f t="shared" si="817"/>
        <v>28</v>
      </c>
      <c r="CA74" s="16">
        <f t="shared" si="817"/>
        <v>28</v>
      </c>
      <c r="CB74" s="16">
        <f t="shared" si="817"/>
        <v>28</v>
      </c>
      <c r="CC74" s="16">
        <f t="shared" si="817"/>
        <v>29</v>
      </c>
      <c r="CD74" s="16">
        <f t="shared" si="817"/>
        <v>28</v>
      </c>
      <c r="CE74" s="16">
        <f t="shared" si="817"/>
        <v>25</v>
      </c>
      <c r="CF74" s="16">
        <f t="shared" si="817"/>
        <v>26</v>
      </c>
      <c r="CG74" s="16">
        <f t="shared" si="817"/>
        <v>30</v>
      </c>
      <c r="CH74" s="16">
        <f t="shared" si="817"/>
        <v>31</v>
      </c>
      <c r="CI74" s="16">
        <f t="shared" si="817"/>
        <v>32</v>
      </c>
      <c r="CJ74" s="16">
        <f t="shared" si="817"/>
        <v>31</v>
      </c>
      <c r="CK74" s="16">
        <f t="shared" si="817"/>
        <v>31</v>
      </c>
      <c r="CL74" s="16">
        <f t="shared" si="817"/>
        <v>34</v>
      </c>
      <c r="CM74" s="16">
        <f t="shared" si="817"/>
        <v>40</v>
      </c>
      <c r="CN74" s="16">
        <f t="shared" si="817"/>
        <v>39</v>
      </c>
      <c r="CO74" s="16">
        <f t="shared" si="817"/>
        <v>41</v>
      </c>
      <c r="CP74" s="16">
        <f t="shared" si="817"/>
        <v>43</v>
      </c>
      <c r="CQ74" s="16">
        <f t="shared" si="817"/>
        <v>45</v>
      </c>
      <c r="CR74" s="16">
        <f t="shared" si="817"/>
        <v>48</v>
      </c>
      <c r="CS74" s="16">
        <f t="shared" si="817"/>
        <v>48</v>
      </c>
      <c r="CT74" s="16">
        <f t="shared" si="817"/>
        <v>52</v>
      </c>
      <c r="CU74" s="16">
        <f t="shared" si="817"/>
        <v>52.095503481808599</v>
      </c>
      <c r="CV74" s="16">
        <f t="shared" si="817"/>
        <v>52.191006963617198</v>
      </c>
      <c r="CW74" s="16">
        <f t="shared" si="817"/>
        <v>52.286510445425797</v>
      </c>
      <c r="CX74" s="16">
        <f t="shared" si="817"/>
        <v>52.382013927234397</v>
      </c>
      <c r="CY74" s="16">
        <f t="shared" si="817"/>
        <v>52.477517409042996</v>
      </c>
      <c r="CZ74" s="16">
        <f t="shared" si="817"/>
        <v>52.573020890851595</v>
      </c>
      <c r="DA74" s="16">
        <f t="shared" si="817"/>
        <v>52.573020890851595</v>
      </c>
      <c r="DB74" s="16">
        <f t="shared" si="817"/>
        <v>52.668524372660194</v>
      </c>
      <c r="DC74" s="16">
        <f t="shared" si="817"/>
        <v>52.764027854468793</v>
      </c>
      <c r="DD74" s="16">
        <f t="shared" si="817"/>
        <v>52.859531336277392</v>
      </c>
      <c r="DE74" s="16">
        <f t="shared" si="817"/>
        <v>52.955034818085991</v>
      </c>
      <c r="DF74" s="16">
        <f t="shared" si="817"/>
        <v>53.05053829989459</v>
      </c>
      <c r="DG74" s="16">
        <f t="shared" si="817"/>
        <v>55.958055524761569</v>
      </c>
      <c r="DH74" s="16">
        <f t="shared" si="817"/>
        <v>58.865572749628548</v>
      </c>
      <c r="DI74" s="16">
        <f t="shared" si="817"/>
        <v>61.773089974495527</v>
      </c>
      <c r="DJ74" s="16">
        <f t="shared" si="817"/>
        <v>64.680607199362498</v>
      </c>
      <c r="DK74" s="16">
        <f t="shared" si="817"/>
        <v>67.588124424229477</v>
      </c>
      <c r="DL74" s="16">
        <f t="shared" ref="DL74:FB74" si="818">DL75</f>
        <v>70.495641649096456</v>
      </c>
      <c r="DM74" s="16">
        <f t="shared" si="818"/>
        <v>70.495641649096456</v>
      </c>
      <c r="DN74" s="16">
        <f t="shared" si="818"/>
        <v>73.403158873963434</v>
      </c>
      <c r="DO74" s="16">
        <f t="shared" si="818"/>
        <v>76.310676098830413</v>
      </c>
      <c r="DP74" s="16">
        <f t="shared" si="818"/>
        <v>79.218193323697392</v>
      </c>
      <c r="DQ74" s="16">
        <f t="shared" si="818"/>
        <v>82.125710548564371</v>
      </c>
      <c r="DR74" s="16">
        <f t="shared" si="818"/>
        <v>85.033227773431349</v>
      </c>
      <c r="DS74" s="16">
        <f t="shared" si="818"/>
        <v>85.675324650495668</v>
      </c>
      <c r="DT74" s="16">
        <f t="shared" si="818"/>
        <v>86.317421527559986</v>
      </c>
      <c r="DU74" s="16">
        <f t="shared" si="818"/>
        <v>86.959518404624305</v>
      </c>
      <c r="DV74" s="16">
        <f t="shared" si="818"/>
        <v>87.601615281688623</v>
      </c>
      <c r="DW74" s="16">
        <f t="shared" si="818"/>
        <v>88.243712158752942</v>
      </c>
      <c r="DX74" s="16">
        <f t="shared" si="818"/>
        <v>88.885809035817289</v>
      </c>
      <c r="DY74" s="16">
        <f t="shared" si="818"/>
        <v>88.885809035817289</v>
      </c>
      <c r="DZ74" s="16">
        <f t="shared" si="818"/>
        <v>89.527905912881636</v>
      </c>
      <c r="EA74" s="16">
        <f t="shared" si="818"/>
        <v>90.170002789945954</v>
      </c>
      <c r="EB74" s="16">
        <f t="shared" si="818"/>
        <v>90.812099667010273</v>
      </c>
      <c r="EC74" s="16">
        <f t="shared" si="818"/>
        <v>91.454196544074591</v>
      </c>
      <c r="ED74" s="16">
        <f t="shared" si="818"/>
        <v>92.09629342113891</v>
      </c>
      <c r="EE74" s="16">
        <f t="shared" si="818"/>
        <v>95.103763050375136</v>
      </c>
      <c r="EF74" s="16">
        <f t="shared" si="818"/>
        <v>98.111232679611362</v>
      </c>
      <c r="EG74" s="16">
        <f t="shared" si="818"/>
        <v>101.11870230884759</v>
      </c>
      <c r="EH74" s="16">
        <f t="shared" si="818"/>
        <v>104.12617193808381</v>
      </c>
      <c r="EI74" s="16">
        <f t="shared" si="818"/>
        <v>107.13364156732004</v>
      </c>
      <c r="EJ74" s="16">
        <f t="shared" si="818"/>
        <v>110.14111119655624</v>
      </c>
      <c r="EK74" s="16">
        <f t="shared" si="818"/>
        <v>110.14111119655624</v>
      </c>
      <c r="EL74" s="16">
        <f t="shared" si="818"/>
        <v>113.14858082579244</v>
      </c>
      <c r="EM74" s="16">
        <f t="shared" si="818"/>
        <v>116.15605045502866</v>
      </c>
      <c r="EN74" s="16">
        <f t="shared" si="818"/>
        <v>119.16352008426489</v>
      </c>
      <c r="EO74" s="16">
        <f t="shared" si="818"/>
        <v>122.17098971350111</v>
      </c>
      <c r="EP74" s="16">
        <f t="shared" si="818"/>
        <v>125.17845934273734</v>
      </c>
      <c r="EQ74" s="16">
        <f t="shared" si="818"/>
        <v>130.01497539814423</v>
      </c>
      <c r="ER74" s="16">
        <f t="shared" si="818"/>
        <v>134.85149145355112</v>
      </c>
      <c r="ES74" s="16">
        <f t="shared" si="818"/>
        <v>139.68800750895801</v>
      </c>
      <c r="ET74" s="16">
        <f t="shared" si="818"/>
        <v>144.5245235643649</v>
      </c>
      <c r="EU74" s="16">
        <f t="shared" si="818"/>
        <v>149.36103961977179</v>
      </c>
      <c r="EV74" s="16">
        <f t="shared" si="818"/>
        <v>154.19755567517871</v>
      </c>
      <c r="EW74" s="16">
        <f t="shared" si="818"/>
        <v>154.19755567517871</v>
      </c>
      <c r="EX74" s="16">
        <f t="shared" si="818"/>
        <v>159.03407173058562</v>
      </c>
      <c r="EY74" s="16">
        <f t="shared" si="818"/>
        <v>163.87058778599251</v>
      </c>
      <c r="EZ74" s="16">
        <f t="shared" si="818"/>
        <v>168.7071038413994</v>
      </c>
      <c r="FA74" s="16">
        <f t="shared" si="818"/>
        <v>173.54361989680629</v>
      </c>
      <c r="FB74" s="16">
        <f t="shared" si="818"/>
        <v>178.38013595221318</v>
      </c>
    </row>
    <row r="75" spans="2:158" x14ac:dyDescent="0.25">
      <c r="C75" t="s">
        <v>520</v>
      </c>
      <c r="D75" s="16">
        <f>AVERAGE(AY75:BJ75)</f>
        <v>17.75</v>
      </c>
      <c r="E75" s="16">
        <f>AVERAGE(BK75:BV75)</f>
        <v>22.25</v>
      </c>
      <c r="F75" s="16">
        <f>AVERAGE(BW75:CH75)</f>
        <v>27.833333333333332</v>
      </c>
      <c r="G75" s="16">
        <f>AVERAGE(CI75:CT75)</f>
        <v>40.333333333333336</v>
      </c>
      <c r="H75" s="16">
        <f>H11/H77</f>
        <v>52.573020890851595</v>
      </c>
      <c r="I75" s="16">
        <f>I11/I77</f>
        <v>70.495641649096456</v>
      </c>
      <c r="J75" s="16">
        <f>J11/J77</f>
        <v>88.885809035817289</v>
      </c>
      <c r="K75" s="16">
        <f>K11/K77</f>
        <v>110.14111119655624</v>
      </c>
      <c r="L75" s="16">
        <f>L11/L77</f>
        <v>154.19755567517871</v>
      </c>
      <c r="N75" s="16">
        <f>AVERAGE(AY75:BA75)</f>
        <v>15.333333333333334</v>
      </c>
      <c r="O75" s="16">
        <f>AVERAGE(BB75:BD75)</f>
        <v>16.666666666666668</v>
      </c>
      <c r="P75" s="16">
        <f>AVERAGE(BE75:BG75)</f>
        <v>19.333333333333332</v>
      </c>
      <c r="Q75" s="16">
        <f>AVERAGE(BH75:BJ75)</f>
        <v>19.666666666666668</v>
      </c>
      <c r="R75" s="16">
        <f>AVERAGE(BK75:BM75)</f>
        <v>21</v>
      </c>
      <c r="S75" s="16">
        <f>AVERAGE(BN75:BP75)</f>
        <v>21.333333333333332</v>
      </c>
      <c r="T75" s="16">
        <f>AVERAGE(BQ75:BS75)</f>
        <v>21.666666666666668</v>
      </c>
      <c r="U75" s="16">
        <f>AVERAGE(BT75:BV75)</f>
        <v>25</v>
      </c>
      <c r="V75" s="16">
        <f>AVERAGE(BW75:BY75)</f>
        <v>27</v>
      </c>
      <c r="W75" s="16">
        <f>AVERAGE(BZ75:CB75)</f>
        <v>28</v>
      </c>
      <c r="X75" s="16">
        <f>AVERAGE(CC75:CE75)</f>
        <v>27.333333333333332</v>
      </c>
      <c r="Y75" s="16">
        <f>AVERAGE(CF75:CH75)</f>
        <v>29</v>
      </c>
      <c r="Z75" s="16">
        <f>AVERAGE(CI75:CK75)</f>
        <v>31.333333333333332</v>
      </c>
      <c r="AA75" s="16">
        <f>AVERAGE(CL75:CN75)</f>
        <v>37.666666666666664</v>
      </c>
      <c r="AB75" s="16">
        <f>AVERAGE(CO75:CQ75)</f>
        <v>43</v>
      </c>
      <c r="AC75" s="16">
        <f>AVERAGE(CR75:CT75)</f>
        <v>49.333333333333336</v>
      </c>
      <c r="AD75" s="16">
        <f>AVERAGE(CU75:CW75)</f>
        <v>52.191006963617191</v>
      </c>
      <c r="AE75" s="16">
        <f>AVERAGE(CX75:CZ75)</f>
        <v>52.477517409043003</v>
      </c>
      <c r="AF75" s="16">
        <f>AVERAGE(DA75:DC75)</f>
        <v>52.668524372660194</v>
      </c>
      <c r="AG75" s="16">
        <f>AVERAGE(DD75:DF75)</f>
        <v>52.955034818085984</v>
      </c>
      <c r="AH75" s="16">
        <f>AVERAGE(DG75:DI75)</f>
        <v>58.865572749628548</v>
      </c>
      <c r="AI75" s="16">
        <f>AVERAGE(DJ75:DL75)</f>
        <v>67.588124424229477</v>
      </c>
      <c r="AJ75" s="16">
        <f>AVERAGE(DM75:DO75)</f>
        <v>73.403158873963434</v>
      </c>
      <c r="AK75" s="16">
        <f>AVERAGE(DP75:DR75)</f>
        <v>82.125710548564371</v>
      </c>
      <c r="AL75" s="16">
        <f>AVERAGE(DS75:DU75)</f>
        <v>86.317421527559986</v>
      </c>
      <c r="AM75" s="16">
        <f>AVERAGE(DV75:DX75)</f>
        <v>88.243712158752942</v>
      </c>
      <c r="AN75" s="16">
        <f>AVERAGE(DY75:EA75)</f>
        <v>89.527905912881621</v>
      </c>
      <c r="AO75" s="16">
        <f>AVERAGE(EB75:ED75)</f>
        <v>91.454196544074591</v>
      </c>
      <c r="AP75" s="16">
        <f>AVERAGE(EE75:EG75)</f>
        <v>98.111232679611362</v>
      </c>
      <c r="AQ75" s="16">
        <f>AVERAGE(EH75:EJ75)</f>
        <v>107.13364156732003</v>
      </c>
      <c r="AR75" s="16">
        <f>AVERAGE(EK75:EM75)</f>
        <v>113.14858082579245</v>
      </c>
      <c r="AS75" s="16">
        <f>AVERAGE(EN75:EP75)</f>
        <v>122.17098971350111</v>
      </c>
      <c r="AT75" s="16">
        <f>AVERAGE(EQ75:ES75)</f>
        <v>134.85149145355112</v>
      </c>
      <c r="AU75" s="16">
        <f>AVERAGE(ET75:EV75)</f>
        <v>149.36103961977179</v>
      </c>
      <c r="AV75" s="16">
        <f>AVERAGE(EW75:EY75)</f>
        <v>159.03407173058562</v>
      </c>
      <c r="AW75" s="16">
        <f>AVERAGE(EZ75:FB75)</f>
        <v>173.54361989680629</v>
      </c>
      <c r="AY75" s="16">
        <v>15</v>
      </c>
      <c r="AZ75" s="16">
        <v>16</v>
      </c>
      <c r="BA75" s="16">
        <v>15</v>
      </c>
      <c r="BB75" s="16">
        <v>16</v>
      </c>
      <c r="BC75" s="16">
        <v>17</v>
      </c>
      <c r="BD75" s="16">
        <v>17</v>
      </c>
      <c r="BE75" s="16">
        <v>18</v>
      </c>
      <c r="BF75" s="16">
        <v>20</v>
      </c>
      <c r="BG75" s="16">
        <v>20</v>
      </c>
      <c r="BH75" s="16">
        <v>19</v>
      </c>
      <c r="BI75" s="16">
        <v>18</v>
      </c>
      <c r="BJ75" s="16">
        <v>22</v>
      </c>
      <c r="BK75" s="16">
        <v>21</v>
      </c>
      <c r="BL75" s="16">
        <v>20</v>
      </c>
      <c r="BM75" s="16">
        <v>22</v>
      </c>
      <c r="BN75" s="16">
        <v>20</v>
      </c>
      <c r="BO75" s="16">
        <v>21</v>
      </c>
      <c r="BP75" s="16">
        <v>23</v>
      </c>
      <c r="BQ75" s="16">
        <v>22</v>
      </c>
      <c r="BR75" s="16">
        <v>21</v>
      </c>
      <c r="BS75" s="16">
        <v>22</v>
      </c>
      <c r="BT75" s="16">
        <v>23</v>
      </c>
      <c r="BU75" s="16">
        <v>26</v>
      </c>
      <c r="BV75" s="16">
        <v>26</v>
      </c>
      <c r="BW75" s="16">
        <v>27</v>
      </c>
      <c r="BX75" s="16">
        <v>27</v>
      </c>
      <c r="BY75" s="16">
        <v>27</v>
      </c>
      <c r="BZ75" s="16">
        <v>28</v>
      </c>
      <c r="CA75" s="16">
        <v>28</v>
      </c>
      <c r="CB75" s="16">
        <v>28</v>
      </c>
      <c r="CC75" s="16">
        <v>29</v>
      </c>
      <c r="CD75" s="16">
        <v>28</v>
      </c>
      <c r="CE75" s="16">
        <v>25</v>
      </c>
      <c r="CF75" s="16">
        <v>26</v>
      </c>
      <c r="CG75" s="16">
        <v>30</v>
      </c>
      <c r="CH75" s="16">
        <v>31</v>
      </c>
      <c r="CI75" s="16">
        <v>32</v>
      </c>
      <c r="CJ75" s="16">
        <v>31</v>
      </c>
      <c r="CK75" s="16">
        <v>31</v>
      </c>
      <c r="CL75" s="16">
        <v>34</v>
      </c>
      <c r="CM75" s="16">
        <v>40</v>
      </c>
      <c r="CN75" s="16">
        <v>39</v>
      </c>
      <c r="CO75" s="16">
        <v>41</v>
      </c>
      <c r="CP75" s="16">
        <v>43</v>
      </c>
      <c r="CQ75" s="16">
        <v>45</v>
      </c>
      <c r="CR75" s="16">
        <v>48</v>
      </c>
      <c r="CS75" s="16">
        <v>48</v>
      </c>
      <c r="CT75" s="16">
        <v>52</v>
      </c>
      <c r="CU75" s="16">
        <f>(CZ75-CT75)/6+CT75</f>
        <v>52.095503481808599</v>
      </c>
      <c r="CV75" s="16">
        <f>(CZ75-CT75)/6+CU75</f>
        <v>52.191006963617198</v>
      </c>
      <c r="CW75" s="16">
        <f>(CZ75-CT75)/6+CV75</f>
        <v>52.286510445425797</v>
      </c>
      <c r="CX75" s="16">
        <f>(CZ75-CT75)/6+CW75</f>
        <v>52.382013927234397</v>
      </c>
      <c r="CY75" s="16">
        <f>(CZ75-CT75)/6+CX75</f>
        <v>52.477517409042996</v>
      </c>
      <c r="CZ75" s="90">
        <f t="shared" ref="CZ75:DA75" si="819">INDEX($D75:$L75,1,MATCH(CZ$2,$D$2:$L$2,))</f>
        <v>52.573020890851595</v>
      </c>
      <c r="DA75" s="90">
        <f t="shared" si="819"/>
        <v>52.573020890851595</v>
      </c>
      <c r="DB75" s="16">
        <f>CZ75-CY75+DA75</f>
        <v>52.668524372660194</v>
      </c>
      <c r="DC75" s="16">
        <f>CY75-CX75+DB75</f>
        <v>52.764027854468793</v>
      </c>
      <c r="DD75" s="16">
        <f>CX75-CW75+DC75</f>
        <v>52.859531336277392</v>
      </c>
      <c r="DE75" s="16">
        <f>CW75-CV75+DD75</f>
        <v>52.955034818085991</v>
      </c>
      <c r="DF75" s="16">
        <f>CV75-CU75+DE75</f>
        <v>53.05053829989459</v>
      </c>
      <c r="DG75" s="16">
        <f>(DL75-DF75)/6+DF75</f>
        <v>55.958055524761569</v>
      </c>
      <c r="DH75" s="16">
        <f>(DL75-DF75)/6+DG75</f>
        <v>58.865572749628548</v>
      </c>
      <c r="DI75" s="16">
        <f>(DL75-DF75)/6+DH75</f>
        <v>61.773089974495527</v>
      </c>
      <c r="DJ75" s="16">
        <f>(DL75-DF75)/6+DI75</f>
        <v>64.680607199362498</v>
      </c>
      <c r="DK75" s="16">
        <f>(DL75-DF75)/6+DJ75</f>
        <v>67.588124424229477</v>
      </c>
      <c r="DL75" s="90">
        <f t="shared" ref="DL75:DM75" si="820">INDEX($D75:$L75,1,MATCH(DL$2,$D$2:$L$2,))</f>
        <v>70.495641649096456</v>
      </c>
      <c r="DM75" s="90">
        <f t="shared" si="820"/>
        <v>70.495641649096456</v>
      </c>
      <c r="DN75" s="16">
        <f>DL75-DK75+DM75</f>
        <v>73.403158873963434</v>
      </c>
      <c r="DO75" s="16">
        <f>DK75-DJ75+DN75</f>
        <v>76.310676098830413</v>
      </c>
      <c r="DP75" s="16">
        <f>DJ75-DI75+DO75</f>
        <v>79.218193323697392</v>
      </c>
      <c r="DQ75" s="16">
        <f>DI75-DH75+DP75</f>
        <v>82.125710548564371</v>
      </c>
      <c r="DR75" s="16">
        <f>DH75-DG75+DQ75</f>
        <v>85.033227773431349</v>
      </c>
      <c r="DS75" s="16">
        <f>(DX75-DR75)/6+DR75</f>
        <v>85.675324650495668</v>
      </c>
      <c r="DT75" s="16">
        <f>(DX75-DR75)/6+DS75</f>
        <v>86.317421527559986</v>
      </c>
      <c r="DU75" s="16">
        <f>(DX75-DR75)/6+DT75</f>
        <v>86.959518404624305</v>
      </c>
      <c r="DV75" s="16">
        <f>(DX75-DR75)/6+DU75</f>
        <v>87.601615281688623</v>
      </c>
      <c r="DW75" s="16">
        <f>(DX75-DR75)/6+DV75</f>
        <v>88.243712158752942</v>
      </c>
      <c r="DX75" s="90">
        <f t="shared" ref="DX75:DY75" si="821">INDEX($D75:$L75,1,MATCH(DX$2,$D$2:$L$2,))</f>
        <v>88.885809035817289</v>
      </c>
      <c r="DY75" s="90">
        <f t="shared" si="821"/>
        <v>88.885809035817289</v>
      </c>
      <c r="DZ75" s="16">
        <f>DX75-DW75+DY75</f>
        <v>89.527905912881636</v>
      </c>
      <c r="EA75" s="16">
        <f>DW75-DV75+DZ75</f>
        <v>90.170002789945954</v>
      </c>
      <c r="EB75" s="16">
        <f>DV75-DU75+EA75</f>
        <v>90.812099667010273</v>
      </c>
      <c r="EC75" s="16">
        <f>DU75-DT75+EB75</f>
        <v>91.454196544074591</v>
      </c>
      <c r="ED75" s="16">
        <f>DT75-DS75+EC75</f>
        <v>92.09629342113891</v>
      </c>
      <c r="EE75" s="16">
        <f>(EJ75-ED75)/6+ED75</f>
        <v>95.103763050375136</v>
      </c>
      <c r="EF75" s="16">
        <f>(EJ75-ED75)/6+EE75</f>
        <v>98.111232679611362</v>
      </c>
      <c r="EG75" s="16">
        <f>(EJ75-ED75)/6+EF75</f>
        <v>101.11870230884759</v>
      </c>
      <c r="EH75" s="16">
        <f>(EJ75-ED75)/6+EG75</f>
        <v>104.12617193808381</v>
      </c>
      <c r="EI75" s="16">
        <f>(EJ75-ED75)/6+EH75</f>
        <v>107.13364156732004</v>
      </c>
      <c r="EJ75" s="90">
        <f t="shared" ref="EJ75:EK75" si="822">INDEX($D75:$L75,1,MATCH(EJ$2,$D$2:$L$2,))</f>
        <v>110.14111119655624</v>
      </c>
      <c r="EK75" s="90">
        <f t="shared" si="822"/>
        <v>110.14111119655624</v>
      </c>
      <c r="EL75" s="16">
        <f>EJ75-EI75+EK75</f>
        <v>113.14858082579244</v>
      </c>
      <c r="EM75" s="16">
        <f>EI75-EH75+EL75</f>
        <v>116.15605045502866</v>
      </c>
      <c r="EN75" s="16">
        <f>EH75-EG75+EM75</f>
        <v>119.16352008426489</v>
      </c>
      <c r="EO75" s="16">
        <f>EG75-EF75+EN75</f>
        <v>122.17098971350111</v>
      </c>
      <c r="EP75" s="16">
        <f>EF75-EE75+EO75</f>
        <v>125.17845934273734</v>
      </c>
      <c r="EQ75" s="16">
        <f>(EV75-EP75)/6+EP75</f>
        <v>130.01497539814423</v>
      </c>
      <c r="ER75" s="16">
        <f>(EV75-EP75)/6+EQ75</f>
        <v>134.85149145355112</v>
      </c>
      <c r="ES75" s="16">
        <f>(EV75-EP75)/6+ER75</f>
        <v>139.68800750895801</v>
      </c>
      <c r="ET75" s="16">
        <f>(EV75-EP75)/6+ES75</f>
        <v>144.5245235643649</v>
      </c>
      <c r="EU75" s="16">
        <f>(EV75-EP75)/6+ET75</f>
        <v>149.36103961977179</v>
      </c>
      <c r="EV75" s="90">
        <f t="shared" ref="EV75:EW75" si="823">INDEX($D75:$L75,1,MATCH(EV$2,$D$2:$L$2,))</f>
        <v>154.19755567517871</v>
      </c>
      <c r="EW75" s="90">
        <f t="shared" si="823"/>
        <v>154.19755567517871</v>
      </c>
      <c r="EX75" s="16">
        <f>EV75-EU75+EW75</f>
        <v>159.03407173058562</v>
      </c>
      <c r="EY75" s="16">
        <f>EU75-ET75+EX75</f>
        <v>163.87058778599251</v>
      </c>
      <c r="EZ75" s="16">
        <f>ET75-ES75+EY75</f>
        <v>168.7071038413994</v>
      </c>
      <c r="FA75" s="16">
        <f>ES75-ER75+EZ75</f>
        <v>173.54361989680629</v>
      </c>
      <c r="FB75" s="16">
        <f>ER75-EQ75+FA75</f>
        <v>178.38013595221318</v>
      </c>
    </row>
    <row r="76" spans="2:158" x14ac:dyDescent="0.25">
      <c r="B76" s="303">
        <f>B71</f>
        <v>0.05</v>
      </c>
      <c r="C76" s="28" t="s">
        <v>518</v>
      </c>
      <c r="D76" s="16">
        <f>D55/D75</f>
        <v>138117.54140845072</v>
      </c>
      <c r="E76" s="16">
        <f>E55/E75</f>
        <v>175200.85168539325</v>
      </c>
      <c r="F76" s="16">
        <f>F55/F75</f>
        <v>155642.72227544914</v>
      </c>
      <c r="G76" s="16">
        <f>G55/G75</f>
        <v>196960.69187744279</v>
      </c>
      <c r="H76" s="249">
        <f>G76*(1+$B76)</f>
        <v>206808.72647131493</v>
      </c>
      <c r="I76" s="249">
        <f t="shared" ref="I76:L76" si="824">H76*(1+$B76)</f>
        <v>217149.16279488069</v>
      </c>
      <c r="J76" s="249">
        <f t="shared" si="824"/>
        <v>228006.62093462472</v>
      </c>
      <c r="K76" s="249">
        <f t="shared" si="824"/>
        <v>239406.95198135596</v>
      </c>
      <c r="L76" s="249">
        <f t="shared" si="824"/>
        <v>251377.29958042377</v>
      </c>
      <c r="N76" s="16">
        <f>N55/N75*4</f>
        <v>137161.45565217393</v>
      </c>
      <c r="O76" s="16">
        <f t="shared" ref="O76:AW76" si="825">O55/O75*4</f>
        <v>127183.4544</v>
      </c>
      <c r="P76" s="16">
        <f t="shared" si="825"/>
        <v>139732.75655172413</v>
      </c>
      <c r="Q76" s="16">
        <f t="shared" si="825"/>
        <v>146541.30101694915</v>
      </c>
      <c r="R76" s="16">
        <f t="shared" si="825"/>
        <v>176381.24761904764</v>
      </c>
      <c r="S76" s="16">
        <f t="shared" si="825"/>
        <v>189522.30937499998</v>
      </c>
      <c r="T76" s="16">
        <f t="shared" si="825"/>
        <v>181579.0006153846</v>
      </c>
      <c r="U76" s="16">
        <f t="shared" si="825"/>
        <v>156460.6128</v>
      </c>
      <c r="V76" s="16">
        <f t="shared" si="825"/>
        <v>166584.93185185187</v>
      </c>
      <c r="W76" s="16">
        <f t="shared" si="825"/>
        <v>150508.98428571428</v>
      </c>
      <c r="X76" s="16">
        <f t="shared" si="825"/>
        <v>157336.47365853665</v>
      </c>
      <c r="Y76" s="16">
        <f t="shared" si="825"/>
        <v>148815.45103448277</v>
      </c>
      <c r="Z76" s="16">
        <f t="shared" si="825"/>
        <v>194107.36851063831</v>
      </c>
      <c r="AA76" s="16">
        <f t="shared" si="825"/>
        <v>203069.46710499807</v>
      </c>
      <c r="AB76" s="16">
        <f t="shared" si="825"/>
        <v>199060.08656498985</v>
      </c>
      <c r="AC76" s="16">
        <f t="shared" si="825"/>
        <v>192278.92756036378</v>
      </c>
      <c r="AD76" s="16">
        <f t="shared" si="825"/>
        <v>206808.72647131496</v>
      </c>
      <c r="AE76" s="16">
        <f t="shared" si="825"/>
        <v>206808.72647131491</v>
      </c>
      <c r="AF76" s="16">
        <f t="shared" si="825"/>
        <v>206808.72647131496</v>
      </c>
      <c r="AG76" s="16">
        <f t="shared" si="825"/>
        <v>206808.72647131496</v>
      </c>
      <c r="AH76" s="16">
        <f t="shared" si="825"/>
        <v>217149.16279488069</v>
      </c>
      <c r="AI76" s="16">
        <f t="shared" si="825"/>
        <v>217149.16279488066</v>
      </c>
      <c r="AJ76" s="16">
        <f t="shared" si="825"/>
        <v>217149.16279488069</v>
      </c>
      <c r="AK76" s="16">
        <f t="shared" si="825"/>
        <v>217149.16279488066</v>
      </c>
      <c r="AL76" s="16">
        <f t="shared" si="825"/>
        <v>228006.62093462472</v>
      </c>
      <c r="AM76" s="16">
        <f t="shared" si="825"/>
        <v>228006.62093462478</v>
      </c>
      <c r="AN76" s="16">
        <f t="shared" si="825"/>
        <v>228006.62093462475</v>
      </c>
      <c r="AO76" s="16">
        <f t="shared" si="825"/>
        <v>228006.62093462472</v>
      </c>
      <c r="AP76" s="16">
        <f t="shared" si="825"/>
        <v>239406.95198135593</v>
      </c>
      <c r="AQ76" s="16">
        <f t="shared" si="825"/>
        <v>239406.95198135596</v>
      </c>
      <c r="AR76" s="16">
        <f t="shared" si="825"/>
        <v>239406.95198135596</v>
      </c>
      <c r="AS76" s="16">
        <f t="shared" si="825"/>
        <v>239406.95198135599</v>
      </c>
      <c r="AT76" s="16">
        <f t="shared" si="825"/>
        <v>251377.2995804238</v>
      </c>
      <c r="AU76" s="16">
        <f t="shared" si="825"/>
        <v>251377.29958042377</v>
      </c>
      <c r="AV76" s="16">
        <f t="shared" si="825"/>
        <v>251377.29958042374</v>
      </c>
      <c r="AW76" s="16">
        <f t="shared" si="825"/>
        <v>251377.29958042374</v>
      </c>
      <c r="AY76" s="16">
        <f t="shared" ref="AY76:CT76" si="826">AY55/AY75*12</f>
        <v>133198.95199999999</v>
      </c>
      <c r="AZ76" s="16">
        <f t="shared" si="826"/>
        <v>131375.42250000002</v>
      </c>
      <c r="BA76" s="16">
        <f t="shared" si="826"/>
        <v>147295.728</v>
      </c>
      <c r="BB76" s="16">
        <f t="shared" si="826"/>
        <v>125929.07249999999</v>
      </c>
      <c r="BC76" s="16">
        <f t="shared" si="826"/>
        <v>124758.70588235295</v>
      </c>
      <c r="BD76" s="16">
        <f t="shared" si="826"/>
        <v>130788.79764705882</v>
      </c>
      <c r="BE76" s="16">
        <f t="shared" si="826"/>
        <v>131373.97333333333</v>
      </c>
      <c r="BF76" s="16">
        <f t="shared" si="826"/>
        <v>127998.35400000001</v>
      </c>
      <c r="BG76" s="16">
        <f t="shared" si="826"/>
        <v>158990.06400000001</v>
      </c>
      <c r="BH76" s="16">
        <f t="shared" si="826"/>
        <v>143998.81894736842</v>
      </c>
      <c r="BI76" s="16">
        <f t="shared" si="826"/>
        <v>143299.27333333335</v>
      </c>
      <c r="BJ76" s="16">
        <f t="shared" si="826"/>
        <v>151389.64909090908</v>
      </c>
      <c r="BK76" s="16">
        <f t="shared" si="826"/>
        <v>163247.64571428573</v>
      </c>
      <c r="BL76" s="16">
        <f t="shared" si="826"/>
        <v>183041.40000000002</v>
      </c>
      <c r="BM76" s="16">
        <f t="shared" si="826"/>
        <v>182863.18363636365</v>
      </c>
      <c r="BN76" s="16">
        <f t="shared" si="826"/>
        <v>208626.85799999998</v>
      </c>
      <c r="BO76" s="16">
        <f t="shared" si="826"/>
        <v>181624.6</v>
      </c>
      <c r="BP76" s="16">
        <f t="shared" si="826"/>
        <v>180120.6104347826</v>
      </c>
      <c r="BQ76" s="16">
        <f t="shared" si="826"/>
        <v>178274.46545454543</v>
      </c>
      <c r="BR76" s="16">
        <f t="shared" si="826"/>
        <v>185494.08</v>
      </c>
      <c r="BS76" s="16">
        <f t="shared" si="826"/>
        <v>181146.41454545455</v>
      </c>
      <c r="BT76" s="16">
        <f t="shared" si="826"/>
        <v>173602.78434782609</v>
      </c>
      <c r="BU76" s="16">
        <f t="shared" si="826"/>
        <v>173281.3338461539</v>
      </c>
      <c r="BV76" s="16">
        <f t="shared" si="826"/>
        <v>124475.66307692308</v>
      </c>
      <c r="BW76" s="16">
        <f t="shared" si="826"/>
        <v>156557.22666666665</v>
      </c>
      <c r="BX76" s="16">
        <f t="shared" si="826"/>
        <v>173060.78222222222</v>
      </c>
      <c r="BY76" s="16">
        <f t="shared" si="826"/>
        <v>170136.78666666662</v>
      </c>
      <c r="BZ76" s="16">
        <f t="shared" si="826"/>
        <v>151347.15428571426</v>
      </c>
      <c r="CA76" s="16">
        <f t="shared" si="826"/>
        <v>152838.89142857143</v>
      </c>
      <c r="CB76" s="16">
        <f t="shared" si="826"/>
        <v>147340.90714285715</v>
      </c>
      <c r="CC76" s="16">
        <f t="shared" si="826"/>
        <v>150945.31448275867</v>
      </c>
      <c r="CD76" s="16">
        <f t="shared" si="826"/>
        <v>155139.50571428574</v>
      </c>
      <c r="CE76" s="16">
        <f t="shared" si="826"/>
        <v>167210.8224</v>
      </c>
      <c r="CF76" s="16">
        <f t="shared" si="826"/>
        <v>142590.54461538466</v>
      </c>
      <c r="CG76" s="16">
        <f t="shared" si="826"/>
        <v>137245.90800000002</v>
      </c>
      <c r="CH76" s="16">
        <f t="shared" si="826"/>
        <v>165232.6722580645</v>
      </c>
      <c r="CI76" s="16">
        <f t="shared" si="826"/>
        <v>181922.24999999997</v>
      </c>
      <c r="CJ76" s="16">
        <f t="shared" si="826"/>
        <v>171025.45161290321</v>
      </c>
      <c r="CK76" s="16">
        <f t="shared" si="826"/>
        <v>229767.47225806455</v>
      </c>
      <c r="CL76" s="16">
        <f t="shared" si="826"/>
        <v>195411.12</v>
      </c>
      <c r="CM76" s="16">
        <f t="shared" si="826"/>
        <v>206021.31722155368</v>
      </c>
      <c r="CN76" s="16">
        <f t="shared" si="826"/>
        <v>206718.43625647784</v>
      </c>
      <c r="CO76" s="16">
        <f t="shared" si="826"/>
        <v>201499.25153298106</v>
      </c>
      <c r="CP76" s="16">
        <f t="shared" si="826"/>
        <v>197248.33062897838</v>
      </c>
      <c r="CQ76" s="16">
        <f t="shared" si="826"/>
        <v>198568.96971078656</v>
      </c>
      <c r="CR76" s="16">
        <f t="shared" si="826"/>
        <v>191683.69503292633</v>
      </c>
      <c r="CS76" s="16">
        <f t="shared" si="826"/>
        <v>191239.99259293187</v>
      </c>
      <c r="CT76" s="16">
        <f t="shared" si="826"/>
        <v>193787.38986332007</v>
      </c>
      <c r="CU76" s="90">
        <f t="shared" ref="CU76:FB76" si="827">INDEX($D76:$L76,1,MATCH(CU$2,$D$2:$L$2,))</f>
        <v>206808.72647131493</v>
      </c>
      <c r="CV76" s="90">
        <f t="shared" si="827"/>
        <v>206808.72647131493</v>
      </c>
      <c r="CW76" s="90">
        <f t="shared" si="827"/>
        <v>206808.72647131493</v>
      </c>
      <c r="CX76" s="90">
        <f t="shared" si="827"/>
        <v>206808.72647131493</v>
      </c>
      <c r="CY76" s="90">
        <f t="shared" si="827"/>
        <v>206808.72647131493</v>
      </c>
      <c r="CZ76" s="90">
        <f t="shared" si="827"/>
        <v>206808.72647131493</v>
      </c>
      <c r="DA76" s="90">
        <f t="shared" si="827"/>
        <v>206808.72647131493</v>
      </c>
      <c r="DB76" s="90">
        <f t="shared" si="827"/>
        <v>206808.72647131493</v>
      </c>
      <c r="DC76" s="90">
        <f t="shared" si="827"/>
        <v>206808.72647131493</v>
      </c>
      <c r="DD76" s="90">
        <f t="shared" si="827"/>
        <v>206808.72647131493</v>
      </c>
      <c r="DE76" s="90">
        <f t="shared" si="827"/>
        <v>206808.72647131493</v>
      </c>
      <c r="DF76" s="90">
        <f t="shared" si="827"/>
        <v>206808.72647131493</v>
      </c>
      <c r="DG76" s="90">
        <f t="shared" si="827"/>
        <v>217149.16279488069</v>
      </c>
      <c r="DH76" s="90">
        <f t="shared" si="827"/>
        <v>217149.16279488069</v>
      </c>
      <c r="DI76" s="90">
        <f t="shared" si="827"/>
        <v>217149.16279488069</v>
      </c>
      <c r="DJ76" s="90">
        <f t="shared" si="827"/>
        <v>217149.16279488069</v>
      </c>
      <c r="DK76" s="90">
        <f t="shared" si="827"/>
        <v>217149.16279488069</v>
      </c>
      <c r="DL76" s="90">
        <f t="shared" si="827"/>
        <v>217149.16279488069</v>
      </c>
      <c r="DM76" s="90">
        <f t="shared" si="827"/>
        <v>217149.16279488069</v>
      </c>
      <c r="DN76" s="90">
        <f t="shared" si="827"/>
        <v>217149.16279488069</v>
      </c>
      <c r="DO76" s="90">
        <f t="shared" si="827"/>
        <v>217149.16279488069</v>
      </c>
      <c r="DP76" s="90">
        <f t="shared" si="827"/>
        <v>217149.16279488069</v>
      </c>
      <c r="DQ76" s="90">
        <f t="shared" si="827"/>
        <v>217149.16279488069</v>
      </c>
      <c r="DR76" s="90">
        <f t="shared" si="827"/>
        <v>217149.16279488069</v>
      </c>
      <c r="DS76" s="90">
        <f t="shared" si="827"/>
        <v>228006.62093462472</v>
      </c>
      <c r="DT76" s="90">
        <f t="shared" si="827"/>
        <v>228006.62093462472</v>
      </c>
      <c r="DU76" s="90">
        <f t="shared" si="827"/>
        <v>228006.62093462472</v>
      </c>
      <c r="DV76" s="90">
        <f t="shared" si="827"/>
        <v>228006.62093462472</v>
      </c>
      <c r="DW76" s="90">
        <f t="shared" si="827"/>
        <v>228006.62093462472</v>
      </c>
      <c r="DX76" s="90">
        <f t="shared" si="827"/>
        <v>228006.62093462472</v>
      </c>
      <c r="DY76" s="90">
        <f t="shared" si="827"/>
        <v>228006.62093462472</v>
      </c>
      <c r="DZ76" s="90">
        <f t="shared" si="827"/>
        <v>228006.62093462472</v>
      </c>
      <c r="EA76" s="90">
        <f t="shared" si="827"/>
        <v>228006.62093462472</v>
      </c>
      <c r="EB76" s="90">
        <f t="shared" si="827"/>
        <v>228006.62093462472</v>
      </c>
      <c r="EC76" s="90">
        <f t="shared" si="827"/>
        <v>228006.62093462472</v>
      </c>
      <c r="ED76" s="90">
        <f t="shared" si="827"/>
        <v>228006.62093462472</v>
      </c>
      <c r="EE76" s="90">
        <f t="shared" si="827"/>
        <v>239406.95198135596</v>
      </c>
      <c r="EF76" s="90">
        <f t="shared" si="827"/>
        <v>239406.95198135596</v>
      </c>
      <c r="EG76" s="90">
        <f t="shared" si="827"/>
        <v>239406.95198135596</v>
      </c>
      <c r="EH76" s="90">
        <f t="shared" si="827"/>
        <v>239406.95198135596</v>
      </c>
      <c r="EI76" s="90">
        <f t="shared" si="827"/>
        <v>239406.95198135596</v>
      </c>
      <c r="EJ76" s="90">
        <f t="shared" si="827"/>
        <v>239406.95198135596</v>
      </c>
      <c r="EK76" s="90">
        <f t="shared" si="827"/>
        <v>239406.95198135596</v>
      </c>
      <c r="EL76" s="90">
        <f t="shared" si="827"/>
        <v>239406.95198135596</v>
      </c>
      <c r="EM76" s="90">
        <f t="shared" si="827"/>
        <v>239406.95198135596</v>
      </c>
      <c r="EN76" s="90">
        <f t="shared" si="827"/>
        <v>239406.95198135596</v>
      </c>
      <c r="EO76" s="90">
        <f t="shared" si="827"/>
        <v>239406.95198135596</v>
      </c>
      <c r="EP76" s="90">
        <f t="shared" si="827"/>
        <v>239406.95198135596</v>
      </c>
      <c r="EQ76" s="90">
        <f t="shared" si="827"/>
        <v>251377.29958042377</v>
      </c>
      <c r="ER76" s="90">
        <f t="shared" si="827"/>
        <v>251377.29958042377</v>
      </c>
      <c r="ES76" s="90">
        <f t="shared" si="827"/>
        <v>251377.29958042377</v>
      </c>
      <c r="ET76" s="90">
        <f t="shared" si="827"/>
        <v>251377.29958042377</v>
      </c>
      <c r="EU76" s="90">
        <f t="shared" si="827"/>
        <v>251377.29958042377</v>
      </c>
      <c r="EV76" s="90">
        <f t="shared" si="827"/>
        <v>251377.29958042377</v>
      </c>
      <c r="EW76" s="90">
        <f t="shared" si="827"/>
        <v>251377.29958042377</v>
      </c>
      <c r="EX76" s="90">
        <f t="shared" si="827"/>
        <v>251377.29958042377</v>
      </c>
      <c r="EY76" s="90">
        <f t="shared" si="827"/>
        <v>251377.29958042377</v>
      </c>
      <c r="EZ76" s="90">
        <f t="shared" si="827"/>
        <v>251377.29958042377</v>
      </c>
      <c r="FA76" s="90">
        <f t="shared" si="827"/>
        <v>251377.29958042377</v>
      </c>
      <c r="FB76" s="90">
        <f t="shared" si="827"/>
        <v>251377.29958042377</v>
      </c>
    </row>
    <row r="77" spans="2:158" x14ac:dyDescent="0.25">
      <c r="C77" s="28" t="s">
        <v>531</v>
      </c>
      <c r="D77" s="16">
        <f>D11/D75</f>
        <v>1065347.904225352</v>
      </c>
      <c r="E77" s="16">
        <f>E11/E75</f>
        <v>1246598.1074568541</v>
      </c>
      <c r="F77" s="16">
        <f>F11/F75</f>
        <v>1161986.9304467784</v>
      </c>
      <c r="G77" s="16">
        <f>G11/G75</f>
        <v>1585096.9170355287</v>
      </c>
      <c r="H77" s="249">
        <f>G77*1.05</f>
        <v>1664351.7628873051</v>
      </c>
      <c r="I77" s="249">
        <f>H77*1.1</f>
        <v>1830786.9391760358</v>
      </c>
      <c r="J77" s="249">
        <f>I77*1.15</f>
        <v>2105404.9800524409</v>
      </c>
      <c r="K77" s="249">
        <f>J77*1.15</f>
        <v>2421215.7270603068</v>
      </c>
      <c r="L77" s="249">
        <f>K77</f>
        <v>2421215.7270603068</v>
      </c>
      <c r="N77" s="16">
        <f t="shared" ref="N77:AW77" si="828">N11/N75</f>
        <v>222561.39782608696</v>
      </c>
      <c r="O77" s="16">
        <f t="shared" si="828"/>
        <v>250798.72799999997</v>
      </c>
      <c r="P77" s="16">
        <f t="shared" si="828"/>
        <v>222572.40310344828</v>
      </c>
      <c r="Q77" s="16">
        <f t="shared" si="828"/>
        <v>356657.89525423723</v>
      </c>
      <c r="R77" s="16">
        <f t="shared" si="828"/>
        <v>270872.58523809526</v>
      </c>
      <c r="S77" s="16">
        <f t="shared" si="828"/>
        <v>351775.68046875001</v>
      </c>
      <c r="T77" s="16">
        <f t="shared" si="828"/>
        <v>277529.4604615384</v>
      </c>
      <c r="U77" s="16">
        <f t="shared" si="828"/>
        <v>341231.89763660001</v>
      </c>
      <c r="V77" s="16">
        <f t="shared" si="828"/>
        <v>193541.22495048147</v>
      </c>
      <c r="W77" s="16">
        <f t="shared" si="828"/>
        <v>289675.20175950002</v>
      </c>
      <c r="X77" s="16">
        <f t="shared" si="828"/>
        <v>298264.94293748779</v>
      </c>
      <c r="Y77" s="16">
        <f t="shared" si="828"/>
        <v>374237.09428327583</v>
      </c>
      <c r="Z77" s="16">
        <f t="shared" si="828"/>
        <v>289424.81636722339</v>
      </c>
      <c r="AA77" s="16">
        <f t="shared" si="828"/>
        <v>376648.95329893805</v>
      </c>
      <c r="AB77" s="16">
        <f t="shared" si="828"/>
        <v>402295.34883720928</v>
      </c>
      <c r="AC77" s="16">
        <f t="shared" si="828"/>
        <v>473874.07094594592</v>
      </c>
      <c r="AD77" s="16">
        <f t="shared" si="828"/>
        <v>296703.1593957849</v>
      </c>
      <c r="AE77" s="16">
        <f t="shared" si="828"/>
        <v>392610.00028238248</v>
      </c>
      <c r="AF77" s="16">
        <f t="shared" si="828"/>
        <v>385663.62041434314</v>
      </c>
      <c r="AG77" s="16">
        <f t="shared" si="828"/>
        <v>587276.19635142945</v>
      </c>
      <c r="AH77" s="16">
        <f t="shared" si="828"/>
        <v>399854.45603132539</v>
      </c>
      <c r="AI77" s="16">
        <f t="shared" si="828"/>
        <v>472545.54710805893</v>
      </c>
      <c r="AJ77" s="16">
        <f t="shared" si="828"/>
        <v>408166.25336001749</v>
      </c>
      <c r="AK77" s="16">
        <f t="shared" si="828"/>
        <v>531206.10538883926</v>
      </c>
      <c r="AL77" s="16">
        <f t="shared" si="828"/>
        <v>395396.53378926311</v>
      </c>
      <c r="AM77" s="16">
        <f t="shared" si="828"/>
        <v>524805.40943320096</v>
      </c>
      <c r="AN77" s="16">
        <f t="shared" si="828"/>
        <v>485245.39308133343</v>
      </c>
      <c r="AO77" s="16">
        <f t="shared" si="828"/>
        <v>691682.13955130742</v>
      </c>
      <c r="AP77" s="16">
        <f t="shared" si="828"/>
        <v>495709.7356979897</v>
      </c>
      <c r="AQ77" s="16">
        <f t="shared" si="828"/>
        <v>615986.32284797402</v>
      </c>
      <c r="AR77" s="16">
        <f t="shared" si="828"/>
        <v>547123.79157231376</v>
      </c>
      <c r="AS77" s="16">
        <f t="shared" si="828"/>
        <v>737831.12620249193</v>
      </c>
      <c r="AT77" s="16">
        <f t="shared" si="828"/>
        <v>504915.22025407123</v>
      </c>
      <c r="AU77" s="16">
        <f t="shared" si="828"/>
        <v>618568.27808985498</v>
      </c>
      <c r="AV77" s="16">
        <f t="shared" si="828"/>
        <v>544969.96668883821</v>
      </c>
      <c r="AW77" s="16">
        <f t="shared" si="828"/>
        <v>727184.22363473033</v>
      </c>
      <c r="AY77" s="16">
        <f t="shared" ref="AY77:CD77" si="829">AY11/AY75</f>
        <v>16509.266666666666</v>
      </c>
      <c r="AZ77" s="16">
        <f t="shared" si="829"/>
        <v>67627.051875000005</v>
      </c>
      <c r="BA77" s="16">
        <f t="shared" si="829"/>
        <v>138862.41800000001</v>
      </c>
      <c r="BB77" s="16">
        <f t="shared" si="829"/>
        <v>41037.589374999996</v>
      </c>
      <c r="BC77" s="16">
        <f t="shared" si="829"/>
        <v>89509.626470588235</v>
      </c>
      <c r="BD77" s="16">
        <f t="shared" si="829"/>
        <v>117747.86588235294</v>
      </c>
      <c r="BE77" s="16">
        <f t="shared" si="829"/>
        <v>43229.25944444444</v>
      </c>
      <c r="BF77" s="16">
        <f t="shared" si="829"/>
        <v>55725.123</v>
      </c>
      <c r="BG77" s="16">
        <f t="shared" si="829"/>
        <v>120521.8665</v>
      </c>
      <c r="BH77" s="16">
        <f t="shared" si="829"/>
        <v>63000.640526315787</v>
      </c>
      <c r="BI77" s="16">
        <f t="shared" si="829"/>
        <v>171673.87055555556</v>
      </c>
      <c r="BJ77" s="16">
        <f t="shared" si="829"/>
        <v>123960.45909090909</v>
      </c>
      <c r="BK77" s="16">
        <f t="shared" si="829"/>
        <v>37476.82523809524</v>
      </c>
      <c r="BL77" s="16">
        <f t="shared" si="829"/>
        <v>70384.566500000001</v>
      </c>
      <c r="BM77" s="16">
        <f t="shared" si="829"/>
        <v>158800.8922727273</v>
      </c>
      <c r="BN77" s="16">
        <f t="shared" si="829"/>
        <v>66306.287999999986</v>
      </c>
      <c r="BO77" s="16">
        <f t="shared" si="829"/>
        <v>148360.44666666666</v>
      </c>
      <c r="BP77" s="16">
        <f t="shared" si="829"/>
        <v>133167.50913043477</v>
      </c>
      <c r="BQ77" s="16">
        <f t="shared" si="829"/>
        <v>55545.7</v>
      </c>
      <c r="BR77" s="16">
        <f t="shared" si="829"/>
        <v>62285.17476190476</v>
      </c>
      <c r="BS77" s="16">
        <f t="shared" si="829"/>
        <v>158324.73818181816</v>
      </c>
      <c r="BT77" s="16">
        <f t="shared" si="829"/>
        <v>34669.806086956523</v>
      </c>
      <c r="BU77" s="16">
        <f t="shared" si="829"/>
        <v>128689.86423076922</v>
      </c>
      <c r="BV77" s="16">
        <f t="shared" si="829"/>
        <v>168748.28580442307</v>
      </c>
      <c r="BW77" s="16">
        <f t="shared" si="829"/>
        <v>40861.833333333336</v>
      </c>
      <c r="BX77" s="16">
        <f t="shared" si="829"/>
        <v>61898.310192629629</v>
      </c>
      <c r="BY77" s="16">
        <f t="shared" si="829"/>
        <v>90781.081424518517</v>
      </c>
      <c r="BZ77" s="16">
        <f t="shared" si="829"/>
        <v>60080.365341428573</v>
      </c>
      <c r="CA77" s="16">
        <f t="shared" si="829"/>
        <v>68803.412125821429</v>
      </c>
      <c r="CB77" s="16">
        <f t="shared" si="829"/>
        <v>160791.42429225001</v>
      </c>
      <c r="CC77" s="16">
        <f t="shared" si="829"/>
        <v>36209.918868241381</v>
      </c>
      <c r="CD77" s="16">
        <f t="shared" si="829"/>
        <v>119816.37799967857</v>
      </c>
      <c r="CE77" s="16">
        <f t="shared" ref="CE77:DJ77" si="830">CE11/CE75</f>
        <v>149905.15503152</v>
      </c>
      <c r="CF77" s="16">
        <f t="shared" si="830"/>
        <v>60910.383698269223</v>
      </c>
      <c r="CG77" s="16">
        <f t="shared" si="830"/>
        <v>130574.29438953334</v>
      </c>
      <c r="CH77" s="16">
        <f t="shared" si="830"/>
        <v>172644.41697980644</v>
      </c>
      <c r="CI77" s="16">
        <f t="shared" si="830"/>
        <v>45851.404370218748</v>
      </c>
      <c r="CJ77" s="16">
        <f t="shared" si="830"/>
        <v>72533.334431870957</v>
      </c>
      <c r="CK77" s="16">
        <f t="shared" si="830"/>
        <v>172673.09480445163</v>
      </c>
      <c r="CL77" s="16">
        <f t="shared" si="830"/>
        <v>76653.764865470584</v>
      </c>
      <c r="CM77" s="16">
        <f t="shared" si="830"/>
        <v>105644.5700979</v>
      </c>
      <c r="CN77" s="16">
        <f t="shared" si="830"/>
        <v>188592.30166456409</v>
      </c>
      <c r="CO77" s="16">
        <f t="shared" si="830"/>
        <v>63287.92682926829</v>
      </c>
      <c r="CP77" s="16">
        <f t="shared" si="830"/>
        <v>140803.37209302327</v>
      </c>
      <c r="CQ77" s="16">
        <f t="shared" si="830"/>
        <v>192207.77777777778</v>
      </c>
      <c r="CR77" s="16">
        <f t="shared" si="830"/>
        <v>48703.723958333336</v>
      </c>
      <c r="CS77" s="16">
        <f t="shared" si="830"/>
        <v>194814.89583333334</v>
      </c>
      <c r="CT77" s="16">
        <f t="shared" si="830"/>
        <v>224786.41826923078</v>
      </c>
      <c r="CU77" s="16">
        <f t="shared" si="830"/>
        <v>39293.114074959361</v>
      </c>
      <c r="CV77" s="16">
        <f t="shared" si="830"/>
        <v>86199.883645661321</v>
      </c>
      <c r="CW77" s="16">
        <f t="shared" si="830"/>
        <v>170969.20971167675</v>
      </c>
      <c r="CX77" s="16">
        <f t="shared" si="830"/>
        <v>68235.622410647877</v>
      </c>
      <c r="CY77" s="16">
        <f t="shared" si="830"/>
        <v>133591.45445071277</v>
      </c>
      <c r="CZ77" s="16">
        <f t="shared" si="830"/>
        <v>190560.30555097337</v>
      </c>
      <c r="DA77" s="16">
        <f t="shared" si="830"/>
        <v>65283.950576112649</v>
      </c>
      <c r="DB77" s="16">
        <f t="shared" si="830"/>
        <v>116196.66819688518</v>
      </c>
      <c r="DC77" s="16">
        <f t="shared" si="830"/>
        <v>203931.59280210308</v>
      </c>
      <c r="DD77" s="16">
        <f t="shared" si="830"/>
        <v>87410.362552420847</v>
      </c>
      <c r="DE77" s="16">
        <f t="shared" si="830"/>
        <v>232740.42802638747</v>
      </c>
      <c r="DF77" s="16">
        <f t="shared" si="830"/>
        <v>266801.87630598515</v>
      </c>
      <c r="DG77" s="16">
        <f t="shared" si="830"/>
        <v>58108.335737082387</v>
      </c>
      <c r="DH77" s="16">
        <f t="shared" si="830"/>
        <v>116674.80332591431</v>
      </c>
      <c r="DI77" s="16">
        <f t="shared" si="830"/>
        <v>217212.75357048959</v>
      </c>
      <c r="DJ77" s="16">
        <f t="shared" si="830"/>
        <v>89491.599611064652</v>
      </c>
      <c r="DK77" s="16">
        <f t="shared" ref="DK77:EP77" si="831">DK11/DK75</f>
        <v>160631.88926347892</v>
      </c>
      <c r="DL77" s="16">
        <f t="shared" si="831"/>
        <v>216939.48386277488</v>
      </c>
      <c r="DM77" s="16">
        <f t="shared" si="831"/>
        <v>71812.345633723933</v>
      </c>
      <c r="DN77" s="16">
        <f t="shared" si="831"/>
        <v>122976.49091165316</v>
      </c>
      <c r="DO77" s="16">
        <f t="shared" si="831"/>
        <v>207983.63832989783</v>
      </c>
      <c r="DP77" s="16">
        <f t="shared" si="831"/>
        <v>76581.296204674145</v>
      </c>
      <c r="DQ77" s="16">
        <f t="shared" si="831"/>
        <v>212241.50331728533</v>
      </c>
      <c r="DR77" s="16">
        <f t="shared" si="831"/>
        <v>236714.08441506224</v>
      </c>
      <c r="DS77" s="16">
        <f t="shared" si="831"/>
        <v>55031.746442668205</v>
      </c>
      <c r="DT77" s="16">
        <f t="shared" si="831"/>
        <v>115374.01201800381</v>
      </c>
      <c r="DU77" s="16">
        <f t="shared" si="831"/>
        <v>223735.82171708706</v>
      </c>
      <c r="DV77" s="16">
        <f t="shared" si="831"/>
        <v>95810.310415348795</v>
      </c>
      <c r="DW77" s="16">
        <f t="shared" si="831"/>
        <v>178396.52691441256</v>
      </c>
      <c r="DX77" s="16">
        <f t="shared" si="831"/>
        <v>249480.40644219107</v>
      </c>
      <c r="DY77" s="16">
        <f t="shared" si="831"/>
        <v>82584.197478782517</v>
      </c>
      <c r="DZ77" s="16">
        <f t="shared" si="831"/>
        <v>146199.68010817812</v>
      </c>
      <c r="EA77" s="16">
        <f t="shared" si="831"/>
        <v>255223.34227228459</v>
      </c>
      <c r="EB77" s="16">
        <f t="shared" si="831"/>
        <v>96866.126071869046</v>
      </c>
      <c r="EC77" s="16">
        <f t="shared" si="831"/>
        <v>276359.12996260938</v>
      </c>
      <c r="ED77" s="16">
        <f t="shared" si="831"/>
        <v>316911.94910029275</v>
      </c>
      <c r="EE77" s="16">
        <f t="shared" si="831"/>
        <v>70645.778806757575</v>
      </c>
      <c r="EF77" s="16">
        <f t="shared" si="831"/>
        <v>144644.72021482955</v>
      </c>
      <c r="EG77" s="16">
        <f t="shared" si="831"/>
        <v>274180.16033189121</v>
      </c>
      <c r="EH77" s="16">
        <f t="shared" si="831"/>
        <v>114862.78003355244</v>
      </c>
      <c r="EI77" s="16">
        <f t="shared" si="831"/>
        <v>209391.55475081998</v>
      </c>
      <c r="EJ77" s="16">
        <f t="shared" si="831"/>
        <v>286902.4674085197</v>
      </c>
      <c r="EK77" s="16">
        <f t="shared" si="831"/>
        <v>94971.827100599854</v>
      </c>
      <c r="EL77" s="16">
        <f t="shared" si="831"/>
        <v>164843.03498382427</v>
      </c>
      <c r="EM77" s="16">
        <f t="shared" si="831"/>
        <v>282329.00815155747</v>
      </c>
      <c r="EN77" s="16">
        <f t="shared" si="831"/>
        <v>105193.08435828234</v>
      </c>
      <c r="EO77" s="16">
        <f t="shared" si="831"/>
        <v>294797.79285457119</v>
      </c>
      <c r="EP77" s="16">
        <f t="shared" si="831"/>
        <v>332250.79465675668</v>
      </c>
      <c r="EQ77" s="16">
        <f t="shared" ref="EQ77:FB77" si="832">EQ11/EQ75</f>
        <v>72346.675008794235</v>
      </c>
      <c r="ER77" s="16">
        <f t="shared" si="832"/>
        <v>147330.8178283482</v>
      </c>
      <c r="ES77" s="16">
        <f t="shared" si="832"/>
        <v>277866.65089156287</v>
      </c>
      <c r="ET77" s="16">
        <f t="shared" si="832"/>
        <v>115857.91672806858</v>
      </c>
      <c r="EU77" s="16">
        <f t="shared" si="832"/>
        <v>210269.23596279058</v>
      </c>
      <c r="EV77" s="16">
        <f t="shared" si="832"/>
        <v>286902.46740851965</v>
      </c>
      <c r="EW77" s="16">
        <f t="shared" si="832"/>
        <v>94971.827100599883</v>
      </c>
      <c r="EX77" s="16">
        <f t="shared" si="832"/>
        <v>164194.10866023033</v>
      </c>
      <c r="EY77" s="16">
        <f t="shared" si="832"/>
        <v>280171.76323329948</v>
      </c>
      <c r="EZ77" s="16">
        <f t="shared" si="832"/>
        <v>104021.9949802083</v>
      </c>
      <c r="FA77" s="16">
        <f t="shared" si="832"/>
        <v>290543.8609367513</v>
      </c>
      <c r="FB77" s="16">
        <f t="shared" si="832"/>
        <v>326420.31196985283</v>
      </c>
    </row>
    <row r="78" spans="2:158" x14ac:dyDescent="0.25">
      <c r="D78" s="16"/>
      <c r="E78" s="16"/>
      <c r="F78" s="16"/>
      <c r="G78" s="16"/>
      <c r="H78" s="16"/>
      <c r="I78" s="55"/>
      <c r="J78" s="55"/>
      <c r="K78" s="55"/>
      <c r="L78" s="55"/>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Y78" s="16"/>
      <c r="AZ78" s="16"/>
      <c r="BA78" s="16"/>
      <c r="BB78" s="16"/>
      <c r="BC78" s="16"/>
      <c r="BD78" s="16"/>
      <c r="BE78" s="16"/>
      <c r="BF78" s="16"/>
      <c r="BG78" s="16"/>
      <c r="BH78" s="16"/>
      <c r="BI78" s="16"/>
      <c r="BJ78" s="16"/>
      <c r="BK78" s="16"/>
      <c r="BL78" s="16"/>
      <c r="BM78" s="16"/>
      <c r="BN78" s="16"/>
      <c r="BO78" s="16"/>
      <c r="BP78" s="16"/>
      <c r="BQ78" s="16"/>
      <c r="BR78" s="16"/>
      <c r="BS78" s="16"/>
      <c r="BT78" s="16"/>
      <c r="BU78" s="16"/>
      <c r="BV78" s="16"/>
      <c r="BW78" s="16"/>
      <c r="BX78" s="16"/>
      <c r="BY78" s="16"/>
      <c r="BZ78" s="16"/>
      <c r="CA78" s="16"/>
      <c r="CB78" s="16"/>
      <c r="CC78" s="16"/>
      <c r="CD78" s="16"/>
      <c r="CE78" s="16"/>
      <c r="CF78" s="16"/>
      <c r="CG78" s="16"/>
      <c r="CH78" s="16"/>
      <c r="CI78" s="16"/>
      <c r="CJ78" s="16"/>
      <c r="CK78" s="16"/>
      <c r="CL78" s="16"/>
      <c r="CM78" s="16"/>
      <c r="CN78" s="16"/>
      <c r="CO78" s="16"/>
      <c r="CP78" s="16"/>
      <c r="CQ78" s="16"/>
      <c r="CR78" s="16"/>
      <c r="CS78" s="16"/>
      <c r="CT78" s="16"/>
      <c r="CU78" s="16"/>
      <c r="CV78" s="16"/>
      <c r="CW78" s="16"/>
      <c r="CX78" s="16"/>
      <c r="CY78" s="16"/>
      <c r="CZ78" s="16"/>
      <c r="DA78" s="16"/>
      <c r="DB78" s="16"/>
      <c r="DC78" s="16"/>
      <c r="DD78" s="16"/>
      <c r="DE78" s="16"/>
      <c r="DF78" s="16"/>
      <c r="DG78" s="16"/>
      <c r="DH78" s="16"/>
      <c r="DI78" s="16"/>
      <c r="DJ78" s="16"/>
      <c r="DK78" s="16"/>
      <c r="DL78" s="16"/>
      <c r="DM78" s="16"/>
      <c r="DN78" s="16"/>
      <c r="DO78" s="16"/>
      <c r="DP78" s="16"/>
      <c r="DQ78" s="16"/>
      <c r="DR78" s="16"/>
      <c r="DS78" s="16"/>
      <c r="DT78" s="16"/>
      <c r="DU78" s="16"/>
      <c r="DV78" s="16"/>
      <c r="DW78" s="16"/>
      <c r="DX78" s="16"/>
      <c r="DY78" s="16"/>
      <c r="DZ78" s="16"/>
      <c r="EA78" s="16"/>
      <c r="EB78" s="16"/>
      <c r="EC78" s="16"/>
      <c r="ED78" s="16"/>
      <c r="EE78" s="16"/>
      <c r="EF78" s="16"/>
      <c r="EG78" s="16"/>
      <c r="EH78" s="16"/>
      <c r="EI78" s="16"/>
      <c r="EJ78" s="16"/>
      <c r="EK78" s="16"/>
      <c r="EL78" s="16"/>
      <c r="EM78" s="16"/>
      <c r="EN78" s="16"/>
      <c r="EO78" s="16"/>
      <c r="EP78" s="16"/>
      <c r="EQ78" s="16"/>
      <c r="ER78" s="16"/>
      <c r="ES78" s="16"/>
      <c r="ET78" s="16"/>
      <c r="EU78" s="16"/>
      <c r="EV78" s="16"/>
      <c r="EW78" s="16"/>
      <c r="EX78" s="16"/>
      <c r="EY78" s="16"/>
      <c r="EZ78" s="16"/>
      <c r="FA78" s="16"/>
      <c r="FB78" s="16"/>
    </row>
    <row r="79" spans="2:158" x14ac:dyDescent="0.25">
      <c r="C79" t="s">
        <v>567</v>
      </c>
      <c r="D79" s="16">
        <f>BJ79</f>
        <v>28</v>
      </c>
      <c r="E79" s="16">
        <f>BV79</f>
        <v>52</v>
      </c>
      <c r="F79" s="16">
        <f>CH79</f>
        <v>59</v>
      </c>
      <c r="G79" s="16">
        <f>CT79</f>
        <v>102</v>
      </c>
      <c r="H79" s="251">
        <f>DF79</f>
        <v>145.3324472629449</v>
      </c>
      <c r="I79" s="251">
        <f>DR79</f>
        <v>210.65247192073409</v>
      </c>
      <c r="J79" s="251">
        <f>ED79</f>
        <v>300.17130157671318</v>
      </c>
      <c r="K79" s="251">
        <f>EP79</f>
        <v>421.09426593461086</v>
      </c>
      <c r="L79" s="251">
        <f>FB79</f>
        <v>567.98868007411659</v>
      </c>
      <c r="N79" s="16">
        <f>BA79</f>
        <v>19</v>
      </c>
      <c r="O79" s="16">
        <f t="shared" ref="O79" si="833">BD79</f>
        <v>23</v>
      </c>
      <c r="P79" s="16">
        <f t="shared" ref="P79" si="834">BG79</f>
        <v>26</v>
      </c>
      <c r="Q79" s="16">
        <f t="shared" ref="Q79" si="835">BJ79</f>
        <v>28</v>
      </c>
      <c r="R79" s="16">
        <f t="shared" ref="R79" si="836">BM79</f>
        <v>39</v>
      </c>
      <c r="S79" s="16">
        <f t="shared" ref="S79" si="837">BP79</f>
        <v>42</v>
      </c>
      <c r="T79" s="16">
        <f t="shared" ref="T79" si="838">BS79</f>
        <v>46</v>
      </c>
      <c r="U79" s="16">
        <f t="shared" ref="U79" si="839">BV79</f>
        <v>52</v>
      </c>
      <c r="V79" s="16">
        <f t="shared" ref="V79" si="840">BY79</f>
        <v>53</v>
      </c>
      <c r="W79" s="16">
        <f t="shared" ref="W79" si="841">CB79</f>
        <v>52</v>
      </c>
      <c r="X79" s="16">
        <f t="shared" ref="X79" si="842">CE79</f>
        <v>55</v>
      </c>
      <c r="Y79" s="16">
        <f t="shared" ref="Y79" si="843">CH79</f>
        <v>59</v>
      </c>
      <c r="Z79" s="16">
        <f t="shared" ref="Z79" si="844">CK79</f>
        <v>74</v>
      </c>
      <c r="AA79" s="16">
        <f t="shared" ref="AA79" si="845">CN79</f>
        <v>87</v>
      </c>
      <c r="AB79" s="16">
        <f t="shared" ref="AB79" si="846">CQ79</f>
        <v>94</v>
      </c>
      <c r="AC79" s="16">
        <f t="shared" ref="AC79" si="847">CT79</f>
        <v>102</v>
      </c>
      <c r="AD79" s="16">
        <f t="shared" ref="AD79" si="848">CW79</f>
        <v>107.34175590199514</v>
      </c>
      <c r="AE79" s="16">
        <f t="shared" ref="AE79" si="849">CZ79</f>
        <v>118.37577795781111</v>
      </c>
      <c r="AF79" s="16">
        <f t="shared" ref="AF79" si="850">DC79</f>
        <v>129.11025903588859</v>
      </c>
      <c r="AG79" s="16">
        <f t="shared" ref="AG79" si="851">DF79</f>
        <v>145.3324472629449</v>
      </c>
      <c r="AH79" s="16">
        <f t="shared" ref="AH79" si="852">DI79</f>
        <v>157.60044102382477</v>
      </c>
      <c r="AI79" s="16">
        <f t="shared" ref="AI79" si="853">DL79</f>
        <v>173.97275129781607</v>
      </c>
      <c r="AJ79" s="16">
        <f t="shared" ref="AJ79" si="854">DO79</f>
        <v>189.1786580000973</v>
      </c>
      <c r="AK79" s="16">
        <f t="shared" ref="AK79" si="855">DR79</f>
        <v>210.65247192073409</v>
      </c>
      <c r="AL79" s="16">
        <f t="shared" ref="AL79" si="856">DU79</f>
        <v>227.28197773702104</v>
      </c>
      <c r="AM79" s="16">
        <f t="shared" ref="AM79" si="857">DX79</f>
        <v>249.76504261269139</v>
      </c>
      <c r="AN79" s="16">
        <f t="shared" ref="AN79" si="858">EA79</f>
        <v>270.64078220771648</v>
      </c>
      <c r="AO79" s="16">
        <f t="shared" ref="AO79" si="859">ED79</f>
        <v>300.17130157671318</v>
      </c>
      <c r="AP79" s="16">
        <f t="shared" ref="AP79" si="860">EG79</f>
        <v>322.69634580350095</v>
      </c>
      <c r="AQ79" s="16">
        <f t="shared" ref="AQ79" si="861">EJ79</f>
        <v>353.03092585371002</v>
      </c>
      <c r="AR79" s="16">
        <f t="shared" ref="AR79" si="862">EM79</f>
        <v>381.18862272061108</v>
      </c>
      <c r="AS79" s="16">
        <f t="shared" ref="AS79" si="863">EP79</f>
        <v>421.09426593461086</v>
      </c>
      <c r="AT79" s="16">
        <f t="shared" ref="AT79" si="864">ES79</f>
        <v>448.29210340187984</v>
      </c>
      <c r="AU79" s="16">
        <f t="shared" ref="AU79" si="865">EV79</f>
        <v>485.33264575930292</v>
      </c>
      <c r="AV79" s="16">
        <f t="shared" ref="AV79" si="866">EY79</f>
        <v>519.16447702659366</v>
      </c>
      <c r="AW79" s="16">
        <f t="shared" ref="AW79" si="867">FB79</f>
        <v>567.98868007411659</v>
      </c>
      <c r="AY79" s="16">
        <f>AY80</f>
        <v>15</v>
      </c>
      <c r="AZ79" s="16">
        <f t="shared" ref="AZ79" si="868">AZ80</f>
        <v>17</v>
      </c>
      <c r="BA79" s="16">
        <f t="shared" ref="BA79" si="869">BA80</f>
        <v>19</v>
      </c>
      <c r="BB79" s="16">
        <f t="shared" ref="BB79" si="870">BB80</f>
        <v>21</v>
      </c>
      <c r="BC79" s="16">
        <f t="shared" ref="BC79" si="871">BC80</f>
        <v>23</v>
      </c>
      <c r="BD79" s="16">
        <f t="shared" ref="BD79" si="872">BD80</f>
        <v>23</v>
      </c>
      <c r="BE79" s="16">
        <f t="shared" ref="BE79" si="873">BE80</f>
        <v>26</v>
      </c>
      <c r="BF79" s="16">
        <f t="shared" ref="BF79" si="874">BF80</f>
        <v>26</v>
      </c>
      <c r="BG79" s="16">
        <f t="shared" ref="BG79" si="875">BG80</f>
        <v>26</v>
      </c>
      <c r="BH79" s="16">
        <f t="shared" ref="BH79" si="876">BH80</f>
        <v>27</v>
      </c>
      <c r="BI79" s="16">
        <f t="shared" ref="BI79" si="877">BI80</f>
        <v>29</v>
      </c>
      <c r="BJ79" s="16">
        <f t="shared" ref="BJ79" si="878">BJ80</f>
        <v>28</v>
      </c>
      <c r="BK79" s="16">
        <f t="shared" ref="BK79" si="879">BK80</f>
        <v>31</v>
      </c>
      <c r="BL79" s="16">
        <f t="shared" ref="BL79" si="880">BL80</f>
        <v>34</v>
      </c>
      <c r="BM79" s="16">
        <f t="shared" ref="BM79" si="881">BM80</f>
        <v>39</v>
      </c>
      <c r="BN79" s="16">
        <f t="shared" ref="BN79" si="882">BN80</f>
        <v>41</v>
      </c>
      <c r="BO79" s="16">
        <f t="shared" ref="BO79" si="883">BO80</f>
        <v>40</v>
      </c>
      <c r="BP79" s="16">
        <f t="shared" ref="BP79" si="884">BP80</f>
        <v>42</v>
      </c>
      <c r="BQ79" s="16">
        <f t="shared" ref="BQ79" si="885">BQ80</f>
        <v>44</v>
      </c>
      <c r="BR79" s="16">
        <f t="shared" ref="BR79" si="886">BR80</f>
        <v>44</v>
      </c>
      <c r="BS79" s="16">
        <f t="shared" ref="BS79" si="887">BS80</f>
        <v>46</v>
      </c>
      <c r="BT79" s="16">
        <f t="shared" ref="BT79" si="888">BT80</f>
        <v>46</v>
      </c>
      <c r="BU79" s="16">
        <f t="shared" ref="BU79" si="889">BU80</f>
        <v>50</v>
      </c>
      <c r="BV79" s="16">
        <f t="shared" ref="BV79" si="890">BV80</f>
        <v>52</v>
      </c>
      <c r="BW79" s="16">
        <f t="shared" ref="BW79" si="891">BW80</f>
        <v>52</v>
      </c>
      <c r="BX79" s="16">
        <f t="shared" ref="BX79" si="892">BX80</f>
        <v>52</v>
      </c>
      <c r="BY79" s="16">
        <f t="shared" ref="BY79" si="893">BY80</f>
        <v>53</v>
      </c>
      <c r="BZ79" s="16">
        <f t="shared" ref="BZ79" si="894">BZ80</f>
        <v>54</v>
      </c>
      <c r="CA79" s="16">
        <f t="shared" ref="CA79" si="895">CA80</f>
        <v>53</v>
      </c>
      <c r="CB79" s="16">
        <f t="shared" ref="CB79" si="896">CB80</f>
        <v>52</v>
      </c>
      <c r="CC79" s="16">
        <f t="shared" ref="CC79" si="897">CC80</f>
        <v>55</v>
      </c>
      <c r="CD79" s="16">
        <f t="shared" ref="CD79" si="898">CD80</f>
        <v>57</v>
      </c>
      <c r="CE79" s="16">
        <f t="shared" ref="CE79" si="899">CE80</f>
        <v>55</v>
      </c>
      <c r="CF79" s="16">
        <f t="shared" ref="CF79" si="900">CF80</f>
        <v>59</v>
      </c>
      <c r="CG79" s="16">
        <f t="shared" ref="CG79" si="901">CG80</f>
        <v>60</v>
      </c>
      <c r="CH79" s="16">
        <f t="shared" ref="CH79" si="902">CH80</f>
        <v>59</v>
      </c>
      <c r="CI79" s="16">
        <f t="shared" ref="CI79" si="903">CI80</f>
        <v>65</v>
      </c>
      <c r="CJ79" s="16">
        <f t="shared" ref="CJ79" si="904">CJ80</f>
        <v>70</v>
      </c>
      <c r="CK79" s="16">
        <f t="shared" ref="CK79" si="905">CK80</f>
        <v>74</v>
      </c>
      <c r="CL79" s="16">
        <f t="shared" ref="CL79" si="906">CL80</f>
        <v>80</v>
      </c>
      <c r="CM79" s="16">
        <f t="shared" ref="CM79" si="907">CM80</f>
        <v>85</v>
      </c>
      <c r="CN79" s="16">
        <f t="shared" ref="CN79" si="908">CN80</f>
        <v>87</v>
      </c>
      <c r="CO79" s="16">
        <f t="shared" ref="CO79" si="909">CO80</f>
        <v>93</v>
      </c>
      <c r="CP79" s="16">
        <f t="shared" ref="CP79" si="910">CP80</f>
        <v>94</v>
      </c>
      <c r="CQ79" s="16">
        <f t="shared" ref="CQ79" si="911">CQ80</f>
        <v>94</v>
      </c>
      <c r="CR79" s="16">
        <f t="shared" ref="CR79" si="912">CR80</f>
        <v>97</v>
      </c>
      <c r="CS79" s="16">
        <f t="shared" ref="CS79" si="913">CS80</f>
        <v>101</v>
      </c>
      <c r="CT79" s="16">
        <f t="shared" ref="CT79" si="914">CT80</f>
        <v>102</v>
      </c>
      <c r="CU79" s="16">
        <f t="shared" ref="CU79" si="915">CU80</f>
        <v>102.09768245754529</v>
      </c>
      <c r="CV79" s="16">
        <f t="shared" ref="CV79" si="916">CV80</f>
        <v>103.60143663581563</v>
      </c>
      <c r="CW79" s="16">
        <f t="shared" ref="CW79" si="917">CW80</f>
        <v>107.34175590199514</v>
      </c>
      <c r="CX79" s="16">
        <f t="shared" ref="CX79" si="918">CX80</f>
        <v>110.66214071376258</v>
      </c>
      <c r="CY79" s="16">
        <f t="shared" ref="CY79" si="919">CY80</f>
        <v>113.45244380042054</v>
      </c>
      <c r="CZ79" s="16">
        <f t="shared" ref="CZ79" si="920">CZ80</f>
        <v>118.37577795781111</v>
      </c>
      <c r="DA79" s="16">
        <f t="shared" ref="DA79" si="921">DA80</f>
        <v>121.9315107518055</v>
      </c>
      <c r="DB79" s="16">
        <f t="shared" ref="DB79" si="922">DB80</f>
        <v>124.27443168664306</v>
      </c>
      <c r="DC79" s="16">
        <f t="shared" ref="DC79" si="923">DC80</f>
        <v>129.11025903588859</v>
      </c>
      <c r="DD79" s="16">
        <f t="shared" ref="DD79" si="924">DD80</f>
        <v>133.32326012804512</v>
      </c>
      <c r="DE79" s="16">
        <f t="shared" ref="DE79" si="925">DE80</f>
        <v>137.82094934687564</v>
      </c>
      <c r="DF79" s="16">
        <f t="shared" ref="DF79" si="926">DF80</f>
        <v>145.3324472629449</v>
      </c>
      <c r="DG79" s="16">
        <f t="shared" ref="DG79" si="927">DG80</f>
        <v>149.96070818303468</v>
      </c>
      <c r="DH79" s="16">
        <f t="shared" ref="DH79" si="928">DH80</f>
        <v>152.22505369834175</v>
      </c>
      <c r="DI79" s="16">
        <f t="shared" ref="DI79" si="929">DI80</f>
        <v>157.60044102382477</v>
      </c>
      <c r="DJ79" s="16">
        <f t="shared" ref="DJ79" si="930">DJ80</f>
        <v>162.48409977970869</v>
      </c>
      <c r="DK79" s="16">
        <f t="shared" ref="DK79" si="931">DK80</f>
        <v>166.73937082604812</v>
      </c>
      <c r="DL79" s="16">
        <f t="shared" ref="DL79" si="932">DL80</f>
        <v>173.97275129781607</v>
      </c>
      <c r="DM79" s="16">
        <f t="shared" ref="DM79" si="933">DM80</f>
        <v>179.11355644071622</v>
      </c>
      <c r="DN79" s="16">
        <f t="shared" ref="DN79" si="934">DN80</f>
        <v>182.39860428548187</v>
      </c>
      <c r="DO79" s="16">
        <f t="shared" ref="DO79" si="935">DO80</f>
        <v>189.1786580000973</v>
      </c>
      <c r="DP79" s="16">
        <f t="shared" ref="DP79" si="936">DP80</f>
        <v>194.83601645243698</v>
      </c>
      <c r="DQ79" s="16">
        <f t="shared" ref="DQ79" si="937">DQ80</f>
        <v>200.63323222016172</v>
      </c>
      <c r="DR79" s="16">
        <f t="shared" ref="DR79" si="938">DR80</f>
        <v>210.65247192073409</v>
      </c>
      <c r="DS79" s="16">
        <f t="shared" ref="DS79" si="939">DS80</f>
        <v>216.8169311978202</v>
      </c>
      <c r="DT79" s="16">
        <f t="shared" ref="DT79" si="940">DT80</f>
        <v>219.90175565682117</v>
      </c>
      <c r="DU79" s="16">
        <f t="shared" ref="DU79" si="941">DU80</f>
        <v>227.28197773702104</v>
      </c>
      <c r="DV79" s="16">
        <f t="shared" ref="DV79" si="942">DV80</f>
        <v>233.98324710834925</v>
      </c>
      <c r="DW79" s="16">
        <f t="shared" ref="DW79" si="943">DW80</f>
        <v>239.81799779512946</v>
      </c>
      <c r="DX79" s="16">
        <f t="shared" ref="DX79" si="944">DX80</f>
        <v>249.76504261269139</v>
      </c>
      <c r="DY79" s="16">
        <f t="shared" ref="DY79" si="945">DY80</f>
        <v>256.82243317003099</v>
      </c>
      <c r="DZ79" s="16">
        <f t="shared" ref="DZ79" si="946">DZ80</f>
        <v>261.31838535934844</v>
      </c>
      <c r="EA79" s="16">
        <f t="shared" ref="EA79" si="947">EA80</f>
        <v>270.64078220771648</v>
      </c>
      <c r="EB79" s="16">
        <f t="shared" ref="EB79" si="948">EB80</f>
        <v>278.41285664434741</v>
      </c>
      <c r="EC79" s="16">
        <f t="shared" ref="EC79" si="949">EC80</f>
        <v>286.3773257137114</v>
      </c>
      <c r="ED79" s="16">
        <f t="shared" ref="ED79" si="950">ED80</f>
        <v>300.17130157671318</v>
      </c>
      <c r="EE79" s="16">
        <f t="shared" ref="EE79" si="951">EE80</f>
        <v>308.61455433726491</v>
      </c>
      <c r="EF79" s="16">
        <f t="shared" ref="EF79" si="952">EF80</f>
        <v>312.74076218090539</v>
      </c>
      <c r="EG79" s="16">
        <f t="shared" ref="EG79" si="953">EG80</f>
        <v>322.69634580350095</v>
      </c>
      <c r="EH79" s="16">
        <f t="shared" ref="EH79" si="954">EH80</f>
        <v>331.73086042086925</v>
      </c>
      <c r="EI79" s="16">
        <f t="shared" ref="EI79" si="955">EI80</f>
        <v>339.59033948291136</v>
      </c>
      <c r="EJ79" s="16">
        <f t="shared" ref="EJ79" si="956">EJ80</f>
        <v>353.03092585371002</v>
      </c>
      <c r="EK79" s="16">
        <f t="shared" ref="EK79" si="957">EK80</f>
        <v>362.55018970561269</v>
      </c>
      <c r="EL79" s="16">
        <f t="shared" ref="EL79" si="958">EL80</f>
        <v>368.59416853221495</v>
      </c>
      <c r="EM79" s="16">
        <f t="shared" ref="EM79" si="959">EM80</f>
        <v>381.18862272061108</v>
      </c>
      <c r="EN79" s="16">
        <f t="shared" ref="EN79" si="960">EN80</f>
        <v>391.6793947029808</v>
      </c>
      <c r="EO79" s="16">
        <f t="shared" ref="EO79" si="961">EO80</f>
        <v>402.43118302681154</v>
      </c>
      <c r="EP79" s="16">
        <f t="shared" ref="EP79" si="962">EP80</f>
        <v>421.09426593461086</v>
      </c>
      <c r="EQ79" s="16">
        <f t="shared" ref="EQ79" si="963">EQ80</f>
        <v>431.56113267764528</v>
      </c>
      <c r="ER79" s="16">
        <f t="shared" ref="ER79" si="964">ER80</f>
        <v>436.06939762078167</v>
      </c>
      <c r="ES79" s="16">
        <f t="shared" ref="ES79" si="965">ES80</f>
        <v>448.29210340187984</v>
      </c>
      <c r="ET79" s="16">
        <f t="shared" ref="ET79" si="966">ET80</f>
        <v>459.25555017163242</v>
      </c>
      <c r="EU79" s="16">
        <f t="shared" ref="EU79" si="967">EU80</f>
        <v>468.63260894080287</v>
      </c>
      <c r="EV79" s="16">
        <f t="shared" ref="EV79" si="968">EV80</f>
        <v>485.33264575930292</v>
      </c>
      <c r="EW79" s="16">
        <f t="shared" ref="EW79" si="969">EW80</f>
        <v>496.82037071836368</v>
      </c>
      <c r="EX79" s="16">
        <f t="shared" ref="EX79" si="970">EX80</f>
        <v>503.71195843729998</v>
      </c>
      <c r="EY79" s="16">
        <f t="shared" ref="EY79" si="971">EY80</f>
        <v>519.16447702659366</v>
      </c>
      <c r="EZ79" s="16">
        <f t="shared" ref="EZ79" si="972">EZ80</f>
        <v>531.81698267320337</v>
      </c>
      <c r="FA79" s="16">
        <f t="shared" ref="FA79" si="973">FA80</f>
        <v>544.77107361178184</v>
      </c>
      <c r="FB79" s="16">
        <f t="shared" ref="FB79" si="974">FB80</f>
        <v>567.98868007411659</v>
      </c>
    </row>
    <row r="80" spans="2:158" x14ac:dyDescent="0.25">
      <c r="C80" t="s">
        <v>568</v>
      </c>
      <c r="D80" s="16">
        <f>AVERAGE(AY80:BJ80)</f>
        <v>23.333333333333332</v>
      </c>
      <c r="E80" s="16">
        <f>AVERAGE(BK80:BV80)</f>
        <v>42.416666666666664</v>
      </c>
      <c r="F80" s="16">
        <f>AVERAGE(BW80:CH80)</f>
        <v>55.083333333333336</v>
      </c>
      <c r="G80" s="16">
        <f>AVERAGE(CI80:CT80)</f>
        <v>86.833333333333329</v>
      </c>
      <c r="H80" s="16">
        <f>AVERAGE(CU80:DF80)</f>
        <v>120.61034130662944</v>
      </c>
      <c r="I80" s="55">
        <f>AVERAGE(DG80:DR80)</f>
        <v>176.64958034403352</v>
      </c>
      <c r="J80" s="55">
        <f>AVERAGE(DS80:ED80)</f>
        <v>253.442503064975</v>
      </c>
      <c r="K80" s="55">
        <f>AVERAGE(EE80:EP80)</f>
        <v>357.99513439183369</v>
      </c>
      <c r="L80" s="55">
        <f>AVERAGE(EQ80:FB80)</f>
        <v>491.11808175945038</v>
      </c>
      <c r="N80" s="16">
        <f>AVERAGE(AY80:BA80)</f>
        <v>17</v>
      </c>
      <c r="O80" s="16">
        <f>AVERAGE(BB80:BD80)</f>
        <v>22.333333333333332</v>
      </c>
      <c r="P80" s="16">
        <f>AVERAGE(BE80:BG80)</f>
        <v>26</v>
      </c>
      <c r="Q80" s="16">
        <f>AVERAGE(BH80:BJ80)</f>
        <v>28</v>
      </c>
      <c r="R80" s="16">
        <f>AVERAGE(BK80:BM80)</f>
        <v>34.666666666666664</v>
      </c>
      <c r="S80" s="16">
        <f>AVERAGE(BN80:BP80)</f>
        <v>41</v>
      </c>
      <c r="T80" s="16">
        <f>AVERAGE(BQ80:BS80)</f>
        <v>44.666666666666664</v>
      </c>
      <c r="U80" s="16">
        <f>AVERAGE(BT80:BV80)</f>
        <v>49.333333333333336</v>
      </c>
      <c r="V80" s="16">
        <f>AVERAGE(BW80:BY80)</f>
        <v>52.333333333333336</v>
      </c>
      <c r="W80" s="16">
        <f>AVERAGE(BZ80:CB80)</f>
        <v>53</v>
      </c>
      <c r="X80" s="16">
        <f>AVERAGE(CC80:CE80)</f>
        <v>55.666666666666664</v>
      </c>
      <c r="Y80" s="16">
        <f>AVERAGE(CF80:CH80)</f>
        <v>59.333333333333336</v>
      </c>
      <c r="Z80" s="16">
        <f>AVERAGE(CI80:CK80)</f>
        <v>69.666666666666671</v>
      </c>
      <c r="AA80" s="16">
        <f>AVERAGE(CL80:CN80)</f>
        <v>84</v>
      </c>
      <c r="AB80" s="16">
        <f>AVERAGE(CO80:CQ80)</f>
        <v>93.666666666666671</v>
      </c>
      <c r="AC80" s="16">
        <f>AVERAGE(CR80:CT80)</f>
        <v>100</v>
      </c>
      <c r="AD80" s="16">
        <f>AVERAGE(CU80:CW80)</f>
        <v>104.34695833178536</v>
      </c>
      <c r="AE80" s="16">
        <f>AVERAGE(CX80:CZ80)</f>
        <v>114.1634541573314</v>
      </c>
      <c r="AF80" s="16">
        <f>AVERAGE(DA80:DC80)</f>
        <v>125.10540049144572</v>
      </c>
      <c r="AG80" s="16">
        <f>AVERAGE(DD80:DF80)</f>
        <v>138.82555224595524</v>
      </c>
      <c r="AH80" s="16">
        <f>AVERAGE(DG80:DI80)</f>
        <v>153.26206763506707</v>
      </c>
      <c r="AI80" s="16">
        <f>AVERAGE(DJ80:DL80)</f>
        <v>167.73207396785764</v>
      </c>
      <c r="AJ80" s="16">
        <f>AVERAGE(DM80:DO80)</f>
        <v>183.56360624209847</v>
      </c>
      <c r="AK80" s="16">
        <f>AVERAGE(DP80:DR80)</f>
        <v>202.04057353111094</v>
      </c>
      <c r="AL80" s="16">
        <f>AVERAGE(DS80:DU80)</f>
        <v>221.33355486388746</v>
      </c>
      <c r="AM80" s="16">
        <f>AVERAGE(DV80:DX80)</f>
        <v>241.18876250539006</v>
      </c>
      <c r="AN80" s="16">
        <f>AVERAGE(DY80:EA80)</f>
        <v>262.92720024569866</v>
      </c>
      <c r="AO80" s="16">
        <f>AVERAGE(EB80:ED80)</f>
        <v>288.320494644924</v>
      </c>
      <c r="AP80" s="16">
        <f>AVERAGE(EE80:EG80)</f>
        <v>314.6838874405571</v>
      </c>
      <c r="AQ80" s="16">
        <f>AVERAGE(EH80:EJ80)</f>
        <v>341.45070858583017</v>
      </c>
      <c r="AR80" s="16">
        <f>AVERAGE(EK80:EM80)</f>
        <v>370.77766031947959</v>
      </c>
      <c r="AS80" s="16">
        <f>AVERAGE(EN80:EP80)</f>
        <v>405.06828122146771</v>
      </c>
      <c r="AT80" s="16">
        <f>AVERAGE(EQ80:ES80)</f>
        <v>438.64087790010223</v>
      </c>
      <c r="AU80" s="16">
        <f>AVERAGE(ET80:EV80)</f>
        <v>471.07360162391274</v>
      </c>
      <c r="AV80" s="16">
        <f>AVERAGE(EW80:EY80)</f>
        <v>506.56560206075238</v>
      </c>
      <c r="AW80" s="16">
        <f>AVERAGE(EZ80:FB80)</f>
        <v>548.19224545303393</v>
      </c>
      <c r="AY80" s="16">
        <v>15</v>
      </c>
      <c r="AZ80" s="16">
        <v>17</v>
      </c>
      <c r="BA80" s="16">
        <v>19</v>
      </c>
      <c r="BB80" s="16">
        <v>21</v>
      </c>
      <c r="BC80" s="16">
        <v>23</v>
      </c>
      <c r="BD80" s="16">
        <v>23</v>
      </c>
      <c r="BE80" s="16">
        <v>26</v>
      </c>
      <c r="BF80" s="16">
        <v>26</v>
      </c>
      <c r="BG80" s="16">
        <v>26</v>
      </c>
      <c r="BH80" s="16">
        <v>27</v>
      </c>
      <c r="BI80" s="16">
        <v>29</v>
      </c>
      <c r="BJ80" s="16">
        <v>28</v>
      </c>
      <c r="BK80" s="16">
        <v>31</v>
      </c>
      <c r="BL80" s="16">
        <v>34</v>
      </c>
      <c r="BM80" s="16">
        <v>39</v>
      </c>
      <c r="BN80" s="16">
        <v>41</v>
      </c>
      <c r="BO80" s="16">
        <v>40</v>
      </c>
      <c r="BP80" s="16">
        <v>42</v>
      </c>
      <c r="BQ80" s="16">
        <v>44</v>
      </c>
      <c r="BR80" s="16">
        <v>44</v>
      </c>
      <c r="BS80" s="16">
        <v>46</v>
      </c>
      <c r="BT80" s="16">
        <v>46</v>
      </c>
      <c r="BU80" s="16">
        <v>50</v>
      </c>
      <c r="BV80" s="16">
        <v>52</v>
      </c>
      <c r="BW80" s="16">
        <v>52</v>
      </c>
      <c r="BX80" s="16">
        <v>52</v>
      </c>
      <c r="BY80" s="16">
        <v>53</v>
      </c>
      <c r="BZ80" s="16">
        <v>54</v>
      </c>
      <c r="CA80" s="16">
        <v>53</v>
      </c>
      <c r="CB80" s="16">
        <v>52</v>
      </c>
      <c r="CC80" s="16">
        <v>55</v>
      </c>
      <c r="CD80" s="16">
        <v>57</v>
      </c>
      <c r="CE80" s="16">
        <v>55</v>
      </c>
      <c r="CF80" s="16">
        <v>59</v>
      </c>
      <c r="CG80" s="16">
        <v>60</v>
      </c>
      <c r="CH80" s="16">
        <v>59</v>
      </c>
      <c r="CI80" s="16">
        <v>65</v>
      </c>
      <c r="CJ80" s="16">
        <v>70</v>
      </c>
      <c r="CK80" s="16">
        <v>74</v>
      </c>
      <c r="CL80" s="16">
        <v>80</v>
      </c>
      <c r="CM80" s="16">
        <v>85</v>
      </c>
      <c r="CN80" s="16">
        <v>87</v>
      </c>
      <c r="CO80" s="16">
        <v>93</v>
      </c>
      <c r="CP80" s="16">
        <v>94</v>
      </c>
      <c r="CQ80" s="16">
        <v>94</v>
      </c>
      <c r="CR80" s="16">
        <v>97</v>
      </c>
      <c r="CS80" s="16">
        <v>101</v>
      </c>
      <c r="CT80" s="16">
        <v>102</v>
      </c>
      <c r="CU80" s="16">
        <f t="shared" ref="CU80:DZ80" si="975">CU10/CU82</f>
        <v>102.09768245754529</v>
      </c>
      <c r="CV80" s="16">
        <f t="shared" si="975"/>
        <v>103.60143663581563</v>
      </c>
      <c r="CW80" s="16">
        <f t="shared" si="975"/>
        <v>107.34175590199514</v>
      </c>
      <c r="CX80" s="16">
        <f t="shared" si="975"/>
        <v>110.66214071376258</v>
      </c>
      <c r="CY80" s="16">
        <f t="shared" si="975"/>
        <v>113.45244380042054</v>
      </c>
      <c r="CZ80" s="16">
        <f t="shared" si="975"/>
        <v>118.37577795781111</v>
      </c>
      <c r="DA80" s="16">
        <f t="shared" si="975"/>
        <v>121.9315107518055</v>
      </c>
      <c r="DB80" s="16">
        <f t="shared" si="975"/>
        <v>124.27443168664306</v>
      </c>
      <c r="DC80" s="16">
        <f t="shared" si="975"/>
        <v>129.11025903588859</v>
      </c>
      <c r="DD80" s="16">
        <f t="shared" si="975"/>
        <v>133.32326012804512</v>
      </c>
      <c r="DE80" s="16">
        <f t="shared" si="975"/>
        <v>137.82094934687564</v>
      </c>
      <c r="DF80" s="16">
        <f t="shared" si="975"/>
        <v>145.3324472629449</v>
      </c>
      <c r="DG80" s="16">
        <f t="shared" si="975"/>
        <v>149.96070818303468</v>
      </c>
      <c r="DH80" s="16">
        <f t="shared" si="975"/>
        <v>152.22505369834175</v>
      </c>
      <c r="DI80" s="16">
        <f t="shared" si="975"/>
        <v>157.60044102382477</v>
      </c>
      <c r="DJ80" s="16">
        <f t="shared" si="975"/>
        <v>162.48409977970869</v>
      </c>
      <c r="DK80" s="16">
        <f t="shared" si="975"/>
        <v>166.73937082604812</v>
      </c>
      <c r="DL80" s="16">
        <f t="shared" si="975"/>
        <v>173.97275129781607</v>
      </c>
      <c r="DM80" s="16">
        <f t="shared" si="975"/>
        <v>179.11355644071622</v>
      </c>
      <c r="DN80" s="16">
        <f t="shared" si="975"/>
        <v>182.39860428548187</v>
      </c>
      <c r="DO80" s="16">
        <f t="shared" si="975"/>
        <v>189.1786580000973</v>
      </c>
      <c r="DP80" s="16">
        <f t="shared" si="975"/>
        <v>194.83601645243698</v>
      </c>
      <c r="DQ80" s="16">
        <f t="shared" si="975"/>
        <v>200.63323222016172</v>
      </c>
      <c r="DR80" s="16">
        <f t="shared" si="975"/>
        <v>210.65247192073409</v>
      </c>
      <c r="DS80" s="16">
        <f t="shared" si="975"/>
        <v>216.8169311978202</v>
      </c>
      <c r="DT80" s="16">
        <f t="shared" si="975"/>
        <v>219.90175565682117</v>
      </c>
      <c r="DU80" s="16">
        <f t="shared" si="975"/>
        <v>227.28197773702104</v>
      </c>
      <c r="DV80" s="16">
        <f t="shared" si="975"/>
        <v>233.98324710834925</v>
      </c>
      <c r="DW80" s="16">
        <f t="shared" si="975"/>
        <v>239.81799779512946</v>
      </c>
      <c r="DX80" s="16">
        <f t="shared" si="975"/>
        <v>249.76504261269139</v>
      </c>
      <c r="DY80" s="16">
        <f t="shared" si="975"/>
        <v>256.82243317003099</v>
      </c>
      <c r="DZ80" s="16">
        <f t="shared" si="975"/>
        <v>261.31838535934844</v>
      </c>
      <c r="EA80" s="16">
        <f t="shared" ref="EA80:FB80" si="976">EA10/EA82</f>
        <v>270.64078220771648</v>
      </c>
      <c r="EB80" s="16">
        <f t="shared" si="976"/>
        <v>278.41285664434741</v>
      </c>
      <c r="EC80" s="16">
        <f t="shared" si="976"/>
        <v>286.3773257137114</v>
      </c>
      <c r="ED80" s="16">
        <f t="shared" si="976"/>
        <v>300.17130157671318</v>
      </c>
      <c r="EE80" s="16">
        <f t="shared" si="976"/>
        <v>308.61455433726491</v>
      </c>
      <c r="EF80" s="16">
        <f t="shared" si="976"/>
        <v>312.74076218090539</v>
      </c>
      <c r="EG80" s="16">
        <f t="shared" si="976"/>
        <v>322.69634580350095</v>
      </c>
      <c r="EH80" s="16">
        <f t="shared" si="976"/>
        <v>331.73086042086925</v>
      </c>
      <c r="EI80" s="16">
        <f t="shared" si="976"/>
        <v>339.59033948291136</v>
      </c>
      <c r="EJ80" s="16">
        <f t="shared" si="976"/>
        <v>353.03092585371002</v>
      </c>
      <c r="EK80" s="16">
        <f t="shared" si="976"/>
        <v>362.55018970561269</v>
      </c>
      <c r="EL80" s="16">
        <f t="shared" si="976"/>
        <v>368.59416853221495</v>
      </c>
      <c r="EM80" s="16">
        <f t="shared" si="976"/>
        <v>381.18862272061108</v>
      </c>
      <c r="EN80" s="16">
        <f t="shared" si="976"/>
        <v>391.6793947029808</v>
      </c>
      <c r="EO80" s="16">
        <f t="shared" si="976"/>
        <v>402.43118302681154</v>
      </c>
      <c r="EP80" s="16">
        <f t="shared" si="976"/>
        <v>421.09426593461086</v>
      </c>
      <c r="EQ80" s="16">
        <f t="shared" si="976"/>
        <v>431.56113267764528</v>
      </c>
      <c r="ER80" s="16">
        <f t="shared" si="976"/>
        <v>436.06939762078167</v>
      </c>
      <c r="ES80" s="16">
        <f t="shared" si="976"/>
        <v>448.29210340187984</v>
      </c>
      <c r="ET80" s="16">
        <f t="shared" si="976"/>
        <v>459.25555017163242</v>
      </c>
      <c r="EU80" s="16">
        <f t="shared" si="976"/>
        <v>468.63260894080287</v>
      </c>
      <c r="EV80" s="16">
        <f t="shared" si="976"/>
        <v>485.33264575930292</v>
      </c>
      <c r="EW80" s="16">
        <f t="shared" si="976"/>
        <v>496.82037071836368</v>
      </c>
      <c r="EX80" s="16">
        <f t="shared" si="976"/>
        <v>503.71195843729998</v>
      </c>
      <c r="EY80" s="16">
        <f t="shared" si="976"/>
        <v>519.16447702659366</v>
      </c>
      <c r="EZ80" s="16">
        <f t="shared" si="976"/>
        <v>531.81698267320337</v>
      </c>
      <c r="FA80" s="16">
        <f t="shared" si="976"/>
        <v>544.77107361178184</v>
      </c>
      <c r="FB80" s="16">
        <f t="shared" si="976"/>
        <v>567.98868007411659</v>
      </c>
    </row>
    <row r="81" spans="2:158" x14ac:dyDescent="0.25">
      <c r="B81" s="303">
        <f>B76</f>
        <v>0.05</v>
      </c>
      <c r="C81" s="28" t="s">
        <v>518</v>
      </c>
      <c r="D81" s="16">
        <f>D60/D80</f>
        <v>114156.38228571429</v>
      </c>
      <c r="E81" s="16">
        <f>E60/E80</f>
        <v>125679.16007858547</v>
      </c>
      <c r="F81" s="16">
        <f>F60/F80</f>
        <v>141738.03667170956</v>
      </c>
      <c r="G81" s="16">
        <f>G60/G80</f>
        <v>170818.06750463002</v>
      </c>
      <c r="H81" s="249">
        <f>G81*(1+$B81)</f>
        <v>179358.97087986153</v>
      </c>
      <c r="I81" s="249">
        <f t="shared" ref="I81:L81" si="977">H81*(1+$B81)</f>
        <v>188326.91942385462</v>
      </c>
      <c r="J81" s="249">
        <f t="shared" si="977"/>
        <v>197743.26539504735</v>
      </c>
      <c r="K81" s="249">
        <f t="shared" si="977"/>
        <v>207630.42866479972</v>
      </c>
      <c r="L81" s="249">
        <f t="shared" si="977"/>
        <v>218011.95009803973</v>
      </c>
      <c r="N81" s="16">
        <f>N60/N80*4</f>
        <v>108143.93647058823</v>
      </c>
      <c r="O81" s="16">
        <f t="shared" ref="O81:AW81" si="978">O60/O80*4</f>
        <v>111415.54208955224</v>
      </c>
      <c r="P81" s="16">
        <f t="shared" si="978"/>
        <v>112914.82153846155</v>
      </c>
      <c r="Q81" s="16">
        <f t="shared" si="978"/>
        <v>121145.81999999999</v>
      </c>
      <c r="R81" s="16">
        <f t="shared" si="978"/>
        <v>112133.98153846155</v>
      </c>
      <c r="S81" s="16">
        <f t="shared" si="978"/>
        <v>114451.63609756097</v>
      </c>
      <c r="T81" s="16">
        <f t="shared" si="978"/>
        <v>131478.40567164181</v>
      </c>
      <c r="U81" s="16">
        <f t="shared" si="978"/>
        <v>139277.70810810808</v>
      </c>
      <c r="V81" s="16">
        <f t="shared" si="978"/>
        <v>141415.41936305733</v>
      </c>
      <c r="W81" s="16">
        <f t="shared" si="978"/>
        <v>138485.22264150943</v>
      </c>
      <c r="X81" s="16">
        <f t="shared" si="978"/>
        <v>144162.56407185629</v>
      </c>
      <c r="Y81" s="16">
        <f t="shared" si="978"/>
        <v>142653.49887640448</v>
      </c>
      <c r="Z81" s="16">
        <f t="shared" si="978"/>
        <v>168647.58602870812</v>
      </c>
      <c r="AA81" s="16">
        <f t="shared" si="978"/>
        <v>178392.10187244348</v>
      </c>
      <c r="AB81" s="16">
        <f t="shared" si="978"/>
        <v>168940.34880902982</v>
      </c>
      <c r="AC81" s="16">
        <f t="shared" si="978"/>
        <v>167726.77724210438</v>
      </c>
      <c r="AD81" s="16">
        <f t="shared" si="978"/>
        <v>179358.97087986153</v>
      </c>
      <c r="AE81" s="16">
        <f t="shared" si="978"/>
        <v>179358.97087986156</v>
      </c>
      <c r="AF81" s="16">
        <f t="shared" si="978"/>
        <v>179358.97087986153</v>
      </c>
      <c r="AG81" s="16">
        <f t="shared" si="978"/>
        <v>179358.9708798615</v>
      </c>
      <c r="AH81" s="16">
        <f t="shared" si="978"/>
        <v>188326.91942385462</v>
      </c>
      <c r="AI81" s="16">
        <f t="shared" si="978"/>
        <v>188326.91942385462</v>
      </c>
      <c r="AJ81" s="16">
        <f t="shared" si="978"/>
        <v>188326.91942385459</v>
      </c>
      <c r="AK81" s="16">
        <f t="shared" si="978"/>
        <v>188326.91942385462</v>
      </c>
      <c r="AL81" s="16">
        <f t="shared" si="978"/>
        <v>197743.26539504738</v>
      </c>
      <c r="AM81" s="16">
        <f t="shared" si="978"/>
        <v>197743.26539504735</v>
      </c>
      <c r="AN81" s="16">
        <f t="shared" si="978"/>
        <v>197743.26539504732</v>
      </c>
      <c r="AO81" s="16">
        <f t="shared" si="978"/>
        <v>197743.26539504735</v>
      </c>
      <c r="AP81" s="16">
        <f t="shared" si="978"/>
        <v>207630.42866479969</v>
      </c>
      <c r="AQ81" s="16">
        <f t="shared" si="978"/>
        <v>207630.42866479975</v>
      </c>
      <c r="AR81" s="16">
        <f t="shared" si="978"/>
        <v>207630.42866479972</v>
      </c>
      <c r="AS81" s="16">
        <f t="shared" si="978"/>
        <v>207630.42866479975</v>
      </c>
      <c r="AT81" s="16">
        <f t="shared" si="978"/>
        <v>218011.95009803973</v>
      </c>
      <c r="AU81" s="16">
        <f t="shared" si="978"/>
        <v>218011.95009803973</v>
      </c>
      <c r="AV81" s="16">
        <f t="shared" si="978"/>
        <v>218011.95009803973</v>
      </c>
      <c r="AW81" s="16">
        <f t="shared" si="978"/>
        <v>218011.9500980397</v>
      </c>
      <c r="AY81" s="16">
        <f>AY60/AY80*12</f>
        <v>122597.424</v>
      </c>
      <c r="AZ81" s="16">
        <f t="shared" ref="AZ81:CT81" si="979">AZ60/AZ80*12</f>
        <v>105991.78588235294</v>
      </c>
      <c r="BA81" s="16">
        <f t="shared" si="979"/>
        <v>98658.896842105256</v>
      </c>
      <c r="BB81" s="16">
        <f t="shared" si="979"/>
        <v>112469.65142857144</v>
      </c>
      <c r="BC81" s="16">
        <f t="shared" si="979"/>
        <v>107332.23652173913</v>
      </c>
      <c r="BD81" s="16">
        <f t="shared" si="979"/>
        <v>114536.4</v>
      </c>
      <c r="BE81" s="16">
        <f t="shared" si="979"/>
        <v>110112.34153846155</v>
      </c>
      <c r="BF81" s="16">
        <f t="shared" si="979"/>
        <v>112675.69384615382</v>
      </c>
      <c r="BG81" s="16">
        <f t="shared" si="979"/>
        <v>115956.42923076924</v>
      </c>
      <c r="BH81" s="16">
        <f t="shared" si="979"/>
        <v>123544</v>
      </c>
      <c r="BI81" s="16">
        <f t="shared" si="979"/>
        <v>108511.28275862067</v>
      </c>
      <c r="BJ81" s="16">
        <f t="shared" si="979"/>
        <v>131919.06</v>
      </c>
      <c r="BK81" s="16">
        <f t="shared" si="979"/>
        <v>119407.06451612903</v>
      </c>
      <c r="BL81" s="16">
        <f t="shared" si="979"/>
        <v>114079.67647058824</v>
      </c>
      <c r="BM81" s="16">
        <f t="shared" si="979"/>
        <v>104656.56615384616</v>
      </c>
      <c r="BN81" s="16">
        <f t="shared" si="979"/>
        <v>107490.95707317075</v>
      </c>
      <c r="BO81" s="16">
        <f t="shared" si="979"/>
        <v>115559.889</v>
      </c>
      <c r="BP81" s="16">
        <f t="shared" si="979"/>
        <v>120191.10571428572</v>
      </c>
      <c r="BQ81" s="16">
        <f t="shared" si="979"/>
        <v>128412.0490909091</v>
      </c>
      <c r="BR81" s="16">
        <f t="shared" si="979"/>
        <v>124649.49818181817</v>
      </c>
      <c r="BS81" s="16">
        <f t="shared" si="979"/>
        <v>140943.44086956521</v>
      </c>
      <c r="BT81" s="16">
        <f t="shared" si="979"/>
        <v>139109.77043478264</v>
      </c>
      <c r="BU81" s="16">
        <f t="shared" si="979"/>
        <v>138655.29359999998</v>
      </c>
      <c r="BV81" s="16">
        <f t="shared" si="979"/>
        <v>140024.74384615384</v>
      </c>
      <c r="BW81" s="16">
        <f t="shared" si="979"/>
        <v>158019.95769230774</v>
      </c>
      <c r="BX81" s="16">
        <f t="shared" si="979"/>
        <v>137601.62076923077</v>
      </c>
      <c r="BY81" s="16">
        <f t="shared" si="979"/>
        <v>128866.01433962263</v>
      </c>
      <c r="BZ81" s="16">
        <f t="shared" si="979"/>
        <v>152342.00444444444</v>
      </c>
      <c r="CA81" s="16">
        <f t="shared" si="979"/>
        <v>130258.33811320754</v>
      </c>
      <c r="CB81" s="16">
        <f t="shared" si="979"/>
        <v>132480.58153846153</v>
      </c>
      <c r="CC81" s="16">
        <f t="shared" si="979"/>
        <v>140838.78763636362</v>
      </c>
      <c r="CD81" s="16">
        <f t="shared" si="979"/>
        <v>141263.90526315791</v>
      </c>
      <c r="CE81" s="16">
        <f t="shared" si="979"/>
        <v>150490.4050909091</v>
      </c>
      <c r="CF81" s="16">
        <f t="shared" si="979"/>
        <v>138777.26033898303</v>
      </c>
      <c r="CG81" s="16">
        <f t="shared" si="979"/>
        <v>126246.18399999999</v>
      </c>
      <c r="CH81" s="16">
        <f t="shared" si="979"/>
        <v>163215.14237288135</v>
      </c>
      <c r="CI81" s="16">
        <f t="shared" si="979"/>
        <v>168054.14953846153</v>
      </c>
      <c r="CJ81" s="16">
        <f t="shared" si="979"/>
        <v>153970.08685714286</v>
      </c>
      <c r="CK81" s="16">
        <f t="shared" si="979"/>
        <v>183052.96864864862</v>
      </c>
      <c r="CL81" s="16">
        <f t="shared" si="979"/>
        <v>188379.93300000002</v>
      </c>
      <c r="CM81" s="16">
        <f t="shared" si="979"/>
        <v>179787.86216879229</v>
      </c>
      <c r="CN81" s="16">
        <f t="shared" si="979"/>
        <v>167844.21548860247</v>
      </c>
      <c r="CO81" s="16">
        <f t="shared" si="979"/>
        <v>167610.79229214403</v>
      </c>
      <c r="CP81" s="16">
        <f t="shared" si="979"/>
        <v>168415.12893031148</v>
      </c>
      <c r="CQ81" s="16">
        <f t="shared" si="979"/>
        <v>170780.98098636925</v>
      </c>
      <c r="CR81" s="16">
        <f t="shared" si="979"/>
        <v>168571.03711452303</v>
      </c>
      <c r="CS81" s="16">
        <f t="shared" si="979"/>
        <v>165626.1096946708</v>
      </c>
      <c r="CT81" s="16">
        <f t="shared" si="979"/>
        <v>169003.97542510612</v>
      </c>
      <c r="CU81" s="90">
        <f t="shared" ref="CU81:FA81" si="980">INDEX($D81:$L81,1,MATCH(CU$2,$D$2:$L$2,))</f>
        <v>179358.97087986153</v>
      </c>
      <c r="CV81" s="90">
        <f t="shared" si="980"/>
        <v>179358.97087986153</v>
      </c>
      <c r="CW81" s="90">
        <f t="shared" si="980"/>
        <v>179358.97087986153</v>
      </c>
      <c r="CX81" s="90">
        <f t="shared" si="980"/>
        <v>179358.97087986153</v>
      </c>
      <c r="CY81" s="90">
        <f t="shared" si="980"/>
        <v>179358.97087986153</v>
      </c>
      <c r="CZ81" s="90">
        <f t="shared" si="980"/>
        <v>179358.97087986153</v>
      </c>
      <c r="DA81" s="90">
        <f t="shared" si="980"/>
        <v>179358.97087986153</v>
      </c>
      <c r="DB81" s="90">
        <f t="shared" si="980"/>
        <v>179358.97087986153</v>
      </c>
      <c r="DC81" s="90">
        <f t="shared" si="980"/>
        <v>179358.97087986153</v>
      </c>
      <c r="DD81" s="90">
        <f t="shared" si="980"/>
        <v>179358.97087986153</v>
      </c>
      <c r="DE81" s="90">
        <f t="shared" si="980"/>
        <v>179358.97087986153</v>
      </c>
      <c r="DF81" s="90">
        <f t="shared" si="980"/>
        <v>179358.97087986153</v>
      </c>
      <c r="DG81" s="90">
        <f t="shared" si="980"/>
        <v>188326.91942385462</v>
      </c>
      <c r="DH81" s="90">
        <f t="shared" si="980"/>
        <v>188326.91942385462</v>
      </c>
      <c r="DI81" s="90">
        <f t="shared" si="980"/>
        <v>188326.91942385462</v>
      </c>
      <c r="DJ81" s="90">
        <f t="shared" si="980"/>
        <v>188326.91942385462</v>
      </c>
      <c r="DK81" s="90">
        <f t="shared" si="980"/>
        <v>188326.91942385462</v>
      </c>
      <c r="DL81" s="90">
        <f t="shared" si="980"/>
        <v>188326.91942385462</v>
      </c>
      <c r="DM81" s="90">
        <f t="shared" si="980"/>
        <v>188326.91942385462</v>
      </c>
      <c r="DN81" s="90">
        <f t="shared" si="980"/>
        <v>188326.91942385462</v>
      </c>
      <c r="DO81" s="90">
        <f t="shared" si="980"/>
        <v>188326.91942385462</v>
      </c>
      <c r="DP81" s="90">
        <f t="shared" si="980"/>
        <v>188326.91942385462</v>
      </c>
      <c r="DQ81" s="90">
        <f t="shared" si="980"/>
        <v>188326.91942385462</v>
      </c>
      <c r="DR81" s="90">
        <f t="shared" si="980"/>
        <v>188326.91942385462</v>
      </c>
      <c r="DS81" s="90">
        <f t="shared" si="980"/>
        <v>197743.26539504735</v>
      </c>
      <c r="DT81" s="90">
        <f t="shared" si="980"/>
        <v>197743.26539504735</v>
      </c>
      <c r="DU81" s="90">
        <f t="shared" si="980"/>
        <v>197743.26539504735</v>
      </c>
      <c r="DV81" s="90">
        <f t="shared" si="980"/>
        <v>197743.26539504735</v>
      </c>
      <c r="DW81" s="90">
        <f t="shared" si="980"/>
        <v>197743.26539504735</v>
      </c>
      <c r="DX81" s="90">
        <f t="shared" si="980"/>
        <v>197743.26539504735</v>
      </c>
      <c r="DY81" s="90">
        <f t="shared" si="980"/>
        <v>197743.26539504735</v>
      </c>
      <c r="DZ81" s="90">
        <f t="shared" si="980"/>
        <v>197743.26539504735</v>
      </c>
      <c r="EA81" s="90">
        <f t="shared" si="980"/>
        <v>197743.26539504735</v>
      </c>
      <c r="EB81" s="90">
        <f t="shared" si="980"/>
        <v>197743.26539504735</v>
      </c>
      <c r="EC81" s="90">
        <f t="shared" si="980"/>
        <v>197743.26539504735</v>
      </c>
      <c r="ED81" s="90">
        <f t="shared" si="980"/>
        <v>197743.26539504735</v>
      </c>
      <c r="EE81" s="90">
        <f t="shared" si="980"/>
        <v>207630.42866479972</v>
      </c>
      <c r="EF81" s="90">
        <f t="shared" si="980"/>
        <v>207630.42866479972</v>
      </c>
      <c r="EG81" s="90">
        <f t="shared" si="980"/>
        <v>207630.42866479972</v>
      </c>
      <c r="EH81" s="90">
        <f t="shared" si="980"/>
        <v>207630.42866479972</v>
      </c>
      <c r="EI81" s="90">
        <f t="shared" si="980"/>
        <v>207630.42866479972</v>
      </c>
      <c r="EJ81" s="90">
        <f t="shared" si="980"/>
        <v>207630.42866479972</v>
      </c>
      <c r="EK81" s="90">
        <f t="shared" si="980"/>
        <v>207630.42866479972</v>
      </c>
      <c r="EL81" s="90">
        <f t="shared" si="980"/>
        <v>207630.42866479972</v>
      </c>
      <c r="EM81" s="90">
        <f t="shared" si="980"/>
        <v>207630.42866479972</v>
      </c>
      <c r="EN81" s="90">
        <f t="shared" si="980"/>
        <v>207630.42866479972</v>
      </c>
      <c r="EO81" s="90">
        <f t="shared" si="980"/>
        <v>207630.42866479972</v>
      </c>
      <c r="EP81" s="90">
        <f t="shared" si="980"/>
        <v>207630.42866479972</v>
      </c>
      <c r="EQ81" s="90">
        <f t="shared" si="980"/>
        <v>218011.95009803973</v>
      </c>
      <c r="ER81" s="90">
        <f t="shared" si="980"/>
        <v>218011.95009803973</v>
      </c>
      <c r="ES81" s="90">
        <f t="shared" si="980"/>
        <v>218011.95009803973</v>
      </c>
      <c r="ET81" s="90">
        <f t="shared" si="980"/>
        <v>218011.95009803973</v>
      </c>
      <c r="EU81" s="90">
        <f t="shared" si="980"/>
        <v>218011.95009803973</v>
      </c>
      <c r="EV81" s="90">
        <f t="shared" si="980"/>
        <v>218011.95009803973</v>
      </c>
      <c r="EW81" s="90">
        <f t="shared" si="980"/>
        <v>218011.95009803973</v>
      </c>
      <c r="EX81" s="90">
        <f t="shared" si="980"/>
        <v>218011.95009803973</v>
      </c>
      <c r="EY81" s="90">
        <f t="shared" si="980"/>
        <v>218011.95009803973</v>
      </c>
      <c r="EZ81" s="90">
        <f t="shared" si="980"/>
        <v>218011.95009803973</v>
      </c>
      <c r="FA81" s="90">
        <f t="shared" si="980"/>
        <v>218011.95009803973</v>
      </c>
      <c r="FB81" s="90">
        <f t="shared" ref="FB81:FB82" si="981">INDEX($D81:$L81,1,MATCH(FB$2,$D$2:$L$2,))</f>
        <v>218011.95009803973</v>
      </c>
    </row>
    <row r="82" spans="2:158" x14ac:dyDescent="0.25">
      <c r="C82" s="28" t="s">
        <v>530</v>
      </c>
      <c r="D82" s="16">
        <f>D9/D79</f>
        <v>1109372.1482142855</v>
      </c>
      <c r="E82" s="16">
        <f>E9/E79</f>
        <v>1071136.2459791345</v>
      </c>
      <c r="F82" s="16">
        <f>F9/F79</f>
        <v>1396957.421312457</v>
      </c>
      <c r="G82" s="16">
        <f>G9/G79</f>
        <v>1370135.7074305876</v>
      </c>
      <c r="H82" s="249">
        <f>G82*1.05</f>
        <v>1438642.492802117</v>
      </c>
      <c r="I82" s="249">
        <f t="shared" ref="I82:K82" si="982">H82*1.05</f>
        <v>1510574.617442223</v>
      </c>
      <c r="J82" s="249">
        <f t="shared" si="982"/>
        <v>1586103.3483143342</v>
      </c>
      <c r="K82" s="249">
        <f t="shared" si="982"/>
        <v>1665408.5157300509</v>
      </c>
      <c r="L82" s="249">
        <f t="shared" ref="L82" si="983">K82*1.075</f>
        <v>1790314.1544098046</v>
      </c>
      <c r="N82" s="16">
        <f t="shared" ref="N82:AW82" si="984">N9/N79</f>
        <v>882515.2084210522</v>
      </c>
      <c r="O82" s="16">
        <f t="shared" si="984"/>
        <v>892237.5</v>
      </c>
      <c r="P82" s="16">
        <f t="shared" si="984"/>
        <v>943915.03692307684</v>
      </c>
      <c r="Q82" s="16">
        <f t="shared" si="984"/>
        <v>1103259.4960714283</v>
      </c>
      <c r="R82" s="16">
        <f t="shared" si="984"/>
        <v>919555.74871794879</v>
      </c>
      <c r="S82" s="16">
        <f t="shared" si="984"/>
        <v>1015225.1788095238</v>
      </c>
      <c r="T82" s="16">
        <f t="shared" si="984"/>
        <v>1045102.6047826087</v>
      </c>
      <c r="U82" s="16">
        <f t="shared" si="984"/>
        <v>1072164.8702099037</v>
      </c>
      <c r="V82" s="16">
        <f t="shared" si="984"/>
        <v>1129921.2776162825</v>
      </c>
      <c r="W82" s="16">
        <f t="shared" si="984"/>
        <v>1280081.7695420955</v>
      </c>
      <c r="X82" s="16">
        <f t="shared" si="984"/>
        <v>1332147.8898794171</v>
      </c>
      <c r="Y82" s="16">
        <f t="shared" si="984"/>
        <v>1398075.1166816095</v>
      </c>
      <c r="Z82" s="16">
        <f t="shared" si="984"/>
        <v>1213753.7802435399</v>
      </c>
      <c r="AA82" s="16">
        <f t="shared" si="984"/>
        <v>1179050.0555160686</v>
      </c>
      <c r="AB82" s="16">
        <f t="shared" si="984"/>
        <v>1259319.7323404253</v>
      </c>
      <c r="AC82" s="16">
        <f t="shared" si="984"/>
        <v>1366579.3870949575</v>
      </c>
      <c r="AD82" s="16">
        <f t="shared" si="984"/>
        <v>1418225.4354761045</v>
      </c>
      <c r="AE82" s="16">
        <f t="shared" si="984"/>
        <v>1438264.2594951098</v>
      </c>
      <c r="AF82" s="16">
        <f t="shared" si="984"/>
        <v>1457678.0386931319</v>
      </c>
      <c r="AG82" s="16">
        <f t="shared" si="984"/>
        <v>1482118.0538714705</v>
      </c>
      <c r="AH82" s="16">
        <f t="shared" si="984"/>
        <v>1493412.7852807932</v>
      </c>
      <c r="AI82" s="16">
        <f t="shared" si="984"/>
        <v>1513307.2572495425</v>
      </c>
      <c r="AJ82" s="16">
        <f t="shared" si="984"/>
        <v>1530533.6228124448</v>
      </c>
      <c r="AK82" s="16">
        <f t="shared" si="984"/>
        <v>1552735.9993604538</v>
      </c>
      <c r="AL82" s="16">
        <f t="shared" si="984"/>
        <v>1566431.1027197039</v>
      </c>
      <c r="AM82" s="16">
        <f t="shared" si="984"/>
        <v>1587412.0571918921</v>
      </c>
      <c r="AN82" s="16">
        <f t="shared" si="984"/>
        <v>1605668.0789401217</v>
      </c>
      <c r="AO82" s="16">
        <f t="shared" si="984"/>
        <v>1628992.3993900726</v>
      </c>
      <c r="AP82" s="16">
        <f t="shared" si="984"/>
        <v>1643034.1060261868</v>
      </c>
      <c r="AQ82" s="16">
        <f t="shared" si="984"/>
        <v>1665143.5618162372</v>
      </c>
      <c r="AR82" s="16">
        <f t="shared" si="984"/>
        <v>1684476.8505123523</v>
      </c>
      <c r="AS82" s="16">
        <f t="shared" si="984"/>
        <v>1708969.794785853</v>
      </c>
      <c r="AT82" s="16">
        <f t="shared" si="984"/>
        <v>1734027.2417096314</v>
      </c>
      <c r="AU82" s="16">
        <f t="shared" si="984"/>
        <v>1767971.7334367817</v>
      </c>
      <c r="AV82" s="16">
        <f t="shared" si="984"/>
        <v>1799068.3508021098</v>
      </c>
      <c r="AW82" s="16">
        <f t="shared" si="984"/>
        <v>1835527.2487782009</v>
      </c>
      <c r="AY82" s="16">
        <f t="shared" ref="AY82:CT82" si="985">AY9/AY79</f>
        <v>919461.88399999961</v>
      </c>
      <c r="AZ82" s="16">
        <f t="shared" si="985"/>
        <v>861491.46058823529</v>
      </c>
      <c r="BA82" s="16">
        <f t="shared" si="985"/>
        <v>874596.56315789465</v>
      </c>
      <c r="BB82" s="16">
        <f t="shared" si="985"/>
        <v>819949.3395238095</v>
      </c>
      <c r="BC82" s="16">
        <f t="shared" si="985"/>
        <v>813978.25130434788</v>
      </c>
      <c r="BD82" s="16">
        <f t="shared" si="985"/>
        <v>892237.49999999988</v>
      </c>
      <c r="BE82" s="16">
        <f t="shared" si="985"/>
        <v>816024.58346153842</v>
      </c>
      <c r="BF82" s="16">
        <f t="shared" si="985"/>
        <v>856564.94730769214</v>
      </c>
      <c r="BG82" s="16">
        <f t="shared" si="985"/>
        <v>943915.03692307672</v>
      </c>
      <c r="BH82" s="16">
        <f t="shared" si="985"/>
        <v>949270.48629629612</v>
      </c>
      <c r="BI82" s="16">
        <f t="shared" si="985"/>
        <v>979778.82068965503</v>
      </c>
      <c r="BJ82" s="16">
        <f t="shared" si="985"/>
        <v>1103259.4960714285</v>
      </c>
      <c r="BK82" s="16">
        <f t="shared" si="985"/>
        <v>1018350.942580645</v>
      </c>
      <c r="BL82" s="16">
        <f t="shared" si="985"/>
        <v>964728.24529411749</v>
      </c>
      <c r="BM82" s="16">
        <f t="shared" si="985"/>
        <v>919555.76051282045</v>
      </c>
      <c r="BN82" s="16">
        <f t="shared" si="985"/>
        <v>901878.76634146331</v>
      </c>
      <c r="BO82" s="16">
        <f t="shared" si="985"/>
        <v>997612.74499999988</v>
      </c>
      <c r="BP82" s="16">
        <f t="shared" si="985"/>
        <v>1015225.1788095238</v>
      </c>
      <c r="BQ82" s="16">
        <f t="shared" si="985"/>
        <v>994037.11159090896</v>
      </c>
      <c r="BR82" s="16">
        <f t="shared" si="985"/>
        <v>1019514.604090909</v>
      </c>
      <c r="BS82" s="16">
        <f t="shared" si="985"/>
        <v>1045102.6047826087</v>
      </c>
      <c r="BT82" s="16">
        <f t="shared" si="985"/>
        <v>1058427.8773913041</v>
      </c>
      <c r="BU82" s="16">
        <f t="shared" si="985"/>
        <v>1035901.9023999997</v>
      </c>
      <c r="BV82" s="16">
        <f t="shared" si="985"/>
        <v>1072934.1009791342</v>
      </c>
      <c r="BW82" s="16">
        <f t="shared" si="985"/>
        <v>1088469.7871153841</v>
      </c>
      <c r="BX82" s="16">
        <f t="shared" si="985"/>
        <v>1114837.7943307878</v>
      </c>
      <c r="BY82" s="16">
        <f t="shared" si="985"/>
        <v>1130222.1077068297</v>
      </c>
      <c r="BZ82" s="16">
        <f t="shared" si="985"/>
        <v>1130432.1759605177</v>
      </c>
      <c r="CA82" s="16">
        <f t="shared" si="985"/>
        <v>1178281.9293233578</v>
      </c>
      <c r="CB82" s="16">
        <f t="shared" si="985"/>
        <v>1280370.2309650572</v>
      </c>
      <c r="CC82" s="16">
        <f t="shared" si="985"/>
        <v>1216998.0799487082</v>
      </c>
      <c r="CD82" s="16">
        <f t="shared" si="985"/>
        <v>1227902.8069121221</v>
      </c>
      <c r="CE82" s="16">
        <f t="shared" si="985"/>
        <v>1331923.7256763265</v>
      </c>
      <c r="CF82" s="16">
        <f t="shared" si="985"/>
        <v>1263524.9550195755</v>
      </c>
      <c r="CG82" s="16">
        <f t="shared" si="985"/>
        <v>1294171.8130280995</v>
      </c>
      <c r="CH82" s="16">
        <f t="shared" si="985"/>
        <v>1398075.1165487112</v>
      </c>
      <c r="CI82" s="16">
        <f t="shared" si="985"/>
        <v>1285175.1262600918</v>
      </c>
      <c r="CJ82" s="16">
        <f t="shared" si="985"/>
        <v>1217511.6487357996</v>
      </c>
      <c r="CK82" s="16">
        <f t="shared" si="985"/>
        <v>1213753.79080554</v>
      </c>
      <c r="CL82" s="16">
        <f t="shared" si="985"/>
        <v>1149176.2551863373</v>
      </c>
      <c r="CM82" s="16">
        <f t="shared" si="985"/>
        <v>1125689.6063745643</v>
      </c>
      <c r="CN82" s="16">
        <f t="shared" si="985"/>
        <v>1179050.0555534824</v>
      </c>
      <c r="CO82" s="16">
        <f t="shared" si="985"/>
        <v>1128245.3726927449</v>
      </c>
      <c r="CP82" s="16">
        <f t="shared" si="985"/>
        <v>1175384.5917151403</v>
      </c>
      <c r="CQ82" s="16">
        <f t="shared" si="985"/>
        <v>1257567.1791218244</v>
      </c>
      <c r="CR82" s="16">
        <f t="shared" si="985"/>
        <v>1237778.2963304915</v>
      </c>
      <c r="CS82" s="16">
        <f t="shared" si="985"/>
        <v>1272660.2886468826</v>
      </c>
      <c r="CT82" s="16">
        <f t="shared" si="985"/>
        <v>1363158.9521463264</v>
      </c>
      <c r="CU82" s="16">
        <f>CT82+(DF82-CT82)/12</f>
        <v>1369449.2472009757</v>
      </c>
      <c r="CV82" s="16">
        <f>CU82+(DF82-CT82)/12</f>
        <v>1375739.5422556249</v>
      </c>
      <c r="CW82" s="16">
        <f>CV82+(DF82-CT82)/12</f>
        <v>1382029.8373102741</v>
      </c>
      <c r="CX82" s="16">
        <f>CW82+(DF82-CT82)/12</f>
        <v>1388320.1323649234</v>
      </c>
      <c r="CY82" s="16">
        <f>CX82+(DF82-CT82)/12</f>
        <v>1394610.4274195726</v>
      </c>
      <c r="CZ82" s="16">
        <f>CY82+(DF82-CT82)/12</f>
        <v>1400900.7224742218</v>
      </c>
      <c r="DA82" s="16">
        <f>CZ82+(DF82-CT82)/12</f>
        <v>1407191.0175288711</v>
      </c>
      <c r="DB82" s="16">
        <f>DA82+(DF82-CT82)/12</f>
        <v>1413481.3125835203</v>
      </c>
      <c r="DC82" s="16">
        <f>DB82+(DF82-CT82)/12</f>
        <v>1419771.6076381695</v>
      </c>
      <c r="DD82" s="16">
        <f>DC82+(DF82-CT82)/12</f>
        <v>1426061.9026928188</v>
      </c>
      <c r="DE82" s="16">
        <f>DD82+(DF82-CT82)/12</f>
        <v>1432352.197747468</v>
      </c>
      <c r="DF82" s="90">
        <f t="shared" ref="DF82" si="986">INDEX($D82:$L82,1,MATCH(DF$2,$D$2:$L$2,))</f>
        <v>1438642.492802117</v>
      </c>
      <c r="DG82" s="16">
        <f>DF82+(DR82-DF82)/12</f>
        <v>1444636.8365221259</v>
      </c>
      <c r="DH82" s="16">
        <f>DG82+(DR82-DF82)/12</f>
        <v>1450631.1802421347</v>
      </c>
      <c r="DI82" s="16">
        <f>DH82+(DR82-DF82)/12</f>
        <v>1456625.5239621436</v>
      </c>
      <c r="DJ82" s="16">
        <f>DI82+(DR82-DF82)/12</f>
        <v>1462619.8676821524</v>
      </c>
      <c r="DK82" s="16">
        <f>DJ82+(DR82-DF82)/12</f>
        <v>1468614.2114021613</v>
      </c>
      <c r="DL82" s="16">
        <f>DK82+(DR82-DF82)/12</f>
        <v>1474608.5551221701</v>
      </c>
      <c r="DM82" s="16">
        <f>DL82+(DR82-DF82)/12</f>
        <v>1480602.898842179</v>
      </c>
      <c r="DN82" s="16">
        <f>DM82+(DR82-DF82)/12</f>
        <v>1486597.2425621878</v>
      </c>
      <c r="DO82" s="16">
        <f>DN82+(DR82-DF82)/12</f>
        <v>1492591.5862821967</v>
      </c>
      <c r="DP82" s="16">
        <f>DO82+(DR82-DF82)/12</f>
        <v>1498585.9300022055</v>
      </c>
      <c r="DQ82" s="16">
        <f>DP82+(DR82-DF82)/12</f>
        <v>1504580.2737222144</v>
      </c>
      <c r="DR82" s="90">
        <f t="shared" ref="DR82" si="987">INDEX($D82:$L82,1,MATCH(DR$2,$D$2:$L$2,))</f>
        <v>1510574.617442223</v>
      </c>
      <c r="DS82" s="16">
        <f>DR82+(ED82-DR82)/12</f>
        <v>1516868.6783482323</v>
      </c>
      <c r="DT82" s="16">
        <f>DS82+(ED82-DR82)/12</f>
        <v>1523162.7392542416</v>
      </c>
      <c r="DU82" s="16">
        <f>DT82+(ED82-DR82)/12</f>
        <v>1529456.8001602509</v>
      </c>
      <c r="DV82" s="16">
        <f>DU82+(ED82-DR82)/12</f>
        <v>1535750.8610662601</v>
      </c>
      <c r="DW82" s="16">
        <f>DV82+(ED82-DR82)/12</f>
        <v>1542044.9219722694</v>
      </c>
      <c r="DX82" s="16">
        <f>DW82+(ED82-DR82)/12</f>
        <v>1548338.9828782787</v>
      </c>
      <c r="DY82" s="16">
        <f>DX82+(ED82-DR82)/12</f>
        <v>1554633.043784288</v>
      </c>
      <c r="DZ82" s="16">
        <f>DY82+(ED82-DR82)/12</f>
        <v>1560927.1046902973</v>
      </c>
      <c r="EA82" s="16">
        <f>DZ82+(ED82-DR82)/12</f>
        <v>1567221.1655963066</v>
      </c>
      <c r="EB82" s="16">
        <f>EA82+(ED82-DR82)/12</f>
        <v>1573515.2265023158</v>
      </c>
      <c r="EC82" s="16">
        <f>EB82+(ED82-DR82)/12</f>
        <v>1579809.2874083251</v>
      </c>
      <c r="ED82" s="90">
        <f t="shared" ref="ED82" si="988">INDEX($D82:$L82,1,MATCH(ED$2,$D$2:$L$2,))</f>
        <v>1586103.3483143342</v>
      </c>
      <c r="EE82" s="16">
        <f>ED82+(EP82-ED82)/12</f>
        <v>1592712.1122656439</v>
      </c>
      <c r="EF82" s="16">
        <f>EE82+(EP82-ED82)/12</f>
        <v>1599320.8762169536</v>
      </c>
      <c r="EG82" s="16">
        <f>EF82+(EP82-ED82)/12</f>
        <v>1605929.6401682633</v>
      </c>
      <c r="EH82" s="16">
        <f>EG82+(EP82-ED82)/12</f>
        <v>1612538.4041195731</v>
      </c>
      <c r="EI82" s="16">
        <f>EH82+(EP82-ED82)/12</f>
        <v>1619147.1680708828</v>
      </c>
      <c r="EJ82" s="16">
        <f>EI82+(EP82-ED82)/12</f>
        <v>1625755.9320221925</v>
      </c>
      <c r="EK82" s="16">
        <f>EJ82+(EP82-ED82)/12</f>
        <v>1632364.6959735022</v>
      </c>
      <c r="EL82" s="16">
        <f>EK82+(EP82-ED82)/12</f>
        <v>1638973.459924812</v>
      </c>
      <c r="EM82" s="16">
        <f>EL82+(EP82-ED82)/12</f>
        <v>1645582.2238761217</v>
      </c>
      <c r="EN82" s="16">
        <f>EM82+(EP82-ED82)/12</f>
        <v>1652190.9878274314</v>
      </c>
      <c r="EO82" s="16">
        <f>EN82+(EP82-ED82)/12</f>
        <v>1658799.7517787411</v>
      </c>
      <c r="EP82" s="90">
        <f t="shared" ref="EP82" si="989">INDEX($D82:$L82,1,MATCH(EP$2,$D$2:$L$2,))</f>
        <v>1665408.5157300509</v>
      </c>
      <c r="EQ82" s="16">
        <f>EP82+(FB82-EP82)/12</f>
        <v>1675817.3189533637</v>
      </c>
      <c r="ER82" s="16">
        <f>EQ82+(FB82-EP82)/12</f>
        <v>1686226.1221766765</v>
      </c>
      <c r="ES82" s="16">
        <f>ER82+(FB82-EP82)/12</f>
        <v>1696634.9253999894</v>
      </c>
      <c r="ET82" s="16">
        <f>ES82+(FB82-EP82)/12</f>
        <v>1707043.7286233022</v>
      </c>
      <c r="EU82" s="16">
        <f>ET82+(FB82-EP82)/12</f>
        <v>1717452.531846615</v>
      </c>
      <c r="EV82" s="16">
        <f>EU82+(FB82-EP82)/12</f>
        <v>1727861.3350699279</v>
      </c>
      <c r="EW82" s="16">
        <f>EV82+(FB82-EP82)/12</f>
        <v>1738270.1382932407</v>
      </c>
      <c r="EX82" s="16">
        <f>EW82+(FB82-EP82)/12</f>
        <v>1748678.9415165535</v>
      </c>
      <c r="EY82" s="16">
        <f>EX82+(FB82-EP82)/12</f>
        <v>1759087.7447398663</v>
      </c>
      <c r="EZ82" s="16">
        <f>EY82+(FB82-EP82)/12</f>
        <v>1769496.5479631792</v>
      </c>
      <c r="FA82" s="16">
        <f>EZ82+(FB82-EP82)/12</f>
        <v>1779905.351186492</v>
      </c>
      <c r="FB82" s="90">
        <f t="shared" si="981"/>
        <v>1790314.1544098046</v>
      </c>
    </row>
    <row r="83" spans="2:158" x14ac:dyDescent="0.25">
      <c r="C83" s="28"/>
      <c r="D83" s="16"/>
      <c r="E83" s="16"/>
      <c r="F83" s="16"/>
      <c r="G83" s="16"/>
      <c r="H83" s="16"/>
      <c r="I83" s="55"/>
      <c r="J83" s="55"/>
      <c r="K83" s="55"/>
      <c r="L83" s="55"/>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Y83" s="16"/>
      <c r="AZ83" s="16"/>
      <c r="BA83" s="16"/>
      <c r="BB83" s="16"/>
      <c r="BC83" s="16"/>
      <c r="BD83" s="16"/>
      <c r="BE83" s="16"/>
      <c r="BF83" s="16"/>
      <c r="BG83" s="16"/>
      <c r="BH83" s="16"/>
      <c r="BI83" s="16"/>
      <c r="BJ83" s="16"/>
      <c r="BK83" s="16"/>
      <c r="BL83" s="16"/>
      <c r="BM83" s="16"/>
      <c r="BN83" s="16"/>
      <c r="BO83" s="16"/>
      <c r="BP83" s="16"/>
      <c r="BQ83" s="16"/>
      <c r="BR83" s="16"/>
      <c r="BS83" s="16"/>
      <c r="BT83" s="16"/>
      <c r="BU83" s="16"/>
      <c r="BV83" s="16"/>
      <c r="BW83" s="16"/>
      <c r="BX83" s="16"/>
      <c r="BY83" s="16"/>
      <c r="BZ83" s="16"/>
      <c r="CA83" s="16"/>
      <c r="CB83" s="16"/>
      <c r="CC83" s="16"/>
      <c r="CD83" s="16"/>
      <c r="CE83" s="16"/>
      <c r="CF83" s="16"/>
      <c r="CG83" s="16"/>
      <c r="CH83" s="16"/>
      <c r="CI83" s="16"/>
      <c r="CJ83" s="16"/>
      <c r="CK83" s="16"/>
      <c r="CL83" s="16"/>
      <c r="CM83" s="16"/>
      <c r="CN83" s="16"/>
      <c r="CO83" s="16"/>
      <c r="CP83" s="16"/>
      <c r="CQ83" s="16"/>
      <c r="CR83" s="16"/>
      <c r="CS83" s="16"/>
      <c r="CT83" s="16"/>
      <c r="CU83" s="16"/>
      <c r="CV83" s="16"/>
      <c r="CW83" s="16"/>
      <c r="CX83" s="16"/>
      <c r="CY83" s="16"/>
      <c r="CZ83" s="16"/>
      <c r="DA83" s="16"/>
      <c r="DB83" s="16"/>
      <c r="DC83" s="16"/>
      <c r="DD83" s="16"/>
      <c r="DE83" s="16"/>
      <c r="DF83" s="16"/>
      <c r="DG83" s="16"/>
      <c r="DH83" s="16"/>
      <c r="DI83" s="16"/>
      <c r="DJ83" s="16"/>
      <c r="DK83" s="16"/>
      <c r="DL83" s="16"/>
      <c r="DM83" s="16"/>
      <c r="DN83" s="16"/>
      <c r="DO83" s="16"/>
      <c r="DP83" s="16"/>
      <c r="DQ83" s="16"/>
      <c r="DR83" s="16"/>
      <c r="DS83" s="16"/>
      <c r="DT83" s="16"/>
      <c r="DU83" s="16"/>
      <c r="DV83" s="16"/>
      <c r="DW83" s="16"/>
      <c r="DX83" s="16"/>
      <c r="DY83" s="16"/>
      <c r="DZ83" s="16"/>
      <c r="EA83" s="16"/>
      <c r="EB83" s="16"/>
      <c r="EC83" s="16"/>
      <c r="ED83" s="16"/>
      <c r="EE83" s="16"/>
      <c r="EF83" s="16"/>
      <c r="EG83" s="16"/>
      <c r="EH83" s="16"/>
      <c r="EI83" s="16"/>
      <c r="EJ83" s="16"/>
      <c r="EK83" s="16"/>
      <c r="EL83" s="16"/>
      <c r="EM83" s="16"/>
      <c r="EN83" s="16"/>
      <c r="EO83" s="16"/>
      <c r="EP83" s="16"/>
      <c r="EQ83" s="16"/>
      <c r="ER83" s="16"/>
      <c r="ES83" s="16"/>
      <c r="ET83" s="16"/>
      <c r="EU83" s="16"/>
      <c r="EV83" s="16"/>
      <c r="EW83" s="16"/>
      <c r="EX83" s="16"/>
      <c r="EY83" s="16"/>
      <c r="EZ83" s="16"/>
      <c r="FA83" s="16"/>
      <c r="FB83" s="16"/>
    </row>
    <row r="84" spans="2:158" x14ac:dyDescent="0.25">
      <c r="C84" t="s">
        <v>532</v>
      </c>
      <c r="D84" s="19">
        <f>D56/D11</f>
        <v>0.1971405841566175</v>
      </c>
      <c r="E84" s="19">
        <f>E56/E11</f>
        <v>0.20379124527344919</v>
      </c>
      <c r="F84" s="19">
        <f>F56/F11</f>
        <v>0.17336553109070624</v>
      </c>
      <c r="G84" s="19">
        <f>G56/G11</f>
        <v>0.15206647408262361</v>
      </c>
      <c r="H84" s="250">
        <v>0.15</v>
      </c>
      <c r="I84" s="250">
        <v>0.15</v>
      </c>
      <c r="J84" s="250">
        <v>0.15</v>
      </c>
      <c r="K84" s="250">
        <v>0.15</v>
      </c>
      <c r="L84" s="250">
        <v>0.15</v>
      </c>
      <c r="N84" s="19">
        <f t="shared" ref="N84:AW84" si="990">N56/N11</f>
        <v>0.25951201076971009</v>
      </c>
      <c r="O84" s="19">
        <f t="shared" si="990"/>
        <v>0.14362205616928009</v>
      </c>
      <c r="P84" s="19">
        <f t="shared" si="990"/>
        <v>0.31473423722114674</v>
      </c>
      <c r="Q84" s="19">
        <f t="shared" si="990"/>
        <v>0.12654790797860055</v>
      </c>
      <c r="R84" s="19">
        <f t="shared" si="990"/>
        <v>0.27381240249226363</v>
      </c>
      <c r="S84" s="19">
        <f t="shared" si="990"/>
        <v>0.18823492743803349</v>
      </c>
      <c r="T84" s="19">
        <f t="shared" si="990"/>
        <v>0.23800789807543943</v>
      </c>
      <c r="U84" s="19">
        <f t="shared" si="990"/>
        <v>0.14666770119275027</v>
      </c>
      <c r="V84" s="19">
        <f t="shared" si="990"/>
        <v>0.25854853219221158</v>
      </c>
      <c r="W84" s="19">
        <f t="shared" si="990"/>
        <v>0.11721858336325715</v>
      </c>
      <c r="X84" s="19">
        <f t="shared" si="990"/>
        <v>0.16957415931318479</v>
      </c>
      <c r="Y84" s="19">
        <f t="shared" si="990"/>
        <v>0.17715979129277951</v>
      </c>
      <c r="Z84" s="19">
        <f t="shared" si="990"/>
        <v>0.18484800754064351</v>
      </c>
      <c r="AA84" s="19">
        <f t="shared" si="990"/>
        <v>0.15105306651928374</v>
      </c>
      <c r="AB84" s="19">
        <f t="shared" si="990"/>
        <v>0.20207314355623124</v>
      </c>
      <c r="AC84" s="19">
        <f t="shared" si="990"/>
        <v>0.10296186515245848</v>
      </c>
      <c r="AD84" s="19">
        <f t="shared" si="990"/>
        <v>0.17519053677699581</v>
      </c>
      <c r="AE84" s="19">
        <f t="shared" si="990"/>
        <v>0.12422057559075467</v>
      </c>
      <c r="AF84" s="19">
        <f t="shared" si="990"/>
        <v>0.19582474385541218</v>
      </c>
      <c r="AG84" s="19">
        <f t="shared" si="990"/>
        <v>0.12460547120341789</v>
      </c>
      <c r="AH84" s="19">
        <f t="shared" si="990"/>
        <v>0.17000323920463989</v>
      </c>
      <c r="AI84" s="19">
        <f t="shared" si="990"/>
        <v>0.11819691092844291</v>
      </c>
      <c r="AJ84" s="19">
        <f t="shared" si="990"/>
        <v>0.19582474385541224</v>
      </c>
      <c r="AK84" s="19">
        <f t="shared" si="990"/>
        <v>0.13101969687214246</v>
      </c>
      <c r="AL84" s="19">
        <f t="shared" si="990"/>
        <v>0.17000323920463992</v>
      </c>
      <c r="AM84" s="19">
        <f t="shared" si="990"/>
        <v>0.11819691092844291</v>
      </c>
      <c r="AN84" s="19">
        <f t="shared" si="990"/>
        <v>0.19582474385541221</v>
      </c>
      <c r="AO84" s="19">
        <f t="shared" si="990"/>
        <v>0.13101969687214249</v>
      </c>
      <c r="AP84" s="19">
        <f t="shared" si="990"/>
        <v>0.17000323920463992</v>
      </c>
      <c r="AQ84" s="19">
        <f t="shared" si="990"/>
        <v>0.11819691092844288</v>
      </c>
      <c r="AR84" s="19">
        <f t="shared" si="990"/>
        <v>0.19582474385541221</v>
      </c>
      <c r="AS84" s="19">
        <f t="shared" si="990"/>
        <v>0.13101969687214249</v>
      </c>
      <c r="AT84" s="19">
        <f t="shared" si="990"/>
        <v>0.17000323920463989</v>
      </c>
      <c r="AU84" s="19">
        <f t="shared" si="990"/>
        <v>0.11819691092844289</v>
      </c>
      <c r="AV84" s="19">
        <f t="shared" si="990"/>
        <v>0.19582474385541218</v>
      </c>
      <c r="AW84" s="19">
        <f t="shared" si="990"/>
        <v>0.13101969687214246</v>
      </c>
      <c r="AY84" s="16"/>
      <c r="AZ84" s="16"/>
      <c r="BA84" s="16"/>
      <c r="BB84" s="16"/>
      <c r="BC84" s="16"/>
      <c r="BD84" s="16"/>
      <c r="BE84" s="16"/>
      <c r="BF84" s="16"/>
      <c r="BG84" s="16"/>
      <c r="BH84" s="16"/>
      <c r="BI84" s="16"/>
      <c r="BJ84" s="16"/>
      <c r="BK84" s="16"/>
      <c r="BL84" s="16"/>
      <c r="BM84" s="16"/>
      <c r="BN84" s="16"/>
      <c r="BO84" s="16"/>
      <c r="BP84" s="16"/>
      <c r="BQ84" s="16"/>
      <c r="BR84" s="16"/>
      <c r="BS84" s="16"/>
      <c r="BT84" s="16"/>
      <c r="BU84" s="16"/>
      <c r="BV84" s="16"/>
      <c r="BW84" s="16"/>
      <c r="BX84" s="16"/>
      <c r="BY84" s="16"/>
      <c r="BZ84" s="16"/>
      <c r="CA84" s="16"/>
      <c r="CB84" s="16"/>
      <c r="CC84" s="16"/>
      <c r="CD84" s="16"/>
      <c r="CE84" s="16"/>
      <c r="CF84" s="16"/>
      <c r="CG84" s="16"/>
      <c r="CH84" s="16"/>
      <c r="CI84" s="16"/>
      <c r="CJ84" s="16"/>
      <c r="CK84" s="16"/>
      <c r="CL84" s="16"/>
      <c r="CM84" s="16"/>
      <c r="CN84" s="16"/>
      <c r="CO84" s="16"/>
      <c r="CP84" s="16"/>
      <c r="CQ84" s="16"/>
      <c r="CR84" s="16"/>
      <c r="CS84" s="16"/>
      <c r="CT84" s="16"/>
      <c r="CU84" s="16"/>
      <c r="CV84" s="16"/>
      <c r="CW84" s="16"/>
      <c r="CX84" s="16"/>
      <c r="CY84" s="16"/>
      <c r="CZ84" s="16"/>
      <c r="DA84" s="16"/>
      <c r="DB84" s="16"/>
      <c r="DC84" s="16"/>
      <c r="DD84" s="16"/>
      <c r="DE84" s="16"/>
      <c r="DF84" s="16"/>
      <c r="DG84" s="16"/>
      <c r="DH84" s="16"/>
      <c r="DI84" s="16"/>
      <c r="DJ84" s="16"/>
      <c r="DK84" s="16"/>
      <c r="DL84" s="16"/>
      <c r="DM84" s="16"/>
      <c r="DN84" s="16"/>
      <c r="DO84" s="16"/>
      <c r="DP84" s="16"/>
      <c r="DQ84" s="16"/>
      <c r="DR84" s="16"/>
      <c r="DS84" s="16"/>
      <c r="DT84" s="16"/>
      <c r="DU84" s="16"/>
      <c r="DV84" s="16"/>
      <c r="DW84" s="16"/>
      <c r="DX84" s="16"/>
      <c r="DY84" s="16"/>
      <c r="DZ84" s="16"/>
      <c r="EA84" s="16"/>
      <c r="EB84" s="16"/>
      <c r="EC84" s="16"/>
      <c r="ED84" s="16"/>
      <c r="EE84" s="16"/>
      <c r="EF84" s="16"/>
      <c r="EG84" s="16"/>
      <c r="EH84" s="16"/>
      <c r="EI84" s="16"/>
      <c r="EJ84" s="16"/>
      <c r="EK84" s="16"/>
      <c r="EL84" s="16"/>
      <c r="EM84" s="16"/>
      <c r="EN84" s="16"/>
      <c r="EO84" s="16"/>
      <c r="EP84" s="16"/>
      <c r="EQ84" s="16"/>
      <c r="ER84" s="16"/>
      <c r="ES84" s="16"/>
      <c r="ET84" s="16"/>
      <c r="EU84" s="16"/>
      <c r="EV84" s="16"/>
      <c r="EW84" s="16"/>
      <c r="EX84" s="16"/>
      <c r="EY84" s="16"/>
      <c r="EZ84" s="16"/>
      <c r="FA84" s="16"/>
      <c r="FB84" s="16"/>
    </row>
    <row r="85" spans="2:158" outlineLevel="1" x14ac:dyDescent="0.25">
      <c r="C85" s="28"/>
      <c r="D85" s="16"/>
      <c r="E85" s="16"/>
      <c r="F85" s="16"/>
      <c r="G85" s="16"/>
      <c r="H85" s="16"/>
      <c r="I85" s="55"/>
      <c r="J85" s="55"/>
      <c r="K85" s="55"/>
      <c r="L85" s="55"/>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Y85" s="16"/>
      <c r="AZ85" s="16"/>
      <c r="BA85" s="16"/>
      <c r="BB85" s="16"/>
      <c r="BC85" s="16"/>
      <c r="BD85" s="16"/>
      <c r="BE85" s="16"/>
      <c r="BF85" s="16"/>
      <c r="BG85" s="16"/>
      <c r="BH85" s="16"/>
      <c r="BI85" s="16"/>
      <c r="BJ85" s="16"/>
      <c r="BK85" s="16"/>
      <c r="BL85" s="16"/>
      <c r="BM85" s="16"/>
      <c r="BN85" s="16"/>
      <c r="BO85" s="16"/>
      <c r="BP85" s="16"/>
      <c r="BQ85" s="16"/>
      <c r="BR85" s="16"/>
      <c r="BS85" s="16"/>
      <c r="BT85" s="16"/>
      <c r="BU85" s="16"/>
      <c r="BV85" s="16"/>
      <c r="BW85" s="16"/>
      <c r="BX85" s="16"/>
      <c r="BY85" s="16"/>
      <c r="BZ85" s="16"/>
      <c r="CA85" s="16"/>
      <c r="CB85" s="16"/>
      <c r="CC85" s="16"/>
      <c r="CD85" s="16"/>
      <c r="CE85" s="16"/>
      <c r="CF85" s="16"/>
      <c r="CG85" s="16"/>
      <c r="CH85" s="16"/>
      <c r="CI85" s="16"/>
      <c r="CJ85" s="16"/>
      <c r="CK85" s="16"/>
      <c r="CL85" s="16"/>
      <c r="CM85" s="16"/>
      <c r="CN85" s="16"/>
      <c r="CO85" s="16"/>
      <c r="CP85" s="16"/>
      <c r="CQ85" s="16"/>
      <c r="CR85" s="16"/>
      <c r="CS85" s="16"/>
      <c r="CT85" s="16"/>
      <c r="CU85" s="16"/>
      <c r="CV85" s="16"/>
      <c r="CW85" s="16"/>
      <c r="CX85" s="16"/>
      <c r="CY85" s="16"/>
      <c r="CZ85" s="16"/>
      <c r="DA85" s="16"/>
      <c r="DB85" s="16"/>
      <c r="DC85" s="16"/>
      <c r="DD85" s="16"/>
      <c r="DE85" s="16"/>
      <c r="DF85" s="16"/>
      <c r="DG85" s="16"/>
      <c r="DH85" s="16"/>
      <c r="DI85" s="16"/>
      <c r="DJ85" s="16"/>
      <c r="DK85" s="16"/>
      <c r="DL85" s="16"/>
      <c r="DM85" s="16"/>
      <c r="DN85" s="16"/>
      <c r="DO85" s="16"/>
      <c r="DP85" s="16"/>
      <c r="DQ85" s="16"/>
      <c r="DR85" s="16"/>
      <c r="DS85" s="16"/>
      <c r="DT85" s="16"/>
      <c r="DU85" s="16"/>
      <c r="DV85" s="16"/>
      <c r="DW85" s="16"/>
      <c r="DX85" s="16"/>
      <c r="DY85" s="16"/>
      <c r="DZ85" s="16"/>
      <c r="EA85" s="16"/>
      <c r="EB85" s="16"/>
      <c r="EC85" s="16"/>
      <c r="ED85" s="16"/>
      <c r="EE85" s="16"/>
      <c r="EF85" s="16"/>
      <c r="EG85" s="16"/>
      <c r="EH85" s="16"/>
      <c r="EI85" s="16"/>
      <c r="EJ85" s="16"/>
      <c r="EK85" s="16"/>
      <c r="EL85" s="16"/>
      <c r="EM85" s="16"/>
      <c r="EN85" s="16"/>
      <c r="EO85" s="16"/>
      <c r="EP85" s="16"/>
      <c r="EQ85" s="16"/>
      <c r="ER85" s="16"/>
      <c r="ES85" s="16"/>
      <c r="ET85" s="16"/>
      <c r="EU85" s="16"/>
      <c r="EV85" s="16"/>
      <c r="EW85" s="16"/>
      <c r="EX85" s="16"/>
      <c r="EY85" s="16"/>
      <c r="EZ85" s="16"/>
      <c r="FA85" s="16"/>
      <c r="FB85" s="16"/>
    </row>
    <row r="86" spans="2:158" outlineLevel="1" x14ac:dyDescent="0.25">
      <c r="C86" s="7" t="s">
        <v>525</v>
      </c>
      <c r="D86" s="16"/>
      <c r="E86" s="16"/>
      <c r="F86" s="16"/>
      <c r="G86" s="16"/>
      <c r="H86" s="16"/>
      <c r="I86" s="55"/>
      <c r="J86" s="55"/>
      <c r="K86" s="55"/>
      <c r="L86" s="55"/>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Y86" s="16"/>
      <c r="AZ86" s="16"/>
      <c r="BA86" s="16"/>
      <c r="BB86" s="16"/>
      <c r="BC86" s="16"/>
      <c r="BD86" s="16"/>
      <c r="BE86" s="16"/>
      <c r="BF86" s="16"/>
      <c r="BG86" s="16"/>
      <c r="BH86" s="16"/>
      <c r="BI86" s="16"/>
      <c r="BJ86" s="16"/>
      <c r="BK86" s="16"/>
      <c r="BL86" s="16"/>
      <c r="BM86" s="16"/>
      <c r="BN86" s="16"/>
      <c r="BO86" s="16"/>
      <c r="BP86" s="16"/>
      <c r="BQ86" s="16"/>
      <c r="BR86" s="16"/>
      <c r="BS86" s="16"/>
      <c r="BT86" s="16"/>
      <c r="BU86" s="16"/>
      <c r="BV86" s="16"/>
      <c r="BW86" s="16"/>
      <c r="BX86" s="16"/>
      <c r="BY86" s="16"/>
      <c r="BZ86" s="16"/>
      <c r="CA86" s="16"/>
      <c r="CB86" s="16"/>
      <c r="CC86" s="16"/>
      <c r="CD86" s="16"/>
      <c r="CE86" s="16"/>
      <c r="CF86" s="16"/>
      <c r="CG86" s="16"/>
      <c r="CH86" s="16"/>
      <c r="CI86" s="16"/>
      <c r="CJ86" s="16"/>
      <c r="CK86" s="16"/>
      <c r="CL86" s="16"/>
      <c r="CM86" s="16"/>
      <c r="CN86" s="16"/>
      <c r="CO86" s="16"/>
      <c r="CP86" s="16"/>
      <c r="CQ86" s="16"/>
      <c r="CR86" s="16"/>
      <c r="CS86" s="16"/>
      <c r="CT86" s="16"/>
      <c r="CU86" s="16"/>
      <c r="CV86" s="16"/>
      <c r="CW86" s="16"/>
      <c r="CX86" s="16"/>
      <c r="CY86" s="16"/>
      <c r="CZ86" s="16"/>
      <c r="DA86" s="16"/>
      <c r="DB86" s="16"/>
      <c r="DC86" s="16"/>
      <c r="DD86" s="16"/>
      <c r="DE86" s="16"/>
      <c r="DF86" s="16"/>
      <c r="DG86" s="16"/>
      <c r="DH86" s="16"/>
      <c r="DI86" s="16"/>
      <c r="DJ86" s="16"/>
      <c r="DK86" s="16"/>
      <c r="DL86" s="16"/>
      <c r="DM86" s="16"/>
      <c r="DN86" s="16"/>
      <c r="DO86" s="16"/>
      <c r="DP86" s="16"/>
      <c r="DQ86" s="16"/>
      <c r="DR86" s="16"/>
      <c r="DS86" s="16"/>
      <c r="DT86" s="16"/>
      <c r="DU86" s="16"/>
      <c r="DV86" s="16"/>
      <c r="DW86" s="16"/>
      <c r="DX86" s="16"/>
      <c r="DY86" s="16"/>
      <c r="DZ86" s="16"/>
      <c r="EA86" s="16"/>
      <c r="EB86" s="16"/>
      <c r="EC86" s="16"/>
      <c r="ED86" s="16"/>
      <c r="EE86" s="16"/>
      <c r="EF86" s="16"/>
      <c r="EG86" s="16"/>
      <c r="EH86" s="16"/>
      <c r="EI86" s="16"/>
      <c r="EJ86" s="16"/>
      <c r="EK86" s="16"/>
      <c r="EL86" s="16"/>
      <c r="EM86" s="16"/>
      <c r="EN86" s="16"/>
      <c r="EO86" s="16"/>
      <c r="EP86" s="16"/>
      <c r="EQ86" s="16"/>
      <c r="ER86" s="16"/>
      <c r="ES86" s="16"/>
      <c r="ET86" s="16"/>
      <c r="EU86" s="16"/>
      <c r="EV86" s="16"/>
      <c r="EW86" s="16"/>
      <c r="EX86" s="16"/>
      <c r="EY86" s="16"/>
      <c r="EZ86" s="16"/>
      <c r="FA86" s="16"/>
      <c r="FB86" s="16"/>
    </row>
    <row r="87" spans="2:158" outlineLevel="1" x14ac:dyDescent="0.25">
      <c r="C87" s="28" t="s">
        <v>526</v>
      </c>
      <c r="D87" s="19">
        <f>D52/D51</f>
        <v>0.13973662807988391</v>
      </c>
      <c r="E87" s="19">
        <f>E52/E51</f>
        <v>0.16683194076913072</v>
      </c>
      <c r="F87" s="19">
        <f>F52/F51</f>
        <v>8.4360843588449447E-2</v>
      </c>
      <c r="G87" s="19">
        <f>G52/G51</f>
        <v>7.3883044415899657E-2</v>
      </c>
      <c r="H87" s="250">
        <f>G87</f>
        <v>7.3883044415899657E-2</v>
      </c>
      <c r="I87" s="250">
        <f t="shared" ref="I87:L87" si="991">H87</f>
        <v>7.3883044415899657E-2</v>
      </c>
      <c r="J87" s="250">
        <f t="shared" si="991"/>
        <v>7.3883044415899657E-2</v>
      </c>
      <c r="K87" s="250">
        <f t="shared" si="991"/>
        <v>7.3883044415899657E-2</v>
      </c>
      <c r="L87" s="250">
        <f t="shared" si="991"/>
        <v>7.3883044415899657E-2</v>
      </c>
      <c r="N87" s="19">
        <f t="shared" ref="N87:AW87" si="992">N52/N51</f>
        <v>0.17937416867999809</v>
      </c>
      <c r="O87" s="19">
        <f t="shared" si="992"/>
        <v>0.14354124137551055</v>
      </c>
      <c r="P87" s="19">
        <f t="shared" si="992"/>
        <v>0.1501223578568342</v>
      </c>
      <c r="Q87" s="19">
        <f t="shared" si="992"/>
        <v>0.11285948829642467</v>
      </c>
      <c r="R87" s="19">
        <f t="shared" si="992"/>
        <v>0.1141831022357792</v>
      </c>
      <c r="S87" s="19">
        <f t="shared" si="992"/>
        <v>0.14000580441463892</v>
      </c>
      <c r="T87" s="19">
        <f t="shared" si="992"/>
        <v>0.22530284263338743</v>
      </c>
      <c r="U87" s="19">
        <f t="shared" si="992"/>
        <v>0.17861519080178034</v>
      </c>
      <c r="V87" s="19">
        <f t="shared" si="992"/>
        <v>0.11908370748086146</v>
      </c>
      <c r="W87" s="19">
        <f t="shared" si="992"/>
        <v>6.9111846058955165E-2</v>
      </c>
      <c r="X87" s="19">
        <f t="shared" si="992"/>
        <v>7.2585577882118529E-2</v>
      </c>
      <c r="Y87" s="19">
        <f t="shared" si="992"/>
        <v>8.1647692433500951E-2</v>
      </c>
      <c r="Z87" s="19">
        <f t="shared" si="992"/>
        <v>7.2536156631939547E-2</v>
      </c>
      <c r="AA87" s="19">
        <f t="shared" si="992"/>
        <v>7.6631446110200105E-2</v>
      </c>
      <c r="AB87" s="19">
        <f t="shared" si="992"/>
        <v>5.7076908273414127E-2</v>
      </c>
      <c r="AC87" s="19">
        <f t="shared" si="992"/>
        <v>8.731954505289645E-2</v>
      </c>
      <c r="AD87" s="19">
        <f t="shared" si="992"/>
        <v>7.3883044415899643E-2</v>
      </c>
      <c r="AE87" s="19">
        <f t="shared" si="992"/>
        <v>7.3883044415899657E-2</v>
      </c>
      <c r="AF87" s="19">
        <f t="shared" si="992"/>
        <v>7.3883044415899657E-2</v>
      </c>
      <c r="AG87" s="19">
        <f t="shared" si="992"/>
        <v>7.3883044415899657E-2</v>
      </c>
      <c r="AH87" s="19">
        <f t="shared" si="992"/>
        <v>7.3883044415899657E-2</v>
      </c>
      <c r="AI87" s="19">
        <f t="shared" si="992"/>
        <v>7.3883044415899643E-2</v>
      </c>
      <c r="AJ87" s="19">
        <f t="shared" si="992"/>
        <v>7.3883044415899657E-2</v>
      </c>
      <c r="AK87" s="19">
        <f t="shared" si="992"/>
        <v>7.3883044415899657E-2</v>
      </c>
      <c r="AL87" s="19">
        <f t="shared" si="992"/>
        <v>7.3883044415899657E-2</v>
      </c>
      <c r="AM87" s="19">
        <f t="shared" si="992"/>
        <v>7.3883044415899657E-2</v>
      </c>
      <c r="AN87" s="19">
        <f t="shared" si="992"/>
        <v>7.3883044415899643E-2</v>
      </c>
      <c r="AO87" s="19">
        <f t="shared" si="992"/>
        <v>7.3883044415899643E-2</v>
      </c>
      <c r="AP87" s="19">
        <f t="shared" si="992"/>
        <v>7.3883044415899671E-2</v>
      </c>
      <c r="AQ87" s="19">
        <f t="shared" si="992"/>
        <v>7.3883044415899657E-2</v>
      </c>
      <c r="AR87" s="19">
        <f t="shared" si="992"/>
        <v>7.3883044415899657E-2</v>
      </c>
      <c r="AS87" s="19">
        <f t="shared" si="992"/>
        <v>7.3883044415899657E-2</v>
      </c>
      <c r="AT87" s="19">
        <f t="shared" si="992"/>
        <v>7.3883044415899643E-2</v>
      </c>
      <c r="AU87" s="19">
        <f t="shared" si="992"/>
        <v>7.3883044415899671E-2</v>
      </c>
      <c r="AV87" s="19">
        <f t="shared" si="992"/>
        <v>7.3883044415899657E-2</v>
      </c>
      <c r="AW87" s="19">
        <f t="shared" si="992"/>
        <v>7.3883044415899657E-2</v>
      </c>
      <c r="AY87" s="19">
        <f t="shared" ref="AY87:CT87" si="993">AY52/AY51</f>
        <v>0.23073136347194392</v>
      </c>
      <c r="AZ87" s="19">
        <f t="shared" si="993"/>
        <v>0.25220005279751462</v>
      </c>
      <c r="BA87" s="19">
        <f t="shared" si="993"/>
        <v>0.11088832829922346</v>
      </c>
      <c r="BB87" s="19">
        <f t="shared" si="993"/>
        <v>0.17988932267949195</v>
      </c>
      <c r="BC87" s="19">
        <f t="shared" si="993"/>
        <v>0.16039652445958791</v>
      </c>
      <c r="BD87" s="19">
        <f t="shared" si="993"/>
        <v>0.11167473394806146</v>
      </c>
      <c r="BE87" s="19">
        <f t="shared" si="993"/>
        <v>0.18421406250693448</v>
      </c>
      <c r="BF87" s="19">
        <f t="shared" si="993"/>
        <v>0.16758394201297402</v>
      </c>
      <c r="BG87" s="19">
        <f t="shared" si="993"/>
        <v>0.11843602678647659</v>
      </c>
      <c r="BH87" s="19">
        <f t="shared" si="993"/>
        <v>0.16953015235365304</v>
      </c>
      <c r="BI87" s="19">
        <f t="shared" si="993"/>
        <v>8.9220335062889053E-2</v>
      </c>
      <c r="BJ87" s="19">
        <f t="shared" si="993"/>
        <v>0.10456300024940213</v>
      </c>
      <c r="BK87" s="19">
        <f t="shared" si="993"/>
        <v>9.3592626359689873E-2</v>
      </c>
      <c r="BL87" s="19">
        <f t="shared" si="993"/>
        <v>0.14776927479515753</v>
      </c>
      <c r="BM87" s="19">
        <f t="shared" si="993"/>
        <v>0.10242363516998676</v>
      </c>
      <c r="BN87" s="19">
        <f t="shared" si="993"/>
        <v>0.12047348454295943</v>
      </c>
      <c r="BO87" s="19">
        <f t="shared" si="993"/>
        <v>0.1935015522066835</v>
      </c>
      <c r="BP87" s="19">
        <f t="shared" si="993"/>
        <v>0.10533129008108841</v>
      </c>
      <c r="BQ87" s="19">
        <f t="shared" si="993"/>
        <v>0.30271615638092125</v>
      </c>
      <c r="BR87" s="19">
        <f t="shared" si="993"/>
        <v>0.16052724728057238</v>
      </c>
      <c r="BS87" s="19">
        <f t="shared" si="993"/>
        <v>0.21894812592383461</v>
      </c>
      <c r="BT87" s="19">
        <f t="shared" si="993"/>
        <v>0.23171660897969765</v>
      </c>
      <c r="BU87" s="19">
        <f t="shared" si="993"/>
        <v>0.19945596178508823</v>
      </c>
      <c r="BV87" s="19">
        <f t="shared" si="993"/>
        <v>0.13579225004554099</v>
      </c>
      <c r="BW87" s="19">
        <f t="shared" si="993"/>
        <v>0.17218134355866743</v>
      </c>
      <c r="BX87" s="19">
        <f t="shared" si="993"/>
        <v>0.10873878226884723</v>
      </c>
      <c r="BY87" s="19">
        <f t="shared" si="993"/>
        <v>8.4562441546806172E-2</v>
      </c>
      <c r="BZ87" s="19">
        <f t="shared" si="993"/>
        <v>7.4253191478421049E-2</v>
      </c>
      <c r="CA87" s="19">
        <f t="shared" si="993"/>
        <v>9.5782399329583393E-2</v>
      </c>
      <c r="CB87" s="19">
        <f t="shared" si="993"/>
        <v>4.9825033764854233E-2</v>
      </c>
      <c r="CC87" s="19">
        <f t="shared" si="993"/>
        <v>8.4632789694162575E-2</v>
      </c>
      <c r="CD87" s="19">
        <f t="shared" si="993"/>
        <v>6.7653361916134247E-2</v>
      </c>
      <c r="CE87" s="19">
        <f t="shared" si="993"/>
        <v>6.8962252043029609E-2</v>
      </c>
      <c r="CF87" s="19">
        <f t="shared" si="993"/>
        <v>0.11686617899264171</v>
      </c>
      <c r="CG87" s="19">
        <f t="shared" si="993"/>
        <v>7.9464703306504222E-2</v>
      </c>
      <c r="CH87" s="19">
        <f t="shared" si="993"/>
        <v>6.2310671705317691E-2</v>
      </c>
      <c r="CI87" s="19">
        <f t="shared" si="993"/>
        <v>8.1551056906439115E-2</v>
      </c>
      <c r="CJ87" s="19">
        <f t="shared" si="993"/>
        <v>7.6263247016179522E-2</v>
      </c>
      <c r="CK87" s="19">
        <f t="shared" si="993"/>
        <v>6.4428910518284102E-2</v>
      </c>
      <c r="CL87" s="19">
        <f t="shared" si="993"/>
        <v>9.300128658187265E-2</v>
      </c>
      <c r="CM87" s="19">
        <f t="shared" si="993"/>
        <v>8.4913437652518575E-2</v>
      </c>
      <c r="CN87" s="19">
        <f t="shared" si="993"/>
        <v>5.8493856799101109E-2</v>
      </c>
      <c r="CO87" s="19">
        <f t="shared" si="993"/>
        <v>7.2115115169518698E-2</v>
      </c>
      <c r="CP87" s="19">
        <f t="shared" si="993"/>
        <v>5.5597392256233232E-2</v>
      </c>
      <c r="CQ87" s="19">
        <f t="shared" si="993"/>
        <v>4.8651495580314751E-2</v>
      </c>
      <c r="CR87" s="19">
        <f t="shared" si="993"/>
        <v>0.2051317365629943</v>
      </c>
      <c r="CS87" s="19">
        <f t="shared" si="993"/>
        <v>5.2312775205585187E-2</v>
      </c>
      <c r="CT87" s="19">
        <f t="shared" si="993"/>
        <v>4.751761195506949E-2</v>
      </c>
      <c r="CU87" s="93">
        <f>INDEX($D87:$L87,1,MATCH(CU$2,$D$2:$L$2,))</f>
        <v>7.3883044415899657E-2</v>
      </c>
      <c r="CV87" s="93">
        <f t="shared" ref="CV87:FB90" si="994">INDEX($D87:$L87,1,MATCH(CV$2,$D$2:$L$2,))</f>
        <v>7.3883044415899657E-2</v>
      </c>
      <c r="CW87" s="93">
        <f t="shared" si="994"/>
        <v>7.3883044415899657E-2</v>
      </c>
      <c r="CX87" s="93">
        <f t="shared" si="994"/>
        <v>7.3883044415899657E-2</v>
      </c>
      <c r="CY87" s="93">
        <f t="shared" si="994"/>
        <v>7.3883044415899657E-2</v>
      </c>
      <c r="CZ87" s="93">
        <f t="shared" si="994"/>
        <v>7.3883044415899657E-2</v>
      </c>
      <c r="DA87" s="93">
        <f t="shared" si="994"/>
        <v>7.3883044415899657E-2</v>
      </c>
      <c r="DB87" s="93">
        <f t="shared" si="994"/>
        <v>7.3883044415899657E-2</v>
      </c>
      <c r="DC87" s="93">
        <f t="shared" si="994"/>
        <v>7.3883044415899657E-2</v>
      </c>
      <c r="DD87" s="93">
        <f t="shared" si="994"/>
        <v>7.3883044415899657E-2</v>
      </c>
      <c r="DE87" s="93">
        <f t="shared" si="994"/>
        <v>7.3883044415899657E-2</v>
      </c>
      <c r="DF87" s="93">
        <f t="shared" si="994"/>
        <v>7.3883044415899657E-2</v>
      </c>
      <c r="DG87" s="93">
        <f t="shared" si="994"/>
        <v>7.3883044415899657E-2</v>
      </c>
      <c r="DH87" s="93">
        <f t="shared" si="994"/>
        <v>7.3883044415899657E-2</v>
      </c>
      <c r="DI87" s="93">
        <f t="shared" si="994"/>
        <v>7.3883044415899657E-2</v>
      </c>
      <c r="DJ87" s="93">
        <f t="shared" si="994"/>
        <v>7.3883044415899657E-2</v>
      </c>
      <c r="DK87" s="93">
        <f t="shared" si="994"/>
        <v>7.3883044415899657E-2</v>
      </c>
      <c r="DL87" s="93">
        <f t="shared" si="994"/>
        <v>7.3883044415899657E-2</v>
      </c>
      <c r="DM87" s="93">
        <f t="shared" si="994"/>
        <v>7.3883044415899657E-2</v>
      </c>
      <c r="DN87" s="93">
        <f t="shared" si="994"/>
        <v>7.3883044415899657E-2</v>
      </c>
      <c r="DO87" s="93">
        <f t="shared" si="994"/>
        <v>7.3883044415899657E-2</v>
      </c>
      <c r="DP87" s="93">
        <f t="shared" si="994"/>
        <v>7.3883044415899657E-2</v>
      </c>
      <c r="DQ87" s="93">
        <f t="shared" si="994"/>
        <v>7.3883044415899657E-2</v>
      </c>
      <c r="DR87" s="93">
        <f t="shared" si="994"/>
        <v>7.3883044415899657E-2</v>
      </c>
      <c r="DS87" s="93">
        <f t="shared" si="994"/>
        <v>7.3883044415899657E-2</v>
      </c>
      <c r="DT87" s="93">
        <f t="shared" si="994"/>
        <v>7.3883044415899657E-2</v>
      </c>
      <c r="DU87" s="93">
        <f t="shared" si="994"/>
        <v>7.3883044415899657E-2</v>
      </c>
      <c r="DV87" s="93">
        <f t="shared" si="994"/>
        <v>7.3883044415899657E-2</v>
      </c>
      <c r="DW87" s="93">
        <f t="shared" si="994"/>
        <v>7.3883044415899657E-2</v>
      </c>
      <c r="DX87" s="93">
        <f t="shared" si="994"/>
        <v>7.3883044415899657E-2</v>
      </c>
      <c r="DY87" s="93">
        <f t="shared" si="994"/>
        <v>7.3883044415899657E-2</v>
      </c>
      <c r="DZ87" s="93">
        <f t="shared" si="994"/>
        <v>7.3883044415899657E-2</v>
      </c>
      <c r="EA87" s="93">
        <f t="shared" si="994"/>
        <v>7.3883044415899657E-2</v>
      </c>
      <c r="EB87" s="93">
        <f t="shared" si="994"/>
        <v>7.3883044415899657E-2</v>
      </c>
      <c r="EC87" s="93">
        <f t="shared" si="994"/>
        <v>7.3883044415899657E-2</v>
      </c>
      <c r="ED87" s="93">
        <f t="shared" si="994"/>
        <v>7.3883044415899657E-2</v>
      </c>
      <c r="EE87" s="93">
        <f t="shared" si="994"/>
        <v>7.3883044415899657E-2</v>
      </c>
      <c r="EF87" s="93">
        <f t="shared" si="994"/>
        <v>7.3883044415899657E-2</v>
      </c>
      <c r="EG87" s="93">
        <f t="shared" si="994"/>
        <v>7.3883044415899657E-2</v>
      </c>
      <c r="EH87" s="93">
        <f t="shared" si="994"/>
        <v>7.3883044415899657E-2</v>
      </c>
      <c r="EI87" s="93">
        <f t="shared" si="994"/>
        <v>7.3883044415899657E-2</v>
      </c>
      <c r="EJ87" s="93">
        <f t="shared" si="994"/>
        <v>7.3883044415899657E-2</v>
      </c>
      <c r="EK87" s="93">
        <f t="shared" si="994"/>
        <v>7.3883044415899657E-2</v>
      </c>
      <c r="EL87" s="93">
        <f t="shared" si="994"/>
        <v>7.3883044415899657E-2</v>
      </c>
      <c r="EM87" s="93">
        <f t="shared" si="994"/>
        <v>7.3883044415899657E-2</v>
      </c>
      <c r="EN87" s="93">
        <f t="shared" si="994"/>
        <v>7.3883044415899657E-2</v>
      </c>
      <c r="EO87" s="93">
        <f t="shared" si="994"/>
        <v>7.3883044415899657E-2</v>
      </c>
      <c r="EP87" s="93">
        <f t="shared" si="994"/>
        <v>7.3883044415899657E-2</v>
      </c>
      <c r="EQ87" s="93">
        <f t="shared" si="994"/>
        <v>7.3883044415899657E-2</v>
      </c>
      <c r="ER87" s="93">
        <f t="shared" si="994"/>
        <v>7.3883044415899657E-2</v>
      </c>
      <c r="ES87" s="93">
        <f t="shared" si="994"/>
        <v>7.3883044415899657E-2</v>
      </c>
      <c r="ET87" s="93">
        <f t="shared" si="994"/>
        <v>7.3883044415899657E-2</v>
      </c>
      <c r="EU87" s="93">
        <f t="shared" si="994"/>
        <v>7.3883044415899657E-2</v>
      </c>
      <c r="EV87" s="93">
        <f t="shared" si="994"/>
        <v>7.3883044415899657E-2</v>
      </c>
      <c r="EW87" s="93">
        <f t="shared" si="994"/>
        <v>7.3883044415899657E-2</v>
      </c>
      <c r="EX87" s="93">
        <f t="shared" si="994"/>
        <v>7.3883044415899657E-2</v>
      </c>
      <c r="EY87" s="93">
        <f t="shared" si="994"/>
        <v>7.3883044415899657E-2</v>
      </c>
      <c r="EZ87" s="93">
        <f t="shared" si="994"/>
        <v>7.3883044415899657E-2</v>
      </c>
      <c r="FA87" s="93">
        <f t="shared" si="994"/>
        <v>7.3883044415899657E-2</v>
      </c>
      <c r="FB87" s="93">
        <f t="shared" si="994"/>
        <v>7.3883044415899657E-2</v>
      </c>
    </row>
    <row r="88" spans="2:158" outlineLevel="1" x14ac:dyDescent="0.25">
      <c r="C88" s="28" t="s">
        <v>527</v>
      </c>
      <c r="D88" s="19">
        <f>D57/D55</f>
        <v>0.19008289391853198</v>
      </c>
      <c r="E88" s="19">
        <f>E57/E55</f>
        <v>0.21920617362962644</v>
      </c>
      <c r="F88" s="19">
        <f>F57/F55</f>
        <v>0.15276932595906997</v>
      </c>
      <c r="G88" s="19">
        <f>G57/G55</f>
        <v>9.714514272272963E-2</v>
      </c>
      <c r="H88" s="250">
        <f t="shared" ref="H88:L88" si="995">G88</f>
        <v>9.714514272272963E-2</v>
      </c>
      <c r="I88" s="250">
        <f t="shared" si="995"/>
        <v>9.714514272272963E-2</v>
      </c>
      <c r="J88" s="250">
        <f t="shared" si="995"/>
        <v>9.714514272272963E-2</v>
      </c>
      <c r="K88" s="250">
        <f t="shared" si="995"/>
        <v>9.714514272272963E-2</v>
      </c>
      <c r="L88" s="250">
        <f t="shared" si="995"/>
        <v>9.714514272272963E-2</v>
      </c>
      <c r="N88" s="19">
        <f t="shared" ref="N88:AW88" si="996">N57/N55</f>
        <v>0.16826385767369273</v>
      </c>
      <c r="O88" s="19">
        <f t="shared" si="996"/>
        <v>0.20099957907732377</v>
      </c>
      <c r="P88" s="19">
        <f t="shared" si="996"/>
        <v>0.18036452608350215</v>
      </c>
      <c r="Q88" s="19">
        <f t="shared" si="996"/>
        <v>0.20708591442438448</v>
      </c>
      <c r="R88" s="19">
        <f t="shared" si="996"/>
        <v>0.16598534851264554</v>
      </c>
      <c r="S88" s="19">
        <f t="shared" si="996"/>
        <v>0.19837322581696729</v>
      </c>
      <c r="T88" s="19">
        <f t="shared" si="996"/>
        <v>0.27512661952139805</v>
      </c>
      <c r="U88" s="19">
        <f t="shared" si="996"/>
        <v>0.23489267070031569</v>
      </c>
      <c r="V88" s="19">
        <f t="shared" si="996"/>
        <v>0.14328015030375474</v>
      </c>
      <c r="W88" s="19">
        <f t="shared" si="996"/>
        <v>0.15111391214624123</v>
      </c>
      <c r="X88" s="19">
        <f t="shared" si="996"/>
        <v>0.14477487180952944</v>
      </c>
      <c r="Y88" s="19">
        <f t="shared" si="996"/>
        <v>0.17224196834881864</v>
      </c>
      <c r="Z88" s="19">
        <f t="shared" si="996"/>
        <v>0.10493554744990048</v>
      </c>
      <c r="AA88" s="19">
        <f t="shared" si="996"/>
        <v>9.0252207420756403E-2</v>
      </c>
      <c r="AB88" s="19">
        <f t="shared" si="996"/>
        <v>9.7301571771663722E-2</v>
      </c>
      <c r="AC88" s="19">
        <f t="shared" si="996"/>
        <v>9.7567171863242499E-2</v>
      </c>
      <c r="AD88" s="19">
        <f t="shared" si="996"/>
        <v>9.714514272272963E-2</v>
      </c>
      <c r="AE88" s="19">
        <f t="shared" si="996"/>
        <v>9.7145142722729616E-2</v>
      </c>
      <c r="AF88" s="19">
        <f t="shared" si="996"/>
        <v>9.714514272272963E-2</v>
      </c>
      <c r="AG88" s="19">
        <f t="shared" si="996"/>
        <v>9.7145142722729616E-2</v>
      </c>
      <c r="AH88" s="19">
        <f t="shared" si="996"/>
        <v>9.714514272272963E-2</v>
      </c>
      <c r="AI88" s="19">
        <f t="shared" si="996"/>
        <v>9.714514272272963E-2</v>
      </c>
      <c r="AJ88" s="19">
        <f t="shared" si="996"/>
        <v>9.7145142722729616E-2</v>
      </c>
      <c r="AK88" s="19">
        <f t="shared" si="996"/>
        <v>9.714514272272963E-2</v>
      </c>
      <c r="AL88" s="19">
        <f t="shared" si="996"/>
        <v>9.714514272272963E-2</v>
      </c>
      <c r="AM88" s="19">
        <f t="shared" si="996"/>
        <v>9.7145142722729616E-2</v>
      </c>
      <c r="AN88" s="19">
        <f t="shared" si="996"/>
        <v>9.714514272272963E-2</v>
      </c>
      <c r="AO88" s="19">
        <f t="shared" si="996"/>
        <v>9.714514272272963E-2</v>
      </c>
      <c r="AP88" s="19">
        <f t="shared" si="996"/>
        <v>9.7145142722729644E-2</v>
      </c>
      <c r="AQ88" s="19">
        <f t="shared" si="996"/>
        <v>9.7145142722729644E-2</v>
      </c>
      <c r="AR88" s="19">
        <f t="shared" si="996"/>
        <v>9.714514272272963E-2</v>
      </c>
      <c r="AS88" s="19">
        <f t="shared" si="996"/>
        <v>9.7145142722729616E-2</v>
      </c>
      <c r="AT88" s="19">
        <f t="shared" si="996"/>
        <v>9.714514272272963E-2</v>
      </c>
      <c r="AU88" s="19">
        <f t="shared" si="996"/>
        <v>9.714514272272963E-2</v>
      </c>
      <c r="AV88" s="19">
        <f t="shared" si="996"/>
        <v>9.714514272272963E-2</v>
      </c>
      <c r="AW88" s="19">
        <f t="shared" si="996"/>
        <v>9.7145142722729644E-2</v>
      </c>
      <c r="AY88" s="19">
        <f t="shared" ref="AY88:CT88" si="997">AY57/AY55</f>
        <v>0.10533404196753741</v>
      </c>
      <c r="AZ88" s="19">
        <f t="shared" si="997"/>
        <v>0.24552166521101004</v>
      </c>
      <c r="BA88" s="19">
        <f t="shared" si="997"/>
        <v>0.15166973478008808</v>
      </c>
      <c r="BB88" s="19">
        <f t="shared" si="997"/>
        <v>0.18688502212227445</v>
      </c>
      <c r="BC88" s="19">
        <f t="shared" si="997"/>
        <v>0.15394788433955806</v>
      </c>
      <c r="BD88" s="19">
        <f t="shared" si="997"/>
        <v>0.25867261270568614</v>
      </c>
      <c r="BE88" s="19">
        <f t="shared" si="997"/>
        <v>0.20526551783772898</v>
      </c>
      <c r="BF88" s="19">
        <f t="shared" si="997"/>
        <v>0.16642193695709556</v>
      </c>
      <c r="BG88" s="19">
        <f t="shared" si="997"/>
        <v>0.173071117198871</v>
      </c>
      <c r="BH88" s="19">
        <f t="shared" si="997"/>
        <v>0.20009804466378739</v>
      </c>
      <c r="BI88" s="19">
        <f t="shared" si="997"/>
        <v>0.18546900284351292</v>
      </c>
      <c r="BJ88" s="19">
        <f t="shared" si="997"/>
        <v>0.22956764655472361</v>
      </c>
      <c r="BK88" s="19">
        <f t="shared" si="997"/>
        <v>0.17082908358197108</v>
      </c>
      <c r="BL88" s="19">
        <f t="shared" si="997"/>
        <v>0.21129813255361896</v>
      </c>
      <c r="BM88" s="19">
        <f t="shared" si="997"/>
        <v>0.12062416142596265</v>
      </c>
      <c r="BN88" s="19">
        <f t="shared" si="997"/>
        <v>0.21393271426251359</v>
      </c>
      <c r="BO88" s="19">
        <f t="shared" si="997"/>
        <v>0.21955603559681428</v>
      </c>
      <c r="BP88" s="19">
        <f t="shared" si="997"/>
        <v>0.16319963229276199</v>
      </c>
      <c r="BQ88" s="19">
        <f t="shared" si="997"/>
        <v>0.17860632587814851</v>
      </c>
      <c r="BR88" s="19">
        <f t="shared" si="997"/>
        <v>0.43553627156187419</v>
      </c>
      <c r="BS88" s="19">
        <f t="shared" si="997"/>
        <v>0.2133233801591416</v>
      </c>
      <c r="BT88" s="19">
        <f t="shared" si="997"/>
        <v>0.17853728873773522</v>
      </c>
      <c r="BU88" s="19">
        <f t="shared" si="997"/>
        <v>0.17782339678878986</v>
      </c>
      <c r="BV88" s="19">
        <f t="shared" si="997"/>
        <v>0.38386662200918825</v>
      </c>
      <c r="BW88" s="19">
        <f t="shared" si="997"/>
        <v>0.18981310518871394</v>
      </c>
      <c r="BX88" s="19">
        <f t="shared" si="997"/>
        <v>0.1134869865631795</v>
      </c>
      <c r="BY88" s="19">
        <f t="shared" si="997"/>
        <v>0.13076644186192984</v>
      </c>
      <c r="BZ88" s="19">
        <f t="shared" si="997"/>
        <v>0.12261252767148162</v>
      </c>
      <c r="CA88" s="19">
        <f t="shared" si="997"/>
        <v>0.14573802756112261</v>
      </c>
      <c r="CB88" s="19">
        <f t="shared" si="997"/>
        <v>0.18596674272448924</v>
      </c>
      <c r="CC88" s="19">
        <f t="shared" si="997"/>
        <v>0.12941889994177655</v>
      </c>
      <c r="CD88" s="19">
        <f t="shared" si="997"/>
        <v>0.1576159739141326</v>
      </c>
      <c r="CE88" s="19">
        <f t="shared" si="997"/>
        <v>0.14751127496398223</v>
      </c>
      <c r="CF88" s="19">
        <f t="shared" si="997"/>
        <v>0.2477608559523215</v>
      </c>
      <c r="CG88" s="19">
        <f t="shared" si="997"/>
        <v>0.19469642767054299</v>
      </c>
      <c r="CH88" s="19">
        <f t="shared" si="997"/>
        <v>9.953340400435215E-2</v>
      </c>
      <c r="CI88" s="19">
        <f t="shared" si="997"/>
        <v>9.7717314677011752E-2</v>
      </c>
      <c r="CJ88" s="19">
        <f t="shared" si="997"/>
        <v>0.13010776551084927</v>
      </c>
      <c r="CK88" s="19">
        <f t="shared" si="997"/>
        <v>9.2098339128167991E-2</v>
      </c>
      <c r="CL88" s="19">
        <f t="shared" si="997"/>
        <v>7.952845624078278E-2</v>
      </c>
      <c r="CM88" s="19">
        <f t="shared" si="997"/>
        <v>9.1515865846036243E-2</v>
      </c>
      <c r="CN88" s="19">
        <f t="shared" si="997"/>
        <v>9.7798052293819396E-2</v>
      </c>
      <c r="CO88" s="19">
        <f t="shared" si="997"/>
        <v>9.6928394201183321E-2</v>
      </c>
      <c r="CP88" s="19">
        <f t="shared" si="997"/>
        <v>9.7776287010208046E-2</v>
      </c>
      <c r="CQ88" s="19">
        <f t="shared" si="997"/>
        <v>9.719599559688942E-2</v>
      </c>
      <c r="CR88" s="19">
        <f t="shared" si="997"/>
        <v>9.5595192124448738E-2</v>
      </c>
      <c r="CS88" s="19">
        <f t="shared" si="997"/>
        <v>0.10037244560777736</v>
      </c>
      <c r="CT88" s="19">
        <f t="shared" si="997"/>
        <v>9.6812256501734306E-2</v>
      </c>
      <c r="CU88" s="93">
        <f t="shared" ref="CU88:DJ90" si="998">INDEX($D88:$L88,1,MATCH(CU$2,$D$2:$L$2,))</f>
        <v>9.714514272272963E-2</v>
      </c>
      <c r="CV88" s="93">
        <f t="shared" si="998"/>
        <v>9.714514272272963E-2</v>
      </c>
      <c r="CW88" s="93">
        <f t="shared" si="998"/>
        <v>9.714514272272963E-2</v>
      </c>
      <c r="CX88" s="93">
        <f t="shared" si="998"/>
        <v>9.714514272272963E-2</v>
      </c>
      <c r="CY88" s="93">
        <f t="shared" si="998"/>
        <v>9.714514272272963E-2</v>
      </c>
      <c r="CZ88" s="93">
        <f t="shared" si="998"/>
        <v>9.714514272272963E-2</v>
      </c>
      <c r="DA88" s="93">
        <f t="shared" si="998"/>
        <v>9.714514272272963E-2</v>
      </c>
      <c r="DB88" s="93">
        <f t="shared" si="998"/>
        <v>9.714514272272963E-2</v>
      </c>
      <c r="DC88" s="93">
        <f t="shared" si="998"/>
        <v>9.714514272272963E-2</v>
      </c>
      <c r="DD88" s="93">
        <f t="shared" si="998"/>
        <v>9.714514272272963E-2</v>
      </c>
      <c r="DE88" s="93">
        <f t="shared" si="998"/>
        <v>9.714514272272963E-2</v>
      </c>
      <c r="DF88" s="93">
        <f t="shared" si="998"/>
        <v>9.714514272272963E-2</v>
      </c>
      <c r="DG88" s="93">
        <f t="shared" si="998"/>
        <v>9.714514272272963E-2</v>
      </c>
      <c r="DH88" s="93">
        <f t="shared" si="998"/>
        <v>9.714514272272963E-2</v>
      </c>
      <c r="DI88" s="93">
        <f t="shared" si="998"/>
        <v>9.714514272272963E-2</v>
      </c>
      <c r="DJ88" s="93">
        <f t="shared" si="998"/>
        <v>9.714514272272963E-2</v>
      </c>
      <c r="DK88" s="93">
        <f t="shared" si="994"/>
        <v>9.714514272272963E-2</v>
      </c>
      <c r="DL88" s="93">
        <f t="shared" si="994"/>
        <v>9.714514272272963E-2</v>
      </c>
      <c r="DM88" s="93">
        <f t="shared" si="994"/>
        <v>9.714514272272963E-2</v>
      </c>
      <c r="DN88" s="93">
        <f t="shared" si="994"/>
        <v>9.714514272272963E-2</v>
      </c>
      <c r="DO88" s="93">
        <f t="shared" si="994"/>
        <v>9.714514272272963E-2</v>
      </c>
      <c r="DP88" s="93">
        <f t="shared" si="994"/>
        <v>9.714514272272963E-2</v>
      </c>
      <c r="DQ88" s="93">
        <f t="shared" si="994"/>
        <v>9.714514272272963E-2</v>
      </c>
      <c r="DR88" s="93">
        <f t="shared" si="994"/>
        <v>9.714514272272963E-2</v>
      </c>
      <c r="DS88" s="93">
        <f t="shared" si="994"/>
        <v>9.714514272272963E-2</v>
      </c>
      <c r="DT88" s="93">
        <f t="shared" si="994"/>
        <v>9.714514272272963E-2</v>
      </c>
      <c r="DU88" s="93">
        <f t="shared" si="994"/>
        <v>9.714514272272963E-2</v>
      </c>
      <c r="DV88" s="93">
        <f t="shared" si="994"/>
        <v>9.714514272272963E-2</v>
      </c>
      <c r="DW88" s="93">
        <f t="shared" si="994"/>
        <v>9.714514272272963E-2</v>
      </c>
      <c r="DX88" s="93">
        <f t="shared" si="994"/>
        <v>9.714514272272963E-2</v>
      </c>
      <c r="DY88" s="93">
        <f t="shared" si="994"/>
        <v>9.714514272272963E-2</v>
      </c>
      <c r="DZ88" s="93">
        <f t="shared" si="994"/>
        <v>9.714514272272963E-2</v>
      </c>
      <c r="EA88" s="93">
        <f t="shared" si="994"/>
        <v>9.714514272272963E-2</v>
      </c>
      <c r="EB88" s="93">
        <f t="shared" si="994"/>
        <v>9.714514272272963E-2</v>
      </c>
      <c r="EC88" s="93">
        <f t="shared" si="994"/>
        <v>9.714514272272963E-2</v>
      </c>
      <c r="ED88" s="93">
        <f t="shared" si="994"/>
        <v>9.714514272272963E-2</v>
      </c>
      <c r="EE88" s="93">
        <f t="shared" si="994"/>
        <v>9.714514272272963E-2</v>
      </c>
      <c r="EF88" s="93">
        <f t="shared" si="994"/>
        <v>9.714514272272963E-2</v>
      </c>
      <c r="EG88" s="93">
        <f t="shared" si="994"/>
        <v>9.714514272272963E-2</v>
      </c>
      <c r="EH88" s="93">
        <f t="shared" si="994"/>
        <v>9.714514272272963E-2</v>
      </c>
      <c r="EI88" s="93">
        <f t="shared" si="994"/>
        <v>9.714514272272963E-2</v>
      </c>
      <c r="EJ88" s="93">
        <f t="shared" si="994"/>
        <v>9.714514272272963E-2</v>
      </c>
      <c r="EK88" s="93">
        <f t="shared" si="994"/>
        <v>9.714514272272963E-2</v>
      </c>
      <c r="EL88" s="93">
        <f t="shared" si="994"/>
        <v>9.714514272272963E-2</v>
      </c>
      <c r="EM88" s="93">
        <f t="shared" si="994"/>
        <v>9.714514272272963E-2</v>
      </c>
      <c r="EN88" s="93">
        <f t="shared" si="994"/>
        <v>9.714514272272963E-2</v>
      </c>
      <c r="EO88" s="93">
        <f t="shared" si="994"/>
        <v>9.714514272272963E-2</v>
      </c>
      <c r="EP88" s="93">
        <f t="shared" si="994"/>
        <v>9.714514272272963E-2</v>
      </c>
      <c r="EQ88" s="93">
        <f t="shared" si="994"/>
        <v>9.714514272272963E-2</v>
      </c>
      <c r="ER88" s="93">
        <f t="shared" si="994"/>
        <v>9.714514272272963E-2</v>
      </c>
      <c r="ES88" s="93">
        <f t="shared" si="994"/>
        <v>9.714514272272963E-2</v>
      </c>
      <c r="ET88" s="93">
        <f t="shared" si="994"/>
        <v>9.714514272272963E-2</v>
      </c>
      <c r="EU88" s="93">
        <f t="shared" si="994"/>
        <v>9.714514272272963E-2</v>
      </c>
      <c r="EV88" s="93">
        <f t="shared" si="994"/>
        <v>9.714514272272963E-2</v>
      </c>
      <c r="EW88" s="93">
        <f t="shared" si="994"/>
        <v>9.714514272272963E-2</v>
      </c>
      <c r="EX88" s="93">
        <f t="shared" si="994"/>
        <v>9.714514272272963E-2</v>
      </c>
      <c r="EY88" s="93">
        <f t="shared" si="994"/>
        <v>9.714514272272963E-2</v>
      </c>
      <c r="EZ88" s="93">
        <f t="shared" si="994"/>
        <v>9.714514272272963E-2</v>
      </c>
      <c r="FA88" s="93">
        <f t="shared" si="994"/>
        <v>9.714514272272963E-2</v>
      </c>
      <c r="FB88" s="93">
        <f t="shared" si="994"/>
        <v>9.714514272272963E-2</v>
      </c>
    </row>
    <row r="89" spans="2:158" outlineLevel="1" x14ac:dyDescent="0.25">
      <c r="C89" s="28" t="s">
        <v>528</v>
      </c>
      <c r="D89" s="19">
        <f>D61/D60</f>
        <v>0.13794239445039175</v>
      </c>
      <c r="E89" s="19">
        <f>E61/E60</f>
        <v>9.5484604014716465E-2</v>
      </c>
      <c r="F89" s="19">
        <f>F61/F60</f>
        <v>2.3863490534686744E-2</v>
      </c>
      <c r="G89" s="19">
        <f>G61/G60</f>
        <v>2.2882205661388568E-2</v>
      </c>
      <c r="H89" s="250">
        <f t="shared" ref="H89:L89" si="999">G89</f>
        <v>2.2882205661388568E-2</v>
      </c>
      <c r="I89" s="250">
        <f t="shared" si="999"/>
        <v>2.2882205661388568E-2</v>
      </c>
      <c r="J89" s="250">
        <f t="shared" si="999"/>
        <v>2.2882205661388568E-2</v>
      </c>
      <c r="K89" s="250">
        <f t="shared" si="999"/>
        <v>2.2882205661388568E-2</v>
      </c>
      <c r="L89" s="250">
        <f t="shared" si="999"/>
        <v>2.2882205661388568E-2</v>
      </c>
      <c r="N89" s="19">
        <f t="shared" ref="N89:AW89" si="1000">N61/N60</f>
        <v>0.13606395554787082</v>
      </c>
      <c r="O89" s="19">
        <f t="shared" si="1000"/>
        <v>0.13268041443110007</v>
      </c>
      <c r="P89" s="19">
        <f t="shared" si="1000"/>
        <v>0.19027922395525534</v>
      </c>
      <c r="Q89" s="19">
        <f t="shared" si="1000"/>
        <v>9.7523864805476326E-2</v>
      </c>
      <c r="R89" s="19">
        <f t="shared" si="1000"/>
        <v>8.0726108854835846E-2</v>
      </c>
      <c r="S89" s="19">
        <f t="shared" si="1000"/>
        <v>0.13431629746992843</v>
      </c>
      <c r="T89" s="19">
        <f t="shared" si="1000"/>
        <v>0.10904410046937645</v>
      </c>
      <c r="U89" s="19">
        <f t="shared" si="1000"/>
        <v>6.5725121763339944E-2</v>
      </c>
      <c r="V89" s="19">
        <f t="shared" si="1000"/>
        <v>4.4882423572902355E-2</v>
      </c>
      <c r="W89" s="19">
        <f t="shared" si="1000"/>
        <v>1.3387541056079982E-2</v>
      </c>
      <c r="X89" s="19">
        <f t="shared" si="1000"/>
        <v>1.0902442544465832E-2</v>
      </c>
      <c r="Y89" s="19">
        <f t="shared" si="1000"/>
        <v>2.685824079079524E-2</v>
      </c>
      <c r="Z89" s="19">
        <f t="shared" si="1000"/>
        <v>3.2041442685118771E-2</v>
      </c>
      <c r="AA89" s="19">
        <f t="shared" si="1000"/>
        <v>2.1017457106297578E-2</v>
      </c>
      <c r="AB89" s="19">
        <f t="shared" si="1000"/>
        <v>2.0362295417130763E-2</v>
      </c>
      <c r="AC89" s="19">
        <f t="shared" si="1000"/>
        <v>2.0509624920278E-2</v>
      </c>
      <c r="AD89" s="19">
        <f t="shared" si="1000"/>
        <v>2.2882205661388572E-2</v>
      </c>
      <c r="AE89" s="19">
        <f t="shared" si="1000"/>
        <v>2.2882205661388568E-2</v>
      </c>
      <c r="AF89" s="19">
        <f t="shared" si="1000"/>
        <v>2.2882205661388568E-2</v>
      </c>
      <c r="AG89" s="19">
        <f t="shared" si="1000"/>
        <v>2.2882205661388572E-2</v>
      </c>
      <c r="AH89" s="19">
        <f t="shared" si="1000"/>
        <v>2.2882205661388568E-2</v>
      </c>
      <c r="AI89" s="19">
        <f t="shared" si="1000"/>
        <v>2.2882205661388568E-2</v>
      </c>
      <c r="AJ89" s="19">
        <f t="shared" si="1000"/>
        <v>2.2882205661388568E-2</v>
      </c>
      <c r="AK89" s="19">
        <f t="shared" si="1000"/>
        <v>2.2882205661388572E-2</v>
      </c>
      <c r="AL89" s="19">
        <f t="shared" si="1000"/>
        <v>2.2882205661388568E-2</v>
      </c>
      <c r="AM89" s="19">
        <f t="shared" si="1000"/>
        <v>2.2882205661388568E-2</v>
      </c>
      <c r="AN89" s="19">
        <f t="shared" si="1000"/>
        <v>2.2882205661388568E-2</v>
      </c>
      <c r="AO89" s="19">
        <f t="shared" si="1000"/>
        <v>2.2882205661388565E-2</v>
      </c>
      <c r="AP89" s="19">
        <f t="shared" si="1000"/>
        <v>2.2882205661388572E-2</v>
      </c>
      <c r="AQ89" s="19">
        <f t="shared" si="1000"/>
        <v>2.2882205661388568E-2</v>
      </c>
      <c r="AR89" s="19">
        <f t="shared" si="1000"/>
        <v>2.2882205661388568E-2</v>
      </c>
      <c r="AS89" s="19">
        <f t="shared" si="1000"/>
        <v>2.2882205661388568E-2</v>
      </c>
      <c r="AT89" s="19">
        <f t="shared" si="1000"/>
        <v>2.2882205661388572E-2</v>
      </c>
      <c r="AU89" s="19">
        <f t="shared" si="1000"/>
        <v>2.2882205661388572E-2</v>
      </c>
      <c r="AV89" s="19">
        <f t="shared" si="1000"/>
        <v>2.2882205661388572E-2</v>
      </c>
      <c r="AW89" s="19">
        <f t="shared" si="1000"/>
        <v>2.2882205661388575E-2</v>
      </c>
      <c r="AY89" s="19">
        <f t="shared" ref="AY89:CT89" si="1001">AY61/AY60</f>
        <v>0.11886670636733772</v>
      </c>
      <c r="AZ89" s="19">
        <f t="shared" si="1001"/>
        <v>0.10517509803034904</v>
      </c>
      <c r="BA89" s="19">
        <f t="shared" si="1001"/>
        <v>0.18262655790362101</v>
      </c>
      <c r="BB89" s="19">
        <f t="shared" si="1001"/>
        <v>0.12691865726927021</v>
      </c>
      <c r="BC89" s="19">
        <f t="shared" si="1001"/>
        <v>0.1409312808100637</v>
      </c>
      <c r="BD89" s="19">
        <f t="shared" si="1001"/>
        <v>0.13011432249447794</v>
      </c>
      <c r="BE89" s="19">
        <f t="shared" si="1001"/>
        <v>0.1880170715720233</v>
      </c>
      <c r="BF89" s="19">
        <f t="shared" si="1001"/>
        <v>0.20272221429613907</v>
      </c>
      <c r="BG89" s="19">
        <f t="shared" si="1001"/>
        <v>0.18033642318091389</v>
      </c>
      <c r="BH89" s="19">
        <f t="shared" si="1001"/>
        <v>0.11782911351421356</v>
      </c>
      <c r="BI89" s="19">
        <f t="shared" si="1001"/>
        <v>8.9068532266404724E-2</v>
      </c>
      <c r="BJ89" s="19">
        <f t="shared" si="1001"/>
        <v>8.6390278142629937E-2</v>
      </c>
      <c r="BK89" s="19">
        <f t="shared" si="1001"/>
        <v>5.8119952377594777E-2</v>
      </c>
      <c r="BL89" s="19">
        <f t="shared" si="1001"/>
        <v>9.8395192833491768E-2</v>
      </c>
      <c r="BM89" s="19">
        <f t="shared" si="1001"/>
        <v>8.4436938118241919E-2</v>
      </c>
      <c r="BN89" s="19">
        <f t="shared" si="1001"/>
        <v>0.1279032334436373</v>
      </c>
      <c r="BO89" s="19">
        <f t="shared" si="1001"/>
        <v>0.12251909483921367</v>
      </c>
      <c r="BP89" s="19">
        <f t="shared" si="1001"/>
        <v>0.15071766541698225</v>
      </c>
      <c r="BQ89" s="19">
        <f t="shared" si="1001"/>
        <v>0.11004687368122504</v>
      </c>
      <c r="BR89" s="19">
        <f t="shared" si="1001"/>
        <v>0.13109633785638697</v>
      </c>
      <c r="BS89" s="19">
        <f t="shared" si="1001"/>
        <v>8.9515296598437585E-2</v>
      </c>
      <c r="BT89" s="19">
        <f t="shared" si="1001"/>
        <v>0.13088095784426379</v>
      </c>
      <c r="BU89" s="19">
        <f t="shared" si="1001"/>
        <v>6.8143446634337537E-2</v>
      </c>
      <c r="BV89" s="19">
        <f t="shared" si="1001"/>
        <v>6.1613231248299092E-3</v>
      </c>
      <c r="BW89" s="19">
        <f t="shared" si="1001"/>
        <v>9.0065113245554232E-2</v>
      </c>
      <c r="BX89" s="19">
        <f t="shared" si="1001"/>
        <v>2.7570091177425586E-2</v>
      </c>
      <c r="BY89" s="19">
        <f t="shared" si="1001"/>
        <v>8.6603333487771939E-3</v>
      </c>
      <c r="BZ89" s="19">
        <f t="shared" si="1001"/>
        <v>1.2651256525120917E-2</v>
      </c>
      <c r="CA89" s="19">
        <f t="shared" si="1001"/>
        <v>1.1116034853420864E-2</v>
      </c>
      <c r="CB89" s="19">
        <f t="shared" si="1001"/>
        <v>1.6543126935827969E-2</v>
      </c>
      <c r="CC89" s="19">
        <f t="shared" si="1001"/>
        <v>1.1741842832108653E-2</v>
      </c>
      <c r="CD89" s="19">
        <f t="shared" si="1001"/>
        <v>1.2065763288435656E-2</v>
      </c>
      <c r="CE89" s="19">
        <f t="shared" si="1001"/>
        <v>8.9851696350008795E-3</v>
      </c>
      <c r="CF89" s="19">
        <f t="shared" si="1001"/>
        <v>1.3623371960723564E-2</v>
      </c>
      <c r="CG89" s="19">
        <f t="shared" si="1001"/>
        <v>2.2318440928083817E-2</v>
      </c>
      <c r="CH89" s="19">
        <f t="shared" si="1001"/>
        <v>4.1682510888664419E-2</v>
      </c>
      <c r="CI89" s="19">
        <f t="shared" si="1001"/>
        <v>3.3484152487070352E-2</v>
      </c>
      <c r="CJ89" s="19">
        <f t="shared" si="1001"/>
        <v>4.581799807259037E-2</v>
      </c>
      <c r="CK89" s="19">
        <f t="shared" si="1001"/>
        <v>1.9916618906159055E-2</v>
      </c>
      <c r="CL89" s="19">
        <f t="shared" si="1001"/>
        <v>1.7260413294658085E-2</v>
      </c>
      <c r="CM89" s="19">
        <f t="shared" si="1001"/>
        <v>1.9471472160086881E-2</v>
      </c>
      <c r="CN89" s="19">
        <f t="shared" si="1001"/>
        <v>2.6512825603425601E-2</v>
      </c>
      <c r="CO89" s="19">
        <f t="shared" si="1001"/>
        <v>2.0523817370463052E-2</v>
      </c>
      <c r="CP89" s="19">
        <f t="shared" si="1001"/>
        <v>2.042579732694931E-2</v>
      </c>
      <c r="CQ89" s="19">
        <f t="shared" si="1001"/>
        <v>2.014283599060215E-2</v>
      </c>
      <c r="CR89" s="19">
        <f t="shared" si="1001"/>
        <v>2.0406905890870918E-2</v>
      </c>
      <c r="CS89" s="19">
        <f t="shared" si="1001"/>
        <v>2.0769752405971453E-2</v>
      </c>
      <c r="CT89" s="19">
        <f t="shared" si="1001"/>
        <v>2.0354629420223414E-2</v>
      </c>
      <c r="CU89" s="93">
        <f t="shared" si="998"/>
        <v>2.2882205661388568E-2</v>
      </c>
      <c r="CV89" s="93">
        <f t="shared" si="994"/>
        <v>2.2882205661388568E-2</v>
      </c>
      <c r="CW89" s="93">
        <f t="shared" si="994"/>
        <v>2.2882205661388568E-2</v>
      </c>
      <c r="CX89" s="93">
        <f t="shared" si="994"/>
        <v>2.2882205661388568E-2</v>
      </c>
      <c r="CY89" s="93">
        <f t="shared" si="994"/>
        <v>2.2882205661388568E-2</v>
      </c>
      <c r="CZ89" s="93">
        <f t="shared" si="994"/>
        <v>2.2882205661388568E-2</v>
      </c>
      <c r="DA89" s="93">
        <f t="shared" si="994"/>
        <v>2.2882205661388568E-2</v>
      </c>
      <c r="DB89" s="93">
        <f t="shared" si="994"/>
        <v>2.2882205661388568E-2</v>
      </c>
      <c r="DC89" s="93">
        <f t="shared" si="994"/>
        <v>2.2882205661388568E-2</v>
      </c>
      <c r="DD89" s="93">
        <f t="shared" si="994"/>
        <v>2.2882205661388568E-2</v>
      </c>
      <c r="DE89" s="93">
        <f t="shared" si="994"/>
        <v>2.2882205661388568E-2</v>
      </c>
      <c r="DF89" s="93">
        <f t="shared" si="994"/>
        <v>2.2882205661388568E-2</v>
      </c>
      <c r="DG89" s="93">
        <f t="shared" si="994"/>
        <v>2.2882205661388568E-2</v>
      </c>
      <c r="DH89" s="93">
        <f t="shared" si="994"/>
        <v>2.2882205661388568E-2</v>
      </c>
      <c r="DI89" s="93">
        <f t="shared" si="994"/>
        <v>2.2882205661388568E-2</v>
      </c>
      <c r="DJ89" s="93">
        <f t="shared" si="994"/>
        <v>2.2882205661388568E-2</v>
      </c>
      <c r="DK89" s="93">
        <f t="shared" si="994"/>
        <v>2.2882205661388568E-2</v>
      </c>
      <c r="DL89" s="93">
        <f t="shared" si="994"/>
        <v>2.2882205661388568E-2</v>
      </c>
      <c r="DM89" s="93">
        <f t="shared" si="994"/>
        <v>2.2882205661388568E-2</v>
      </c>
      <c r="DN89" s="93">
        <f t="shared" si="994"/>
        <v>2.2882205661388568E-2</v>
      </c>
      <c r="DO89" s="93">
        <f t="shared" si="994"/>
        <v>2.2882205661388568E-2</v>
      </c>
      <c r="DP89" s="93">
        <f t="shared" si="994"/>
        <v>2.2882205661388568E-2</v>
      </c>
      <c r="DQ89" s="93">
        <f t="shared" si="994"/>
        <v>2.2882205661388568E-2</v>
      </c>
      <c r="DR89" s="93">
        <f t="shared" si="994"/>
        <v>2.2882205661388568E-2</v>
      </c>
      <c r="DS89" s="93">
        <f t="shared" si="994"/>
        <v>2.2882205661388568E-2</v>
      </c>
      <c r="DT89" s="93">
        <f t="shared" si="994"/>
        <v>2.2882205661388568E-2</v>
      </c>
      <c r="DU89" s="93">
        <f t="shared" si="994"/>
        <v>2.2882205661388568E-2</v>
      </c>
      <c r="DV89" s="93">
        <f t="shared" si="994"/>
        <v>2.2882205661388568E-2</v>
      </c>
      <c r="DW89" s="93">
        <f t="shared" si="994"/>
        <v>2.2882205661388568E-2</v>
      </c>
      <c r="DX89" s="93">
        <f t="shared" si="994"/>
        <v>2.2882205661388568E-2</v>
      </c>
      <c r="DY89" s="93">
        <f t="shared" si="994"/>
        <v>2.2882205661388568E-2</v>
      </c>
      <c r="DZ89" s="93">
        <f t="shared" si="994"/>
        <v>2.2882205661388568E-2</v>
      </c>
      <c r="EA89" s="93">
        <f t="shared" si="994"/>
        <v>2.2882205661388568E-2</v>
      </c>
      <c r="EB89" s="93">
        <f t="shared" si="994"/>
        <v>2.2882205661388568E-2</v>
      </c>
      <c r="EC89" s="93">
        <f t="shared" si="994"/>
        <v>2.2882205661388568E-2</v>
      </c>
      <c r="ED89" s="93">
        <f t="shared" si="994"/>
        <v>2.2882205661388568E-2</v>
      </c>
      <c r="EE89" s="93">
        <f t="shared" si="994"/>
        <v>2.2882205661388568E-2</v>
      </c>
      <c r="EF89" s="93">
        <f t="shared" si="994"/>
        <v>2.2882205661388568E-2</v>
      </c>
      <c r="EG89" s="93">
        <f t="shared" si="994"/>
        <v>2.2882205661388568E-2</v>
      </c>
      <c r="EH89" s="93">
        <f t="shared" si="994"/>
        <v>2.2882205661388568E-2</v>
      </c>
      <c r="EI89" s="93">
        <f t="shared" si="994"/>
        <v>2.2882205661388568E-2</v>
      </c>
      <c r="EJ89" s="93">
        <f t="shared" si="994"/>
        <v>2.2882205661388568E-2</v>
      </c>
      <c r="EK89" s="93">
        <f t="shared" si="994"/>
        <v>2.2882205661388568E-2</v>
      </c>
      <c r="EL89" s="93">
        <f t="shared" si="994"/>
        <v>2.2882205661388568E-2</v>
      </c>
      <c r="EM89" s="93">
        <f t="shared" si="994"/>
        <v>2.2882205661388568E-2</v>
      </c>
      <c r="EN89" s="93">
        <f t="shared" si="994"/>
        <v>2.2882205661388568E-2</v>
      </c>
      <c r="EO89" s="93">
        <f t="shared" si="994"/>
        <v>2.2882205661388568E-2</v>
      </c>
      <c r="EP89" s="93">
        <f t="shared" si="994"/>
        <v>2.2882205661388568E-2</v>
      </c>
      <c r="EQ89" s="93">
        <f t="shared" si="994"/>
        <v>2.2882205661388568E-2</v>
      </c>
      <c r="ER89" s="93">
        <f t="shared" si="994"/>
        <v>2.2882205661388568E-2</v>
      </c>
      <c r="ES89" s="93">
        <f t="shared" si="994"/>
        <v>2.2882205661388568E-2</v>
      </c>
      <c r="ET89" s="93">
        <f t="shared" si="994"/>
        <v>2.2882205661388568E-2</v>
      </c>
      <c r="EU89" s="93">
        <f t="shared" si="994"/>
        <v>2.2882205661388568E-2</v>
      </c>
      <c r="EV89" s="93">
        <f t="shared" si="994"/>
        <v>2.2882205661388568E-2</v>
      </c>
      <c r="EW89" s="93">
        <f t="shared" si="994"/>
        <v>2.2882205661388568E-2</v>
      </c>
      <c r="EX89" s="93">
        <f t="shared" si="994"/>
        <v>2.2882205661388568E-2</v>
      </c>
      <c r="EY89" s="93">
        <f t="shared" si="994"/>
        <v>2.2882205661388568E-2</v>
      </c>
      <c r="EZ89" s="93">
        <f t="shared" si="994"/>
        <v>2.2882205661388568E-2</v>
      </c>
      <c r="FA89" s="93">
        <f t="shared" si="994"/>
        <v>2.2882205661388568E-2</v>
      </c>
      <c r="FB89" s="93">
        <f t="shared" si="994"/>
        <v>2.2882205661388568E-2</v>
      </c>
    </row>
    <row r="90" spans="2:158" outlineLevel="1" x14ac:dyDescent="0.25">
      <c r="C90" s="28" t="s">
        <v>529</v>
      </c>
      <c r="D90" s="19">
        <f>-D62/SUM(D60:D61)</f>
        <v>0.62959734837398806</v>
      </c>
      <c r="E90" s="19">
        <f>-E62/SUM(E60:E61)</f>
        <v>0.64971221829265935</v>
      </c>
      <c r="F90" s="19">
        <f>-F62/SUM(F60:F61)</f>
        <v>0.85341072774892424</v>
      </c>
      <c r="G90" s="19">
        <f>-G62/SUM(G60:G61)</f>
        <v>0.82257406110807052</v>
      </c>
      <c r="H90" s="250">
        <f t="shared" ref="H90:L90" si="1002">G90</f>
        <v>0.82257406110807052</v>
      </c>
      <c r="I90" s="250">
        <f t="shared" si="1002"/>
        <v>0.82257406110807052</v>
      </c>
      <c r="J90" s="250">
        <f t="shared" si="1002"/>
        <v>0.82257406110807052</v>
      </c>
      <c r="K90" s="250">
        <f t="shared" si="1002"/>
        <v>0.82257406110807052</v>
      </c>
      <c r="L90" s="250">
        <f t="shared" si="1002"/>
        <v>0.82257406110807052</v>
      </c>
      <c r="N90" s="19">
        <f t="shared" ref="N90:AW90" si="1003">-N62/SUM(N60:N61)</f>
        <v>0.60955345025336871</v>
      </c>
      <c r="O90" s="19">
        <f t="shared" si="1003"/>
        <v>0.61690688320659148</v>
      </c>
      <c r="P90" s="19">
        <f t="shared" si="1003"/>
        <v>0.64627449865332121</v>
      </c>
      <c r="Q90" s="19">
        <f t="shared" si="1003"/>
        <v>0.63479599193315306</v>
      </c>
      <c r="R90" s="19">
        <f t="shared" si="1003"/>
        <v>0.62234808266125508</v>
      </c>
      <c r="S90" s="19">
        <f t="shared" si="1003"/>
        <v>0.6364831763501253</v>
      </c>
      <c r="T90" s="19">
        <f t="shared" si="1003"/>
        <v>0.62734194909189001</v>
      </c>
      <c r="U90" s="19">
        <f t="shared" si="1003"/>
        <v>0.69492477864301361</v>
      </c>
      <c r="V90" s="19">
        <f t="shared" si="1003"/>
        <v>0.87974039929302406</v>
      </c>
      <c r="W90" s="19">
        <f t="shared" si="1003"/>
        <v>0.85169177950571817</v>
      </c>
      <c r="X90" s="19">
        <f t="shared" si="1003"/>
        <v>0.84643630345982157</v>
      </c>
      <c r="Y90" s="19">
        <f t="shared" si="1003"/>
        <v>0.83796575891146152</v>
      </c>
      <c r="Z90" s="19">
        <f t="shared" si="1003"/>
        <v>0.76004217057354329</v>
      </c>
      <c r="AA90" s="19">
        <f t="shared" si="1003"/>
        <v>0.80215258657194333</v>
      </c>
      <c r="AB90" s="19">
        <f t="shared" si="1003"/>
        <v>0.85405045380495459</v>
      </c>
      <c r="AC90" s="19">
        <f t="shared" si="1003"/>
        <v>0.85543406323373594</v>
      </c>
      <c r="AD90" s="19">
        <f t="shared" si="1003"/>
        <v>0.82257406110807063</v>
      </c>
      <c r="AE90" s="19">
        <f t="shared" si="1003"/>
        <v>0.82257406110807041</v>
      </c>
      <c r="AF90" s="19">
        <f t="shared" si="1003"/>
        <v>0.82257406110807041</v>
      </c>
      <c r="AG90" s="19">
        <f t="shared" si="1003"/>
        <v>0.82257406110807041</v>
      </c>
      <c r="AH90" s="19">
        <f t="shared" si="1003"/>
        <v>0.82257406110807041</v>
      </c>
      <c r="AI90" s="19">
        <f t="shared" si="1003"/>
        <v>0.82257406110807052</v>
      </c>
      <c r="AJ90" s="19">
        <f t="shared" si="1003"/>
        <v>0.82257406110807052</v>
      </c>
      <c r="AK90" s="19">
        <f t="shared" si="1003"/>
        <v>0.82257406110807052</v>
      </c>
      <c r="AL90" s="19">
        <f t="shared" si="1003"/>
        <v>0.82257406110807063</v>
      </c>
      <c r="AM90" s="19">
        <f t="shared" si="1003"/>
        <v>0.82257406110807052</v>
      </c>
      <c r="AN90" s="19">
        <f t="shared" si="1003"/>
        <v>0.82257406110807052</v>
      </c>
      <c r="AO90" s="19">
        <f t="shared" si="1003"/>
        <v>0.82257406110807052</v>
      </c>
      <c r="AP90" s="19">
        <f t="shared" si="1003"/>
        <v>0.82257406110807052</v>
      </c>
      <c r="AQ90" s="19">
        <f t="shared" si="1003"/>
        <v>0.82257406110807041</v>
      </c>
      <c r="AR90" s="19">
        <f t="shared" si="1003"/>
        <v>0.82257406110807052</v>
      </c>
      <c r="AS90" s="19">
        <f t="shared" si="1003"/>
        <v>0.82257406110807041</v>
      </c>
      <c r="AT90" s="19">
        <f t="shared" si="1003"/>
        <v>0.82257406110807052</v>
      </c>
      <c r="AU90" s="19">
        <f t="shared" si="1003"/>
        <v>0.82257406110807052</v>
      </c>
      <c r="AV90" s="19">
        <f t="shared" si="1003"/>
        <v>0.82257406110807063</v>
      </c>
      <c r="AW90" s="19">
        <f t="shared" si="1003"/>
        <v>0.82257406110807063</v>
      </c>
      <c r="AY90" s="19">
        <f t="shared" ref="AY90:CT90" si="1004">-AY62/SUM(AY60:AY61)</f>
        <v>0.62323040250382122</v>
      </c>
      <c r="AZ90" s="19">
        <f t="shared" si="1004"/>
        <v>0.60773617696188431</v>
      </c>
      <c r="BA90" s="19">
        <f t="shared" si="1004"/>
        <v>0.59849175589212833</v>
      </c>
      <c r="BB90" s="19">
        <f t="shared" si="1004"/>
        <v>0.60391724592887375</v>
      </c>
      <c r="BC90" s="19">
        <f t="shared" si="1004"/>
        <v>0.61013268486913275</v>
      </c>
      <c r="BD90" s="19">
        <f t="shared" si="1004"/>
        <v>0.63492891846306121</v>
      </c>
      <c r="BE90" s="19">
        <f t="shared" si="1004"/>
        <v>0.61981237627597952</v>
      </c>
      <c r="BF90" s="19">
        <f t="shared" si="1004"/>
        <v>0.63031721327649903</v>
      </c>
      <c r="BG90" s="19">
        <f t="shared" si="1004"/>
        <v>0.68736635736606</v>
      </c>
      <c r="BH90" s="19">
        <f t="shared" si="1004"/>
        <v>0.63343384264466129</v>
      </c>
      <c r="BI90" s="19">
        <f t="shared" si="1004"/>
        <v>0.64493729423044455</v>
      </c>
      <c r="BJ90" s="19">
        <f t="shared" si="1004"/>
        <v>0.62740065483258334</v>
      </c>
      <c r="BK90" s="19">
        <f t="shared" si="1004"/>
        <v>0.59545434338570091</v>
      </c>
      <c r="BL90" s="19">
        <f t="shared" si="1004"/>
        <v>0.60677068597179828</v>
      </c>
      <c r="BM90" s="19">
        <f t="shared" si="1004"/>
        <v>0.66113976896531068</v>
      </c>
      <c r="BN90" s="19">
        <f t="shared" si="1004"/>
        <v>0.63379588200029913</v>
      </c>
      <c r="BO90" s="19">
        <f t="shared" si="1004"/>
        <v>0.6076158930441995</v>
      </c>
      <c r="BP90" s="19">
        <f t="shared" si="1004"/>
        <v>0.66456832477708339</v>
      </c>
      <c r="BQ90" s="19">
        <f t="shared" si="1004"/>
        <v>0.62588286273246052</v>
      </c>
      <c r="BR90" s="19">
        <f t="shared" si="1004"/>
        <v>0.60255324581621017</v>
      </c>
      <c r="BS90" s="19">
        <f t="shared" si="1004"/>
        <v>0.65040757887412282</v>
      </c>
      <c r="BT90" s="19">
        <f t="shared" si="1004"/>
        <v>0.57552210737562315</v>
      </c>
      <c r="BU90" s="19">
        <f t="shared" si="1004"/>
        <v>0.56686867047395473</v>
      </c>
      <c r="BV90" s="19">
        <f t="shared" si="1004"/>
        <v>0.94230500666964334</v>
      </c>
      <c r="BW90" s="19">
        <f t="shared" si="1004"/>
        <v>0.49965529045684276</v>
      </c>
      <c r="BX90" s="19">
        <f t="shared" si="1004"/>
        <v>0.56370846442447831</v>
      </c>
      <c r="BY90" s="19">
        <f t="shared" si="1004"/>
        <v>1.7112203469113316</v>
      </c>
      <c r="BZ90" s="19">
        <f t="shared" si="1004"/>
        <v>0.79390115655600546</v>
      </c>
      <c r="CA90" s="19">
        <f t="shared" si="1004"/>
        <v>0.79689948200352478</v>
      </c>
      <c r="CB90" s="19">
        <f t="shared" si="1004"/>
        <v>0.97505416055981675</v>
      </c>
      <c r="CC90" s="19">
        <f t="shared" si="1004"/>
        <v>0.78534256962204019</v>
      </c>
      <c r="CD90" s="19">
        <f t="shared" si="1004"/>
        <v>0.79192843725513529</v>
      </c>
      <c r="CE90" s="19">
        <f t="shared" si="1004"/>
        <v>0.95695652986695678</v>
      </c>
      <c r="CF90" s="19">
        <f t="shared" si="1004"/>
        <v>0.76655429475025239</v>
      </c>
      <c r="CG90" s="19">
        <f t="shared" si="1004"/>
        <v>0.7690956756411067</v>
      </c>
      <c r="CH90" s="19">
        <f t="shared" si="1004"/>
        <v>0.95021592164642776</v>
      </c>
      <c r="CI90" s="19">
        <f t="shared" si="1004"/>
        <v>0.66872355521074256</v>
      </c>
      <c r="CJ90" s="19">
        <f t="shared" si="1004"/>
        <v>0.75889547002702029</v>
      </c>
      <c r="CK90" s="19">
        <f t="shared" si="1004"/>
        <v>0.83559726209048757</v>
      </c>
      <c r="CL90" s="19">
        <f t="shared" si="1004"/>
        <v>0.70400589024405347</v>
      </c>
      <c r="CM90" s="19">
        <f t="shared" si="1004"/>
        <v>0.84971051893248639</v>
      </c>
      <c r="CN90" s="19">
        <f t="shared" si="1004"/>
        <v>0.85310186318197456</v>
      </c>
      <c r="CO90" s="19">
        <f t="shared" si="1004"/>
        <v>0.85464558876461316</v>
      </c>
      <c r="CP90" s="19">
        <f t="shared" si="1004"/>
        <v>0.85375943300673107</v>
      </c>
      <c r="CQ90" s="19">
        <f t="shared" si="1004"/>
        <v>0.85375943300673074</v>
      </c>
      <c r="CR90" s="19">
        <f t="shared" si="1004"/>
        <v>0.85494564361288028</v>
      </c>
      <c r="CS90" s="19">
        <f t="shared" si="1004"/>
        <v>0.85523325614734358</v>
      </c>
      <c r="CT90" s="19">
        <f t="shared" si="1004"/>
        <v>0.85609231810316344</v>
      </c>
      <c r="CU90" s="93">
        <f t="shared" si="998"/>
        <v>0.82257406110807052</v>
      </c>
      <c r="CV90" s="93">
        <f t="shared" si="994"/>
        <v>0.82257406110807052</v>
      </c>
      <c r="CW90" s="93">
        <f t="shared" si="994"/>
        <v>0.82257406110807052</v>
      </c>
      <c r="CX90" s="93">
        <f t="shared" si="994"/>
        <v>0.82257406110807052</v>
      </c>
      <c r="CY90" s="93">
        <f t="shared" si="994"/>
        <v>0.82257406110807052</v>
      </c>
      <c r="CZ90" s="93">
        <f t="shared" si="994"/>
        <v>0.82257406110807052</v>
      </c>
      <c r="DA90" s="93">
        <f t="shared" si="994"/>
        <v>0.82257406110807052</v>
      </c>
      <c r="DB90" s="93">
        <f t="shared" si="994"/>
        <v>0.82257406110807052</v>
      </c>
      <c r="DC90" s="93">
        <f t="shared" si="994"/>
        <v>0.82257406110807052</v>
      </c>
      <c r="DD90" s="93">
        <f t="shared" si="994"/>
        <v>0.82257406110807052</v>
      </c>
      <c r="DE90" s="93">
        <f t="shared" si="994"/>
        <v>0.82257406110807052</v>
      </c>
      <c r="DF90" s="93">
        <f t="shared" si="994"/>
        <v>0.82257406110807052</v>
      </c>
      <c r="DG90" s="93">
        <f t="shared" si="994"/>
        <v>0.82257406110807052</v>
      </c>
      <c r="DH90" s="93">
        <f t="shared" si="994"/>
        <v>0.82257406110807052</v>
      </c>
      <c r="DI90" s="93">
        <f t="shared" si="994"/>
        <v>0.82257406110807052</v>
      </c>
      <c r="DJ90" s="93">
        <f t="shared" si="994"/>
        <v>0.82257406110807052</v>
      </c>
      <c r="DK90" s="93">
        <f t="shared" si="994"/>
        <v>0.82257406110807052</v>
      </c>
      <c r="DL90" s="93">
        <f t="shared" si="994"/>
        <v>0.82257406110807052</v>
      </c>
      <c r="DM90" s="93">
        <f t="shared" si="994"/>
        <v>0.82257406110807052</v>
      </c>
      <c r="DN90" s="93">
        <f t="shared" si="994"/>
        <v>0.82257406110807052</v>
      </c>
      <c r="DO90" s="93">
        <f t="shared" si="994"/>
        <v>0.82257406110807052</v>
      </c>
      <c r="DP90" s="93">
        <f t="shared" si="994"/>
        <v>0.82257406110807052</v>
      </c>
      <c r="DQ90" s="93">
        <f t="shared" si="994"/>
        <v>0.82257406110807052</v>
      </c>
      <c r="DR90" s="93">
        <f t="shared" si="994"/>
        <v>0.82257406110807052</v>
      </c>
      <c r="DS90" s="93">
        <f t="shared" si="994"/>
        <v>0.82257406110807052</v>
      </c>
      <c r="DT90" s="93">
        <f t="shared" si="994"/>
        <v>0.82257406110807052</v>
      </c>
      <c r="DU90" s="93">
        <f t="shared" si="994"/>
        <v>0.82257406110807052</v>
      </c>
      <c r="DV90" s="93">
        <f t="shared" si="994"/>
        <v>0.82257406110807052</v>
      </c>
      <c r="DW90" s="93">
        <f t="shared" si="994"/>
        <v>0.82257406110807052</v>
      </c>
      <c r="DX90" s="93">
        <f t="shared" si="994"/>
        <v>0.82257406110807052</v>
      </c>
      <c r="DY90" s="93">
        <f t="shared" si="994"/>
        <v>0.82257406110807052</v>
      </c>
      <c r="DZ90" s="93">
        <f t="shared" si="994"/>
        <v>0.82257406110807052</v>
      </c>
      <c r="EA90" s="93">
        <f t="shared" si="994"/>
        <v>0.82257406110807052</v>
      </c>
      <c r="EB90" s="93">
        <f t="shared" si="994"/>
        <v>0.82257406110807052</v>
      </c>
      <c r="EC90" s="93">
        <f t="shared" si="994"/>
        <v>0.82257406110807052</v>
      </c>
      <c r="ED90" s="93">
        <f t="shared" si="994"/>
        <v>0.82257406110807052</v>
      </c>
      <c r="EE90" s="93">
        <f t="shared" si="994"/>
        <v>0.82257406110807052</v>
      </c>
      <c r="EF90" s="93">
        <f t="shared" si="994"/>
        <v>0.82257406110807052</v>
      </c>
      <c r="EG90" s="93">
        <f t="shared" si="994"/>
        <v>0.82257406110807052</v>
      </c>
      <c r="EH90" s="93">
        <f t="shared" si="994"/>
        <v>0.82257406110807052</v>
      </c>
      <c r="EI90" s="93">
        <f t="shared" si="994"/>
        <v>0.82257406110807052</v>
      </c>
      <c r="EJ90" s="93">
        <f t="shared" si="994"/>
        <v>0.82257406110807052</v>
      </c>
      <c r="EK90" s="93">
        <f t="shared" si="994"/>
        <v>0.82257406110807052</v>
      </c>
      <c r="EL90" s="93">
        <f t="shared" si="994"/>
        <v>0.82257406110807052</v>
      </c>
      <c r="EM90" s="93">
        <f t="shared" si="994"/>
        <v>0.82257406110807052</v>
      </c>
      <c r="EN90" s="93">
        <f t="shared" si="994"/>
        <v>0.82257406110807052</v>
      </c>
      <c r="EO90" s="93">
        <f t="shared" si="994"/>
        <v>0.82257406110807052</v>
      </c>
      <c r="EP90" s="93">
        <f t="shared" si="994"/>
        <v>0.82257406110807052</v>
      </c>
      <c r="EQ90" s="93">
        <f t="shared" si="994"/>
        <v>0.82257406110807052</v>
      </c>
      <c r="ER90" s="93">
        <f t="shared" si="994"/>
        <v>0.82257406110807052</v>
      </c>
      <c r="ES90" s="93">
        <f t="shared" si="994"/>
        <v>0.82257406110807052</v>
      </c>
      <c r="ET90" s="93">
        <f t="shared" si="994"/>
        <v>0.82257406110807052</v>
      </c>
      <c r="EU90" s="93">
        <f t="shared" si="994"/>
        <v>0.82257406110807052</v>
      </c>
      <c r="EV90" s="93">
        <f t="shared" si="994"/>
        <v>0.82257406110807052</v>
      </c>
      <c r="EW90" s="93">
        <f t="shared" si="994"/>
        <v>0.82257406110807052</v>
      </c>
      <c r="EX90" s="93">
        <f t="shared" si="994"/>
        <v>0.82257406110807052</v>
      </c>
      <c r="EY90" s="93">
        <f t="shared" si="994"/>
        <v>0.82257406110807052</v>
      </c>
      <c r="EZ90" s="93">
        <f t="shared" si="994"/>
        <v>0.82257406110807052</v>
      </c>
      <c r="FA90" s="93">
        <f t="shared" si="994"/>
        <v>0.82257406110807052</v>
      </c>
      <c r="FB90" s="93">
        <f t="shared" si="994"/>
        <v>0.82257406110807052</v>
      </c>
    </row>
    <row r="91" spans="2:158" outlineLevel="1" x14ac:dyDescent="0.25">
      <c r="C91" s="28" t="s">
        <v>533</v>
      </c>
      <c r="D91" s="19">
        <f t="shared" ref="D91:L91" si="1005">SUMIF($AY$2:$FB$2,D$2,$AY91:$FB91)</f>
        <v>1</v>
      </c>
      <c r="E91" s="19">
        <f t="shared" si="1005"/>
        <v>1</v>
      </c>
      <c r="F91" s="19">
        <f t="shared" si="1005"/>
        <v>1</v>
      </c>
      <c r="G91" s="19">
        <f t="shared" si="1005"/>
        <v>1</v>
      </c>
      <c r="H91" s="19">
        <f t="shared" si="1005"/>
        <v>1</v>
      </c>
      <c r="I91" s="19">
        <f t="shared" si="1005"/>
        <v>1</v>
      </c>
      <c r="J91" s="19">
        <f t="shared" si="1005"/>
        <v>1</v>
      </c>
      <c r="K91" s="19">
        <f t="shared" si="1005"/>
        <v>1</v>
      </c>
      <c r="L91" s="19">
        <f t="shared" si="1005"/>
        <v>1</v>
      </c>
      <c r="N91" s="19">
        <f t="shared" ref="N91" si="1006">SUM(AY91:BA91)</f>
        <v>0.23756257695792382</v>
      </c>
      <c r="O91" s="19">
        <f t="shared" ref="O91" si="1007">SUM(BB91:BD91)</f>
        <v>0.16103837027644513</v>
      </c>
      <c r="P91" s="19">
        <f t="shared" ref="P91" si="1008">SUM(BE91:BG91)</f>
        <v>0.36329229744083247</v>
      </c>
      <c r="Q91" s="19">
        <f t="shared" ref="Q91" si="1009">SUM(BH91:BJ91)</f>
        <v>0.23810675532479869</v>
      </c>
      <c r="R91" s="19">
        <f t="shared" ref="R91" si="1010">SUM(BK91:BM91)</f>
        <v>0.27554685702211801</v>
      </c>
      <c r="S91" s="19">
        <f t="shared" ref="S91" si="1011">SUM(BN91:BP91)</f>
        <v>0.2499094854817126</v>
      </c>
      <c r="T91" s="19">
        <f t="shared" ref="T91" si="1012">SUM(BQ91:BS91)</f>
        <v>0.25319233888697917</v>
      </c>
      <c r="U91" s="19">
        <f t="shared" ref="U91" si="1013">SUM(BT91:BV91)</f>
        <v>0.22135131860919016</v>
      </c>
      <c r="V91" s="19">
        <f t="shared" ref="V91" si="1014">SUM(BW91:BY91)</f>
        <v>0.24096285918112681</v>
      </c>
      <c r="W91" s="19">
        <f t="shared" ref="W91" si="1015">SUM(BZ91:CB91)</f>
        <v>0.16956515041736181</v>
      </c>
      <c r="X91" s="19">
        <f t="shared" ref="X91" si="1016">SUM(CC91:CE91)</f>
        <v>0.246561499575013</v>
      </c>
      <c r="Y91" s="19">
        <f t="shared" ref="Y91" si="1017">SUM(CF91:CH91)</f>
        <v>0.34291049082649844</v>
      </c>
      <c r="Z91" s="19">
        <f t="shared" ref="Z91" si="1018">SUM(CI91:CK91)</f>
        <v>0.17242638611572245</v>
      </c>
      <c r="AA91" s="19">
        <f t="shared" ref="AA91" si="1019">SUM(CL91:CN91)</f>
        <v>0.22042968845058725</v>
      </c>
      <c r="AB91" s="19">
        <f t="shared" ref="AB91" si="1020">SUM(CO91:CQ91)</f>
        <v>0.35955774793959405</v>
      </c>
      <c r="AC91" s="19">
        <f t="shared" ref="AC91" si="1021">SUM(CR91:CT91)</f>
        <v>0.24758617749409623</v>
      </c>
      <c r="AD91" s="19">
        <f t="shared" ref="AD91" si="1022">SUM(CU91:CW91)</f>
        <v>0.20669462264842464</v>
      </c>
      <c r="AE91" s="19">
        <f t="shared" ref="AE91" si="1023">SUM(CX91:CZ91)</f>
        <v>0.19499741943397453</v>
      </c>
      <c r="AF91" s="19">
        <f t="shared" ref="AF91" si="1024">SUM(DA91:DC91)</f>
        <v>0.30305962375730355</v>
      </c>
      <c r="AG91" s="19">
        <f t="shared" ref="AG91" si="1025">SUM(DD91:DF91)</f>
        <v>0.29524833416029733</v>
      </c>
      <c r="AH91" s="19">
        <f t="shared" ref="AH91" si="1026">SUM(DG91:DI91)</f>
        <v>0.20669462264842464</v>
      </c>
      <c r="AI91" s="19">
        <f t="shared" ref="AI91" si="1027">SUM(DJ91:DL91)</f>
        <v>0.19499741943397453</v>
      </c>
      <c r="AJ91" s="19">
        <f t="shared" ref="AJ91" si="1028">SUM(DM91:DO91)</f>
        <v>0.30305962375730355</v>
      </c>
      <c r="AK91" s="19">
        <f t="shared" ref="AK91" si="1029">SUM(DP91:DR91)</f>
        <v>0.29524833416029733</v>
      </c>
      <c r="AL91" s="19">
        <f t="shared" ref="AL91" si="1030">SUM(DS91:DU91)</f>
        <v>0.20669462264842464</v>
      </c>
      <c r="AM91" s="19">
        <f t="shared" ref="AM91" si="1031">SUM(DV91:DX91)</f>
        <v>0.19499741943397453</v>
      </c>
      <c r="AN91" s="19">
        <f t="shared" ref="AN91" si="1032">SUM(DY91:EA91)</f>
        <v>0.30305962375730355</v>
      </c>
      <c r="AO91" s="19">
        <f t="shared" ref="AO91" si="1033">SUM(EB91:ED91)</f>
        <v>0.29524833416029733</v>
      </c>
      <c r="AP91" s="19">
        <f t="shared" ref="AP91" si="1034">SUM(EE91:EG91)</f>
        <v>0.20669462264842464</v>
      </c>
      <c r="AQ91" s="19">
        <f t="shared" ref="AQ91" si="1035">SUM(EH91:EJ91)</f>
        <v>0.19499741943397453</v>
      </c>
      <c r="AR91" s="19">
        <f t="shared" ref="AR91" si="1036">SUM(EK91:EM91)</f>
        <v>0.30305962375730355</v>
      </c>
      <c r="AS91" s="19">
        <f t="shared" ref="AS91" si="1037">SUM(EN91:EP91)</f>
        <v>0.29524833416029733</v>
      </c>
      <c r="AT91" s="19">
        <f t="shared" ref="AT91" si="1038">SUM(EQ91:ES91)</f>
        <v>0.20669462264842464</v>
      </c>
      <c r="AU91" s="19">
        <f t="shared" ref="AU91" si="1039">SUM(ET91:EV91)</f>
        <v>0.19499741943397453</v>
      </c>
      <c r="AV91" s="19">
        <f t="shared" ref="AV91" si="1040">SUM(EW91:EY91)</f>
        <v>0.30305962375730355</v>
      </c>
      <c r="AW91" s="19">
        <f t="shared" ref="AW91" si="1041">SUM(EZ91:FB91)</f>
        <v>0.29524833416029733</v>
      </c>
      <c r="AY91" s="19">
        <f t="shared" ref="AY91:CT91" si="1042">AY56/INDEX($D$56:$L$56,1,MATCH(AY$2,$D$2:$L$2,0))</f>
        <v>6.9721742379810242E-2</v>
      </c>
      <c r="AZ91" s="19">
        <f t="shared" si="1042"/>
        <v>0.10497293107953153</v>
      </c>
      <c r="BA91" s="19">
        <f t="shared" si="1042"/>
        <v>6.2867903498582053E-2</v>
      </c>
      <c r="BB91" s="19">
        <f t="shared" si="1042"/>
        <v>4.8887832092852197E-2</v>
      </c>
      <c r="BC91" s="19">
        <f t="shared" si="1042"/>
        <v>4.431226750601943E-2</v>
      </c>
      <c r="BD91" s="19">
        <f t="shared" si="1042"/>
        <v>6.7838270677573517E-2</v>
      </c>
      <c r="BE91" s="19">
        <f t="shared" si="1042"/>
        <v>5.7165893850139864E-2</v>
      </c>
      <c r="BF91" s="19">
        <f t="shared" si="1042"/>
        <v>0.1655111293723826</v>
      </c>
      <c r="BG91" s="19">
        <f t="shared" si="1042"/>
        <v>0.14061527421830997</v>
      </c>
      <c r="BH91" s="19">
        <f t="shared" si="1042"/>
        <v>7.1812633045595278E-2</v>
      </c>
      <c r="BI91" s="19">
        <f t="shared" si="1042"/>
        <v>7.1930481803103533E-2</v>
      </c>
      <c r="BJ91" s="19">
        <f t="shared" si="1042"/>
        <v>9.4363640476099866E-2</v>
      </c>
      <c r="BK91" s="19">
        <f t="shared" si="1042"/>
        <v>0.12433933919531254</v>
      </c>
      <c r="BL91" s="19">
        <f t="shared" si="1042"/>
        <v>7.9838496843377058E-2</v>
      </c>
      <c r="BM91" s="19">
        <f t="shared" si="1042"/>
        <v>7.1369020983428427E-2</v>
      </c>
      <c r="BN91" s="19">
        <f t="shared" si="1042"/>
        <v>0.16615299181447016</v>
      </c>
      <c r="BO91" s="19">
        <f t="shared" si="1042"/>
        <v>4.422287953471616E-2</v>
      </c>
      <c r="BP91" s="19">
        <f t="shared" si="1042"/>
        <v>3.953361413252629E-2</v>
      </c>
      <c r="BQ91" s="19">
        <f t="shared" si="1042"/>
        <v>4.5211375172789788E-2</v>
      </c>
      <c r="BR91" s="19">
        <f t="shared" si="1042"/>
        <v>0.12448950942155407</v>
      </c>
      <c r="BS91" s="19">
        <f t="shared" si="1042"/>
        <v>8.3491454292635311E-2</v>
      </c>
      <c r="BT91" s="19">
        <f t="shared" si="1042"/>
        <v>6.8623975625223141E-2</v>
      </c>
      <c r="BU91" s="19">
        <f t="shared" si="1042"/>
        <v>7.2771678901607934E-2</v>
      </c>
      <c r="BV91" s="19">
        <f t="shared" si="1042"/>
        <v>7.9955664082359088E-2</v>
      </c>
      <c r="BW91" s="19">
        <f t="shared" si="1042"/>
        <v>8.8887350648215749E-2</v>
      </c>
      <c r="BX91" s="19">
        <f t="shared" si="1042"/>
        <v>6.8836728876459377E-2</v>
      </c>
      <c r="BY91" s="19">
        <f t="shared" si="1042"/>
        <v>8.3238779656451697E-2</v>
      </c>
      <c r="BZ91" s="19">
        <f t="shared" si="1042"/>
        <v>6.471951983344168E-2</v>
      </c>
      <c r="CA91" s="19">
        <f t="shared" si="1042"/>
        <v>4.3945050638670331E-2</v>
      </c>
      <c r="CB91" s="19">
        <f t="shared" si="1042"/>
        <v>6.0900579945249819E-2</v>
      </c>
      <c r="CC91" s="19">
        <f t="shared" si="1042"/>
        <v>6.7169067239128091E-2</v>
      </c>
      <c r="CD91" s="19">
        <f t="shared" si="1042"/>
        <v>0.10419420892348641</v>
      </c>
      <c r="CE91" s="19">
        <f t="shared" si="1042"/>
        <v>7.5198223412398499E-2</v>
      </c>
      <c r="CF91" s="19">
        <f t="shared" si="1042"/>
        <v>9.5645867987183913E-2</v>
      </c>
      <c r="CG91" s="19">
        <f t="shared" si="1042"/>
        <v>0.10484718043709758</v>
      </c>
      <c r="CH91" s="19">
        <f t="shared" si="1042"/>
        <v>0.14241744240221693</v>
      </c>
      <c r="CI91" s="19">
        <f t="shared" si="1042"/>
        <v>5.5469342348302239E-2</v>
      </c>
      <c r="CJ91" s="19">
        <f t="shared" si="1042"/>
        <v>4.984763927081029E-2</v>
      </c>
      <c r="CK91" s="19">
        <f t="shared" si="1042"/>
        <v>6.7109404496609917E-2</v>
      </c>
      <c r="CL91" s="19">
        <f t="shared" si="1042"/>
        <v>6.334029464979847E-2</v>
      </c>
      <c r="CM91" s="19">
        <f t="shared" si="1042"/>
        <v>8.0227822445882876E-2</v>
      </c>
      <c r="CN91" s="19">
        <f t="shared" si="1042"/>
        <v>7.6861571354905886E-2</v>
      </c>
      <c r="CO91" s="19">
        <f t="shared" si="1042"/>
        <v>9.624229570395948E-2</v>
      </c>
      <c r="CP91" s="19">
        <f t="shared" si="1042"/>
        <v>9.2243914903836141E-2</v>
      </c>
      <c r="CQ91" s="19">
        <f t="shared" si="1042"/>
        <v>0.17107153733179845</v>
      </c>
      <c r="CR91" s="19">
        <f t="shared" si="1042"/>
        <v>7.9437245794676939E-2</v>
      </c>
      <c r="CS91" s="19">
        <f t="shared" si="1042"/>
        <v>5.5595405344860287E-2</v>
      </c>
      <c r="CT91" s="19">
        <f t="shared" si="1042"/>
        <v>0.11255352635455901</v>
      </c>
      <c r="CU91" s="93">
        <f>AVERAGE(BW91,CI91)</f>
        <v>7.2178346498258994E-2</v>
      </c>
      <c r="CV91" s="93">
        <f t="shared" ref="CV91:DF91" si="1043">AVERAGE(BX91,CJ91)</f>
        <v>5.9342184073634834E-2</v>
      </c>
      <c r="CW91" s="93">
        <f t="shared" si="1043"/>
        <v>7.5174092076530807E-2</v>
      </c>
      <c r="CX91" s="93">
        <f t="shared" si="1043"/>
        <v>6.4029907241620082E-2</v>
      </c>
      <c r="CY91" s="93">
        <f t="shared" si="1043"/>
        <v>6.2086436542276607E-2</v>
      </c>
      <c r="CZ91" s="93">
        <f t="shared" si="1043"/>
        <v>6.8881075650077853E-2</v>
      </c>
      <c r="DA91" s="93">
        <f t="shared" si="1043"/>
        <v>8.1705681471543778E-2</v>
      </c>
      <c r="DB91" s="93">
        <f t="shared" si="1043"/>
        <v>9.8219061913661282E-2</v>
      </c>
      <c r="DC91" s="93">
        <f t="shared" si="1043"/>
        <v>0.12313488037209847</v>
      </c>
      <c r="DD91" s="93">
        <f t="shared" si="1043"/>
        <v>8.7541556890930433E-2</v>
      </c>
      <c r="DE91" s="93">
        <f t="shared" si="1043"/>
        <v>8.0221292890978929E-2</v>
      </c>
      <c r="DF91" s="93">
        <f t="shared" si="1043"/>
        <v>0.12748548437838797</v>
      </c>
      <c r="DG91" s="93">
        <f>CU91</f>
        <v>7.2178346498258994E-2</v>
      </c>
      <c r="DH91" s="93">
        <f t="shared" ref="DH91:FB91" si="1044">CV91</f>
        <v>5.9342184073634834E-2</v>
      </c>
      <c r="DI91" s="93">
        <f t="shared" si="1044"/>
        <v>7.5174092076530807E-2</v>
      </c>
      <c r="DJ91" s="93">
        <f t="shared" si="1044"/>
        <v>6.4029907241620082E-2</v>
      </c>
      <c r="DK91" s="93">
        <f t="shared" si="1044"/>
        <v>6.2086436542276607E-2</v>
      </c>
      <c r="DL91" s="93">
        <f t="shared" si="1044"/>
        <v>6.8881075650077853E-2</v>
      </c>
      <c r="DM91" s="93">
        <f t="shared" si="1044"/>
        <v>8.1705681471543778E-2</v>
      </c>
      <c r="DN91" s="93">
        <f t="shared" si="1044"/>
        <v>9.8219061913661282E-2</v>
      </c>
      <c r="DO91" s="93">
        <f t="shared" si="1044"/>
        <v>0.12313488037209847</v>
      </c>
      <c r="DP91" s="93">
        <f t="shared" si="1044"/>
        <v>8.7541556890930433E-2</v>
      </c>
      <c r="DQ91" s="93">
        <f t="shared" si="1044"/>
        <v>8.0221292890978929E-2</v>
      </c>
      <c r="DR91" s="93">
        <f t="shared" si="1044"/>
        <v>0.12748548437838797</v>
      </c>
      <c r="DS91" s="93">
        <f t="shared" si="1044"/>
        <v>7.2178346498258994E-2</v>
      </c>
      <c r="DT91" s="93">
        <f t="shared" si="1044"/>
        <v>5.9342184073634834E-2</v>
      </c>
      <c r="DU91" s="93">
        <f t="shared" si="1044"/>
        <v>7.5174092076530807E-2</v>
      </c>
      <c r="DV91" s="93">
        <f t="shared" si="1044"/>
        <v>6.4029907241620082E-2</v>
      </c>
      <c r="DW91" s="93">
        <f t="shared" si="1044"/>
        <v>6.2086436542276607E-2</v>
      </c>
      <c r="DX91" s="93">
        <f t="shared" si="1044"/>
        <v>6.8881075650077853E-2</v>
      </c>
      <c r="DY91" s="93">
        <f t="shared" si="1044"/>
        <v>8.1705681471543778E-2</v>
      </c>
      <c r="DZ91" s="93">
        <f t="shared" si="1044"/>
        <v>9.8219061913661282E-2</v>
      </c>
      <c r="EA91" s="93">
        <f t="shared" si="1044"/>
        <v>0.12313488037209847</v>
      </c>
      <c r="EB91" s="93">
        <f t="shared" si="1044"/>
        <v>8.7541556890930433E-2</v>
      </c>
      <c r="EC91" s="93">
        <f t="shared" si="1044"/>
        <v>8.0221292890978929E-2</v>
      </c>
      <c r="ED91" s="93">
        <f t="shared" si="1044"/>
        <v>0.12748548437838797</v>
      </c>
      <c r="EE91" s="93">
        <f t="shared" si="1044"/>
        <v>7.2178346498258994E-2</v>
      </c>
      <c r="EF91" s="93">
        <f t="shared" si="1044"/>
        <v>5.9342184073634834E-2</v>
      </c>
      <c r="EG91" s="93">
        <f t="shared" si="1044"/>
        <v>7.5174092076530807E-2</v>
      </c>
      <c r="EH91" s="93">
        <f t="shared" si="1044"/>
        <v>6.4029907241620082E-2</v>
      </c>
      <c r="EI91" s="93">
        <f t="shared" si="1044"/>
        <v>6.2086436542276607E-2</v>
      </c>
      <c r="EJ91" s="93">
        <f t="shared" si="1044"/>
        <v>6.8881075650077853E-2</v>
      </c>
      <c r="EK91" s="93">
        <f t="shared" si="1044"/>
        <v>8.1705681471543778E-2</v>
      </c>
      <c r="EL91" s="93">
        <f t="shared" si="1044"/>
        <v>9.8219061913661282E-2</v>
      </c>
      <c r="EM91" s="93">
        <f t="shared" si="1044"/>
        <v>0.12313488037209847</v>
      </c>
      <c r="EN91" s="93">
        <f t="shared" si="1044"/>
        <v>8.7541556890930433E-2</v>
      </c>
      <c r="EO91" s="93">
        <f t="shared" si="1044"/>
        <v>8.0221292890978929E-2</v>
      </c>
      <c r="EP91" s="93">
        <f t="shared" si="1044"/>
        <v>0.12748548437838797</v>
      </c>
      <c r="EQ91" s="93">
        <f t="shared" si="1044"/>
        <v>7.2178346498258994E-2</v>
      </c>
      <c r="ER91" s="93">
        <f t="shared" si="1044"/>
        <v>5.9342184073634834E-2</v>
      </c>
      <c r="ES91" s="93">
        <f t="shared" si="1044"/>
        <v>7.5174092076530807E-2</v>
      </c>
      <c r="ET91" s="93">
        <f t="shared" si="1044"/>
        <v>6.4029907241620082E-2</v>
      </c>
      <c r="EU91" s="93">
        <f t="shared" si="1044"/>
        <v>6.2086436542276607E-2</v>
      </c>
      <c r="EV91" s="93">
        <f t="shared" si="1044"/>
        <v>6.8881075650077853E-2</v>
      </c>
      <c r="EW91" s="93">
        <f t="shared" si="1044"/>
        <v>8.1705681471543778E-2</v>
      </c>
      <c r="EX91" s="93">
        <f t="shared" si="1044"/>
        <v>9.8219061913661282E-2</v>
      </c>
      <c r="EY91" s="93">
        <f t="shared" si="1044"/>
        <v>0.12313488037209847</v>
      </c>
      <c r="EZ91" s="93">
        <f t="shared" si="1044"/>
        <v>8.7541556890930433E-2</v>
      </c>
      <c r="FA91" s="93">
        <f t="shared" si="1044"/>
        <v>8.0221292890978929E-2</v>
      </c>
      <c r="FB91" s="93">
        <f t="shared" si="1044"/>
        <v>0.12748548437838797</v>
      </c>
    </row>
    <row r="92" spans="2:158" outlineLevel="1" x14ac:dyDescent="0.25">
      <c r="C92" s="2" t="s">
        <v>188</v>
      </c>
      <c r="D92" s="60">
        <f>D65/(D67-D65)</f>
        <v>0</v>
      </c>
      <c r="E92" s="60">
        <f t="shared" ref="E92:L92" si="1045">E65/(E67-E65)</f>
        <v>-0.10819254671747632</v>
      </c>
      <c r="F92" s="60">
        <f t="shared" si="1045"/>
        <v>-7.4140267962148843E-2</v>
      </c>
      <c r="G92" s="60">
        <f t="shared" si="1045"/>
        <v>-0.13185980200824737</v>
      </c>
      <c r="H92" s="60">
        <f t="shared" si="1045"/>
        <v>-0.18089212712705624</v>
      </c>
      <c r="I92" s="60">
        <f t="shared" si="1045"/>
        <v>-0.20028517154150424</v>
      </c>
      <c r="J92" s="60">
        <f t="shared" si="1045"/>
        <v>-0.20934599367983367</v>
      </c>
      <c r="K92" s="60">
        <f t="shared" si="1045"/>
        <v>-0.20614743939844268</v>
      </c>
      <c r="L92" s="60">
        <f t="shared" si="1045"/>
        <v>-0.18788677835656645</v>
      </c>
      <c r="M92" s="61"/>
      <c r="N92" s="60">
        <f t="shared" ref="N92:AW92" si="1046">N65/(N67-N65)</f>
        <v>0</v>
      </c>
      <c r="O92" s="60">
        <f t="shared" si="1046"/>
        <v>0</v>
      </c>
      <c r="P92" s="60">
        <f t="shared" si="1046"/>
        <v>0</v>
      </c>
      <c r="Q92" s="60">
        <f t="shared" si="1046"/>
        <v>0</v>
      </c>
      <c r="R92" s="60">
        <f t="shared" si="1046"/>
        <v>-9.9014198219423893E-2</v>
      </c>
      <c r="S92" s="60">
        <f t="shared" si="1046"/>
        <v>-0.14067854439270913</v>
      </c>
      <c r="T92" s="60">
        <f t="shared" si="1046"/>
        <v>-7.3097989414643447E-2</v>
      </c>
      <c r="U92" s="60">
        <f t="shared" si="1046"/>
        <v>-0.11833301275930072</v>
      </c>
      <c r="V92" s="60">
        <f t="shared" si="1046"/>
        <v>-3.7527668804613938E-2</v>
      </c>
      <c r="W92" s="60">
        <f t="shared" si="1046"/>
        <v>-9.3951928216086916E-2</v>
      </c>
      <c r="X92" s="60">
        <f t="shared" si="1046"/>
        <v>-6.4266364217784727E-2</v>
      </c>
      <c r="Y92" s="60">
        <f t="shared" si="1046"/>
        <v>-9.5299161666474549E-2</v>
      </c>
      <c r="Z92" s="60">
        <f t="shared" si="1046"/>
        <v>-6.2554879343497544E-2</v>
      </c>
      <c r="AA92" s="60">
        <f t="shared" si="1046"/>
        <v>-0.1259675552267383</v>
      </c>
      <c r="AB92" s="60">
        <f t="shared" si="1046"/>
        <v>-0.14544922959578474</v>
      </c>
      <c r="AC92" s="60">
        <f t="shared" si="1046"/>
        <v>-0.16463582971797405</v>
      </c>
      <c r="AD92" s="60">
        <f t="shared" si="1046"/>
        <v>-0.10827284708589605</v>
      </c>
      <c r="AE92" s="60">
        <f t="shared" si="1046"/>
        <v>-0.1745876879088189</v>
      </c>
      <c r="AF92" s="60">
        <f t="shared" si="1046"/>
        <v>-0.15114897014240461</v>
      </c>
      <c r="AG92" s="60">
        <f t="shared" si="1046"/>
        <v>-0.27962511228053821</v>
      </c>
      <c r="AH92" s="60">
        <f t="shared" si="1046"/>
        <v>-0.14912312999437782</v>
      </c>
      <c r="AI92" s="60">
        <f t="shared" si="1046"/>
        <v>-0.21431479847083457</v>
      </c>
      <c r="AJ92" s="60">
        <f t="shared" si="1046"/>
        <v>-0.16431926176550632</v>
      </c>
      <c r="AK92" s="60">
        <f t="shared" si="1046"/>
        <v>-0.25999976252352597</v>
      </c>
      <c r="AL92" s="60">
        <f t="shared" si="1046"/>
        <v>-0.15096752329686089</v>
      </c>
      <c r="AM92" s="60">
        <f t="shared" si="1046"/>
        <v>-0.22425567993564671</v>
      </c>
      <c r="AN92" s="60">
        <f t="shared" si="1046"/>
        <v>-0.17113455369397648</v>
      </c>
      <c r="AO92" s="60">
        <f t="shared" si="1046"/>
        <v>-0.28438306185665102</v>
      </c>
      <c r="AP92" s="60">
        <f t="shared" si="1046"/>
        <v>-0.14954211526124436</v>
      </c>
      <c r="AQ92" s="60">
        <f t="shared" si="1046"/>
        <v>-0.22451889578275075</v>
      </c>
      <c r="AR92" s="60">
        <f t="shared" si="1046"/>
        <v>-0.16369599555765069</v>
      </c>
      <c r="AS92" s="60">
        <f t="shared" si="1046"/>
        <v>-0.27589708343139641</v>
      </c>
      <c r="AT92" s="60">
        <f t="shared" si="1046"/>
        <v>-0.13120142621916991</v>
      </c>
      <c r="AU92" s="60">
        <f t="shared" si="1046"/>
        <v>-0.20403699974913159</v>
      </c>
      <c r="AV92" s="60">
        <f t="shared" si="1046"/>
        <v>-0.14797698720298766</v>
      </c>
      <c r="AW92" s="60">
        <f t="shared" si="1046"/>
        <v>-0.25470857892794502</v>
      </c>
      <c r="AX92" s="61"/>
      <c r="AY92" s="60">
        <f t="shared" ref="AY92:DJ92" si="1047">AY65/(AY67-AY65)</f>
        <v>0</v>
      </c>
      <c r="AZ92" s="60">
        <f t="shared" si="1047"/>
        <v>0</v>
      </c>
      <c r="BA92" s="60">
        <f t="shared" si="1047"/>
        <v>0</v>
      </c>
      <c r="BB92" s="60">
        <f t="shared" si="1047"/>
        <v>0</v>
      </c>
      <c r="BC92" s="60">
        <f t="shared" si="1047"/>
        <v>0</v>
      </c>
      <c r="BD92" s="60">
        <f t="shared" si="1047"/>
        <v>0</v>
      </c>
      <c r="BE92" s="60">
        <f t="shared" si="1047"/>
        <v>0</v>
      </c>
      <c r="BF92" s="60">
        <f t="shared" si="1047"/>
        <v>0</v>
      </c>
      <c r="BG92" s="60">
        <f t="shared" si="1047"/>
        <v>0</v>
      </c>
      <c r="BH92" s="60">
        <f t="shared" si="1047"/>
        <v>0</v>
      </c>
      <c r="BI92" s="60">
        <f t="shared" si="1047"/>
        <v>0</v>
      </c>
      <c r="BJ92" s="60">
        <f t="shared" si="1047"/>
        <v>0</v>
      </c>
      <c r="BK92" s="60">
        <f t="shared" si="1047"/>
        <v>-0.1086354740805473</v>
      </c>
      <c r="BL92" s="60">
        <f t="shared" si="1047"/>
        <v>-0.10393255567534447</v>
      </c>
      <c r="BM92" s="60">
        <f t="shared" si="1047"/>
        <v>-8.7169029130080303E-2</v>
      </c>
      <c r="BN92" s="60">
        <f t="shared" si="1047"/>
        <v>-0.13376481669381862</v>
      </c>
      <c r="BO92" s="60">
        <f t="shared" si="1047"/>
        <v>-0.14391284741438862</v>
      </c>
      <c r="BP92" s="60">
        <f t="shared" si="1047"/>
        <v>-0.14491165389655905</v>
      </c>
      <c r="BQ92" s="60">
        <f t="shared" si="1047"/>
        <v>-8.2762985581626161E-2</v>
      </c>
      <c r="BR92" s="60">
        <f t="shared" si="1047"/>
        <v>-7.105803092358054E-2</v>
      </c>
      <c r="BS92" s="60">
        <f t="shared" si="1047"/>
        <v>-6.7181276250507946E-2</v>
      </c>
      <c r="BT92" s="60">
        <f t="shared" si="1047"/>
        <v>-0.14579011260681421</v>
      </c>
      <c r="BU92" s="60">
        <f t="shared" si="1047"/>
        <v>-0.11451414614448253</v>
      </c>
      <c r="BV92" s="60">
        <f t="shared" si="1047"/>
        <v>-0.10245418689752753</v>
      </c>
      <c r="BW92" s="60">
        <f t="shared" si="1047"/>
        <v>-3.4564415725532822E-2</v>
      </c>
      <c r="BX92" s="60">
        <f t="shared" si="1047"/>
        <v>-3.8484382901214309E-2</v>
      </c>
      <c r="BY92" s="60">
        <f t="shared" si="1047"/>
        <v>-3.9960100962221169E-2</v>
      </c>
      <c r="BZ92" s="60">
        <f t="shared" si="1047"/>
        <v>-0.10292668888766503</v>
      </c>
      <c r="CA92" s="60">
        <f t="shared" si="1047"/>
        <v>-0.10930806829535646</v>
      </c>
      <c r="CB92" s="60">
        <f t="shared" si="1047"/>
        <v>-7.6527988041312167E-2</v>
      </c>
      <c r="CC92" s="60">
        <f t="shared" si="1047"/>
        <v>-7.6962784234455447E-2</v>
      </c>
      <c r="CD92" s="60">
        <f t="shared" si="1047"/>
        <v>-6.035643890270799E-2</v>
      </c>
      <c r="CE92" s="60">
        <f t="shared" si="1047"/>
        <v>-5.8413998795559322E-2</v>
      </c>
      <c r="CF92" s="60">
        <f t="shared" si="1047"/>
        <v>-0.1174420074878606</v>
      </c>
      <c r="CG92" s="60">
        <f t="shared" si="1047"/>
        <v>-9.4977615135926216E-2</v>
      </c>
      <c r="CH92" s="60">
        <f t="shared" si="1047"/>
        <v>-8.0410558917951319E-2</v>
      </c>
      <c r="CI92" s="60">
        <f t="shared" si="1047"/>
        <v>-7.0436474842346081E-2</v>
      </c>
      <c r="CJ92" s="60">
        <f t="shared" si="1047"/>
        <v>-7.2002927838853148E-2</v>
      </c>
      <c r="CK92" s="60">
        <f t="shared" si="1047"/>
        <v>-5.0321109712332536E-2</v>
      </c>
      <c r="CL92" s="60">
        <f t="shared" si="1047"/>
        <v>-0.15669393368396731</v>
      </c>
      <c r="CM92" s="60">
        <f t="shared" si="1047"/>
        <v>-0.11799295511298179</v>
      </c>
      <c r="CN92" s="60">
        <f t="shared" si="1047"/>
        <v>-0.11162326280816587</v>
      </c>
      <c r="CO92" s="60">
        <f t="shared" si="1047"/>
        <v>-0.17761360482461525</v>
      </c>
      <c r="CP92" s="60">
        <f t="shared" si="1047"/>
        <v>-0.14932022449203688</v>
      </c>
      <c r="CQ92" s="60">
        <f t="shared" si="1047"/>
        <v>-0.12050315351840926</v>
      </c>
      <c r="CR92" s="60">
        <f t="shared" si="1047"/>
        <v>-0.19381261652858328</v>
      </c>
      <c r="CS92" s="60">
        <f t="shared" si="1047"/>
        <v>-0.16684841580559501</v>
      </c>
      <c r="CT92" s="60">
        <f t="shared" si="1047"/>
        <v>-0.14146374678679755</v>
      </c>
      <c r="CU92" s="60">
        <f t="shared" si="1047"/>
        <v>2.9946128291024644E-2</v>
      </c>
      <c r="CV92" s="60">
        <f t="shared" si="1047"/>
        <v>-7.9971804147346448E-2</v>
      </c>
      <c r="CW92" s="60">
        <f t="shared" si="1047"/>
        <v>-0.27035148963254241</v>
      </c>
      <c r="CX92" s="60">
        <f t="shared" si="1047"/>
        <v>-3.2917079503449312E-2</v>
      </c>
      <c r="CY92" s="60">
        <f t="shared" si="1047"/>
        <v>-0.1824531259940454</v>
      </c>
      <c r="CZ92" s="60">
        <f t="shared" si="1047"/>
        <v>-0.30458851935968773</v>
      </c>
      <c r="DA92" s="60">
        <f t="shared" si="1047"/>
        <v>-1.897778634052193E-2</v>
      </c>
      <c r="DB92" s="60">
        <f t="shared" si="1047"/>
        <v>-0.12546370161716083</v>
      </c>
      <c r="DC92" s="60">
        <f t="shared" si="1047"/>
        <v>-0.29798509877091706</v>
      </c>
      <c r="DD92" s="60">
        <f t="shared" si="1047"/>
        <v>-5.7886403505433719E-2</v>
      </c>
      <c r="DE92" s="60">
        <f t="shared" si="1047"/>
        <v>-0.36666751153806376</v>
      </c>
      <c r="DF92" s="60">
        <f t="shared" si="1047"/>
        <v>-0.40469093288078645</v>
      </c>
      <c r="DG92" s="60">
        <f t="shared" si="1047"/>
        <v>7.5893110780281912E-3</v>
      </c>
      <c r="DH92" s="60">
        <f t="shared" si="1047"/>
        <v>-0.11816149845926759</v>
      </c>
      <c r="DI92" s="60">
        <f t="shared" si="1047"/>
        <v>-0.3233433639992872</v>
      </c>
      <c r="DJ92" s="60">
        <f t="shared" si="1047"/>
        <v>-6.7219816984775208E-2</v>
      </c>
      <c r="DK92" s="60">
        <f t="shared" ref="DK92:FB92" si="1048">DK65/(DK67-DK65)</f>
        <v>-0.22207623185637326</v>
      </c>
      <c r="DL92" s="60">
        <f t="shared" si="1048"/>
        <v>-0.34351374933910528</v>
      </c>
      <c r="DM92" s="60">
        <f t="shared" si="1048"/>
        <v>-3.0373346135246688E-2</v>
      </c>
      <c r="DN92" s="60">
        <f t="shared" si="1048"/>
        <v>-0.13893514236907689</v>
      </c>
      <c r="DO92" s="60">
        <f t="shared" si="1048"/>
        <v>-0.3071913309094621</v>
      </c>
      <c r="DP92" s="60">
        <f t="shared" si="1048"/>
        <v>-4.7386651105354671E-2</v>
      </c>
      <c r="DQ92" s="60">
        <f t="shared" si="1048"/>
        <v>-0.34313824986344171</v>
      </c>
      <c r="DR92" s="60">
        <f t="shared" si="1048"/>
        <v>-0.37501078722082049</v>
      </c>
      <c r="DS92" s="60">
        <f t="shared" si="1048"/>
        <v>9.1485765123919325E-4</v>
      </c>
      <c r="DT92" s="60">
        <f t="shared" si="1048"/>
        <v>-0.1208447276459797</v>
      </c>
      <c r="DU92" s="60">
        <f t="shared" si="1048"/>
        <v>-0.32793504880572</v>
      </c>
      <c r="DV92" s="60">
        <f t="shared" si="1048"/>
        <v>-7.0041399363186235E-2</v>
      </c>
      <c r="DW92" s="60">
        <f t="shared" si="1048"/>
        <v>-0.23331727160322002</v>
      </c>
      <c r="DX92" s="60">
        <f t="shared" si="1048"/>
        <v>-0.36510705816223155</v>
      </c>
      <c r="DY92" s="60">
        <f t="shared" si="1048"/>
        <v>-2.6566801939131333E-2</v>
      </c>
      <c r="DZ92" s="60">
        <f t="shared" si="1048"/>
        <v>-0.14345434610860333</v>
      </c>
      <c r="EA92" s="60">
        <f t="shared" si="1048"/>
        <v>-0.33035539954171078</v>
      </c>
      <c r="EB92" s="60">
        <f t="shared" si="1048"/>
        <v>-4.0574016097794964E-2</v>
      </c>
      <c r="EC92" s="60">
        <f t="shared" si="1048"/>
        <v>-0.38221637713485146</v>
      </c>
      <c r="ED92" s="60">
        <f t="shared" si="1048"/>
        <v>-0.41921873263380005</v>
      </c>
      <c r="EE92" s="60">
        <f t="shared" si="1048"/>
        <v>2.2591919448668989E-2</v>
      </c>
      <c r="EF92" s="60">
        <f t="shared" si="1048"/>
        <v>-0.11537259464554721</v>
      </c>
      <c r="EG92" s="60">
        <f t="shared" si="1048"/>
        <v>-0.34519843565771768</v>
      </c>
      <c r="EH92" s="60">
        <f t="shared" si="1048"/>
        <v>-5.688502351198918E-2</v>
      </c>
      <c r="EI92" s="60">
        <f t="shared" si="1048"/>
        <v>-0.23440169416088727</v>
      </c>
      <c r="EJ92" s="60">
        <f t="shared" si="1048"/>
        <v>-0.37375723414673911</v>
      </c>
      <c r="EK92" s="60">
        <f t="shared" si="1048"/>
        <v>-9.6901245735011837E-3</v>
      </c>
      <c r="EL92" s="60">
        <f t="shared" si="1048"/>
        <v>-0.13428192443656994</v>
      </c>
      <c r="EM92" s="60">
        <f t="shared" si="1048"/>
        <v>-0.329414334589062</v>
      </c>
      <c r="EN92" s="60">
        <f t="shared" si="1048"/>
        <v>-2.4658827395179311E-2</v>
      </c>
      <c r="EO92" s="60">
        <f t="shared" si="1048"/>
        <v>-0.37646141016223439</v>
      </c>
      <c r="EP92" s="60">
        <f t="shared" si="1048"/>
        <v>-0.4113246487339805</v>
      </c>
      <c r="EQ92" s="60">
        <f t="shared" si="1048"/>
        <v>4.0128007686889254E-2</v>
      </c>
      <c r="ER92" s="60">
        <f t="shared" si="1048"/>
        <v>-9.6881887577739911E-2</v>
      </c>
      <c r="ES92" s="60">
        <f t="shared" si="1048"/>
        <v>-0.32339536064525287</v>
      </c>
      <c r="ET92" s="60">
        <f t="shared" si="1048"/>
        <v>-4.1125119130782171E-2</v>
      </c>
      <c r="EU92" s="60">
        <f t="shared" si="1048"/>
        <v>-0.21324779016705661</v>
      </c>
      <c r="EV92" s="60">
        <f t="shared" si="1048"/>
        <v>-0.3474224528538491</v>
      </c>
      <c r="EW92" s="60">
        <f t="shared" si="1048"/>
        <v>9.3642528556325659E-4</v>
      </c>
      <c r="EX92" s="60">
        <f t="shared" si="1048"/>
        <v>-0.11965018334556476</v>
      </c>
      <c r="EY92" s="60">
        <f t="shared" si="1048"/>
        <v>-0.30682205210749502</v>
      </c>
      <c r="EZ92" s="60">
        <f t="shared" si="1048"/>
        <v>-1.6865681360279595E-2</v>
      </c>
      <c r="FA92" s="60">
        <f t="shared" si="1048"/>
        <v>-0.34826565844743557</v>
      </c>
      <c r="FB92" s="60">
        <f t="shared" si="1048"/>
        <v>-0.38304561949795785</v>
      </c>
    </row>
    <row r="93" spans="2:158" x14ac:dyDescent="0.25">
      <c r="D93" s="16"/>
      <c r="E93" s="16"/>
      <c r="F93" s="16"/>
      <c r="G93" s="16"/>
      <c r="H93" s="16"/>
      <c r="I93" s="55"/>
      <c r="J93" s="55"/>
      <c r="K93" s="55"/>
      <c r="L93" s="55"/>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Y93" s="16"/>
      <c r="AZ93" s="16"/>
      <c r="BA93" s="16"/>
      <c r="BB93" s="16"/>
      <c r="BC93" s="16"/>
      <c r="BD93" s="16"/>
      <c r="BE93" s="16"/>
      <c r="BF93" s="16"/>
      <c r="BG93" s="16"/>
      <c r="BH93" s="16"/>
      <c r="BI93" s="16"/>
      <c r="BJ93" s="16"/>
      <c r="BK93" s="16"/>
      <c r="BL93" s="16"/>
      <c r="BM93" s="16"/>
      <c r="BN93" s="16"/>
      <c r="BO93" s="16"/>
      <c r="BP93" s="16"/>
      <c r="BQ93" s="16"/>
      <c r="BR93" s="16"/>
      <c r="BS93" s="16"/>
      <c r="BT93" s="16"/>
      <c r="BU93" s="16"/>
      <c r="BV93" s="16"/>
      <c r="BW93" s="16"/>
      <c r="BX93" s="16"/>
      <c r="BY93" s="16"/>
      <c r="BZ93" s="16"/>
      <c r="CA93" s="16"/>
      <c r="CB93" s="16"/>
      <c r="CC93" s="16"/>
      <c r="CD93" s="16"/>
      <c r="CE93" s="16"/>
      <c r="CF93" s="16"/>
      <c r="CG93" s="16"/>
      <c r="CH93" s="16"/>
      <c r="CI93" s="16"/>
      <c r="CJ93" s="16"/>
      <c r="CK93" s="16"/>
      <c r="CL93" s="16"/>
      <c r="CM93" s="16"/>
      <c r="CN93" s="16"/>
      <c r="CO93" s="16"/>
      <c r="CP93" s="16"/>
      <c r="CQ93" s="16"/>
      <c r="CR93" s="16"/>
      <c r="CS93" s="16"/>
      <c r="CT93" s="16"/>
      <c r="CU93" s="16"/>
      <c r="CV93" s="16"/>
      <c r="CW93" s="16"/>
      <c r="CX93" s="16"/>
      <c r="CY93" s="16"/>
      <c r="CZ93" s="16"/>
      <c r="DA93" s="16"/>
      <c r="DB93" s="16"/>
      <c r="DC93" s="16"/>
      <c r="DD93" s="16"/>
      <c r="DE93" s="16"/>
      <c r="DF93" s="16"/>
      <c r="DG93" s="16"/>
      <c r="DH93" s="16"/>
      <c r="DI93" s="16"/>
      <c r="DJ93" s="16"/>
      <c r="DK93" s="16"/>
      <c r="DL93" s="16"/>
      <c r="DM93" s="16"/>
      <c r="DN93" s="16"/>
      <c r="DO93" s="16"/>
      <c r="DP93" s="16"/>
      <c r="DQ93" s="16"/>
      <c r="DR93" s="16"/>
      <c r="DS93" s="16"/>
      <c r="DT93" s="16"/>
      <c r="DU93" s="16"/>
      <c r="DV93" s="16"/>
      <c r="DW93" s="16"/>
      <c r="DX93" s="16"/>
      <c r="DY93" s="16"/>
      <c r="DZ93" s="16"/>
      <c r="EA93" s="16"/>
      <c r="EB93" s="16"/>
      <c r="EC93" s="16"/>
      <c r="ED93" s="16"/>
      <c r="EE93" s="16"/>
      <c r="EF93" s="16"/>
      <c r="EG93" s="16"/>
      <c r="EH93" s="16"/>
      <c r="EI93" s="16"/>
      <c r="EJ93" s="16"/>
      <c r="EK93" s="16"/>
      <c r="EL93" s="16"/>
      <c r="EM93" s="16"/>
      <c r="EN93" s="16"/>
      <c r="EO93" s="16"/>
      <c r="EP93" s="16"/>
      <c r="EQ93" s="16"/>
      <c r="ER93" s="16"/>
      <c r="ES93" s="16"/>
      <c r="ET93" s="16"/>
      <c r="EU93" s="16"/>
      <c r="EV93" s="16"/>
      <c r="EW93" s="16"/>
      <c r="EX93" s="16"/>
      <c r="EY93" s="16"/>
      <c r="EZ93" s="16"/>
      <c r="FA93" s="16"/>
      <c r="FB93" s="16"/>
    </row>
    <row r="94" spans="2:158" x14ac:dyDescent="0.25">
      <c r="C94" s="3" t="s">
        <v>534</v>
      </c>
      <c r="D94" s="4"/>
      <c r="E94" s="4"/>
      <c r="F94" s="4"/>
      <c r="G94" s="4"/>
      <c r="H94" s="4"/>
      <c r="I94" s="4"/>
      <c r="J94" s="4"/>
      <c r="K94" s="4"/>
      <c r="L94" s="4"/>
      <c r="M94" s="3"/>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3"/>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4"/>
      <c r="BY94" s="4"/>
      <c r="BZ94" s="4"/>
      <c r="CA94" s="4"/>
      <c r="CB94" s="4"/>
      <c r="CC94" s="4"/>
      <c r="CD94" s="4"/>
      <c r="CE94" s="4"/>
      <c r="CF94" s="4"/>
      <c r="CG94" s="4"/>
      <c r="CH94" s="4"/>
      <c r="CI94" s="4"/>
      <c r="CJ94" s="4"/>
      <c r="CK94" s="4"/>
      <c r="CL94" s="4"/>
      <c r="CM94" s="4"/>
      <c r="CN94" s="4"/>
      <c r="CO94" s="4"/>
      <c r="CP94" s="4"/>
      <c r="CQ94" s="4"/>
      <c r="CR94" s="4"/>
      <c r="CS94" s="4"/>
      <c r="CT94" s="4"/>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4"/>
      <c r="DU94" s="4"/>
      <c r="DV94" s="4"/>
      <c r="DW94" s="4"/>
      <c r="DX94" s="4"/>
      <c r="DY94" s="4"/>
      <c r="DZ94" s="4"/>
      <c r="EA94" s="4"/>
      <c r="EB94" s="4"/>
      <c r="EC94" s="4"/>
      <c r="ED94" s="4"/>
      <c r="EE94" s="4"/>
      <c r="EF94" s="4"/>
      <c r="EG94" s="4"/>
      <c r="EH94" s="4"/>
      <c r="EI94" s="4"/>
      <c r="EJ94" s="4"/>
      <c r="EK94" s="4"/>
      <c r="EL94" s="4"/>
      <c r="EM94" s="4"/>
      <c r="EN94" s="4"/>
      <c r="EO94" s="4"/>
      <c r="EP94" s="4"/>
      <c r="EQ94" s="4"/>
      <c r="ER94" s="4"/>
      <c r="ES94" s="4"/>
      <c r="ET94" s="4"/>
      <c r="EU94" s="4"/>
      <c r="EV94" s="4"/>
      <c r="EW94" s="4"/>
      <c r="EX94" s="4"/>
      <c r="EY94" s="4"/>
      <c r="EZ94" s="4"/>
      <c r="FA94" s="4"/>
      <c r="FB94" s="4"/>
    </row>
    <row r="95" spans="2:158" x14ac:dyDescent="0.25">
      <c r="D95" s="16"/>
      <c r="E95" s="16"/>
      <c r="F95" s="16"/>
      <c r="G95" s="16"/>
      <c r="H95" s="16"/>
      <c r="I95" s="55"/>
      <c r="J95" s="55"/>
      <c r="K95" s="55"/>
      <c r="L95" s="55"/>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Y95" s="16"/>
      <c r="AZ95" s="16"/>
      <c r="BA95" s="16"/>
      <c r="BB95" s="16"/>
      <c r="BC95" s="16"/>
      <c r="BD95" s="16"/>
      <c r="BE95" s="16"/>
      <c r="BF95" s="16"/>
      <c r="BG95" s="16"/>
      <c r="BH95" s="16"/>
      <c r="BI95" s="16"/>
      <c r="BJ95" s="16"/>
      <c r="BK95" s="16"/>
      <c r="BL95" s="16"/>
      <c r="BM95" s="16"/>
      <c r="BN95" s="16"/>
      <c r="BO95" s="16"/>
      <c r="BP95" s="16"/>
      <c r="BQ95" s="16"/>
      <c r="BR95" s="16"/>
      <c r="BS95" s="16"/>
      <c r="BT95" s="16"/>
      <c r="BU95" s="16"/>
      <c r="BV95" s="16"/>
      <c r="BW95" s="16"/>
      <c r="BX95" s="16"/>
      <c r="BY95" s="16"/>
      <c r="BZ95" s="16"/>
      <c r="CA95" s="16"/>
      <c r="CB95" s="16"/>
      <c r="CC95" s="16"/>
      <c r="CD95" s="16"/>
      <c r="CE95" s="16"/>
      <c r="CF95" s="16"/>
      <c r="CG95" s="16"/>
      <c r="CH95" s="16"/>
      <c r="CI95" s="16"/>
      <c r="CJ95" s="16"/>
      <c r="CK95" s="16"/>
      <c r="CL95" s="16"/>
      <c r="CM95" s="16"/>
      <c r="CN95" s="16"/>
      <c r="CO95" s="16"/>
      <c r="CP95" s="16"/>
      <c r="CQ95" s="16"/>
      <c r="CR95" s="16"/>
      <c r="CS95" s="16"/>
      <c r="CT95" s="16"/>
      <c r="CU95" s="16"/>
      <c r="CV95" s="16"/>
      <c r="CW95" s="16"/>
      <c r="CX95" s="16"/>
      <c r="CY95" s="16"/>
      <c r="CZ95" s="16"/>
      <c r="DA95" s="16"/>
      <c r="DB95" s="16"/>
      <c r="DC95" s="16"/>
      <c r="DD95" s="16"/>
      <c r="DE95" s="16"/>
      <c r="DF95" s="16"/>
      <c r="DG95" s="16"/>
      <c r="DH95" s="16"/>
      <c r="DI95" s="16"/>
      <c r="DJ95" s="16"/>
      <c r="DK95" s="16"/>
      <c r="DL95" s="16"/>
      <c r="DM95" s="16"/>
      <c r="DN95" s="16"/>
      <c r="DO95" s="16"/>
      <c r="DP95" s="16"/>
      <c r="DQ95" s="16"/>
      <c r="DR95" s="16"/>
      <c r="DS95" s="16"/>
      <c r="DT95" s="16"/>
      <c r="DU95" s="16"/>
      <c r="DV95" s="16"/>
      <c r="DW95" s="16"/>
      <c r="DX95" s="16"/>
      <c r="DY95" s="16"/>
      <c r="DZ95" s="16"/>
      <c r="EA95" s="16"/>
      <c r="EB95" s="16"/>
      <c r="EC95" s="16"/>
      <c r="ED95" s="16"/>
      <c r="EE95" s="16"/>
      <c r="EF95" s="16"/>
      <c r="EG95" s="16"/>
      <c r="EH95" s="16"/>
      <c r="EI95" s="16"/>
      <c r="EJ95" s="16"/>
      <c r="EK95" s="16"/>
      <c r="EL95" s="16"/>
      <c r="EM95" s="16"/>
      <c r="EN95" s="16"/>
      <c r="EO95" s="16"/>
      <c r="EP95" s="16"/>
      <c r="EQ95" s="16"/>
      <c r="ER95" s="16"/>
      <c r="ES95" s="16"/>
      <c r="ET95" s="16"/>
      <c r="EU95" s="16"/>
      <c r="EV95" s="16"/>
      <c r="EW95" s="16"/>
      <c r="EX95" s="16"/>
      <c r="EY95" s="16"/>
      <c r="EZ95" s="16"/>
      <c r="FA95" s="16"/>
      <c r="FB95" s="16"/>
    </row>
    <row r="96" spans="2:158" x14ac:dyDescent="0.25">
      <c r="C96" s="252" t="s">
        <v>42</v>
      </c>
      <c r="D96" s="16"/>
      <c r="E96" s="16"/>
      <c r="F96" s="16"/>
      <c r="G96" s="16"/>
      <c r="H96" s="16"/>
      <c r="I96" s="55"/>
      <c r="J96" s="55"/>
      <c r="K96" s="55"/>
      <c r="L96" s="55"/>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Y96" s="16"/>
      <c r="AZ96" s="16"/>
      <c r="BA96" s="16"/>
      <c r="BB96" s="16"/>
      <c r="BC96" s="16"/>
      <c r="BD96" s="16"/>
      <c r="BE96" s="16"/>
      <c r="BF96" s="16"/>
      <c r="BG96" s="16"/>
      <c r="BH96" s="16"/>
      <c r="BI96" s="16"/>
      <c r="BJ96" s="16"/>
      <c r="BK96" s="16"/>
      <c r="BL96" s="16"/>
      <c r="BM96" s="16"/>
      <c r="BN96" s="16"/>
      <c r="BO96" s="16"/>
      <c r="BP96" s="16"/>
      <c r="BQ96" s="16"/>
      <c r="BR96" s="16"/>
      <c r="BS96" s="16"/>
      <c r="BT96" s="16"/>
      <c r="BU96" s="16"/>
      <c r="BV96" s="16"/>
      <c r="BW96" s="16"/>
      <c r="BX96" s="16"/>
      <c r="BY96" s="16"/>
      <c r="BZ96" s="16"/>
      <c r="CA96" s="16"/>
      <c r="CB96" s="16"/>
      <c r="CC96" s="16"/>
      <c r="CD96" s="16"/>
      <c r="CE96" s="16"/>
      <c r="CF96" s="16"/>
      <c r="CG96" s="16"/>
      <c r="CH96" s="16"/>
      <c r="CI96" s="16"/>
      <c r="CJ96" s="16"/>
      <c r="CK96" s="16"/>
      <c r="CL96" s="16"/>
      <c r="CM96" s="16"/>
      <c r="CN96" s="16"/>
      <c r="CO96" s="16"/>
      <c r="CP96" s="16"/>
      <c r="CQ96" s="16"/>
      <c r="CR96" s="16"/>
      <c r="CS96" s="16"/>
      <c r="CT96" s="16"/>
      <c r="CU96" s="16"/>
      <c r="CV96" s="16"/>
      <c r="CW96" s="16"/>
      <c r="CX96" s="16"/>
      <c r="CY96" s="16"/>
      <c r="CZ96" s="16"/>
      <c r="DA96" s="16"/>
      <c r="DB96" s="16"/>
      <c r="DC96" s="16"/>
      <c r="DD96" s="16"/>
      <c r="DE96" s="16"/>
      <c r="DF96" s="16"/>
      <c r="DG96" s="16"/>
      <c r="DH96" s="16"/>
      <c r="DI96" s="16"/>
      <c r="DJ96" s="16"/>
      <c r="DK96" s="16"/>
      <c r="DL96" s="16"/>
      <c r="DM96" s="16"/>
      <c r="DN96" s="16"/>
      <c r="DO96" s="16"/>
      <c r="DP96" s="16"/>
      <c r="DQ96" s="16"/>
      <c r="DR96" s="16"/>
      <c r="DS96" s="16"/>
      <c r="DT96" s="16"/>
      <c r="DU96" s="16"/>
      <c r="DV96" s="16"/>
      <c r="DW96" s="16"/>
      <c r="DX96" s="16"/>
      <c r="DY96" s="16"/>
      <c r="DZ96" s="16"/>
      <c r="EA96" s="16"/>
      <c r="EB96" s="16"/>
      <c r="EC96" s="16"/>
      <c r="ED96" s="16"/>
      <c r="EE96" s="16"/>
      <c r="EF96" s="16"/>
      <c r="EG96" s="16"/>
      <c r="EH96" s="16"/>
      <c r="EI96" s="16"/>
      <c r="EJ96" s="16"/>
      <c r="EK96" s="16"/>
      <c r="EL96" s="16"/>
      <c r="EM96" s="16"/>
      <c r="EN96" s="16"/>
      <c r="EO96" s="16"/>
      <c r="EP96" s="16"/>
      <c r="EQ96" s="16"/>
      <c r="ER96" s="16"/>
      <c r="ES96" s="16"/>
      <c r="ET96" s="16"/>
      <c r="EU96" s="16"/>
      <c r="EV96" s="16"/>
      <c r="EW96" s="16"/>
      <c r="EX96" s="16"/>
      <c r="EY96" s="16"/>
      <c r="EZ96" s="16"/>
      <c r="FA96" s="16"/>
      <c r="FB96" s="16"/>
    </row>
    <row r="97" spans="2:158" x14ac:dyDescent="0.25">
      <c r="C97" s="102" t="s">
        <v>349</v>
      </c>
      <c r="D97" s="50">
        <f t="shared" ref="D97:L98" si="1049">SUMIF($AY$2:$FB$2,D$2,$AY97:$FB97)</f>
        <v>1624185.1500000001</v>
      </c>
      <c r="E97" s="50">
        <f t="shared" si="1049"/>
        <v>3240833.5899999994</v>
      </c>
      <c r="F97" s="50">
        <f t="shared" si="1049"/>
        <v>4211424.13</v>
      </c>
      <c r="G97" s="50">
        <f t="shared" si="1049"/>
        <v>8458950.9077870678</v>
      </c>
      <c r="H97" s="50">
        <f t="shared" si="1049"/>
        <v>13431189.309345892</v>
      </c>
      <c r="I97" s="50">
        <f t="shared" si="1049"/>
        <v>18967873.906423114</v>
      </c>
      <c r="J97" s="50">
        <f t="shared" si="1049"/>
        <v>25430271.395053536</v>
      </c>
      <c r="K97" s="50">
        <f t="shared" si="1049"/>
        <v>33054002.97525559</v>
      </c>
      <c r="L97" s="50">
        <f t="shared" si="1049"/>
        <v>42309063.852045558</v>
      </c>
      <c r="M97" s="201"/>
      <c r="N97" s="68">
        <f t="shared" ref="N97:N98" si="1050">SUM(AY97:BA97)</f>
        <v>364004.68000000005</v>
      </c>
      <c r="O97" s="68">
        <f t="shared" ref="O97:O98" si="1051">SUM(BB97:BD97)</f>
        <v>362021.24</v>
      </c>
      <c r="P97" s="68">
        <f t="shared" ref="P97:P98" si="1052">SUM(BE97:BG97)</f>
        <v>435965.56000000006</v>
      </c>
      <c r="Q97" s="68">
        <f t="shared" ref="Q97:Q98" si="1053">SUM(BH97:BJ97)</f>
        <v>462193.66999999993</v>
      </c>
      <c r="R97" s="68">
        <f t="shared" ref="R97:R98" si="1054">SUM(BK97:BM97)</f>
        <v>637101.6</v>
      </c>
      <c r="S97" s="68">
        <f t="shared" ref="S97:S98" si="1055">SUM(BN97:BP97)</f>
        <v>847997.24</v>
      </c>
      <c r="T97" s="68">
        <f t="shared" ref="T97:T98" si="1056">SUM(BQ97:BS97)</f>
        <v>901844.74</v>
      </c>
      <c r="U97" s="68">
        <f t="shared" ref="U97:U98" si="1057">SUM(BT97:BV97)</f>
        <v>853890.01</v>
      </c>
      <c r="V97" s="68">
        <f t="shared" ref="V97:V98" si="1058">SUM(BW97:BY97)</f>
        <v>891711</v>
      </c>
      <c r="W97" s="68">
        <f t="shared" ref="W97:W98" si="1059">SUM(BZ97:CB97)</f>
        <v>1074746.03</v>
      </c>
      <c r="X97" s="68">
        <f t="shared" ref="X97:X98" si="1060">SUM(CC97:CE97)</f>
        <v>1105528</v>
      </c>
      <c r="Y97" s="68">
        <f t="shared" ref="Y97:Y98" si="1061">SUM(CF97:CH97)</f>
        <v>1139439.1000000001</v>
      </c>
      <c r="Z97" s="68">
        <f t="shared" ref="Z97:Z98" si="1062">SUM(CI97:CK97)</f>
        <v>1640589.52</v>
      </c>
      <c r="AA97" s="68">
        <f t="shared" ref="AA97:AA98" si="1063">SUM(CL97:CN97)</f>
        <v>1909778.5427748216</v>
      </c>
      <c r="AB97" s="68">
        <f t="shared" ref="AB97:AB98" si="1064">SUM(CO97:CQ97)</f>
        <v>2286508.6789239612</v>
      </c>
      <c r="AC97" s="68">
        <f t="shared" ref="AC97:AC98" si="1065">SUM(CR97:CT97)</f>
        <v>2622074.1660882854</v>
      </c>
      <c r="AD97" s="68">
        <f t="shared" ref="AD97:AD98" si="1066">SUM(CU97:CW97)</f>
        <v>2992813.6092224899</v>
      </c>
      <c r="AE97" s="68">
        <f t="shared" ref="AE97:AE98" si="1067">SUM(CX97:CZ97)</f>
        <v>3107011.7655766653</v>
      </c>
      <c r="AF97" s="68">
        <f t="shared" ref="AF97:AF98" si="1068">SUM(DA97:DC97)</f>
        <v>3450816.5172781805</v>
      </c>
      <c r="AG97" s="68">
        <f t="shared" ref="AG97:AG98" si="1069">SUM(DD97:DF97)</f>
        <v>3880547.4172685547</v>
      </c>
      <c r="AH97" s="68">
        <f t="shared" ref="AH97:AH98" si="1070">SUM(DG97:DI97)</f>
        <v>4283744.3381440677</v>
      </c>
      <c r="AI97" s="68">
        <f t="shared" ref="AI97:AI98" si="1071">SUM(DJ97:DL97)</f>
        <v>4405666.4693597164</v>
      </c>
      <c r="AJ97" s="68">
        <f t="shared" ref="AJ97:AJ98" si="1072">SUM(DM97:DO97)</f>
        <v>4862080.4689321192</v>
      </c>
      <c r="AK97" s="68">
        <f t="shared" ref="AK97:AK98" si="1073">SUM(DP97:DR97)</f>
        <v>5416382.6299872119</v>
      </c>
      <c r="AL97" s="68">
        <f t="shared" ref="AL97:AL98" si="1074">SUM(DS97:DU97)</f>
        <v>5952621.577023631</v>
      </c>
      <c r="AM97" s="68">
        <f t="shared" ref="AM97:AM98" si="1075">SUM(DV97:DX97)</f>
        <v>5977945.4904434448</v>
      </c>
      <c r="AN97" s="68">
        <f t="shared" ref="AN97:AN98" si="1076">SUM(DY97:EA97)</f>
        <v>6398336.868996039</v>
      </c>
      <c r="AO97" s="68">
        <f t="shared" ref="AO97:AO98" si="1077">SUM(EB97:ED97)</f>
        <v>7101367.4585904218</v>
      </c>
      <c r="AP97" s="68">
        <f t="shared" ref="AP97:AP98" si="1078">SUM(EE97:EG97)</f>
        <v>7793063.8580534626</v>
      </c>
      <c r="AQ97" s="68">
        <f t="shared" ref="AQ97:AQ98" si="1079">SUM(EH97:EJ97)</f>
        <v>7804971.3337491304</v>
      </c>
      <c r="AR97" s="68">
        <f t="shared" ref="AR97:AR98" si="1080">SUM(EK97:EM97)</f>
        <v>8289744.8092197552</v>
      </c>
      <c r="AS97" s="68">
        <f t="shared" ref="AS97:AS98" si="1081">SUM(EN97:EP97)</f>
        <v>9166222.9742332399</v>
      </c>
      <c r="AT97" s="68">
        <f t="shared" ref="AT97:AT98" si="1082">SUM(EQ97:ES97)</f>
        <v>10044209.124409251</v>
      </c>
      <c r="AU97" s="68">
        <f t="shared" ref="AU97:AU98" si="1083">SUM(ET97:EV97)</f>
        <v>10044209.124409251</v>
      </c>
      <c r="AV97" s="68">
        <f t="shared" ref="AV97:AV98" si="1084">SUM(EW97:EY97)</f>
        <v>10573485.513090862</v>
      </c>
      <c r="AW97" s="68">
        <f t="shared" ref="AW97:AW98" si="1085">SUM(EZ97:FB97)</f>
        <v>11647160.090136191</v>
      </c>
      <c r="AX97" s="201"/>
      <c r="AY97" s="30">
        <f>'Expense Details'!H35</f>
        <v>98054.98</v>
      </c>
      <c r="AZ97" s="30">
        <f>'Expense Details'!I35</f>
        <v>143186.72</v>
      </c>
      <c r="BA97" s="30">
        <f>'Expense Details'!J35</f>
        <v>122762.98000000001</v>
      </c>
      <c r="BB97" s="30">
        <f>'Expense Details'!K35</f>
        <v>121453.77</v>
      </c>
      <c r="BC97" s="30">
        <f>'Expense Details'!L35</f>
        <v>117394.57</v>
      </c>
      <c r="BD97" s="30">
        <f>'Expense Details'!M35</f>
        <v>123172.9</v>
      </c>
      <c r="BE97" s="30">
        <f>'Expense Details'!N35</f>
        <v>130826.11000000002</v>
      </c>
      <c r="BF97" s="30">
        <f>'Expense Details'!O35</f>
        <v>142026.66</v>
      </c>
      <c r="BG97" s="30">
        <f>'Expense Details'!P35</f>
        <v>163112.79</v>
      </c>
      <c r="BH97" s="30">
        <f>'Expense Details'!Q35</f>
        <v>134843.25</v>
      </c>
      <c r="BI97" s="30">
        <f>'Expense Details'!R35</f>
        <v>139210.34</v>
      </c>
      <c r="BJ97" s="30">
        <f>'Expense Details'!S35</f>
        <v>188140.08</v>
      </c>
      <c r="BK97" s="30">
        <f>'Expense Details'!T35</f>
        <v>199516.01</v>
      </c>
      <c r="BL97" s="30">
        <f>'Expense Details'!U35</f>
        <v>212586.65999999997</v>
      </c>
      <c r="BM97" s="30">
        <f>'Expense Details'!V35</f>
        <v>224998.93</v>
      </c>
      <c r="BN97" s="30">
        <f>'Expense Details'!W35</f>
        <v>265609.40000000002</v>
      </c>
      <c r="BO97" s="30">
        <f>'Expense Details'!X35</f>
        <v>280889.95</v>
      </c>
      <c r="BP97" s="30">
        <f>'Expense Details'!Y35</f>
        <v>301497.88999999996</v>
      </c>
      <c r="BQ97" s="30">
        <f>'Expense Details'!Z35</f>
        <v>283005.74</v>
      </c>
      <c r="BR97" s="30">
        <f>'Expense Details'!AA35</f>
        <v>294993.62</v>
      </c>
      <c r="BS97" s="30">
        <f>'Expense Details'!AB35</f>
        <v>323845.38</v>
      </c>
      <c r="BT97" s="30">
        <f>'Expense Details'!AC35</f>
        <v>308828.56</v>
      </c>
      <c r="BU97" s="30">
        <f>'Expense Details'!AD35</f>
        <v>307379.71999999997</v>
      </c>
      <c r="BV97" s="30">
        <f>'Expense Details'!AE35</f>
        <v>237681.73000000004</v>
      </c>
      <c r="BW97" s="30">
        <f>'Expense Details'!AF35</f>
        <v>280466.94</v>
      </c>
      <c r="BX97" s="30">
        <f>'Expense Details'!AG35</f>
        <v>289844.33</v>
      </c>
      <c r="BY97" s="30">
        <f>'Expense Details'!AH35</f>
        <v>321399.73</v>
      </c>
      <c r="BZ97" s="30">
        <f>'Expense Details'!AI35</f>
        <v>324995.76</v>
      </c>
      <c r="CA97" s="30">
        <f>'Expense Details'!AJ35</f>
        <v>363916.94</v>
      </c>
      <c r="CB97" s="30">
        <f>'Expense Details'!AK35</f>
        <v>385833.33</v>
      </c>
      <c r="CC97" s="30">
        <f>'Expense Details'!AL35</f>
        <v>368812.39</v>
      </c>
      <c r="CD97" s="30">
        <f>'Expense Details'!AM35</f>
        <v>381496.01</v>
      </c>
      <c r="CE97" s="30">
        <f>'Expense Details'!AN35</f>
        <v>355219.60000000003</v>
      </c>
      <c r="CF97" s="30">
        <f>'Expense Details'!AO35</f>
        <v>371378.95</v>
      </c>
      <c r="CG97" s="30">
        <f>'Expense Details'!AP35</f>
        <v>346333.52999999997</v>
      </c>
      <c r="CH97" s="30">
        <f>'Expense Details'!AQ35</f>
        <v>421726.62</v>
      </c>
      <c r="CI97" s="30">
        <f>'Expense Details'!AR35</f>
        <v>481493.74999999994</v>
      </c>
      <c r="CJ97" s="30">
        <f>'Expense Details'!AS35</f>
        <v>512665.71</v>
      </c>
      <c r="CK97" s="30">
        <f>'Expense Details'!AT35</f>
        <v>646430.06000000006</v>
      </c>
      <c r="CL97" s="30">
        <f>'Expense Details'!AU35</f>
        <v>581055.69000000006</v>
      </c>
      <c r="CM97" s="30">
        <f>'Expense Details'!AV35</f>
        <v>632544.86389999732</v>
      </c>
      <c r="CN97" s="30">
        <f>'Expense Details'!AW35</f>
        <v>696177.98887482425</v>
      </c>
      <c r="CO97" s="30">
        <f>'Expense Details'!AX35</f>
        <v>723466.70630392979</v>
      </c>
      <c r="CP97" s="30">
        <f>'Expense Details'!AY35</f>
        <v>756204.76562449848</v>
      </c>
      <c r="CQ97" s="30">
        <f>'Expense Details'!AZ35</f>
        <v>806837.20699553273</v>
      </c>
      <c r="CR97" s="30">
        <f>'Expense Details'!BA35</f>
        <v>800683.44608835981</v>
      </c>
      <c r="CS97" s="30">
        <f>'Expense Details'!BB35</f>
        <v>867602.43005193025</v>
      </c>
      <c r="CT97" s="30">
        <f>'Expense Details'!BC35</f>
        <v>953788.28994799557</v>
      </c>
      <c r="CU97" s="30">
        <f>CU107*CU108/12</f>
        <v>997604.53640749666</v>
      </c>
      <c r="CV97" s="30">
        <f t="shared" ref="CV97:FB97" si="1086">CV107*CV108/12</f>
        <v>997604.53640749666</v>
      </c>
      <c r="CW97" s="30">
        <f t="shared" si="1086"/>
        <v>997604.53640749666</v>
      </c>
      <c r="CX97" s="30">
        <f t="shared" si="1086"/>
        <v>999277.7278089883</v>
      </c>
      <c r="CY97" s="30">
        <f t="shared" si="1086"/>
        <v>1029115.8862062204</v>
      </c>
      <c r="CZ97" s="30">
        <f t="shared" si="1086"/>
        <v>1078618.151561457</v>
      </c>
      <c r="DA97" s="30">
        <f t="shared" si="1086"/>
        <v>1116005.9965605533</v>
      </c>
      <c r="DB97" s="30">
        <f t="shared" si="1086"/>
        <v>1142534.6396864739</v>
      </c>
      <c r="DC97" s="30">
        <f t="shared" si="1086"/>
        <v>1192275.881031153</v>
      </c>
      <c r="DD97" s="30">
        <f t="shared" si="1086"/>
        <v>1236635.8194656633</v>
      </c>
      <c r="DE97" s="30">
        <f t="shared" si="1086"/>
        <v>1283992.7602968386</v>
      </c>
      <c r="DF97" s="30">
        <f t="shared" si="1086"/>
        <v>1359918.8375060533</v>
      </c>
      <c r="DG97" s="30">
        <f t="shared" si="1086"/>
        <v>1427914.779381356</v>
      </c>
      <c r="DH97" s="30">
        <f t="shared" si="1086"/>
        <v>1427914.779381356</v>
      </c>
      <c r="DI97" s="30">
        <f t="shared" si="1086"/>
        <v>1427914.779381356</v>
      </c>
      <c r="DJ97" s="30">
        <f t="shared" si="1086"/>
        <v>1427914.779381356</v>
      </c>
      <c r="DK97" s="30">
        <f t="shared" si="1086"/>
        <v>1454235.9034344328</v>
      </c>
      <c r="DL97" s="30">
        <f t="shared" si="1086"/>
        <v>1523515.7865439274</v>
      </c>
      <c r="DM97" s="30">
        <f t="shared" si="1086"/>
        <v>1574911.0509840192</v>
      </c>
      <c r="DN97" s="30">
        <f t="shared" si="1086"/>
        <v>1610288.9454215253</v>
      </c>
      <c r="DO97" s="30">
        <f t="shared" si="1086"/>
        <v>1676880.4725265745</v>
      </c>
      <c r="DP97" s="30">
        <f t="shared" si="1086"/>
        <v>1733963.175911478</v>
      </c>
      <c r="DQ97" s="30">
        <f t="shared" si="1086"/>
        <v>1792698.3185126772</v>
      </c>
      <c r="DR97" s="30">
        <f t="shared" si="1086"/>
        <v>1889721.1355630571</v>
      </c>
      <c r="DS97" s="30">
        <f t="shared" si="1086"/>
        <v>1984207.1923412103</v>
      </c>
      <c r="DT97" s="30">
        <f t="shared" si="1086"/>
        <v>1984207.1923412103</v>
      </c>
      <c r="DU97" s="30">
        <f t="shared" si="1086"/>
        <v>1984207.1923412103</v>
      </c>
      <c r="DV97" s="30">
        <f t="shared" si="1086"/>
        <v>1984207.1923412103</v>
      </c>
      <c r="DW97" s="30">
        <f t="shared" si="1086"/>
        <v>1984207.1923412103</v>
      </c>
      <c r="DX97" s="30">
        <f t="shared" si="1086"/>
        <v>2009531.1057610239</v>
      </c>
      <c r="DY97" s="30">
        <f t="shared" si="1086"/>
        <v>2074712.2990754822</v>
      </c>
      <c r="DZ97" s="30">
        <f t="shared" si="1086"/>
        <v>2119579.0531714833</v>
      </c>
      <c r="EA97" s="30">
        <f t="shared" si="1086"/>
        <v>2204045.5167490733</v>
      </c>
      <c r="EB97" s="30">
        <f t="shared" si="1086"/>
        <v>2276445.5507576177</v>
      </c>
      <c r="EC97" s="30">
        <f t="shared" si="1086"/>
        <v>2350933.3814666267</v>
      </c>
      <c r="ED97" s="30">
        <f t="shared" si="1086"/>
        <v>2473988.5263661784</v>
      </c>
      <c r="EE97" s="30">
        <f t="shared" si="1086"/>
        <v>2597687.9526844877</v>
      </c>
      <c r="EF97" s="30">
        <f t="shared" si="1086"/>
        <v>2597687.9526844877</v>
      </c>
      <c r="EG97" s="30">
        <f t="shared" si="1086"/>
        <v>2597687.9526844877</v>
      </c>
      <c r="EH97" s="30">
        <f t="shared" si="1086"/>
        <v>2597687.9526844877</v>
      </c>
      <c r="EI97" s="30">
        <f t="shared" si="1086"/>
        <v>2597687.9526844877</v>
      </c>
      <c r="EJ97" s="30">
        <f t="shared" si="1086"/>
        <v>2609595.4283801555</v>
      </c>
      <c r="EK97" s="30">
        <f t="shared" si="1086"/>
        <v>2690855.7321224599</v>
      </c>
      <c r="EL97" s="30">
        <f t="shared" si="1086"/>
        <v>2746790.046391862</v>
      </c>
      <c r="EM97" s="30">
        <f t="shared" si="1086"/>
        <v>2852099.0307054338</v>
      </c>
      <c r="EN97" s="30">
        <f t="shared" si="1086"/>
        <v>2942361.692695281</v>
      </c>
      <c r="EO97" s="30">
        <f t="shared" si="1086"/>
        <v>3035223.4642651803</v>
      </c>
      <c r="EP97" s="30">
        <f t="shared" si="1086"/>
        <v>3188637.8172727781</v>
      </c>
      <c r="EQ97" s="30">
        <f t="shared" si="1086"/>
        <v>3348069.708136417</v>
      </c>
      <c r="ER97" s="30">
        <f t="shared" si="1086"/>
        <v>3348069.708136417</v>
      </c>
      <c r="ES97" s="30">
        <f t="shared" si="1086"/>
        <v>3348069.708136417</v>
      </c>
      <c r="ET97" s="30">
        <f t="shared" si="1086"/>
        <v>3348069.708136417</v>
      </c>
      <c r="EU97" s="30">
        <f t="shared" si="1086"/>
        <v>3348069.708136417</v>
      </c>
      <c r="EV97" s="30">
        <f t="shared" si="1086"/>
        <v>3348069.708136417</v>
      </c>
      <c r="EW97" s="30">
        <f t="shared" si="1086"/>
        <v>3435815.2338790479</v>
      </c>
      <c r="EX97" s="30">
        <f t="shared" si="1086"/>
        <v>3504333.887534793</v>
      </c>
      <c r="EY97" s="30">
        <f t="shared" si="1086"/>
        <v>3633336.3916770215</v>
      </c>
      <c r="EZ97" s="30">
        <f t="shared" si="1086"/>
        <v>3743907.0528627913</v>
      </c>
      <c r="FA97" s="30">
        <f t="shared" si="1086"/>
        <v>3857661.2170006647</v>
      </c>
      <c r="FB97" s="30">
        <f t="shared" si="1086"/>
        <v>4045591.8202727349</v>
      </c>
    </row>
    <row r="98" spans="2:158" x14ac:dyDescent="0.25">
      <c r="C98" s="102" t="s">
        <v>2</v>
      </c>
      <c r="D98" s="50">
        <f t="shared" si="1049"/>
        <v>179388.58000000002</v>
      </c>
      <c r="E98" s="50">
        <f t="shared" si="1049"/>
        <v>251695.40000000002</v>
      </c>
      <c r="F98" s="50">
        <f t="shared" si="1049"/>
        <v>117671.16</v>
      </c>
      <c r="G98" s="50">
        <f t="shared" si="1049"/>
        <v>337891.16978723404</v>
      </c>
      <c r="H98" s="50">
        <f t="shared" si="1049"/>
        <v>536506.27800556982</v>
      </c>
      <c r="I98" s="50">
        <f t="shared" si="1049"/>
        <v>757668.08112316229</v>
      </c>
      <c r="J98" s="50">
        <f t="shared" si="1049"/>
        <v>1015807.3079453998</v>
      </c>
      <c r="K98" s="50">
        <f t="shared" si="1049"/>
        <v>1320335.8020648023</v>
      </c>
      <c r="L98" s="50">
        <f t="shared" si="1049"/>
        <v>1690027.431700791</v>
      </c>
      <c r="M98" s="201"/>
      <c r="N98" s="243">
        <f t="shared" si="1050"/>
        <v>23181.190000000002</v>
      </c>
      <c r="O98" s="243">
        <f t="shared" si="1051"/>
        <v>50974.84</v>
      </c>
      <c r="P98" s="243">
        <f t="shared" si="1052"/>
        <v>47070.259999999995</v>
      </c>
      <c r="Q98" s="243">
        <f t="shared" si="1053"/>
        <v>58162.29</v>
      </c>
      <c r="R98" s="243">
        <f t="shared" si="1054"/>
        <v>31813.149999999998</v>
      </c>
      <c r="S98" s="243">
        <f t="shared" si="1055"/>
        <v>83429.959999999992</v>
      </c>
      <c r="T98" s="243">
        <f t="shared" si="1056"/>
        <v>91013.650000000009</v>
      </c>
      <c r="U98" s="243">
        <f t="shared" si="1057"/>
        <v>45438.64</v>
      </c>
      <c r="V98" s="243">
        <f t="shared" si="1058"/>
        <v>38102.300000000003</v>
      </c>
      <c r="W98" s="243">
        <f t="shared" si="1059"/>
        <v>21470.97</v>
      </c>
      <c r="X98" s="243">
        <f t="shared" si="1060"/>
        <v>30864.980000000003</v>
      </c>
      <c r="Y98" s="243">
        <f t="shared" si="1061"/>
        <v>27232.91</v>
      </c>
      <c r="Z98" s="243">
        <f t="shared" si="1062"/>
        <v>59387.31</v>
      </c>
      <c r="AA98" s="243">
        <f t="shared" si="1063"/>
        <v>108773.36333333333</v>
      </c>
      <c r="AB98" s="243">
        <f t="shared" si="1064"/>
        <v>82550.354609929083</v>
      </c>
      <c r="AC98" s="243">
        <f t="shared" si="1065"/>
        <v>87180.141843971636</v>
      </c>
      <c r="AD98" s="243">
        <f t="shared" si="1066"/>
        <v>119547.36496276598</v>
      </c>
      <c r="AE98" s="243">
        <f t="shared" si="1067"/>
        <v>124108.98839085989</v>
      </c>
      <c r="AF98" s="243">
        <f t="shared" si="1068"/>
        <v>137842.20318276662</v>
      </c>
      <c r="AG98" s="243">
        <f t="shared" si="1069"/>
        <v>155007.72146917725</v>
      </c>
      <c r="AH98" s="243">
        <f t="shared" si="1070"/>
        <v>171113.34505470042</v>
      </c>
      <c r="AI98" s="243">
        <f t="shared" si="1071"/>
        <v>175983.50117553613</v>
      </c>
      <c r="AJ98" s="243">
        <f t="shared" si="1072"/>
        <v>194214.87075126218</v>
      </c>
      <c r="AK98" s="243">
        <f t="shared" si="1073"/>
        <v>216356.36414166359</v>
      </c>
      <c r="AL98" s="243">
        <f t="shared" si="1074"/>
        <v>237776.32591645193</v>
      </c>
      <c r="AM98" s="243">
        <f t="shared" si="1075"/>
        <v>238787.88477549842</v>
      </c>
      <c r="AN98" s="243">
        <f t="shared" si="1076"/>
        <v>255580.33767138177</v>
      </c>
      <c r="AO98" s="243">
        <f t="shared" si="1077"/>
        <v>283662.75958206761</v>
      </c>
      <c r="AP98" s="243">
        <f t="shared" si="1078"/>
        <v>311292.43944426306</v>
      </c>
      <c r="AQ98" s="243">
        <f t="shared" si="1079"/>
        <v>311768.08127454232</v>
      </c>
      <c r="AR98" s="243">
        <f t="shared" si="1080"/>
        <v>331132.26466964895</v>
      </c>
      <c r="AS98" s="243">
        <f t="shared" si="1081"/>
        <v>366143.01667634794</v>
      </c>
      <c r="AT98" s="243">
        <f t="shared" si="1082"/>
        <v>401214.00486081216</v>
      </c>
      <c r="AU98" s="243">
        <f t="shared" si="1083"/>
        <v>401214.00486081216</v>
      </c>
      <c r="AV98" s="243">
        <f t="shared" si="1084"/>
        <v>422355.84857901599</v>
      </c>
      <c r="AW98" s="243">
        <f t="shared" si="1085"/>
        <v>465243.57340015064</v>
      </c>
      <c r="AX98" s="201"/>
      <c r="AY98" s="243">
        <f>'Expense Details'!H36</f>
        <v>5577.67</v>
      </c>
      <c r="AZ98" s="243">
        <f>'Expense Details'!I36</f>
        <v>8032.87</v>
      </c>
      <c r="BA98" s="243">
        <f>'Expense Details'!J36</f>
        <v>9570.65</v>
      </c>
      <c r="BB98" s="243">
        <f>'Expense Details'!K36</f>
        <v>9814.0799999999981</v>
      </c>
      <c r="BC98" s="243">
        <f>'Expense Details'!L36</f>
        <v>27744.98</v>
      </c>
      <c r="BD98" s="243">
        <f>'Expense Details'!M36</f>
        <v>13415.779999999999</v>
      </c>
      <c r="BE98" s="243">
        <f>'Expense Details'!N36</f>
        <v>16117.5</v>
      </c>
      <c r="BF98" s="243">
        <f>'Expense Details'!O36</f>
        <v>17241.82</v>
      </c>
      <c r="BG98" s="243">
        <f>'Expense Details'!P36</f>
        <v>13710.939999999999</v>
      </c>
      <c r="BH98" s="243">
        <f>'Expense Details'!Q36</f>
        <v>27079.860000000004</v>
      </c>
      <c r="BI98" s="243">
        <f>'Expense Details'!R36</f>
        <v>15909.4</v>
      </c>
      <c r="BJ98" s="243">
        <f>'Expense Details'!S36</f>
        <v>15173.03</v>
      </c>
      <c r="BK98" s="243">
        <f>'Expense Details'!T36</f>
        <v>12184.539999999999</v>
      </c>
      <c r="BL98" s="243">
        <f>'Expense Details'!U36</f>
        <v>9891.4999999999982</v>
      </c>
      <c r="BM98" s="243">
        <f>'Expense Details'!V36</f>
        <v>9737.11</v>
      </c>
      <c r="BN98" s="243">
        <f>'Expense Details'!W36</f>
        <v>11579.65</v>
      </c>
      <c r="BO98" s="243">
        <f>'Expense Details'!X36</f>
        <v>47939.289999999994</v>
      </c>
      <c r="BP98" s="243">
        <f>'Expense Details'!Y36</f>
        <v>23911.02</v>
      </c>
      <c r="BQ98" s="243">
        <f>'Expense Details'!Z36</f>
        <v>17244.550000000003</v>
      </c>
      <c r="BR98" s="243">
        <f>'Expense Details'!AA36</f>
        <v>35418.97</v>
      </c>
      <c r="BS98" s="243">
        <f>'Expense Details'!AB36</f>
        <v>38350.130000000005</v>
      </c>
      <c r="BT98" s="243">
        <f>'Expense Details'!AC36</f>
        <v>5422.9499999999971</v>
      </c>
      <c r="BU98" s="243">
        <f>'Expense Details'!AD36</f>
        <v>20711.2</v>
      </c>
      <c r="BV98" s="243">
        <f>'Expense Details'!AE36</f>
        <v>19304.489999999998</v>
      </c>
      <c r="BW98" s="243">
        <f>'Expense Details'!AF36</f>
        <v>19288.66</v>
      </c>
      <c r="BX98" s="243">
        <f>'Expense Details'!AG36</f>
        <v>8617.7900000000009</v>
      </c>
      <c r="BY98" s="243">
        <f>'Expense Details'!AH36</f>
        <v>10195.85</v>
      </c>
      <c r="BZ98" s="243">
        <f>'Expense Details'!AI36</f>
        <v>3305.88</v>
      </c>
      <c r="CA98" s="243">
        <f>'Expense Details'!AJ36</f>
        <v>11771.560000000001</v>
      </c>
      <c r="CB98" s="243">
        <f>'Expense Details'!AK36</f>
        <v>6393.5299999999988</v>
      </c>
      <c r="CC98" s="243">
        <f>'Expense Details'!AL36</f>
        <v>8988.7000000000007</v>
      </c>
      <c r="CD98" s="243">
        <f>'Expense Details'!AM36</f>
        <v>9914.68</v>
      </c>
      <c r="CE98" s="243">
        <f>'Expense Details'!AN36</f>
        <v>11961.6</v>
      </c>
      <c r="CF98" s="243">
        <f>'Expense Details'!AO36</f>
        <v>6982.83</v>
      </c>
      <c r="CG98" s="243">
        <f>'Expense Details'!AP36</f>
        <v>8441.65</v>
      </c>
      <c r="CH98" s="243">
        <f>'Expense Details'!AQ36</f>
        <v>11808.43</v>
      </c>
      <c r="CI98" s="243">
        <f>'Expense Details'!AR36</f>
        <v>1261.94</v>
      </c>
      <c r="CJ98" s="243">
        <f>'Expense Details'!AS36</f>
        <v>11457.369999999999</v>
      </c>
      <c r="CK98" s="243">
        <f>'Expense Details'!AT36</f>
        <v>46668</v>
      </c>
      <c r="CL98" s="243">
        <f>'Expense Details'!AU36</f>
        <v>57440.03</v>
      </c>
      <c r="CM98" s="243">
        <f>'Expense Details'!AV36</f>
        <v>24333.333333333332</v>
      </c>
      <c r="CN98" s="243">
        <f>'Expense Details'!AW36</f>
        <v>27000</v>
      </c>
      <c r="CO98" s="243">
        <f>'Expense Details'!AX36</f>
        <v>27066.666666666664</v>
      </c>
      <c r="CP98" s="243">
        <f>'Expense Details'!AY36</f>
        <v>27452.482269503547</v>
      </c>
      <c r="CQ98" s="243">
        <f>'Expense Details'!AZ36</f>
        <v>28031.205673758865</v>
      </c>
      <c r="CR98" s="243">
        <f>'Expense Details'!BA36</f>
        <v>28031.205673758865</v>
      </c>
      <c r="CS98" s="243">
        <f>'Expense Details'!BB36</f>
        <v>29188.652482269506</v>
      </c>
      <c r="CT98" s="243">
        <f>'Expense Details'!BC36</f>
        <v>29960.283687943262</v>
      </c>
      <c r="CU98" s="243">
        <f>CU97*CU117</f>
        <v>39849.121654255323</v>
      </c>
      <c r="CV98" s="243">
        <f t="shared" ref="CV98:FB98" si="1087">CV97*CV117</f>
        <v>39849.121654255323</v>
      </c>
      <c r="CW98" s="243">
        <f t="shared" si="1087"/>
        <v>39849.121654255323</v>
      </c>
      <c r="CX98" s="243">
        <f t="shared" si="1087"/>
        <v>39915.95696351424</v>
      </c>
      <c r="CY98" s="243">
        <f t="shared" si="1087"/>
        <v>41107.836471392256</v>
      </c>
      <c r="CZ98" s="243">
        <f t="shared" si="1087"/>
        <v>43085.194955953404</v>
      </c>
      <c r="DA98" s="243">
        <f t="shared" si="1087"/>
        <v>44578.645245508676</v>
      </c>
      <c r="DB98" s="243">
        <f t="shared" si="1087"/>
        <v>45638.326801342453</v>
      </c>
      <c r="DC98" s="243">
        <f t="shared" si="1087"/>
        <v>47625.231135915506</v>
      </c>
      <c r="DD98" s="243">
        <f t="shared" si="1087"/>
        <v>49397.180359019294</v>
      </c>
      <c r="DE98" s="243">
        <f t="shared" si="1087"/>
        <v>51288.844267395936</v>
      </c>
      <c r="DF98" s="243">
        <f t="shared" si="1087"/>
        <v>54321.696842762038</v>
      </c>
      <c r="DG98" s="243">
        <f t="shared" si="1087"/>
        <v>57037.781684900139</v>
      </c>
      <c r="DH98" s="243">
        <f t="shared" si="1087"/>
        <v>57037.781684900139</v>
      </c>
      <c r="DI98" s="243">
        <f t="shared" si="1087"/>
        <v>57037.781684900139</v>
      </c>
      <c r="DJ98" s="243">
        <f t="shared" si="1087"/>
        <v>57037.781684900139</v>
      </c>
      <c r="DK98" s="243">
        <f t="shared" si="1087"/>
        <v>58089.173931215431</v>
      </c>
      <c r="DL98" s="243">
        <f t="shared" si="1087"/>
        <v>60856.545559420563</v>
      </c>
      <c r="DM98" s="243">
        <f t="shared" si="1087"/>
        <v>62909.519528946759</v>
      </c>
      <c r="DN98" s="243">
        <f t="shared" si="1087"/>
        <v>64322.68272925495</v>
      </c>
      <c r="DO98" s="243">
        <f t="shared" si="1087"/>
        <v>66982.668493060468</v>
      </c>
      <c r="DP98" s="243">
        <f t="shared" si="1087"/>
        <v>69262.826119177786</v>
      </c>
      <c r="DQ98" s="243">
        <f t="shared" si="1087"/>
        <v>71608.990112501066</v>
      </c>
      <c r="DR98" s="243">
        <f t="shared" si="1087"/>
        <v>75484.547909984729</v>
      </c>
      <c r="DS98" s="243">
        <f t="shared" si="1087"/>
        <v>79258.77530548397</v>
      </c>
      <c r="DT98" s="243">
        <f t="shared" si="1087"/>
        <v>79258.77530548397</v>
      </c>
      <c r="DU98" s="243">
        <f t="shared" si="1087"/>
        <v>79258.77530548397</v>
      </c>
      <c r="DV98" s="243">
        <f t="shared" si="1087"/>
        <v>79258.77530548397</v>
      </c>
      <c r="DW98" s="243">
        <f t="shared" si="1087"/>
        <v>79258.77530548397</v>
      </c>
      <c r="DX98" s="243">
        <f t="shared" si="1087"/>
        <v>80270.334164530475</v>
      </c>
      <c r="DY98" s="243">
        <f t="shared" si="1087"/>
        <v>82873.984415872561</v>
      </c>
      <c r="DZ98" s="243">
        <f t="shared" si="1087"/>
        <v>84666.178293259654</v>
      </c>
      <c r="EA98" s="243">
        <f t="shared" si="1087"/>
        <v>88040.174962249555</v>
      </c>
      <c r="EB98" s="243">
        <f t="shared" si="1087"/>
        <v>90932.180419009252</v>
      </c>
      <c r="EC98" s="243">
        <f t="shared" si="1087"/>
        <v>93907.582514085938</v>
      </c>
      <c r="ED98" s="243">
        <f t="shared" si="1087"/>
        <v>98822.996648972388</v>
      </c>
      <c r="EE98" s="243">
        <f t="shared" si="1087"/>
        <v>103764.14648142102</v>
      </c>
      <c r="EF98" s="243">
        <f t="shared" si="1087"/>
        <v>103764.14648142102</v>
      </c>
      <c r="EG98" s="243">
        <f t="shared" si="1087"/>
        <v>103764.14648142102</v>
      </c>
      <c r="EH98" s="243">
        <f t="shared" si="1087"/>
        <v>103764.14648142102</v>
      </c>
      <c r="EI98" s="243">
        <f t="shared" si="1087"/>
        <v>103764.14648142102</v>
      </c>
      <c r="EJ98" s="243">
        <f t="shared" si="1087"/>
        <v>104239.78831170029</v>
      </c>
      <c r="EK98" s="243">
        <f t="shared" si="1087"/>
        <v>107485.71554169248</v>
      </c>
      <c r="EL98" s="243">
        <f t="shared" si="1087"/>
        <v>109720.00098509617</v>
      </c>
      <c r="EM98" s="243">
        <f t="shared" si="1087"/>
        <v>113926.54814286032</v>
      </c>
      <c r="EN98" s="243">
        <f t="shared" si="1087"/>
        <v>117532.07284448529</v>
      </c>
      <c r="EO98" s="243">
        <f t="shared" si="1087"/>
        <v>121241.4184792239</v>
      </c>
      <c r="EP98" s="243">
        <f t="shared" si="1087"/>
        <v>127369.52535263877</v>
      </c>
      <c r="EQ98" s="243">
        <f t="shared" si="1087"/>
        <v>133738.00162027072</v>
      </c>
      <c r="ER98" s="243">
        <f t="shared" si="1087"/>
        <v>133738.00162027072</v>
      </c>
      <c r="ES98" s="243">
        <f t="shared" si="1087"/>
        <v>133738.00162027072</v>
      </c>
      <c r="ET98" s="243">
        <f t="shared" si="1087"/>
        <v>133738.00162027072</v>
      </c>
      <c r="EU98" s="243">
        <f t="shared" si="1087"/>
        <v>133738.00162027072</v>
      </c>
      <c r="EV98" s="243">
        <f t="shared" si="1087"/>
        <v>133738.00162027072</v>
      </c>
      <c r="EW98" s="243">
        <f t="shared" si="1087"/>
        <v>137242.97979782225</v>
      </c>
      <c r="EX98" s="243">
        <f t="shared" si="1087"/>
        <v>139979.94426166292</v>
      </c>
      <c r="EY98" s="243">
        <f t="shared" si="1087"/>
        <v>145132.92451953079</v>
      </c>
      <c r="EZ98" s="243">
        <f t="shared" si="1087"/>
        <v>149549.64834964715</v>
      </c>
      <c r="FA98" s="243">
        <f t="shared" si="1087"/>
        <v>154093.53659391293</v>
      </c>
      <c r="FB98" s="243">
        <f t="shared" si="1087"/>
        <v>161600.38845659062</v>
      </c>
    </row>
    <row r="99" spans="2:158" x14ac:dyDescent="0.25">
      <c r="C99" s="99"/>
      <c r="D99" s="55"/>
      <c r="E99" s="55"/>
      <c r="F99" s="55"/>
      <c r="G99" s="55"/>
      <c r="H99" s="55"/>
      <c r="I99" s="55"/>
      <c r="J99" s="55"/>
      <c r="K99" s="55"/>
      <c r="L99" s="55"/>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Y99" s="16"/>
      <c r="AZ99" s="16"/>
      <c r="BA99" s="16"/>
      <c r="BB99" s="16"/>
      <c r="BC99" s="16"/>
      <c r="BD99" s="16"/>
      <c r="BE99" s="16"/>
      <c r="BF99" s="16"/>
      <c r="BG99" s="16"/>
      <c r="BH99" s="16"/>
      <c r="BI99" s="16"/>
      <c r="BJ99" s="16"/>
      <c r="BK99" s="16"/>
      <c r="BL99" s="16"/>
      <c r="BM99" s="16"/>
      <c r="BN99" s="16"/>
      <c r="BO99" s="16"/>
      <c r="BP99" s="16"/>
      <c r="BQ99" s="16"/>
      <c r="BR99" s="16"/>
      <c r="BS99" s="16"/>
      <c r="BT99" s="16"/>
      <c r="BU99" s="16"/>
      <c r="BV99" s="16"/>
      <c r="BW99" s="16"/>
      <c r="BX99" s="16"/>
      <c r="BY99" s="16"/>
      <c r="BZ99" s="16"/>
      <c r="CA99" s="16"/>
      <c r="CB99" s="16"/>
      <c r="CC99" s="16"/>
      <c r="CD99" s="16"/>
      <c r="CE99" s="16"/>
      <c r="CF99" s="16"/>
      <c r="CG99" s="16"/>
      <c r="CH99" s="16"/>
      <c r="CI99" s="16"/>
      <c r="CJ99" s="16"/>
      <c r="CK99" s="16"/>
      <c r="CL99" s="16"/>
      <c r="CM99" s="16"/>
      <c r="CN99" s="16"/>
      <c r="CO99" s="16"/>
      <c r="CP99" s="16"/>
      <c r="CQ99" s="16"/>
      <c r="CR99" s="16"/>
      <c r="CS99" s="16"/>
      <c r="CT99" s="16"/>
      <c r="CU99" s="16"/>
      <c r="CV99" s="16"/>
      <c r="CW99" s="16"/>
      <c r="CX99" s="16"/>
      <c r="CY99" s="16"/>
      <c r="CZ99" s="16"/>
      <c r="DA99" s="16"/>
      <c r="DB99" s="16"/>
      <c r="DC99" s="16"/>
      <c r="DD99" s="16"/>
      <c r="DE99" s="16"/>
      <c r="DF99" s="16"/>
      <c r="DG99" s="16"/>
      <c r="DH99" s="16"/>
      <c r="DI99" s="16"/>
      <c r="DJ99" s="16"/>
      <c r="DK99" s="16"/>
      <c r="DL99" s="16"/>
      <c r="DM99" s="16"/>
      <c r="DN99" s="16"/>
      <c r="DO99" s="16"/>
      <c r="DP99" s="16"/>
      <c r="DQ99" s="16"/>
      <c r="DR99" s="16"/>
      <c r="DS99" s="16"/>
      <c r="DT99" s="16"/>
      <c r="DU99" s="16"/>
      <c r="DV99" s="16"/>
      <c r="DW99" s="16"/>
      <c r="DX99" s="16"/>
      <c r="DY99" s="16"/>
      <c r="DZ99" s="16"/>
      <c r="EA99" s="16"/>
      <c r="EB99" s="16"/>
      <c r="EC99" s="16"/>
      <c r="ED99" s="16"/>
      <c r="EE99" s="16"/>
      <c r="EF99" s="16"/>
      <c r="EG99" s="16"/>
      <c r="EH99" s="16"/>
      <c r="EI99" s="16"/>
      <c r="EJ99" s="16"/>
      <c r="EK99" s="16"/>
      <c r="EL99" s="16"/>
      <c r="EM99" s="16"/>
      <c r="EN99" s="16"/>
      <c r="EO99" s="16"/>
      <c r="EP99" s="16"/>
      <c r="EQ99" s="16"/>
      <c r="ER99" s="16"/>
      <c r="ES99" s="16"/>
      <c r="ET99" s="16"/>
      <c r="EU99" s="16"/>
      <c r="EV99" s="16"/>
      <c r="EW99" s="16"/>
      <c r="EX99" s="16"/>
      <c r="EY99" s="16"/>
      <c r="EZ99" s="16"/>
      <c r="FA99" s="16"/>
      <c r="FB99" s="16"/>
    </row>
    <row r="100" spans="2:158" x14ac:dyDescent="0.25">
      <c r="C100" s="252" t="s">
        <v>503</v>
      </c>
      <c r="D100" s="55"/>
      <c r="E100" s="55"/>
      <c r="F100" s="55"/>
      <c r="G100" s="55"/>
      <c r="H100" s="55"/>
      <c r="I100" s="55"/>
      <c r="J100" s="55"/>
      <c r="K100" s="55"/>
      <c r="L100" s="55"/>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Y100" s="16"/>
      <c r="AZ100" s="16"/>
      <c r="BA100" s="16"/>
      <c r="BB100" s="16"/>
      <c r="BC100" s="16"/>
      <c r="BD100" s="16"/>
      <c r="BE100" s="16"/>
      <c r="BF100" s="16"/>
      <c r="BG100" s="16"/>
      <c r="BH100" s="16"/>
      <c r="BI100" s="16"/>
      <c r="BJ100" s="16"/>
      <c r="BK100" s="16"/>
      <c r="BL100" s="16"/>
      <c r="BM100" s="16"/>
      <c r="BN100" s="16"/>
      <c r="BO100" s="16"/>
      <c r="BP100" s="16"/>
      <c r="BQ100" s="16"/>
      <c r="BR100" s="16"/>
      <c r="BS100" s="16"/>
      <c r="BT100" s="16"/>
      <c r="BU100" s="16"/>
      <c r="BV100" s="16"/>
      <c r="BW100" s="16"/>
      <c r="BX100" s="16"/>
      <c r="BY100" s="16"/>
      <c r="BZ100" s="16"/>
      <c r="CA100" s="16"/>
      <c r="CB100" s="16"/>
      <c r="CC100" s="16"/>
      <c r="CD100" s="16"/>
      <c r="CE100" s="16"/>
      <c r="CF100" s="16"/>
      <c r="CG100" s="16"/>
      <c r="CH100" s="16"/>
      <c r="CI100" s="16"/>
      <c r="CJ100" s="16"/>
      <c r="CK100" s="16"/>
      <c r="CL100" s="16"/>
      <c r="CM100" s="16"/>
      <c r="CN100" s="16"/>
      <c r="CO100" s="16"/>
      <c r="CP100" s="16"/>
      <c r="CQ100" s="16"/>
      <c r="CR100" s="16"/>
      <c r="CS100" s="16"/>
      <c r="CT100" s="16"/>
      <c r="CU100" s="16"/>
      <c r="CV100" s="16"/>
      <c r="CW100" s="16"/>
      <c r="CX100" s="16"/>
      <c r="CY100" s="16"/>
      <c r="CZ100" s="16"/>
      <c r="DA100" s="16"/>
      <c r="DB100" s="16"/>
      <c r="DC100" s="16"/>
      <c r="DD100" s="16"/>
      <c r="DE100" s="16"/>
      <c r="DF100" s="16"/>
      <c r="DG100" s="16"/>
      <c r="DH100" s="16"/>
      <c r="DI100" s="16"/>
      <c r="DJ100" s="16"/>
      <c r="DK100" s="16"/>
      <c r="DL100" s="16"/>
      <c r="DM100" s="16"/>
      <c r="DN100" s="16"/>
      <c r="DO100" s="16"/>
      <c r="DP100" s="16"/>
      <c r="DQ100" s="16"/>
      <c r="DR100" s="16"/>
      <c r="DS100" s="16"/>
      <c r="DT100" s="16"/>
      <c r="DU100" s="16"/>
      <c r="DV100" s="16"/>
      <c r="DW100" s="16"/>
      <c r="DX100" s="16"/>
      <c r="DY100" s="16"/>
      <c r="DZ100" s="16"/>
      <c r="EA100" s="16"/>
      <c r="EB100" s="16"/>
      <c r="EC100" s="16"/>
      <c r="ED100" s="16"/>
      <c r="EE100" s="16"/>
      <c r="EF100" s="16"/>
      <c r="EG100" s="16"/>
      <c r="EH100" s="16"/>
      <c r="EI100" s="16"/>
      <c r="EJ100" s="16"/>
      <c r="EK100" s="16"/>
      <c r="EL100" s="16"/>
      <c r="EM100" s="16"/>
      <c r="EN100" s="16"/>
      <c r="EO100" s="16"/>
      <c r="EP100" s="16"/>
      <c r="EQ100" s="16"/>
      <c r="ER100" s="16"/>
      <c r="ES100" s="16"/>
      <c r="ET100" s="16"/>
      <c r="EU100" s="16"/>
      <c r="EV100" s="16"/>
      <c r="EW100" s="16"/>
      <c r="EX100" s="16"/>
      <c r="EY100" s="16"/>
      <c r="EZ100" s="16"/>
      <c r="FA100" s="16"/>
      <c r="FB100" s="16"/>
    </row>
    <row r="101" spans="2:158" x14ac:dyDescent="0.25">
      <c r="C101" s="102" t="s">
        <v>349</v>
      </c>
      <c r="D101" s="50">
        <f t="shared" ref="D101:L102" si="1088">SUMIF($AY$2:$FB$2,D$2,$AY101:$FB101)</f>
        <v>8636575.0200000014</v>
      </c>
      <c r="E101" s="50">
        <f t="shared" si="1088"/>
        <v>13827182.149999999</v>
      </c>
      <c r="F101" s="50">
        <f t="shared" si="1088"/>
        <v>17832406.740000002</v>
      </c>
      <c r="G101" s="50">
        <f t="shared" si="1088"/>
        <v>30661030.333482653</v>
      </c>
      <c r="H101" s="50">
        <f t="shared" si="1088"/>
        <v>48683827.027474299</v>
      </c>
      <c r="I101" s="50">
        <f t="shared" si="1088"/>
        <v>68752563.237024158</v>
      </c>
      <c r="J101" s="50">
        <f t="shared" si="1088"/>
        <v>92176716.844951361</v>
      </c>
      <c r="K101" s="50">
        <f t="shared" si="1088"/>
        <v>119810340.42109951</v>
      </c>
      <c r="L101" s="50">
        <f t="shared" si="1088"/>
        <v>153357018.41638798</v>
      </c>
      <c r="M101" s="201"/>
      <c r="N101" s="68">
        <f t="shared" ref="N101:N102" si="1089">SUM(AY101:BA101)</f>
        <v>1703750.16</v>
      </c>
      <c r="O101" s="68">
        <f t="shared" ref="O101:O102" si="1090">SUM(BB101:BD101)</f>
        <v>1881964.9099999997</v>
      </c>
      <c r="P101" s="68">
        <f t="shared" ref="P101:P102" si="1091">SUM(BE101:BG101)</f>
        <v>2354988.17</v>
      </c>
      <c r="Q101" s="68">
        <f t="shared" ref="Q101:Q102" si="1092">SUM(BH101:BJ101)</f>
        <v>2695871.78</v>
      </c>
      <c r="R101" s="68">
        <f t="shared" ref="R101:R102" si="1093">SUM(BK101:BM101)</f>
        <v>3078260.1</v>
      </c>
      <c r="S101" s="68">
        <f t="shared" ref="S101:S102" si="1094">SUM(BN101:BP101)</f>
        <v>3403999.4299999997</v>
      </c>
      <c r="T101" s="68">
        <f t="shared" ref="T101:T102" si="1095">SUM(BQ101:BS101)</f>
        <v>3626341.8099999996</v>
      </c>
      <c r="U101" s="68">
        <f t="shared" ref="U101:U102" si="1096">SUM(BT101:BV101)</f>
        <v>3718580.8099999996</v>
      </c>
      <c r="V101" s="68">
        <f t="shared" ref="V101:V102" si="1097">SUM(BW101:BY101)</f>
        <v>3897507.8499999996</v>
      </c>
      <c r="W101" s="68">
        <f t="shared" ref="W101:W102" si="1098">SUM(BZ101:CB101)</f>
        <v>4442018.03</v>
      </c>
      <c r="X101" s="68">
        <f t="shared" ref="X101:X102" si="1099">SUM(CC101:CE101)</f>
        <v>4585375.6099999994</v>
      </c>
      <c r="Y101" s="68">
        <f t="shared" ref="Y101:Y102" si="1100">SUM(CF101:CH101)</f>
        <v>4907505.2499999991</v>
      </c>
      <c r="Z101" s="68">
        <f t="shared" ref="Z101:Z102" si="1101">SUM(CI101:CK101)</f>
        <v>6204151.5899999999</v>
      </c>
      <c r="AA101" s="68">
        <f t="shared" ref="AA101:AA102" si="1102">SUM(CL101:CN101)</f>
        <v>6853007.2098901141</v>
      </c>
      <c r="AB101" s="68">
        <f t="shared" ref="AB101:AB102" si="1103">SUM(CO101:CQ101)</f>
        <v>8046823.6330615412</v>
      </c>
      <c r="AC101" s="68">
        <f t="shared" ref="AC101:AC102" si="1104">SUM(CR101:CT101)</f>
        <v>9557047.9005310033</v>
      </c>
      <c r="AD101" s="68">
        <f t="shared" ref="AD101:AD102" si="1105">SUM(CU101:CW101)</f>
        <v>10848005.8408137</v>
      </c>
      <c r="AE101" s="68">
        <f t="shared" ref="AE101:AE102" si="1106">SUM(CX101:CZ101)</f>
        <v>11261938.15631867</v>
      </c>
      <c r="AF101" s="68">
        <f t="shared" ref="AF101:AF102" si="1107">SUM(DA101:DC101)</f>
        <v>12508121.995855022</v>
      </c>
      <c r="AG101" s="68">
        <f t="shared" ref="AG101:AG102" si="1108">SUM(DD101:DF101)</f>
        <v>14065761.034486897</v>
      </c>
      <c r="AH101" s="68">
        <f t="shared" ref="AH101:AH102" si="1109">SUM(DG101:DI101)</f>
        <v>15527222.763736373</v>
      </c>
      <c r="AI101" s="68">
        <f t="shared" ref="AI101:AI102" si="1110">SUM(DJ101:DL101)</f>
        <v>15969152.053110134</v>
      </c>
      <c r="AJ101" s="68">
        <f t="shared" ref="AJ101:AJ102" si="1111">SUM(DM101:DO101)</f>
        <v>17623508.915807251</v>
      </c>
      <c r="AK101" s="68">
        <f t="shared" ref="AK101:AK102" si="1112">SUM(DP101:DR101)</f>
        <v>19632679.504370388</v>
      </c>
      <c r="AL101" s="68">
        <f t="shared" ref="AL101:AL102" si="1113">SUM(DS101:DU101)</f>
        <v>21576376.6365931</v>
      </c>
      <c r="AM101" s="68">
        <f t="shared" ref="AM101:AM102" si="1114">SUM(DV101:DX101)</f>
        <v>21668167.83930745</v>
      </c>
      <c r="AN101" s="68">
        <f t="shared" ref="AN101:AN102" si="1115">SUM(DY101:EA101)</f>
        <v>23191954.057036862</v>
      </c>
      <c r="AO101" s="68">
        <f t="shared" ref="AO101:AO102" si="1116">SUM(EB101:ED101)</f>
        <v>25740218.312013928</v>
      </c>
      <c r="AP101" s="68">
        <f t="shared" ref="AP101:AP102" si="1117">SUM(EE101:EG101)</f>
        <v>28247399.700899094</v>
      </c>
      <c r="AQ101" s="68">
        <f t="shared" ref="AQ101:AQ102" si="1118">SUM(EH101:EJ101)</f>
        <v>28290560.546431839</v>
      </c>
      <c r="AR101" s="68">
        <f t="shared" ref="AR101:AR102" si="1119">SUM(EK101:EM101)</f>
        <v>30047711.568858229</v>
      </c>
      <c r="AS101" s="68">
        <f t="shared" ref="AS101:AS102" si="1120">SUM(EN101:EP101)</f>
        <v>33224668.604910351</v>
      </c>
      <c r="AT101" s="68">
        <f t="shared" ref="AT101:AT102" si="1121">SUM(EQ101:ES101)</f>
        <v>36407091.611780226</v>
      </c>
      <c r="AU101" s="68">
        <f t="shared" ref="AU101:AU102" si="1122">SUM(ET101:EV101)</f>
        <v>36407091.611780226</v>
      </c>
      <c r="AV101" s="68">
        <f t="shared" ref="AV101:AV102" si="1123">SUM(EW101:EY101)</f>
        <v>38325551.664932184</v>
      </c>
      <c r="AW101" s="68">
        <f t="shared" ref="AW101:AW102" si="1124">SUM(EZ101:FB101)</f>
        <v>42217283.527895331</v>
      </c>
      <c r="AX101" s="201"/>
      <c r="AY101" s="30">
        <f>'Expense Details'!H39</f>
        <v>591706.99</v>
      </c>
      <c r="AZ101" s="30">
        <f>'Expense Details'!I39</f>
        <v>531757.22</v>
      </c>
      <c r="BA101" s="30">
        <f>'Expense Details'!J39</f>
        <v>580285.94999999995</v>
      </c>
      <c r="BB101" s="30">
        <f>'Expense Details'!K39</f>
        <v>570134.98</v>
      </c>
      <c r="BC101" s="30">
        <f>'Expense Details'!L39</f>
        <v>616524.17000000004</v>
      </c>
      <c r="BD101" s="30">
        <f>'Expense Details'!M39</f>
        <v>695305.75999999989</v>
      </c>
      <c r="BE101" s="30">
        <f>'Expense Details'!N39</f>
        <v>702135.24</v>
      </c>
      <c r="BF101" s="30">
        <f>'Expense Details'!O39</f>
        <v>718322.44000000006</v>
      </c>
      <c r="BG101" s="30">
        <f>'Expense Details'!P39</f>
        <v>934530.49</v>
      </c>
      <c r="BH101" s="30">
        <f>'Expense Details'!Q39</f>
        <v>839656.64999999991</v>
      </c>
      <c r="BI101" s="30">
        <f>'Expense Details'!R39</f>
        <v>853697.57</v>
      </c>
      <c r="BJ101" s="30">
        <f>'Expense Details'!S39</f>
        <v>1002517.5599999999</v>
      </c>
      <c r="BK101" s="30">
        <f>'Expense Details'!T39</f>
        <v>1029334.85</v>
      </c>
      <c r="BL101" s="30">
        <f>'Expense Details'!U39</f>
        <v>1025198.04</v>
      </c>
      <c r="BM101" s="30">
        <f>'Expense Details'!V39</f>
        <v>1023727.2100000001</v>
      </c>
      <c r="BN101" s="30">
        <f>'Expense Details'!W39</f>
        <v>1041960.3499999999</v>
      </c>
      <c r="BO101" s="30">
        <f>'Expense Details'!X39</f>
        <v>1146708.3700000001</v>
      </c>
      <c r="BP101" s="30">
        <f>'Expense Details'!Y39</f>
        <v>1215330.71</v>
      </c>
      <c r="BQ101" s="30">
        <f>'Expense Details'!Z39</f>
        <v>1182299.7699999998</v>
      </c>
      <c r="BR101" s="30">
        <f>'Expense Details'!AA39</f>
        <v>1199605.2</v>
      </c>
      <c r="BS101" s="30">
        <f>'Expense Details'!AB39</f>
        <v>1244436.8399999999</v>
      </c>
      <c r="BT101" s="30">
        <f>'Expense Details'!AC39</f>
        <v>1266308.45</v>
      </c>
      <c r="BU101" s="30">
        <f>'Expense Details'!AD39</f>
        <v>1255073.9099999999</v>
      </c>
      <c r="BV101" s="30">
        <f>'Expense Details'!AE39</f>
        <v>1197198.45</v>
      </c>
      <c r="BW101" s="30">
        <f>'Expense Details'!AF39</f>
        <v>1299854.6399999999</v>
      </c>
      <c r="BX101" s="30">
        <f>'Expense Details'!AG39</f>
        <v>1213101.99</v>
      </c>
      <c r="BY101" s="30">
        <f>'Expense Details'!AH39</f>
        <v>1384551.2199999997</v>
      </c>
      <c r="BZ101" s="30">
        <f>'Expense Details'!AI39</f>
        <v>1388631.4800000002</v>
      </c>
      <c r="CA101" s="30">
        <f>'Expense Details'!AJ39</f>
        <v>1490898.5000000002</v>
      </c>
      <c r="CB101" s="30">
        <f>'Expense Details'!AK39</f>
        <v>1562488.0499999998</v>
      </c>
      <c r="CC101" s="30">
        <f>'Expense Details'!AL39</f>
        <v>1558136.51</v>
      </c>
      <c r="CD101" s="30">
        <f>'Expense Details'!AM39</f>
        <v>1528430.12</v>
      </c>
      <c r="CE101" s="30">
        <f>'Expense Details'!AN39</f>
        <v>1498808.98</v>
      </c>
      <c r="CF101" s="30">
        <f>'Expense Details'!AO39</f>
        <v>1576070.17</v>
      </c>
      <c r="CG101" s="30">
        <f>'Expense Details'!AP39</f>
        <v>1571529.5199999996</v>
      </c>
      <c r="CH101" s="30">
        <f>'Expense Details'!AQ39</f>
        <v>1759905.5599999998</v>
      </c>
      <c r="CI101" s="30">
        <f>'Expense Details'!AR39</f>
        <v>1945362.7499999998</v>
      </c>
      <c r="CJ101" s="30">
        <f>'Expense Details'!AS39</f>
        <v>1985836.42</v>
      </c>
      <c r="CK101" s="30">
        <f>'Expense Details'!AT39</f>
        <v>2272952.42</v>
      </c>
      <c r="CL101" s="30">
        <f>'Expense Details'!AU39</f>
        <v>2199178.5099999998</v>
      </c>
      <c r="CM101" s="30">
        <f>'Expense Details'!AV39</f>
        <v>2313269.1575555676</v>
      </c>
      <c r="CN101" s="30">
        <f>'Expense Details'!AW39</f>
        <v>2340559.5423345473</v>
      </c>
      <c r="CO101" s="30">
        <f>'Expense Details'!AX39</f>
        <v>2501742.0081758192</v>
      </c>
      <c r="CP101" s="30">
        <f>'Expense Details'!AY39</f>
        <v>2684763.852470045</v>
      </c>
      <c r="CQ101" s="30">
        <f>'Expense Details'!AZ39</f>
        <v>2860317.7724156771</v>
      </c>
      <c r="CR101" s="30">
        <f>'Expense Details'!BA39</f>
        <v>3010624.3630080977</v>
      </c>
      <c r="CS101" s="30">
        <f>'Expense Details'!BB39</f>
        <v>3160492.4722591243</v>
      </c>
      <c r="CT101" s="30">
        <f>'Expense Details'!BC39</f>
        <v>3385931.0652637812</v>
      </c>
      <c r="CU101" s="30">
        <f>CU112*CU113/12</f>
        <v>3616001.9469379</v>
      </c>
      <c r="CV101" s="30">
        <f t="shared" ref="CV101:FB101" si="1125">CV112*CV113/12</f>
        <v>3616001.9469379</v>
      </c>
      <c r="CW101" s="30">
        <f t="shared" si="1125"/>
        <v>3616001.9469379</v>
      </c>
      <c r="CX101" s="30">
        <f t="shared" si="1125"/>
        <v>3622066.7382901739</v>
      </c>
      <c r="CY101" s="30">
        <f t="shared" si="1125"/>
        <v>3730220.6559196743</v>
      </c>
      <c r="CZ101" s="30">
        <f t="shared" si="1125"/>
        <v>3909650.7621088219</v>
      </c>
      <c r="DA101" s="30">
        <f t="shared" si="1125"/>
        <v>4045169.913610877</v>
      </c>
      <c r="DB101" s="30">
        <f t="shared" si="1125"/>
        <v>4141327.8817155496</v>
      </c>
      <c r="DC101" s="30">
        <f t="shared" si="1125"/>
        <v>4321624.2005285965</v>
      </c>
      <c r="DD101" s="30">
        <f t="shared" si="1125"/>
        <v>4482414.9927626373</v>
      </c>
      <c r="DE101" s="30">
        <f t="shared" si="1125"/>
        <v>4654068.9738714444</v>
      </c>
      <c r="DF101" s="30">
        <f t="shared" si="1125"/>
        <v>4929277.0678528165</v>
      </c>
      <c r="DG101" s="30">
        <f t="shared" si="1125"/>
        <v>5175740.9212454576</v>
      </c>
      <c r="DH101" s="30">
        <f t="shared" si="1125"/>
        <v>5175740.9212454576</v>
      </c>
      <c r="DI101" s="30">
        <f t="shared" si="1125"/>
        <v>5175740.9212454576</v>
      </c>
      <c r="DJ101" s="30">
        <f t="shared" si="1125"/>
        <v>5175740.9212454576</v>
      </c>
      <c r="DK101" s="30">
        <f t="shared" si="1125"/>
        <v>5271146.6981320241</v>
      </c>
      <c r="DL101" s="30">
        <f t="shared" si="1125"/>
        <v>5522264.4337326502</v>
      </c>
      <c r="DM101" s="30">
        <f t="shared" si="1125"/>
        <v>5708556.0648312941</v>
      </c>
      <c r="DN101" s="30">
        <f t="shared" si="1125"/>
        <v>5836789.7791899564</v>
      </c>
      <c r="DO101" s="30">
        <f t="shared" si="1125"/>
        <v>6078163.0717860013</v>
      </c>
      <c r="DP101" s="30">
        <f t="shared" si="1125"/>
        <v>6285069.8760790154</v>
      </c>
      <c r="DQ101" s="30">
        <f t="shared" si="1125"/>
        <v>6497966.2515951516</v>
      </c>
      <c r="DR101" s="30">
        <f t="shared" si="1125"/>
        <v>6849643.3766962215</v>
      </c>
      <c r="DS101" s="30">
        <f t="shared" si="1125"/>
        <v>7192125.5455310335</v>
      </c>
      <c r="DT101" s="30">
        <f t="shared" si="1125"/>
        <v>7192125.5455310335</v>
      </c>
      <c r="DU101" s="30">
        <f t="shared" si="1125"/>
        <v>7192125.5455310335</v>
      </c>
      <c r="DV101" s="30">
        <f t="shared" si="1125"/>
        <v>7192125.5455310335</v>
      </c>
      <c r="DW101" s="30">
        <f t="shared" si="1125"/>
        <v>7192125.5455310335</v>
      </c>
      <c r="DX101" s="30">
        <f t="shared" si="1125"/>
        <v>7283916.7482453808</v>
      </c>
      <c r="DY101" s="30">
        <f t="shared" si="1125"/>
        <v>7520178.0254620872</v>
      </c>
      <c r="DZ101" s="30">
        <f t="shared" si="1125"/>
        <v>7682805.8646940188</v>
      </c>
      <c r="EA101" s="30">
        <f t="shared" si="1125"/>
        <v>7988970.1668807557</v>
      </c>
      <c r="EB101" s="30">
        <f t="shared" si="1125"/>
        <v>8251397.4658543942</v>
      </c>
      <c r="EC101" s="30">
        <f t="shared" si="1125"/>
        <v>8521392.3696836326</v>
      </c>
      <c r="ED101" s="30">
        <f t="shared" si="1125"/>
        <v>8967428.4764759019</v>
      </c>
      <c r="EE101" s="30">
        <f t="shared" si="1125"/>
        <v>9415799.9002996981</v>
      </c>
      <c r="EF101" s="30">
        <f t="shared" si="1125"/>
        <v>9415799.9002996981</v>
      </c>
      <c r="EG101" s="30">
        <f t="shared" si="1125"/>
        <v>9415799.9002996981</v>
      </c>
      <c r="EH101" s="30">
        <f t="shared" si="1125"/>
        <v>9415799.9002996981</v>
      </c>
      <c r="EI101" s="30">
        <f t="shared" si="1125"/>
        <v>9415799.9002996981</v>
      </c>
      <c r="EJ101" s="30">
        <f t="shared" si="1125"/>
        <v>9458960.7458324451</v>
      </c>
      <c r="EK101" s="30">
        <f t="shared" si="1125"/>
        <v>9753503.7293668669</v>
      </c>
      <c r="EL101" s="30">
        <f t="shared" si="1125"/>
        <v>9956247.9851489756</v>
      </c>
      <c r="EM101" s="30">
        <f t="shared" si="1125"/>
        <v>10337959.854342384</v>
      </c>
      <c r="EN101" s="30">
        <f t="shared" si="1125"/>
        <v>10665133.548506262</v>
      </c>
      <c r="EO101" s="30">
        <f t="shared" si="1125"/>
        <v>11001728.195521479</v>
      </c>
      <c r="EP101" s="30">
        <f t="shared" si="1125"/>
        <v>11557806.86088261</v>
      </c>
      <c r="EQ101" s="30">
        <f t="shared" si="1125"/>
        <v>12135697.203926742</v>
      </c>
      <c r="ER101" s="30">
        <f t="shared" si="1125"/>
        <v>12135697.203926742</v>
      </c>
      <c r="ES101" s="30">
        <f t="shared" si="1125"/>
        <v>12135697.203926742</v>
      </c>
      <c r="ET101" s="30">
        <f t="shared" si="1125"/>
        <v>12135697.203926742</v>
      </c>
      <c r="EU101" s="30">
        <f t="shared" si="1125"/>
        <v>12135697.203926742</v>
      </c>
      <c r="EV101" s="30">
        <f t="shared" si="1125"/>
        <v>12135697.203926742</v>
      </c>
      <c r="EW101" s="30">
        <f t="shared" si="1125"/>
        <v>12453747.072728498</v>
      </c>
      <c r="EX101" s="30">
        <f t="shared" si="1125"/>
        <v>12702105.591538934</v>
      </c>
      <c r="EY101" s="30">
        <f t="shared" si="1125"/>
        <v>13169699.00066475</v>
      </c>
      <c r="EZ101" s="30">
        <f t="shared" si="1125"/>
        <v>13570482.789761955</v>
      </c>
      <c r="FA101" s="30">
        <f t="shared" si="1125"/>
        <v>13982805.77345258</v>
      </c>
      <c r="FB101" s="30">
        <f t="shared" si="1125"/>
        <v>14663994.964680796</v>
      </c>
    </row>
    <row r="102" spans="2:158" x14ac:dyDescent="0.25">
      <c r="C102" s="102" t="s">
        <v>2</v>
      </c>
      <c r="D102" s="50">
        <f t="shared" si="1088"/>
        <v>772109.38000000012</v>
      </c>
      <c r="E102" s="50">
        <f t="shared" si="1088"/>
        <v>1024642.99</v>
      </c>
      <c r="F102" s="50">
        <f t="shared" si="1088"/>
        <v>1269123.93</v>
      </c>
      <c r="G102" s="50">
        <f t="shared" si="1088"/>
        <v>1384252.5976623378</v>
      </c>
      <c r="H102" s="50">
        <f t="shared" si="1088"/>
        <v>2197927.2481698953</v>
      </c>
      <c r="I102" s="50">
        <f t="shared" si="1088"/>
        <v>3103969.8673421834</v>
      </c>
      <c r="J102" s="50">
        <f t="shared" si="1088"/>
        <v>4161499.41306022</v>
      </c>
      <c r="K102" s="50">
        <f t="shared" si="1088"/>
        <v>5409073.7705446864</v>
      </c>
      <c r="L102" s="50">
        <f t="shared" si="1088"/>
        <v>6923604.6148395538</v>
      </c>
      <c r="M102" s="201"/>
      <c r="N102" s="243">
        <f t="shared" si="1089"/>
        <v>239575.24</v>
      </c>
      <c r="O102" s="243">
        <f t="shared" si="1090"/>
        <v>239842.07</v>
      </c>
      <c r="P102" s="243">
        <f t="shared" si="1091"/>
        <v>164067.32</v>
      </c>
      <c r="Q102" s="243">
        <f t="shared" si="1092"/>
        <v>128624.75000000001</v>
      </c>
      <c r="R102" s="243">
        <f t="shared" si="1093"/>
        <v>145344.19</v>
      </c>
      <c r="S102" s="243">
        <f t="shared" si="1094"/>
        <v>281134.77</v>
      </c>
      <c r="T102" s="243">
        <f t="shared" si="1095"/>
        <v>352072.33999999997</v>
      </c>
      <c r="U102" s="243">
        <f t="shared" si="1096"/>
        <v>246091.69</v>
      </c>
      <c r="V102" s="243">
        <f t="shared" si="1097"/>
        <v>259295.93000000002</v>
      </c>
      <c r="W102" s="243">
        <f t="shared" si="1098"/>
        <v>334358.59999999998</v>
      </c>
      <c r="X102" s="243">
        <f t="shared" si="1099"/>
        <v>385831.13</v>
      </c>
      <c r="Y102" s="243">
        <f t="shared" si="1100"/>
        <v>289638.26999999996</v>
      </c>
      <c r="Z102" s="243">
        <f t="shared" si="1101"/>
        <v>208791</v>
      </c>
      <c r="AA102" s="243">
        <f t="shared" si="1102"/>
        <v>339926.9490909091</v>
      </c>
      <c r="AB102" s="243">
        <f t="shared" si="1103"/>
        <v>408261.00658008666</v>
      </c>
      <c r="AC102" s="243">
        <f t="shared" si="1104"/>
        <v>427273.64199134207</v>
      </c>
      <c r="AD102" s="243">
        <f t="shared" si="1105"/>
        <v>489754.58754249016</v>
      </c>
      <c r="AE102" s="243">
        <f t="shared" si="1106"/>
        <v>508442.37711648969</v>
      </c>
      <c r="AF102" s="243">
        <f t="shared" si="1107"/>
        <v>564703.80076340609</v>
      </c>
      <c r="AG102" s="243">
        <f t="shared" si="1108"/>
        <v>635026.48274750926</v>
      </c>
      <c r="AH102" s="243">
        <f t="shared" si="1109"/>
        <v>701007.05068975722</v>
      </c>
      <c r="AI102" s="243">
        <f t="shared" si="1110"/>
        <v>720958.81878577778</v>
      </c>
      <c r="AJ102" s="243">
        <f t="shared" si="1111"/>
        <v>795648.01741157239</v>
      </c>
      <c r="AK102" s="243">
        <f t="shared" si="1112"/>
        <v>886355.98045507609</v>
      </c>
      <c r="AL102" s="243">
        <f t="shared" si="1113"/>
        <v>974108.01536989631</v>
      </c>
      <c r="AM102" s="243">
        <f t="shared" si="1114"/>
        <v>978252.10998830607</v>
      </c>
      <c r="AN102" s="243">
        <f t="shared" si="1115"/>
        <v>1047046.4397036578</v>
      </c>
      <c r="AO102" s="243">
        <f t="shared" si="1116"/>
        <v>1162092.8479983599</v>
      </c>
      <c r="AP102" s="243">
        <f t="shared" si="1117"/>
        <v>1275284.4893955179</v>
      </c>
      <c r="AQ102" s="243">
        <f t="shared" si="1118"/>
        <v>1277233.0707672525</v>
      </c>
      <c r="AR102" s="243">
        <f t="shared" si="1119"/>
        <v>1356563.1141749122</v>
      </c>
      <c r="AS102" s="243">
        <f t="shared" si="1120"/>
        <v>1499993.0962070026</v>
      </c>
      <c r="AT102" s="243">
        <f t="shared" si="1121"/>
        <v>1643669.8502562405</v>
      </c>
      <c r="AU102" s="243">
        <f t="shared" si="1122"/>
        <v>1643669.8502562405</v>
      </c>
      <c r="AV102" s="243">
        <f t="shared" si="1123"/>
        <v>1730282.5075349819</v>
      </c>
      <c r="AW102" s="243">
        <f t="shared" si="1124"/>
        <v>1905982.4067920898</v>
      </c>
      <c r="AX102" s="201"/>
      <c r="AY102" s="243">
        <f>'Expense Details'!H40</f>
        <v>66897.490000000005</v>
      </c>
      <c r="AZ102" s="243">
        <f>'Expense Details'!I40</f>
        <v>56246.909999999996</v>
      </c>
      <c r="BA102" s="243">
        <f>'Expense Details'!J40</f>
        <v>116430.84</v>
      </c>
      <c r="BB102" s="243">
        <f>'Expense Details'!K40</f>
        <v>94654.390000000014</v>
      </c>
      <c r="BC102" s="243">
        <f>'Expense Details'!L40</f>
        <v>75361.990000000005</v>
      </c>
      <c r="BD102" s="243">
        <f>'Expense Details'!M40</f>
        <v>69825.69</v>
      </c>
      <c r="BE102" s="243">
        <f>'Expense Details'!N40</f>
        <v>83486.799999999988</v>
      </c>
      <c r="BF102" s="243">
        <f>'Expense Details'!O40</f>
        <v>43128.670000000006</v>
      </c>
      <c r="BG102" s="243">
        <f>'Expense Details'!P40</f>
        <v>37451.85</v>
      </c>
      <c r="BH102" s="243">
        <f>'Expense Details'!Q40</f>
        <v>56384.93</v>
      </c>
      <c r="BI102" s="243">
        <f>'Expense Details'!R40</f>
        <v>28357.39</v>
      </c>
      <c r="BJ102" s="243">
        <f>'Expense Details'!S40</f>
        <v>43882.430000000008</v>
      </c>
      <c r="BK102" s="243">
        <f>'Expense Details'!T40</f>
        <v>38457.230000000003</v>
      </c>
      <c r="BL102" s="243">
        <f>'Expense Details'!U40</f>
        <v>36542.28</v>
      </c>
      <c r="BM102" s="243">
        <f>'Expense Details'!V40</f>
        <v>70344.679999999993</v>
      </c>
      <c r="BN102" s="243">
        <f>'Expense Details'!W40</f>
        <v>79852.960000000006</v>
      </c>
      <c r="BO102" s="243">
        <f>'Expense Details'!X40</f>
        <v>105713.91</v>
      </c>
      <c r="BP102" s="243">
        <f>'Expense Details'!Y40</f>
        <v>95567.900000000009</v>
      </c>
      <c r="BQ102" s="243">
        <f>'Expense Details'!Z40</f>
        <v>112511.07</v>
      </c>
      <c r="BR102" s="243">
        <f>'Expense Details'!AA40</f>
        <v>115625.93000000001</v>
      </c>
      <c r="BS102" s="243">
        <f>'Expense Details'!AB40</f>
        <v>123935.34</v>
      </c>
      <c r="BT102" s="243">
        <f>'Expense Details'!AC40</f>
        <v>53076.22</v>
      </c>
      <c r="BU102" s="243">
        <f>'Expense Details'!AD40</f>
        <v>81201.41</v>
      </c>
      <c r="BV102" s="243">
        <f>'Expense Details'!AE40</f>
        <v>111814.06</v>
      </c>
      <c r="BW102" s="243">
        <f>'Expense Details'!AF40</f>
        <v>81430.45</v>
      </c>
      <c r="BX102" s="243">
        <f>'Expense Details'!AG40</f>
        <v>77314.62</v>
      </c>
      <c r="BY102" s="243">
        <f>'Expense Details'!AH40</f>
        <v>100550.86000000002</v>
      </c>
      <c r="BZ102" s="243">
        <f>'Expense Details'!AI40</f>
        <v>95574.76</v>
      </c>
      <c r="CA102" s="243">
        <f>'Expense Details'!AJ40</f>
        <v>21698.819999999996</v>
      </c>
      <c r="CB102" s="243">
        <f>'Expense Details'!AK40</f>
        <v>217085.02</v>
      </c>
      <c r="CC102" s="243">
        <f>'Expense Details'!AL40</f>
        <v>121398.65000000001</v>
      </c>
      <c r="CD102" s="243">
        <f>'Expense Details'!AM40</f>
        <v>141246.03999999998</v>
      </c>
      <c r="CE102" s="243">
        <f>'Expense Details'!AN40</f>
        <v>123186.44</v>
      </c>
      <c r="CF102" s="243">
        <f>'Expense Details'!AO40</f>
        <v>77668.820000000007</v>
      </c>
      <c r="CG102" s="243">
        <f>'Expense Details'!AP40</f>
        <v>98964.04</v>
      </c>
      <c r="CH102" s="243">
        <f>'Expense Details'!AQ40</f>
        <v>113005.40999999999</v>
      </c>
      <c r="CI102" s="243">
        <f>'Expense Details'!AR40</f>
        <v>39134.5</v>
      </c>
      <c r="CJ102" s="243">
        <f>'Expense Details'!AS40</f>
        <v>68649.83</v>
      </c>
      <c r="CK102" s="243">
        <f>'Expense Details'!AT40</f>
        <v>101006.67000000001</v>
      </c>
      <c r="CL102" s="243">
        <f>'Expense Details'!AU40</f>
        <v>118007.88</v>
      </c>
      <c r="CM102" s="243">
        <f>'Expense Details'!AV40</f>
        <v>107715.96865800867</v>
      </c>
      <c r="CN102" s="243">
        <f>'Expense Details'!AW40</f>
        <v>114203.10043290045</v>
      </c>
      <c r="CO102" s="243">
        <f>'Expense Details'!AX40</f>
        <v>134540.92987012988</v>
      </c>
      <c r="CP102" s="243">
        <f>'Expense Details'!AY40</f>
        <v>154261.00735930738</v>
      </c>
      <c r="CQ102" s="243">
        <f>'Expense Details'!AZ40</f>
        <v>119459.06935064936</v>
      </c>
      <c r="CR102" s="243">
        <f>'Expense Details'!BA40</f>
        <v>125869.14683982686</v>
      </c>
      <c r="CS102" s="243">
        <f>'Expense Details'!BB40</f>
        <v>131424.54733044736</v>
      </c>
      <c r="CT102" s="243">
        <f>'Expense Details'!BC40</f>
        <v>169979.94782106782</v>
      </c>
      <c r="CU102" s="243">
        <f>CU101*CU118</f>
        <v>163251.52918083005</v>
      </c>
      <c r="CV102" s="243">
        <f t="shared" ref="CV102:FB102" si="1126">CV101*CV118</f>
        <v>163251.52918083005</v>
      </c>
      <c r="CW102" s="243">
        <f t="shared" si="1126"/>
        <v>163251.52918083005</v>
      </c>
      <c r="CX102" s="243">
        <f t="shared" si="1126"/>
        <v>163525.33613031465</v>
      </c>
      <c r="CY102" s="243">
        <f t="shared" si="1126"/>
        <v>168408.15773799247</v>
      </c>
      <c r="CZ102" s="243">
        <f t="shared" si="1126"/>
        <v>176508.88324818262</v>
      </c>
      <c r="DA102" s="243">
        <f t="shared" si="1126"/>
        <v>182627.16223161455</v>
      </c>
      <c r="DB102" s="243">
        <f t="shared" si="1126"/>
        <v>186968.40307339633</v>
      </c>
      <c r="DC102" s="243">
        <f t="shared" si="1126"/>
        <v>195108.23545839527</v>
      </c>
      <c r="DD102" s="243">
        <f t="shared" si="1126"/>
        <v>202367.45243216731</v>
      </c>
      <c r="DE102" s="243">
        <f t="shared" si="1126"/>
        <v>210117.1094614508</v>
      </c>
      <c r="DF102" s="243">
        <f t="shared" si="1126"/>
        <v>222541.92085389118</v>
      </c>
      <c r="DG102" s="243">
        <f t="shared" si="1126"/>
        <v>233669.01689658573</v>
      </c>
      <c r="DH102" s="243">
        <f t="shared" si="1126"/>
        <v>233669.01689658573</v>
      </c>
      <c r="DI102" s="243">
        <f t="shared" si="1126"/>
        <v>233669.01689658573</v>
      </c>
      <c r="DJ102" s="243">
        <f t="shared" si="1126"/>
        <v>233669.01689658573</v>
      </c>
      <c r="DK102" s="243">
        <f t="shared" si="1126"/>
        <v>237976.29858447486</v>
      </c>
      <c r="DL102" s="243">
        <f t="shared" si="1126"/>
        <v>249313.50330471713</v>
      </c>
      <c r="DM102" s="243">
        <f t="shared" si="1126"/>
        <v>257724.00586990477</v>
      </c>
      <c r="DN102" s="243">
        <f t="shared" si="1126"/>
        <v>263513.36944569513</v>
      </c>
      <c r="DO102" s="243">
        <f t="shared" si="1126"/>
        <v>274410.64209597255</v>
      </c>
      <c r="DP102" s="243">
        <f t="shared" si="1126"/>
        <v>283751.85725415492</v>
      </c>
      <c r="DQ102" s="243">
        <f t="shared" si="1126"/>
        <v>293363.48340095422</v>
      </c>
      <c r="DR102" s="243">
        <f t="shared" si="1126"/>
        <v>309240.639799967</v>
      </c>
      <c r="DS102" s="243">
        <f t="shared" si="1126"/>
        <v>324702.67178996542</v>
      </c>
      <c r="DT102" s="243">
        <f t="shared" si="1126"/>
        <v>324702.67178996542</v>
      </c>
      <c r="DU102" s="243">
        <f t="shared" si="1126"/>
        <v>324702.67178996542</v>
      </c>
      <c r="DV102" s="243">
        <f t="shared" si="1126"/>
        <v>324702.67178996542</v>
      </c>
      <c r="DW102" s="243">
        <f t="shared" si="1126"/>
        <v>324702.67178996542</v>
      </c>
      <c r="DX102" s="243">
        <f t="shared" si="1126"/>
        <v>328846.76640837523</v>
      </c>
      <c r="DY102" s="243">
        <f t="shared" si="1126"/>
        <v>339513.24705684534</v>
      </c>
      <c r="DZ102" s="243">
        <f t="shared" si="1126"/>
        <v>346855.401135183</v>
      </c>
      <c r="EA102" s="243">
        <f t="shared" si="1126"/>
        <v>360677.79151162953</v>
      </c>
      <c r="EB102" s="243">
        <f t="shared" si="1126"/>
        <v>372525.58874318819</v>
      </c>
      <c r="EC102" s="243">
        <f t="shared" si="1126"/>
        <v>384715.04039945168</v>
      </c>
      <c r="ED102" s="243">
        <f t="shared" si="1126"/>
        <v>404852.21885571996</v>
      </c>
      <c r="EE102" s="243">
        <f t="shared" si="1126"/>
        <v>425094.82979850599</v>
      </c>
      <c r="EF102" s="243">
        <f t="shared" si="1126"/>
        <v>425094.82979850599</v>
      </c>
      <c r="EG102" s="243">
        <f t="shared" si="1126"/>
        <v>425094.82979850599</v>
      </c>
      <c r="EH102" s="243">
        <f t="shared" si="1126"/>
        <v>425094.82979850599</v>
      </c>
      <c r="EI102" s="243">
        <f t="shared" si="1126"/>
        <v>425094.82979850599</v>
      </c>
      <c r="EJ102" s="243">
        <f t="shared" si="1126"/>
        <v>427043.41117024043</v>
      </c>
      <c r="EK102" s="243">
        <f t="shared" si="1126"/>
        <v>440341.13422932156</v>
      </c>
      <c r="EL102" s="243">
        <f t="shared" si="1126"/>
        <v>449494.42293733422</v>
      </c>
      <c r="EM102" s="243">
        <f t="shared" si="1126"/>
        <v>466727.55700825655</v>
      </c>
      <c r="EN102" s="243">
        <f t="shared" si="1126"/>
        <v>481498.45776101312</v>
      </c>
      <c r="EO102" s="243">
        <f t="shared" si="1126"/>
        <v>496694.68598369102</v>
      </c>
      <c r="EP102" s="243">
        <f t="shared" si="1126"/>
        <v>521799.95246229856</v>
      </c>
      <c r="EQ102" s="243">
        <f t="shared" si="1126"/>
        <v>547889.95008541353</v>
      </c>
      <c r="ER102" s="243">
        <f t="shared" si="1126"/>
        <v>547889.95008541353</v>
      </c>
      <c r="ES102" s="243">
        <f t="shared" si="1126"/>
        <v>547889.95008541353</v>
      </c>
      <c r="ET102" s="243">
        <f t="shared" si="1126"/>
        <v>547889.95008541353</v>
      </c>
      <c r="EU102" s="243">
        <f t="shared" si="1126"/>
        <v>547889.95008541353</v>
      </c>
      <c r="EV102" s="243">
        <f t="shared" si="1126"/>
        <v>547889.95008541353</v>
      </c>
      <c r="EW102" s="243">
        <f t="shared" si="1126"/>
        <v>562248.93777390686</v>
      </c>
      <c r="EX102" s="243">
        <f t="shared" si="1126"/>
        <v>573461.57221820625</v>
      </c>
      <c r="EY102" s="243">
        <f t="shared" si="1126"/>
        <v>594571.99754286883</v>
      </c>
      <c r="EZ102" s="243">
        <f t="shared" si="1126"/>
        <v>612666.17099772883</v>
      </c>
      <c r="FA102" s="243">
        <f t="shared" si="1126"/>
        <v>631281.30411758192</v>
      </c>
      <c r="FB102" s="243">
        <f t="shared" si="1126"/>
        <v>662034.93167677894</v>
      </c>
    </row>
    <row r="103" spans="2:158" x14ac:dyDescent="0.25">
      <c r="C103" s="99"/>
      <c r="D103" s="16"/>
      <c r="E103" s="16"/>
      <c r="F103" s="16"/>
      <c r="G103" s="16"/>
      <c r="H103" s="16"/>
      <c r="I103" s="55"/>
      <c r="J103" s="55"/>
      <c r="K103" s="55"/>
      <c r="L103" s="55"/>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Y103" s="16"/>
      <c r="AZ103" s="16"/>
      <c r="BA103" s="16"/>
      <c r="BB103" s="16"/>
      <c r="BC103" s="16"/>
      <c r="BD103" s="16"/>
      <c r="BE103" s="16"/>
      <c r="BF103" s="16"/>
      <c r="BG103" s="16"/>
      <c r="BH103" s="16"/>
      <c r="BI103" s="16"/>
      <c r="BJ103" s="16"/>
      <c r="BK103" s="16"/>
      <c r="BL103" s="16"/>
      <c r="BM103" s="16"/>
      <c r="BN103" s="16"/>
      <c r="BO103" s="16"/>
      <c r="BP103" s="16"/>
      <c r="BQ103" s="16"/>
      <c r="BR103" s="16"/>
      <c r="BS103" s="16"/>
      <c r="BT103" s="16"/>
      <c r="BU103" s="16"/>
      <c r="BV103" s="16"/>
      <c r="BW103" s="16"/>
      <c r="BX103" s="16"/>
      <c r="BY103" s="16"/>
      <c r="BZ103" s="16"/>
      <c r="CA103" s="16"/>
      <c r="CB103" s="16"/>
      <c r="CC103" s="16"/>
      <c r="CD103" s="16"/>
      <c r="CE103" s="16"/>
      <c r="CF103" s="16"/>
      <c r="CG103" s="16"/>
      <c r="CH103" s="16"/>
      <c r="CI103" s="16"/>
      <c r="CJ103" s="16"/>
      <c r="CK103" s="16"/>
      <c r="CL103" s="16"/>
      <c r="CM103" s="16"/>
      <c r="CN103" s="16"/>
      <c r="CO103" s="16"/>
      <c r="CP103" s="16"/>
      <c r="CQ103" s="16"/>
      <c r="CR103" s="16"/>
      <c r="CS103" s="16"/>
      <c r="CT103" s="16"/>
      <c r="CU103" s="16"/>
      <c r="CV103" s="16"/>
      <c r="CW103" s="16"/>
      <c r="CX103" s="16"/>
      <c r="CY103" s="16"/>
      <c r="CZ103" s="16"/>
      <c r="DA103" s="16"/>
      <c r="DB103" s="16"/>
      <c r="DC103" s="16"/>
      <c r="DD103" s="16"/>
      <c r="DE103" s="16"/>
      <c r="DF103" s="16"/>
      <c r="DG103" s="16"/>
      <c r="DH103" s="16"/>
      <c r="DI103" s="16"/>
      <c r="DJ103" s="16"/>
      <c r="DK103" s="16"/>
      <c r="DL103" s="16"/>
      <c r="DM103" s="16"/>
      <c r="DN103" s="16"/>
      <c r="DO103" s="16"/>
      <c r="DP103" s="16"/>
      <c r="DQ103" s="16"/>
      <c r="DR103" s="16"/>
      <c r="DS103" s="16"/>
      <c r="DT103" s="16"/>
      <c r="DU103" s="16"/>
      <c r="DV103" s="16"/>
      <c r="DW103" s="16"/>
      <c r="DX103" s="16"/>
      <c r="DY103" s="16"/>
      <c r="DZ103" s="16"/>
      <c r="EA103" s="16"/>
      <c r="EB103" s="16"/>
      <c r="EC103" s="16"/>
      <c r="ED103" s="16"/>
      <c r="EE103" s="16"/>
      <c r="EF103" s="16"/>
      <c r="EG103" s="16"/>
      <c r="EH103" s="16"/>
      <c r="EI103" s="16"/>
      <c r="EJ103" s="16"/>
      <c r="EK103" s="16"/>
      <c r="EL103" s="16"/>
      <c r="EM103" s="16"/>
      <c r="EN103" s="16"/>
      <c r="EO103" s="16"/>
      <c r="EP103" s="16"/>
      <c r="EQ103" s="16"/>
      <c r="ER103" s="16"/>
      <c r="ES103" s="16"/>
      <c r="ET103" s="16"/>
      <c r="EU103" s="16"/>
      <c r="EV103" s="16"/>
      <c r="EW103" s="16"/>
      <c r="EX103" s="16"/>
      <c r="EY103" s="16"/>
      <c r="EZ103" s="16"/>
      <c r="FA103" s="16"/>
      <c r="FB103" s="16"/>
    </row>
    <row r="104" spans="2:158" ht="15.75" thickBot="1" x14ac:dyDescent="0.3">
      <c r="C104" s="235" t="s">
        <v>502</v>
      </c>
      <c r="D104" s="236">
        <f>SUM(D97:D103)</f>
        <v>11212258.130000003</v>
      </c>
      <c r="E104" s="236">
        <f t="shared" ref="E104:G104" si="1127">SUM(E97:E103)</f>
        <v>18344354.129999995</v>
      </c>
      <c r="F104" s="236">
        <f t="shared" si="1127"/>
        <v>23430625.960000001</v>
      </c>
      <c r="G104" s="236">
        <f t="shared" si="1127"/>
        <v>40842125.008719288</v>
      </c>
      <c r="H104" s="236">
        <f t="shared" ref="H104" si="1128">SUM(H97:H103)</f>
        <v>64849449.862995654</v>
      </c>
      <c r="I104" s="236">
        <f t="shared" ref="I104" si="1129">SUM(I97:I103)</f>
        <v>91582075.091912627</v>
      </c>
      <c r="J104" s="236">
        <f t="shared" ref="J104" si="1130">SUM(J97:J103)</f>
        <v>122784294.96101052</v>
      </c>
      <c r="K104" s="236">
        <f t="shared" ref="K104" si="1131">SUM(K97:K103)</f>
        <v>159593752.96896458</v>
      </c>
      <c r="L104" s="236">
        <f t="shared" ref="L104:BW104" si="1132">SUM(L97:L103)</f>
        <v>204279714.31497389</v>
      </c>
      <c r="N104" s="236">
        <f t="shared" si="1132"/>
        <v>2330511.27</v>
      </c>
      <c r="O104" s="236">
        <f t="shared" si="1132"/>
        <v>2534803.0599999996</v>
      </c>
      <c r="P104" s="236">
        <f t="shared" si="1132"/>
        <v>3002091.31</v>
      </c>
      <c r="Q104" s="236">
        <f t="shared" si="1132"/>
        <v>3344852.4899999998</v>
      </c>
      <c r="R104" s="236">
        <f t="shared" si="1132"/>
        <v>3892519.04</v>
      </c>
      <c r="S104" s="236">
        <f t="shared" si="1132"/>
        <v>4616561.4000000004</v>
      </c>
      <c r="T104" s="236">
        <f t="shared" si="1132"/>
        <v>4971272.5399999991</v>
      </c>
      <c r="U104" s="236">
        <f t="shared" si="1132"/>
        <v>4864001.1500000004</v>
      </c>
      <c r="V104" s="236">
        <f t="shared" si="1132"/>
        <v>5086617.0799999991</v>
      </c>
      <c r="W104" s="236">
        <f t="shared" si="1132"/>
        <v>5872593.6299999999</v>
      </c>
      <c r="X104" s="236">
        <f t="shared" si="1132"/>
        <v>6107599.7199999997</v>
      </c>
      <c r="Y104" s="236">
        <f t="shared" si="1132"/>
        <v>6363815.5299999984</v>
      </c>
      <c r="Z104" s="236">
        <f t="shared" si="1132"/>
        <v>8112919.4199999999</v>
      </c>
      <c r="AA104" s="236">
        <f t="shared" si="1132"/>
        <v>9211486.0650891773</v>
      </c>
      <c r="AB104" s="236">
        <f t="shared" si="1132"/>
        <v>10824143.673175517</v>
      </c>
      <c r="AC104" s="236">
        <f t="shared" si="1132"/>
        <v>12693575.850454602</v>
      </c>
      <c r="AD104" s="236">
        <f t="shared" si="1132"/>
        <v>14450121.402541447</v>
      </c>
      <c r="AE104" s="236">
        <f t="shared" si="1132"/>
        <v>15001501.287402686</v>
      </c>
      <c r="AF104" s="236">
        <f t="shared" si="1132"/>
        <v>16661484.517079376</v>
      </c>
      <c r="AG104" s="236">
        <f t="shared" si="1132"/>
        <v>18736342.655972138</v>
      </c>
      <c r="AH104" s="236">
        <f t="shared" si="1132"/>
        <v>20683087.497624896</v>
      </c>
      <c r="AI104" s="236">
        <f t="shared" si="1132"/>
        <v>21271760.842431165</v>
      </c>
      <c r="AJ104" s="236">
        <f t="shared" si="1132"/>
        <v>23475452.272902202</v>
      </c>
      <c r="AK104" s="236">
        <f t="shared" si="1132"/>
        <v>26151774.478954338</v>
      </c>
      <c r="AL104" s="236">
        <f t="shared" si="1132"/>
        <v>28740882.554903079</v>
      </c>
      <c r="AM104" s="236">
        <f t="shared" si="1132"/>
        <v>28863153.324514698</v>
      </c>
      <c r="AN104" s="236">
        <f t="shared" si="1132"/>
        <v>30892917.70340794</v>
      </c>
      <c r="AO104" s="236">
        <f t="shared" si="1132"/>
        <v>34287341.37818478</v>
      </c>
      <c r="AP104" s="236">
        <f t="shared" si="1132"/>
        <v>37627040.487792343</v>
      </c>
      <c r="AQ104" s="236">
        <f t="shared" si="1132"/>
        <v>37684533.032222763</v>
      </c>
      <c r="AR104" s="236">
        <f t="shared" si="1132"/>
        <v>40025151.756922543</v>
      </c>
      <c r="AS104" s="236">
        <f t="shared" si="1132"/>
        <v>44257027.692026936</v>
      </c>
      <c r="AT104" s="236">
        <f t="shared" si="1132"/>
        <v>48496184.59130653</v>
      </c>
      <c r="AU104" s="236">
        <f t="shared" si="1132"/>
        <v>48496184.59130653</v>
      </c>
      <c r="AV104" s="236">
        <f t="shared" si="1132"/>
        <v>51051675.53413704</v>
      </c>
      <c r="AW104" s="236">
        <f t="shared" si="1132"/>
        <v>56235669.598223761</v>
      </c>
      <c r="AY104" s="236">
        <f t="shared" si="1132"/>
        <v>762237.13</v>
      </c>
      <c r="AZ104" s="236">
        <f t="shared" si="1132"/>
        <v>739223.72</v>
      </c>
      <c r="BA104" s="236">
        <f t="shared" si="1132"/>
        <v>829050.41999999993</v>
      </c>
      <c r="BB104" s="236">
        <f t="shared" si="1132"/>
        <v>796057.22</v>
      </c>
      <c r="BC104" s="236">
        <f t="shared" si="1132"/>
        <v>837025.71000000008</v>
      </c>
      <c r="BD104" s="236">
        <f t="shared" si="1132"/>
        <v>901720.12999999989</v>
      </c>
      <c r="BE104" s="236">
        <f t="shared" si="1132"/>
        <v>932565.64999999991</v>
      </c>
      <c r="BF104" s="236">
        <f t="shared" si="1132"/>
        <v>920719.59000000008</v>
      </c>
      <c r="BG104" s="236">
        <f t="shared" si="1132"/>
        <v>1148806.07</v>
      </c>
      <c r="BH104" s="236">
        <f t="shared" si="1132"/>
        <v>1057964.69</v>
      </c>
      <c r="BI104" s="236">
        <f t="shared" si="1132"/>
        <v>1037174.7</v>
      </c>
      <c r="BJ104" s="236">
        <f t="shared" si="1132"/>
        <v>1249713.0999999999</v>
      </c>
      <c r="BK104" s="236">
        <f t="shared" si="1132"/>
        <v>1279492.6299999999</v>
      </c>
      <c r="BL104" s="236">
        <f t="shared" si="1132"/>
        <v>1284218.48</v>
      </c>
      <c r="BM104" s="236">
        <f t="shared" si="1132"/>
        <v>1328807.93</v>
      </c>
      <c r="BN104" s="236">
        <f t="shared" si="1132"/>
        <v>1399002.3599999999</v>
      </c>
      <c r="BO104" s="236">
        <f t="shared" si="1132"/>
        <v>1581251.52</v>
      </c>
      <c r="BP104" s="236">
        <f t="shared" si="1132"/>
        <v>1636307.5199999998</v>
      </c>
      <c r="BQ104" s="236">
        <f t="shared" si="1132"/>
        <v>1595061.13</v>
      </c>
      <c r="BR104" s="236">
        <f t="shared" si="1132"/>
        <v>1645643.72</v>
      </c>
      <c r="BS104" s="236">
        <f t="shared" si="1132"/>
        <v>1730567.69</v>
      </c>
      <c r="BT104" s="236">
        <f t="shared" si="1132"/>
        <v>1633636.18</v>
      </c>
      <c r="BU104" s="236">
        <f t="shared" si="1132"/>
        <v>1664366.2399999998</v>
      </c>
      <c r="BV104" s="236">
        <f t="shared" si="1132"/>
        <v>1565998.73</v>
      </c>
      <c r="BW104" s="236">
        <f t="shared" si="1132"/>
        <v>1681040.6899999997</v>
      </c>
      <c r="BX104" s="236">
        <f t="shared" ref="BX104:EI104" si="1133">SUM(BX97:BX103)</f>
        <v>1588878.73</v>
      </c>
      <c r="BY104" s="236">
        <f t="shared" si="1133"/>
        <v>1816697.66</v>
      </c>
      <c r="BZ104" s="236">
        <f t="shared" si="1133"/>
        <v>1812507.8800000001</v>
      </c>
      <c r="CA104" s="236">
        <f t="shared" si="1133"/>
        <v>1888285.8200000003</v>
      </c>
      <c r="CB104" s="236">
        <f t="shared" si="1133"/>
        <v>2171799.9299999997</v>
      </c>
      <c r="CC104" s="236">
        <f t="shared" si="1133"/>
        <v>2057336.25</v>
      </c>
      <c r="CD104" s="236">
        <f t="shared" si="1133"/>
        <v>2061086.85</v>
      </c>
      <c r="CE104" s="236">
        <f t="shared" si="1133"/>
        <v>1989176.6199999999</v>
      </c>
      <c r="CF104" s="236">
        <f t="shared" si="1133"/>
        <v>2032100.77</v>
      </c>
      <c r="CG104" s="236">
        <f t="shared" si="1133"/>
        <v>2025268.7399999995</v>
      </c>
      <c r="CH104" s="236">
        <f t="shared" si="1133"/>
        <v>2306446.02</v>
      </c>
      <c r="CI104" s="236">
        <f t="shared" si="1133"/>
        <v>2467252.9399999995</v>
      </c>
      <c r="CJ104" s="236">
        <f t="shared" si="1133"/>
        <v>2578609.33</v>
      </c>
      <c r="CK104" s="236">
        <f t="shared" si="1133"/>
        <v>3067057.15</v>
      </c>
      <c r="CL104" s="236">
        <f t="shared" si="1133"/>
        <v>2955682.11</v>
      </c>
      <c r="CM104" s="236">
        <f t="shared" si="1133"/>
        <v>3077863.3234469071</v>
      </c>
      <c r="CN104" s="236">
        <f t="shared" si="1133"/>
        <v>3177940.6316422718</v>
      </c>
      <c r="CO104" s="236">
        <f t="shared" si="1133"/>
        <v>3386816.3110165456</v>
      </c>
      <c r="CP104" s="236">
        <f t="shared" si="1133"/>
        <v>3622682.1077233544</v>
      </c>
      <c r="CQ104" s="236">
        <f t="shared" si="1133"/>
        <v>3814645.2544356179</v>
      </c>
      <c r="CR104" s="236">
        <f t="shared" si="1133"/>
        <v>3965208.1616100431</v>
      </c>
      <c r="CS104" s="236">
        <f t="shared" si="1133"/>
        <v>4188708.1021237718</v>
      </c>
      <c r="CT104" s="236">
        <f t="shared" si="1133"/>
        <v>4539659.5867207879</v>
      </c>
      <c r="CU104" s="236">
        <f t="shared" si="1133"/>
        <v>4816707.1341804825</v>
      </c>
      <c r="CV104" s="236">
        <f t="shared" si="1133"/>
        <v>4816707.1341804825</v>
      </c>
      <c r="CW104" s="236">
        <f t="shared" si="1133"/>
        <v>4816707.1341804825</v>
      </c>
      <c r="CX104" s="236">
        <f t="shared" si="1133"/>
        <v>4824785.7591929911</v>
      </c>
      <c r="CY104" s="236">
        <f t="shared" si="1133"/>
        <v>4968852.5363352802</v>
      </c>
      <c r="CZ104" s="236">
        <f t="shared" si="1133"/>
        <v>5207862.9918744154</v>
      </c>
      <c r="DA104" s="236">
        <f t="shared" si="1133"/>
        <v>5388381.7176485537</v>
      </c>
      <c r="DB104" s="236">
        <f t="shared" si="1133"/>
        <v>5516469.2512767622</v>
      </c>
      <c r="DC104" s="236">
        <f t="shared" si="1133"/>
        <v>5756633.5481540607</v>
      </c>
      <c r="DD104" s="236">
        <f t="shared" si="1133"/>
        <v>5970815.4450194873</v>
      </c>
      <c r="DE104" s="236">
        <f t="shared" si="1133"/>
        <v>6199467.6878971299</v>
      </c>
      <c r="DF104" s="236">
        <f t="shared" si="1133"/>
        <v>6566059.5230555227</v>
      </c>
      <c r="DG104" s="236">
        <f t="shared" si="1133"/>
        <v>6894362.4992082994</v>
      </c>
      <c r="DH104" s="236">
        <f t="shared" si="1133"/>
        <v>6894362.4992082994</v>
      </c>
      <c r="DI104" s="236">
        <f t="shared" si="1133"/>
        <v>6894362.4992082994</v>
      </c>
      <c r="DJ104" s="236">
        <f t="shared" si="1133"/>
        <v>6894362.4992082994</v>
      </c>
      <c r="DK104" s="236">
        <f t="shared" si="1133"/>
        <v>7021448.0740821473</v>
      </c>
      <c r="DL104" s="236">
        <f t="shared" si="1133"/>
        <v>7355950.2691407157</v>
      </c>
      <c r="DM104" s="236">
        <f t="shared" si="1133"/>
        <v>7604100.6412141649</v>
      </c>
      <c r="DN104" s="236">
        <f t="shared" si="1133"/>
        <v>7774914.7767864326</v>
      </c>
      <c r="DO104" s="236">
        <f t="shared" si="1133"/>
        <v>8096436.854901609</v>
      </c>
      <c r="DP104" s="236">
        <f t="shared" si="1133"/>
        <v>8372047.7353638262</v>
      </c>
      <c r="DQ104" s="236">
        <f t="shared" si="1133"/>
        <v>8655637.0436212849</v>
      </c>
      <c r="DR104" s="236">
        <f t="shared" si="1133"/>
        <v>9124089.6999692302</v>
      </c>
      <c r="DS104" s="236">
        <f t="shared" si="1133"/>
        <v>9580294.1849676929</v>
      </c>
      <c r="DT104" s="236">
        <f t="shared" si="1133"/>
        <v>9580294.1849676929</v>
      </c>
      <c r="DU104" s="236">
        <f t="shared" si="1133"/>
        <v>9580294.1849676929</v>
      </c>
      <c r="DV104" s="236">
        <f t="shared" si="1133"/>
        <v>9580294.1849676929</v>
      </c>
      <c r="DW104" s="236">
        <f t="shared" si="1133"/>
        <v>9580294.1849676929</v>
      </c>
      <c r="DX104" s="236">
        <f t="shared" si="1133"/>
        <v>9702564.9545793105</v>
      </c>
      <c r="DY104" s="236">
        <f t="shared" si="1133"/>
        <v>10017277.556010287</v>
      </c>
      <c r="DZ104" s="236">
        <f t="shared" si="1133"/>
        <v>10233906.497293945</v>
      </c>
      <c r="EA104" s="236">
        <f t="shared" si="1133"/>
        <v>10641733.650103707</v>
      </c>
      <c r="EB104" s="236">
        <f t="shared" si="1133"/>
        <v>10991300.785774209</v>
      </c>
      <c r="EC104" s="236">
        <f t="shared" si="1133"/>
        <v>11350948.374063795</v>
      </c>
      <c r="ED104" s="236">
        <f t="shared" si="1133"/>
        <v>11945092.218346773</v>
      </c>
      <c r="EE104" s="236">
        <f t="shared" si="1133"/>
        <v>12542346.829264114</v>
      </c>
      <c r="EF104" s="236">
        <f t="shared" si="1133"/>
        <v>12542346.829264114</v>
      </c>
      <c r="EG104" s="236">
        <f t="shared" si="1133"/>
        <v>12542346.829264114</v>
      </c>
      <c r="EH104" s="236">
        <f t="shared" si="1133"/>
        <v>12542346.829264114</v>
      </c>
      <c r="EI104" s="236">
        <f t="shared" si="1133"/>
        <v>12542346.829264114</v>
      </c>
      <c r="EJ104" s="236">
        <f t="shared" ref="EJ104:FB104" si="1134">SUM(EJ97:EJ103)</f>
        <v>12599839.373694541</v>
      </c>
      <c r="EK104" s="236">
        <f t="shared" si="1134"/>
        <v>12992186.311260341</v>
      </c>
      <c r="EL104" s="236">
        <f t="shared" si="1134"/>
        <v>13262252.455463268</v>
      </c>
      <c r="EM104" s="236">
        <f t="shared" si="1134"/>
        <v>13770712.990198934</v>
      </c>
      <c r="EN104" s="236">
        <f t="shared" si="1134"/>
        <v>14206525.771807043</v>
      </c>
      <c r="EO104" s="236">
        <f t="shared" si="1134"/>
        <v>14654887.764249574</v>
      </c>
      <c r="EP104" s="236">
        <f t="shared" si="1134"/>
        <v>15395614.155970326</v>
      </c>
      <c r="EQ104" s="236">
        <f t="shared" si="1134"/>
        <v>16165394.863768842</v>
      </c>
      <c r="ER104" s="236">
        <f t="shared" si="1134"/>
        <v>16165394.863768842</v>
      </c>
      <c r="ES104" s="236">
        <f t="shared" si="1134"/>
        <v>16165394.863768842</v>
      </c>
      <c r="ET104" s="236">
        <f t="shared" si="1134"/>
        <v>16165394.863768842</v>
      </c>
      <c r="EU104" s="236">
        <f t="shared" si="1134"/>
        <v>16165394.863768842</v>
      </c>
      <c r="EV104" s="236">
        <f t="shared" si="1134"/>
        <v>16165394.863768842</v>
      </c>
      <c r="EW104" s="236">
        <f t="shared" si="1134"/>
        <v>16589054.224179275</v>
      </c>
      <c r="EX104" s="236">
        <f t="shared" si="1134"/>
        <v>16919880.995553598</v>
      </c>
      <c r="EY104" s="236">
        <f t="shared" si="1134"/>
        <v>17542740.314404171</v>
      </c>
      <c r="EZ104" s="236">
        <f t="shared" si="1134"/>
        <v>18076605.66197212</v>
      </c>
      <c r="FA104" s="236">
        <f t="shared" si="1134"/>
        <v>18625841.83116474</v>
      </c>
      <c r="FB104" s="236">
        <f t="shared" si="1134"/>
        <v>19533222.1050869</v>
      </c>
    </row>
    <row r="105" spans="2:158" ht="15.75" thickTop="1" x14ac:dyDescent="0.25">
      <c r="D105" s="16"/>
      <c r="E105" s="16"/>
      <c r="F105" s="16"/>
      <c r="G105" s="16"/>
      <c r="H105" s="16"/>
      <c r="I105" s="55"/>
      <c r="J105" s="55"/>
      <c r="K105" s="55"/>
      <c r="L105" s="55"/>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Y105" s="16"/>
      <c r="AZ105" s="16"/>
      <c r="BA105" s="16"/>
      <c r="BB105" s="16"/>
      <c r="BC105" s="16"/>
      <c r="BD105" s="16"/>
      <c r="BE105" s="16"/>
      <c r="BF105" s="16"/>
      <c r="BG105" s="16"/>
      <c r="BH105" s="16"/>
      <c r="BI105" s="16"/>
      <c r="BJ105" s="16"/>
      <c r="BK105" s="16"/>
      <c r="BL105" s="16"/>
      <c r="BM105" s="16"/>
      <c r="BN105" s="16"/>
      <c r="BO105" s="16"/>
      <c r="BP105" s="16"/>
      <c r="BQ105" s="16"/>
      <c r="BR105" s="16"/>
      <c r="BS105" s="16"/>
      <c r="BT105" s="16"/>
      <c r="BU105" s="16"/>
      <c r="BV105" s="16"/>
      <c r="BW105" s="16"/>
      <c r="BX105" s="16"/>
      <c r="BY105" s="16"/>
      <c r="BZ105" s="16"/>
      <c r="CA105" s="16"/>
      <c r="CB105" s="16"/>
      <c r="CC105" s="16"/>
      <c r="CD105" s="16"/>
      <c r="CE105" s="16"/>
      <c r="CF105" s="16"/>
      <c r="CG105" s="16"/>
      <c r="CH105" s="16"/>
      <c r="CI105" s="16"/>
      <c r="CJ105" s="16"/>
      <c r="CK105" s="16"/>
      <c r="CL105" s="16"/>
      <c r="CM105" s="16"/>
      <c r="CN105" s="16"/>
      <c r="CO105" s="16"/>
      <c r="CP105" s="16"/>
      <c r="CQ105" s="16"/>
      <c r="CR105" s="16"/>
      <c r="CS105" s="16"/>
      <c r="CT105" s="16"/>
      <c r="CU105" s="16"/>
      <c r="CV105" s="16"/>
      <c r="CW105" s="16"/>
      <c r="CX105" s="16"/>
      <c r="CY105" s="16"/>
      <c r="CZ105" s="16"/>
      <c r="DA105" s="16"/>
      <c r="DB105" s="16"/>
      <c r="DC105" s="16"/>
      <c r="DD105" s="16"/>
      <c r="DE105" s="16"/>
      <c r="DF105" s="16"/>
      <c r="DG105" s="16"/>
      <c r="DH105" s="16"/>
      <c r="DI105" s="16"/>
      <c r="DJ105" s="16"/>
      <c r="DK105" s="16"/>
      <c r="DL105" s="16"/>
      <c r="DM105" s="16"/>
      <c r="DN105" s="16"/>
      <c r="DO105" s="16"/>
      <c r="DP105" s="16"/>
      <c r="DQ105" s="16"/>
      <c r="DR105" s="16"/>
      <c r="DS105" s="16"/>
      <c r="DT105" s="16"/>
      <c r="DU105" s="16"/>
      <c r="DV105" s="16"/>
      <c r="DW105" s="16"/>
      <c r="DX105" s="16"/>
      <c r="DY105" s="16"/>
      <c r="DZ105" s="16"/>
      <c r="EA105" s="16"/>
      <c r="EB105" s="16"/>
      <c r="EC105" s="16"/>
      <c r="ED105" s="16"/>
      <c r="EE105" s="16"/>
      <c r="EF105" s="16"/>
      <c r="EG105" s="16"/>
      <c r="EH105" s="16"/>
      <c r="EI105" s="16"/>
      <c r="EJ105" s="16"/>
      <c r="EK105" s="16"/>
      <c r="EL105" s="16"/>
      <c r="EM105" s="16"/>
      <c r="EN105" s="16"/>
      <c r="EO105" s="16"/>
      <c r="EP105" s="16"/>
      <c r="EQ105" s="16"/>
      <c r="ER105" s="16"/>
      <c r="ES105" s="16"/>
      <c r="ET105" s="16"/>
      <c r="EU105" s="16"/>
      <c r="EV105" s="16"/>
      <c r="EW105" s="16"/>
      <c r="EX105" s="16"/>
      <c r="EY105" s="16"/>
      <c r="EZ105" s="16"/>
      <c r="FA105" s="16"/>
      <c r="FB105" s="16"/>
    </row>
    <row r="106" spans="2:158" x14ac:dyDescent="0.25">
      <c r="C106" t="s">
        <v>535</v>
      </c>
      <c r="D106" s="16">
        <f>BJ106</f>
        <v>14</v>
      </c>
      <c r="E106" s="16">
        <f>BV106</f>
        <v>27</v>
      </c>
      <c r="F106" s="16">
        <f>CH106</f>
        <v>34</v>
      </c>
      <c r="G106" s="16">
        <f>CT106</f>
        <v>62</v>
      </c>
      <c r="H106" s="55">
        <f>DF106</f>
        <v>84.517426343112305</v>
      </c>
      <c r="I106" s="55">
        <f>DR106</f>
        <v>111.85146984273774</v>
      </c>
      <c r="J106" s="55">
        <f>ED106</f>
        <v>139.46086583912569</v>
      </c>
      <c r="K106" s="55">
        <f>EP106</f>
        <v>171.18691657506142</v>
      </c>
      <c r="L106" s="55">
        <f>FB106</f>
        <v>206.8512455851058</v>
      </c>
      <c r="N106" s="16">
        <f>BA106</f>
        <v>9</v>
      </c>
      <c r="O106" s="16">
        <f t="shared" ref="O106" si="1135">BD106</f>
        <v>10</v>
      </c>
      <c r="P106" s="16">
        <f t="shared" ref="P106" si="1136">BG106</f>
        <v>12</v>
      </c>
      <c r="Q106" s="16">
        <f t="shared" ref="Q106" si="1137">BJ106</f>
        <v>14</v>
      </c>
      <c r="R106" s="16">
        <f t="shared" ref="R106" si="1138">BM106</f>
        <v>19</v>
      </c>
      <c r="S106" s="16">
        <f t="shared" ref="S106" si="1139">BP106</f>
        <v>24</v>
      </c>
      <c r="T106" s="16">
        <f t="shared" ref="T106" si="1140">BS106</f>
        <v>27</v>
      </c>
      <c r="U106" s="16">
        <f t="shared" ref="U106" si="1141">BV106</f>
        <v>27</v>
      </c>
      <c r="V106" s="16">
        <f t="shared" ref="V106" si="1142">BY106</f>
        <v>28</v>
      </c>
      <c r="W106" s="16">
        <f t="shared" ref="W106" si="1143">CB106</f>
        <v>32</v>
      </c>
      <c r="X106" s="16">
        <f t="shared" ref="X106" si="1144">CE106</f>
        <v>32</v>
      </c>
      <c r="Y106" s="16">
        <f t="shared" ref="Y106" si="1145">CH106</f>
        <v>34</v>
      </c>
      <c r="Z106" s="16">
        <f t="shared" ref="Z106" si="1146">CK106</f>
        <v>38</v>
      </c>
      <c r="AA106" s="16">
        <f t="shared" ref="AA106" si="1147">CN106</f>
        <v>45</v>
      </c>
      <c r="AB106" s="16">
        <f t="shared" ref="AB106" si="1148">CQ106</f>
        <v>52</v>
      </c>
      <c r="AC106" s="16">
        <f t="shared" ref="AC106" si="1149">CT106</f>
        <v>62</v>
      </c>
      <c r="AD106" s="16">
        <f t="shared" ref="AD106" si="1150">CW106</f>
        <v>62</v>
      </c>
      <c r="AE106" s="16">
        <f t="shared" ref="AE106" si="1151">CZ106</f>
        <v>67.034905071335643</v>
      </c>
      <c r="AF106" s="16">
        <f t="shared" ref="AF106" si="1152">DC106</f>
        <v>74.098605134787149</v>
      </c>
      <c r="AG106" s="16">
        <f t="shared" ref="AG106" si="1153">DF106</f>
        <v>84.517426343112305</v>
      </c>
      <c r="AH106" s="16">
        <f t="shared" ref="AH106" si="1154">DI106</f>
        <v>84.517426343112305</v>
      </c>
      <c r="AI106" s="16">
        <f t="shared" ref="AI106" si="1155">DL106</f>
        <v>90.175993085233046</v>
      </c>
      <c r="AJ106" s="16">
        <f t="shared" ref="AJ106" si="1156">DO106</f>
        <v>99.253557613830964</v>
      </c>
      <c r="AK106" s="16">
        <f t="shared" ref="AK106" si="1157">DR106</f>
        <v>111.85146984273774</v>
      </c>
      <c r="AL106" s="16">
        <f t="shared" ref="AL106" si="1158">DU106</f>
        <v>111.85146984273774</v>
      </c>
      <c r="AM106" s="16">
        <f t="shared" ref="AM106" si="1159">DX106</f>
        <v>113.27900067173057</v>
      </c>
      <c r="AN106" s="16">
        <f t="shared" ref="AN106" si="1160">EA106</f>
        <v>124.24394569288859</v>
      </c>
      <c r="AO106" s="16">
        <f t="shared" ref="AO106" si="1161">ED106</f>
        <v>139.46086583912569</v>
      </c>
      <c r="AP106" s="16">
        <f t="shared" ref="AP106" si="1162">EG106</f>
        <v>139.46086583912569</v>
      </c>
      <c r="AQ106" s="16">
        <f t="shared" ref="AQ106" si="1163">EJ106</f>
        <v>140.10013695279432</v>
      </c>
      <c r="AR106" s="16">
        <f t="shared" ref="AR106" si="1164">EM106</f>
        <v>153.1193151471731</v>
      </c>
      <c r="AS106" s="16">
        <f t="shared" ref="AS106" si="1165">EP106</f>
        <v>171.18691657506142</v>
      </c>
      <c r="AT106" s="16">
        <f t="shared" ref="AT106" si="1166">ES106</f>
        <v>171.18691657506142</v>
      </c>
      <c r="AU106" s="16">
        <f t="shared" ref="AU106" si="1167">EV106</f>
        <v>171.18691657506142</v>
      </c>
      <c r="AV106" s="16">
        <f t="shared" ref="AV106" si="1168">EY106</f>
        <v>185.77261168118019</v>
      </c>
      <c r="AW106" s="16">
        <f t="shared" ref="AW106" si="1169">FB106</f>
        <v>206.8512455851058</v>
      </c>
      <c r="AY106" s="16">
        <v>9</v>
      </c>
      <c r="AZ106" s="16">
        <v>10</v>
      </c>
      <c r="BA106" s="16">
        <v>9</v>
      </c>
      <c r="BB106" s="16">
        <v>9</v>
      </c>
      <c r="BC106" s="16">
        <v>10</v>
      </c>
      <c r="BD106" s="16">
        <v>10</v>
      </c>
      <c r="BE106" s="16">
        <v>12</v>
      </c>
      <c r="BF106" s="16">
        <v>13</v>
      </c>
      <c r="BG106" s="16">
        <v>12</v>
      </c>
      <c r="BH106" s="16">
        <v>12</v>
      </c>
      <c r="BI106" s="16">
        <v>12</v>
      </c>
      <c r="BJ106" s="16">
        <v>14</v>
      </c>
      <c r="BK106" s="16">
        <v>17</v>
      </c>
      <c r="BL106" s="16">
        <v>17</v>
      </c>
      <c r="BM106" s="16">
        <v>19</v>
      </c>
      <c r="BN106" s="16">
        <v>24</v>
      </c>
      <c r="BO106" s="16">
        <v>25</v>
      </c>
      <c r="BP106" s="16">
        <v>24</v>
      </c>
      <c r="BQ106" s="16">
        <v>25</v>
      </c>
      <c r="BR106" s="16">
        <v>27</v>
      </c>
      <c r="BS106" s="16">
        <v>27</v>
      </c>
      <c r="BT106" s="16">
        <v>28</v>
      </c>
      <c r="BU106" s="16">
        <v>29</v>
      </c>
      <c r="BV106" s="16">
        <v>27</v>
      </c>
      <c r="BW106" s="16">
        <v>27</v>
      </c>
      <c r="BX106" s="16">
        <v>27</v>
      </c>
      <c r="BY106" s="16">
        <v>28</v>
      </c>
      <c r="BZ106" s="16">
        <v>29</v>
      </c>
      <c r="CA106" s="16">
        <v>32</v>
      </c>
      <c r="CB106" s="16">
        <v>32</v>
      </c>
      <c r="CC106" s="16">
        <v>31</v>
      </c>
      <c r="CD106" s="16">
        <v>32</v>
      </c>
      <c r="CE106" s="16">
        <v>32</v>
      </c>
      <c r="CF106" s="16">
        <v>31</v>
      </c>
      <c r="CG106" s="16">
        <v>32</v>
      </c>
      <c r="CH106" s="16">
        <v>34</v>
      </c>
      <c r="CI106" s="16">
        <v>35</v>
      </c>
      <c r="CJ106" s="16">
        <v>36</v>
      </c>
      <c r="CK106" s="16">
        <v>38</v>
      </c>
      <c r="CL106" s="16">
        <v>38</v>
      </c>
      <c r="CM106" s="16">
        <v>40</v>
      </c>
      <c r="CN106" s="16">
        <v>45</v>
      </c>
      <c r="CO106" s="16">
        <v>47</v>
      </c>
      <c r="CP106" s="16">
        <v>49</v>
      </c>
      <c r="CQ106" s="16">
        <v>52</v>
      </c>
      <c r="CR106" s="16">
        <v>52</v>
      </c>
      <c r="CS106" s="16">
        <v>58</v>
      </c>
      <c r="CT106" s="16">
        <v>62</v>
      </c>
      <c r="CU106" s="16">
        <f>CU107</f>
        <v>62</v>
      </c>
      <c r="CV106" s="16">
        <f t="shared" ref="CV106:FB106" si="1170">CV107</f>
        <v>62</v>
      </c>
      <c r="CW106" s="16">
        <f t="shared" si="1170"/>
        <v>62</v>
      </c>
      <c r="CX106" s="16">
        <f t="shared" si="1170"/>
        <v>62.103986963878555</v>
      </c>
      <c r="CY106" s="16">
        <f t="shared" si="1170"/>
        <v>63.958394951326518</v>
      </c>
      <c r="CZ106" s="16">
        <f t="shared" si="1170"/>
        <v>67.034905071335643</v>
      </c>
      <c r="DA106" s="16">
        <f t="shared" si="1170"/>
        <v>69.358517590472289</v>
      </c>
      <c r="DB106" s="16">
        <f t="shared" si="1170"/>
        <v>71.007242925794159</v>
      </c>
      <c r="DC106" s="16">
        <f t="shared" si="1170"/>
        <v>74.098605134787149</v>
      </c>
      <c r="DD106" s="16">
        <f t="shared" si="1170"/>
        <v>76.855525419897205</v>
      </c>
      <c r="DE106" s="16">
        <f t="shared" si="1170"/>
        <v>79.798706033435963</v>
      </c>
      <c r="DF106" s="16">
        <f t="shared" si="1170"/>
        <v>84.517426343112305</v>
      </c>
      <c r="DG106" s="16">
        <f t="shared" si="1170"/>
        <v>84.517426343112305</v>
      </c>
      <c r="DH106" s="16">
        <f t="shared" si="1170"/>
        <v>84.517426343112305</v>
      </c>
      <c r="DI106" s="16">
        <f t="shared" si="1170"/>
        <v>84.517426343112305</v>
      </c>
      <c r="DJ106" s="16">
        <f t="shared" si="1170"/>
        <v>84.517426343112305</v>
      </c>
      <c r="DK106" s="16">
        <f t="shared" si="1170"/>
        <v>86.075358017709618</v>
      </c>
      <c r="DL106" s="16">
        <f t="shared" si="1170"/>
        <v>90.175993085233046</v>
      </c>
      <c r="DM106" s="16">
        <f t="shared" si="1170"/>
        <v>93.218048213048277</v>
      </c>
      <c r="DN106" s="16">
        <f t="shared" si="1170"/>
        <v>95.312044738941623</v>
      </c>
      <c r="DO106" s="16">
        <f t="shared" si="1170"/>
        <v>99.253557613830964</v>
      </c>
      <c r="DP106" s="16">
        <f t="shared" si="1170"/>
        <v>102.63224886940401</v>
      </c>
      <c r="DQ106" s="16">
        <f t="shared" si="1170"/>
        <v>106.10874701917439</v>
      </c>
      <c r="DR106" s="16">
        <f t="shared" si="1170"/>
        <v>111.85146984273774</v>
      </c>
      <c r="DS106" s="16">
        <f t="shared" si="1170"/>
        <v>111.85146984273774</v>
      </c>
      <c r="DT106" s="16">
        <f t="shared" si="1170"/>
        <v>111.85146984273774</v>
      </c>
      <c r="DU106" s="16">
        <f t="shared" si="1170"/>
        <v>111.85146984273774</v>
      </c>
      <c r="DV106" s="16">
        <f t="shared" si="1170"/>
        <v>111.85146984273774</v>
      </c>
      <c r="DW106" s="16">
        <f t="shared" si="1170"/>
        <v>111.85146984273774</v>
      </c>
      <c r="DX106" s="16">
        <f t="shared" si="1170"/>
        <v>113.27900067173057</v>
      </c>
      <c r="DY106" s="16">
        <f t="shared" si="1170"/>
        <v>116.95332072583915</v>
      </c>
      <c r="DZ106" s="16">
        <f t="shared" si="1170"/>
        <v>119.48249832991236</v>
      </c>
      <c r="EA106" s="16">
        <f t="shared" si="1170"/>
        <v>124.24394569288859</v>
      </c>
      <c r="EB106" s="16">
        <f t="shared" si="1170"/>
        <v>128.32519801965032</v>
      </c>
      <c r="EC106" s="16">
        <f t="shared" si="1170"/>
        <v>132.52414124612307</v>
      </c>
      <c r="ED106" s="16">
        <f t="shared" si="1170"/>
        <v>139.46086583912569</v>
      </c>
      <c r="EE106" s="16">
        <f t="shared" si="1170"/>
        <v>139.46086583912569</v>
      </c>
      <c r="EF106" s="16">
        <f t="shared" si="1170"/>
        <v>139.46086583912569</v>
      </c>
      <c r="EG106" s="16">
        <f t="shared" si="1170"/>
        <v>139.46086583912569</v>
      </c>
      <c r="EH106" s="16">
        <f t="shared" si="1170"/>
        <v>139.46086583912569</v>
      </c>
      <c r="EI106" s="16">
        <f t="shared" si="1170"/>
        <v>139.46086583912569</v>
      </c>
      <c r="EJ106" s="16">
        <f t="shared" si="1170"/>
        <v>140.10013695279432</v>
      </c>
      <c r="EK106" s="16">
        <f t="shared" si="1170"/>
        <v>144.46272111404465</v>
      </c>
      <c r="EL106" s="16">
        <f t="shared" si="1170"/>
        <v>147.46564064872828</v>
      </c>
      <c r="EM106" s="16">
        <f t="shared" si="1170"/>
        <v>153.1193151471731</v>
      </c>
      <c r="EN106" s="16">
        <f t="shared" si="1170"/>
        <v>157.96520473180919</v>
      </c>
      <c r="EO106" s="16">
        <f t="shared" si="1170"/>
        <v>162.9506315045322</v>
      </c>
      <c r="EP106" s="16">
        <f t="shared" si="1170"/>
        <v>171.18691657506142</v>
      </c>
      <c r="EQ106" s="16">
        <f t="shared" si="1170"/>
        <v>171.18691657506142</v>
      </c>
      <c r="ER106" s="16">
        <f t="shared" si="1170"/>
        <v>171.18691657506142</v>
      </c>
      <c r="ES106" s="16">
        <f t="shared" si="1170"/>
        <v>171.18691657506142</v>
      </c>
      <c r="ET106" s="16">
        <f t="shared" si="1170"/>
        <v>171.18691657506142</v>
      </c>
      <c r="EU106" s="16">
        <f t="shared" si="1170"/>
        <v>171.18691657506142</v>
      </c>
      <c r="EV106" s="16">
        <f t="shared" si="1170"/>
        <v>171.18691657506142</v>
      </c>
      <c r="EW106" s="16">
        <f t="shared" si="1170"/>
        <v>175.67334825198711</v>
      </c>
      <c r="EX106" s="16">
        <f t="shared" si="1170"/>
        <v>179.17670931364503</v>
      </c>
      <c r="EY106" s="16">
        <f t="shared" si="1170"/>
        <v>185.77261168118019</v>
      </c>
      <c r="EZ106" s="16">
        <f t="shared" si="1170"/>
        <v>191.42609329957622</v>
      </c>
      <c r="FA106" s="16">
        <f t="shared" si="1170"/>
        <v>197.24234753078665</v>
      </c>
      <c r="FB106" s="16">
        <f t="shared" si="1170"/>
        <v>206.8512455851058</v>
      </c>
    </row>
    <row r="107" spans="2:158" x14ac:dyDescent="0.25">
      <c r="C107" t="s">
        <v>536</v>
      </c>
      <c r="D107" s="16">
        <f>AVERAGE(AY107:BJ107)</f>
        <v>11</v>
      </c>
      <c r="E107" s="16">
        <f>AVERAGE(BK107:BV107)</f>
        <v>24.083333333333332</v>
      </c>
      <c r="F107" s="16">
        <f>AVERAGE(BW107:CH107)</f>
        <v>30.583333333333332</v>
      </c>
      <c r="G107" s="16">
        <f>AVERAGE(CI107:CT107)</f>
        <v>46</v>
      </c>
      <c r="H107" s="55">
        <f>AVERAGE(CU107:DF107)</f>
        <v>69.561109202836647</v>
      </c>
      <c r="I107" s="55">
        <f>AVERAGE(DG107:DR107)</f>
        <v>93.558097731044072</v>
      </c>
      <c r="J107" s="55">
        <f>AVERAGE(DS107:ED107)</f>
        <v>119.46052664491322</v>
      </c>
      <c r="K107" s="55">
        <f>AVERAGE(EE107:EP107)</f>
        <v>147.87957465581431</v>
      </c>
      <c r="L107" s="55">
        <f>AVERAGE(EQ107:FB107)</f>
        <v>180.27198792605415</v>
      </c>
      <c r="N107" s="16">
        <f>AVERAGE(AY107:BA107)</f>
        <v>9.3333333333333339</v>
      </c>
      <c r="O107" s="16">
        <f>AVERAGE(BB107:BD107)</f>
        <v>9.6666666666666661</v>
      </c>
      <c r="P107" s="16">
        <f>AVERAGE(BE107:BG107)</f>
        <v>12.333333333333334</v>
      </c>
      <c r="Q107" s="16">
        <f>AVERAGE(BH107:BJ107)</f>
        <v>12.666666666666666</v>
      </c>
      <c r="R107" s="16">
        <f>AVERAGE(BK107:BM107)</f>
        <v>17.666666666666668</v>
      </c>
      <c r="S107" s="16">
        <f>AVERAGE(BN107:BP107)</f>
        <v>24.333333333333332</v>
      </c>
      <c r="T107" s="16">
        <f>AVERAGE(BQ107:BS107)</f>
        <v>26.333333333333332</v>
      </c>
      <c r="U107" s="16">
        <f>AVERAGE(BT107:BV107)</f>
        <v>28</v>
      </c>
      <c r="V107" s="16">
        <f>AVERAGE(BW107:BY107)</f>
        <v>27.333333333333332</v>
      </c>
      <c r="W107" s="16">
        <f>AVERAGE(BZ107:CB107)</f>
        <v>31</v>
      </c>
      <c r="X107" s="16">
        <f>AVERAGE(CC107:CE107)</f>
        <v>31.666666666666668</v>
      </c>
      <c r="Y107" s="16">
        <f>AVERAGE(CF107:CH107)</f>
        <v>32.333333333333336</v>
      </c>
      <c r="Z107" s="16">
        <f>AVERAGE(CI107:CK107)</f>
        <v>36.333333333333336</v>
      </c>
      <c r="AA107" s="16">
        <f>AVERAGE(CL107:CN107)</f>
        <v>41</v>
      </c>
      <c r="AB107" s="16">
        <f>AVERAGE(CO107:CQ107)</f>
        <v>49.333333333333336</v>
      </c>
      <c r="AC107" s="16">
        <f>AVERAGE(CR107:CT107)</f>
        <v>57.333333333333336</v>
      </c>
      <c r="AD107" s="16">
        <f>AVERAGE(CU107:CW107)</f>
        <v>62</v>
      </c>
      <c r="AE107" s="16">
        <f>AVERAGE(CX107:CZ107)</f>
        <v>64.365762328846913</v>
      </c>
      <c r="AF107" s="16">
        <f>AVERAGE(DA107:DC107)</f>
        <v>71.488121883684528</v>
      </c>
      <c r="AG107" s="16">
        <f>AVERAGE(DD107:DF107)</f>
        <v>80.390552598815162</v>
      </c>
      <c r="AH107" s="16">
        <f>AVERAGE(DG107:DI107)</f>
        <v>84.517426343112305</v>
      </c>
      <c r="AI107" s="16">
        <f>AVERAGE(DJ107:DL107)</f>
        <v>86.922925815351661</v>
      </c>
      <c r="AJ107" s="16">
        <f>AVERAGE(DM107:DO107)</f>
        <v>95.927883521940274</v>
      </c>
      <c r="AK107" s="16">
        <f>AVERAGE(DP107:DR107)</f>
        <v>106.86415524377203</v>
      </c>
      <c r="AL107" s="16">
        <f>AVERAGE(DS107:DU107)</f>
        <v>111.85146984273774</v>
      </c>
      <c r="AM107" s="16">
        <f>AVERAGE(DV107:DX107)</f>
        <v>112.32731345240201</v>
      </c>
      <c r="AN107" s="16">
        <f>AVERAGE(DY107:EA107)</f>
        <v>120.22658824954669</v>
      </c>
      <c r="AO107" s="16">
        <f>AVERAGE(EB107:ED107)</f>
        <v>133.43673503496635</v>
      </c>
      <c r="AP107" s="16">
        <f>AVERAGE(EE107:EG107)</f>
        <v>139.46086583912569</v>
      </c>
      <c r="AQ107" s="16">
        <f>AVERAGE(EH107:EJ107)</f>
        <v>139.67395621034856</v>
      </c>
      <c r="AR107" s="16">
        <f>AVERAGE(EK107:EM107)</f>
        <v>148.3492256366487</v>
      </c>
      <c r="AS107" s="16">
        <f>AVERAGE(EN107:EP107)</f>
        <v>164.03425093713429</v>
      </c>
      <c r="AT107" s="16">
        <f>AVERAGE(EQ107:ES107)</f>
        <v>171.18691657506142</v>
      </c>
      <c r="AU107" s="16">
        <f>AVERAGE(ET107:EV107)</f>
        <v>171.18691657506142</v>
      </c>
      <c r="AV107" s="16">
        <f>AVERAGE(EW107:EY107)</f>
        <v>180.20755641560413</v>
      </c>
      <c r="AW107" s="16">
        <f>AVERAGE(EZ107:FB107)</f>
        <v>198.50656213848956</v>
      </c>
      <c r="AY107" s="16">
        <f>AY106</f>
        <v>9</v>
      </c>
      <c r="AZ107" s="16">
        <f t="shared" ref="AZ107:CT107" si="1171">AZ106</f>
        <v>10</v>
      </c>
      <c r="BA107" s="16">
        <f t="shared" si="1171"/>
        <v>9</v>
      </c>
      <c r="BB107" s="16">
        <f t="shared" si="1171"/>
        <v>9</v>
      </c>
      <c r="BC107" s="16">
        <f t="shared" si="1171"/>
        <v>10</v>
      </c>
      <c r="BD107" s="16">
        <f t="shared" si="1171"/>
        <v>10</v>
      </c>
      <c r="BE107" s="16">
        <f t="shared" si="1171"/>
        <v>12</v>
      </c>
      <c r="BF107" s="16">
        <f t="shared" si="1171"/>
        <v>13</v>
      </c>
      <c r="BG107" s="16">
        <f t="shared" si="1171"/>
        <v>12</v>
      </c>
      <c r="BH107" s="16">
        <f t="shared" si="1171"/>
        <v>12</v>
      </c>
      <c r="BI107" s="16">
        <f t="shared" si="1171"/>
        <v>12</v>
      </c>
      <c r="BJ107" s="16">
        <f t="shared" si="1171"/>
        <v>14</v>
      </c>
      <c r="BK107" s="16">
        <f t="shared" si="1171"/>
        <v>17</v>
      </c>
      <c r="BL107" s="16">
        <f t="shared" si="1171"/>
        <v>17</v>
      </c>
      <c r="BM107" s="16">
        <f t="shared" si="1171"/>
        <v>19</v>
      </c>
      <c r="BN107" s="16">
        <f t="shared" si="1171"/>
        <v>24</v>
      </c>
      <c r="BO107" s="16">
        <f t="shared" si="1171"/>
        <v>25</v>
      </c>
      <c r="BP107" s="16">
        <f t="shared" si="1171"/>
        <v>24</v>
      </c>
      <c r="BQ107" s="16">
        <f t="shared" si="1171"/>
        <v>25</v>
      </c>
      <c r="BR107" s="16">
        <f t="shared" si="1171"/>
        <v>27</v>
      </c>
      <c r="BS107" s="16">
        <f t="shared" si="1171"/>
        <v>27</v>
      </c>
      <c r="BT107" s="16">
        <f t="shared" si="1171"/>
        <v>28</v>
      </c>
      <c r="BU107" s="16">
        <f t="shared" si="1171"/>
        <v>29</v>
      </c>
      <c r="BV107" s="16">
        <f t="shared" si="1171"/>
        <v>27</v>
      </c>
      <c r="BW107" s="16">
        <f t="shared" si="1171"/>
        <v>27</v>
      </c>
      <c r="BX107" s="16">
        <f t="shared" si="1171"/>
        <v>27</v>
      </c>
      <c r="BY107" s="16">
        <f t="shared" si="1171"/>
        <v>28</v>
      </c>
      <c r="BZ107" s="16">
        <f t="shared" si="1171"/>
        <v>29</v>
      </c>
      <c r="CA107" s="16">
        <f t="shared" si="1171"/>
        <v>32</v>
      </c>
      <c r="CB107" s="16">
        <f t="shared" si="1171"/>
        <v>32</v>
      </c>
      <c r="CC107" s="16">
        <f t="shared" si="1171"/>
        <v>31</v>
      </c>
      <c r="CD107" s="16">
        <f t="shared" si="1171"/>
        <v>32</v>
      </c>
      <c r="CE107" s="16">
        <f t="shared" si="1171"/>
        <v>32</v>
      </c>
      <c r="CF107" s="16">
        <f t="shared" si="1171"/>
        <v>31</v>
      </c>
      <c r="CG107" s="16">
        <f t="shared" si="1171"/>
        <v>32</v>
      </c>
      <c r="CH107" s="16">
        <f t="shared" si="1171"/>
        <v>34</v>
      </c>
      <c r="CI107" s="16">
        <f t="shared" si="1171"/>
        <v>35</v>
      </c>
      <c r="CJ107" s="16">
        <f t="shared" si="1171"/>
        <v>36</v>
      </c>
      <c r="CK107" s="16">
        <f t="shared" si="1171"/>
        <v>38</v>
      </c>
      <c r="CL107" s="16">
        <f t="shared" si="1171"/>
        <v>38</v>
      </c>
      <c r="CM107" s="16">
        <f t="shared" si="1171"/>
        <v>40</v>
      </c>
      <c r="CN107" s="16">
        <f t="shared" si="1171"/>
        <v>45</v>
      </c>
      <c r="CO107" s="16">
        <f t="shared" si="1171"/>
        <v>47</v>
      </c>
      <c r="CP107" s="16">
        <f t="shared" si="1171"/>
        <v>49</v>
      </c>
      <c r="CQ107" s="16">
        <f t="shared" si="1171"/>
        <v>52</v>
      </c>
      <c r="CR107" s="16">
        <f t="shared" si="1171"/>
        <v>52</v>
      </c>
      <c r="CS107" s="16">
        <f t="shared" si="1171"/>
        <v>58</v>
      </c>
      <c r="CT107" s="16">
        <f t="shared" si="1171"/>
        <v>62</v>
      </c>
      <c r="CU107" s="16">
        <f t="shared" ref="CU107:DZ107" si="1172">MAX(CT107,CU10/CU109)</f>
        <v>62</v>
      </c>
      <c r="CV107" s="16">
        <f t="shared" si="1172"/>
        <v>62</v>
      </c>
      <c r="CW107" s="16">
        <f t="shared" si="1172"/>
        <v>62</v>
      </c>
      <c r="CX107" s="16">
        <f t="shared" si="1172"/>
        <v>62.103986963878555</v>
      </c>
      <c r="CY107" s="16">
        <f t="shared" si="1172"/>
        <v>63.958394951326518</v>
      </c>
      <c r="CZ107" s="16">
        <f t="shared" si="1172"/>
        <v>67.034905071335643</v>
      </c>
      <c r="DA107" s="16">
        <f t="shared" si="1172"/>
        <v>69.358517590472289</v>
      </c>
      <c r="DB107" s="16">
        <f t="shared" si="1172"/>
        <v>71.007242925794159</v>
      </c>
      <c r="DC107" s="16">
        <f t="shared" si="1172"/>
        <v>74.098605134787149</v>
      </c>
      <c r="DD107" s="16">
        <f t="shared" si="1172"/>
        <v>76.855525419897205</v>
      </c>
      <c r="DE107" s="16">
        <f t="shared" si="1172"/>
        <v>79.798706033435963</v>
      </c>
      <c r="DF107" s="16">
        <f t="shared" si="1172"/>
        <v>84.517426343112305</v>
      </c>
      <c r="DG107" s="16">
        <f t="shared" si="1172"/>
        <v>84.517426343112305</v>
      </c>
      <c r="DH107" s="16">
        <f t="shared" si="1172"/>
        <v>84.517426343112305</v>
      </c>
      <c r="DI107" s="16">
        <f t="shared" si="1172"/>
        <v>84.517426343112305</v>
      </c>
      <c r="DJ107" s="16">
        <f t="shared" si="1172"/>
        <v>84.517426343112305</v>
      </c>
      <c r="DK107" s="16">
        <f t="shared" si="1172"/>
        <v>86.075358017709618</v>
      </c>
      <c r="DL107" s="16">
        <f t="shared" si="1172"/>
        <v>90.175993085233046</v>
      </c>
      <c r="DM107" s="16">
        <f t="shared" si="1172"/>
        <v>93.218048213048277</v>
      </c>
      <c r="DN107" s="16">
        <f t="shared" si="1172"/>
        <v>95.312044738941623</v>
      </c>
      <c r="DO107" s="16">
        <f t="shared" si="1172"/>
        <v>99.253557613830964</v>
      </c>
      <c r="DP107" s="16">
        <f t="shared" si="1172"/>
        <v>102.63224886940401</v>
      </c>
      <c r="DQ107" s="16">
        <f t="shared" si="1172"/>
        <v>106.10874701917439</v>
      </c>
      <c r="DR107" s="16">
        <f t="shared" si="1172"/>
        <v>111.85146984273774</v>
      </c>
      <c r="DS107" s="16">
        <f t="shared" si="1172"/>
        <v>111.85146984273774</v>
      </c>
      <c r="DT107" s="16">
        <f t="shared" si="1172"/>
        <v>111.85146984273774</v>
      </c>
      <c r="DU107" s="16">
        <f t="shared" si="1172"/>
        <v>111.85146984273774</v>
      </c>
      <c r="DV107" s="16">
        <f t="shared" si="1172"/>
        <v>111.85146984273774</v>
      </c>
      <c r="DW107" s="16">
        <f t="shared" si="1172"/>
        <v>111.85146984273774</v>
      </c>
      <c r="DX107" s="16">
        <f t="shared" si="1172"/>
        <v>113.27900067173057</v>
      </c>
      <c r="DY107" s="16">
        <f t="shared" si="1172"/>
        <v>116.95332072583915</v>
      </c>
      <c r="DZ107" s="16">
        <f t="shared" si="1172"/>
        <v>119.48249832991236</v>
      </c>
      <c r="EA107" s="16">
        <f t="shared" ref="EA107:FB107" si="1173">MAX(DZ107,EA10/EA109)</f>
        <v>124.24394569288859</v>
      </c>
      <c r="EB107" s="16">
        <f t="shared" si="1173"/>
        <v>128.32519801965032</v>
      </c>
      <c r="EC107" s="16">
        <f t="shared" si="1173"/>
        <v>132.52414124612307</v>
      </c>
      <c r="ED107" s="16">
        <f t="shared" si="1173"/>
        <v>139.46086583912569</v>
      </c>
      <c r="EE107" s="16">
        <f t="shared" si="1173"/>
        <v>139.46086583912569</v>
      </c>
      <c r="EF107" s="16">
        <f t="shared" si="1173"/>
        <v>139.46086583912569</v>
      </c>
      <c r="EG107" s="16">
        <f t="shared" si="1173"/>
        <v>139.46086583912569</v>
      </c>
      <c r="EH107" s="16">
        <f t="shared" si="1173"/>
        <v>139.46086583912569</v>
      </c>
      <c r="EI107" s="16">
        <f t="shared" si="1173"/>
        <v>139.46086583912569</v>
      </c>
      <c r="EJ107" s="16">
        <f t="shared" si="1173"/>
        <v>140.10013695279432</v>
      </c>
      <c r="EK107" s="16">
        <f t="shared" si="1173"/>
        <v>144.46272111404465</v>
      </c>
      <c r="EL107" s="16">
        <f t="shared" si="1173"/>
        <v>147.46564064872828</v>
      </c>
      <c r="EM107" s="16">
        <f t="shared" si="1173"/>
        <v>153.1193151471731</v>
      </c>
      <c r="EN107" s="16">
        <f t="shared" si="1173"/>
        <v>157.96520473180919</v>
      </c>
      <c r="EO107" s="16">
        <f t="shared" si="1173"/>
        <v>162.9506315045322</v>
      </c>
      <c r="EP107" s="16">
        <f t="shared" si="1173"/>
        <v>171.18691657506142</v>
      </c>
      <c r="EQ107" s="16">
        <f t="shared" si="1173"/>
        <v>171.18691657506142</v>
      </c>
      <c r="ER107" s="16">
        <f t="shared" si="1173"/>
        <v>171.18691657506142</v>
      </c>
      <c r="ES107" s="16">
        <f t="shared" si="1173"/>
        <v>171.18691657506142</v>
      </c>
      <c r="ET107" s="16">
        <f t="shared" si="1173"/>
        <v>171.18691657506142</v>
      </c>
      <c r="EU107" s="16">
        <f t="shared" si="1173"/>
        <v>171.18691657506142</v>
      </c>
      <c r="EV107" s="16">
        <f t="shared" si="1173"/>
        <v>171.18691657506142</v>
      </c>
      <c r="EW107" s="16">
        <f t="shared" si="1173"/>
        <v>175.67334825198711</v>
      </c>
      <c r="EX107" s="16">
        <f t="shared" si="1173"/>
        <v>179.17670931364503</v>
      </c>
      <c r="EY107" s="16">
        <f t="shared" si="1173"/>
        <v>185.77261168118019</v>
      </c>
      <c r="EZ107" s="16">
        <f t="shared" si="1173"/>
        <v>191.42609329957622</v>
      </c>
      <c r="FA107" s="16">
        <f t="shared" si="1173"/>
        <v>197.24234753078665</v>
      </c>
      <c r="FB107" s="16">
        <f t="shared" si="1173"/>
        <v>206.8512455851058</v>
      </c>
    </row>
    <row r="108" spans="2:158" x14ac:dyDescent="0.25">
      <c r="B108" s="303">
        <f>B81</f>
        <v>0.05</v>
      </c>
      <c r="C108" s="28" t="s">
        <v>518</v>
      </c>
      <c r="D108" s="16">
        <f>D97/D107</f>
        <v>147653.19545454546</v>
      </c>
      <c r="E108" s="16">
        <f t="shared" ref="E108:G108" si="1174">E97/E107</f>
        <v>134567.48470588232</v>
      </c>
      <c r="F108" s="16">
        <f t="shared" si="1174"/>
        <v>137703.24130790192</v>
      </c>
      <c r="G108" s="16">
        <f t="shared" si="1174"/>
        <v>183890.23712580581</v>
      </c>
      <c r="H108" s="249">
        <f>G108*(1+$B108)</f>
        <v>193084.74898209612</v>
      </c>
      <c r="I108" s="249">
        <f t="shared" ref="I108:L108" si="1175">H108*(1+$B108)</f>
        <v>202738.98643120093</v>
      </c>
      <c r="J108" s="249">
        <f t="shared" si="1175"/>
        <v>212875.935752761</v>
      </c>
      <c r="K108" s="249">
        <f t="shared" si="1175"/>
        <v>223519.73254039907</v>
      </c>
      <c r="L108" s="249">
        <f t="shared" si="1175"/>
        <v>234695.71916741904</v>
      </c>
      <c r="N108" s="16">
        <f>N97/N107*4</f>
        <v>156002.00571428574</v>
      </c>
      <c r="O108" s="16">
        <f t="shared" ref="O108:AW108" si="1176">O97/O107*4</f>
        <v>149801.8924137931</v>
      </c>
      <c r="P108" s="16">
        <f t="shared" si="1176"/>
        <v>141394.23567567568</v>
      </c>
      <c r="Q108" s="16">
        <f t="shared" si="1176"/>
        <v>145955.89578947367</v>
      </c>
      <c r="R108" s="16">
        <f t="shared" si="1176"/>
        <v>144249.41886792451</v>
      </c>
      <c r="S108" s="16">
        <f t="shared" si="1176"/>
        <v>139396.80657534246</v>
      </c>
      <c r="T108" s="16">
        <f t="shared" si="1176"/>
        <v>136989.07443037975</v>
      </c>
      <c r="U108" s="16">
        <f t="shared" si="1176"/>
        <v>121984.28714285714</v>
      </c>
      <c r="V108" s="16">
        <f t="shared" si="1176"/>
        <v>130494.29268292684</v>
      </c>
      <c r="W108" s="16">
        <f t="shared" si="1176"/>
        <v>138676.9070967742</v>
      </c>
      <c r="X108" s="16">
        <f t="shared" si="1176"/>
        <v>139645.64210526316</v>
      </c>
      <c r="Y108" s="16">
        <f t="shared" si="1176"/>
        <v>140961.53814432991</v>
      </c>
      <c r="Z108" s="16">
        <f t="shared" si="1176"/>
        <v>180615.36</v>
      </c>
      <c r="AA108" s="16">
        <f t="shared" si="1176"/>
        <v>186319.85783168991</v>
      </c>
      <c r="AB108" s="16">
        <f t="shared" si="1176"/>
        <v>185392.59558842928</v>
      </c>
      <c r="AC108" s="16">
        <f t="shared" si="1176"/>
        <v>182935.40693639198</v>
      </c>
      <c r="AD108" s="16">
        <f t="shared" si="1176"/>
        <v>193084.74898209612</v>
      </c>
      <c r="AE108" s="16">
        <f t="shared" si="1176"/>
        <v>193084.74898209606</v>
      </c>
      <c r="AF108" s="16">
        <f t="shared" si="1176"/>
        <v>193084.74898209615</v>
      </c>
      <c r="AG108" s="16">
        <f t="shared" si="1176"/>
        <v>193084.74898209609</v>
      </c>
      <c r="AH108" s="16">
        <f t="shared" si="1176"/>
        <v>202738.98643120093</v>
      </c>
      <c r="AI108" s="16">
        <f t="shared" si="1176"/>
        <v>202738.98643120093</v>
      </c>
      <c r="AJ108" s="16">
        <f t="shared" si="1176"/>
        <v>202738.98643120099</v>
      </c>
      <c r="AK108" s="16">
        <f t="shared" si="1176"/>
        <v>202738.98643120093</v>
      </c>
      <c r="AL108" s="16">
        <f t="shared" si="1176"/>
        <v>212875.935752761</v>
      </c>
      <c r="AM108" s="16">
        <f t="shared" si="1176"/>
        <v>212875.93575276103</v>
      </c>
      <c r="AN108" s="16">
        <f t="shared" si="1176"/>
        <v>212875.93575276103</v>
      </c>
      <c r="AO108" s="16">
        <f t="shared" si="1176"/>
        <v>212875.935752761</v>
      </c>
      <c r="AP108" s="16">
        <f t="shared" si="1176"/>
        <v>223519.73254039907</v>
      </c>
      <c r="AQ108" s="16">
        <f t="shared" si="1176"/>
        <v>223519.73254039907</v>
      </c>
      <c r="AR108" s="16">
        <f t="shared" si="1176"/>
        <v>223519.73254039901</v>
      </c>
      <c r="AS108" s="16">
        <f t="shared" si="1176"/>
        <v>223519.73254039907</v>
      </c>
      <c r="AT108" s="16">
        <f t="shared" si="1176"/>
        <v>234695.71916741904</v>
      </c>
      <c r="AU108" s="16">
        <f t="shared" si="1176"/>
        <v>234695.71916741904</v>
      </c>
      <c r="AV108" s="16">
        <f t="shared" si="1176"/>
        <v>234695.71916741904</v>
      </c>
      <c r="AW108" s="16">
        <f t="shared" si="1176"/>
        <v>234695.71916741904</v>
      </c>
      <c r="AY108" s="16">
        <f>AY97/AY107*12</f>
        <v>130739.97333333333</v>
      </c>
      <c r="AZ108" s="16">
        <f t="shared" ref="AZ108:CT108" si="1177">AZ97/AZ107*12</f>
        <v>171824.06400000001</v>
      </c>
      <c r="BA108" s="16">
        <f t="shared" si="1177"/>
        <v>163683.97333333336</v>
      </c>
      <c r="BB108" s="16">
        <f t="shared" si="1177"/>
        <v>161938.36000000002</v>
      </c>
      <c r="BC108" s="16">
        <f t="shared" si="1177"/>
        <v>140873.484</v>
      </c>
      <c r="BD108" s="16">
        <f t="shared" si="1177"/>
        <v>147807.47999999998</v>
      </c>
      <c r="BE108" s="16">
        <f t="shared" si="1177"/>
        <v>130826.11000000002</v>
      </c>
      <c r="BF108" s="16">
        <f t="shared" si="1177"/>
        <v>131101.53230769231</v>
      </c>
      <c r="BG108" s="16">
        <f t="shared" si="1177"/>
        <v>163112.79</v>
      </c>
      <c r="BH108" s="16">
        <f t="shared" si="1177"/>
        <v>134843.25</v>
      </c>
      <c r="BI108" s="16">
        <f t="shared" si="1177"/>
        <v>139210.34</v>
      </c>
      <c r="BJ108" s="16">
        <f t="shared" si="1177"/>
        <v>161262.92571428569</v>
      </c>
      <c r="BK108" s="16">
        <f t="shared" si="1177"/>
        <v>140834.83058823529</v>
      </c>
      <c r="BL108" s="16">
        <f t="shared" si="1177"/>
        <v>150061.17176470585</v>
      </c>
      <c r="BM108" s="16">
        <f t="shared" si="1177"/>
        <v>142104.58736842105</v>
      </c>
      <c r="BN108" s="16">
        <f t="shared" si="1177"/>
        <v>132804.70000000001</v>
      </c>
      <c r="BO108" s="16">
        <f t="shared" si="1177"/>
        <v>134827.17600000001</v>
      </c>
      <c r="BP108" s="16">
        <f t="shared" si="1177"/>
        <v>150748.94499999998</v>
      </c>
      <c r="BQ108" s="16">
        <f t="shared" si="1177"/>
        <v>135842.75519999999</v>
      </c>
      <c r="BR108" s="16">
        <f t="shared" si="1177"/>
        <v>131108.27555555553</v>
      </c>
      <c r="BS108" s="16">
        <f t="shared" si="1177"/>
        <v>143931.28</v>
      </c>
      <c r="BT108" s="16">
        <f t="shared" si="1177"/>
        <v>132355.09714285715</v>
      </c>
      <c r="BU108" s="16">
        <f t="shared" si="1177"/>
        <v>127191.60827586205</v>
      </c>
      <c r="BV108" s="16">
        <f t="shared" si="1177"/>
        <v>105636.32444444446</v>
      </c>
      <c r="BW108" s="16">
        <f t="shared" si="1177"/>
        <v>124651.97333333333</v>
      </c>
      <c r="BX108" s="16">
        <f t="shared" si="1177"/>
        <v>128819.70222222223</v>
      </c>
      <c r="BY108" s="16">
        <f t="shared" si="1177"/>
        <v>137742.7414285714</v>
      </c>
      <c r="BZ108" s="16">
        <f t="shared" si="1177"/>
        <v>134481.00413793104</v>
      </c>
      <c r="CA108" s="16">
        <f t="shared" si="1177"/>
        <v>136468.85250000001</v>
      </c>
      <c r="CB108" s="16">
        <f t="shared" si="1177"/>
        <v>144687.49875</v>
      </c>
      <c r="CC108" s="16">
        <f t="shared" si="1177"/>
        <v>142766.08645161291</v>
      </c>
      <c r="CD108" s="16">
        <f t="shared" si="1177"/>
        <v>143061.00375</v>
      </c>
      <c r="CE108" s="16">
        <f t="shared" si="1177"/>
        <v>133207.35</v>
      </c>
      <c r="CF108" s="16">
        <f t="shared" si="1177"/>
        <v>143759.59354838711</v>
      </c>
      <c r="CG108" s="16">
        <f t="shared" si="1177"/>
        <v>129875.07374999998</v>
      </c>
      <c r="CH108" s="16">
        <f t="shared" si="1177"/>
        <v>148844.6894117647</v>
      </c>
      <c r="CI108" s="16">
        <f t="shared" si="1177"/>
        <v>165083.57142857142</v>
      </c>
      <c r="CJ108" s="16">
        <f t="shared" si="1177"/>
        <v>170888.57</v>
      </c>
      <c r="CK108" s="16">
        <f t="shared" si="1177"/>
        <v>204135.80842105264</v>
      </c>
      <c r="CL108" s="16">
        <f t="shared" si="1177"/>
        <v>183491.27052631581</v>
      </c>
      <c r="CM108" s="16">
        <f t="shared" si="1177"/>
        <v>189763.45916999917</v>
      </c>
      <c r="CN108" s="16">
        <f t="shared" si="1177"/>
        <v>185647.46369995314</v>
      </c>
      <c r="CO108" s="16">
        <f t="shared" si="1177"/>
        <v>184714.90373717356</v>
      </c>
      <c r="CP108" s="16">
        <f t="shared" si="1177"/>
        <v>185193.0038264078</v>
      </c>
      <c r="CQ108" s="16">
        <f t="shared" si="1177"/>
        <v>186193.20161435369</v>
      </c>
      <c r="CR108" s="16">
        <f t="shared" si="1177"/>
        <v>184773.10294346765</v>
      </c>
      <c r="CS108" s="16">
        <f t="shared" si="1177"/>
        <v>179503.95104522695</v>
      </c>
      <c r="CT108" s="16">
        <f t="shared" si="1177"/>
        <v>184604.18515122496</v>
      </c>
      <c r="CU108" s="90">
        <f t="shared" ref="CU108:DJ109" si="1178">INDEX($D108:$L108,1,MATCH(CU$2,$D$2:$L$2,))</f>
        <v>193084.74898209612</v>
      </c>
      <c r="CV108" s="90">
        <f t="shared" si="1178"/>
        <v>193084.74898209612</v>
      </c>
      <c r="CW108" s="90">
        <f t="shared" si="1178"/>
        <v>193084.74898209612</v>
      </c>
      <c r="CX108" s="90">
        <f t="shared" si="1178"/>
        <v>193084.74898209612</v>
      </c>
      <c r="CY108" s="90">
        <f t="shared" si="1178"/>
        <v>193084.74898209612</v>
      </c>
      <c r="CZ108" s="90">
        <f t="shared" si="1178"/>
        <v>193084.74898209612</v>
      </c>
      <c r="DA108" s="90">
        <f t="shared" si="1178"/>
        <v>193084.74898209612</v>
      </c>
      <c r="DB108" s="90">
        <f t="shared" si="1178"/>
        <v>193084.74898209612</v>
      </c>
      <c r="DC108" s="90">
        <f t="shared" si="1178"/>
        <v>193084.74898209612</v>
      </c>
      <c r="DD108" s="90">
        <f t="shared" si="1178"/>
        <v>193084.74898209612</v>
      </c>
      <c r="DE108" s="90">
        <f t="shared" si="1178"/>
        <v>193084.74898209612</v>
      </c>
      <c r="DF108" s="90">
        <f t="shared" si="1178"/>
        <v>193084.74898209612</v>
      </c>
      <c r="DG108" s="90">
        <f t="shared" si="1178"/>
        <v>202738.98643120093</v>
      </c>
      <c r="DH108" s="90">
        <f t="shared" si="1178"/>
        <v>202738.98643120093</v>
      </c>
      <c r="DI108" s="90">
        <f t="shared" si="1178"/>
        <v>202738.98643120093</v>
      </c>
      <c r="DJ108" s="90">
        <f t="shared" si="1178"/>
        <v>202738.98643120093</v>
      </c>
      <c r="DK108" s="90">
        <f t="shared" ref="DK108:DZ109" si="1179">INDEX($D108:$L108,1,MATCH(DK$2,$D$2:$L$2,))</f>
        <v>202738.98643120093</v>
      </c>
      <c r="DL108" s="90">
        <f t="shared" si="1179"/>
        <v>202738.98643120093</v>
      </c>
      <c r="DM108" s="90">
        <f t="shared" si="1179"/>
        <v>202738.98643120093</v>
      </c>
      <c r="DN108" s="90">
        <f t="shared" si="1179"/>
        <v>202738.98643120093</v>
      </c>
      <c r="DO108" s="90">
        <f t="shared" si="1179"/>
        <v>202738.98643120093</v>
      </c>
      <c r="DP108" s="90">
        <f t="shared" si="1179"/>
        <v>202738.98643120093</v>
      </c>
      <c r="DQ108" s="90">
        <f t="shared" si="1179"/>
        <v>202738.98643120093</v>
      </c>
      <c r="DR108" s="90">
        <f t="shared" si="1179"/>
        <v>202738.98643120093</v>
      </c>
      <c r="DS108" s="90">
        <f t="shared" si="1179"/>
        <v>212875.935752761</v>
      </c>
      <c r="DT108" s="90">
        <f t="shared" si="1179"/>
        <v>212875.935752761</v>
      </c>
      <c r="DU108" s="90">
        <f t="shared" si="1179"/>
        <v>212875.935752761</v>
      </c>
      <c r="DV108" s="90">
        <f t="shared" si="1179"/>
        <v>212875.935752761</v>
      </c>
      <c r="DW108" s="90">
        <f t="shared" si="1179"/>
        <v>212875.935752761</v>
      </c>
      <c r="DX108" s="90">
        <f t="shared" si="1179"/>
        <v>212875.935752761</v>
      </c>
      <c r="DY108" s="90">
        <f t="shared" si="1179"/>
        <v>212875.935752761</v>
      </c>
      <c r="DZ108" s="90">
        <f t="shared" si="1179"/>
        <v>212875.935752761</v>
      </c>
      <c r="EA108" s="90">
        <f t="shared" ref="EA108:EP109" si="1180">INDEX($D108:$L108,1,MATCH(EA$2,$D$2:$L$2,))</f>
        <v>212875.935752761</v>
      </c>
      <c r="EB108" s="90">
        <f t="shared" si="1180"/>
        <v>212875.935752761</v>
      </c>
      <c r="EC108" s="90">
        <f t="shared" si="1180"/>
        <v>212875.935752761</v>
      </c>
      <c r="ED108" s="90">
        <f t="shared" si="1180"/>
        <v>212875.935752761</v>
      </c>
      <c r="EE108" s="90">
        <f t="shared" si="1180"/>
        <v>223519.73254039907</v>
      </c>
      <c r="EF108" s="90">
        <f t="shared" si="1180"/>
        <v>223519.73254039907</v>
      </c>
      <c r="EG108" s="90">
        <f t="shared" si="1180"/>
        <v>223519.73254039907</v>
      </c>
      <c r="EH108" s="90">
        <f t="shared" si="1180"/>
        <v>223519.73254039907</v>
      </c>
      <c r="EI108" s="90">
        <f t="shared" si="1180"/>
        <v>223519.73254039907</v>
      </c>
      <c r="EJ108" s="90">
        <f t="shared" si="1180"/>
        <v>223519.73254039907</v>
      </c>
      <c r="EK108" s="90">
        <f t="shared" si="1180"/>
        <v>223519.73254039907</v>
      </c>
      <c r="EL108" s="90">
        <f t="shared" si="1180"/>
        <v>223519.73254039907</v>
      </c>
      <c r="EM108" s="90">
        <f t="shared" si="1180"/>
        <v>223519.73254039907</v>
      </c>
      <c r="EN108" s="90">
        <f t="shared" si="1180"/>
        <v>223519.73254039907</v>
      </c>
      <c r="EO108" s="90">
        <f t="shared" si="1180"/>
        <v>223519.73254039907</v>
      </c>
      <c r="EP108" s="90">
        <f t="shared" si="1180"/>
        <v>223519.73254039907</v>
      </c>
      <c r="EQ108" s="90">
        <f t="shared" ref="EQ108:FB109" si="1181">INDEX($D108:$L108,1,MATCH(EQ$2,$D$2:$L$2,))</f>
        <v>234695.71916741904</v>
      </c>
      <c r="ER108" s="90">
        <f t="shared" si="1181"/>
        <v>234695.71916741904</v>
      </c>
      <c r="ES108" s="90">
        <f t="shared" si="1181"/>
        <v>234695.71916741904</v>
      </c>
      <c r="ET108" s="90">
        <f t="shared" si="1181"/>
        <v>234695.71916741904</v>
      </c>
      <c r="EU108" s="90">
        <f t="shared" si="1181"/>
        <v>234695.71916741904</v>
      </c>
      <c r="EV108" s="90">
        <f t="shared" si="1181"/>
        <v>234695.71916741904</v>
      </c>
      <c r="EW108" s="90">
        <f t="shared" si="1181"/>
        <v>234695.71916741904</v>
      </c>
      <c r="EX108" s="90">
        <f t="shared" si="1181"/>
        <v>234695.71916741904</v>
      </c>
      <c r="EY108" s="90">
        <f t="shared" si="1181"/>
        <v>234695.71916741904</v>
      </c>
      <c r="EZ108" s="90">
        <f t="shared" si="1181"/>
        <v>234695.71916741904</v>
      </c>
      <c r="FA108" s="90">
        <f t="shared" si="1181"/>
        <v>234695.71916741904</v>
      </c>
      <c r="FB108" s="90">
        <f t="shared" si="1181"/>
        <v>234695.71916741904</v>
      </c>
    </row>
    <row r="109" spans="2:158" x14ac:dyDescent="0.25">
      <c r="C109" s="28" t="s">
        <v>542</v>
      </c>
      <c r="D109" s="16">
        <f>D10/D107</f>
        <v>1861762.8775378787</v>
      </c>
      <c r="E109" s="16">
        <f>E10/E107</f>
        <v>1731127.1541192296</v>
      </c>
      <c r="F109" s="16">
        <f>F10/F107</f>
        <v>2169218.1874760687</v>
      </c>
      <c r="G109" s="16">
        <f>G10/G107</f>
        <v>2248933.0227977857</v>
      </c>
      <c r="H109" s="249">
        <f>G109*1.1</f>
        <v>2473826.3250775645</v>
      </c>
      <c r="I109" s="249">
        <f>H109*1.15</f>
        <v>2844900.273839199</v>
      </c>
      <c r="J109" s="249">
        <f t="shared" ref="J109:L109" si="1182">I109*1.2</f>
        <v>3413880.3286070386</v>
      </c>
      <c r="K109" s="249">
        <f t="shared" si="1182"/>
        <v>4096656.3943284461</v>
      </c>
      <c r="L109" s="249">
        <f t="shared" si="1182"/>
        <v>4915987.6731941355</v>
      </c>
      <c r="N109" s="16">
        <f t="shared" ref="N109:AW109" si="1183">N10/N107</f>
        <v>1552637.2657142857</v>
      </c>
      <c r="O109" s="16">
        <f t="shared" si="1183"/>
        <v>1879649.4658620686</v>
      </c>
      <c r="P109" s="16">
        <f t="shared" si="1183"/>
        <v>1784016.3386486482</v>
      </c>
      <c r="Q109" s="16">
        <f t="shared" si="1183"/>
        <v>2151589.9303947366</v>
      </c>
      <c r="R109" s="16">
        <f t="shared" si="1183"/>
        <v>1844275.6616037735</v>
      </c>
      <c r="S109" s="16">
        <f t="shared" si="1183"/>
        <v>1590939.7165068493</v>
      </c>
      <c r="T109" s="16">
        <f t="shared" si="1183"/>
        <v>1695574.2298101266</v>
      </c>
      <c r="U109" s="16">
        <f t="shared" si="1183"/>
        <v>1815002.0716125888</v>
      </c>
      <c r="V109" s="16">
        <f t="shared" si="1183"/>
        <v>2102841.4731930662</v>
      </c>
      <c r="W109" s="16">
        <f t="shared" si="1183"/>
        <v>2007960.1248719827</v>
      </c>
      <c r="X109" s="16">
        <f t="shared" si="1183"/>
        <v>2177412.8247019355</v>
      </c>
      <c r="Y109" s="16">
        <f t="shared" si="1183"/>
        <v>2371913.0313619315</v>
      </c>
      <c r="Z109" s="16">
        <f t="shared" si="1183"/>
        <v>2338663.3474221178</v>
      </c>
      <c r="AA109" s="16">
        <f t="shared" si="1183"/>
        <v>2307441.3360158447</v>
      </c>
      <c r="AB109" s="16">
        <f t="shared" si="1183"/>
        <v>2200844.1629668917</v>
      </c>
      <c r="AC109" s="16">
        <f t="shared" si="1183"/>
        <v>2191607.5771297561</v>
      </c>
      <c r="AD109" s="16">
        <f t="shared" si="1183"/>
        <v>2315568.2625949741</v>
      </c>
      <c r="AE109" s="16">
        <f t="shared" si="1183"/>
        <v>2473826.325077564</v>
      </c>
      <c r="AF109" s="16">
        <f t="shared" si="1183"/>
        <v>2473826.3250775645</v>
      </c>
      <c r="AG109" s="16">
        <f t="shared" si="1183"/>
        <v>2473826.3250775645</v>
      </c>
      <c r="AH109" s="16">
        <f t="shared" si="1183"/>
        <v>2630723.7304967036</v>
      </c>
      <c r="AI109" s="16">
        <f t="shared" si="1183"/>
        <v>2834196.6272800136</v>
      </c>
      <c r="AJ109" s="16">
        <f t="shared" si="1183"/>
        <v>2844900.2738391999</v>
      </c>
      <c r="AK109" s="16">
        <f t="shared" si="1183"/>
        <v>2844900.273839199</v>
      </c>
      <c r="AL109" s="16">
        <f t="shared" si="1183"/>
        <v>3014256.138694352</v>
      </c>
      <c r="AM109" s="16">
        <f t="shared" si="1183"/>
        <v>3311367.5165319159</v>
      </c>
      <c r="AN109" s="16">
        <f t="shared" si="1183"/>
        <v>3413880.3286070386</v>
      </c>
      <c r="AO109" s="16">
        <f t="shared" si="1183"/>
        <v>3413880.3286070391</v>
      </c>
      <c r="AP109" s="16">
        <f t="shared" si="1183"/>
        <v>3608980.402086311</v>
      </c>
      <c r="AQ109" s="16">
        <f t="shared" si="1183"/>
        <v>3958546.641136636</v>
      </c>
      <c r="AR109" s="16">
        <f t="shared" si="1183"/>
        <v>4096656.3943284457</v>
      </c>
      <c r="AS109" s="16">
        <f t="shared" si="1183"/>
        <v>4096656.3943284461</v>
      </c>
      <c r="AT109" s="16">
        <f t="shared" si="1183"/>
        <v>4321041.4157983866</v>
      </c>
      <c r="AU109" s="16">
        <f t="shared" si="1183"/>
        <v>4726628.8984133573</v>
      </c>
      <c r="AV109" s="16">
        <f t="shared" si="1183"/>
        <v>4915987.6731941346</v>
      </c>
      <c r="AW109" s="16">
        <f t="shared" si="1183"/>
        <v>4915987.6731941355</v>
      </c>
      <c r="AY109" s="16">
        <f t="shared" ref="AY109:CT109" si="1184">AY10/AY107</f>
        <v>1522120.4733333327</v>
      </c>
      <c r="AZ109" s="16">
        <f t="shared" si="1184"/>
        <v>1414341.4415</v>
      </c>
      <c r="BA109" s="16">
        <f t="shared" si="1184"/>
        <v>1736816.085</v>
      </c>
      <c r="BB109" s="16">
        <f t="shared" si="1184"/>
        <v>1879792.8238888888</v>
      </c>
      <c r="BC109" s="16">
        <f t="shared" si="1184"/>
        <v>1797021.7954999998</v>
      </c>
      <c r="BD109" s="16">
        <f t="shared" si="1184"/>
        <v>1962148.1139999996</v>
      </c>
      <c r="BE109" s="16">
        <f t="shared" si="1184"/>
        <v>1738225.0695833331</v>
      </c>
      <c r="BF109" s="16">
        <f t="shared" si="1184"/>
        <v>1672589.5307692303</v>
      </c>
      <c r="BG109" s="16">
        <f t="shared" si="1184"/>
        <v>1950519.9829166662</v>
      </c>
      <c r="BH109" s="16">
        <f t="shared" si="1184"/>
        <v>2090503.9204166662</v>
      </c>
      <c r="BI109" s="16">
        <f t="shared" si="1184"/>
        <v>2251828.7054166663</v>
      </c>
      <c r="BJ109" s="16">
        <f t="shared" si="1184"/>
        <v>2118030.4175</v>
      </c>
      <c r="BK109" s="16">
        <f t="shared" si="1184"/>
        <v>1837063.091470588</v>
      </c>
      <c r="BL109" s="16">
        <f t="shared" si="1184"/>
        <v>1893224.6929411762</v>
      </c>
      <c r="BM109" s="16">
        <f t="shared" si="1184"/>
        <v>1806932.5121052631</v>
      </c>
      <c r="BN109" s="16">
        <f t="shared" si="1184"/>
        <v>1517743.5849999997</v>
      </c>
      <c r="BO109" s="16">
        <f t="shared" si="1184"/>
        <v>1537630.7844</v>
      </c>
      <c r="BP109" s="16">
        <f t="shared" si="1184"/>
        <v>1719665.985625</v>
      </c>
      <c r="BQ109" s="16">
        <f t="shared" si="1184"/>
        <v>1727421.8083999997</v>
      </c>
      <c r="BR109" s="16">
        <f t="shared" si="1184"/>
        <v>1640671.7683333333</v>
      </c>
      <c r="BS109" s="16">
        <f t="shared" si="1184"/>
        <v>1720988.1925925927</v>
      </c>
      <c r="BT109" s="16">
        <f t="shared" si="1184"/>
        <v>1728748.2532142852</v>
      </c>
      <c r="BU109" s="16">
        <f t="shared" si="1184"/>
        <v>1732461.6806896545</v>
      </c>
      <c r="BV109" s="16">
        <f t="shared" si="1184"/>
        <v>1993104.9698317586</v>
      </c>
      <c r="BW109" s="16">
        <f t="shared" si="1184"/>
        <v>2081569.0066666657</v>
      </c>
      <c r="BX109" s="16">
        <f t="shared" si="1184"/>
        <v>2121998.8562074248</v>
      </c>
      <c r="BY109" s="16">
        <f t="shared" si="1184"/>
        <v>2104881.0180082489</v>
      </c>
      <c r="BZ109" s="16">
        <f t="shared" si="1184"/>
        <v>2085260.5036528953</v>
      </c>
      <c r="CA109" s="16">
        <f t="shared" si="1184"/>
        <v>1929801.2461584052</v>
      </c>
      <c r="CB109" s="16">
        <f t="shared" si="1184"/>
        <v>2016065.5353153583</v>
      </c>
      <c r="CC109" s="16">
        <f t="shared" si="1184"/>
        <v>2154018.4907609499</v>
      </c>
      <c r="CD109" s="16">
        <f t="shared" si="1184"/>
        <v>2140119.8333436083</v>
      </c>
      <c r="CE109" s="16">
        <f t="shared" si="1184"/>
        <v>2237369.0770655926</v>
      </c>
      <c r="CF109" s="16">
        <f t="shared" si="1184"/>
        <v>2384130.7468734663</v>
      </c>
      <c r="CG109" s="16">
        <f t="shared" si="1184"/>
        <v>2378098.1425263425</v>
      </c>
      <c r="CH109" s="16">
        <f t="shared" si="1184"/>
        <v>2354952.0684760869</v>
      </c>
      <c r="CI109" s="16">
        <f t="shared" si="1184"/>
        <v>2371754.4915272272</v>
      </c>
      <c r="CJ109" s="16">
        <f t="shared" si="1184"/>
        <v>2343919.4252986931</v>
      </c>
      <c r="CK109" s="16">
        <f t="shared" si="1184"/>
        <v>2303205.2198632886</v>
      </c>
      <c r="CL109" s="16">
        <f t="shared" si="1184"/>
        <v>2391472.1095382492</v>
      </c>
      <c r="CM109" s="16">
        <f t="shared" si="1184"/>
        <v>2345221.4618979739</v>
      </c>
      <c r="CN109" s="16">
        <f t="shared" si="1184"/>
        <v>2202899.6820350327</v>
      </c>
      <c r="CO109" s="16">
        <f t="shared" si="1184"/>
        <v>2207491.2180896304</v>
      </c>
      <c r="CP109" s="16">
        <f t="shared" si="1184"/>
        <v>2197486.1294849301</v>
      </c>
      <c r="CQ109" s="16">
        <f t="shared" si="1184"/>
        <v>2198000.5485408795</v>
      </c>
      <c r="CR109" s="16">
        <f t="shared" si="1184"/>
        <v>2289209.6608436862</v>
      </c>
      <c r="CS109" s="16">
        <f t="shared" si="1184"/>
        <v>2142325.3749548048</v>
      </c>
      <c r="CT109" s="16">
        <f t="shared" si="1184"/>
        <v>2155850.4702430279</v>
      </c>
      <c r="CU109" s="90">
        <f t="shared" si="1178"/>
        <v>2473826.3250775645</v>
      </c>
      <c r="CV109" s="90">
        <f t="shared" si="1178"/>
        <v>2473826.3250775645</v>
      </c>
      <c r="CW109" s="90">
        <f t="shared" si="1178"/>
        <v>2473826.3250775645</v>
      </c>
      <c r="CX109" s="90">
        <f t="shared" si="1178"/>
        <v>2473826.3250775645</v>
      </c>
      <c r="CY109" s="90">
        <f t="shared" si="1178"/>
        <v>2473826.3250775645</v>
      </c>
      <c r="CZ109" s="90">
        <f t="shared" si="1178"/>
        <v>2473826.3250775645</v>
      </c>
      <c r="DA109" s="90">
        <f t="shared" si="1178"/>
        <v>2473826.3250775645</v>
      </c>
      <c r="DB109" s="90">
        <f t="shared" si="1178"/>
        <v>2473826.3250775645</v>
      </c>
      <c r="DC109" s="90">
        <f t="shared" si="1178"/>
        <v>2473826.3250775645</v>
      </c>
      <c r="DD109" s="90">
        <f t="shared" si="1178"/>
        <v>2473826.3250775645</v>
      </c>
      <c r="DE109" s="90">
        <f t="shared" si="1178"/>
        <v>2473826.3250775645</v>
      </c>
      <c r="DF109" s="90">
        <f t="shared" si="1178"/>
        <v>2473826.3250775645</v>
      </c>
      <c r="DG109" s="90">
        <f t="shared" si="1178"/>
        <v>2844900.273839199</v>
      </c>
      <c r="DH109" s="90">
        <f t="shared" si="1178"/>
        <v>2844900.273839199</v>
      </c>
      <c r="DI109" s="90">
        <f t="shared" si="1178"/>
        <v>2844900.273839199</v>
      </c>
      <c r="DJ109" s="90">
        <f t="shared" si="1178"/>
        <v>2844900.273839199</v>
      </c>
      <c r="DK109" s="90">
        <f t="shared" si="1179"/>
        <v>2844900.273839199</v>
      </c>
      <c r="DL109" s="90">
        <f t="shared" si="1179"/>
        <v>2844900.273839199</v>
      </c>
      <c r="DM109" s="90">
        <f t="shared" si="1179"/>
        <v>2844900.273839199</v>
      </c>
      <c r="DN109" s="90">
        <f t="shared" si="1179"/>
        <v>2844900.273839199</v>
      </c>
      <c r="DO109" s="90">
        <f t="shared" si="1179"/>
        <v>2844900.273839199</v>
      </c>
      <c r="DP109" s="90">
        <f t="shared" si="1179"/>
        <v>2844900.273839199</v>
      </c>
      <c r="DQ109" s="90">
        <f t="shared" si="1179"/>
        <v>2844900.273839199</v>
      </c>
      <c r="DR109" s="90">
        <f t="shared" si="1179"/>
        <v>2844900.273839199</v>
      </c>
      <c r="DS109" s="90">
        <f t="shared" si="1179"/>
        <v>3413880.3286070386</v>
      </c>
      <c r="DT109" s="90">
        <f t="shared" si="1179"/>
        <v>3413880.3286070386</v>
      </c>
      <c r="DU109" s="90">
        <f t="shared" si="1179"/>
        <v>3413880.3286070386</v>
      </c>
      <c r="DV109" s="90">
        <f t="shared" si="1179"/>
        <v>3413880.3286070386</v>
      </c>
      <c r="DW109" s="90">
        <f t="shared" si="1179"/>
        <v>3413880.3286070386</v>
      </c>
      <c r="DX109" s="90">
        <f t="shared" si="1179"/>
        <v>3413880.3286070386</v>
      </c>
      <c r="DY109" s="90">
        <f t="shared" si="1179"/>
        <v>3413880.3286070386</v>
      </c>
      <c r="DZ109" s="90">
        <f t="shared" si="1179"/>
        <v>3413880.3286070386</v>
      </c>
      <c r="EA109" s="90">
        <f t="shared" si="1180"/>
        <v>3413880.3286070386</v>
      </c>
      <c r="EB109" s="90">
        <f t="shared" si="1180"/>
        <v>3413880.3286070386</v>
      </c>
      <c r="EC109" s="90">
        <f t="shared" si="1180"/>
        <v>3413880.3286070386</v>
      </c>
      <c r="ED109" s="90">
        <f t="shared" si="1180"/>
        <v>3413880.3286070386</v>
      </c>
      <c r="EE109" s="90">
        <f t="shared" si="1180"/>
        <v>4096656.3943284461</v>
      </c>
      <c r="EF109" s="90">
        <f t="shared" si="1180"/>
        <v>4096656.3943284461</v>
      </c>
      <c r="EG109" s="90">
        <f t="shared" si="1180"/>
        <v>4096656.3943284461</v>
      </c>
      <c r="EH109" s="90">
        <f t="shared" si="1180"/>
        <v>4096656.3943284461</v>
      </c>
      <c r="EI109" s="90">
        <f t="shared" si="1180"/>
        <v>4096656.3943284461</v>
      </c>
      <c r="EJ109" s="90">
        <f t="shared" si="1180"/>
        <v>4096656.3943284461</v>
      </c>
      <c r="EK109" s="90">
        <f t="shared" si="1180"/>
        <v>4096656.3943284461</v>
      </c>
      <c r="EL109" s="90">
        <f t="shared" si="1180"/>
        <v>4096656.3943284461</v>
      </c>
      <c r="EM109" s="90">
        <f t="shared" si="1180"/>
        <v>4096656.3943284461</v>
      </c>
      <c r="EN109" s="90">
        <f t="shared" si="1180"/>
        <v>4096656.3943284461</v>
      </c>
      <c r="EO109" s="90">
        <f t="shared" si="1180"/>
        <v>4096656.3943284461</v>
      </c>
      <c r="EP109" s="90">
        <f t="shared" si="1180"/>
        <v>4096656.3943284461</v>
      </c>
      <c r="EQ109" s="90">
        <f t="shared" si="1181"/>
        <v>4915987.6731941355</v>
      </c>
      <c r="ER109" s="90">
        <f t="shared" si="1181"/>
        <v>4915987.6731941355</v>
      </c>
      <c r="ES109" s="90">
        <f t="shared" si="1181"/>
        <v>4915987.6731941355</v>
      </c>
      <c r="ET109" s="90">
        <f t="shared" si="1181"/>
        <v>4915987.6731941355</v>
      </c>
      <c r="EU109" s="90">
        <f t="shared" si="1181"/>
        <v>4915987.6731941355</v>
      </c>
      <c r="EV109" s="90">
        <f t="shared" si="1181"/>
        <v>4915987.6731941355</v>
      </c>
      <c r="EW109" s="90">
        <f t="shared" si="1181"/>
        <v>4915987.6731941355</v>
      </c>
      <c r="EX109" s="90">
        <f t="shared" si="1181"/>
        <v>4915987.6731941355</v>
      </c>
      <c r="EY109" s="90">
        <f t="shared" si="1181"/>
        <v>4915987.6731941355</v>
      </c>
      <c r="EZ109" s="90">
        <f t="shared" si="1181"/>
        <v>4915987.6731941355</v>
      </c>
      <c r="FA109" s="90">
        <f t="shared" si="1181"/>
        <v>4915987.6731941355</v>
      </c>
      <c r="FB109" s="90">
        <f t="shared" si="1181"/>
        <v>4915987.6731941355</v>
      </c>
    </row>
    <row r="110" spans="2:158" x14ac:dyDescent="0.25">
      <c r="D110" s="16"/>
      <c r="E110" s="16"/>
      <c r="F110" s="16"/>
      <c r="G110" s="16"/>
      <c r="H110" s="55"/>
      <c r="I110" s="55"/>
      <c r="J110" s="55"/>
      <c r="K110" s="55"/>
      <c r="L110" s="55"/>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Y110" s="16"/>
      <c r="AZ110" s="16"/>
      <c r="BA110" s="16"/>
      <c r="BB110" s="16"/>
      <c r="BC110" s="16"/>
      <c r="BD110" s="16"/>
      <c r="BE110" s="16"/>
      <c r="BF110" s="16"/>
      <c r="BG110" s="16"/>
      <c r="BH110" s="16"/>
      <c r="BI110" s="16"/>
      <c r="BJ110" s="16"/>
      <c r="BK110" s="16"/>
      <c r="BL110" s="16"/>
      <c r="BM110" s="16"/>
      <c r="BN110" s="16"/>
      <c r="BO110" s="16"/>
      <c r="BP110" s="16"/>
      <c r="BQ110" s="16"/>
      <c r="BR110" s="16"/>
      <c r="BS110" s="16"/>
      <c r="BT110" s="16"/>
      <c r="BU110" s="16"/>
      <c r="BV110" s="16"/>
      <c r="BW110" s="16"/>
      <c r="BX110" s="16"/>
      <c r="BY110" s="16"/>
      <c r="BZ110" s="16"/>
      <c r="CA110" s="16"/>
      <c r="CB110" s="16"/>
      <c r="CC110" s="16"/>
      <c r="CD110" s="16"/>
      <c r="CE110" s="16"/>
      <c r="CF110" s="16"/>
      <c r="CG110" s="16"/>
      <c r="CH110" s="16"/>
      <c r="CI110" s="16"/>
      <c r="CJ110" s="16"/>
      <c r="CK110" s="16"/>
      <c r="CL110" s="16"/>
      <c r="CM110" s="16"/>
      <c r="CN110" s="16"/>
      <c r="CO110" s="16"/>
      <c r="CP110" s="16"/>
      <c r="CQ110" s="16"/>
      <c r="CR110" s="16"/>
      <c r="CS110" s="16"/>
      <c r="CT110" s="16"/>
      <c r="CU110" s="16"/>
      <c r="CV110" s="16"/>
      <c r="CW110" s="16"/>
      <c r="CX110" s="16"/>
      <c r="CY110" s="16"/>
      <c r="CZ110" s="16"/>
      <c r="DA110" s="16"/>
      <c r="DB110" s="16"/>
      <c r="DC110" s="16"/>
      <c r="DD110" s="16"/>
      <c r="DE110" s="16"/>
      <c r="DF110" s="16"/>
      <c r="DG110" s="16"/>
      <c r="DH110" s="16"/>
      <c r="DI110" s="16"/>
      <c r="DJ110" s="16"/>
      <c r="DK110" s="16"/>
      <c r="DL110" s="16"/>
      <c r="DM110" s="16"/>
      <c r="DN110" s="16"/>
      <c r="DO110" s="16"/>
      <c r="DP110" s="16"/>
      <c r="DQ110" s="16"/>
      <c r="DR110" s="16"/>
      <c r="DS110" s="16"/>
      <c r="DT110" s="16"/>
      <c r="DU110" s="16"/>
      <c r="DV110" s="16"/>
      <c r="DW110" s="16"/>
      <c r="DX110" s="16"/>
      <c r="DY110" s="16"/>
      <c r="DZ110" s="16"/>
      <c r="EA110" s="16"/>
      <c r="EB110" s="16"/>
      <c r="EC110" s="16"/>
      <c r="ED110" s="16"/>
      <c r="EE110" s="16"/>
      <c r="EF110" s="16"/>
      <c r="EG110" s="16"/>
      <c r="EH110" s="16"/>
      <c r="EI110" s="16"/>
      <c r="EJ110" s="16"/>
      <c r="EK110" s="16"/>
      <c r="EL110" s="16"/>
      <c r="EM110" s="16"/>
      <c r="EN110" s="16"/>
      <c r="EO110" s="16"/>
      <c r="EP110" s="16"/>
      <c r="EQ110" s="16"/>
      <c r="ER110" s="16"/>
      <c r="ES110" s="16"/>
      <c r="ET110" s="16"/>
      <c r="EU110" s="16"/>
      <c r="EV110" s="16"/>
      <c r="EW110" s="16"/>
      <c r="EX110" s="16"/>
      <c r="EY110" s="16"/>
      <c r="EZ110" s="16"/>
      <c r="FA110" s="16"/>
      <c r="FB110" s="16"/>
    </row>
    <row r="111" spans="2:158" x14ac:dyDescent="0.25">
      <c r="C111" t="s">
        <v>537</v>
      </c>
      <c r="D111" s="16">
        <f>BJ111</f>
        <v>83</v>
      </c>
      <c r="E111" s="16">
        <f>BV111</f>
        <v>107</v>
      </c>
      <c r="F111" s="16">
        <f>CH111</f>
        <v>140</v>
      </c>
      <c r="G111" s="16">
        <f>CT111</f>
        <v>248</v>
      </c>
      <c r="H111" s="55">
        <f>DF111</f>
        <v>340.82570840537682</v>
      </c>
      <c r="I111" s="55">
        <f>DR111</f>
        <v>451.05320990930113</v>
      </c>
      <c r="J111" s="55">
        <f>ED111</f>
        <v>562.39110028603943</v>
      </c>
      <c r="K111" s="55">
        <f>EP111</f>
        <v>690.3298483624759</v>
      </c>
      <c r="L111" s="55">
        <f>FB111</f>
        <v>834.15013165298103</v>
      </c>
      <c r="N111" s="16">
        <f>BA111</f>
        <v>55</v>
      </c>
      <c r="O111" s="16">
        <f t="shared" ref="O111" si="1185">BD111</f>
        <v>64</v>
      </c>
      <c r="P111" s="16">
        <f t="shared" ref="P111" si="1186">BG111</f>
        <v>70</v>
      </c>
      <c r="Q111" s="16">
        <f t="shared" ref="Q111" si="1187">BJ111</f>
        <v>83</v>
      </c>
      <c r="R111" s="16">
        <f t="shared" ref="R111" si="1188">BM111</f>
        <v>87</v>
      </c>
      <c r="S111" s="16">
        <f t="shared" ref="S111" si="1189">BP111</f>
        <v>101</v>
      </c>
      <c r="T111" s="16">
        <f t="shared" ref="T111" si="1190">BS111</f>
        <v>104</v>
      </c>
      <c r="U111" s="16">
        <f t="shared" ref="U111" si="1191">BV111</f>
        <v>107</v>
      </c>
      <c r="V111" s="16">
        <f t="shared" ref="V111" si="1192">BY111</f>
        <v>115</v>
      </c>
      <c r="W111" s="16">
        <f t="shared" ref="W111" si="1193">CB111</f>
        <v>129</v>
      </c>
      <c r="X111" s="16">
        <f t="shared" ref="X111" si="1194">CE111</f>
        <v>131</v>
      </c>
      <c r="Y111" s="16">
        <f t="shared" ref="Y111" si="1195">CH111</f>
        <v>140</v>
      </c>
      <c r="Z111" s="16">
        <f t="shared" ref="Z111" si="1196">CK111</f>
        <v>152</v>
      </c>
      <c r="AA111" s="16">
        <f t="shared" ref="AA111" si="1197">CN111</f>
        <v>170</v>
      </c>
      <c r="AB111" s="16">
        <f t="shared" ref="AB111" si="1198">CQ111</f>
        <v>207</v>
      </c>
      <c r="AC111" s="16">
        <f t="shared" ref="AC111" si="1199">CT111</f>
        <v>248</v>
      </c>
      <c r="AD111" s="16">
        <f t="shared" ref="AD111" si="1200">CW111</f>
        <v>250.02173913043478</v>
      </c>
      <c r="AE111" s="16">
        <f t="shared" ref="AE111" si="1201">CZ111</f>
        <v>270.32554110288612</v>
      </c>
      <c r="AF111" s="16">
        <f t="shared" ref="AF111" si="1202">DC111</f>
        <v>298.81067940223949</v>
      </c>
      <c r="AG111" s="16">
        <f t="shared" ref="AG111" si="1203">DF111</f>
        <v>340.82570840537682</v>
      </c>
      <c r="AH111" s="16">
        <f t="shared" ref="AH111" si="1204">DI111</f>
        <v>340.82570840537682</v>
      </c>
      <c r="AI111" s="16">
        <f t="shared" ref="AI111" si="1205">DL111</f>
        <v>363.64449385458107</v>
      </c>
      <c r="AJ111" s="16">
        <f t="shared" ref="AJ111" si="1206">DO111</f>
        <v>400.25075950794877</v>
      </c>
      <c r="AK111" s="16">
        <f t="shared" ref="AK111" si="1207">DR111</f>
        <v>451.05320990930113</v>
      </c>
      <c r="AL111" s="16">
        <f t="shared" ref="AL111" si="1208">DU111</f>
        <v>451.05320990930113</v>
      </c>
      <c r="AM111" s="16">
        <f t="shared" ref="AM111" si="1209">DX111</f>
        <v>456.80988314360917</v>
      </c>
      <c r="AN111" s="16">
        <f t="shared" ref="AN111" si="1210">EA111</f>
        <v>501.02721578327896</v>
      </c>
      <c r="AO111" s="16">
        <f t="shared" ref="AO111" si="1211">ED111</f>
        <v>562.39110028603943</v>
      </c>
      <c r="AP111" s="16">
        <f t="shared" ref="AP111" si="1212">EG111</f>
        <v>562.39110028603943</v>
      </c>
      <c r="AQ111" s="16">
        <f t="shared" ref="AQ111" si="1213">EJ111</f>
        <v>564.96903053789879</v>
      </c>
      <c r="AR111" s="16">
        <f t="shared" ref="AR111" si="1214">EM111</f>
        <v>617.47028173479589</v>
      </c>
      <c r="AS111" s="16">
        <f t="shared" ref="AS111" si="1215">EP111</f>
        <v>690.3298483624759</v>
      </c>
      <c r="AT111" s="16">
        <f t="shared" ref="AT111" si="1216">ES111</f>
        <v>690.3298483624759</v>
      </c>
      <c r="AU111" s="16">
        <f t="shared" ref="AU111" si="1217">EV111</f>
        <v>690.3298483624759</v>
      </c>
      <c r="AV111" s="16">
        <f t="shared" ref="AV111" si="1218">EY111</f>
        <v>749.1482492795418</v>
      </c>
      <c r="AW111" s="16">
        <f t="shared" ref="AW111" si="1219">FB111</f>
        <v>834.15013165298103</v>
      </c>
      <c r="AY111" s="16">
        <v>51</v>
      </c>
      <c r="AZ111" s="16">
        <v>54</v>
      </c>
      <c r="BA111" s="16">
        <v>55</v>
      </c>
      <c r="BB111" s="16">
        <v>54.25</v>
      </c>
      <c r="BC111" s="16">
        <v>61</v>
      </c>
      <c r="BD111" s="16">
        <v>64</v>
      </c>
      <c r="BE111" s="16">
        <v>68</v>
      </c>
      <c r="BF111" s="16">
        <v>69</v>
      </c>
      <c r="BG111" s="16">
        <v>70</v>
      </c>
      <c r="BH111" s="16">
        <v>74</v>
      </c>
      <c r="BI111" s="16">
        <v>76</v>
      </c>
      <c r="BJ111" s="16">
        <v>83</v>
      </c>
      <c r="BK111" s="16">
        <v>86</v>
      </c>
      <c r="BL111" s="16">
        <v>87</v>
      </c>
      <c r="BM111" s="16">
        <v>87</v>
      </c>
      <c r="BN111" s="16">
        <v>92</v>
      </c>
      <c r="BO111" s="16">
        <v>95</v>
      </c>
      <c r="BP111" s="16">
        <v>101</v>
      </c>
      <c r="BQ111" s="16">
        <v>98</v>
      </c>
      <c r="BR111" s="16">
        <v>102</v>
      </c>
      <c r="BS111" s="16">
        <v>104</v>
      </c>
      <c r="BT111" s="16">
        <v>106</v>
      </c>
      <c r="BU111" s="16">
        <v>102</v>
      </c>
      <c r="BV111" s="16">
        <v>107</v>
      </c>
      <c r="BW111" s="16">
        <v>109</v>
      </c>
      <c r="BX111" s="16">
        <v>111</v>
      </c>
      <c r="BY111" s="16">
        <v>115</v>
      </c>
      <c r="BZ111" s="16">
        <v>118</v>
      </c>
      <c r="CA111" s="16">
        <v>130</v>
      </c>
      <c r="CB111" s="16">
        <v>129</v>
      </c>
      <c r="CC111" s="16">
        <v>129</v>
      </c>
      <c r="CD111" s="16">
        <v>128</v>
      </c>
      <c r="CE111" s="16">
        <v>131</v>
      </c>
      <c r="CF111" s="16">
        <v>135</v>
      </c>
      <c r="CG111" s="16">
        <v>136</v>
      </c>
      <c r="CH111" s="16">
        <v>140</v>
      </c>
      <c r="CI111" s="16">
        <v>146</v>
      </c>
      <c r="CJ111" s="16">
        <v>151</v>
      </c>
      <c r="CK111" s="16">
        <v>152</v>
      </c>
      <c r="CL111" s="16">
        <v>154</v>
      </c>
      <c r="CM111" s="16">
        <v>166</v>
      </c>
      <c r="CN111" s="16">
        <v>170</v>
      </c>
      <c r="CO111" s="16">
        <v>180</v>
      </c>
      <c r="CP111" s="16">
        <v>195</v>
      </c>
      <c r="CQ111" s="16">
        <v>207</v>
      </c>
      <c r="CR111" s="16">
        <v>222</v>
      </c>
      <c r="CS111" s="16">
        <v>235</v>
      </c>
      <c r="CT111" s="16">
        <v>248</v>
      </c>
      <c r="CU111" s="16">
        <f>CU112</f>
        <v>250.02173913043478</v>
      </c>
      <c r="CV111" s="16">
        <f t="shared" ref="CV111:FB111" si="1220">CV112</f>
        <v>250.02173913043478</v>
      </c>
      <c r="CW111" s="16">
        <f t="shared" si="1220"/>
        <v>250.02173913043478</v>
      </c>
      <c r="CX111" s="16">
        <f t="shared" si="1220"/>
        <v>250.4410778652059</v>
      </c>
      <c r="CY111" s="16">
        <f t="shared" si="1220"/>
        <v>257.9191796406754</v>
      </c>
      <c r="CZ111" s="16">
        <f t="shared" si="1220"/>
        <v>270.32554110288612</v>
      </c>
      <c r="DA111" s="16">
        <f t="shared" si="1220"/>
        <v>279.69576115288282</v>
      </c>
      <c r="DB111" s="16">
        <f t="shared" si="1220"/>
        <v>286.34442527684382</v>
      </c>
      <c r="DC111" s="16">
        <f t="shared" si="1220"/>
        <v>298.81067940223949</v>
      </c>
      <c r="DD111" s="16">
        <f t="shared" si="1220"/>
        <v>309.92826011719416</v>
      </c>
      <c r="DE111" s="16">
        <f t="shared" si="1220"/>
        <v>321.79695585222544</v>
      </c>
      <c r="DF111" s="16">
        <f t="shared" si="1220"/>
        <v>340.82570840537682</v>
      </c>
      <c r="DG111" s="16">
        <f t="shared" si="1220"/>
        <v>340.82570840537682</v>
      </c>
      <c r="DH111" s="16">
        <f t="shared" si="1220"/>
        <v>340.82570840537682</v>
      </c>
      <c r="DI111" s="16">
        <f t="shared" si="1220"/>
        <v>340.82570840537682</v>
      </c>
      <c r="DJ111" s="16">
        <f t="shared" si="1220"/>
        <v>340.82570840537682</v>
      </c>
      <c r="DK111" s="16">
        <f t="shared" si="1220"/>
        <v>347.10823722358987</v>
      </c>
      <c r="DL111" s="16">
        <f t="shared" si="1220"/>
        <v>363.64449385458107</v>
      </c>
      <c r="DM111" s="16">
        <f t="shared" si="1220"/>
        <v>375.91191181566205</v>
      </c>
      <c r="DN111" s="16">
        <f t="shared" si="1220"/>
        <v>384.356180414645</v>
      </c>
      <c r="DO111" s="16">
        <f t="shared" si="1220"/>
        <v>400.25075950794877</v>
      </c>
      <c r="DP111" s="16">
        <f t="shared" si="1220"/>
        <v>413.8756992450966</v>
      </c>
      <c r="DQ111" s="16">
        <f t="shared" si="1220"/>
        <v>427.89505591427934</v>
      </c>
      <c r="DR111" s="16">
        <f t="shared" si="1220"/>
        <v>451.05320990930113</v>
      </c>
      <c r="DS111" s="16">
        <f t="shared" si="1220"/>
        <v>451.05320990930113</v>
      </c>
      <c r="DT111" s="16">
        <f t="shared" si="1220"/>
        <v>451.05320990930113</v>
      </c>
      <c r="DU111" s="16">
        <f t="shared" si="1220"/>
        <v>451.05320990930113</v>
      </c>
      <c r="DV111" s="16">
        <f t="shared" si="1220"/>
        <v>451.05320990930113</v>
      </c>
      <c r="DW111" s="16">
        <f t="shared" si="1220"/>
        <v>451.05320990930113</v>
      </c>
      <c r="DX111" s="16">
        <f t="shared" si="1220"/>
        <v>456.80988314360917</v>
      </c>
      <c r="DY111" s="16">
        <f t="shared" si="1220"/>
        <v>471.62697814441657</v>
      </c>
      <c r="DZ111" s="16">
        <f t="shared" si="1220"/>
        <v>481.82616174345094</v>
      </c>
      <c r="EA111" s="16">
        <f t="shared" si="1220"/>
        <v>501.02721578327896</v>
      </c>
      <c r="EB111" s="16">
        <f t="shared" si="1220"/>
        <v>517.48530940532896</v>
      </c>
      <c r="EC111" s="16">
        <f t="shared" si="1220"/>
        <v>534.41800437295274</v>
      </c>
      <c r="ED111" s="16">
        <f t="shared" si="1220"/>
        <v>562.39110028603943</v>
      </c>
      <c r="EE111" s="16">
        <f t="shared" si="1220"/>
        <v>562.39110028603943</v>
      </c>
      <c r="EF111" s="16">
        <f t="shared" si="1220"/>
        <v>562.39110028603943</v>
      </c>
      <c r="EG111" s="16">
        <f t="shared" si="1220"/>
        <v>562.39110028603943</v>
      </c>
      <c r="EH111" s="16">
        <f t="shared" si="1220"/>
        <v>562.39110028603943</v>
      </c>
      <c r="EI111" s="16">
        <f t="shared" si="1220"/>
        <v>562.39110028603943</v>
      </c>
      <c r="EJ111" s="16">
        <f t="shared" si="1220"/>
        <v>564.96903053789879</v>
      </c>
      <c r="EK111" s="16">
        <f t="shared" si="1220"/>
        <v>582.56162536207137</v>
      </c>
      <c r="EL111" s="16">
        <f t="shared" si="1220"/>
        <v>594.67122478998033</v>
      </c>
      <c r="EM111" s="16">
        <f t="shared" si="1220"/>
        <v>617.47028173479589</v>
      </c>
      <c r="EN111" s="16">
        <f t="shared" si="1220"/>
        <v>637.01185821196964</v>
      </c>
      <c r="EO111" s="16">
        <f t="shared" si="1220"/>
        <v>657.11613356718965</v>
      </c>
      <c r="EP111" s="16">
        <f t="shared" si="1220"/>
        <v>690.3298483624759</v>
      </c>
      <c r="EQ111" s="16">
        <f t="shared" si="1220"/>
        <v>690.3298483624759</v>
      </c>
      <c r="ER111" s="16">
        <f t="shared" si="1220"/>
        <v>690.3298483624759</v>
      </c>
      <c r="ES111" s="16">
        <f t="shared" si="1220"/>
        <v>690.3298483624759</v>
      </c>
      <c r="ET111" s="16">
        <f t="shared" si="1220"/>
        <v>690.3298483624759</v>
      </c>
      <c r="EU111" s="16">
        <f t="shared" si="1220"/>
        <v>690.3298483624759</v>
      </c>
      <c r="EV111" s="16">
        <f t="shared" si="1220"/>
        <v>690.3298483624759</v>
      </c>
      <c r="EW111" s="16">
        <f t="shared" si="1220"/>
        <v>708.4218717552958</v>
      </c>
      <c r="EX111" s="16">
        <f t="shared" si="1220"/>
        <v>722.54955603654685</v>
      </c>
      <c r="EY111" s="16">
        <f t="shared" si="1220"/>
        <v>749.1482492795418</v>
      </c>
      <c r="EZ111" s="16">
        <f t="shared" si="1220"/>
        <v>771.94652841459538</v>
      </c>
      <c r="FA111" s="16">
        <f t="shared" si="1220"/>
        <v>795.40120580349833</v>
      </c>
      <c r="FB111" s="16">
        <f t="shared" si="1220"/>
        <v>834.15013165298103</v>
      </c>
    </row>
    <row r="112" spans="2:158" x14ac:dyDescent="0.25">
      <c r="C112" t="s">
        <v>538</v>
      </c>
      <c r="D112" s="16">
        <f>AVERAGE(AY112:BJ112)</f>
        <v>64.9375</v>
      </c>
      <c r="E112" s="16">
        <f>AVERAGE(BK112:BV112)</f>
        <v>97.25</v>
      </c>
      <c r="F112" s="16">
        <f>AVERAGE(BW112:CH112)</f>
        <v>125.91666666666667</v>
      </c>
      <c r="G112" s="16">
        <f>AVERAGE(CI112:CT112)</f>
        <v>185.5</v>
      </c>
      <c r="H112" s="16">
        <f>AVERAGE(CU112:DF112)</f>
        <v>280.51273385056953</v>
      </c>
      <c r="I112" s="55">
        <f>AVERAGE(DG112:DR112)</f>
        <v>377.28319845888427</v>
      </c>
      <c r="J112" s="55">
        <f>AVERAGE(DS112:ED112)</f>
        <v>481.73755853546521</v>
      </c>
      <c r="K112" s="55">
        <f>AVERAGE(EE112:EP112)</f>
        <v>596.34045866638155</v>
      </c>
      <c r="L112" s="55">
        <f>AVERAGE(EQ112:FB112)</f>
        <v>726.96638609310958</v>
      </c>
      <c r="N112" s="16">
        <f>AVERAGE(AY112:BA112)</f>
        <v>53.333333333333336</v>
      </c>
      <c r="O112" s="16">
        <f>AVERAGE(BB112:BD112)</f>
        <v>59.75</v>
      </c>
      <c r="P112" s="16">
        <f>AVERAGE(BE112:BG112)</f>
        <v>69</v>
      </c>
      <c r="Q112" s="16">
        <f>AVERAGE(BH112:BJ112)</f>
        <v>77.666666666666671</v>
      </c>
      <c r="R112" s="16">
        <f>AVERAGE(BK112:BM112)</f>
        <v>86.666666666666671</v>
      </c>
      <c r="S112" s="16">
        <f>AVERAGE(BN112:BP112)</f>
        <v>96</v>
      </c>
      <c r="T112" s="16">
        <f>AVERAGE(BQ112:BS112)</f>
        <v>101.33333333333333</v>
      </c>
      <c r="U112" s="16">
        <f>AVERAGE(BT112:BV112)</f>
        <v>105</v>
      </c>
      <c r="V112" s="16">
        <f>AVERAGE(BW112:BY112)</f>
        <v>111.66666666666667</v>
      </c>
      <c r="W112" s="16">
        <f>AVERAGE(BZ112:CB112)</f>
        <v>125.66666666666667</v>
      </c>
      <c r="X112" s="16">
        <f>AVERAGE(CC112:CE112)</f>
        <v>129.33333333333334</v>
      </c>
      <c r="Y112" s="16">
        <f>AVERAGE(CF112:CH112)</f>
        <v>137</v>
      </c>
      <c r="Z112" s="16">
        <f>AVERAGE(CI112:CK112)</f>
        <v>149.66666666666666</v>
      </c>
      <c r="AA112" s="16">
        <f>AVERAGE(CL112:CN112)</f>
        <v>163.33333333333334</v>
      </c>
      <c r="AB112" s="16">
        <f>AVERAGE(CO112:CQ112)</f>
        <v>194</v>
      </c>
      <c r="AC112" s="16">
        <f>AVERAGE(CR112:CT112)</f>
        <v>235</v>
      </c>
      <c r="AD112" s="16">
        <f>AVERAGE(CU112:CW112)</f>
        <v>250.02173913043478</v>
      </c>
      <c r="AE112" s="16">
        <f>AVERAGE(CX112:CZ112)</f>
        <v>259.56193286958916</v>
      </c>
      <c r="AF112" s="16">
        <f>AVERAGE(DA112:DC112)</f>
        <v>288.28362194398869</v>
      </c>
      <c r="AG112" s="16">
        <f>AVERAGE(DD112:DF112)</f>
        <v>324.18364145826553</v>
      </c>
      <c r="AH112" s="16">
        <f>AVERAGE(DG112:DI112)</f>
        <v>340.82570840537682</v>
      </c>
      <c r="AI112" s="16">
        <f>AVERAGE(DJ112:DL112)</f>
        <v>350.5261464945159</v>
      </c>
      <c r="AJ112" s="16">
        <f>AVERAGE(DM112:DO112)</f>
        <v>386.83961724608525</v>
      </c>
      <c r="AK112" s="16">
        <f>AVERAGE(DP112:DR112)</f>
        <v>430.94132168955906</v>
      </c>
      <c r="AL112" s="16">
        <f>AVERAGE(DS112:DU112)</f>
        <v>451.05320990930113</v>
      </c>
      <c r="AM112" s="16">
        <f>AVERAGE(DV112:DX112)</f>
        <v>452.97210098740379</v>
      </c>
      <c r="AN112" s="16">
        <f>AVERAGE(DY112:EA112)</f>
        <v>484.82678522371549</v>
      </c>
      <c r="AO112" s="16">
        <f>AVERAGE(EB112:ED112)</f>
        <v>538.09813802144038</v>
      </c>
      <c r="AP112" s="16">
        <f>AVERAGE(EE112:EG112)</f>
        <v>562.39110028603943</v>
      </c>
      <c r="AQ112" s="16">
        <f>AVERAGE(EH112:EJ112)</f>
        <v>563.25041036999255</v>
      </c>
      <c r="AR112" s="16">
        <f>AVERAGE(EK112:EM112)</f>
        <v>598.2343772956159</v>
      </c>
      <c r="AS112" s="16">
        <f>AVERAGE(EN112:EP112)</f>
        <v>661.48594671387843</v>
      </c>
      <c r="AT112" s="16">
        <f>AVERAGE(EQ112:ES112)</f>
        <v>690.3298483624759</v>
      </c>
      <c r="AU112" s="16">
        <f>AVERAGE(ET112:EV112)</f>
        <v>690.3298483624759</v>
      </c>
      <c r="AV112" s="16">
        <f>AVERAGE(EW112:EY112)</f>
        <v>726.70655902379485</v>
      </c>
      <c r="AW112" s="16">
        <f>AVERAGE(EZ112:FB112)</f>
        <v>800.49928862369154</v>
      </c>
      <c r="AY112" s="16">
        <f>AY111</f>
        <v>51</v>
      </c>
      <c r="AZ112" s="16">
        <f t="shared" ref="AZ112" si="1221">AZ111</f>
        <v>54</v>
      </c>
      <c r="BA112" s="16">
        <f t="shared" ref="BA112" si="1222">BA111</f>
        <v>55</v>
      </c>
      <c r="BB112" s="16">
        <f t="shared" ref="BB112" si="1223">BB111</f>
        <v>54.25</v>
      </c>
      <c r="BC112" s="16">
        <f t="shared" ref="BC112" si="1224">BC111</f>
        <v>61</v>
      </c>
      <c r="BD112" s="16">
        <f t="shared" ref="BD112" si="1225">BD111</f>
        <v>64</v>
      </c>
      <c r="BE112" s="16">
        <f t="shared" ref="BE112" si="1226">BE111</f>
        <v>68</v>
      </c>
      <c r="BF112" s="16">
        <f t="shared" ref="BF112" si="1227">BF111</f>
        <v>69</v>
      </c>
      <c r="BG112" s="16">
        <f t="shared" ref="BG112" si="1228">BG111</f>
        <v>70</v>
      </c>
      <c r="BH112" s="16">
        <f t="shared" ref="BH112" si="1229">BH111</f>
        <v>74</v>
      </c>
      <c r="BI112" s="16">
        <f t="shared" ref="BI112" si="1230">BI111</f>
        <v>76</v>
      </c>
      <c r="BJ112" s="16">
        <f t="shared" ref="BJ112" si="1231">BJ111</f>
        <v>83</v>
      </c>
      <c r="BK112" s="16">
        <f t="shared" ref="BK112" si="1232">BK111</f>
        <v>86</v>
      </c>
      <c r="BL112" s="16">
        <f t="shared" ref="BL112" si="1233">BL111</f>
        <v>87</v>
      </c>
      <c r="BM112" s="16">
        <f t="shared" ref="BM112" si="1234">BM111</f>
        <v>87</v>
      </c>
      <c r="BN112" s="16">
        <f t="shared" ref="BN112" si="1235">BN111</f>
        <v>92</v>
      </c>
      <c r="BO112" s="16">
        <f t="shared" ref="BO112" si="1236">BO111</f>
        <v>95</v>
      </c>
      <c r="BP112" s="16">
        <f t="shared" ref="BP112" si="1237">BP111</f>
        <v>101</v>
      </c>
      <c r="BQ112" s="16">
        <f t="shared" ref="BQ112" si="1238">BQ111</f>
        <v>98</v>
      </c>
      <c r="BR112" s="16">
        <f t="shared" ref="BR112" si="1239">BR111</f>
        <v>102</v>
      </c>
      <c r="BS112" s="16">
        <f t="shared" ref="BS112" si="1240">BS111</f>
        <v>104</v>
      </c>
      <c r="BT112" s="16">
        <f t="shared" ref="BT112" si="1241">BT111</f>
        <v>106</v>
      </c>
      <c r="BU112" s="16">
        <f t="shared" ref="BU112" si="1242">BU111</f>
        <v>102</v>
      </c>
      <c r="BV112" s="16">
        <f t="shared" ref="BV112" si="1243">BV111</f>
        <v>107</v>
      </c>
      <c r="BW112" s="16">
        <f t="shared" ref="BW112" si="1244">BW111</f>
        <v>109</v>
      </c>
      <c r="BX112" s="16">
        <f t="shared" ref="BX112" si="1245">BX111</f>
        <v>111</v>
      </c>
      <c r="BY112" s="16">
        <f t="shared" ref="BY112" si="1246">BY111</f>
        <v>115</v>
      </c>
      <c r="BZ112" s="16">
        <f t="shared" ref="BZ112" si="1247">BZ111</f>
        <v>118</v>
      </c>
      <c r="CA112" s="16">
        <f t="shared" ref="CA112" si="1248">CA111</f>
        <v>130</v>
      </c>
      <c r="CB112" s="16">
        <f t="shared" ref="CB112" si="1249">CB111</f>
        <v>129</v>
      </c>
      <c r="CC112" s="16">
        <f t="shared" ref="CC112" si="1250">CC111</f>
        <v>129</v>
      </c>
      <c r="CD112" s="16">
        <f t="shared" ref="CD112" si="1251">CD111</f>
        <v>128</v>
      </c>
      <c r="CE112" s="16">
        <f t="shared" ref="CE112" si="1252">CE111</f>
        <v>131</v>
      </c>
      <c r="CF112" s="16">
        <f t="shared" ref="CF112" si="1253">CF111</f>
        <v>135</v>
      </c>
      <c r="CG112" s="16">
        <f t="shared" ref="CG112" si="1254">CG111</f>
        <v>136</v>
      </c>
      <c r="CH112" s="16">
        <f t="shared" ref="CH112" si="1255">CH111</f>
        <v>140</v>
      </c>
      <c r="CI112" s="16">
        <f t="shared" ref="CI112" si="1256">CI111</f>
        <v>146</v>
      </c>
      <c r="CJ112" s="16">
        <f t="shared" ref="CJ112" si="1257">CJ111</f>
        <v>151</v>
      </c>
      <c r="CK112" s="16">
        <f t="shared" ref="CK112" si="1258">CK111</f>
        <v>152</v>
      </c>
      <c r="CL112" s="16">
        <f t="shared" ref="CL112" si="1259">CL111</f>
        <v>154</v>
      </c>
      <c r="CM112" s="16">
        <f t="shared" ref="CM112" si="1260">CM111</f>
        <v>166</v>
      </c>
      <c r="CN112" s="16">
        <f t="shared" ref="CN112" si="1261">CN111</f>
        <v>170</v>
      </c>
      <c r="CO112" s="16">
        <f t="shared" ref="CO112" si="1262">CO111</f>
        <v>180</v>
      </c>
      <c r="CP112" s="16">
        <f t="shared" ref="CP112" si="1263">CP111</f>
        <v>195</v>
      </c>
      <c r="CQ112" s="16">
        <f t="shared" ref="CQ112" si="1264">CQ111</f>
        <v>207</v>
      </c>
      <c r="CR112" s="16">
        <f t="shared" ref="CR112" si="1265">CR111</f>
        <v>222</v>
      </c>
      <c r="CS112" s="16">
        <f t="shared" ref="CS112" si="1266">CS111</f>
        <v>235</v>
      </c>
      <c r="CT112" s="16">
        <f t="shared" ref="CT112" si="1267">CT111</f>
        <v>248</v>
      </c>
      <c r="CU112" s="16">
        <f>CU107*CU114</f>
        <v>250.02173913043478</v>
      </c>
      <c r="CV112" s="16">
        <f t="shared" ref="CV112:FB112" si="1268">CV107*CV114</f>
        <v>250.02173913043478</v>
      </c>
      <c r="CW112" s="16">
        <f t="shared" si="1268"/>
        <v>250.02173913043478</v>
      </c>
      <c r="CX112" s="16">
        <f t="shared" si="1268"/>
        <v>250.4410778652059</v>
      </c>
      <c r="CY112" s="16">
        <f t="shared" si="1268"/>
        <v>257.9191796406754</v>
      </c>
      <c r="CZ112" s="16">
        <f t="shared" si="1268"/>
        <v>270.32554110288612</v>
      </c>
      <c r="DA112" s="16">
        <f t="shared" si="1268"/>
        <v>279.69576115288282</v>
      </c>
      <c r="DB112" s="16">
        <f t="shared" si="1268"/>
        <v>286.34442527684382</v>
      </c>
      <c r="DC112" s="16">
        <f t="shared" si="1268"/>
        <v>298.81067940223949</v>
      </c>
      <c r="DD112" s="16">
        <f t="shared" si="1268"/>
        <v>309.92826011719416</v>
      </c>
      <c r="DE112" s="16">
        <f t="shared" si="1268"/>
        <v>321.79695585222544</v>
      </c>
      <c r="DF112" s="16">
        <f t="shared" si="1268"/>
        <v>340.82570840537682</v>
      </c>
      <c r="DG112" s="16">
        <f t="shared" si="1268"/>
        <v>340.82570840537682</v>
      </c>
      <c r="DH112" s="16">
        <f t="shared" si="1268"/>
        <v>340.82570840537682</v>
      </c>
      <c r="DI112" s="16">
        <f t="shared" si="1268"/>
        <v>340.82570840537682</v>
      </c>
      <c r="DJ112" s="16">
        <f t="shared" si="1268"/>
        <v>340.82570840537682</v>
      </c>
      <c r="DK112" s="16">
        <f t="shared" si="1268"/>
        <v>347.10823722358987</v>
      </c>
      <c r="DL112" s="16">
        <f t="shared" si="1268"/>
        <v>363.64449385458107</v>
      </c>
      <c r="DM112" s="16">
        <f t="shared" si="1268"/>
        <v>375.91191181566205</v>
      </c>
      <c r="DN112" s="16">
        <f t="shared" si="1268"/>
        <v>384.356180414645</v>
      </c>
      <c r="DO112" s="16">
        <f t="shared" si="1268"/>
        <v>400.25075950794877</v>
      </c>
      <c r="DP112" s="16">
        <f t="shared" si="1268"/>
        <v>413.8756992450966</v>
      </c>
      <c r="DQ112" s="16">
        <f t="shared" si="1268"/>
        <v>427.89505591427934</v>
      </c>
      <c r="DR112" s="16">
        <f t="shared" si="1268"/>
        <v>451.05320990930113</v>
      </c>
      <c r="DS112" s="16">
        <f t="shared" si="1268"/>
        <v>451.05320990930113</v>
      </c>
      <c r="DT112" s="16">
        <f t="shared" si="1268"/>
        <v>451.05320990930113</v>
      </c>
      <c r="DU112" s="16">
        <f t="shared" si="1268"/>
        <v>451.05320990930113</v>
      </c>
      <c r="DV112" s="16">
        <f t="shared" si="1268"/>
        <v>451.05320990930113</v>
      </c>
      <c r="DW112" s="16">
        <f t="shared" si="1268"/>
        <v>451.05320990930113</v>
      </c>
      <c r="DX112" s="16">
        <f t="shared" si="1268"/>
        <v>456.80988314360917</v>
      </c>
      <c r="DY112" s="16">
        <f t="shared" si="1268"/>
        <v>471.62697814441657</v>
      </c>
      <c r="DZ112" s="16">
        <f t="shared" si="1268"/>
        <v>481.82616174345094</v>
      </c>
      <c r="EA112" s="16">
        <f t="shared" si="1268"/>
        <v>501.02721578327896</v>
      </c>
      <c r="EB112" s="16">
        <f t="shared" si="1268"/>
        <v>517.48530940532896</v>
      </c>
      <c r="EC112" s="16">
        <f t="shared" si="1268"/>
        <v>534.41800437295274</v>
      </c>
      <c r="ED112" s="16">
        <f t="shared" si="1268"/>
        <v>562.39110028603943</v>
      </c>
      <c r="EE112" s="16">
        <f t="shared" si="1268"/>
        <v>562.39110028603943</v>
      </c>
      <c r="EF112" s="16">
        <f t="shared" si="1268"/>
        <v>562.39110028603943</v>
      </c>
      <c r="EG112" s="16">
        <f t="shared" si="1268"/>
        <v>562.39110028603943</v>
      </c>
      <c r="EH112" s="16">
        <f t="shared" si="1268"/>
        <v>562.39110028603943</v>
      </c>
      <c r="EI112" s="16">
        <f t="shared" si="1268"/>
        <v>562.39110028603943</v>
      </c>
      <c r="EJ112" s="16">
        <f t="shared" si="1268"/>
        <v>564.96903053789879</v>
      </c>
      <c r="EK112" s="16">
        <f t="shared" si="1268"/>
        <v>582.56162536207137</v>
      </c>
      <c r="EL112" s="16">
        <f t="shared" si="1268"/>
        <v>594.67122478998033</v>
      </c>
      <c r="EM112" s="16">
        <f t="shared" si="1268"/>
        <v>617.47028173479589</v>
      </c>
      <c r="EN112" s="16">
        <f t="shared" si="1268"/>
        <v>637.01185821196964</v>
      </c>
      <c r="EO112" s="16">
        <f t="shared" si="1268"/>
        <v>657.11613356718965</v>
      </c>
      <c r="EP112" s="16">
        <f t="shared" si="1268"/>
        <v>690.3298483624759</v>
      </c>
      <c r="EQ112" s="16">
        <f t="shared" si="1268"/>
        <v>690.3298483624759</v>
      </c>
      <c r="ER112" s="16">
        <f t="shared" si="1268"/>
        <v>690.3298483624759</v>
      </c>
      <c r="ES112" s="16">
        <f t="shared" si="1268"/>
        <v>690.3298483624759</v>
      </c>
      <c r="ET112" s="16">
        <f t="shared" si="1268"/>
        <v>690.3298483624759</v>
      </c>
      <c r="EU112" s="16">
        <f t="shared" si="1268"/>
        <v>690.3298483624759</v>
      </c>
      <c r="EV112" s="16">
        <f t="shared" si="1268"/>
        <v>690.3298483624759</v>
      </c>
      <c r="EW112" s="16">
        <f t="shared" si="1268"/>
        <v>708.4218717552958</v>
      </c>
      <c r="EX112" s="16">
        <f t="shared" si="1268"/>
        <v>722.54955603654685</v>
      </c>
      <c r="EY112" s="16">
        <f t="shared" si="1268"/>
        <v>749.1482492795418</v>
      </c>
      <c r="EZ112" s="16">
        <f t="shared" si="1268"/>
        <v>771.94652841459538</v>
      </c>
      <c r="FA112" s="16">
        <f t="shared" si="1268"/>
        <v>795.40120580349833</v>
      </c>
      <c r="FB112" s="16">
        <f t="shared" si="1268"/>
        <v>834.15013165298103</v>
      </c>
    </row>
    <row r="113" spans="2:158" x14ac:dyDescent="0.25">
      <c r="B113" s="303">
        <f>B108</f>
        <v>0.05</v>
      </c>
      <c r="C113" s="28" t="s">
        <v>518</v>
      </c>
      <c r="D113" s="16">
        <f>D101/D112</f>
        <v>132998.26787295478</v>
      </c>
      <c r="E113" s="16">
        <f t="shared" ref="E113" si="1269">E101/E112</f>
        <v>142181.82159383033</v>
      </c>
      <c r="F113" s="16">
        <f t="shared" ref="F113" si="1270">F101/F112</f>
        <v>141620.70210456653</v>
      </c>
      <c r="G113" s="16">
        <f t="shared" ref="G113" si="1271">G101/G112</f>
        <v>165288.57322632158</v>
      </c>
      <c r="H113" s="249">
        <f>G113*(1+$B113)</f>
        <v>173553.00188763766</v>
      </c>
      <c r="I113" s="249">
        <f t="shared" ref="I113:L113" si="1272">H113*(1+$B113)</f>
        <v>182230.65198201954</v>
      </c>
      <c r="J113" s="249">
        <f t="shared" si="1272"/>
        <v>191342.18458112053</v>
      </c>
      <c r="K113" s="249">
        <f t="shared" si="1272"/>
        <v>200909.29381017658</v>
      </c>
      <c r="L113" s="249">
        <f t="shared" si="1272"/>
        <v>210954.75850068542</v>
      </c>
      <c r="N113" s="16">
        <f>N101/N112</f>
        <v>31945.315499999997</v>
      </c>
      <c r="O113" s="16">
        <f t="shared" ref="O113:AW113" si="1273">O101/O112</f>
        <v>31497.320669456061</v>
      </c>
      <c r="P113" s="16">
        <f t="shared" si="1273"/>
        <v>34130.263333333329</v>
      </c>
      <c r="Q113" s="16">
        <f t="shared" si="1273"/>
        <v>34710.795450643775</v>
      </c>
      <c r="R113" s="16">
        <f t="shared" si="1273"/>
        <v>35518.385769230772</v>
      </c>
      <c r="S113" s="16">
        <f t="shared" si="1273"/>
        <v>35458.32739583333</v>
      </c>
      <c r="T113" s="16">
        <f t="shared" si="1273"/>
        <v>35786.267861842105</v>
      </c>
      <c r="U113" s="16">
        <f t="shared" si="1273"/>
        <v>35415.05533333333</v>
      </c>
      <c r="V113" s="16">
        <f t="shared" si="1273"/>
        <v>34903.055373134324</v>
      </c>
      <c r="W113" s="16">
        <f t="shared" si="1273"/>
        <v>35347.623580901854</v>
      </c>
      <c r="X113" s="16">
        <f t="shared" si="1273"/>
        <v>35453.935128865975</v>
      </c>
      <c r="Y113" s="16">
        <f t="shared" si="1273"/>
        <v>35821.206204379552</v>
      </c>
      <c r="Z113" s="16">
        <f t="shared" si="1273"/>
        <v>41453.128663697105</v>
      </c>
      <c r="AA113" s="16">
        <f t="shared" si="1273"/>
        <v>41957.186999327227</v>
      </c>
      <c r="AB113" s="16">
        <f t="shared" si="1273"/>
        <v>41478.472335368766</v>
      </c>
      <c r="AC113" s="16">
        <f t="shared" si="1273"/>
        <v>40668.288938429803</v>
      </c>
      <c r="AD113" s="16">
        <f t="shared" si="1273"/>
        <v>43388.250471909414</v>
      </c>
      <c r="AE113" s="16">
        <f t="shared" si="1273"/>
        <v>43388.250471909407</v>
      </c>
      <c r="AF113" s="16">
        <f t="shared" si="1273"/>
        <v>43388.250471909414</v>
      </c>
      <c r="AG113" s="16">
        <f t="shared" si="1273"/>
        <v>43388.250471909399</v>
      </c>
      <c r="AH113" s="16">
        <f t="shared" si="1273"/>
        <v>45557.662995504885</v>
      </c>
      <c r="AI113" s="16">
        <f t="shared" si="1273"/>
        <v>45557.662995504892</v>
      </c>
      <c r="AJ113" s="16">
        <f t="shared" si="1273"/>
        <v>45557.662995504885</v>
      </c>
      <c r="AK113" s="16">
        <f t="shared" si="1273"/>
        <v>45557.662995504877</v>
      </c>
      <c r="AL113" s="16">
        <f t="shared" si="1273"/>
        <v>47835.546145280132</v>
      </c>
      <c r="AM113" s="16">
        <f t="shared" si="1273"/>
        <v>47835.546145280139</v>
      </c>
      <c r="AN113" s="16">
        <f t="shared" si="1273"/>
        <v>47835.546145280132</v>
      </c>
      <c r="AO113" s="16">
        <f t="shared" si="1273"/>
        <v>47835.546145280132</v>
      </c>
      <c r="AP113" s="16">
        <f t="shared" si="1273"/>
        <v>50227.323452544144</v>
      </c>
      <c r="AQ113" s="16">
        <f t="shared" si="1273"/>
        <v>50227.323452544144</v>
      </c>
      <c r="AR113" s="16">
        <f t="shared" si="1273"/>
        <v>50227.323452544144</v>
      </c>
      <c r="AS113" s="16">
        <f t="shared" si="1273"/>
        <v>50227.323452544144</v>
      </c>
      <c r="AT113" s="16">
        <f t="shared" si="1273"/>
        <v>52738.689625171362</v>
      </c>
      <c r="AU113" s="16">
        <f t="shared" si="1273"/>
        <v>52738.689625171362</v>
      </c>
      <c r="AV113" s="16">
        <f t="shared" si="1273"/>
        <v>52738.689625171355</v>
      </c>
      <c r="AW113" s="16">
        <f t="shared" si="1273"/>
        <v>52738.689625171355</v>
      </c>
      <c r="AY113" s="16">
        <f>AY101/AY112*12</f>
        <v>139225.17411764705</v>
      </c>
      <c r="AZ113" s="16">
        <f t="shared" ref="AZ113:CT113" si="1274">AZ101/AZ112*12</f>
        <v>118168.2711111111</v>
      </c>
      <c r="BA113" s="16">
        <f t="shared" si="1274"/>
        <v>126607.84363636363</v>
      </c>
      <c r="BB113" s="16">
        <f t="shared" si="1274"/>
        <v>126112.8066359447</v>
      </c>
      <c r="BC113" s="16">
        <f t="shared" si="1274"/>
        <v>121283.44327868853</v>
      </c>
      <c r="BD113" s="16">
        <f t="shared" si="1274"/>
        <v>130369.82999999999</v>
      </c>
      <c r="BE113" s="16">
        <f t="shared" si="1274"/>
        <v>123906.2188235294</v>
      </c>
      <c r="BF113" s="16">
        <f t="shared" si="1274"/>
        <v>124925.64173913043</v>
      </c>
      <c r="BG113" s="16">
        <f t="shared" si="1274"/>
        <v>160205.22685714287</v>
      </c>
      <c r="BH113" s="16">
        <f t="shared" si="1274"/>
        <v>136160.53783783782</v>
      </c>
      <c r="BI113" s="16">
        <f t="shared" si="1274"/>
        <v>134794.35315789474</v>
      </c>
      <c r="BJ113" s="16">
        <f t="shared" si="1274"/>
        <v>144942.29783132527</v>
      </c>
      <c r="BK113" s="16">
        <f t="shared" si="1274"/>
        <v>143628.11860465116</v>
      </c>
      <c r="BL113" s="16">
        <f t="shared" si="1274"/>
        <v>141406.62620689656</v>
      </c>
      <c r="BM113" s="16">
        <f t="shared" si="1274"/>
        <v>141203.75310344831</v>
      </c>
      <c r="BN113" s="16">
        <f t="shared" si="1274"/>
        <v>135907.87173913041</v>
      </c>
      <c r="BO113" s="16">
        <f t="shared" si="1274"/>
        <v>144847.37305263159</v>
      </c>
      <c r="BP113" s="16">
        <f t="shared" si="1274"/>
        <v>144395.72792079207</v>
      </c>
      <c r="BQ113" s="16">
        <f t="shared" si="1274"/>
        <v>144771.40040816323</v>
      </c>
      <c r="BR113" s="16">
        <f t="shared" si="1274"/>
        <v>141130.02352941176</v>
      </c>
      <c r="BS113" s="16">
        <f t="shared" si="1274"/>
        <v>143588.86615384615</v>
      </c>
      <c r="BT113" s="16">
        <f t="shared" si="1274"/>
        <v>143355.67358490566</v>
      </c>
      <c r="BU113" s="16">
        <f t="shared" si="1274"/>
        <v>147655.75411764704</v>
      </c>
      <c r="BV113" s="16">
        <f t="shared" si="1274"/>
        <v>134265.24672897195</v>
      </c>
      <c r="BW113" s="16">
        <f t="shared" si="1274"/>
        <v>143103.26311926602</v>
      </c>
      <c r="BX113" s="16">
        <f t="shared" si="1274"/>
        <v>131146.16108108108</v>
      </c>
      <c r="BY113" s="16">
        <f t="shared" si="1274"/>
        <v>144474.90991304343</v>
      </c>
      <c r="BZ113" s="16">
        <f t="shared" si="1274"/>
        <v>141216.76067796611</v>
      </c>
      <c r="CA113" s="16">
        <f t="shared" si="1274"/>
        <v>137621.40000000002</v>
      </c>
      <c r="CB113" s="16">
        <f t="shared" si="1274"/>
        <v>145347.72558139532</v>
      </c>
      <c r="CC113" s="16">
        <f t="shared" si="1274"/>
        <v>144942.93116279072</v>
      </c>
      <c r="CD113" s="16">
        <f t="shared" si="1274"/>
        <v>143290.32375000001</v>
      </c>
      <c r="CE113" s="16">
        <f t="shared" si="1274"/>
        <v>137295.47908396946</v>
      </c>
      <c r="CF113" s="16">
        <f t="shared" si="1274"/>
        <v>140095.1262222222</v>
      </c>
      <c r="CG113" s="16">
        <f t="shared" si="1274"/>
        <v>138664.36941176467</v>
      </c>
      <c r="CH113" s="16">
        <f t="shared" si="1274"/>
        <v>150849.04799999998</v>
      </c>
      <c r="CI113" s="16">
        <f t="shared" si="1274"/>
        <v>159892.82876712325</v>
      </c>
      <c r="CJ113" s="16">
        <f t="shared" si="1274"/>
        <v>157814.8148344371</v>
      </c>
      <c r="CK113" s="16">
        <f t="shared" si="1274"/>
        <v>179443.61210526316</v>
      </c>
      <c r="CL113" s="16">
        <f t="shared" si="1274"/>
        <v>171364.55922077919</v>
      </c>
      <c r="CM113" s="16">
        <f t="shared" si="1274"/>
        <v>167224.27644980006</v>
      </c>
      <c r="CN113" s="16">
        <f t="shared" si="1274"/>
        <v>165215.96769420331</v>
      </c>
      <c r="CO113" s="16">
        <f t="shared" si="1274"/>
        <v>166782.8005450546</v>
      </c>
      <c r="CP113" s="16">
        <f t="shared" si="1274"/>
        <v>165216.2370750797</v>
      </c>
      <c r="CQ113" s="16">
        <f t="shared" si="1274"/>
        <v>165815.52303858998</v>
      </c>
      <c r="CR113" s="16">
        <f t="shared" si="1274"/>
        <v>162736.45205449176</v>
      </c>
      <c r="CS113" s="16">
        <f t="shared" si="1274"/>
        <v>161386.84964727444</v>
      </c>
      <c r="CT113" s="16">
        <f t="shared" si="1274"/>
        <v>163835.37412566686</v>
      </c>
      <c r="CU113" s="90">
        <f t="shared" ref="CU113:DJ114" si="1275">INDEX($D113:$L113,1,MATCH(CU$2,$D$2:$L$2,))</f>
        <v>173553.00188763766</v>
      </c>
      <c r="CV113" s="90">
        <f t="shared" si="1275"/>
        <v>173553.00188763766</v>
      </c>
      <c r="CW113" s="90">
        <f t="shared" si="1275"/>
        <v>173553.00188763766</v>
      </c>
      <c r="CX113" s="90">
        <f t="shared" si="1275"/>
        <v>173553.00188763766</v>
      </c>
      <c r="CY113" s="90">
        <f t="shared" si="1275"/>
        <v>173553.00188763766</v>
      </c>
      <c r="CZ113" s="90">
        <f t="shared" si="1275"/>
        <v>173553.00188763766</v>
      </c>
      <c r="DA113" s="90">
        <f t="shared" si="1275"/>
        <v>173553.00188763766</v>
      </c>
      <c r="DB113" s="90">
        <f t="shared" si="1275"/>
        <v>173553.00188763766</v>
      </c>
      <c r="DC113" s="90">
        <f t="shared" si="1275"/>
        <v>173553.00188763766</v>
      </c>
      <c r="DD113" s="90">
        <f t="shared" si="1275"/>
        <v>173553.00188763766</v>
      </c>
      <c r="DE113" s="90">
        <f t="shared" si="1275"/>
        <v>173553.00188763766</v>
      </c>
      <c r="DF113" s="90">
        <f t="shared" si="1275"/>
        <v>173553.00188763766</v>
      </c>
      <c r="DG113" s="90">
        <f t="shared" si="1275"/>
        <v>182230.65198201954</v>
      </c>
      <c r="DH113" s="90">
        <f t="shared" si="1275"/>
        <v>182230.65198201954</v>
      </c>
      <c r="DI113" s="90">
        <f t="shared" si="1275"/>
        <v>182230.65198201954</v>
      </c>
      <c r="DJ113" s="90">
        <f t="shared" si="1275"/>
        <v>182230.65198201954</v>
      </c>
      <c r="DK113" s="90">
        <f t="shared" ref="DK113:DZ114" si="1276">INDEX($D113:$L113,1,MATCH(DK$2,$D$2:$L$2,))</f>
        <v>182230.65198201954</v>
      </c>
      <c r="DL113" s="90">
        <f t="shared" si="1276"/>
        <v>182230.65198201954</v>
      </c>
      <c r="DM113" s="90">
        <f t="shared" si="1276"/>
        <v>182230.65198201954</v>
      </c>
      <c r="DN113" s="90">
        <f t="shared" si="1276"/>
        <v>182230.65198201954</v>
      </c>
      <c r="DO113" s="90">
        <f t="shared" si="1276"/>
        <v>182230.65198201954</v>
      </c>
      <c r="DP113" s="90">
        <f t="shared" si="1276"/>
        <v>182230.65198201954</v>
      </c>
      <c r="DQ113" s="90">
        <f t="shared" si="1276"/>
        <v>182230.65198201954</v>
      </c>
      <c r="DR113" s="90">
        <f t="shared" si="1276"/>
        <v>182230.65198201954</v>
      </c>
      <c r="DS113" s="90">
        <f t="shared" si="1276"/>
        <v>191342.18458112053</v>
      </c>
      <c r="DT113" s="90">
        <f t="shared" si="1276"/>
        <v>191342.18458112053</v>
      </c>
      <c r="DU113" s="90">
        <f t="shared" si="1276"/>
        <v>191342.18458112053</v>
      </c>
      <c r="DV113" s="90">
        <f t="shared" si="1276"/>
        <v>191342.18458112053</v>
      </c>
      <c r="DW113" s="90">
        <f t="shared" si="1276"/>
        <v>191342.18458112053</v>
      </c>
      <c r="DX113" s="90">
        <f t="shared" si="1276"/>
        <v>191342.18458112053</v>
      </c>
      <c r="DY113" s="90">
        <f t="shared" si="1276"/>
        <v>191342.18458112053</v>
      </c>
      <c r="DZ113" s="90">
        <f t="shared" si="1276"/>
        <v>191342.18458112053</v>
      </c>
      <c r="EA113" s="90">
        <f t="shared" ref="EA113:EP114" si="1277">INDEX($D113:$L113,1,MATCH(EA$2,$D$2:$L$2,))</f>
        <v>191342.18458112053</v>
      </c>
      <c r="EB113" s="90">
        <f t="shared" si="1277"/>
        <v>191342.18458112053</v>
      </c>
      <c r="EC113" s="90">
        <f t="shared" si="1277"/>
        <v>191342.18458112053</v>
      </c>
      <c r="ED113" s="90">
        <f t="shared" si="1277"/>
        <v>191342.18458112053</v>
      </c>
      <c r="EE113" s="90">
        <f t="shared" si="1277"/>
        <v>200909.29381017658</v>
      </c>
      <c r="EF113" s="90">
        <f t="shared" si="1277"/>
        <v>200909.29381017658</v>
      </c>
      <c r="EG113" s="90">
        <f t="shared" si="1277"/>
        <v>200909.29381017658</v>
      </c>
      <c r="EH113" s="90">
        <f t="shared" si="1277"/>
        <v>200909.29381017658</v>
      </c>
      <c r="EI113" s="90">
        <f t="shared" si="1277"/>
        <v>200909.29381017658</v>
      </c>
      <c r="EJ113" s="90">
        <f t="shared" si="1277"/>
        <v>200909.29381017658</v>
      </c>
      <c r="EK113" s="90">
        <f t="shared" si="1277"/>
        <v>200909.29381017658</v>
      </c>
      <c r="EL113" s="90">
        <f t="shared" si="1277"/>
        <v>200909.29381017658</v>
      </c>
      <c r="EM113" s="90">
        <f t="shared" si="1277"/>
        <v>200909.29381017658</v>
      </c>
      <c r="EN113" s="90">
        <f t="shared" si="1277"/>
        <v>200909.29381017658</v>
      </c>
      <c r="EO113" s="90">
        <f t="shared" si="1277"/>
        <v>200909.29381017658</v>
      </c>
      <c r="EP113" s="90">
        <f t="shared" si="1277"/>
        <v>200909.29381017658</v>
      </c>
      <c r="EQ113" s="90">
        <f t="shared" ref="EQ113:FB114" si="1278">INDEX($D113:$L113,1,MATCH(EQ$2,$D$2:$L$2,))</f>
        <v>210954.75850068542</v>
      </c>
      <c r="ER113" s="90">
        <f t="shared" si="1278"/>
        <v>210954.75850068542</v>
      </c>
      <c r="ES113" s="90">
        <f t="shared" si="1278"/>
        <v>210954.75850068542</v>
      </c>
      <c r="ET113" s="90">
        <f t="shared" si="1278"/>
        <v>210954.75850068542</v>
      </c>
      <c r="EU113" s="90">
        <f t="shared" si="1278"/>
        <v>210954.75850068542</v>
      </c>
      <c r="EV113" s="90">
        <f t="shared" si="1278"/>
        <v>210954.75850068542</v>
      </c>
      <c r="EW113" s="90">
        <f t="shared" si="1278"/>
        <v>210954.75850068542</v>
      </c>
      <c r="EX113" s="90">
        <f t="shared" si="1278"/>
        <v>210954.75850068542</v>
      </c>
      <c r="EY113" s="90">
        <f t="shared" si="1278"/>
        <v>210954.75850068542</v>
      </c>
      <c r="EZ113" s="90">
        <f t="shared" si="1278"/>
        <v>210954.75850068542</v>
      </c>
      <c r="FA113" s="90">
        <f t="shared" si="1278"/>
        <v>210954.75850068542</v>
      </c>
      <c r="FB113" s="90">
        <f t="shared" si="1278"/>
        <v>210954.75850068542</v>
      </c>
    </row>
    <row r="114" spans="2:158" x14ac:dyDescent="0.25">
      <c r="C114" s="28" t="s">
        <v>541</v>
      </c>
      <c r="D114" s="253">
        <f>D112/D107</f>
        <v>5.9034090909090908</v>
      </c>
      <c r="E114" s="253">
        <f t="shared" ref="E114:G114" si="1279">E112/E107</f>
        <v>4.0380622837370241</v>
      </c>
      <c r="F114" s="253">
        <f t="shared" si="1279"/>
        <v>4.1171662125340607</v>
      </c>
      <c r="G114" s="253">
        <f t="shared" si="1279"/>
        <v>4.0326086956521738</v>
      </c>
      <c r="H114" s="254">
        <f>G114</f>
        <v>4.0326086956521738</v>
      </c>
      <c r="I114" s="254">
        <f t="shared" ref="I114:L114" si="1280">H114</f>
        <v>4.0326086956521738</v>
      </c>
      <c r="J114" s="254">
        <f t="shared" si="1280"/>
        <v>4.0326086956521738</v>
      </c>
      <c r="K114" s="254">
        <f t="shared" si="1280"/>
        <v>4.0326086956521738</v>
      </c>
      <c r="L114" s="254">
        <f t="shared" si="1280"/>
        <v>4.0326086956521738</v>
      </c>
      <c r="N114" s="253">
        <f>N112/N107</f>
        <v>5.7142857142857144</v>
      </c>
      <c r="O114" s="253">
        <f t="shared" ref="O114:AW114" si="1281">O112/O107</f>
        <v>6.181034482758621</v>
      </c>
      <c r="P114" s="253">
        <f t="shared" si="1281"/>
        <v>5.5945945945945947</v>
      </c>
      <c r="Q114" s="253">
        <f t="shared" si="1281"/>
        <v>6.1315789473684221</v>
      </c>
      <c r="R114" s="253">
        <f t="shared" si="1281"/>
        <v>4.9056603773584904</v>
      </c>
      <c r="S114" s="253">
        <f t="shared" si="1281"/>
        <v>3.945205479452055</v>
      </c>
      <c r="T114" s="253">
        <f t="shared" si="1281"/>
        <v>3.8481012658227849</v>
      </c>
      <c r="U114" s="253">
        <f t="shared" si="1281"/>
        <v>3.75</v>
      </c>
      <c r="V114" s="253">
        <f t="shared" si="1281"/>
        <v>4.0853658536585371</v>
      </c>
      <c r="W114" s="253">
        <f t="shared" si="1281"/>
        <v>4.053763440860215</v>
      </c>
      <c r="X114" s="253">
        <f t="shared" si="1281"/>
        <v>4.0842105263157897</v>
      </c>
      <c r="Y114" s="253">
        <f t="shared" si="1281"/>
        <v>4.2371134020618557</v>
      </c>
      <c r="Z114" s="253">
        <f t="shared" si="1281"/>
        <v>4.1192660550458706</v>
      </c>
      <c r="AA114" s="253">
        <f t="shared" si="1281"/>
        <v>3.9837398373983741</v>
      </c>
      <c r="AB114" s="253">
        <f t="shared" si="1281"/>
        <v>3.9324324324324325</v>
      </c>
      <c r="AC114" s="253">
        <f t="shared" si="1281"/>
        <v>4.0988372093023253</v>
      </c>
      <c r="AD114" s="253">
        <f t="shared" si="1281"/>
        <v>4.0326086956521738</v>
      </c>
      <c r="AE114" s="253">
        <f t="shared" si="1281"/>
        <v>4.0326086956521738</v>
      </c>
      <c r="AF114" s="253">
        <f t="shared" si="1281"/>
        <v>4.0326086956521738</v>
      </c>
      <c r="AG114" s="253">
        <f t="shared" si="1281"/>
        <v>4.0326086956521747</v>
      </c>
      <c r="AH114" s="253">
        <f t="shared" si="1281"/>
        <v>4.0326086956521738</v>
      </c>
      <c r="AI114" s="253">
        <f t="shared" si="1281"/>
        <v>4.0326086956521738</v>
      </c>
      <c r="AJ114" s="253">
        <f t="shared" si="1281"/>
        <v>4.0326086956521738</v>
      </c>
      <c r="AK114" s="253">
        <f t="shared" si="1281"/>
        <v>4.0326086956521747</v>
      </c>
      <c r="AL114" s="253">
        <f t="shared" si="1281"/>
        <v>4.0326086956521738</v>
      </c>
      <c r="AM114" s="253">
        <f t="shared" si="1281"/>
        <v>4.0326086956521738</v>
      </c>
      <c r="AN114" s="253">
        <f t="shared" si="1281"/>
        <v>4.0326086956521738</v>
      </c>
      <c r="AO114" s="253">
        <f t="shared" si="1281"/>
        <v>4.0326086956521738</v>
      </c>
      <c r="AP114" s="253">
        <f t="shared" si="1281"/>
        <v>4.0326086956521738</v>
      </c>
      <c r="AQ114" s="253">
        <f t="shared" si="1281"/>
        <v>4.0326086956521738</v>
      </c>
      <c r="AR114" s="253">
        <f t="shared" si="1281"/>
        <v>4.0326086956521738</v>
      </c>
      <c r="AS114" s="253">
        <f t="shared" si="1281"/>
        <v>4.0326086956521738</v>
      </c>
      <c r="AT114" s="253">
        <f t="shared" si="1281"/>
        <v>4.0326086956521738</v>
      </c>
      <c r="AU114" s="253">
        <f t="shared" si="1281"/>
        <v>4.0326086956521738</v>
      </c>
      <c r="AV114" s="253">
        <f t="shared" si="1281"/>
        <v>4.0326086956521738</v>
      </c>
      <c r="AW114" s="253">
        <f t="shared" si="1281"/>
        <v>4.0326086956521738</v>
      </c>
      <c r="AY114" s="253">
        <f t="shared" ref="AY114:CT114" si="1282">AY112/AY107</f>
        <v>5.666666666666667</v>
      </c>
      <c r="AZ114" s="253">
        <f t="shared" si="1282"/>
        <v>5.4</v>
      </c>
      <c r="BA114" s="253">
        <f t="shared" si="1282"/>
        <v>6.1111111111111107</v>
      </c>
      <c r="BB114" s="253">
        <f t="shared" si="1282"/>
        <v>6.0277777777777777</v>
      </c>
      <c r="BC114" s="253">
        <f t="shared" si="1282"/>
        <v>6.1</v>
      </c>
      <c r="BD114" s="253">
        <f t="shared" si="1282"/>
        <v>6.4</v>
      </c>
      <c r="BE114" s="253">
        <f t="shared" si="1282"/>
        <v>5.666666666666667</v>
      </c>
      <c r="BF114" s="253">
        <f t="shared" si="1282"/>
        <v>5.3076923076923075</v>
      </c>
      <c r="BG114" s="253">
        <f t="shared" si="1282"/>
        <v>5.833333333333333</v>
      </c>
      <c r="BH114" s="253">
        <f t="shared" si="1282"/>
        <v>6.166666666666667</v>
      </c>
      <c r="BI114" s="253">
        <f t="shared" si="1282"/>
        <v>6.333333333333333</v>
      </c>
      <c r="BJ114" s="253">
        <f t="shared" si="1282"/>
        <v>5.9285714285714288</v>
      </c>
      <c r="BK114" s="253">
        <f t="shared" si="1282"/>
        <v>5.0588235294117645</v>
      </c>
      <c r="BL114" s="253">
        <f t="shared" si="1282"/>
        <v>5.117647058823529</v>
      </c>
      <c r="BM114" s="253">
        <f t="shared" si="1282"/>
        <v>4.5789473684210522</v>
      </c>
      <c r="BN114" s="253">
        <f t="shared" si="1282"/>
        <v>3.8333333333333335</v>
      </c>
      <c r="BO114" s="253">
        <f t="shared" si="1282"/>
        <v>3.8</v>
      </c>
      <c r="BP114" s="253">
        <f t="shared" si="1282"/>
        <v>4.208333333333333</v>
      </c>
      <c r="BQ114" s="253">
        <f t="shared" si="1282"/>
        <v>3.92</v>
      </c>
      <c r="BR114" s="253">
        <f t="shared" si="1282"/>
        <v>3.7777777777777777</v>
      </c>
      <c r="BS114" s="253">
        <f t="shared" si="1282"/>
        <v>3.8518518518518516</v>
      </c>
      <c r="BT114" s="253">
        <f t="shared" si="1282"/>
        <v>3.7857142857142856</v>
      </c>
      <c r="BU114" s="253">
        <f t="shared" si="1282"/>
        <v>3.5172413793103448</v>
      </c>
      <c r="BV114" s="253">
        <f t="shared" si="1282"/>
        <v>3.9629629629629628</v>
      </c>
      <c r="BW114" s="253">
        <f t="shared" si="1282"/>
        <v>4.0370370370370372</v>
      </c>
      <c r="BX114" s="253">
        <f t="shared" si="1282"/>
        <v>4.1111111111111107</v>
      </c>
      <c r="BY114" s="253">
        <f t="shared" si="1282"/>
        <v>4.1071428571428568</v>
      </c>
      <c r="BZ114" s="253">
        <f t="shared" si="1282"/>
        <v>4.068965517241379</v>
      </c>
      <c r="CA114" s="253">
        <f t="shared" si="1282"/>
        <v>4.0625</v>
      </c>
      <c r="CB114" s="253">
        <f t="shared" si="1282"/>
        <v>4.03125</v>
      </c>
      <c r="CC114" s="253">
        <f t="shared" si="1282"/>
        <v>4.161290322580645</v>
      </c>
      <c r="CD114" s="253">
        <f t="shared" si="1282"/>
        <v>4</v>
      </c>
      <c r="CE114" s="253">
        <f t="shared" si="1282"/>
        <v>4.09375</v>
      </c>
      <c r="CF114" s="253">
        <f t="shared" si="1282"/>
        <v>4.354838709677419</v>
      </c>
      <c r="CG114" s="253">
        <f t="shared" si="1282"/>
        <v>4.25</v>
      </c>
      <c r="CH114" s="253">
        <f t="shared" si="1282"/>
        <v>4.117647058823529</v>
      </c>
      <c r="CI114" s="253">
        <f t="shared" si="1282"/>
        <v>4.1714285714285717</v>
      </c>
      <c r="CJ114" s="253">
        <f t="shared" si="1282"/>
        <v>4.1944444444444446</v>
      </c>
      <c r="CK114" s="253">
        <f t="shared" si="1282"/>
        <v>4</v>
      </c>
      <c r="CL114" s="253">
        <f t="shared" si="1282"/>
        <v>4.0526315789473681</v>
      </c>
      <c r="CM114" s="253">
        <f t="shared" si="1282"/>
        <v>4.1500000000000004</v>
      </c>
      <c r="CN114" s="253">
        <f t="shared" si="1282"/>
        <v>3.7777777777777777</v>
      </c>
      <c r="CO114" s="253">
        <f t="shared" si="1282"/>
        <v>3.8297872340425534</v>
      </c>
      <c r="CP114" s="253">
        <f t="shared" si="1282"/>
        <v>3.9795918367346941</v>
      </c>
      <c r="CQ114" s="253">
        <f t="shared" si="1282"/>
        <v>3.9807692307692308</v>
      </c>
      <c r="CR114" s="253">
        <f t="shared" si="1282"/>
        <v>4.2692307692307692</v>
      </c>
      <c r="CS114" s="253">
        <f t="shared" si="1282"/>
        <v>4.0517241379310347</v>
      </c>
      <c r="CT114" s="253">
        <f t="shared" si="1282"/>
        <v>4</v>
      </c>
      <c r="CU114" s="255">
        <f t="shared" si="1275"/>
        <v>4.0326086956521738</v>
      </c>
      <c r="CV114" s="255">
        <f t="shared" si="1275"/>
        <v>4.0326086956521738</v>
      </c>
      <c r="CW114" s="255">
        <f t="shared" si="1275"/>
        <v>4.0326086956521738</v>
      </c>
      <c r="CX114" s="255">
        <f t="shared" si="1275"/>
        <v>4.0326086956521738</v>
      </c>
      <c r="CY114" s="255">
        <f t="shared" si="1275"/>
        <v>4.0326086956521738</v>
      </c>
      <c r="CZ114" s="255">
        <f t="shared" si="1275"/>
        <v>4.0326086956521738</v>
      </c>
      <c r="DA114" s="255">
        <f t="shared" si="1275"/>
        <v>4.0326086956521738</v>
      </c>
      <c r="DB114" s="255">
        <f t="shared" si="1275"/>
        <v>4.0326086956521738</v>
      </c>
      <c r="DC114" s="255">
        <f t="shared" si="1275"/>
        <v>4.0326086956521738</v>
      </c>
      <c r="DD114" s="255">
        <f t="shared" si="1275"/>
        <v>4.0326086956521738</v>
      </c>
      <c r="DE114" s="255">
        <f t="shared" si="1275"/>
        <v>4.0326086956521738</v>
      </c>
      <c r="DF114" s="255">
        <f t="shared" si="1275"/>
        <v>4.0326086956521738</v>
      </c>
      <c r="DG114" s="255">
        <f t="shared" si="1275"/>
        <v>4.0326086956521738</v>
      </c>
      <c r="DH114" s="255">
        <f t="shared" si="1275"/>
        <v>4.0326086956521738</v>
      </c>
      <c r="DI114" s="255">
        <f t="shared" si="1275"/>
        <v>4.0326086956521738</v>
      </c>
      <c r="DJ114" s="255">
        <f t="shared" si="1275"/>
        <v>4.0326086956521738</v>
      </c>
      <c r="DK114" s="255">
        <f t="shared" si="1276"/>
        <v>4.0326086956521738</v>
      </c>
      <c r="DL114" s="255">
        <f t="shared" si="1276"/>
        <v>4.0326086956521738</v>
      </c>
      <c r="DM114" s="255">
        <f t="shared" si="1276"/>
        <v>4.0326086956521738</v>
      </c>
      <c r="DN114" s="255">
        <f t="shared" si="1276"/>
        <v>4.0326086956521738</v>
      </c>
      <c r="DO114" s="255">
        <f t="shared" si="1276"/>
        <v>4.0326086956521738</v>
      </c>
      <c r="DP114" s="255">
        <f t="shared" si="1276"/>
        <v>4.0326086956521738</v>
      </c>
      <c r="DQ114" s="255">
        <f t="shared" si="1276"/>
        <v>4.0326086956521738</v>
      </c>
      <c r="DR114" s="255">
        <f t="shared" si="1276"/>
        <v>4.0326086956521738</v>
      </c>
      <c r="DS114" s="255">
        <f t="shared" si="1276"/>
        <v>4.0326086956521738</v>
      </c>
      <c r="DT114" s="255">
        <f t="shared" si="1276"/>
        <v>4.0326086956521738</v>
      </c>
      <c r="DU114" s="255">
        <f t="shared" si="1276"/>
        <v>4.0326086956521738</v>
      </c>
      <c r="DV114" s="255">
        <f t="shared" si="1276"/>
        <v>4.0326086956521738</v>
      </c>
      <c r="DW114" s="255">
        <f t="shared" si="1276"/>
        <v>4.0326086956521738</v>
      </c>
      <c r="DX114" s="255">
        <f t="shared" si="1276"/>
        <v>4.0326086956521738</v>
      </c>
      <c r="DY114" s="255">
        <f t="shared" si="1276"/>
        <v>4.0326086956521738</v>
      </c>
      <c r="DZ114" s="255">
        <f t="shared" si="1276"/>
        <v>4.0326086956521738</v>
      </c>
      <c r="EA114" s="255">
        <f t="shared" si="1277"/>
        <v>4.0326086956521738</v>
      </c>
      <c r="EB114" s="255">
        <f t="shared" si="1277"/>
        <v>4.0326086956521738</v>
      </c>
      <c r="EC114" s="255">
        <f t="shared" si="1277"/>
        <v>4.0326086956521738</v>
      </c>
      <c r="ED114" s="255">
        <f t="shared" si="1277"/>
        <v>4.0326086956521738</v>
      </c>
      <c r="EE114" s="255">
        <f t="shared" si="1277"/>
        <v>4.0326086956521738</v>
      </c>
      <c r="EF114" s="255">
        <f t="shared" si="1277"/>
        <v>4.0326086956521738</v>
      </c>
      <c r="EG114" s="255">
        <f t="shared" si="1277"/>
        <v>4.0326086956521738</v>
      </c>
      <c r="EH114" s="255">
        <f t="shared" si="1277"/>
        <v>4.0326086956521738</v>
      </c>
      <c r="EI114" s="255">
        <f t="shared" si="1277"/>
        <v>4.0326086956521738</v>
      </c>
      <c r="EJ114" s="255">
        <f t="shared" si="1277"/>
        <v>4.0326086956521738</v>
      </c>
      <c r="EK114" s="255">
        <f t="shared" si="1277"/>
        <v>4.0326086956521738</v>
      </c>
      <c r="EL114" s="255">
        <f t="shared" si="1277"/>
        <v>4.0326086956521738</v>
      </c>
      <c r="EM114" s="255">
        <f t="shared" si="1277"/>
        <v>4.0326086956521738</v>
      </c>
      <c r="EN114" s="255">
        <f t="shared" si="1277"/>
        <v>4.0326086956521738</v>
      </c>
      <c r="EO114" s="255">
        <f t="shared" si="1277"/>
        <v>4.0326086956521738</v>
      </c>
      <c r="EP114" s="255">
        <f t="shared" si="1277"/>
        <v>4.0326086956521738</v>
      </c>
      <c r="EQ114" s="255">
        <f t="shared" si="1278"/>
        <v>4.0326086956521738</v>
      </c>
      <c r="ER114" s="255">
        <f t="shared" si="1278"/>
        <v>4.0326086956521738</v>
      </c>
      <c r="ES114" s="255">
        <f t="shared" si="1278"/>
        <v>4.0326086956521738</v>
      </c>
      <c r="ET114" s="255">
        <f t="shared" si="1278"/>
        <v>4.0326086956521738</v>
      </c>
      <c r="EU114" s="255">
        <f t="shared" si="1278"/>
        <v>4.0326086956521738</v>
      </c>
      <c r="EV114" s="255">
        <f t="shared" si="1278"/>
        <v>4.0326086956521738</v>
      </c>
      <c r="EW114" s="255">
        <f t="shared" si="1278"/>
        <v>4.0326086956521738</v>
      </c>
      <c r="EX114" s="255">
        <f t="shared" si="1278"/>
        <v>4.0326086956521738</v>
      </c>
      <c r="EY114" s="255">
        <f t="shared" si="1278"/>
        <v>4.0326086956521738</v>
      </c>
      <c r="EZ114" s="255">
        <f t="shared" si="1278"/>
        <v>4.0326086956521738</v>
      </c>
      <c r="FA114" s="255">
        <f t="shared" si="1278"/>
        <v>4.0326086956521738</v>
      </c>
      <c r="FB114" s="255">
        <f t="shared" si="1278"/>
        <v>4.0326086956521738</v>
      </c>
    </row>
    <row r="115" spans="2:158" outlineLevel="1" x14ac:dyDescent="0.25">
      <c r="D115" s="16"/>
      <c r="E115" s="16"/>
      <c r="F115" s="16"/>
      <c r="G115" s="16"/>
      <c r="H115" s="16"/>
      <c r="I115" s="55"/>
      <c r="J115" s="55"/>
      <c r="K115" s="55"/>
      <c r="L115" s="55"/>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Y115" s="16"/>
      <c r="AZ115" s="16"/>
      <c r="BA115" s="16"/>
      <c r="BB115" s="16"/>
      <c r="BC115" s="16"/>
      <c r="BD115" s="16"/>
      <c r="BE115" s="16"/>
      <c r="BF115" s="16"/>
      <c r="BG115" s="16"/>
      <c r="BH115" s="16"/>
      <c r="BI115" s="16"/>
      <c r="BJ115" s="16"/>
      <c r="BK115" s="16"/>
      <c r="BL115" s="16"/>
      <c r="BM115" s="16"/>
      <c r="BN115" s="16"/>
      <c r="BO115" s="16"/>
      <c r="BP115" s="16"/>
      <c r="BQ115" s="16"/>
      <c r="BR115" s="16"/>
      <c r="BS115" s="16"/>
      <c r="BT115" s="16"/>
      <c r="BU115" s="16"/>
      <c r="BV115" s="16"/>
      <c r="BW115" s="16"/>
      <c r="BX115" s="16"/>
      <c r="BY115" s="16"/>
      <c r="BZ115" s="16"/>
      <c r="CA115" s="16"/>
      <c r="CB115" s="16"/>
      <c r="CC115" s="16"/>
      <c r="CD115" s="16"/>
      <c r="CE115" s="16"/>
      <c r="CF115" s="16"/>
      <c r="CG115" s="16"/>
      <c r="CH115" s="16"/>
      <c r="CI115" s="16"/>
      <c r="CJ115" s="16"/>
      <c r="CK115" s="16"/>
      <c r="CL115" s="16"/>
      <c r="CM115" s="16"/>
      <c r="CN115" s="16"/>
      <c r="CO115" s="16"/>
      <c r="CP115" s="16"/>
      <c r="CQ115" s="16"/>
      <c r="CR115" s="16"/>
      <c r="CS115" s="16"/>
      <c r="CT115" s="16"/>
      <c r="CU115" s="16"/>
      <c r="CV115" s="16"/>
      <c r="CW115" s="16"/>
      <c r="CX115" s="16"/>
      <c r="CY115" s="16"/>
      <c r="CZ115" s="16"/>
      <c r="DA115" s="16"/>
      <c r="DB115" s="16"/>
      <c r="DC115" s="16"/>
      <c r="DD115" s="16"/>
      <c r="DE115" s="16"/>
      <c r="DF115" s="16"/>
      <c r="DG115" s="16"/>
      <c r="DH115" s="16"/>
      <c r="DI115" s="16"/>
      <c r="DJ115" s="16"/>
      <c r="DK115" s="16"/>
      <c r="DL115" s="16"/>
      <c r="DM115" s="16"/>
      <c r="DN115" s="16"/>
      <c r="DO115" s="16"/>
      <c r="DP115" s="16"/>
      <c r="DQ115" s="16"/>
      <c r="DR115" s="16"/>
      <c r="DS115" s="16"/>
      <c r="DT115" s="16"/>
      <c r="DU115" s="16"/>
      <c r="DV115" s="16"/>
      <c r="DW115" s="16"/>
      <c r="DX115" s="16"/>
      <c r="DY115" s="16"/>
      <c r="DZ115" s="16"/>
      <c r="EA115" s="16"/>
      <c r="EB115" s="16"/>
      <c r="EC115" s="16"/>
      <c r="ED115" s="16"/>
      <c r="EE115" s="16"/>
      <c r="EF115" s="16"/>
      <c r="EG115" s="16"/>
      <c r="EH115" s="16"/>
      <c r="EI115" s="16"/>
      <c r="EJ115" s="16"/>
      <c r="EK115" s="16"/>
      <c r="EL115" s="16"/>
      <c r="EM115" s="16"/>
      <c r="EN115" s="16"/>
      <c r="EO115" s="16"/>
      <c r="EP115" s="16"/>
      <c r="EQ115" s="16"/>
      <c r="ER115" s="16"/>
      <c r="ES115" s="16"/>
      <c r="ET115" s="16"/>
      <c r="EU115" s="16"/>
      <c r="EV115" s="16"/>
      <c r="EW115" s="16"/>
      <c r="EX115" s="16"/>
      <c r="EY115" s="16"/>
      <c r="EZ115" s="16"/>
      <c r="FA115" s="16"/>
      <c r="FB115" s="16"/>
    </row>
    <row r="116" spans="2:158" outlineLevel="1" x14ac:dyDescent="0.25">
      <c r="C116" s="7" t="s">
        <v>525</v>
      </c>
      <c r="D116" s="16"/>
      <c r="E116" s="16"/>
      <c r="F116" s="16"/>
      <c r="G116" s="16"/>
      <c r="H116" s="16"/>
      <c r="I116" s="55"/>
      <c r="J116" s="55"/>
      <c r="K116" s="55"/>
      <c r="L116" s="55"/>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Y116" s="16"/>
      <c r="AZ116" s="16"/>
      <c r="BA116" s="16"/>
      <c r="BB116" s="16"/>
      <c r="BC116" s="16"/>
      <c r="BD116" s="16"/>
      <c r="BE116" s="16"/>
      <c r="BF116" s="16"/>
      <c r="BG116" s="16"/>
      <c r="BH116" s="16"/>
      <c r="BI116" s="16"/>
      <c r="BJ116" s="16"/>
      <c r="BK116" s="16"/>
      <c r="BL116" s="16"/>
      <c r="BM116" s="16"/>
      <c r="BN116" s="16"/>
      <c r="BO116" s="16"/>
      <c r="BP116" s="16"/>
      <c r="BQ116" s="16"/>
      <c r="BR116" s="16"/>
      <c r="BS116" s="16"/>
      <c r="BT116" s="16"/>
      <c r="BU116" s="16"/>
      <c r="BV116" s="16"/>
      <c r="BW116" s="16"/>
      <c r="BX116" s="16"/>
      <c r="BY116" s="16"/>
      <c r="BZ116" s="16"/>
      <c r="CA116" s="16"/>
      <c r="CB116" s="16"/>
      <c r="CC116" s="16"/>
      <c r="CD116" s="16"/>
      <c r="CE116" s="16"/>
      <c r="CF116" s="16"/>
      <c r="CG116" s="16"/>
      <c r="CH116" s="16"/>
      <c r="CI116" s="16"/>
      <c r="CJ116" s="16"/>
      <c r="CK116" s="16"/>
      <c r="CL116" s="16"/>
      <c r="CM116" s="16"/>
      <c r="CN116" s="16"/>
      <c r="CO116" s="16"/>
      <c r="CP116" s="16"/>
      <c r="CQ116" s="16"/>
      <c r="CR116" s="16"/>
      <c r="CS116" s="16"/>
      <c r="CT116" s="16"/>
      <c r="CU116" s="16"/>
      <c r="CV116" s="16"/>
      <c r="CW116" s="16"/>
      <c r="CX116" s="16"/>
      <c r="CY116" s="16"/>
      <c r="CZ116" s="16"/>
      <c r="DA116" s="16"/>
      <c r="DB116" s="16"/>
      <c r="DC116" s="16"/>
      <c r="DD116" s="16"/>
      <c r="DE116" s="16"/>
      <c r="DF116" s="16"/>
      <c r="DG116" s="16"/>
      <c r="DH116" s="16"/>
      <c r="DI116" s="16"/>
      <c r="DJ116" s="16"/>
      <c r="DK116" s="16"/>
      <c r="DL116" s="16"/>
      <c r="DM116" s="16"/>
      <c r="DN116" s="16"/>
      <c r="DO116" s="16"/>
      <c r="DP116" s="16"/>
      <c r="DQ116" s="16"/>
      <c r="DR116" s="16"/>
      <c r="DS116" s="16"/>
      <c r="DT116" s="16"/>
      <c r="DU116" s="16"/>
      <c r="DV116" s="16"/>
      <c r="DW116" s="16"/>
      <c r="DX116" s="16"/>
      <c r="DY116" s="16"/>
      <c r="DZ116" s="16"/>
      <c r="EA116" s="16"/>
      <c r="EB116" s="16"/>
      <c r="EC116" s="16"/>
      <c r="ED116" s="16"/>
      <c r="EE116" s="16"/>
      <c r="EF116" s="16"/>
      <c r="EG116" s="16"/>
      <c r="EH116" s="16"/>
      <c r="EI116" s="16"/>
      <c r="EJ116" s="16"/>
      <c r="EK116" s="16"/>
      <c r="EL116" s="16"/>
      <c r="EM116" s="16"/>
      <c r="EN116" s="16"/>
      <c r="EO116" s="16"/>
      <c r="EP116" s="16"/>
      <c r="EQ116" s="16"/>
      <c r="ER116" s="16"/>
      <c r="ES116" s="16"/>
      <c r="ET116" s="16"/>
      <c r="EU116" s="16"/>
      <c r="EV116" s="16"/>
      <c r="EW116" s="16"/>
      <c r="EX116" s="16"/>
      <c r="EY116" s="16"/>
      <c r="EZ116" s="16"/>
      <c r="FA116" s="16"/>
      <c r="FB116" s="16"/>
    </row>
    <row r="117" spans="2:158" outlineLevel="1" x14ac:dyDescent="0.25">
      <c r="C117" s="28" t="s">
        <v>540</v>
      </c>
      <c r="D117" s="19">
        <f>D98/D97</f>
        <v>0.110448356211113</v>
      </c>
      <c r="E117" s="19">
        <f t="shared" ref="E117:G117" si="1283">E98/E97</f>
        <v>7.7663784026627561E-2</v>
      </c>
      <c r="F117" s="19">
        <f t="shared" si="1283"/>
        <v>2.7940942628355031E-2</v>
      </c>
      <c r="G117" s="19">
        <f t="shared" si="1283"/>
        <v>3.9944807987498915E-2</v>
      </c>
      <c r="H117" s="250">
        <f t="shared" ref="H117:L117" si="1284">G117</f>
        <v>3.9944807987498915E-2</v>
      </c>
      <c r="I117" s="250">
        <f t="shared" si="1284"/>
        <v>3.9944807987498915E-2</v>
      </c>
      <c r="J117" s="250">
        <f t="shared" si="1284"/>
        <v>3.9944807987498915E-2</v>
      </c>
      <c r="K117" s="250">
        <f t="shared" si="1284"/>
        <v>3.9944807987498915E-2</v>
      </c>
      <c r="L117" s="250">
        <f t="shared" si="1284"/>
        <v>3.9944807987498915E-2</v>
      </c>
      <c r="N117" s="19">
        <f t="shared" ref="N117:AW117" si="1285">N98/N97</f>
        <v>6.3683769120770645E-2</v>
      </c>
      <c r="O117" s="19">
        <f t="shared" si="1285"/>
        <v>0.1408062134696848</v>
      </c>
      <c r="P117" s="19">
        <f t="shared" si="1285"/>
        <v>0.10796784039546607</v>
      </c>
      <c r="Q117" s="19">
        <f t="shared" si="1285"/>
        <v>0.12583965072477088</v>
      </c>
      <c r="R117" s="19">
        <f t="shared" si="1285"/>
        <v>4.9934186321302594E-2</v>
      </c>
      <c r="S117" s="19">
        <f t="shared" si="1285"/>
        <v>9.83847070068294E-2</v>
      </c>
      <c r="T117" s="19">
        <f t="shared" si="1285"/>
        <v>0.10091942211693779</v>
      </c>
      <c r="U117" s="19">
        <f t="shared" si="1285"/>
        <v>5.3213692007006846E-2</v>
      </c>
      <c r="V117" s="19">
        <f t="shared" si="1285"/>
        <v>4.2729426910736779E-2</v>
      </c>
      <c r="W117" s="19">
        <f t="shared" si="1285"/>
        <v>1.99777151072612E-2</v>
      </c>
      <c r="X117" s="19">
        <f t="shared" si="1285"/>
        <v>2.7918768226584945E-2</v>
      </c>
      <c r="Y117" s="19">
        <f t="shared" si="1285"/>
        <v>2.3900276899397253E-2</v>
      </c>
      <c r="Z117" s="19">
        <f t="shared" si="1285"/>
        <v>3.6198762259556552E-2</v>
      </c>
      <c r="AA117" s="19">
        <f t="shared" si="1285"/>
        <v>5.695600871883845E-2</v>
      </c>
      <c r="AB117" s="19">
        <f t="shared" si="1285"/>
        <v>3.6103232570618343E-2</v>
      </c>
      <c r="AC117" s="19">
        <f t="shared" si="1285"/>
        <v>3.3248541544509569E-2</v>
      </c>
      <c r="AD117" s="19">
        <f t="shared" si="1285"/>
        <v>3.9944807987498915E-2</v>
      </c>
      <c r="AE117" s="19">
        <f t="shared" si="1285"/>
        <v>3.9944807987498915E-2</v>
      </c>
      <c r="AF117" s="19">
        <f t="shared" si="1285"/>
        <v>3.9944807987498908E-2</v>
      </c>
      <c r="AG117" s="19">
        <f t="shared" si="1285"/>
        <v>3.9944807987498915E-2</v>
      </c>
      <c r="AH117" s="19">
        <f t="shared" si="1285"/>
        <v>3.9944807987498915E-2</v>
      </c>
      <c r="AI117" s="19">
        <f t="shared" si="1285"/>
        <v>3.9944807987498915E-2</v>
      </c>
      <c r="AJ117" s="19">
        <f t="shared" si="1285"/>
        <v>3.9944807987498915E-2</v>
      </c>
      <c r="AK117" s="19">
        <f t="shared" si="1285"/>
        <v>3.9944807987498922E-2</v>
      </c>
      <c r="AL117" s="19">
        <f t="shared" si="1285"/>
        <v>3.9944807987498915E-2</v>
      </c>
      <c r="AM117" s="19">
        <f t="shared" si="1285"/>
        <v>3.9944807987498915E-2</v>
      </c>
      <c r="AN117" s="19">
        <f t="shared" si="1285"/>
        <v>3.9944807987498915E-2</v>
      </c>
      <c r="AO117" s="19">
        <f t="shared" si="1285"/>
        <v>3.9944807987498922E-2</v>
      </c>
      <c r="AP117" s="19">
        <f t="shared" si="1285"/>
        <v>3.9944807987498915E-2</v>
      </c>
      <c r="AQ117" s="19">
        <f t="shared" si="1285"/>
        <v>3.9944807987498915E-2</v>
      </c>
      <c r="AR117" s="19">
        <f t="shared" si="1285"/>
        <v>3.9944807987498915E-2</v>
      </c>
      <c r="AS117" s="19">
        <f t="shared" si="1285"/>
        <v>3.9944807987498908E-2</v>
      </c>
      <c r="AT117" s="19">
        <f t="shared" si="1285"/>
        <v>3.9944807987498915E-2</v>
      </c>
      <c r="AU117" s="19">
        <f t="shared" si="1285"/>
        <v>3.9944807987498915E-2</v>
      </c>
      <c r="AV117" s="19">
        <f t="shared" si="1285"/>
        <v>3.9944807987498922E-2</v>
      </c>
      <c r="AW117" s="19">
        <f t="shared" si="1285"/>
        <v>3.9944807987498908E-2</v>
      </c>
      <c r="AY117" s="19">
        <f t="shared" ref="AY117:CT117" si="1286">AY98/AY97</f>
        <v>5.6883087427074076E-2</v>
      </c>
      <c r="AZ117" s="19">
        <f t="shared" si="1286"/>
        <v>5.6100663525220772E-2</v>
      </c>
      <c r="BA117" s="19">
        <f t="shared" si="1286"/>
        <v>7.7960391642496782E-2</v>
      </c>
      <c r="BB117" s="19">
        <f t="shared" si="1286"/>
        <v>8.0805066816781373E-2</v>
      </c>
      <c r="BC117" s="19">
        <f t="shared" si="1286"/>
        <v>0.23633955130974113</v>
      </c>
      <c r="BD117" s="19">
        <f t="shared" si="1286"/>
        <v>0.1089182766663771</v>
      </c>
      <c r="BE117" s="19">
        <f t="shared" si="1286"/>
        <v>0.12319788458129649</v>
      </c>
      <c r="BF117" s="19">
        <f t="shared" si="1286"/>
        <v>0.12139847546932385</v>
      </c>
      <c r="BG117" s="19">
        <f t="shared" si="1286"/>
        <v>8.4058031255550211E-2</v>
      </c>
      <c r="BH117" s="19">
        <f t="shared" si="1286"/>
        <v>0.20082473538719961</v>
      </c>
      <c r="BI117" s="19">
        <f t="shared" si="1286"/>
        <v>0.1142831775283359</v>
      </c>
      <c r="BJ117" s="19">
        <f t="shared" si="1286"/>
        <v>8.0647515404479481E-2</v>
      </c>
      <c r="BK117" s="19">
        <f t="shared" si="1286"/>
        <v>6.1070487526289234E-2</v>
      </c>
      <c r="BL117" s="19">
        <f t="shared" si="1286"/>
        <v>4.6529260114439919E-2</v>
      </c>
      <c r="BM117" s="19">
        <f t="shared" si="1286"/>
        <v>4.3276250247056731E-2</v>
      </c>
      <c r="BN117" s="19">
        <f t="shared" si="1286"/>
        <v>4.3596536869553559E-2</v>
      </c>
      <c r="BO117" s="19">
        <f t="shared" si="1286"/>
        <v>0.17066929592888599</v>
      </c>
      <c r="BP117" s="19">
        <f t="shared" si="1286"/>
        <v>7.9307420692065228E-2</v>
      </c>
      <c r="BQ117" s="19">
        <f t="shared" si="1286"/>
        <v>6.0933569757277727E-2</v>
      </c>
      <c r="BR117" s="19">
        <f t="shared" si="1286"/>
        <v>0.12006690178587592</v>
      </c>
      <c r="BS117" s="19">
        <f t="shared" si="1286"/>
        <v>0.1184211119516357</v>
      </c>
      <c r="BT117" s="19">
        <f t="shared" si="1286"/>
        <v>1.7559742531584505E-2</v>
      </c>
      <c r="BU117" s="19">
        <f t="shared" si="1286"/>
        <v>6.7379851865308496E-2</v>
      </c>
      <c r="BV117" s="19">
        <f t="shared" si="1286"/>
        <v>8.1219915388532363E-2</v>
      </c>
      <c r="BW117" s="19">
        <f t="shared" si="1286"/>
        <v>6.8773381989335358E-2</v>
      </c>
      <c r="BX117" s="19">
        <f t="shared" si="1286"/>
        <v>2.9732477430212283E-2</v>
      </c>
      <c r="BY117" s="19">
        <f t="shared" si="1286"/>
        <v>3.1723268715876024E-2</v>
      </c>
      <c r="BZ117" s="19">
        <f t="shared" si="1286"/>
        <v>1.0172071167943853E-2</v>
      </c>
      <c r="CA117" s="19">
        <f t="shared" si="1286"/>
        <v>3.2346831669885993E-2</v>
      </c>
      <c r="CB117" s="19">
        <f t="shared" si="1286"/>
        <v>1.6570704246831134E-2</v>
      </c>
      <c r="CC117" s="19">
        <f t="shared" si="1286"/>
        <v>2.4372012014021546E-2</v>
      </c>
      <c r="CD117" s="19">
        <f t="shared" si="1286"/>
        <v>2.59889480888673E-2</v>
      </c>
      <c r="CE117" s="19">
        <f t="shared" si="1286"/>
        <v>3.3673817548356001E-2</v>
      </c>
      <c r="CF117" s="19">
        <f t="shared" si="1286"/>
        <v>1.8802438856591091E-2</v>
      </c>
      <c r="CG117" s="19">
        <f t="shared" si="1286"/>
        <v>2.4374336495805071E-2</v>
      </c>
      <c r="CH117" s="19">
        <f t="shared" si="1286"/>
        <v>2.8000200698737016E-2</v>
      </c>
      <c r="CI117" s="19">
        <f t="shared" si="1286"/>
        <v>2.6208855255130522E-3</v>
      </c>
      <c r="CJ117" s="19">
        <f t="shared" si="1286"/>
        <v>2.2348617776679465E-2</v>
      </c>
      <c r="CK117" s="19">
        <f t="shared" si="1286"/>
        <v>7.2193424915914337E-2</v>
      </c>
      <c r="CL117" s="19">
        <f t="shared" si="1286"/>
        <v>9.8854603764399918E-2</v>
      </c>
      <c r="CM117" s="19">
        <f t="shared" si="1286"/>
        <v>3.8468944610987037E-2</v>
      </c>
      <c r="CN117" s="19">
        <f t="shared" si="1286"/>
        <v>3.878318537998867E-2</v>
      </c>
      <c r="CO117" s="19">
        <f t="shared" si="1286"/>
        <v>3.7412456483237121E-2</v>
      </c>
      <c r="CP117" s="19">
        <f t="shared" si="1286"/>
        <v>3.6302974428933141E-2</v>
      </c>
      <c r="CQ117" s="19">
        <f t="shared" si="1286"/>
        <v>3.4742083571158447E-2</v>
      </c>
      <c r="CR117" s="19">
        <f t="shared" si="1286"/>
        <v>3.5009098552869877E-2</v>
      </c>
      <c r="CS117" s="19">
        <f t="shared" si="1286"/>
        <v>3.3642889267290803E-2</v>
      </c>
      <c r="CT117" s="19">
        <f t="shared" si="1286"/>
        <v>3.1411880397039495E-2</v>
      </c>
      <c r="CU117" s="93">
        <f t="shared" ref="CU117:DJ118" si="1287">INDEX($D117:$L117,1,MATCH(CU$2,$D$2:$L$2,))</f>
        <v>3.9944807987498915E-2</v>
      </c>
      <c r="CV117" s="93">
        <f t="shared" si="1287"/>
        <v>3.9944807987498915E-2</v>
      </c>
      <c r="CW117" s="93">
        <f t="shared" si="1287"/>
        <v>3.9944807987498915E-2</v>
      </c>
      <c r="CX117" s="93">
        <f t="shared" si="1287"/>
        <v>3.9944807987498915E-2</v>
      </c>
      <c r="CY117" s="93">
        <f t="shared" si="1287"/>
        <v>3.9944807987498915E-2</v>
      </c>
      <c r="CZ117" s="93">
        <f t="shared" si="1287"/>
        <v>3.9944807987498915E-2</v>
      </c>
      <c r="DA117" s="93">
        <f t="shared" si="1287"/>
        <v>3.9944807987498915E-2</v>
      </c>
      <c r="DB117" s="93">
        <f t="shared" si="1287"/>
        <v>3.9944807987498915E-2</v>
      </c>
      <c r="DC117" s="93">
        <f t="shared" si="1287"/>
        <v>3.9944807987498915E-2</v>
      </c>
      <c r="DD117" s="93">
        <f t="shared" si="1287"/>
        <v>3.9944807987498915E-2</v>
      </c>
      <c r="DE117" s="93">
        <f t="shared" si="1287"/>
        <v>3.9944807987498915E-2</v>
      </c>
      <c r="DF117" s="93">
        <f t="shared" si="1287"/>
        <v>3.9944807987498915E-2</v>
      </c>
      <c r="DG117" s="93">
        <f t="shared" si="1287"/>
        <v>3.9944807987498915E-2</v>
      </c>
      <c r="DH117" s="93">
        <f t="shared" si="1287"/>
        <v>3.9944807987498915E-2</v>
      </c>
      <c r="DI117" s="93">
        <f t="shared" si="1287"/>
        <v>3.9944807987498915E-2</v>
      </c>
      <c r="DJ117" s="93">
        <f t="shared" si="1287"/>
        <v>3.9944807987498915E-2</v>
      </c>
      <c r="DK117" s="93">
        <f t="shared" ref="DK117:DZ118" si="1288">INDEX($D117:$L117,1,MATCH(DK$2,$D$2:$L$2,))</f>
        <v>3.9944807987498915E-2</v>
      </c>
      <c r="DL117" s="93">
        <f t="shared" si="1288"/>
        <v>3.9944807987498915E-2</v>
      </c>
      <c r="DM117" s="93">
        <f t="shared" si="1288"/>
        <v>3.9944807987498915E-2</v>
      </c>
      <c r="DN117" s="93">
        <f t="shared" si="1288"/>
        <v>3.9944807987498915E-2</v>
      </c>
      <c r="DO117" s="93">
        <f t="shared" si="1288"/>
        <v>3.9944807987498915E-2</v>
      </c>
      <c r="DP117" s="93">
        <f t="shared" si="1288"/>
        <v>3.9944807987498915E-2</v>
      </c>
      <c r="DQ117" s="93">
        <f t="shared" si="1288"/>
        <v>3.9944807987498915E-2</v>
      </c>
      <c r="DR117" s="93">
        <f t="shared" si="1288"/>
        <v>3.9944807987498915E-2</v>
      </c>
      <c r="DS117" s="93">
        <f t="shared" si="1288"/>
        <v>3.9944807987498915E-2</v>
      </c>
      <c r="DT117" s="93">
        <f t="shared" si="1288"/>
        <v>3.9944807987498915E-2</v>
      </c>
      <c r="DU117" s="93">
        <f t="shared" si="1288"/>
        <v>3.9944807987498915E-2</v>
      </c>
      <c r="DV117" s="93">
        <f t="shared" si="1288"/>
        <v>3.9944807987498915E-2</v>
      </c>
      <c r="DW117" s="93">
        <f t="shared" si="1288"/>
        <v>3.9944807987498915E-2</v>
      </c>
      <c r="DX117" s="93">
        <f t="shared" si="1288"/>
        <v>3.9944807987498915E-2</v>
      </c>
      <c r="DY117" s="93">
        <f t="shared" si="1288"/>
        <v>3.9944807987498915E-2</v>
      </c>
      <c r="DZ117" s="93">
        <f t="shared" si="1288"/>
        <v>3.9944807987498915E-2</v>
      </c>
      <c r="EA117" s="93">
        <f t="shared" ref="EA117:EP118" si="1289">INDEX($D117:$L117,1,MATCH(EA$2,$D$2:$L$2,))</f>
        <v>3.9944807987498915E-2</v>
      </c>
      <c r="EB117" s="93">
        <f t="shared" si="1289"/>
        <v>3.9944807987498915E-2</v>
      </c>
      <c r="EC117" s="93">
        <f t="shared" si="1289"/>
        <v>3.9944807987498915E-2</v>
      </c>
      <c r="ED117" s="93">
        <f t="shared" si="1289"/>
        <v>3.9944807987498915E-2</v>
      </c>
      <c r="EE117" s="93">
        <f t="shared" si="1289"/>
        <v>3.9944807987498915E-2</v>
      </c>
      <c r="EF117" s="93">
        <f t="shared" si="1289"/>
        <v>3.9944807987498915E-2</v>
      </c>
      <c r="EG117" s="93">
        <f t="shared" si="1289"/>
        <v>3.9944807987498915E-2</v>
      </c>
      <c r="EH117" s="93">
        <f t="shared" si="1289"/>
        <v>3.9944807987498915E-2</v>
      </c>
      <c r="EI117" s="93">
        <f t="shared" si="1289"/>
        <v>3.9944807987498915E-2</v>
      </c>
      <c r="EJ117" s="93">
        <f t="shared" si="1289"/>
        <v>3.9944807987498915E-2</v>
      </c>
      <c r="EK117" s="93">
        <f t="shared" si="1289"/>
        <v>3.9944807987498915E-2</v>
      </c>
      <c r="EL117" s="93">
        <f t="shared" si="1289"/>
        <v>3.9944807987498915E-2</v>
      </c>
      <c r="EM117" s="93">
        <f t="shared" si="1289"/>
        <v>3.9944807987498915E-2</v>
      </c>
      <c r="EN117" s="93">
        <f t="shared" si="1289"/>
        <v>3.9944807987498915E-2</v>
      </c>
      <c r="EO117" s="93">
        <f t="shared" si="1289"/>
        <v>3.9944807987498915E-2</v>
      </c>
      <c r="EP117" s="93">
        <f t="shared" si="1289"/>
        <v>3.9944807987498915E-2</v>
      </c>
      <c r="EQ117" s="93">
        <f t="shared" ref="EQ117:FB118" si="1290">INDEX($D117:$L117,1,MATCH(EQ$2,$D$2:$L$2,))</f>
        <v>3.9944807987498915E-2</v>
      </c>
      <c r="ER117" s="93">
        <f t="shared" si="1290"/>
        <v>3.9944807987498915E-2</v>
      </c>
      <c r="ES117" s="93">
        <f t="shared" si="1290"/>
        <v>3.9944807987498915E-2</v>
      </c>
      <c r="ET117" s="93">
        <f t="shared" si="1290"/>
        <v>3.9944807987498915E-2</v>
      </c>
      <c r="EU117" s="93">
        <f t="shared" si="1290"/>
        <v>3.9944807987498915E-2</v>
      </c>
      <c r="EV117" s="93">
        <f t="shared" si="1290"/>
        <v>3.9944807987498915E-2</v>
      </c>
      <c r="EW117" s="93">
        <f t="shared" si="1290"/>
        <v>3.9944807987498915E-2</v>
      </c>
      <c r="EX117" s="93">
        <f t="shared" si="1290"/>
        <v>3.9944807987498915E-2</v>
      </c>
      <c r="EY117" s="93">
        <f t="shared" si="1290"/>
        <v>3.9944807987498915E-2</v>
      </c>
      <c r="EZ117" s="93">
        <f t="shared" si="1290"/>
        <v>3.9944807987498915E-2</v>
      </c>
      <c r="FA117" s="93">
        <f t="shared" si="1290"/>
        <v>3.9944807987498915E-2</v>
      </c>
      <c r="FB117" s="93">
        <f t="shared" si="1290"/>
        <v>3.9944807987498915E-2</v>
      </c>
    </row>
    <row r="118" spans="2:158" outlineLevel="1" x14ac:dyDescent="0.25">
      <c r="C118" s="28" t="s">
        <v>539</v>
      </c>
      <c r="D118" s="19">
        <f>D102/D101</f>
        <v>8.9399950583651619E-2</v>
      </c>
      <c r="E118" s="19">
        <f t="shared" ref="E118:G118" si="1291">E102/E101</f>
        <v>7.4103528751156292E-2</v>
      </c>
      <c r="F118" s="19">
        <f t="shared" si="1291"/>
        <v>7.1169525712601586E-2</v>
      </c>
      <c r="G118" s="19">
        <f t="shared" si="1291"/>
        <v>4.5146969381218004E-2</v>
      </c>
      <c r="H118" s="250">
        <f t="shared" ref="H118:L118" si="1292">G118</f>
        <v>4.5146969381218004E-2</v>
      </c>
      <c r="I118" s="250">
        <f t="shared" si="1292"/>
        <v>4.5146969381218004E-2</v>
      </c>
      <c r="J118" s="250">
        <f t="shared" si="1292"/>
        <v>4.5146969381218004E-2</v>
      </c>
      <c r="K118" s="250">
        <f t="shared" si="1292"/>
        <v>4.5146969381218004E-2</v>
      </c>
      <c r="L118" s="250">
        <f t="shared" si="1292"/>
        <v>4.5146969381218004E-2</v>
      </c>
      <c r="N118" s="19">
        <f t="shared" ref="N118:AW118" si="1293">N102/N101</f>
        <v>0.14061641526126109</v>
      </c>
      <c r="O118" s="19">
        <f t="shared" si="1293"/>
        <v>0.12744237085695717</v>
      </c>
      <c r="P118" s="19">
        <f t="shared" si="1293"/>
        <v>6.9668001771745633E-2</v>
      </c>
      <c r="Q118" s="19">
        <f t="shared" si="1293"/>
        <v>4.7711746142466767E-2</v>
      </c>
      <c r="R118" s="19">
        <f t="shared" si="1293"/>
        <v>4.7216344713690697E-2</v>
      </c>
      <c r="S118" s="19">
        <f t="shared" si="1293"/>
        <v>8.2589546732092151E-2</v>
      </c>
      <c r="T118" s="19">
        <f t="shared" si="1293"/>
        <v>9.7087466776883888E-2</v>
      </c>
      <c r="U118" s="19">
        <f t="shared" si="1293"/>
        <v>6.617892754628614E-2</v>
      </c>
      <c r="V118" s="19">
        <f t="shared" si="1293"/>
        <v>6.6528648556795092E-2</v>
      </c>
      <c r="W118" s="19">
        <f t="shared" si="1293"/>
        <v>7.5271779119725893E-2</v>
      </c>
      <c r="X118" s="19">
        <f t="shared" si="1293"/>
        <v>8.4143843997983858E-2</v>
      </c>
      <c r="Y118" s="19">
        <f t="shared" si="1293"/>
        <v>5.9019451889531858E-2</v>
      </c>
      <c r="Z118" s="19">
        <f t="shared" si="1293"/>
        <v>3.3653433023225016E-2</v>
      </c>
      <c r="AA118" s="19">
        <f t="shared" si="1293"/>
        <v>4.9602596156667358E-2</v>
      </c>
      <c r="AB118" s="19">
        <f t="shared" si="1293"/>
        <v>5.0735672259882417E-2</v>
      </c>
      <c r="AC118" s="19">
        <f t="shared" si="1293"/>
        <v>4.4707701210496407E-2</v>
      </c>
      <c r="AD118" s="19">
        <f t="shared" si="1293"/>
        <v>4.5146969381218004E-2</v>
      </c>
      <c r="AE118" s="19">
        <f t="shared" si="1293"/>
        <v>4.5146969381217997E-2</v>
      </c>
      <c r="AF118" s="19">
        <f t="shared" si="1293"/>
        <v>4.5146969381218004E-2</v>
      </c>
      <c r="AG118" s="19">
        <f t="shared" si="1293"/>
        <v>4.5146969381218004E-2</v>
      </c>
      <c r="AH118" s="19">
        <f t="shared" si="1293"/>
        <v>4.5146969381218004E-2</v>
      </c>
      <c r="AI118" s="19">
        <f t="shared" si="1293"/>
        <v>4.5146969381218004E-2</v>
      </c>
      <c r="AJ118" s="19">
        <f t="shared" si="1293"/>
        <v>4.5146969381218004E-2</v>
      </c>
      <c r="AK118" s="19">
        <f t="shared" si="1293"/>
        <v>4.5146969381218004E-2</v>
      </c>
      <c r="AL118" s="19">
        <f t="shared" si="1293"/>
        <v>4.5146969381218011E-2</v>
      </c>
      <c r="AM118" s="19">
        <f t="shared" si="1293"/>
        <v>4.5146969381218004E-2</v>
      </c>
      <c r="AN118" s="19">
        <f t="shared" si="1293"/>
        <v>4.5146969381217997E-2</v>
      </c>
      <c r="AO118" s="19">
        <f t="shared" si="1293"/>
        <v>4.5146969381218011E-2</v>
      </c>
      <c r="AP118" s="19">
        <f t="shared" si="1293"/>
        <v>4.5146969381217997E-2</v>
      </c>
      <c r="AQ118" s="19">
        <f t="shared" si="1293"/>
        <v>4.5146969381218011E-2</v>
      </c>
      <c r="AR118" s="19">
        <f t="shared" si="1293"/>
        <v>4.5146969381217997E-2</v>
      </c>
      <c r="AS118" s="19">
        <f t="shared" si="1293"/>
        <v>4.5146969381218004E-2</v>
      </c>
      <c r="AT118" s="19">
        <f t="shared" si="1293"/>
        <v>4.5146969381217997E-2</v>
      </c>
      <c r="AU118" s="19">
        <f t="shared" si="1293"/>
        <v>4.5146969381217997E-2</v>
      </c>
      <c r="AV118" s="19">
        <f t="shared" si="1293"/>
        <v>4.5146969381218004E-2</v>
      </c>
      <c r="AW118" s="19">
        <f t="shared" si="1293"/>
        <v>4.5146969381218004E-2</v>
      </c>
      <c r="AY118" s="19">
        <f t="shared" ref="AY118:CT118" si="1294">AY102/AY101</f>
        <v>0.11305847510775563</v>
      </c>
      <c r="AZ118" s="19">
        <f t="shared" si="1294"/>
        <v>0.10577554546414997</v>
      </c>
      <c r="BA118" s="19">
        <f t="shared" si="1294"/>
        <v>0.20064390668083557</v>
      </c>
      <c r="BB118" s="19">
        <f t="shared" si="1294"/>
        <v>0.16602101839111857</v>
      </c>
      <c r="BC118" s="19">
        <f t="shared" si="1294"/>
        <v>0.1222368784017016</v>
      </c>
      <c r="BD118" s="19">
        <f t="shared" si="1294"/>
        <v>0.10042443773225755</v>
      </c>
      <c r="BE118" s="19">
        <f t="shared" si="1294"/>
        <v>0.1189041586917073</v>
      </c>
      <c r="BF118" s="19">
        <f t="shared" si="1294"/>
        <v>6.0040822335997189E-2</v>
      </c>
      <c r="BG118" s="19">
        <f t="shared" si="1294"/>
        <v>4.0075578486476131E-2</v>
      </c>
      <c r="BH118" s="19">
        <f t="shared" si="1294"/>
        <v>6.7152365195940519E-2</v>
      </c>
      <c r="BI118" s="19">
        <f t="shared" si="1294"/>
        <v>3.3217138008252739E-2</v>
      </c>
      <c r="BJ118" s="19">
        <f t="shared" si="1294"/>
        <v>4.3772230782670792E-2</v>
      </c>
      <c r="BK118" s="19">
        <f t="shared" si="1294"/>
        <v>3.7361243525369812E-2</v>
      </c>
      <c r="BL118" s="19">
        <f t="shared" si="1294"/>
        <v>3.5644118086686938E-2</v>
      </c>
      <c r="BM118" s="19">
        <f t="shared" si="1294"/>
        <v>6.8714281805599353E-2</v>
      </c>
      <c r="BN118" s="19">
        <f t="shared" si="1294"/>
        <v>7.6637234804568161E-2</v>
      </c>
      <c r="BO118" s="19">
        <f t="shared" si="1294"/>
        <v>9.21890105328175E-2</v>
      </c>
      <c r="BP118" s="19">
        <f t="shared" si="1294"/>
        <v>7.8635304130511119E-2</v>
      </c>
      <c r="BQ118" s="19">
        <f t="shared" si="1294"/>
        <v>9.5162895954889706E-2</v>
      </c>
      <c r="BR118" s="19">
        <f t="shared" si="1294"/>
        <v>9.6386652875462706E-2</v>
      </c>
      <c r="BS118" s="19">
        <f t="shared" si="1294"/>
        <v>9.9591506789528994E-2</v>
      </c>
      <c r="BT118" s="19">
        <f t="shared" si="1294"/>
        <v>4.1914132374304226E-2</v>
      </c>
      <c r="BU118" s="19">
        <f t="shared" si="1294"/>
        <v>6.4698508472700228E-2</v>
      </c>
      <c r="BV118" s="19">
        <f t="shared" si="1294"/>
        <v>9.33964289713205E-2</v>
      </c>
      <c r="BW118" s="19">
        <f t="shared" si="1294"/>
        <v>6.2645812457922223E-2</v>
      </c>
      <c r="BX118" s="19">
        <f t="shared" si="1294"/>
        <v>6.3732992474936093E-2</v>
      </c>
      <c r="BY118" s="19">
        <f t="shared" si="1294"/>
        <v>7.26234310060411E-2</v>
      </c>
      <c r="BZ118" s="19">
        <f t="shared" si="1294"/>
        <v>6.8826583133489078E-2</v>
      </c>
      <c r="CA118" s="19">
        <f t="shared" si="1294"/>
        <v>1.4554189973361695E-2</v>
      </c>
      <c r="CB118" s="19">
        <f t="shared" si="1294"/>
        <v>0.13893547537851569</v>
      </c>
      <c r="CC118" s="19">
        <f t="shared" si="1294"/>
        <v>7.7912717673241608E-2</v>
      </c>
      <c r="CD118" s="19">
        <f t="shared" si="1294"/>
        <v>9.2412494461964659E-2</v>
      </c>
      <c r="CE118" s="19">
        <f t="shared" si="1294"/>
        <v>8.2189552934223808E-2</v>
      </c>
      <c r="CF118" s="19">
        <f t="shared" si="1294"/>
        <v>4.9280052042352918E-2</v>
      </c>
      <c r="CG118" s="19">
        <f t="shared" si="1294"/>
        <v>6.2973070973557033E-2</v>
      </c>
      <c r="CH118" s="19">
        <f t="shared" si="1294"/>
        <v>6.4211064825546657E-2</v>
      </c>
      <c r="CI118" s="19">
        <f t="shared" si="1294"/>
        <v>2.0116813689374902E-2</v>
      </c>
      <c r="CJ118" s="19">
        <f t="shared" si="1294"/>
        <v>3.4569730572269391E-2</v>
      </c>
      <c r="CK118" s="19">
        <f t="shared" si="1294"/>
        <v>4.443853250566504E-2</v>
      </c>
      <c r="CL118" s="19">
        <f t="shared" si="1294"/>
        <v>5.3659982335858683E-2</v>
      </c>
      <c r="CM118" s="19">
        <f t="shared" si="1294"/>
        <v>4.6564390618440692E-2</v>
      </c>
      <c r="CN118" s="19">
        <f t="shared" si="1294"/>
        <v>4.8793076342330821E-2</v>
      </c>
      <c r="CO118" s="19">
        <f t="shared" si="1294"/>
        <v>5.3778898635608044E-2</v>
      </c>
      <c r="CP118" s="19">
        <f t="shared" si="1294"/>
        <v>5.7457942610998604E-2</v>
      </c>
      <c r="CQ118" s="19">
        <f t="shared" si="1294"/>
        <v>4.1764264971776328E-2</v>
      </c>
      <c r="CR118" s="19">
        <f t="shared" si="1294"/>
        <v>4.1808320023712077E-2</v>
      </c>
      <c r="CS118" s="19">
        <f t="shared" si="1294"/>
        <v>4.1583566005618397E-2</v>
      </c>
      <c r="CT118" s="19">
        <f t="shared" si="1294"/>
        <v>5.0201833570945875E-2</v>
      </c>
      <c r="CU118" s="93">
        <f t="shared" si="1287"/>
        <v>4.5146969381218004E-2</v>
      </c>
      <c r="CV118" s="93">
        <f t="shared" si="1287"/>
        <v>4.5146969381218004E-2</v>
      </c>
      <c r="CW118" s="93">
        <f t="shared" si="1287"/>
        <v>4.5146969381218004E-2</v>
      </c>
      <c r="CX118" s="93">
        <f t="shared" si="1287"/>
        <v>4.5146969381218004E-2</v>
      </c>
      <c r="CY118" s="93">
        <f t="shared" si="1287"/>
        <v>4.5146969381218004E-2</v>
      </c>
      <c r="CZ118" s="93">
        <f t="shared" si="1287"/>
        <v>4.5146969381218004E-2</v>
      </c>
      <c r="DA118" s="93">
        <f t="shared" si="1287"/>
        <v>4.5146969381218004E-2</v>
      </c>
      <c r="DB118" s="93">
        <f t="shared" si="1287"/>
        <v>4.5146969381218004E-2</v>
      </c>
      <c r="DC118" s="93">
        <f t="shared" si="1287"/>
        <v>4.5146969381218004E-2</v>
      </c>
      <c r="DD118" s="93">
        <f t="shared" si="1287"/>
        <v>4.5146969381218004E-2</v>
      </c>
      <c r="DE118" s="93">
        <f t="shared" si="1287"/>
        <v>4.5146969381218004E-2</v>
      </c>
      <c r="DF118" s="93">
        <f t="shared" si="1287"/>
        <v>4.5146969381218004E-2</v>
      </c>
      <c r="DG118" s="93">
        <f t="shared" si="1287"/>
        <v>4.5146969381218004E-2</v>
      </c>
      <c r="DH118" s="93">
        <f t="shared" si="1287"/>
        <v>4.5146969381218004E-2</v>
      </c>
      <c r="DI118" s="93">
        <f t="shared" si="1287"/>
        <v>4.5146969381218004E-2</v>
      </c>
      <c r="DJ118" s="93">
        <f t="shared" si="1287"/>
        <v>4.5146969381218004E-2</v>
      </c>
      <c r="DK118" s="93">
        <f t="shared" si="1288"/>
        <v>4.5146969381218004E-2</v>
      </c>
      <c r="DL118" s="93">
        <f t="shared" si="1288"/>
        <v>4.5146969381218004E-2</v>
      </c>
      <c r="DM118" s="93">
        <f t="shared" si="1288"/>
        <v>4.5146969381218004E-2</v>
      </c>
      <c r="DN118" s="93">
        <f t="shared" si="1288"/>
        <v>4.5146969381218004E-2</v>
      </c>
      <c r="DO118" s="93">
        <f t="shared" si="1288"/>
        <v>4.5146969381218004E-2</v>
      </c>
      <c r="DP118" s="93">
        <f t="shared" si="1288"/>
        <v>4.5146969381218004E-2</v>
      </c>
      <c r="DQ118" s="93">
        <f t="shared" si="1288"/>
        <v>4.5146969381218004E-2</v>
      </c>
      <c r="DR118" s="93">
        <f t="shared" si="1288"/>
        <v>4.5146969381218004E-2</v>
      </c>
      <c r="DS118" s="93">
        <f t="shared" si="1288"/>
        <v>4.5146969381218004E-2</v>
      </c>
      <c r="DT118" s="93">
        <f t="shared" si="1288"/>
        <v>4.5146969381218004E-2</v>
      </c>
      <c r="DU118" s="93">
        <f t="shared" si="1288"/>
        <v>4.5146969381218004E-2</v>
      </c>
      <c r="DV118" s="93">
        <f t="shared" si="1288"/>
        <v>4.5146969381218004E-2</v>
      </c>
      <c r="DW118" s="93">
        <f t="shared" si="1288"/>
        <v>4.5146969381218004E-2</v>
      </c>
      <c r="DX118" s="93">
        <f t="shared" si="1288"/>
        <v>4.5146969381218004E-2</v>
      </c>
      <c r="DY118" s="93">
        <f t="shared" si="1288"/>
        <v>4.5146969381218004E-2</v>
      </c>
      <c r="DZ118" s="93">
        <f t="shared" si="1288"/>
        <v>4.5146969381218004E-2</v>
      </c>
      <c r="EA118" s="93">
        <f t="shared" si="1289"/>
        <v>4.5146969381218004E-2</v>
      </c>
      <c r="EB118" s="93">
        <f t="shared" si="1289"/>
        <v>4.5146969381218004E-2</v>
      </c>
      <c r="EC118" s="93">
        <f t="shared" si="1289"/>
        <v>4.5146969381218004E-2</v>
      </c>
      <c r="ED118" s="93">
        <f t="shared" si="1289"/>
        <v>4.5146969381218004E-2</v>
      </c>
      <c r="EE118" s="93">
        <f t="shared" si="1289"/>
        <v>4.5146969381218004E-2</v>
      </c>
      <c r="EF118" s="93">
        <f t="shared" si="1289"/>
        <v>4.5146969381218004E-2</v>
      </c>
      <c r="EG118" s="93">
        <f t="shared" si="1289"/>
        <v>4.5146969381218004E-2</v>
      </c>
      <c r="EH118" s="93">
        <f t="shared" si="1289"/>
        <v>4.5146969381218004E-2</v>
      </c>
      <c r="EI118" s="93">
        <f t="shared" si="1289"/>
        <v>4.5146969381218004E-2</v>
      </c>
      <c r="EJ118" s="93">
        <f t="shared" si="1289"/>
        <v>4.5146969381218004E-2</v>
      </c>
      <c r="EK118" s="93">
        <f t="shared" si="1289"/>
        <v>4.5146969381218004E-2</v>
      </c>
      <c r="EL118" s="93">
        <f t="shared" si="1289"/>
        <v>4.5146969381218004E-2</v>
      </c>
      <c r="EM118" s="93">
        <f t="shared" si="1289"/>
        <v>4.5146969381218004E-2</v>
      </c>
      <c r="EN118" s="93">
        <f t="shared" si="1289"/>
        <v>4.5146969381218004E-2</v>
      </c>
      <c r="EO118" s="93">
        <f t="shared" si="1289"/>
        <v>4.5146969381218004E-2</v>
      </c>
      <c r="EP118" s="93">
        <f t="shared" si="1289"/>
        <v>4.5146969381218004E-2</v>
      </c>
      <c r="EQ118" s="93">
        <f t="shared" si="1290"/>
        <v>4.5146969381218004E-2</v>
      </c>
      <c r="ER118" s="93">
        <f t="shared" si="1290"/>
        <v>4.5146969381218004E-2</v>
      </c>
      <c r="ES118" s="93">
        <f t="shared" si="1290"/>
        <v>4.5146969381218004E-2</v>
      </c>
      <c r="ET118" s="93">
        <f t="shared" si="1290"/>
        <v>4.5146969381218004E-2</v>
      </c>
      <c r="EU118" s="93">
        <f t="shared" si="1290"/>
        <v>4.5146969381218004E-2</v>
      </c>
      <c r="EV118" s="93">
        <f t="shared" si="1290"/>
        <v>4.5146969381218004E-2</v>
      </c>
      <c r="EW118" s="93">
        <f t="shared" si="1290"/>
        <v>4.5146969381218004E-2</v>
      </c>
      <c r="EX118" s="93">
        <f t="shared" si="1290"/>
        <v>4.5146969381218004E-2</v>
      </c>
      <c r="EY118" s="93">
        <f t="shared" si="1290"/>
        <v>4.5146969381218004E-2</v>
      </c>
      <c r="EZ118" s="93">
        <f t="shared" si="1290"/>
        <v>4.5146969381218004E-2</v>
      </c>
      <c r="FA118" s="93">
        <f t="shared" si="1290"/>
        <v>4.5146969381218004E-2</v>
      </c>
      <c r="FB118" s="93">
        <f t="shared" si="1290"/>
        <v>4.5146969381218004E-2</v>
      </c>
    </row>
    <row r="119" spans="2:158" x14ac:dyDescent="0.25">
      <c r="C119" s="28"/>
      <c r="D119" s="16"/>
      <c r="E119" s="16"/>
      <c r="F119" s="16"/>
      <c r="G119" s="16"/>
      <c r="H119" s="16"/>
      <c r="I119" s="55"/>
      <c r="J119" s="55"/>
      <c r="K119" s="55"/>
      <c r="L119" s="55"/>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Y119" s="16"/>
      <c r="AZ119" s="16"/>
      <c r="BA119" s="16"/>
      <c r="BB119" s="16"/>
      <c r="BC119" s="16"/>
      <c r="BD119" s="16"/>
      <c r="BE119" s="16"/>
      <c r="BF119" s="16"/>
      <c r="BG119" s="16"/>
      <c r="BH119" s="16"/>
      <c r="BI119" s="16"/>
      <c r="BJ119" s="16"/>
      <c r="BK119" s="16"/>
      <c r="BL119" s="16"/>
      <c r="BM119" s="16"/>
      <c r="BN119" s="16"/>
      <c r="BO119" s="16"/>
      <c r="BP119" s="16"/>
      <c r="BQ119" s="16"/>
      <c r="BR119" s="16"/>
      <c r="BS119" s="16"/>
      <c r="BT119" s="16"/>
      <c r="BU119" s="16"/>
      <c r="BV119" s="16"/>
      <c r="BW119" s="16"/>
      <c r="BX119" s="16"/>
      <c r="BY119" s="16"/>
      <c r="BZ119" s="16"/>
      <c r="CA119" s="16"/>
      <c r="CB119" s="16"/>
      <c r="CC119" s="16"/>
      <c r="CD119" s="16"/>
      <c r="CE119" s="16"/>
      <c r="CF119" s="16"/>
      <c r="CG119" s="16"/>
      <c r="CH119" s="16"/>
      <c r="CI119" s="16"/>
      <c r="CJ119" s="16"/>
      <c r="CK119" s="16"/>
      <c r="CL119" s="16"/>
      <c r="CM119" s="16"/>
      <c r="CN119" s="16"/>
      <c r="CO119" s="16"/>
      <c r="CP119" s="16"/>
      <c r="CQ119" s="16"/>
      <c r="CR119" s="16"/>
      <c r="CS119" s="16"/>
      <c r="CT119" s="16"/>
      <c r="CU119" s="16"/>
      <c r="CV119" s="16"/>
      <c r="CW119" s="16"/>
      <c r="CX119" s="16"/>
      <c r="CY119" s="16"/>
      <c r="CZ119" s="16"/>
      <c r="DA119" s="16"/>
      <c r="DB119" s="16"/>
      <c r="DC119" s="16"/>
      <c r="DD119" s="16"/>
      <c r="DE119" s="16"/>
      <c r="DF119" s="16"/>
      <c r="DG119" s="16"/>
      <c r="DH119" s="16"/>
      <c r="DI119" s="16"/>
      <c r="DJ119" s="16"/>
      <c r="DK119" s="16"/>
      <c r="DL119" s="16"/>
      <c r="DM119" s="16"/>
      <c r="DN119" s="16"/>
      <c r="DO119" s="16"/>
      <c r="DP119" s="16"/>
      <c r="DQ119" s="16"/>
      <c r="DR119" s="16"/>
      <c r="DS119" s="16"/>
      <c r="DT119" s="16"/>
      <c r="DU119" s="16"/>
      <c r="DV119" s="16"/>
      <c r="DW119" s="16"/>
      <c r="DX119" s="16"/>
      <c r="DY119" s="16"/>
      <c r="DZ119" s="16"/>
      <c r="EA119" s="16"/>
      <c r="EB119" s="16"/>
      <c r="EC119" s="16"/>
      <c r="ED119" s="16"/>
      <c r="EE119" s="16"/>
      <c r="EF119" s="16"/>
      <c r="EG119" s="16"/>
      <c r="EH119" s="16"/>
      <c r="EI119" s="16"/>
      <c r="EJ119" s="16"/>
      <c r="EK119" s="16"/>
      <c r="EL119" s="16"/>
      <c r="EM119" s="16"/>
      <c r="EN119" s="16"/>
      <c r="EO119" s="16"/>
      <c r="EP119" s="16"/>
      <c r="EQ119" s="16"/>
      <c r="ER119" s="16"/>
      <c r="ES119" s="16"/>
      <c r="ET119" s="16"/>
      <c r="EU119" s="16"/>
      <c r="EV119" s="16"/>
      <c r="EW119" s="16"/>
      <c r="EX119" s="16"/>
      <c r="EY119" s="16"/>
      <c r="EZ119" s="16"/>
      <c r="FA119" s="16"/>
      <c r="FB119" s="16"/>
    </row>
    <row r="120" spans="2:158" x14ac:dyDescent="0.25">
      <c r="C120" s="3" t="s">
        <v>543</v>
      </c>
      <c r="D120" s="4"/>
      <c r="E120" s="4"/>
      <c r="F120" s="4"/>
      <c r="G120" s="4"/>
      <c r="H120" s="4"/>
      <c r="I120" s="4"/>
      <c r="J120" s="4"/>
      <c r="K120" s="4"/>
      <c r="L120" s="4"/>
      <c r="M120" s="3"/>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3"/>
      <c r="AY120" s="4"/>
      <c r="AZ120" s="4"/>
      <c r="BA120" s="4"/>
      <c r="BB120" s="4"/>
      <c r="BC120" s="4"/>
      <c r="BD120" s="4"/>
      <c r="BE120" s="4"/>
      <c r="BF120" s="4"/>
      <c r="BG120" s="4"/>
      <c r="BH120" s="4"/>
      <c r="BI120" s="4"/>
      <c r="BJ120" s="4"/>
      <c r="BK120" s="4"/>
      <c r="BL120" s="4"/>
      <c r="BM120" s="4"/>
      <c r="BN120" s="4"/>
      <c r="BO120" s="4"/>
      <c r="BP120" s="4"/>
      <c r="BQ120" s="4"/>
      <c r="BR120" s="4"/>
      <c r="BS120" s="4"/>
      <c r="BT120" s="4"/>
      <c r="BU120" s="4"/>
      <c r="BV120" s="4"/>
      <c r="BW120" s="4"/>
      <c r="BX120" s="4"/>
      <c r="BY120" s="4"/>
      <c r="BZ120" s="4"/>
      <c r="CA120" s="4"/>
      <c r="CB120" s="4"/>
      <c r="CC120" s="4"/>
      <c r="CD120" s="4"/>
      <c r="CE120" s="4"/>
      <c r="CF120" s="4"/>
      <c r="CG120" s="4"/>
      <c r="CH120" s="4"/>
      <c r="CI120" s="4"/>
      <c r="CJ120" s="4"/>
      <c r="CK120" s="4"/>
      <c r="CL120" s="4"/>
      <c r="CM120" s="4"/>
      <c r="CN120" s="4"/>
      <c r="CO120" s="4"/>
      <c r="CP120" s="4"/>
      <c r="CQ120" s="4"/>
      <c r="CR120" s="4"/>
      <c r="CS120" s="4"/>
      <c r="CT120" s="4"/>
      <c r="CU120" s="4"/>
      <c r="CV120" s="4"/>
      <c r="CW120" s="4"/>
      <c r="CX120" s="4"/>
      <c r="CY120" s="4"/>
      <c r="CZ120" s="4"/>
      <c r="DA120" s="4"/>
      <c r="DB120" s="4"/>
      <c r="DC120" s="4"/>
      <c r="DD120" s="4"/>
      <c r="DE120" s="4"/>
      <c r="DF120" s="4"/>
      <c r="DG120" s="4"/>
      <c r="DH120" s="4"/>
      <c r="DI120" s="4"/>
      <c r="DJ120" s="4"/>
      <c r="DK120" s="4"/>
      <c r="DL120" s="4"/>
      <c r="DM120" s="4"/>
      <c r="DN120" s="4"/>
      <c r="DO120" s="4"/>
      <c r="DP120" s="4"/>
      <c r="DQ120" s="4"/>
      <c r="DR120" s="4"/>
      <c r="DS120" s="4"/>
      <c r="DT120" s="4"/>
      <c r="DU120" s="4"/>
      <c r="DV120" s="4"/>
      <c r="DW120" s="4"/>
      <c r="DX120" s="4"/>
      <c r="DY120" s="4"/>
      <c r="DZ120" s="4"/>
      <c r="EA120" s="4"/>
      <c r="EB120" s="4"/>
      <c r="EC120" s="4"/>
      <c r="ED120" s="4"/>
      <c r="EE120" s="4"/>
      <c r="EF120" s="4"/>
      <c r="EG120" s="4"/>
      <c r="EH120" s="4"/>
      <c r="EI120" s="4"/>
      <c r="EJ120" s="4"/>
      <c r="EK120" s="4"/>
      <c r="EL120" s="4"/>
      <c r="EM120" s="4"/>
      <c r="EN120" s="4"/>
      <c r="EO120" s="4"/>
      <c r="EP120" s="4"/>
      <c r="EQ120" s="4"/>
      <c r="ER120" s="4"/>
      <c r="ES120" s="4"/>
      <c r="ET120" s="4"/>
      <c r="EU120" s="4"/>
      <c r="EV120" s="4"/>
      <c r="EW120" s="4"/>
      <c r="EX120" s="4"/>
      <c r="EY120" s="4"/>
      <c r="EZ120" s="4"/>
      <c r="FA120" s="4"/>
      <c r="FB120" s="4"/>
    </row>
    <row r="121" spans="2:158" x14ac:dyDescent="0.25">
      <c r="D121" s="16"/>
      <c r="E121" s="16"/>
      <c r="F121" s="16"/>
      <c r="G121" s="16"/>
      <c r="H121" s="16"/>
      <c r="I121" s="55"/>
      <c r="J121" s="55"/>
      <c r="K121" s="55"/>
      <c r="L121" s="55"/>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Y121" s="16"/>
      <c r="AZ121" s="16"/>
      <c r="BA121" s="16"/>
      <c r="BB121" s="16"/>
      <c r="BC121" s="16"/>
      <c r="BD121" s="16"/>
      <c r="BE121" s="16"/>
      <c r="BF121" s="16"/>
      <c r="BG121" s="16"/>
      <c r="BH121" s="16"/>
      <c r="BI121" s="16"/>
      <c r="BJ121" s="16"/>
      <c r="BK121" s="16"/>
      <c r="BL121" s="16"/>
      <c r="BM121" s="16"/>
      <c r="BN121" s="16"/>
      <c r="BO121" s="16"/>
      <c r="BP121" s="16"/>
      <c r="BQ121" s="16"/>
      <c r="BR121" s="16"/>
      <c r="BS121" s="16"/>
      <c r="BT121" s="16"/>
      <c r="BU121" s="16"/>
      <c r="BV121" s="16"/>
      <c r="BW121" s="16"/>
      <c r="BX121" s="16"/>
      <c r="BY121" s="16"/>
      <c r="BZ121" s="16"/>
      <c r="CA121" s="16"/>
      <c r="CB121" s="16"/>
      <c r="CC121" s="16"/>
      <c r="CD121" s="16"/>
      <c r="CE121" s="16"/>
      <c r="CF121" s="16"/>
      <c r="CG121" s="16"/>
      <c r="CH121" s="16"/>
      <c r="CI121" s="16"/>
      <c r="CJ121" s="16"/>
      <c r="CK121" s="16"/>
      <c r="CL121" s="16"/>
      <c r="CM121" s="16"/>
      <c r="CN121" s="16"/>
      <c r="CO121" s="16"/>
      <c r="CP121" s="16"/>
      <c r="CQ121" s="16"/>
      <c r="CR121" s="16"/>
      <c r="CS121" s="16"/>
      <c r="CT121" s="16"/>
      <c r="CU121" s="16"/>
      <c r="CV121" s="16"/>
      <c r="CW121" s="16"/>
      <c r="CX121" s="16"/>
      <c r="CY121" s="16"/>
      <c r="CZ121" s="16"/>
      <c r="DA121" s="16"/>
      <c r="DB121" s="16"/>
      <c r="DC121" s="16"/>
      <c r="DD121" s="16"/>
      <c r="DE121" s="16"/>
      <c r="DF121" s="16"/>
      <c r="DG121" s="16"/>
      <c r="DH121" s="16"/>
      <c r="DI121" s="16"/>
      <c r="DJ121" s="16"/>
      <c r="DK121" s="16"/>
      <c r="DL121" s="16"/>
      <c r="DM121" s="16"/>
      <c r="DN121" s="16"/>
      <c r="DO121" s="16"/>
      <c r="DP121" s="16"/>
      <c r="DQ121" s="16"/>
      <c r="DR121" s="16"/>
      <c r="DS121" s="16"/>
      <c r="DT121" s="16"/>
      <c r="DU121" s="16"/>
      <c r="DV121" s="16"/>
      <c r="DW121" s="16"/>
      <c r="DX121" s="16"/>
      <c r="DY121" s="16"/>
      <c r="DZ121" s="16"/>
      <c r="EA121" s="16"/>
      <c r="EB121" s="16"/>
      <c r="EC121" s="16"/>
      <c r="ED121" s="16"/>
      <c r="EE121" s="16"/>
      <c r="EF121" s="16"/>
      <c r="EG121" s="16"/>
      <c r="EH121" s="16"/>
      <c r="EI121" s="16"/>
      <c r="EJ121" s="16"/>
      <c r="EK121" s="16"/>
      <c r="EL121" s="16"/>
      <c r="EM121" s="16"/>
      <c r="EN121" s="16"/>
      <c r="EO121" s="16"/>
      <c r="EP121" s="16"/>
      <c r="EQ121" s="16"/>
      <c r="ER121" s="16"/>
      <c r="ES121" s="16"/>
      <c r="ET121" s="16"/>
      <c r="EU121" s="16"/>
      <c r="EV121" s="16"/>
      <c r="EW121" s="16"/>
      <c r="EX121" s="16"/>
      <c r="EY121" s="16"/>
      <c r="EZ121" s="16"/>
      <c r="FA121" s="16"/>
      <c r="FB121" s="16"/>
    </row>
    <row r="122" spans="2:158" x14ac:dyDescent="0.25">
      <c r="C122" s="252" t="s">
        <v>14</v>
      </c>
    </row>
    <row r="123" spans="2:158" x14ac:dyDescent="0.25">
      <c r="C123" s="102" t="s">
        <v>349</v>
      </c>
      <c r="D123" s="50">
        <f t="shared" ref="D123:L124" si="1295">SUMIF($AY$2:$FB$2,D$2,$AY123:$FB123)</f>
        <v>2049494.0499999998</v>
      </c>
      <c r="E123" s="50">
        <f t="shared" si="1295"/>
        <v>3202419.21</v>
      </c>
      <c r="F123" s="50">
        <f t="shared" si="1295"/>
        <v>4140888.01</v>
      </c>
      <c r="G123" s="50">
        <f t="shared" si="1295"/>
        <v>9439358.1352685485</v>
      </c>
      <c r="H123" s="50">
        <f t="shared" si="1295"/>
        <v>14631479.231364248</v>
      </c>
      <c r="I123" s="50">
        <f t="shared" si="1295"/>
        <v>18872487.53912979</v>
      </c>
      <c r="J123" s="50">
        <f t="shared" si="1295"/>
        <v>24929007.472100947</v>
      </c>
      <c r="K123" s="50">
        <f t="shared" si="1295"/>
        <v>32402465.327730291</v>
      </c>
      <c r="L123" s="50">
        <f t="shared" si="1295"/>
        <v>41475096.845029928</v>
      </c>
      <c r="M123" s="201"/>
      <c r="N123" s="68">
        <f t="shared" ref="N123" si="1296">SUM(AY123:BA123)</f>
        <v>457102.79000000004</v>
      </c>
      <c r="O123" s="68">
        <f t="shared" ref="O123" si="1297">SUM(BB123:BD123)</f>
        <v>476850.32000000007</v>
      </c>
      <c r="P123" s="68">
        <f t="shared" ref="P123" si="1298">SUM(BE123:BG123)</f>
        <v>508475.39999999997</v>
      </c>
      <c r="Q123" s="68">
        <f t="shared" ref="Q123" si="1299">SUM(BH123:BJ123)</f>
        <v>607065.54</v>
      </c>
      <c r="R123" s="68">
        <f t="shared" ref="R123" si="1300">SUM(BK123:BM123)</f>
        <v>731473.22</v>
      </c>
      <c r="S123" s="68">
        <f t="shared" ref="S123" si="1301">SUM(BN123:BP123)</f>
        <v>856889.47</v>
      </c>
      <c r="T123" s="68">
        <f t="shared" ref="T123" si="1302">SUM(BQ123:BS123)</f>
        <v>835439.85999999987</v>
      </c>
      <c r="U123" s="68">
        <f t="shared" ref="U123" si="1303">SUM(BT123:BV123)</f>
        <v>778616.66</v>
      </c>
      <c r="V123" s="68">
        <f t="shared" ref="V123" si="1304">SUM(BW123:BY123)</f>
        <v>1025187.55</v>
      </c>
      <c r="W123" s="68">
        <f t="shared" ref="W123" si="1305">SUM(BZ123:CB123)</f>
        <v>1054352.05</v>
      </c>
      <c r="X123" s="68">
        <f t="shared" ref="X123" si="1306">SUM(CC123:CE123)</f>
        <v>1049343.6100000001</v>
      </c>
      <c r="Y123" s="68">
        <f t="shared" ref="Y123" si="1307">SUM(CF123:CH123)</f>
        <v>1012004.7999999999</v>
      </c>
      <c r="Z123" s="68">
        <f t="shared" ref="Z123" si="1308">SUM(CI123:CK123)</f>
        <v>1421470.9</v>
      </c>
      <c r="AA123" s="68">
        <f t="shared" ref="AA123" si="1309">SUM(CL123:CN123)</f>
        <v>2405292.110419211</v>
      </c>
      <c r="AB123" s="68">
        <f t="shared" ref="AB123" si="1310">SUM(CO123:CQ123)</f>
        <v>2588466.4598065531</v>
      </c>
      <c r="AC123" s="68">
        <f t="shared" ref="AC123" si="1311">SUM(CR123:CT123)</f>
        <v>3024128.6650427836</v>
      </c>
      <c r="AD123" s="68">
        <f t="shared" ref="AD123" si="1312">SUM(CU123:CW123)</f>
        <v>3540914.1977243116</v>
      </c>
      <c r="AE123" s="68">
        <f t="shared" ref="AE123" si="1313">SUM(CX123:CZ123)</f>
        <v>3540914.1977243116</v>
      </c>
      <c r="AF123" s="68">
        <f t="shared" ref="AF123" si="1314">SUM(DA123:DC123)</f>
        <v>3580200.3139202632</v>
      </c>
      <c r="AG123" s="68">
        <f t="shared" ref="AG123" si="1315">SUM(DD123:DF123)</f>
        <v>3969450.521995361</v>
      </c>
      <c r="AH123" s="68">
        <f t="shared" ref="AH123" si="1316">SUM(DG123:DI123)</f>
        <v>4381884.6597446091</v>
      </c>
      <c r="AI123" s="68">
        <f t="shared" ref="AI123" si="1317">SUM(DJ123:DL123)</f>
        <v>4414741.7368055629</v>
      </c>
      <c r="AJ123" s="68">
        <f t="shared" ref="AJ123" si="1318">SUM(DM123:DO123)</f>
        <v>4766242.5011925334</v>
      </c>
      <c r="AK123" s="68">
        <f t="shared" ref="AK123" si="1319">SUM(DP123:DR123)</f>
        <v>5309618.6413870864</v>
      </c>
      <c r="AL123" s="68">
        <f t="shared" ref="AL123" si="1320">SUM(DS123:DU123)</f>
        <v>5835287.6171457404</v>
      </c>
      <c r="AM123" s="68">
        <f t="shared" ref="AM123" si="1321">SUM(DV123:DX123)</f>
        <v>5860112.3630974554</v>
      </c>
      <c r="AN123" s="68">
        <f t="shared" ref="AN123" si="1322">SUM(DY123:EA123)</f>
        <v>6272217.277525655</v>
      </c>
      <c r="AO123" s="68">
        <f t="shared" ref="AO123" si="1323">SUM(EB123:ED123)</f>
        <v>6961390.2143321</v>
      </c>
      <c r="AP123" s="68">
        <f t="shared" ref="AP123" si="1324">SUM(EE123:EG123)</f>
        <v>7639452.3727246951</v>
      </c>
      <c r="AQ123" s="68">
        <f t="shared" ref="AQ123" si="1325">SUM(EH123:EJ123)</f>
        <v>7651125.1364942901</v>
      </c>
      <c r="AR123" s="68">
        <f t="shared" ref="AR123" si="1326">SUM(EK123:EM123)</f>
        <v>8126343.0924707316</v>
      </c>
      <c r="AS123" s="68">
        <f t="shared" ref="AS123" si="1327">SUM(EN123:EP123)</f>
        <v>8985544.7260405738</v>
      </c>
      <c r="AT123" s="68">
        <f t="shared" ref="AT123" si="1328">SUM(EQ123:ES123)</f>
        <v>9846224.6204122994</v>
      </c>
      <c r="AU123" s="68">
        <f t="shared" ref="AU123" si="1329">SUM(ET123:EV123)</f>
        <v>9846224.6204122994</v>
      </c>
      <c r="AV123" s="68">
        <f t="shared" ref="AV123" si="1330">SUM(EW123:EY123)</f>
        <v>10365068.278951349</v>
      </c>
      <c r="AW123" s="68">
        <f t="shared" ref="AW123" si="1331">SUM(EZ123:FB123)</f>
        <v>11417579.325253984</v>
      </c>
      <c r="AX123" s="201"/>
      <c r="AY123" s="30">
        <f>'Expense Details'!H46</f>
        <v>157630.18</v>
      </c>
      <c r="AZ123" s="30">
        <f>'Expense Details'!I46</f>
        <v>138931.84</v>
      </c>
      <c r="BA123" s="30">
        <f>'Expense Details'!J46</f>
        <v>160540.76999999999</v>
      </c>
      <c r="BB123" s="30">
        <f>'Expense Details'!K46</f>
        <v>159365.09</v>
      </c>
      <c r="BC123" s="30">
        <f>'Expense Details'!L46</f>
        <v>160465.93</v>
      </c>
      <c r="BD123" s="30">
        <f>'Expense Details'!M46</f>
        <v>157019.30000000002</v>
      </c>
      <c r="BE123" s="30">
        <f>'Expense Details'!N46</f>
        <v>160313.37</v>
      </c>
      <c r="BF123" s="30">
        <f>'Expense Details'!O46</f>
        <v>163632.99</v>
      </c>
      <c r="BG123" s="30">
        <f>'Expense Details'!P46</f>
        <v>184529.03999999998</v>
      </c>
      <c r="BH123" s="30">
        <f>'Expense Details'!Q46</f>
        <v>173238.3</v>
      </c>
      <c r="BI123" s="30">
        <f>'Expense Details'!R46</f>
        <v>181246.86</v>
      </c>
      <c r="BJ123" s="30">
        <f>'Expense Details'!S46</f>
        <v>252580.38</v>
      </c>
      <c r="BK123" s="30">
        <f>'Expense Details'!T46</f>
        <v>231674.66</v>
      </c>
      <c r="BL123" s="30">
        <f>'Expense Details'!U46</f>
        <v>245545.39</v>
      </c>
      <c r="BM123" s="30">
        <f>'Expense Details'!V46</f>
        <v>254253.16999999998</v>
      </c>
      <c r="BN123" s="30">
        <f>'Expense Details'!W46</f>
        <v>266461.09999999998</v>
      </c>
      <c r="BO123" s="30">
        <f>'Expense Details'!X46</f>
        <v>285326.02999999997</v>
      </c>
      <c r="BP123" s="30">
        <f>'Expense Details'!Y46</f>
        <v>305102.34000000008</v>
      </c>
      <c r="BQ123" s="30">
        <f>'Expense Details'!Z46</f>
        <v>285697.68</v>
      </c>
      <c r="BR123" s="30">
        <f>'Expense Details'!AA46</f>
        <v>277478.24</v>
      </c>
      <c r="BS123" s="30">
        <f>'Expense Details'!AB46</f>
        <v>272263.94</v>
      </c>
      <c r="BT123" s="30">
        <f>'Expense Details'!AC46</f>
        <v>273150.81</v>
      </c>
      <c r="BU123" s="30">
        <f>'Expense Details'!AD46</f>
        <v>283655.96000000002</v>
      </c>
      <c r="BV123" s="30">
        <f>'Expense Details'!AE46</f>
        <v>221809.88999999998</v>
      </c>
      <c r="BW123" s="30">
        <f>'Expense Details'!AF46</f>
        <v>315333.74999999994</v>
      </c>
      <c r="BX123" s="30">
        <f>'Expense Details'!AG46</f>
        <v>282231.23000000004</v>
      </c>
      <c r="BY123" s="30">
        <f>'Expense Details'!AH46</f>
        <v>427622.57000000007</v>
      </c>
      <c r="BZ123" s="30">
        <f>'Expense Details'!AI46</f>
        <v>360534.03</v>
      </c>
      <c r="CA123" s="30">
        <f>'Expense Details'!AJ46</f>
        <v>357044.7</v>
      </c>
      <c r="CB123" s="30">
        <f>'Expense Details'!AK46</f>
        <v>336773.32</v>
      </c>
      <c r="CC123" s="30">
        <f>'Expense Details'!AL46</f>
        <v>350735.74</v>
      </c>
      <c r="CD123" s="30">
        <f>'Expense Details'!AM46</f>
        <v>357630.62000000005</v>
      </c>
      <c r="CE123" s="30">
        <f>'Expense Details'!AN46</f>
        <v>340977.25</v>
      </c>
      <c r="CF123" s="30">
        <f>'Expense Details'!AO46</f>
        <v>297700.36</v>
      </c>
      <c r="CG123" s="30">
        <f>'Expense Details'!AP46</f>
        <v>336272.06999999995</v>
      </c>
      <c r="CH123" s="30">
        <f>'Expense Details'!AQ46</f>
        <v>378032.37</v>
      </c>
      <c r="CI123" s="30">
        <f>'Expense Details'!AR46</f>
        <v>450963.59</v>
      </c>
      <c r="CJ123" s="30">
        <f>'Expense Details'!AS46</f>
        <v>475616.1</v>
      </c>
      <c r="CK123" s="30">
        <f>'Expense Details'!AT46</f>
        <v>494891.20999999996</v>
      </c>
      <c r="CL123" s="30">
        <f>'Expense Details'!AU46</f>
        <v>820482.34000000008</v>
      </c>
      <c r="CM123" s="30">
        <f>'Expense Details'!AV46</f>
        <v>782530.27809604339</v>
      </c>
      <c r="CN123" s="30">
        <f>'Expense Details'!AW46</f>
        <v>802279.49232316774</v>
      </c>
      <c r="CO123" s="30">
        <f>'Expense Details'!AX46</f>
        <v>812401.19743321289</v>
      </c>
      <c r="CP123" s="30">
        <f>'Expense Details'!AY46</f>
        <v>857509.01585210371</v>
      </c>
      <c r="CQ123" s="30">
        <f>'Expense Details'!AZ46</f>
        <v>918556.24652123661</v>
      </c>
      <c r="CR123" s="30">
        <f>'Expense Details'!BA46</f>
        <v>958412.79482862155</v>
      </c>
      <c r="CS123" s="30">
        <f>'Expense Details'!BB46</f>
        <v>1001130.7579753653</v>
      </c>
      <c r="CT123" s="30">
        <f>'Expense Details'!BC46</f>
        <v>1064585.1122387969</v>
      </c>
      <c r="CU123" s="30">
        <f>CU135*CU136/12</f>
        <v>1180304.7325747705</v>
      </c>
      <c r="CV123" s="30">
        <f t="shared" ref="CV123:FB123" si="1332">CV135*CV136/12</f>
        <v>1180304.7325747705</v>
      </c>
      <c r="CW123" s="30">
        <f t="shared" si="1332"/>
        <v>1180304.7325747705</v>
      </c>
      <c r="CX123" s="30">
        <f t="shared" si="1332"/>
        <v>1180304.7325747705</v>
      </c>
      <c r="CY123" s="30">
        <f t="shared" si="1332"/>
        <v>1180304.7325747705</v>
      </c>
      <c r="CZ123" s="30">
        <f t="shared" si="1332"/>
        <v>1180304.7325747705</v>
      </c>
      <c r="DA123" s="30">
        <f t="shared" si="1332"/>
        <v>1180304.7325747705</v>
      </c>
      <c r="DB123" s="30">
        <f t="shared" si="1332"/>
        <v>1180304.7325747705</v>
      </c>
      <c r="DC123" s="30">
        <f t="shared" si="1332"/>
        <v>1219590.848770722</v>
      </c>
      <c r="DD123" s="30">
        <f t="shared" si="1332"/>
        <v>1264967.0706900747</v>
      </c>
      <c r="DE123" s="30">
        <f t="shared" si="1332"/>
        <v>1313408.9561482682</v>
      </c>
      <c r="DF123" s="30">
        <f t="shared" si="1332"/>
        <v>1391074.4951570185</v>
      </c>
      <c r="DG123" s="30">
        <f t="shared" si="1332"/>
        <v>1460628.2199148696</v>
      </c>
      <c r="DH123" s="30">
        <f t="shared" si="1332"/>
        <v>1460628.2199148696</v>
      </c>
      <c r="DI123" s="30">
        <f t="shared" si="1332"/>
        <v>1460628.2199148696</v>
      </c>
      <c r="DJ123" s="30">
        <f t="shared" si="1332"/>
        <v>1460628.2199148696</v>
      </c>
      <c r="DK123" s="30">
        <f t="shared" si="1332"/>
        <v>1460628.2199148696</v>
      </c>
      <c r="DL123" s="30">
        <f t="shared" si="1332"/>
        <v>1493485.2969758238</v>
      </c>
      <c r="DM123" s="30">
        <f t="shared" si="1332"/>
        <v>1543867.4935066428</v>
      </c>
      <c r="DN123" s="30">
        <f t="shared" si="1332"/>
        <v>1578548.0433552507</v>
      </c>
      <c r="DO123" s="30">
        <f t="shared" si="1332"/>
        <v>1643826.9643306395</v>
      </c>
      <c r="DP123" s="30">
        <f t="shared" si="1332"/>
        <v>1699784.4929430464</v>
      </c>
      <c r="DQ123" s="30">
        <f t="shared" si="1332"/>
        <v>1757361.8890326933</v>
      </c>
      <c r="DR123" s="30">
        <f t="shared" si="1332"/>
        <v>1852472.2594113462</v>
      </c>
      <c r="DS123" s="30">
        <f t="shared" si="1332"/>
        <v>1945095.8723819135</v>
      </c>
      <c r="DT123" s="30">
        <f t="shared" si="1332"/>
        <v>1945095.8723819135</v>
      </c>
      <c r="DU123" s="30">
        <f t="shared" si="1332"/>
        <v>1945095.8723819135</v>
      </c>
      <c r="DV123" s="30">
        <f t="shared" si="1332"/>
        <v>1945095.8723819135</v>
      </c>
      <c r="DW123" s="30">
        <f t="shared" si="1332"/>
        <v>1945095.8723819135</v>
      </c>
      <c r="DX123" s="30">
        <f t="shared" si="1332"/>
        <v>1969920.6183336284</v>
      </c>
      <c r="DY123" s="30">
        <f t="shared" si="1332"/>
        <v>2033817.0050427632</v>
      </c>
      <c r="DZ123" s="30">
        <f t="shared" si="1332"/>
        <v>2077799.3767104789</v>
      </c>
      <c r="EA123" s="30">
        <f t="shared" si="1332"/>
        <v>2160600.8957724129</v>
      </c>
      <c r="EB123" s="30">
        <f t="shared" si="1332"/>
        <v>2231573.8303801985</v>
      </c>
      <c r="EC123" s="30">
        <f t="shared" si="1332"/>
        <v>2304593.4084837441</v>
      </c>
      <c r="ED123" s="30">
        <f t="shared" si="1332"/>
        <v>2425222.9754681564</v>
      </c>
      <c r="EE123" s="30">
        <f t="shared" si="1332"/>
        <v>2546484.1242415649</v>
      </c>
      <c r="EF123" s="30">
        <f t="shared" si="1332"/>
        <v>2546484.1242415649</v>
      </c>
      <c r="EG123" s="30">
        <f t="shared" si="1332"/>
        <v>2546484.1242415649</v>
      </c>
      <c r="EH123" s="30">
        <f t="shared" si="1332"/>
        <v>2546484.1242415649</v>
      </c>
      <c r="EI123" s="30">
        <f t="shared" si="1332"/>
        <v>2546484.1242415649</v>
      </c>
      <c r="EJ123" s="30">
        <f t="shared" si="1332"/>
        <v>2558156.8880111598</v>
      </c>
      <c r="EK123" s="30">
        <f t="shared" si="1332"/>
        <v>2637815.4448432014</v>
      </c>
      <c r="EL123" s="30">
        <f t="shared" si="1332"/>
        <v>2692647.2205921612</v>
      </c>
      <c r="EM123" s="30">
        <f t="shared" si="1332"/>
        <v>2795880.4270353694</v>
      </c>
      <c r="EN123" s="30">
        <f t="shared" si="1332"/>
        <v>2884363.8938549296</v>
      </c>
      <c r="EO123" s="30">
        <f t="shared" si="1332"/>
        <v>2975395.2384039629</v>
      </c>
      <c r="EP123" s="30">
        <f t="shared" si="1332"/>
        <v>3125785.5937816817</v>
      </c>
      <c r="EQ123" s="30">
        <f t="shared" si="1332"/>
        <v>3282074.8734707665</v>
      </c>
      <c r="ER123" s="30">
        <f t="shared" si="1332"/>
        <v>3282074.8734707665</v>
      </c>
      <c r="ES123" s="30">
        <f t="shared" si="1332"/>
        <v>3282074.8734707665</v>
      </c>
      <c r="ET123" s="30">
        <f t="shared" si="1332"/>
        <v>3282074.8734707665</v>
      </c>
      <c r="EU123" s="30">
        <f t="shared" si="1332"/>
        <v>3282074.8734707665</v>
      </c>
      <c r="EV123" s="30">
        <f t="shared" si="1332"/>
        <v>3282074.8734707665</v>
      </c>
      <c r="EW123" s="30">
        <f t="shared" si="1332"/>
        <v>3368090.8200920415</v>
      </c>
      <c r="EX123" s="30">
        <f t="shared" si="1332"/>
        <v>3435258.8814323</v>
      </c>
      <c r="EY123" s="30">
        <f t="shared" si="1332"/>
        <v>3561718.5774270068</v>
      </c>
      <c r="EZ123" s="30">
        <f t="shared" si="1332"/>
        <v>3670109.7462067208</v>
      </c>
      <c r="FA123" s="30">
        <f t="shared" si="1332"/>
        <v>3781621.6669299589</v>
      </c>
      <c r="FB123" s="30">
        <f t="shared" si="1332"/>
        <v>3965847.9121173047</v>
      </c>
    </row>
    <row r="124" spans="2:158" x14ac:dyDescent="0.25">
      <c r="C124" s="102" t="s">
        <v>2</v>
      </c>
      <c r="D124" s="50">
        <f t="shared" si="1295"/>
        <v>2090825.5899999999</v>
      </c>
      <c r="E124" s="50">
        <f t="shared" si="1295"/>
        <v>4342562.580000001</v>
      </c>
      <c r="F124" s="50">
        <f t="shared" si="1295"/>
        <v>3962351.1999999993</v>
      </c>
      <c r="G124" s="50">
        <f t="shared" si="1295"/>
        <v>6829715.884337849</v>
      </c>
      <c r="H124" s="50">
        <f t="shared" si="1295"/>
        <v>10220615.684079373</v>
      </c>
      <c r="I124" s="50">
        <f t="shared" si="1295"/>
        <v>12711300.680010408</v>
      </c>
      <c r="J124" s="50">
        <f t="shared" si="1295"/>
        <v>16167359.995733125</v>
      </c>
      <c r="K124" s="50">
        <f t="shared" si="1295"/>
        <v>20204105.187886629</v>
      </c>
      <c r="L124" s="50">
        <f t="shared" si="1295"/>
        <v>24824340.571371581</v>
      </c>
      <c r="M124" s="201"/>
      <c r="N124" s="243">
        <f t="shared" ref="N124" si="1333">SUM(AY124:BA124)</f>
        <v>518720.73</v>
      </c>
      <c r="O124" s="243">
        <f t="shared" ref="O124" si="1334">SUM(BB124:BD124)</f>
        <v>567584.57999999996</v>
      </c>
      <c r="P124" s="243">
        <f t="shared" ref="P124" si="1335">SUM(BE124:BG124)</f>
        <v>290641.01</v>
      </c>
      <c r="Q124" s="243">
        <f t="shared" ref="Q124" si="1336">SUM(BH124:BJ124)</f>
        <v>713879.26999999979</v>
      </c>
      <c r="R124" s="243">
        <f t="shared" ref="R124" si="1337">SUM(BK124:BM124)</f>
        <v>1126674.83</v>
      </c>
      <c r="S124" s="243">
        <f t="shared" ref="S124" si="1338">SUM(BN124:BP124)</f>
        <v>1057537.3900000001</v>
      </c>
      <c r="T124" s="243">
        <f t="shared" ref="T124" si="1339">SUM(BQ124:BS124)</f>
        <v>1110340.8499999999</v>
      </c>
      <c r="U124" s="243">
        <f t="shared" ref="U124" si="1340">SUM(BT124:BV124)</f>
        <v>1048009.5100000001</v>
      </c>
      <c r="V124" s="243">
        <f t="shared" ref="V124" si="1341">SUM(BW124:BY124)</f>
        <v>909296.63</v>
      </c>
      <c r="W124" s="243">
        <f t="shared" ref="W124" si="1342">SUM(BZ124:CB124)</f>
        <v>781394.3</v>
      </c>
      <c r="X124" s="243">
        <f t="shared" ref="X124" si="1343">SUM(CC124:CE124)</f>
        <v>1026496.7899999998</v>
      </c>
      <c r="Y124" s="243">
        <f t="shared" ref="Y124" si="1344">SUM(CF124:CH124)</f>
        <v>1245163.48</v>
      </c>
      <c r="Z124" s="243">
        <f t="shared" ref="Z124" si="1345">SUM(CI124:CK124)</f>
        <v>1373538.25</v>
      </c>
      <c r="AA124" s="243">
        <f t="shared" ref="AA124" si="1346">SUM(CL124:CN124)</f>
        <v>1587585.6077619293</v>
      </c>
      <c r="AB124" s="243">
        <f t="shared" ref="AB124" si="1347">SUM(CO124:CQ124)</f>
        <v>1762529.4135563402</v>
      </c>
      <c r="AC124" s="243">
        <f t="shared" ref="AC124" si="1348">SUM(CR124:CT124)</f>
        <v>2106062.6130195796</v>
      </c>
      <c r="AD124" s="243">
        <f t="shared" ref="AD124" si="1349">SUM(CU124:CW124)</f>
        <v>2473456.2112942305</v>
      </c>
      <c r="AE124" s="243">
        <f t="shared" ref="AE124" si="1350">SUM(CX124:CZ124)</f>
        <v>2473456.2112942305</v>
      </c>
      <c r="AF124" s="243">
        <f t="shared" ref="AF124" si="1351">SUM(DA124:DC124)</f>
        <v>2500898.9796575401</v>
      </c>
      <c r="AG124" s="243">
        <f t="shared" ref="AG124" si="1352">SUM(DD124:DF124)</f>
        <v>2772804.281833373</v>
      </c>
      <c r="AH124" s="243">
        <f t="shared" ref="AH124" si="1353">SUM(DG124:DI124)</f>
        <v>2951357.2781358492</v>
      </c>
      <c r="AI124" s="243">
        <f t="shared" ref="AI124" si="1354">SUM(DJ124:DL124)</f>
        <v>2973487.7039804603</v>
      </c>
      <c r="AJ124" s="243">
        <f t="shared" ref="AJ124" si="1355">SUM(DM124:DO124)</f>
        <v>3210236.1398245608</v>
      </c>
      <c r="AK124" s="243">
        <f t="shared" ref="AK124" si="1356">SUM(DP124:DR124)</f>
        <v>3576219.5580695383</v>
      </c>
      <c r="AL124" s="243">
        <f t="shared" ref="AL124" si="1357">SUM(DS124:DU124)</f>
        <v>3784394.3723238856</v>
      </c>
      <c r="AM124" s="243">
        <f t="shared" ref="AM124" si="1358">SUM(DV124:DX124)</f>
        <v>3800494.1149651902</v>
      </c>
      <c r="AN124" s="243">
        <f t="shared" ref="AN124" si="1359">SUM(DY124:EA124)</f>
        <v>4067759.0076821563</v>
      </c>
      <c r="AO124" s="243">
        <f t="shared" ref="AO124" si="1360">SUM(EB124:ED124)</f>
        <v>4514712.5007618945</v>
      </c>
      <c r="AP124" s="243">
        <f t="shared" ref="AP124" si="1361">SUM(EE124:EG124)</f>
        <v>4763473.944196688</v>
      </c>
      <c r="AQ124" s="243">
        <f t="shared" ref="AQ124" si="1362">SUM(EH124:EJ124)</f>
        <v>4770752.3331911331</v>
      </c>
      <c r="AR124" s="243">
        <f t="shared" ref="AR124" si="1363">SUM(EK124:EM124)</f>
        <v>5067067.8595749727</v>
      </c>
      <c r="AS124" s="243">
        <f t="shared" ref="AS124" si="1364">SUM(EN124:EP124)</f>
        <v>5602811.0509238355</v>
      </c>
      <c r="AT124" s="243">
        <f t="shared" ref="AT124" si="1365">SUM(EQ124:ES124)</f>
        <v>5893320.3756612577</v>
      </c>
      <c r="AU124" s="243">
        <f t="shared" ref="AU124" si="1366">SUM(ET124:EV124)</f>
        <v>5893320.3756612577</v>
      </c>
      <c r="AV124" s="243">
        <f t="shared" ref="AV124" si="1367">SUM(EW124:EY124)</f>
        <v>6203867.0087648574</v>
      </c>
      <c r="AW124" s="243">
        <f t="shared" ref="AW124" si="1368">SUM(EZ124:FB124)</f>
        <v>6833832.8112842124</v>
      </c>
      <c r="AX124" s="201"/>
      <c r="AY124" s="243">
        <f>'Expense Details'!H49</f>
        <v>99106.390000000029</v>
      </c>
      <c r="AZ124" s="243">
        <f>'Expense Details'!I49</f>
        <v>224985.62</v>
      </c>
      <c r="BA124" s="243">
        <f>'Expense Details'!J49</f>
        <v>194628.72</v>
      </c>
      <c r="BB124" s="243">
        <f>'Expense Details'!K49</f>
        <v>215475.18</v>
      </c>
      <c r="BC124" s="243">
        <f>'Expense Details'!L49</f>
        <v>200395.03</v>
      </c>
      <c r="BD124" s="243">
        <f>'Expense Details'!M49</f>
        <v>151714.37</v>
      </c>
      <c r="BE124" s="243">
        <f>'Expense Details'!N49</f>
        <v>135643.79999999999</v>
      </c>
      <c r="BF124" s="243">
        <f>'Expense Details'!O49</f>
        <v>65051.97</v>
      </c>
      <c r="BG124" s="243">
        <f>'Expense Details'!P49</f>
        <v>89945.24</v>
      </c>
      <c r="BH124" s="243">
        <f>'Expense Details'!Q49</f>
        <v>138862.63999999998</v>
      </c>
      <c r="BI124" s="243">
        <f>'Expense Details'!R49</f>
        <v>136920.54999999999</v>
      </c>
      <c r="BJ124" s="243">
        <f>'Expense Details'!S49</f>
        <v>438096.0799999999</v>
      </c>
      <c r="BK124" s="243">
        <f>'Expense Details'!T49</f>
        <v>277516.20999999996</v>
      </c>
      <c r="BL124" s="243">
        <f>'Expense Details'!U49</f>
        <v>268876.93</v>
      </c>
      <c r="BM124" s="243">
        <f>'Expense Details'!V49</f>
        <v>580281.69000000006</v>
      </c>
      <c r="BN124" s="243">
        <f>'Expense Details'!W49</f>
        <v>406345.73000000004</v>
      </c>
      <c r="BO124" s="243">
        <f>'Expense Details'!X49</f>
        <v>274615.00999999995</v>
      </c>
      <c r="BP124" s="243">
        <f>'Expense Details'!Y49</f>
        <v>376576.65000000008</v>
      </c>
      <c r="BQ124" s="243">
        <f>'Expense Details'!Z49</f>
        <v>375693.92</v>
      </c>
      <c r="BR124" s="243">
        <f>'Expense Details'!AA49</f>
        <v>259567.43999999994</v>
      </c>
      <c r="BS124" s="243">
        <f>'Expense Details'!AB49</f>
        <v>475079.49</v>
      </c>
      <c r="BT124" s="243">
        <f>'Expense Details'!AC49</f>
        <v>340214.80000000016</v>
      </c>
      <c r="BU124" s="243">
        <f>'Expense Details'!AD49</f>
        <v>345781.97</v>
      </c>
      <c r="BV124" s="243">
        <f>'Expense Details'!AE49</f>
        <v>362012.74</v>
      </c>
      <c r="BW124" s="243">
        <f>'Expense Details'!AF49</f>
        <v>425969.18000000005</v>
      </c>
      <c r="BX124" s="243">
        <f>'Expense Details'!AG49</f>
        <v>396175.80999999994</v>
      </c>
      <c r="BY124" s="243">
        <f>'Expense Details'!AH49</f>
        <v>87151.639999999985</v>
      </c>
      <c r="BZ124" s="243">
        <f>'Expense Details'!AI49</f>
        <v>207543.90999999997</v>
      </c>
      <c r="CA124" s="243">
        <f>'Expense Details'!AJ49</f>
        <v>222235.36</v>
      </c>
      <c r="CB124" s="243">
        <f>'Expense Details'!AK49</f>
        <v>351615.03</v>
      </c>
      <c r="CC124" s="243">
        <f>'Expense Details'!AL49</f>
        <v>294325.40999999992</v>
      </c>
      <c r="CD124" s="243">
        <f>'Expense Details'!AM49</f>
        <v>311684.10999999993</v>
      </c>
      <c r="CE124" s="243">
        <f>'Expense Details'!AN49</f>
        <v>420487.27000000008</v>
      </c>
      <c r="CF124" s="243">
        <f>'Expense Details'!AO49</f>
        <v>418199.76</v>
      </c>
      <c r="CG124" s="243">
        <f>'Expense Details'!AP49</f>
        <v>415741.56000000006</v>
      </c>
      <c r="CH124" s="243">
        <f>'Expense Details'!AQ49</f>
        <v>411222.15999999992</v>
      </c>
      <c r="CI124" s="243">
        <f>'Expense Details'!AR49</f>
        <v>470300.70999999996</v>
      </c>
      <c r="CJ124" s="243">
        <f>'Expense Details'!AS49</f>
        <v>432935.23</v>
      </c>
      <c r="CK124" s="243">
        <f>'Expense Details'!AT49</f>
        <v>470302.31</v>
      </c>
      <c r="CL124" s="243">
        <f>'Expense Details'!AU49</f>
        <v>507289.74</v>
      </c>
      <c r="CM124" s="243">
        <f>'Expense Details'!AV49</f>
        <v>446528.87954447267</v>
      </c>
      <c r="CN124" s="243">
        <f>'Expense Details'!AW49</f>
        <v>633766.9882174565</v>
      </c>
      <c r="CO124" s="243">
        <f>'Expense Details'!AX49</f>
        <v>495891.13487531268</v>
      </c>
      <c r="CP124" s="243">
        <f>'Expense Details'!AY49</f>
        <v>534161.45521533396</v>
      </c>
      <c r="CQ124" s="243">
        <f>'Expense Details'!AZ49</f>
        <v>732476.82346569363</v>
      </c>
      <c r="CR124" s="243">
        <f>'Expense Details'!BA49</f>
        <v>588847.78316654614</v>
      </c>
      <c r="CS124" s="243">
        <f>'Expense Details'!BB49</f>
        <v>670984.85382986988</v>
      </c>
      <c r="CT124" s="243">
        <f>'Expense Details'!BC49</f>
        <v>846229.97602316365</v>
      </c>
      <c r="CU124" s="243">
        <f t="shared" ref="CU124:DZ124" si="1369">CU123*CU148</f>
        <v>824485.40376474347</v>
      </c>
      <c r="CV124" s="243">
        <f t="shared" si="1369"/>
        <v>824485.40376474347</v>
      </c>
      <c r="CW124" s="243">
        <f t="shared" si="1369"/>
        <v>824485.40376474347</v>
      </c>
      <c r="CX124" s="243">
        <f t="shared" si="1369"/>
        <v>824485.40376474347</v>
      </c>
      <c r="CY124" s="243">
        <f t="shared" si="1369"/>
        <v>824485.40376474347</v>
      </c>
      <c r="CZ124" s="243">
        <f t="shared" si="1369"/>
        <v>824485.40376474347</v>
      </c>
      <c r="DA124" s="243">
        <f t="shared" si="1369"/>
        <v>824485.40376474347</v>
      </c>
      <c r="DB124" s="243">
        <f t="shared" si="1369"/>
        <v>824485.40376474347</v>
      </c>
      <c r="DC124" s="243">
        <f t="shared" si="1369"/>
        <v>851928.17212805338</v>
      </c>
      <c r="DD124" s="243">
        <f t="shared" si="1369"/>
        <v>883625.09887754091</v>
      </c>
      <c r="DE124" s="243">
        <f t="shared" si="1369"/>
        <v>917463.50212108134</v>
      </c>
      <c r="DF124" s="243">
        <f t="shared" si="1369"/>
        <v>971715.68083475053</v>
      </c>
      <c r="DG124" s="243">
        <f t="shared" si="1369"/>
        <v>983785.75937861635</v>
      </c>
      <c r="DH124" s="243">
        <f t="shared" si="1369"/>
        <v>983785.75937861635</v>
      </c>
      <c r="DI124" s="243">
        <f t="shared" si="1369"/>
        <v>983785.75937861635</v>
      </c>
      <c r="DJ124" s="243">
        <f t="shared" si="1369"/>
        <v>983785.75937861635</v>
      </c>
      <c r="DK124" s="243">
        <f t="shared" si="1369"/>
        <v>983785.75937861635</v>
      </c>
      <c r="DL124" s="243">
        <f t="shared" si="1369"/>
        <v>1005916.1852232276</v>
      </c>
      <c r="DM124" s="243">
        <f t="shared" si="1369"/>
        <v>1039850.410782777</v>
      </c>
      <c r="DN124" s="243">
        <f t="shared" si="1369"/>
        <v>1063209.0112830941</v>
      </c>
      <c r="DO124" s="243">
        <f t="shared" si="1369"/>
        <v>1107176.7177586902</v>
      </c>
      <c r="DP124" s="243">
        <f t="shared" si="1369"/>
        <v>1144866.1304568208</v>
      </c>
      <c r="DQ124" s="243">
        <f t="shared" si="1369"/>
        <v>1183646.5822944543</v>
      </c>
      <c r="DR124" s="243">
        <f t="shared" si="1369"/>
        <v>1247706.8453182632</v>
      </c>
      <c r="DS124" s="243">
        <f t="shared" si="1369"/>
        <v>1261464.7907746285</v>
      </c>
      <c r="DT124" s="243">
        <f t="shared" si="1369"/>
        <v>1261464.7907746285</v>
      </c>
      <c r="DU124" s="243">
        <f t="shared" si="1369"/>
        <v>1261464.7907746285</v>
      </c>
      <c r="DV124" s="243">
        <f t="shared" si="1369"/>
        <v>1261464.7907746285</v>
      </c>
      <c r="DW124" s="243">
        <f t="shared" si="1369"/>
        <v>1261464.7907746285</v>
      </c>
      <c r="DX124" s="243">
        <f t="shared" si="1369"/>
        <v>1277564.5334159334</v>
      </c>
      <c r="DY124" s="243">
        <f t="shared" si="1369"/>
        <v>1319003.643557373</v>
      </c>
      <c r="DZ124" s="243">
        <f t="shared" si="1369"/>
        <v>1347527.7970766772</v>
      </c>
      <c r="EA124" s="243">
        <f t="shared" ref="EA124:FB124" si="1370">EA123*EA148</f>
        <v>1401227.5670481059</v>
      </c>
      <c r="EB124" s="243">
        <f t="shared" si="1370"/>
        <v>1447256.0735998347</v>
      </c>
      <c r="EC124" s="243">
        <f t="shared" si="1370"/>
        <v>1494611.9022367252</v>
      </c>
      <c r="ED124" s="243">
        <f t="shared" si="1370"/>
        <v>1572844.5249253346</v>
      </c>
      <c r="EE124" s="243">
        <f t="shared" si="1370"/>
        <v>1587824.6480655626</v>
      </c>
      <c r="EF124" s="243">
        <f t="shared" si="1370"/>
        <v>1587824.6480655626</v>
      </c>
      <c r="EG124" s="243">
        <f t="shared" si="1370"/>
        <v>1587824.6480655626</v>
      </c>
      <c r="EH124" s="243">
        <f t="shared" si="1370"/>
        <v>1587824.6480655626</v>
      </c>
      <c r="EI124" s="243">
        <f t="shared" si="1370"/>
        <v>1587824.6480655626</v>
      </c>
      <c r="EJ124" s="243">
        <f t="shared" si="1370"/>
        <v>1595103.0370600079</v>
      </c>
      <c r="EK124" s="243">
        <f t="shared" si="1370"/>
        <v>1644773.0188058859</v>
      </c>
      <c r="EL124" s="243">
        <f t="shared" si="1370"/>
        <v>1678962.6075814816</v>
      </c>
      <c r="EM124" s="243">
        <f t="shared" si="1370"/>
        <v>1743332.2331876052</v>
      </c>
      <c r="EN124" s="243">
        <f t="shared" si="1370"/>
        <v>1798504.8644343182</v>
      </c>
      <c r="EO124" s="243">
        <f t="shared" si="1370"/>
        <v>1855266.189292196</v>
      </c>
      <c r="EP124" s="243">
        <f t="shared" si="1370"/>
        <v>1949039.9971973218</v>
      </c>
      <c r="EQ124" s="243">
        <f t="shared" si="1370"/>
        <v>1964440.1252204191</v>
      </c>
      <c r="ER124" s="243">
        <f t="shared" si="1370"/>
        <v>1964440.1252204191</v>
      </c>
      <c r="ES124" s="243">
        <f t="shared" si="1370"/>
        <v>1964440.1252204191</v>
      </c>
      <c r="ET124" s="243">
        <f t="shared" si="1370"/>
        <v>1964440.1252204191</v>
      </c>
      <c r="EU124" s="243">
        <f t="shared" si="1370"/>
        <v>1964440.1252204191</v>
      </c>
      <c r="EV124" s="243">
        <f t="shared" si="1370"/>
        <v>1964440.1252204191</v>
      </c>
      <c r="EW124" s="243">
        <f t="shared" si="1370"/>
        <v>2015923.7700078895</v>
      </c>
      <c r="EX124" s="243">
        <f t="shared" si="1370"/>
        <v>2056126.276019136</v>
      </c>
      <c r="EY124" s="243">
        <f t="shared" si="1370"/>
        <v>2131816.9627378318</v>
      </c>
      <c r="EZ124" s="243">
        <f t="shared" si="1370"/>
        <v>2196692.9845774062</v>
      </c>
      <c r="FA124" s="243">
        <f t="shared" si="1370"/>
        <v>2263436.8889531996</v>
      </c>
      <c r="FB124" s="243">
        <f t="shared" si="1370"/>
        <v>2373702.9377536066</v>
      </c>
    </row>
    <row r="125" spans="2:158" x14ac:dyDescent="0.25">
      <c r="C125" s="102" t="s">
        <v>408</v>
      </c>
      <c r="D125" s="50">
        <f t="shared" ref="D125:L125" si="1371">SUMIF($AY$2:$FB$2,D$2,$AY125:$FB125)</f>
        <v>1999465.8700000003</v>
      </c>
      <c r="E125" s="50">
        <f t="shared" si="1371"/>
        <v>2697646.6900000004</v>
      </c>
      <c r="F125" s="50">
        <f t="shared" si="1371"/>
        <v>3768383.7499999995</v>
      </c>
      <c r="G125" s="50">
        <f t="shared" si="1371"/>
        <v>5390808.6333333338</v>
      </c>
      <c r="H125" s="50">
        <f t="shared" si="1371"/>
        <v>10075761.941737942</v>
      </c>
      <c r="I125" s="50">
        <f t="shared" si="1371"/>
        <v>12172473.664627548</v>
      </c>
      <c r="J125" s="50">
        <f t="shared" si="1371"/>
        <v>14933374.566847336</v>
      </c>
      <c r="K125" s="50">
        <f t="shared" si="1371"/>
        <v>18887849.18833641</v>
      </c>
      <c r="L125" s="50">
        <f t="shared" si="1371"/>
        <v>24582752.243243627</v>
      </c>
      <c r="M125" s="201"/>
      <c r="N125" s="243">
        <f>SUM(AY125:BA125)</f>
        <v>403793.42000000004</v>
      </c>
      <c r="O125" s="243">
        <f>SUM(BB125:BD125)</f>
        <v>489465.64</v>
      </c>
      <c r="P125" s="243">
        <f>SUM(BE125:BG125)</f>
        <v>503660.85</v>
      </c>
      <c r="Q125" s="243">
        <f>SUM(BH125:BJ125)</f>
        <v>602545.96</v>
      </c>
      <c r="R125" s="243">
        <f>SUM(BK125:BM125)</f>
        <v>638454.78</v>
      </c>
      <c r="S125" s="243">
        <f>SUM(BN125:BP125)</f>
        <v>615749.43000000005</v>
      </c>
      <c r="T125" s="243">
        <f>SUM(BQ125:BS125)</f>
        <v>641817.34</v>
      </c>
      <c r="U125" s="243">
        <f>SUM(BT125:BV125)</f>
        <v>801625.14</v>
      </c>
      <c r="V125" s="243">
        <f>SUM(BW125:BY125)</f>
        <v>1051668.0099999998</v>
      </c>
      <c r="W125" s="243">
        <f>SUM(BZ125:CB125)</f>
        <v>935956.53</v>
      </c>
      <c r="X125" s="243">
        <f>SUM(CC125:CE125)</f>
        <v>883948.69000000006</v>
      </c>
      <c r="Y125" s="243">
        <f>SUM(CF125:CH125)</f>
        <v>896810.52</v>
      </c>
      <c r="Z125" s="243">
        <f>SUM(CI125:CK125)</f>
        <v>1017784.41</v>
      </c>
      <c r="AA125" s="243">
        <f>SUM(CL125:CN125)</f>
        <v>1125129.3433333335</v>
      </c>
      <c r="AB125" s="243">
        <f>SUM(CO125:CQ125)</f>
        <v>1389452.59</v>
      </c>
      <c r="AC125" s="243">
        <f>SUM(CR125:CT125)</f>
        <v>1858442.29</v>
      </c>
      <c r="AD125" s="243">
        <f>SUM(CU125:CW125)</f>
        <v>2327394.1055739275</v>
      </c>
      <c r="AE125" s="243">
        <f>SUM(CX125:CZ125)</f>
        <v>2417658.7781853615</v>
      </c>
      <c r="AF125" s="243">
        <f>SUM(DA125:DC125)</f>
        <v>2560645.7012762213</v>
      </c>
      <c r="AG125" s="243">
        <f>SUM(DD125:DF125)</f>
        <v>2770063.3567024302</v>
      </c>
      <c r="AH125" s="243">
        <f>SUM(DG125:DI125)</f>
        <v>2686309.8898228244</v>
      </c>
      <c r="AI125" s="243">
        <f>SUM(DJ125:DL125)</f>
        <v>2882726.6284296336</v>
      </c>
      <c r="AJ125" s="243">
        <f>SUM(DM125:DO125)</f>
        <v>3132748.4966859194</v>
      </c>
      <c r="AK125" s="243">
        <f>SUM(DP125:DR125)</f>
        <v>3470688.6496891715</v>
      </c>
      <c r="AL125" s="243">
        <f>SUM(DS125:DU125)</f>
        <v>3488847.5277307997</v>
      </c>
      <c r="AM125" s="243">
        <f>SUM(DV125:DX125)</f>
        <v>3595017.7180277831</v>
      </c>
      <c r="AN125" s="243">
        <f>SUM(DY125:EA125)</f>
        <v>3781342.0422348711</v>
      </c>
      <c r="AO125" s="243">
        <f>SUM(EB125:ED125)</f>
        <v>4068167.2788538812</v>
      </c>
      <c r="AP125" s="243">
        <f>SUM(EE125:EG125)</f>
        <v>4322919.2965474064</v>
      </c>
      <c r="AQ125" s="243">
        <f>SUM(EH125:EJ125)</f>
        <v>4528827.1305472367</v>
      </c>
      <c r="AR125" s="243">
        <f>SUM(EK125:EM125)</f>
        <v>4801640.6829647869</v>
      </c>
      <c r="AS125" s="243">
        <f>SUM(EN125:EP125)</f>
        <v>5234462.0782769788</v>
      </c>
      <c r="AT125" s="243">
        <f>SUM(EQ125:ES125)</f>
        <v>5605593.7612225702</v>
      </c>
      <c r="AU125" s="243">
        <f>SUM(ET125:EV125)</f>
        <v>5904747.8078245567</v>
      </c>
      <c r="AV125" s="243">
        <f>SUM(EW125:EY125)</f>
        <v>6252032.4165059477</v>
      </c>
      <c r="AW125" s="243">
        <f>SUM(EZ125:FB125)</f>
        <v>6820378.2576905573</v>
      </c>
      <c r="AX125" s="201"/>
      <c r="AY125" s="243">
        <f>'Expense Details'!H47</f>
        <v>122896.46</v>
      </c>
      <c r="AZ125" s="243">
        <f>'Expense Details'!I47</f>
        <v>134629.62</v>
      </c>
      <c r="BA125" s="243">
        <f>'Expense Details'!J47</f>
        <v>146267.34</v>
      </c>
      <c r="BB125" s="243">
        <f>'Expense Details'!K47</f>
        <v>153466.87</v>
      </c>
      <c r="BC125" s="243">
        <f>'Expense Details'!L47</f>
        <v>167808.17</v>
      </c>
      <c r="BD125" s="243">
        <f>'Expense Details'!M47</f>
        <v>168190.6</v>
      </c>
      <c r="BE125" s="243">
        <f>'Expense Details'!N47</f>
        <v>165346.98000000001</v>
      </c>
      <c r="BF125" s="243">
        <f>'Expense Details'!O47</f>
        <v>166607.34</v>
      </c>
      <c r="BG125" s="243">
        <f>'Expense Details'!P47</f>
        <v>171706.53</v>
      </c>
      <c r="BH125" s="243">
        <f>'Expense Details'!Q47</f>
        <v>173385.62</v>
      </c>
      <c r="BI125" s="243">
        <f>'Expense Details'!R47</f>
        <v>207926.3</v>
      </c>
      <c r="BJ125" s="243">
        <f>'Expense Details'!S47</f>
        <v>221234.04</v>
      </c>
      <c r="BK125" s="243">
        <f>'Expense Details'!T47</f>
        <v>222457.22</v>
      </c>
      <c r="BL125" s="243">
        <f>'Expense Details'!U47</f>
        <v>205501.44</v>
      </c>
      <c r="BM125" s="243">
        <f>'Expense Details'!V47</f>
        <v>210496.12</v>
      </c>
      <c r="BN125" s="243">
        <f>'Expense Details'!W47</f>
        <v>239696.77000000002</v>
      </c>
      <c r="BO125" s="243">
        <f>'Expense Details'!X47</f>
        <v>167269.32</v>
      </c>
      <c r="BP125" s="243">
        <f>'Expense Details'!Y47</f>
        <v>208783.34</v>
      </c>
      <c r="BQ125" s="243">
        <f>'Expense Details'!Z47</f>
        <v>214813.29</v>
      </c>
      <c r="BR125" s="243">
        <f>'Expense Details'!AA47</f>
        <v>202038.46000000002</v>
      </c>
      <c r="BS125" s="243">
        <f>'Expense Details'!AB47</f>
        <v>224965.59</v>
      </c>
      <c r="BT125" s="243">
        <f>'Expense Details'!AC47</f>
        <v>267084.5</v>
      </c>
      <c r="BU125" s="243">
        <f>'Expense Details'!AD47</f>
        <v>223741.45</v>
      </c>
      <c r="BV125" s="243">
        <f>'Expense Details'!AE47</f>
        <v>310799.19</v>
      </c>
      <c r="BW125" s="243">
        <f>'Expense Details'!AF47</f>
        <v>226194.35</v>
      </c>
      <c r="BX125" s="243">
        <f>'Expense Details'!AG47</f>
        <v>348112.85000000003</v>
      </c>
      <c r="BY125" s="243">
        <f>'Expense Details'!AH47</f>
        <v>477360.80999999976</v>
      </c>
      <c r="BZ125" s="243">
        <f>'Expense Details'!AI47</f>
        <v>292689.87</v>
      </c>
      <c r="CA125" s="243">
        <f>'Expense Details'!AJ47</f>
        <v>297919.80000000005</v>
      </c>
      <c r="CB125" s="243">
        <f>'Expense Details'!AK47</f>
        <v>345346.86</v>
      </c>
      <c r="CC125" s="243">
        <f>'Expense Details'!AL47</f>
        <v>300147.21000000002</v>
      </c>
      <c r="CD125" s="243">
        <f>'Expense Details'!AM47</f>
        <v>269255.62</v>
      </c>
      <c r="CE125" s="243">
        <f>'Expense Details'!AN47</f>
        <v>314545.86</v>
      </c>
      <c r="CF125" s="243">
        <f>'Expense Details'!AO47</f>
        <v>277320.55</v>
      </c>
      <c r="CG125" s="243">
        <f>'Expense Details'!AP47</f>
        <v>288618.11000000004</v>
      </c>
      <c r="CH125" s="243">
        <f>'Expense Details'!AQ47</f>
        <v>330871.86</v>
      </c>
      <c r="CI125" s="243">
        <f>'Expense Details'!AR47</f>
        <v>285559.10000000003</v>
      </c>
      <c r="CJ125" s="243">
        <f>'Expense Details'!AS47</f>
        <v>287741.32</v>
      </c>
      <c r="CK125" s="243">
        <f>'Expense Details'!AT47</f>
        <v>444483.99</v>
      </c>
      <c r="CL125" s="243">
        <f>'Expense Details'!AU47</f>
        <v>332160.94999999995</v>
      </c>
      <c r="CM125" s="243">
        <f>'Expense Details'!AV47</f>
        <v>396484.19666666671</v>
      </c>
      <c r="CN125" s="243">
        <f>'Expense Details'!AW47</f>
        <v>396484.19666666671</v>
      </c>
      <c r="CO125" s="243">
        <f>'Expense Details'!AX47</f>
        <v>463150.86333333334</v>
      </c>
      <c r="CP125" s="243">
        <f>'Expense Details'!AY47</f>
        <v>463150.86333333334</v>
      </c>
      <c r="CQ125" s="243">
        <f>'Expense Details'!AZ47</f>
        <v>463150.86333333334</v>
      </c>
      <c r="CR125" s="243">
        <f>'Expense Details'!BA47</f>
        <v>463150.86333333334</v>
      </c>
      <c r="CS125" s="243">
        <f>'Expense Details'!BB47</f>
        <v>463150.86333333334</v>
      </c>
      <c r="CT125" s="243">
        <f>'Expense Details'!BC47</f>
        <v>932140.56333333324</v>
      </c>
      <c r="CU125" s="243">
        <f>CU144*CU145/12</f>
        <v>769928.24497637944</v>
      </c>
      <c r="CV125" s="243">
        <f t="shared" ref="CV125:FB125" si="1372">CV144*CV145/12</f>
        <v>775176.76711133437</v>
      </c>
      <c r="CW125" s="243">
        <f t="shared" si="1372"/>
        <v>782289.09348621347</v>
      </c>
      <c r="CX125" s="243">
        <f t="shared" si="1372"/>
        <v>789487.57923129073</v>
      </c>
      <c r="CY125" s="243">
        <f t="shared" si="1372"/>
        <v>803585.31692566629</v>
      </c>
      <c r="CZ125" s="243">
        <f t="shared" si="1372"/>
        <v>824585.88202840451</v>
      </c>
      <c r="DA125" s="243">
        <f t="shared" si="1372"/>
        <v>837293.85316434421</v>
      </c>
      <c r="DB125" s="243">
        <f t="shared" si="1372"/>
        <v>850156.17214584071</v>
      </c>
      <c r="DC125" s="243">
        <f t="shared" si="1372"/>
        <v>873195.67596603662</v>
      </c>
      <c r="DD125" s="243">
        <f t="shared" si="1372"/>
        <v>895653.53037226351</v>
      </c>
      <c r="DE125" s="243">
        <f t="shared" si="1372"/>
        <v>919345.52355186583</v>
      </c>
      <c r="DF125" s="243">
        <f t="shared" si="1372"/>
        <v>955064.30277830083</v>
      </c>
      <c r="DG125" s="243">
        <f t="shared" si="1372"/>
        <v>877994.83927122771</v>
      </c>
      <c r="DH125" s="243">
        <f t="shared" si="1372"/>
        <v>894658.8694883975</v>
      </c>
      <c r="DI125" s="243">
        <f t="shared" si="1372"/>
        <v>913656.1810631993</v>
      </c>
      <c r="DJ125" s="243">
        <f t="shared" si="1372"/>
        <v>932284.69621080195</v>
      </c>
      <c r="DK125" s="243">
        <f t="shared" si="1372"/>
        <v>956322.26594585378</v>
      </c>
      <c r="DL125" s="243">
        <f t="shared" si="1372"/>
        <v>994119.66627297772</v>
      </c>
      <c r="DM125" s="243">
        <f t="shared" si="1372"/>
        <v>1012432.8379182676</v>
      </c>
      <c r="DN125" s="243">
        <f t="shared" si="1372"/>
        <v>1040444.9539668794</v>
      </c>
      <c r="DO125" s="243">
        <f t="shared" si="1372"/>
        <v>1079870.7048007725</v>
      </c>
      <c r="DP125" s="243">
        <f t="shared" si="1372"/>
        <v>1115774.0944233276</v>
      </c>
      <c r="DQ125" s="243">
        <f t="shared" si="1372"/>
        <v>1152246.3967061923</v>
      </c>
      <c r="DR125" s="243">
        <f t="shared" si="1372"/>
        <v>1202668.1585596513</v>
      </c>
      <c r="DS125" s="243">
        <f t="shared" si="1372"/>
        <v>1153329.004707393</v>
      </c>
      <c r="DT125" s="243">
        <f t="shared" si="1372"/>
        <v>1161929.0189752318</v>
      </c>
      <c r="DU125" s="243">
        <f t="shared" si="1372"/>
        <v>1173589.5040481747</v>
      </c>
      <c r="DV125" s="243">
        <f t="shared" si="1372"/>
        <v>1184766.2353160463</v>
      </c>
      <c r="DW125" s="243">
        <f t="shared" si="1372"/>
        <v>1195325.5720211777</v>
      </c>
      <c r="DX125" s="243">
        <f t="shared" si="1372"/>
        <v>1214925.9106905591</v>
      </c>
      <c r="DY125" s="243">
        <f t="shared" si="1372"/>
        <v>1235683.3781700435</v>
      </c>
      <c r="DZ125" s="243">
        <f t="shared" si="1372"/>
        <v>1256115.7570741111</v>
      </c>
      <c r="EA125" s="243">
        <f t="shared" si="1372"/>
        <v>1289542.9069907167</v>
      </c>
      <c r="EB125" s="243">
        <f t="shared" si="1372"/>
        <v>1319401.1081705648</v>
      </c>
      <c r="EC125" s="243">
        <f t="shared" si="1372"/>
        <v>1350568.2123217608</v>
      </c>
      <c r="ED125" s="243">
        <f t="shared" si="1372"/>
        <v>1398197.9583615558</v>
      </c>
      <c r="EE125" s="243">
        <f t="shared" si="1372"/>
        <v>1420431.2374832446</v>
      </c>
      <c r="EF125" s="243">
        <f t="shared" si="1372"/>
        <v>1439588.6221016338</v>
      </c>
      <c r="EG125" s="243">
        <f t="shared" si="1372"/>
        <v>1462899.4369625284</v>
      </c>
      <c r="EH125" s="243">
        <f t="shared" si="1372"/>
        <v>1485553.9901571991</v>
      </c>
      <c r="EI125" s="243">
        <f t="shared" si="1372"/>
        <v>1507371.3305186999</v>
      </c>
      <c r="EJ125" s="243">
        <f t="shared" si="1372"/>
        <v>1535901.8098713371</v>
      </c>
      <c r="EK125" s="243">
        <f t="shared" si="1372"/>
        <v>1561359.6919455945</v>
      </c>
      <c r="EL125" s="243">
        <f t="shared" si="1372"/>
        <v>1594738.425088262</v>
      </c>
      <c r="EM125" s="243">
        <f t="shared" si="1372"/>
        <v>1645542.5659309307</v>
      </c>
      <c r="EN125" s="243">
        <f t="shared" si="1372"/>
        <v>1691413.2985637914</v>
      </c>
      <c r="EO125" s="243">
        <f t="shared" si="1372"/>
        <v>1738092.6202515967</v>
      </c>
      <c r="EP125" s="243">
        <f t="shared" si="1372"/>
        <v>1804956.1594615905</v>
      </c>
      <c r="EQ125" s="243">
        <f t="shared" si="1372"/>
        <v>1837950.3686429292</v>
      </c>
      <c r="ER125" s="243">
        <f t="shared" si="1372"/>
        <v>1866699.0740418409</v>
      </c>
      <c r="ES125" s="243">
        <f t="shared" si="1372"/>
        <v>1900944.3185377999</v>
      </c>
      <c r="ET125" s="243">
        <f t="shared" si="1372"/>
        <v>1934292.3409881757</v>
      </c>
      <c r="EU125" s="243">
        <f t="shared" si="1372"/>
        <v>1966510.0619881365</v>
      </c>
      <c r="EV125" s="243">
        <f t="shared" si="1372"/>
        <v>2003945.4048482443</v>
      </c>
      <c r="EW125" s="243">
        <f t="shared" si="1372"/>
        <v>2031335.9835047971</v>
      </c>
      <c r="EX125" s="243">
        <f t="shared" si="1372"/>
        <v>2077047.957409079</v>
      </c>
      <c r="EY125" s="243">
        <f t="shared" si="1372"/>
        <v>2143648.4755920712</v>
      </c>
      <c r="EZ125" s="243">
        <f t="shared" si="1372"/>
        <v>2204050.4357159142</v>
      </c>
      <c r="FA125" s="243">
        <f t="shared" si="1372"/>
        <v>2265389.6620248789</v>
      </c>
      <c r="FB125" s="243">
        <f t="shared" si="1372"/>
        <v>2350938.1599497637</v>
      </c>
    </row>
    <row r="126" spans="2:158" x14ac:dyDescent="0.25">
      <c r="C126" s="102" t="s">
        <v>422</v>
      </c>
      <c r="D126" s="50">
        <f>SUMIF($AY$2:$FB$2,D$2,$AY126:$FB126)</f>
        <v>1463139.37</v>
      </c>
      <c r="E126" s="50">
        <f>SUMIF($AY$2:$FB$2,E$2,$AY126:$FB126)</f>
        <v>411694.93999999994</v>
      </c>
      <c r="F126" s="50">
        <f>SUMIF($AY$2:$FB$2,F$2,$AY126:$FB126)</f>
        <v>252206.58000000002</v>
      </c>
      <c r="G126" s="50">
        <f>SUMIF($AY$2:$FB$2,G$2,$AY126:$FB126)</f>
        <v>380256.37</v>
      </c>
      <c r="H126" s="249">
        <f>G126+1000000</f>
        <v>1380256.37</v>
      </c>
      <c r="I126" s="249">
        <f>H126*1.1</f>
        <v>1518282.0070000002</v>
      </c>
      <c r="J126" s="249">
        <f t="shared" ref="J126:L126" si="1373">I126*1.1</f>
        <v>1670110.2077000004</v>
      </c>
      <c r="K126" s="249">
        <f t="shared" si="1373"/>
        <v>1837121.2284700007</v>
      </c>
      <c r="L126" s="249">
        <f t="shared" si="1373"/>
        <v>2020833.3513170008</v>
      </c>
      <c r="M126" s="201"/>
      <c r="N126" s="243">
        <f>SUM(AY126:BA126)</f>
        <v>50282.59</v>
      </c>
      <c r="O126" s="243">
        <f>SUM(BB126:BD126)</f>
        <v>89291.34</v>
      </c>
      <c r="P126" s="243">
        <f>SUM(BE126:BG126)</f>
        <v>724034.91999999993</v>
      </c>
      <c r="Q126" s="243">
        <f>SUM(BH126:BJ126)</f>
        <v>599530.52</v>
      </c>
      <c r="R126" s="243">
        <f>SUM(BK126:BM126)</f>
        <v>246300.19</v>
      </c>
      <c r="S126" s="243">
        <f>SUM(BN126:BP126)</f>
        <v>12290.830000000002</v>
      </c>
      <c r="T126" s="243">
        <f>SUM(BQ126:BS126)</f>
        <v>43460.160000000003</v>
      </c>
      <c r="U126" s="243">
        <f>SUM(BT126:BV126)</f>
        <v>109643.76000000001</v>
      </c>
      <c r="V126" s="243">
        <f>SUM(BW126:BY126)</f>
        <v>44929.490000000005</v>
      </c>
      <c r="W126" s="243">
        <f>SUM(BZ126:CB126)</f>
        <v>65652.47</v>
      </c>
      <c r="X126" s="243">
        <f>SUM(CC126:CE126)</f>
        <v>53478.749999999993</v>
      </c>
      <c r="Y126" s="243">
        <f>SUM(CF126:CH126)</f>
        <v>88145.87</v>
      </c>
      <c r="Z126" s="243">
        <f>SUM(CI126:CK126)</f>
        <v>263392.92</v>
      </c>
      <c r="AA126" s="243">
        <f>SUM(CL126:CN126)</f>
        <v>59863.45</v>
      </c>
      <c r="AB126" s="243">
        <f>SUM(CO126:CQ126)</f>
        <v>28500</v>
      </c>
      <c r="AC126" s="243">
        <f>SUM(CR126:CT126)</f>
        <v>28500</v>
      </c>
      <c r="AD126" s="243">
        <f>SUM(CU126:CW126)</f>
        <v>345064.09250000003</v>
      </c>
      <c r="AE126" s="243">
        <f>SUM(CX126:CZ126)</f>
        <v>345064.09250000003</v>
      </c>
      <c r="AF126" s="243">
        <f>SUM(DA126:DC126)</f>
        <v>345064.09250000003</v>
      </c>
      <c r="AG126" s="243">
        <f>SUM(DD126:DF126)</f>
        <v>345064.09250000003</v>
      </c>
      <c r="AH126" s="243">
        <f>SUM(DG126:DI126)</f>
        <v>379570.50175000005</v>
      </c>
      <c r="AI126" s="243">
        <f>SUM(DJ126:DL126)</f>
        <v>379570.50175000005</v>
      </c>
      <c r="AJ126" s="243">
        <f>SUM(DM126:DO126)</f>
        <v>379570.50175000005</v>
      </c>
      <c r="AK126" s="243">
        <f>SUM(DP126:DR126)</f>
        <v>379570.50175000005</v>
      </c>
      <c r="AL126" s="243">
        <f>SUM(DS126:DU126)</f>
        <v>417527.55192500015</v>
      </c>
      <c r="AM126" s="243">
        <f>SUM(DV126:DX126)</f>
        <v>417527.55192500015</v>
      </c>
      <c r="AN126" s="243">
        <f>SUM(DY126:EA126)</f>
        <v>417527.55192500015</v>
      </c>
      <c r="AO126" s="243">
        <f>SUM(EB126:ED126)</f>
        <v>417527.55192500015</v>
      </c>
      <c r="AP126" s="243">
        <f>SUM(EE126:EG126)</f>
        <v>459280.30711750023</v>
      </c>
      <c r="AQ126" s="243">
        <f>SUM(EH126:EJ126)</f>
        <v>459280.30711750023</v>
      </c>
      <c r="AR126" s="243">
        <f>SUM(EK126:EM126)</f>
        <v>459280.30711750023</v>
      </c>
      <c r="AS126" s="243">
        <f>SUM(EN126:EP126)</f>
        <v>459280.30711750023</v>
      </c>
      <c r="AT126" s="243">
        <f>SUM(EQ126:ES126)</f>
        <v>505208.33782925014</v>
      </c>
      <c r="AU126" s="243">
        <f>SUM(ET126:EV126)</f>
        <v>505208.33782925014</v>
      </c>
      <c r="AV126" s="243">
        <f>SUM(EW126:EY126)</f>
        <v>505208.33782925014</v>
      </c>
      <c r="AW126" s="243">
        <f>SUM(EZ126:FB126)</f>
        <v>505208.33782925014</v>
      </c>
      <c r="AX126" s="201"/>
      <c r="AY126" s="243">
        <f>'Expense Details'!H48</f>
        <v>24989.89</v>
      </c>
      <c r="AZ126" s="243">
        <f>'Expense Details'!I48</f>
        <v>17117.7</v>
      </c>
      <c r="BA126" s="243">
        <f>'Expense Details'!J48</f>
        <v>8175</v>
      </c>
      <c r="BB126" s="243">
        <f>'Expense Details'!K48</f>
        <v>4833.83</v>
      </c>
      <c r="BC126" s="243">
        <f>'Expense Details'!L48</f>
        <v>22154.52</v>
      </c>
      <c r="BD126" s="243">
        <f>'Expense Details'!M48</f>
        <v>62302.99</v>
      </c>
      <c r="BE126" s="243">
        <f>'Expense Details'!N48</f>
        <v>196903.26</v>
      </c>
      <c r="BF126" s="243">
        <f>'Expense Details'!O48</f>
        <v>263674.69</v>
      </c>
      <c r="BG126" s="243">
        <f>'Expense Details'!P48</f>
        <v>263456.96999999997</v>
      </c>
      <c r="BH126" s="243">
        <f>'Expense Details'!Q48</f>
        <v>292703.90000000002</v>
      </c>
      <c r="BI126" s="243">
        <f>'Expense Details'!R48</f>
        <v>88868.1</v>
      </c>
      <c r="BJ126" s="243">
        <f>'Expense Details'!S48</f>
        <v>217958.51999999996</v>
      </c>
      <c r="BK126" s="243">
        <f>'Expense Details'!T48</f>
        <v>187044.33</v>
      </c>
      <c r="BL126" s="243">
        <f>'Expense Details'!U48</f>
        <v>108264.06</v>
      </c>
      <c r="BM126" s="243">
        <f>'Expense Details'!V48</f>
        <v>-49008.2</v>
      </c>
      <c r="BN126" s="243">
        <f>'Expense Details'!W48</f>
        <v>12245.95</v>
      </c>
      <c r="BO126" s="243">
        <f>'Expense Details'!X48</f>
        <v>71654.720000000001</v>
      </c>
      <c r="BP126" s="243">
        <f>'Expense Details'!Y48</f>
        <v>-71609.84</v>
      </c>
      <c r="BQ126" s="243">
        <f>'Expense Details'!Z48</f>
        <v>14849.78</v>
      </c>
      <c r="BR126" s="243">
        <f>'Expense Details'!AA48</f>
        <v>19757.18</v>
      </c>
      <c r="BS126" s="243">
        <f>'Expense Details'!AB48</f>
        <v>8853.2000000000007</v>
      </c>
      <c r="BT126" s="243">
        <f>'Expense Details'!AC48</f>
        <v>36015.54</v>
      </c>
      <c r="BU126" s="243">
        <f>'Expense Details'!AD48</f>
        <v>22069.86</v>
      </c>
      <c r="BV126" s="243">
        <f>'Expense Details'!AE48</f>
        <v>51558.36</v>
      </c>
      <c r="BW126" s="243">
        <f>'Expense Details'!AF48</f>
        <v>21984.78</v>
      </c>
      <c r="BX126" s="243">
        <f>'Expense Details'!AG48</f>
        <v>335.27000000000044</v>
      </c>
      <c r="BY126" s="243">
        <f>'Expense Details'!AH48</f>
        <v>22609.440000000002</v>
      </c>
      <c r="BZ126" s="243">
        <f>'Expense Details'!AI48</f>
        <v>3225.74</v>
      </c>
      <c r="CA126" s="243">
        <f>'Expense Details'!AJ48</f>
        <v>24633.4</v>
      </c>
      <c r="CB126" s="243">
        <f>'Expense Details'!AK48</f>
        <v>37793.33</v>
      </c>
      <c r="CC126" s="243">
        <f>'Expense Details'!AL48</f>
        <v>16194.810000000001</v>
      </c>
      <c r="CD126" s="243">
        <f>'Expense Details'!AM48</f>
        <v>37133.369999999995</v>
      </c>
      <c r="CE126" s="243">
        <f>'Expense Details'!AN48</f>
        <v>150.56999999999994</v>
      </c>
      <c r="CF126" s="243">
        <f>'Expense Details'!AO48</f>
        <v>16876.490000000002</v>
      </c>
      <c r="CG126" s="243">
        <f>'Expense Details'!AP48</f>
        <v>29254.949999999997</v>
      </c>
      <c r="CH126" s="243">
        <f>'Expense Details'!AQ48</f>
        <v>42014.43</v>
      </c>
      <c r="CI126" s="243">
        <f>'Expense Details'!AR48</f>
        <v>20064.669999999998</v>
      </c>
      <c r="CJ126" s="243">
        <f>'Expense Details'!AS48</f>
        <v>37710.43</v>
      </c>
      <c r="CK126" s="243">
        <f>'Expense Details'!AT48</f>
        <v>205617.82</v>
      </c>
      <c r="CL126" s="243">
        <f>'Expense Details'!AU48</f>
        <v>40863.449999999997</v>
      </c>
      <c r="CM126" s="243">
        <f>'Expense Details'!AV48</f>
        <v>9500</v>
      </c>
      <c r="CN126" s="243">
        <f>'Expense Details'!AW48</f>
        <v>9500</v>
      </c>
      <c r="CO126" s="243">
        <f>'Expense Details'!AX48</f>
        <v>9500</v>
      </c>
      <c r="CP126" s="243">
        <f>'Expense Details'!AY48</f>
        <v>9500</v>
      </c>
      <c r="CQ126" s="243">
        <f>'Expense Details'!AZ48</f>
        <v>9500</v>
      </c>
      <c r="CR126" s="243">
        <f>'Expense Details'!BA48</f>
        <v>9500</v>
      </c>
      <c r="CS126" s="243">
        <f>'Expense Details'!BB48</f>
        <v>9500</v>
      </c>
      <c r="CT126" s="243">
        <f>'Expense Details'!BC48</f>
        <v>9500</v>
      </c>
      <c r="CU126" s="90">
        <f>INDEX($D126:$L126,1,MATCH(CU$2,$D$2:$L$2,))/12</f>
        <v>115021.36416666668</v>
      </c>
      <c r="CV126" s="90">
        <f t="shared" ref="CV126:FB126" si="1374">INDEX($D126:$L126,1,MATCH(CV$2,$D$2:$L$2,))/12</f>
        <v>115021.36416666668</v>
      </c>
      <c r="CW126" s="90">
        <f t="shared" si="1374"/>
        <v>115021.36416666668</v>
      </c>
      <c r="CX126" s="90">
        <f t="shared" si="1374"/>
        <v>115021.36416666668</v>
      </c>
      <c r="CY126" s="90">
        <f t="shared" si="1374"/>
        <v>115021.36416666668</v>
      </c>
      <c r="CZ126" s="90">
        <f t="shared" si="1374"/>
        <v>115021.36416666668</v>
      </c>
      <c r="DA126" s="90">
        <f t="shared" si="1374"/>
        <v>115021.36416666668</v>
      </c>
      <c r="DB126" s="90">
        <f t="shared" si="1374"/>
        <v>115021.36416666668</v>
      </c>
      <c r="DC126" s="90">
        <f t="shared" si="1374"/>
        <v>115021.36416666668</v>
      </c>
      <c r="DD126" s="90">
        <f t="shared" si="1374"/>
        <v>115021.36416666668</v>
      </c>
      <c r="DE126" s="90">
        <f t="shared" si="1374"/>
        <v>115021.36416666668</v>
      </c>
      <c r="DF126" s="90">
        <f t="shared" si="1374"/>
        <v>115021.36416666668</v>
      </c>
      <c r="DG126" s="90">
        <f t="shared" si="1374"/>
        <v>126523.50058333336</v>
      </c>
      <c r="DH126" s="90">
        <f t="shared" si="1374"/>
        <v>126523.50058333336</v>
      </c>
      <c r="DI126" s="90">
        <f t="shared" si="1374"/>
        <v>126523.50058333336</v>
      </c>
      <c r="DJ126" s="90">
        <f t="shared" si="1374"/>
        <v>126523.50058333336</v>
      </c>
      <c r="DK126" s="90">
        <f t="shared" si="1374"/>
        <v>126523.50058333336</v>
      </c>
      <c r="DL126" s="90">
        <f t="shared" si="1374"/>
        <v>126523.50058333336</v>
      </c>
      <c r="DM126" s="90">
        <f t="shared" si="1374"/>
        <v>126523.50058333336</v>
      </c>
      <c r="DN126" s="90">
        <f t="shared" si="1374"/>
        <v>126523.50058333336</v>
      </c>
      <c r="DO126" s="90">
        <f t="shared" si="1374"/>
        <v>126523.50058333336</v>
      </c>
      <c r="DP126" s="90">
        <f t="shared" si="1374"/>
        <v>126523.50058333336</v>
      </c>
      <c r="DQ126" s="90">
        <f t="shared" si="1374"/>
        <v>126523.50058333336</v>
      </c>
      <c r="DR126" s="90">
        <f t="shared" si="1374"/>
        <v>126523.50058333336</v>
      </c>
      <c r="DS126" s="90">
        <f t="shared" si="1374"/>
        <v>139175.85064166671</v>
      </c>
      <c r="DT126" s="90">
        <f t="shared" si="1374"/>
        <v>139175.85064166671</v>
      </c>
      <c r="DU126" s="90">
        <f t="shared" si="1374"/>
        <v>139175.85064166671</v>
      </c>
      <c r="DV126" s="90">
        <f t="shared" si="1374"/>
        <v>139175.85064166671</v>
      </c>
      <c r="DW126" s="90">
        <f t="shared" si="1374"/>
        <v>139175.85064166671</v>
      </c>
      <c r="DX126" s="90">
        <f t="shared" si="1374"/>
        <v>139175.85064166671</v>
      </c>
      <c r="DY126" s="90">
        <f t="shared" si="1374"/>
        <v>139175.85064166671</v>
      </c>
      <c r="DZ126" s="90">
        <f t="shared" si="1374"/>
        <v>139175.85064166671</v>
      </c>
      <c r="EA126" s="90">
        <f t="shared" si="1374"/>
        <v>139175.85064166671</v>
      </c>
      <c r="EB126" s="90">
        <f t="shared" si="1374"/>
        <v>139175.85064166671</v>
      </c>
      <c r="EC126" s="90">
        <f t="shared" si="1374"/>
        <v>139175.85064166671</v>
      </c>
      <c r="ED126" s="90">
        <f t="shared" si="1374"/>
        <v>139175.85064166671</v>
      </c>
      <c r="EE126" s="90">
        <f t="shared" si="1374"/>
        <v>153093.4357058334</v>
      </c>
      <c r="EF126" s="90">
        <f t="shared" si="1374"/>
        <v>153093.4357058334</v>
      </c>
      <c r="EG126" s="90">
        <f t="shared" si="1374"/>
        <v>153093.4357058334</v>
      </c>
      <c r="EH126" s="90">
        <f t="shared" si="1374"/>
        <v>153093.4357058334</v>
      </c>
      <c r="EI126" s="90">
        <f t="shared" si="1374"/>
        <v>153093.4357058334</v>
      </c>
      <c r="EJ126" s="90">
        <f t="shared" si="1374"/>
        <v>153093.4357058334</v>
      </c>
      <c r="EK126" s="90">
        <f t="shared" si="1374"/>
        <v>153093.4357058334</v>
      </c>
      <c r="EL126" s="90">
        <f t="shared" si="1374"/>
        <v>153093.4357058334</v>
      </c>
      <c r="EM126" s="90">
        <f t="shared" si="1374"/>
        <v>153093.4357058334</v>
      </c>
      <c r="EN126" s="90">
        <f t="shared" si="1374"/>
        <v>153093.4357058334</v>
      </c>
      <c r="EO126" s="90">
        <f t="shared" si="1374"/>
        <v>153093.4357058334</v>
      </c>
      <c r="EP126" s="90">
        <f t="shared" si="1374"/>
        <v>153093.4357058334</v>
      </c>
      <c r="EQ126" s="90">
        <f t="shared" si="1374"/>
        <v>168402.77927641672</v>
      </c>
      <c r="ER126" s="90">
        <f t="shared" si="1374"/>
        <v>168402.77927641672</v>
      </c>
      <c r="ES126" s="90">
        <f t="shared" si="1374"/>
        <v>168402.77927641672</v>
      </c>
      <c r="ET126" s="90">
        <f t="shared" si="1374"/>
        <v>168402.77927641672</v>
      </c>
      <c r="EU126" s="90">
        <f t="shared" si="1374"/>
        <v>168402.77927641672</v>
      </c>
      <c r="EV126" s="90">
        <f t="shared" si="1374"/>
        <v>168402.77927641672</v>
      </c>
      <c r="EW126" s="90">
        <f t="shared" si="1374"/>
        <v>168402.77927641672</v>
      </c>
      <c r="EX126" s="90">
        <f t="shared" si="1374"/>
        <v>168402.77927641672</v>
      </c>
      <c r="EY126" s="90">
        <f t="shared" si="1374"/>
        <v>168402.77927641672</v>
      </c>
      <c r="EZ126" s="90">
        <f t="shared" si="1374"/>
        <v>168402.77927641672</v>
      </c>
      <c r="FA126" s="90">
        <f t="shared" si="1374"/>
        <v>168402.77927641672</v>
      </c>
      <c r="FB126" s="90">
        <f t="shared" si="1374"/>
        <v>168402.77927641672</v>
      </c>
    </row>
    <row r="127" spans="2:158" x14ac:dyDescent="0.25">
      <c r="C127" s="99"/>
      <c r="D127" s="99"/>
      <c r="E127" s="99"/>
      <c r="F127" s="99"/>
      <c r="G127" s="99"/>
      <c r="H127" s="99"/>
      <c r="I127" s="99"/>
      <c r="J127" s="99"/>
      <c r="K127" s="99"/>
      <c r="L127" s="99"/>
    </row>
    <row r="128" spans="2:158" x14ac:dyDescent="0.25">
      <c r="C128" s="252" t="s">
        <v>481</v>
      </c>
      <c r="D128" s="99"/>
      <c r="E128" s="99"/>
      <c r="F128" s="99"/>
      <c r="G128" s="99"/>
      <c r="H128" s="99"/>
      <c r="I128" s="99"/>
      <c r="J128" s="99"/>
      <c r="K128" s="99"/>
      <c r="L128" s="99"/>
    </row>
    <row r="129" spans="2:158" x14ac:dyDescent="0.25">
      <c r="C129" s="102" t="s">
        <v>349</v>
      </c>
      <c r="D129" s="50">
        <f t="shared" ref="D129:L130" si="1375">SUMIF($AY$2:$FB$2,D$2,$AY129:$FB129)</f>
        <v>752694.16999999993</v>
      </c>
      <c r="E129" s="50">
        <f t="shared" si="1375"/>
        <v>1527753.88</v>
      </c>
      <c r="F129" s="50">
        <f t="shared" si="1375"/>
        <v>2179482.15</v>
      </c>
      <c r="G129" s="50">
        <f t="shared" si="1375"/>
        <v>6716758.1530035874</v>
      </c>
      <c r="H129" s="50">
        <f t="shared" si="1375"/>
        <v>8639329.0998959243</v>
      </c>
      <c r="I129" s="50">
        <f t="shared" si="1375"/>
        <v>10383111.106378788</v>
      </c>
      <c r="J129" s="50">
        <f t="shared" si="1375"/>
        <v>12695695.581431583</v>
      </c>
      <c r="K129" s="50">
        <f t="shared" si="1375"/>
        <v>14480771.029633164</v>
      </c>
      <c r="L129" s="50">
        <f t="shared" si="1375"/>
        <v>17206715.998701513</v>
      </c>
      <c r="M129" s="201"/>
      <c r="N129" s="68">
        <f t="shared" ref="N129:N130" si="1376">SUM(AY129:BA129)</f>
        <v>152280.91999999998</v>
      </c>
      <c r="O129" s="68">
        <f t="shared" ref="O129:O130" si="1377">SUM(BB129:BD129)</f>
        <v>156682.81</v>
      </c>
      <c r="P129" s="68">
        <f t="shared" ref="P129:P130" si="1378">SUM(BE129:BG129)</f>
        <v>198313.68</v>
      </c>
      <c r="Q129" s="68">
        <f t="shared" ref="Q129:Q130" si="1379">SUM(BH129:BJ129)</f>
        <v>245416.76</v>
      </c>
      <c r="R129" s="68">
        <f t="shared" ref="R129:R130" si="1380">SUM(BK129:BM129)</f>
        <v>274073.40000000002</v>
      </c>
      <c r="S129" s="68">
        <f t="shared" ref="S129:S130" si="1381">SUM(BN129:BP129)</f>
        <v>388692.55</v>
      </c>
      <c r="T129" s="68">
        <f t="shared" ref="T129:T130" si="1382">SUM(BQ129:BS129)</f>
        <v>392776.74</v>
      </c>
      <c r="U129" s="68">
        <f t="shared" ref="U129:U130" si="1383">SUM(BT129:BV129)</f>
        <v>472211.19000000006</v>
      </c>
      <c r="V129" s="68">
        <f t="shared" ref="V129:V130" si="1384">SUM(BW129:BY129)</f>
        <v>575546.78999999992</v>
      </c>
      <c r="W129" s="68">
        <f t="shared" ref="W129:W130" si="1385">SUM(BZ129:CB129)</f>
        <v>528088.37</v>
      </c>
      <c r="X129" s="68">
        <f t="shared" ref="X129:X130" si="1386">SUM(CC129:CE129)</f>
        <v>484508.89</v>
      </c>
      <c r="Y129" s="68">
        <f t="shared" ref="Y129:Y130" si="1387">SUM(CF129:CH129)</f>
        <v>591338.1</v>
      </c>
      <c r="Z129" s="68">
        <f t="shared" ref="Z129:Z130" si="1388">SUM(CI129:CK129)</f>
        <v>1242251.5</v>
      </c>
      <c r="AA129" s="68">
        <f t="shared" ref="AA129:AA130" si="1389">SUM(CL129:CN129)</f>
        <v>1732820.550724708</v>
      </c>
      <c r="AB129" s="68">
        <f t="shared" ref="AB129:AB130" si="1390">SUM(CO129:CQ129)</f>
        <v>1825629.9017377938</v>
      </c>
      <c r="AC129" s="68">
        <f t="shared" ref="AC129:AC130" si="1391">SUM(CR129:CT129)</f>
        <v>1916056.2005410851</v>
      </c>
      <c r="AD129" s="68">
        <f t="shared" ref="AD129:AD130" si="1392">SUM(CU129:CW129)</f>
        <v>2128812.3632774204</v>
      </c>
      <c r="AE129" s="68">
        <f t="shared" ref="AE129:AE130" si="1393">SUM(CX129:CZ129)</f>
        <v>2128812.3632774204</v>
      </c>
      <c r="AF129" s="68">
        <f t="shared" ref="AF129:AF130" si="1394">SUM(DA129:DC129)</f>
        <v>2129242.5242922362</v>
      </c>
      <c r="AG129" s="68">
        <f t="shared" ref="AG129:AG130" si="1395">SUM(DD129:DF129)</f>
        <v>2252461.8490488478</v>
      </c>
      <c r="AH129" s="68">
        <f t="shared" ref="AH129:AH130" si="1396">SUM(DG129:DI129)</f>
        <v>2446306.7191596772</v>
      </c>
      <c r="AI129" s="68">
        <f t="shared" ref="AI129:AI130" si="1397">SUM(DJ129:DL129)</f>
        <v>2455985.3774022926</v>
      </c>
      <c r="AJ129" s="68">
        <f t="shared" ref="AJ129:AJ130" si="1398">SUM(DM129:DO129)</f>
        <v>2600165.2068478623</v>
      </c>
      <c r="AK129" s="68">
        <f t="shared" ref="AK129:AK130" si="1399">SUM(DP129:DR129)</f>
        <v>2880653.8029689551</v>
      </c>
      <c r="AL129" s="68">
        <f t="shared" ref="AL129:AL130" si="1400">SUM(DS129:DU129)</f>
        <v>3144356.4969939403</v>
      </c>
      <c r="AM129" s="68">
        <f t="shared" ref="AM129:AM130" si="1401">SUM(DV129:DX129)</f>
        <v>3144356.4969939403</v>
      </c>
      <c r="AN129" s="68">
        <f t="shared" ref="AN129:AN130" si="1402">SUM(DY129:EA129)</f>
        <v>3144356.4969939403</v>
      </c>
      <c r="AO129" s="68">
        <f t="shared" ref="AO129:AO130" si="1403">SUM(EB129:ED129)</f>
        <v>3262626.0904497607</v>
      </c>
      <c r="AP129" s="68">
        <f t="shared" ref="AP129:AP130" si="1404">SUM(EE129:EG129)</f>
        <v>3532219.7937064539</v>
      </c>
      <c r="AQ129" s="68">
        <f t="shared" ref="AQ129:AQ130" si="1405">SUM(EH129:EJ129)</f>
        <v>3532219.7937064539</v>
      </c>
      <c r="AR129" s="68">
        <f t="shared" ref="AR129:AR130" si="1406">SUM(EK129:EM129)</f>
        <v>3565414.6638898584</v>
      </c>
      <c r="AS129" s="68">
        <f t="shared" ref="AS129:AS130" si="1407">SUM(EN129:EP129)</f>
        <v>3850916.7783304006</v>
      </c>
      <c r="AT129" s="68">
        <f t="shared" ref="AT129:AT130" si="1408">SUM(EQ129:ES129)</f>
        <v>4182821.0697181388</v>
      </c>
      <c r="AU129" s="68">
        <f t="shared" ref="AU129:AU130" si="1409">SUM(ET129:EV129)</f>
        <v>4182821.0697181388</v>
      </c>
      <c r="AV129" s="68">
        <f t="shared" ref="AV129:AV130" si="1410">SUM(EW129:EY129)</f>
        <v>4240978.7247505859</v>
      </c>
      <c r="AW129" s="68">
        <f t="shared" ref="AW129:AW130" si="1411">SUM(EZ129:FB129)</f>
        <v>4600095.1345146513</v>
      </c>
      <c r="AY129" s="68">
        <f>'Expense Details'!H52</f>
        <v>46479.95</v>
      </c>
      <c r="AZ129" s="68">
        <f>'Expense Details'!I52</f>
        <v>51909</v>
      </c>
      <c r="BA129" s="68">
        <f>'Expense Details'!J52</f>
        <v>53891.97</v>
      </c>
      <c r="BB129" s="68">
        <f>'Expense Details'!K52</f>
        <v>52338.41</v>
      </c>
      <c r="BC129" s="68">
        <f>'Expense Details'!L52</f>
        <v>53604.93</v>
      </c>
      <c r="BD129" s="68">
        <f>'Expense Details'!M52</f>
        <v>50739.47</v>
      </c>
      <c r="BE129" s="68">
        <f>'Expense Details'!N52</f>
        <v>51155.360000000001</v>
      </c>
      <c r="BF129" s="68">
        <f>'Expense Details'!O52</f>
        <v>67039.62</v>
      </c>
      <c r="BG129" s="68">
        <f>'Expense Details'!P52</f>
        <v>80118.700000000012</v>
      </c>
      <c r="BH129" s="68">
        <f>'Expense Details'!Q52</f>
        <v>70804</v>
      </c>
      <c r="BI129" s="68">
        <f>'Expense Details'!R52</f>
        <v>70642.81</v>
      </c>
      <c r="BJ129" s="68">
        <f>'Expense Details'!S52</f>
        <v>103969.95</v>
      </c>
      <c r="BK129" s="68">
        <f>'Expense Details'!T52</f>
        <v>102577.67</v>
      </c>
      <c r="BL129" s="68">
        <f>'Expense Details'!U52</f>
        <v>68144.89</v>
      </c>
      <c r="BM129" s="68">
        <f>'Expense Details'!V52</f>
        <v>103350.84</v>
      </c>
      <c r="BN129" s="68">
        <f>'Expense Details'!W52</f>
        <v>118080.69</v>
      </c>
      <c r="BO129" s="68">
        <f>'Expense Details'!X52</f>
        <v>135008.54999999999</v>
      </c>
      <c r="BP129" s="68">
        <f>'Expense Details'!Y52</f>
        <v>135603.31</v>
      </c>
      <c r="BQ129" s="68">
        <f>'Expense Details'!Z52</f>
        <v>131436.82</v>
      </c>
      <c r="BR129" s="68">
        <f>'Expense Details'!AA52</f>
        <v>125813.77</v>
      </c>
      <c r="BS129" s="68">
        <f>'Expense Details'!AB52</f>
        <v>135526.15</v>
      </c>
      <c r="BT129" s="68">
        <f>'Expense Details'!AC52</f>
        <v>143956.32</v>
      </c>
      <c r="BU129" s="68">
        <f>'Expense Details'!AD52</f>
        <v>173205.23</v>
      </c>
      <c r="BV129" s="68">
        <f>'Expense Details'!AE52</f>
        <v>155049.64000000001</v>
      </c>
      <c r="BW129" s="68">
        <f>'Expense Details'!AF52</f>
        <v>185202.85</v>
      </c>
      <c r="BX129" s="68">
        <f>'Expense Details'!AG52</f>
        <v>175865.42999999996</v>
      </c>
      <c r="BY129" s="68">
        <f>'Expense Details'!AH52</f>
        <v>214478.50999999998</v>
      </c>
      <c r="BZ129" s="68">
        <f>'Expense Details'!AI52</f>
        <v>195108.36</v>
      </c>
      <c r="CA129" s="68">
        <f>'Expense Details'!AJ52</f>
        <v>177307.18</v>
      </c>
      <c r="CB129" s="68">
        <f>'Expense Details'!AK52</f>
        <v>155672.83000000005</v>
      </c>
      <c r="CC129" s="68">
        <f>'Expense Details'!AL52</f>
        <v>174879.76</v>
      </c>
      <c r="CD129" s="68">
        <f>'Expense Details'!AM52</f>
        <v>174107.15</v>
      </c>
      <c r="CE129" s="68">
        <f>'Expense Details'!AN52</f>
        <v>135521.98000000001</v>
      </c>
      <c r="CF129" s="68">
        <f>'Expense Details'!AO52</f>
        <v>181691.97</v>
      </c>
      <c r="CG129" s="68">
        <f>'Expense Details'!AP52</f>
        <v>162960.25999999998</v>
      </c>
      <c r="CH129" s="68">
        <f>'Expense Details'!AQ52</f>
        <v>246685.87000000002</v>
      </c>
      <c r="CI129" s="68">
        <f>'Expense Details'!AR52</f>
        <v>368372.10000000003</v>
      </c>
      <c r="CJ129" s="68">
        <f>'Expense Details'!AS52</f>
        <v>415406.18</v>
      </c>
      <c r="CK129" s="68">
        <f>'Expense Details'!AT52</f>
        <v>458473.21999999991</v>
      </c>
      <c r="CL129" s="68">
        <f>'Expense Details'!AU52</f>
        <v>571660.9</v>
      </c>
      <c r="CM129" s="68">
        <f>'Expense Details'!AV52</f>
        <v>570581.47825818521</v>
      </c>
      <c r="CN129" s="68">
        <f>'Expense Details'!AW52</f>
        <v>590578.17246652266</v>
      </c>
      <c r="CO129" s="68">
        <f>'Expense Details'!AX52</f>
        <v>605956.5011131186</v>
      </c>
      <c r="CP129" s="68">
        <f>'Expense Details'!AY52</f>
        <v>606024.99842735543</v>
      </c>
      <c r="CQ129" s="68">
        <f>'Expense Details'!AZ52</f>
        <v>613648.4021973199</v>
      </c>
      <c r="CR129" s="68">
        <f>'Expense Details'!BA52</f>
        <v>634291.25506904803</v>
      </c>
      <c r="CS129" s="68">
        <f>'Expense Details'!BB52</f>
        <v>632805.01721538533</v>
      </c>
      <c r="CT129" s="68">
        <f>'Expense Details'!BC52</f>
        <v>648959.92825665197</v>
      </c>
      <c r="CU129" s="68">
        <f>CU140*CU141/12</f>
        <v>709604.12109247351</v>
      </c>
      <c r="CV129" s="68">
        <f t="shared" ref="CV129:FB129" si="1412">CV140*CV141/12</f>
        <v>709604.12109247351</v>
      </c>
      <c r="CW129" s="68">
        <f t="shared" si="1412"/>
        <v>709604.12109247351</v>
      </c>
      <c r="CX129" s="68">
        <f t="shared" si="1412"/>
        <v>709604.12109247351</v>
      </c>
      <c r="CY129" s="68">
        <f t="shared" si="1412"/>
        <v>709604.12109247351</v>
      </c>
      <c r="CZ129" s="68">
        <f t="shared" si="1412"/>
        <v>709604.12109247351</v>
      </c>
      <c r="DA129" s="68">
        <f t="shared" si="1412"/>
        <v>709604.12109247351</v>
      </c>
      <c r="DB129" s="68">
        <f t="shared" si="1412"/>
        <v>709604.12109247351</v>
      </c>
      <c r="DC129" s="68">
        <f t="shared" si="1412"/>
        <v>710034.2821072893</v>
      </c>
      <c r="DD129" s="68">
        <f t="shared" si="1412"/>
        <v>728295.76343374432</v>
      </c>
      <c r="DE129" s="68">
        <f t="shared" si="1412"/>
        <v>747560.77794536471</v>
      </c>
      <c r="DF129" s="68">
        <f t="shared" si="1412"/>
        <v>776605.30766973877</v>
      </c>
      <c r="DG129" s="68">
        <f t="shared" si="1412"/>
        <v>815435.57305322576</v>
      </c>
      <c r="DH129" s="68">
        <f t="shared" si="1412"/>
        <v>815435.57305322576</v>
      </c>
      <c r="DI129" s="68">
        <f t="shared" si="1412"/>
        <v>815435.57305322576</v>
      </c>
      <c r="DJ129" s="68">
        <f t="shared" si="1412"/>
        <v>815435.57305322576</v>
      </c>
      <c r="DK129" s="68">
        <f t="shared" si="1412"/>
        <v>815435.57305322576</v>
      </c>
      <c r="DL129" s="68">
        <f t="shared" si="1412"/>
        <v>825114.23129584116</v>
      </c>
      <c r="DM129" s="68">
        <f t="shared" si="1412"/>
        <v>840314.06996450201</v>
      </c>
      <c r="DN129" s="68">
        <f t="shared" si="1412"/>
        <v>863563.9828115874</v>
      </c>
      <c r="DO129" s="68">
        <f t="shared" si="1412"/>
        <v>896287.15407177282</v>
      </c>
      <c r="DP129" s="68">
        <f t="shared" si="1412"/>
        <v>926086.78356747876</v>
      </c>
      <c r="DQ129" s="68">
        <f t="shared" si="1412"/>
        <v>956358.60765736841</v>
      </c>
      <c r="DR129" s="68">
        <f t="shared" si="1412"/>
        <v>998208.41174410796</v>
      </c>
      <c r="DS129" s="68">
        <f t="shared" si="1412"/>
        <v>1048118.8323313134</v>
      </c>
      <c r="DT129" s="68">
        <f t="shared" si="1412"/>
        <v>1048118.8323313134</v>
      </c>
      <c r="DU129" s="68">
        <f t="shared" si="1412"/>
        <v>1048118.8323313134</v>
      </c>
      <c r="DV129" s="68">
        <f t="shared" si="1412"/>
        <v>1048118.8323313134</v>
      </c>
      <c r="DW129" s="68">
        <f t="shared" si="1412"/>
        <v>1048118.8323313134</v>
      </c>
      <c r="DX129" s="68">
        <f t="shared" si="1412"/>
        <v>1048118.8323313134</v>
      </c>
      <c r="DY129" s="68">
        <f t="shared" si="1412"/>
        <v>1048118.8323313134</v>
      </c>
      <c r="DZ129" s="68">
        <f t="shared" si="1412"/>
        <v>1048118.8323313134</v>
      </c>
      <c r="EA129" s="68">
        <f t="shared" si="1412"/>
        <v>1048118.8323313134</v>
      </c>
      <c r="EB129" s="68">
        <f t="shared" si="1412"/>
        <v>1058145.3967395292</v>
      </c>
      <c r="EC129" s="68">
        <f t="shared" si="1412"/>
        <v>1083141.0766605639</v>
      </c>
      <c r="ED129" s="68">
        <f t="shared" si="1412"/>
        <v>1121339.6170496678</v>
      </c>
      <c r="EE129" s="68">
        <f t="shared" si="1412"/>
        <v>1177406.5979021513</v>
      </c>
      <c r="EF129" s="68">
        <f t="shared" si="1412"/>
        <v>1177406.5979021513</v>
      </c>
      <c r="EG129" s="68">
        <f t="shared" si="1412"/>
        <v>1177406.5979021513</v>
      </c>
      <c r="EH129" s="68">
        <f t="shared" si="1412"/>
        <v>1177406.5979021513</v>
      </c>
      <c r="EI129" s="68">
        <f t="shared" si="1412"/>
        <v>1177406.5979021513</v>
      </c>
      <c r="EJ129" s="68">
        <f t="shared" si="1412"/>
        <v>1177406.5979021513</v>
      </c>
      <c r="EK129" s="68">
        <f t="shared" si="1412"/>
        <v>1177406.5979021513</v>
      </c>
      <c r="EL129" s="68">
        <f t="shared" si="1412"/>
        <v>1177406.5979021513</v>
      </c>
      <c r="EM129" s="68">
        <f t="shared" si="1412"/>
        <v>1210601.4680855558</v>
      </c>
      <c r="EN129" s="68">
        <f t="shared" si="1412"/>
        <v>1244347.8915553649</v>
      </c>
      <c r="EO129" s="68">
        <f t="shared" si="1412"/>
        <v>1278689.1821026111</v>
      </c>
      <c r="EP129" s="68">
        <f t="shared" si="1412"/>
        <v>1327879.7046724248</v>
      </c>
      <c r="EQ129" s="68">
        <f t="shared" si="1412"/>
        <v>1394273.6899060463</v>
      </c>
      <c r="ER129" s="68">
        <f t="shared" si="1412"/>
        <v>1394273.6899060463</v>
      </c>
      <c r="ES129" s="68">
        <f t="shared" si="1412"/>
        <v>1394273.6899060463</v>
      </c>
      <c r="ET129" s="68">
        <f t="shared" si="1412"/>
        <v>1394273.6899060463</v>
      </c>
      <c r="EU129" s="68">
        <f t="shared" si="1412"/>
        <v>1394273.6899060463</v>
      </c>
      <c r="EV129" s="68">
        <f t="shared" si="1412"/>
        <v>1394273.6899060463</v>
      </c>
      <c r="EW129" s="68">
        <f t="shared" si="1412"/>
        <v>1394273.6899060463</v>
      </c>
      <c r="EX129" s="68">
        <f t="shared" si="1412"/>
        <v>1400892.7132827938</v>
      </c>
      <c r="EY129" s="68">
        <f t="shared" si="1412"/>
        <v>1445812.3215617454</v>
      </c>
      <c r="EZ129" s="68">
        <f t="shared" si="1412"/>
        <v>1486551.2296373399</v>
      </c>
      <c r="FA129" s="68">
        <f t="shared" si="1412"/>
        <v>1527922.2893993985</v>
      </c>
      <c r="FB129" s="68">
        <f t="shared" si="1412"/>
        <v>1585621.6154779131</v>
      </c>
    </row>
    <row r="130" spans="2:158" x14ac:dyDescent="0.25">
      <c r="C130" s="102" t="s">
        <v>2</v>
      </c>
      <c r="D130" s="50">
        <f t="shared" si="1375"/>
        <v>1199812.6499999999</v>
      </c>
      <c r="E130" s="50">
        <f t="shared" si="1375"/>
        <v>2195321.5700000003</v>
      </c>
      <c r="F130" s="50">
        <f t="shared" si="1375"/>
        <v>2198223.5599999996</v>
      </c>
      <c r="G130" s="50">
        <f t="shared" si="1375"/>
        <v>3396178.3372261073</v>
      </c>
      <c r="H130" s="50">
        <f t="shared" si="1375"/>
        <v>4152300.0527504017</v>
      </c>
      <c r="I130" s="50">
        <f t="shared" si="1375"/>
        <v>4730832.0442385403</v>
      </c>
      <c r="J130" s="50">
        <f t="shared" si="1375"/>
        <v>5467116.9800727088</v>
      </c>
      <c r="K130" s="50">
        <f t="shared" si="1375"/>
        <v>5873800.4690584857</v>
      </c>
      <c r="L130" s="50">
        <f t="shared" si="1375"/>
        <v>6549351.0978333261</v>
      </c>
      <c r="M130" s="201"/>
      <c r="N130" s="243">
        <f t="shared" si="1376"/>
        <v>297867.47000000003</v>
      </c>
      <c r="O130" s="243">
        <f t="shared" si="1377"/>
        <v>205240.05000000005</v>
      </c>
      <c r="P130" s="243">
        <f t="shared" si="1378"/>
        <v>418967.68000000005</v>
      </c>
      <c r="Q130" s="243">
        <f t="shared" si="1379"/>
        <v>277737.45</v>
      </c>
      <c r="R130" s="243">
        <f t="shared" si="1380"/>
        <v>984021.49</v>
      </c>
      <c r="S130" s="243">
        <f t="shared" si="1381"/>
        <v>328190.85000000003</v>
      </c>
      <c r="T130" s="243">
        <f t="shared" si="1382"/>
        <v>392839.1</v>
      </c>
      <c r="U130" s="243">
        <f t="shared" si="1383"/>
        <v>490270.13</v>
      </c>
      <c r="V130" s="243">
        <f t="shared" si="1384"/>
        <v>1287384.47</v>
      </c>
      <c r="W130" s="243">
        <f t="shared" si="1385"/>
        <v>170962.66</v>
      </c>
      <c r="X130" s="243">
        <f t="shared" si="1386"/>
        <v>185707.17</v>
      </c>
      <c r="Y130" s="243">
        <f t="shared" si="1387"/>
        <v>554169.25999999989</v>
      </c>
      <c r="Z130" s="243">
        <f t="shared" si="1388"/>
        <v>716395.51</v>
      </c>
      <c r="AA130" s="243">
        <f t="shared" si="1389"/>
        <v>873659.3835410045</v>
      </c>
      <c r="AB130" s="243">
        <f t="shared" si="1390"/>
        <v>852726.1547467683</v>
      </c>
      <c r="AC130" s="243">
        <f t="shared" si="1391"/>
        <v>953397.28893833444</v>
      </c>
      <c r="AD130" s="243">
        <f t="shared" si="1392"/>
        <v>1023165.9873263801</v>
      </c>
      <c r="AE130" s="243">
        <f t="shared" si="1393"/>
        <v>1023165.9873263801</v>
      </c>
      <c r="AF130" s="243">
        <f t="shared" si="1394"/>
        <v>1023372.7345846286</v>
      </c>
      <c r="AG130" s="243">
        <f t="shared" si="1395"/>
        <v>1082595.3435130129</v>
      </c>
      <c r="AH130" s="243">
        <f t="shared" si="1396"/>
        <v>1114604.8711668726</v>
      </c>
      <c r="AI130" s="243">
        <f t="shared" si="1397"/>
        <v>1119014.7350400684</v>
      </c>
      <c r="AJ130" s="243">
        <f t="shared" si="1398"/>
        <v>1184707.0453973091</v>
      </c>
      <c r="AK130" s="243">
        <f t="shared" si="1399"/>
        <v>1312505.3926342898</v>
      </c>
      <c r="AL130" s="243">
        <f t="shared" si="1400"/>
        <v>1354046.7070792103</v>
      </c>
      <c r="AM130" s="243">
        <f t="shared" si="1401"/>
        <v>1354046.7070792103</v>
      </c>
      <c r="AN130" s="243">
        <f t="shared" si="1402"/>
        <v>1354046.7070792103</v>
      </c>
      <c r="AO130" s="243">
        <f t="shared" si="1403"/>
        <v>1404976.8588350785</v>
      </c>
      <c r="AP130" s="243">
        <f t="shared" si="1404"/>
        <v>1432765.8547071314</v>
      </c>
      <c r="AQ130" s="243">
        <f t="shared" si="1405"/>
        <v>1432765.8547071314</v>
      </c>
      <c r="AR130" s="243">
        <f t="shared" si="1406"/>
        <v>1446230.6103927654</v>
      </c>
      <c r="AS130" s="243">
        <f t="shared" si="1407"/>
        <v>1562038.1492514564</v>
      </c>
      <c r="AT130" s="243">
        <f t="shared" si="1408"/>
        <v>1592097.1652618768</v>
      </c>
      <c r="AU130" s="243">
        <f t="shared" si="1409"/>
        <v>1592097.1652618768</v>
      </c>
      <c r="AV130" s="243">
        <f t="shared" si="1410"/>
        <v>1614233.5742002768</v>
      </c>
      <c r="AW130" s="243">
        <f t="shared" si="1411"/>
        <v>1750923.1931092967</v>
      </c>
      <c r="AY130" s="243">
        <f>'Expense Details'!H53</f>
        <v>168331.88</v>
      </c>
      <c r="AZ130" s="243">
        <f>'Expense Details'!I53</f>
        <v>69676.08</v>
      </c>
      <c r="BA130" s="243">
        <f>'Expense Details'!J53</f>
        <v>59859.509999999995</v>
      </c>
      <c r="BB130" s="243">
        <f>'Expense Details'!K53</f>
        <v>47422.6</v>
      </c>
      <c r="BC130" s="243">
        <f>'Expense Details'!L53</f>
        <v>91112.020000000019</v>
      </c>
      <c r="BD130" s="243">
        <f>'Expense Details'!M53</f>
        <v>66705.430000000008</v>
      </c>
      <c r="BE130" s="243">
        <f>'Expense Details'!N53</f>
        <v>206981.03</v>
      </c>
      <c r="BF130" s="243">
        <f>'Expense Details'!O53</f>
        <v>93931.260000000009</v>
      </c>
      <c r="BG130" s="243">
        <f>'Expense Details'!P53</f>
        <v>118055.38999999998</v>
      </c>
      <c r="BH130" s="243">
        <f>'Expense Details'!Q53</f>
        <v>93891.569999999992</v>
      </c>
      <c r="BI130" s="243">
        <f>'Expense Details'!R53</f>
        <v>98934.17</v>
      </c>
      <c r="BJ130" s="243">
        <f>'Expense Details'!S53</f>
        <v>84911.71</v>
      </c>
      <c r="BK130" s="243">
        <f>'Expense Details'!T53</f>
        <v>584260.7699999999</v>
      </c>
      <c r="BL130" s="243">
        <f>'Expense Details'!U53</f>
        <v>205880.38999999998</v>
      </c>
      <c r="BM130" s="243">
        <f>'Expense Details'!V53</f>
        <v>193880.33000000002</v>
      </c>
      <c r="BN130" s="243">
        <f>'Expense Details'!W53</f>
        <v>69051.16</v>
      </c>
      <c r="BO130" s="243">
        <f>'Expense Details'!X53</f>
        <v>152484.69000000003</v>
      </c>
      <c r="BP130" s="243">
        <f>'Expense Details'!Y53</f>
        <v>106655.00000000001</v>
      </c>
      <c r="BQ130" s="243">
        <f>'Expense Details'!Z53</f>
        <v>123981.33000000002</v>
      </c>
      <c r="BR130" s="243">
        <f>'Expense Details'!AA53</f>
        <v>126293.73000000001</v>
      </c>
      <c r="BS130" s="243">
        <f>'Expense Details'!AB53</f>
        <v>142564.03999999998</v>
      </c>
      <c r="BT130" s="243">
        <f>'Expense Details'!AC53</f>
        <v>153164.61000000002</v>
      </c>
      <c r="BU130" s="243">
        <f>'Expense Details'!AD53</f>
        <v>212560.02000000002</v>
      </c>
      <c r="BV130" s="243">
        <f>'Expense Details'!AE53</f>
        <v>124545.5</v>
      </c>
      <c r="BW130" s="243">
        <f>'Expense Details'!AF53</f>
        <v>1067623.68</v>
      </c>
      <c r="BX130" s="243">
        <f>'Expense Details'!AG53</f>
        <v>151563.79999999999</v>
      </c>
      <c r="BY130" s="243">
        <f>'Expense Details'!AH53</f>
        <v>68196.989999999991</v>
      </c>
      <c r="BZ130" s="243">
        <f>'Expense Details'!AI53</f>
        <v>66898.069999999992</v>
      </c>
      <c r="CA130" s="243">
        <f>'Expense Details'!AJ53</f>
        <v>56852.71</v>
      </c>
      <c r="CB130" s="243">
        <f>'Expense Details'!AK53</f>
        <v>47211.88</v>
      </c>
      <c r="CC130" s="243">
        <f>'Expense Details'!AL53</f>
        <v>63687.950000000004</v>
      </c>
      <c r="CD130" s="243">
        <f>'Expense Details'!AM53</f>
        <v>59920.290000000008</v>
      </c>
      <c r="CE130" s="243">
        <f>'Expense Details'!AN53</f>
        <v>62098.93</v>
      </c>
      <c r="CF130" s="243">
        <f>'Expense Details'!AO53</f>
        <v>306272.28999999998</v>
      </c>
      <c r="CG130" s="243">
        <f>'Expense Details'!AP53</f>
        <v>146374.37999999998</v>
      </c>
      <c r="CH130" s="243">
        <f>'Expense Details'!AQ53</f>
        <v>101522.59000000001</v>
      </c>
      <c r="CI130" s="243">
        <f>'Expense Details'!AR53</f>
        <v>361398.97000000003</v>
      </c>
      <c r="CJ130" s="243">
        <f>'Expense Details'!AS53</f>
        <v>181249.82</v>
      </c>
      <c r="CK130" s="243">
        <f>'Expense Details'!AT53</f>
        <v>173746.72</v>
      </c>
      <c r="CL130" s="243">
        <f>'Expense Details'!AU53</f>
        <v>185491.72</v>
      </c>
      <c r="CM130" s="243">
        <f>'Expense Details'!AV53</f>
        <v>303293.71678321681</v>
      </c>
      <c r="CN130" s="243">
        <f>'Expense Details'!AW53</f>
        <v>384873.94675778772</v>
      </c>
      <c r="CO130" s="243">
        <f>'Expense Details'!AX53</f>
        <v>284023.62322525959</v>
      </c>
      <c r="CP130" s="243">
        <f>'Expense Details'!AY53</f>
        <v>297401.93070565799</v>
      </c>
      <c r="CQ130" s="243">
        <f>'Expense Details'!AZ53</f>
        <v>271300.60081585083</v>
      </c>
      <c r="CR130" s="243">
        <f>'Expense Details'!BA53</f>
        <v>252914.23135198135</v>
      </c>
      <c r="CS130" s="243">
        <f>'Expense Details'!BB53</f>
        <v>252214.23177579994</v>
      </c>
      <c r="CT130" s="243">
        <f>'Expense Details'!BC53</f>
        <v>448268.8258105531</v>
      </c>
      <c r="CU130" s="243">
        <f t="shared" ref="CU130:DZ130" si="1413">CU129*CU149</f>
        <v>341055.32910879335</v>
      </c>
      <c r="CV130" s="243">
        <f t="shared" si="1413"/>
        <v>341055.32910879335</v>
      </c>
      <c r="CW130" s="243">
        <f t="shared" si="1413"/>
        <v>341055.32910879335</v>
      </c>
      <c r="CX130" s="243">
        <f t="shared" si="1413"/>
        <v>341055.32910879335</v>
      </c>
      <c r="CY130" s="243">
        <f t="shared" si="1413"/>
        <v>341055.32910879335</v>
      </c>
      <c r="CZ130" s="243">
        <f t="shared" si="1413"/>
        <v>341055.32910879335</v>
      </c>
      <c r="DA130" s="243">
        <f t="shared" si="1413"/>
        <v>341055.32910879335</v>
      </c>
      <c r="DB130" s="243">
        <f t="shared" si="1413"/>
        <v>341055.32910879335</v>
      </c>
      <c r="DC130" s="243">
        <f t="shared" si="1413"/>
        <v>341262.07636704191</v>
      </c>
      <c r="DD130" s="243">
        <f t="shared" si="1413"/>
        <v>350039.0483978971</v>
      </c>
      <c r="DE130" s="243">
        <f t="shared" si="1413"/>
        <v>359298.34617992071</v>
      </c>
      <c r="DF130" s="243">
        <f t="shared" si="1413"/>
        <v>373257.94893519505</v>
      </c>
      <c r="DG130" s="243">
        <f t="shared" si="1413"/>
        <v>371534.95705562417</v>
      </c>
      <c r="DH130" s="243">
        <f t="shared" si="1413"/>
        <v>371534.95705562417</v>
      </c>
      <c r="DI130" s="243">
        <f t="shared" si="1413"/>
        <v>371534.95705562417</v>
      </c>
      <c r="DJ130" s="243">
        <f t="shared" si="1413"/>
        <v>371534.95705562417</v>
      </c>
      <c r="DK130" s="243">
        <f t="shared" si="1413"/>
        <v>371534.95705562417</v>
      </c>
      <c r="DL130" s="243">
        <f t="shared" si="1413"/>
        <v>375944.82092882006</v>
      </c>
      <c r="DM130" s="243">
        <f t="shared" si="1413"/>
        <v>382870.28701545188</v>
      </c>
      <c r="DN130" s="243">
        <f t="shared" si="1413"/>
        <v>393463.58911882364</v>
      </c>
      <c r="DO130" s="243">
        <f t="shared" si="1413"/>
        <v>408373.16926303355</v>
      </c>
      <c r="DP130" s="243">
        <f t="shared" si="1413"/>
        <v>421950.70307542948</v>
      </c>
      <c r="DQ130" s="243">
        <f t="shared" si="1413"/>
        <v>435743.38177979406</v>
      </c>
      <c r="DR130" s="243">
        <f t="shared" si="1413"/>
        <v>454811.30777906632</v>
      </c>
      <c r="DS130" s="243">
        <f t="shared" si="1413"/>
        <v>451348.90235973679</v>
      </c>
      <c r="DT130" s="243">
        <f t="shared" si="1413"/>
        <v>451348.90235973679</v>
      </c>
      <c r="DU130" s="243">
        <f t="shared" si="1413"/>
        <v>451348.90235973679</v>
      </c>
      <c r="DV130" s="243">
        <f t="shared" si="1413"/>
        <v>451348.90235973679</v>
      </c>
      <c r="DW130" s="243">
        <f t="shared" si="1413"/>
        <v>451348.90235973679</v>
      </c>
      <c r="DX130" s="243">
        <f t="shared" si="1413"/>
        <v>451348.90235973679</v>
      </c>
      <c r="DY130" s="243">
        <f t="shared" si="1413"/>
        <v>451348.90235973679</v>
      </c>
      <c r="DZ130" s="243">
        <f t="shared" si="1413"/>
        <v>451348.90235973679</v>
      </c>
      <c r="EA130" s="243">
        <f t="shared" ref="EA130:FB130" si="1414">EA129*EA149</f>
        <v>451348.90235973679</v>
      </c>
      <c r="EB130" s="243">
        <f t="shared" si="1414"/>
        <v>455666.61777567054</v>
      </c>
      <c r="EC130" s="243">
        <f t="shared" si="1414"/>
        <v>466430.44755153719</v>
      </c>
      <c r="ED130" s="243">
        <f t="shared" si="1414"/>
        <v>482879.79350787069</v>
      </c>
      <c r="EE130" s="243">
        <f t="shared" si="1414"/>
        <v>477588.61823571048</v>
      </c>
      <c r="EF130" s="243">
        <f t="shared" si="1414"/>
        <v>477588.61823571048</v>
      </c>
      <c r="EG130" s="243">
        <f t="shared" si="1414"/>
        <v>477588.61823571048</v>
      </c>
      <c r="EH130" s="243">
        <f t="shared" si="1414"/>
        <v>477588.61823571048</v>
      </c>
      <c r="EI130" s="243">
        <f t="shared" si="1414"/>
        <v>477588.61823571048</v>
      </c>
      <c r="EJ130" s="243">
        <f t="shared" si="1414"/>
        <v>477588.61823571048</v>
      </c>
      <c r="EK130" s="243">
        <f t="shared" si="1414"/>
        <v>477588.61823571048</v>
      </c>
      <c r="EL130" s="243">
        <f t="shared" si="1414"/>
        <v>477588.61823571048</v>
      </c>
      <c r="EM130" s="243">
        <f t="shared" si="1414"/>
        <v>491053.37392134446</v>
      </c>
      <c r="EN130" s="243">
        <f t="shared" si="1414"/>
        <v>504741.85484548711</v>
      </c>
      <c r="EO130" s="243">
        <f t="shared" si="1414"/>
        <v>518671.63027745165</v>
      </c>
      <c r="EP130" s="243">
        <f t="shared" si="1414"/>
        <v>538624.6641285175</v>
      </c>
      <c r="EQ130" s="243">
        <f t="shared" si="1414"/>
        <v>530699.05508729222</v>
      </c>
      <c r="ER130" s="243">
        <f t="shared" si="1414"/>
        <v>530699.05508729222</v>
      </c>
      <c r="ES130" s="243">
        <f t="shared" si="1414"/>
        <v>530699.05508729222</v>
      </c>
      <c r="ET130" s="243">
        <f t="shared" si="1414"/>
        <v>530699.05508729222</v>
      </c>
      <c r="EU130" s="243">
        <f t="shared" si="1414"/>
        <v>530699.05508729222</v>
      </c>
      <c r="EV130" s="243">
        <f t="shared" si="1414"/>
        <v>530699.05508729222</v>
      </c>
      <c r="EW130" s="243">
        <f t="shared" si="1414"/>
        <v>530699.05508729222</v>
      </c>
      <c r="EX130" s="243">
        <f t="shared" si="1414"/>
        <v>533218.43810159643</v>
      </c>
      <c r="EY130" s="243">
        <f t="shared" si="1414"/>
        <v>550316.08101138799</v>
      </c>
      <c r="EZ130" s="243">
        <f t="shared" si="1414"/>
        <v>565822.43401620083</v>
      </c>
      <c r="FA130" s="243">
        <f t="shared" si="1414"/>
        <v>581569.40140333108</v>
      </c>
      <c r="FB130" s="243">
        <f t="shared" si="1414"/>
        <v>603531.35768976482</v>
      </c>
    </row>
    <row r="131" spans="2:158" x14ac:dyDescent="0.25">
      <c r="C131" s="99"/>
    </row>
    <row r="132" spans="2:158" ht="15.75" thickBot="1" x14ac:dyDescent="0.3">
      <c r="C132" s="235" t="s">
        <v>510</v>
      </c>
      <c r="D132" s="236">
        <f t="shared" ref="D132:L132" si="1415">SUM(D123:D131)</f>
        <v>9555431.6999999993</v>
      </c>
      <c r="E132" s="236">
        <f t="shared" si="1415"/>
        <v>14377398.870000001</v>
      </c>
      <c r="F132" s="236">
        <f t="shared" si="1415"/>
        <v>16501535.25</v>
      </c>
      <c r="G132" s="236">
        <f t="shared" si="1415"/>
        <v>32153075.513169426</v>
      </c>
      <c r="H132" s="236">
        <f t="shared" si="1415"/>
        <v>49099742.379827887</v>
      </c>
      <c r="I132" s="236">
        <f t="shared" si="1415"/>
        <v>60388487.041385069</v>
      </c>
      <c r="J132" s="236">
        <f t="shared" si="1415"/>
        <v>75862664.803885698</v>
      </c>
      <c r="K132" s="236">
        <f t="shared" si="1415"/>
        <v>93686112.431114972</v>
      </c>
      <c r="L132" s="236">
        <f t="shared" si="1415"/>
        <v>116659090.10749698</v>
      </c>
      <c r="N132" s="236">
        <f t="shared" ref="N132:AW132" si="1416">SUM(N123:N131)</f>
        <v>1880047.92</v>
      </c>
      <c r="O132" s="236">
        <f t="shared" si="1416"/>
        <v>1985114.7400000002</v>
      </c>
      <c r="P132" s="236">
        <f t="shared" si="1416"/>
        <v>2644093.54</v>
      </c>
      <c r="Q132" s="236">
        <f t="shared" si="1416"/>
        <v>3046175.5</v>
      </c>
      <c r="R132" s="236">
        <f t="shared" si="1416"/>
        <v>4000997.91</v>
      </c>
      <c r="S132" s="236">
        <f t="shared" si="1416"/>
        <v>3259350.52</v>
      </c>
      <c r="T132" s="236">
        <f t="shared" si="1416"/>
        <v>3416674.0500000003</v>
      </c>
      <c r="U132" s="236">
        <f t="shared" si="1416"/>
        <v>3700376.39</v>
      </c>
      <c r="V132" s="236">
        <f t="shared" si="1416"/>
        <v>4894012.9400000004</v>
      </c>
      <c r="W132" s="236">
        <f t="shared" si="1416"/>
        <v>3536406.3800000004</v>
      </c>
      <c r="X132" s="236">
        <f t="shared" si="1416"/>
        <v>3683483.9</v>
      </c>
      <c r="Y132" s="236">
        <f t="shared" si="1416"/>
        <v>4387632.03</v>
      </c>
      <c r="Z132" s="236">
        <f t="shared" si="1416"/>
        <v>6034833.4900000002</v>
      </c>
      <c r="AA132" s="236">
        <f t="shared" si="1416"/>
        <v>7784350.445780186</v>
      </c>
      <c r="AB132" s="236">
        <f t="shared" si="1416"/>
        <v>8447304.5198474564</v>
      </c>
      <c r="AC132" s="236">
        <f t="shared" si="1416"/>
        <v>9886587.057541782</v>
      </c>
      <c r="AD132" s="236">
        <f t="shared" si="1416"/>
        <v>11838806.95769627</v>
      </c>
      <c r="AE132" s="236">
        <f t="shared" si="1416"/>
        <v>11929071.630307704</v>
      </c>
      <c r="AF132" s="236">
        <f t="shared" si="1416"/>
        <v>12139424.346230891</v>
      </c>
      <c r="AG132" s="236">
        <f t="shared" si="1416"/>
        <v>13192439.445593022</v>
      </c>
      <c r="AH132" s="236">
        <f t="shared" si="1416"/>
        <v>13960033.919779832</v>
      </c>
      <c r="AI132" s="236">
        <f t="shared" si="1416"/>
        <v>14225526.683408016</v>
      </c>
      <c r="AJ132" s="236">
        <f t="shared" si="1416"/>
        <v>15273669.891698183</v>
      </c>
      <c r="AK132" s="236">
        <f t="shared" si="1416"/>
        <v>16929256.54649904</v>
      </c>
      <c r="AL132" s="236">
        <f t="shared" si="1416"/>
        <v>18024460.273198575</v>
      </c>
      <c r="AM132" s="236">
        <f t="shared" si="1416"/>
        <v>18171554.95208858</v>
      </c>
      <c r="AN132" s="236">
        <f t="shared" si="1416"/>
        <v>19037249.083440833</v>
      </c>
      <c r="AO132" s="236">
        <f t="shared" si="1416"/>
        <v>20629400.495157715</v>
      </c>
      <c r="AP132" s="236">
        <f t="shared" si="1416"/>
        <v>22150111.568999875</v>
      </c>
      <c r="AQ132" s="236">
        <f t="shared" si="1416"/>
        <v>22374970.555763748</v>
      </c>
      <c r="AR132" s="236">
        <f t="shared" si="1416"/>
        <v>23465977.216410615</v>
      </c>
      <c r="AS132" s="236">
        <f t="shared" si="1416"/>
        <v>25695053.089940745</v>
      </c>
      <c r="AT132" s="236">
        <f t="shared" si="1416"/>
        <v>27625265.33010539</v>
      </c>
      <c r="AU132" s="236">
        <f t="shared" si="1416"/>
        <v>27924419.376707379</v>
      </c>
      <c r="AV132" s="236">
        <f t="shared" si="1416"/>
        <v>29181388.341002267</v>
      </c>
      <c r="AW132" s="236">
        <f t="shared" si="1416"/>
        <v>31928017.059681952</v>
      </c>
      <c r="AY132" s="236">
        <f t="shared" ref="AY132:CD132" si="1417">SUM(AY123:AY131)</f>
        <v>619434.75</v>
      </c>
      <c r="AZ132" s="236">
        <f t="shared" si="1417"/>
        <v>637249.86</v>
      </c>
      <c r="BA132" s="236">
        <f t="shared" si="1417"/>
        <v>623363.30999999994</v>
      </c>
      <c r="BB132" s="236">
        <f t="shared" si="1417"/>
        <v>632901.98</v>
      </c>
      <c r="BC132" s="236">
        <f t="shared" si="1417"/>
        <v>695540.60000000009</v>
      </c>
      <c r="BD132" s="236">
        <f t="shared" si="1417"/>
        <v>656672.16</v>
      </c>
      <c r="BE132" s="236">
        <f t="shared" si="1417"/>
        <v>916343.8</v>
      </c>
      <c r="BF132" s="236">
        <f t="shared" si="1417"/>
        <v>819937.87</v>
      </c>
      <c r="BG132" s="236">
        <f t="shared" si="1417"/>
        <v>907811.87</v>
      </c>
      <c r="BH132" s="236">
        <f t="shared" si="1417"/>
        <v>942886.02999999991</v>
      </c>
      <c r="BI132" s="236">
        <f t="shared" si="1417"/>
        <v>784538.78999999992</v>
      </c>
      <c r="BJ132" s="236">
        <f t="shared" si="1417"/>
        <v>1318750.68</v>
      </c>
      <c r="BK132" s="236">
        <f t="shared" si="1417"/>
        <v>1605530.8599999999</v>
      </c>
      <c r="BL132" s="236">
        <f t="shared" si="1417"/>
        <v>1102213.1000000001</v>
      </c>
      <c r="BM132" s="236">
        <f t="shared" si="1417"/>
        <v>1293253.9500000002</v>
      </c>
      <c r="BN132" s="236">
        <f t="shared" si="1417"/>
        <v>1111881.3999999999</v>
      </c>
      <c r="BO132" s="236">
        <f t="shared" si="1417"/>
        <v>1086358.3199999998</v>
      </c>
      <c r="BP132" s="236">
        <f t="shared" si="1417"/>
        <v>1061110.8000000003</v>
      </c>
      <c r="BQ132" s="236">
        <f t="shared" si="1417"/>
        <v>1146472.82</v>
      </c>
      <c r="BR132" s="236">
        <f t="shared" si="1417"/>
        <v>1010948.82</v>
      </c>
      <c r="BS132" s="236">
        <f t="shared" si="1417"/>
        <v>1259252.4099999999</v>
      </c>
      <c r="BT132" s="236">
        <f t="shared" si="1417"/>
        <v>1213586.5800000003</v>
      </c>
      <c r="BU132" s="236">
        <f t="shared" si="1417"/>
        <v>1261014.4899999998</v>
      </c>
      <c r="BV132" s="236">
        <f t="shared" si="1417"/>
        <v>1225775.32</v>
      </c>
      <c r="BW132" s="236">
        <f t="shared" si="1417"/>
        <v>2242308.59</v>
      </c>
      <c r="BX132" s="236">
        <f t="shared" si="1417"/>
        <v>1354284.3900000001</v>
      </c>
      <c r="BY132" s="236">
        <f t="shared" si="1417"/>
        <v>1297419.9599999997</v>
      </c>
      <c r="BZ132" s="236">
        <f t="shared" si="1417"/>
        <v>1125999.98</v>
      </c>
      <c r="CA132" s="236">
        <f t="shared" si="1417"/>
        <v>1135993.1500000001</v>
      </c>
      <c r="CB132" s="236">
        <f t="shared" si="1417"/>
        <v>1274413.25</v>
      </c>
      <c r="CC132" s="236">
        <f t="shared" si="1417"/>
        <v>1199970.8799999999</v>
      </c>
      <c r="CD132" s="236">
        <f t="shared" si="1417"/>
        <v>1209731.1599999999</v>
      </c>
      <c r="CE132" s="236">
        <f t="shared" ref="CE132:DJ132" si="1418">SUM(CE123:CE131)</f>
        <v>1273781.8599999999</v>
      </c>
      <c r="CF132" s="236">
        <f t="shared" si="1418"/>
        <v>1498061.42</v>
      </c>
      <c r="CG132" s="236">
        <f t="shared" si="1418"/>
        <v>1379221.3299999998</v>
      </c>
      <c r="CH132" s="236">
        <f t="shared" si="1418"/>
        <v>1510349.28</v>
      </c>
      <c r="CI132" s="236">
        <f t="shared" si="1418"/>
        <v>1956659.1400000001</v>
      </c>
      <c r="CJ132" s="236">
        <f t="shared" si="1418"/>
        <v>1830659.0799999998</v>
      </c>
      <c r="CK132" s="236">
        <f t="shared" si="1418"/>
        <v>2247515.27</v>
      </c>
      <c r="CL132" s="236">
        <f t="shared" si="1418"/>
        <v>2457949.1</v>
      </c>
      <c r="CM132" s="236">
        <f t="shared" si="1418"/>
        <v>2508918.5493485848</v>
      </c>
      <c r="CN132" s="236">
        <f t="shared" si="1418"/>
        <v>2817482.7964316015</v>
      </c>
      <c r="CO132" s="236">
        <f t="shared" si="1418"/>
        <v>2670923.3199802372</v>
      </c>
      <c r="CP132" s="236">
        <f t="shared" si="1418"/>
        <v>2767748.2635337845</v>
      </c>
      <c r="CQ132" s="236">
        <f t="shared" si="1418"/>
        <v>3008632.9363334342</v>
      </c>
      <c r="CR132" s="236">
        <f t="shared" si="1418"/>
        <v>2907116.9277495304</v>
      </c>
      <c r="CS132" s="236">
        <f t="shared" si="1418"/>
        <v>3029785.7241297532</v>
      </c>
      <c r="CT132" s="236">
        <f t="shared" si="1418"/>
        <v>3949684.4056624984</v>
      </c>
      <c r="CU132" s="236">
        <f t="shared" si="1418"/>
        <v>3940399.1956838272</v>
      </c>
      <c r="CV132" s="236">
        <f t="shared" si="1418"/>
        <v>3945647.7178187822</v>
      </c>
      <c r="CW132" s="236">
        <f t="shared" si="1418"/>
        <v>3952760.0441936613</v>
      </c>
      <c r="CX132" s="236">
        <f t="shared" si="1418"/>
        <v>3959958.5299387383</v>
      </c>
      <c r="CY132" s="236">
        <f t="shared" si="1418"/>
        <v>3974056.267633114</v>
      </c>
      <c r="CZ132" s="236">
        <f t="shared" si="1418"/>
        <v>3995056.8327358523</v>
      </c>
      <c r="DA132" s="236">
        <f t="shared" si="1418"/>
        <v>4007764.8038717918</v>
      </c>
      <c r="DB132" s="236">
        <f t="shared" si="1418"/>
        <v>4020627.1228532884</v>
      </c>
      <c r="DC132" s="236">
        <f t="shared" si="1418"/>
        <v>4111032.4195058104</v>
      </c>
      <c r="DD132" s="236">
        <f t="shared" si="1418"/>
        <v>4237601.8759381874</v>
      </c>
      <c r="DE132" s="236">
        <f t="shared" si="1418"/>
        <v>4372098.4701131675</v>
      </c>
      <c r="DF132" s="236">
        <f t="shared" si="1418"/>
        <v>4582739.0995416706</v>
      </c>
      <c r="DG132" s="236">
        <f t="shared" si="1418"/>
        <v>4635902.8492568973</v>
      </c>
      <c r="DH132" s="236">
        <f t="shared" si="1418"/>
        <v>4652566.8794740671</v>
      </c>
      <c r="DI132" s="236">
        <f t="shared" si="1418"/>
        <v>4671564.1910488689</v>
      </c>
      <c r="DJ132" s="236">
        <f t="shared" si="1418"/>
        <v>4690192.706196472</v>
      </c>
      <c r="DK132" s="236">
        <f t="shared" ref="DK132:EP132" si="1419">SUM(DK123:DK131)</f>
        <v>4714230.2759315232</v>
      </c>
      <c r="DL132" s="236">
        <f t="shared" si="1419"/>
        <v>4821103.7012800239</v>
      </c>
      <c r="DM132" s="236">
        <f t="shared" si="1419"/>
        <v>4945858.5997709753</v>
      </c>
      <c r="DN132" s="236">
        <f t="shared" si="1419"/>
        <v>5065753.0811189683</v>
      </c>
      <c r="DO132" s="236">
        <f t="shared" si="1419"/>
        <v>5262058.2108082417</v>
      </c>
      <c r="DP132" s="236">
        <f t="shared" si="1419"/>
        <v>5434985.7050494365</v>
      </c>
      <c r="DQ132" s="236">
        <f t="shared" si="1419"/>
        <v>5611880.3580538351</v>
      </c>
      <c r="DR132" s="236">
        <f t="shared" si="1419"/>
        <v>5882390.4833957683</v>
      </c>
      <c r="DS132" s="236">
        <f t="shared" si="1419"/>
        <v>5998533.253196653</v>
      </c>
      <c r="DT132" s="236">
        <f t="shared" si="1419"/>
        <v>6007133.2674644915</v>
      </c>
      <c r="DU132" s="236">
        <f t="shared" si="1419"/>
        <v>6018793.7525374349</v>
      </c>
      <c r="DV132" s="236">
        <f t="shared" si="1419"/>
        <v>6029970.4838053063</v>
      </c>
      <c r="DW132" s="236">
        <f t="shared" si="1419"/>
        <v>6040529.8205104377</v>
      </c>
      <c r="DX132" s="236">
        <f t="shared" si="1419"/>
        <v>6101054.6477728384</v>
      </c>
      <c r="DY132" s="236">
        <f t="shared" si="1419"/>
        <v>6227147.6121028969</v>
      </c>
      <c r="DZ132" s="236">
        <f t="shared" si="1419"/>
        <v>6320086.516193985</v>
      </c>
      <c r="EA132" s="236">
        <f t="shared" si="1419"/>
        <v>6490014.9551439527</v>
      </c>
      <c r="EB132" s="236">
        <f t="shared" si="1419"/>
        <v>6651218.8773074653</v>
      </c>
      <c r="EC132" s="236">
        <f t="shared" si="1419"/>
        <v>6838520.8978959983</v>
      </c>
      <c r="ED132" s="236">
        <f t="shared" si="1419"/>
        <v>7139660.7199542522</v>
      </c>
      <c r="EE132" s="236">
        <f t="shared" si="1419"/>
        <v>7362828.6616340661</v>
      </c>
      <c r="EF132" s="236">
        <f t="shared" si="1419"/>
        <v>7381986.0462524565</v>
      </c>
      <c r="EG132" s="236">
        <f t="shared" si="1419"/>
        <v>7405296.8611133499</v>
      </c>
      <c r="EH132" s="236">
        <f t="shared" si="1419"/>
        <v>7427951.4143080218</v>
      </c>
      <c r="EI132" s="236">
        <f t="shared" si="1419"/>
        <v>7449768.7546695219</v>
      </c>
      <c r="EJ132" s="236">
        <f t="shared" si="1419"/>
        <v>7497250.3867861992</v>
      </c>
      <c r="EK132" s="236">
        <f t="shared" si="1419"/>
        <v>7652036.8074383764</v>
      </c>
      <c r="EL132" s="236">
        <f t="shared" si="1419"/>
        <v>7774436.9051055992</v>
      </c>
      <c r="EM132" s="236">
        <f t="shared" si="1419"/>
        <v>8039503.503866639</v>
      </c>
      <c r="EN132" s="236">
        <f t="shared" si="1419"/>
        <v>8276465.238959725</v>
      </c>
      <c r="EO132" s="236">
        <f t="shared" si="1419"/>
        <v>8519208.2960336525</v>
      </c>
      <c r="EP132" s="236">
        <f t="shared" si="1419"/>
        <v>8899379.5549473688</v>
      </c>
      <c r="EQ132" s="236">
        <f t="shared" ref="EQ132:FB132" si="1420">SUM(EQ123:EQ131)</f>
        <v>9177840.8916038703</v>
      </c>
      <c r="ER132" s="236">
        <f t="shared" si="1420"/>
        <v>9206589.5970027819</v>
      </c>
      <c r="ES132" s="236">
        <f t="shared" si="1420"/>
        <v>9240834.84149874</v>
      </c>
      <c r="ET132" s="236">
        <f t="shared" si="1420"/>
        <v>9274182.8639491163</v>
      </c>
      <c r="EU132" s="236">
        <f t="shared" si="1420"/>
        <v>9306400.584949078</v>
      </c>
      <c r="EV132" s="236">
        <f t="shared" si="1420"/>
        <v>9343835.9278091844</v>
      </c>
      <c r="EW132" s="236">
        <f t="shared" si="1420"/>
        <v>9508726.0978744831</v>
      </c>
      <c r="EX132" s="236">
        <f t="shared" si="1420"/>
        <v>9670947.0455213226</v>
      </c>
      <c r="EY132" s="236">
        <f t="shared" si="1420"/>
        <v>10001715.197606459</v>
      </c>
      <c r="EZ132" s="236">
        <f t="shared" si="1420"/>
        <v>10291629.60943</v>
      </c>
      <c r="FA132" s="236">
        <f t="shared" si="1420"/>
        <v>10588342.687987182</v>
      </c>
      <c r="FB132" s="236">
        <f t="shared" si="1420"/>
        <v>11048044.76226477</v>
      </c>
    </row>
    <row r="133" spans="2:158" ht="15.75" thickTop="1" x14ac:dyDescent="0.25">
      <c r="C133" s="99"/>
    </row>
    <row r="134" spans="2:158" x14ac:dyDescent="0.25">
      <c r="C134" t="s">
        <v>544</v>
      </c>
      <c r="D134" s="16">
        <f>BJ134</f>
        <v>18</v>
      </c>
      <c r="E134" s="16">
        <f>BV134</f>
        <v>25</v>
      </c>
      <c r="F134" s="16">
        <f>CH134</f>
        <v>33</v>
      </c>
      <c r="G134" s="16">
        <f>CT134</f>
        <v>73</v>
      </c>
      <c r="H134" s="55">
        <f>DF134</f>
        <v>86.035779865882589</v>
      </c>
      <c r="I134" s="55">
        <f>DR134</f>
        <v>109.11667551353887</v>
      </c>
      <c r="J134" s="55">
        <f>ED134</f>
        <v>136.05101538675126</v>
      </c>
      <c r="K134" s="55">
        <f>EP134</f>
        <v>167.00135683820011</v>
      </c>
      <c r="L134" s="55">
        <f>FB134</f>
        <v>201.79368474831722</v>
      </c>
      <c r="N134" s="16">
        <f>BA134</f>
        <v>12.5</v>
      </c>
      <c r="O134" s="16">
        <f t="shared" ref="O134" si="1421">BD134</f>
        <v>13.5</v>
      </c>
      <c r="P134" s="16">
        <f t="shared" ref="P134" si="1422">BG134</f>
        <v>15</v>
      </c>
      <c r="Q134" s="16">
        <f t="shared" ref="Q134" si="1423">BJ134</f>
        <v>18</v>
      </c>
      <c r="R134" s="16">
        <f t="shared" ref="R134" si="1424">BM134</f>
        <v>18</v>
      </c>
      <c r="S134" s="16">
        <f t="shared" ref="S134" si="1425">BP134</f>
        <v>22</v>
      </c>
      <c r="T134" s="16">
        <f t="shared" ref="T134" si="1426">BS134</f>
        <v>21</v>
      </c>
      <c r="U134" s="16">
        <f t="shared" ref="U134" si="1427">BV134</f>
        <v>25</v>
      </c>
      <c r="V134" s="16">
        <f t="shared" ref="V134" si="1428">BY134</f>
        <v>27</v>
      </c>
      <c r="W134" s="16">
        <f t="shared" ref="W134" si="1429">CB134</f>
        <v>26</v>
      </c>
      <c r="X134" s="16">
        <f t="shared" ref="X134" si="1430">CE134</f>
        <v>26</v>
      </c>
      <c r="Y134" s="16">
        <f t="shared" ref="Y134" si="1431">CH134</f>
        <v>33</v>
      </c>
      <c r="Z134" s="16">
        <f t="shared" ref="Z134" si="1432">CK134</f>
        <v>35</v>
      </c>
      <c r="AA134" s="16">
        <f t="shared" ref="AA134" si="1433">CN134</f>
        <v>49</v>
      </c>
      <c r="AB134" s="16">
        <f t="shared" ref="AB134" si="1434">CQ134</f>
        <v>62</v>
      </c>
      <c r="AC134" s="16">
        <f t="shared" ref="AC134" si="1435">CT134</f>
        <v>73</v>
      </c>
      <c r="AD134" s="16">
        <f t="shared" ref="AD134" si="1436">CW134</f>
        <v>73</v>
      </c>
      <c r="AE134" s="16">
        <f t="shared" ref="AE134" si="1437">CZ134</f>
        <v>73</v>
      </c>
      <c r="AF134" s="16">
        <f t="shared" ref="AF134" si="1438">DC134</f>
        <v>75.429784786212224</v>
      </c>
      <c r="AG134" s="16">
        <f t="shared" ref="AG134" si="1439">DF134</f>
        <v>86.035779865882589</v>
      </c>
      <c r="AH134" s="16">
        <f t="shared" ref="AH134" si="1440">DI134</f>
        <v>86.035779865882589</v>
      </c>
      <c r="AI134" s="16">
        <f t="shared" ref="AI134" si="1441">DL134</f>
        <v>87.971169180226624</v>
      </c>
      <c r="AJ134" s="16">
        <f t="shared" ref="AJ134" si="1442">DO134</f>
        <v>96.826785154812242</v>
      </c>
      <c r="AK134" s="16">
        <f t="shared" ref="AK134" si="1443">DR134</f>
        <v>109.11667551353887</v>
      </c>
      <c r="AL134" s="16">
        <f t="shared" ref="AL134" si="1444">DU134</f>
        <v>109.11667551353887</v>
      </c>
      <c r="AM134" s="16">
        <f t="shared" ref="AM134" si="1445">DX134</f>
        <v>110.50930288331587</v>
      </c>
      <c r="AN134" s="16">
        <f t="shared" ref="AN134" si="1446">EA134</f>
        <v>121.20615246052485</v>
      </c>
      <c r="AO134" s="16">
        <f t="shared" ref="AO134" si="1447">ED134</f>
        <v>136.05101538675126</v>
      </c>
      <c r="AP134" s="16">
        <f t="shared" ref="AP134" si="1448">EG134</f>
        <v>136.05101538675126</v>
      </c>
      <c r="AQ134" s="16">
        <f t="shared" ref="AQ134" si="1449">EJ134</f>
        <v>136.67465617371124</v>
      </c>
      <c r="AR134" s="16">
        <f t="shared" ref="AR134" si="1450">EM134</f>
        <v>149.3755124475388</v>
      </c>
      <c r="AS134" s="16">
        <f t="shared" ref="AS134" si="1451">EP134</f>
        <v>167.00135683820011</v>
      </c>
      <c r="AT134" s="16">
        <f t="shared" ref="AT134" si="1452">ES134</f>
        <v>167.00135683820011</v>
      </c>
      <c r="AU134" s="16">
        <f t="shared" ref="AU134" si="1453">EV134</f>
        <v>167.00135683820011</v>
      </c>
      <c r="AV134" s="16">
        <f t="shared" ref="AV134" si="1454">EY134</f>
        <v>181.230428322656</v>
      </c>
      <c r="AW134" s="16">
        <f t="shared" ref="AW134" si="1455">FB134</f>
        <v>201.79368474831722</v>
      </c>
      <c r="AY134" s="16">
        <f>AY135</f>
        <v>10.5</v>
      </c>
      <c r="AZ134" s="16">
        <f t="shared" ref="AZ134:CT134" si="1456">AZ135</f>
        <v>10.5</v>
      </c>
      <c r="BA134" s="16">
        <f t="shared" si="1456"/>
        <v>12.5</v>
      </c>
      <c r="BB134" s="16">
        <f t="shared" si="1456"/>
        <v>12.5</v>
      </c>
      <c r="BC134" s="16">
        <f t="shared" si="1456"/>
        <v>13</v>
      </c>
      <c r="BD134" s="16">
        <f t="shared" si="1456"/>
        <v>13.5</v>
      </c>
      <c r="BE134" s="16">
        <f t="shared" si="1456"/>
        <v>14.5</v>
      </c>
      <c r="BF134" s="16">
        <f t="shared" si="1456"/>
        <v>15</v>
      </c>
      <c r="BG134" s="16">
        <f t="shared" si="1456"/>
        <v>15</v>
      </c>
      <c r="BH134" s="16">
        <f t="shared" si="1456"/>
        <v>16</v>
      </c>
      <c r="BI134" s="16">
        <f t="shared" si="1456"/>
        <v>16</v>
      </c>
      <c r="BJ134" s="16">
        <f t="shared" si="1456"/>
        <v>18</v>
      </c>
      <c r="BK134" s="16">
        <f t="shared" si="1456"/>
        <v>16</v>
      </c>
      <c r="BL134" s="16">
        <f t="shared" si="1456"/>
        <v>17</v>
      </c>
      <c r="BM134" s="16">
        <f t="shared" si="1456"/>
        <v>18</v>
      </c>
      <c r="BN134" s="16">
        <f t="shared" si="1456"/>
        <v>20</v>
      </c>
      <c r="BO134" s="16">
        <f t="shared" si="1456"/>
        <v>22</v>
      </c>
      <c r="BP134" s="16">
        <f t="shared" si="1456"/>
        <v>22</v>
      </c>
      <c r="BQ134" s="16">
        <f t="shared" si="1456"/>
        <v>22</v>
      </c>
      <c r="BR134" s="16">
        <f t="shared" si="1456"/>
        <v>21</v>
      </c>
      <c r="BS134" s="16">
        <f t="shared" si="1456"/>
        <v>21</v>
      </c>
      <c r="BT134" s="16">
        <f t="shared" si="1456"/>
        <v>21</v>
      </c>
      <c r="BU134" s="16">
        <f t="shared" si="1456"/>
        <v>22</v>
      </c>
      <c r="BV134" s="16">
        <f t="shared" si="1456"/>
        <v>25</v>
      </c>
      <c r="BW134" s="16">
        <f t="shared" si="1456"/>
        <v>25</v>
      </c>
      <c r="BX134" s="16">
        <f t="shared" si="1456"/>
        <v>26</v>
      </c>
      <c r="BY134" s="16">
        <f t="shared" si="1456"/>
        <v>27</v>
      </c>
      <c r="BZ134" s="16">
        <f t="shared" si="1456"/>
        <v>27</v>
      </c>
      <c r="CA134" s="16">
        <f t="shared" si="1456"/>
        <v>27</v>
      </c>
      <c r="CB134" s="16">
        <f t="shared" si="1456"/>
        <v>26</v>
      </c>
      <c r="CC134" s="16">
        <f t="shared" si="1456"/>
        <v>26</v>
      </c>
      <c r="CD134" s="16">
        <f t="shared" si="1456"/>
        <v>27</v>
      </c>
      <c r="CE134" s="16">
        <f t="shared" si="1456"/>
        <v>26</v>
      </c>
      <c r="CF134" s="16">
        <f t="shared" si="1456"/>
        <v>28</v>
      </c>
      <c r="CG134" s="16">
        <f t="shared" si="1456"/>
        <v>29</v>
      </c>
      <c r="CH134" s="16">
        <f t="shared" si="1456"/>
        <v>33</v>
      </c>
      <c r="CI134" s="16">
        <f t="shared" si="1456"/>
        <v>31</v>
      </c>
      <c r="CJ134" s="16">
        <f t="shared" si="1456"/>
        <v>32</v>
      </c>
      <c r="CK134" s="16">
        <f t="shared" si="1456"/>
        <v>35</v>
      </c>
      <c r="CL134" s="16">
        <f t="shared" si="1456"/>
        <v>39</v>
      </c>
      <c r="CM134" s="16">
        <f t="shared" si="1456"/>
        <v>46</v>
      </c>
      <c r="CN134" s="16">
        <f t="shared" si="1456"/>
        <v>49</v>
      </c>
      <c r="CO134" s="16">
        <f t="shared" si="1456"/>
        <v>53</v>
      </c>
      <c r="CP134" s="16">
        <f t="shared" si="1456"/>
        <v>57</v>
      </c>
      <c r="CQ134" s="16">
        <f t="shared" si="1456"/>
        <v>62</v>
      </c>
      <c r="CR134" s="16">
        <f t="shared" si="1456"/>
        <v>66</v>
      </c>
      <c r="CS134" s="16">
        <f t="shared" si="1456"/>
        <v>70</v>
      </c>
      <c r="CT134" s="16">
        <f t="shared" si="1456"/>
        <v>73</v>
      </c>
      <c r="CU134" s="16">
        <f>CU135</f>
        <v>73</v>
      </c>
      <c r="CV134" s="16">
        <f t="shared" ref="CV134:FB134" si="1457">CV135</f>
        <v>73</v>
      </c>
      <c r="CW134" s="16">
        <f t="shared" si="1457"/>
        <v>73</v>
      </c>
      <c r="CX134" s="16">
        <f t="shared" si="1457"/>
        <v>73</v>
      </c>
      <c r="CY134" s="16">
        <f t="shared" si="1457"/>
        <v>73</v>
      </c>
      <c r="CZ134" s="16">
        <f t="shared" si="1457"/>
        <v>73</v>
      </c>
      <c r="DA134" s="16">
        <f t="shared" si="1457"/>
        <v>73</v>
      </c>
      <c r="DB134" s="16">
        <f t="shared" si="1457"/>
        <v>73</v>
      </c>
      <c r="DC134" s="16">
        <f t="shared" si="1457"/>
        <v>75.429784786212224</v>
      </c>
      <c r="DD134" s="16">
        <f t="shared" si="1457"/>
        <v>78.236233077652003</v>
      </c>
      <c r="DE134" s="16">
        <f t="shared" si="1457"/>
        <v>81.232287859821668</v>
      </c>
      <c r="DF134" s="16">
        <f t="shared" si="1457"/>
        <v>86.035779865882589</v>
      </c>
      <c r="DG134" s="16">
        <f t="shared" si="1457"/>
        <v>86.035779865882589</v>
      </c>
      <c r="DH134" s="16">
        <f t="shared" si="1457"/>
        <v>86.035779865882589</v>
      </c>
      <c r="DI134" s="16">
        <f t="shared" si="1457"/>
        <v>86.035779865882589</v>
      </c>
      <c r="DJ134" s="16">
        <f t="shared" si="1457"/>
        <v>86.035779865882589</v>
      </c>
      <c r="DK134" s="16">
        <f t="shared" si="1457"/>
        <v>86.035779865882589</v>
      </c>
      <c r="DL134" s="16">
        <f t="shared" si="1457"/>
        <v>87.971169180226624</v>
      </c>
      <c r="DM134" s="16">
        <f t="shared" si="1457"/>
        <v>90.938845355987354</v>
      </c>
      <c r="DN134" s="16">
        <f t="shared" si="1457"/>
        <v>92.981643182101195</v>
      </c>
      <c r="DO134" s="16">
        <f t="shared" si="1457"/>
        <v>96.826785154812242</v>
      </c>
      <c r="DP134" s="16">
        <f t="shared" si="1457"/>
        <v>100.12286662708208</v>
      </c>
      <c r="DQ134" s="16">
        <f t="shared" si="1457"/>
        <v>103.51436359234563</v>
      </c>
      <c r="DR134" s="16">
        <f t="shared" si="1457"/>
        <v>109.11667551353887</v>
      </c>
      <c r="DS134" s="16">
        <f t="shared" si="1457"/>
        <v>109.11667551353887</v>
      </c>
      <c r="DT134" s="16">
        <f t="shared" si="1457"/>
        <v>109.11667551353887</v>
      </c>
      <c r="DU134" s="16">
        <f t="shared" si="1457"/>
        <v>109.11667551353887</v>
      </c>
      <c r="DV134" s="16">
        <f t="shared" si="1457"/>
        <v>109.11667551353887</v>
      </c>
      <c r="DW134" s="16">
        <f t="shared" si="1457"/>
        <v>109.11667551353887</v>
      </c>
      <c r="DX134" s="16">
        <f t="shared" si="1457"/>
        <v>110.50930288331587</v>
      </c>
      <c r="DY134" s="16">
        <f t="shared" si="1457"/>
        <v>114.09378496156444</v>
      </c>
      <c r="DZ134" s="16">
        <f t="shared" si="1457"/>
        <v>116.56112358776028</v>
      </c>
      <c r="EA134" s="16">
        <f t="shared" si="1457"/>
        <v>121.20615246052485</v>
      </c>
      <c r="EB134" s="16">
        <f t="shared" si="1457"/>
        <v>125.18761722316292</v>
      </c>
      <c r="EC134" s="16">
        <f t="shared" si="1457"/>
        <v>129.28389531577082</v>
      </c>
      <c r="ED134" s="16">
        <f t="shared" si="1457"/>
        <v>136.05101538675126</v>
      </c>
      <c r="EE134" s="16">
        <f t="shared" si="1457"/>
        <v>136.05101538675126</v>
      </c>
      <c r="EF134" s="16">
        <f t="shared" si="1457"/>
        <v>136.05101538675126</v>
      </c>
      <c r="EG134" s="16">
        <f t="shared" si="1457"/>
        <v>136.05101538675126</v>
      </c>
      <c r="EH134" s="16">
        <f t="shared" si="1457"/>
        <v>136.05101538675126</v>
      </c>
      <c r="EI134" s="16">
        <f t="shared" si="1457"/>
        <v>136.05101538675126</v>
      </c>
      <c r="EJ134" s="16">
        <f t="shared" si="1457"/>
        <v>136.67465617371124</v>
      </c>
      <c r="EK134" s="16">
        <f t="shared" si="1457"/>
        <v>140.93057414236156</v>
      </c>
      <c r="EL134" s="16">
        <f t="shared" si="1457"/>
        <v>143.86007159930193</v>
      </c>
      <c r="EM134" s="16">
        <f t="shared" si="1457"/>
        <v>149.3755124475388</v>
      </c>
      <c r="EN134" s="16">
        <f t="shared" si="1457"/>
        <v>154.10291891009686</v>
      </c>
      <c r="EO134" s="16">
        <f t="shared" si="1457"/>
        <v>158.96645084419279</v>
      </c>
      <c r="EP134" s="16">
        <f t="shared" si="1457"/>
        <v>167.00135683820011</v>
      </c>
      <c r="EQ134" s="16">
        <f t="shared" si="1457"/>
        <v>167.00135683820011</v>
      </c>
      <c r="ER134" s="16">
        <f t="shared" si="1457"/>
        <v>167.00135683820011</v>
      </c>
      <c r="ES134" s="16">
        <f t="shared" si="1457"/>
        <v>167.00135683820011</v>
      </c>
      <c r="ET134" s="16">
        <f t="shared" si="1457"/>
        <v>167.00135683820011</v>
      </c>
      <c r="EU134" s="16">
        <f t="shared" si="1457"/>
        <v>167.00135683820011</v>
      </c>
      <c r="EV134" s="16">
        <f t="shared" si="1457"/>
        <v>167.00135683820011</v>
      </c>
      <c r="EW134" s="16">
        <f t="shared" si="1457"/>
        <v>171.37809422209912</v>
      </c>
      <c r="EX134" s="16">
        <f t="shared" si="1457"/>
        <v>174.79579729483632</v>
      </c>
      <c r="EY134" s="16">
        <f t="shared" si="1457"/>
        <v>181.230428322656</v>
      </c>
      <c r="EZ134" s="16">
        <f t="shared" si="1457"/>
        <v>186.74568100680591</v>
      </c>
      <c r="FA134" s="16">
        <f t="shared" si="1457"/>
        <v>192.41972647570813</v>
      </c>
      <c r="FB134" s="16">
        <f t="shared" si="1457"/>
        <v>201.79368474831722</v>
      </c>
    </row>
    <row r="135" spans="2:158" x14ac:dyDescent="0.25">
      <c r="C135" t="s">
        <v>545</v>
      </c>
      <c r="D135" s="16">
        <f>AVERAGE(AY135:BJ135)</f>
        <v>13.916666666666666</v>
      </c>
      <c r="E135" s="16">
        <f>AVERAGE(BK135:BV135)</f>
        <v>20.583333333333332</v>
      </c>
      <c r="F135" s="16">
        <f>AVERAGE(BW135:CH135)</f>
        <v>27.25</v>
      </c>
      <c r="G135" s="16">
        <f>AVERAGE(CI135:CT135)</f>
        <v>51.083333333333336</v>
      </c>
      <c r="H135" s="55">
        <f>AVERAGE(CU135:DF135)</f>
        <v>75.411173799130708</v>
      </c>
      <c r="I135" s="55">
        <f>AVERAGE(DG135:DR135)</f>
        <v>92.637603994625579</v>
      </c>
      <c r="J135" s="55">
        <f>AVERAGE(DS135:ED135)</f>
        <v>116.53968911554541</v>
      </c>
      <c r="K135" s="55">
        <f>AVERAGE(EE135:EP135)</f>
        <v>144.26388482409664</v>
      </c>
      <c r="L135" s="55">
        <f>AVERAGE(EQ135:FB135)</f>
        <v>175.86429609163528</v>
      </c>
      <c r="N135" s="16">
        <f>AVERAGE(AY135:BA135)</f>
        <v>11.166666666666666</v>
      </c>
      <c r="O135" s="16">
        <f>AVERAGE(BB135:BD135)</f>
        <v>13</v>
      </c>
      <c r="P135" s="16">
        <f>AVERAGE(BE135:BG135)</f>
        <v>14.833333333333334</v>
      </c>
      <c r="Q135" s="16">
        <f>AVERAGE(BH135:BJ135)</f>
        <v>16.666666666666668</v>
      </c>
      <c r="R135" s="16">
        <f>AVERAGE(BK135:BM135)</f>
        <v>17</v>
      </c>
      <c r="S135" s="16">
        <f>AVERAGE(BN135:BP135)</f>
        <v>21.333333333333332</v>
      </c>
      <c r="T135" s="16">
        <f>AVERAGE(BQ135:BS135)</f>
        <v>21.333333333333332</v>
      </c>
      <c r="U135" s="16">
        <f>AVERAGE(BT135:BV135)</f>
        <v>22.666666666666668</v>
      </c>
      <c r="V135" s="16">
        <f>AVERAGE(BW135:BY135)</f>
        <v>26</v>
      </c>
      <c r="W135" s="16">
        <f>AVERAGE(BZ135:CB135)</f>
        <v>26.666666666666668</v>
      </c>
      <c r="X135" s="16">
        <f>AVERAGE(CC135:CE135)</f>
        <v>26.333333333333332</v>
      </c>
      <c r="Y135" s="16">
        <f>AVERAGE(CF135:CH135)</f>
        <v>30</v>
      </c>
      <c r="Z135" s="16">
        <f>AVERAGE(CI135:CK135)</f>
        <v>32.666666666666664</v>
      </c>
      <c r="AA135" s="16">
        <f>AVERAGE(CL135:CN135)</f>
        <v>44.666666666666664</v>
      </c>
      <c r="AB135" s="16">
        <f>AVERAGE(CO135:CQ135)</f>
        <v>57.333333333333336</v>
      </c>
      <c r="AC135" s="16">
        <f>AVERAGE(CR135:CT135)</f>
        <v>69.666666666666671</v>
      </c>
      <c r="AD135" s="16">
        <f>AVERAGE(CU135:CW135)</f>
        <v>73</v>
      </c>
      <c r="AE135" s="16">
        <f>AVERAGE(CX135:CZ135)</f>
        <v>73</v>
      </c>
      <c r="AF135" s="16">
        <f>AVERAGE(DA135:DC135)</f>
        <v>73.809928262070741</v>
      </c>
      <c r="AG135" s="16">
        <f>AVERAGE(DD135:DF135)</f>
        <v>81.834766934452091</v>
      </c>
      <c r="AH135" s="16">
        <f>AVERAGE(DG135:DI135)</f>
        <v>86.035779865882589</v>
      </c>
      <c r="AI135" s="16">
        <f>AVERAGE(DJ135:DL135)</f>
        <v>86.680909637330601</v>
      </c>
      <c r="AJ135" s="16">
        <f>AVERAGE(DM135:DO135)</f>
        <v>93.582424564300254</v>
      </c>
      <c r="AK135" s="16">
        <f>AVERAGE(DP135:DR135)</f>
        <v>104.25130191098886</v>
      </c>
      <c r="AL135" s="16">
        <f>AVERAGE(DS135:DU135)</f>
        <v>109.11667551353885</v>
      </c>
      <c r="AM135" s="16">
        <f>AVERAGE(DV135:DX135)</f>
        <v>109.58088463679786</v>
      </c>
      <c r="AN135" s="16">
        <f>AVERAGE(DY135:EA135)</f>
        <v>117.28702033661652</v>
      </c>
      <c r="AO135" s="16">
        <f>AVERAGE(EB135:ED135)</f>
        <v>130.17417597522834</v>
      </c>
      <c r="AP135" s="16">
        <f>AVERAGE(EE135:EG135)</f>
        <v>136.05101538675126</v>
      </c>
      <c r="AQ135" s="16">
        <f>AVERAGE(EH135:EJ135)</f>
        <v>136.25889564907126</v>
      </c>
      <c r="AR135" s="16">
        <f>AVERAGE(EK135:EM135)</f>
        <v>144.72205272973409</v>
      </c>
      <c r="AS135" s="16">
        <f>AVERAGE(EN135:EP135)</f>
        <v>160.02357553082993</v>
      </c>
      <c r="AT135" s="16">
        <f>AVERAGE(EQ135:ES135)</f>
        <v>167.00135683820011</v>
      </c>
      <c r="AU135" s="16">
        <f>AVERAGE(ET135:EV135)</f>
        <v>167.00135683820011</v>
      </c>
      <c r="AV135" s="16">
        <f>AVERAGE(EW135:EY135)</f>
        <v>175.80143994653045</v>
      </c>
      <c r="AW135" s="16">
        <f>AVERAGE(EZ135:FB135)</f>
        <v>193.65303074361043</v>
      </c>
      <c r="AY135" s="16">
        <v>10.5</v>
      </c>
      <c r="AZ135" s="16">
        <v>10.5</v>
      </c>
      <c r="BA135" s="16">
        <v>12.5</v>
      </c>
      <c r="BB135" s="16">
        <v>12.5</v>
      </c>
      <c r="BC135" s="16">
        <v>13</v>
      </c>
      <c r="BD135" s="16">
        <v>13.5</v>
      </c>
      <c r="BE135" s="16">
        <v>14.5</v>
      </c>
      <c r="BF135" s="16">
        <v>15</v>
      </c>
      <c r="BG135" s="16">
        <v>15</v>
      </c>
      <c r="BH135" s="16">
        <v>16</v>
      </c>
      <c r="BI135" s="16">
        <v>16</v>
      </c>
      <c r="BJ135" s="16">
        <v>18</v>
      </c>
      <c r="BK135" s="16">
        <v>16</v>
      </c>
      <c r="BL135" s="16">
        <v>17</v>
      </c>
      <c r="BM135" s="16">
        <v>18</v>
      </c>
      <c r="BN135" s="16">
        <v>20</v>
      </c>
      <c r="BO135" s="16">
        <v>22</v>
      </c>
      <c r="BP135" s="16">
        <v>22</v>
      </c>
      <c r="BQ135" s="16">
        <v>22</v>
      </c>
      <c r="BR135" s="16">
        <v>21</v>
      </c>
      <c r="BS135" s="16">
        <v>21</v>
      </c>
      <c r="BT135" s="16">
        <v>21</v>
      </c>
      <c r="BU135" s="16">
        <v>22</v>
      </c>
      <c r="BV135" s="16">
        <v>25</v>
      </c>
      <c r="BW135" s="16">
        <v>25</v>
      </c>
      <c r="BX135" s="16">
        <v>26</v>
      </c>
      <c r="BY135" s="16">
        <v>27</v>
      </c>
      <c r="BZ135" s="16">
        <v>27</v>
      </c>
      <c r="CA135" s="16">
        <v>27</v>
      </c>
      <c r="CB135" s="16">
        <v>26</v>
      </c>
      <c r="CC135" s="16">
        <v>26</v>
      </c>
      <c r="CD135" s="16">
        <v>27</v>
      </c>
      <c r="CE135" s="16">
        <v>26</v>
      </c>
      <c r="CF135" s="16">
        <v>28</v>
      </c>
      <c r="CG135" s="16">
        <v>29</v>
      </c>
      <c r="CH135" s="16">
        <v>33</v>
      </c>
      <c r="CI135" s="16">
        <v>31</v>
      </c>
      <c r="CJ135" s="16">
        <v>32</v>
      </c>
      <c r="CK135" s="16">
        <v>35</v>
      </c>
      <c r="CL135" s="16">
        <v>39</v>
      </c>
      <c r="CM135" s="16">
        <v>46</v>
      </c>
      <c r="CN135" s="16">
        <v>49</v>
      </c>
      <c r="CO135" s="16">
        <v>53</v>
      </c>
      <c r="CP135" s="16">
        <v>57</v>
      </c>
      <c r="CQ135" s="16">
        <v>62</v>
      </c>
      <c r="CR135" s="16">
        <v>66</v>
      </c>
      <c r="CS135" s="16">
        <v>70</v>
      </c>
      <c r="CT135" s="16">
        <v>73</v>
      </c>
      <c r="CU135" s="16">
        <f t="shared" ref="CU135:DZ135" si="1458">MAX(CT135,CU10/CU137)</f>
        <v>73</v>
      </c>
      <c r="CV135" s="16">
        <f t="shared" si="1458"/>
        <v>73</v>
      </c>
      <c r="CW135" s="16">
        <f t="shared" si="1458"/>
        <v>73</v>
      </c>
      <c r="CX135" s="16">
        <f t="shared" si="1458"/>
        <v>73</v>
      </c>
      <c r="CY135" s="16">
        <f t="shared" si="1458"/>
        <v>73</v>
      </c>
      <c r="CZ135" s="16">
        <f t="shared" si="1458"/>
        <v>73</v>
      </c>
      <c r="DA135" s="16">
        <f t="shared" si="1458"/>
        <v>73</v>
      </c>
      <c r="DB135" s="16">
        <f t="shared" si="1458"/>
        <v>73</v>
      </c>
      <c r="DC135" s="16">
        <f t="shared" si="1458"/>
        <v>75.429784786212224</v>
      </c>
      <c r="DD135" s="16">
        <f t="shared" si="1458"/>
        <v>78.236233077652003</v>
      </c>
      <c r="DE135" s="16">
        <f t="shared" si="1458"/>
        <v>81.232287859821668</v>
      </c>
      <c r="DF135" s="16">
        <f t="shared" si="1458"/>
        <v>86.035779865882589</v>
      </c>
      <c r="DG135" s="16">
        <f t="shared" si="1458"/>
        <v>86.035779865882589</v>
      </c>
      <c r="DH135" s="16">
        <f t="shared" si="1458"/>
        <v>86.035779865882589</v>
      </c>
      <c r="DI135" s="16">
        <f t="shared" si="1458"/>
        <v>86.035779865882589</v>
      </c>
      <c r="DJ135" s="16">
        <f t="shared" si="1458"/>
        <v>86.035779865882589</v>
      </c>
      <c r="DK135" s="16">
        <f t="shared" si="1458"/>
        <v>86.035779865882589</v>
      </c>
      <c r="DL135" s="16">
        <f t="shared" si="1458"/>
        <v>87.971169180226624</v>
      </c>
      <c r="DM135" s="16">
        <f t="shared" si="1458"/>
        <v>90.938845355987354</v>
      </c>
      <c r="DN135" s="16">
        <f t="shared" si="1458"/>
        <v>92.981643182101195</v>
      </c>
      <c r="DO135" s="16">
        <f t="shared" si="1458"/>
        <v>96.826785154812242</v>
      </c>
      <c r="DP135" s="16">
        <f t="shared" si="1458"/>
        <v>100.12286662708208</v>
      </c>
      <c r="DQ135" s="16">
        <f t="shared" si="1458"/>
        <v>103.51436359234563</v>
      </c>
      <c r="DR135" s="16">
        <f t="shared" si="1458"/>
        <v>109.11667551353887</v>
      </c>
      <c r="DS135" s="16">
        <f t="shared" si="1458"/>
        <v>109.11667551353887</v>
      </c>
      <c r="DT135" s="16">
        <f t="shared" si="1458"/>
        <v>109.11667551353887</v>
      </c>
      <c r="DU135" s="16">
        <f t="shared" si="1458"/>
        <v>109.11667551353887</v>
      </c>
      <c r="DV135" s="16">
        <f t="shared" si="1458"/>
        <v>109.11667551353887</v>
      </c>
      <c r="DW135" s="16">
        <f t="shared" si="1458"/>
        <v>109.11667551353887</v>
      </c>
      <c r="DX135" s="16">
        <f t="shared" si="1458"/>
        <v>110.50930288331587</v>
      </c>
      <c r="DY135" s="16">
        <f t="shared" si="1458"/>
        <v>114.09378496156444</v>
      </c>
      <c r="DZ135" s="16">
        <f t="shared" si="1458"/>
        <v>116.56112358776028</v>
      </c>
      <c r="EA135" s="16">
        <f t="shared" ref="EA135:FB135" si="1459">MAX(DZ135,EA10/EA137)</f>
        <v>121.20615246052485</v>
      </c>
      <c r="EB135" s="16">
        <f t="shared" si="1459"/>
        <v>125.18761722316292</v>
      </c>
      <c r="EC135" s="16">
        <f t="shared" si="1459"/>
        <v>129.28389531577082</v>
      </c>
      <c r="ED135" s="16">
        <f t="shared" si="1459"/>
        <v>136.05101538675126</v>
      </c>
      <c r="EE135" s="16">
        <f t="shared" si="1459"/>
        <v>136.05101538675126</v>
      </c>
      <c r="EF135" s="16">
        <f t="shared" si="1459"/>
        <v>136.05101538675126</v>
      </c>
      <c r="EG135" s="16">
        <f t="shared" si="1459"/>
        <v>136.05101538675126</v>
      </c>
      <c r="EH135" s="16">
        <f t="shared" si="1459"/>
        <v>136.05101538675126</v>
      </c>
      <c r="EI135" s="16">
        <f t="shared" si="1459"/>
        <v>136.05101538675126</v>
      </c>
      <c r="EJ135" s="16">
        <f t="shared" si="1459"/>
        <v>136.67465617371124</v>
      </c>
      <c r="EK135" s="16">
        <f t="shared" si="1459"/>
        <v>140.93057414236156</v>
      </c>
      <c r="EL135" s="16">
        <f t="shared" si="1459"/>
        <v>143.86007159930193</v>
      </c>
      <c r="EM135" s="16">
        <f t="shared" si="1459"/>
        <v>149.3755124475388</v>
      </c>
      <c r="EN135" s="16">
        <f t="shared" si="1459"/>
        <v>154.10291891009686</v>
      </c>
      <c r="EO135" s="16">
        <f t="shared" si="1459"/>
        <v>158.96645084419279</v>
      </c>
      <c r="EP135" s="16">
        <f t="shared" si="1459"/>
        <v>167.00135683820011</v>
      </c>
      <c r="EQ135" s="16">
        <f t="shared" si="1459"/>
        <v>167.00135683820011</v>
      </c>
      <c r="ER135" s="16">
        <f t="shared" si="1459"/>
        <v>167.00135683820011</v>
      </c>
      <c r="ES135" s="16">
        <f t="shared" si="1459"/>
        <v>167.00135683820011</v>
      </c>
      <c r="ET135" s="16">
        <f t="shared" si="1459"/>
        <v>167.00135683820011</v>
      </c>
      <c r="EU135" s="16">
        <f t="shared" si="1459"/>
        <v>167.00135683820011</v>
      </c>
      <c r="EV135" s="16">
        <f t="shared" si="1459"/>
        <v>167.00135683820011</v>
      </c>
      <c r="EW135" s="16">
        <f t="shared" si="1459"/>
        <v>171.37809422209912</v>
      </c>
      <c r="EX135" s="16">
        <f t="shared" si="1459"/>
        <v>174.79579729483632</v>
      </c>
      <c r="EY135" s="16">
        <f t="shared" si="1459"/>
        <v>181.230428322656</v>
      </c>
      <c r="EZ135" s="16">
        <f t="shared" si="1459"/>
        <v>186.74568100680591</v>
      </c>
      <c r="FA135" s="16">
        <f t="shared" si="1459"/>
        <v>192.41972647570813</v>
      </c>
      <c r="FB135" s="16">
        <f t="shared" si="1459"/>
        <v>201.79368474831722</v>
      </c>
    </row>
    <row r="136" spans="2:158" x14ac:dyDescent="0.25">
      <c r="B136" s="303">
        <f>B113</f>
        <v>0.05</v>
      </c>
      <c r="C136" s="28" t="s">
        <v>518</v>
      </c>
      <c r="D136" s="16">
        <f>D123/D135</f>
        <v>147269.03353293412</v>
      </c>
      <c r="E136" s="16">
        <f t="shared" ref="E136:G136" si="1460">E123/E135</f>
        <v>155583.11951417004</v>
      </c>
      <c r="F136" s="16">
        <f t="shared" si="1460"/>
        <v>151959.19302752294</v>
      </c>
      <c r="G136" s="16">
        <f t="shared" si="1460"/>
        <v>184783.51977687207</v>
      </c>
      <c r="H136" s="249">
        <f>G136*(1+$B136)</f>
        <v>194022.69576571567</v>
      </c>
      <c r="I136" s="249">
        <f t="shared" ref="I136:L136" si="1461">H136*(1+$B136)</f>
        <v>203723.83055400147</v>
      </c>
      <c r="J136" s="249">
        <f t="shared" si="1461"/>
        <v>213910.02208170155</v>
      </c>
      <c r="K136" s="249">
        <f t="shared" si="1461"/>
        <v>224605.52318578665</v>
      </c>
      <c r="L136" s="249">
        <f t="shared" si="1461"/>
        <v>235835.799345076</v>
      </c>
      <c r="N136" s="16">
        <f>N123/N135*4</f>
        <v>163738.31283582092</v>
      </c>
      <c r="O136" s="16">
        <f t="shared" ref="O136:AW136" si="1462">O123/O135*4</f>
        <v>146723.1753846154</v>
      </c>
      <c r="P136" s="16">
        <f t="shared" si="1462"/>
        <v>137116.9617977528</v>
      </c>
      <c r="Q136" s="16">
        <f t="shared" si="1462"/>
        <v>145695.72959999999</v>
      </c>
      <c r="R136" s="16">
        <f t="shared" si="1462"/>
        <v>172111.34588235294</v>
      </c>
      <c r="S136" s="16">
        <f t="shared" si="1462"/>
        <v>160666.77562500001</v>
      </c>
      <c r="T136" s="16">
        <f t="shared" si="1462"/>
        <v>156644.97374999998</v>
      </c>
      <c r="U136" s="16">
        <f t="shared" si="1462"/>
        <v>137402.94</v>
      </c>
      <c r="V136" s="16">
        <f t="shared" si="1462"/>
        <v>157721.16153846154</v>
      </c>
      <c r="W136" s="16">
        <f t="shared" si="1462"/>
        <v>158152.8075</v>
      </c>
      <c r="X136" s="16">
        <f t="shared" si="1462"/>
        <v>159393.9660759494</v>
      </c>
      <c r="Y136" s="16">
        <f t="shared" si="1462"/>
        <v>134933.97333333333</v>
      </c>
      <c r="Z136" s="16">
        <f t="shared" si="1462"/>
        <v>174057.6612244898</v>
      </c>
      <c r="AA136" s="16">
        <f t="shared" si="1462"/>
        <v>215399.2934703771</v>
      </c>
      <c r="AB136" s="16">
        <f t="shared" si="1462"/>
        <v>180590.68324231764</v>
      </c>
      <c r="AC136" s="16">
        <f t="shared" si="1462"/>
        <v>173634.1817249445</v>
      </c>
      <c r="AD136" s="16">
        <f t="shared" si="1462"/>
        <v>194022.6957657157</v>
      </c>
      <c r="AE136" s="16">
        <f t="shared" si="1462"/>
        <v>194022.6957657157</v>
      </c>
      <c r="AF136" s="16">
        <f t="shared" si="1462"/>
        <v>194022.6957657157</v>
      </c>
      <c r="AG136" s="16">
        <f t="shared" si="1462"/>
        <v>194022.69576571565</v>
      </c>
      <c r="AH136" s="16">
        <f t="shared" si="1462"/>
        <v>203723.83055400147</v>
      </c>
      <c r="AI136" s="16">
        <f t="shared" si="1462"/>
        <v>203723.83055400147</v>
      </c>
      <c r="AJ136" s="16">
        <f t="shared" si="1462"/>
        <v>203723.8305540015</v>
      </c>
      <c r="AK136" s="16">
        <f t="shared" si="1462"/>
        <v>203723.8305540015</v>
      </c>
      <c r="AL136" s="16">
        <f t="shared" si="1462"/>
        <v>213910.02208170158</v>
      </c>
      <c r="AM136" s="16">
        <f t="shared" si="1462"/>
        <v>213910.02208170155</v>
      </c>
      <c r="AN136" s="16">
        <f t="shared" si="1462"/>
        <v>213910.02208170155</v>
      </c>
      <c r="AO136" s="16">
        <f t="shared" si="1462"/>
        <v>213910.02208170158</v>
      </c>
      <c r="AP136" s="16">
        <f t="shared" si="1462"/>
        <v>224605.52318578667</v>
      </c>
      <c r="AQ136" s="16">
        <f t="shared" si="1462"/>
        <v>224605.52318578665</v>
      </c>
      <c r="AR136" s="16">
        <f t="shared" si="1462"/>
        <v>224605.52318578665</v>
      </c>
      <c r="AS136" s="16">
        <f t="shared" si="1462"/>
        <v>224605.52318578659</v>
      </c>
      <c r="AT136" s="16">
        <f t="shared" si="1462"/>
        <v>235835.799345076</v>
      </c>
      <c r="AU136" s="16">
        <f t="shared" si="1462"/>
        <v>235835.799345076</v>
      </c>
      <c r="AV136" s="16">
        <f t="shared" si="1462"/>
        <v>235835.79934507606</v>
      </c>
      <c r="AW136" s="16">
        <f t="shared" si="1462"/>
        <v>235835.79934507597</v>
      </c>
      <c r="AY136" s="16">
        <f>AY123/AY135*12</f>
        <v>180148.77714285714</v>
      </c>
      <c r="AZ136" s="16">
        <f t="shared" ref="AZ136:CT136" si="1463">AZ123/AZ135*12</f>
        <v>158779.2457142857</v>
      </c>
      <c r="BA136" s="16">
        <f t="shared" si="1463"/>
        <v>154119.13920000001</v>
      </c>
      <c r="BB136" s="16">
        <f t="shared" si="1463"/>
        <v>152990.48639999999</v>
      </c>
      <c r="BC136" s="16">
        <f t="shared" si="1463"/>
        <v>148122.39692307691</v>
      </c>
      <c r="BD136" s="16">
        <f t="shared" si="1463"/>
        <v>139572.71111111113</v>
      </c>
      <c r="BE136" s="16">
        <f t="shared" si="1463"/>
        <v>132673.13379310345</v>
      </c>
      <c r="BF136" s="16">
        <f t="shared" si="1463"/>
        <v>130906.39199999999</v>
      </c>
      <c r="BG136" s="16">
        <f t="shared" si="1463"/>
        <v>147623.23199999996</v>
      </c>
      <c r="BH136" s="16">
        <f t="shared" si="1463"/>
        <v>129928.72499999999</v>
      </c>
      <c r="BI136" s="16">
        <f t="shared" si="1463"/>
        <v>135935.14499999999</v>
      </c>
      <c r="BJ136" s="16">
        <f t="shared" si="1463"/>
        <v>168386.92</v>
      </c>
      <c r="BK136" s="16">
        <f t="shared" si="1463"/>
        <v>173755.995</v>
      </c>
      <c r="BL136" s="16">
        <f t="shared" si="1463"/>
        <v>173326.15764705883</v>
      </c>
      <c r="BM136" s="16">
        <f t="shared" si="1463"/>
        <v>169502.11333333331</v>
      </c>
      <c r="BN136" s="16">
        <f t="shared" si="1463"/>
        <v>159876.65999999997</v>
      </c>
      <c r="BO136" s="16">
        <f t="shared" si="1463"/>
        <v>155632.37999999998</v>
      </c>
      <c r="BP136" s="16">
        <f t="shared" si="1463"/>
        <v>166419.45818181822</v>
      </c>
      <c r="BQ136" s="16">
        <f t="shared" si="1463"/>
        <v>155835.09818181818</v>
      </c>
      <c r="BR136" s="16">
        <f t="shared" si="1463"/>
        <v>158558.99428571429</v>
      </c>
      <c r="BS136" s="16">
        <f t="shared" si="1463"/>
        <v>155579.39428571428</v>
      </c>
      <c r="BT136" s="16">
        <f t="shared" si="1463"/>
        <v>156086.17714285714</v>
      </c>
      <c r="BU136" s="16">
        <f t="shared" si="1463"/>
        <v>154721.43272727274</v>
      </c>
      <c r="BV136" s="16">
        <f t="shared" si="1463"/>
        <v>106468.7472</v>
      </c>
      <c r="BW136" s="16">
        <f t="shared" si="1463"/>
        <v>151360.19999999998</v>
      </c>
      <c r="BX136" s="16">
        <f t="shared" si="1463"/>
        <v>130260.56769230773</v>
      </c>
      <c r="BY136" s="16">
        <f t="shared" si="1463"/>
        <v>190054.47555555557</v>
      </c>
      <c r="BZ136" s="16">
        <f t="shared" si="1463"/>
        <v>160237.34666666668</v>
      </c>
      <c r="CA136" s="16">
        <f t="shared" si="1463"/>
        <v>158686.53333333333</v>
      </c>
      <c r="CB136" s="16">
        <f t="shared" si="1463"/>
        <v>155433.84</v>
      </c>
      <c r="CC136" s="16">
        <f t="shared" si="1463"/>
        <v>161878.03384615385</v>
      </c>
      <c r="CD136" s="16">
        <f t="shared" si="1463"/>
        <v>158946.94222222225</v>
      </c>
      <c r="CE136" s="16">
        <f t="shared" si="1463"/>
        <v>157374.11538461538</v>
      </c>
      <c r="CF136" s="16">
        <f t="shared" si="1463"/>
        <v>127585.86857142858</v>
      </c>
      <c r="CG136" s="16">
        <f t="shared" si="1463"/>
        <v>139147.06344827585</v>
      </c>
      <c r="CH136" s="16">
        <f t="shared" si="1463"/>
        <v>137466.31636363635</v>
      </c>
      <c r="CI136" s="16">
        <f t="shared" si="1463"/>
        <v>174566.55096774193</v>
      </c>
      <c r="CJ136" s="16">
        <f t="shared" si="1463"/>
        <v>178356.03749999998</v>
      </c>
      <c r="CK136" s="16">
        <f t="shared" si="1463"/>
        <v>169676.98628571429</v>
      </c>
      <c r="CL136" s="16">
        <f t="shared" si="1463"/>
        <v>252456.10461538465</v>
      </c>
      <c r="CM136" s="16">
        <f t="shared" si="1463"/>
        <v>204138.33341635915</v>
      </c>
      <c r="CN136" s="16">
        <f t="shared" si="1463"/>
        <v>196476.61036485742</v>
      </c>
      <c r="CO136" s="16">
        <f t="shared" si="1463"/>
        <v>183939.89375846329</v>
      </c>
      <c r="CP136" s="16">
        <f t="shared" si="1463"/>
        <v>180528.2138636008</v>
      </c>
      <c r="CQ136" s="16">
        <f t="shared" si="1463"/>
        <v>177785.07997185225</v>
      </c>
      <c r="CR136" s="16">
        <f t="shared" si="1463"/>
        <v>174256.8717870221</v>
      </c>
      <c r="CS136" s="16">
        <f t="shared" si="1463"/>
        <v>171622.41565291976</v>
      </c>
      <c r="CT136" s="16">
        <f t="shared" si="1463"/>
        <v>175000.29242281592</v>
      </c>
      <c r="CU136" s="90">
        <f t="shared" ref="CU136:FB137" si="1464">INDEX($D136:$L136,1,MATCH(CU$2,$D$2:$L$2,))</f>
        <v>194022.69576571567</v>
      </c>
      <c r="CV136" s="90">
        <f t="shared" si="1464"/>
        <v>194022.69576571567</v>
      </c>
      <c r="CW136" s="90">
        <f t="shared" si="1464"/>
        <v>194022.69576571567</v>
      </c>
      <c r="CX136" s="90">
        <f t="shared" si="1464"/>
        <v>194022.69576571567</v>
      </c>
      <c r="CY136" s="90">
        <f t="shared" si="1464"/>
        <v>194022.69576571567</v>
      </c>
      <c r="CZ136" s="90">
        <f t="shared" si="1464"/>
        <v>194022.69576571567</v>
      </c>
      <c r="DA136" s="90">
        <f t="shared" si="1464"/>
        <v>194022.69576571567</v>
      </c>
      <c r="DB136" s="90">
        <f t="shared" si="1464"/>
        <v>194022.69576571567</v>
      </c>
      <c r="DC136" s="90">
        <f t="shared" si="1464"/>
        <v>194022.69576571567</v>
      </c>
      <c r="DD136" s="90">
        <f t="shared" si="1464"/>
        <v>194022.69576571567</v>
      </c>
      <c r="DE136" s="90">
        <f t="shared" si="1464"/>
        <v>194022.69576571567</v>
      </c>
      <c r="DF136" s="90">
        <f t="shared" si="1464"/>
        <v>194022.69576571567</v>
      </c>
      <c r="DG136" s="90">
        <f t="shared" si="1464"/>
        <v>203723.83055400147</v>
      </c>
      <c r="DH136" s="90">
        <f t="shared" si="1464"/>
        <v>203723.83055400147</v>
      </c>
      <c r="DI136" s="90">
        <f t="shared" si="1464"/>
        <v>203723.83055400147</v>
      </c>
      <c r="DJ136" s="90">
        <f t="shared" si="1464"/>
        <v>203723.83055400147</v>
      </c>
      <c r="DK136" s="90">
        <f t="shared" si="1464"/>
        <v>203723.83055400147</v>
      </c>
      <c r="DL136" s="90">
        <f t="shared" si="1464"/>
        <v>203723.83055400147</v>
      </c>
      <c r="DM136" s="90">
        <f t="shared" si="1464"/>
        <v>203723.83055400147</v>
      </c>
      <c r="DN136" s="90">
        <f t="shared" si="1464"/>
        <v>203723.83055400147</v>
      </c>
      <c r="DO136" s="90">
        <f t="shared" si="1464"/>
        <v>203723.83055400147</v>
      </c>
      <c r="DP136" s="90">
        <f t="shared" si="1464"/>
        <v>203723.83055400147</v>
      </c>
      <c r="DQ136" s="90">
        <f t="shared" si="1464"/>
        <v>203723.83055400147</v>
      </c>
      <c r="DR136" s="90">
        <f t="shared" si="1464"/>
        <v>203723.83055400147</v>
      </c>
      <c r="DS136" s="90">
        <f t="shared" si="1464"/>
        <v>213910.02208170155</v>
      </c>
      <c r="DT136" s="90">
        <f t="shared" si="1464"/>
        <v>213910.02208170155</v>
      </c>
      <c r="DU136" s="90">
        <f t="shared" si="1464"/>
        <v>213910.02208170155</v>
      </c>
      <c r="DV136" s="90">
        <f t="shared" si="1464"/>
        <v>213910.02208170155</v>
      </c>
      <c r="DW136" s="90">
        <f t="shared" si="1464"/>
        <v>213910.02208170155</v>
      </c>
      <c r="DX136" s="90">
        <f t="shared" si="1464"/>
        <v>213910.02208170155</v>
      </c>
      <c r="DY136" s="90">
        <f t="shared" si="1464"/>
        <v>213910.02208170155</v>
      </c>
      <c r="DZ136" s="90">
        <f t="shared" si="1464"/>
        <v>213910.02208170155</v>
      </c>
      <c r="EA136" s="90">
        <f t="shared" si="1464"/>
        <v>213910.02208170155</v>
      </c>
      <c r="EB136" s="90">
        <f t="shared" si="1464"/>
        <v>213910.02208170155</v>
      </c>
      <c r="EC136" s="90">
        <f t="shared" si="1464"/>
        <v>213910.02208170155</v>
      </c>
      <c r="ED136" s="90">
        <f t="shared" si="1464"/>
        <v>213910.02208170155</v>
      </c>
      <c r="EE136" s="90">
        <f t="shared" si="1464"/>
        <v>224605.52318578665</v>
      </c>
      <c r="EF136" s="90">
        <f t="shared" si="1464"/>
        <v>224605.52318578665</v>
      </c>
      <c r="EG136" s="90">
        <f t="shared" si="1464"/>
        <v>224605.52318578665</v>
      </c>
      <c r="EH136" s="90">
        <f t="shared" si="1464"/>
        <v>224605.52318578665</v>
      </c>
      <c r="EI136" s="90">
        <f t="shared" si="1464"/>
        <v>224605.52318578665</v>
      </c>
      <c r="EJ136" s="90">
        <f t="shared" si="1464"/>
        <v>224605.52318578665</v>
      </c>
      <c r="EK136" s="90">
        <f t="shared" si="1464"/>
        <v>224605.52318578665</v>
      </c>
      <c r="EL136" s="90">
        <f t="shared" si="1464"/>
        <v>224605.52318578665</v>
      </c>
      <c r="EM136" s="90">
        <f t="shared" si="1464"/>
        <v>224605.52318578665</v>
      </c>
      <c r="EN136" s="90">
        <f t="shared" si="1464"/>
        <v>224605.52318578665</v>
      </c>
      <c r="EO136" s="90">
        <f t="shared" si="1464"/>
        <v>224605.52318578665</v>
      </c>
      <c r="EP136" s="90">
        <f t="shared" si="1464"/>
        <v>224605.52318578665</v>
      </c>
      <c r="EQ136" s="90">
        <f t="shared" si="1464"/>
        <v>235835.799345076</v>
      </c>
      <c r="ER136" s="90">
        <f t="shared" si="1464"/>
        <v>235835.799345076</v>
      </c>
      <c r="ES136" s="90">
        <f t="shared" si="1464"/>
        <v>235835.799345076</v>
      </c>
      <c r="ET136" s="90">
        <f t="shared" si="1464"/>
        <v>235835.799345076</v>
      </c>
      <c r="EU136" s="90">
        <f t="shared" si="1464"/>
        <v>235835.799345076</v>
      </c>
      <c r="EV136" s="90">
        <f t="shared" si="1464"/>
        <v>235835.799345076</v>
      </c>
      <c r="EW136" s="90">
        <f t="shared" si="1464"/>
        <v>235835.799345076</v>
      </c>
      <c r="EX136" s="90">
        <f t="shared" si="1464"/>
        <v>235835.799345076</v>
      </c>
      <c r="EY136" s="90">
        <f t="shared" si="1464"/>
        <v>235835.799345076</v>
      </c>
      <c r="EZ136" s="90">
        <f t="shared" si="1464"/>
        <v>235835.799345076</v>
      </c>
      <c r="FA136" s="90">
        <f t="shared" si="1464"/>
        <v>235835.799345076</v>
      </c>
      <c r="FB136" s="90">
        <f t="shared" si="1464"/>
        <v>235835.799345076</v>
      </c>
    </row>
    <row r="137" spans="2:158" x14ac:dyDescent="0.25">
      <c r="C137" s="28" t="s">
        <v>542</v>
      </c>
      <c r="D137" s="16">
        <f>D10/D135</f>
        <v>1471573.0529041917</v>
      </c>
      <c r="E137" s="16">
        <f>E10/E135</f>
        <v>2025488.8564390987</v>
      </c>
      <c r="F137" s="16">
        <f>F10/F135</f>
        <v>2434565.9779930189</v>
      </c>
      <c r="G137" s="16">
        <f>G10/G135</f>
        <v>2025140.3402681528</v>
      </c>
      <c r="H137" s="249">
        <f>G137*1.2</f>
        <v>2430168.4083217834</v>
      </c>
      <c r="I137" s="249">
        <f t="shared" ref="I137:L137" si="1465">H137*1.2</f>
        <v>2916202.0899861399</v>
      </c>
      <c r="J137" s="249">
        <f t="shared" si="1465"/>
        <v>3499442.5079833679</v>
      </c>
      <c r="K137" s="249">
        <f t="shared" si="1465"/>
        <v>4199331.0095800413</v>
      </c>
      <c r="L137" s="249">
        <f t="shared" si="1465"/>
        <v>5039197.2114960495</v>
      </c>
      <c r="N137" s="16">
        <f t="shared" ref="N137:AW137" si="1466">N10/N135</f>
        <v>1297726.6698507464</v>
      </c>
      <c r="O137" s="16">
        <f t="shared" si="1466"/>
        <v>1397688.0643589741</v>
      </c>
      <c r="P137" s="16">
        <f t="shared" si="1466"/>
        <v>1483339.427640449</v>
      </c>
      <c r="Q137" s="16">
        <f t="shared" si="1466"/>
        <v>1635208.3470999997</v>
      </c>
      <c r="R137" s="16">
        <f t="shared" si="1466"/>
        <v>1916600.1973529411</v>
      </c>
      <c r="S137" s="16">
        <f t="shared" si="1466"/>
        <v>1814665.6141406249</v>
      </c>
      <c r="T137" s="16">
        <f t="shared" si="1466"/>
        <v>2092974.439921875</v>
      </c>
      <c r="U137" s="16">
        <f t="shared" si="1466"/>
        <v>2242061.3825802566</v>
      </c>
      <c r="V137" s="16">
        <f t="shared" si="1466"/>
        <v>2210679.4974593772</v>
      </c>
      <c r="W137" s="16">
        <f t="shared" si="1466"/>
        <v>2334253.64516368</v>
      </c>
      <c r="X137" s="16">
        <f t="shared" si="1466"/>
        <v>2618407.8271732139</v>
      </c>
      <c r="Y137" s="16">
        <f t="shared" si="1466"/>
        <v>2556395.1560234153</v>
      </c>
      <c r="Z137" s="16">
        <f t="shared" si="1466"/>
        <v>2601166.3762143971</v>
      </c>
      <c r="AA137" s="16">
        <f t="shared" si="1466"/>
        <v>2118024.509924992</v>
      </c>
      <c r="AB137" s="16">
        <f t="shared" si="1466"/>
        <v>1893749.6285994183</v>
      </c>
      <c r="AC137" s="16">
        <f t="shared" si="1466"/>
        <v>1803619.6328531965</v>
      </c>
      <c r="AD137" s="16">
        <f t="shared" si="1466"/>
        <v>1966647.0175464165</v>
      </c>
      <c r="AE137" s="16">
        <f t="shared" si="1466"/>
        <v>2181229.0038737981</v>
      </c>
      <c r="AF137" s="16">
        <f t="shared" si="1466"/>
        <v>2396008.260816738</v>
      </c>
      <c r="AG137" s="16">
        <f t="shared" si="1466"/>
        <v>2430168.4083217839</v>
      </c>
      <c r="AH137" s="16">
        <f t="shared" si="1466"/>
        <v>2584296.8991265264</v>
      </c>
      <c r="AI137" s="16">
        <f t="shared" si="1466"/>
        <v>2842109.804914678</v>
      </c>
      <c r="AJ137" s="16">
        <f t="shared" si="1466"/>
        <v>2916202.0899861408</v>
      </c>
      <c r="AK137" s="16">
        <f t="shared" si="1466"/>
        <v>2916202.0899861394</v>
      </c>
      <c r="AL137" s="16">
        <f t="shared" si="1466"/>
        <v>3089802.5256792768</v>
      </c>
      <c r="AM137" s="16">
        <f t="shared" si="1466"/>
        <v>3394360.4143954623</v>
      </c>
      <c r="AN137" s="16">
        <f t="shared" si="1466"/>
        <v>3499442.5079833679</v>
      </c>
      <c r="AO137" s="16">
        <f t="shared" si="1466"/>
        <v>3499442.5079833679</v>
      </c>
      <c r="AP137" s="16">
        <f t="shared" si="1466"/>
        <v>3699432.3801305913</v>
      </c>
      <c r="AQ137" s="16">
        <f t="shared" si="1466"/>
        <v>4057759.807731933</v>
      </c>
      <c r="AR137" s="16">
        <f t="shared" si="1466"/>
        <v>4199331.0095800422</v>
      </c>
      <c r="AS137" s="16">
        <f t="shared" si="1466"/>
        <v>4199331.0095800413</v>
      </c>
      <c r="AT137" s="16">
        <f t="shared" si="1466"/>
        <v>4429339.7991989395</v>
      </c>
      <c r="AU137" s="16">
        <f t="shared" si="1466"/>
        <v>4845092.5323792258</v>
      </c>
      <c r="AV137" s="16">
        <f t="shared" si="1466"/>
        <v>5039197.2114960495</v>
      </c>
      <c r="AW137" s="16">
        <f t="shared" si="1466"/>
        <v>5039197.2114960486</v>
      </c>
      <c r="AY137" s="16">
        <f t="shared" ref="AY137:CT137" si="1467">AY10/AY135</f>
        <v>1304674.6914285708</v>
      </c>
      <c r="AZ137" s="16">
        <f t="shared" si="1467"/>
        <v>1346991.8490476189</v>
      </c>
      <c r="BA137" s="16">
        <f t="shared" si="1467"/>
        <v>1250507.5812000001</v>
      </c>
      <c r="BB137" s="16">
        <f t="shared" si="1467"/>
        <v>1353450.8332</v>
      </c>
      <c r="BC137" s="16">
        <f t="shared" si="1467"/>
        <v>1382324.4580769229</v>
      </c>
      <c r="BD137" s="16">
        <f t="shared" si="1467"/>
        <v>1453443.0474074071</v>
      </c>
      <c r="BE137" s="16">
        <f t="shared" si="1467"/>
        <v>1438531.0920689653</v>
      </c>
      <c r="BF137" s="16">
        <f t="shared" si="1467"/>
        <v>1449577.593333333</v>
      </c>
      <c r="BG137" s="16">
        <f t="shared" si="1467"/>
        <v>1560415.986333333</v>
      </c>
      <c r="BH137" s="16">
        <f t="shared" si="1467"/>
        <v>1567877.9403124996</v>
      </c>
      <c r="BI137" s="16">
        <f t="shared" si="1467"/>
        <v>1688871.5290624998</v>
      </c>
      <c r="BJ137" s="16">
        <f t="shared" si="1467"/>
        <v>1647356.9913888888</v>
      </c>
      <c r="BK137" s="16">
        <f t="shared" si="1467"/>
        <v>1951879.5346874997</v>
      </c>
      <c r="BL137" s="16">
        <f t="shared" si="1467"/>
        <v>1893224.6929411762</v>
      </c>
      <c r="BM137" s="16">
        <f t="shared" si="1467"/>
        <v>1907317.6516666664</v>
      </c>
      <c r="BN137" s="16">
        <f t="shared" si="1467"/>
        <v>1821292.3019999997</v>
      </c>
      <c r="BO137" s="16">
        <f t="shared" si="1467"/>
        <v>1747307.7095454545</v>
      </c>
      <c r="BP137" s="16">
        <f t="shared" si="1467"/>
        <v>1875999.2570454546</v>
      </c>
      <c r="BQ137" s="16">
        <f t="shared" si="1467"/>
        <v>1962979.3277272724</v>
      </c>
      <c r="BR137" s="16">
        <f t="shared" si="1467"/>
        <v>2109435.1307142857</v>
      </c>
      <c r="BS137" s="16">
        <f t="shared" si="1467"/>
        <v>2212699.104761905</v>
      </c>
      <c r="BT137" s="16">
        <f t="shared" si="1467"/>
        <v>2304997.6709523806</v>
      </c>
      <c r="BU137" s="16">
        <f t="shared" si="1467"/>
        <v>2283699.4881818173</v>
      </c>
      <c r="BV137" s="16">
        <f t="shared" si="1467"/>
        <v>2152553.3674182994</v>
      </c>
      <c r="BW137" s="16">
        <f t="shared" si="1467"/>
        <v>2248094.527199999</v>
      </c>
      <c r="BX137" s="16">
        <f t="shared" si="1467"/>
        <v>2203614.1968307872</v>
      </c>
      <c r="BY137" s="16">
        <f t="shared" si="1467"/>
        <v>2182839.5742307766</v>
      </c>
      <c r="BZ137" s="16">
        <f t="shared" si="1467"/>
        <v>2239724.2446642211</v>
      </c>
      <c r="CA137" s="16">
        <f t="shared" si="1467"/>
        <v>2287171.8472988508</v>
      </c>
      <c r="CB137" s="16">
        <f t="shared" si="1467"/>
        <v>2481311.428080441</v>
      </c>
      <c r="CC137" s="16">
        <f t="shared" si="1467"/>
        <v>2568252.8159072865</v>
      </c>
      <c r="CD137" s="16">
        <f t="shared" si="1467"/>
        <v>2536438.3209998319</v>
      </c>
      <c r="CE137" s="16">
        <f t="shared" si="1467"/>
        <v>2753685.0179268834</v>
      </c>
      <c r="CF137" s="16">
        <f t="shared" si="1467"/>
        <v>2639573.3268956235</v>
      </c>
      <c r="CG137" s="16">
        <f t="shared" si="1467"/>
        <v>2624108.2952014813</v>
      </c>
      <c r="CH137" s="16">
        <f t="shared" si="1467"/>
        <v>2426314.2523693019</v>
      </c>
      <c r="CI137" s="16">
        <f t="shared" si="1467"/>
        <v>2677787.3291436438</v>
      </c>
      <c r="CJ137" s="16">
        <f t="shared" si="1467"/>
        <v>2636909.3534610299</v>
      </c>
      <c r="CK137" s="16">
        <f t="shared" si="1467"/>
        <v>2500622.8101372845</v>
      </c>
      <c r="CL137" s="16">
        <f t="shared" si="1467"/>
        <v>2330152.3118577814</v>
      </c>
      <c r="CM137" s="16">
        <f t="shared" si="1467"/>
        <v>2039323.0103460643</v>
      </c>
      <c r="CN137" s="16">
        <f t="shared" si="1467"/>
        <v>2023071.1365627851</v>
      </c>
      <c r="CO137" s="16">
        <f t="shared" si="1467"/>
        <v>1957586.5518908042</v>
      </c>
      <c r="CP137" s="16">
        <f t="shared" si="1467"/>
        <v>1889067.0235923084</v>
      </c>
      <c r="CQ137" s="16">
        <f t="shared" si="1467"/>
        <v>1843484.3310342859</v>
      </c>
      <c r="CR137" s="16">
        <f t="shared" si="1467"/>
        <v>1803619.7327859348</v>
      </c>
      <c r="CS137" s="16">
        <f t="shared" si="1467"/>
        <v>1775069.596391124</v>
      </c>
      <c r="CT137" s="16">
        <f t="shared" si="1467"/>
        <v>1830996.2897954485</v>
      </c>
      <c r="CU137" s="90">
        <f t="shared" si="1464"/>
        <v>2430168.4083217834</v>
      </c>
      <c r="CV137" s="90">
        <f t="shared" si="1464"/>
        <v>2430168.4083217834</v>
      </c>
      <c r="CW137" s="90">
        <f t="shared" si="1464"/>
        <v>2430168.4083217834</v>
      </c>
      <c r="CX137" s="90">
        <f t="shared" si="1464"/>
        <v>2430168.4083217834</v>
      </c>
      <c r="CY137" s="90">
        <f t="shared" si="1464"/>
        <v>2430168.4083217834</v>
      </c>
      <c r="CZ137" s="90">
        <f t="shared" si="1464"/>
        <v>2430168.4083217834</v>
      </c>
      <c r="DA137" s="90">
        <f t="shared" si="1464"/>
        <v>2430168.4083217834</v>
      </c>
      <c r="DB137" s="90">
        <f t="shared" si="1464"/>
        <v>2430168.4083217834</v>
      </c>
      <c r="DC137" s="90">
        <f t="shared" si="1464"/>
        <v>2430168.4083217834</v>
      </c>
      <c r="DD137" s="90">
        <f t="shared" si="1464"/>
        <v>2430168.4083217834</v>
      </c>
      <c r="DE137" s="90">
        <f t="shared" si="1464"/>
        <v>2430168.4083217834</v>
      </c>
      <c r="DF137" s="90">
        <f t="shared" si="1464"/>
        <v>2430168.4083217834</v>
      </c>
      <c r="DG137" s="90">
        <f t="shared" si="1464"/>
        <v>2916202.0899861399</v>
      </c>
      <c r="DH137" s="90">
        <f t="shared" si="1464"/>
        <v>2916202.0899861399</v>
      </c>
      <c r="DI137" s="90">
        <f t="shared" si="1464"/>
        <v>2916202.0899861399</v>
      </c>
      <c r="DJ137" s="90">
        <f t="shared" si="1464"/>
        <v>2916202.0899861399</v>
      </c>
      <c r="DK137" s="90">
        <f t="shared" si="1464"/>
        <v>2916202.0899861399</v>
      </c>
      <c r="DL137" s="90">
        <f t="shared" si="1464"/>
        <v>2916202.0899861399</v>
      </c>
      <c r="DM137" s="90">
        <f t="shared" si="1464"/>
        <v>2916202.0899861399</v>
      </c>
      <c r="DN137" s="90">
        <f t="shared" si="1464"/>
        <v>2916202.0899861399</v>
      </c>
      <c r="DO137" s="90">
        <f t="shared" si="1464"/>
        <v>2916202.0899861399</v>
      </c>
      <c r="DP137" s="90">
        <f t="shared" si="1464"/>
        <v>2916202.0899861399</v>
      </c>
      <c r="DQ137" s="90">
        <f t="shared" si="1464"/>
        <v>2916202.0899861399</v>
      </c>
      <c r="DR137" s="90">
        <f t="shared" si="1464"/>
        <v>2916202.0899861399</v>
      </c>
      <c r="DS137" s="90">
        <f t="shared" si="1464"/>
        <v>3499442.5079833679</v>
      </c>
      <c r="DT137" s="90">
        <f t="shared" si="1464"/>
        <v>3499442.5079833679</v>
      </c>
      <c r="DU137" s="90">
        <f t="shared" si="1464"/>
        <v>3499442.5079833679</v>
      </c>
      <c r="DV137" s="90">
        <f t="shared" si="1464"/>
        <v>3499442.5079833679</v>
      </c>
      <c r="DW137" s="90">
        <f t="shared" si="1464"/>
        <v>3499442.5079833679</v>
      </c>
      <c r="DX137" s="90">
        <f t="shared" si="1464"/>
        <v>3499442.5079833679</v>
      </c>
      <c r="DY137" s="90">
        <f t="shared" si="1464"/>
        <v>3499442.5079833679</v>
      </c>
      <c r="DZ137" s="90">
        <f t="shared" si="1464"/>
        <v>3499442.5079833679</v>
      </c>
      <c r="EA137" s="90">
        <f t="shared" si="1464"/>
        <v>3499442.5079833679</v>
      </c>
      <c r="EB137" s="90">
        <f t="shared" si="1464"/>
        <v>3499442.5079833679</v>
      </c>
      <c r="EC137" s="90">
        <f t="shared" si="1464"/>
        <v>3499442.5079833679</v>
      </c>
      <c r="ED137" s="90">
        <f t="shared" si="1464"/>
        <v>3499442.5079833679</v>
      </c>
      <c r="EE137" s="90">
        <f t="shared" si="1464"/>
        <v>4199331.0095800413</v>
      </c>
      <c r="EF137" s="90">
        <f t="shared" si="1464"/>
        <v>4199331.0095800413</v>
      </c>
      <c r="EG137" s="90">
        <f t="shared" si="1464"/>
        <v>4199331.0095800413</v>
      </c>
      <c r="EH137" s="90">
        <f t="shared" si="1464"/>
        <v>4199331.0095800413</v>
      </c>
      <c r="EI137" s="90">
        <f t="shared" si="1464"/>
        <v>4199331.0095800413</v>
      </c>
      <c r="EJ137" s="90">
        <f t="shared" si="1464"/>
        <v>4199331.0095800413</v>
      </c>
      <c r="EK137" s="90">
        <f t="shared" si="1464"/>
        <v>4199331.0095800413</v>
      </c>
      <c r="EL137" s="90">
        <f t="shared" si="1464"/>
        <v>4199331.0095800413</v>
      </c>
      <c r="EM137" s="90">
        <f t="shared" si="1464"/>
        <v>4199331.0095800413</v>
      </c>
      <c r="EN137" s="90">
        <f t="shared" si="1464"/>
        <v>4199331.0095800413</v>
      </c>
      <c r="EO137" s="90">
        <f t="shared" si="1464"/>
        <v>4199331.0095800413</v>
      </c>
      <c r="EP137" s="90">
        <f t="shared" si="1464"/>
        <v>4199331.0095800413</v>
      </c>
      <c r="EQ137" s="90">
        <f t="shared" si="1464"/>
        <v>5039197.2114960495</v>
      </c>
      <c r="ER137" s="90">
        <f t="shared" si="1464"/>
        <v>5039197.2114960495</v>
      </c>
      <c r="ES137" s="90">
        <f t="shared" si="1464"/>
        <v>5039197.2114960495</v>
      </c>
      <c r="ET137" s="90">
        <f t="shared" si="1464"/>
        <v>5039197.2114960495</v>
      </c>
      <c r="EU137" s="90">
        <f t="shared" si="1464"/>
        <v>5039197.2114960495</v>
      </c>
      <c r="EV137" s="90">
        <f t="shared" si="1464"/>
        <v>5039197.2114960495</v>
      </c>
      <c r="EW137" s="90">
        <f t="shared" si="1464"/>
        <v>5039197.2114960495</v>
      </c>
      <c r="EX137" s="90">
        <f t="shared" si="1464"/>
        <v>5039197.2114960495</v>
      </c>
      <c r="EY137" s="90">
        <f t="shared" si="1464"/>
        <v>5039197.2114960495</v>
      </c>
      <c r="EZ137" s="90">
        <f t="shared" si="1464"/>
        <v>5039197.2114960495</v>
      </c>
      <c r="FA137" s="90">
        <f t="shared" si="1464"/>
        <v>5039197.2114960495</v>
      </c>
      <c r="FB137" s="90">
        <f t="shared" si="1464"/>
        <v>5039197.2114960495</v>
      </c>
    </row>
    <row r="139" spans="2:158" x14ac:dyDescent="0.25">
      <c r="C139" t="s">
        <v>546</v>
      </c>
      <c r="D139" s="16">
        <f>BJ139</f>
        <v>9</v>
      </c>
      <c r="E139" s="16">
        <f>BV139</f>
        <v>18</v>
      </c>
      <c r="F139" s="16">
        <f>CH139</f>
        <v>22</v>
      </c>
      <c r="G139" s="16">
        <f>CT139</f>
        <v>49</v>
      </c>
      <c r="H139" s="55">
        <f>DF139</f>
        <v>53.626605236214751</v>
      </c>
      <c r="I139" s="55">
        <f>DR139</f>
        <v>65.646545489346835</v>
      </c>
      <c r="J139" s="55">
        <f>ED139</f>
        <v>70.232563244688251</v>
      </c>
      <c r="K139" s="55">
        <f>EP139</f>
        <v>79.208317250736584</v>
      </c>
      <c r="L139" s="55">
        <f>FB139</f>
        <v>90.078741977024052</v>
      </c>
      <c r="N139" s="16">
        <f>BA139</f>
        <v>5</v>
      </c>
      <c r="O139" s="16">
        <f t="shared" ref="O139" si="1468">BD139</f>
        <v>6</v>
      </c>
      <c r="P139" s="16">
        <f t="shared" ref="P139" si="1469">BG139</f>
        <v>8</v>
      </c>
      <c r="Q139" s="16">
        <f t="shared" ref="Q139" si="1470">BJ139</f>
        <v>9</v>
      </c>
      <c r="R139" s="16">
        <f t="shared" ref="R139" si="1471">BM139</f>
        <v>16</v>
      </c>
      <c r="S139" s="16">
        <f t="shared" ref="S139" si="1472">BP139</f>
        <v>17</v>
      </c>
      <c r="T139" s="16">
        <f t="shared" ref="T139" si="1473">BS139</f>
        <v>15</v>
      </c>
      <c r="U139" s="16">
        <f t="shared" ref="U139" si="1474">BV139</f>
        <v>18</v>
      </c>
      <c r="V139" s="16">
        <f t="shared" ref="V139" si="1475">BY139</f>
        <v>19</v>
      </c>
      <c r="W139" s="16">
        <f t="shared" ref="W139" si="1476">CB139</f>
        <v>18</v>
      </c>
      <c r="X139" s="16">
        <f t="shared" ref="X139" si="1477">CE139</f>
        <v>18</v>
      </c>
      <c r="Y139" s="16">
        <f t="shared" ref="Y139" si="1478">CH139</f>
        <v>22</v>
      </c>
      <c r="Z139" s="16">
        <f t="shared" ref="Z139" si="1479">CK139</f>
        <v>32</v>
      </c>
      <c r="AA139" s="16">
        <f t="shared" ref="AA139" si="1480">CN139</f>
        <v>42</v>
      </c>
      <c r="AB139" s="16">
        <f t="shared" ref="AB139" si="1481">CQ139</f>
        <v>45</v>
      </c>
      <c r="AC139" s="16">
        <f t="shared" ref="AC139" si="1482">CT139</f>
        <v>49</v>
      </c>
      <c r="AD139" s="16">
        <f t="shared" ref="AD139" si="1483">CW139</f>
        <v>49</v>
      </c>
      <c r="AE139" s="16">
        <f t="shared" ref="AE139" si="1484">CZ139</f>
        <v>49</v>
      </c>
      <c r="AF139" s="16">
        <f t="shared" ref="AF139" si="1485">DC139</f>
        <v>49.029703730713301</v>
      </c>
      <c r="AG139" s="16">
        <f t="shared" ref="AG139" si="1486">DF139</f>
        <v>53.626605236214751</v>
      </c>
      <c r="AH139" s="16">
        <f t="shared" ref="AH139" si="1487">DI139</f>
        <v>53.626605236214751</v>
      </c>
      <c r="AI139" s="16">
        <f t="shared" ref="AI139" si="1488">DL139</f>
        <v>54.263116080167215</v>
      </c>
      <c r="AJ139" s="16">
        <f t="shared" ref="AJ139" si="1489">DO139</f>
        <v>58.943758376555415</v>
      </c>
      <c r="AK139" s="16">
        <f t="shared" ref="AK139" si="1490">DR139</f>
        <v>65.646545489346835</v>
      </c>
      <c r="AL139" s="16">
        <f t="shared" ref="AL139" si="1491">DU139</f>
        <v>65.646545489346835</v>
      </c>
      <c r="AM139" s="16">
        <f t="shared" ref="AM139" si="1492">DX139</f>
        <v>65.646545489346835</v>
      </c>
      <c r="AN139" s="16">
        <f t="shared" ref="AN139" si="1493">EA139</f>
        <v>65.646545489346835</v>
      </c>
      <c r="AO139" s="16">
        <f t="shared" ref="AO139" si="1494">ED139</f>
        <v>70.232563244688251</v>
      </c>
      <c r="AP139" s="16">
        <f t="shared" ref="AP139" si="1495">EG139</f>
        <v>70.232563244688251</v>
      </c>
      <c r="AQ139" s="16">
        <f t="shared" ref="AQ139" si="1496">EJ139</f>
        <v>70.232563244688251</v>
      </c>
      <c r="AR139" s="16">
        <f t="shared" ref="AR139" si="1497">EM139</f>
        <v>72.21264457233589</v>
      </c>
      <c r="AS139" s="16">
        <f t="shared" ref="AS139" si="1498">EP139</f>
        <v>79.208317250736584</v>
      </c>
      <c r="AT139" s="16">
        <f t="shared" ref="AT139" si="1499">ES139</f>
        <v>79.208317250736584</v>
      </c>
      <c r="AU139" s="16">
        <f t="shared" ref="AU139" si="1500">EV139</f>
        <v>79.208317250736584</v>
      </c>
      <c r="AV139" s="16">
        <f t="shared" ref="AV139" si="1501">EY139</f>
        <v>82.136213198574893</v>
      </c>
      <c r="AW139" s="16">
        <f t="shared" ref="AW139" si="1502">FB139</f>
        <v>90.078741977024052</v>
      </c>
      <c r="AY139" s="16">
        <f>AY140</f>
        <v>5</v>
      </c>
      <c r="AZ139" s="16">
        <f t="shared" ref="AZ139:CT139" si="1503">AZ140</f>
        <v>5</v>
      </c>
      <c r="BA139" s="16">
        <f t="shared" si="1503"/>
        <v>5</v>
      </c>
      <c r="BB139" s="16">
        <f t="shared" si="1503"/>
        <v>5</v>
      </c>
      <c r="BC139" s="16">
        <f t="shared" si="1503"/>
        <v>5</v>
      </c>
      <c r="BD139" s="16">
        <f t="shared" si="1503"/>
        <v>6</v>
      </c>
      <c r="BE139" s="16">
        <f t="shared" si="1503"/>
        <v>7</v>
      </c>
      <c r="BF139" s="16">
        <f t="shared" si="1503"/>
        <v>8</v>
      </c>
      <c r="BG139" s="16">
        <f t="shared" si="1503"/>
        <v>8</v>
      </c>
      <c r="BH139" s="16">
        <f t="shared" si="1503"/>
        <v>8</v>
      </c>
      <c r="BI139" s="16">
        <f t="shared" si="1503"/>
        <v>8</v>
      </c>
      <c r="BJ139" s="16">
        <f t="shared" si="1503"/>
        <v>9</v>
      </c>
      <c r="BK139" s="16">
        <f t="shared" si="1503"/>
        <v>14</v>
      </c>
      <c r="BL139" s="16">
        <f t="shared" si="1503"/>
        <v>14</v>
      </c>
      <c r="BM139" s="16">
        <f t="shared" si="1503"/>
        <v>16</v>
      </c>
      <c r="BN139" s="16">
        <f t="shared" si="1503"/>
        <v>16</v>
      </c>
      <c r="BO139" s="16">
        <f t="shared" si="1503"/>
        <v>16</v>
      </c>
      <c r="BP139" s="16">
        <f t="shared" si="1503"/>
        <v>17</v>
      </c>
      <c r="BQ139" s="16">
        <f t="shared" si="1503"/>
        <v>15</v>
      </c>
      <c r="BR139" s="16">
        <f t="shared" si="1503"/>
        <v>15</v>
      </c>
      <c r="BS139" s="16">
        <f t="shared" si="1503"/>
        <v>15</v>
      </c>
      <c r="BT139" s="16">
        <f t="shared" si="1503"/>
        <v>18</v>
      </c>
      <c r="BU139" s="16">
        <f t="shared" si="1503"/>
        <v>18</v>
      </c>
      <c r="BV139" s="16">
        <f t="shared" si="1503"/>
        <v>18</v>
      </c>
      <c r="BW139" s="16">
        <f t="shared" si="1503"/>
        <v>19</v>
      </c>
      <c r="BX139" s="16">
        <f t="shared" si="1503"/>
        <v>18</v>
      </c>
      <c r="BY139" s="16">
        <f t="shared" si="1503"/>
        <v>19</v>
      </c>
      <c r="BZ139" s="16">
        <f t="shared" si="1503"/>
        <v>18</v>
      </c>
      <c r="CA139" s="16">
        <f t="shared" si="1503"/>
        <v>18</v>
      </c>
      <c r="CB139" s="16">
        <f t="shared" si="1503"/>
        <v>18</v>
      </c>
      <c r="CC139" s="16">
        <f t="shared" si="1503"/>
        <v>18</v>
      </c>
      <c r="CD139" s="16">
        <f t="shared" si="1503"/>
        <v>18</v>
      </c>
      <c r="CE139" s="16">
        <f t="shared" si="1503"/>
        <v>18</v>
      </c>
      <c r="CF139" s="16">
        <f t="shared" si="1503"/>
        <v>18</v>
      </c>
      <c r="CG139" s="16">
        <f t="shared" si="1503"/>
        <v>19</v>
      </c>
      <c r="CH139" s="16">
        <f t="shared" si="1503"/>
        <v>22</v>
      </c>
      <c r="CI139" s="16">
        <f t="shared" si="1503"/>
        <v>26</v>
      </c>
      <c r="CJ139" s="16">
        <f t="shared" si="1503"/>
        <v>30</v>
      </c>
      <c r="CK139" s="16">
        <f t="shared" si="1503"/>
        <v>32</v>
      </c>
      <c r="CL139" s="16">
        <f t="shared" si="1503"/>
        <v>37</v>
      </c>
      <c r="CM139" s="16">
        <f t="shared" si="1503"/>
        <v>40</v>
      </c>
      <c r="CN139" s="16">
        <f t="shared" si="1503"/>
        <v>42</v>
      </c>
      <c r="CO139" s="16">
        <f t="shared" si="1503"/>
        <v>44</v>
      </c>
      <c r="CP139" s="16">
        <f t="shared" si="1503"/>
        <v>45</v>
      </c>
      <c r="CQ139" s="16">
        <f t="shared" si="1503"/>
        <v>45</v>
      </c>
      <c r="CR139" s="16">
        <f t="shared" si="1503"/>
        <v>48</v>
      </c>
      <c r="CS139" s="16">
        <f t="shared" si="1503"/>
        <v>49</v>
      </c>
      <c r="CT139" s="16">
        <f t="shared" si="1503"/>
        <v>49</v>
      </c>
      <c r="CU139" s="16">
        <f>CU140</f>
        <v>49</v>
      </c>
      <c r="CV139" s="16">
        <f t="shared" ref="CV139:FB139" si="1504">CV140</f>
        <v>49</v>
      </c>
      <c r="CW139" s="16">
        <f t="shared" si="1504"/>
        <v>49</v>
      </c>
      <c r="CX139" s="16">
        <f t="shared" si="1504"/>
        <v>49</v>
      </c>
      <c r="CY139" s="16">
        <f t="shared" si="1504"/>
        <v>49</v>
      </c>
      <c r="CZ139" s="16">
        <f t="shared" si="1504"/>
        <v>49</v>
      </c>
      <c r="DA139" s="16">
        <f t="shared" si="1504"/>
        <v>49</v>
      </c>
      <c r="DB139" s="16">
        <f t="shared" si="1504"/>
        <v>49</v>
      </c>
      <c r="DC139" s="16">
        <f t="shared" si="1504"/>
        <v>49.029703730713301</v>
      </c>
      <c r="DD139" s="16">
        <f t="shared" si="1504"/>
        <v>50.29070625084902</v>
      </c>
      <c r="DE139" s="16">
        <f t="shared" si="1504"/>
        <v>51.621005333126156</v>
      </c>
      <c r="DF139" s="16">
        <f t="shared" si="1504"/>
        <v>53.626605236214751</v>
      </c>
      <c r="DG139" s="16">
        <f t="shared" si="1504"/>
        <v>53.626605236214751</v>
      </c>
      <c r="DH139" s="16">
        <f t="shared" si="1504"/>
        <v>53.626605236214751</v>
      </c>
      <c r="DI139" s="16">
        <f t="shared" si="1504"/>
        <v>53.626605236214751</v>
      </c>
      <c r="DJ139" s="16">
        <f t="shared" si="1504"/>
        <v>53.626605236214751</v>
      </c>
      <c r="DK139" s="16">
        <f t="shared" si="1504"/>
        <v>53.626605236214751</v>
      </c>
      <c r="DL139" s="16">
        <f t="shared" si="1504"/>
        <v>54.263116080167215</v>
      </c>
      <c r="DM139" s="16">
        <f t="shared" si="1504"/>
        <v>55.262723866330383</v>
      </c>
      <c r="DN139" s="16">
        <f t="shared" si="1504"/>
        <v>56.791739694470685</v>
      </c>
      <c r="DO139" s="16">
        <f t="shared" si="1504"/>
        <v>58.943758376555415</v>
      </c>
      <c r="DP139" s="16">
        <f t="shared" si="1504"/>
        <v>60.903512181712721</v>
      </c>
      <c r="DQ139" s="16">
        <f t="shared" si="1504"/>
        <v>62.894319566004611</v>
      </c>
      <c r="DR139" s="16">
        <f t="shared" si="1504"/>
        <v>65.646545489346835</v>
      </c>
      <c r="DS139" s="16">
        <f t="shared" si="1504"/>
        <v>65.646545489346835</v>
      </c>
      <c r="DT139" s="16">
        <f t="shared" si="1504"/>
        <v>65.646545489346835</v>
      </c>
      <c r="DU139" s="16">
        <f t="shared" si="1504"/>
        <v>65.646545489346835</v>
      </c>
      <c r="DV139" s="16">
        <f t="shared" si="1504"/>
        <v>65.646545489346835</v>
      </c>
      <c r="DW139" s="16">
        <f t="shared" si="1504"/>
        <v>65.646545489346835</v>
      </c>
      <c r="DX139" s="16">
        <f t="shared" si="1504"/>
        <v>65.646545489346835</v>
      </c>
      <c r="DY139" s="16">
        <f t="shared" si="1504"/>
        <v>65.646545489346835</v>
      </c>
      <c r="DZ139" s="16">
        <f t="shared" si="1504"/>
        <v>65.646545489346835</v>
      </c>
      <c r="EA139" s="16">
        <f t="shared" si="1504"/>
        <v>65.646545489346835</v>
      </c>
      <c r="EB139" s="16">
        <f t="shared" si="1504"/>
        <v>66.274536606596158</v>
      </c>
      <c r="EC139" s="16">
        <f t="shared" si="1504"/>
        <v>67.840084317749842</v>
      </c>
      <c r="ED139" s="16">
        <f t="shared" si="1504"/>
        <v>70.232563244688251</v>
      </c>
      <c r="EE139" s="16">
        <f t="shared" si="1504"/>
        <v>70.232563244688251</v>
      </c>
      <c r="EF139" s="16">
        <f t="shared" si="1504"/>
        <v>70.232563244688251</v>
      </c>
      <c r="EG139" s="16">
        <f t="shared" si="1504"/>
        <v>70.232563244688251</v>
      </c>
      <c r="EH139" s="16">
        <f t="shared" si="1504"/>
        <v>70.232563244688251</v>
      </c>
      <c r="EI139" s="16">
        <f t="shared" si="1504"/>
        <v>70.232563244688251</v>
      </c>
      <c r="EJ139" s="16">
        <f t="shared" si="1504"/>
        <v>70.232563244688251</v>
      </c>
      <c r="EK139" s="16">
        <f t="shared" si="1504"/>
        <v>70.232563244688251</v>
      </c>
      <c r="EL139" s="16">
        <f t="shared" si="1504"/>
        <v>70.232563244688251</v>
      </c>
      <c r="EM139" s="16">
        <f t="shared" si="1504"/>
        <v>72.21264457233589</v>
      </c>
      <c r="EN139" s="16">
        <f t="shared" si="1504"/>
        <v>74.225626175163939</v>
      </c>
      <c r="EO139" s="16">
        <f t="shared" si="1504"/>
        <v>76.274091730360468</v>
      </c>
      <c r="EP139" s="16">
        <f t="shared" si="1504"/>
        <v>79.208317250736584</v>
      </c>
      <c r="EQ139" s="16">
        <f t="shared" si="1504"/>
        <v>79.208317250736584</v>
      </c>
      <c r="ER139" s="16">
        <f t="shared" si="1504"/>
        <v>79.208317250736584</v>
      </c>
      <c r="ES139" s="16">
        <f t="shared" si="1504"/>
        <v>79.208317250736584</v>
      </c>
      <c r="ET139" s="16">
        <f t="shared" si="1504"/>
        <v>79.208317250736584</v>
      </c>
      <c r="EU139" s="16">
        <f t="shared" si="1504"/>
        <v>79.208317250736584</v>
      </c>
      <c r="EV139" s="16">
        <f t="shared" si="1504"/>
        <v>79.208317250736584</v>
      </c>
      <c r="EW139" s="16">
        <f t="shared" si="1504"/>
        <v>79.208317250736584</v>
      </c>
      <c r="EX139" s="16">
        <f t="shared" si="1504"/>
        <v>79.584342207178807</v>
      </c>
      <c r="EY139" s="16">
        <f t="shared" si="1504"/>
        <v>82.136213198574893</v>
      </c>
      <c r="EZ139" s="16">
        <f t="shared" si="1504"/>
        <v>84.450579724072284</v>
      </c>
      <c r="FA139" s="16">
        <f t="shared" si="1504"/>
        <v>86.800858618636468</v>
      </c>
      <c r="FB139" s="16">
        <f t="shared" si="1504"/>
        <v>90.078741977024052</v>
      </c>
    </row>
    <row r="140" spans="2:158" x14ac:dyDescent="0.25">
      <c r="C140" t="s">
        <v>547</v>
      </c>
      <c r="D140" s="16">
        <f>AVERAGE(AY140:BJ140)</f>
        <v>6.583333333333333</v>
      </c>
      <c r="E140" s="16">
        <f>AVERAGE(BK140:BV140)</f>
        <v>16</v>
      </c>
      <c r="F140" s="16">
        <f>AVERAGE(BW140:CH140)</f>
        <v>18.583333333333332</v>
      </c>
      <c r="G140" s="16">
        <f>AVERAGE(CI140:CT140)</f>
        <v>40.583333333333336</v>
      </c>
      <c r="H140" s="55">
        <f>AVERAGE(CU140:DF140)</f>
        <v>49.714001712575275</v>
      </c>
      <c r="I140" s="55">
        <f>AVERAGE(DG140:DR140)</f>
        <v>56.903228452971803</v>
      </c>
      <c r="J140" s="55">
        <f>AVERAGE(DS140:ED140)</f>
        <v>66.263841131096328</v>
      </c>
      <c r="K140" s="55">
        <f>AVERAGE(EE140:EP140)</f>
        <v>71.981765473841918</v>
      </c>
      <c r="L140" s="55">
        <f>AVERAGE(EQ140:FB140)</f>
        <v>81.459079706720203</v>
      </c>
      <c r="N140" s="16">
        <f>AVERAGE(AY140:BA140)</f>
        <v>5</v>
      </c>
      <c r="O140" s="16">
        <f>AVERAGE(BB140:BD140)</f>
        <v>5.333333333333333</v>
      </c>
      <c r="P140" s="16">
        <f>AVERAGE(BE140:BG140)</f>
        <v>7.666666666666667</v>
      </c>
      <c r="Q140" s="16">
        <f>AVERAGE(BH140:BJ140)</f>
        <v>8.3333333333333339</v>
      </c>
      <c r="R140" s="16">
        <f>AVERAGE(BK140:BM140)</f>
        <v>14.666666666666666</v>
      </c>
      <c r="S140" s="16">
        <f>AVERAGE(BN140:BP140)</f>
        <v>16.333333333333332</v>
      </c>
      <c r="T140" s="16">
        <f>AVERAGE(BQ140:BS140)</f>
        <v>15</v>
      </c>
      <c r="U140" s="16">
        <f>AVERAGE(BT140:BV140)</f>
        <v>18</v>
      </c>
      <c r="V140" s="16">
        <f>AVERAGE(BW140:BY140)</f>
        <v>18.666666666666668</v>
      </c>
      <c r="W140" s="16">
        <f>AVERAGE(BZ140:CB140)</f>
        <v>18</v>
      </c>
      <c r="X140" s="16">
        <f>AVERAGE(CC140:CE140)</f>
        <v>18</v>
      </c>
      <c r="Y140" s="16">
        <f>AVERAGE(CF140:CH140)</f>
        <v>19.666666666666668</v>
      </c>
      <c r="Z140" s="16">
        <f>AVERAGE(CI140:CK140)</f>
        <v>29.333333333333332</v>
      </c>
      <c r="AA140" s="16">
        <f>AVERAGE(CL140:CN140)</f>
        <v>39.666666666666664</v>
      </c>
      <c r="AB140" s="16">
        <f>AVERAGE(CO140:CQ140)</f>
        <v>44.666666666666664</v>
      </c>
      <c r="AC140" s="16">
        <f>AVERAGE(CR140:CT140)</f>
        <v>48.666666666666664</v>
      </c>
      <c r="AD140" s="16">
        <f>AVERAGE(CU140:CW140)</f>
        <v>49</v>
      </c>
      <c r="AE140" s="16">
        <f>AVERAGE(CX140:CZ140)</f>
        <v>49</v>
      </c>
      <c r="AF140" s="16">
        <f>AVERAGE(DA140:DC140)</f>
        <v>49.0099012435711</v>
      </c>
      <c r="AG140" s="16">
        <f>AVERAGE(DD140:DF140)</f>
        <v>51.846105606729971</v>
      </c>
      <c r="AH140" s="16">
        <f>AVERAGE(DG140:DI140)</f>
        <v>53.626605236214751</v>
      </c>
      <c r="AI140" s="16">
        <f>AVERAGE(DJ140:DL140)</f>
        <v>53.838775517532241</v>
      </c>
      <c r="AJ140" s="16">
        <f>AVERAGE(DM140:DO140)</f>
        <v>56.999407312452156</v>
      </c>
      <c r="AK140" s="16">
        <f>AVERAGE(DP140:DR140)</f>
        <v>63.148125745688056</v>
      </c>
      <c r="AL140" s="16">
        <f>AVERAGE(DS140:DU140)</f>
        <v>65.646545489346835</v>
      </c>
      <c r="AM140" s="16">
        <f>AVERAGE(DV140:DX140)</f>
        <v>65.646545489346835</v>
      </c>
      <c r="AN140" s="16">
        <f>AVERAGE(DY140:EA140)</f>
        <v>65.646545489346835</v>
      </c>
      <c r="AO140" s="16">
        <f>AVERAGE(EB140:ED140)</f>
        <v>68.115728056344764</v>
      </c>
      <c r="AP140" s="16">
        <f>AVERAGE(EE140:EG140)</f>
        <v>70.232563244688251</v>
      </c>
      <c r="AQ140" s="16">
        <f>AVERAGE(EH140:EJ140)</f>
        <v>70.232563244688251</v>
      </c>
      <c r="AR140" s="16">
        <f>AVERAGE(EK140:EM140)</f>
        <v>70.89259035390414</v>
      </c>
      <c r="AS140" s="16">
        <f>AVERAGE(EN140:EP140)</f>
        <v>76.569345052086987</v>
      </c>
      <c r="AT140" s="16">
        <f>AVERAGE(EQ140:ES140)</f>
        <v>79.208317250736584</v>
      </c>
      <c r="AU140" s="16">
        <f>AVERAGE(ET140:EV140)</f>
        <v>79.208317250736584</v>
      </c>
      <c r="AV140" s="16">
        <f>AVERAGE(EW140:EY140)</f>
        <v>80.309624218830095</v>
      </c>
      <c r="AW140" s="16">
        <f>AVERAGE(EZ140:FB140)</f>
        <v>87.110060106577592</v>
      </c>
      <c r="AY140" s="16">
        <v>5</v>
      </c>
      <c r="AZ140" s="16">
        <v>5</v>
      </c>
      <c r="BA140" s="16">
        <v>5</v>
      </c>
      <c r="BB140" s="16">
        <v>5</v>
      </c>
      <c r="BC140" s="16">
        <v>5</v>
      </c>
      <c r="BD140" s="16">
        <v>6</v>
      </c>
      <c r="BE140" s="16">
        <v>7</v>
      </c>
      <c r="BF140" s="16">
        <v>8</v>
      </c>
      <c r="BG140" s="16">
        <v>8</v>
      </c>
      <c r="BH140" s="16">
        <v>8</v>
      </c>
      <c r="BI140" s="16">
        <v>8</v>
      </c>
      <c r="BJ140" s="16">
        <v>9</v>
      </c>
      <c r="BK140" s="16">
        <v>14</v>
      </c>
      <c r="BL140" s="16">
        <v>14</v>
      </c>
      <c r="BM140" s="16">
        <v>16</v>
      </c>
      <c r="BN140" s="16">
        <v>16</v>
      </c>
      <c r="BO140" s="16">
        <v>16</v>
      </c>
      <c r="BP140" s="16">
        <v>17</v>
      </c>
      <c r="BQ140" s="16">
        <v>15</v>
      </c>
      <c r="BR140" s="16">
        <v>15</v>
      </c>
      <c r="BS140" s="16">
        <v>15</v>
      </c>
      <c r="BT140" s="16">
        <v>18</v>
      </c>
      <c r="BU140" s="16">
        <v>18</v>
      </c>
      <c r="BV140" s="16">
        <v>18</v>
      </c>
      <c r="BW140" s="16">
        <v>19</v>
      </c>
      <c r="BX140" s="16">
        <v>18</v>
      </c>
      <c r="BY140" s="16">
        <v>19</v>
      </c>
      <c r="BZ140" s="16">
        <v>18</v>
      </c>
      <c r="CA140" s="16">
        <v>18</v>
      </c>
      <c r="CB140" s="16">
        <v>18</v>
      </c>
      <c r="CC140" s="16">
        <v>18</v>
      </c>
      <c r="CD140" s="16">
        <v>18</v>
      </c>
      <c r="CE140" s="16">
        <v>18</v>
      </c>
      <c r="CF140" s="16">
        <v>18</v>
      </c>
      <c r="CG140" s="16">
        <v>19</v>
      </c>
      <c r="CH140" s="16">
        <v>22</v>
      </c>
      <c r="CI140" s="16">
        <v>26</v>
      </c>
      <c r="CJ140" s="16">
        <v>30</v>
      </c>
      <c r="CK140" s="16">
        <v>32</v>
      </c>
      <c r="CL140" s="16">
        <v>37</v>
      </c>
      <c r="CM140" s="16">
        <v>40</v>
      </c>
      <c r="CN140" s="16">
        <v>42</v>
      </c>
      <c r="CO140" s="16">
        <v>44</v>
      </c>
      <c r="CP140" s="16">
        <v>45</v>
      </c>
      <c r="CQ140" s="16">
        <v>45</v>
      </c>
      <c r="CR140" s="16">
        <v>48</v>
      </c>
      <c r="CS140" s="16">
        <v>49</v>
      </c>
      <c r="CT140" s="16">
        <v>49</v>
      </c>
      <c r="CU140" s="16">
        <f t="shared" ref="CU140:DZ140" si="1505">MAX(CT140,SUM(CU155:CU161)/CU142)</f>
        <v>49</v>
      </c>
      <c r="CV140" s="16">
        <f t="shared" si="1505"/>
        <v>49</v>
      </c>
      <c r="CW140" s="16">
        <f t="shared" si="1505"/>
        <v>49</v>
      </c>
      <c r="CX140" s="16">
        <f t="shared" si="1505"/>
        <v>49</v>
      </c>
      <c r="CY140" s="16">
        <f t="shared" si="1505"/>
        <v>49</v>
      </c>
      <c r="CZ140" s="16">
        <f t="shared" si="1505"/>
        <v>49</v>
      </c>
      <c r="DA140" s="16">
        <f t="shared" si="1505"/>
        <v>49</v>
      </c>
      <c r="DB140" s="16">
        <f t="shared" si="1505"/>
        <v>49</v>
      </c>
      <c r="DC140" s="16">
        <f t="shared" si="1505"/>
        <v>49.029703730713301</v>
      </c>
      <c r="DD140" s="16">
        <f t="shared" si="1505"/>
        <v>50.29070625084902</v>
      </c>
      <c r="DE140" s="16">
        <f t="shared" si="1505"/>
        <v>51.621005333126156</v>
      </c>
      <c r="DF140" s="16">
        <f t="shared" si="1505"/>
        <v>53.626605236214751</v>
      </c>
      <c r="DG140" s="16">
        <f t="shared" si="1505"/>
        <v>53.626605236214751</v>
      </c>
      <c r="DH140" s="16">
        <f t="shared" si="1505"/>
        <v>53.626605236214751</v>
      </c>
      <c r="DI140" s="16">
        <f t="shared" si="1505"/>
        <v>53.626605236214751</v>
      </c>
      <c r="DJ140" s="16">
        <f t="shared" si="1505"/>
        <v>53.626605236214751</v>
      </c>
      <c r="DK140" s="16">
        <f t="shared" si="1505"/>
        <v>53.626605236214751</v>
      </c>
      <c r="DL140" s="16">
        <f t="shared" si="1505"/>
        <v>54.263116080167215</v>
      </c>
      <c r="DM140" s="16">
        <f t="shared" si="1505"/>
        <v>55.262723866330383</v>
      </c>
      <c r="DN140" s="16">
        <f t="shared" si="1505"/>
        <v>56.791739694470685</v>
      </c>
      <c r="DO140" s="16">
        <f t="shared" si="1505"/>
        <v>58.943758376555415</v>
      </c>
      <c r="DP140" s="16">
        <f t="shared" si="1505"/>
        <v>60.903512181712721</v>
      </c>
      <c r="DQ140" s="16">
        <f t="shared" si="1505"/>
        <v>62.894319566004611</v>
      </c>
      <c r="DR140" s="16">
        <f t="shared" si="1505"/>
        <v>65.646545489346835</v>
      </c>
      <c r="DS140" s="16">
        <f t="shared" si="1505"/>
        <v>65.646545489346835</v>
      </c>
      <c r="DT140" s="16">
        <f t="shared" si="1505"/>
        <v>65.646545489346835</v>
      </c>
      <c r="DU140" s="16">
        <f t="shared" si="1505"/>
        <v>65.646545489346835</v>
      </c>
      <c r="DV140" s="16">
        <f t="shared" si="1505"/>
        <v>65.646545489346835</v>
      </c>
      <c r="DW140" s="16">
        <f t="shared" si="1505"/>
        <v>65.646545489346835</v>
      </c>
      <c r="DX140" s="16">
        <f t="shared" si="1505"/>
        <v>65.646545489346835</v>
      </c>
      <c r="DY140" s="16">
        <f t="shared" si="1505"/>
        <v>65.646545489346835</v>
      </c>
      <c r="DZ140" s="16">
        <f t="shared" si="1505"/>
        <v>65.646545489346835</v>
      </c>
      <c r="EA140" s="16">
        <f t="shared" ref="EA140:FB140" si="1506">MAX(DZ140,SUM(EA155:EA161)/EA142)</f>
        <v>65.646545489346835</v>
      </c>
      <c r="EB140" s="16">
        <f t="shared" si="1506"/>
        <v>66.274536606596158</v>
      </c>
      <c r="EC140" s="16">
        <f t="shared" si="1506"/>
        <v>67.840084317749842</v>
      </c>
      <c r="ED140" s="16">
        <f t="shared" si="1506"/>
        <v>70.232563244688251</v>
      </c>
      <c r="EE140" s="16">
        <f t="shared" si="1506"/>
        <v>70.232563244688251</v>
      </c>
      <c r="EF140" s="16">
        <f t="shared" si="1506"/>
        <v>70.232563244688251</v>
      </c>
      <c r="EG140" s="16">
        <f t="shared" si="1506"/>
        <v>70.232563244688251</v>
      </c>
      <c r="EH140" s="16">
        <f t="shared" si="1506"/>
        <v>70.232563244688251</v>
      </c>
      <c r="EI140" s="16">
        <f t="shared" si="1506"/>
        <v>70.232563244688251</v>
      </c>
      <c r="EJ140" s="16">
        <f t="shared" si="1506"/>
        <v>70.232563244688251</v>
      </c>
      <c r="EK140" s="16">
        <f t="shared" si="1506"/>
        <v>70.232563244688251</v>
      </c>
      <c r="EL140" s="16">
        <f t="shared" si="1506"/>
        <v>70.232563244688251</v>
      </c>
      <c r="EM140" s="16">
        <f t="shared" si="1506"/>
        <v>72.21264457233589</v>
      </c>
      <c r="EN140" s="16">
        <f t="shared" si="1506"/>
        <v>74.225626175163939</v>
      </c>
      <c r="EO140" s="16">
        <f t="shared" si="1506"/>
        <v>76.274091730360468</v>
      </c>
      <c r="EP140" s="16">
        <f t="shared" si="1506"/>
        <v>79.208317250736584</v>
      </c>
      <c r="EQ140" s="16">
        <f t="shared" si="1506"/>
        <v>79.208317250736584</v>
      </c>
      <c r="ER140" s="16">
        <f t="shared" si="1506"/>
        <v>79.208317250736584</v>
      </c>
      <c r="ES140" s="16">
        <f t="shared" si="1506"/>
        <v>79.208317250736584</v>
      </c>
      <c r="ET140" s="16">
        <f t="shared" si="1506"/>
        <v>79.208317250736584</v>
      </c>
      <c r="EU140" s="16">
        <f t="shared" si="1506"/>
        <v>79.208317250736584</v>
      </c>
      <c r="EV140" s="16">
        <f t="shared" si="1506"/>
        <v>79.208317250736584</v>
      </c>
      <c r="EW140" s="16">
        <f t="shared" si="1506"/>
        <v>79.208317250736584</v>
      </c>
      <c r="EX140" s="16">
        <f t="shared" si="1506"/>
        <v>79.584342207178807</v>
      </c>
      <c r="EY140" s="16">
        <f t="shared" si="1506"/>
        <v>82.136213198574893</v>
      </c>
      <c r="EZ140" s="16">
        <f t="shared" si="1506"/>
        <v>84.450579724072284</v>
      </c>
      <c r="FA140" s="16">
        <f t="shared" si="1506"/>
        <v>86.800858618636468</v>
      </c>
      <c r="FB140" s="16">
        <f t="shared" si="1506"/>
        <v>90.078741977024052</v>
      </c>
    </row>
    <row r="141" spans="2:158" x14ac:dyDescent="0.25">
      <c r="B141" s="303">
        <f>B136</f>
        <v>0.05</v>
      </c>
      <c r="C141" s="28" t="s">
        <v>518</v>
      </c>
      <c r="D141" s="16">
        <f>D129/D140</f>
        <v>114333.29164556961</v>
      </c>
      <c r="E141" s="16">
        <f t="shared" ref="E141:G141" si="1507">E129/E140</f>
        <v>95484.617499999993</v>
      </c>
      <c r="F141" s="16">
        <f t="shared" si="1507"/>
        <v>117281.55067264574</v>
      </c>
      <c r="G141" s="16">
        <f t="shared" si="1507"/>
        <v>165505.33436559147</v>
      </c>
      <c r="H141" s="249">
        <f>G141*(1+$B141)</f>
        <v>173780.60108387104</v>
      </c>
      <c r="I141" s="249">
        <f t="shared" ref="I141:L141" si="1508">H141*(1+$B141)</f>
        <v>182469.63113806461</v>
      </c>
      <c r="J141" s="249">
        <f t="shared" si="1508"/>
        <v>191593.11269496786</v>
      </c>
      <c r="K141" s="249">
        <f t="shared" si="1508"/>
        <v>201172.76832971626</v>
      </c>
      <c r="L141" s="249">
        <f t="shared" si="1508"/>
        <v>211231.40674620209</v>
      </c>
      <c r="N141" s="16">
        <f>N129/N140*4</f>
        <v>121824.73599999999</v>
      </c>
      <c r="O141" s="16">
        <f t="shared" ref="O141:AW141" si="1509">O129/O140*4</f>
        <v>117512.1075</v>
      </c>
      <c r="P141" s="16">
        <f t="shared" si="1509"/>
        <v>103468.00695652173</v>
      </c>
      <c r="Q141" s="16">
        <f t="shared" si="1509"/>
        <v>117800.0448</v>
      </c>
      <c r="R141" s="16">
        <f t="shared" si="1509"/>
        <v>74747.290909090923</v>
      </c>
      <c r="S141" s="16">
        <f t="shared" si="1509"/>
        <v>95190.012244897967</v>
      </c>
      <c r="T141" s="16">
        <f t="shared" si="1509"/>
        <v>104740.46399999999</v>
      </c>
      <c r="U141" s="16">
        <f t="shared" si="1509"/>
        <v>104935.82</v>
      </c>
      <c r="V141" s="16">
        <f t="shared" si="1509"/>
        <v>123331.45499999997</v>
      </c>
      <c r="W141" s="16">
        <f t="shared" si="1509"/>
        <v>117352.97111111111</v>
      </c>
      <c r="X141" s="16">
        <f t="shared" si="1509"/>
        <v>107668.64222222223</v>
      </c>
      <c r="Y141" s="16">
        <f t="shared" si="1509"/>
        <v>120272.15593220337</v>
      </c>
      <c r="Z141" s="16">
        <f t="shared" si="1509"/>
        <v>169397.93181818182</v>
      </c>
      <c r="AA141" s="16">
        <f t="shared" si="1509"/>
        <v>174738.2067957689</v>
      </c>
      <c r="AB141" s="16">
        <f t="shared" si="1509"/>
        <v>163489.24493174275</v>
      </c>
      <c r="AC141" s="16">
        <f t="shared" si="1509"/>
        <v>157484.07127734946</v>
      </c>
      <c r="AD141" s="16">
        <f t="shared" si="1509"/>
        <v>173780.60108387106</v>
      </c>
      <c r="AE141" s="16">
        <f t="shared" si="1509"/>
        <v>173780.60108387106</v>
      </c>
      <c r="AF141" s="16">
        <f t="shared" si="1509"/>
        <v>173780.60108387104</v>
      </c>
      <c r="AG141" s="16">
        <f t="shared" si="1509"/>
        <v>173780.60108387104</v>
      </c>
      <c r="AH141" s="16">
        <f t="shared" si="1509"/>
        <v>182469.63113806458</v>
      </c>
      <c r="AI141" s="16">
        <f t="shared" si="1509"/>
        <v>182469.63113806458</v>
      </c>
      <c r="AJ141" s="16">
        <f t="shared" si="1509"/>
        <v>182469.63113806464</v>
      </c>
      <c r="AK141" s="16">
        <f t="shared" si="1509"/>
        <v>182469.63113806461</v>
      </c>
      <c r="AL141" s="16">
        <f t="shared" si="1509"/>
        <v>191593.11269496786</v>
      </c>
      <c r="AM141" s="16">
        <f t="shared" si="1509"/>
        <v>191593.11269496786</v>
      </c>
      <c r="AN141" s="16">
        <f t="shared" si="1509"/>
        <v>191593.11269496786</v>
      </c>
      <c r="AO141" s="16">
        <f t="shared" si="1509"/>
        <v>191593.1126949678</v>
      </c>
      <c r="AP141" s="16">
        <f t="shared" si="1509"/>
        <v>201172.76832971626</v>
      </c>
      <c r="AQ141" s="16">
        <f t="shared" si="1509"/>
        <v>201172.76832971626</v>
      </c>
      <c r="AR141" s="16">
        <f t="shared" si="1509"/>
        <v>201172.76832971623</v>
      </c>
      <c r="AS141" s="16">
        <f t="shared" si="1509"/>
        <v>201172.76832971626</v>
      </c>
      <c r="AT141" s="16">
        <f t="shared" si="1509"/>
        <v>211231.40674620209</v>
      </c>
      <c r="AU141" s="16">
        <f t="shared" si="1509"/>
        <v>211231.40674620209</v>
      </c>
      <c r="AV141" s="16">
        <f t="shared" si="1509"/>
        <v>211231.40674620212</v>
      </c>
      <c r="AW141" s="16">
        <f t="shared" si="1509"/>
        <v>211231.40674620212</v>
      </c>
      <c r="AY141" s="16">
        <f>AY129/AY140*12</f>
        <v>111551.88</v>
      </c>
      <c r="AZ141" s="16">
        <f t="shared" ref="AZ141:CT141" si="1510">AZ129/AZ140*12</f>
        <v>124581.59999999999</v>
      </c>
      <c r="BA141" s="16">
        <f t="shared" si="1510"/>
        <v>129340.728</v>
      </c>
      <c r="BB141" s="16">
        <f t="shared" si="1510"/>
        <v>125612.18400000001</v>
      </c>
      <c r="BC141" s="16">
        <f t="shared" si="1510"/>
        <v>128651.83200000001</v>
      </c>
      <c r="BD141" s="16">
        <f t="shared" si="1510"/>
        <v>101478.94</v>
      </c>
      <c r="BE141" s="16">
        <f t="shared" si="1510"/>
        <v>87694.90285714285</v>
      </c>
      <c r="BF141" s="16">
        <f t="shared" si="1510"/>
        <v>100559.43</v>
      </c>
      <c r="BG141" s="16">
        <f t="shared" si="1510"/>
        <v>120178.05000000002</v>
      </c>
      <c r="BH141" s="16">
        <f t="shared" si="1510"/>
        <v>106206</v>
      </c>
      <c r="BI141" s="16">
        <f t="shared" si="1510"/>
        <v>105964.215</v>
      </c>
      <c r="BJ141" s="16">
        <f t="shared" si="1510"/>
        <v>138626.6</v>
      </c>
      <c r="BK141" s="16">
        <f t="shared" si="1510"/>
        <v>87923.717142857146</v>
      </c>
      <c r="BL141" s="16">
        <f t="shared" si="1510"/>
        <v>58409.905714285705</v>
      </c>
      <c r="BM141" s="16">
        <f t="shared" si="1510"/>
        <v>77513.13</v>
      </c>
      <c r="BN141" s="16">
        <f t="shared" si="1510"/>
        <v>88560.517500000002</v>
      </c>
      <c r="BO141" s="16">
        <f t="shared" si="1510"/>
        <v>101256.41249999999</v>
      </c>
      <c r="BP141" s="16">
        <f t="shared" si="1510"/>
        <v>95719.983529411766</v>
      </c>
      <c r="BQ141" s="16">
        <f t="shared" si="1510"/>
        <v>105149.45600000001</v>
      </c>
      <c r="BR141" s="16">
        <f t="shared" si="1510"/>
        <v>100651.016</v>
      </c>
      <c r="BS141" s="16">
        <f t="shared" si="1510"/>
        <v>108420.91999999998</v>
      </c>
      <c r="BT141" s="16">
        <f t="shared" si="1510"/>
        <v>95970.880000000005</v>
      </c>
      <c r="BU141" s="16">
        <f t="shared" si="1510"/>
        <v>115470.15333333334</v>
      </c>
      <c r="BV141" s="16">
        <f t="shared" si="1510"/>
        <v>103366.42666666668</v>
      </c>
      <c r="BW141" s="16">
        <f t="shared" si="1510"/>
        <v>116970.22105263158</v>
      </c>
      <c r="BX141" s="16">
        <f t="shared" si="1510"/>
        <v>117243.61999999997</v>
      </c>
      <c r="BY141" s="16">
        <f t="shared" si="1510"/>
        <v>135460.11157894734</v>
      </c>
      <c r="BZ141" s="16">
        <f t="shared" si="1510"/>
        <v>130072.23999999999</v>
      </c>
      <c r="CA141" s="16">
        <f t="shared" si="1510"/>
        <v>118204.78666666667</v>
      </c>
      <c r="CB141" s="16">
        <f t="shared" si="1510"/>
        <v>103781.88666666669</v>
      </c>
      <c r="CC141" s="16">
        <f t="shared" si="1510"/>
        <v>116586.50666666667</v>
      </c>
      <c r="CD141" s="16">
        <f t="shared" si="1510"/>
        <v>116071.43333333333</v>
      </c>
      <c r="CE141" s="16">
        <f t="shared" si="1510"/>
        <v>90347.986666666664</v>
      </c>
      <c r="CF141" s="16">
        <f t="shared" si="1510"/>
        <v>121127.98</v>
      </c>
      <c r="CG141" s="16">
        <f t="shared" si="1510"/>
        <v>102922.26947368419</v>
      </c>
      <c r="CH141" s="16">
        <f t="shared" si="1510"/>
        <v>134555.92909090911</v>
      </c>
      <c r="CI141" s="16">
        <f t="shared" si="1510"/>
        <v>170017.89230769232</v>
      </c>
      <c r="CJ141" s="16">
        <f t="shared" si="1510"/>
        <v>166162.47200000001</v>
      </c>
      <c r="CK141" s="16">
        <f t="shared" si="1510"/>
        <v>171927.45749999996</v>
      </c>
      <c r="CL141" s="16">
        <f t="shared" si="1510"/>
        <v>185403.53513513514</v>
      </c>
      <c r="CM141" s="16">
        <f t="shared" si="1510"/>
        <v>171174.44347745558</v>
      </c>
      <c r="CN141" s="16">
        <f t="shared" si="1510"/>
        <v>168736.62070472076</v>
      </c>
      <c r="CO141" s="16">
        <f t="shared" si="1510"/>
        <v>165260.86393994142</v>
      </c>
      <c r="CP141" s="16">
        <f t="shared" si="1510"/>
        <v>161606.66624729478</v>
      </c>
      <c r="CQ141" s="16">
        <f t="shared" si="1510"/>
        <v>163639.57391928529</v>
      </c>
      <c r="CR141" s="16">
        <f t="shared" si="1510"/>
        <v>158572.81376726201</v>
      </c>
      <c r="CS141" s="16">
        <f t="shared" si="1510"/>
        <v>154972.65727723722</v>
      </c>
      <c r="CT141" s="16">
        <f t="shared" si="1510"/>
        <v>158928.96202203722</v>
      </c>
      <c r="CU141" s="90">
        <f t="shared" ref="CU141:FB142" si="1511">INDEX($D141:$L141,1,MATCH(CU$2,$D$2:$L$2,))</f>
        <v>173780.60108387104</v>
      </c>
      <c r="CV141" s="90">
        <f t="shared" si="1511"/>
        <v>173780.60108387104</v>
      </c>
      <c r="CW141" s="90">
        <f t="shared" si="1511"/>
        <v>173780.60108387104</v>
      </c>
      <c r="CX141" s="90">
        <f t="shared" si="1511"/>
        <v>173780.60108387104</v>
      </c>
      <c r="CY141" s="90">
        <f t="shared" si="1511"/>
        <v>173780.60108387104</v>
      </c>
      <c r="CZ141" s="90">
        <f t="shared" si="1511"/>
        <v>173780.60108387104</v>
      </c>
      <c r="DA141" s="90">
        <f t="shared" si="1511"/>
        <v>173780.60108387104</v>
      </c>
      <c r="DB141" s="90">
        <f t="shared" si="1511"/>
        <v>173780.60108387104</v>
      </c>
      <c r="DC141" s="90">
        <f t="shared" si="1511"/>
        <v>173780.60108387104</v>
      </c>
      <c r="DD141" s="90">
        <f t="shared" si="1511"/>
        <v>173780.60108387104</v>
      </c>
      <c r="DE141" s="90">
        <f t="shared" si="1511"/>
        <v>173780.60108387104</v>
      </c>
      <c r="DF141" s="90">
        <f t="shared" si="1511"/>
        <v>173780.60108387104</v>
      </c>
      <c r="DG141" s="90">
        <f t="shared" si="1511"/>
        <v>182469.63113806461</v>
      </c>
      <c r="DH141" s="90">
        <f t="shared" si="1511"/>
        <v>182469.63113806461</v>
      </c>
      <c r="DI141" s="90">
        <f t="shared" si="1511"/>
        <v>182469.63113806461</v>
      </c>
      <c r="DJ141" s="90">
        <f t="shared" si="1511"/>
        <v>182469.63113806461</v>
      </c>
      <c r="DK141" s="90">
        <f t="shared" si="1511"/>
        <v>182469.63113806461</v>
      </c>
      <c r="DL141" s="90">
        <f t="shared" si="1511"/>
        <v>182469.63113806461</v>
      </c>
      <c r="DM141" s="90">
        <f t="shared" si="1511"/>
        <v>182469.63113806461</v>
      </c>
      <c r="DN141" s="90">
        <f t="shared" si="1511"/>
        <v>182469.63113806461</v>
      </c>
      <c r="DO141" s="90">
        <f t="shared" si="1511"/>
        <v>182469.63113806461</v>
      </c>
      <c r="DP141" s="90">
        <f t="shared" si="1511"/>
        <v>182469.63113806461</v>
      </c>
      <c r="DQ141" s="90">
        <f t="shared" si="1511"/>
        <v>182469.63113806461</v>
      </c>
      <c r="DR141" s="90">
        <f t="shared" si="1511"/>
        <v>182469.63113806461</v>
      </c>
      <c r="DS141" s="90">
        <f t="shared" si="1511"/>
        <v>191593.11269496786</v>
      </c>
      <c r="DT141" s="90">
        <f t="shared" si="1511"/>
        <v>191593.11269496786</v>
      </c>
      <c r="DU141" s="90">
        <f t="shared" si="1511"/>
        <v>191593.11269496786</v>
      </c>
      <c r="DV141" s="90">
        <f t="shared" si="1511"/>
        <v>191593.11269496786</v>
      </c>
      <c r="DW141" s="90">
        <f t="shared" si="1511"/>
        <v>191593.11269496786</v>
      </c>
      <c r="DX141" s="90">
        <f t="shared" si="1511"/>
        <v>191593.11269496786</v>
      </c>
      <c r="DY141" s="90">
        <f t="shared" si="1511"/>
        <v>191593.11269496786</v>
      </c>
      <c r="DZ141" s="90">
        <f t="shared" si="1511"/>
        <v>191593.11269496786</v>
      </c>
      <c r="EA141" s="90">
        <f t="shared" si="1511"/>
        <v>191593.11269496786</v>
      </c>
      <c r="EB141" s="90">
        <f t="shared" si="1511"/>
        <v>191593.11269496786</v>
      </c>
      <c r="EC141" s="90">
        <f t="shared" si="1511"/>
        <v>191593.11269496786</v>
      </c>
      <c r="ED141" s="90">
        <f t="shared" si="1511"/>
        <v>191593.11269496786</v>
      </c>
      <c r="EE141" s="90">
        <f t="shared" si="1511"/>
        <v>201172.76832971626</v>
      </c>
      <c r="EF141" s="90">
        <f t="shared" si="1511"/>
        <v>201172.76832971626</v>
      </c>
      <c r="EG141" s="90">
        <f t="shared" si="1511"/>
        <v>201172.76832971626</v>
      </c>
      <c r="EH141" s="90">
        <f t="shared" si="1511"/>
        <v>201172.76832971626</v>
      </c>
      <c r="EI141" s="90">
        <f t="shared" si="1511"/>
        <v>201172.76832971626</v>
      </c>
      <c r="EJ141" s="90">
        <f t="shared" si="1511"/>
        <v>201172.76832971626</v>
      </c>
      <c r="EK141" s="90">
        <f t="shared" si="1511"/>
        <v>201172.76832971626</v>
      </c>
      <c r="EL141" s="90">
        <f t="shared" si="1511"/>
        <v>201172.76832971626</v>
      </c>
      <c r="EM141" s="90">
        <f t="shared" si="1511"/>
        <v>201172.76832971626</v>
      </c>
      <c r="EN141" s="90">
        <f t="shared" si="1511"/>
        <v>201172.76832971626</v>
      </c>
      <c r="EO141" s="90">
        <f t="shared" si="1511"/>
        <v>201172.76832971626</v>
      </c>
      <c r="EP141" s="90">
        <f t="shared" si="1511"/>
        <v>201172.76832971626</v>
      </c>
      <c r="EQ141" s="90">
        <f t="shared" si="1511"/>
        <v>211231.40674620209</v>
      </c>
      <c r="ER141" s="90">
        <f t="shared" si="1511"/>
        <v>211231.40674620209</v>
      </c>
      <c r="ES141" s="90">
        <f t="shared" si="1511"/>
        <v>211231.40674620209</v>
      </c>
      <c r="ET141" s="90">
        <f t="shared" si="1511"/>
        <v>211231.40674620209</v>
      </c>
      <c r="EU141" s="90">
        <f t="shared" si="1511"/>
        <v>211231.40674620209</v>
      </c>
      <c r="EV141" s="90">
        <f t="shared" si="1511"/>
        <v>211231.40674620209</v>
      </c>
      <c r="EW141" s="90">
        <f t="shared" si="1511"/>
        <v>211231.40674620209</v>
      </c>
      <c r="EX141" s="90">
        <f t="shared" si="1511"/>
        <v>211231.40674620209</v>
      </c>
      <c r="EY141" s="90">
        <f t="shared" si="1511"/>
        <v>211231.40674620209</v>
      </c>
      <c r="EZ141" s="90">
        <f t="shared" si="1511"/>
        <v>211231.40674620209</v>
      </c>
      <c r="FA141" s="90">
        <f t="shared" si="1511"/>
        <v>211231.40674620209</v>
      </c>
      <c r="FB141" s="90">
        <f t="shared" si="1511"/>
        <v>211231.40674620209</v>
      </c>
    </row>
    <row r="142" spans="2:158" x14ac:dyDescent="0.25">
      <c r="C142" s="28" t="s">
        <v>551</v>
      </c>
      <c r="D142" s="16">
        <f>SUM(D155:D161)/D139</f>
        <v>30.333333333333332</v>
      </c>
      <c r="E142" s="16">
        <f>SUM(E155:E161)/E139</f>
        <v>21.722222222222221</v>
      </c>
      <c r="F142" s="16">
        <f>SUM(F155:F161)/F139</f>
        <v>20.454545454545453</v>
      </c>
      <c r="G142" s="16">
        <f>SUM(G155:G161)/G139</f>
        <v>17.714285714285715</v>
      </c>
      <c r="H142" s="249">
        <f>G142*1.15</f>
        <v>20.37142857142857</v>
      </c>
      <c r="I142" s="249">
        <f t="shared" ref="I142:L142" si="1512">H142*1.15</f>
        <v>23.427142857142854</v>
      </c>
      <c r="J142" s="249">
        <f t="shared" si="1512"/>
        <v>26.941214285714281</v>
      </c>
      <c r="K142" s="249">
        <f t="shared" si="1512"/>
        <v>30.98239642857142</v>
      </c>
      <c r="L142" s="249">
        <f t="shared" si="1512"/>
        <v>35.629755892857133</v>
      </c>
      <c r="N142" s="16">
        <f t="shared" ref="N142:AW142" si="1513">SUM(N155:N161)/N139</f>
        <v>34.700000000000003</v>
      </c>
      <c r="O142" s="16">
        <f t="shared" si="1513"/>
        <v>33.083333333333336</v>
      </c>
      <c r="P142" s="16">
        <f t="shared" si="1513"/>
        <v>28.75</v>
      </c>
      <c r="Q142" s="16">
        <f t="shared" si="1513"/>
        <v>30.333333333333332</v>
      </c>
      <c r="R142" s="16">
        <f t="shared" si="1513"/>
        <v>18.75</v>
      </c>
      <c r="S142" s="16">
        <f t="shared" si="1513"/>
        <v>19.647058823529413</v>
      </c>
      <c r="T142" s="16">
        <f t="shared" si="1513"/>
        <v>23.533333333333335</v>
      </c>
      <c r="U142" s="16">
        <f t="shared" si="1513"/>
        <v>21.722222222222221</v>
      </c>
      <c r="V142" s="16">
        <f t="shared" si="1513"/>
        <v>21.894736842105264</v>
      </c>
      <c r="W142" s="16">
        <f t="shared" si="1513"/>
        <v>22.833333333333332</v>
      </c>
      <c r="X142" s="16">
        <f t="shared" si="1513"/>
        <v>22.611111111111111</v>
      </c>
      <c r="Y142" s="16">
        <f t="shared" si="1513"/>
        <v>20.454545454545453</v>
      </c>
      <c r="Z142" s="16">
        <f t="shared" si="1513"/>
        <v>16.65625</v>
      </c>
      <c r="AA142" s="16">
        <f t="shared" si="1513"/>
        <v>15.095238095238095</v>
      </c>
      <c r="AB142" s="16">
        <f t="shared" si="1513"/>
        <v>16.711111111111112</v>
      </c>
      <c r="AC142" s="16">
        <f t="shared" si="1513"/>
        <v>17.714285714285715</v>
      </c>
      <c r="AD142" s="16">
        <f t="shared" si="1513"/>
        <v>18.158100248641961</v>
      </c>
      <c r="AE142" s="16">
        <f t="shared" si="1513"/>
        <v>19.193939968042557</v>
      </c>
      <c r="AF142" s="16">
        <f t="shared" si="1513"/>
        <v>20.37142857142857</v>
      </c>
      <c r="AG142" s="16">
        <f t="shared" si="1513"/>
        <v>20.37142857142857</v>
      </c>
      <c r="AH142" s="16">
        <f t="shared" si="1513"/>
        <v>21.716489996926509</v>
      </c>
      <c r="AI142" s="16">
        <f t="shared" si="1513"/>
        <v>23.427142857142854</v>
      </c>
      <c r="AJ142" s="16">
        <f t="shared" si="1513"/>
        <v>23.427142857142854</v>
      </c>
      <c r="AK142" s="16">
        <f t="shared" si="1513"/>
        <v>23.427142857142854</v>
      </c>
      <c r="AL142" s="16">
        <f t="shared" si="1513"/>
        <v>24.091086687016684</v>
      </c>
      <c r="AM142" s="16">
        <f t="shared" si="1513"/>
        <v>24.974850012111368</v>
      </c>
      <c r="AN142" s="16">
        <f t="shared" si="1513"/>
        <v>26.570145058662167</v>
      </c>
      <c r="AO142" s="16">
        <f t="shared" si="1513"/>
        <v>26.941214285714285</v>
      </c>
      <c r="AP142" s="16">
        <f t="shared" si="1513"/>
        <v>28.234191340487563</v>
      </c>
      <c r="AQ142" s="16">
        <f t="shared" si="1513"/>
        <v>29.693051248422844</v>
      </c>
      <c r="AR142" s="16">
        <f t="shared" si="1513"/>
        <v>30.982396428571416</v>
      </c>
      <c r="AS142" s="16">
        <f t="shared" si="1513"/>
        <v>30.98239642857142</v>
      </c>
      <c r="AT142" s="16">
        <f t="shared" si="1513"/>
        <v>32.683230734120343</v>
      </c>
      <c r="AU142" s="16">
        <f t="shared" si="1513"/>
        <v>34.508328566932406</v>
      </c>
      <c r="AV142" s="16">
        <f t="shared" si="1513"/>
        <v>35.629755892857133</v>
      </c>
      <c r="AW142" s="16">
        <f t="shared" si="1513"/>
        <v>35.629755892857133</v>
      </c>
      <c r="AY142" s="16">
        <f t="shared" ref="AY142:CT142" si="1514">SUM(AY155:AY161)/AY139</f>
        <v>31.7</v>
      </c>
      <c r="AZ142" s="16">
        <f t="shared" si="1514"/>
        <v>33.700000000000003</v>
      </c>
      <c r="BA142" s="16">
        <f t="shared" si="1514"/>
        <v>34.700000000000003</v>
      </c>
      <c r="BB142" s="16">
        <f t="shared" si="1514"/>
        <v>35.549999999999997</v>
      </c>
      <c r="BC142" s="16">
        <f t="shared" si="1514"/>
        <v>38.200000000000003</v>
      </c>
      <c r="BD142" s="16">
        <f t="shared" si="1514"/>
        <v>33.083333333333336</v>
      </c>
      <c r="BE142" s="16">
        <f t="shared" si="1514"/>
        <v>31.071428571428573</v>
      </c>
      <c r="BF142" s="16">
        <f t="shared" si="1514"/>
        <v>28.5</v>
      </c>
      <c r="BG142" s="16">
        <f t="shared" si="1514"/>
        <v>28.75</v>
      </c>
      <c r="BH142" s="16">
        <f t="shared" si="1514"/>
        <v>30.375</v>
      </c>
      <c r="BI142" s="16">
        <f t="shared" si="1514"/>
        <v>31.25</v>
      </c>
      <c r="BJ142" s="16">
        <f t="shared" si="1514"/>
        <v>30.333333333333332</v>
      </c>
      <c r="BK142" s="16">
        <f t="shared" si="1514"/>
        <v>20.071428571428573</v>
      </c>
      <c r="BL142" s="16">
        <f t="shared" si="1514"/>
        <v>20.642857142857142</v>
      </c>
      <c r="BM142" s="16">
        <f t="shared" si="1514"/>
        <v>18.75</v>
      </c>
      <c r="BN142" s="16">
        <f t="shared" si="1514"/>
        <v>19.5625</v>
      </c>
      <c r="BO142" s="16">
        <f t="shared" si="1514"/>
        <v>20.125</v>
      </c>
      <c r="BP142" s="16">
        <f t="shared" si="1514"/>
        <v>19.647058823529413</v>
      </c>
      <c r="BQ142" s="16">
        <f t="shared" si="1514"/>
        <v>22.733333333333334</v>
      </c>
      <c r="BR142" s="16">
        <f t="shared" si="1514"/>
        <v>23</v>
      </c>
      <c r="BS142" s="16">
        <f t="shared" si="1514"/>
        <v>23.533333333333335</v>
      </c>
      <c r="BT142" s="16">
        <f t="shared" si="1514"/>
        <v>20.277777777777779</v>
      </c>
      <c r="BU142" s="16">
        <f t="shared" si="1514"/>
        <v>20.5</v>
      </c>
      <c r="BV142" s="16">
        <f t="shared" si="1514"/>
        <v>21.722222222222221</v>
      </c>
      <c r="BW142" s="16">
        <f t="shared" si="1514"/>
        <v>20.631578947368421</v>
      </c>
      <c r="BX142" s="16">
        <f t="shared" si="1514"/>
        <v>22.5</v>
      </c>
      <c r="BY142" s="16">
        <f t="shared" si="1514"/>
        <v>21.894736842105264</v>
      </c>
      <c r="BZ142" s="16">
        <f t="shared" si="1514"/>
        <v>22.222222222222221</v>
      </c>
      <c r="CA142" s="16">
        <f t="shared" si="1514"/>
        <v>23</v>
      </c>
      <c r="CB142" s="16">
        <f t="shared" si="1514"/>
        <v>22.833333333333332</v>
      </c>
      <c r="CC142" s="16">
        <f t="shared" si="1514"/>
        <v>22.888888888888889</v>
      </c>
      <c r="CD142" s="16">
        <f t="shared" si="1514"/>
        <v>22.888888888888889</v>
      </c>
      <c r="CE142" s="16">
        <f t="shared" si="1514"/>
        <v>22.611111111111111</v>
      </c>
      <c r="CF142" s="16">
        <f t="shared" si="1514"/>
        <v>23.5</v>
      </c>
      <c r="CG142" s="16">
        <f t="shared" si="1514"/>
        <v>22.736842105263158</v>
      </c>
      <c r="CH142" s="16">
        <f t="shared" si="1514"/>
        <v>20.454545454545453</v>
      </c>
      <c r="CI142" s="16">
        <f t="shared" si="1514"/>
        <v>18.03846153846154</v>
      </c>
      <c r="CJ142" s="16">
        <f t="shared" si="1514"/>
        <v>16.7</v>
      </c>
      <c r="CK142" s="16">
        <f t="shared" si="1514"/>
        <v>16.65625</v>
      </c>
      <c r="CL142" s="16">
        <f t="shared" si="1514"/>
        <v>14.918918918918919</v>
      </c>
      <c r="CM142" s="16">
        <f t="shared" si="1514"/>
        <v>15.3</v>
      </c>
      <c r="CN142" s="16">
        <f t="shared" si="1514"/>
        <v>15.095238095238095</v>
      </c>
      <c r="CO142" s="16">
        <f t="shared" si="1514"/>
        <v>15.454545454545455</v>
      </c>
      <c r="CP142" s="16">
        <f t="shared" si="1514"/>
        <v>16.066666666666666</v>
      </c>
      <c r="CQ142" s="16">
        <f t="shared" si="1514"/>
        <v>16.711111111111112</v>
      </c>
      <c r="CR142" s="16">
        <f t="shared" si="1514"/>
        <v>16.541666666666668</v>
      </c>
      <c r="CS142" s="16">
        <f t="shared" si="1514"/>
        <v>17.020408163265305</v>
      </c>
      <c r="CT142" s="16">
        <f t="shared" si="1514"/>
        <v>17.714285714285715</v>
      </c>
      <c r="CU142" s="90">
        <f t="shared" si="1511"/>
        <v>20.37142857142857</v>
      </c>
      <c r="CV142" s="90">
        <f t="shared" si="1511"/>
        <v>20.37142857142857</v>
      </c>
      <c r="CW142" s="90">
        <f t="shared" si="1511"/>
        <v>20.37142857142857</v>
      </c>
      <c r="CX142" s="90">
        <f t="shared" si="1511"/>
        <v>20.37142857142857</v>
      </c>
      <c r="CY142" s="90">
        <f t="shared" si="1511"/>
        <v>20.37142857142857</v>
      </c>
      <c r="CZ142" s="90">
        <f t="shared" si="1511"/>
        <v>20.37142857142857</v>
      </c>
      <c r="DA142" s="90">
        <f t="shared" si="1511"/>
        <v>20.37142857142857</v>
      </c>
      <c r="DB142" s="90">
        <f t="shared" si="1511"/>
        <v>20.37142857142857</v>
      </c>
      <c r="DC142" s="90">
        <f t="shared" si="1511"/>
        <v>20.37142857142857</v>
      </c>
      <c r="DD142" s="90">
        <f t="shared" si="1511"/>
        <v>20.37142857142857</v>
      </c>
      <c r="DE142" s="90">
        <f t="shared" si="1511"/>
        <v>20.37142857142857</v>
      </c>
      <c r="DF142" s="90">
        <f t="shared" si="1511"/>
        <v>20.37142857142857</v>
      </c>
      <c r="DG142" s="90">
        <f t="shared" si="1511"/>
        <v>23.427142857142854</v>
      </c>
      <c r="DH142" s="90">
        <f t="shared" si="1511"/>
        <v>23.427142857142854</v>
      </c>
      <c r="DI142" s="90">
        <f t="shared" si="1511"/>
        <v>23.427142857142854</v>
      </c>
      <c r="DJ142" s="90">
        <f t="shared" si="1511"/>
        <v>23.427142857142854</v>
      </c>
      <c r="DK142" s="90">
        <f t="shared" si="1511"/>
        <v>23.427142857142854</v>
      </c>
      <c r="DL142" s="90">
        <f t="shared" si="1511"/>
        <v>23.427142857142854</v>
      </c>
      <c r="DM142" s="90">
        <f t="shared" si="1511"/>
        <v>23.427142857142854</v>
      </c>
      <c r="DN142" s="90">
        <f t="shared" si="1511"/>
        <v>23.427142857142854</v>
      </c>
      <c r="DO142" s="90">
        <f t="shared" si="1511"/>
        <v>23.427142857142854</v>
      </c>
      <c r="DP142" s="90">
        <f t="shared" si="1511"/>
        <v>23.427142857142854</v>
      </c>
      <c r="DQ142" s="90">
        <f t="shared" si="1511"/>
        <v>23.427142857142854</v>
      </c>
      <c r="DR142" s="90">
        <f t="shared" si="1511"/>
        <v>23.427142857142854</v>
      </c>
      <c r="DS142" s="90">
        <f t="shared" si="1511"/>
        <v>26.941214285714281</v>
      </c>
      <c r="DT142" s="90">
        <f t="shared" si="1511"/>
        <v>26.941214285714281</v>
      </c>
      <c r="DU142" s="90">
        <f t="shared" si="1511"/>
        <v>26.941214285714281</v>
      </c>
      <c r="DV142" s="90">
        <f t="shared" si="1511"/>
        <v>26.941214285714281</v>
      </c>
      <c r="DW142" s="90">
        <f t="shared" si="1511"/>
        <v>26.941214285714281</v>
      </c>
      <c r="DX142" s="90">
        <f t="shared" si="1511"/>
        <v>26.941214285714281</v>
      </c>
      <c r="DY142" s="90">
        <f t="shared" si="1511"/>
        <v>26.941214285714281</v>
      </c>
      <c r="DZ142" s="90">
        <f t="shared" si="1511"/>
        <v>26.941214285714281</v>
      </c>
      <c r="EA142" s="90">
        <f t="shared" si="1511"/>
        <v>26.941214285714281</v>
      </c>
      <c r="EB142" s="90">
        <f t="shared" si="1511"/>
        <v>26.941214285714281</v>
      </c>
      <c r="EC142" s="90">
        <f t="shared" si="1511"/>
        <v>26.941214285714281</v>
      </c>
      <c r="ED142" s="90">
        <f t="shared" si="1511"/>
        <v>26.941214285714281</v>
      </c>
      <c r="EE142" s="90">
        <f t="shared" si="1511"/>
        <v>30.98239642857142</v>
      </c>
      <c r="EF142" s="90">
        <f t="shared" si="1511"/>
        <v>30.98239642857142</v>
      </c>
      <c r="EG142" s="90">
        <f t="shared" si="1511"/>
        <v>30.98239642857142</v>
      </c>
      <c r="EH142" s="90">
        <f t="shared" si="1511"/>
        <v>30.98239642857142</v>
      </c>
      <c r="EI142" s="90">
        <f t="shared" si="1511"/>
        <v>30.98239642857142</v>
      </c>
      <c r="EJ142" s="90">
        <f t="shared" si="1511"/>
        <v>30.98239642857142</v>
      </c>
      <c r="EK142" s="90">
        <f t="shared" si="1511"/>
        <v>30.98239642857142</v>
      </c>
      <c r="EL142" s="90">
        <f t="shared" si="1511"/>
        <v>30.98239642857142</v>
      </c>
      <c r="EM142" s="90">
        <f t="shared" si="1511"/>
        <v>30.98239642857142</v>
      </c>
      <c r="EN142" s="90">
        <f t="shared" si="1511"/>
        <v>30.98239642857142</v>
      </c>
      <c r="EO142" s="90">
        <f t="shared" si="1511"/>
        <v>30.98239642857142</v>
      </c>
      <c r="EP142" s="90">
        <f t="shared" si="1511"/>
        <v>30.98239642857142</v>
      </c>
      <c r="EQ142" s="90">
        <f t="shared" si="1511"/>
        <v>35.629755892857133</v>
      </c>
      <c r="ER142" s="90">
        <f t="shared" si="1511"/>
        <v>35.629755892857133</v>
      </c>
      <c r="ES142" s="90">
        <f t="shared" si="1511"/>
        <v>35.629755892857133</v>
      </c>
      <c r="ET142" s="90">
        <f t="shared" si="1511"/>
        <v>35.629755892857133</v>
      </c>
      <c r="EU142" s="90">
        <f t="shared" si="1511"/>
        <v>35.629755892857133</v>
      </c>
      <c r="EV142" s="90">
        <f t="shared" si="1511"/>
        <v>35.629755892857133</v>
      </c>
      <c r="EW142" s="90">
        <f t="shared" si="1511"/>
        <v>35.629755892857133</v>
      </c>
      <c r="EX142" s="90">
        <f t="shared" si="1511"/>
        <v>35.629755892857133</v>
      </c>
      <c r="EY142" s="90">
        <f t="shared" si="1511"/>
        <v>35.629755892857133</v>
      </c>
      <c r="EZ142" s="90">
        <f t="shared" si="1511"/>
        <v>35.629755892857133</v>
      </c>
      <c r="FA142" s="90">
        <f t="shared" si="1511"/>
        <v>35.629755892857133</v>
      </c>
      <c r="FB142" s="90">
        <f t="shared" si="1511"/>
        <v>35.629755892857133</v>
      </c>
    </row>
    <row r="143" spans="2:158" s="99" customFormat="1" x14ac:dyDescent="0.25">
      <c r="C143" s="256"/>
      <c r="D143" s="55"/>
      <c r="E143" s="55"/>
      <c r="F143" s="55"/>
      <c r="G143" s="55"/>
      <c r="H143" s="257"/>
      <c r="I143" s="257"/>
      <c r="J143" s="257"/>
      <c r="K143" s="257"/>
      <c r="L143" s="257"/>
      <c r="N143" s="55"/>
      <c r="O143" s="55"/>
      <c r="P143" s="55"/>
      <c r="Q143" s="55"/>
      <c r="R143" s="55"/>
      <c r="S143" s="55"/>
      <c r="T143" s="55"/>
      <c r="U143" s="55"/>
      <c r="V143" s="55"/>
      <c r="W143" s="55"/>
      <c r="X143" s="55"/>
      <c r="Y143" s="55"/>
      <c r="Z143" s="55"/>
      <c r="AA143" s="55"/>
      <c r="AB143" s="55"/>
      <c r="AC143" s="55"/>
      <c r="AD143" s="55"/>
      <c r="AE143" s="55"/>
      <c r="AF143" s="55"/>
      <c r="AG143" s="55"/>
      <c r="AH143" s="55"/>
      <c r="AI143" s="55"/>
      <c r="AJ143" s="55"/>
      <c r="AK143" s="55"/>
      <c r="AL143" s="55"/>
      <c r="AM143" s="55"/>
      <c r="AN143" s="55"/>
      <c r="AO143" s="55"/>
      <c r="AP143" s="55"/>
      <c r="AQ143" s="55"/>
      <c r="AR143" s="55"/>
      <c r="AS143" s="55"/>
      <c r="AT143" s="55"/>
      <c r="AU143" s="55"/>
      <c r="AV143" s="55"/>
      <c r="AW143" s="55"/>
      <c r="AY143" s="55"/>
      <c r="AZ143" s="55"/>
      <c r="BA143" s="55"/>
      <c r="BB143" s="55"/>
      <c r="BC143" s="55"/>
      <c r="BD143" s="55"/>
      <c r="BE143" s="55"/>
      <c r="BF143" s="55"/>
      <c r="BG143" s="55"/>
      <c r="BH143" s="55"/>
      <c r="BI143" s="55"/>
      <c r="BJ143" s="55"/>
      <c r="BK143" s="55"/>
      <c r="BL143" s="55"/>
      <c r="BM143" s="55"/>
      <c r="BN143" s="55"/>
      <c r="BO143" s="55"/>
      <c r="BP143" s="55"/>
      <c r="BQ143" s="55"/>
      <c r="BR143" s="55"/>
      <c r="BS143" s="55"/>
      <c r="BT143" s="55"/>
      <c r="BU143" s="55"/>
      <c r="BV143" s="55"/>
      <c r="BW143" s="55"/>
      <c r="BX143" s="55"/>
      <c r="BY143" s="55"/>
      <c r="BZ143" s="55"/>
      <c r="CA143" s="55"/>
      <c r="CB143" s="55"/>
      <c r="CC143" s="55"/>
      <c r="CD143" s="55"/>
      <c r="CE143" s="55"/>
      <c r="CF143" s="55"/>
      <c r="CG143" s="55"/>
      <c r="CH143" s="55"/>
      <c r="CI143" s="55"/>
      <c r="CJ143" s="55"/>
      <c r="CK143" s="55"/>
      <c r="CL143" s="55"/>
      <c r="CM143" s="55"/>
      <c r="CN143" s="55"/>
      <c r="CO143" s="55"/>
      <c r="CP143" s="55"/>
      <c r="CQ143" s="55"/>
      <c r="CR143" s="55"/>
      <c r="CS143" s="55"/>
      <c r="CT143" s="55"/>
      <c r="CU143" s="98"/>
      <c r="CV143" s="98"/>
      <c r="CW143" s="98"/>
      <c r="CX143" s="98"/>
      <c r="CY143" s="98"/>
      <c r="CZ143" s="98"/>
      <c r="DA143" s="98"/>
      <c r="DB143" s="98"/>
      <c r="DC143" s="98"/>
      <c r="DD143" s="98"/>
      <c r="DE143" s="98"/>
      <c r="DF143" s="98"/>
      <c r="DG143" s="98"/>
      <c r="DH143" s="98"/>
      <c r="DI143" s="98"/>
      <c r="DJ143" s="98"/>
      <c r="DK143" s="98"/>
      <c r="DL143" s="98"/>
      <c r="DM143" s="98"/>
      <c r="DN143" s="98"/>
      <c r="DO143" s="98"/>
      <c r="DP143" s="98"/>
      <c r="DQ143" s="98"/>
      <c r="DR143" s="98"/>
      <c r="DS143" s="98"/>
      <c r="DT143" s="98"/>
      <c r="DU143" s="98"/>
      <c r="DV143" s="98"/>
      <c r="DW143" s="98"/>
      <c r="DX143" s="98"/>
      <c r="DY143" s="98"/>
      <c r="DZ143" s="98"/>
      <c r="EA143" s="98"/>
      <c r="EB143" s="98"/>
      <c r="EC143" s="98"/>
      <c r="ED143" s="98"/>
      <c r="EE143" s="98"/>
      <c r="EF143" s="98"/>
      <c r="EG143" s="98"/>
      <c r="EH143" s="98"/>
      <c r="EI143" s="98"/>
      <c r="EJ143" s="98"/>
      <c r="EK143" s="98"/>
      <c r="EL143" s="98"/>
      <c r="EM143" s="98"/>
      <c r="EN143" s="98"/>
      <c r="EO143" s="98"/>
      <c r="EP143" s="98"/>
      <c r="EQ143" s="98"/>
      <c r="ER143" s="98"/>
      <c r="ES143" s="98"/>
      <c r="ET143" s="98"/>
      <c r="EU143" s="98"/>
      <c r="EV143" s="98"/>
      <c r="EW143" s="98"/>
      <c r="EX143" s="98"/>
      <c r="EY143" s="98"/>
      <c r="EZ143" s="98"/>
      <c r="FA143" s="98"/>
      <c r="FB143" s="98"/>
    </row>
    <row r="144" spans="2:158" s="99" customFormat="1" x14ac:dyDescent="0.25">
      <c r="C144" t="s">
        <v>552</v>
      </c>
      <c r="D144" s="16">
        <f>AVERAGE(AY144:BJ144)</f>
        <v>215.6875</v>
      </c>
      <c r="E144" s="16">
        <f>AVERAGE(BK144:BV144)</f>
        <v>349.58333333333331</v>
      </c>
      <c r="F144" s="16">
        <f>AVERAGE(BW144:CH144)</f>
        <v>433.08333333333331</v>
      </c>
      <c r="G144" s="16">
        <f>AVERAGE(CI144:CT144)</f>
        <v>703.25</v>
      </c>
      <c r="H144" s="55">
        <f>AVERAGE(CU144:DF144)</f>
        <v>1007.5761941737941</v>
      </c>
      <c r="I144" s="55">
        <f>AVERAGE(DG144:DR144)</f>
        <v>1352.4970738475054</v>
      </c>
      <c r="J144" s="55">
        <f>AVERAGE(DS144:ED144)</f>
        <v>1746.5935165903318</v>
      </c>
      <c r="K144" s="55">
        <f>AVERAGE(EE144:EP144)</f>
        <v>2209.1051682264806</v>
      </c>
      <c r="L144" s="55">
        <f>AVERAGE(EQ144:FB144)</f>
        <v>2875.1757009641674</v>
      </c>
      <c r="M144"/>
      <c r="N144" s="16">
        <f>AVERAGE(AY144:BA144)</f>
        <v>171.83333333333334</v>
      </c>
      <c r="O144" s="16">
        <f>AVERAGE(BB144:BD144)</f>
        <v>194.41666666666666</v>
      </c>
      <c r="P144" s="16">
        <f>AVERAGE(BE144:BG144)</f>
        <v>232.83333333333334</v>
      </c>
      <c r="Q144" s="16">
        <f>AVERAGE(BH144:BJ144)</f>
        <v>263.66666666666669</v>
      </c>
      <c r="R144" s="16">
        <f>AVERAGE(BK144:BM144)</f>
        <v>304.66666666666669</v>
      </c>
      <c r="S144" s="16">
        <f>AVERAGE(BN144:BP144)</f>
        <v>339.33333333333331</v>
      </c>
      <c r="T144" s="16">
        <f>AVERAGE(BQ144:BS144)</f>
        <v>361.33333333333331</v>
      </c>
      <c r="U144" s="16">
        <f>AVERAGE(BT144:BV144)</f>
        <v>393</v>
      </c>
      <c r="V144" s="16">
        <f>AVERAGE(BW144:BY144)</f>
        <v>423</v>
      </c>
      <c r="W144" s="16">
        <f>AVERAGE(BZ144:CB144)</f>
        <v>426.33333333333331</v>
      </c>
      <c r="X144" s="16">
        <f>AVERAGE(CC144:CE144)</f>
        <v>428.33333333333331</v>
      </c>
      <c r="Y144" s="16">
        <f>AVERAGE(CF144:CH144)</f>
        <v>454.66666666666669</v>
      </c>
      <c r="Z144" s="16">
        <f>AVERAGE(CI144:CK144)</f>
        <v>530.33333333333337</v>
      </c>
      <c r="AA144" s="16">
        <f>AVERAGE(CL144:CN144)</f>
        <v>639</v>
      </c>
      <c r="AB144" s="16">
        <f>AVERAGE(CO144:CQ144)</f>
        <v>763</v>
      </c>
      <c r="AC144" s="16">
        <f>AVERAGE(CR144:CT144)</f>
        <v>880.66666666666663</v>
      </c>
      <c r="AD144" s="16">
        <f>AVERAGE(CU144:CW144)</f>
        <v>930.95764222957087</v>
      </c>
      <c r="AE144" s="16">
        <f>AVERAGE(CX144:CZ144)</f>
        <v>967.06351127414462</v>
      </c>
      <c r="AF144" s="16">
        <f>AVERAGE(DA144:DC144)</f>
        <v>1024.2582805104887</v>
      </c>
      <c r="AG144" s="16">
        <f>AVERAGE(DD144:DF144)</f>
        <v>1108.025342680972</v>
      </c>
      <c r="AH144" s="16">
        <f>AVERAGE(DG144:DI144)</f>
        <v>1193.915506587922</v>
      </c>
      <c r="AI144" s="16">
        <f>AVERAGE(DJ144:DL144)</f>
        <v>1281.2118348576148</v>
      </c>
      <c r="AJ144" s="16">
        <f>AVERAGE(DM144:DO144)</f>
        <v>1392.3326651937421</v>
      </c>
      <c r="AK144" s="16">
        <f>AVERAGE(DP144:DR144)</f>
        <v>1542.5282887507428</v>
      </c>
      <c r="AL144" s="16">
        <f>AVERAGE(DS144:DU144)</f>
        <v>1632.2093696986196</v>
      </c>
      <c r="AM144" s="16">
        <f>AVERAGE(DV144:DX144)</f>
        <v>1681.879634165045</v>
      </c>
      <c r="AN144" s="16">
        <f>AVERAGE(DY144:EA144)</f>
        <v>1769.0489086478931</v>
      </c>
      <c r="AO144" s="16">
        <f>AVERAGE(EB144:ED144)</f>
        <v>1903.2361538497692</v>
      </c>
      <c r="AP144" s="16">
        <f>AVERAGE(EE144:EG144)</f>
        <v>2022.4183843496642</v>
      </c>
      <c r="AQ144" s="16">
        <f>AVERAGE(EH144:EJ144)</f>
        <v>2118.7495347589406</v>
      </c>
      <c r="AR144" s="16">
        <f>AVERAGE(EK144:EM144)</f>
        <v>2246.3816060653971</v>
      </c>
      <c r="AS144" s="16">
        <f>AVERAGE(EN144:EP144)</f>
        <v>2448.8711477319198</v>
      </c>
      <c r="AT144" s="16">
        <f>AVERAGE(EQ144:ES144)</f>
        <v>2622.5000052503251</v>
      </c>
      <c r="AU144" s="16">
        <f>AVERAGE(ET144:EV144)</f>
        <v>2762.4551147717225</v>
      </c>
      <c r="AV144" s="16">
        <f>AVERAGE(EW144:EY144)</f>
        <v>2924.927446318572</v>
      </c>
      <c r="AW144" s="16">
        <f>AVERAGE(EZ144:FB144)</f>
        <v>3190.8202375160495</v>
      </c>
      <c r="AY144" s="55">
        <f>AY163</f>
        <v>163.5</v>
      </c>
      <c r="AZ144" s="55">
        <f t="shared" ref="AZ144:DK144" si="1515">AZ163</f>
        <v>173.5</v>
      </c>
      <c r="BA144" s="55">
        <f t="shared" si="1515"/>
        <v>178.5</v>
      </c>
      <c r="BB144" s="55">
        <f t="shared" si="1515"/>
        <v>182.75</v>
      </c>
      <c r="BC144" s="55">
        <f t="shared" si="1515"/>
        <v>196</v>
      </c>
      <c r="BD144" s="55">
        <f t="shared" si="1515"/>
        <v>204.5</v>
      </c>
      <c r="BE144" s="55">
        <f t="shared" si="1515"/>
        <v>224.5</v>
      </c>
      <c r="BF144" s="55">
        <f t="shared" si="1515"/>
        <v>236</v>
      </c>
      <c r="BG144" s="55">
        <f t="shared" si="1515"/>
        <v>238</v>
      </c>
      <c r="BH144" s="55">
        <f t="shared" si="1515"/>
        <v>251</v>
      </c>
      <c r="BI144" s="55">
        <f t="shared" si="1515"/>
        <v>258</v>
      </c>
      <c r="BJ144" s="55">
        <f t="shared" si="1515"/>
        <v>282</v>
      </c>
      <c r="BK144" s="55">
        <f t="shared" si="1515"/>
        <v>295</v>
      </c>
      <c r="BL144" s="55">
        <f t="shared" si="1515"/>
        <v>303</v>
      </c>
      <c r="BM144" s="55">
        <f t="shared" si="1515"/>
        <v>316</v>
      </c>
      <c r="BN144" s="55">
        <f t="shared" si="1515"/>
        <v>329</v>
      </c>
      <c r="BO144" s="55">
        <f t="shared" si="1515"/>
        <v>338</v>
      </c>
      <c r="BP144" s="55">
        <f t="shared" si="1515"/>
        <v>351</v>
      </c>
      <c r="BQ144" s="55">
        <f t="shared" si="1515"/>
        <v>356</v>
      </c>
      <c r="BR144" s="55">
        <f t="shared" si="1515"/>
        <v>360</v>
      </c>
      <c r="BS144" s="55">
        <f t="shared" si="1515"/>
        <v>368</v>
      </c>
      <c r="BT144" s="55">
        <f t="shared" si="1515"/>
        <v>383</v>
      </c>
      <c r="BU144" s="55">
        <f t="shared" si="1515"/>
        <v>387</v>
      </c>
      <c r="BV144" s="55">
        <f t="shared" si="1515"/>
        <v>409</v>
      </c>
      <c r="BW144" s="55">
        <f t="shared" si="1515"/>
        <v>411</v>
      </c>
      <c r="BX144" s="55">
        <f t="shared" si="1515"/>
        <v>423</v>
      </c>
      <c r="BY144" s="55">
        <f t="shared" si="1515"/>
        <v>435</v>
      </c>
      <c r="BZ144" s="55">
        <f t="shared" si="1515"/>
        <v>418</v>
      </c>
      <c r="CA144" s="55">
        <f t="shared" si="1515"/>
        <v>432</v>
      </c>
      <c r="CB144" s="55">
        <f t="shared" si="1515"/>
        <v>429</v>
      </c>
      <c r="CC144" s="55">
        <f t="shared" si="1515"/>
        <v>430</v>
      </c>
      <c r="CD144" s="55">
        <f t="shared" si="1515"/>
        <v>430</v>
      </c>
      <c r="CE144" s="55">
        <f t="shared" si="1515"/>
        <v>425</v>
      </c>
      <c r="CF144" s="55">
        <f t="shared" si="1515"/>
        <v>441</v>
      </c>
      <c r="CG144" s="55">
        <f t="shared" si="1515"/>
        <v>451</v>
      </c>
      <c r="CH144" s="55">
        <f t="shared" si="1515"/>
        <v>472</v>
      </c>
      <c r="CI144" s="55">
        <f t="shared" si="1515"/>
        <v>495</v>
      </c>
      <c r="CJ144" s="55">
        <f t="shared" si="1515"/>
        <v>531</v>
      </c>
      <c r="CK144" s="55">
        <f t="shared" si="1515"/>
        <v>565</v>
      </c>
      <c r="CL144" s="55">
        <f t="shared" si="1515"/>
        <v>589</v>
      </c>
      <c r="CM144" s="55">
        <f t="shared" si="1515"/>
        <v>652</v>
      </c>
      <c r="CN144" s="55">
        <f t="shared" si="1515"/>
        <v>676</v>
      </c>
      <c r="CO144" s="55">
        <f t="shared" si="1515"/>
        <v>724</v>
      </c>
      <c r="CP144" s="55">
        <f t="shared" si="1515"/>
        <v>768</v>
      </c>
      <c r="CQ144" s="55">
        <f t="shared" si="1515"/>
        <v>797</v>
      </c>
      <c r="CR144" s="55">
        <f t="shared" si="1515"/>
        <v>842</v>
      </c>
      <c r="CS144" s="55">
        <f t="shared" si="1515"/>
        <v>883</v>
      </c>
      <c r="CT144" s="55">
        <f t="shared" si="1515"/>
        <v>917</v>
      </c>
      <c r="CU144" s="55">
        <f t="shared" si="1515"/>
        <v>923.9138939716554</v>
      </c>
      <c r="CV144" s="55">
        <f t="shared" si="1515"/>
        <v>930.21212053360125</v>
      </c>
      <c r="CW144" s="55">
        <f t="shared" si="1515"/>
        <v>938.74691218345617</v>
      </c>
      <c r="CX144" s="55">
        <f t="shared" si="1515"/>
        <v>947.38509507754884</v>
      </c>
      <c r="CY144" s="55">
        <f t="shared" si="1515"/>
        <v>964.30238031079955</v>
      </c>
      <c r="CZ144" s="55">
        <f t="shared" si="1515"/>
        <v>989.50305843408535</v>
      </c>
      <c r="DA144" s="55">
        <f t="shared" si="1515"/>
        <v>1004.7526237972131</v>
      </c>
      <c r="DB144" s="55">
        <f t="shared" si="1515"/>
        <v>1020.1874065750089</v>
      </c>
      <c r="DC144" s="55">
        <f t="shared" si="1515"/>
        <v>1047.8348111592441</v>
      </c>
      <c r="DD144" s="55">
        <f t="shared" si="1515"/>
        <v>1074.7842364467162</v>
      </c>
      <c r="DE144" s="55">
        <f t="shared" si="1515"/>
        <v>1103.2146282622389</v>
      </c>
      <c r="DF144" s="55">
        <f t="shared" si="1515"/>
        <v>1146.0771633339609</v>
      </c>
      <c r="DG144" s="55">
        <f t="shared" si="1515"/>
        <v>1170.6597856949702</v>
      </c>
      <c r="DH144" s="55">
        <f t="shared" si="1515"/>
        <v>1192.8784926511967</v>
      </c>
      <c r="DI144" s="55">
        <f t="shared" si="1515"/>
        <v>1218.2082414175991</v>
      </c>
      <c r="DJ144" s="55">
        <f t="shared" si="1515"/>
        <v>1243.0462616144025</v>
      </c>
      <c r="DK144" s="55">
        <f t="shared" si="1515"/>
        <v>1275.0963545944717</v>
      </c>
      <c r="DL144" s="55">
        <f t="shared" ref="DL144:FB144" si="1516">DL163</f>
        <v>1325.4928883639702</v>
      </c>
      <c r="DM144" s="55">
        <f t="shared" si="1516"/>
        <v>1349.9104505576902</v>
      </c>
      <c r="DN144" s="55">
        <f t="shared" si="1516"/>
        <v>1387.2599386225058</v>
      </c>
      <c r="DO144" s="55">
        <f t="shared" si="1516"/>
        <v>1439.8276064010299</v>
      </c>
      <c r="DP144" s="55">
        <f t="shared" si="1516"/>
        <v>1487.6987925644369</v>
      </c>
      <c r="DQ144" s="55">
        <f t="shared" si="1516"/>
        <v>1536.3285289415896</v>
      </c>
      <c r="DR144" s="55">
        <f t="shared" si="1516"/>
        <v>1603.557544746202</v>
      </c>
      <c r="DS144" s="55">
        <f t="shared" si="1516"/>
        <v>1618.7073750279201</v>
      </c>
      <c r="DT144" s="55">
        <f t="shared" si="1516"/>
        <v>1630.7775704915534</v>
      </c>
      <c r="DU144" s="55">
        <f t="shared" si="1516"/>
        <v>1647.1431635763856</v>
      </c>
      <c r="DV144" s="55">
        <f t="shared" si="1516"/>
        <v>1662.8298039523459</v>
      </c>
      <c r="DW144" s="55">
        <f t="shared" si="1516"/>
        <v>1677.6499256437583</v>
      </c>
      <c r="DX144" s="55">
        <f t="shared" si="1516"/>
        <v>1705.1591728990302</v>
      </c>
      <c r="DY144" s="55">
        <f t="shared" si="1516"/>
        <v>1734.2924605895346</v>
      </c>
      <c r="DZ144" s="55">
        <f t="shared" si="1516"/>
        <v>1762.9694836127876</v>
      </c>
      <c r="EA144" s="55">
        <f t="shared" si="1516"/>
        <v>1809.8847817413568</v>
      </c>
      <c r="EB144" s="55">
        <f t="shared" si="1516"/>
        <v>1851.7910290113189</v>
      </c>
      <c r="EC144" s="55">
        <f t="shared" si="1516"/>
        <v>1895.5343330831731</v>
      </c>
      <c r="ED144" s="55">
        <f t="shared" si="1516"/>
        <v>1962.3830994548152</v>
      </c>
      <c r="EE144" s="55">
        <f t="shared" si="1516"/>
        <v>1993.5877017308699</v>
      </c>
      <c r="EF144" s="55">
        <f t="shared" si="1516"/>
        <v>2020.4752590900125</v>
      </c>
      <c r="EG144" s="55">
        <f t="shared" si="1516"/>
        <v>2053.1921922281103</v>
      </c>
      <c r="EH144" s="55">
        <f t="shared" si="1516"/>
        <v>2084.9880563609813</v>
      </c>
      <c r="EI144" s="55">
        <f t="shared" si="1516"/>
        <v>2115.608884938526</v>
      </c>
      <c r="EJ144" s="55">
        <f t="shared" si="1516"/>
        <v>2155.651662977315</v>
      </c>
      <c r="EK144" s="55">
        <f t="shared" si="1516"/>
        <v>2191.3820237832906</v>
      </c>
      <c r="EL144" s="55">
        <f t="shared" si="1516"/>
        <v>2238.229368544929</v>
      </c>
      <c r="EM144" s="55">
        <f t="shared" si="1516"/>
        <v>2309.5334258679727</v>
      </c>
      <c r="EN144" s="55">
        <f t="shared" si="1516"/>
        <v>2373.9134014930405</v>
      </c>
      <c r="EO144" s="55">
        <f t="shared" si="1516"/>
        <v>2439.4282389496093</v>
      </c>
      <c r="EP144" s="55">
        <f t="shared" si="1516"/>
        <v>2533.2718027531096</v>
      </c>
      <c r="EQ144" s="55">
        <f t="shared" si="1516"/>
        <v>2579.579464762006</v>
      </c>
      <c r="ER144" s="55">
        <f t="shared" si="1516"/>
        <v>2619.9285249710047</v>
      </c>
      <c r="ES144" s="55">
        <f t="shared" si="1516"/>
        <v>2667.9920260179647</v>
      </c>
      <c r="ET144" s="55">
        <f t="shared" si="1516"/>
        <v>2714.7962680535798</v>
      </c>
      <c r="EU144" s="55">
        <f t="shared" si="1516"/>
        <v>2760.0141220886126</v>
      </c>
      <c r="EV144" s="55">
        <f t="shared" si="1516"/>
        <v>2812.5549541729747</v>
      </c>
      <c r="EW144" s="55">
        <f t="shared" si="1516"/>
        <v>2850.9978715856801</v>
      </c>
      <c r="EX144" s="55">
        <f t="shared" si="1516"/>
        <v>2915.1550279425669</v>
      </c>
      <c r="EY144" s="55">
        <f t="shared" si="1516"/>
        <v>3008.6294394274682</v>
      </c>
      <c r="EZ144" s="55">
        <f t="shared" si="1516"/>
        <v>3093.4041203030379</v>
      </c>
      <c r="FA144" s="55">
        <f t="shared" si="1516"/>
        <v>3179.4942624910582</v>
      </c>
      <c r="FB144" s="55">
        <f t="shared" si="1516"/>
        <v>3299.5623297540542</v>
      </c>
    </row>
    <row r="145" spans="3:158" s="99" customFormat="1" x14ac:dyDescent="0.25">
      <c r="C145" s="28" t="s">
        <v>553</v>
      </c>
      <c r="D145" s="55">
        <f t="shared" ref="D145:G145" si="1517">D125/D144</f>
        <v>9270.198180237614</v>
      </c>
      <c r="E145" s="55">
        <f t="shared" si="1517"/>
        <v>7716.7485768772367</v>
      </c>
      <c r="F145" s="55">
        <f t="shared" si="1517"/>
        <v>8701.2901674042714</v>
      </c>
      <c r="G145" s="55">
        <f t="shared" si="1517"/>
        <v>7665.5650669510615</v>
      </c>
      <c r="H145" s="249">
        <v>10000</v>
      </c>
      <c r="I145" s="249">
        <f>H145*0.9</f>
        <v>9000</v>
      </c>
      <c r="J145" s="249">
        <f>I145*0.95</f>
        <v>8550</v>
      </c>
      <c r="K145" s="249">
        <f>J145</f>
        <v>8550</v>
      </c>
      <c r="L145" s="249">
        <f>K145</f>
        <v>8550</v>
      </c>
      <c r="N145" s="55">
        <f>N125/N144*4</f>
        <v>9399.6528419010665</v>
      </c>
      <c r="O145" s="55">
        <f t="shared" ref="O145:AW145" si="1518">O125/O144*4</f>
        <v>10070.446086583799</v>
      </c>
      <c r="P145" s="55">
        <f t="shared" si="1518"/>
        <v>8652.727559055118</v>
      </c>
      <c r="Q145" s="55">
        <f t="shared" si="1518"/>
        <v>9141.0259418457645</v>
      </c>
      <c r="R145" s="55">
        <f t="shared" si="1518"/>
        <v>8382.3384682713349</v>
      </c>
      <c r="S145" s="55">
        <f t="shared" si="1518"/>
        <v>7258.342986247545</v>
      </c>
      <c r="T145" s="55">
        <f t="shared" si="1518"/>
        <v>7104.989003690037</v>
      </c>
      <c r="U145" s="55">
        <f t="shared" si="1518"/>
        <v>8159.0345038167943</v>
      </c>
      <c r="V145" s="55">
        <f t="shared" si="1518"/>
        <v>9944.8511583924337</v>
      </c>
      <c r="W145" s="55">
        <f t="shared" si="1518"/>
        <v>8781.452978889758</v>
      </c>
      <c r="X145" s="55">
        <f t="shared" si="1518"/>
        <v>8254.7737587548654</v>
      </c>
      <c r="Y145" s="55">
        <f t="shared" si="1518"/>
        <v>7889.8286217008799</v>
      </c>
      <c r="Z145" s="55">
        <f t="shared" si="1518"/>
        <v>7676.5637460716525</v>
      </c>
      <c r="AA145" s="55">
        <f t="shared" si="1518"/>
        <v>7043.0631820552953</v>
      </c>
      <c r="AB145" s="55">
        <f t="shared" si="1518"/>
        <v>7284.1551245085193</v>
      </c>
      <c r="AC145" s="55">
        <f t="shared" si="1518"/>
        <v>8441.0702043906131</v>
      </c>
      <c r="AD145" s="55">
        <f t="shared" si="1518"/>
        <v>10000.000000000002</v>
      </c>
      <c r="AE145" s="55">
        <f t="shared" si="1518"/>
        <v>10000</v>
      </c>
      <c r="AF145" s="55">
        <f t="shared" si="1518"/>
        <v>9999.9999999999982</v>
      </c>
      <c r="AG145" s="55">
        <f t="shared" si="1518"/>
        <v>10000</v>
      </c>
      <c r="AH145" s="55">
        <f t="shared" si="1518"/>
        <v>9000</v>
      </c>
      <c r="AI145" s="55">
        <f t="shared" si="1518"/>
        <v>9000</v>
      </c>
      <c r="AJ145" s="55">
        <f t="shared" si="1518"/>
        <v>9000</v>
      </c>
      <c r="AK145" s="55">
        <f t="shared" si="1518"/>
        <v>9000</v>
      </c>
      <c r="AL145" s="55">
        <f t="shared" si="1518"/>
        <v>8550</v>
      </c>
      <c r="AM145" s="55">
        <f t="shared" si="1518"/>
        <v>8549.9999999999982</v>
      </c>
      <c r="AN145" s="55">
        <f t="shared" si="1518"/>
        <v>8550</v>
      </c>
      <c r="AO145" s="55">
        <f t="shared" si="1518"/>
        <v>8550</v>
      </c>
      <c r="AP145" s="55">
        <f t="shared" si="1518"/>
        <v>8549.9999999999982</v>
      </c>
      <c r="AQ145" s="55">
        <f t="shared" si="1518"/>
        <v>8550.0000000000018</v>
      </c>
      <c r="AR145" s="55">
        <f t="shared" si="1518"/>
        <v>8550</v>
      </c>
      <c r="AS145" s="55">
        <f t="shared" si="1518"/>
        <v>8550</v>
      </c>
      <c r="AT145" s="55">
        <f t="shared" si="1518"/>
        <v>8550</v>
      </c>
      <c r="AU145" s="55">
        <f t="shared" si="1518"/>
        <v>8550</v>
      </c>
      <c r="AV145" s="55">
        <f t="shared" si="1518"/>
        <v>8550</v>
      </c>
      <c r="AW145" s="55">
        <f t="shared" si="1518"/>
        <v>8550.0000000000018</v>
      </c>
      <c r="AY145" s="55">
        <f>AY125/AY144*12</f>
        <v>9019.9236697247725</v>
      </c>
      <c r="AZ145" s="55">
        <f t="shared" ref="AZ145:CT145" si="1519">AZ125/AZ144*12</f>
        <v>9311.5587319884726</v>
      </c>
      <c r="BA145" s="55">
        <f t="shared" si="1519"/>
        <v>9833.0984873949583</v>
      </c>
      <c r="BB145" s="55">
        <f t="shared" si="1519"/>
        <v>10077.167934336525</v>
      </c>
      <c r="BC145" s="55">
        <f t="shared" si="1519"/>
        <v>10273.969591836736</v>
      </c>
      <c r="BD145" s="55">
        <f t="shared" si="1519"/>
        <v>9869.3750611246942</v>
      </c>
      <c r="BE145" s="55">
        <f t="shared" si="1519"/>
        <v>8838.1459242761703</v>
      </c>
      <c r="BF145" s="55">
        <f t="shared" si="1519"/>
        <v>8471.5596610169487</v>
      </c>
      <c r="BG145" s="55">
        <f t="shared" si="1519"/>
        <v>8657.4721008403358</v>
      </c>
      <c r="BH145" s="55">
        <f t="shared" si="1519"/>
        <v>8289.35235059761</v>
      </c>
      <c r="BI145" s="55">
        <f t="shared" si="1519"/>
        <v>9670.9906976744187</v>
      </c>
      <c r="BJ145" s="55">
        <f t="shared" si="1519"/>
        <v>9414.214468085107</v>
      </c>
      <c r="BK145" s="55">
        <f t="shared" si="1519"/>
        <v>9049.1072542372895</v>
      </c>
      <c r="BL145" s="55">
        <f t="shared" si="1519"/>
        <v>8138.6708910891093</v>
      </c>
      <c r="BM145" s="55">
        <f t="shared" si="1519"/>
        <v>7993.5235443037964</v>
      </c>
      <c r="BN145" s="55">
        <f t="shared" si="1519"/>
        <v>8742.7393313069915</v>
      </c>
      <c r="BO145" s="55">
        <f t="shared" si="1519"/>
        <v>5938.5557396449713</v>
      </c>
      <c r="BP145" s="55">
        <f t="shared" si="1519"/>
        <v>7137.8919658119667</v>
      </c>
      <c r="BQ145" s="55">
        <f t="shared" si="1519"/>
        <v>7240.8974157303383</v>
      </c>
      <c r="BR145" s="55">
        <f t="shared" si="1519"/>
        <v>6734.6153333333332</v>
      </c>
      <c r="BS145" s="55">
        <f t="shared" si="1519"/>
        <v>7335.8344565217394</v>
      </c>
      <c r="BT145" s="55">
        <f t="shared" si="1519"/>
        <v>8368.1827676240209</v>
      </c>
      <c r="BU145" s="55">
        <f t="shared" si="1519"/>
        <v>6937.7193798449625</v>
      </c>
      <c r="BV145" s="55">
        <f t="shared" si="1519"/>
        <v>9118.8026405867968</v>
      </c>
      <c r="BW145" s="55">
        <f t="shared" si="1519"/>
        <v>6604.2145985401467</v>
      </c>
      <c r="BX145" s="55">
        <f t="shared" si="1519"/>
        <v>9875.5418439716323</v>
      </c>
      <c r="BY145" s="55">
        <f t="shared" si="1519"/>
        <v>13168.57406896551</v>
      </c>
      <c r="BZ145" s="55">
        <f t="shared" si="1519"/>
        <v>8402.58</v>
      </c>
      <c r="CA145" s="55">
        <f t="shared" si="1519"/>
        <v>8275.5500000000011</v>
      </c>
      <c r="CB145" s="55">
        <f t="shared" si="1519"/>
        <v>9660.0520279720276</v>
      </c>
      <c r="CC145" s="55">
        <f t="shared" si="1519"/>
        <v>8376.2012093023259</v>
      </c>
      <c r="CD145" s="55">
        <f t="shared" si="1519"/>
        <v>7514.1103255813941</v>
      </c>
      <c r="CE145" s="55">
        <f t="shared" si="1519"/>
        <v>8881.2948705882354</v>
      </c>
      <c r="CF145" s="55">
        <f t="shared" si="1519"/>
        <v>7546.137414965986</v>
      </c>
      <c r="CG145" s="55">
        <f t="shared" si="1519"/>
        <v>7679.4175609756103</v>
      </c>
      <c r="CH145" s="55">
        <f t="shared" si="1519"/>
        <v>8411.9964406779654</v>
      </c>
      <c r="CI145" s="55">
        <f t="shared" si="1519"/>
        <v>6922.6448484848488</v>
      </c>
      <c r="CJ145" s="55">
        <f t="shared" si="1519"/>
        <v>6502.628700564972</v>
      </c>
      <c r="CK145" s="55">
        <f t="shared" si="1519"/>
        <v>9440.3679292035395</v>
      </c>
      <c r="CL145" s="55">
        <f t="shared" si="1519"/>
        <v>6767.2859083191843</v>
      </c>
      <c r="CM145" s="55">
        <f t="shared" si="1519"/>
        <v>7297.2551533742335</v>
      </c>
      <c r="CN145" s="55">
        <f t="shared" si="1519"/>
        <v>7038.1810059171612</v>
      </c>
      <c r="CO145" s="55">
        <f t="shared" si="1519"/>
        <v>7676.5336464088396</v>
      </c>
      <c r="CP145" s="55">
        <f t="shared" si="1519"/>
        <v>7236.7322395833326</v>
      </c>
      <c r="CQ145" s="55">
        <f t="shared" si="1519"/>
        <v>6973.413249686324</v>
      </c>
      <c r="CR145" s="55">
        <f t="shared" si="1519"/>
        <v>6600.7248931116392</v>
      </c>
      <c r="CS145" s="55">
        <f t="shared" si="1519"/>
        <v>6294.2359682899205</v>
      </c>
      <c r="CT145" s="55">
        <f t="shared" si="1519"/>
        <v>12198.131690294438</v>
      </c>
      <c r="CU145" s="90">
        <f t="shared" ref="CU145:FB145" si="1520">INDEX($D145:$L145,1,MATCH(CU$2,$D$2:$L$2,))</f>
        <v>10000</v>
      </c>
      <c r="CV145" s="90">
        <f t="shared" si="1520"/>
        <v>10000</v>
      </c>
      <c r="CW145" s="90">
        <f t="shared" si="1520"/>
        <v>10000</v>
      </c>
      <c r="CX145" s="90">
        <f t="shared" si="1520"/>
        <v>10000</v>
      </c>
      <c r="CY145" s="90">
        <f t="shared" si="1520"/>
        <v>10000</v>
      </c>
      <c r="CZ145" s="90">
        <f t="shared" si="1520"/>
        <v>10000</v>
      </c>
      <c r="DA145" s="90">
        <f t="shared" si="1520"/>
        <v>10000</v>
      </c>
      <c r="DB145" s="90">
        <f t="shared" si="1520"/>
        <v>10000</v>
      </c>
      <c r="DC145" s="90">
        <f t="shared" si="1520"/>
        <v>10000</v>
      </c>
      <c r="DD145" s="90">
        <f t="shared" si="1520"/>
        <v>10000</v>
      </c>
      <c r="DE145" s="90">
        <f t="shared" si="1520"/>
        <v>10000</v>
      </c>
      <c r="DF145" s="90">
        <f t="shared" si="1520"/>
        <v>10000</v>
      </c>
      <c r="DG145" s="90">
        <f t="shared" si="1520"/>
        <v>9000</v>
      </c>
      <c r="DH145" s="90">
        <f t="shared" si="1520"/>
        <v>9000</v>
      </c>
      <c r="DI145" s="90">
        <f t="shared" si="1520"/>
        <v>9000</v>
      </c>
      <c r="DJ145" s="90">
        <f t="shared" si="1520"/>
        <v>9000</v>
      </c>
      <c r="DK145" s="90">
        <f t="shared" si="1520"/>
        <v>9000</v>
      </c>
      <c r="DL145" s="90">
        <f t="shared" si="1520"/>
        <v>9000</v>
      </c>
      <c r="DM145" s="90">
        <f t="shared" si="1520"/>
        <v>9000</v>
      </c>
      <c r="DN145" s="90">
        <f t="shared" si="1520"/>
        <v>9000</v>
      </c>
      <c r="DO145" s="90">
        <f t="shared" si="1520"/>
        <v>9000</v>
      </c>
      <c r="DP145" s="90">
        <f t="shared" si="1520"/>
        <v>9000</v>
      </c>
      <c r="DQ145" s="90">
        <f t="shared" si="1520"/>
        <v>9000</v>
      </c>
      <c r="DR145" s="90">
        <f t="shared" si="1520"/>
        <v>9000</v>
      </c>
      <c r="DS145" s="90">
        <f t="shared" si="1520"/>
        <v>8550</v>
      </c>
      <c r="DT145" s="90">
        <f t="shared" si="1520"/>
        <v>8550</v>
      </c>
      <c r="DU145" s="90">
        <f t="shared" si="1520"/>
        <v>8550</v>
      </c>
      <c r="DV145" s="90">
        <f t="shared" si="1520"/>
        <v>8550</v>
      </c>
      <c r="DW145" s="90">
        <f t="shared" si="1520"/>
        <v>8550</v>
      </c>
      <c r="DX145" s="90">
        <f t="shared" si="1520"/>
        <v>8550</v>
      </c>
      <c r="DY145" s="90">
        <f t="shared" si="1520"/>
        <v>8550</v>
      </c>
      <c r="DZ145" s="90">
        <f t="shared" si="1520"/>
        <v>8550</v>
      </c>
      <c r="EA145" s="90">
        <f t="shared" si="1520"/>
        <v>8550</v>
      </c>
      <c r="EB145" s="90">
        <f t="shared" si="1520"/>
        <v>8550</v>
      </c>
      <c r="EC145" s="90">
        <f t="shared" si="1520"/>
        <v>8550</v>
      </c>
      <c r="ED145" s="90">
        <f t="shared" si="1520"/>
        <v>8550</v>
      </c>
      <c r="EE145" s="90">
        <f t="shared" si="1520"/>
        <v>8550</v>
      </c>
      <c r="EF145" s="90">
        <f t="shared" si="1520"/>
        <v>8550</v>
      </c>
      <c r="EG145" s="90">
        <f t="shared" si="1520"/>
        <v>8550</v>
      </c>
      <c r="EH145" s="90">
        <f t="shared" si="1520"/>
        <v>8550</v>
      </c>
      <c r="EI145" s="90">
        <f t="shared" si="1520"/>
        <v>8550</v>
      </c>
      <c r="EJ145" s="90">
        <f t="shared" si="1520"/>
        <v>8550</v>
      </c>
      <c r="EK145" s="90">
        <f t="shared" si="1520"/>
        <v>8550</v>
      </c>
      <c r="EL145" s="90">
        <f t="shared" si="1520"/>
        <v>8550</v>
      </c>
      <c r="EM145" s="90">
        <f t="shared" si="1520"/>
        <v>8550</v>
      </c>
      <c r="EN145" s="90">
        <f t="shared" si="1520"/>
        <v>8550</v>
      </c>
      <c r="EO145" s="90">
        <f t="shared" si="1520"/>
        <v>8550</v>
      </c>
      <c r="EP145" s="90">
        <f t="shared" si="1520"/>
        <v>8550</v>
      </c>
      <c r="EQ145" s="90">
        <f t="shared" si="1520"/>
        <v>8550</v>
      </c>
      <c r="ER145" s="90">
        <f t="shared" si="1520"/>
        <v>8550</v>
      </c>
      <c r="ES145" s="90">
        <f t="shared" si="1520"/>
        <v>8550</v>
      </c>
      <c r="ET145" s="90">
        <f t="shared" si="1520"/>
        <v>8550</v>
      </c>
      <c r="EU145" s="90">
        <f t="shared" si="1520"/>
        <v>8550</v>
      </c>
      <c r="EV145" s="90">
        <f t="shared" si="1520"/>
        <v>8550</v>
      </c>
      <c r="EW145" s="90">
        <f t="shared" si="1520"/>
        <v>8550</v>
      </c>
      <c r="EX145" s="90">
        <f t="shared" si="1520"/>
        <v>8550</v>
      </c>
      <c r="EY145" s="90">
        <f t="shared" si="1520"/>
        <v>8550</v>
      </c>
      <c r="EZ145" s="90">
        <f t="shared" si="1520"/>
        <v>8550</v>
      </c>
      <c r="FA145" s="90">
        <f t="shared" si="1520"/>
        <v>8550</v>
      </c>
      <c r="FB145" s="90">
        <f t="shared" si="1520"/>
        <v>8550</v>
      </c>
    </row>
    <row r="146" spans="3:158" outlineLevel="1" x14ac:dyDescent="0.25">
      <c r="D146" s="16"/>
      <c r="E146" s="16"/>
      <c r="F146" s="16"/>
      <c r="G146" s="16"/>
      <c r="H146" s="16"/>
      <c r="I146" s="55"/>
      <c r="J146" s="55"/>
      <c r="K146" s="55"/>
      <c r="L146" s="55"/>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Y146" s="16"/>
      <c r="AZ146" s="16"/>
      <c r="BA146" s="16"/>
      <c r="BB146" s="16"/>
      <c r="BC146" s="16"/>
      <c r="BD146" s="16"/>
      <c r="BE146" s="16"/>
      <c r="BF146" s="16"/>
      <c r="BG146" s="16"/>
      <c r="BH146" s="16"/>
      <c r="BI146" s="16"/>
      <c r="BJ146" s="16"/>
      <c r="BK146" s="16"/>
      <c r="BL146" s="16"/>
      <c r="BM146" s="16"/>
      <c r="BN146" s="16"/>
      <c r="BO146" s="16"/>
      <c r="BP146" s="16"/>
      <c r="BQ146" s="16"/>
      <c r="BR146" s="16"/>
      <c r="BS146" s="16"/>
      <c r="BT146" s="16"/>
      <c r="BU146" s="16"/>
      <c r="BV146" s="16"/>
      <c r="BW146" s="16"/>
      <c r="BX146" s="16"/>
      <c r="BY146" s="16"/>
      <c r="BZ146" s="16"/>
      <c r="CA146" s="16"/>
      <c r="CB146" s="16"/>
      <c r="CC146" s="16"/>
      <c r="CD146" s="16"/>
      <c r="CE146" s="16"/>
      <c r="CF146" s="16"/>
      <c r="CG146" s="16"/>
      <c r="CH146" s="16"/>
      <c r="CI146" s="16"/>
      <c r="CJ146" s="16"/>
      <c r="CK146" s="16"/>
      <c r="CL146" s="16"/>
      <c r="CM146" s="16"/>
      <c r="CN146" s="16"/>
      <c r="CO146" s="16"/>
      <c r="CP146" s="16"/>
      <c r="CQ146" s="16"/>
      <c r="CR146" s="16"/>
      <c r="CS146" s="16"/>
      <c r="CT146" s="16"/>
      <c r="CU146" s="16"/>
      <c r="CV146" s="16"/>
      <c r="CW146" s="16"/>
      <c r="CX146" s="16"/>
      <c r="CY146" s="16"/>
      <c r="CZ146" s="16"/>
      <c r="DA146" s="16"/>
      <c r="DB146" s="16"/>
      <c r="DC146" s="16"/>
      <c r="DD146" s="16"/>
      <c r="DE146" s="16"/>
      <c r="DF146" s="16"/>
      <c r="DG146" s="16"/>
      <c r="DH146" s="16"/>
      <c r="DI146" s="16"/>
      <c r="DJ146" s="16"/>
      <c r="DK146" s="16"/>
      <c r="DL146" s="16"/>
      <c r="DM146" s="16"/>
      <c r="DN146" s="16"/>
      <c r="DO146" s="16"/>
      <c r="DP146" s="16"/>
      <c r="DQ146" s="16"/>
      <c r="DR146" s="16"/>
      <c r="DS146" s="16"/>
      <c r="DT146" s="16"/>
      <c r="DU146" s="16"/>
      <c r="DV146" s="16"/>
      <c r="DW146" s="16"/>
      <c r="DX146" s="16"/>
      <c r="DY146" s="16"/>
      <c r="DZ146" s="16"/>
      <c r="EA146" s="16"/>
      <c r="EB146" s="16"/>
      <c r="EC146" s="16"/>
      <c r="ED146" s="16"/>
      <c r="EE146" s="16"/>
      <c r="EF146" s="16"/>
      <c r="EG146" s="16"/>
      <c r="EH146" s="16"/>
      <c r="EI146" s="16"/>
      <c r="EJ146" s="16"/>
      <c r="EK146" s="16"/>
      <c r="EL146" s="16"/>
      <c r="EM146" s="16"/>
      <c r="EN146" s="16"/>
      <c r="EO146" s="16"/>
      <c r="EP146" s="16"/>
      <c r="EQ146" s="16"/>
      <c r="ER146" s="16"/>
      <c r="ES146" s="16"/>
      <c r="ET146" s="16"/>
      <c r="EU146" s="16"/>
      <c r="EV146" s="16"/>
      <c r="EW146" s="16"/>
      <c r="EX146" s="16"/>
      <c r="EY146" s="16"/>
      <c r="EZ146" s="16"/>
      <c r="FA146" s="16"/>
      <c r="FB146" s="16"/>
    </row>
    <row r="147" spans="3:158" outlineLevel="1" x14ac:dyDescent="0.25">
      <c r="C147" s="7" t="s">
        <v>525</v>
      </c>
      <c r="D147" s="16"/>
      <c r="E147" s="16"/>
      <c r="F147" s="16"/>
      <c r="G147" s="16"/>
      <c r="H147" s="16"/>
      <c r="I147" s="55"/>
      <c r="J147" s="55"/>
      <c r="K147" s="55"/>
      <c r="L147" s="55"/>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Y147" s="16"/>
      <c r="AZ147" s="16"/>
      <c r="BA147" s="16"/>
      <c r="BB147" s="16"/>
      <c r="BC147" s="16"/>
      <c r="BD147" s="16"/>
      <c r="BE147" s="16"/>
      <c r="BF147" s="16"/>
      <c r="BG147" s="16"/>
      <c r="BH147" s="16"/>
      <c r="BI147" s="16"/>
      <c r="BJ147" s="16"/>
      <c r="BK147" s="16"/>
      <c r="BL147" s="16"/>
      <c r="BM147" s="16"/>
      <c r="BN147" s="16"/>
      <c r="BO147" s="16"/>
      <c r="BP147" s="16"/>
      <c r="BQ147" s="16"/>
      <c r="BR147" s="16"/>
      <c r="BS147" s="16"/>
      <c r="BT147" s="16"/>
      <c r="BU147" s="16"/>
      <c r="BV147" s="16"/>
      <c r="BW147" s="16"/>
      <c r="BX147" s="16"/>
      <c r="BY147" s="16"/>
      <c r="BZ147" s="16"/>
      <c r="CA147" s="16"/>
      <c r="CB147" s="16"/>
      <c r="CC147" s="16"/>
      <c r="CD147" s="16"/>
      <c r="CE147" s="16"/>
      <c r="CF147" s="16"/>
      <c r="CG147" s="16"/>
      <c r="CH147" s="16"/>
      <c r="CI147" s="16"/>
      <c r="CJ147" s="16"/>
      <c r="CK147" s="16"/>
      <c r="CL147" s="16"/>
      <c r="CM147" s="16"/>
      <c r="CN147" s="16"/>
      <c r="CO147" s="16"/>
      <c r="CP147" s="16"/>
      <c r="CQ147" s="16"/>
      <c r="CR147" s="16"/>
      <c r="CS147" s="16"/>
      <c r="CT147" s="16"/>
      <c r="CU147" s="16"/>
      <c r="CV147" s="16"/>
      <c r="CW147" s="16"/>
      <c r="CX147" s="16"/>
      <c r="CY147" s="16"/>
      <c r="CZ147" s="16"/>
      <c r="DA147" s="16"/>
      <c r="DB147" s="16"/>
      <c r="DC147" s="16"/>
      <c r="DD147" s="16"/>
      <c r="DE147" s="16"/>
      <c r="DF147" s="16"/>
      <c r="DG147" s="16"/>
      <c r="DH147" s="16"/>
      <c r="DI147" s="16"/>
      <c r="DJ147" s="16"/>
      <c r="DK147" s="16"/>
      <c r="DL147" s="16"/>
      <c r="DM147" s="16"/>
      <c r="DN147" s="16"/>
      <c r="DO147" s="16"/>
      <c r="DP147" s="16"/>
      <c r="DQ147" s="16"/>
      <c r="DR147" s="16"/>
      <c r="DS147" s="16"/>
      <c r="DT147" s="16"/>
      <c r="DU147" s="16"/>
      <c r="DV147" s="16"/>
      <c r="DW147" s="16"/>
      <c r="DX147" s="16"/>
      <c r="DY147" s="16"/>
      <c r="DZ147" s="16"/>
      <c r="EA147" s="16"/>
      <c r="EB147" s="16"/>
      <c r="EC147" s="16"/>
      <c r="ED147" s="16"/>
      <c r="EE147" s="16"/>
      <c r="EF147" s="16"/>
      <c r="EG147" s="16"/>
      <c r="EH147" s="16"/>
      <c r="EI147" s="16"/>
      <c r="EJ147" s="16"/>
      <c r="EK147" s="16"/>
      <c r="EL147" s="16"/>
      <c r="EM147" s="16"/>
      <c r="EN147" s="16"/>
      <c r="EO147" s="16"/>
      <c r="EP147" s="16"/>
      <c r="EQ147" s="16"/>
      <c r="ER147" s="16"/>
      <c r="ES147" s="16"/>
      <c r="ET147" s="16"/>
      <c r="EU147" s="16"/>
      <c r="EV147" s="16"/>
      <c r="EW147" s="16"/>
      <c r="EX147" s="16"/>
      <c r="EY147" s="16"/>
      <c r="EZ147" s="16"/>
      <c r="FA147" s="16"/>
      <c r="FB147" s="16"/>
    </row>
    <row r="148" spans="3:158" outlineLevel="1" x14ac:dyDescent="0.25">
      <c r="C148" s="28" t="s">
        <v>549</v>
      </c>
      <c r="D148" s="19">
        <f>D124/D123</f>
        <v>1.0201667040702069</v>
      </c>
      <c r="E148" s="19">
        <f>E124/E123</f>
        <v>1.3560256466235727</v>
      </c>
      <c r="F148" s="19">
        <f>F124/F123</f>
        <v>0.9568844147514145</v>
      </c>
      <c r="G148" s="19">
        <f>G124/G123</f>
        <v>0.72353604836962193</v>
      </c>
      <c r="H148" s="250">
        <f>G148-2.5%</f>
        <v>0.69853604836962191</v>
      </c>
      <c r="I148" s="250">
        <f t="shared" ref="I148:L148" si="1521">H148-2.5%</f>
        <v>0.67353604836962189</v>
      </c>
      <c r="J148" s="250">
        <f t="shared" si="1521"/>
        <v>0.64853604836962186</v>
      </c>
      <c r="K148" s="250">
        <f t="shared" si="1521"/>
        <v>0.62353604836962184</v>
      </c>
      <c r="L148" s="250">
        <f t="shared" si="1521"/>
        <v>0.59853604836962182</v>
      </c>
      <c r="N148" s="19">
        <f t="shared" ref="N148:AW148" si="1522">N124/N123</f>
        <v>1.1348010586415365</v>
      </c>
      <c r="O148" s="19">
        <f t="shared" si="1522"/>
        <v>1.1902782827114384</v>
      </c>
      <c r="P148" s="19">
        <f t="shared" si="1522"/>
        <v>0.57159306035257562</v>
      </c>
      <c r="Q148" s="19">
        <f t="shared" si="1522"/>
        <v>1.1759509030935931</v>
      </c>
      <c r="R148" s="19">
        <f t="shared" si="1522"/>
        <v>1.5402817207716779</v>
      </c>
      <c r="S148" s="19">
        <f t="shared" si="1522"/>
        <v>1.2341584615341348</v>
      </c>
      <c r="T148" s="19">
        <f t="shared" si="1522"/>
        <v>1.3290494063809692</v>
      </c>
      <c r="U148" s="19">
        <f t="shared" si="1522"/>
        <v>1.3459890647600581</v>
      </c>
      <c r="V148" s="19">
        <f t="shared" si="1522"/>
        <v>0.88695637203163458</v>
      </c>
      <c r="W148" s="19">
        <f t="shared" si="1522"/>
        <v>0.74111327426166618</v>
      </c>
      <c r="X148" s="19">
        <f t="shared" si="1522"/>
        <v>0.97822751310221412</v>
      </c>
      <c r="Y148" s="19">
        <f t="shared" si="1522"/>
        <v>1.2303928597967124</v>
      </c>
      <c r="Z148" s="19">
        <f t="shared" si="1522"/>
        <v>0.96627954184640719</v>
      </c>
      <c r="AA148" s="19">
        <f t="shared" si="1522"/>
        <v>0.66003858778102165</v>
      </c>
      <c r="AB148" s="19">
        <f t="shared" si="1522"/>
        <v>0.6809164580359528</v>
      </c>
      <c r="AC148" s="19">
        <f t="shared" si="1522"/>
        <v>0.69641964555426228</v>
      </c>
      <c r="AD148" s="19">
        <f t="shared" si="1522"/>
        <v>0.69853604836962191</v>
      </c>
      <c r="AE148" s="19">
        <f t="shared" si="1522"/>
        <v>0.69853604836962191</v>
      </c>
      <c r="AF148" s="19">
        <f t="shared" si="1522"/>
        <v>0.6985360483696218</v>
      </c>
      <c r="AG148" s="19">
        <f t="shared" si="1522"/>
        <v>0.69853604836962202</v>
      </c>
      <c r="AH148" s="19">
        <f t="shared" si="1522"/>
        <v>0.67353604836962189</v>
      </c>
      <c r="AI148" s="19">
        <f t="shared" si="1522"/>
        <v>0.67353604836962189</v>
      </c>
      <c r="AJ148" s="19">
        <f t="shared" si="1522"/>
        <v>0.67353604836962166</v>
      </c>
      <c r="AK148" s="19">
        <f t="shared" si="1522"/>
        <v>0.67353604836962178</v>
      </c>
      <c r="AL148" s="19">
        <f t="shared" si="1522"/>
        <v>0.64853604836962186</v>
      </c>
      <c r="AM148" s="19">
        <f t="shared" si="1522"/>
        <v>0.64853604836962186</v>
      </c>
      <c r="AN148" s="19">
        <f t="shared" si="1522"/>
        <v>0.64853604836962186</v>
      </c>
      <c r="AO148" s="19">
        <f t="shared" si="1522"/>
        <v>0.64853604836962175</v>
      </c>
      <c r="AP148" s="19">
        <f t="shared" si="1522"/>
        <v>0.62353604836962184</v>
      </c>
      <c r="AQ148" s="19">
        <f t="shared" si="1522"/>
        <v>0.62353604836962184</v>
      </c>
      <c r="AR148" s="19">
        <f t="shared" si="1522"/>
        <v>0.62353604836962184</v>
      </c>
      <c r="AS148" s="19">
        <f t="shared" si="1522"/>
        <v>0.62353604836962184</v>
      </c>
      <c r="AT148" s="19">
        <f t="shared" si="1522"/>
        <v>0.59853604836962182</v>
      </c>
      <c r="AU148" s="19">
        <f t="shared" si="1522"/>
        <v>0.59853604836962182</v>
      </c>
      <c r="AV148" s="19">
        <f t="shared" si="1522"/>
        <v>0.59853604836962182</v>
      </c>
      <c r="AW148" s="19">
        <f t="shared" si="1522"/>
        <v>0.59853604836962182</v>
      </c>
      <c r="AY148" s="19">
        <f t="shared" ref="AY148:CT148" si="1523">AY124/AY123</f>
        <v>0.62872725261114359</v>
      </c>
      <c r="AZ148" s="19">
        <f t="shared" si="1523"/>
        <v>1.6193956691281135</v>
      </c>
      <c r="BA148" s="19">
        <f t="shared" si="1523"/>
        <v>1.212332045000158</v>
      </c>
      <c r="BB148" s="19">
        <f t="shared" si="1523"/>
        <v>1.3520852025998917</v>
      </c>
      <c r="BC148" s="19">
        <f t="shared" si="1523"/>
        <v>1.2488322599071342</v>
      </c>
      <c r="BD148" s="19">
        <f t="shared" si="1523"/>
        <v>0.96621479015636913</v>
      </c>
      <c r="BE148" s="19">
        <f t="shared" si="1523"/>
        <v>0.84611657780009231</v>
      </c>
      <c r="BF148" s="19">
        <f t="shared" si="1523"/>
        <v>0.39754801278153024</v>
      </c>
      <c r="BG148" s="19">
        <f t="shared" si="1523"/>
        <v>0.48743135497805667</v>
      </c>
      <c r="BH148" s="19">
        <f t="shared" si="1523"/>
        <v>0.80157009160214565</v>
      </c>
      <c r="BI148" s="19">
        <f t="shared" si="1523"/>
        <v>0.75543681142945041</v>
      </c>
      <c r="BJ148" s="19">
        <f t="shared" si="1523"/>
        <v>1.7344818310907597</v>
      </c>
      <c r="BK148" s="19">
        <f t="shared" si="1523"/>
        <v>1.1978703670051785</v>
      </c>
      <c r="BL148" s="19">
        <f t="shared" si="1523"/>
        <v>1.0950192548921402</v>
      </c>
      <c r="BM148" s="19">
        <f t="shared" si="1523"/>
        <v>2.2822987418406626</v>
      </c>
      <c r="BN148" s="19">
        <f t="shared" si="1523"/>
        <v>1.5249720503292978</v>
      </c>
      <c r="BO148" s="19">
        <f t="shared" si="1523"/>
        <v>0.9624604176492414</v>
      </c>
      <c r="BP148" s="19">
        <f t="shared" si="1523"/>
        <v>1.2342633950300086</v>
      </c>
      <c r="BQ148" s="19">
        <f t="shared" si="1523"/>
        <v>1.3150051480992075</v>
      </c>
      <c r="BR148" s="19">
        <f t="shared" si="1523"/>
        <v>0.9354515150449273</v>
      </c>
      <c r="BS148" s="19">
        <f t="shared" si="1523"/>
        <v>1.7449225556641839</v>
      </c>
      <c r="BT148" s="19">
        <f t="shared" si="1523"/>
        <v>1.2455200114544789</v>
      </c>
      <c r="BU148" s="19">
        <f t="shared" si="1523"/>
        <v>1.2190188776572857</v>
      </c>
      <c r="BV148" s="19">
        <f t="shared" si="1523"/>
        <v>1.6320856567757192</v>
      </c>
      <c r="BW148" s="19">
        <f t="shared" si="1523"/>
        <v>1.3508518514114018</v>
      </c>
      <c r="BX148" s="19">
        <f t="shared" si="1523"/>
        <v>1.403727751886281</v>
      </c>
      <c r="BY148" s="19">
        <f t="shared" si="1523"/>
        <v>0.20380505173054822</v>
      </c>
      <c r="BZ148" s="19">
        <f t="shared" si="1523"/>
        <v>0.5756569220386768</v>
      </c>
      <c r="CA148" s="19">
        <f t="shared" si="1523"/>
        <v>0.62243007668227535</v>
      </c>
      <c r="CB148" s="19">
        <f t="shared" si="1523"/>
        <v>1.0440703259985085</v>
      </c>
      <c r="CC148" s="19">
        <f t="shared" si="1523"/>
        <v>0.83916572060777128</v>
      </c>
      <c r="CD148" s="19">
        <f t="shared" si="1523"/>
        <v>0.87152523461218134</v>
      </c>
      <c r="CE148" s="19">
        <f t="shared" si="1523"/>
        <v>1.2331827709913201</v>
      </c>
      <c r="CF148" s="19">
        <f t="shared" si="1523"/>
        <v>1.4047673976611921</v>
      </c>
      <c r="CG148" s="19">
        <f t="shared" si="1523"/>
        <v>1.2363249793537718</v>
      </c>
      <c r="CH148" s="19">
        <f t="shared" si="1523"/>
        <v>1.0877961588315834</v>
      </c>
      <c r="CI148" s="19">
        <f t="shared" si="1523"/>
        <v>1.0428795593010067</v>
      </c>
      <c r="CJ148" s="19">
        <f t="shared" si="1523"/>
        <v>0.91026193183956561</v>
      </c>
      <c r="CK148" s="19">
        <f t="shared" si="1523"/>
        <v>0.95031453478432171</v>
      </c>
      <c r="CL148" s="19">
        <f t="shared" si="1523"/>
        <v>0.61828233865460158</v>
      </c>
      <c r="CM148" s="19">
        <f t="shared" si="1523"/>
        <v>0.57062185584807268</v>
      </c>
      <c r="CN148" s="19">
        <f t="shared" si="1523"/>
        <v>0.789957856684398</v>
      </c>
      <c r="CO148" s="19">
        <f t="shared" si="1523"/>
        <v>0.61040177740023538</v>
      </c>
      <c r="CP148" s="19">
        <f t="shared" si="1523"/>
        <v>0.62292226127155015</v>
      </c>
      <c r="CQ148" s="19">
        <f t="shared" si="1523"/>
        <v>0.79742185221616591</v>
      </c>
      <c r="CR148" s="19">
        <f t="shared" si="1523"/>
        <v>0.61439891698424254</v>
      </c>
      <c r="CS148" s="19">
        <f t="shared" si="1523"/>
        <v>0.67022698931639535</v>
      </c>
      <c r="CT148" s="19">
        <f t="shared" si="1523"/>
        <v>0.79489179990838155</v>
      </c>
      <c r="CU148" s="93">
        <f t="shared" ref="CU148:DJ149" si="1524">INDEX($D148:$L148,1,MATCH(CU$2,$D$2:$L$2,))</f>
        <v>0.69853604836962191</v>
      </c>
      <c r="CV148" s="93">
        <f t="shared" si="1524"/>
        <v>0.69853604836962191</v>
      </c>
      <c r="CW148" s="93">
        <f t="shared" si="1524"/>
        <v>0.69853604836962191</v>
      </c>
      <c r="CX148" s="93">
        <f t="shared" si="1524"/>
        <v>0.69853604836962191</v>
      </c>
      <c r="CY148" s="93">
        <f t="shared" si="1524"/>
        <v>0.69853604836962191</v>
      </c>
      <c r="CZ148" s="93">
        <f t="shared" si="1524"/>
        <v>0.69853604836962191</v>
      </c>
      <c r="DA148" s="93">
        <f t="shared" si="1524"/>
        <v>0.69853604836962191</v>
      </c>
      <c r="DB148" s="93">
        <f t="shared" si="1524"/>
        <v>0.69853604836962191</v>
      </c>
      <c r="DC148" s="93">
        <f t="shared" si="1524"/>
        <v>0.69853604836962191</v>
      </c>
      <c r="DD148" s="93">
        <f t="shared" si="1524"/>
        <v>0.69853604836962191</v>
      </c>
      <c r="DE148" s="93">
        <f t="shared" si="1524"/>
        <v>0.69853604836962191</v>
      </c>
      <c r="DF148" s="93">
        <f t="shared" si="1524"/>
        <v>0.69853604836962191</v>
      </c>
      <c r="DG148" s="93">
        <f t="shared" si="1524"/>
        <v>0.67353604836962189</v>
      </c>
      <c r="DH148" s="93">
        <f t="shared" si="1524"/>
        <v>0.67353604836962189</v>
      </c>
      <c r="DI148" s="93">
        <f t="shared" si="1524"/>
        <v>0.67353604836962189</v>
      </c>
      <c r="DJ148" s="93">
        <f t="shared" si="1524"/>
        <v>0.67353604836962189</v>
      </c>
      <c r="DK148" s="93">
        <f t="shared" ref="DK148:DZ149" si="1525">INDEX($D148:$L148,1,MATCH(DK$2,$D$2:$L$2,))</f>
        <v>0.67353604836962189</v>
      </c>
      <c r="DL148" s="93">
        <f t="shared" si="1525"/>
        <v>0.67353604836962189</v>
      </c>
      <c r="DM148" s="93">
        <f t="shared" si="1525"/>
        <v>0.67353604836962189</v>
      </c>
      <c r="DN148" s="93">
        <f t="shared" si="1525"/>
        <v>0.67353604836962189</v>
      </c>
      <c r="DO148" s="93">
        <f t="shared" si="1525"/>
        <v>0.67353604836962189</v>
      </c>
      <c r="DP148" s="93">
        <f t="shared" si="1525"/>
        <v>0.67353604836962189</v>
      </c>
      <c r="DQ148" s="93">
        <f t="shared" si="1525"/>
        <v>0.67353604836962189</v>
      </c>
      <c r="DR148" s="93">
        <f t="shared" si="1525"/>
        <v>0.67353604836962189</v>
      </c>
      <c r="DS148" s="93">
        <f t="shared" si="1525"/>
        <v>0.64853604836962186</v>
      </c>
      <c r="DT148" s="93">
        <f t="shared" si="1525"/>
        <v>0.64853604836962186</v>
      </c>
      <c r="DU148" s="93">
        <f t="shared" si="1525"/>
        <v>0.64853604836962186</v>
      </c>
      <c r="DV148" s="93">
        <f t="shared" si="1525"/>
        <v>0.64853604836962186</v>
      </c>
      <c r="DW148" s="93">
        <f t="shared" si="1525"/>
        <v>0.64853604836962186</v>
      </c>
      <c r="DX148" s="93">
        <f t="shared" si="1525"/>
        <v>0.64853604836962186</v>
      </c>
      <c r="DY148" s="93">
        <f t="shared" si="1525"/>
        <v>0.64853604836962186</v>
      </c>
      <c r="DZ148" s="93">
        <f t="shared" si="1525"/>
        <v>0.64853604836962186</v>
      </c>
      <c r="EA148" s="93">
        <f t="shared" ref="EA148:EP149" si="1526">INDEX($D148:$L148,1,MATCH(EA$2,$D$2:$L$2,))</f>
        <v>0.64853604836962186</v>
      </c>
      <c r="EB148" s="93">
        <f t="shared" si="1526"/>
        <v>0.64853604836962186</v>
      </c>
      <c r="EC148" s="93">
        <f t="shared" si="1526"/>
        <v>0.64853604836962186</v>
      </c>
      <c r="ED148" s="93">
        <f t="shared" si="1526"/>
        <v>0.64853604836962186</v>
      </c>
      <c r="EE148" s="93">
        <f t="shared" si="1526"/>
        <v>0.62353604836962184</v>
      </c>
      <c r="EF148" s="93">
        <f t="shared" si="1526"/>
        <v>0.62353604836962184</v>
      </c>
      <c r="EG148" s="93">
        <f t="shared" si="1526"/>
        <v>0.62353604836962184</v>
      </c>
      <c r="EH148" s="93">
        <f t="shared" si="1526"/>
        <v>0.62353604836962184</v>
      </c>
      <c r="EI148" s="93">
        <f t="shared" si="1526"/>
        <v>0.62353604836962184</v>
      </c>
      <c r="EJ148" s="93">
        <f t="shared" si="1526"/>
        <v>0.62353604836962184</v>
      </c>
      <c r="EK148" s="93">
        <f t="shared" si="1526"/>
        <v>0.62353604836962184</v>
      </c>
      <c r="EL148" s="93">
        <f t="shared" si="1526"/>
        <v>0.62353604836962184</v>
      </c>
      <c r="EM148" s="93">
        <f t="shared" si="1526"/>
        <v>0.62353604836962184</v>
      </c>
      <c r="EN148" s="93">
        <f t="shared" si="1526"/>
        <v>0.62353604836962184</v>
      </c>
      <c r="EO148" s="93">
        <f t="shared" si="1526"/>
        <v>0.62353604836962184</v>
      </c>
      <c r="EP148" s="93">
        <f t="shared" si="1526"/>
        <v>0.62353604836962184</v>
      </c>
      <c r="EQ148" s="93">
        <f t="shared" ref="EQ148:FB149" si="1527">INDEX($D148:$L148,1,MATCH(EQ$2,$D$2:$L$2,))</f>
        <v>0.59853604836962182</v>
      </c>
      <c r="ER148" s="93">
        <f t="shared" si="1527"/>
        <v>0.59853604836962182</v>
      </c>
      <c r="ES148" s="93">
        <f t="shared" si="1527"/>
        <v>0.59853604836962182</v>
      </c>
      <c r="ET148" s="93">
        <f t="shared" si="1527"/>
        <v>0.59853604836962182</v>
      </c>
      <c r="EU148" s="93">
        <f t="shared" si="1527"/>
        <v>0.59853604836962182</v>
      </c>
      <c r="EV148" s="93">
        <f t="shared" si="1527"/>
        <v>0.59853604836962182</v>
      </c>
      <c r="EW148" s="93">
        <f t="shared" si="1527"/>
        <v>0.59853604836962182</v>
      </c>
      <c r="EX148" s="93">
        <f t="shared" si="1527"/>
        <v>0.59853604836962182</v>
      </c>
      <c r="EY148" s="93">
        <f t="shared" si="1527"/>
        <v>0.59853604836962182</v>
      </c>
      <c r="EZ148" s="93">
        <f t="shared" si="1527"/>
        <v>0.59853604836962182</v>
      </c>
      <c r="FA148" s="93">
        <f t="shared" si="1527"/>
        <v>0.59853604836962182</v>
      </c>
      <c r="FB148" s="93">
        <f t="shared" si="1527"/>
        <v>0.59853604836962182</v>
      </c>
    </row>
    <row r="149" spans="3:158" outlineLevel="1" x14ac:dyDescent="0.25">
      <c r="C149" s="28" t="s">
        <v>548</v>
      </c>
      <c r="D149" s="19">
        <f>D130/D129</f>
        <v>1.5940241041059213</v>
      </c>
      <c r="E149" s="19">
        <f>E130/E129</f>
        <v>1.4369602321023072</v>
      </c>
      <c r="F149" s="19">
        <f>F130/F129</f>
        <v>1.0085990197258554</v>
      </c>
      <c r="G149" s="19">
        <f>G130/G129</f>
        <v>0.50562760484496683</v>
      </c>
      <c r="H149" s="250">
        <f>G149-2.5%</f>
        <v>0.4806276048449668</v>
      </c>
      <c r="I149" s="250">
        <f t="shared" ref="I149:L149" si="1528">H149-2.5%</f>
        <v>0.45562760484496678</v>
      </c>
      <c r="J149" s="250">
        <f t="shared" si="1528"/>
        <v>0.43062760484496676</v>
      </c>
      <c r="K149" s="250">
        <f t="shared" si="1528"/>
        <v>0.40562760484496674</v>
      </c>
      <c r="L149" s="250">
        <f t="shared" si="1528"/>
        <v>0.38062760484496672</v>
      </c>
      <c r="N149" s="19">
        <f t="shared" ref="N149:AW149" si="1529">N130/N129</f>
        <v>1.9560393383491514</v>
      </c>
      <c r="O149" s="19">
        <f t="shared" si="1529"/>
        <v>1.3099078960863675</v>
      </c>
      <c r="P149" s="19">
        <f t="shared" si="1529"/>
        <v>2.1126514318124703</v>
      </c>
      <c r="Q149" s="19">
        <f t="shared" si="1529"/>
        <v>1.1316971587433555</v>
      </c>
      <c r="R149" s="19">
        <f t="shared" si="1529"/>
        <v>3.5903575100684701</v>
      </c>
      <c r="S149" s="19">
        <f t="shared" si="1529"/>
        <v>0.84434561454805357</v>
      </c>
      <c r="T149" s="19">
        <f t="shared" si="1529"/>
        <v>1.0001587670390053</v>
      </c>
      <c r="U149" s="19">
        <f t="shared" si="1529"/>
        <v>1.0382433546312191</v>
      </c>
      <c r="V149" s="19">
        <f t="shared" si="1529"/>
        <v>2.2368024500666577</v>
      </c>
      <c r="W149" s="19">
        <f t="shared" si="1529"/>
        <v>0.32373873334873859</v>
      </c>
      <c r="X149" s="19">
        <f t="shared" si="1529"/>
        <v>0.38328949960030662</v>
      </c>
      <c r="Y149" s="19">
        <f t="shared" si="1529"/>
        <v>0.93714452019918881</v>
      </c>
      <c r="Z149" s="19">
        <f t="shared" si="1529"/>
        <v>0.57669120141935837</v>
      </c>
      <c r="AA149" s="19">
        <f t="shared" si="1529"/>
        <v>0.50418341540075728</v>
      </c>
      <c r="AB149" s="19">
        <f t="shared" si="1529"/>
        <v>0.46708599258539157</v>
      </c>
      <c r="AC149" s="19">
        <f t="shared" si="1529"/>
        <v>0.49758315474728748</v>
      </c>
      <c r="AD149" s="19">
        <f t="shared" si="1529"/>
        <v>0.48062760484496686</v>
      </c>
      <c r="AE149" s="19">
        <f t="shared" si="1529"/>
        <v>0.48062760484496686</v>
      </c>
      <c r="AF149" s="19">
        <f t="shared" si="1529"/>
        <v>0.48062760484496686</v>
      </c>
      <c r="AG149" s="19">
        <f t="shared" si="1529"/>
        <v>0.4806276048449668</v>
      </c>
      <c r="AH149" s="19">
        <f t="shared" si="1529"/>
        <v>0.45562760484496678</v>
      </c>
      <c r="AI149" s="19">
        <f t="shared" si="1529"/>
        <v>0.45562760484496678</v>
      </c>
      <c r="AJ149" s="19">
        <f t="shared" si="1529"/>
        <v>0.45562760484496678</v>
      </c>
      <c r="AK149" s="19">
        <f t="shared" si="1529"/>
        <v>0.45562760484496673</v>
      </c>
      <c r="AL149" s="19">
        <f t="shared" si="1529"/>
        <v>0.4306276048449667</v>
      </c>
      <c r="AM149" s="19">
        <f t="shared" si="1529"/>
        <v>0.4306276048449667</v>
      </c>
      <c r="AN149" s="19">
        <f t="shared" si="1529"/>
        <v>0.4306276048449667</v>
      </c>
      <c r="AO149" s="19">
        <f t="shared" si="1529"/>
        <v>0.43062760484496682</v>
      </c>
      <c r="AP149" s="19">
        <f t="shared" si="1529"/>
        <v>0.40562760484496674</v>
      </c>
      <c r="AQ149" s="19">
        <f t="shared" si="1529"/>
        <v>0.40562760484496674</v>
      </c>
      <c r="AR149" s="19">
        <f t="shared" si="1529"/>
        <v>0.40562760484496674</v>
      </c>
      <c r="AS149" s="19">
        <f t="shared" si="1529"/>
        <v>0.40562760484496679</v>
      </c>
      <c r="AT149" s="19">
        <f t="shared" si="1529"/>
        <v>0.38062760484496672</v>
      </c>
      <c r="AU149" s="19">
        <f t="shared" si="1529"/>
        <v>0.38062760484496672</v>
      </c>
      <c r="AV149" s="19">
        <f t="shared" si="1529"/>
        <v>0.38062760484496672</v>
      </c>
      <c r="AW149" s="19">
        <f t="shared" si="1529"/>
        <v>0.38062760484496672</v>
      </c>
      <c r="AY149" s="19">
        <f t="shared" ref="AY149:CS149" si="1530">AY130/AY129</f>
        <v>3.6216020025839102</v>
      </c>
      <c r="AZ149" s="19">
        <f t="shared" si="1530"/>
        <v>1.3422735941744206</v>
      </c>
      <c r="BA149" s="19">
        <f t="shared" si="1530"/>
        <v>1.1107315245666469</v>
      </c>
      <c r="BB149" s="19">
        <f t="shared" si="1530"/>
        <v>0.90607643602470911</v>
      </c>
      <c r="BC149" s="19">
        <f t="shared" si="1530"/>
        <v>1.6996947855355844</v>
      </c>
      <c r="BD149" s="19">
        <f t="shared" si="1530"/>
        <v>1.3146654862575429</v>
      </c>
      <c r="BE149" s="19">
        <f t="shared" si="1530"/>
        <v>4.0461259582573552</v>
      </c>
      <c r="BF149" s="19">
        <f t="shared" si="1530"/>
        <v>1.4011305553342936</v>
      </c>
      <c r="BG149" s="19">
        <f t="shared" si="1530"/>
        <v>1.4735060603829064</v>
      </c>
      <c r="BH149" s="19">
        <f t="shared" si="1530"/>
        <v>1.3260771990283033</v>
      </c>
      <c r="BI149" s="19">
        <f t="shared" si="1530"/>
        <v>1.4004846353082501</v>
      </c>
      <c r="BJ149" s="19">
        <f t="shared" si="1530"/>
        <v>0.81669472765929008</v>
      </c>
      <c r="BK149" s="19">
        <f t="shared" si="1530"/>
        <v>5.6957890542844254</v>
      </c>
      <c r="BL149" s="19">
        <f t="shared" si="1530"/>
        <v>3.0212153838681077</v>
      </c>
      <c r="BM149" s="19">
        <f t="shared" si="1530"/>
        <v>1.8759434369377164</v>
      </c>
      <c r="BN149" s="19">
        <f t="shared" si="1530"/>
        <v>0.58477944192229914</v>
      </c>
      <c r="BO149" s="19">
        <f t="shared" si="1530"/>
        <v>1.1294446907251432</v>
      </c>
      <c r="BP149" s="19">
        <f t="shared" si="1530"/>
        <v>0.78652209890746783</v>
      </c>
      <c r="BQ149" s="19">
        <f t="shared" si="1530"/>
        <v>0.94327700563662453</v>
      </c>
      <c r="BR149" s="19">
        <f t="shared" si="1530"/>
        <v>1.0038148447503004</v>
      </c>
      <c r="BS149" s="19">
        <f t="shared" si="1530"/>
        <v>1.0519301256620954</v>
      </c>
      <c r="BT149" s="19">
        <f t="shared" si="1530"/>
        <v>1.0639658613112644</v>
      </c>
      <c r="BU149" s="19">
        <f t="shared" si="1530"/>
        <v>1.2272147902231358</v>
      </c>
      <c r="BV149" s="19">
        <f t="shared" si="1530"/>
        <v>0.80326210367208839</v>
      </c>
      <c r="BW149" s="19">
        <f t="shared" si="1530"/>
        <v>5.7646179850904016</v>
      </c>
      <c r="BX149" s="19">
        <f t="shared" si="1530"/>
        <v>0.86181690170717473</v>
      </c>
      <c r="BY149" s="19">
        <f t="shared" si="1530"/>
        <v>0.31796654126327156</v>
      </c>
      <c r="BZ149" s="19">
        <f t="shared" si="1530"/>
        <v>0.34287649181203717</v>
      </c>
      <c r="CA149" s="19">
        <f t="shared" si="1530"/>
        <v>0.32064527787312391</v>
      </c>
      <c r="CB149" s="19">
        <f t="shared" si="1530"/>
        <v>0.30327630068779493</v>
      </c>
      <c r="CC149" s="19">
        <f t="shared" si="1530"/>
        <v>0.36418136667159196</v>
      </c>
      <c r="CD149" s="19">
        <f t="shared" si="1530"/>
        <v>0.34415754895763906</v>
      </c>
      <c r="CE149" s="19">
        <f t="shared" si="1530"/>
        <v>0.4582203565797961</v>
      </c>
      <c r="CF149" s="19">
        <f t="shared" si="1530"/>
        <v>1.6856677265373916</v>
      </c>
      <c r="CG149" s="19">
        <f t="shared" si="1530"/>
        <v>0.898221320952728</v>
      </c>
      <c r="CH149" s="19">
        <f t="shared" si="1530"/>
        <v>0.41154602815313257</v>
      </c>
      <c r="CI149" s="19">
        <f t="shared" si="1530"/>
        <v>0.98107041765649461</v>
      </c>
      <c r="CJ149" s="19">
        <f t="shared" si="1530"/>
        <v>0.43631950781281109</v>
      </c>
      <c r="CK149" s="19">
        <f t="shared" si="1530"/>
        <v>0.37896808891040579</v>
      </c>
      <c r="CL149" s="19">
        <f t="shared" si="1530"/>
        <v>0.32447858511925515</v>
      </c>
      <c r="CM149" s="19">
        <f t="shared" si="1530"/>
        <v>0.53155198396744652</v>
      </c>
      <c r="CN149" s="19">
        <f t="shared" si="1530"/>
        <v>0.65169009743516138</v>
      </c>
      <c r="CO149" s="19">
        <f t="shared" si="1530"/>
        <v>0.46871949175150229</v>
      </c>
      <c r="CP149" s="19">
        <f t="shared" si="1530"/>
        <v>0.49074201803130357</v>
      </c>
      <c r="CQ149" s="19">
        <f t="shared" si="1530"/>
        <v>0.44211082412077002</v>
      </c>
      <c r="CR149" s="19">
        <f t="shared" si="1530"/>
        <v>0.39873516989359953</v>
      </c>
      <c r="CS149" s="19">
        <f t="shared" si="1530"/>
        <v>0.39856547422087646</v>
      </c>
      <c r="CT149" s="19">
        <f>CT130/CT129</f>
        <v>0.69074962303877541</v>
      </c>
      <c r="CU149" s="93">
        <f t="shared" si="1524"/>
        <v>0.4806276048449668</v>
      </c>
      <c r="CV149" s="93">
        <f t="shared" si="1524"/>
        <v>0.4806276048449668</v>
      </c>
      <c r="CW149" s="93">
        <f t="shared" si="1524"/>
        <v>0.4806276048449668</v>
      </c>
      <c r="CX149" s="93">
        <f t="shared" si="1524"/>
        <v>0.4806276048449668</v>
      </c>
      <c r="CY149" s="93">
        <f t="shared" si="1524"/>
        <v>0.4806276048449668</v>
      </c>
      <c r="CZ149" s="93">
        <f t="shared" si="1524"/>
        <v>0.4806276048449668</v>
      </c>
      <c r="DA149" s="93">
        <f t="shared" si="1524"/>
        <v>0.4806276048449668</v>
      </c>
      <c r="DB149" s="93">
        <f t="shared" si="1524"/>
        <v>0.4806276048449668</v>
      </c>
      <c r="DC149" s="93">
        <f t="shared" si="1524"/>
        <v>0.4806276048449668</v>
      </c>
      <c r="DD149" s="93">
        <f t="shared" si="1524"/>
        <v>0.4806276048449668</v>
      </c>
      <c r="DE149" s="93">
        <f t="shared" si="1524"/>
        <v>0.4806276048449668</v>
      </c>
      <c r="DF149" s="93">
        <f t="shared" si="1524"/>
        <v>0.4806276048449668</v>
      </c>
      <c r="DG149" s="93">
        <f t="shared" si="1524"/>
        <v>0.45562760484496678</v>
      </c>
      <c r="DH149" s="93">
        <f t="shared" si="1524"/>
        <v>0.45562760484496678</v>
      </c>
      <c r="DI149" s="93">
        <f t="shared" si="1524"/>
        <v>0.45562760484496678</v>
      </c>
      <c r="DJ149" s="93">
        <f t="shared" si="1524"/>
        <v>0.45562760484496678</v>
      </c>
      <c r="DK149" s="93">
        <f t="shared" si="1525"/>
        <v>0.45562760484496678</v>
      </c>
      <c r="DL149" s="93">
        <f t="shared" si="1525"/>
        <v>0.45562760484496678</v>
      </c>
      <c r="DM149" s="93">
        <f t="shared" si="1525"/>
        <v>0.45562760484496678</v>
      </c>
      <c r="DN149" s="93">
        <f t="shared" si="1525"/>
        <v>0.45562760484496678</v>
      </c>
      <c r="DO149" s="93">
        <f t="shared" si="1525"/>
        <v>0.45562760484496678</v>
      </c>
      <c r="DP149" s="93">
        <f t="shared" si="1525"/>
        <v>0.45562760484496678</v>
      </c>
      <c r="DQ149" s="93">
        <f t="shared" si="1525"/>
        <v>0.45562760484496678</v>
      </c>
      <c r="DR149" s="93">
        <f t="shared" si="1525"/>
        <v>0.45562760484496678</v>
      </c>
      <c r="DS149" s="93">
        <f t="shared" si="1525"/>
        <v>0.43062760484496676</v>
      </c>
      <c r="DT149" s="93">
        <f t="shared" si="1525"/>
        <v>0.43062760484496676</v>
      </c>
      <c r="DU149" s="93">
        <f t="shared" si="1525"/>
        <v>0.43062760484496676</v>
      </c>
      <c r="DV149" s="93">
        <f t="shared" si="1525"/>
        <v>0.43062760484496676</v>
      </c>
      <c r="DW149" s="93">
        <f t="shared" si="1525"/>
        <v>0.43062760484496676</v>
      </c>
      <c r="DX149" s="93">
        <f t="shared" si="1525"/>
        <v>0.43062760484496676</v>
      </c>
      <c r="DY149" s="93">
        <f t="shared" si="1525"/>
        <v>0.43062760484496676</v>
      </c>
      <c r="DZ149" s="93">
        <f t="shared" si="1525"/>
        <v>0.43062760484496676</v>
      </c>
      <c r="EA149" s="93">
        <f t="shared" si="1526"/>
        <v>0.43062760484496676</v>
      </c>
      <c r="EB149" s="93">
        <f t="shared" si="1526"/>
        <v>0.43062760484496676</v>
      </c>
      <c r="EC149" s="93">
        <f t="shared" si="1526"/>
        <v>0.43062760484496676</v>
      </c>
      <c r="ED149" s="93">
        <f t="shared" si="1526"/>
        <v>0.43062760484496676</v>
      </c>
      <c r="EE149" s="93">
        <f t="shared" si="1526"/>
        <v>0.40562760484496674</v>
      </c>
      <c r="EF149" s="93">
        <f t="shared" si="1526"/>
        <v>0.40562760484496674</v>
      </c>
      <c r="EG149" s="93">
        <f t="shared" si="1526"/>
        <v>0.40562760484496674</v>
      </c>
      <c r="EH149" s="93">
        <f t="shared" si="1526"/>
        <v>0.40562760484496674</v>
      </c>
      <c r="EI149" s="93">
        <f t="shared" si="1526"/>
        <v>0.40562760484496674</v>
      </c>
      <c r="EJ149" s="93">
        <f t="shared" si="1526"/>
        <v>0.40562760484496674</v>
      </c>
      <c r="EK149" s="93">
        <f t="shared" si="1526"/>
        <v>0.40562760484496674</v>
      </c>
      <c r="EL149" s="93">
        <f t="shared" si="1526"/>
        <v>0.40562760484496674</v>
      </c>
      <c r="EM149" s="93">
        <f t="shared" si="1526"/>
        <v>0.40562760484496674</v>
      </c>
      <c r="EN149" s="93">
        <f t="shared" si="1526"/>
        <v>0.40562760484496674</v>
      </c>
      <c r="EO149" s="93">
        <f t="shared" si="1526"/>
        <v>0.40562760484496674</v>
      </c>
      <c r="EP149" s="93">
        <f t="shared" si="1526"/>
        <v>0.40562760484496674</v>
      </c>
      <c r="EQ149" s="93">
        <f t="shared" si="1527"/>
        <v>0.38062760484496672</v>
      </c>
      <c r="ER149" s="93">
        <f t="shared" si="1527"/>
        <v>0.38062760484496672</v>
      </c>
      <c r="ES149" s="93">
        <f t="shared" si="1527"/>
        <v>0.38062760484496672</v>
      </c>
      <c r="ET149" s="93">
        <f t="shared" si="1527"/>
        <v>0.38062760484496672</v>
      </c>
      <c r="EU149" s="93">
        <f t="shared" si="1527"/>
        <v>0.38062760484496672</v>
      </c>
      <c r="EV149" s="93">
        <f t="shared" si="1527"/>
        <v>0.38062760484496672</v>
      </c>
      <c r="EW149" s="93">
        <f t="shared" si="1527"/>
        <v>0.38062760484496672</v>
      </c>
      <c r="EX149" s="93">
        <f t="shared" si="1527"/>
        <v>0.38062760484496672</v>
      </c>
      <c r="EY149" s="93">
        <f t="shared" si="1527"/>
        <v>0.38062760484496672</v>
      </c>
      <c r="EZ149" s="93">
        <f t="shared" si="1527"/>
        <v>0.38062760484496672</v>
      </c>
      <c r="FA149" s="93">
        <f t="shared" si="1527"/>
        <v>0.38062760484496672</v>
      </c>
      <c r="FB149" s="93">
        <f t="shared" si="1527"/>
        <v>0.38062760484496672</v>
      </c>
    </row>
    <row r="152" spans="3:158" x14ac:dyDescent="0.25">
      <c r="C152" s="3" t="s">
        <v>550</v>
      </c>
      <c r="D152" s="4"/>
      <c r="E152" s="4"/>
      <c r="F152" s="4"/>
      <c r="G152" s="4"/>
      <c r="H152" s="4"/>
      <c r="I152" s="4"/>
      <c r="J152" s="4"/>
      <c r="K152" s="4"/>
      <c r="L152" s="4"/>
      <c r="M152" s="3"/>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3"/>
      <c r="AY152" s="4"/>
      <c r="AZ152" s="4"/>
      <c r="BA152" s="4"/>
      <c r="BB152" s="4"/>
      <c r="BC152" s="4"/>
      <c r="BD152" s="4"/>
      <c r="BE152" s="4"/>
      <c r="BF152" s="4"/>
      <c r="BG152" s="4"/>
      <c r="BH152" s="4"/>
      <c r="BI152" s="4"/>
      <c r="BJ152" s="4"/>
      <c r="BK152" s="4"/>
      <c r="BL152" s="4"/>
      <c r="BM152" s="4"/>
      <c r="BN152" s="4"/>
      <c r="BO152" s="4"/>
      <c r="BP152" s="4"/>
      <c r="BQ152" s="4"/>
      <c r="BR152" s="4"/>
      <c r="BS152" s="4"/>
      <c r="BT152" s="4"/>
      <c r="BU152" s="4"/>
      <c r="BV152" s="4"/>
      <c r="BW152" s="4"/>
      <c r="BX152" s="4"/>
      <c r="BY152" s="4"/>
      <c r="BZ152" s="4"/>
      <c r="CA152" s="4"/>
      <c r="CB152" s="4"/>
      <c r="CC152" s="4"/>
      <c r="CD152" s="4"/>
      <c r="CE152" s="4"/>
      <c r="CF152" s="4"/>
      <c r="CG152" s="4"/>
      <c r="CH152" s="4"/>
      <c r="CI152" s="4"/>
      <c r="CJ152" s="4"/>
      <c r="CK152" s="4"/>
      <c r="CL152" s="4"/>
      <c r="CM152" s="4"/>
      <c r="CN152" s="4"/>
      <c r="CO152" s="4"/>
      <c r="CP152" s="4"/>
      <c r="CQ152" s="4"/>
      <c r="CR152" s="4"/>
      <c r="CS152" s="4"/>
      <c r="CT152" s="4"/>
      <c r="CU152" s="4"/>
      <c r="CV152" s="4"/>
      <c r="CW152" s="4"/>
      <c r="CX152" s="4"/>
      <c r="CY152" s="4"/>
      <c r="CZ152" s="4"/>
      <c r="DA152" s="4"/>
      <c r="DB152" s="4"/>
      <c r="DC152" s="4"/>
      <c r="DD152" s="4"/>
      <c r="DE152" s="4"/>
      <c r="DF152" s="4"/>
      <c r="DG152" s="4"/>
      <c r="DH152" s="4"/>
      <c r="DI152" s="4"/>
      <c r="DJ152" s="4"/>
      <c r="DK152" s="4"/>
      <c r="DL152" s="4"/>
      <c r="DM152" s="4"/>
      <c r="DN152" s="4"/>
      <c r="DO152" s="4"/>
      <c r="DP152" s="4"/>
      <c r="DQ152" s="4"/>
      <c r="DR152" s="4"/>
      <c r="DS152" s="4"/>
      <c r="DT152" s="4"/>
      <c r="DU152" s="4"/>
      <c r="DV152" s="4"/>
      <c r="DW152" s="4"/>
      <c r="DX152" s="4"/>
      <c r="DY152" s="4"/>
      <c r="DZ152" s="4"/>
      <c r="EA152" s="4"/>
      <c r="EB152" s="4"/>
      <c r="EC152" s="4"/>
      <c r="ED152" s="4"/>
      <c r="EE152" s="4"/>
      <c r="EF152" s="4"/>
      <c r="EG152" s="4"/>
      <c r="EH152" s="4"/>
      <c r="EI152" s="4"/>
      <c r="EJ152" s="4"/>
      <c r="EK152" s="4"/>
      <c r="EL152" s="4"/>
      <c r="EM152" s="4"/>
      <c r="EN152" s="4"/>
      <c r="EO152" s="4"/>
      <c r="EP152" s="4"/>
      <c r="EQ152" s="4"/>
      <c r="ER152" s="4"/>
      <c r="ES152" s="4"/>
      <c r="ET152" s="4"/>
      <c r="EU152" s="4"/>
      <c r="EV152" s="4"/>
      <c r="EW152" s="4"/>
      <c r="EX152" s="4"/>
      <c r="EY152" s="4"/>
      <c r="EZ152" s="4"/>
      <c r="FA152" s="4"/>
      <c r="FB152" s="4"/>
    </row>
    <row r="154" spans="3:158" x14ac:dyDescent="0.25">
      <c r="C154" s="1" t="s">
        <v>35</v>
      </c>
    </row>
    <row r="155" spans="3:158" x14ac:dyDescent="0.25">
      <c r="C155" s="2" t="s">
        <v>11</v>
      </c>
      <c r="D155" s="16">
        <f t="shared" ref="D155:L155" si="1531">D74</f>
        <v>22</v>
      </c>
      <c r="E155" s="16">
        <f t="shared" si="1531"/>
        <v>26</v>
      </c>
      <c r="F155" s="16">
        <f t="shared" si="1531"/>
        <v>31</v>
      </c>
      <c r="G155" s="16">
        <f t="shared" si="1531"/>
        <v>52</v>
      </c>
      <c r="H155" s="16">
        <f>H74</f>
        <v>53.05053829989459</v>
      </c>
      <c r="I155" s="16">
        <f t="shared" si="1531"/>
        <v>85.033227773431349</v>
      </c>
      <c r="J155" s="16">
        <f t="shared" si="1531"/>
        <v>92.09629342113891</v>
      </c>
      <c r="K155" s="16">
        <f t="shared" si="1531"/>
        <v>125.17845934273734</v>
      </c>
      <c r="L155" s="16">
        <f t="shared" si="1531"/>
        <v>178.38013595221318</v>
      </c>
      <c r="N155" s="16">
        <f t="shared" ref="N155:AW155" si="1532">N74</f>
        <v>15</v>
      </c>
      <c r="O155" s="16">
        <f t="shared" si="1532"/>
        <v>17</v>
      </c>
      <c r="P155" s="16">
        <f t="shared" si="1532"/>
        <v>20</v>
      </c>
      <c r="Q155" s="16">
        <f t="shared" si="1532"/>
        <v>22</v>
      </c>
      <c r="R155" s="16">
        <f t="shared" si="1532"/>
        <v>22</v>
      </c>
      <c r="S155" s="16">
        <f t="shared" si="1532"/>
        <v>23</v>
      </c>
      <c r="T155" s="16">
        <f t="shared" si="1532"/>
        <v>22</v>
      </c>
      <c r="U155" s="16">
        <f t="shared" si="1532"/>
        <v>26</v>
      </c>
      <c r="V155" s="16">
        <f t="shared" si="1532"/>
        <v>27</v>
      </c>
      <c r="W155" s="16">
        <f t="shared" si="1532"/>
        <v>28</v>
      </c>
      <c r="X155" s="16">
        <f t="shared" si="1532"/>
        <v>25</v>
      </c>
      <c r="Y155" s="16">
        <f t="shared" si="1532"/>
        <v>31</v>
      </c>
      <c r="Z155" s="16">
        <f t="shared" si="1532"/>
        <v>31</v>
      </c>
      <c r="AA155" s="16">
        <f t="shared" si="1532"/>
        <v>39</v>
      </c>
      <c r="AB155" s="16">
        <f t="shared" si="1532"/>
        <v>45</v>
      </c>
      <c r="AC155" s="16">
        <f t="shared" si="1532"/>
        <v>52</v>
      </c>
      <c r="AD155" s="16">
        <f t="shared" si="1532"/>
        <v>52.286510445425797</v>
      </c>
      <c r="AE155" s="16">
        <f t="shared" si="1532"/>
        <v>52.573020890851595</v>
      </c>
      <c r="AF155" s="16">
        <f t="shared" si="1532"/>
        <v>52.764027854468793</v>
      </c>
      <c r="AG155" s="16">
        <f t="shared" si="1532"/>
        <v>53.05053829989459</v>
      </c>
      <c r="AH155" s="16">
        <f t="shared" si="1532"/>
        <v>61.773089974495527</v>
      </c>
      <c r="AI155" s="16">
        <f t="shared" si="1532"/>
        <v>70.495641649096456</v>
      </c>
      <c r="AJ155" s="16">
        <f t="shared" si="1532"/>
        <v>76.310676098830413</v>
      </c>
      <c r="AK155" s="16">
        <f t="shared" si="1532"/>
        <v>85.033227773431349</v>
      </c>
      <c r="AL155" s="16">
        <f t="shared" si="1532"/>
        <v>86.959518404624305</v>
      </c>
      <c r="AM155" s="16">
        <f t="shared" si="1532"/>
        <v>88.885809035817289</v>
      </c>
      <c r="AN155" s="16">
        <f t="shared" si="1532"/>
        <v>90.170002789945954</v>
      </c>
      <c r="AO155" s="16">
        <f t="shared" si="1532"/>
        <v>92.09629342113891</v>
      </c>
      <c r="AP155" s="16">
        <f t="shared" si="1532"/>
        <v>101.11870230884759</v>
      </c>
      <c r="AQ155" s="16">
        <f t="shared" si="1532"/>
        <v>110.14111119655624</v>
      </c>
      <c r="AR155" s="16">
        <f t="shared" si="1532"/>
        <v>116.15605045502866</v>
      </c>
      <c r="AS155" s="16">
        <f t="shared" si="1532"/>
        <v>125.17845934273734</v>
      </c>
      <c r="AT155" s="16">
        <f t="shared" si="1532"/>
        <v>139.68800750895801</v>
      </c>
      <c r="AU155" s="16">
        <f t="shared" si="1532"/>
        <v>154.19755567517871</v>
      </c>
      <c r="AV155" s="16">
        <f t="shared" si="1532"/>
        <v>163.87058778599251</v>
      </c>
      <c r="AW155" s="16">
        <f t="shared" si="1532"/>
        <v>178.38013595221318</v>
      </c>
      <c r="AY155" s="16">
        <f t="shared" ref="AY155:CD155" si="1533">AY74</f>
        <v>15</v>
      </c>
      <c r="AZ155" s="16">
        <f t="shared" si="1533"/>
        <v>16</v>
      </c>
      <c r="BA155" s="16">
        <f t="shared" si="1533"/>
        <v>15</v>
      </c>
      <c r="BB155" s="16">
        <f t="shared" si="1533"/>
        <v>16</v>
      </c>
      <c r="BC155" s="16">
        <f t="shared" si="1533"/>
        <v>17</v>
      </c>
      <c r="BD155" s="16">
        <f t="shared" si="1533"/>
        <v>17</v>
      </c>
      <c r="BE155" s="16">
        <f t="shared" si="1533"/>
        <v>18</v>
      </c>
      <c r="BF155" s="16">
        <f t="shared" si="1533"/>
        <v>20</v>
      </c>
      <c r="BG155" s="16">
        <f t="shared" si="1533"/>
        <v>20</v>
      </c>
      <c r="BH155" s="16">
        <f t="shared" si="1533"/>
        <v>19</v>
      </c>
      <c r="BI155" s="16">
        <f t="shared" si="1533"/>
        <v>18</v>
      </c>
      <c r="BJ155" s="16">
        <f t="shared" si="1533"/>
        <v>22</v>
      </c>
      <c r="BK155" s="16">
        <f t="shared" si="1533"/>
        <v>21</v>
      </c>
      <c r="BL155" s="16">
        <f t="shared" si="1533"/>
        <v>20</v>
      </c>
      <c r="BM155" s="16">
        <f t="shared" si="1533"/>
        <v>22</v>
      </c>
      <c r="BN155" s="16">
        <f t="shared" si="1533"/>
        <v>20</v>
      </c>
      <c r="BO155" s="16">
        <f t="shared" si="1533"/>
        <v>21</v>
      </c>
      <c r="BP155" s="16">
        <f t="shared" si="1533"/>
        <v>23</v>
      </c>
      <c r="BQ155" s="16">
        <f t="shared" si="1533"/>
        <v>22</v>
      </c>
      <c r="BR155" s="16">
        <f t="shared" si="1533"/>
        <v>21</v>
      </c>
      <c r="BS155" s="16">
        <f t="shared" si="1533"/>
        <v>22</v>
      </c>
      <c r="BT155" s="16">
        <f t="shared" si="1533"/>
        <v>23</v>
      </c>
      <c r="BU155" s="16">
        <f t="shared" si="1533"/>
        <v>26</v>
      </c>
      <c r="BV155" s="16">
        <f t="shared" si="1533"/>
        <v>26</v>
      </c>
      <c r="BW155" s="16">
        <f t="shared" si="1533"/>
        <v>27</v>
      </c>
      <c r="BX155" s="16">
        <f t="shared" si="1533"/>
        <v>27</v>
      </c>
      <c r="BY155" s="16">
        <f t="shared" si="1533"/>
        <v>27</v>
      </c>
      <c r="BZ155" s="16">
        <f t="shared" si="1533"/>
        <v>28</v>
      </c>
      <c r="CA155" s="16">
        <f t="shared" si="1533"/>
        <v>28</v>
      </c>
      <c r="CB155" s="16">
        <f t="shared" si="1533"/>
        <v>28</v>
      </c>
      <c r="CC155" s="16">
        <f t="shared" si="1533"/>
        <v>29</v>
      </c>
      <c r="CD155" s="16">
        <f t="shared" si="1533"/>
        <v>28</v>
      </c>
      <c r="CE155" s="16">
        <f t="shared" ref="CE155:DJ155" si="1534">CE74</f>
        <v>25</v>
      </c>
      <c r="CF155" s="16">
        <f t="shared" si="1534"/>
        <v>26</v>
      </c>
      <c r="CG155" s="16">
        <f t="shared" si="1534"/>
        <v>30</v>
      </c>
      <c r="CH155" s="16">
        <f t="shared" si="1534"/>
        <v>31</v>
      </c>
      <c r="CI155" s="16">
        <f t="shared" si="1534"/>
        <v>32</v>
      </c>
      <c r="CJ155" s="16">
        <f t="shared" si="1534"/>
        <v>31</v>
      </c>
      <c r="CK155" s="16">
        <f t="shared" si="1534"/>
        <v>31</v>
      </c>
      <c r="CL155" s="16">
        <f t="shared" si="1534"/>
        <v>34</v>
      </c>
      <c r="CM155" s="16">
        <f t="shared" si="1534"/>
        <v>40</v>
      </c>
      <c r="CN155" s="16">
        <f t="shared" si="1534"/>
        <v>39</v>
      </c>
      <c r="CO155" s="16">
        <f t="shared" si="1534"/>
        <v>41</v>
      </c>
      <c r="CP155" s="16">
        <f t="shared" si="1534"/>
        <v>43</v>
      </c>
      <c r="CQ155" s="16">
        <f t="shared" si="1534"/>
        <v>45</v>
      </c>
      <c r="CR155" s="16">
        <f t="shared" si="1534"/>
        <v>48</v>
      </c>
      <c r="CS155" s="16">
        <f t="shared" si="1534"/>
        <v>48</v>
      </c>
      <c r="CT155" s="16">
        <f t="shared" si="1534"/>
        <v>52</v>
      </c>
      <c r="CU155" s="16">
        <f t="shared" si="1534"/>
        <v>52.095503481808599</v>
      </c>
      <c r="CV155" s="16">
        <f t="shared" si="1534"/>
        <v>52.191006963617198</v>
      </c>
      <c r="CW155" s="16">
        <f t="shared" si="1534"/>
        <v>52.286510445425797</v>
      </c>
      <c r="CX155" s="16">
        <f t="shared" si="1534"/>
        <v>52.382013927234397</v>
      </c>
      <c r="CY155" s="16">
        <f t="shared" si="1534"/>
        <v>52.477517409042996</v>
      </c>
      <c r="CZ155" s="16">
        <f t="shared" si="1534"/>
        <v>52.573020890851595</v>
      </c>
      <c r="DA155" s="16">
        <f t="shared" si="1534"/>
        <v>52.573020890851595</v>
      </c>
      <c r="DB155" s="16">
        <f t="shared" si="1534"/>
        <v>52.668524372660194</v>
      </c>
      <c r="DC155" s="16">
        <f t="shared" si="1534"/>
        <v>52.764027854468793</v>
      </c>
      <c r="DD155" s="16">
        <f t="shared" si="1534"/>
        <v>52.859531336277392</v>
      </c>
      <c r="DE155" s="16">
        <f t="shared" si="1534"/>
        <v>52.955034818085991</v>
      </c>
      <c r="DF155" s="16">
        <f t="shared" si="1534"/>
        <v>53.05053829989459</v>
      </c>
      <c r="DG155" s="16">
        <f t="shared" si="1534"/>
        <v>55.958055524761569</v>
      </c>
      <c r="DH155" s="16">
        <f t="shared" si="1534"/>
        <v>58.865572749628548</v>
      </c>
      <c r="DI155" s="16">
        <f t="shared" si="1534"/>
        <v>61.773089974495527</v>
      </c>
      <c r="DJ155" s="16">
        <f t="shared" si="1534"/>
        <v>64.680607199362498</v>
      </c>
      <c r="DK155" s="16">
        <f t="shared" ref="DK155:EP155" si="1535">DK74</f>
        <v>67.588124424229477</v>
      </c>
      <c r="DL155" s="16">
        <f t="shared" si="1535"/>
        <v>70.495641649096456</v>
      </c>
      <c r="DM155" s="16">
        <f t="shared" si="1535"/>
        <v>70.495641649096456</v>
      </c>
      <c r="DN155" s="16">
        <f t="shared" si="1535"/>
        <v>73.403158873963434</v>
      </c>
      <c r="DO155" s="16">
        <f t="shared" si="1535"/>
        <v>76.310676098830413</v>
      </c>
      <c r="DP155" s="16">
        <f t="shared" si="1535"/>
        <v>79.218193323697392</v>
      </c>
      <c r="DQ155" s="16">
        <f t="shared" si="1535"/>
        <v>82.125710548564371</v>
      </c>
      <c r="DR155" s="16">
        <f t="shared" si="1535"/>
        <v>85.033227773431349</v>
      </c>
      <c r="DS155" s="16">
        <f t="shared" si="1535"/>
        <v>85.675324650495668</v>
      </c>
      <c r="DT155" s="16">
        <f t="shared" si="1535"/>
        <v>86.317421527559986</v>
      </c>
      <c r="DU155" s="16">
        <f t="shared" si="1535"/>
        <v>86.959518404624305</v>
      </c>
      <c r="DV155" s="16">
        <f t="shared" si="1535"/>
        <v>87.601615281688623</v>
      </c>
      <c r="DW155" s="16">
        <f t="shared" si="1535"/>
        <v>88.243712158752942</v>
      </c>
      <c r="DX155" s="16">
        <f t="shared" si="1535"/>
        <v>88.885809035817289</v>
      </c>
      <c r="DY155" s="16">
        <f t="shared" si="1535"/>
        <v>88.885809035817289</v>
      </c>
      <c r="DZ155" s="16">
        <f t="shared" si="1535"/>
        <v>89.527905912881636</v>
      </c>
      <c r="EA155" s="16">
        <f t="shared" si="1535"/>
        <v>90.170002789945954</v>
      </c>
      <c r="EB155" s="16">
        <f t="shared" si="1535"/>
        <v>90.812099667010273</v>
      </c>
      <c r="EC155" s="16">
        <f t="shared" si="1535"/>
        <v>91.454196544074591</v>
      </c>
      <c r="ED155" s="16">
        <f t="shared" si="1535"/>
        <v>92.09629342113891</v>
      </c>
      <c r="EE155" s="16">
        <f t="shared" si="1535"/>
        <v>95.103763050375136</v>
      </c>
      <c r="EF155" s="16">
        <f t="shared" si="1535"/>
        <v>98.111232679611362</v>
      </c>
      <c r="EG155" s="16">
        <f t="shared" si="1535"/>
        <v>101.11870230884759</v>
      </c>
      <c r="EH155" s="16">
        <f t="shared" si="1535"/>
        <v>104.12617193808381</v>
      </c>
      <c r="EI155" s="16">
        <f t="shared" si="1535"/>
        <v>107.13364156732004</v>
      </c>
      <c r="EJ155" s="16">
        <f t="shared" si="1535"/>
        <v>110.14111119655624</v>
      </c>
      <c r="EK155" s="16">
        <f t="shared" si="1535"/>
        <v>110.14111119655624</v>
      </c>
      <c r="EL155" s="16">
        <f t="shared" si="1535"/>
        <v>113.14858082579244</v>
      </c>
      <c r="EM155" s="16">
        <f t="shared" si="1535"/>
        <v>116.15605045502866</v>
      </c>
      <c r="EN155" s="16">
        <f t="shared" si="1535"/>
        <v>119.16352008426489</v>
      </c>
      <c r="EO155" s="16">
        <f t="shared" si="1535"/>
        <v>122.17098971350111</v>
      </c>
      <c r="EP155" s="16">
        <f t="shared" si="1535"/>
        <v>125.17845934273734</v>
      </c>
      <c r="EQ155" s="16">
        <f t="shared" ref="EQ155:FB155" si="1536">EQ74</f>
        <v>130.01497539814423</v>
      </c>
      <c r="ER155" s="16">
        <f t="shared" si="1536"/>
        <v>134.85149145355112</v>
      </c>
      <c r="ES155" s="16">
        <f t="shared" si="1536"/>
        <v>139.68800750895801</v>
      </c>
      <c r="ET155" s="16">
        <f t="shared" si="1536"/>
        <v>144.5245235643649</v>
      </c>
      <c r="EU155" s="16">
        <f t="shared" si="1536"/>
        <v>149.36103961977179</v>
      </c>
      <c r="EV155" s="16">
        <f t="shared" si="1536"/>
        <v>154.19755567517871</v>
      </c>
      <c r="EW155" s="16">
        <f t="shared" si="1536"/>
        <v>154.19755567517871</v>
      </c>
      <c r="EX155" s="16">
        <f t="shared" si="1536"/>
        <v>159.03407173058562</v>
      </c>
      <c r="EY155" s="16">
        <f t="shared" si="1536"/>
        <v>163.87058778599251</v>
      </c>
      <c r="EZ155" s="16">
        <f t="shared" si="1536"/>
        <v>168.7071038413994</v>
      </c>
      <c r="FA155" s="16">
        <f t="shared" si="1536"/>
        <v>173.54361989680629</v>
      </c>
      <c r="FB155" s="16">
        <f t="shared" si="1536"/>
        <v>178.38013595221318</v>
      </c>
    </row>
    <row r="156" spans="3:158" x14ac:dyDescent="0.25">
      <c r="C156" s="2" t="s">
        <v>10</v>
      </c>
      <c r="D156" s="16">
        <f t="shared" ref="D156:L156" si="1537">D69</f>
        <v>93</v>
      </c>
      <c r="E156" s="16">
        <f t="shared" si="1537"/>
        <v>134</v>
      </c>
      <c r="F156" s="16">
        <f t="shared" si="1537"/>
        <v>137</v>
      </c>
      <c r="G156" s="16">
        <f t="shared" si="1537"/>
        <v>285</v>
      </c>
      <c r="H156" s="16">
        <f t="shared" si="1537"/>
        <v>325.5988731894563</v>
      </c>
      <c r="I156" s="16">
        <f t="shared" si="1537"/>
        <v>483.73200381586048</v>
      </c>
      <c r="J156" s="16">
        <f t="shared" si="1537"/>
        <v>548.92771621454301</v>
      </c>
      <c r="K156" s="16">
        <f t="shared" si="1537"/>
        <v>722.25914965054039</v>
      </c>
      <c r="L156" s="16">
        <f t="shared" si="1537"/>
        <v>1049.6958537189396</v>
      </c>
      <c r="N156" s="16">
        <f t="shared" ref="N156:AW156" si="1538">N69</f>
        <v>59</v>
      </c>
      <c r="O156" s="16">
        <f t="shared" si="1538"/>
        <v>65</v>
      </c>
      <c r="P156" s="16">
        <f t="shared" si="1538"/>
        <v>76</v>
      </c>
      <c r="Q156" s="16">
        <f t="shared" si="1538"/>
        <v>93</v>
      </c>
      <c r="R156" s="16">
        <f t="shared" si="1538"/>
        <v>98</v>
      </c>
      <c r="S156" s="16">
        <f t="shared" si="1538"/>
        <v>102</v>
      </c>
      <c r="T156" s="16">
        <f t="shared" si="1538"/>
        <v>114</v>
      </c>
      <c r="U156" s="16">
        <f t="shared" si="1538"/>
        <v>134</v>
      </c>
      <c r="V156" s="16">
        <f t="shared" si="1538"/>
        <v>148</v>
      </c>
      <c r="W156" s="16">
        <f t="shared" si="1538"/>
        <v>126</v>
      </c>
      <c r="X156" s="16">
        <f t="shared" si="1538"/>
        <v>121</v>
      </c>
      <c r="Y156" s="16">
        <f t="shared" si="1538"/>
        <v>137</v>
      </c>
      <c r="Z156" s="16">
        <f t="shared" si="1538"/>
        <v>183</v>
      </c>
      <c r="AA156" s="16">
        <f t="shared" si="1538"/>
        <v>218</v>
      </c>
      <c r="AB156" s="16">
        <f t="shared" si="1538"/>
        <v>259</v>
      </c>
      <c r="AC156" s="16">
        <f t="shared" si="1538"/>
        <v>285</v>
      </c>
      <c r="AD156" s="16">
        <f t="shared" si="1538"/>
        <v>296.07241996076084</v>
      </c>
      <c r="AE156" s="16">
        <f t="shared" si="1538"/>
        <v>307.14483992152162</v>
      </c>
      <c r="AF156" s="16">
        <f t="shared" si="1538"/>
        <v>314.52645322869546</v>
      </c>
      <c r="AG156" s="16">
        <f t="shared" si="1538"/>
        <v>325.5988731894563</v>
      </c>
      <c r="AH156" s="16">
        <f t="shared" si="1538"/>
        <v>368.72609063302104</v>
      </c>
      <c r="AI156" s="16">
        <f t="shared" si="1538"/>
        <v>411.85330807658585</v>
      </c>
      <c r="AJ156" s="16">
        <f t="shared" si="1538"/>
        <v>440.60478637229573</v>
      </c>
      <c r="AK156" s="16">
        <f t="shared" si="1538"/>
        <v>483.73200381586048</v>
      </c>
      <c r="AL156" s="16">
        <f t="shared" si="1538"/>
        <v>501.51265265186487</v>
      </c>
      <c r="AM156" s="16">
        <f t="shared" si="1538"/>
        <v>519.29330148786914</v>
      </c>
      <c r="AN156" s="16">
        <f t="shared" si="1538"/>
        <v>531.14706737853862</v>
      </c>
      <c r="AO156" s="16">
        <f t="shared" si="1538"/>
        <v>548.92771621454301</v>
      </c>
      <c r="AP156" s="16">
        <f t="shared" si="1538"/>
        <v>596.19992533345135</v>
      </c>
      <c r="AQ156" s="16">
        <f t="shared" si="1538"/>
        <v>643.4721344523598</v>
      </c>
      <c r="AR156" s="16">
        <f t="shared" si="1538"/>
        <v>674.98694053163217</v>
      </c>
      <c r="AS156" s="16">
        <f t="shared" si="1538"/>
        <v>722.25914965054039</v>
      </c>
      <c r="AT156" s="16">
        <f t="shared" si="1538"/>
        <v>811.56006894192205</v>
      </c>
      <c r="AU156" s="16">
        <f t="shared" si="1538"/>
        <v>900.8609882333036</v>
      </c>
      <c r="AV156" s="16">
        <f t="shared" si="1538"/>
        <v>960.39493442755793</v>
      </c>
      <c r="AW156" s="16">
        <f t="shared" si="1538"/>
        <v>1049.6958537189396</v>
      </c>
      <c r="AY156" s="16">
        <f t="shared" ref="AY156:CD156" si="1539">AY69</f>
        <v>54</v>
      </c>
      <c r="AZ156" s="16">
        <f t="shared" si="1539"/>
        <v>57</v>
      </c>
      <c r="BA156" s="16">
        <f t="shared" si="1539"/>
        <v>59</v>
      </c>
      <c r="BB156" s="16">
        <f t="shared" si="1539"/>
        <v>60</v>
      </c>
      <c r="BC156" s="16">
        <f t="shared" si="1539"/>
        <v>62</v>
      </c>
      <c r="BD156" s="16">
        <f t="shared" si="1539"/>
        <v>65</v>
      </c>
      <c r="BE156" s="16">
        <f t="shared" si="1539"/>
        <v>72</v>
      </c>
      <c r="BF156" s="16">
        <f t="shared" si="1539"/>
        <v>76</v>
      </c>
      <c r="BG156" s="16">
        <f t="shared" si="1539"/>
        <v>76</v>
      </c>
      <c r="BH156" s="16">
        <f t="shared" si="1539"/>
        <v>82</v>
      </c>
      <c r="BI156" s="16">
        <f t="shared" si="1539"/>
        <v>85</v>
      </c>
      <c r="BJ156" s="16">
        <f t="shared" si="1539"/>
        <v>93</v>
      </c>
      <c r="BK156" s="16">
        <f t="shared" si="1539"/>
        <v>94</v>
      </c>
      <c r="BL156" s="16">
        <f t="shared" si="1539"/>
        <v>98</v>
      </c>
      <c r="BM156" s="16">
        <f t="shared" si="1539"/>
        <v>98</v>
      </c>
      <c r="BN156" s="16">
        <f t="shared" si="1539"/>
        <v>98</v>
      </c>
      <c r="BO156" s="16">
        <f t="shared" si="1539"/>
        <v>100</v>
      </c>
      <c r="BP156" s="16">
        <f t="shared" si="1539"/>
        <v>102</v>
      </c>
      <c r="BQ156" s="16">
        <f t="shared" si="1539"/>
        <v>110</v>
      </c>
      <c r="BR156" s="16">
        <f t="shared" si="1539"/>
        <v>110</v>
      </c>
      <c r="BS156" s="16">
        <f t="shared" si="1539"/>
        <v>114</v>
      </c>
      <c r="BT156" s="16">
        <f t="shared" si="1539"/>
        <v>122</v>
      </c>
      <c r="BU156" s="16">
        <f t="shared" si="1539"/>
        <v>121</v>
      </c>
      <c r="BV156" s="16">
        <f t="shared" si="1539"/>
        <v>134</v>
      </c>
      <c r="BW156" s="16">
        <f t="shared" si="1539"/>
        <v>133</v>
      </c>
      <c r="BX156" s="16">
        <f t="shared" si="1539"/>
        <v>144</v>
      </c>
      <c r="BY156" s="16">
        <f t="shared" si="1539"/>
        <v>148</v>
      </c>
      <c r="BZ156" s="16">
        <f t="shared" si="1539"/>
        <v>125</v>
      </c>
      <c r="CA156" s="16">
        <f t="shared" si="1539"/>
        <v>126</v>
      </c>
      <c r="CB156" s="16">
        <f t="shared" si="1539"/>
        <v>126</v>
      </c>
      <c r="CC156" s="16">
        <f t="shared" si="1539"/>
        <v>125</v>
      </c>
      <c r="CD156" s="16">
        <f t="shared" si="1539"/>
        <v>123</v>
      </c>
      <c r="CE156" s="16">
        <f t="shared" ref="CE156:DJ156" si="1540">CE69</f>
        <v>121</v>
      </c>
      <c r="CF156" s="16">
        <f t="shared" si="1540"/>
        <v>128</v>
      </c>
      <c r="CG156" s="16">
        <f t="shared" si="1540"/>
        <v>129</v>
      </c>
      <c r="CH156" s="16">
        <f t="shared" si="1540"/>
        <v>137</v>
      </c>
      <c r="CI156" s="16">
        <f t="shared" si="1540"/>
        <v>145</v>
      </c>
      <c r="CJ156" s="16">
        <f t="shared" si="1540"/>
        <v>166</v>
      </c>
      <c r="CK156" s="16">
        <f t="shared" si="1540"/>
        <v>183</v>
      </c>
      <c r="CL156" s="16">
        <f t="shared" si="1540"/>
        <v>186</v>
      </c>
      <c r="CM156" s="16">
        <f t="shared" si="1540"/>
        <v>211</v>
      </c>
      <c r="CN156" s="16">
        <f t="shared" si="1540"/>
        <v>218</v>
      </c>
      <c r="CO156" s="16">
        <f t="shared" si="1540"/>
        <v>238</v>
      </c>
      <c r="CP156" s="16">
        <f t="shared" si="1540"/>
        <v>253</v>
      </c>
      <c r="CQ156" s="16">
        <f t="shared" si="1540"/>
        <v>259</v>
      </c>
      <c r="CR156" s="16">
        <f t="shared" si="1540"/>
        <v>271</v>
      </c>
      <c r="CS156" s="16">
        <f t="shared" si="1540"/>
        <v>278</v>
      </c>
      <c r="CT156" s="16">
        <f t="shared" si="1540"/>
        <v>285</v>
      </c>
      <c r="CU156" s="16">
        <f t="shared" si="1540"/>
        <v>288.69080665358695</v>
      </c>
      <c r="CV156" s="16">
        <f t="shared" si="1540"/>
        <v>292.38161330717389</v>
      </c>
      <c r="CW156" s="16">
        <f t="shared" si="1540"/>
        <v>296.07241996076084</v>
      </c>
      <c r="CX156" s="16">
        <f t="shared" si="1540"/>
        <v>299.76322661434779</v>
      </c>
      <c r="CY156" s="16">
        <f t="shared" si="1540"/>
        <v>303.45403326793473</v>
      </c>
      <c r="CZ156" s="16">
        <f t="shared" si="1540"/>
        <v>307.14483992152162</v>
      </c>
      <c r="DA156" s="16">
        <f t="shared" si="1540"/>
        <v>307.14483992152162</v>
      </c>
      <c r="DB156" s="16">
        <f t="shared" si="1540"/>
        <v>310.83564657510851</v>
      </c>
      <c r="DC156" s="16">
        <f t="shared" si="1540"/>
        <v>314.52645322869546</v>
      </c>
      <c r="DD156" s="16">
        <f t="shared" si="1540"/>
        <v>318.21725988228241</v>
      </c>
      <c r="DE156" s="16">
        <f t="shared" si="1540"/>
        <v>321.90806653586935</v>
      </c>
      <c r="DF156" s="16">
        <f t="shared" si="1540"/>
        <v>325.5988731894563</v>
      </c>
      <c r="DG156" s="16">
        <f t="shared" si="1540"/>
        <v>339.97461233731121</v>
      </c>
      <c r="DH156" s="16">
        <f t="shared" si="1540"/>
        <v>354.35035148516613</v>
      </c>
      <c r="DI156" s="16">
        <f t="shared" si="1540"/>
        <v>368.72609063302104</v>
      </c>
      <c r="DJ156" s="16">
        <f t="shared" si="1540"/>
        <v>383.10182978087596</v>
      </c>
      <c r="DK156" s="16">
        <f t="shared" ref="DK156:EP156" si="1541">DK69</f>
        <v>397.47756892873088</v>
      </c>
      <c r="DL156" s="16">
        <f t="shared" si="1541"/>
        <v>411.85330807658585</v>
      </c>
      <c r="DM156" s="16">
        <f t="shared" si="1541"/>
        <v>411.85330807658585</v>
      </c>
      <c r="DN156" s="16">
        <f t="shared" si="1541"/>
        <v>426.22904722444082</v>
      </c>
      <c r="DO156" s="16">
        <f t="shared" si="1541"/>
        <v>440.60478637229573</v>
      </c>
      <c r="DP156" s="16">
        <f t="shared" si="1541"/>
        <v>454.98052552015065</v>
      </c>
      <c r="DQ156" s="16">
        <f t="shared" si="1541"/>
        <v>469.35626466800556</v>
      </c>
      <c r="DR156" s="16">
        <f t="shared" si="1541"/>
        <v>483.73200381586048</v>
      </c>
      <c r="DS156" s="16">
        <f t="shared" si="1541"/>
        <v>489.65888676119528</v>
      </c>
      <c r="DT156" s="16">
        <f t="shared" si="1541"/>
        <v>495.58576970653007</v>
      </c>
      <c r="DU156" s="16">
        <f t="shared" si="1541"/>
        <v>501.51265265186487</v>
      </c>
      <c r="DV156" s="16">
        <f t="shared" si="1541"/>
        <v>507.43953559719967</v>
      </c>
      <c r="DW156" s="16">
        <f t="shared" si="1541"/>
        <v>513.36641854253446</v>
      </c>
      <c r="DX156" s="16">
        <f t="shared" si="1541"/>
        <v>519.29330148786914</v>
      </c>
      <c r="DY156" s="16">
        <f t="shared" si="1541"/>
        <v>519.29330148786914</v>
      </c>
      <c r="DZ156" s="16">
        <f t="shared" si="1541"/>
        <v>525.22018443320383</v>
      </c>
      <c r="EA156" s="16">
        <f t="shared" si="1541"/>
        <v>531.14706737853862</v>
      </c>
      <c r="EB156" s="16">
        <f t="shared" si="1541"/>
        <v>537.07395032387342</v>
      </c>
      <c r="EC156" s="16">
        <f t="shared" si="1541"/>
        <v>543.00083326920821</v>
      </c>
      <c r="ED156" s="16">
        <f t="shared" si="1541"/>
        <v>548.92771621454301</v>
      </c>
      <c r="EE156" s="16">
        <f t="shared" si="1541"/>
        <v>564.6851192541792</v>
      </c>
      <c r="EF156" s="16">
        <f t="shared" si="1541"/>
        <v>580.44252229381527</v>
      </c>
      <c r="EG156" s="16">
        <f t="shared" si="1541"/>
        <v>596.19992533345135</v>
      </c>
      <c r="EH156" s="16">
        <f t="shared" si="1541"/>
        <v>611.95732837308742</v>
      </c>
      <c r="EI156" s="16">
        <f t="shared" si="1541"/>
        <v>627.71473141272349</v>
      </c>
      <c r="EJ156" s="16">
        <f t="shared" si="1541"/>
        <v>643.4721344523598</v>
      </c>
      <c r="EK156" s="16">
        <f t="shared" si="1541"/>
        <v>643.4721344523598</v>
      </c>
      <c r="EL156" s="16">
        <f t="shared" si="1541"/>
        <v>659.2295374919961</v>
      </c>
      <c r="EM156" s="16">
        <f t="shared" si="1541"/>
        <v>674.98694053163217</v>
      </c>
      <c r="EN156" s="16">
        <f t="shared" si="1541"/>
        <v>690.74434357126825</v>
      </c>
      <c r="EO156" s="16">
        <f t="shared" si="1541"/>
        <v>706.50174661090432</v>
      </c>
      <c r="EP156" s="16">
        <f t="shared" si="1541"/>
        <v>722.25914965054039</v>
      </c>
      <c r="EQ156" s="16">
        <f t="shared" ref="EQ156:FB156" si="1542">EQ69</f>
        <v>752.02612274766761</v>
      </c>
      <c r="ER156" s="16">
        <f t="shared" si="1542"/>
        <v>781.79309584479483</v>
      </c>
      <c r="ES156" s="16">
        <f t="shared" si="1542"/>
        <v>811.56006894192205</v>
      </c>
      <c r="ET156" s="16">
        <f t="shared" si="1542"/>
        <v>841.32704203904927</v>
      </c>
      <c r="EU156" s="16">
        <f t="shared" si="1542"/>
        <v>871.09401513617649</v>
      </c>
      <c r="EV156" s="16">
        <f t="shared" si="1542"/>
        <v>900.8609882333036</v>
      </c>
      <c r="EW156" s="16">
        <f t="shared" si="1542"/>
        <v>900.8609882333036</v>
      </c>
      <c r="EX156" s="16">
        <f t="shared" si="1542"/>
        <v>930.62796133043071</v>
      </c>
      <c r="EY156" s="16">
        <f t="shared" si="1542"/>
        <v>960.39493442755793</v>
      </c>
      <c r="EZ156" s="16">
        <f t="shared" si="1542"/>
        <v>990.16190752468515</v>
      </c>
      <c r="FA156" s="16">
        <f t="shared" si="1542"/>
        <v>1019.9288806218124</v>
      </c>
      <c r="FB156" s="16">
        <f t="shared" si="1542"/>
        <v>1049.6958537189396</v>
      </c>
    </row>
    <row r="157" spans="3:158" x14ac:dyDescent="0.25">
      <c r="C157" s="2" t="s">
        <v>566</v>
      </c>
      <c r="D157" s="16">
        <f t="shared" ref="D157:L157" si="1543">D79</f>
        <v>28</v>
      </c>
      <c r="E157" s="16">
        <f t="shared" si="1543"/>
        <v>52</v>
      </c>
      <c r="F157" s="16">
        <f t="shared" si="1543"/>
        <v>59</v>
      </c>
      <c r="G157" s="16">
        <f t="shared" si="1543"/>
        <v>102</v>
      </c>
      <c r="H157" s="16">
        <f t="shared" si="1543"/>
        <v>145.3324472629449</v>
      </c>
      <c r="I157" s="16">
        <f t="shared" si="1543"/>
        <v>210.65247192073409</v>
      </c>
      <c r="J157" s="16">
        <f t="shared" si="1543"/>
        <v>300.17130157671318</v>
      </c>
      <c r="K157" s="16">
        <f t="shared" si="1543"/>
        <v>421.09426593461086</v>
      </c>
      <c r="L157" s="16">
        <f t="shared" si="1543"/>
        <v>567.98868007411659</v>
      </c>
      <c r="N157" s="16">
        <f t="shared" ref="N157:AW157" si="1544">N79</f>
        <v>19</v>
      </c>
      <c r="O157" s="16">
        <f t="shared" si="1544"/>
        <v>23</v>
      </c>
      <c r="P157" s="16">
        <f t="shared" si="1544"/>
        <v>26</v>
      </c>
      <c r="Q157" s="16">
        <f t="shared" si="1544"/>
        <v>28</v>
      </c>
      <c r="R157" s="16">
        <f t="shared" si="1544"/>
        <v>39</v>
      </c>
      <c r="S157" s="16">
        <f t="shared" si="1544"/>
        <v>42</v>
      </c>
      <c r="T157" s="16">
        <f t="shared" si="1544"/>
        <v>46</v>
      </c>
      <c r="U157" s="16">
        <f t="shared" si="1544"/>
        <v>52</v>
      </c>
      <c r="V157" s="16">
        <f t="shared" si="1544"/>
        <v>53</v>
      </c>
      <c r="W157" s="16">
        <f t="shared" si="1544"/>
        <v>52</v>
      </c>
      <c r="X157" s="16">
        <f t="shared" si="1544"/>
        <v>55</v>
      </c>
      <c r="Y157" s="16">
        <f t="shared" si="1544"/>
        <v>59</v>
      </c>
      <c r="Z157" s="16">
        <f t="shared" si="1544"/>
        <v>74</v>
      </c>
      <c r="AA157" s="16">
        <f t="shared" si="1544"/>
        <v>87</v>
      </c>
      <c r="AB157" s="16">
        <f t="shared" si="1544"/>
        <v>94</v>
      </c>
      <c r="AC157" s="16">
        <f t="shared" si="1544"/>
        <v>102</v>
      </c>
      <c r="AD157" s="16">
        <f t="shared" si="1544"/>
        <v>107.34175590199514</v>
      </c>
      <c r="AE157" s="16">
        <f t="shared" si="1544"/>
        <v>118.37577795781111</v>
      </c>
      <c r="AF157" s="16">
        <f t="shared" si="1544"/>
        <v>129.11025903588859</v>
      </c>
      <c r="AG157" s="16">
        <f t="shared" si="1544"/>
        <v>145.3324472629449</v>
      </c>
      <c r="AH157" s="16">
        <f t="shared" si="1544"/>
        <v>157.60044102382477</v>
      </c>
      <c r="AI157" s="16">
        <f t="shared" si="1544"/>
        <v>173.97275129781607</v>
      </c>
      <c r="AJ157" s="16">
        <f t="shared" si="1544"/>
        <v>189.1786580000973</v>
      </c>
      <c r="AK157" s="16">
        <f t="shared" si="1544"/>
        <v>210.65247192073409</v>
      </c>
      <c r="AL157" s="16">
        <f t="shared" si="1544"/>
        <v>227.28197773702104</v>
      </c>
      <c r="AM157" s="16">
        <f t="shared" si="1544"/>
        <v>249.76504261269139</v>
      </c>
      <c r="AN157" s="16">
        <f t="shared" si="1544"/>
        <v>270.64078220771648</v>
      </c>
      <c r="AO157" s="16">
        <f t="shared" si="1544"/>
        <v>300.17130157671318</v>
      </c>
      <c r="AP157" s="16">
        <f t="shared" si="1544"/>
        <v>322.69634580350095</v>
      </c>
      <c r="AQ157" s="16">
        <f t="shared" si="1544"/>
        <v>353.03092585371002</v>
      </c>
      <c r="AR157" s="16">
        <f t="shared" si="1544"/>
        <v>381.18862272061108</v>
      </c>
      <c r="AS157" s="16">
        <f t="shared" si="1544"/>
        <v>421.09426593461086</v>
      </c>
      <c r="AT157" s="16">
        <f t="shared" si="1544"/>
        <v>448.29210340187984</v>
      </c>
      <c r="AU157" s="16">
        <f t="shared" si="1544"/>
        <v>485.33264575930292</v>
      </c>
      <c r="AV157" s="16">
        <f t="shared" si="1544"/>
        <v>519.16447702659366</v>
      </c>
      <c r="AW157" s="16">
        <f t="shared" si="1544"/>
        <v>567.98868007411659</v>
      </c>
      <c r="AY157" s="16">
        <f t="shared" ref="AY157:CD157" si="1545">AY79</f>
        <v>15</v>
      </c>
      <c r="AZ157" s="16">
        <f t="shared" si="1545"/>
        <v>17</v>
      </c>
      <c r="BA157" s="16">
        <f t="shared" si="1545"/>
        <v>19</v>
      </c>
      <c r="BB157" s="16">
        <f t="shared" si="1545"/>
        <v>21</v>
      </c>
      <c r="BC157" s="16">
        <f t="shared" si="1545"/>
        <v>23</v>
      </c>
      <c r="BD157" s="16">
        <f t="shared" si="1545"/>
        <v>23</v>
      </c>
      <c r="BE157" s="16">
        <f t="shared" si="1545"/>
        <v>26</v>
      </c>
      <c r="BF157" s="16">
        <f t="shared" si="1545"/>
        <v>26</v>
      </c>
      <c r="BG157" s="16">
        <f t="shared" si="1545"/>
        <v>26</v>
      </c>
      <c r="BH157" s="16">
        <f t="shared" si="1545"/>
        <v>27</v>
      </c>
      <c r="BI157" s="16">
        <f t="shared" si="1545"/>
        <v>29</v>
      </c>
      <c r="BJ157" s="16">
        <f t="shared" si="1545"/>
        <v>28</v>
      </c>
      <c r="BK157" s="16">
        <f t="shared" si="1545"/>
        <v>31</v>
      </c>
      <c r="BL157" s="16">
        <f t="shared" si="1545"/>
        <v>34</v>
      </c>
      <c r="BM157" s="16">
        <f t="shared" si="1545"/>
        <v>39</v>
      </c>
      <c r="BN157" s="16">
        <f t="shared" si="1545"/>
        <v>41</v>
      </c>
      <c r="BO157" s="16">
        <f t="shared" si="1545"/>
        <v>40</v>
      </c>
      <c r="BP157" s="16">
        <f t="shared" si="1545"/>
        <v>42</v>
      </c>
      <c r="BQ157" s="16">
        <f t="shared" si="1545"/>
        <v>44</v>
      </c>
      <c r="BR157" s="16">
        <f t="shared" si="1545"/>
        <v>44</v>
      </c>
      <c r="BS157" s="16">
        <f t="shared" si="1545"/>
        <v>46</v>
      </c>
      <c r="BT157" s="16">
        <f t="shared" si="1545"/>
        <v>46</v>
      </c>
      <c r="BU157" s="16">
        <f t="shared" si="1545"/>
        <v>50</v>
      </c>
      <c r="BV157" s="16">
        <f t="shared" si="1545"/>
        <v>52</v>
      </c>
      <c r="BW157" s="16">
        <f t="shared" si="1545"/>
        <v>52</v>
      </c>
      <c r="BX157" s="16">
        <f t="shared" si="1545"/>
        <v>52</v>
      </c>
      <c r="BY157" s="16">
        <f t="shared" si="1545"/>
        <v>53</v>
      </c>
      <c r="BZ157" s="16">
        <f t="shared" si="1545"/>
        <v>54</v>
      </c>
      <c r="CA157" s="16">
        <f t="shared" si="1545"/>
        <v>53</v>
      </c>
      <c r="CB157" s="16">
        <f t="shared" si="1545"/>
        <v>52</v>
      </c>
      <c r="CC157" s="16">
        <f t="shared" si="1545"/>
        <v>55</v>
      </c>
      <c r="CD157" s="16">
        <f t="shared" si="1545"/>
        <v>57</v>
      </c>
      <c r="CE157" s="16">
        <f t="shared" ref="CE157:DJ157" si="1546">CE79</f>
        <v>55</v>
      </c>
      <c r="CF157" s="16">
        <f t="shared" si="1546"/>
        <v>59</v>
      </c>
      <c r="CG157" s="16">
        <f t="shared" si="1546"/>
        <v>60</v>
      </c>
      <c r="CH157" s="16">
        <f t="shared" si="1546"/>
        <v>59</v>
      </c>
      <c r="CI157" s="16">
        <f t="shared" si="1546"/>
        <v>65</v>
      </c>
      <c r="CJ157" s="16">
        <f t="shared" si="1546"/>
        <v>70</v>
      </c>
      <c r="CK157" s="16">
        <f t="shared" si="1546"/>
        <v>74</v>
      </c>
      <c r="CL157" s="16">
        <f t="shared" si="1546"/>
        <v>80</v>
      </c>
      <c r="CM157" s="16">
        <f t="shared" si="1546"/>
        <v>85</v>
      </c>
      <c r="CN157" s="16">
        <f t="shared" si="1546"/>
        <v>87</v>
      </c>
      <c r="CO157" s="16">
        <f t="shared" si="1546"/>
        <v>93</v>
      </c>
      <c r="CP157" s="16">
        <f t="shared" si="1546"/>
        <v>94</v>
      </c>
      <c r="CQ157" s="16">
        <f t="shared" si="1546"/>
        <v>94</v>
      </c>
      <c r="CR157" s="16">
        <f t="shared" si="1546"/>
        <v>97</v>
      </c>
      <c r="CS157" s="16">
        <f t="shared" si="1546"/>
        <v>101</v>
      </c>
      <c r="CT157" s="16">
        <f t="shared" si="1546"/>
        <v>102</v>
      </c>
      <c r="CU157" s="16">
        <f t="shared" si="1546"/>
        <v>102.09768245754529</v>
      </c>
      <c r="CV157" s="16">
        <f t="shared" si="1546"/>
        <v>103.60143663581563</v>
      </c>
      <c r="CW157" s="16">
        <f t="shared" si="1546"/>
        <v>107.34175590199514</v>
      </c>
      <c r="CX157" s="16">
        <f t="shared" si="1546"/>
        <v>110.66214071376258</v>
      </c>
      <c r="CY157" s="16">
        <f t="shared" si="1546"/>
        <v>113.45244380042054</v>
      </c>
      <c r="CZ157" s="16">
        <f t="shared" si="1546"/>
        <v>118.37577795781111</v>
      </c>
      <c r="DA157" s="16">
        <f t="shared" si="1546"/>
        <v>121.9315107518055</v>
      </c>
      <c r="DB157" s="16">
        <f t="shared" si="1546"/>
        <v>124.27443168664306</v>
      </c>
      <c r="DC157" s="16">
        <f t="shared" si="1546"/>
        <v>129.11025903588859</v>
      </c>
      <c r="DD157" s="16">
        <f t="shared" si="1546"/>
        <v>133.32326012804512</v>
      </c>
      <c r="DE157" s="16">
        <f t="shared" si="1546"/>
        <v>137.82094934687564</v>
      </c>
      <c r="DF157" s="16">
        <f t="shared" si="1546"/>
        <v>145.3324472629449</v>
      </c>
      <c r="DG157" s="16">
        <f t="shared" si="1546"/>
        <v>149.96070818303468</v>
      </c>
      <c r="DH157" s="16">
        <f t="shared" si="1546"/>
        <v>152.22505369834175</v>
      </c>
      <c r="DI157" s="16">
        <f t="shared" si="1546"/>
        <v>157.60044102382477</v>
      </c>
      <c r="DJ157" s="16">
        <f t="shared" si="1546"/>
        <v>162.48409977970869</v>
      </c>
      <c r="DK157" s="16">
        <f t="shared" ref="DK157:EP157" si="1547">DK79</f>
        <v>166.73937082604812</v>
      </c>
      <c r="DL157" s="16">
        <f t="shared" si="1547"/>
        <v>173.97275129781607</v>
      </c>
      <c r="DM157" s="16">
        <f t="shared" si="1547"/>
        <v>179.11355644071622</v>
      </c>
      <c r="DN157" s="16">
        <f t="shared" si="1547"/>
        <v>182.39860428548187</v>
      </c>
      <c r="DO157" s="16">
        <f t="shared" si="1547"/>
        <v>189.1786580000973</v>
      </c>
      <c r="DP157" s="16">
        <f t="shared" si="1547"/>
        <v>194.83601645243698</v>
      </c>
      <c r="DQ157" s="16">
        <f t="shared" si="1547"/>
        <v>200.63323222016172</v>
      </c>
      <c r="DR157" s="16">
        <f t="shared" si="1547"/>
        <v>210.65247192073409</v>
      </c>
      <c r="DS157" s="16">
        <f t="shared" si="1547"/>
        <v>216.8169311978202</v>
      </c>
      <c r="DT157" s="16">
        <f t="shared" si="1547"/>
        <v>219.90175565682117</v>
      </c>
      <c r="DU157" s="16">
        <f t="shared" si="1547"/>
        <v>227.28197773702104</v>
      </c>
      <c r="DV157" s="16">
        <f t="shared" si="1547"/>
        <v>233.98324710834925</v>
      </c>
      <c r="DW157" s="16">
        <f t="shared" si="1547"/>
        <v>239.81799779512946</v>
      </c>
      <c r="DX157" s="16">
        <f t="shared" si="1547"/>
        <v>249.76504261269139</v>
      </c>
      <c r="DY157" s="16">
        <f t="shared" si="1547"/>
        <v>256.82243317003099</v>
      </c>
      <c r="DZ157" s="16">
        <f t="shared" si="1547"/>
        <v>261.31838535934844</v>
      </c>
      <c r="EA157" s="16">
        <f t="shared" si="1547"/>
        <v>270.64078220771648</v>
      </c>
      <c r="EB157" s="16">
        <f t="shared" si="1547"/>
        <v>278.41285664434741</v>
      </c>
      <c r="EC157" s="16">
        <f t="shared" si="1547"/>
        <v>286.3773257137114</v>
      </c>
      <c r="ED157" s="16">
        <f t="shared" si="1547"/>
        <v>300.17130157671318</v>
      </c>
      <c r="EE157" s="16">
        <f t="shared" si="1547"/>
        <v>308.61455433726491</v>
      </c>
      <c r="EF157" s="16">
        <f t="shared" si="1547"/>
        <v>312.74076218090539</v>
      </c>
      <c r="EG157" s="16">
        <f t="shared" si="1547"/>
        <v>322.69634580350095</v>
      </c>
      <c r="EH157" s="16">
        <f t="shared" si="1547"/>
        <v>331.73086042086925</v>
      </c>
      <c r="EI157" s="16">
        <f t="shared" si="1547"/>
        <v>339.59033948291136</v>
      </c>
      <c r="EJ157" s="16">
        <f t="shared" si="1547"/>
        <v>353.03092585371002</v>
      </c>
      <c r="EK157" s="16">
        <f t="shared" si="1547"/>
        <v>362.55018970561269</v>
      </c>
      <c r="EL157" s="16">
        <f t="shared" si="1547"/>
        <v>368.59416853221495</v>
      </c>
      <c r="EM157" s="16">
        <f t="shared" si="1547"/>
        <v>381.18862272061108</v>
      </c>
      <c r="EN157" s="16">
        <f t="shared" si="1547"/>
        <v>391.6793947029808</v>
      </c>
      <c r="EO157" s="16">
        <f t="shared" si="1547"/>
        <v>402.43118302681154</v>
      </c>
      <c r="EP157" s="16">
        <f t="shared" si="1547"/>
        <v>421.09426593461086</v>
      </c>
      <c r="EQ157" s="16">
        <f t="shared" ref="EQ157:FB157" si="1548">EQ79</f>
        <v>431.56113267764528</v>
      </c>
      <c r="ER157" s="16">
        <f t="shared" si="1548"/>
        <v>436.06939762078167</v>
      </c>
      <c r="ES157" s="16">
        <f t="shared" si="1548"/>
        <v>448.29210340187984</v>
      </c>
      <c r="ET157" s="16">
        <f t="shared" si="1548"/>
        <v>459.25555017163242</v>
      </c>
      <c r="EU157" s="16">
        <f t="shared" si="1548"/>
        <v>468.63260894080287</v>
      </c>
      <c r="EV157" s="16">
        <f t="shared" si="1548"/>
        <v>485.33264575930292</v>
      </c>
      <c r="EW157" s="16">
        <f t="shared" si="1548"/>
        <v>496.82037071836368</v>
      </c>
      <c r="EX157" s="16">
        <f t="shared" si="1548"/>
        <v>503.71195843729998</v>
      </c>
      <c r="EY157" s="16">
        <f t="shared" si="1548"/>
        <v>519.16447702659366</v>
      </c>
      <c r="EZ157" s="16">
        <f t="shared" si="1548"/>
        <v>531.81698267320337</v>
      </c>
      <c r="FA157" s="16">
        <f t="shared" si="1548"/>
        <v>544.77107361178184</v>
      </c>
      <c r="FB157" s="16">
        <f t="shared" si="1548"/>
        <v>567.98868007411659</v>
      </c>
    </row>
    <row r="158" spans="3:158" x14ac:dyDescent="0.25">
      <c r="C158" s="2" t="s">
        <v>1</v>
      </c>
      <c r="D158" s="16">
        <f t="shared" ref="D158:L158" si="1549">D32</f>
        <v>15</v>
      </c>
      <c r="E158" s="16">
        <f t="shared" si="1549"/>
        <v>20</v>
      </c>
      <c r="F158" s="16">
        <f t="shared" si="1549"/>
        <v>16</v>
      </c>
      <c r="G158" s="16">
        <f t="shared" si="1549"/>
        <v>46</v>
      </c>
      <c r="H158" s="16">
        <f t="shared" si="1549"/>
        <v>57.089784731078716</v>
      </c>
      <c r="I158" s="16">
        <f t="shared" si="1549"/>
        <v>86.471940481251352</v>
      </c>
      <c r="J158" s="16">
        <f t="shared" si="1549"/>
        <v>113.05224348581552</v>
      </c>
      <c r="K158" s="16">
        <f t="shared" si="1549"/>
        <v>157.01348879874712</v>
      </c>
      <c r="L158" s="16">
        <f t="shared" si="1549"/>
        <v>170.62385604535626</v>
      </c>
      <c r="N158" s="16">
        <f t="shared" ref="N158:AW158" si="1550">N32</f>
        <v>4</v>
      </c>
      <c r="O158" s="16">
        <f t="shared" si="1550"/>
        <v>6</v>
      </c>
      <c r="P158" s="16">
        <f t="shared" si="1550"/>
        <v>11</v>
      </c>
      <c r="Q158" s="16">
        <f t="shared" si="1550"/>
        <v>15</v>
      </c>
      <c r="R158" s="16">
        <f t="shared" si="1550"/>
        <v>17</v>
      </c>
      <c r="S158" s="16">
        <f t="shared" si="1550"/>
        <v>20</v>
      </c>
      <c r="T158" s="16">
        <f t="shared" si="1550"/>
        <v>19</v>
      </c>
      <c r="U158" s="16">
        <f t="shared" si="1550"/>
        <v>20</v>
      </c>
      <c r="V158" s="16">
        <f t="shared" si="1550"/>
        <v>18</v>
      </c>
      <c r="W158" s="16">
        <f t="shared" si="1550"/>
        <v>18</v>
      </c>
      <c r="X158" s="16">
        <f t="shared" si="1550"/>
        <v>17</v>
      </c>
      <c r="Y158" s="16">
        <f t="shared" si="1550"/>
        <v>16</v>
      </c>
      <c r="Z158" s="16">
        <f t="shared" si="1550"/>
        <v>20</v>
      </c>
      <c r="AA158" s="16">
        <f t="shared" si="1550"/>
        <v>26</v>
      </c>
      <c r="AB158" s="16">
        <f t="shared" si="1550"/>
        <v>33</v>
      </c>
      <c r="AC158" s="16">
        <f t="shared" si="1550"/>
        <v>46</v>
      </c>
      <c r="AD158" s="16">
        <f t="shared" si="1550"/>
        <v>49.024486744839642</v>
      </c>
      <c r="AE158" s="16">
        <f t="shared" si="1550"/>
        <v>52.048973489679298</v>
      </c>
      <c r="AF158" s="16">
        <f t="shared" si="1550"/>
        <v>54.065297986239074</v>
      </c>
      <c r="AG158" s="16">
        <f t="shared" si="1550"/>
        <v>57.089784731078716</v>
      </c>
      <c r="AH158" s="16">
        <f t="shared" si="1550"/>
        <v>65.103099935671253</v>
      </c>
      <c r="AI158" s="16">
        <f t="shared" si="1550"/>
        <v>73.116415140263797</v>
      </c>
      <c r="AJ158" s="16">
        <f t="shared" si="1550"/>
        <v>78.458625276658822</v>
      </c>
      <c r="AK158" s="16">
        <f t="shared" si="1550"/>
        <v>86.471940481251352</v>
      </c>
      <c r="AL158" s="16">
        <f t="shared" si="1550"/>
        <v>93.721114027950648</v>
      </c>
      <c r="AM158" s="16">
        <f t="shared" si="1550"/>
        <v>100.97028757464999</v>
      </c>
      <c r="AN158" s="16">
        <f t="shared" si="1550"/>
        <v>105.80306993911623</v>
      </c>
      <c r="AO158" s="16">
        <f t="shared" si="1550"/>
        <v>113.05224348581552</v>
      </c>
      <c r="AP158" s="16">
        <f t="shared" si="1550"/>
        <v>125.04167402570596</v>
      </c>
      <c r="AQ158" s="16">
        <f t="shared" si="1550"/>
        <v>137.03110456559639</v>
      </c>
      <c r="AR158" s="16">
        <f t="shared" si="1550"/>
        <v>145.02405825885668</v>
      </c>
      <c r="AS158" s="16">
        <f t="shared" si="1550"/>
        <v>157.01348879874712</v>
      </c>
      <c r="AT158" s="16">
        <f t="shared" si="1550"/>
        <v>160.72540713873138</v>
      </c>
      <c r="AU158" s="16">
        <f t="shared" si="1550"/>
        <v>164.43732547871574</v>
      </c>
      <c r="AV158" s="16">
        <f t="shared" si="1550"/>
        <v>166.911937705372</v>
      </c>
      <c r="AW158" s="16">
        <f t="shared" si="1550"/>
        <v>170.62385604535626</v>
      </c>
      <c r="AY158" s="16">
        <f t="shared" ref="AY158:CD158" si="1551">AY32</f>
        <v>4</v>
      </c>
      <c r="AZ158" s="16">
        <f t="shared" si="1551"/>
        <v>4</v>
      </c>
      <c r="BA158" s="16">
        <f t="shared" si="1551"/>
        <v>4</v>
      </c>
      <c r="BB158" s="16">
        <f t="shared" si="1551"/>
        <v>5</v>
      </c>
      <c r="BC158" s="16">
        <f t="shared" si="1551"/>
        <v>5</v>
      </c>
      <c r="BD158" s="16">
        <f t="shared" si="1551"/>
        <v>6</v>
      </c>
      <c r="BE158" s="16">
        <f t="shared" si="1551"/>
        <v>7</v>
      </c>
      <c r="BF158" s="16">
        <f t="shared" si="1551"/>
        <v>9</v>
      </c>
      <c r="BG158" s="16">
        <f t="shared" si="1551"/>
        <v>11</v>
      </c>
      <c r="BH158" s="16">
        <f t="shared" si="1551"/>
        <v>13</v>
      </c>
      <c r="BI158" s="16">
        <f t="shared" si="1551"/>
        <v>14</v>
      </c>
      <c r="BJ158" s="16">
        <f t="shared" si="1551"/>
        <v>15</v>
      </c>
      <c r="BK158" s="16">
        <f t="shared" si="1551"/>
        <v>16</v>
      </c>
      <c r="BL158" s="16">
        <f t="shared" si="1551"/>
        <v>16</v>
      </c>
      <c r="BM158" s="16">
        <f t="shared" si="1551"/>
        <v>17</v>
      </c>
      <c r="BN158" s="16">
        <f t="shared" si="1551"/>
        <v>18</v>
      </c>
      <c r="BO158" s="16">
        <f t="shared" si="1551"/>
        <v>19</v>
      </c>
      <c r="BP158" s="16">
        <f t="shared" si="1551"/>
        <v>20</v>
      </c>
      <c r="BQ158" s="16">
        <f t="shared" si="1551"/>
        <v>20</v>
      </c>
      <c r="BR158" s="16">
        <f t="shared" si="1551"/>
        <v>20</v>
      </c>
      <c r="BS158" s="16">
        <f t="shared" si="1551"/>
        <v>19</v>
      </c>
      <c r="BT158" s="16">
        <f t="shared" si="1551"/>
        <v>19</v>
      </c>
      <c r="BU158" s="16">
        <f t="shared" si="1551"/>
        <v>19</v>
      </c>
      <c r="BV158" s="16">
        <f t="shared" si="1551"/>
        <v>20</v>
      </c>
      <c r="BW158" s="16">
        <f t="shared" si="1551"/>
        <v>19</v>
      </c>
      <c r="BX158" s="16">
        <f t="shared" si="1551"/>
        <v>18</v>
      </c>
      <c r="BY158" s="16">
        <f t="shared" si="1551"/>
        <v>18</v>
      </c>
      <c r="BZ158" s="16">
        <f t="shared" si="1551"/>
        <v>19</v>
      </c>
      <c r="CA158" s="16">
        <f t="shared" si="1551"/>
        <v>18</v>
      </c>
      <c r="CB158" s="16">
        <f t="shared" si="1551"/>
        <v>18</v>
      </c>
      <c r="CC158" s="16">
        <f t="shared" si="1551"/>
        <v>17</v>
      </c>
      <c r="CD158" s="16">
        <f t="shared" si="1551"/>
        <v>17</v>
      </c>
      <c r="CE158" s="16">
        <f t="shared" ref="CE158:DJ158" si="1552">CE32</f>
        <v>17</v>
      </c>
      <c r="CF158" s="16">
        <f t="shared" si="1552"/>
        <v>16</v>
      </c>
      <c r="CG158" s="16">
        <f t="shared" si="1552"/>
        <v>16</v>
      </c>
      <c r="CH158" s="16">
        <f t="shared" si="1552"/>
        <v>16</v>
      </c>
      <c r="CI158" s="16">
        <f t="shared" si="1552"/>
        <v>15</v>
      </c>
      <c r="CJ158" s="16">
        <f t="shared" si="1552"/>
        <v>15</v>
      </c>
      <c r="CK158" s="16">
        <f t="shared" si="1552"/>
        <v>20</v>
      </c>
      <c r="CL158" s="16">
        <f t="shared" si="1552"/>
        <v>21</v>
      </c>
      <c r="CM158" s="16">
        <f t="shared" si="1552"/>
        <v>24</v>
      </c>
      <c r="CN158" s="16">
        <f t="shared" si="1552"/>
        <v>26</v>
      </c>
      <c r="CO158" s="16">
        <f t="shared" si="1552"/>
        <v>28</v>
      </c>
      <c r="CP158" s="16">
        <f t="shared" si="1552"/>
        <v>32</v>
      </c>
      <c r="CQ158" s="16">
        <f t="shared" si="1552"/>
        <v>33</v>
      </c>
      <c r="CR158" s="16">
        <f t="shared" si="1552"/>
        <v>38</v>
      </c>
      <c r="CS158" s="16">
        <f t="shared" si="1552"/>
        <v>44</v>
      </c>
      <c r="CT158" s="16">
        <f t="shared" si="1552"/>
        <v>46</v>
      </c>
      <c r="CU158" s="16">
        <f t="shared" si="1552"/>
        <v>47.008162248279881</v>
      </c>
      <c r="CV158" s="16">
        <f t="shared" si="1552"/>
        <v>48.016324496559761</v>
      </c>
      <c r="CW158" s="16">
        <f t="shared" si="1552"/>
        <v>49.024486744839642</v>
      </c>
      <c r="CX158" s="16">
        <f t="shared" si="1552"/>
        <v>50.032648993119523</v>
      </c>
      <c r="CY158" s="16">
        <f t="shared" si="1552"/>
        <v>51.040811241399403</v>
      </c>
      <c r="CZ158" s="16">
        <f t="shared" si="1552"/>
        <v>52.048973489679298</v>
      </c>
      <c r="DA158" s="16">
        <f t="shared" si="1552"/>
        <v>52.048973489679298</v>
      </c>
      <c r="DB158" s="16">
        <f t="shared" si="1552"/>
        <v>53.057135737959193</v>
      </c>
      <c r="DC158" s="16">
        <f t="shared" si="1552"/>
        <v>54.065297986239074</v>
      </c>
      <c r="DD158" s="16">
        <f t="shared" si="1552"/>
        <v>55.073460234518954</v>
      </c>
      <c r="DE158" s="16">
        <f t="shared" si="1552"/>
        <v>56.081622482798835</v>
      </c>
      <c r="DF158" s="16">
        <f t="shared" si="1552"/>
        <v>57.089784731078716</v>
      </c>
      <c r="DG158" s="16">
        <f t="shared" si="1552"/>
        <v>59.760889799276228</v>
      </c>
      <c r="DH158" s="16">
        <f t="shared" si="1552"/>
        <v>62.43199486747374</v>
      </c>
      <c r="DI158" s="16">
        <f t="shared" si="1552"/>
        <v>65.103099935671253</v>
      </c>
      <c r="DJ158" s="16">
        <f t="shared" si="1552"/>
        <v>67.774205003868772</v>
      </c>
      <c r="DK158" s="16">
        <f t="shared" ref="DK158:EP158" si="1553">DK32</f>
        <v>70.445310072066292</v>
      </c>
      <c r="DL158" s="16">
        <f t="shared" si="1553"/>
        <v>73.116415140263797</v>
      </c>
      <c r="DM158" s="16">
        <f t="shared" si="1553"/>
        <v>73.116415140263797</v>
      </c>
      <c r="DN158" s="16">
        <f t="shared" si="1553"/>
        <v>75.787520208461302</v>
      </c>
      <c r="DO158" s="16">
        <f t="shared" si="1553"/>
        <v>78.458625276658822</v>
      </c>
      <c r="DP158" s="16">
        <f t="shared" si="1553"/>
        <v>81.129730344856341</v>
      </c>
      <c r="DQ158" s="16">
        <f t="shared" si="1553"/>
        <v>83.800835413053846</v>
      </c>
      <c r="DR158" s="16">
        <f t="shared" si="1553"/>
        <v>86.471940481251352</v>
      </c>
      <c r="DS158" s="16">
        <f t="shared" si="1553"/>
        <v>88.88833166348445</v>
      </c>
      <c r="DT158" s="16">
        <f t="shared" si="1553"/>
        <v>91.304722845717549</v>
      </c>
      <c r="DU158" s="16">
        <f t="shared" si="1553"/>
        <v>93.721114027950648</v>
      </c>
      <c r="DV158" s="16">
        <f t="shared" si="1553"/>
        <v>96.137505210183747</v>
      </c>
      <c r="DW158" s="16">
        <f t="shared" si="1553"/>
        <v>98.553896392416846</v>
      </c>
      <c r="DX158" s="16">
        <f t="shared" si="1553"/>
        <v>100.97028757464999</v>
      </c>
      <c r="DY158" s="16">
        <f t="shared" si="1553"/>
        <v>100.97028757464999</v>
      </c>
      <c r="DZ158" s="16">
        <f t="shared" si="1553"/>
        <v>103.38667875688313</v>
      </c>
      <c r="EA158" s="16">
        <f t="shared" si="1553"/>
        <v>105.80306993911623</v>
      </c>
      <c r="EB158" s="16">
        <f t="shared" si="1553"/>
        <v>108.21946112134933</v>
      </c>
      <c r="EC158" s="16">
        <f t="shared" si="1553"/>
        <v>110.63585230358242</v>
      </c>
      <c r="ED158" s="16">
        <f t="shared" si="1553"/>
        <v>113.05224348581552</v>
      </c>
      <c r="EE158" s="16">
        <f t="shared" si="1553"/>
        <v>117.04872033244567</v>
      </c>
      <c r="EF158" s="16">
        <f t="shared" si="1553"/>
        <v>121.04519717907581</v>
      </c>
      <c r="EG158" s="16">
        <f t="shared" si="1553"/>
        <v>125.04167402570596</v>
      </c>
      <c r="EH158" s="16">
        <f t="shared" si="1553"/>
        <v>129.0381508723361</v>
      </c>
      <c r="EI158" s="16">
        <f t="shared" si="1553"/>
        <v>133.03462771896625</v>
      </c>
      <c r="EJ158" s="16">
        <f t="shared" si="1553"/>
        <v>137.03110456559639</v>
      </c>
      <c r="EK158" s="16">
        <f t="shared" si="1553"/>
        <v>137.03110456559639</v>
      </c>
      <c r="EL158" s="16">
        <f t="shared" si="1553"/>
        <v>141.02758141222654</v>
      </c>
      <c r="EM158" s="16">
        <f t="shared" si="1553"/>
        <v>145.02405825885668</v>
      </c>
      <c r="EN158" s="16">
        <f t="shared" si="1553"/>
        <v>149.02053510548683</v>
      </c>
      <c r="EO158" s="16">
        <f t="shared" si="1553"/>
        <v>153.01701195211697</v>
      </c>
      <c r="EP158" s="16">
        <f t="shared" si="1553"/>
        <v>157.01348879874712</v>
      </c>
      <c r="EQ158" s="16">
        <f t="shared" ref="EQ158:FB158" si="1554">EQ32</f>
        <v>158.25079491207521</v>
      </c>
      <c r="ER158" s="16">
        <f t="shared" si="1554"/>
        <v>159.4881010254033</v>
      </c>
      <c r="ES158" s="16">
        <f t="shared" si="1554"/>
        <v>160.72540713873138</v>
      </c>
      <c r="ET158" s="16">
        <f t="shared" si="1554"/>
        <v>161.96271325205947</v>
      </c>
      <c r="EU158" s="16">
        <f t="shared" si="1554"/>
        <v>163.20001936538756</v>
      </c>
      <c r="EV158" s="16">
        <f t="shared" si="1554"/>
        <v>164.43732547871574</v>
      </c>
      <c r="EW158" s="16">
        <f t="shared" si="1554"/>
        <v>164.43732547871574</v>
      </c>
      <c r="EX158" s="16">
        <f t="shared" si="1554"/>
        <v>165.67463159204391</v>
      </c>
      <c r="EY158" s="16">
        <f t="shared" si="1554"/>
        <v>166.911937705372</v>
      </c>
      <c r="EZ158" s="16">
        <f t="shared" si="1554"/>
        <v>168.14924381870009</v>
      </c>
      <c r="FA158" s="16">
        <f t="shared" si="1554"/>
        <v>169.38654993202817</v>
      </c>
      <c r="FB158" s="16">
        <f t="shared" si="1554"/>
        <v>170.62385604535626</v>
      </c>
    </row>
    <row r="159" spans="3:158" x14ac:dyDescent="0.25">
      <c r="C159" s="2" t="s">
        <v>13</v>
      </c>
      <c r="D159" s="16">
        <f t="shared" ref="D159:L159" si="1555">D111</f>
        <v>83</v>
      </c>
      <c r="E159" s="16">
        <f t="shared" si="1555"/>
        <v>107</v>
      </c>
      <c r="F159" s="16">
        <f t="shared" si="1555"/>
        <v>140</v>
      </c>
      <c r="G159" s="16">
        <f t="shared" si="1555"/>
        <v>248</v>
      </c>
      <c r="H159" s="16">
        <f t="shared" si="1555"/>
        <v>340.82570840537682</v>
      </c>
      <c r="I159" s="16">
        <f t="shared" si="1555"/>
        <v>451.05320990930113</v>
      </c>
      <c r="J159" s="16">
        <f t="shared" si="1555"/>
        <v>562.39110028603943</v>
      </c>
      <c r="K159" s="16">
        <f t="shared" si="1555"/>
        <v>690.3298483624759</v>
      </c>
      <c r="L159" s="16">
        <f t="shared" si="1555"/>
        <v>834.15013165298103</v>
      </c>
      <c r="N159" s="16">
        <f t="shared" ref="N159:AW159" si="1556">N111</f>
        <v>55</v>
      </c>
      <c r="O159" s="16">
        <f t="shared" si="1556"/>
        <v>64</v>
      </c>
      <c r="P159" s="16">
        <f t="shared" si="1556"/>
        <v>70</v>
      </c>
      <c r="Q159" s="16">
        <f t="shared" si="1556"/>
        <v>83</v>
      </c>
      <c r="R159" s="16">
        <f t="shared" si="1556"/>
        <v>87</v>
      </c>
      <c r="S159" s="16">
        <f t="shared" si="1556"/>
        <v>101</v>
      </c>
      <c r="T159" s="16">
        <f t="shared" si="1556"/>
        <v>104</v>
      </c>
      <c r="U159" s="16">
        <f t="shared" si="1556"/>
        <v>107</v>
      </c>
      <c r="V159" s="16">
        <f t="shared" si="1556"/>
        <v>115</v>
      </c>
      <c r="W159" s="16">
        <f t="shared" si="1556"/>
        <v>129</v>
      </c>
      <c r="X159" s="16">
        <f t="shared" si="1556"/>
        <v>131</v>
      </c>
      <c r="Y159" s="16">
        <f t="shared" si="1556"/>
        <v>140</v>
      </c>
      <c r="Z159" s="16">
        <f t="shared" si="1556"/>
        <v>152</v>
      </c>
      <c r="AA159" s="16">
        <f t="shared" si="1556"/>
        <v>170</v>
      </c>
      <c r="AB159" s="16">
        <f t="shared" si="1556"/>
        <v>207</v>
      </c>
      <c r="AC159" s="16">
        <f t="shared" si="1556"/>
        <v>248</v>
      </c>
      <c r="AD159" s="16">
        <f t="shared" si="1556"/>
        <v>250.02173913043478</v>
      </c>
      <c r="AE159" s="16">
        <f t="shared" si="1556"/>
        <v>270.32554110288612</v>
      </c>
      <c r="AF159" s="16">
        <f t="shared" si="1556"/>
        <v>298.81067940223949</v>
      </c>
      <c r="AG159" s="16">
        <f t="shared" si="1556"/>
        <v>340.82570840537682</v>
      </c>
      <c r="AH159" s="16">
        <f t="shared" si="1556"/>
        <v>340.82570840537682</v>
      </c>
      <c r="AI159" s="16">
        <f t="shared" si="1556"/>
        <v>363.64449385458107</v>
      </c>
      <c r="AJ159" s="16">
        <f t="shared" si="1556"/>
        <v>400.25075950794877</v>
      </c>
      <c r="AK159" s="16">
        <f t="shared" si="1556"/>
        <v>451.05320990930113</v>
      </c>
      <c r="AL159" s="16">
        <f t="shared" si="1556"/>
        <v>451.05320990930113</v>
      </c>
      <c r="AM159" s="16">
        <f t="shared" si="1556"/>
        <v>456.80988314360917</v>
      </c>
      <c r="AN159" s="16">
        <f t="shared" si="1556"/>
        <v>501.02721578327896</v>
      </c>
      <c r="AO159" s="16">
        <f t="shared" si="1556"/>
        <v>562.39110028603943</v>
      </c>
      <c r="AP159" s="16">
        <f t="shared" si="1556"/>
        <v>562.39110028603943</v>
      </c>
      <c r="AQ159" s="16">
        <f t="shared" si="1556"/>
        <v>564.96903053789879</v>
      </c>
      <c r="AR159" s="16">
        <f t="shared" si="1556"/>
        <v>617.47028173479589</v>
      </c>
      <c r="AS159" s="16">
        <f t="shared" si="1556"/>
        <v>690.3298483624759</v>
      </c>
      <c r="AT159" s="16">
        <f t="shared" si="1556"/>
        <v>690.3298483624759</v>
      </c>
      <c r="AU159" s="16">
        <f t="shared" si="1556"/>
        <v>690.3298483624759</v>
      </c>
      <c r="AV159" s="16">
        <f t="shared" si="1556"/>
        <v>749.1482492795418</v>
      </c>
      <c r="AW159" s="16">
        <f t="shared" si="1556"/>
        <v>834.15013165298103</v>
      </c>
      <c r="AY159" s="16">
        <f t="shared" ref="AY159:CD159" si="1557">AY111</f>
        <v>51</v>
      </c>
      <c r="AZ159" s="16">
        <f t="shared" si="1557"/>
        <v>54</v>
      </c>
      <c r="BA159" s="16">
        <f t="shared" si="1557"/>
        <v>55</v>
      </c>
      <c r="BB159" s="16">
        <f t="shared" si="1557"/>
        <v>54.25</v>
      </c>
      <c r="BC159" s="16">
        <f t="shared" si="1557"/>
        <v>61</v>
      </c>
      <c r="BD159" s="16">
        <f t="shared" si="1557"/>
        <v>64</v>
      </c>
      <c r="BE159" s="16">
        <f t="shared" si="1557"/>
        <v>68</v>
      </c>
      <c r="BF159" s="16">
        <f t="shared" si="1557"/>
        <v>69</v>
      </c>
      <c r="BG159" s="16">
        <f t="shared" si="1557"/>
        <v>70</v>
      </c>
      <c r="BH159" s="16">
        <f t="shared" si="1557"/>
        <v>74</v>
      </c>
      <c r="BI159" s="16">
        <f t="shared" si="1557"/>
        <v>76</v>
      </c>
      <c r="BJ159" s="16">
        <f t="shared" si="1557"/>
        <v>83</v>
      </c>
      <c r="BK159" s="16">
        <f t="shared" si="1557"/>
        <v>86</v>
      </c>
      <c r="BL159" s="16">
        <f t="shared" si="1557"/>
        <v>87</v>
      </c>
      <c r="BM159" s="16">
        <f t="shared" si="1557"/>
        <v>87</v>
      </c>
      <c r="BN159" s="16">
        <f t="shared" si="1557"/>
        <v>92</v>
      </c>
      <c r="BO159" s="16">
        <f t="shared" si="1557"/>
        <v>95</v>
      </c>
      <c r="BP159" s="16">
        <f t="shared" si="1557"/>
        <v>101</v>
      </c>
      <c r="BQ159" s="16">
        <f t="shared" si="1557"/>
        <v>98</v>
      </c>
      <c r="BR159" s="16">
        <f t="shared" si="1557"/>
        <v>102</v>
      </c>
      <c r="BS159" s="16">
        <f t="shared" si="1557"/>
        <v>104</v>
      </c>
      <c r="BT159" s="16">
        <f t="shared" si="1557"/>
        <v>106</v>
      </c>
      <c r="BU159" s="16">
        <f t="shared" si="1557"/>
        <v>102</v>
      </c>
      <c r="BV159" s="16">
        <f t="shared" si="1557"/>
        <v>107</v>
      </c>
      <c r="BW159" s="16">
        <f t="shared" si="1557"/>
        <v>109</v>
      </c>
      <c r="BX159" s="16">
        <f t="shared" si="1557"/>
        <v>111</v>
      </c>
      <c r="BY159" s="16">
        <f t="shared" si="1557"/>
        <v>115</v>
      </c>
      <c r="BZ159" s="16">
        <f t="shared" si="1557"/>
        <v>118</v>
      </c>
      <c r="CA159" s="16">
        <f t="shared" si="1557"/>
        <v>130</v>
      </c>
      <c r="CB159" s="16">
        <f t="shared" si="1557"/>
        <v>129</v>
      </c>
      <c r="CC159" s="16">
        <f t="shared" si="1557"/>
        <v>129</v>
      </c>
      <c r="CD159" s="16">
        <f t="shared" si="1557"/>
        <v>128</v>
      </c>
      <c r="CE159" s="16">
        <f t="shared" ref="CE159:DJ159" si="1558">CE111</f>
        <v>131</v>
      </c>
      <c r="CF159" s="16">
        <f t="shared" si="1558"/>
        <v>135</v>
      </c>
      <c r="CG159" s="16">
        <f t="shared" si="1558"/>
        <v>136</v>
      </c>
      <c r="CH159" s="16">
        <f t="shared" si="1558"/>
        <v>140</v>
      </c>
      <c r="CI159" s="16">
        <f t="shared" si="1558"/>
        <v>146</v>
      </c>
      <c r="CJ159" s="16">
        <f t="shared" si="1558"/>
        <v>151</v>
      </c>
      <c r="CK159" s="16">
        <f t="shared" si="1558"/>
        <v>152</v>
      </c>
      <c r="CL159" s="16">
        <f t="shared" si="1558"/>
        <v>154</v>
      </c>
      <c r="CM159" s="16">
        <f t="shared" si="1558"/>
        <v>166</v>
      </c>
      <c r="CN159" s="16">
        <f t="shared" si="1558"/>
        <v>170</v>
      </c>
      <c r="CO159" s="16">
        <f t="shared" si="1558"/>
        <v>180</v>
      </c>
      <c r="CP159" s="16">
        <f t="shared" si="1558"/>
        <v>195</v>
      </c>
      <c r="CQ159" s="16">
        <f t="shared" si="1558"/>
        <v>207</v>
      </c>
      <c r="CR159" s="16">
        <f t="shared" si="1558"/>
        <v>222</v>
      </c>
      <c r="CS159" s="16">
        <f t="shared" si="1558"/>
        <v>235</v>
      </c>
      <c r="CT159" s="16">
        <f t="shared" si="1558"/>
        <v>248</v>
      </c>
      <c r="CU159" s="16">
        <f t="shared" si="1558"/>
        <v>250.02173913043478</v>
      </c>
      <c r="CV159" s="16">
        <f t="shared" si="1558"/>
        <v>250.02173913043478</v>
      </c>
      <c r="CW159" s="16">
        <f t="shared" si="1558"/>
        <v>250.02173913043478</v>
      </c>
      <c r="CX159" s="16">
        <f t="shared" si="1558"/>
        <v>250.4410778652059</v>
      </c>
      <c r="CY159" s="16">
        <f t="shared" si="1558"/>
        <v>257.9191796406754</v>
      </c>
      <c r="CZ159" s="16">
        <f t="shared" si="1558"/>
        <v>270.32554110288612</v>
      </c>
      <c r="DA159" s="16">
        <f t="shared" si="1558"/>
        <v>279.69576115288282</v>
      </c>
      <c r="DB159" s="16">
        <f t="shared" si="1558"/>
        <v>286.34442527684382</v>
      </c>
      <c r="DC159" s="16">
        <f t="shared" si="1558"/>
        <v>298.81067940223949</v>
      </c>
      <c r="DD159" s="16">
        <f t="shared" si="1558"/>
        <v>309.92826011719416</v>
      </c>
      <c r="DE159" s="16">
        <f t="shared" si="1558"/>
        <v>321.79695585222544</v>
      </c>
      <c r="DF159" s="16">
        <f t="shared" si="1558"/>
        <v>340.82570840537682</v>
      </c>
      <c r="DG159" s="16">
        <f t="shared" si="1558"/>
        <v>340.82570840537682</v>
      </c>
      <c r="DH159" s="16">
        <f t="shared" si="1558"/>
        <v>340.82570840537682</v>
      </c>
      <c r="DI159" s="16">
        <f t="shared" si="1558"/>
        <v>340.82570840537682</v>
      </c>
      <c r="DJ159" s="16">
        <f t="shared" si="1558"/>
        <v>340.82570840537682</v>
      </c>
      <c r="DK159" s="16">
        <f t="shared" ref="DK159:EP159" si="1559">DK111</f>
        <v>347.10823722358987</v>
      </c>
      <c r="DL159" s="16">
        <f t="shared" si="1559"/>
        <v>363.64449385458107</v>
      </c>
      <c r="DM159" s="16">
        <f t="shared" si="1559"/>
        <v>375.91191181566205</v>
      </c>
      <c r="DN159" s="16">
        <f t="shared" si="1559"/>
        <v>384.356180414645</v>
      </c>
      <c r="DO159" s="16">
        <f t="shared" si="1559"/>
        <v>400.25075950794877</v>
      </c>
      <c r="DP159" s="16">
        <f t="shared" si="1559"/>
        <v>413.8756992450966</v>
      </c>
      <c r="DQ159" s="16">
        <f t="shared" si="1559"/>
        <v>427.89505591427934</v>
      </c>
      <c r="DR159" s="16">
        <f t="shared" si="1559"/>
        <v>451.05320990930113</v>
      </c>
      <c r="DS159" s="16">
        <f t="shared" si="1559"/>
        <v>451.05320990930113</v>
      </c>
      <c r="DT159" s="16">
        <f t="shared" si="1559"/>
        <v>451.05320990930113</v>
      </c>
      <c r="DU159" s="16">
        <f t="shared" si="1559"/>
        <v>451.05320990930113</v>
      </c>
      <c r="DV159" s="16">
        <f t="shared" si="1559"/>
        <v>451.05320990930113</v>
      </c>
      <c r="DW159" s="16">
        <f t="shared" si="1559"/>
        <v>451.05320990930113</v>
      </c>
      <c r="DX159" s="16">
        <f t="shared" si="1559"/>
        <v>456.80988314360917</v>
      </c>
      <c r="DY159" s="16">
        <f t="shared" si="1559"/>
        <v>471.62697814441657</v>
      </c>
      <c r="DZ159" s="16">
        <f t="shared" si="1559"/>
        <v>481.82616174345094</v>
      </c>
      <c r="EA159" s="16">
        <f t="shared" si="1559"/>
        <v>501.02721578327896</v>
      </c>
      <c r="EB159" s="16">
        <f t="shared" si="1559"/>
        <v>517.48530940532896</v>
      </c>
      <c r="EC159" s="16">
        <f t="shared" si="1559"/>
        <v>534.41800437295274</v>
      </c>
      <c r="ED159" s="16">
        <f t="shared" si="1559"/>
        <v>562.39110028603943</v>
      </c>
      <c r="EE159" s="16">
        <f t="shared" si="1559"/>
        <v>562.39110028603943</v>
      </c>
      <c r="EF159" s="16">
        <f t="shared" si="1559"/>
        <v>562.39110028603943</v>
      </c>
      <c r="EG159" s="16">
        <f t="shared" si="1559"/>
        <v>562.39110028603943</v>
      </c>
      <c r="EH159" s="16">
        <f t="shared" si="1559"/>
        <v>562.39110028603943</v>
      </c>
      <c r="EI159" s="16">
        <f t="shared" si="1559"/>
        <v>562.39110028603943</v>
      </c>
      <c r="EJ159" s="16">
        <f t="shared" si="1559"/>
        <v>564.96903053789879</v>
      </c>
      <c r="EK159" s="16">
        <f t="shared" si="1559"/>
        <v>582.56162536207137</v>
      </c>
      <c r="EL159" s="16">
        <f t="shared" si="1559"/>
        <v>594.67122478998033</v>
      </c>
      <c r="EM159" s="16">
        <f t="shared" si="1559"/>
        <v>617.47028173479589</v>
      </c>
      <c r="EN159" s="16">
        <f t="shared" si="1559"/>
        <v>637.01185821196964</v>
      </c>
      <c r="EO159" s="16">
        <f t="shared" si="1559"/>
        <v>657.11613356718965</v>
      </c>
      <c r="EP159" s="16">
        <f t="shared" si="1559"/>
        <v>690.3298483624759</v>
      </c>
      <c r="EQ159" s="16">
        <f t="shared" ref="EQ159:FB159" si="1560">EQ111</f>
        <v>690.3298483624759</v>
      </c>
      <c r="ER159" s="16">
        <f t="shared" si="1560"/>
        <v>690.3298483624759</v>
      </c>
      <c r="ES159" s="16">
        <f t="shared" si="1560"/>
        <v>690.3298483624759</v>
      </c>
      <c r="ET159" s="16">
        <f t="shared" si="1560"/>
        <v>690.3298483624759</v>
      </c>
      <c r="EU159" s="16">
        <f t="shared" si="1560"/>
        <v>690.3298483624759</v>
      </c>
      <c r="EV159" s="16">
        <f t="shared" si="1560"/>
        <v>690.3298483624759</v>
      </c>
      <c r="EW159" s="16">
        <f t="shared" si="1560"/>
        <v>708.4218717552958</v>
      </c>
      <c r="EX159" s="16">
        <f t="shared" si="1560"/>
        <v>722.54955603654685</v>
      </c>
      <c r="EY159" s="16">
        <f t="shared" si="1560"/>
        <v>749.1482492795418</v>
      </c>
      <c r="EZ159" s="16">
        <f t="shared" si="1560"/>
        <v>771.94652841459538</v>
      </c>
      <c r="FA159" s="16">
        <f t="shared" si="1560"/>
        <v>795.40120580349833</v>
      </c>
      <c r="FB159" s="16">
        <f t="shared" si="1560"/>
        <v>834.15013165298103</v>
      </c>
    </row>
    <row r="160" spans="3:158" x14ac:dyDescent="0.25">
      <c r="C160" s="2" t="s">
        <v>42</v>
      </c>
      <c r="D160" s="16">
        <f t="shared" ref="D160:L160" si="1561">D106</f>
        <v>14</v>
      </c>
      <c r="E160" s="16">
        <f t="shared" si="1561"/>
        <v>27</v>
      </c>
      <c r="F160" s="16">
        <f t="shared" si="1561"/>
        <v>34</v>
      </c>
      <c r="G160" s="16">
        <f t="shared" si="1561"/>
        <v>62</v>
      </c>
      <c r="H160" s="16">
        <f t="shared" si="1561"/>
        <v>84.517426343112305</v>
      </c>
      <c r="I160" s="16">
        <f t="shared" si="1561"/>
        <v>111.85146984273774</v>
      </c>
      <c r="J160" s="16">
        <f t="shared" si="1561"/>
        <v>139.46086583912569</v>
      </c>
      <c r="K160" s="16">
        <f t="shared" si="1561"/>
        <v>171.18691657506142</v>
      </c>
      <c r="L160" s="16">
        <f t="shared" si="1561"/>
        <v>206.8512455851058</v>
      </c>
      <c r="N160" s="16">
        <f t="shared" ref="N160:AW160" si="1562">N106</f>
        <v>9</v>
      </c>
      <c r="O160" s="16">
        <f t="shared" si="1562"/>
        <v>10</v>
      </c>
      <c r="P160" s="16">
        <f t="shared" si="1562"/>
        <v>12</v>
      </c>
      <c r="Q160" s="16">
        <f t="shared" si="1562"/>
        <v>14</v>
      </c>
      <c r="R160" s="16">
        <f t="shared" si="1562"/>
        <v>19</v>
      </c>
      <c r="S160" s="16">
        <f t="shared" si="1562"/>
        <v>24</v>
      </c>
      <c r="T160" s="16">
        <f t="shared" si="1562"/>
        <v>27</v>
      </c>
      <c r="U160" s="16">
        <f t="shared" si="1562"/>
        <v>27</v>
      </c>
      <c r="V160" s="16">
        <f t="shared" si="1562"/>
        <v>28</v>
      </c>
      <c r="W160" s="16">
        <f t="shared" si="1562"/>
        <v>32</v>
      </c>
      <c r="X160" s="16">
        <f t="shared" si="1562"/>
        <v>32</v>
      </c>
      <c r="Y160" s="16">
        <f t="shared" si="1562"/>
        <v>34</v>
      </c>
      <c r="Z160" s="16">
        <f t="shared" si="1562"/>
        <v>38</v>
      </c>
      <c r="AA160" s="16">
        <f t="shared" si="1562"/>
        <v>45</v>
      </c>
      <c r="AB160" s="16">
        <f t="shared" si="1562"/>
        <v>52</v>
      </c>
      <c r="AC160" s="16">
        <f t="shared" si="1562"/>
        <v>62</v>
      </c>
      <c r="AD160" s="16">
        <f t="shared" si="1562"/>
        <v>62</v>
      </c>
      <c r="AE160" s="16">
        <f t="shared" si="1562"/>
        <v>67.034905071335643</v>
      </c>
      <c r="AF160" s="16">
        <f t="shared" si="1562"/>
        <v>74.098605134787149</v>
      </c>
      <c r="AG160" s="16">
        <f t="shared" si="1562"/>
        <v>84.517426343112305</v>
      </c>
      <c r="AH160" s="16">
        <f t="shared" si="1562"/>
        <v>84.517426343112305</v>
      </c>
      <c r="AI160" s="16">
        <f t="shared" si="1562"/>
        <v>90.175993085233046</v>
      </c>
      <c r="AJ160" s="16">
        <f t="shared" si="1562"/>
        <v>99.253557613830964</v>
      </c>
      <c r="AK160" s="16">
        <f t="shared" si="1562"/>
        <v>111.85146984273774</v>
      </c>
      <c r="AL160" s="16">
        <f t="shared" si="1562"/>
        <v>111.85146984273774</v>
      </c>
      <c r="AM160" s="16">
        <f t="shared" si="1562"/>
        <v>113.27900067173057</v>
      </c>
      <c r="AN160" s="16">
        <f t="shared" si="1562"/>
        <v>124.24394569288859</v>
      </c>
      <c r="AO160" s="16">
        <f t="shared" si="1562"/>
        <v>139.46086583912569</v>
      </c>
      <c r="AP160" s="16">
        <f t="shared" si="1562"/>
        <v>139.46086583912569</v>
      </c>
      <c r="AQ160" s="16">
        <f t="shared" si="1562"/>
        <v>140.10013695279432</v>
      </c>
      <c r="AR160" s="16">
        <f t="shared" si="1562"/>
        <v>153.1193151471731</v>
      </c>
      <c r="AS160" s="16">
        <f t="shared" si="1562"/>
        <v>171.18691657506142</v>
      </c>
      <c r="AT160" s="16">
        <f t="shared" si="1562"/>
        <v>171.18691657506142</v>
      </c>
      <c r="AU160" s="16">
        <f t="shared" si="1562"/>
        <v>171.18691657506142</v>
      </c>
      <c r="AV160" s="16">
        <f t="shared" si="1562"/>
        <v>185.77261168118019</v>
      </c>
      <c r="AW160" s="16">
        <f t="shared" si="1562"/>
        <v>206.8512455851058</v>
      </c>
      <c r="AY160" s="16">
        <f t="shared" ref="AY160:CD160" si="1563">AY106</f>
        <v>9</v>
      </c>
      <c r="AZ160" s="16">
        <f t="shared" si="1563"/>
        <v>10</v>
      </c>
      <c r="BA160" s="16">
        <f t="shared" si="1563"/>
        <v>9</v>
      </c>
      <c r="BB160" s="16">
        <f t="shared" si="1563"/>
        <v>9</v>
      </c>
      <c r="BC160" s="16">
        <f t="shared" si="1563"/>
        <v>10</v>
      </c>
      <c r="BD160" s="16">
        <f t="shared" si="1563"/>
        <v>10</v>
      </c>
      <c r="BE160" s="16">
        <f t="shared" si="1563"/>
        <v>12</v>
      </c>
      <c r="BF160" s="16">
        <f t="shared" si="1563"/>
        <v>13</v>
      </c>
      <c r="BG160" s="16">
        <f t="shared" si="1563"/>
        <v>12</v>
      </c>
      <c r="BH160" s="16">
        <f t="shared" si="1563"/>
        <v>12</v>
      </c>
      <c r="BI160" s="16">
        <f t="shared" si="1563"/>
        <v>12</v>
      </c>
      <c r="BJ160" s="16">
        <f t="shared" si="1563"/>
        <v>14</v>
      </c>
      <c r="BK160" s="16">
        <f t="shared" si="1563"/>
        <v>17</v>
      </c>
      <c r="BL160" s="16">
        <f t="shared" si="1563"/>
        <v>17</v>
      </c>
      <c r="BM160" s="16">
        <f t="shared" si="1563"/>
        <v>19</v>
      </c>
      <c r="BN160" s="16">
        <f t="shared" si="1563"/>
        <v>24</v>
      </c>
      <c r="BO160" s="16">
        <f t="shared" si="1563"/>
        <v>25</v>
      </c>
      <c r="BP160" s="16">
        <f t="shared" si="1563"/>
        <v>24</v>
      </c>
      <c r="BQ160" s="16">
        <f t="shared" si="1563"/>
        <v>25</v>
      </c>
      <c r="BR160" s="16">
        <f t="shared" si="1563"/>
        <v>27</v>
      </c>
      <c r="BS160" s="16">
        <f t="shared" si="1563"/>
        <v>27</v>
      </c>
      <c r="BT160" s="16">
        <f t="shared" si="1563"/>
        <v>28</v>
      </c>
      <c r="BU160" s="16">
        <f t="shared" si="1563"/>
        <v>29</v>
      </c>
      <c r="BV160" s="16">
        <f t="shared" si="1563"/>
        <v>27</v>
      </c>
      <c r="BW160" s="16">
        <f t="shared" si="1563"/>
        <v>27</v>
      </c>
      <c r="BX160" s="16">
        <f t="shared" si="1563"/>
        <v>27</v>
      </c>
      <c r="BY160" s="16">
        <f t="shared" si="1563"/>
        <v>28</v>
      </c>
      <c r="BZ160" s="16">
        <f t="shared" si="1563"/>
        <v>29</v>
      </c>
      <c r="CA160" s="16">
        <f t="shared" si="1563"/>
        <v>32</v>
      </c>
      <c r="CB160" s="16">
        <f t="shared" si="1563"/>
        <v>32</v>
      </c>
      <c r="CC160" s="16">
        <f t="shared" si="1563"/>
        <v>31</v>
      </c>
      <c r="CD160" s="16">
        <f t="shared" si="1563"/>
        <v>32</v>
      </c>
      <c r="CE160" s="16">
        <f t="shared" ref="CE160:DJ160" si="1564">CE106</f>
        <v>32</v>
      </c>
      <c r="CF160" s="16">
        <f t="shared" si="1564"/>
        <v>31</v>
      </c>
      <c r="CG160" s="16">
        <f t="shared" si="1564"/>
        <v>32</v>
      </c>
      <c r="CH160" s="16">
        <f t="shared" si="1564"/>
        <v>34</v>
      </c>
      <c r="CI160" s="16">
        <f t="shared" si="1564"/>
        <v>35</v>
      </c>
      <c r="CJ160" s="16">
        <f t="shared" si="1564"/>
        <v>36</v>
      </c>
      <c r="CK160" s="16">
        <f t="shared" si="1564"/>
        <v>38</v>
      </c>
      <c r="CL160" s="16">
        <f t="shared" si="1564"/>
        <v>38</v>
      </c>
      <c r="CM160" s="16">
        <f t="shared" si="1564"/>
        <v>40</v>
      </c>
      <c r="CN160" s="16">
        <f t="shared" si="1564"/>
        <v>45</v>
      </c>
      <c r="CO160" s="16">
        <f t="shared" si="1564"/>
        <v>47</v>
      </c>
      <c r="CP160" s="16">
        <f t="shared" si="1564"/>
        <v>49</v>
      </c>
      <c r="CQ160" s="16">
        <f t="shared" si="1564"/>
        <v>52</v>
      </c>
      <c r="CR160" s="16">
        <f t="shared" si="1564"/>
        <v>52</v>
      </c>
      <c r="CS160" s="16">
        <f t="shared" si="1564"/>
        <v>58</v>
      </c>
      <c r="CT160" s="16">
        <f t="shared" si="1564"/>
        <v>62</v>
      </c>
      <c r="CU160" s="16">
        <f t="shared" si="1564"/>
        <v>62</v>
      </c>
      <c r="CV160" s="16">
        <f t="shared" si="1564"/>
        <v>62</v>
      </c>
      <c r="CW160" s="16">
        <f t="shared" si="1564"/>
        <v>62</v>
      </c>
      <c r="CX160" s="16">
        <f t="shared" si="1564"/>
        <v>62.103986963878555</v>
      </c>
      <c r="CY160" s="16">
        <f t="shared" si="1564"/>
        <v>63.958394951326518</v>
      </c>
      <c r="CZ160" s="16">
        <f t="shared" si="1564"/>
        <v>67.034905071335643</v>
      </c>
      <c r="DA160" s="16">
        <f t="shared" si="1564"/>
        <v>69.358517590472289</v>
      </c>
      <c r="DB160" s="16">
        <f t="shared" si="1564"/>
        <v>71.007242925794159</v>
      </c>
      <c r="DC160" s="16">
        <f t="shared" si="1564"/>
        <v>74.098605134787149</v>
      </c>
      <c r="DD160" s="16">
        <f t="shared" si="1564"/>
        <v>76.855525419897205</v>
      </c>
      <c r="DE160" s="16">
        <f t="shared" si="1564"/>
        <v>79.798706033435963</v>
      </c>
      <c r="DF160" s="16">
        <f t="shared" si="1564"/>
        <v>84.517426343112305</v>
      </c>
      <c r="DG160" s="16">
        <f t="shared" si="1564"/>
        <v>84.517426343112305</v>
      </c>
      <c r="DH160" s="16">
        <f t="shared" si="1564"/>
        <v>84.517426343112305</v>
      </c>
      <c r="DI160" s="16">
        <f t="shared" si="1564"/>
        <v>84.517426343112305</v>
      </c>
      <c r="DJ160" s="16">
        <f t="shared" si="1564"/>
        <v>84.517426343112305</v>
      </c>
      <c r="DK160" s="16">
        <f t="shared" ref="DK160:EP160" si="1565">DK106</f>
        <v>86.075358017709618</v>
      </c>
      <c r="DL160" s="16">
        <f t="shared" si="1565"/>
        <v>90.175993085233046</v>
      </c>
      <c r="DM160" s="16">
        <f t="shared" si="1565"/>
        <v>93.218048213048277</v>
      </c>
      <c r="DN160" s="16">
        <f t="shared" si="1565"/>
        <v>95.312044738941623</v>
      </c>
      <c r="DO160" s="16">
        <f t="shared" si="1565"/>
        <v>99.253557613830964</v>
      </c>
      <c r="DP160" s="16">
        <f t="shared" si="1565"/>
        <v>102.63224886940401</v>
      </c>
      <c r="DQ160" s="16">
        <f t="shared" si="1565"/>
        <v>106.10874701917439</v>
      </c>
      <c r="DR160" s="16">
        <f t="shared" si="1565"/>
        <v>111.85146984273774</v>
      </c>
      <c r="DS160" s="16">
        <f t="shared" si="1565"/>
        <v>111.85146984273774</v>
      </c>
      <c r="DT160" s="16">
        <f t="shared" si="1565"/>
        <v>111.85146984273774</v>
      </c>
      <c r="DU160" s="16">
        <f t="shared" si="1565"/>
        <v>111.85146984273774</v>
      </c>
      <c r="DV160" s="16">
        <f t="shared" si="1565"/>
        <v>111.85146984273774</v>
      </c>
      <c r="DW160" s="16">
        <f t="shared" si="1565"/>
        <v>111.85146984273774</v>
      </c>
      <c r="DX160" s="16">
        <f t="shared" si="1565"/>
        <v>113.27900067173057</v>
      </c>
      <c r="DY160" s="16">
        <f t="shared" si="1565"/>
        <v>116.95332072583915</v>
      </c>
      <c r="DZ160" s="16">
        <f t="shared" si="1565"/>
        <v>119.48249832991236</v>
      </c>
      <c r="EA160" s="16">
        <f t="shared" si="1565"/>
        <v>124.24394569288859</v>
      </c>
      <c r="EB160" s="16">
        <f t="shared" si="1565"/>
        <v>128.32519801965032</v>
      </c>
      <c r="EC160" s="16">
        <f t="shared" si="1565"/>
        <v>132.52414124612307</v>
      </c>
      <c r="ED160" s="16">
        <f t="shared" si="1565"/>
        <v>139.46086583912569</v>
      </c>
      <c r="EE160" s="16">
        <f t="shared" si="1565"/>
        <v>139.46086583912569</v>
      </c>
      <c r="EF160" s="16">
        <f t="shared" si="1565"/>
        <v>139.46086583912569</v>
      </c>
      <c r="EG160" s="16">
        <f t="shared" si="1565"/>
        <v>139.46086583912569</v>
      </c>
      <c r="EH160" s="16">
        <f t="shared" si="1565"/>
        <v>139.46086583912569</v>
      </c>
      <c r="EI160" s="16">
        <f t="shared" si="1565"/>
        <v>139.46086583912569</v>
      </c>
      <c r="EJ160" s="16">
        <f t="shared" si="1565"/>
        <v>140.10013695279432</v>
      </c>
      <c r="EK160" s="16">
        <f t="shared" si="1565"/>
        <v>144.46272111404465</v>
      </c>
      <c r="EL160" s="16">
        <f t="shared" si="1565"/>
        <v>147.46564064872828</v>
      </c>
      <c r="EM160" s="16">
        <f t="shared" si="1565"/>
        <v>153.1193151471731</v>
      </c>
      <c r="EN160" s="16">
        <f t="shared" si="1565"/>
        <v>157.96520473180919</v>
      </c>
      <c r="EO160" s="16">
        <f t="shared" si="1565"/>
        <v>162.9506315045322</v>
      </c>
      <c r="EP160" s="16">
        <f t="shared" si="1565"/>
        <v>171.18691657506142</v>
      </c>
      <c r="EQ160" s="16">
        <f t="shared" ref="EQ160:FB160" si="1566">EQ106</f>
        <v>171.18691657506142</v>
      </c>
      <c r="ER160" s="16">
        <f t="shared" si="1566"/>
        <v>171.18691657506142</v>
      </c>
      <c r="ES160" s="16">
        <f t="shared" si="1566"/>
        <v>171.18691657506142</v>
      </c>
      <c r="ET160" s="16">
        <f t="shared" si="1566"/>
        <v>171.18691657506142</v>
      </c>
      <c r="EU160" s="16">
        <f t="shared" si="1566"/>
        <v>171.18691657506142</v>
      </c>
      <c r="EV160" s="16">
        <f t="shared" si="1566"/>
        <v>171.18691657506142</v>
      </c>
      <c r="EW160" s="16">
        <f t="shared" si="1566"/>
        <v>175.67334825198711</v>
      </c>
      <c r="EX160" s="16">
        <f t="shared" si="1566"/>
        <v>179.17670931364503</v>
      </c>
      <c r="EY160" s="16">
        <f t="shared" si="1566"/>
        <v>185.77261168118019</v>
      </c>
      <c r="EZ160" s="16">
        <f t="shared" si="1566"/>
        <v>191.42609329957622</v>
      </c>
      <c r="FA160" s="16">
        <f t="shared" si="1566"/>
        <v>197.24234753078665</v>
      </c>
      <c r="FB160" s="16">
        <f t="shared" si="1566"/>
        <v>206.8512455851058</v>
      </c>
    </row>
    <row r="161" spans="3:158" x14ac:dyDescent="0.25">
      <c r="C161" s="2" t="s">
        <v>14</v>
      </c>
      <c r="D161" s="16">
        <f t="shared" ref="D161:L161" si="1567">D134</f>
        <v>18</v>
      </c>
      <c r="E161" s="16">
        <f t="shared" si="1567"/>
        <v>25</v>
      </c>
      <c r="F161" s="16">
        <f t="shared" si="1567"/>
        <v>33</v>
      </c>
      <c r="G161" s="16">
        <f t="shared" si="1567"/>
        <v>73</v>
      </c>
      <c r="H161" s="16">
        <f t="shared" si="1567"/>
        <v>86.035779865882589</v>
      </c>
      <c r="I161" s="16">
        <f t="shared" si="1567"/>
        <v>109.11667551353887</v>
      </c>
      <c r="J161" s="16">
        <f t="shared" si="1567"/>
        <v>136.05101538675126</v>
      </c>
      <c r="K161" s="16">
        <f t="shared" si="1567"/>
        <v>167.00135683820011</v>
      </c>
      <c r="L161" s="16">
        <f t="shared" si="1567"/>
        <v>201.79368474831722</v>
      </c>
      <c r="N161" s="16">
        <f t="shared" ref="N161:AW161" si="1568">N134</f>
        <v>12.5</v>
      </c>
      <c r="O161" s="16">
        <f t="shared" si="1568"/>
        <v>13.5</v>
      </c>
      <c r="P161" s="16">
        <f t="shared" si="1568"/>
        <v>15</v>
      </c>
      <c r="Q161" s="16">
        <f t="shared" si="1568"/>
        <v>18</v>
      </c>
      <c r="R161" s="16">
        <f t="shared" si="1568"/>
        <v>18</v>
      </c>
      <c r="S161" s="16">
        <f t="shared" si="1568"/>
        <v>22</v>
      </c>
      <c r="T161" s="16">
        <f t="shared" si="1568"/>
        <v>21</v>
      </c>
      <c r="U161" s="16">
        <f t="shared" si="1568"/>
        <v>25</v>
      </c>
      <c r="V161" s="16">
        <f t="shared" si="1568"/>
        <v>27</v>
      </c>
      <c r="W161" s="16">
        <f t="shared" si="1568"/>
        <v>26</v>
      </c>
      <c r="X161" s="16">
        <f t="shared" si="1568"/>
        <v>26</v>
      </c>
      <c r="Y161" s="16">
        <f t="shared" si="1568"/>
        <v>33</v>
      </c>
      <c r="Z161" s="16">
        <f t="shared" si="1568"/>
        <v>35</v>
      </c>
      <c r="AA161" s="16">
        <f t="shared" si="1568"/>
        <v>49</v>
      </c>
      <c r="AB161" s="16">
        <f t="shared" si="1568"/>
        <v>62</v>
      </c>
      <c r="AC161" s="16">
        <f t="shared" si="1568"/>
        <v>73</v>
      </c>
      <c r="AD161" s="16">
        <f t="shared" si="1568"/>
        <v>73</v>
      </c>
      <c r="AE161" s="16">
        <f t="shared" si="1568"/>
        <v>73</v>
      </c>
      <c r="AF161" s="16">
        <f t="shared" si="1568"/>
        <v>75.429784786212224</v>
      </c>
      <c r="AG161" s="16">
        <f t="shared" si="1568"/>
        <v>86.035779865882589</v>
      </c>
      <c r="AH161" s="16">
        <f t="shared" si="1568"/>
        <v>86.035779865882589</v>
      </c>
      <c r="AI161" s="16">
        <f t="shared" si="1568"/>
        <v>87.971169180226624</v>
      </c>
      <c r="AJ161" s="16">
        <f t="shared" si="1568"/>
        <v>96.826785154812242</v>
      </c>
      <c r="AK161" s="16">
        <f t="shared" si="1568"/>
        <v>109.11667551353887</v>
      </c>
      <c r="AL161" s="16">
        <f t="shared" si="1568"/>
        <v>109.11667551353887</v>
      </c>
      <c r="AM161" s="16">
        <f t="shared" si="1568"/>
        <v>110.50930288331587</v>
      </c>
      <c r="AN161" s="16">
        <f t="shared" si="1568"/>
        <v>121.20615246052485</v>
      </c>
      <c r="AO161" s="16">
        <f t="shared" si="1568"/>
        <v>136.05101538675126</v>
      </c>
      <c r="AP161" s="16">
        <f t="shared" si="1568"/>
        <v>136.05101538675126</v>
      </c>
      <c r="AQ161" s="16">
        <f t="shared" si="1568"/>
        <v>136.67465617371124</v>
      </c>
      <c r="AR161" s="16">
        <f t="shared" si="1568"/>
        <v>149.3755124475388</v>
      </c>
      <c r="AS161" s="16">
        <f t="shared" si="1568"/>
        <v>167.00135683820011</v>
      </c>
      <c r="AT161" s="16">
        <f t="shared" si="1568"/>
        <v>167.00135683820011</v>
      </c>
      <c r="AU161" s="16">
        <f t="shared" si="1568"/>
        <v>167.00135683820011</v>
      </c>
      <c r="AV161" s="16">
        <f t="shared" si="1568"/>
        <v>181.230428322656</v>
      </c>
      <c r="AW161" s="16">
        <f t="shared" si="1568"/>
        <v>201.79368474831722</v>
      </c>
      <c r="AY161" s="16">
        <f t="shared" ref="AY161:CD161" si="1569">AY134</f>
        <v>10.5</v>
      </c>
      <c r="AZ161" s="16">
        <f t="shared" si="1569"/>
        <v>10.5</v>
      </c>
      <c r="BA161" s="16">
        <f t="shared" si="1569"/>
        <v>12.5</v>
      </c>
      <c r="BB161" s="16">
        <f t="shared" si="1569"/>
        <v>12.5</v>
      </c>
      <c r="BC161" s="16">
        <f t="shared" si="1569"/>
        <v>13</v>
      </c>
      <c r="BD161" s="16">
        <f t="shared" si="1569"/>
        <v>13.5</v>
      </c>
      <c r="BE161" s="16">
        <f t="shared" si="1569"/>
        <v>14.5</v>
      </c>
      <c r="BF161" s="16">
        <f t="shared" si="1569"/>
        <v>15</v>
      </c>
      <c r="BG161" s="16">
        <f t="shared" si="1569"/>
        <v>15</v>
      </c>
      <c r="BH161" s="16">
        <f t="shared" si="1569"/>
        <v>16</v>
      </c>
      <c r="BI161" s="16">
        <f t="shared" si="1569"/>
        <v>16</v>
      </c>
      <c r="BJ161" s="16">
        <f t="shared" si="1569"/>
        <v>18</v>
      </c>
      <c r="BK161" s="16">
        <f t="shared" si="1569"/>
        <v>16</v>
      </c>
      <c r="BL161" s="16">
        <f t="shared" si="1569"/>
        <v>17</v>
      </c>
      <c r="BM161" s="16">
        <f t="shared" si="1569"/>
        <v>18</v>
      </c>
      <c r="BN161" s="16">
        <f t="shared" si="1569"/>
        <v>20</v>
      </c>
      <c r="BO161" s="16">
        <f t="shared" si="1569"/>
        <v>22</v>
      </c>
      <c r="BP161" s="16">
        <f t="shared" si="1569"/>
        <v>22</v>
      </c>
      <c r="BQ161" s="16">
        <f t="shared" si="1569"/>
        <v>22</v>
      </c>
      <c r="BR161" s="16">
        <f t="shared" si="1569"/>
        <v>21</v>
      </c>
      <c r="BS161" s="16">
        <f t="shared" si="1569"/>
        <v>21</v>
      </c>
      <c r="BT161" s="16">
        <f t="shared" si="1569"/>
        <v>21</v>
      </c>
      <c r="BU161" s="16">
        <f t="shared" si="1569"/>
        <v>22</v>
      </c>
      <c r="BV161" s="16">
        <f t="shared" si="1569"/>
        <v>25</v>
      </c>
      <c r="BW161" s="16">
        <f t="shared" si="1569"/>
        <v>25</v>
      </c>
      <c r="BX161" s="16">
        <f t="shared" si="1569"/>
        <v>26</v>
      </c>
      <c r="BY161" s="16">
        <f t="shared" si="1569"/>
        <v>27</v>
      </c>
      <c r="BZ161" s="16">
        <f t="shared" si="1569"/>
        <v>27</v>
      </c>
      <c r="CA161" s="16">
        <f t="shared" si="1569"/>
        <v>27</v>
      </c>
      <c r="CB161" s="16">
        <f t="shared" si="1569"/>
        <v>26</v>
      </c>
      <c r="CC161" s="16">
        <f t="shared" si="1569"/>
        <v>26</v>
      </c>
      <c r="CD161" s="16">
        <f t="shared" si="1569"/>
        <v>27</v>
      </c>
      <c r="CE161" s="16">
        <f t="shared" ref="CE161:DJ161" si="1570">CE134</f>
        <v>26</v>
      </c>
      <c r="CF161" s="16">
        <f t="shared" si="1570"/>
        <v>28</v>
      </c>
      <c r="CG161" s="16">
        <f t="shared" si="1570"/>
        <v>29</v>
      </c>
      <c r="CH161" s="16">
        <f t="shared" si="1570"/>
        <v>33</v>
      </c>
      <c r="CI161" s="16">
        <f t="shared" si="1570"/>
        <v>31</v>
      </c>
      <c r="CJ161" s="16">
        <f t="shared" si="1570"/>
        <v>32</v>
      </c>
      <c r="CK161" s="16">
        <f t="shared" si="1570"/>
        <v>35</v>
      </c>
      <c r="CL161" s="16">
        <f t="shared" si="1570"/>
        <v>39</v>
      </c>
      <c r="CM161" s="16">
        <f t="shared" si="1570"/>
        <v>46</v>
      </c>
      <c r="CN161" s="16">
        <f t="shared" si="1570"/>
        <v>49</v>
      </c>
      <c r="CO161" s="16">
        <f t="shared" si="1570"/>
        <v>53</v>
      </c>
      <c r="CP161" s="16">
        <f t="shared" si="1570"/>
        <v>57</v>
      </c>
      <c r="CQ161" s="16">
        <f t="shared" si="1570"/>
        <v>62</v>
      </c>
      <c r="CR161" s="16">
        <f t="shared" si="1570"/>
        <v>66</v>
      </c>
      <c r="CS161" s="16">
        <f t="shared" si="1570"/>
        <v>70</v>
      </c>
      <c r="CT161" s="16">
        <f t="shared" si="1570"/>
        <v>73</v>
      </c>
      <c r="CU161" s="16">
        <f t="shared" si="1570"/>
        <v>73</v>
      </c>
      <c r="CV161" s="16">
        <f t="shared" si="1570"/>
        <v>73</v>
      </c>
      <c r="CW161" s="16">
        <f t="shared" si="1570"/>
        <v>73</v>
      </c>
      <c r="CX161" s="16">
        <f t="shared" si="1570"/>
        <v>73</v>
      </c>
      <c r="CY161" s="16">
        <f t="shared" si="1570"/>
        <v>73</v>
      </c>
      <c r="CZ161" s="16">
        <f t="shared" si="1570"/>
        <v>73</v>
      </c>
      <c r="DA161" s="16">
        <f t="shared" si="1570"/>
        <v>73</v>
      </c>
      <c r="DB161" s="16">
        <f t="shared" si="1570"/>
        <v>73</v>
      </c>
      <c r="DC161" s="16">
        <f t="shared" si="1570"/>
        <v>75.429784786212224</v>
      </c>
      <c r="DD161" s="16">
        <f t="shared" si="1570"/>
        <v>78.236233077652003</v>
      </c>
      <c r="DE161" s="16">
        <f t="shared" si="1570"/>
        <v>81.232287859821668</v>
      </c>
      <c r="DF161" s="16">
        <f t="shared" si="1570"/>
        <v>86.035779865882589</v>
      </c>
      <c r="DG161" s="16">
        <f t="shared" si="1570"/>
        <v>86.035779865882589</v>
      </c>
      <c r="DH161" s="16">
        <f t="shared" si="1570"/>
        <v>86.035779865882589</v>
      </c>
      <c r="DI161" s="16">
        <f t="shared" si="1570"/>
        <v>86.035779865882589</v>
      </c>
      <c r="DJ161" s="16">
        <f t="shared" si="1570"/>
        <v>86.035779865882589</v>
      </c>
      <c r="DK161" s="16">
        <f t="shared" ref="DK161:EP161" si="1571">DK134</f>
        <v>86.035779865882589</v>
      </c>
      <c r="DL161" s="16">
        <f t="shared" si="1571"/>
        <v>87.971169180226624</v>
      </c>
      <c r="DM161" s="16">
        <f t="shared" si="1571"/>
        <v>90.938845355987354</v>
      </c>
      <c r="DN161" s="16">
        <f t="shared" si="1571"/>
        <v>92.981643182101195</v>
      </c>
      <c r="DO161" s="16">
        <f t="shared" si="1571"/>
        <v>96.826785154812242</v>
      </c>
      <c r="DP161" s="16">
        <f t="shared" si="1571"/>
        <v>100.12286662708208</v>
      </c>
      <c r="DQ161" s="16">
        <f t="shared" si="1571"/>
        <v>103.51436359234563</v>
      </c>
      <c r="DR161" s="16">
        <f t="shared" si="1571"/>
        <v>109.11667551353887</v>
      </c>
      <c r="DS161" s="16">
        <f t="shared" si="1571"/>
        <v>109.11667551353887</v>
      </c>
      <c r="DT161" s="16">
        <f t="shared" si="1571"/>
        <v>109.11667551353887</v>
      </c>
      <c r="DU161" s="16">
        <f t="shared" si="1571"/>
        <v>109.11667551353887</v>
      </c>
      <c r="DV161" s="16">
        <f t="shared" si="1571"/>
        <v>109.11667551353887</v>
      </c>
      <c r="DW161" s="16">
        <f t="shared" si="1571"/>
        <v>109.11667551353887</v>
      </c>
      <c r="DX161" s="16">
        <f t="shared" si="1571"/>
        <v>110.50930288331587</v>
      </c>
      <c r="DY161" s="16">
        <f t="shared" si="1571"/>
        <v>114.09378496156444</v>
      </c>
      <c r="DZ161" s="16">
        <f t="shared" si="1571"/>
        <v>116.56112358776028</v>
      </c>
      <c r="EA161" s="16">
        <f t="shared" si="1571"/>
        <v>121.20615246052485</v>
      </c>
      <c r="EB161" s="16">
        <f t="shared" si="1571"/>
        <v>125.18761722316292</v>
      </c>
      <c r="EC161" s="16">
        <f t="shared" si="1571"/>
        <v>129.28389531577082</v>
      </c>
      <c r="ED161" s="16">
        <f t="shared" si="1571"/>
        <v>136.05101538675126</v>
      </c>
      <c r="EE161" s="16">
        <f t="shared" si="1571"/>
        <v>136.05101538675126</v>
      </c>
      <c r="EF161" s="16">
        <f t="shared" si="1571"/>
        <v>136.05101538675126</v>
      </c>
      <c r="EG161" s="16">
        <f t="shared" si="1571"/>
        <v>136.05101538675126</v>
      </c>
      <c r="EH161" s="16">
        <f t="shared" si="1571"/>
        <v>136.05101538675126</v>
      </c>
      <c r="EI161" s="16">
        <f t="shared" si="1571"/>
        <v>136.05101538675126</v>
      </c>
      <c r="EJ161" s="16">
        <f t="shared" si="1571"/>
        <v>136.67465617371124</v>
      </c>
      <c r="EK161" s="16">
        <f t="shared" si="1571"/>
        <v>140.93057414236156</v>
      </c>
      <c r="EL161" s="16">
        <f t="shared" si="1571"/>
        <v>143.86007159930193</v>
      </c>
      <c r="EM161" s="16">
        <f t="shared" si="1571"/>
        <v>149.3755124475388</v>
      </c>
      <c r="EN161" s="16">
        <f t="shared" si="1571"/>
        <v>154.10291891009686</v>
      </c>
      <c r="EO161" s="16">
        <f t="shared" si="1571"/>
        <v>158.96645084419279</v>
      </c>
      <c r="EP161" s="16">
        <f t="shared" si="1571"/>
        <v>167.00135683820011</v>
      </c>
      <c r="EQ161" s="16">
        <f t="shared" ref="EQ161:FB161" si="1572">EQ134</f>
        <v>167.00135683820011</v>
      </c>
      <c r="ER161" s="16">
        <f t="shared" si="1572"/>
        <v>167.00135683820011</v>
      </c>
      <c r="ES161" s="16">
        <f t="shared" si="1572"/>
        <v>167.00135683820011</v>
      </c>
      <c r="ET161" s="16">
        <f t="shared" si="1572"/>
        <v>167.00135683820011</v>
      </c>
      <c r="EU161" s="16">
        <f t="shared" si="1572"/>
        <v>167.00135683820011</v>
      </c>
      <c r="EV161" s="16">
        <f t="shared" si="1572"/>
        <v>167.00135683820011</v>
      </c>
      <c r="EW161" s="16">
        <f t="shared" si="1572"/>
        <v>171.37809422209912</v>
      </c>
      <c r="EX161" s="16">
        <f t="shared" si="1572"/>
        <v>174.79579729483632</v>
      </c>
      <c r="EY161" s="16">
        <f t="shared" si="1572"/>
        <v>181.230428322656</v>
      </c>
      <c r="EZ161" s="16">
        <f t="shared" si="1572"/>
        <v>186.74568100680591</v>
      </c>
      <c r="FA161" s="16">
        <f t="shared" si="1572"/>
        <v>192.41972647570813</v>
      </c>
      <c r="FB161" s="16">
        <f t="shared" si="1572"/>
        <v>201.79368474831722</v>
      </c>
    </row>
    <row r="162" spans="3:158" x14ac:dyDescent="0.25">
      <c r="C162" s="2" t="s">
        <v>481</v>
      </c>
      <c r="D162" s="27">
        <f t="shared" ref="D162:L162" si="1573">D139</f>
        <v>9</v>
      </c>
      <c r="E162" s="27">
        <f t="shared" si="1573"/>
        <v>18</v>
      </c>
      <c r="F162" s="27">
        <f t="shared" si="1573"/>
        <v>22</v>
      </c>
      <c r="G162" s="27">
        <f t="shared" si="1573"/>
        <v>49</v>
      </c>
      <c r="H162" s="27">
        <f t="shared" si="1573"/>
        <v>53.626605236214751</v>
      </c>
      <c r="I162" s="27">
        <f t="shared" si="1573"/>
        <v>65.646545489346835</v>
      </c>
      <c r="J162" s="27">
        <f t="shared" si="1573"/>
        <v>70.232563244688251</v>
      </c>
      <c r="K162" s="27">
        <f t="shared" si="1573"/>
        <v>79.208317250736584</v>
      </c>
      <c r="L162" s="27">
        <f t="shared" si="1573"/>
        <v>90.078741977024052</v>
      </c>
      <c r="N162" s="27">
        <f t="shared" ref="N162:AW162" si="1574">N139</f>
        <v>5</v>
      </c>
      <c r="O162" s="27">
        <f t="shared" si="1574"/>
        <v>6</v>
      </c>
      <c r="P162" s="27">
        <f t="shared" si="1574"/>
        <v>8</v>
      </c>
      <c r="Q162" s="27">
        <f t="shared" si="1574"/>
        <v>9</v>
      </c>
      <c r="R162" s="27">
        <f t="shared" si="1574"/>
        <v>16</v>
      </c>
      <c r="S162" s="27">
        <f t="shared" si="1574"/>
        <v>17</v>
      </c>
      <c r="T162" s="27">
        <f t="shared" si="1574"/>
        <v>15</v>
      </c>
      <c r="U162" s="27">
        <f t="shared" si="1574"/>
        <v>18</v>
      </c>
      <c r="V162" s="27">
        <f t="shared" si="1574"/>
        <v>19</v>
      </c>
      <c r="W162" s="27">
        <f t="shared" si="1574"/>
        <v>18</v>
      </c>
      <c r="X162" s="27">
        <f t="shared" si="1574"/>
        <v>18</v>
      </c>
      <c r="Y162" s="27">
        <f t="shared" si="1574"/>
        <v>22</v>
      </c>
      <c r="Z162" s="27">
        <f t="shared" si="1574"/>
        <v>32</v>
      </c>
      <c r="AA162" s="27">
        <f t="shared" si="1574"/>
        <v>42</v>
      </c>
      <c r="AB162" s="27">
        <f t="shared" si="1574"/>
        <v>45</v>
      </c>
      <c r="AC162" s="27">
        <f t="shared" si="1574"/>
        <v>49</v>
      </c>
      <c r="AD162" s="27">
        <f t="shared" si="1574"/>
        <v>49</v>
      </c>
      <c r="AE162" s="27">
        <f t="shared" si="1574"/>
        <v>49</v>
      </c>
      <c r="AF162" s="27">
        <f t="shared" si="1574"/>
        <v>49.029703730713301</v>
      </c>
      <c r="AG162" s="27">
        <f t="shared" si="1574"/>
        <v>53.626605236214751</v>
      </c>
      <c r="AH162" s="27">
        <f t="shared" si="1574"/>
        <v>53.626605236214751</v>
      </c>
      <c r="AI162" s="27">
        <f t="shared" si="1574"/>
        <v>54.263116080167215</v>
      </c>
      <c r="AJ162" s="27">
        <f t="shared" si="1574"/>
        <v>58.943758376555415</v>
      </c>
      <c r="AK162" s="27">
        <f t="shared" si="1574"/>
        <v>65.646545489346835</v>
      </c>
      <c r="AL162" s="27">
        <f t="shared" si="1574"/>
        <v>65.646545489346835</v>
      </c>
      <c r="AM162" s="27">
        <f t="shared" si="1574"/>
        <v>65.646545489346835</v>
      </c>
      <c r="AN162" s="27">
        <f t="shared" si="1574"/>
        <v>65.646545489346835</v>
      </c>
      <c r="AO162" s="27">
        <f t="shared" si="1574"/>
        <v>70.232563244688251</v>
      </c>
      <c r="AP162" s="27">
        <f t="shared" si="1574"/>
        <v>70.232563244688251</v>
      </c>
      <c r="AQ162" s="27">
        <f t="shared" si="1574"/>
        <v>70.232563244688251</v>
      </c>
      <c r="AR162" s="27">
        <f t="shared" si="1574"/>
        <v>72.21264457233589</v>
      </c>
      <c r="AS162" s="27">
        <f t="shared" si="1574"/>
        <v>79.208317250736584</v>
      </c>
      <c r="AT162" s="27">
        <f t="shared" si="1574"/>
        <v>79.208317250736584</v>
      </c>
      <c r="AU162" s="27">
        <f t="shared" si="1574"/>
        <v>79.208317250736584</v>
      </c>
      <c r="AV162" s="27">
        <f t="shared" si="1574"/>
        <v>82.136213198574893</v>
      </c>
      <c r="AW162" s="27">
        <f t="shared" si="1574"/>
        <v>90.078741977024052</v>
      </c>
      <c r="AY162" s="27">
        <f t="shared" ref="AY162:CD162" si="1575">AY139</f>
        <v>5</v>
      </c>
      <c r="AZ162" s="27">
        <f t="shared" si="1575"/>
        <v>5</v>
      </c>
      <c r="BA162" s="27">
        <f t="shared" si="1575"/>
        <v>5</v>
      </c>
      <c r="BB162" s="27">
        <f t="shared" si="1575"/>
        <v>5</v>
      </c>
      <c r="BC162" s="27">
        <f t="shared" si="1575"/>
        <v>5</v>
      </c>
      <c r="BD162" s="27">
        <f t="shared" si="1575"/>
        <v>6</v>
      </c>
      <c r="BE162" s="27">
        <f t="shared" si="1575"/>
        <v>7</v>
      </c>
      <c r="BF162" s="27">
        <f t="shared" si="1575"/>
        <v>8</v>
      </c>
      <c r="BG162" s="27">
        <f t="shared" si="1575"/>
        <v>8</v>
      </c>
      <c r="BH162" s="27">
        <f t="shared" si="1575"/>
        <v>8</v>
      </c>
      <c r="BI162" s="27">
        <f t="shared" si="1575"/>
        <v>8</v>
      </c>
      <c r="BJ162" s="27">
        <f t="shared" si="1575"/>
        <v>9</v>
      </c>
      <c r="BK162" s="27">
        <f t="shared" si="1575"/>
        <v>14</v>
      </c>
      <c r="BL162" s="27">
        <f t="shared" si="1575"/>
        <v>14</v>
      </c>
      <c r="BM162" s="27">
        <f t="shared" si="1575"/>
        <v>16</v>
      </c>
      <c r="BN162" s="27">
        <f t="shared" si="1575"/>
        <v>16</v>
      </c>
      <c r="BO162" s="27">
        <f t="shared" si="1575"/>
        <v>16</v>
      </c>
      <c r="BP162" s="27">
        <f t="shared" si="1575"/>
        <v>17</v>
      </c>
      <c r="BQ162" s="27">
        <f t="shared" si="1575"/>
        <v>15</v>
      </c>
      <c r="BR162" s="27">
        <f t="shared" si="1575"/>
        <v>15</v>
      </c>
      <c r="BS162" s="27">
        <f t="shared" si="1575"/>
        <v>15</v>
      </c>
      <c r="BT162" s="27">
        <f t="shared" si="1575"/>
        <v>18</v>
      </c>
      <c r="BU162" s="27">
        <f t="shared" si="1575"/>
        <v>18</v>
      </c>
      <c r="BV162" s="27">
        <f t="shared" si="1575"/>
        <v>18</v>
      </c>
      <c r="BW162" s="27">
        <f t="shared" si="1575"/>
        <v>19</v>
      </c>
      <c r="BX162" s="27">
        <f t="shared" si="1575"/>
        <v>18</v>
      </c>
      <c r="BY162" s="27">
        <f t="shared" si="1575"/>
        <v>19</v>
      </c>
      <c r="BZ162" s="27">
        <f t="shared" si="1575"/>
        <v>18</v>
      </c>
      <c r="CA162" s="27">
        <f t="shared" si="1575"/>
        <v>18</v>
      </c>
      <c r="CB162" s="27">
        <f t="shared" si="1575"/>
        <v>18</v>
      </c>
      <c r="CC162" s="27">
        <f t="shared" si="1575"/>
        <v>18</v>
      </c>
      <c r="CD162" s="27">
        <f t="shared" si="1575"/>
        <v>18</v>
      </c>
      <c r="CE162" s="27">
        <f t="shared" ref="CE162:DJ162" si="1576">CE139</f>
        <v>18</v>
      </c>
      <c r="CF162" s="27">
        <f t="shared" si="1576"/>
        <v>18</v>
      </c>
      <c r="CG162" s="27">
        <f t="shared" si="1576"/>
        <v>19</v>
      </c>
      <c r="CH162" s="27">
        <f t="shared" si="1576"/>
        <v>22</v>
      </c>
      <c r="CI162" s="27">
        <f t="shared" si="1576"/>
        <v>26</v>
      </c>
      <c r="CJ162" s="27">
        <f t="shared" si="1576"/>
        <v>30</v>
      </c>
      <c r="CK162" s="27">
        <f t="shared" si="1576"/>
        <v>32</v>
      </c>
      <c r="CL162" s="27">
        <f t="shared" si="1576"/>
        <v>37</v>
      </c>
      <c r="CM162" s="27">
        <f t="shared" si="1576"/>
        <v>40</v>
      </c>
      <c r="CN162" s="27">
        <f t="shared" si="1576"/>
        <v>42</v>
      </c>
      <c r="CO162" s="27">
        <f t="shared" si="1576"/>
        <v>44</v>
      </c>
      <c r="CP162" s="27">
        <f t="shared" si="1576"/>
        <v>45</v>
      </c>
      <c r="CQ162" s="27">
        <f t="shared" si="1576"/>
        <v>45</v>
      </c>
      <c r="CR162" s="27">
        <f t="shared" si="1576"/>
        <v>48</v>
      </c>
      <c r="CS162" s="27">
        <f t="shared" si="1576"/>
        <v>49</v>
      </c>
      <c r="CT162" s="27">
        <f t="shared" si="1576"/>
        <v>49</v>
      </c>
      <c r="CU162" s="27">
        <f t="shared" si="1576"/>
        <v>49</v>
      </c>
      <c r="CV162" s="27">
        <f t="shared" si="1576"/>
        <v>49</v>
      </c>
      <c r="CW162" s="27">
        <f t="shared" si="1576"/>
        <v>49</v>
      </c>
      <c r="CX162" s="27">
        <f t="shared" si="1576"/>
        <v>49</v>
      </c>
      <c r="CY162" s="27">
        <f t="shared" si="1576"/>
        <v>49</v>
      </c>
      <c r="CZ162" s="27">
        <f t="shared" si="1576"/>
        <v>49</v>
      </c>
      <c r="DA162" s="27">
        <f t="shared" si="1576"/>
        <v>49</v>
      </c>
      <c r="DB162" s="27">
        <f t="shared" si="1576"/>
        <v>49</v>
      </c>
      <c r="DC162" s="27">
        <f t="shared" si="1576"/>
        <v>49.029703730713301</v>
      </c>
      <c r="DD162" s="27">
        <f t="shared" si="1576"/>
        <v>50.29070625084902</v>
      </c>
      <c r="DE162" s="27">
        <f t="shared" si="1576"/>
        <v>51.621005333126156</v>
      </c>
      <c r="DF162" s="27">
        <f t="shared" si="1576"/>
        <v>53.626605236214751</v>
      </c>
      <c r="DG162" s="27">
        <f t="shared" si="1576"/>
        <v>53.626605236214751</v>
      </c>
      <c r="DH162" s="27">
        <f t="shared" si="1576"/>
        <v>53.626605236214751</v>
      </c>
      <c r="DI162" s="27">
        <f t="shared" si="1576"/>
        <v>53.626605236214751</v>
      </c>
      <c r="DJ162" s="27">
        <f t="shared" si="1576"/>
        <v>53.626605236214751</v>
      </c>
      <c r="DK162" s="27">
        <f t="shared" ref="DK162:EP162" si="1577">DK139</f>
        <v>53.626605236214751</v>
      </c>
      <c r="DL162" s="27">
        <f t="shared" si="1577"/>
        <v>54.263116080167215</v>
      </c>
      <c r="DM162" s="27">
        <f t="shared" si="1577"/>
        <v>55.262723866330383</v>
      </c>
      <c r="DN162" s="27">
        <f t="shared" si="1577"/>
        <v>56.791739694470685</v>
      </c>
      <c r="DO162" s="27">
        <f t="shared" si="1577"/>
        <v>58.943758376555415</v>
      </c>
      <c r="DP162" s="27">
        <f t="shared" si="1577"/>
        <v>60.903512181712721</v>
      </c>
      <c r="DQ162" s="27">
        <f t="shared" si="1577"/>
        <v>62.894319566004611</v>
      </c>
      <c r="DR162" s="27">
        <f t="shared" si="1577"/>
        <v>65.646545489346835</v>
      </c>
      <c r="DS162" s="27">
        <f t="shared" si="1577"/>
        <v>65.646545489346835</v>
      </c>
      <c r="DT162" s="27">
        <f t="shared" si="1577"/>
        <v>65.646545489346835</v>
      </c>
      <c r="DU162" s="27">
        <f t="shared" si="1577"/>
        <v>65.646545489346835</v>
      </c>
      <c r="DV162" s="27">
        <f t="shared" si="1577"/>
        <v>65.646545489346835</v>
      </c>
      <c r="DW162" s="27">
        <f t="shared" si="1577"/>
        <v>65.646545489346835</v>
      </c>
      <c r="DX162" s="27">
        <f t="shared" si="1577"/>
        <v>65.646545489346835</v>
      </c>
      <c r="DY162" s="27">
        <f t="shared" si="1577"/>
        <v>65.646545489346835</v>
      </c>
      <c r="DZ162" s="27">
        <f t="shared" si="1577"/>
        <v>65.646545489346835</v>
      </c>
      <c r="EA162" s="27">
        <f t="shared" si="1577"/>
        <v>65.646545489346835</v>
      </c>
      <c r="EB162" s="27">
        <f t="shared" si="1577"/>
        <v>66.274536606596158</v>
      </c>
      <c r="EC162" s="27">
        <f t="shared" si="1577"/>
        <v>67.840084317749842</v>
      </c>
      <c r="ED162" s="27">
        <f t="shared" si="1577"/>
        <v>70.232563244688251</v>
      </c>
      <c r="EE162" s="27">
        <f t="shared" si="1577"/>
        <v>70.232563244688251</v>
      </c>
      <c r="EF162" s="27">
        <f t="shared" si="1577"/>
        <v>70.232563244688251</v>
      </c>
      <c r="EG162" s="27">
        <f t="shared" si="1577"/>
        <v>70.232563244688251</v>
      </c>
      <c r="EH162" s="27">
        <f t="shared" si="1577"/>
        <v>70.232563244688251</v>
      </c>
      <c r="EI162" s="27">
        <f t="shared" si="1577"/>
        <v>70.232563244688251</v>
      </c>
      <c r="EJ162" s="27">
        <f t="shared" si="1577"/>
        <v>70.232563244688251</v>
      </c>
      <c r="EK162" s="27">
        <f t="shared" si="1577"/>
        <v>70.232563244688251</v>
      </c>
      <c r="EL162" s="27">
        <f t="shared" si="1577"/>
        <v>70.232563244688251</v>
      </c>
      <c r="EM162" s="27">
        <f t="shared" si="1577"/>
        <v>72.21264457233589</v>
      </c>
      <c r="EN162" s="27">
        <f t="shared" si="1577"/>
        <v>74.225626175163939</v>
      </c>
      <c r="EO162" s="27">
        <f t="shared" si="1577"/>
        <v>76.274091730360468</v>
      </c>
      <c r="EP162" s="27">
        <f t="shared" si="1577"/>
        <v>79.208317250736584</v>
      </c>
      <c r="EQ162" s="27">
        <f t="shared" ref="EQ162:FB162" si="1578">EQ139</f>
        <v>79.208317250736584</v>
      </c>
      <c r="ER162" s="27">
        <f t="shared" si="1578"/>
        <v>79.208317250736584</v>
      </c>
      <c r="ES162" s="27">
        <f t="shared" si="1578"/>
        <v>79.208317250736584</v>
      </c>
      <c r="ET162" s="27">
        <f t="shared" si="1578"/>
        <v>79.208317250736584</v>
      </c>
      <c r="EU162" s="27">
        <f t="shared" si="1578"/>
        <v>79.208317250736584</v>
      </c>
      <c r="EV162" s="27">
        <f t="shared" si="1578"/>
        <v>79.208317250736584</v>
      </c>
      <c r="EW162" s="27">
        <f t="shared" si="1578"/>
        <v>79.208317250736584</v>
      </c>
      <c r="EX162" s="27">
        <f t="shared" si="1578"/>
        <v>79.584342207178807</v>
      </c>
      <c r="EY162" s="27">
        <f t="shared" si="1578"/>
        <v>82.136213198574893</v>
      </c>
      <c r="EZ162" s="27">
        <f t="shared" si="1578"/>
        <v>84.450579724072284</v>
      </c>
      <c r="FA162" s="27">
        <f t="shared" si="1578"/>
        <v>86.800858618636468</v>
      </c>
      <c r="FB162" s="27">
        <f t="shared" si="1578"/>
        <v>90.078741977024052</v>
      </c>
    </row>
    <row r="163" spans="3:158" x14ac:dyDescent="0.25">
      <c r="C163" s="14" t="s">
        <v>45</v>
      </c>
      <c r="D163" s="16">
        <f>SUM(D155:D162)</f>
        <v>282</v>
      </c>
      <c r="E163" s="16">
        <f t="shared" ref="E163:N163" si="1579">SUM(E155:E162)</f>
        <v>409</v>
      </c>
      <c r="F163" s="16">
        <f t="shared" si="1579"/>
        <v>472</v>
      </c>
      <c r="G163" s="16">
        <f t="shared" si="1579"/>
        <v>917</v>
      </c>
      <c r="H163" s="16">
        <f t="shared" si="1579"/>
        <v>1146.0771633339609</v>
      </c>
      <c r="I163" s="16">
        <f t="shared" si="1579"/>
        <v>1603.557544746202</v>
      </c>
      <c r="J163" s="16">
        <f t="shared" si="1579"/>
        <v>1962.3830994548152</v>
      </c>
      <c r="K163" s="16">
        <f t="shared" si="1579"/>
        <v>2533.2718027531096</v>
      </c>
      <c r="L163" s="16">
        <f t="shared" si="1579"/>
        <v>3299.5623297540542</v>
      </c>
      <c r="N163" s="16">
        <f t="shared" si="1579"/>
        <v>178.5</v>
      </c>
      <c r="O163" s="16">
        <f t="shared" ref="O163" si="1580">SUM(O155:O162)</f>
        <v>204.5</v>
      </c>
      <c r="P163" s="16">
        <f t="shared" ref="P163" si="1581">SUM(P155:P162)</f>
        <v>238</v>
      </c>
      <c r="Q163" s="16">
        <f t="shared" ref="Q163" si="1582">SUM(Q155:Q162)</f>
        <v>282</v>
      </c>
      <c r="R163" s="16">
        <f t="shared" ref="R163" si="1583">SUM(R155:R162)</f>
        <v>316</v>
      </c>
      <c r="S163" s="16">
        <f t="shared" ref="S163" si="1584">SUM(S155:S162)</f>
        <v>351</v>
      </c>
      <c r="T163" s="16">
        <f t="shared" ref="T163" si="1585">SUM(T155:T162)</f>
        <v>368</v>
      </c>
      <c r="U163" s="16">
        <f t="shared" ref="U163" si="1586">SUM(U155:U162)</f>
        <v>409</v>
      </c>
      <c r="V163" s="16">
        <f t="shared" ref="V163" si="1587">SUM(V155:V162)</f>
        <v>435</v>
      </c>
      <c r="W163" s="16">
        <f t="shared" ref="W163" si="1588">SUM(W155:W162)</f>
        <v>429</v>
      </c>
      <c r="X163" s="16">
        <f t="shared" ref="X163" si="1589">SUM(X155:X162)</f>
        <v>425</v>
      </c>
      <c r="Y163" s="16">
        <f t="shared" ref="Y163" si="1590">SUM(Y155:Y162)</f>
        <v>472</v>
      </c>
      <c r="Z163" s="16">
        <f t="shared" ref="Z163" si="1591">SUM(Z155:Z162)</f>
        <v>565</v>
      </c>
      <c r="AA163" s="16">
        <f t="shared" ref="AA163" si="1592">SUM(AA155:AA162)</f>
        <v>676</v>
      </c>
      <c r="AB163" s="16">
        <f t="shared" ref="AB163" si="1593">SUM(AB155:AB162)</f>
        <v>797</v>
      </c>
      <c r="AC163" s="16">
        <f t="shared" ref="AC163" si="1594">SUM(AC155:AC162)</f>
        <v>917</v>
      </c>
      <c r="AD163" s="16">
        <f t="shared" ref="AD163" si="1595">SUM(AD155:AD162)</f>
        <v>938.74691218345617</v>
      </c>
      <c r="AE163" s="16">
        <f t="shared" ref="AE163" si="1596">SUM(AE155:AE162)</f>
        <v>989.50305843408535</v>
      </c>
      <c r="AF163" s="16">
        <f t="shared" ref="AF163" si="1597">SUM(AF155:AF162)</f>
        <v>1047.8348111592441</v>
      </c>
      <c r="AG163" s="16">
        <f t="shared" ref="AG163" si="1598">SUM(AG155:AG162)</f>
        <v>1146.0771633339609</v>
      </c>
      <c r="AH163" s="16">
        <f t="shared" ref="AH163" si="1599">SUM(AH155:AH162)</f>
        <v>1218.2082414175991</v>
      </c>
      <c r="AI163" s="16">
        <f t="shared" ref="AI163" si="1600">SUM(AI155:AI162)</f>
        <v>1325.4928883639702</v>
      </c>
      <c r="AJ163" s="16">
        <f t="shared" ref="AJ163" si="1601">SUM(AJ155:AJ162)</f>
        <v>1439.8276064010299</v>
      </c>
      <c r="AK163" s="16">
        <f t="shared" ref="AK163" si="1602">SUM(AK155:AK162)</f>
        <v>1603.557544746202</v>
      </c>
      <c r="AL163" s="16">
        <f t="shared" ref="AL163" si="1603">SUM(AL155:AL162)</f>
        <v>1647.1431635763856</v>
      </c>
      <c r="AM163" s="16">
        <f t="shared" ref="AM163" si="1604">SUM(AM155:AM162)</f>
        <v>1705.1591728990302</v>
      </c>
      <c r="AN163" s="16">
        <f t="shared" ref="AN163" si="1605">SUM(AN155:AN162)</f>
        <v>1809.8847817413568</v>
      </c>
      <c r="AO163" s="16">
        <f t="shared" ref="AO163" si="1606">SUM(AO155:AO162)</f>
        <v>1962.3830994548152</v>
      </c>
      <c r="AP163" s="16">
        <f t="shared" ref="AP163" si="1607">SUM(AP155:AP162)</f>
        <v>2053.1921922281103</v>
      </c>
      <c r="AQ163" s="16">
        <f t="shared" ref="AQ163" si="1608">SUM(AQ155:AQ162)</f>
        <v>2155.651662977315</v>
      </c>
      <c r="AR163" s="16">
        <f t="shared" ref="AR163" si="1609">SUM(AR155:AR162)</f>
        <v>2309.5334258679727</v>
      </c>
      <c r="AS163" s="16">
        <f t="shared" ref="AS163" si="1610">SUM(AS155:AS162)</f>
        <v>2533.2718027531096</v>
      </c>
      <c r="AT163" s="16">
        <f t="shared" ref="AT163" si="1611">SUM(AT155:AT162)</f>
        <v>2667.9920260179647</v>
      </c>
      <c r="AU163" s="16">
        <f t="shared" ref="AU163" si="1612">SUM(AU155:AU162)</f>
        <v>2812.5549541729747</v>
      </c>
      <c r="AV163" s="16">
        <f t="shared" ref="AV163" si="1613">SUM(AV155:AV162)</f>
        <v>3008.6294394274682</v>
      </c>
      <c r="AW163" s="16">
        <f t="shared" ref="AW163" si="1614">SUM(AW155:AW162)</f>
        <v>3299.5623297540542</v>
      </c>
      <c r="AY163" s="16">
        <f t="shared" ref="AY163" si="1615">SUM(AY155:AY162)</f>
        <v>163.5</v>
      </c>
      <c r="AZ163" s="16">
        <f t="shared" ref="AZ163" si="1616">SUM(AZ155:AZ162)</f>
        <v>173.5</v>
      </c>
      <c r="BA163" s="16">
        <f t="shared" ref="BA163" si="1617">SUM(BA155:BA162)</f>
        <v>178.5</v>
      </c>
      <c r="BB163" s="16">
        <f t="shared" ref="BB163" si="1618">SUM(BB155:BB162)</f>
        <v>182.75</v>
      </c>
      <c r="BC163" s="16">
        <f t="shared" ref="BC163" si="1619">SUM(BC155:BC162)</f>
        <v>196</v>
      </c>
      <c r="BD163" s="16">
        <f t="shared" ref="BD163" si="1620">SUM(BD155:BD162)</f>
        <v>204.5</v>
      </c>
      <c r="BE163" s="16">
        <f t="shared" ref="BE163" si="1621">SUM(BE155:BE162)</f>
        <v>224.5</v>
      </c>
      <c r="BF163" s="16">
        <f t="shared" ref="BF163" si="1622">SUM(BF155:BF162)</f>
        <v>236</v>
      </c>
      <c r="BG163" s="16">
        <f t="shared" ref="BG163" si="1623">SUM(BG155:BG162)</f>
        <v>238</v>
      </c>
      <c r="BH163" s="16">
        <f t="shared" ref="BH163" si="1624">SUM(BH155:BH162)</f>
        <v>251</v>
      </c>
      <c r="BI163" s="16">
        <f t="shared" ref="BI163" si="1625">SUM(BI155:BI162)</f>
        <v>258</v>
      </c>
      <c r="BJ163" s="16">
        <f t="shared" ref="BJ163" si="1626">SUM(BJ155:BJ162)</f>
        <v>282</v>
      </c>
      <c r="BK163" s="16">
        <f t="shared" ref="BK163" si="1627">SUM(BK155:BK162)</f>
        <v>295</v>
      </c>
      <c r="BL163" s="16">
        <f t="shared" ref="BL163" si="1628">SUM(BL155:BL162)</f>
        <v>303</v>
      </c>
      <c r="BM163" s="16">
        <f t="shared" ref="BM163" si="1629">SUM(BM155:BM162)</f>
        <v>316</v>
      </c>
      <c r="BN163" s="16">
        <f t="shared" ref="BN163" si="1630">SUM(BN155:BN162)</f>
        <v>329</v>
      </c>
      <c r="BO163" s="16">
        <f t="shared" ref="BO163" si="1631">SUM(BO155:BO162)</f>
        <v>338</v>
      </c>
      <c r="BP163" s="16">
        <f t="shared" ref="BP163" si="1632">SUM(BP155:BP162)</f>
        <v>351</v>
      </c>
      <c r="BQ163" s="16">
        <f t="shared" ref="BQ163" si="1633">SUM(BQ155:BQ162)</f>
        <v>356</v>
      </c>
      <c r="BR163" s="16">
        <f t="shared" ref="BR163" si="1634">SUM(BR155:BR162)</f>
        <v>360</v>
      </c>
      <c r="BS163" s="16">
        <f t="shared" ref="BS163" si="1635">SUM(BS155:BS162)</f>
        <v>368</v>
      </c>
      <c r="BT163" s="16">
        <f t="shared" ref="BT163" si="1636">SUM(BT155:BT162)</f>
        <v>383</v>
      </c>
      <c r="BU163" s="16">
        <f t="shared" ref="BU163" si="1637">SUM(BU155:BU162)</f>
        <v>387</v>
      </c>
      <c r="BV163" s="16">
        <f t="shared" ref="BV163" si="1638">SUM(BV155:BV162)</f>
        <v>409</v>
      </c>
      <c r="BW163" s="16">
        <f t="shared" ref="BW163" si="1639">SUM(BW155:BW162)</f>
        <v>411</v>
      </c>
      <c r="BX163" s="16">
        <f t="shared" ref="BX163" si="1640">SUM(BX155:BX162)</f>
        <v>423</v>
      </c>
      <c r="BY163" s="16">
        <f t="shared" ref="BY163" si="1641">SUM(BY155:BY162)</f>
        <v>435</v>
      </c>
      <c r="BZ163" s="16">
        <f t="shared" ref="BZ163" si="1642">SUM(BZ155:BZ162)</f>
        <v>418</v>
      </c>
      <c r="CA163" s="16">
        <f t="shared" ref="CA163" si="1643">SUM(CA155:CA162)</f>
        <v>432</v>
      </c>
      <c r="CB163" s="16">
        <f t="shared" ref="CB163" si="1644">SUM(CB155:CB162)</f>
        <v>429</v>
      </c>
      <c r="CC163" s="16">
        <f t="shared" ref="CC163" si="1645">SUM(CC155:CC162)</f>
        <v>430</v>
      </c>
      <c r="CD163" s="16">
        <f t="shared" ref="CD163" si="1646">SUM(CD155:CD162)</f>
        <v>430</v>
      </c>
      <c r="CE163" s="16">
        <f t="shared" ref="CE163" si="1647">SUM(CE155:CE162)</f>
        <v>425</v>
      </c>
      <c r="CF163" s="16">
        <f t="shared" ref="CF163" si="1648">SUM(CF155:CF162)</f>
        <v>441</v>
      </c>
      <c r="CG163" s="16">
        <f t="shared" ref="CG163" si="1649">SUM(CG155:CG162)</f>
        <v>451</v>
      </c>
      <c r="CH163" s="16">
        <f t="shared" ref="CH163" si="1650">SUM(CH155:CH162)</f>
        <v>472</v>
      </c>
      <c r="CI163" s="16">
        <f t="shared" ref="CI163" si="1651">SUM(CI155:CI162)</f>
        <v>495</v>
      </c>
      <c r="CJ163" s="16">
        <f t="shared" ref="CJ163" si="1652">SUM(CJ155:CJ162)</f>
        <v>531</v>
      </c>
      <c r="CK163" s="16">
        <f t="shared" ref="CK163" si="1653">SUM(CK155:CK162)</f>
        <v>565</v>
      </c>
      <c r="CL163" s="16">
        <f t="shared" ref="CL163" si="1654">SUM(CL155:CL162)</f>
        <v>589</v>
      </c>
      <c r="CM163" s="16">
        <f t="shared" ref="CM163" si="1655">SUM(CM155:CM162)</f>
        <v>652</v>
      </c>
      <c r="CN163" s="16">
        <f t="shared" ref="CN163" si="1656">SUM(CN155:CN162)</f>
        <v>676</v>
      </c>
      <c r="CO163" s="16">
        <f t="shared" ref="CO163" si="1657">SUM(CO155:CO162)</f>
        <v>724</v>
      </c>
      <c r="CP163" s="16">
        <f t="shared" ref="CP163" si="1658">SUM(CP155:CP162)</f>
        <v>768</v>
      </c>
      <c r="CQ163" s="16">
        <f t="shared" ref="CQ163" si="1659">SUM(CQ155:CQ162)</f>
        <v>797</v>
      </c>
      <c r="CR163" s="16">
        <f t="shared" ref="CR163" si="1660">SUM(CR155:CR162)</f>
        <v>842</v>
      </c>
      <c r="CS163" s="16">
        <f t="shared" ref="CS163" si="1661">SUM(CS155:CS162)</f>
        <v>883</v>
      </c>
      <c r="CT163" s="16">
        <f t="shared" ref="CT163" si="1662">SUM(CT155:CT162)</f>
        <v>917</v>
      </c>
      <c r="CU163" s="16">
        <f t="shared" ref="CU163" si="1663">SUM(CU155:CU162)</f>
        <v>923.9138939716554</v>
      </c>
      <c r="CV163" s="16">
        <f t="shared" ref="CV163" si="1664">SUM(CV155:CV162)</f>
        <v>930.21212053360125</v>
      </c>
      <c r="CW163" s="16">
        <f t="shared" ref="CW163" si="1665">SUM(CW155:CW162)</f>
        <v>938.74691218345617</v>
      </c>
      <c r="CX163" s="16">
        <f t="shared" ref="CX163" si="1666">SUM(CX155:CX162)</f>
        <v>947.38509507754884</v>
      </c>
      <c r="CY163" s="16">
        <f t="shared" ref="CY163" si="1667">SUM(CY155:CY162)</f>
        <v>964.30238031079955</v>
      </c>
      <c r="CZ163" s="16">
        <f t="shared" ref="CZ163" si="1668">SUM(CZ155:CZ162)</f>
        <v>989.50305843408535</v>
      </c>
      <c r="DA163" s="16">
        <f t="shared" ref="DA163" si="1669">SUM(DA155:DA162)</f>
        <v>1004.7526237972131</v>
      </c>
      <c r="DB163" s="16">
        <f t="shared" ref="DB163" si="1670">SUM(DB155:DB162)</f>
        <v>1020.1874065750089</v>
      </c>
      <c r="DC163" s="16">
        <f t="shared" ref="DC163" si="1671">SUM(DC155:DC162)</f>
        <v>1047.8348111592441</v>
      </c>
      <c r="DD163" s="16">
        <f t="shared" ref="DD163" si="1672">SUM(DD155:DD162)</f>
        <v>1074.7842364467162</v>
      </c>
      <c r="DE163" s="16">
        <f t="shared" ref="DE163" si="1673">SUM(DE155:DE162)</f>
        <v>1103.2146282622389</v>
      </c>
      <c r="DF163" s="16">
        <f t="shared" ref="DF163" si="1674">SUM(DF155:DF162)</f>
        <v>1146.0771633339609</v>
      </c>
      <c r="DG163" s="16">
        <f t="shared" ref="DG163" si="1675">SUM(DG155:DG162)</f>
        <v>1170.6597856949702</v>
      </c>
      <c r="DH163" s="16">
        <f t="shared" ref="DH163" si="1676">SUM(DH155:DH162)</f>
        <v>1192.8784926511967</v>
      </c>
      <c r="DI163" s="16">
        <f t="shared" ref="DI163" si="1677">SUM(DI155:DI162)</f>
        <v>1218.2082414175991</v>
      </c>
      <c r="DJ163" s="16">
        <f t="shared" ref="DJ163" si="1678">SUM(DJ155:DJ162)</f>
        <v>1243.0462616144025</v>
      </c>
      <c r="DK163" s="16">
        <f t="shared" ref="DK163" si="1679">SUM(DK155:DK162)</f>
        <v>1275.0963545944717</v>
      </c>
      <c r="DL163" s="16">
        <f t="shared" ref="DL163" si="1680">SUM(DL155:DL162)</f>
        <v>1325.4928883639702</v>
      </c>
      <c r="DM163" s="16">
        <f t="shared" ref="DM163" si="1681">SUM(DM155:DM162)</f>
        <v>1349.9104505576902</v>
      </c>
      <c r="DN163" s="16">
        <f t="shared" ref="DN163" si="1682">SUM(DN155:DN162)</f>
        <v>1387.2599386225058</v>
      </c>
      <c r="DO163" s="16">
        <f t="shared" ref="DO163" si="1683">SUM(DO155:DO162)</f>
        <v>1439.8276064010299</v>
      </c>
      <c r="DP163" s="16">
        <f t="shared" ref="DP163" si="1684">SUM(DP155:DP162)</f>
        <v>1487.6987925644369</v>
      </c>
      <c r="DQ163" s="16">
        <f t="shared" ref="DQ163" si="1685">SUM(DQ155:DQ162)</f>
        <v>1536.3285289415896</v>
      </c>
      <c r="DR163" s="16">
        <f t="shared" ref="DR163" si="1686">SUM(DR155:DR162)</f>
        <v>1603.557544746202</v>
      </c>
      <c r="DS163" s="16">
        <f t="shared" ref="DS163" si="1687">SUM(DS155:DS162)</f>
        <v>1618.7073750279201</v>
      </c>
      <c r="DT163" s="16">
        <f t="shared" ref="DT163" si="1688">SUM(DT155:DT162)</f>
        <v>1630.7775704915534</v>
      </c>
      <c r="DU163" s="16">
        <f t="shared" ref="DU163" si="1689">SUM(DU155:DU162)</f>
        <v>1647.1431635763856</v>
      </c>
      <c r="DV163" s="16">
        <f t="shared" ref="DV163" si="1690">SUM(DV155:DV162)</f>
        <v>1662.8298039523459</v>
      </c>
      <c r="DW163" s="16">
        <f t="shared" ref="DW163" si="1691">SUM(DW155:DW162)</f>
        <v>1677.6499256437583</v>
      </c>
      <c r="DX163" s="16">
        <f t="shared" ref="DX163" si="1692">SUM(DX155:DX162)</f>
        <v>1705.1591728990302</v>
      </c>
      <c r="DY163" s="16">
        <f t="shared" ref="DY163" si="1693">SUM(DY155:DY162)</f>
        <v>1734.2924605895346</v>
      </c>
      <c r="DZ163" s="16">
        <f t="shared" ref="DZ163" si="1694">SUM(DZ155:DZ162)</f>
        <v>1762.9694836127876</v>
      </c>
      <c r="EA163" s="16">
        <f t="shared" ref="EA163" si="1695">SUM(EA155:EA162)</f>
        <v>1809.8847817413568</v>
      </c>
      <c r="EB163" s="16">
        <f t="shared" ref="EB163" si="1696">SUM(EB155:EB162)</f>
        <v>1851.7910290113189</v>
      </c>
      <c r="EC163" s="16">
        <f t="shared" ref="EC163" si="1697">SUM(EC155:EC162)</f>
        <v>1895.5343330831731</v>
      </c>
      <c r="ED163" s="16">
        <f t="shared" ref="ED163" si="1698">SUM(ED155:ED162)</f>
        <v>1962.3830994548152</v>
      </c>
      <c r="EE163" s="16">
        <f t="shared" ref="EE163" si="1699">SUM(EE155:EE162)</f>
        <v>1993.5877017308699</v>
      </c>
      <c r="EF163" s="16">
        <f t="shared" ref="EF163" si="1700">SUM(EF155:EF162)</f>
        <v>2020.4752590900125</v>
      </c>
      <c r="EG163" s="16">
        <f t="shared" ref="EG163" si="1701">SUM(EG155:EG162)</f>
        <v>2053.1921922281103</v>
      </c>
      <c r="EH163" s="16">
        <f t="shared" ref="EH163" si="1702">SUM(EH155:EH162)</f>
        <v>2084.9880563609813</v>
      </c>
      <c r="EI163" s="16">
        <f t="shared" ref="EI163" si="1703">SUM(EI155:EI162)</f>
        <v>2115.608884938526</v>
      </c>
      <c r="EJ163" s="16">
        <f t="shared" ref="EJ163" si="1704">SUM(EJ155:EJ162)</f>
        <v>2155.651662977315</v>
      </c>
      <c r="EK163" s="16">
        <f t="shared" ref="EK163" si="1705">SUM(EK155:EK162)</f>
        <v>2191.3820237832906</v>
      </c>
      <c r="EL163" s="16">
        <f t="shared" ref="EL163" si="1706">SUM(EL155:EL162)</f>
        <v>2238.229368544929</v>
      </c>
      <c r="EM163" s="16">
        <f t="shared" ref="EM163" si="1707">SUM(EM155:EM162)</f>
        <v>2309.5334258679727</v>
      </c>
      <c r="EN163" s="16">
        <f t="shared" ref="EN163" si="1708">SUM(EN155:EN162)</f>
        <v>2373.9134014930405</v>
      </c>
      <c r="EO163" s="16">
        <f t="shared" ref="EO163" si="1709">SUM(EO155:EO162)</f>
        <v>2439.4282389496093</v>
      </c>
      <c r="EP163" s="16">
        <f t="shared" ref="EP163" si="1710">SUM(EP155:EP162)</f>
        <v>2533.2718027531096</v>
      </c>
      <c r="EQ163" s="16">
        <f t="shared" ref="EQ163" si="1711">SUM(EQ155:EQ162)</f>
        <v>2579.579464762006</v>
      </c>
      <c r="ER163" s="16">
        <f t="shared" ref="ER163" si="1712">SUM(ER155:ER162)</f>
        <v>2619.9285249710047</v>
      </c>
      <c r="ES163" s="16">
        <f t="shared" ref="ES163" si="1713">SUM(ES155:ES162)</f>
        <v>2667.9920260179647</v>
      </c>
      <c r="ET163" s="16">
        <f t="shared" ref="ET163" si="1714">SUM(ET155:ET162)</f>
        <v>2714.7962680535798</v>
      </c>
      <c r="EU163" s="16">
        <f t="shared" ref="EU163" si="1715">SUM(EU155:EU162)</f>
        <v>2760.0141220886126</v>
      </c>
      <c r="EV163" s="16">
        <f t="shared" ref="EV163" si="1716">SUM(EV155:EV162)</f>
        <v>2812.5549541729747</v>
      </c>
      <c r="EW163" s="16">
        <f t="shared" ref="EW163" si="1717">SUM(EW155:EW162)</f>
        <v>2850.9978715856801</v>
      </c>
      <c r="EX163" s="16">
        <f t="shared" ref="EX163" si="1718">SUM(EX155:EX162)</f>
        <v>2915.1550279425669</v>
      </c>
      <c r="EY163" s="16">
        <f t="shared" ref="EY163" si="1719">SUM(EY155:EY162)</f>
        <v>3008.6294394274682</v>
      </c>
      <c r="EZ163" s="16">
        <f t="shared" ref="EZ163" si="1720">SUM(EZ155:EZ162)</f>
        <v>3093.4041203030379</v>
      </c>
      <c r="FA163" s="16">
        <f t="shared" ref="FA163" si="1721">SUM(FA155:FA162)</f>
        <v>3179.4942624910582</v>
      </c>
      <c r="FB163" s="16">
        <f t="shared" ref="FB163" si="1722">SUM(FB155:FB162)</f>
        <v>3299.5623297540542</v>
      </c>
    </row>
    <row r="164" spans="3:158" x14ac:dyDescent="0.25">
      <c r="E164" s="260">
        <f>E162/SUM(E155:E161)</f>
        <v>4.6035805626598467E-2</v>
      </c>
      <c r="F164" s="260">
        <f>F162/SUM(F155:F161)</f>
        <v>4.8888888888888891E-2</v>
      </c>
      <c r="G164" s="260">
        <f>G162/SUM(G155:G161)</f>
        <v>5.6451612903225805E-2</v>
      </c>
      <c r="H164" s="260">
        <f>H162/SUM(H155:H161)</f>
        <v>4.9088359046283316E-2</v>
      </c>
      <c r="I164" s="260">
        <f>I162/SUM(I155:I161)</f>
        <v>4.2685529605463755E-2</v>
      </c>
    </row>
    <row r="165" spans="3:158" x14ac:dyDescent="0.25">
      <c r="C165" s="1" t="s">
        <v>723</v>
      </c>
    </row>
    <row r="166" spans="3:158" x14ac:dyDescent="0.25">
      <c r="C166" s="2" t="s">
        <v>11</v>
      </c>
      <c r="D166" s="19">
        <f t="shared" ref="D166:F174" si="1723">D155/D$163</f>
        <v>7.8014184397163122E-2</v>
      </c>
      <c r="E166" s="19">
        <f t="shared" si="1723"/>
        <v>6.3569682151589244E-2</v>
      </c>
      <c r="F166" s="19">
        <f t="shared" si="1723"/>
        <v>6.5677966101694921E-2</v>
      </c>
      <c r="G166" s="19">
        <f>G155/G$163</f>
        <v>5.6706652126499453E-2</v>
      </c>
      <c r="H166" s="19">
        <f t="shared" ref="H166:K166" si="1724">H155/H$163</f>
        <v>4.6288801484857735E-2</v>
      </c>
      <c r="I166" s="19">
        <f t="shared" si="1724"/>
        <v>5.3027861739062016E-2</v>
      </c>
      <c r="J166" s="19">
        <f t="shared" si="1724"/>
        <v>4.6930843140019343E-2</v>
      </c>
      <c r="K166" s="19">
        <f t="shared" si="1724"/>
        <v>4.9413749920831973E-2</v>
      </c>
      <c r="L166" s="20"/>
    </row>
    <row r="167" spans="3:158" x14ac:dyDescent="0.25">
      <c r="C167" s="2" t="s">
        <v>10</v>
      </c>
      <c r="D167" s="19">
        <f t="shared" si="1723"/>
        <v>0.32978723404255317</v>
      </c>
      <c r="E167" s="19">
        <f t="shared" si="1723"/>
        <v>0.32762836185819072</v>
      </c>
      <c r="F167" s="19">
        <f t="shared" si="1723"/>
        <v>0.2902542372881356</v>
      </c>
      <c r="G167" s="19">
        <f t="shared" ref="G167:K174" si="1725">G156/G$163</f>
        <v>0.31079607415485277</v>
      </c>
      <c r="H167" s="19">
        <f t="shared" si="1725"/>
        <v>0.28409856125418537</v>
      </c>
      <c r="I167" s="19">
        <f t="shared" si="1725"/>
        <v>0.30166176786154664</v>
      </c>
      <c r="J167" s="19">
        <f t="shared" si="1725"/>
        <v>0.27972505285387184</v>
      </c>
      <c r="K167" s="19">
        <f t="shared" si="1725"/>
        <v>0.28510922075775819</v>
      </c>
    </row>
    <row r="168" spans="3:158" x14ac:dyDescent="0.25">
      <c r="C168" s="2" t="s">
        <v>566</v>
      </c>
      <c r="D168" s="19">
        <f t="shared" si="1723"/>
        <v>9.9290780141843976E-2</v>
      </c>
      <c r="E168" s="19">
        <f t="shared" si="1723"/>
        <v>0.12713936430317849</v>
      </c>
      <c r="F168" s="19">
        <f t="shared" si="1723"/>
        <v>0.125</v>
      </c>
      <c r="G168" s="19">
        <f t="shared" si="1725"/>
        <v>0.11123227917121047</v>
      </c>
      <c r="H168" s="19">
        <f t="shared" si="1725"/>
        <v>0.12680860583607648</v>
      </c>
      <c r="I168" s="19">
        <f t="shared" si="1725"/>
        <v>0.13136570783562024</v>
      </c>
      <c r="J168" s="19">
        <f t="shared" si="1725"/>
        <v>0.15296264101546028</v>
      </c>
      <c r="K168" s="19">
        <f t="shared" si="1725"/>
        <v>0.1662254581119065</v>
      </c>
    </row>
    <row r="169" spans="3:158" x14ac:dyDescent="0.25">
      <c r="C169" s="2" t="s">
        <v>1</v>
      </c>
      <c r="D169" s="19">
        <f t="shared" si="1723"/>
        <v>5.3191489361702128E-2</v>
      </c>
      <c r="E169" s="19">
        <f t="shared" si="1723"/>
        <v>4.8899755501222497E-2</v>
      </c>
      <c r="F169" s="19">
        <f t="shared" si="1723"/>
        <v>3.3898305084745763E-2</v>
      </c>
      <c r="G169" s="19">
        <f t="shared" si="1725"/>
        <v>5.0163576881134132E-2</v>
      </c>
      <c r="H169" s="19">
        <f t="shared" si="1725"/>
        <v>4.9813212022306957E-2</v>
      </c>
      <c r="I169" s="19">
        <f t="shared" si="1725"/>
        <v>5.3925062287014727E-2</v>
      </c>
      <c r="J169" s="19">
        <f t="shared" si="1725"/>
        <v>5.7609670363153578E-2</v>
      </c>
      <c r="K169" s="19">
        <f t="shared" si="1725"/>
        <v>6.1980514143057198E-2</v>
      </c>
    </row>
    <row r="170" spans="3:158" x14ac:dyDescent="0.25">
      <c r="C170" s="2" t="s">
        <v>13</v>
      </c>
      <c r="D170" s="19">
        <f t="shared" si="1723"/>
        <v>0.29432624113475175</v>
      </c>
      <c r="E170" s="19">
        <f t="shared" si="1723"/>
        <v>0.26161369193154033</v>
      </c>
      <c r="F170" s="19">
        <f t="shared" si="1723"/>
        <v>0.29661016949152541</v>
      </c>
      <c r="G170" s="19">
        <f t="shared" si="1725"/>
        <v>0.27044711014176664</v>
      </c>
      <c r="H170" s="19">
        <f t="shared" si="1725"/>
        <v>0.29738460839225533</v>
      </c>
      <c r="I170" s="19">
        <f t="shared" si="1725"/>
        <v>0.28128283352668215</v>
      </c>
      <c r="J170" s="19">
        <f t="shared" si="1725"/>
        <v>0.28658578462191281</v>
      </c>
      <c r="K170" s="19">
        <f t="shared" si="1725"/>
        <v>0.27250524306639307</v>
      </c>
    </row>
    <row r="171" spans="3:158" x14ac:dyDescent="0.25">
      <c r="C171" s="2" t="s">
        <v>42</v>
      </c>
      <c r="D171" s="19">
        <f t="shared" si="1723"/>
        <v>4.9645390070921988E-2</v>
      </c>
      <c r="E171" s="19">
        <f t="shared" si="1723"/>
        <v>6.6014669926650366E-2</v>
      </c>
      <c r="F171" s="19">
        <f t="shared" si="1723"/>
        <v>7.2033898305084748E-2</v>
      </c>
      <c r="G171" s="19">
        <f t="shared" si="1725"/>
        <v>6.7611777535441661E-2</v>
      </c>
      <c r="H171" s="19">
        <f t="shared" si="1725"/>
        <v>7.3744970275168437E-2</v>
      </c>
      <c r="I171" s="19">
        <f t="shared" si="1725"/>
        <v>6.9752077316589653E-2</v>
      </c>
      <c r="J171" s="19">
        <f t="shared" si="1725"/>
        <v>7.1067094838857092E-2</v>
      </c>
      <c r="K171" s="19">
        <f t="shared" si="1725"/>
        <v>6.7575424156625777E-2</v>
      </c>
    </row>
    <row r="172" spans="3:158" x14ac:dyDescent="0.25">
      <c r="C172" s="2" t="s">
        <v>14</v>
      </c>
      <c r="D172" s="19">
        <f t="shared" si="1723"/>
        <v>6.3829787234042548E-2</v>
      </c>
      <c r="E172" s="19">
        <f t="shared" si="1723"/>
        <v>6.1124694376528114E-2</v>
      </c>
      <c r="F172" s="19">
        <f t="shared" si="1723"/>
        <v>6.991525423728813E-2</v>
      </c>
      <c r="G172" s="19">
        <f t="shared" si="1725"/>
        <v>7.9607415485278082E-2</v>
      </c>
      <c r="H172" s="19">
        <f t="shared" si="1725"/>
        <v>7.5069796884882356E-2</v>
      </c>
      <c r="I172" s="19">
        <f t="shared" si="1725"/>
        <v>6.8046622879884847E-2</v>
      </c>
      <c r="J172" s="19">
        <f t="shared" si="1725"/>
        <v>6.9329487919330648E-2</v>
      </c>
      <c r="K172" s="19">
        <f t="shared" si="1725"/>
        <v>6.5923189393536988E-2</v>
      </c>
    </row>
    <row r="173" spans="3:158" x14ac:dyDescent="0.25">
      <c r="C173" s="2" t="s">
        <v>481</v>
      </c>
      <c r="D173" s="313">
        <f t="shared" si="1723"/>
        <v>3.1914893617021274E-2</v>
      </c>
      <c r="E173" s="313">
        <f t="shared" si="1723"/>
        <v>4.4009779951100246E-2</v>
      </c>
      <c r="F173" s="313">
        <f t="shared" si="1723"/>
        <v>4.6610169491525424E-2</v>
      </c>
      <c r="G173" s="313">
        <f t="shared" si="1725"/>
        <v>5.3435114503816793E-2</v>
      </c>
      <c r="H173" s="313">
        <f t="shared" si="1725"/>
        <v>4.6791443850267379E-2</v>
      </c>
      <c r="I173" s="313">
        <f t="shared" si="1725"/>
        <v>4.0938066553599634E-2</v>
      </c>
      <c r="J173" s="313">
        <f t="shared" si="1725"/>
        <v>3.5789425247394403E-2</v>
      </c>
      <c r="K173" s="313">
        <f t="shared" si="1725"/>
        <v>3.1267200449890356E-2</v>
      </c>
    </row>
    <row r="174" spans="3:158" x14ac:dyDescent="0.25">
      <c r="C174" s="14" t="s">
        <v>45</v>
      </c>
      <c r="D174" s="19">
        <f t="shared" si="1723"/>
        <v>1</v>
      </c>
      <c r="E174" s="19">
        <f t="shared" si="1723"/>
        <v>1</v>
      </c>
      <c r="F174" s="19">
        <f t="shared" si="1723"/>
        <v>1</v>
      </c>
      <c r="G174" s="19">
        <f t="shared" si="1725"/>
        <v>1</v>
      </c>
      <c r="H174" s="19">
        <f t="shared" si="1725"/>
        <v>1</v>
      </c>
      <c r="I174" s="19">
        <f t="shared" si="1725"/>
        <v>1</v>
      </c>
      <c r="J174" s="19">
        <f t="shared" si="1725"/>
        <v>1</v>
      </c>
      <c r="K174" s="19">
        <f t="shared" si="1725"/>
        <v>1</v>
      </c>
    </row>
    <row r="176" spans="3:158" x14ac:dyDescent="0.25">
      <c r="C176" s="1" t="s">
        <v>724</v>
      </c>
    </row>
    <row r="177" spans="3:3" x14ac:dyDescent="0.25">
      <c r="C177" s="2" t="s">
        <v>11</v>
      </c>
    </row>
    <row r="178" spans="3:3" x14ac:dyDescent="0.25">
      <c r="C178" s="2" t="s">
        <v>10</v>
      </c>
    </row>
    <row r="179" spans="3:3" x14ac:dyDescent="0.25">
      <c r="C179" s="2" t="s">
        <v>566</v>
      </c>
    </row>
    <row r="180" spans="3:3" x14ac:dyDescent="0.25">
      <c r="C180" s="2" t="s">
        <v>1</v>
      </c>
    </row>
    <row r="181" spans="3:3" x14ac:dyDescent="0.25">
      <c r="C181" s="2" t="s">
        <v>13</v>
      </c>
    </row>
    <row r="182" spans="3:3" x14ac:dyDescent="0.25">
      <c r="C182" s="2" t="s">
        <v>42</v>
      </c>
    </row>
    <row r="183" spans="3:3" x14ac:dyDescent="0.25">
      <c r="C183" s="2" t="s">
        <v>14</v>
      </c>
    </row>
    <row r="184" spans="3:3" x14ac:dyDescent="0.25">
      <c r="C184" s="2" t="s">
        <v>481</v>
      </c>
    </row>
  </sheetData>
  <pageMargins left="0.7" right="0.7" top="0.75" bottom="0.75" header="0.3" footer="0.3"/>
  <pageSetup orientation="portrait"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E81214-A571-4317-8B6E-A7355311375C}">
  <dimension ref="A2:FB293"/>
  <sheetViews>
    <sheetView showGridLines="0" zoomScale="85" zoomScaleNormal="85" workbookViewId="0">
      <pane xSplit="3" ySplit="7" topLeftCell="D8" activePane="bottomRight" state="frozen"/>
      <selection pane="topRight" activeCell="D1" sqref="D1"/>
      <selection pane="bottomLeft" activeCell="A8" sqref="A8"/>
      <selection pane="bottomRight" activeCell="K32" sqref="K32"/>
    </sheetView>
  </sheetViews>
  <sheetFormatPr defaultColWidth="8.85546875" defaultRowHeight="15" outlineLevelRow="1" outlineLevelCol="1" x14ac:dyDescent="0.25"/>
  <cols>
    <col min="1" max="1" width="11.42578125" hidden="1" customWidth="1" outlineLevel="1"/>
    <col min="2" max="2" width="9.140625" collapsed="1"/>
    <col min="3" max="3" width="15.85546875" customWidth="1"/>
    <col min="4" max="6" width="11.85546875" bestFit="1" customWidth="1"/>
    <col min="7" max="11" width="12.85546875" bestFit="1" customWidth="1"/>
    <col min="12" max="12" width="14.42578125" customWidth="1" outlineLevel="1"/>
    <col min="14" max="26" width="11.85546875" bestFit="1" customWidth="1"/>
    <col min="27" max="47" width="12.85546875" bestFit="1" customWidth="1"/>
    <col min="48" max="49" width="14.42578125" bestFit="1" customWidth="1"/>
    <col min="51" max="51" width="13.28515625" bestFit="1" customWidth="1"/>
    <col min="52" max="91" width="11.42578125" bestFit="1" customWidth="1"/>
    <col min="92" max="154" width="12.42578125" bestFit="1" customWidth="1"/>
    <col min="155" max="158" width="14.28515625" bestFit="1" customWidth="1"/>
  </cols>
  <sheetData>
    <row r="2" spans="3:158" outlineLevel="1" x14ac:dyDescent="0.25">
      <c r="D2" s="66" t="s">
        <v>36</v>
      </c>
      <c r="E2" s="66" t="s">
        <v>37</v>
      </c>
      <c r="F2" s="66" t="s">
        <v>38</v>
      </c>
      <c r="G2" s="66" t="s">
        <v>39</v>
      </c>
      <c r="H2" s="66" t="s">
        <v>40</v>
      </c>
      <c r="I2" s="66" t="s">
        <v>41</v>
      </c>
      <c r="J2" s="66" t="s">
        <v>233</v>
      </c>
      <c r="K2" s="66" t="s">
        <v>234</v>
      </c>
      <c r="L2" s="66" t="s">
        <v>235</v>
      </c>
      <c r="AY2" s="66" t="s">
        <v>36</v>
      </c>
      <c r="AZ2" s="66" t="s">
        <v>36</v>
      </c>
      <c r="BA2" s="66" t="s">
        <v>36</v>
      </c>
      <c r="BB2" s="66" t="s">
        <v>36</v>
      </c>
      <c r="BC2" s="66" t="s">
        <v>36</v>
      </c>
      <c r="BD2" s="66" t="s">
        <v>36</v>
      </c>
      <c r="BE2" s="66" t="s">
        <v>36</v>
      </c>
      <c r="BF2" s="66" t="s">
        <v>36</v>
      </c>
      <c r="BG2" s="66" t="s">
        <v>36</v>
      </c>
      <c r="BH2" s="66" t="s">
        <v>36</v>
      </c>
      <c r="BI2" s="66" t="s">
        <v>36</v>
      </c>
      <c r="BJ2" s="66" t="s">
        <v>36</v>
      </c>
      <c r="BK2" s="66" t="s">
        <v>37</v>
      </c>
      <c r="BL2" s="66" t="s">
        <v>37</v>
      </c>
      <c r="BM2" s="66" t="s">
        <v>37</v>
      </c>
      <c r="BN2" s="66" t="s">
        <v>37</v>
      </c>
      <c r="BO2" s="66" t="s">
        <v>37</v>
      </c>
      <c r="BP2" s="66" t="s">
        <v>37</v>
      </c>
      <c r="BQ2" s="66" t="s">
        <v>37</v>
      </c>
      <c r="BR2" s="66" t="s">
        <v>37</v>
      </c>
      <c r="BS2" s="66" t="s">
        <v>37</v>
      </c>
      <c r="BT2" s="66" t="s">
        <v>37</v>
      </c>
      <c r="BU2" s="66" t="s">
        <v>37</v>
      </c>
      <c r="BV2" s="66" t="s">
        <v>37</v>
      </c>
      <c r="BW2" s="66" t="s">
        <v>38</v>
      </c>
      <c r="BX2" s="66" t="s">
        <v>38</v>
      </c>
      <c r="BY2" s="66" t="s">
        <v>38</v>
      </c>
      <c r="BZ2" s="66" t="s">
        <v>38</v>
      </c>
      <c r="CA2" s="66" t="s">
        <v>38</v>
      </c>
      <c r="CB2" s="66" t="s">
        <v>38</v>
      </c>
      <c r="CC2" s="66" t="s">
        <v>38</v>
      </c>
      <c r="CD2" s="66" t="s">
        <v>38</v>
      </c>
      <c r="CE2" s="66" t="s">
        <v>38</v>
      </c>
      <c r="CF2" s="66" t="s">
        <v>38</v>
      </c>
      <c r="CG2" s="66" t="s">
        <v>38</v>
      </c>
      <c r="CH2" s="66" t="s">
        <v>38</v>
      </c>
      <c r="CI2" s="66" t="s">
        <v>39</v>
      </c>
      <c r="CJ2" s="66" t="s">
        <v>39</v>
      </c>
      <c r="CK2" s="66" t="s">
        <v>39</v>
      </c>
      <c r="CL2" s="66" t="s">
        <v>39</v>
      </c>
      <c r="CM2" s="66" t="s">
        <v>39</v>
      </c>
      <c r="CN2" s="66" t="s">
        <v>39</v>
      </c>
      <c r="CO2" s="66" t="s">
        <v>39</v>
      </c>
      <c r="CP2" s="66" t="s">
        <v>39</v>
      </c>
      <c r="CQ2" s="66" t="s">
        <v>39</v>
      </c>
      <c r="CR2" s="66" t="s">
        <v>39</v>
      </c>
      <c r="CS2" s="66" t="s">
        <v>39</v>
      </c>
      <c r="CT2" s="66" t="s">
        <v>39</v>
      </c>
      <c r="CU2" s="66" t="s">
        <v>40</v>
      </c>
      <c r="CV2" s="66" t="s">
        <v>40</v>
      </c>
      <c r="CW2" s="66" t="s">
        <v>40</v>
      </c>
      <c r="CX2" s="66" t="s">
        <v>40</v>
      </c>
      <c r="CY2" s="66" t="s">
        <v>40</v>
      </c>
      <c r="CZ2" s="66" t="s">
        <v>40</v>
      </c>
      <c r="DA2" s="66" t="s">
        <v>40</v>
      </c>
      <c r="DB2" s="66" t="s">
        <v>40</v>
      </c>
      <c r="DC2" s="66" t="s">
        <v>40</v>
      </c>
      <c r="DD2" s="66" t="s">
        <v>40</v>
      </c>
      <c r="DE2" s="66" t="s">
        <v>40</v>
      </c>
      <c r="DF2" s="66" t="s">
        <v>40</v>
      </c>
      <c r="DG2" s="66" t="s">
        <v>41</v>
      </c>
      <c r="DH2" s="66" t="s">
        <v>41</v>
      </c>
      <c r="DI2" s="66" t="s">
        <v>41</v>
      </c>
      <c r="DJ2" s="66" t="s">
        <v>41</v>
      </c>
      <c r="DK2" s="66" t="s">
        <v>41</v>
      </c>
      <c r="DL2" s="66" t="s">
        <v>41</v>
      </c>
      <c r="DM2" s="66" t="s">
        <v>41</v>
      </c>
      <c r="DN2" s="66" t="s">
        <v>41</v>
      </c>
      <c r="DO2" s="66" t="s">
        <v>41</v>
      </c>
      <c r="DP2" s="66" t="s">
        <v>41</v>
      </c>
      <c r="DQ2" s="66" t="s">
        <v>41</v>
      </c>
      <c r="DR2" s="66" t="s">
        <v>41</v>
      </c>
      <c r="DS2" s="66" t="s">
        <v>233</v>
      </c>
      <c r="DT2" s="66" t="s">
        <v>233</v>
      </c>
      <c r="DU2" s="66" t="s">
        <v>233</v>
      </c>
      <c r="DV2" s="66" t="s">
        <v>233</v>
      </c>
      <c r="DW2" s="66" t="s">
        <v>233</v>
      </c>
      <c r="DX2" s="66" t="s">
        <v>233</v>
      </c>
      <c r="DY2" s="66" t="s">
        <v>233</v>
      </c>
      <c r="DZ2" s="66" t="s">
        <v>233</v>
      </c>
      <c r="EA2" s="66" t="s">
        <v>233</v>
      </c>
      <c r="EB2" s="66" t="s">
        <v>233</v>
      </c>
      <c r="EC2" s="66" t="s">
        <v>233</v>
      </c>
      <c r="ED2" s="66" t="s">
        <v>233</v>
      </c>
      <c r="EE2" s="66" t="s">
        <v>234</v>
      </c>
      <c r="EF2" s="66" t="s">
        <v>234</v>
      </c>
      <c r="EG2" s="66" t="s">
        <v>234</v>
      </c>
      <c r="EH2" s="66" t="s">
        <v>234</v>
      </c>
      <c r="EI2" s="66" t="s">
        <v>234</v>
      </c>
      <c r="EJ2" s="66" t="s">
        <v>234</v>
      </c>
      <c r="EK2" s="66" t="s">
        <v>234</v>
      </c>
      <c r="EL2" s="66" t="s">
        <v>234</v>
      </c>
      <c r="EM2" s="66" t="s">
        <v>234</v>
      </c>
      <c r="EN2" s="66" t="s">
        <v>234</v>
      </c>
      <c r="EO2" s="66" t="s">
        <v>234</v>
      </c>
      <c r="EP2" s="66" t="s">
        <v>234</v>
      </c>
      <c r="EQ2" s="66" t="s">
        <v>235</v>
      </c>
      <c r="ER2" s="66" t="s">
        <v>235</v>
      </c>
      <c r="ES2" s="66" t="s">
        <v>235</v>
      </c>
      <c r="ET2" s="66" t="s">
        <v>235</v>
      </c>
      <c r="EU2" s="66" t="s">
        <v>235</v>
      </c>
      <c r="EV2" s="66" t="s">
        <v>235</v>
      </c>
      <c r="EW2" s="66" t="s">
        <v>235</v>
      </c>
      <c r="EX2" s="66" t="s">
        <v>235</v>
      </c>
      <c r="EY2" s="66" t="s">
        <v>235</v>
      </c>
      <c r="EZ2" s="66" t="s">
        <v>235</v>
      </c>
      <c r="FA2" s="66" t="s">
        <v>235</v>
      </c>
      <c r="FB2" s="66" t="s">
        <v>235</v>
      </c>
    </row>
    <row r="4" spans="3:158" x14ac:dyDescent="0.25">
      <c r="D4" s="25" t="s">
        <v>53</v>
      </c>
      <c r="E4" s="25"/>
      <c r="F4" s="25"/>
      <c r="G4" s="94" t="s">
        <v>54</v>
      </c>
      <c r="H4" s="94"/>
      <c r="I4" s="94"/>
      <c r="J4" s="94"/>
      <c r="K4" s="94"/>
      <c r="L4" s="94"/>
      <c r="M4" s="1"/>
      <c r="N4" s="71" t="s">
        <v>36</v>
      </c>
      <c r="O4" s="71"/>
      <c r="P4" s="71"/>
      <c r="Q4" s="71"/>
      <c r="R4" s="69" t="s">
        <v>37</v>
      </c>
      <c r="S4" s="69"/>
      <c r="T4" s="69"/>
      <c r="U4" s="69"/>
      <c r="V4" s="71" t="s">
        <v>38</v>
      </c>
      <c r="W4" s="71"/>
      <c r="X4" s="71"/>
      <c r="Y4" s="71"/>
      <c r="Z4" s="69" t="s">
        <v>39</v>
      </c>
      <c r="AA4" s="69"/>
      <c r="AB4" s="69"/>
      <c r="AC4" s="69"/>
      <c r="AD4" s="71" t="s">
        <v>40</v>
      </c>
      <c r="AE4" s="71"/>
      <c r="AF4" s="71"/>
      <c r="AG4" s="71"/>
      <c r="AH4" s="69" t="s">
        <v>41</v>
      </c>
      <c r="AI4" s="69"/>
      <c r="AJ4" s="69"/>
      <c r="AK4" s="69"/>
      <c r="AL4" s="71" t="s">
        <v>233</v>
      </c>
      <c r="AM4" s="71"/>
      <c r="AN4" s="71"/>
      <c r="AO4" s="71"/>
      <c r="AP4" s="69" t="s">
        <v>234</v>
      </c>
      <c r="AQ4" s="69"/>
      <c r="AR4" s="69"/>
      <c r="AS4" s="69"/>
      <c r="AT4" s="71" t="s">
        <v>235</v>
      </c>
      <c r="AU4" s="71"/>
      <c r="AV4" s="71"/>
      <c r="AW4" s="71"/>
      <c r="AX4" s="1"/>
      <c r="AY4" s="71" t="s">
        <v>36</v>
      </c>
      <c r="AZ4" s="71"/>
      <c r="BA4" s="71"/>
      <c r="BB4" s="71"/>
      <c r="BC4" s="71"/>
      <c r="BD4" s="71"/>
      <c r="BE4" s="71"/>
      <c r="BF4" s="71"/>
      <c r="BG4" s="71"/>
      <c r="BH4" s="71"/>
      <c r="BI4" s="71"/>
      <c r="BJ4" s="71"/>
      <c r="BK4" s="69" t="s">
        <v>37</v>
      </c>
      <c r="BL4" s="69"/>
      <c r="BM4" s="69"/>
      <c r="BN4" s="69"/>
      <c r="BO4" s="69"/>
      <c r="BP4" s="69"/>
      <c r="BQ4" s="69"/>
      <c r="BR4" s="69"/>
      <c r="BS4" s="69"/>
      <c r="BT4" s="69"/>
      <c r="BU4" s="69"/>
      <c r="BV4" s="69"/>
      <c r="BW4" s="71" t="s">
        <v>38</v>
      </c>
      <c r="BX4" s="71"/>
      <c r="BY4" s="71"/>
      <c r="BZ4" s="71"/>
      <c r="CA4" s="71"/>
      <c r="CB4" s="71"/>
      <c r="CC4" s="71"/>
      <c r="CD4" s="71"/>
      <c r="CE4" s="71"/>
      <c r="CF4" s="71"/>
      <c r="CG4" s="71"/>
      <c r="CH4" s="71"/>
      <c r="CI4" s="69" t="s">
        <v>39</v>
      </c>
      <c r="CJ4" s="69"/>
      <c r="CK4" s="69"/>
      <c r="CL4" s="69"/>
      <c r="CM4" s="69"/>
      <c r="CN4" s="69"/>
      <c r="CO4" s="69"/>
      <c r="CP4" s="69"/>
      <c r="CQ4" s="69"/>
      <c r="CR4" s="69"/>
      <c r="CS4" s="69"/>
      <c r="CT4" s="69"/>
      <c r="CU4" s="71" t="s">
        <v>40</v>
      </c>
      <c r="CV4" s="71"/>
      <c r="CW4" s="71"/>
      <c r="CX4" s="71"/>
      <c r="CY4" s="71"/>
      <c r="CZ4" s="71"/>
      <c r="DA4" s="71"/>
      <c r="DB4" s="71"/>
      <c r="DC4" s="71"/>
      <c r="DD4" s="71"/>
      <c r="DE4" s="71"/>
      <c r="DF4" s="71"/>
      <c r="DG4" s="69" t="s">
        <v>41</v>
      </c>
      <c r="DH4" s="69"/>
      <c r="DI4" s="69"/>
      <c r="DJ4" s="69"/>
      <c r="DK4" s="69"/>
      <c r="DL4" s="69"/>
      <c r="DM4" s="69"/>
      <c r="DN4" s="69"/>
      <c r="DO4" s="69"/>
      <c r="DP4" s="69"/>
      <c r="DQ4" s="69"/>
      <c r="DR4" s="69"/>
      <c r="DS4" s="71" t="s">
        <v>233</v>
      </c>
      <c r="DT4" s="71"/>
      <c r="DU4" s="71"/>
      <c r="DV4" s="71"/>
      <c r="DW4" s="71"/>
      <c r="DX4" s="71"/>
      <c r="DY4" s="71"/>
      <c r="DZ4" s="71"/>
      <c r="EA4" s="71"/>
      <c r="EB4" s="71"/>
      <c r="EC4" s="71"/>
      <c r="ED4" s="71"/>
      <c r="EE4" s="69" t="s">
        <v>234</v>
      </c>
      <c r="EF4" s="69"/>
      <c r="EG4" s="69"/>
      <c r="EH4" s="69"/>
      <c r="EI4" s="69"/>
      <c r="EJ4" s="69"/>
      <c r="EK4" s="69"/>
      <c r="EL4" s="69"/>
      <c r="EM4" s="69"/>
      <c r="EN4" s="69"/>
      <c r="EO4" s="69"/>
      <c r="EP4" s="69"/>
      <c r="EQ4" s="71" t="s">
        <v>235</v>
      </c>
      <c r="ER4" s="71"/>
      <c r="ES4" s="71"/>
      <c r="ET4" s="71"/>
      <c r="EU4" s="71"/>
      <c r="EV4" s="71"/>
      <c r="EW4" s="71"/>
      <c r="EX4" s="71"/>
      <c r="EY4" s="71"/>
      <c r="EZ4" s="71"/>
      <c r="FA4" s="71"/>
      <c r="FB4" s="71"/>
    </row>
    <row r="5" spans="3:158" x14ac:dyDescent="0.25">
      <c r="D5" s="26" t="s">
        <v>36</v>
      </c>
      <c r="E5" s="26" t="s">
        <v>37</v>
      </c>
      <c r="F5" s="26" t="s">
        <v>38</v>
      </c>
      <c r="G5" s="95" t="s">
        <v>39</v>
      </c>
      <c r="H5" s="95" t="s">
        <v>40</v>
      </c>
      <c r="I5" s="95" t="s">
        <v>41</v>
      </c>
      <c r="J5" s="95" t="s">
        <v>233</v>
      </c>
      <c r="K5" s="95" t="s">
        <v>234</v>
      </c>
      <c r="L5" s="96" t="s">
        <v>235</v>
      </c>
      <c r="M5" s="24"/>
      <c r="N5" s="72" t="s">
        <v>194</v>
      </c>
      <c r="O5" s="72" t="s">
        <v>195</v>
      </c>
      <c r="P5" s="72" t="s">
        <v>196</v>
      </c>
      <c r="Q5" s="72" t="s">
        <v>197</v>
      </c>
      <c r="R5" s="70" t="s">
        <v>198</v>
      </c>
      <c r="S5" s="70" t="s">
        <v>199</v>
      </c>
      <c r="T5" s="70" t="s">
        <v>200</v>
      </c>
      <c r="U5" s="70" t="s">
        <v>201</v>
      </c>
      <c r="V5" s="72" t="s">
        <v>202</v>
      </c>
      <c r="W5" s="72" t="s">
        <v>203</v>
      </c>
      <c r="X5" s="72" t="s">
        <v>204</v>
      </c>
      <c r="Y5" s="72" t="s">
        <v>205</v>
      </c>
      <c r="Z5" s="70" t="s">
        <v>206</v>
      </c>
      <c r="AA5" s="70" t="s">
        <v>207</v>
      </c>
      <c r="AB5" s="70" t="s">
        <v>208</v>
      </c>
      <c r="AC5" s="70" t="s">
        <v>209</v>
      </c>
      <c r="AD5" s="72" t="s">
        <v>210</v>
      </c>
      <c r="AE5" s="72" t="s">
        <v>211</v>
      </c>
      <c r="AF5" s="72" t="s">
        <v>212</v>
      </c>
      <c r="AG5" s="72" t="s">
        <v>213</v>
      </c>
      <c r="AH5" s="70" t="s">
        <v>214</v>
      </c>
      <c r="AI5" s="70" t="s">
        <v>215</v>
      </c>
      <c r="AJ5" s="70" t="s">
        <v>216</v>
      </c>
      <c r="AK5" s="70" t="s">
        <v>217</v>
      </c>
      <c r="AL5" s="72" t="s">
        <v>236</v>
      </c>
      <c r="AM5" s="72" t="s">
        <v>237</v>
      </c>
      <c r="AN5" s="72" t="s">
        <v>238</v>
      </c>
      <c r="AO5" s="72" t="s">
        <v>239</v>
      </c>
      <c r="AP5" s="70" t="s">
        <v>240</v>
      </c>
      <c r="AQ5" s="70" t="s">
        <v>241</v>
      </c>
      <c r="AR5" s="70" t="s">
        <v>242</v>
      </c>
      <c r="AS5" s="70" t="s">
        <v>243</v>
      </c>
      <c r="AT5" s="72" t="s">
        <v>244</v>
      </c>
      <c r="AU5" s="72" t="s">
        <v>245</v>
      </c>
      <c r="AV5" s="72" t="s">
        <v>246</v>
      </c>
      <c r="AW5" s="72" t="s">
        <v>247</v>
      </c>
      <c r="AX5" s="24"/>
      <c r="AY5" s="72">
        <v>43132</v>
      </c>
      <c r="AZ5" s="72">
        <v>43160</v>
      </c>
      <c r="BA5" s="73">
        <v>43191</v>
      </c>
      <c r="BB5" s="73">
        <v>43221</v>
      </c>
      <c r="BC5" s="73">
        <v>43252</v>
      </c>
      <c r="BD5" s="73">
        <v>43282</v>
      </c>
      <c r="BE5" s="73">
        <v>43313</v>
      </c>
      <c r="BF5" s="73">
        <v>43344</v>
      </c>
      <c r="BG5" s="74">
        <v>43374</v>
      </c>
      <c r="BH5" s="73">
        <v>43405</v>
      </c>
      <c r="BI5" s="73">
        <v>43435</v>
      </c>
      <c r="BJ5" s="73">
        <v>43466</v>
      </c>
      <c r="BK5" s="75">
        <v>43497</v>
      </c>
      <c r="BL5" s="75">
        <v>43525</v>
      </c>
      <c r="BM5" s="75">
        <v>43556</v>
      </c>
      <c r="BN5" s="75">
        <v>43586</v>
      </c>
      <c r="BO5" s="75">
        <v>43617</v>
      </c>
      <c r="BP5" s="75">
        <v>43647</v>
      </c>
      <c r="BQ5" s="75">
        <v>43678</v>
      </c>
      <c r="BR5" s="75">
        <v>43709</v>
      </c>
      <c r="BS5" s="75">
        <v>43739</v>
      </c>
      <c r="BT5" s="75">
        <v>43770</v>
      </c>
      <c r="BU5" s="75">
        <v>43800</v>
      </c>
      <c r="BV5" s="75">
        <v>43831</v>
      </c>
      <c r="BW5" s="73">
        <v>43862</v>
      </c>
      <c r="BX5" s="73">
        <v>43891</v>
      </c>
      <c r="BY5" s="73">
        <v>43922</v>
      </c>
      <c r="BZ5" s="73">
        <v>43952</v>
      </c>
      <c r="CA5" s="73">
        <v>43983</v>
      </c>
      <c r="CB5" s="73">
        <v>44013</v>
      </c>
      <c r="CC5" s="73">
        <v>44044</v>
      </c>
      <c r="CD5" s="73">
        <v>44075</v>
      </c>
      <c r="CE5" s="73">
        <v>44105</v>
      </c>
      <c r="CF5" s="73">
        <v>44136</v>
      </c>
      <c r="CG5" s="73">
        <v>44166</v>
      </c>
      <c r="CH5" s="73">
        <v>44197</v>
      </c>
      <c r="CI5" s="75">
        <v>44228</v>
      </c>
      <c r="CJ5" s="75">
        <v>44256</v>
      </c>
      <c r="CK5" s="75">
        <v>44287</v>
      </c>
      <c r="CL5" s="75">
        <v>44317</v>
      </c>
      <c r="CM5" s="75">
        <v>44348</v>
      </c>
      <c r="CN5" s="75">
        <v>44378</v>
      </c>
      <c r="CO5" s="75">
        <v>44409</v>
      </c>
      <c r="CP5" s="75">
        <v>44440</v>
      </c>
      <c r="CQ5" s="75">
        <v>44470</v>
      </c>
      <c r="CR5" s="75">
        <v>44501</v>
      </c>
      <c r="CS5" s="75">
        <v>44531</v>
      </c>
      <c r="CT5" s="75">
        <v>44562</v>
      </c>
      <c r="CU5" s="73">
        <v>44593</v>
      </c>
      <c r="CV5" s="73">
        <v>44621</v>
      </c>
      <c r="CW5" s="73">
        <v>44652</v>
      </c>
      <c r="CX5" s="73">
        <v>44682</v>
      </c>
      <c r="CY5" s="73">
        <v>44713</v>
      </c>
      <c r="CZ5" s="73">
        <v>44743</v>
      </c>
      <c r="DA5" s="73">
        <v>44774</v>
      </c>
      <c r="DB5" s="73">
        <v>44805</v>
      </c>
      <c r="DC5" s="73">
        <v>44835</v>
      </c>
      <c r="DD5" s="73">
        <v>44866</v>
      </c>
      <c r="DE5" s="73">
        <v>44896</v>
      </c>
      <c r="DF5" s="73">
        <v>44927</v>
      </c>
      <c r="DG5" s="75">
        <v>44958</v>
      </c>
      <c r="DH5" s="75">
        <v>44986</v>
      </c>
      <c r="DI5" s="75">
        <v>45017</v>
      </c>
      <c r="DJ5" s="75">
        <v>45047</v>
      </c>
      <c r="DK5" s="75">
        <v>45078</v>
      </c>
      <c r="DL5" s="75">
        <v>45108</v>
      </c>
      <c r="DM5" s="75">
        <v>45139</v>
      </c>
      <c r="DN5" s="75">
        <v>45170</v>
      </c>
      <c r="DO5" s="75">
        <v>45200</v>
      </c>
      <c r="DP5" s="75">
        <v>45231</v>
      </c>
      <c r="DQ5" s="75">
        <v>45261</v>
      </c>
      <c r="DR5" s="75">
        <v>45292</v>
      </c>
      <c r="DS5" s="73">
        <v>45323</v>
      </c>
      <c r="DT5" s="73">
        <v>45352</v>
      </c>
      <c r="DU5" s="73">
        <v>45383</v>
      </c>
      <c r="DV5" s="73">
        <v>45413</v>
      </c>
      <c r="DW5" s="73">
        <v>45444</v>
      </c>
      <c r="DX5" s="73">
        <v>45474</v>
      </c>
      <c r="DY5" s="73">
        <v>45505</v>
      </c>
      <c r="DZ5" s="73">
        <v>45536</v>
      </c>
      <c r="EA5" s="73">
        <v>45566</v>
      </c>
      <c r="EB5" s="73">
        <v>45597</v>
      </c>
      <c r="EC5" s="73">
        <v>45627</v>
      </c>
      <c r="ED5" s="73">
        <v>45658</v>
      </c>
      <c r="EE5" s="75">
        <v>45689</v>
      </c>
      <c r="EF5" s="75">
        <v>45717</v>
      </c>
      <c r="EG5" s="75">
        <v>45748</v>
      </c>
      <c r="EH5" s="75">
        <v>45778</v>
      </c>
      <c r="EI5" s="75">
        <v>45809</v>
      </c>
      <c r="EJ5" s="75">
        <v>45839</v>
      </c>
      <c r="EK5" s="75">
        <v>45870</v>
      </c>
      <c r="EL5" s="75">
        <v>45901</v>
      </c>
      <c r="EM5" s="75">
        <v>45931</v>
      </c>
      <c r="EN5" s="75">
        <v>45962</v>
      </c>
      <c r="EO5" s="75">
        <v>45992</v>
      </c>
      <c r="EP5" s="75">
        <v>46023</v>
      </c>
      <c r="EQ5" s="73">
        <v>46054</v>
      </c>
      <c r="ER5" s="73">
        <v>46082</v>
      </c>
      <c r="ES5" s="73">
        <v>46113</v>
      </c>
      <c r="ET5" s="73">
        <v>46143</v>
      </c>
      <c r="EU5" s="73">
        <v>46174</v>
      </c>
      <c r="EV5" s="73">
        <v>46204</v>
      </c>
      <c r="EW5" s="73">
        <v>46235</v>
      </c>
      <c r="EX5" s="73">
        <v>46266</v>
      </c>
      <c r="EY5" s="73">
        <v>46296</v>
      </c>
      <c r="EZ5" s="73">
        <v>46327</v>
      </c>
      <c r="FA5" s="73">
        <v>46357</v>
      </c>
      <c r="FB5" s="73">
        <v>46388</v>
      </c>
    </row>
    <row r="6" spans="3:158" x14ac:dyDescent="0.25">
      <c r="C6" s="1"/>
      <c r="D6" s="289"/>
      <c r="E6" s="289"/>
    </row>
    <row r="7" spans="3:158" x14ac:dyDescent="0.25">
      <c r="C7" s="3" t="s">
        <v>634</v>
      </c>
      <c r="D7" s="327"/>
      <c r="E7" s="327"/>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4"/>
      <c r="BE7" s="4"/>
      <c r="BF7" s="4"/>
      <c r="BG7" s="4"/>
      <c r="BH7" s="4"/>
      <c r="BI7" s="4"/>
      <c r="BJ7" s="4"/>
      <c r="BK7" s="4"/>
      <c r="BL7" s="4"/>
      <c r="BM7" s="4"/>
      <c r="BN7" s="4"/>
      <c r="BO7" s="4"/>
      <c r="BP7" s="4"/>
      <c r="BQ7" s="4"/>
      <c r="BR7" s="4"/>
      <c r="BS7" s="4"/>
      <c r="BT7" s="4"/>
      <c r="BU7" s="4"/>
      <c r="BV7" s="4"/>
      <c r="BW7" s="4"/>
      <c r="BX7" s="4"/>
      <c r="BY7" s="4"/>
      <c r="BZ7" s="4"/>
      <c r="CA7" s="4"/>
      <c r="CB7" s="4"/>
      <c r="CC7" s="4"/>
      <c r="CD7" s="4"/>
      <c r="CE7" s="4"/>
      <c r="CF7" s="4"/>
      <c r="CG7" s="4"/>
      <c r="CH7" s="4"/>
      <c r="CI7" s="4"/>
      <c r="CJ7" s="4"/>
      <c r="CK7" s="4"/>
      <c r="CL7" s="4"/>
      <c r="CM7" s="4"/>
      <c r="CN7" s="4"/>
      <c r="CO7" s="4"/>
      <c r="CP7" s="4"/>
      <c r="CQ7" s="4"/>
      <c r="CR7" s="4"/>
      <c r="CS7" s="4"/>
      <c r="CT7" s="4"/>
      <c r="CU7" s="4"/>
      <c r="CV7" s="4"/>
      <c r="CW7" s="4"/>
      <c r="CX7" s="4"/>
      <c r="CY7" s="4"/>
      <c r="CZ7" s="4"/>
      <c r="DA7" s="4"/>
      <c r="DB7" s="4"/>
      <c r="DC7" s="4"/>
      <c r="DD7" s="4"/>
      <c r="DE7" s="4"/>
      <c r="DF7" s="4"/>
      <c r="DG7" s="4"/>
      <c r="DH7" s="4"/>
      <c r="DI7" s="4"/>
      <c r="DJ7" s="4"/>
      <c r="DK7" s="4"/>
      <c r="DL7" s="4"/>
      <c r="DM7" s="4"/>
      <c r="DN7" s="4"/>
      <c r="DO7" s="4"/>
      <c r="DP7" s="4"/>
      <c r="DQ7" s="4"/>
      <c r="DR7" s="4"/>
      <c r="DS7" s="4"/>
      <c r="DT7" s="4"/>
      <c r="DU7" s="4"/>
      <c r="DV7" s="4"/>
      <c r="DW7" s="4"/>
      <c r="DX7" s="4"/>
      <c r="DY7" s="4"/>
      <c r="DZ7" s="4"/>
      <c r="EA7" s="4"/>
      <c r="EB7" s="4"/>
      <c r="EC7" s="4"/>
      <c r="ED7" s="4"/>
      <c r="EE7" s="4"/>
      <c r="EF7" s="4"/>
      <c r="EG7" s="4"/>
      <c r="EH7" s="4"/>
      <c r="EI7" s="4"/>
      <c r="EJ7" s="4"/>
      <c r="EK7" s="4"/>
      <c r="EL7" s="4"/>
      <c r="EM7" s="4"/>
      <c r="EN7" s="4"/>
      <c r="EO7" s="4"/>
      <c r="EP7" s="4"/>
      <c r="EQ7" s="4"/>
      <c r="ER7" s="4"/>
      <c r="ES7" s="4"/>
      <c r="ET7" s="4"/>
      <c r="EU7" s="4"/>
      <c r="EV7" s="4"/>
      <c r="EW7" s="4"/>
      <c r="EX7" s="4"/>
      <c r="EY7" s="4"/>
      <c r="EZ7" s="4"/>
      <c r="FA7" s="4"/>
      <c r="FB7" s="4"/>
    </row>
    <row r="9" spans="3:158" x14ac:dyDescent="0.25">
      <c r="C9" s="1" t="s">
        <v>635</v>
      </c>
      <c r="D9" s="22">
        <f t="shared" ref="D9:L9" si="0">D135</f>
        <v>9436505.8065000065</v>
      </c>
      <c r="E9" s="22">
        <f t="shared" si="0"/>
        <v>17359592.587415006</v>
      </c>
      <c r="F9" s="22">
        <f t="shared" si="0"/>
        <v>25303110.394152001</v>
      </c>
      <c r="G9" s="22">
        <f t="shared" si="0"/>
        <v>41110679.49262128</v>
      </c>
      <c r="H9" s="22">
        <f t="shared" si="0"/>
        <v>60176082.756705388</v>
      </c>
      <c r="I9" s="22">
        <f t="shared" si="0"/>
        <v>85060076.883472055</v>
      </c>
      <c r="J9" s="22">
        <f t="shared" si="0"/>
        <v>117719304.70308936</v>
      </c>
      <c r="K9" s="22">
        <f t="shared" si="0"/>
        <v>159426176.52436242</v>
      </c>
      <c r="L9" s="22">
        <f t="shared" si="0"/>
        <v>211113684.96715549</v>
      </c>
      <c r="M9" s="22"/>
      <c r="N9" s="22">
        <f t="shared" ref="N9:AW9" si="1">N135</f>
        <v>4807579.8465000056</v>
      </c>
      <c r="O9" s="22">
        <f t="shared" si="1"/>
        <v>5816303.8465000056</v>
      </c>
      <c r="P9" s="22">
        <f t="shared" si="1"/>
        <v>7294478.3465000056</v>
      </c>
      <c r="Q9" s="22">
        <f t="shared" si="1"/>
        <v>9436505.8065000065</v>
      </c>
      <c r="R9" s="22">
        <f t="shared" si="1"/>
        <v>11322148.336500006</v>
      </c>
      <c r="S9" s="22">
        <f t="shared" si="1"/>
        <v>13419702.696500007</v>
      </c>
      <c r="T9" s="22">
        <f t="shared" si="1"/>
        <v>15160323.456500007</v>
      </c>
      <c r="U9" s="22">
        <f t="shared" si="1"/>
        <v>17359592.587415006</v>
      </c>
      <c r="V9" s="22">
        <f t="shared" si="1"/>
        <v>18064108.549649008</v>
      </c>
      <c r="W9" s="22">
        <f t="shared" si="1"/>
        <v>20399140.002687003</v>
      </c>
      <c r="X9" s="22">
        <f t="shared" si="1"/>
        <v>22135647.681696005</v>
      </c>
      <c r="Y9" s="22">
        <f t="shared" si="1"/>
        <v>25303110.394152001</v>
      </c>
      <c r="Z9" s="22">
        <f t="shared" si="1"/>
        <v>27775249.392548002</v>
      </c>
      <c r="AA9" s="22">
        <f t="shared" si="1"/>
        <v>31795094.070499003</v>
      </c>
      <c r="AB9" s="22">
        <f t="shared" si="1"/>
        <v>35825720.605160043</v>
      </c>
      <c r="AC9" s="22">
        <f t="shared" si="1"/>
        <v>41110679.492621288</v>
      </c>
      <c r="AD9" s="22">
        <f t="shared" si="1"/>
        <v>44332601.230779454</v>
      </c>
      <c r="AE9" s="22">
        <f t="shared" si="1"/>
        <v>48841424.443789504</v>
      </c>
      <c r="AF9" s="22">
        <f t="shared" si="1"/>
        <v>53371565.779430419</v>
      </c>
      <c r="AG9" s="22">
        <f t="shared" si="1"/>
        <v>60176082.756705388</v>
      </c>
      <c r="AH9" s="22">
        <f t="shared" si="1"/>
        <v>64516600.249371171</v>
      </c>
      <c r="AI9" s="22">
        <f t="shared" si="1"/>
        <v>70807281.391238824</v>
      </c>
      <c r="AJ9" s="22">
        <f t="shared" si="1"/>
        <v>76750634.489067212</v>
      </c>
      <c r="AK9" s="22">
        <f t="shared" si="1"/>
        <v>85060076.88347207</v>
      </c>
      <c r="AL9" s="22">
        <f t="shared" si="1"/>
        <v>90737129.09996669</v>
      </c>
      <c r="AM9" s="22">
        <f t="shared" si="1"/>
        <v>99006622.090939626</v>
      </c>
      <c r="AN9" s="22">
        <f t="shared" si="1"/>
        <v>106823649.34212245</v>
      </c>
      <c r="AO9" s="22">
        <f t="shared" si="1"/>
        <v>117719304.70308936</v>
      </c>
      <c r="AP9" s="22">
        <f t="shared" si="1"/>
        <v>124939491.32258923</v>
      </c>
      <c r="AQ9" s="22">
        <f t="shared" si="1"/>
        <v>135519768.8222062</v>
      </c>
      <c r="AR9" s="22">
        <f t="shared" si="1"/>
        <v>145527322.20950803</v>
      </c>
      <c r="AS9" s="22">
        <f t="shared" si="1"/>
        <v>159426176.52436242</v>
      </c>
      <c r="AT9" s="22">
        <f t="shared" si="1"/>
        <v>168330030.52249697</v>
      </c>
      <c r="AU9" s="22">
        <f t="shared" si="1"/>
        <v>181471868.81259602</v>
      </c>
      <c r="AV9" s="22">
        <f t="shared" si="1"/>
        <v>193911521.68064627</v>
      </c>
      <c r="AW9" s="22">
        <f t="shared" si="1"/>
        <v>211113684.96715549</v>
      </c>
      <c r="AY9" s="22">
        <f>AY135</f>
        <v>3894939.6465000054</v>
      </c>
      <c r="AZ9" s="22">
        <f t="shared" ref="AZ9:DK10" si="2">AZ135</f>
        <v>4305004.6465000054</v>
      </c>
      <c r="BA9" s="22">
        <f t="shared" si="2"/>
        <v>4807579.8465000056</v>
      </c>
      <c r="BB9" s="22">
        <f t="shared" si="2"/>
        <v>4973119.8465000056</v>
      </c>
      <c r="BC9" s="22">
        <f t="shared" si="2"/>
        <v>5303019.8465000056</v>
      </c>
      <c r="BD9" s="22">
        <f t="shared" si="2"/>
        <v>5816303.8465000056</v>
      </c>
      <c r="BE9" s="22">
        <f t="shared" si="2"/>
        <v>6136480.5165000055</v>
      </c>
      <c r="BF9" s="22">
        <f t="shared" si="2"/>
        <v>6567894.0165000055</v>
      </c>
      <c r="BG9" s="22">
        <f t="shared" si="2"/>
        <v>7294478.3465000056</v>
      </c>
      <c r="BH9" s="22">
        <f t="shared" si="2"/>
        <v>7791910.3465000056</v>
      </c>
      <c r="BI9" s="22">
        <f t="shared" si="2"/>
        <v>8676423.3465000056</v>
      </c>
      <c r="BJ9" s="22">
        <f t="shared" si="2"/>
        <v>9436505.8065000065</v>
      </c>
      <c r="BK9" s="22">
        <f t="shared" si="2"/>
        <v>9752439.1365000065</v>
      </c>
      <c r="BL9" s="22">
        <f t="shared" si="2"/>
        <v>10364538.966500007</v>
      </c>
      <c r="BM9" s="22">
        <f t="shared" si="2"/>
        <v>11322148.336500008</v>
      </c>
      <c r="BN9" s="22">
        <f t="shared" si="2"/>
        <v>11827416.866500007</v>
      </c>
      <c r="BO9" s="22">
        <f t="shared" si="2"/>
        <v>12525504.056500006</v>
      </c>
      <c r="BP9" s="22">
        <f t="shared" si="2"/>
        <v>13419702.696500007</v>
      </c>
      <c r="BQ9" s="22">
        <f t="shared" si="2"/>
        <v>13764631.866500007</v>
      </c>
      <c r="BR9" s="22">
        <f t="shared" si="2"/>
        <v>14159608.866500007</v>
      </c>
      <c r="BS9" s="22">
        <f t="shared" si="2"/>
        <v>15160323.456500007</v>
      </c>
      <c r="BT9" s="22">
        <f t="shared" si="2"/>
        <v>15526034.136500007</v>
      </c>
      <c r="BU9" s="22">
        <f t="shared" si="2"/>
        <v>16421471.926500008</v>
      </c>
      <c r="BV9" s="22">
        <f t="shared" si="2"/>
        <v>17359592.587415006</v>
      </c>
      <c r="BW9" s="22">
        <f t="shared" si="2"/>
        <v>17384619.447415005</v>
      </c>
      <c r="BX9" s="22">
        <f t="shared" si="2"/>
        <v>17551752.969539005</v>
      </c>
      <c r="BY9" s="22">
        <f t="shared" si="2"/>
        <v>18064108.549649004</v>
      </c>
      <c r="BZ9" s="22">
        <f t="shared" si="2"/>
        <v>18316842.240418006</v>
      </c>
      <c r="CA9" s="22">
        <f t="shared" si="2"/>
        <v>18839542.845325004</v>
      </c>
      <c r="CB9" s="22">
        <f t="shared" si="2"/>
        <v>20399140.002687003</v>
      </c>
      <c r="CC9" s="22">
        <f t="shared" si="2"/>
        <v>20529507.639866002</v>
      </c>
      <c r="CD9" s="22">
        <f t="shared" si="2"/>
        <v>21151769.144883003</v>
      </c>
      <c r="CE9" s="22">
        <f t="shared" si="2"/>
        <v>22135647.681696001</v>
      </c>
      <c r="CF9" s="22">
        <f t="shared" si="2"/>
        <v>22691403.838071</v>
      </c>
      <c r="CG9" s="22">
        <f t="shared" si="2"/>
        <v>23638712.461844001</v>
      </c>
      <c r="CH9" s="22">
        <f t="shared" si="2"/>
        <v>25303110.394152001</v>
      </c>
      <c r="CI9" s="22">
        <f t="shared" si="2"/>
        <v>25739833.490118001</v>
      </c>
      <c r="CJ9" s="22">
        <f t="shared" si="2"/>
        <v>26475393.991624001</v>
      </c>
      <c r="CK9" s="22">
        <f t="shared" si="2"/>
        <v>27775249.392548002</v>
      </c>
      <c r="CL9" s="22">
        <f t="shared" si="2"/>
        <v>28345879.046568003</v>
      </c>
      <c r="CM9" s="22">
        <f t="shared" si="2"/>
        <v>29658121.113816004</v>
      </c>
      <c r="CN9" s="22">
        <f t="shared" si="2"/>
        <v>31795094.070499003</v>
      </c>
      <c r="CO9" s="22">
        <f t="shared" si="2"/>
        <v>32379418.398894947</v>
      </c>
      <c r="CP9" s="22">
        <f t="shared" si="2"/>
        <v>33843649.89126049</v>
      </c>
      <c r="CQ9" s="22">
        <f t="shared" si="2"/>
        <v>35825720.605160043</v>
      </c>
      <c r="CR9" s="22">
        <f t="shared" si="2"/>
        <v>36275120.141094282</v>
      </c>
      <c r="CS9" s="22">
        <f t="shared" si="2"/>
        <v>38446102.588055104</v>
      </c>
      <c r="CT9" s="22">
        <f t="shared" si="2"/>
        <v>41110679.49262128</v>
      </c>
      <c r="CU9" s="22">
        <f t="shared" si="2"/>
        <v>41444942.565337047</v>
      </c>
      <c r="CV9" s="22">
        <f t="shared" si="2"/>
        <v>42399233.708708942</v>
      </c>
      <c r="CW9" s="22">
        <f t="shared" si="2"/>
        <v>44332601.230779462</v>
      </c>
      <c r="CX9" s="22">
        <f t="shared" si="2"/>
        <v>44959680.200452588</v>
      </c>
      <c r="CY9" s="22">
        <f t="shared" si="2"/>
        <v>46609522.828295685</v>
      </c>
      <c r="CZ9" s="22">
        <f t="shared" si="2"/>
        <v>48841424.443789512</v>
      </c>
      <c r="DA9" s="22">
        <f t="shared" si="2"/>
        <v>49425792.972566165</v>
      </c>
      <c r="DB9" s="22">
        <f t="shared" si="2"/>
        <v>50838100.2159843</v>
      </c>
      <c r="DC9" s="22">
        <f t="shared" si="2"/>
        <v>53371565.779430419</v>
      </c>
      <c r="DD9" s="22">
        <f t="shared" si="2"/>
        <v>54292912.354140185</v>
      </c>
      <c r="DE9" s="22">
        <f t="shared" si="2"/>
        <v>56956750.346720152</v>
      </c>
      <c r="DF9" s="22">
        <f t="shared" si="2"/>
        <v>60176082.756705388</v>
      </c>
      <c r="DG9" s="22">
        <f t="shared" si="2"/>
        <v>60639516.269947343</v>
      </c>
      <c r="DH9" s="22">
        <f t="shared" si="2"/>
        <v>61937422.914107896</v>
      </c>
      <c r="DI9" s="22">
        <f t="shared" si="2"/>
        <v>64516600.249371171</v>
      </c>
      <c r="DJ9" s="22">
        <f t="shared" si="2"/>
        <v>65423806.493496753</v>
      </c>
      <c r="DK9" s="22">
        <f t="shared" si="2"/>
        <v>67746469.214005694</v>
      </c>
      <c r="DL9" s="22">
        <f t="shared" ref="DL9:FB10" si="3">DL135</f>
        <v>70807281.391238824</v>
      </c>
      <c r="DM9" s="22">
        <f t="shared" si="3"/>
        <v>71521942.464162901</v>
      </c>
      <c r="DN9" s="22">
        <f t="shared" si="3"/>
        <v>73388447.80347316</v>
      </c>
      <c r="DO9" s="22">
        <f t="shared" si="3"/>
        <v>76750634.489067212</v>
      </c>
      <c r="DP9" s="22">
        <f t="shared" si="3"/>
        <v>77734705.262778103</v>
      </c>
      <c r="DQ9" s="22">
        <f t="shared" si="3"/>
        <v>81011813.48084566</v>
      </c>
      <c r="DR9" s="22">
        <f t="shared" si="3"/>
        <v>85060076.883472055</v>
      </c>
      <c r="DS9" s="22">
        <f t="shared" si="3"/>
        <v>85652020.695021078</v>
      </c>
      <c r="DT9" s="22">
        <f t="shared" si="3"/>
        <v>87352848.463686109</v>
      </c>
      <c r="DU9" s="22">
        <f t="shared" si="3"/>
        <v>90737129.09996669</v>
      </c>
      <c r="DV9" s="22">
        <f t="shared" si="3"/>
        <v>91906989.531333745</v>
      </c>
      <c r="DW9" s="22">
        <f t="shared" si="3"/>
        <v>94978251.617015645</v>
      </c>
      <c r="DX9" s="22">
        <f t="shared" si="3"/>
        <v>99006622.090939626</v>
      </c>
      <c r="DY9" s="22">
        <f t="shared" si="3"/>
        <v>99918534.412514269</v>
      </c>
      <c r="DZ9" s="22">
        <f t="shared" si="3"/>
        <v>102380810.68553951</v>
      </c>
      <c r="EA9" s="22">
        <f t="shared" si="3"/>
        <v>106823649.34212245</v>
      </c>
      <c r="EB9" s="22">
        <f t="shared" si="3"/>
        <v>108096704.78325407</v>
      </c>
      <c r="EC9" s="22">
        <f t="shared" si="3"/>
        <v>112389445.46474218</v>
      </c>
      <c r="ED9" s="22">
        <f t="shared" si="3"/>
        <v>117719304.70308936</v>
      </c>
      <c r="EE9" s="22">
        <f t="shared" si="3"/>
        <v>118450762.48796487</v>
      </c>
      <c r="EF9" s="22">
        <f t="shared" si="3"/>
        <v>120618835.6711363</v>
      </c>
      <c r="EG9" s="22">
        <f t="shared" si="3"/>
        <v>124939491.32258923</v>
      </c>
      <c r="EH9" s="22">
        <f t="shared" si="3"/>
        <v>126402182.462262</v>
      </c>
      <c r="EI9" s="22">
        <f t="shared" si="3"/>
        <v>130358620.4266409</v>
      </c>
      <c r="EJ9" s="22">
        <f t="shared" si="3"/>
        <v>135519768.8222062</v>
      </c>
      <c r="EK9" s="22">
        <f t="shared" si="3"/>
        <v>136645180.90921724</v>
      </c>
      <c r="EL9" s="22">
        <f t="shared" si="3"/>
        <v>139808457.2628603</v>
      </c>
      <c r="EM9" s="22">
        <f t="shared" si="3"/>
        <v>145527322.20950803</v>
      </c>
      <c r="EN9" s="22">
        <f t="shared" si="3"/>
        <v>147125271.45757049</v>
      </c>
      <c r="EO9" s="22">
        <f t="shared" si="3"/>
        <v>152594725.68105066</v>
      </c>
      <c r="EP9" s="22">
        <f t="shared" si="3"/>
        <v>159426176.52436242</v>
      </c>
      <c r="EQ9" s="22">
        <f t="shared" si="3"/>
        <v>160296155.17013201</v>
      </c>
      <c r="ER9" s="22">
        <f t="shared" si="3"/>
        <v>162977181.37250397</v>
      </c>
      <c r="ES9" s="22">
        <f t="shared" si="3"/>
        <v>168330030.52249697</v>
      </c>
      <c r="ET9" s="22">
        <f t="shared" si="3"/>
        <v>170096105.65432823</v>
      </c>
      <c r="EU9" s="22">
        <f t="shared" si="3"/>
        <v>175050578.31317759</v>
      </c>
      <c r="EV9" s="22">
        <f t="shared" si="3"/>
        <v>181471868.81259602</v>
      </c>
      <c r="EW9" s="22">
        <f t="shared" si="3"/>
        <v>182808206.88340247</v>
      </c>
      <c r="EX9" s="22">
        <f t="shared" si="3"/>
        <v>186756629.74188319</v>
      </c>
      <c r="EY9" s="22">
        <f t="shared" si="3"/>
        <v>193911521.68064627</v>
      </c>
      <c r="EZ9" s="22">
        <f t="shared" si="3"/>
        <v>195850408.04084179</v>
      </c>
      <c r="FA9" s="22">
        <f t="shared" si="3"/>
        <v>202610055.48042005</v>
      </c>
      <c r="FB9" s="22">
        <f t="shared" si="3"/>
        <v>211113684.96715549</v>
      </c>
    </row>
    <row r="10" spans="3:158" x14ac:dyDescent="0.25">
      <c r="C10" s="2" t="s">
        <v>346</v>
      </c>
      <c r="D10" s="244">
        <f t="shared" ref="D10:L10" si="4">D136</f>
        <v>9136503.2721000053</v>
      </c>
      <c r="E10" s="244">
        <f t="shared" si="4"/>
        <v>16941891.723696705</v>
      </c>
      <c r="F10" s="244">
        <f t="shared" si="4"/>
        <v>24705264.999949556</v>
      </c>
      <c r="G10" s="244">
        <f t="shared" si="4"/>
        <v>39636384.083663553</v>
      </c>
      <c r="H10" s="244">
        <f t="shared" si="4"/>
        <v>56821473.396939486</v>
      </c>
      <c r="I10" s="244">
        <f t="shared" si="4"/>
        <v>76034773.107063189</v>
      </c>
      <c r="J10" s="244">
        <f t="shared" si="4"/>
        <v>100852410.25750281</v>
      </c>
      <c r="K10" s="244">
        <f t="shared" si="4"/>
        <v>133034899.59934114</v>
      </c>
      <c r="L10" s="244">
        <f t="shared" si="4"/>
        <v>152330172.73425844</v>
      </c>
      <c r="M10" s="244"/>
      <c r="N10" s="244">
        <f t="shared" ref="N10:AV10" si="5">N136</f>
        <v>4587942.5010000048</v>
      </c>
      <c r="O10" s="244">
        <f t="shared" si="5"/>
        <v>5578805.0210000053</v>
      </c>
      <c r="P10" s="244">
        <f t="shared" si="5"/>
        <v>7029877.8610000052</v>
      </c>
      <c r="Q10" s="244">
        <f t="shared" si="5"/>
        <v>9136503.2721000053</v>
      </c>
      <c r="R10" s="244">
        <f t="shared" si="5"/>
        <v>10992606.466500005</v>
      </c>
      <c r="S10" s="244">
        <f t="shared" si="5"/>
        <v>13056858.499300007</v>
      </c>
      <c r="T10" s="244">
        <f t="shared" si="5"/>
        <v>14771113.734100007</v>
      </c>
      <c r="U10" s="244">
        <f t="shared" si="5"/>
        <v>16941891.723696705</v>
      </c>
      <c r="V10" s="244">
        <f t="shared" si="5"/>
        <v>17640986.983063687</v>
      </c>
      <c r="W10" s="244">
        <f t="shared" si="5"/>
        <v>19918465.152356707</v>
      </c>
      <c r="X10" s="244">
        <f t="shared" si="5"/>
        <v>21616010.647267237</v>
      </c>
      <c r="Y10" s="244">
        <f t="shared" si="5"/>
        <v>24705264.99994956</v>
      </c>
      <c r="Z10" s="244">
        <f t="shared" si="5"/>
        <v>27032337.586184673</v>
      </c>
      <c r="AA10" s="244">
        <f t="shared" si="5"/>
        <v>30832858.310562871</v>
      </c>
      <c r="AB10" s="244">
        <f t="shared" si="5"/>
        <v>34642370.771471232</v>
      </c>
      <c r="AC10" s="244">
        <f t="shared" si="5"/>
        <v>39636384.083663553</v>
      </c>
      <c r="AD10" s="244">
        <f t="shared" si="5"/>
        <v>42530995.646734171</v>
      </c>
      <c r="AE10" s="244">
        <f t="shared" si="5"/>
        <v>46596368.131482258</v>
      </c>
      <c r="AF10" s="244">
        <f t="shared" si="5"/>
        <v>50686271.92355331</v>
      </c>
      <c r="AG10" s="244">
        <f t="shared" si="5"/>
        <v>56821473.396939494</v>
      </c>
      <c r="AH10" s="244">
        <f t="shared" si="5"/>
        <v>60138822.854437962</v>
      </c>
      <c r="AI10" s="244">
        <f t="shared" si="5"/>
        <v>65018803.972524576</v>
      </c>
      <c r="AJ10" s="244">
        <f t="shared" si="5"/>
        <v>69636460.405351967</v>
      </c>
      <c r="AK10" s="244">
        <f t="shared" si="5"/>
        <v>76034773.107063189</v>
      </c>
      <c r="AL10" s="244">
        <f t="shared" si="5"/>
        <v>80311340.838415563</v>
      </c>
      <c r="AM10" s="244">
        <f t="shared" si="5"/>
        <v>86620421.787492588</v>
      </c>
      <c r="AN10" s="244">
        <f t="shared" si="5"/>
        <v>92592108.753850013</v>
      </c>
      <c r="AO10" s="244">
        <f t="shared" si="5"/>
        <v>100852410.25750282</v>
      </c>
      <c r="AP10" s="244">
        <f t="shared" si="5"/>
        <v>106390911.93538539</v>
      </c>
      <c r="AQ10" s="244">
        <f t="shared" si="5"/>
        <v>114577086.96960641</v>
      </c>
      <c r="AR10" s="244">
        <f t="shared" si="5"/>
        <v>122326977.42451222</v>
      </c>
      <c r="AS10" s="244">
        <f t="shared" si="5"/>
        <v>133034899.59934114</v>
      </c>
      <c r="AT10" s="244">
        <f t="shared" si="5"/>
        <v>136117760.27679962</v>
      </c>
      <c r="AU10" s="244">
        <f t="shared" si="5"/>
        <v>141185548.73221907</v>
      </c>
      <c r="AV10" s="244">
        <f t="shared" si="5"/>
        <v>146032656.62370858</v>
      </c>
      <c r="AW10" s="244">
        <f t="shared" ref="AW10" si="6">AW136</f>
        <v>152330172.73425847</v>
      </c>
      <c r="AY10" s="244">
        <f t="shared" ref="AY10:BN10" si="7">AY136</f>
        <v>3689942.823000005</v>
      </c>
      <c r="AZ10" s="244">
        <f t="shared" si="7"/>
        <v>4093411.823000005</v>
      </c>
      <c r="BA10" s="244">
        <f t="shared" si="7"/>
        <v>4587942.5010000048</v>
      </c>
      <c r="BB10" s="244">
        <f t="shared" si="7"/>
        <v>4751191.701000005</v>
      </c>
      <c r="BC10" s="244">
        <f t="shared" si="7"/>
        <v>5075066.701000005</v>
      </c>
      <c r="BD10" s="244">
        <f t="shared" si="7"/>
        <v>5578805.0210000053</v>
      </c>
      <c r="BE10" s="244">
        <f t="shared" si="7"/>
        <v>5892578.1576000052</v>
      </c>
      <c r="BF10" s="244">
        <f t="shared" si="7"/>
        <v>6316979.6676000049</v>
      </c>
      <c r="BG10" s="244">
        <f t="shared" si="7"/>
        <v>7029877.8610000052</v>
      </c>
      <c r="BH10" s="244">
        <f t="shared" si="7"/>
        <v>7517361.2210000055</v>
      </c>
      <c r="BI10" s="244">
        <f t="shared" si="7"/>
        <v>8386214.9610000057</v>
      </c>
      <c r="BJ10" s="244">
        <f t="shared" si="7"/>
        <v>9136503.2721000053</v>
      </c>
      <c r="BK10" s="244">
        <f t="shared" si="7"/>
        <v>9446969.9355000053</v>
      </c>
      <c r="BL10" s="244">
        <f t="shared" si="7"/>
        <v>10049161.783900006</v>
      </c>
      <c r="BM10" s="244">
        <f t="shared" si="7"/>
        <v>10992606.466500007</v>
      </c>
      <c r="BN10" s="244">
        <f t="shared" si="7"/>
        <v>11490714.755900007</v>
      </c>
      <c r="BO10" s="244">
        <f t="shared" si="2"/>
        <v>12177193.192100007</v>
      </c>
      <c r="BP10" s="244">
        <f t="shared" si="2"/>
        <v>13056858.499300007</v>
      </c>
      <c r="BQ10" s="244">
        <f t="shared" si="2"/>
        <v>13398036.265900007</v>
      </c>
      <c r="BR10" s="244">
        <f t="shared" si="2"/>
        <v>13786316.425900007</v>
      </c>
      <c r="BS10" s="244">
        <f t="shared" si="2"/>
        <v>14771113.734100007</v>
      </c>
      <c r="BT10" s="244">
        <f t="shared" si="2"/>
        <v>15131434.520500006</v>
      </c>
      <c r="BU10" s="244">
        <f t="shared" si="2"/>
        <v>16012667.766000006</v>
      </c>
      <c r="BV10" s="244">
        <f t="shared" si="2"/>
        <v>16941891.723696705</v>
      </c>
      <c r="BW10" s="244">
        <f t="shared" si="2"/>
        <v>16971451.577896707</v>
      </c>
      <c r="BX10" s="244">
        <f t="shared" si="2"/>
        <v>17138743.934356987</v>
      </c>
      <c r="BY10" s="244">
        <f t="shared" si="2"/>
        <v>17640986.983063687</v>
      </c>
      <c r="BZ10" s="244">
        <f t="shared" si="2"/>
        <v>17890858.651863456</v>
      </c>
      <c r="CA10" s="244">
        <f t="shared" si="2"/>
        <v>18402011.909715567</v>
      </c>
      <c r="CB10" s="244">
        <f t="shared" si="2"/>
        <v>19918465.152356707</v>
      </c>
      <c r="CC10" s="244">
        <f t="shared" si="2"/>
        <v>20049359.199020337</v>
      </c>
      <c r="CD10" s="244">
        <f t="shared" si="2"/>
        <v>20656446.650886826</v>
      </c>
      <c r="CE10" s="244">
        <f t="shared" si="2"/>
        <v>21616010.647267237</v>
      </c>
      <c r="CF10" s="244">
        <f t="shared" si="2"/>
        <v>22159108.990750987</v>
      </c>
      <c r="CG10" s="244">
        <f t="shared" si="2"/>
        <v>23084820.342410795</v>
      </c>
      <c r="CH10" s="244">
        <f t="shared" si="2"/>
        <v>24705264.999949556</v>
      </c>
      <c r="CI10" s="244">
        <f t="shared" si="2"/>
        <v>25114463.850529827</v>
      </c>
      <c r="CJ10" s="244">
        <f t="shared" si="2"/>
        <v>25808903.164540526</v>
      </c>
      <c r="CK10" s="244">
        <f t="shared" si="2"/>
        <v>27032337.586184677</v>
      </c>
      <c r="CL10" s="244">
        <f t="shared" si="2"/>
        <v>27567825.254465725</v>
      </c>
      <c r="CM10" s="244">
        <f t="shared" si="2"/>
        <v>28809279.409431569</v>
      </c>
      <c r="CN10" s="244">
        <f t="shared" si="2"/>
        <v>30832858.310562868</v>
      </c>
      <c r="CO10" s="244">
        <f t="shared" si="2"/>
        <v>31384494.446012452</v>
      </c>
      <c r="CP10" s="244">
        <f t="shared" si="2"/>
        <v>32770071.661070433</v>
      </c>
      <c r="CQ10" s="244">
        <f t="shared" si="2"/>
        <v>34642370.771471232</v>
      </c>
      <c r="CR10" s="244">
        <f t="shared" si="2"/>
        <v>35064544.586930238</v>
      </c>
      <c r="CS10" s="244">
        <f t="shared" si="2"/>
        <v>37117802.071128421</v>
      </c>
      <c r="CT10" s="244">
        <f t="shared" si="2"/>
        <v>39636384.083663553</v>
      </c>
      <c r="CU10" s="244">
        <f t="shared" si="2"/>
        <v>39930666.46647013</v>
      </c>
      <c r="CV10" s="244">
        <f t="shared" si="2"/>
        <v>40789211.480267577</v>
      </c>
      <c r="CW10" s="244">
        <f t="shared" si="2"/>
        <v>42530995.646734171</v>
      </c>
      <c r="CX10" s="244">
        <f t="shared" si="2"/>
        <v>43086706.293306448</v>
      </c>
      <c r="CY10" s="244">
        <f t="shared" si="2"/>
        <v>44581510.829475872</v>
      </c>
      <c r="CZ10" s="244">
        <f t="shared" si="2"/>
        <v>46596368.131482258</v>
      </c>
      <c r="DA10" s="244">
        <f t="shared" si="2"/>
        <v>47112843.890398897</v>
      </c>
      <c r="DB10" s="244">
        <f t="shared" si="2"/>
        <v>48390811.31729228</v>
      </c>
      <c r="DC10" s="244">
        <f t="shared" si="2"/>
        <v>50686271.92355331</v>
      </c>
      <c r="DD10" s="244">
        <f t="shared" si="2"/>
        <v>51511390.720067278</v>
      </c>
      <c r="DE10" s="244">
        <f t="shared" si="2"/>
        <v>53911152.876217104</v>
      </c>
      <c r="DF10" s="244">
        <f t="shared" si="2"/>
        <v>56821473.396939486</v>
      </c>
      <c r="DG10" s="244">
        <f t="shared" si="2"/>
        <v>57151152.695645571</v>
      </c>
      <c r="DH10" s="244">
        <f t="shared" si="2"/>
        <v>58148756.934831113</v>
      </c>
      <c r="DI10" s="244">
        <f t="shared" si="2"/>
        <v>60138822.854437955</v>
      </c>
      <c r="DJ10" s="244">
        <f t="shared" si="2"/>
        <v>60803343.340061918</v>
      </c>
      <c r="DK10" s="244">
        <f t="shared" si="2"/>
        <v>62636195.464380629</v>
      </c>
      <c r="DL10" s="244">
        <f t="shared" si="3"/>
        <v>65018803.972524576</v>
      </c>
      <c r="DM10" s="244">
        <f t="shared" si="3"/>
        <v>65525605.601159729</v>
      </c>
      <c r="DN10" s="244">
        <f t="shared" si="3"/>
        <v>66988464.196479127</v>
      </c>
      <c r="DO10" s="244">
        <f t="shared" si="3"/>
        <v>69636460.405351967</v>
      </c>
      <c r="DP10" s="244">
        <f t="shared" si="3"/>
        <v>70364325.195062861</v>
      </c>
      <c r="DQ10" s="244">
        <f t="shared" si="3"/>
        <v>72880239.883831173</v>
      </c>
      <c r="DR10" s="244">
        <f t="shared" si="3"/>
        <v>76034773.107063189</v>
      </c>
      <c r="DS10" s="244">
        <f t="shared" si="3"/>
        <v>76453651.672373146</v>
      </c>
      <c r="DT10" s="244">
        <f t="shared" si="3"/>
        <v>77741126.884588718</v>
      </c>
      <c r="DU10" s="244">
        <f t="shared" si="3"/>
        <v>80311340.838415548</v>
      </c>
      <c r="DV10" s="244">
        <f t="shared" si="3"/>
        <v>81160799.722261772</v>
      </c>
      <c r="DW10" s="244">
        <f t="shared" si="3"/>
        <v>83538050.182048887</v>
      </c>
      <c r="DX10" s="244">
        <f t="shared" si="3"/>
        <v>86620421.787492588</v>
      </c>
      <c r="DY10" s="244">
        <f t="shared" si="3"/>
        <v>87263916.608749077</v>
      </c>
      <c r="DZ10" s="244">
        <f t="shared" si="3"/>
        <v>89158847.939836785</v>
      </c>
      <c r="EA10" s="244">
        <f t="shared" si="3"/>
        <v>92592108.753850013</v>
      </c>
      <c r="EB10" s="244">
        <f t="shared" si="3"/>
        <v>93524377.798715606</v>
      </c>
      <c r="EC10" s="244">
        <f t="shared" si="3"/>
        <v>96770600.046948075</v>
      </c>
      <c r="ED10" s="244">
        <f t="shared" si="3"/>
        <v>100852410.25750281</v>
      </c>
      <c r="EE10" s="244">
        <f t="shared" si="3"/>
        <v>101389660.19444905</v>
      </c>
      <c r="EF10" s="244">
        <f t="shared" si="3"/>
        <v>103058250.09516883</v>
      </c>
      <c r="EG10" s="244">
        <f t="shared" si="3"/>
        <v>106390911.93538539</v>
      </c>
      <c r="EH10" s="244">
        <f t="shared" si="3"/>
        <v>107484875.50609179</v>
      </c>
      <c r="EI10" s="244">
        <f t="shared" si="3"/>
        <v>110575922.74850053</v>
      </c>
      <c r="EJ10" s="244">
        <f t="shared" si="3"/>
        <v>114577086.96960641</v>
      </c>
      <c r="EK10" s="244">
        <f t="shared" si="3"/>
        <v>115402056.16096559</v>
      </c>
      <c r="EL10" s="244">
        <f t="shared" si="3"/>
        <v>117863901.1431479</v>
      </c>
      <c r="EM10" s="244">
        <f t="shared" si="3"/>
        <v>122326977.42451222</v>
      </c>
      <c r="EN10" s="244">
        <f t="shared" si="3"/>
        <v>123529168.40532494</v>
      </c>
      <c r="EO10" s="244">
        <f t="shared" si="3"/>
        <v>127735701.62017579</v>
      </c>
      <c r="EP10" s="244">
        <f t="shared" si="3"/>
        <v>133034899.59934114</v>
      </c>
      <c r="EQ10" s="244">
        <f t="shared" si="3"/>
        <v>133160335.00191884</v>
      </c>
      <c r="ER10" s="244">
        <f t="shared" si="3"/>
        <v>134129104.84734376</v>
      </c>
      <c r="ES10" s="244">
        <f t="shared" si="3"/>
        <v>136117760.27679962</v>
      </c>
      <c r="ET10" s="244">
        <f t="shared" si="3"/>
        <v>136522454.59045699</v>
      </c>
      <c r="EU10" s="244">
        <f t="shared" si="3"/>
        <v>138651676.64703706</v>
      </c>
      <c r="EV10" s="244">
        <f t="shared" si="3"/>
        <v>141185548.73221907</v>
      </c>
      <c r="EW10" s="244">
        <f t="shared" si="3"/>
        <v>141365709.77172536</v>
      </c>
      <c r="EX10" s="244">
        <f t="shared" si="3"/>
        <v>142993386.39650863</v>
      </c>
      <c r="EY10" s="244">
        <f t="shared" si="3"/>
        <v>146032656.62370858</v>
      </c>
      <c r="EZ10" s="244">
        <f t="shared" si="3"/>
        <v>146530164.47571832</v>
      </c>
      <c r="FA10" s="244">
        <f t="shared" si="3"/>
        <v>148951673.76699638</v>
      </c>
      <c r="FB10" s="244">
        <f t="shared" si="3"/>
        <v>152330172.73425844</v>
      </c>
    </row>
    <row r="11" spans="3:158" x14ac:dyDescent="0.25">
      <c r="C11" s="2" t="s">
        <v>298</v>
      </c>
      <c r="D11" s="244">
        <f t="shared" ref="D11:L11" si="8">D137</f>
        <v>192830.05260000011</v>
      </c>
      <c r="E11" s="244">
        <f t="shared" si="8"/>
        <v>351291.78821830009</v>
      </c>
      <c r="F11" s="244">
        <f t="shared" si="8"/>
        <v>510162.14435304014</v>
      </c>
      <c r="G11" s="244">
        <f t="shared" si="8"/>
        <v>1016497.0679991975</v>
      </c>
      <c r="H11" s="244">
        <f t="shared" si="8"/>
        <v>1981613.0842035213</v>
      </c>
      <c r="I11" s="244">
        <f t="shared" si="8"/>
        <v>6037097.0538979219</v>
      </c>
      <c r="J11" s="244">
        <f t="shared" si="8"/>
        <v>11879317.250342695</v>
      </c>
      <c r="K11" s="244">
        <f t="shared" si="8"/>
        <v>18945757.804493185</v>
      </c>
      <c r="L11" s="244">
        <f t="shared" si="8"/>
        <v>27395322.044268019</v>
      </c>
      <c r="M11" s="244"/>
      <c r="N11" s="244">
        <f t="shared" ref="N11:AV11" si="9">N137</f>
        <v>100251.53340000012</v>
      </c>
      <c r="O11" s="244">
        <f t="shared" si="9"/>
        <v>120426.01340000011</v>
      </c>
      <c r="P11" s="244">
        <f t="shared" si="9"/>
        <v>149989.5034000001</v>
      </c>
      <c r="Q11" s="244">
        <f t="shared" si="9"/>
        <v>192830.05260000011</v>
      </c>
      <c r="R11" s="244">
        <f t="shared" si="9"/>
        <v>230542.90320000012</v>
      </c>
      <c r="S11" s="244">
        <f t="shared" si="9"/>
        <v>272493.99040000013</v>
      </c>
      <c r="T11" s="244">
        <f t="shared" si="9"/>
        <v>307306.40560000011</v>
      </c>
      <c r="U11" s="244">
        <f t="shared" si="9"/>
        <v>351291.78821830009</v>
      </c>
      <c r="V11" s="244">
        <f t="shared" si="9"/>
        <v>365382.10746298009</v>
      </c>
      <c r="W11" s="244">
        <f t="shared" si="9"/>
        <v>412082.73652374017</v>
      </c>
      <c r="X11" s="244">
        <f t="shared" si="9"/>
        <v>446812.89010392025</v>
      </c>
      <c r="Y11" s="244">
        <f t="shared" si="9"/>
        <v>510162.1443530402</v>
      </c>
      <c r="Z11" s="244">
        <f t="shared" si="9"/>
        <v>592331.48129521555</v>
      </c>
      <c r="AA11" s="244">
        <f t="shared" si="9"/>
        <v>719765.22585707088</v>
      </c>
      <c r="AB11" s="244">
        <f t="shared" si="9"/>
        <v>847989.10523308662</v>
      </c>
      <c r="AC11" s="244">
        <f t="shared" si="9"/>
        <v>1016497.0679991974</v>
      </c>
      <c r="AD11" s="244">
        <f t="shared" si="9"/>
        <v>1183535.3144037044</v>
      </c>
      <c r="AE11" s="244">
        <f t="shared" si="9"/>
        <v>1411270.7481579084</v>
      </c>
      <c r="AF11" s="244">
        <f t="shared" si="9"/>
        <v>1637892.1264775735</v>
      </c>
      <c r="AG11" s="244">
        <f t="shared" si="9"/>
        <v>1981613.0842035213</v>
      </c>
      <c r="AH11" s="244">
        <f t="shared" si="9"/>
        <v>2714718.8282314884</v>
      </c>
      <c r="AI11" s="244">
        <f t="shared" si="9"/>
        <v>3722681.4973351983</v>
      </c>
      <c r="AJ11" s="244">
        <f t="shared" si="9"/>
        <v>4669616.8399888165</v>
      </c>
      <c r="AK11" s="244">
        <f t="shared" si="9"/>
        <v>6037097.0538979229</v>
      </c>
      <c r="AL11" s="244">
        <f t="shared" si="9"/>
        <v>7082754.6379693877</v>
      </c>
      <c r="AM11" s="244">
        <f t="shared" si="9"/>
        <v>8541806.1872123741</v>
      </c>
      <c r="AN11" s="244">
        <f t="shared" si="9"/>
        <v>9914738.0560840406</v>
      </c>
      <c r="AO11" s="244">
        <f t="shared" si="9"/>
        <v>11879317.250342695</v>
      </c>
      <c r="AP11" s="244">
        <f t="shared" si="9"/>
        <v>13129094.241776457</v>
      </c>
      <c r="AQ11" s="244">
        <f t="shared" si="9"/>
        <v>14903956.475173851</v>
      </c>
      <c r="AR11" s="244">
        <f t="shared" si="9"/>
        <v>16577231.869143369</v>
      </c>
      <c r="AS11" s="244">
        <f t="shared" si="9"/>
        <v>18945757.804493185</v>
      </c>
      <c r="AT11" s="244">
        <f t="shared" si="9"/>
        <v>20424634.192695372</v>
      </c>
      <c r="AU11" s="244">
        <f t="shared" si="9"/>
        <v>22557316.433244221</v>
      </c>
      <c r="AV11" s="244">
        <f t="shared" si="9"/>
        <v>24571197.541411377</v>
      </c>
      <c r="AW11" s="244">
        <f t="shared" ref="AW11" si="10">AW137</f>
        <v>27395322.044268016</v>
      </c>
      <c r="AY11" s="244">
        <f t="shared" ref="AY11:CD11" si="11">AY137</f>
        <v>81998.729400000113</v>
      </c>
      <c r="AZ11" s="244">
        <f t="shared" si="11"/>
        <v>90200.029400000116</v>
      </c>
      <c r="BA11" s="244">
        <f t="shared" si="11"/>
        <v>100251.53340000012</v>
      </c>
      <c r="BB11" s="244">
        <f t="shared" si="11"/>
        <v>103562.33340000012</v>
      </c>
      <c r="BC11" s="244">
        <f t="shared" si="11"/>
        <v>110160.33340000012</v>
      </c>
      <c r="BD11" s="244">
        <f t="shared" si="11"/>
        <v>120426.01340000011</v>
      </c>
      <c r="BE11" s="244">
        <f t="shared" si="11"/>
        <v>126829.54680000011</v>
      </c>
      <c r="BF11" s="244">
        <f t="shared" si="11"/>
        <v>135457.81680000012</v>
      </c>
      <c r="BG11" s="244">
        <f t="shared" si="11"/>
        <v>149989.5034000001</v>
      </c>
      <c r="BH11" s="244">
        <f t="shared" si="11"/>
        <v>159938.14340000012</v>
      </c>
      <c r="BI11" s="244">
        <f t="shared" si="11"/>
        <v>177628.40340000013</v>
      </c>
      <c r="BJ11" s="244">
        <f t="shared" si="11"/>
        <v>192830.05260000011</v>
      </c>
      <c r="BK11" s="244">
        <f t="shared" si="11"/>
        <v>199148.71920000011</v>
      </c>
      <c r="BL11" s="244">
        <f t="shared" si="11"/>
        <v>211390.71580000012</v>
      </c>
      <c r="BM11" s="244">
        <f t="shared" si="11"/>
        <v>230542.90320000012</v>
      </c>
      <c r="BN11" s="244">
        <f t="shared" si="11"/>
        <v>240648.27380000011</v>
      </c>
      <c r="BO11" s="244">
        <f t="shared" si="11"/>
        <v>254610.01760000011</v>
      </c>
      <c r="BP11" s="244">
        <f t="shared" si="11"/>
        <v>272493.99040000013</v>
      </c>
      <c r="BQ11" s="244">
        <f t="shared" si="11"/>
        <v>279392.57380000013</v>
      </c>
      <c r="BR11" s="244">
        <f t="shared" si="11"/>
        <v>287292.11380000011</v>
      </c>
      <c r="BS11" s="244">
        <f t="shared" si="11"/>
        <v>307306.40560000011</v>
      </c>
      <c r="BT11" s="244">
        <f t="shared" si="11"/>
        <v>314620.61920000013</v>
      </c>
      <c r="BU11" s="244">
        <f t="shared" si="11"/>
        <v>332529.37500000012</v>
      </c>
      <c r="BV11" s="244">
        <f t="shared" si="11"/>
        <v>351291.78821830009</v>
      </c>
      <c r="BW11" s="244">
        <f t="shared" si="11"/>
        <v>351792.32541830011</v>
      </c>
      <c r="BX11" s="244">
        <f t="shared" si="11"/>
        <v>355134.99586078012</v>
      </c>
      <c r="BY11" s="244">
        <f t="shared" si="11"/>
        <v>365382.10746298014</v>
      </c>
      <c r="BZ11" s="244">
        <f t="shared" si="11"/>
        <v>370436.78127836017</v>
      </c>
      <c r="CA11" s="244">
        <f t="shared" si="11"/>
        <v>380890.79337650019</v>
      </c>
      <c r="CB11" s="244">
        <f t="shared" si="11"/>
        <v>412082.73652374023</v>
      </c>
      <c r="CC11" s="244">
        <f t="shared" si="11"/>
        <v>414690.08926732023</v>
      </c>
      <c r="CD11" s="244">
        <f t="shared" si="11"/>
        <v>427135.31936766021</v>
      </c>
      <c r="CE11" s="244">
        <f t="shared" ref="CE11:DJ11" si="12">CE137</f>
        <v>446812.89010392019</v>
      </c>
      <c r="CF11" s="244">
        <f t="shared" si="12"/>
        <v>457928.01323142019</v>
      </c>
      <c r="CG11" s="244">
        <f t="shared" si="12"/>
        <v>476874.18570688018</v>
      </c>
      <c r="CH11" s="244">
        <f t="shared" si="12"/>
        <v>510162.14435304014</v>
      </c>
      <c r="CI11" s="244">
        <f t="shared" si="12"/>
        <v>525385.70377726539</v>
      </c>
      <c r="CJ11" s="244">
        <f t="shared" si="12"/>
        <v>549072.67780161742</v>
      </c>
      <c r="CK11" s="244">
        <f t="shared" si="12"/>
        <v>592331.48129521555</v>
      </c>
      <c r="CL11" s="244">
        <f t="shared" si="12"/>
        <v>611916.33115816221</v>
      </c>
      <c r="CM11" s="244">
        <f t="shared" si="12"/>
        <v>653214.3598577783</v>
      </c>
      <c r="CN11" s="244">
        <f t="shared" si="12"/>
        <v>719765.22585707088</v>
      </c>
      <c r="CO11" s="244">
        <f t="shared" si="12"/>
        <v>738590.13037685421</v>
      </c>
      <c r="CP11" s="244">
        <f t="shared" si="12"/>
        <v>784547.40300118341</v>
      </c>
      <c r="CQ11" s="244">
        <f t="shared" si="12"/>
        <v>847989.10523308662</v>
      </c>
      <c r="CR11" s="244">
        <f t="shared" si="12"/>
        <v>863245.15824167873</v>
      </c>
      <c r="CS11" s="244">
        <f t="shared" si="12"/>
        <v>931797.55688366969</v>
      </c>
      <c r="CT11" s="244">
        <f t="shared" si="12"/>
        <v>1016497.0679991975</v>
      </c>
      <c r="CU11" s="244">
        <f t="shared" si="12"/>
        <v>1036311.9136903613</v>
      </c>
      <c r="CV11" s="244">
        <f t="shared" si="12"/>
        <v>1085291.8159909132</v>
      </c>
      <c r="CW11" s="244">
        <f t="shared" si="12"/>
        <v>1183535.3144037044</v>
      </c>
      <c r="CX11" s="244">
        <f t="shared" si="12"/>
        <v>1219208.0188354868</v>
      </c>
      <c r="CY11" s="244">
        <f t="shared" si="12"/>
        <v>1299557.9141375518</v>
      </c>
      <c r="CZ11" s="244">
        <f t="shared" si="12"/>
        <v>1411270.7481579084</v>
      </c>
      <c r="DA11" s="244">
        <f t="shared" si="12"/>
        <v>1445085.3662169999</v>
      </c>
      <c r="DB11" s="244">
        <f t="shared" si="12"/>
        <v>1514536.6680921947</v>
      </c>
      <c r="DC11" s="244">
        <f t="shared" si="12"/>
        <v>1637892.1264775735</v>
      </c>
      <c r="DD11" s="244">
        <f t="shared" si="12"/>
        <v>1686743.6262584592</v>
      </c>
      <c r="DE11" s="244">
        <f t="shared" si="12"/>
        <v>1822150.2871150852</v>
      </c>
      <c r="DF11" s="244">
        <f t="shared" si="12"/>
        <v>1981613.0842035213</v>
      </c>
      <c r="DG11" s="244">
        <f t="shared" si="12"/>
        <v>2078403.7789108537</v>
      </c>
      <c r="DH11" s="244">
        <f t="shared" si="12"/>
        <v>2293352.1638469202</v>
      </c>
      <c r="DI11" s="244">
        <f t="shared" si="12"/>
        <v>2714718.8282314879</v>
      </c>
      <c r="DJ11" s="244">
        <f t="shared" si="12"/>
        <v>2889728.0436315779</v>
      </c>
      <c r="DK11" s="244">
        <f t="shared" ref="DK11:EP11" si="13">DK137</f>
        <v>3238432.0197283095</v>
      </c>
      <c r="DL11" s="244">
        <f t="shared" si="13"/>
        <v>3722681.4973351983</v>
      </c>
      <c r="DM11" s="244">
        <f t="shared" si="13"/>
        <v>3873148.961661736</v>
      </c>
      <c r="DN11" s="244">
        <f t="shared" si="13"/>
        <v>4160948.4413033016</v>
      </c>
      <c r="DO11" s="244">
        <f t="shared" si="13"/>
        <v>4669616.8399888165</v>
      </c>
      <c r="DP11" s="244">
        <f t="shared" si="13"/>
        <v>4854134.1970787076</v>
      </c>
      <c r="DQ11" s="244">
        <f t="shared" si="13"/>
        <v>5399093.3335584234</v>
      </c>
      <c r="DR11" s="244">
        <f t="shared" si="13"/>
        <v>6037097.0538979219</v>
      </c>
      <c r="DS11" s="244">
        <f t="shared" si="13"/>
        <v>6167900.6559816906</v>
      </c>
      <c r="DT11" s="244">
        <f t="shared" si="13"/>
        <v>6476160.7664464973</v>
      </c>
      <c r="DU11" s="244">
        <f t="shared" si="13"/>
        <v>7082754.6379693877</v>
      </c>
      <c r="DV11" s="244">
        <f t="shared" si="13"/>
        <v>7323845.1677357862</v>
      </c>
      <c r="DW11" s="244">
        <f t="shared" si="13"/>
        <v>7838288.1169483261</v>
      </c>
      <c r="DX11" s="244">
        <f t="shared" si="13"/>
        <v>8541806.1872123722</v>
      </c>
      <c r="DY11" s="244">
        <f t="shared" si="13"/>
        <v>8744766.8030471355</v>
      </c>
      <c r="DZ11" s="244">
        <f t="shared" si="13"/>
        <v>9166017.850598596</v>
      </c>
      <c r="EA11" s="244">
        <f t="shared" si="13"/>
        <v>9914738.0560840406</v>
      </c>
      <c r="EB11" s="244">
        <f t="shared" si="13"/>
        <v>10170751.13804654</v>
      </c>
      <c r="EC11" s="244">
        <f t="shared" si="13"/>
        <v>10951392.14064708</v>
      </c>
      <c r="ED11" s="244">
        <f t="shared" si="13"/>
        <v>11879317.250342695</v>
      </c>
      <c r="EE11" s="244">
        <f t="shared" si="13"/>
        <v>12025127.999226987</v>
      </c>
      <c r="EF11" s="244">
        <f t="shared" si="13"/>
        <v>12395987.492829986</v>
      </c>
      <c r="EG11" s="244">
        <f t="shared" si="13"/>
        <v>13129094.241776457</v>
      </c>
      <c r="EH11" s="244">
        <f t="shared" si="13"/>
        <v>13404864.013145534</v>
      </c>
      <c r="EI11" s="244">
        <f t="shared" si="13"/>
        <v>14044508.875758622</v>
      </c>
      <c r="EJ11" s="244">
        <f t="shared" si="13"/>
        <v>14903956.475173851</v>
      </c>
      <c r="EK11" s="244">
        <f t="shared" si="13"/>
        <v>15129617.456675289</v>
      </c>
      <c r="EL11" s="244">
        <f t="shared" si="13"/>
        <v>15648703.891641697</v>
      </c>
      <c r="EM11" s="244">
        <f t="shared" si="13"/>
        <v>16577231.869143369</v>
      </c>
      <c r="EN11" s="244">
        <f t="shared" si="13"/>
        <v>16872812.102446809</v>
      </c>
      <c r="EO11" s="244">
        <f t="shared" si="13"/>
        <v>17810693.415424261</v>
      </c>
      <c r="EP11" s="244">
        <f t="shared" si="13"/>
        <v>18945757.804493185</v>
      </c>
      <c r="EQ11" s="244">
        <f t="shared" ref="EQ11:FB11" si="14">EQ137</f>
        <v>19107270.880336162</v>
      </c>
      <c r="ER11" s="244">
        <f t="shared" si="14"/>
        <v>19548653.557438754</v>
      </c>
      <c r="ES11" s="244">
        <f t="shared" si="14"/>
        <v>20424634.192695372</v>
      </c>
      <c r="ET11" s="244">
        <f t="shared" si="14"/>
        <v>20737984.528314896</v>
      </c>
      <c r="EU11" s="244">
        <f t="shared" si="14"/>
        <v>21520840.197610687</v>
      </c>
      <c r="EV11" s="244">
        <f t="shared" si="14"/>
        <v>22557316.433244221</v>
      </c>
      <c r="EW11" s="244">
        <f t="shared" si="14"/>
        <v>22806621.341571506</v>
      </c>
      <c r="EX11" s="244">
        <f t="shared" si="14"/>
        <v>23437208.146442801</v>
      </c>
      <c r="EY11" s="244">
        <f t="shared" si="14"/>
        <v>24571197.541411377</v>
      </c>
      <c r="EZ11" s="244">
        <f t="shared" si="14"/>
        <v>24910058.566156849</v>
      </c>
      <c r="FA11" s="244">
        <f t="shared" si="14"/>
        <v>26024949.452228021</v>
      </c>
      <c r="FB11" s="244">
        <f t="shared" si="14"/>
        <v>27395322.044268019</v>
      </c>
    </row>
    <row r="12" spans="3:158" x14ac:dyDescent="0.25">
      <c r="C12" s="2" t="s">
        <v>299</v>
      </c>
      <c r="D12" s="244">
        <f t="shared" ref="D12:L12" si="15">D138</f>
        <v>35724.160600000061</v>
      </c>
      <c r="E12" s="244">
        <f t="shared" si="15"/>
        <v>22136.358500000064</v>
      </c>
      <c r="F12" s="244">
        <f t="shared" si="15"/>
        <v>101571.53656737007</v>
      </c>
      <c r="G12" s="244">
        <f t="shared" si="15"/>
        <v>469895.27691541531</v>
      </c>
      <c r="H12" s="244">
        <f t="shared" si="15"/>
        <v>1383537.7358292898</v>
      </c>
      <c r="I12" s="244">
        <f t="shared" si="15"/>
        <v>2997267.350841051</v>
      </c>
      <c r="J12" s="244">
        <f t="shared" si="15"/>
        <v>4995366.2785213152</v>
      </c>
      <c r="K12" s="244">
        <f t="shared" si="15"/>
        <v>7452215.8331954135</v>
      </c>
      <c r="L12" s="244">
        <f t="shared" si="15"/>
        <v>27538113.943636745</v>
      </c>
      <c r="M12" s="244"/>
      <c r="N12" s="244">
        <f t="shared" ref="N12:AV12" si="16">N138</f>
        <v>39795.270700000059</v>
      </c>
      <c r="O12" s="244">
        <f t="shared" si="16"/>
        <v>39024.270700000059</v>
      </c>
      <c r="P12" s="244">
        <f t="shared" si="16"/>
        <v>38203.660700000059</v>
      </c>
      <c r="Q12" s="244">
        <f t="shared" si="16"/>
        <v>35724.160600000061</v>
      </c>
      <c r="R12" s="244">
        <f t="shared" si="16"/>
        <v>32999.655600000064</v>
      </c>
      <c r="S12" s="244">
        <f t="shared" si="16"/>
        <v>30116.735600000065</v>
      </c>
      <c r="T12" s="244">
        <f t="shared" si="16"/>
        <v>27301.105600000061</v>
      </c>
      <c r="U12" s="244">
        <f t="shared" si="16"/>
        <v>22136.35850000006</v>
      </c>
      <c r="V12" s="244">
        <f t="shared" si="16"/>
        <v>29181.518122340065</v>
      </c>
      <c r="W12" s="244">
        <f t="shared" si="16"/>
        <v>52531.83265272007</v>
      </c>
      <c r="X12" s="244">
        <f t="shared" si="16"/>
        <v>69896.909442810051</v>
      </c>
      <c r="Y12" s="244">
        <f t="shared" si="16"/>
        <v>101571.53656737006</v>
      </c>
      <c r="Z12" s="244">
        <f t="shared" si="16"/>
        <v>164021.99011344535</v>
      </c>
      <c r="AA12" s="244">
        <f t="shared" si="16"/>
        <v>255530.67310050977</v>
      </c>
      <c r="AB12" s="244">
        <f t="shared" si="16"/>
        <v>348013.30464403186</v>
      </c>
      <c r="AC12" s="244">
        <f t="shared" si="16"/>
        <v>469895.27691541531</v>
      </c>
      <c r="AD12" s="244">
        <f t="shared" si="16"/>
        <v>629847.15268252126</v>
      </c>
      <c r="AE12" s="244">
        <f t="shared" si="16"/>
        <v>845201.95007216302</v>
      </c>
      <c r="AF12" s="244">
        <f t="shared" si="16"/>
        <v>1058487.7105040371</v>
      </c>
      <c r="AG12" s="244">
        <f t="shared" si="16"/>
        <v>1383537.7358292895</v>
      </c>
      <c r="AH12" s="244">
        <f t="shared" si="16"/>
        <v>1673295.3326667843</v>
      </c>
      <c r="AI12" s="244">
        <f t="shared" si="16"/>
        <v>2075689.4896656945</v>
      </c>
      <c r="AJ12" s="244">
        <f t="shared" si="16"/>
        <v>2454136.2625731826</v>
      </c>
      <c r="AK12" s="244">
        <f t="shared" si="16"/>
        <v>2997267.350841051</v>
      </c>
      <c r="AL12" s="244">
        <f t="shared" si="16"/>
        <v>3351832.6202422176</v>
      </c>
      <c r="AM12" s="244">
        <f t="shared" si="16"/>
        <v>3852898.4195547048</v>
      </c>
      <c r="AN12" s="244">
        <f t="shared" si="16"/>
        <v>4325036.7415334573</v>
      </c>
      <c r="AO12" s="244">
        <f t="shared" si="16"/>
        <v>4995366.2785213152</v>
      </c>
      <c r="AP12" s="244">
        <f t="shared" si="16"/>
        <v>5427049.4637655281</v>
      </c>
      <c r="AQ12" s="244">
        <f t="shared" si="16"/>
        <v>6046036.5279007526</v>
      </c>
      <c r="AR12" s="244">
        <f t="shared" si="16"/>
        <v>6630192.0315128965</v>
      </c>
      <c r="AS12" s="244">
        <f t="shared" si="16"/>
        <v>7452215.8331954135</v>
      </c>
      <c r="AT12" s="244">
        <f t="shared" si="16"/>
        <v>11090935.188118841</v>
      </c>
      <c r="AU12" s="244">
        <f t="shared" si="16"/>
        <v>16077900.73703485</v>
      </c>
      <c r="AV12" s="244">
        <f t="shared" si="16"/>
        <v>20761268.156313725</v>
      </c>
      <c r="AW12" s="244">
        <f t="shared" ref="AW12" si="17">AW138</f>
        <v>27538113.943636745</v>
      </c>
      <c r="AY12" s="244">
        <f t="shared" ref="AY12:CD12" si="18">AY138</f>
        <v>40999.364700000056</v>
      </c>
      <c r="AZ12" s="244">
        <f t="shared" si="18"/>
        <v>40464.264700000058</v>
      </c>
      <c r="BA12" s="244">
        <f t="shared" si="18"/>
        <v>39795.270700000059</v>
      </c>
      <c r="BB12" s="244">
        <f t="shared" si="18"/>
        <v>39455.270700000059</v>
      </c>
      <c r="BC12" s="244">
        <f t="shared" si="18"/>
        <v>39264.270700000059</v>
      </c>
      <c r="BD12" s="244">
        <f t="shared" si="18"/>
        <v>39024.270700000059</v>
      </c>
      <c r="BE12" s="244">
        <f t="shared" si="18"/>
        <v>39024.270700000059</v>
      </c>
      <c r="BF12" s="244">
        <f t="shared" si="18"/>
        <v>38485.510700000057</v>
      </c>
      <c r="BG12" s="244">
        <f t="shared" si="18"/>
        <v>38203.660700000059</v>
      </c>
      <c r="BH12" s="244">
        <f t="shared" si="18"/>
        <v>38203.660700000059</v>
      </c>
      <c r="BI12" s="244">
        <f t="shared" si="18"/>
        <v>37526.660700000059</v>
      </c>
      <c r="BJ12" s="244">
        <f t="shared" si="18"/>
        <v>35724.160600000061</v>
      </c>
      <c r="BK12" s="244">
        <f t="shared" si="18"/>
        <v>35440.160600000061</v>
      </c>
      <c r="BL12" s="244">
        <f t="shared" si="18"/>
        <v>34662.155600000064</v>
      </c>
      <c r="BM12" s="244">
        <f t="shared" si="18"/>
        <v>32999.655600000064</v>
      </c>
      <c r="BN12" s="244">
        <f t="shared" si="18"/>
        <v>32017.945600000065</v>
      </c>
      <c r="BO12" s="244">
        <f t="shared" si="18"/>
        <v>31233.615600000063</v>
      </c>
      <c r="BP12" s="244">
        <f t="shared" si="18"/>
        <v>30116.735600000062</v>
      </c>
      <c r="BQ12" s="244">
        <f t="shared" si="18"/>
        <v>29067.675600000061</v>
      </c>
      <c r="BR12" s="244">
        <f t="shared" si="18"/>
        <v>28666.775600000059</v>
      </c>
      <c r="BS12" s="244">
        <f t="shared" si="18"/>
        <v>27301.105600000061</v>
      </c>
      <c r="BT12" s="244">
        <f t="shared" si="18"/>
        <v>26659.665600000062</v>
      </c>
      <c r="BU12" s="244">
        <f t="shared" si="18"/>
        <v>25424.928500000064</v>
      </c>
      <c r="BV12" s="244">
        <f t="shared" si="18"/>
        <v>22136.358500000064</v>
      </c>
      <c r="BW12" s="244">
        <f t="shared" si="18"/>
        <v>22386.627100000063</v>
      </c>
      <c r="BX12" s="244">
        <f t="shared" si="18"/>
        <v>24057.962321240062</v>
      </c>
      <c r="BY12" s="244">
        <f t="shared" si="18"/>
        <v>29181.518122340065</v>
      </c>
      <c r="BZ12" s="244">
        <f t="shared" si="18"/>
        <v>31708.855030030063</v>
      </c>
      <c r="CA12" s="244">
        <f t="shared" si="18"/>
        <v>36935.861079100061</v>
      </c>
      <c r="CB12" s="244">
        <f t="shared" si="18"/>
        <v>52531.832652720062</v>
      </c>
      <c r="CC12" s="244">
        <f t="shared" si="18"/>
        <v>53835.509024510066</v>
      </c>
      <c r="CD12" s="244">
        <f t="shared" si="18"/>
        <v>60058.124074680069</v>
      </c>
      <c r="CE12" s="244">
        <f t="shared" ref="CE12:DJ12" si="19">CE138</f>
        <v>69896.909442810065</v>
      </c>
      <c r="CF12" s="244">
        <f t="shared" si="19"/>
        <v>75454.471006560067</v>
      </c>
      <c r="CG12" s="244">
        <f t="shared" si="19"/>
        <v>84927.557244290074</v>
      </c>
      <c r="CH12" s="244">
        <f t="shared" si="19"/>
        <v>101571.53656737007</v>
      </c>
      <c r="CI12" s="244">
        <f t="shared" si="19"/>
        <v>113753.84004082855</v>
      </c>
      <c r="CJ12" s="244">
        <f t="shared" si="19"/>
        <v>131097.66212905245</v>
      </c>
      <c r="CK12" s="244">
        <f t="shared" si="19"/>
        <v>164021.99011344532</v>
      </c>
      <c r="CL12" s="244">
        <f t="shared" si="19"/>
        <v>179441.54593778809</v>
      </c>
      <c r="CM12" s="244">
        <f t="shared" si="19"/>
        <v>208823.70881367562</v>
      </c>
      <c r="CN12" s="244">
        <f t="shared" si="19"/>
        <v>255530.67310050974</v>
      </c>
      <c r="CO12" s="244">
        <f t="shared" si="19"/>
        <v>269321.70156333561</v>
      </c>
      <c r="CP12" s="244">
        <f t="shared" si="19"/>
        <v>301905.43085544242</v>
      </c>
      <c r="CQ12" s="244">
        <f t="shared" si="19"/>
        <v>348013.30464403186</v>
      </c>
      <c r="CR12" s="244">
        <f t="shared" si="19"/>
        <v>359883.99394558987</v>
      </c>
      <c r="CS12" s="244">
        <f t="shared" si="19"/>
        <v>408865.58733511373</v>
      </c>
      <c r="CT12" s="244">
        <f t="shared" si="19"/>
        <v>469895.27691541531</v>
      </c>
      <c r="CU12" s="244">
        <f t="shared" si="19"/>
        <v>489991.84709929855</v>
      </c>
      <c r="CV12" s="244">
        <f t="shared" si="19"/>
        <v>536670.45801071741</v>
      </c>
      <c r="CW12" s="244">
        <f t="shared" si="19"/>
        <v>629847.15268252126</v>
      </c>
      <c r="CX12" s="244">
        <f t="shared" si="19"/>
        <v>665434.58398638479</v>
      </c>
      <c r="CY12" s="244">
        <f t="shared" si="19"/>
        <v>740034.14547866443</v>
      </c>
      <c r="CZ12" s="244">
        <f t="shared" si="19"/>
        <v>845201.95007216302</v>
      </c>
      <c r="DA12" s="244">
        <f t="shared" si="19"/>
        <v>879170.98732190707</v>
      </c>
      <c r="DB12" s="244">
        <f t="shared" si="19"/>
        <v>943973.90773025772</v>
      </c>
      <c r="DC12" s="244">
        <f t="shared" si="19"/>
        <v>1058487.7105040371</v>
      </c>
      <c r="DD12" s="244">
        <f t="shared" si="19"/>
        <v>1105756.719500429</v>
      </c>
      <c r="DE12" s="244">
        <f t="shared" si="19"/>
        <v>1234200.4398482025</v>
      </c>
      <c r="DF12" s="244">
        <f t="shared" si="19"/>
        <v>1383537.7358292898</v>
      </c>
      <c r="DG12" s="244">
        <f t="shared" si="19"/>
        <v>1420435.3059275839</v>
      </c>
      <c r="DH12" s="244">
        <f t="shared" si="19"/>
        <v>1505705.9141147248</v>
      </c>
      <c r="DI12" s="244">
        <f t="shared" si="19"/>
        <v>1673295.3326667843</v>
      </c>
      <c r="DJ12" s="244">
        <f t="shared" si="19"/>
        <v>1740868.8800695818</v>
      </c>
      <c r="DK12" s="244">
        <f t="shared" ref="DK12:EP12" si="20">DK138</f>
        <v>1881891.1186707378</v>
      </c>
      <c r="DL12" s="244">
        <f t="shared" si="20"/>
        <v>2075689.4896656945</v>
      </c>
      <c r="DM12" s="244">
        <f t="shared" si="20"/>
        <v>2132977.5912369317</v>
      </c>
      <c r="DN12" s="244">
        <f t="shared" si="20"/>
        <v>2248743.3688186724</v>
      </c>
      <c r="DO12" s="244">
        <f t="shared" si="20"/>
        <v>2454136.2625731826</v>
      </c>
      <c r="DP12" s="244">
        <f t="shared" si="20"/>
        <v>2525722.7676810604</v>
      </c>
      <c r="DQ12" s="244">
        <f t="shared" si="20"/>
        <v>2741742.5243601799</v>
      </c>
      <c r="DR12" s="244">
        <f t="shared" si="20"/>
        <v>2997267.350841051</v>
      </c>
      <c r="DS12" s="244">
        <f t="shared" si="20"/>
        <v>3039472.3659818526</v>
      </c>
      <c r="DT12" s="244">
        <f t="shared" si="20"/>
        <v>3144493.1887627826</v>
      </c>
      <c r="DU12" s="244">
        <f t="shared" si="20"/>
        <v>3351832.6202422171</v>
      </c>
      <c r="DV12" s="244">
        <f t="shared" si="20"/>
        <v>3431055.1987430691</v>
      </c>
      <c r="DW12" s="244">
        <f t="shared" si="20"/>
        <v>3610551.4196209456</v>
      </c>
      <c r="DX12" s="244">
        <f t="shared" si="20"/>
        <v>3852898.4195547048</v>
      </c>
      <c r="DY12" s="244">
        <f t="shared" si="20"/>
        <v>3918266.10684356</v>
      </c>
      <c r="DZ12" s="244">
        <f t="shared" si="20"/>
        <v>4064290.0310368226</v>
      </c>
      <c r="EA12" s="244">
        <f t="shared" si="20"/>
        <v>4325036.7415334564</v>
      </c>
      <c r="EB12" s="244">
        <f t="shared" si="20"/>
        <v>4409722.3669715784</v>
      </c>
      <c r="EC12" s="244">
        <f t="shared" si="20"/>
        <v>4675415.4961433923</v>
      </c>
      <c r="ED12" s="244">
        <f t="shared" si="20"/>
        <v>4995366.2785213152</v>
      </c>
      <c r="EE12" s="244">
        <f t="shared" si="20"/>
        <v>5043714.7281920733</v>
      </c>
      <c r="EF12" s="244">
        <f t="shared" si="20"/>
        <v>5172276.9863206111</v>
      </c>
      <c r="EG12" s="244">
        <f t="shared" si="20"/>
        <v>5427049.463765529</v>
      </c>
      <c r="EH12" s="244">
        <f t="shared" si="20"/>
        <v>5519931.2841560319</v>
      </c>
      <c r="EI12" s="244">
        <f t="shared" si="20"/>
        <v>5745614.8975147614</v>
      </c>
      <c r="EJ12" s="244">
        <f t="shared" si="20"/>
        <v>6046036.5279007526</v>
      </c>
      <c r="EK12" s="244">
        <f t="shared" si="20"/>
        <v>6120741.813705517</v>
      </c>
      <c r="EL12" s="244">
        <f t="shared" si="20"/>
        <v>6303026.6395635447</v>
      </c>
      <c r="EM12" s="244">
        <f t="shared" si="20"/>
        <v>6630192.0315128965</v>
      </c>
      <c r="EN12" s="244">
        <f t="shared" si="20"/>
        <v>6730294.7329027951</v>
      </c>
      <c r="EO12" s="244">
        <f t="shared" si="20"/>
        <v>7055176.0971425446</v>
      </c>
      <c r="EP12" s="244">
        <f t="shared" si="20"/>
        <v>7452215.8331954135</v>
      </c>
      <c r="EQ12" s="244">
        <f t="shared" ref="EQ12:FB12" si="21">EQ138</f>
        <v>7938059.4438255709</v>
      </c>
      <c r="ER12" s="244">
        <f t="shared" si="21"/>
        <v>9003689.991601713</v>
      </c>
      <c r="ES12" s="244">
        <f t="shared" si="21"/>
        <v>11090935.188118841</v>
      </c>
      <c r="ET12" s="244">
        <f t="shared" si="21"/>
        <v>11965968.667561105</v>
      </c>
      <c r="EU12" s="244">
        <f t="shared" si="21"/>
        <v>13683955.224781193</v>
      </c>
      <c r="EV12" s="244">
        <f t="shared" si="21"/>
        <v>16077900.737034852</v>
      </c>
      <c r="EW12" s="244">
        <f t="shared" si="21"/>
        <v>16833462.484271478</v>
      </c>
      <c r="EX12" s="244">
        <f t="shared" si="21"/>
        <v>18253886.290582132</v>
      </c>
      <c r="EY12" s="244">
        <f t="shared" si="21"/>
        <v>20761268.156313725</v>
      </c>
      <c r="EZ12" s="244">
        <f t="shared" si="21"/>
        <v>21682475.94707153</v>
      </c>
      <c r="FA12" s="244">
        <f t="shared" si="21"/>
        <v>24384838.998911232</v>
      </c>
      <c r="FB12" s="244">
        <f t="shared" si="21"/>
        <v>27538113.943636745</v>
      </c>
    </row>
    <row r="13" spans="3:158" x14ac:dyDescent="0.25">
      <c r="C13" s="2" t="s">
        <v>300</v>
      </c>
      <c r="D13" s="244">
        <f t="shared" ref="D13:L13" si="22">D139</f>
        <v>71448.321200000122</v>
      </c>
      <c r="E13" s="244">
        <f t="shared" si="22"/>
        <v>44272.717000000128</v>
      </c>
      <c r="F13" s="244">
        <f t="shared" si="22"/>
        <v>-13888.28671795988</v>
      </c>
      <c r="G13" s="244">
        <f t="shared" si="22"/>
        <v>-12096.935956870248</v>
      </c>
      <c r="H13" s="244">
        <f t="shared" si="22"/>
        <v>-10541.460266922208</v>
      </c>
      <c r="I13" s="244">
        <f t="shared" si="22"/>
        <v>-9060.6283301229523</v>
      </c>
      <c r="J13" s="244">
        <f t="shared" si="22"/>
        <v>-7789.0832775116278</v>
      </c>
      <c r="K13" s="244">
        <f t="shared" si="22"/>
        <v>-6696.7126673644143</v>
      </c>
      <c r="L13" s="244">
        <f t="shared" si="22"/>
        <v>3850076.2449921975</v>
      </c>
      <c r="M13" s="244"/>
      <c r="N13" s="244">
        <f t="shared" ref="N13:AG13" si="23">N139</f>
        <v>79590.541400000118</v>
      </c>
      <c r="O13" s="244">
        <f t="shared" si="23"/>
        <v>78048.541400000118</v>
      </c>
      <c r="P13" s="244">
        <f t="shared" si="23"/>
        <v>76407.321400000117</v>
      </c>
      <c r="Q13" s="244">
        <f t="shared" si="23"/>
        <v>71448.321200000122</v>
      </c>
      <c r="R13" s="244">
        <f t="shared" si="23"/>
        <v>65999.311200000127</v>
      </c>
      <c r="S13" s="244">
        <f t="shared" si="23"/>
        <v>60233.471200000131</v>
      </c>
      <c r="T13" s="244">
        <f t="shared" si="23"/>
        <v>54602.211200000122</v>
      </c>
      <c r="U13" s="244">
        <f t="shared" si="23"/>
        <v>44272.717000000121</v>
      </c>
      <c r="V13" s="244">
        <f t="shared" si="23"/>
        <v>28557.94100000013</v>
      </c>
      <c r="W13" s="244">
        <f t="shared" si="23"/>
        <v>16060.281153840122</v>
      </c>
      <c r="X13" s="244">
        <f t="shared" si="23"/>
        <v>2927.2348820401203</v>
      </c>
      <c r="Y13" s="244">
        <f t="shared" si="23"/>
        <v>-13888.28671795988</v>
      </c>
      <c r="Z13" s="244">
        <f t="shared" si="23"/>
        <v>-13441.665045327863</v>
      </c>
      <c r="AA13" s="244">
        <f t="shared" si="23"/>
        <v>-13060.139021441295</v>
      </c>
      <c r="AB13" s="244">
        <f t="shared" si="23"/>
        <v>-12652.576188301369</v>
      </c>
      <c r="AC13" s="244">
        <f t="shared" si="23"/>
        <v>-12096.935956870248</v>
      </c>
      <c r="AD13" s="244">
        <f t="shared" si="23"/>
        <v>-11776.883040928773</v>
      </c>
      <c r="AE13" s="244">
        <f t="shared" si="23"/>
        <v>-11416.385922820375</v>
      </c>
      <c r="AF13" s="244">
        <f t="shared" si="23"/>
        <v>-11085.981104507344</v>
      </c>
      <c r="AG13" s="244">
        <f t="shared" si="23"/>
        <v>-10541.460266922208</v>
      </c>
      <c r="AH13" s="244">
        <f t="shared" ref="AH13:AV13" si="24">AH139</f>
        <v>-10236.765965073173</v>
      </c>
      <c r="AI13" s="244">
        <f t="shared" si="24"/>
        <v>-9893.5682866595416</v>
      </c>
      <c r="AJ13" s="244">
        <f t="shared" si="24"/>
        <v>-9579.0188467729968</v>
      </c>
      <c r="AK13" s="244">
        <f t="shared" si="24"/>
        <v>-9060.6283301229523</v>
      </c>
      <c r="AL13" s="244">
        <f t="shared" si="24"/>
        <v>-8798.9966604870206</v>
      </c>
      <c r="AM13" s="244">
        <f t="shared" si="24"/>
        <v>-8504.3033200679947</v>
      </c>
      <c r="AN13" s="244">
        <f t="shared" si="24"/>
        <v>-8234.2093450866741</v>
      </c>
      <c r="AO13" s="244">
        <f t="shared" si="24"/>
        <v>-7789.0832775116269</v>
      </c>
      <c r="AP13" s="244">
        <f t="shared" si="24"/>
        <v>-7564.3183381906783</v>
      </c>
      <c r="AQ13" s="244">
        <f t="shared" si="24"/>
        <v>-7311.1504748745119</v>
      </c>
      <c r="AR13" s="244">
        <f t="shared" si="24"/>
        <v>-7079.1156605031993</v>
      </c>
      <c r="AS13" s="244">
        <f t="shared" si="24"/>
        <v>-6696.7126673644134</v>
      </c>
      <c r="AT13" s="244">
        <f t="shared" si="24"/>
        <v>696700.86488309852</v>
      </c>
      <c r="AU13" s="244">
        <f t="shared" si="24"/>
        <v>1651102.9100978267</v>
      </c>
      <c r="AV13" s="244">
        <f t="shared" si="24"/>
        <v>2546399.359212541</v>
      </c>
      <c r="AW13" s="244">
        <f t="shared" ref="AW13" si="25">AW139</f>
        <v>3850076.244992198</v>
      </c>
      <c r="AY13" s="244">
        <f t="shared" ref="AY13:CD13" si="26">AY139</f>
        <v>81998.729400000113</v>
      </c>
      <c r="AZ13" s="244">
        <f t="shared" si="26"/>
        <v>80928.529400000116</v>
      </c>
      <c r="BA13" s="244">
        <f t="shared" si="26"/>
        <v>79590.541400000118</v>
      </c>
      <c r="BB13" s="244">
        <f t="shared" si="26"/>
        <v>78910.541400000118</v>
      </c>
      <c r="BC13" s="244">
        <f t="shared" si="26"/>
        <v>78528.541400000118</v>
      </c>
      <c r="BD13" s="244">
        <f t="shared" si="26"/>
        <v>78048.541400000118</v>
      </c>
      <c r="BE13" s="244">
        <f t="shared" si="26"/>
        <v>78048.541400000118</v>
      </c>
      <c r="BF13" s="244">
        <f t="shared" si="26"/>
        <v>76971.021400000114</v>
      </c>
      <c r="BG13" s="244">
        <f t="shared" si="26"/>
        <v>76407.321400000117</v>
      </c>
      <c r="BH13" s="244">
        <f t="shared" si="26"/>
        <v>76407.321400000117</v>
      </c>
      <c r="BI13" s="244">
        <f t="shared" si="26"/>
        <v>75053.321400000117</v>
      </c>
      <c r="BJ13" s="244">
        <f t="shared" si="26"/>
        <v>71448.321200000122</v>
      </c>
      <c r="BK13" s="244">
        <f t="shared" si="26"/>
        <v>70880.321200000122</v>
      </c>
      <c r="BL13" s="244">
        <f t="shared" si="26"/>
        <v>69324.311200000127</v>
      </c>
      <c r="BM13" s="244">
        <f t="shared" si="26"/>
        <v>65999.311200000127</v>
      </c>
      <c r="BN13" s="244">
        <f t="shared" si="26"/>
        <v>64035.891200000129</v>
      </c>
      <c r="BO13" s="244">
        <f t="shared" si="26"/>
        <v>62467.231200000126</v>
      </c>
      <c r="BP13" s="244">
        <f t="shared" si="26"/>
        <v>60233.471200000124</v>
      </c>
      <c r="BQ13" s="244">
        <f t="shared" si="26"/>
        <v>58135.351200000121</v>
      </c>
      <c r="BR13" s="244">
        <f t="shared" si="26"/>
        <v>57333.551200000118</v>
      </c>
      <c r="BS13" s="244">
        <f t="shared" si="26"/>
        <v>54602.211200000122</v>
      </c>
      <c r="BT13" s="244">
        <f t="shared" si="26"/>
        <v>53319.331200000124</v>
      </c>
      <c r="BU13" s="244">
        <f t="shared" si="26"/>
        <v>50849.857000000127</v>
      </c>
      <c r="BV13" s="244">
        <f t="shared" si="26"/>
        <v>44272.717000000128</v>
      </c>
      <c r="BW13" s="244">
        <f t="shared" si="26"/>
        <v>38988.917000000125</v>
      </c>
      <c r="BX13" s="244">
        <f t="shared" si="26"/>
        <v>33816.077000000121</v>
      </c>
      <c r="BY13" s="244">
        <f t="shared" si="26"/>
        <v>28557.941000000123</v>
      </c>
      <c r="BZ13" s="244">
        <f t="shared" si="26"/>
        <v>23837.952246160123</v>
      </c>
      <c r="CA13" s="244">
        <f t="shared" si="26"/>
        <v>19704.281153840122</v>
      </c>
      <c r="CB13" s="244">
        <f t="shared" si="26"/>
        <v>16060.281153840122</v>
      </c>
      <c r="CC13" s="244">
        <f t="shared" si="26"/>
        <v>11622.842553840121</v>
      </c>
      <c r="CD13" s="244">
        <f t="shared" si="26"/>
        <v>8129.0505538401203</v>
      </c>
      <c r="CE13" s="244">
        <f t="shared" ref="CE13:DJ13" si="27">CE139</f>
        <v>2927.2348820401203</v>
      </c>
      <c r="CF13" s="244">
        <f t="shared" si="27"/>
        <v>-1087.6369179598801</v>
      </c>
      <c r="CG13" s="244">
        <f t="shared" si="27"/>
        <v>-7909.6235179598807</v>
      </c>
      <c r="CH13" s="244">
        <f t="shared" si="27"/>
        <v>-13888.28671795988</v>
      </c>
      <c r="CI13" s="244">
        <f t="shared" si="27"/>
        <v>-13769.904229913322</v>
      </c>
      <c r="CJ13" s="244">
        <f t="shared" si="27"/>
        <v>-13679.512847187039</v>
      </c>
      <c r="CK13" s="244">
        <f t="shared" si="27"/>
        <v>-13441.665045327863</v>
      </c>
      <c r="CL13" s="244">
        <f t="shared" si="27"/>
        <v>-13304.08499366672</v>
      </c>
      <c r="CM13" s="244">
        <f t="shared" si="27"/>
        <v>-13196.3642870155</v>
      </c>
      <c r="CN13" s="244">
        <f t="shared" si="27"/>
        <v>-13060.139021441295</v>
      </c>
      <c r="CO13" s="244">
        <f t="shared" si="27"/>
        <v>-12987.879057691434</v>
      </c>
      <c r="CP13" s="244">
        <f t="shared" si="27"/>
        <v>-12874.603666564723</v>
      </c>
      <c r="CQ13" s="244">
        <f t="shared" si="27"/>
        <v>-12652.576188301369</v>
      </c>
      <c r="CR13" s="244">
        <f t="shared" si="27"/>
        <v>-12553.598023217422</v>
      </c>
      <c r="CS13" s="244">
        <f t="shared" si="27"/>
        <v>-12362.627292090347</v>
      </c>
      <c r="CT13" s="244">
        <f t="shared" si="27"/>
        <v>-12096.935956870248</v>
      </c>
      <c r="CU13" s="244">
        <f t="shared" si="27"/>
        <v>-12027.66192273088</v>
      </c>
      <c r="CV13" s="244">
        <f t="shared" si="27"/>
        <v>-11940.045560260378</v>
      </c>
      <c r="CW13" s="244">
        <f t="shared" si="27"/>
        <v>-11776.883040928775</v>
      </c>
      <c r="CX13" s="244">
        <f t="shared" si="27"/>
        <v>-11668.695675724701</v>
      </c>
      <c r="CY13" s="244">
        <f t="shared" si="27"/>
        <v>-11580.06079640114</v>
      </c>
      <c r="CZ13" s="244">
        <f t="shared" si="27"/>
        <v>-11416.385922820375</v>
      </c>
      <c r="DA13" s="244">
        <f t="shared" si="27"/>
        <v>-11307.271371645171</v>
      </c>
      <c r="DB13" s="244">
        <f t="shared" si="27"/>
        <v>-11221.677130435468</v>
      </c>
      <c r="DC13" s="244">
        <f t="shared" si="27"/>
        <v>-11085.981104507344</v>
      </c>
      <c r="DD13" s="244">
        <f t="shared" si="27"/>
        <v>-10978.711685991744</v>
      </c>
      <c r="DE13" s="244">
        <f t="shared" si="27"/>
        <v>-10753.256460253244</v>
      </c>
      <c r="DF13" s="244">
        <f t="shared" si="27"/>
        <v>-10541.460266922208</v>
      </c>
      <c r="DG13" s="244">
        <f t="shared" si="27"/>
        <v>-10475.510536683785</v>
      </c>
      <c r="DH13" s="244">
        <f t="shared" si="27"/>
        <v>-10392.098684881181</v>
      </c>
      <c r="DI13" s="244">
        <f t="shared" si="27"/>
        <v>-10236.765965073175</v>
      </c>
      <c r="DJ13" s="244">
        <f t="shared" si="27"/>
        <v>-10133.770266337626</v>
      </c>
      <c r="DK13" s="244">
        <f t="shared" ref="DK13:FB13" si="28">DK139</f>
        <v>-10049.388773997453</v>
      </c>
      <c r="DL13" s="244">
        <f t="shared" si="28"/>
        <v>-9893.5682866595416</v>
      </c>
      <c r="DM13" s="244">
        <f t="shared" si="28"/>
        <v>-9789.6898955063134</v>
      </c>
      <c r="DN13" s="244">
        <f t="shared" si="28"/>
        <v>-9708.2031279479834</v>
      </c>
      <c r="DO13" s="244">
        <f t="shared" si="28"/>
        <v>-9579.0188467729968</v>
      </c>
      <c r="DP13" s="244">
        <f t="shared" si="28"/>
        <v>-9476.8970445447067</v>
      </c>
      <c r="DQ13" s="244">
        <f t="shared" si="28"/>
        <v>-9262.2609041348187</v>
      </c>
      <c r="DR13" s="244">
        <f t="shared" si="28"/>
        <v>-9060.6283301229523</v>
      </c>
      <c r="DS13" s="244">
        <f t="shared" si="28"/>
        <v>-9003.9993156333185</v>
      </c>
      <c r="DT13" s="244">
        <f t="shared" si="28"/>
        <v>-8932.3761119104183</v>
      </c>
      <c r="DU13" s="244">
        <f t="shared" si="28"/>
        <v>-8798.9966604870206</v>
      </c>
      <c r="DV13" s="244">
        <f t="shared" si="28"/>
        <v>-8710.55740690737</v>
      </c>
      <c r="DW13" s="244">
        <f t="shared" si="28"/>
        <v>-8638.1016025376848</v>
      </c>
      <c r="DX13" s="244">
        <f t="shared" si="28"/>
        <v>-8504.3033200679947</v>
      </c>
      <c r="DY13" s="244">
        <f t="shared" si="28"/>
        <v>-8415.1061255304376</v>
      </c>
      <c r="DZ13" s="244">
        <f t="shared" si="28"/>
        <v>-8345.1359327170394</v>
      </c>
      <c r="EA13" s="244">
        <f t="shared" si="28"/>
        <v>-8234.2093450866741</v>
      </c>
      <c r="EB13" s="244">
        <f t="shared" si="28"/>
        <v>-8146.5204796859161</v>
      </c>
      <c r="EC13" s="244">
        <f t="shared" si="28"/>
        <v>-7962.2189963996461</v>
      </c>
      <c r="ED13" s="244">
        <f t="shared" si="28"/>
        <v>-7789.0832775116278</v>
      </c>
      <c r="EE13" s="244">
        <f t="shared" si="28"/>
        <v>-7740.4339032853368</v>
      </c>
      <c r="EF13" s="244">
        <f t="shared" si="28"/>
        <v>-7678.9031831658986</v>
      </c>
      <c r="EG13" s="244">
        <f t="shared" si="28"/>
        <v>-7564.3183381906783</v>
      </c>
      <c r="EH13" s="244">
        <f t="shared" si="28"/>
        <v>-7488.3411314095538</v>
      </c>
      <c r="EI13" s="244">
        <f t="shared" si="28"/>
        <v>-7426.0951330743201</v>
      </c>
      <c r="EJ13" s="244">
        <f t="shared" si="28"/>
        <v>-7311.1504748745128</v>
      </c>
      <c r="EK13" s="244">
        <f t="shared" si="28"/>
        <v>-7234.5221292092847</v>
      </c>
      <c r="EL13" s="244">
        <f t="shared" si="28"/>
        <v>-7174.4114928942581</v>
      </c>
      <c r="EM13" s="244">
        <f t="shared" si="28"/>
        <v>-7079.1156605031983</v>
      </c>
      <c r="EN13" s="244">
        <f t="shared" si="28"/>
        <v>-7003.7831040953661</v>
      </c>
      <c r="EO13" s="244">
        <f t="shared" si="28"/>
        <v>-6845.4516919798416</v>
      </c>
      <c r="EP13" s="244">
        <f t="shared" si="28"/>
        <v>-6696.7126673644143</v>
      </c>
      <c r="EQ13" s="244">
        <f t="shared" si="28"/>
        <v>90489.844051405657</v>
      </c>
      <c r="ER13" s="244">
        <f t="shared" si="28"/>
        <v>295732.97611971688</v>
      </c>
      <c r="ES13" s="244">
        <f t="shared" si="28"/>
        <v>696700.86488309829</v>
      </c>
      <c r="ET13" s="244">
        <f t="shared" si="28"/>
        <v>869697.86799518357</v>
      </c>
      <c r="EU13" s="244">
        <f t="shared" si="28"/>
        <v>1194106.2437486085</v>
      </c>
      <c r="EV13" s="244">
        <f t="shared" si="28"/>
        <v>1651102.9100978267</v>
      </c>
      <c r="EW13" s="244">
        <f t="shared" si="28"/>
        <v>1802413.2858340633</v>
      </c>
      <c r="EX13" s="244">
        <f t="shared" si="28"/>
        <v>2072148.9083495624</v>
      </c>
      <c r="EY13" s="244">
        <f t="shared" si="28"/>
        <v>2546399.359212541</v>
      </c>
      <c r="EZ13" s="244">
        <f t="shared" si="28"/>
        <v>2727709.0518950224</v>
      </c>
      <c r="FA13" s="244">
        <f t="shared" si="28"/>
        <v>3248593.2622843459</v>
      </c>
      <c r="FB13" s="244">
        <f t="shared" si="28"/>
        <v>3850076.2449921975</v>
      </c>
    </row>
    <row r="14" spans="3:158" x14ac:dyDescent="0.25">
      <c r="C14" s="2"/>
      <c r="D14" s="292"/>
      <c r="E14" s="292"/>
      <c r="F14" s="292"/>
      <c r="G14" s="292"/>
      <c r="H14" s="292"/>
      <c r="I14" s="292"/>
      <c r="J14" s="292"/>
      <c r="K14" s="292"/>
      <c r="L14" s="292"/>
      <c r="M14" s="292"/>
      <c r="N14" s="292"/>
      <c r="O14" s="292"/>
      <c r="P14" s="292"/>
      <c r="Q14" s="292"/>
      <c r="R14" s="292"/>
      <c r="S14" s="292"/>
      <c r="T14" s="292"/>
      <c r="U14" s="292"/>
      <c r="V14" s="292"/>
      <c r="W14" s="292"/>
      <c r="X14" s="292"/>
      <c r="Y14" s="292"/>
      <c r="Z14" s="292"/>
      <c r="AA14" s="292"/>
      <c r="AB14" s="292"/>
      <c r="AC14" s="292"/>
      <c r="AD14" s="292"/>
      <c r="AE14" s="292"/>
      <c r="AF14" s="292"/>
      <c r="AG14" s="292"/>
      <c r="AH14" s="292"/>
      <c r="AI14" s="292"/>
      <c r="AJ14" s="292"/>
      <c r="AK14" s="292"/>
      <c r="AL14" s="292"/>
      <c r="AM14" s="292"/>
      <c r="AN14" s="292"/>
      <c r="AO14" s="292"/>
      <c r="AP14" s="292"/>
      <c r="AQ14" s="292"/>
      <c r="AR14" s="292"/>
      <c r="AS14" s="292"/>
      <c r="AT14" s="292"/>
      <c r="AU14" s="292"/>
      <c r="AV14" s="292"/>
      <c r="AW14" s="292"/>
      <c r="AY14" s="292"/>
      <c r="AZ14" s="292"/>
      <c r="BA14" s="292"/>
      <c r="BB14" s="292"/>
      <c r="BC14" s="292"/>
      <c r="BD14" s="292"/>
      <c r="BE14" s="292"/>
      <c r="BF14" s="292"/>
      <c r="BG14" s="292"/>
      <c r="BH14" s="292"/>
      <c r="BI14" s="292"/>
      <c r="BJ14" s="292"/>
      <c r="BK14" s="292"/>
      <c r="BL14" s="292"/>
      <c r="BM14" s="292"/>
      <c r="BN14" s="292"/>
      <c r="BO14" s="292"/>
      <c r="BP14" s="292"/>
      <c r="BQ14" s="292"/>
      <c r="BR14" s="292"/>
      <c r="BS14" s="292"/>
      <c r="BT14" s="292"/>
      <c r="BU14" s="292"/>
      <c r="BV14" s="292"/>
      <c r="BW14" s="292"/>
      <c r="BX14" s="292"/>
      <c r="BY14" s="292"/>
      <c r="BZ14" s="292"/>
      <c r="CA14" s="292"/>
      <c r="CB14" s="292"/>
      <c r="CC14" s="292"/>
      <c r="CD14" s="292"/>
      <c r="CE14" s="292"/>
      <c r="CF14" s="292"/>
      <c r="CG14" s="292"/>
      <c r="CH14" s="292"/>
      <c r="CI14" s="292"/>
      <c r="CJ14" s="292"/>
      <c r="CK14" s="292"/>
      <c r="CL14" s="292"/>
      <c r="CM14" s="292"/>
      <c r="CN14" s="292"/>
      <c r="CO14" s="292"/>
      <c r="CP14" s="292"/>
      <c r="CQ14" s="292"/>
      <c r="CR14" s="292"/>
      <c r="CS14" s="292"/>
      <c r="CT14" s="292"/>
      <c r="CU14" s="292"/>
      <c r="CV14" s="292"/>
      <c r="CW14" s="292"/>
      <c r="CX14" s="292"/>
      <c r="CY14" s="292"/>
      <c r="CZ14" s="292"/>
      <c r="DA14" s="292"/>
      <c r="DB14" s="292"/>
      <c r="DC14" s="292"/>
      <c r="DD14" s="292"/>
      <c r="DE14" s="292"/>
      <c r="DF14" s="292"/>
      <c r="DG14" s="292"/>
      <c r="DH14" s="292"/>
      <c r="DI14" s="292"/>
      <c r="DJ14" s="292"/>
      <c r="DK14" s="292"/>
      <c r="DL14" s="292"/>
      <c r="DM14" s="292"/>
      <c r="DN14" s="292"/>
      <c r="DO14" s="292"/>
      <c r="DP14" s="292"/>
      <c r="DQ14" s="292"/>
      <c r="DR14" s="292"/>
      <c r="DS14" s="292"/>
      <c r="DT14" s="292"/>
      <c r="DU14" s="292"/>
      <c r="DV14" s="292"/>
      <c r="DW14" s="292"/>
      <c r="DX14" s="292"/>
      <c r="DY14" s="292"/>
      <c r="DZ14" s="292"/>
      <c r="EA14" s="292"/>
      <c r="EB14" s="292"/>
      <c r="EC14" s="292"/>
      <c r="ED14" s="292"/>
      <c r="EE14" s="292"/>
      <c r="EF14" s="292"/>
      <c r="EG14" s="292"/>
      <c r="EH14" s="292"/>
      <c r="EI14" s="292"/>
      <c r="EJ14" s="292"/>
      <c r="EK14" s="292"/>
      <c r="EL14" s="292"/>
      <c r="EM14" s="292"/>
      <c r="EN14" s="292"/>
      <c r="EO14" s="292"/>
      <c r="EP14" s="292"/>
      <c r="EQ14" s="292"/>
      <c r="ER14" s="292"/>
      <c r="ES14" s="292"/>
      <c r="ET14" s="292"/>
      <c r="EU14" s="292"/>
      <c r="EV14" s="292"/>
      <c r="EW14" s="292"/>
      <c r="EX14" s="292"/>
      <c r="EY14" s="292"/>
      <c r="EZ14" s="292"/>
      <c r="FA14" s="292"/>
      <c r="FB14" s="292"/>
    </row>
    <row r="15" spans="3:158" x14ac:dyDescent="0.25">
      <c r="C15" s="1" t="s">
        <v>636</v>
      </c>
      <c r="D15" s="22">
        <f t="shared" ref="D15:L15" si="29">D209</f>
        <v>10301932.904999996</v>
      </c>
      <c r="E15" s="22">
        <f t="shared" si="29"/>
        <v>18420670.414999995</v>
      </c>
      <c r="F15" s="22">
        <f t="shared" si="29"/>
        <v>28634043.162400994</v>
      </c>
      <c r="G15" s="22">
        <f t="shared" si="29"/>
        <v>49086305.731968775</v>
      </c>
      <c r="H15" s="22">
        <f t="shared" si="29"/>
        <v>74574175.224417254</v>
      </c>
      <c r="I15" s="22">
        <f t="shared" si="29"/>
        <v>109579444.0405816</v>
      </c>
      <c r="J15" s="22">
        <f t="shared" si="29"/>
        <v>156714120.57364959</v>
      </c>
      <c r="K15" s="22">
        <f t="shared" si="29"/>
        <v>218828252.05291453</v>
      </c>
      <c r="L15" s="22">
        <f t="shared" si="29"/>
        <v>298807004.2247715</v>
      </c>
      <c r="M15" s="22"/>
      <c r="N15" s="22">
        <f t="shared" ref="N15:AW15" si="30">N209</f>
        <v>5815051.6449999968</v>
      </c>
      <c r="O15" s="22">
        <f t="shared" si="30"/>
        <v>7452886.4749999968</v>
      </c>
      <c r="P15" s="22">
        <f t="shared" si="30"/>
        <v>8665356.9349999949</v>
      </c>
      <c r="Q15" s="22">
        <f t="shared" si="30"/>
        <v>10301932.904999994</v>
      </c>
      <c r="R15" s="22">
        <f t="shared" si="30"/>
        <v>11806966.454999996</v>
      </c>
      <c r="S15" s="22">
        <f t="shared" si="30"/>
        <v>13362065.614999995</v>
      </c>
      <c r="T15" s="22">
        <f t="shared" si="30"/>
        <v>15548017.574999996</v>
      </c>
      <c r="U15" s="22">
        <f t="shared" si="30"/>
        <v>18420670.414999995</v>
      </c>
      <c r="V15" s="22">
        <f t="shared" si="30"/>
        <v>20388906.926428996</v>
      </c>
      <c r="W15" s="22">
        <f t="shared" si="30"/>
        <v>22884564.380348992</v>
      </c>
      <c r="X15" s="22">
        <f t="shared" si="30"/>
        <v>24830280.284707993</v>
      </c>
      <c r="Y15" s="22">
        <f t="shared" si="30"/>
        <v>28634043.162400998</v>
      </c>
      <c r="Z15" s="22">
        <f t="shared" si="30"/>
        <v>31125510.182026993</v>
      </c>
      <c r="AA15" s="22">
        <f t="shared" si="30"/>
        <v>34739076.908679999</v>
      </c>
      <c r="AB15" s="22">
        <f t="shared" si="30"/>
        <v>40491138.730444364</v>
      </c>
      <c r="AC15" s="22">
        <f t="shared" si="30"/>
        <v>49086305.731968775</v>
      </c>
      <c r="AD15" s="22">
        <f t="shared" si="30"/>
        <v>53487785.869630747</v>
      </c>
      <c r="AE15" s="22">
        <f t="shared" si="30"/>
        <v>59503347.74885381</v>
      </c>
      <c r="AF15" s="22">
        <f t="shared" si="30"/>
        <v>65494973.118807234</v>
      </c>
      <c r="AG15" s="22">
        <f t="shared" si="30"/>
        <v>74574175.224417269</v>
      </c>
      <c r="AH15" s="22">
        <f t="shared" si="30"/>
        <v>80827172.128122896</v>
      </c>
      <c r="AI15" s="22">
        <f t="shared" si="30"/>
        <v>89577773.589623794</v>
      </c>
      <c r="AJ15" s="22">
        <f t="shared" si="30"/>
        <v>97814489.013453528</v>
      </c>
      <c r="AK15" s="22">
        <f t="shared" si="30"/>
        <v>109579444.0405816</v>
      </c>
      <c r="AL15" s="22">
        <f t="shared" si="30"/>
        <v>117988357.41124246</v>
      </c>
      <c r="AM15" s="22">
        <f t="shared" si="30"/>
        <v>129778290.24828881</v>
      </c>
      <c r="AN15" s="22">
        <f t="shared" si="30"/>
        <v>140878125.1938175</v>
      </c>
      <c r="AO15" s="22">
        <f t="shared" si="30"/>
        <v>156714120.57364959</v>
      </c>
      <c r="AP15" s="22">
        <f t="shared" si="30"/>
        <v>167781889.96819296</v>
      </c>
      <c r="AQ15" s="22">
        <f t="shared" si="30"/>
        <v>183327747.99536958</v>
      </c>
      <c r="AR15" s="22">
        <f t="shared" si="30"/>
        <v>197966517.15208164</v>
      </c>
      <c r="AS15" s="22">
        <f t="shared" si="30"/>
        <v>218828252.0529145</v>
      </c>
      <c r="AT15" s="22">
        <f t="shared" si="30"/>
        <v>233061331.71563905</v>
      </c>
      <c r="AU15" s="22">
        <f t="shared" si="30"/>
        <v>253090340.28035113</v>
      </c>
      <c r="AV15" s="22">
        <f t="shared" si="30"/>
        <v>271954448.75593531</v>
      </c>
      <c r="AW15" s="22">
        <f t="shared" si="30"/>
        <v>298807004.22477144</v>
      </c>
      <c r="AY15" s="22">
        <f>AY209</f>
        <v>4820973.6449999968</v>
      </c>
      <c r="AZ15" s="22">
        <f t="shared" ref="AZ15:DK16" si="31">AZ209</f>
        <v>5092973.6449999968</v>
      </c>
      <c r="BA15" s="22">
        <f t="shared" si="31"/>
        <v>5815051.6449999968</v>
      </c>
      <c r="BB15" s="22">
        <f t="shared" si="31"/>
        <v>5978048.0749999965</v>
      </c>
      <c r="BC15" s="22">
        <f t="shared" si="31"/>
        <v>6595994.7549999962</v>
      </c>
      <c r="BD15" s="22">
        <f t="shared" si="31"/>
        <v>7452886.4749999959</v>
      </c>
      <c r="BE15" s="22">
        <f t="shared" si="31"/>
        <v>7525436.4749999959</v>
      </c>
      <c r="BF15" s="22">
        <f t="shared" si="31"/>
        <v>7932989.9349999959</v>
      </c>
      <c r="BG15" s="22">
        <f t="shared" si="31"/>
        <v>8665356.9349999949</v>
      </c>
      <c r="BH15" s="22">
        <f t="shared" si="31"/>
        <v>8943851.6049999949</v>
      </c>
      <c r="BI15" s="22">
        <f t="shared" si="31"/>
        <v>9523215.2749999948</v>
      </c>
      <c r="BJ15" s="22">
        <f t="shared" si="31"/>
        <v>10301932.904999996</v>
      </c>
      <c r="BK15" s="22">
        <f t="shared" si="31"/>
        <v>10520462.904999996</v>
      </c>
      <c r="BL15" s="22">
        <f t="shared" si="31"/>
        <v>10693363.194999995</v>
      </c>
      <c r="BM15" s="22">
        <f t="shared" si="31"/>
        <v>11806966.454999994</v>
      </c>
      <c r="BN15" s="22">
        <f t="shared" si="31"/>
        <v>12017519.454999994</v>
      </c>
      <c r="BO15" s="22">
        <f t="shared" si="31"/>
        <v>12545914.784999995</v>
      </c>
      <c r="BP15" s="22">
        <f t="shared" si="31"/>
        <v>13362065.614999995</v>
      </c>
      <c r="BQ15" s="22">
        <f t="shared" si="31"/>
        <v>13625311.614999995</v>
      </c>
      <c r="BR15" s="22">
        <f t="shared" si="31"/>
        <v>14160283.284999995</v>
      </c>
      <c r="BS15" s="22">
        <f t="shared" si="31"/>
        <v>15548017.574999996</v>
      </c>
      <c r="BT15" s="22">
        <f t="shared" si="31"/>
        <v>15693569.434999995</v>
      </c>
      <c r="BU15" s="22">
        <f t="shared" si="31"/>
        <v>16990812.404999994</v>
      </c>
      <c r="BV15" s="22">
        <f t="shared" si="31"/>
        <v>18420670.414999995</v>
      </c>
      <c r="BW15" s="22">
        <f t="shared" si="31"/>
        <v>18708000.414999995</v>
      </c>
      <c r="BX15" s="22">
        <f t="shared" si="31"/>
        <v>19293352.268076994</v>
      </c>
      <c r="BY15" s="22">
        <f t="shared" si="31"/>
        <v>20388906.926428992</v>
      </c>
      <c r="BZ15" s="22">
        <f t="shared" si="31"/>
        <v>20742016.017527994</v>
      </c>
      <c r="CA15" s="22">
        <f t="shared" si="31"/>
        <v>21530895.337527994</v>
      </c>
      <c r="CB15" s="22">
        <f t="shared" si="31"/>
        <v>22884564.380348995</v>
      </c>
      <c r="CC15" s="22">
        <f t="shared" si="31"/>
        <v>23009404.180348996</v>
      </c>
      <c r="CD15" s="22">
        <f t="shared" si="31"/>
        <v>23911184.839322995</v>
      </c>
      <c r="CE15" s="22">
        <f t="shared" si="31"/>
        <v>24830280.284707997</v>
      </c>
      <c r="CF15" s="22">
        <f t="shared" si="31"/>
        <v>25236931.574707996</v>
      </c>
      <c r="CG15" s="22">
        <f t="shared" si="31"/>
        <v>26613252.898334995</v>
      </c>
      <c r="CH15" s="22">
        <f t="shared" si="31"/>
        <v>28634043.162400994</v>
      </c>
      <c r="CI15" s="22">
        <f t="shared" si="31"/>
        <v>28718157.063340995</v>
      </c>
      <c r="CJ15" s="22">
        <f t="shared" si="31"/>
        <v>29474864.843340997</v>
      </c>
      <c r="CK15" s="22">
        <f t="shared" si="31"/>
        <v>31125510.182026997</v>
      </c>
      <c r="CL15" s="22">
        <f t="shared" si="31"/>
        <v>31935005.242913999</v>
      </c>
      <c r="CM15" s="22">
        <f t="shared" si="31"/>
        <v>33181042.002209999</v>
      </c>
      <c r="CN15" s="22">
        <f t="shared" si="31"/>
        <v>34739076.908679999</v>
      </c>
      <c r="CO15" s="22">
        <f t="shared" si="31"/>
        <v>35599551.407807693</v>
      </c>
      <c r="CP15" s="22">
        <f t="shared" si="31"/>
        <v>37640953.857532717</v>
      </c>
      <c r="CQ15" s="22">
        <f t="shared" si="31"/>
        <v>40491138.730444364</v>
      </c>
      <c r="CR15" s="22">
        <f t="shared" si="31"/>
        <v>41357548.345962144</v>
      </c>
      <c r="CS15" s="22">
        <f t="shared" si="31"/>
        <v>44780990.698222801</v>
      </c>
      <c r="CT15" s="22">
        <f t="shared" si="31"/>
        <v>49086305.731968775</v>
      </c>
      <c r="CU15" s="22">
        <f t="shared" si="31"/>
        <v>49602361.208869286</v>
      </c>
      <c r="CV15" s="22">
        <f t="shared" si="31"/>
        <v>50894196.003070988</v>
      </c>
      <c r="CW15" s="22">
        <f t="shared" si="31"/>
        <v>53487785.869630754</v>
      </c>
      <c r="CX15" s="22">
        <f t="shared" si="31"/>
        <v>54420044.892991982</v>
      </c>
      <c r="CY15" s="22">
        <f t="shared" si="31"/>
        <v>56549936.098757505</v>
      </c>
      <c r="CZ15" s="22">
        <f t="shared" si="31"/>
        <v>59503347.74885381</v>
      </c>
      <c r="DA15" s="22">
        <f t="shared" si="31"/>
        <v>60385776.168980569</v>
      </c>
      <c r="DB15" s="22">
        <f t="shared" si="31"/>
        <v>62225029.777640656</v>
      </c>
      <c r="DC15" s="22">
        <f t="shared" si="31"/>
        <v>65494973.118807226</v>
      </c>
      <c r="DD15" s="22">
        <f t="shared" si="31"/>
        <v>66779567.481964007</v>
      </c>
      <c r="DE15" s="22">
        <f t="shared" si="31"/>
        <v>70354139.361554846</v>
      </c>
      <c r="DF15" s="22">
        <f t="shared" si="31"/>
        <v>74574175.224417254</v>
      </c>
      <c r="DG15" s="22">
        <f t="shared" si="31"/>
        <v>75347707.979148999</v>
      </c>
      <c r="DH15" s="22">
        <f t="shared" si="31"/>
        <v>77193089.851385295</v>
      </c>
      <c r="DI15" s="22">
        <f t="shared" si="31"/>
        <v>80827172.128122896</v>
      </c>
      <c r="DJ15" s="22">
        <f t="shared" si="31"/>
        <v>82258688.067983523</v>
      </c>
      <c r="DK15" s="22">
        <f t="shared" si="31"/>
        <v>85355444.410157964</v>
      </c>
      <c r="DL15" s="22">
        <f t="shared" ref="DL15:FB16" si="32">DL209</f>
        <v>89577773.589623779</v>
      </c>
      <c r="DM15" s="22">
        <f t="shared" si="32"/>
        <v>90777538.951124996</v>
      </c>
      <c r="DN15" s="22">
        <f t="shared" si="32"/>
        <v>93309455.664196953</v>
      </c>
      <c r="DO15" s="22">
        <f t="shared" si="32"/>
        <v>97814489.013453528</v>
      </c>
      <c r="DP15" s="22">
        <f t="shared" si="32"/>
        <v>99336867.60526666</v>
      </c>
      <c r="DQ15" s="22">
        <f t="shared" si="32"/>
        <v>104009071.40474217</v>
      </c>
      <c r="DR15" s="22">
        <f t="shared" si="32"/>
        <v>109579444.0405816</v>
      </c>
      <c r="DS15" s="22">
        <f t="shared" si="32"/>
        <v>110612106.83763996</v>
      </c>
      <c r="DT15" s="22">
        <f t="shared" si="32"/>
        <v>113095485.63995965</v>
      </c>
      <c r="DU15" s="22">
        <f t="shared" si="32"/>
        <v>117988357.41124247</v>
      </c>
      <c r="DV15" s="22">
        <f t="shared" si="32"/>
        <v>119904528.59087734</v>
      </c>
      <c r="DW15" s="22">
        <f t="shared" si="32"/>
        <v>124086807.16038169</v>
      </c>
      <c r="DX15" s="22">
        <f t="shared" si="32"/>
        <v>129778290.24828881</v>
      </c>
      <c r="DY15" s="22">
        <f t="shared" si="32"/>
        <v>131379546.02382183</v>
      </c>
      <c r="DZ15" s="22">
        <f t="shared" si="32"/>
        <v>134795641.26157734</v>
      </c>
      <c r="EA15" s="22">
        <f t="shared" si="32"/>
        <v>140878125.1938175</v>
      </c>
      <c r="EB15" s="22">
        <f t="shared" si="32"/>
        <v>142917906.92423758</v>
      </c>
      <c r="EC15" s="22">
        <f t="shared" si="32"/>
        <v>149204489.69278118</v>
      </c>
      <c r="ED15" s="22">
        <f t="shared" si="32"/>
        <v>156714120.57364959</v>
      </c>
      <c r="EE15" s="22">
        <f t="shared" si="32"/>
        <v>158063793.73631954</v>
      </c>
      <c r="EF15" s="22">
        <f t="shared" si="32"/>
        <v>161334595.69926453</v>
      </c>
      <c r="EG15" s="22">
        <f t="shared" si="32"/>
        <v>167781889.96819296</v>
      </c>
      <c r="EH15" s="22">
        <f t="shared" si="32"/>
        <v>170292754.63489795</v>
      </c>
      <c r="EI15" s="22">
        <f t="shared" si="32"/>
        <v>175819840.42394534</v>
      </c>
      <c r="EJ15" s="22">
        <f t="shared" si="32"/>
        <v>183327747.99536958</v>
      </c>
      <c r="EK15" s="22">
        <f t="shared" si="32"/>
        <v>185420023.92584544</v>
      </c>
      <c r="EL15" s="22">
        <f t="shared" si="32"/>
        <v>189930372.19263658</v>
      </c>
      <c r="EM15" s="22">
        <f t="shared" si="32"/>
        <v>197966517.15208164</v>
      </c>
      <c r="EN15" s="22">
        <f t="shared" si="32"/>
        <v>200641862.05402836</v>
      </c>
      <c r="EO15" s="22">
        <f t="shared" si="32"/>
        <v>208920616.87842193</v>
      </c>
      <c r="EP15" s="22">
        <f t="shared" si="32"/>
        <v>218828252.05291453</v>
      </c>
      <c r="EQ15" s="22">
        <f t="shared" si="32"/>
        <v>220551310.36891565</v>
      </c>
      <c r="ER15" s="22">
        <f t="shared" si="32"/>
        <v>224760445.95359093</v>
      </c>
      <c r="ES15" s="22">
        <f t="shared" si="32"/>
        <v>233061331.71563902</v>
      </c>
      <c r="ET15" s="22">
        <f t="shared" si="32"/>
        <v>236275450.19096091</v>
      </c>
      <c r="EU15" s="22">
        <f t="shared" si="32"/>
        <v>243412936.2598339</v>
      </c>
      <c r="EV15" s="22">
        <f t="shared" si="32"/>
        <v>253090340.28035113</v>
      </c>
      <c r="EW15" s="22">
        <f t="shared" si="32"/>
        <v>255760721.87949887</v>
      </c>
      <c r="EX15" s="22">
        <f t="shared" si="32"/>
        <v>261579697.10325059</v>
      </c>
      <c r="EY15" s="22">
        <f t="shared" si="32"/>
        <v>271954448.75593531</v>
      </c>
      <c r="EZ15" s="22">
        <f t="shared" si="32"/>
        <v>275382454.03862929</v>
      </c>
      <c r="FA15" s="22">
        <f t="shared" si="32"/>
        <v>286034694.86369079</v>
      </c>
      <c r="FB15" s="22">
        <f t="shared" si="32"/>
        <v>298807004.2247715</v>
      </c>
    </row>
    <row r="16" spans="3:158" x14ac:dyDescent="0.25">
      <c r="C16" s="2" t="s">
        <v>346</v>
      </c>
      <c r="D16" s="244">
        <f t="shared" ref="D16:L16" si="33">D210</f>
        <v>9774149.4869999979</v>
      </c>
      <c r="E16" s="244">
        <f t="shared" si="33"/>
        <v>17486950.121499993</v>
      </c>
      <c r="F16" s="244">
        <f t="shared" si="33"/>
        <v>27189654.231530935</v>
      </c>
      <c r="G16" s="244">
        <f t="shared" si="33"/>
        <v>44880959.301658958</v>
      </c>
      <c r="H16" s="244">
        <f t="shared" si="33"/>
        <v>65215785.156534076</v>
      </c>
      <c r="I16" s="244">
        <f t="shared" si="33"/>
        <v>83580737.183377549</v>
      </c>
      <c r="J16" s="244">
        <f t="shared" si="33"/>
        <v>106308214.99248308</v>
      </c>
      <c r="K16" s="244">
        <f t="shared" si="33"/>
        <v>137059074.00278836</v>
      </c>
      <c r="L16" s="244">
        <f t="shared" si="33"/>
        <v>174943751.70303473</v>
      </c>
      <c r="M16" s="244"/>
      <c r="N16" s="244">
        <f t="shared" ref="N16:AV16" si="34">N210</f>
        <v>5511612.2899999972</v>
      </c>
      <c r="O16" s="244">
        <f t="shared" si="34"/>
        <v>7067555.3784999959</v>
      </c>
      <c r="P16" s="244">
        <f t="shared" si="34"/>
        <v>8219402.3154999958</v>
      </c>
      <c r="Q16" s="244">
        <f t="shared" si="34"/>
        <v>9774149.486999996</v>
      </c>
      <c r="R16" s="244">
        <f t="shared" si="34"/>
        <v>11203931.359499998</v>
      </c>
      <c r="S16" s="244">
        <f t="shared" si="34"/>
        <v>12681275.561499996</v>
      </c>
      <c r="T16" s="244">
        <f t="shared" si="34"/>
        <v>14757929.923499996</v>
      </c>
      <c r="U16" s="244">
        <f t="shared" si="34"/>
        <v>17486950.121499997</v>
      </c>
      <c r="V16" s="244">
        <f t="shared" si="34"/>
        <v>19356774.807357542</v>
      </c>
      <c r="W16" s="244">
        <f t="shared" si="34"/>
        <v>21727649.388581544</v>
      </c>
      <c r="X16" s="244">
        <f t="shared" si="34"/>
        <v>23576079.497722588</v>
      </c>
      <c r="Y16" s="244">
        <f t="shared" si="34"/>
        <v>27189654.231530938</v>
      </c>
      <c r="Z16" s="244">
        <f t="shared" si="34"/>
        <v>29329610.073568881</v>
      </c>
      <c r="AA16" s="244">
        <f t="shared" si="34"/>
        <v>32442054.634652391</v>
      </c>
      <c r="AB16" s="244">
        <f t="shared" si="34"/>
        <v>37427306.392321333</v>
      </c>
      <c r="AC16" s="244">
        <f t="shared" si="34"/>
        <v>44880959.301658958</v>
      </c>
      <c r="AD16" s="244">
        <f t="shared" si="34"/>
        <v>48379840.599150874</v>
      </c>
      <c r="AE16" s="244">
        <f t="shared" si="34"/>
        <v>53180836.083319776</v>
      </c>
      <c r="AF16" s="244">
        <f t="shared" si="34"/>
        <v>57969816.644428387</v>
      </c>
      <c r="AG16" s="244">
        <f t="shared" si="34"/>
        <v>65215785.156534076</v>
      </c>
      <c r="AH16" s="244">
        <f t="shared" si="34"/>
        <v>68450465.394676268</v>
      </c>
      <c r="AI16" s="244">
        <f t="shared" si="34"/>
        <v>73072123.326253861</v>
      </c>
      <c r="AJ16" s="244">
        <f t="shared" si="34"/>
        <v>77432065.537967891</v>
      </c>
      <c r="AK16" s="244">
        <f t="shared" si="34"/>
        <v>83580737.183377549</v>
      </c>
      <c r="AL16" s="244">
        <f t="shared" si="34"/>
        <v>87582831.411590666</v>
      </c>
      <c r="AM16" s="244">
        <f t="shared" si="34"/>
        <v>93302999.868421406</v>
      </c>
      <c r="AN16" s="244">
        <f t="shared" si="34"/>
        <v>98699450.223387718</v>
      </c>
      <c r="AO16" s="244">
        <f t="shared" si="34"/>
        <v>106308214.99248308</v>
      </c>
      <c r="AP16" s="244">
        <f t="shared" si="34"/>
        <v>111739839.45385481</v>
      </c>
      <c r="AQ16" s="244">
        <f t="shared" si="34"/>
        <v>119468165.77755982</v>
      </c>
      <c r="AR16" s="244">
        <f t="shared" si="34"/>
        <v>126755623.00317116</v>
      </c>
      <c r="AS16" s="244">
        <f t="shared" si="34"/>
        <v>137059074.00278836</v>
      </c>
      <c r="AT16" s="244">
        <f t="shared" si="34"/>
        <v>143747179.23488113</v>
      </c>
      <c r="AU16" s="244">
        <f t="shared" si="34"/>
        <v>153270791.88589683</v>
      </c>
      <c r="AV16" s="244">
        <f t="shared" si="34"/>
        <v>162251876.50634515</v>
      </c>
      <c r="AW16" s="244">
        <f t="shared" ref="AW16" si="35">AW210</f>
        <v>174943751.70303473</v>
      </c>
      <c r="AY16" s="244">
        <f t="shared" ref="AY16:BN16" si="36">AY210</f>
        <v>4567238.1899999967</v>
      </c>
      <c r="AZ16" s="244">
        <f t="shared" si="36"/>
        <v>4825638.1899999967</v>
      </c>
      <c r="BA16" s="244">
        <f t="shared" si="36"/>
        <v>5511612.2899999963</v>
      </c>
      <c r="BB16" s="244">
        <f t="shared" si="36"/>
        <v>5666458.8984999964</v>
      </c>
      <c r="BC16" s="244">
        <f t="shared" si="36"/>
        <v>6253508.2444999963</v>
      </c>
      <c r="BD16" s="244">
        <f t="shared" si="36"/>
        <v>7067555.3784999959</v>
      </c>
      <c r="BE16" s="244">
        <f t="shared" si="36"/>
        <v>7136477.8784999959</v>
      </c>
      <c r="BF16" s="244">
        <f t="shared" si="36"/>
        <v>7523653.6654999964</v>
      </c>
      <c r="BG16" s="244">
        <f t="shared" si="36"/>
        <v>8219402.3154999968</v>
      </c>
      <c r="BH16" s="244">
        <f t="shared" si="36"/>
        <v>8483972.2519999966</v>
      </c>
      <c r="BI16" s="244">
        <f t="shared" si="36"/>
        <v>9034367.7384999972</v>
      </c>
      <c r="BJ16" s="244">
        <f t="shared" si="36"/>
        <v>9774149.4869999979</v>
      </c>
      <c r="BK16" s="244">
        <f t="shared" si="36"/>
        <v>9981752.9869999979</v>
      </c>
      <c r="BL16" s="244">
        <f t="shared" si="36"/>
        <v>10146008.262499997</v>
      </c>
      <c r="BM16" s="244">
        <f t="shared" si="36"/>
        <v>11203931.359499997</v>
      </c>
      <c r="BN16" s="244">
        <f t="shared" si="36"/>
        <v>11403956.709499996</v>
      </c>
      <c r="BO16" s="244">
        <f t="shared" si="31"/>
        <v>11905932.272999996</v>
      </c>
      <c r="BP16" s="244">
        <f t="shared" si="31"/>
        <v>12681275.561499996</v>
      </c>
      <c r="BQ16" s="244">
        <f t="shared" si="31"/>
        <v>12931359.261499995</v>
      </c>
      <c r="BR16" s="244">
        <f t="shared" si="31"/>
        <v>13439582.347999996</v>
      </c>
      <c r="BS16" s="244">
        <f t="shared" si="31"/>
        <v>14757929.923499996</v>
      </c>
      <c r="BT16" s="244">
        <f t="shared" si="31"/>
        <v>14896204.190499995</v>
      </c>
      <c r="BU16" s="244">
        <f t="shared" si="31"/>
        <v>16128585.011999995</v>
      </c>
      <c r="BV16" s="244">
        <f t="shared" si="31"/>
        <v>17486950.121499993</v>
      </c>
      <c r="BW16" s="244">
        <f t="shared" si="31"/>
        <v>17759913.621499993</v>
      </c>
      <c r="BX16" s="244">
        <f t="shared" si="31"/>
        <v>18315997.881923143</v>
      </c>
      <c r="BY16" s="244">
        <f t="shared" si="31"/>
        <v>19356774.807357542</v>
      </c>
      <c r="BZ16" s="244">
        <f t="shared" si="31"/>
        <v>19692228.443901591</v>
      </c>
      <c r="CA16" s="244">
        <f t="shared" si="31"/>
        <v>20441663.797901589</v>
      </c>
      <c r="CB16" s="244">
        <f t="shared" si="31"/>
        <v>21727649.38858154</v>
      </c>
      <c r="CC16" s="244">
        <f t="shared" si="31"/>
        <v>21846247.198581539</v>
      </c>
      <c r="CD16" s="244">
        <f t="shared" si="31"/>
        <v>22702938.82460684</v>
      </c>
      <c r="CE16" s="244">
        <f t="shared" si="31"/>
        <v>23576079.497722588</v>
      </c>
      <c r="CF16" s="244">
        <f t="shared" si="31"/>
        <v>23962398.223222587</v>
      </c>
      <c r="CG16" s="244">
        <f t="shared" si="31"/>
        <v>25269903.480668236</v>
      </c>
      <c r="CH16" s="244">
        <f t="shared" si="31"/>
        <v>27189654.231530935</v>
      </c>
      <c r="CI16" s="244">
        <f t="shared" si="31"/>
        <v>27247733.373526417</v>
      </c>
      <c r="CJ16" s="244">
        <f t="shared" si="31"/>
        <v>27900606.696941067</v>
      </c>
      <c r="CK16" s="244">
        <f t="shared" si="31"/>
        <v>29329610.073568881</v>
      </c>
      <c r="CL16" s="244">
        <f t="shared" si="31"/>
        <v>30019200.927416794</v>
      </c>
      <c r="CM16" s="244">
        <f t="shared" si="31"/>
        <v>31090608.996867802</v>
      </c>
      <c r="CN16" s="244">
        <f t="shared" si="31"/>
        <v>32442054.634652391</v>
      </c>
      <c r="CO16" s="244">
        <f t="shared" si="31"/>
        <v>33187625.3973318</v>
      </c>
      <c r="CP16" s="244">
        <f t="shared" si="31"/>
        <v>34959222.798056602</v>
      </c>
      <c r="CQ16" s="244">
        <f t="shared" si="31"/>
        <v>37427306.392321333</v>
      </c>
      <c r="CR16" s="244">
        <f t="shared" si="31"/>
        <v>38179216.898835301</v>
      </c>
      <c r="CS16" s="244">
        <f t="shared" si="31"/>
        <v>41146791.316235438</v>
      </c>
      <c r="CT16" s="244">
        <f t="shared" si="31"/>
        <v>44880959.301658958</v>
      </c>
      <c r="CU16" s="244">
        <f t="shared" si="31"/>
        <v>45283335.409486495</v>
      </c>
      <c r="CV16" s="244">
        <f t="shared" si="31"/>
        <v>46311820.462216564</v>
      </c>
      <c r="CW16" s="244">
        <f t="shared" si="31"/>
        <v>48379840.599150881</v>
      </c>
      <c r="CX16" s="244">
        <f t="shared" si="31"/>
        <v>49110931.166021064</v>
      </c>
      <c r="CY16" s="244">
        <f t="shared" si="31"/>
        <v>50820436.579699673</v>
      </c>
      <c r="CZ16" s="244">
        <f t="shared" si="31"/>
        <v>53180836.083319768</v>
      </c>
      <c r="DA16" s="244">
        <f t="shared" si="31"/>
        <v>53871189.041566953</v>
      </c>
      <c r="DB16" s="244">
        <f t="shared" si="31"/>
        <v>55345181.642163821</v>
      </c>
      <c r="DC16" s="244">
        <f t="shared" si="31"/>
        <v>57969816.644428387</v>
      </c>
      <c r="DD16" s="244">
        <f t="shared" si="31"/>
        <v>58987554.497173958</v>
      </c>
      <c r="DE16" s="244">
        <f t="shared" si="31"/>
        <v>61837625.410605386</v>
      </c>
      <c r="DF16" s="244">
        <f t="shared" si="31"/>
        <v>65215785.156534076</v>
      </c>
      <c r="DG16" s="244">
        <f t="shared" si="31"/>
        <v>65583681.003311485</v>
      </c>
      <c r="DH16" s="244">
        <f t="shared" si="31"/>
        <v>66545728.441018835</v>
      </c>
      <c r="DI16" s="244">
        <f t="shared" si="31"/>
        <v>68450465.394676268</v>
      </c>
      <c r="DJ16" s="244">
        <f t="shared" si="31"/>
        <v>69153047.708579183</v>
      </c>
      <c r="DK16" s="244">
        <f t="shared" si="31"/>
        <v>70830925.067796201</v>
      </c>
      <c r="DL16" s="244">
        <f t="shared" si="32"/>
        <v>73072123.326253861</v>
      </c>
      <c r="DM16" s="244">
        <f t="shared" si="32"/>
        <v>73640923.723672226</v>
      </c>
      <c r="DN16" s="244">
        <f t="shared" si="32"/>
        <v>74998497.597609222</v>
      </c>
      <c r="DO16" s="244">
        <f t="shared" si="32"/>
        <v>77432065.537967891</v>
      </c>
      <c r="DP16" s="244">
        <f t="shared" si="32"/>
        <v>78187702.305231228</v>
      </c>
      <c r="DQ16" s="244">
        <f t="shared" si="32"/>
        <v>80619509.340677321</v>
      </c>
      <c r="DR16" s="244">
        <f t="shared" si="32"/>
        <v>83580737.183377549</v>
      </c>
      <c r="DS16" s="244">
        <f t="shared" si="32"/>
        <v>84035221.195407599</v>
      </c>
      <c r="DT16" s="244">
        <f t="shared" si="32"/>
        <v>85225670.02110371</v>
      </c>
      <c r="DU16" s="244">
        <f t="shared" si="32"/>
        <v>87582831.411590666</v>
      </c>
      <c r="DV16" s="244">
        <f t="shared" si="32"/>
        <v>88451282.491583228</v>
      </c>
      <c r="DW16" s="244">
        <f t="shared" si="32"/>
        <v>90528861.620061785</v>
      </c>
      <c r="DX16" s="244">
        <f t="shared" si="32"/>
        <v>93302999.868421406</v>
      </c>
      <c r="DY16" s="244">
        <f t="shared" si="32"/>
        <v>94005631.015472636</v>
      </c>
      <c r="DZ16" s="244">
        <f t="shared" si="32"/>
        <v>95686311.549467862</v>
      </c>
      <c r="EA16" s="244">
        <f t="shared" si="32"/>
        <v>98699450.223387718</v>
      </c>
      <c r="EB16" s="244">
        <f t="shared" si="32"/>
        <v>99633672.815749004</v>
      </c>
      <c r="EC16" s="244">
        <f t="shared" si="32"/>
        <v>102642735.42356001</v>
      </c>
      <c r="ED16" s="244">
        <f t="shared" si="32"/>
        <v>106308214.99248308</v>
      </c>
      <c r="EE16" s="244">
        <f t="shared" si="32"/>
        <v>106936946.5023247</v>
      </c>
      <c r="EF16" s="244">
        <f t="shared" si="32"/>
        <v>108549875.22960807</v>
      </c>
      <c r="EG16" s="244">
        <f t="shared" si="32"/>
        <v>111739839.45385481</v>
      </c>
      <c r="EH16" s="244">
        <f t="shared" si="32"/>
        <v>112932505.50030002</v>
      </c>
      <c r="EI16" s="244">
        <f t="shared" si="32"/>
        <v>115724156.08602549</v>
      </c>
      <c r="EJ16" s="244">
        <f t="shared" si="32"/>
        <v>119468165.77755982</v>
      </c>
      <c r="EK16" s="244">
        <f t="shared" si="32"/>
        <v>120440912.55058919</v>
      </c>
      <c r="EL16" s="244">
        <f t="shared" si="32"/>
        <v>122704272.83603409</v>
      </c>
      <c r="EM16" s="244">
        <f t="shared" si="32"/>
        <v>126755623.00317116</v>
      </c>
      <c r="EN16" s="244">
        <f t="shared" si="32"/>
        <v>128035319.78856193</v>
      </c>
      <c r="EO16" s="244">
        <f t="shared" si="32"/>
        <v>132113715.32977258</v>
      </c>
      <c r="EP16" s="244">
        <f t="shared" si="32"/>
        <v>137059074.00278836</v>
      </c>
      <c r="EQ16" s="244">
        <f t="shared" si="32"/>
        <v>137830695.10240209</v>
      </c>
      <c r="ER16" s="244">
        <f t="shared" si="32"/>
        <v>139817325.70391551</v>
      </c>
      <c r="ES16" s="244">
        <f t="shared" si="32"/>
        <v>143747179.23488116</v>
      </c>
      <c r="ET16" s="244">
        <f t="shared" si="32"/>
        <v>145212737.81445733</v>
      </c>
      <c r="EU16" s="244">
        <f t="shared" si="32"/>
        <v>148656181.68768114</v>
      </c>
      <c r="EV16" s="244">
        <f t="shared" si="32"/>
        <v>153270791.88589683</v>
      </c>
      <c r="EW16" s="244">
        <f t="shared" si="32"/>
        <v>154464457.96245587</v>
      </c>
      <c r="EX16" s="244">
        <f t="shared" si="32"/>
        <v>157255178.70204619</v>
      </c>
      <c r="EY16" s="244">
        <f t="shared" si="32"/>
        <v>162251876.50634515</v>
      </c>
      <c r="EZ16" s="244">
        <f t="shared" si="32"/>
        <v>163825077.33429453</v>
      </c>
      <c r="FA16" s="244">
        <f t="shared" si="32"/>
        <v>168848092.58944231</v>
      </c>
      <c r="FB16" s="244">
        <f t="shared" si="32"/>
        <v>174943751.70303473</v>
      </c>
    </row>
    <row r="17" spans="3:158" x14ac:dyDescent="0.25">
      <c r="C17" s="2" t="s">
        <v>298</v>
      </c>
      <c r="D17" s="244">
        <f t="shared" ref="D17:L17" si="37">D211</f>
        <v>211113.36719999992</v>
      </c>
      <c r="E17" s="244">
        <f t="shared" si="37"/>
        <v>373488.11739999993</v>
      </c>
      <c r="F17" s="244">
        <f t="shared" si="37"/>
        <v>577755.57234801981</v>
      </c>
      <c r="G17" s="244">
        <f t="shared" si="37"/>
        <v>1213143.8527573966</v>
      </c>
      <c r="H17" s="244">
        <f t="shared" si="37"/>
        <v>2437064.0948835206</v>
      </c>
      <c r="I17" s="244">
        <f t="shared" si="37"/>
        <v>7330127.347975431</v>
      </c>
      <c r="J17" s="244">
        <f t="shared" si="37"/>
        <v>13687199.746108076</v>
      </c>
      <c r="K17" s="244">
        <f t="shared" si="37"/>
        <v>21870587.734055478</v>
      </c>
      <c r="L17" s="244">
        <f t="shared" si="37"/>
        <v>34622959.14297203</v>
      </c>
      <c r="M17" s="244"/>
      <c r="N17" s="244">
        <f t="shared" ref="N17:AV17" si="38">N211</f>
        <v>121375.74199999991</v>
      </c>
      <c r="O17" s="244">
        <f t="shared" si="38"/>
        <v>154132.43859999991</v>
      </c>
      <c r="P17" s="244">
        <f t="shared" si="38"/>
        <v>178381.8477999999</v>
      </c>
      <c r="Q17" s="244">
        <f t="shared" si="38"/>
        <v>211113.36719999992</v>
      </c>
      <c r="R17" s="244">
        <f t="shared" si="38"/>
        <v>241214.03819999992</v>
      </c>
      <c r="S17" s="244">
        <f t="shared" si="38"/>
        <v>272316.02139999997</v>
      </c>
      <c r="T17" s="244">
        <f t="shared" si="38"/>
        <v>316035.06059999997</v>
      </c>
      <c r="U17" s="244">
        <f t="shared" si="38"/>
        <v>373488.11739999993</v>
      </c>
      <c r="V17" s="244">
        <f t="shared" si="38"/>
        <v>412852.84762857994</v>
      </c>
      <c r="W17" s="244">
        <f t="shared" si="38"/>
        <v>462765.99670697993</v>
      </c>
      <c r="X17" s="244">
        <f t="shared" si="38"/>
        <v>501680.3147941599</v>
      </c>
      <c r="Y17" s="244">
        <f t="shared" si="38"/>
        <v>577755.57234801981</v>
      </c>
      <c r="Z17" s="244">
        <f t="shared" si="38"/>
        <v>657112.14661094756</v>
      </c>
      <c r="AA17" s="244">
        <f t="shared" si="38"/>
        <v>771088.40593019151</v>
      </c>
      <c r="AB17" s="244">
        <f t="shared" si="38"/>
        <v>948539.01049332751</v>
      </c>
      <c r="AC17" s="244">
        <f t="shared" si="38"/>
        <v>1213143.8527573966</v>
      </c>
      <c r="AD17" s="244">
        <f t="shared" si="38"/>
        <v>1427046.9195813835</v>
      </c>
      <c r="AE17" s="244">
        <f t="shared" si="38"/>
        <v>1715584.8745237372</v>
      </c>
      <c r="AF17" s="244">
        <f t="shared" si="38"/>
        <v>2001556.6967687849</v>
      </c>
      <c r="AG17" s="244">
        <f t="shared" si="38"/>
        <v>2437064.0948835211</v>
      </c>
      <c r="AH17" s="244">
        <f t="shared" si="38"/>
        <v>3325149.3027420426</v>
      </c>
      <c r="AI17" s="244">
        <f t="shared" si="38"/>
        <v>4538888.2113801641</v>
      </c>
      <c r="AJ17" s="244">
        <f t="shared" si="38"/>
        <v>5678381.6326107886</v>
      </c>
      <c r="AK17" s="244">
        <f t="shared" si="38"/>
        <v>7330127.347975431</v>
      </c>
      <c r="AL17" s="244">
        <f t="shared" si="38"/>
        <v>8476968.3285020571</v>
      </c>
      <c r="AM17" s="244">
        <f t="shared" si="38"/>
        <v>10058533.47455769</v>
      </c>
      <c r="AN17" s="244">
        <f t="shared" si="38"/>
        <v>11544835.873016743</v>
      </c>
      <c r="AO17" s="244">
        <f t="shared" si="38"/>
        <v>13687199.746108076</v>
      </c>
      <c r="AP17" s="244">
        <f t="shared" si="38"/>
        <v>15156908.896404024</v>
      </c>
      <c r="AQ17" s="244">
        <f t="shared" si="38"/>
        <v>17197276.780389339</v>
      </c>
      <c r="AR17" s="244">
        <f t="shared" si="38"/>
        <v>19116150.211922091</v>
      </c>
      <c r="AS17" s="244">
        <f t="shared" si="38"/>
        <v>21870587.734055478</v>
      </c>
      <c r="AT17" s="244">
        <f t="shared" si="38"/>
        <v>24161012.561643887</v>
      </c>
      <c r="AU17" s="244">
        <f t="shared" si="38"/>
        <v>27340472.138652217</v>
      </c>
      <c r="AV17" s="244">
        <f t="shared" si="38"/>
        <v>30330579.633349881</v>
      </c>
      <c r="AW17" s="244">
        <f t="shared" ref="AW17" si="39">AW211</f>
        <v>34622959.142972022</v>
      </c>
      <c r="AY17" s="244">
        <f t="shared" ref="AY17:CD17" si="40">AY211</f>
        <v>101494.18199999991</v>
      </c>
      <c r="AZ17" s="244">
        <f t="shared" si="40"/>
        <v>106934.18199999991</v>
      </c>
      <c r="BA17" s="244">
        <f t="shared" si="40"/>
        <v>121375.74199999991</v>
      </c>
      <c r="BB17" s="244">
        <f t="shared" si="40"/>
        <v>124635.67059999991</v>
      </c>
      <c r="BC17" s="244">
        <f t="shared" si="40"/>
        <v>136994.60419999991</v>
      </c>
      <c r="BD17" s="244">
        <f t="shared" si="40"/>
        <v>154132.43859999991</v>
      </c>
      <c r="BE17" s="244">
        <f t="shared" si="40"/>
        <v>155583.43859999991</v>
      </c>
      <c r="BF17" s="244">
        <f t="shared" si="40"/>
        <v>163734.5077999999</v>
      </c>
      <c r="BG17" s="244">
        <f t="shared" si="40"/>
        <v>178381.8477999999</v>
      </c>
      <c r="BH17" s="244">
        <f t="shared" si="40"/>
        <v>183951.7411999999</v>
      </c>
      <c r="BI17" s="244">
        <f t="shared" si="40"/>
        <v>195539.01459999991</v>
      </c>
      <c r="BJ17" s="244">
        <f t="shared" si="40"/>
        <v>211113.36719999992</v>
      </c>
      <c r="BK17" s="244">
        <f t="shared" si="40"/>
        <v>215483.96719999993</v>
      </c>
      <c r="BL17" s="244">
        <f t="shared" si="40"/>
        <v>218941.97299999994</v>
      </c>
      <c r="BM17" s="244">
        <f t="shared" si="40"/>
        <v>241214.03819999995</v>
      </c>
      <c r="BN17" s="244">
        <f t="shared" si="40"/>
        <v>245425.09819999995</v>
      </c>
      <c r="BO17" s="244">
        <f t="shared" si="40"/>
        <v>255993.00479999994</v>
      </c>
      <c r="BP17" s="244">
        <f t="shared" si="40"/>
        <v>272316.02139999997</v>
      </c>
      <c r="BQ17" s="244">
        <f t="shared" si="40"/>
        <v>277580.94139999995</v>
      </c>
      <c r="BR17" s="244">
        <f t="shared" si="40"/>
        <v>288280.37479999993</v>
      </c>
      <c r="BS17" s="244">
        <f t="shared" si="40"/>
        <v>316035.06059999991</v>
      </c>
      <c r="BT17" s="244">
        <f t="shared" si="40"/>
        <v>318946.09779999993</v>
      </c>
      <c r="BU17" s="244">
        <f t="shared" si="40"/>
        <v>344890.95719999995</v>
      </c>
      <c r="BV17" s="244">
        <f t="shared" si="40"/>
        <v>373488.11739999993</v>
      </c>
      <c r="BW17" s="244">
        <f t="shared" si="40"/>
        <v>379234.71739999991</v>
      </c>
      <c r="BX17" s="244">
        <f t="shared" si="40"/>
        <v>390941.75446153991</v>
      </c>
      <c r="BY17" s="244">
        <f t="shared" si="40"/>
        <v>412852.84762857994</v>
      </c>
      <c r="BZ17" s="244">
        <f t="shared" si="40"/>
        <v>419915.02945055993</v>
      </c>
      <c r="CA17" s="244">
        <f t="shared" si="40"/>
        <v>435692.6158505599</v>
      </c>
      <c r="CB17" s="244">
        <f t="shared" si="40"/>
        <v>462765.99670697987</v>
      </c>
      <c r="CC17" s="244">
        <f t="shared" si="40"/>
        <v>465262.79270697985</v>
      </c>
      <c r="CD17" s="244">
        <f t="shared" si="40"/>
        <v>483298.40588645986</v>
      </c>
      <c r="CE17" s="244">
        <f t="shared" ref="CE17:DJ17" si="41">CE211</f>
        <v>501680.31479415984</v>
      </c>
      <c r="CF17" s="244">
        <f t="shared" si="41"/>
        <v>509813.34059415985</v>
      </c>
      <c r="CG17" s="244">
        <f t="shared" si="41"/>
        <v>537339.7670666998</v>
      </c>
      <c r="CH17" s="244">
        <f t="shared" si="41"/>
        <v>577755.57234801981</v>
      </c>
      <c r="CI17" s="244">
        <f t="shared" si="41"/>
        <v>582259.37378554</v>
      </c>
      <c r="CJ17" s="244">
        <f t="shared" si="41"/>
        <v>605984.63142897224</v>
      </c>
      <c r="CK17" s="244">
        <f t="shared" si="41"/>
        <v>657112.14661094744</v>
      </c>
      <c r="CL17" s="244">
        <f t="shared" si="41"/>
        <v>683629.22373249975</v>
      </c>
      <c r="CM17" s="244">
        <f t="shared" si="41"/>
        <v>723166.52353885071</v>
      </c>
      <c r="CN17" s="244">
        <f t="shared" si="41"/>
        <v>771088.40593019139</v>
      </c>
      <c r="CO17" s="244">
        <f t="shared" si="41"/>
        <v>797658.88734824932</v>
      </c>
      <c r="CP17" s="244">
        <f t="shared" si="41"/>
        <v>860335.20957207738</v>
      </c>
      <c r="CQ17" s="244">
        <f t="shared" si="41"/>
        <v>948539.01049332751</v>
      </c>
      <c r="CR17" s="244">
        <f t="shared" si="41"/>
        <v>975138.57463378855</v>
      </c>
      <c r="CS17" s="244">
        <f t="shared" si="41"/>
        <v>1080685.4307337371</v>
      </c>
      <c r="CT17" s="244">
        <f t="shared" si="41"/>
        <v>1213143.8527573966</v>
      </c>
      <c r="CU17" s="244">
        <f t="shared" si="41"/>
        <v>1239794.0808823747</v>
      </c>
      <c r="CV17" s="244">
        <f t="shared" si="41"/>
        <v>1302261.9705807911</v>
      </c>
      <c r="CW17" s="244">
        <f t="shared" si="41"/>
        <v>1427046.9195813835</v>
      </c>
      <c r="CX17" s="244">
        <f t="shared" si="41"/>
        <v>1474351.7683838781</v>
      </c>
      <c r="CY17" s="244">
        <f t="shared" si="41"/>
        <v>1574582.5935877906</v>
      </c>
      <c r="CZ17" s="244">
        <f t="shared" si="41"/>
        <v>1715584.8745237372</v>
      </c>
      <c r="DA17" s="244">
        <f t="shared" si="41"/>
        <v>1760693.2240446103</v>
      </c>
      <c r="DB17" s="244">
        <f t="shared" si="41"/>
        <v>1847694.904302492</v>
      </c>
      <c r="DC17" s="244">
        <f t="shared" si="41"/>
        <v>2001556.6967687847</v>
      </c>
      <c r="DD17" s="244">
        <f t="shared" si="41"/>
        <v>2064671.2151648519</v>
      </c>
      <c r="DE17" s="244">
        <f t="shared" si="41"/>
        <v>2236682.645033739</v>
      </c>
      <c r="DF17" s="244">
        <f t="shared" si="41"/>
        <v>2437064.0948835206</v>
      </c>
      <c r="DG17" s="244">
        <f t="shared" si="41"/>
        <v>2556798.6128102378</v>
      </c>
      <c r="DH17" s="244">
        <f t="shared" si="41"/>
        <v>2816615.5589577463</v>
      </c>
      <c r="DI17" s="244">
        <f t="shared" si="41"/>
        <v>3325149.3027420426</v>
      </c>
      <c r="DJ17" s="244">
        <f t="shared" si="41"/>
        <v>3540075.629545134</v>
      </c>
      <c r="DK17" s="244">
        <f t="shared" ref="DK17:EP17" si="42">DK211</f>
        <v>3956653.1781302234</v>
      </c>
      <c r="DL17" s="244">
        <f t="shared" si="42"/>
        <v>4538888.2113801651</v>
      </c>
      <c r="DM17" s="244">
        <f t="shared" si="42"/>
        <v>4725154.1297947448</v>
      </c>
      <c r="DN17" s="244">
        <f t="shared" si="42"/>
        <v>5070115.3040476963</v>
      </c>
      <c r="DO17" s="244">
        <f t="shared" si="42"/>
        <v>5678381.6326107886</v>
      </c>
      <c r="DP17" s="244">
        <f t="shared" si="42"/>
        <v>5904360.4503043434</v>
      </c>
      <c r="DQ17" s="244">
        <f t="shared" si="42"/>
        <v>6563380.0785767492</v>
      </c>
      <c r="DR17" s="244">
        <f t="shared" si="42"/>
        <v>7330127.347975431</v>
      </c>
      <c r="DS17" s="244">
        <f t="shared" si="42"/>
        <v>7479929.8408850022</v>
      </c>
      <c r="DT17" s="244">
        <f t="shared" si="42"/>
        <v>7816557.9665162545</v>
      </c>
      <c r="DU17" s="244">
        <f t="shared" si="42"/>
        <v>8476968.3285020571</v>
      </c>
      <c r="DV17" s="244">
        <f t="shared" si="42"/>
        <v>8748848.2227869462</v>
      </c>
      <c r="DW17" s="244">
        <f t="shared" si="42"/>
        <v>9298143.4544675257</v>
      </c>
      <c r="DX17" s="244">
        <f t="shared" si="42"/>
        <v>10058533.47455769</v>
      </c>
      <c r="DY17" s="244">
        <f t="shared" si="42"/>
        <v>10291326.261704793</v>
      </c>
      <c r="DZ17" s="244">
        <f t="shared" si="42"/>
        <v>10743939.131728001</v>
      </c>
      <c r="EA17" s="244">
        <f t="shared" si="42"/>
        <v>11544835.873016743</v>
      </c>
      <c r="EB17" s="244">
        <f t="shared" si="42"/>
        <v>11831892.531214895</v>
      </c>
      <c r="EC17" s="244">
        <f t="shared" si="42"/>
        <v>12685148.318215681</v>
      </c>
      <c r="ED17" s="244">
        <f t="shared" si="42"/>
        <v>13687199.746108076</v>
      </c>
      <c r="EE17" s="244">
        <f t="shared" si="42"/>
        <v>13874574.718854886</v>
      </c>
      <c r="EF17" s="244">
        <f t="shared" si="42"/>
        <v>14307033.115830647</v>
      </c>
      <c r="EG17" s="244">
        <f t="shared" si="42"/>
        <v>15156908.896404024</v>
      </c>
      <c r="EH17" s="244">
        <f t="shared" si="42"/>
        <v>15499917.969896855</v>
      </c>
      <c r="EI17" s="244">
        <f t="shared" si="42"/>
        <v>16214686.283603346</v>
      </c>
      <c r="EJ17" s="244">
        <f t="shared" si="42"/>
        <v>17197276.780389339</v>
      </c>
      <c r="EK17" s="244">
        <f t="shared" si="42"/>
        <v>17488212.091295857</v>
      </c>
      <c r="EL17" s="244">
        <f t="shared" si="42"/>
        <v>18075068.917461772</v>
      </c>
      <c r="EM17" s="244">
        <f t="shared" si="42"/>
        <v>19116150.211922091</v>
      </c>
      <c r="EN17" s="244">
        <f t="shared" si="42"/>
        <v>19479471.974894371</v>
      </c>
      <c r="EO17" s="244">
        <f t="shared" si="42"/>
        <v>20575065.039712571</v>
      </c>
      <c r="EP17" s="244">
        <f t="shared" si="42"/>
        <v>21870587.734055478</v>
      </c>
      <c r="EQ17" s="244">
        <f t="shared" ref="EQ17:FB17" si="43">EQ211</f>
        <v>22162695.731920205</v>
      </c>
      <c r="ER17" s="244">
        <f t="shared" si="43"/>
        <v>22836624.944128968</v>
      </c>
      <c r="ES17" s="244">
        <f t="shared" si="43"/>
        <v>24161012.561643887</v>
      </c>
      <c r="ET17" s="244">
        <f t="shared" si="43"/>
        <v>24695681.390406627</v>
      </c>
      <c r="EU17" s="244">
        <f t="shared" si="43"/>
        <v>25809357.910813961</v>
      </c>
      <c r="EV17" s="244">
        <f t="shared" si="43"/>
        <v>27340472.138652217</v>
      </c>
      <c r="EW17" s="244">
        <f t="shared" si="43"/>
        <v>27794030.808388207</v>
      </c>
      <c r="EX17" s="244">
        <f t="shared" si="43"/>
        <v>28708453.738909256</v>
      </c>
      <c r="EY17" s="244">
        <f t="shared" si="43"/>
        <v>30330579.633349881</v>
      </c>
      <c r="EZ17" s="244">
        <f t="shared" si="43"/>
        <v>30896885.598719034</v>
      </c>
      <c r="FA17" s="244">
        <f t="shared" si="43"/>
        <v>32604234.607842434</v>
      </c>
      <c r="FB17" s="244">
        <f t="shared" si="43"/>
        <v>34622959.14297203</v>
      </c>
    </row>
    <row r="18" spans="3:158" x14ac:dyDescent="0.25">
      <c r="C18" s="2" t="s">
        <v>299</v>
      </c>
      <c r="D18" s="244">
        <f t="shared" ref="D18:L18" si="44">D212</f>
        <v>105556.68359999996</v>
      </c>
      <c r="E18" s="244">
        <f t="shared" si="44"/>
        <v>186744.05869999997</v>
      </c>
      <c r="F18" s="244">
        <f t="shared" si="44"/>
        <v>288877.7861740099</v>
      </c>
      <c r="G18" s="244">
        <f t="shared" si="44"/>
        <v>1218761.0744182314</v>
      </c>
      <c r="H18" s="244">
        <f t="shared" si="44"/>
        <v>3759937.8134794128</v>
      </c>
      <c r="I18" s="244">
        <f t="shared" si="44"/>
        <v>13629798.778544141</v>
      </c>
      <c r="J18" s="244">
        <f t="shared" si="44"/>
        <v>29176299.834990311</v>
      </c>
      <c r="K18" s="244">
        <f t="shared" si="44"/>
        <v>49077259.175650209</v>
      </c>
      <c r="L18" s="244">
        <f t="shared" si="44"/>
        <v>74213930.727888703</v>
      </c>
      <c r="M18" s="244"/>
      <c r="N18" s="244">
        <f t="shared" ref="N18:AV18" si="45">N212</f>
        <v>60687.870999999956</v>
      </c>
      <c r="O18" s="244">
        <f t="shared" si="45"/>
        <v>77066.219299999953</v>
      </c>
      <c r="P18" s="244">
        <f t="shared" si="45"/>
        <v>89190.923899999951</v>
      </c>
      <c r="Q18" s="244">
        <f t="shared" si="45"/>
        <v>105556.68359999996</v>
      </c>
      <c r="R18" s="244">
        <f t="shared" si="45"/>
        <v>120607.01909999996</v>
      </c>
      <c r="S18" s="244">
        <f t="shared" si="45"/>
        <v>136158.01069999998</v>
      </c>
      <c r="T18" s="244">
        <f t="shared" si="45"/>
        <v>158017.53029999998</v>
      </c>
      <c r="U18" s="244">
        <f t="shared" si="45"/>
        <v>186744.05869999997</v>
      </c>
      <c r="V18" s="244">
        <f t="shared" si="45"/>
        <v>206426.42381428997</v>
      </c>
      <c r="W18" s="244">
        <f t="shared" si="45"/>
        <v>231382.99835348997</v>
      </c>
      <c r="X18" s="244">
        <f t="shared" si="45"/>
        <v>250840.15739707995</v>
      </c>
      <c r="Y18" s="244">
        <f t="shared" si="45"/>
        <v>288877.7861740099</v>
      </c>
      <c r="Z18" s="244">
        <f t="shared" si="45"/>
        <v>408504.30341537582</v>
      </c>
      <c r="AA18" s="244">
        <f t="shared" si="45"/>
        <v>578367.03350462881</v>
      </c>
      <c r="AB18" s="244">
        <f t="shared" si="45"/>
        <v>835835.78266119689</v>
      </c>
      <c r="AC18" s="244">
        <f t="shared" si="45"/>
        <v>1218761.0744182314</v>
      </c>
      <c r="AD18" s="244">
        <f t="shared" si="45"/>
        <v>1665771.9701256191</v>
      </c>
      <c r="AE18" s="244">
        <f t="shared" si="45"/>
        <v>2264479.4947575657</v>
      </c>
      <c r="AF18" s="244">
        <f t="shared" si="45"/>
        <v>2856249.0667831753</v>
      </c>
      <c r="AG18" s="244">
        <f t="shared" si="45"/>
        <v>3759937.8134794128</v>
      </c>
      <c r="AH18" s="244">
        <f t="shared" si="45"/>
        <v>5553337.3366025072</v>
      </c>
      <c r="AI18" s="244">
        <f t="shared" si="45"/>
        <v>8000221.4559559897</v>
      </c>
      <c r="AJ18" s="244">
        <f t="shared" si="45"/>
        <v>10296994.670040963</v>
      </c>
      <c r="AK18" s="244">
        <f t="shared" si="45"/>
        <v>13629798.778544141</v>
      </c>
      <c r="AL18" s="244">
        <f t="shared" si="45"/>
        <v>16441789.941274265</v>
      </c>
      <c r="AM18" s="244">
        <f t="shared" si="45"/>
        <v>20304647.152510833</v>
      </c>
      <c r="AN18" s="244">
        <f t="shared" si="45"/>
        <v>23933272.561862692</v>
      </c>
      <c r="AO18" s="244">
        <f t="shared" si="45"/>
        <v>29176299.834990311</v>
      </c>
      <c r="AP18" s="244">
        <f t="shared" si="45"/>
        <v>32757269.504411936</v>
      </c>
      <c r="AQ18" s="244">
        <f t="shared" si="45"/>
        <v>37714601.974667765</v>
      </c>
      <c r="AR18" s="244">
        <f t="shared" si="45"/>
        <v>42375301.76601743</v>
      </c>
      <c r="AS18" s="244">
        <f t="shared" si="45"/>
        <v>49077259.175650202</v>
      </c>
      <c r="AT18" s="244">
        <f t="shared" si="45"/>
        <v>53582374.90416453</v>
      </c>
      <c r="AU18" s="244">
        <f t="shared" si="45"/>
        <v>59855989.844580919</v>
      </c>
      <c r="AV18" s="244">
        <f t="shared" si="45"/>
        <v>65758021.342957444</v>
      </c>
      <c r="AW18" s="244">
        <f t="shared" ref="AW18" si="46">AW212</f>
        <v>74213930.727888718</v>
      </c>
      <c r="AY18" s="244">
        <f t="shared" ref="AY18:CD18" si="47">AY212</f>
        <v>50747.090999999957</v>
      </c>
      <c r="AZ18" s="244">
        <f t="shared" si="47"/>
        <v>53467.090999999957</v>
      </c>
      <c r="BA18" s="244">
        <f t="shared" si="47"/>
        <v>60687.870999999956</v>
      </c>
      <c r="BB18" s="244">
        <f t="shared" si="47"/>
        <v>62317.835299999955</v>
      </c>
      <c r="BC18" s="244">
        <f t="shared" si="47"/>
        <v>68497.302099999957</v>
      </c>
      <c r="BD18" s="244">
        <f t="shared" si="47"/>
        <v>77066.219299999953</v>
      </c>
      <c r="BE18" s="244">
        <f t="shared" si="47"/>
        <v>77791.719299999953</v>
      </c>
      <c r="BF18" s="244">
        <f t="shared" si="47"/>
        <v>81867.253899999952</v>
      </c>
      <c r="BG18" s="244">
        <f t="shared" si="47"/>
        <v>89190.923899999951</v>
      </c>
      <c r="BH18" s="244">
        <f t="shared" si="47"/>
        <v>91975.870599999951</v>
      </c>
      <c r="BI18" s="244">
        <f t="shared" si="47"/>
        <v>97769.507299999954</v>
      </c>
      <c r="BJ18" s="244">
        <f t="shared" si="47"/>
        <v>105556.68359999996</v>
      </c>
      <c r="BK18" s="244">
        <f t="shared" si="47"/>
        <v>107741.98359999996</v>
      </c>
      <c r="BL18" s="244">
        <f t="shared" si="47"/>
        <v>109470.98649999997</v>
      </c>
      <c r="BM18" s="244">
        <f t="shared" si="47"/>
        <v>120607.01909999998</v>
      </c>
      <c r="BN18" s="244">
        <f t="shared" si="47"/>
        <v>122712.54909999997</v>
      </c>
      <c r="BO18" s="244">
        <f t="shared" si="47"/>
        <v>127996.50239999997</v>
      </c>
      <c r="BP18" s="244">
        <f t="shared" si="47"/>
        <v>136158.01069999998</v>
      </c>
      <c r="BQ18" s="244">
        <f t="shared" si="47"/>
        <v>138790.47069999998</v>
      </c>
      <c r="BR18" s="244">
        <f t="shared" si="47"/>
        <v>144140.18739999997</v>
      </c>
      <c r="BS18" s="244">
        <f t="shared" si="47"/>
        <v>158017.53029999995</v>
      </c>
      <c r="BT18" s="244">
        <f t="shared" si="47"/>
        <v>159473.04889999997</v>
      </c>
      <c r="BU18" s="244">
        <f t="shared" si="47"/>
        <v>172445.47859999997</v>
      </c>
      <c r="BV18" s="244">
        <f t="shared" si="47"/>
        <v>186744.05869999997</v>
      </c>
      <c r="BW18" s="244">
        <f t="shared" si="47"/>
        <v>189617.35869999995</v>
      </c>
      <c r="BX18" s="244">
        <f t="shared" si="47"/>
        <v>195470.87723076995</v>
      </c>
      <c r="BY18" s="244">
        <f t="shared" si="47"/>
        <v>206426.42381428997</v>
      </c>
      <c r="BZ18" s="244">
        <f t="shared" si="47"/>
        <v>209957.51472527997</v>
      </c>
      <c r="CA18" s="244">
        <f t="shared" si="47"/>
        <v>217846.30792527995</v>
      </c>
      <c r="CB18" s="244">
        <f t="shared" si="47"/>
        <v>231382.99835348994</v>
      </c>
      <c r="CC18" s="244">
        <f t="shared" si="47"/>
        <v>232631.39635348992</v>
      </c>
      <c r="CD18" s="244">
        <f t="shared" si="47"/>
        <v>241649.20294322993</v>
      </c>
      <c r="CE18" s="244">
        <f t="shared" ref="CE18:DJ18" si="48">CE212</f>
        <v>250840.15739707992</v>
      </c>
      <c r="CF18" s="244">
        <f t="shared" si="48"/>
        <v>254906.67029707992</v>
      </c>
      <c r="CG18" s="244">
        <f t="shared" si="48"/>
        <v>268669.8835333499</v>
      </c>
      <c r="CH18" s="244">
        <f t="shared" si="48"/>
        <v>288877.7861740099</v>
      </c>
      <c r="CI18" s="244">
        <f t="shared" si="48"/>
        <v>298844.27352814999</v>
      </c>
      <c r="CJ18" s="244">
        <f t="shared" si="48"/>
        <v>333952.76267986617</v>
      </c>
      <c r="CK18" s="244">
        <f t="shared" si="48"/>
        <v>408504.30341537576</v>
      </c>
      <c r="CL18" s="244">
        <f t="shared" si="48"/>
        <v>449754.95862010092</v>
      </c>
      <c r="CM18" s="244">
        <f t="shared" si="48"/>
        <v>509093.37102426845</v>
      </c>
      <c r="CN18" s="244">
        <f t="shared" si="48"/>
        <v>578367.03350462881</v>
      </c>
      <c r="CO18" s="244">
        <f t="shared" si="48"/>
        <v>616963.79124490777</v>
      </c>
      <c r="CP18" s="244">
        <f t="shared" si="48"/>
        <v>707362.15876307175</v>
      </c>
      <c r="CQ18" s="244">
        <f t="shared" si="48"/>
        <v>835835.78266119689</v>
      </c>
      <c r="CR18" s="244">
        <f t="shared" si="48"/>
        <v>874197.85179392737</v>
      </c>
      <c r="CS18" s="244">
        <f t="shared" si="48"/>
        <v>1027220.4280939016</v>
      </c>
      <c r="CT18" s="244">
        <f t="shared" si="48"/>
        <v>1218761.0744182314</v>
      </c>
      <c r="CU18" s="244">
        <f t="shared" si="48"/>
        <v>1276218.3162379386</v>
      </c>
      <c r="CV18" s="244">
        <f t="shared" si="48"/>
        <v>1406411.5118617339</v>
      </c>
      <c r="CW18" s="244">
        <f t="shared" si="48"/>
        <v>1665771.9701256191</v>
      </c>
      <c r="CX18" s="244">
        <f t="shared" si="48"/>
        <v>1766873.4461306501</v>
      </c>
      <c r="CY18" s="244">
        <f t="shared" si="48"/>
        <v>1972653.6288273209</v>
      </c>
      <c r="CZ18" s="244">
        <f t="shared" si="48"/>
        <v>2264479.4947575657</v>
      </c>
      <c r="DA18" s="244">
        <f t="shared" si="48"/>
        <v>2361243.6079554223</v>
      </c>
      <c r="DB18" s="244">
        <f t="shared" si="48"/>
        <v>2540383.0473950505</v>
      </c>
      <c r="DC18" s="244">
        <f t="shared" si="48"/>
        <v>2856249.0667831753</v>
      </c>
      <c r="DD18" s="244">
        <f t="shared" si="48"/>
        <v>2988914.8006220586</v>
      </c>
      <c r="DE18" s="244">
        <f t="shared" si="48"/>
        <v>3346466.0919087934</v>
      </c>
      <c r="DF18" s="244">
        <f t="shared" si="48"/>
        <v>3759937.8134794128</v>
      </c>
      <c r="DG18" s="244">
        <f t="shared" si="48"/>
        <v>4003136.0132154096</v>
      </c>
      <c r="DH18" s="244">
        <f t="shared" si="48"/>
        <v>4527486.4746911544</v>
      </c>
      <c r="DI18" s="244">
        <f t="shared" si="48"/>
        <v>5553337.3366025072</v>
      </c>
      <c r="DJ18" s="244">
        <f t="shared" si="48"/>
        <v>5989013.9388191737</v>
      </c>
      <c r="DK18" s="244">
        <f t="shared" ref="DK18:EP18" si="49">DK212</f>
        <v>6826940.4340292541</v>
      </c>
      <c r="DL18" s="244">
        <f t="shared" si="49"/>
        <v>8000221.4559559906</v>
      </c>
      <c r="DM18" s="244">
        <f t="shared" si="49"/>
        <v>8378627.1537253968</v>
      </c>
      <c r="DN18" s="244">
        <f t="shared" si="49"/>
        <v>9073157.2164613158</v>
      </c>
      <c r="DO18" s="244">
        <f t="shared" si="49"/>
        <v>10296994.670040963</v>
      </c>
      <c r="DP18" s="244">
        <f t="shared" si="49"/>
        <v>10754726.839078402</v>
      </c>
      <c r="DQ18" s="244">
        <f t="shared" si="49"/>
        <v>12084902.814603191</v>
      </c>
      <c r="DR18" s="244">
        <f t="shared" si="49"/>
        <v>13629798.778544141</v>
      </c>
      <c r="DS18" s="244">
        <f t="shared" si="49"/>
        <v>14002219.031915499</v>
      </c>
      <c r="DT18" s="244">
        <f t="shared" si="49"/>
        <v>14826434.939345898</v>
      </c>
      <c r="DU18" s="244">
        <f t="shared" si="49"/>
        <v>16441789.941274265</v>
      </c>
      <c r="DV18" s="244">
        <f t="shared" si="49"/>
        <v>17114439.061638769</v>
      </c>
      <c r="DW18" s="244">
        <f t="shared" si="49"/>
        <v>18449245.604458097</v>
      </c>
      <c r="DX18" s="244">
        <f t="shared" si="49"/>
        <v>20304647.152510833</v>
      </c>
      <c r="DY18" s="244">
        <f t="shared" si="49"/>
        <v>20883659.79680999</v>
      </c>
      <c r="DZ18" s="244">
        <f t="shared" si="49"/>
        <v>21985862.704756811</v>
      </c>
      <c r="EA18" s="244">
        <f t="shared" si="49"/>
        <v>23933272.561862692</v>
      </c>
      <c r="EB18" s="244">
        <f t="shared" si="49"/>
        <v>24642175.054300636</v>
      </c>
      <c r="EC18" s="244">
        <f t="shared" si="49"/>
        <v>26731953.882451929</v>
      </c>
      <c r="ED18" s="244">
        <f t="shared" si="49"/>
        <v>29176299.834990311</v>
      </c>
      <c r="EE18" s="244">
        <f t="shared" si="49"/>
        <v>29637615.907103274</v>
      </c>
      <c r="EF18" s="244">
        <f t="shared" si="49"/>
        <v>30690207.909802418</v>
      </c>
      <c r="EG18" s="244">
        <f t="shared" si="49"/>
        <v>32757269.504411936</v>
      </c>
      <c r="EH18" s="244">
        <f t="shared" si="49"/>
        <v>33598632.555917755</v>
      </c>
      <c r="EI18" s="244">
        <f t="shared" si="49"/>
        <v>35328939.147609204</v>
      </c>
      <c r="EJ18" s="244">
        <f t="shared" si="49"/>
        <v>37714601.974667765</v>
      </c>
      <c r="EK18" s="244">
        <f t="shared" si="49"/>
        <v>38431143.470090061</v>
      </c>
      <c r="EL18" s="244">
        <f t="shared" si="49"/>
        <v>39853952.625744887</v>
      </c>
      <c r="EM18" s="244">
        <f t="shared" si="49"/>
        <v>42375301.76601743</v>
      </c>
      <c r="EN18" s="244">
        <f t="shared" si="49"/>
        <v>43265261.347428896</v>
      </c>
      <c r="EO18" s="244">
        <f t="shared" si="49"/>
        <v>45932489.9057566</v>
      </c>
      <c r="EP18" s="244">
        <f t="shared" si="49"/>
        <v>49077259.175650209</v>
      </c>
      <c r="EQ18" s="244">
        <f t="shared" ref="EQ18:FB18" si="50">EQ212</f>
        <v>49645082.898852818</v>
      </c>
      <c r="ER18" s="244">
        <f t="shared" si="50"/>
        <v>50972208.716756649</v>
      </c>
      <c r="ES18" s="244">
        <f t="shared" si="50"/>
        <v>53582374.904164538</v>
      </c>
      <c r="ET18" s="244">
        <f t="shared" si="50"/>
        <v>54626112.251322366</v>
      </c>
      <c r="EU18" s="244">
        <f t="shared" si="50"/>
        <v>56832491.674600437</v>
      </c>
      <c r="EV18" s="244">
        <f t="shared" si="50"/>
        <v>59855989.844580926</v>
      </c>
      <c r="EW18" s="244">
        <f t="shared" si="50"/>
        <v>60737287.474233344</v>
      </c>
      <c r="EX18" s="244">
        <f t="shared" si="50"/>
        <v>62545879.222084694</v>
      </c>
      <c r="EY18" s="244">
        <f t="shared" si="50"/>
        <v>65758021.342957444</v>
      </c>
      <c r="EZ18" s="244">
        <f t="shared" si="50"/>
        <v>66865250.176494174</v>
      </c>
      <c r="FA18" s="244">
        <f t="shared" si="50"/>
        <v>70226598.861923516</v>
      </c>
      <c r="FB18" s="244">
        <f t="shared" si="50"/>
        <v>74213930.727888703</v>
      </c>
    </row>
    <row r="19" spans="3:158" x14ac:dyDescent="0.25">
      <c r="C19" s="2" t="s">
        <v>300</v>
      </c>
      <c r="D19" s="244">
        <f t="shared" ref="D19:L19" si="51">D213</f>
        <v>211113.36719999992</v>
      </c>
      <c r="E19" s="244">
        <f t="shared" si="51"/>
        <v>373488.11739999993</v>
      </c>
      <c r="F19" s="244">
        <f t="shared" si="51"/>
        <v>577755.57234801981</v>
      </c>
      <c r="G19" s="244">
        <f t="shared" si="51"/>
        <v>1773441.5031341745</v>
      </c>
      <c r="H19" s="244">
        <f t="shared" si="51"/>
        <v>3161388.1595202447</v>
      </c>
      <c r="I19" s="244">
        <f t="shared" si="51"/>
        <v>5038780.7306844769</v>
      </c>
      <c r="J19" s="244">
        <f t="shared" si="51"/>
        <v>7542406.0000681095</v>
      </c>
      <c r="K19" s="244">
        <f t="shared" si="51"/>
        <v>10821331.140420465</v>
      </c>
      <c r="L19" s="244">
        <f t="shared" si="51"/>
        <v>15026362.650876027</v>
      </c>
      <c r="M19" s="244"/>
      <c r="N19" s="244">
        <f t="shared" ref="N19:AG19" si="52">N213</f>
        <v>121375.74199999991</v>
      </c>
      <c r="O19" s="244">
        <f t="shared" si="52"/>
        <v>154132.43859999991</v>
      </c>
      <c r="P19" s="244">
        <f t="shared" si="52"/>
        <v>178381.8477999999</v>
      </c>
      <c r="Q19" s="244">
        <f t="shared" si="52"/>
        <v>211113.36719999992</v>
      </c>
      <c r="R19" s="244">
        <f t="shared" si="52"/>
        <v>241214.03819999992</v>
      </c>
      <c r="S19" s="244">
        <f t="shared" si="52"/>
        <v>272316.02139999997</v>
      </c>
      <c r="T19" s="244">
        <f t="shared" si="52"/>
        <v>316035.06059999997</v>
      </c>
      <c r="U19" s="244">
        <f t="shared" si="52"/>
        <v>373488.11739999993</v>
      </c>
      <c r="V19" s="244">
        <f t="shared" si="52"/>
        <v>412852.84762857994</v>
      </c>
      <c r="W19" s="244">
        <f t="shared" si="52"/>
        <v>462765.99670697993</v>
      </c>
      <c r="X19" s="244">
        <f t="shared" si="52"/>
        <v>501680.3147941599</v>
      </c>
      <c r="Y19" s="244">
        <f t="shared" si="52"/>
        <v>577755.57234801981</v>
      </c>
      <c r="Z19" s="244">
        <f t="shared" si="52"/>
        <v>730283.65843177994</v>
      </c>
      <c r="AA19" s="244">
        <f t="shared" si="52"/>
        <v>947566.83459277079</v>
      </c>
      <c r="AB19" s="244">
        <f t="shared" si="52"/>
        <v>1279457.5449684907</v>
      </c>
      <c r="AC19" s="244">
        <f t="shared" si="52"/>
        <v>1773441.5031341743</v>
      </c>
      <c r="AD19" s="244">
        <f t="shared" si="52"/>
        <v>2015126.3807728591</v>
      </c>
      <c r="AE19" s="244">
        <f t="shared" si="52"/>
        <v>2342447.2962527205</v>
      </c>
      <c r="AF19" s="244">
        <f t="shared" si="52"/>
        <v>2667350.7108268659</v>
      </c>
      <c r="AG19" s="244">
        <f t="shared" si="52"/>
        <v>3161388.1595202442</v>
      </c>
      <c r="AH19" s="244">
        <f t="shared" ref="AH19:AV19" si="53">AH213</f>
        <v>3498220.0941020753</v>
      </c>
      <c r="AI19" s="244">
        <f t="shared" si="53"/>
        <v>3966540.5960337734</v>
      </c>
      <c r="AJ19" s="244">
        <f t="shared" si="53"/>
        <v>4407047.1728338907</v>
      </c>
      <c r="AK19" s="244">
        <f t="shared" si="53"/>
        <v>5038780.7306844769</v>
      </c>
      <c r="AL19" s="244">
        <f t="shared" si="53"/>
        <v>5486767.7298754677</v>
      </c>
      <c r="AM19" s="244">
        <f t="shared" si="53"/>
        <v>6112109.7527988674</v>
      </c>
      <c r="AN19" s="244">
        <f t="shared" si="53"/>
        <v>6700566.5355503187</v>
      </c>
      <c r="AO19" s="244">
        <f t="shared" si="53"/>
        <v>7542406.0000681104</v>
      </c>
      <c r="AP19" s="244">
        <f t="shared" si="53"/>
        <v>8127872.113522185</v>
      </c>
      <c r="AQ19" s="244">
        <f t="shared" si="53"/>
        <v>8947703.4627526477</v>
      </c>
      <c r="AR19" s="244">
        <f t="shared" si="53"/>
        <v>9719442.1709709484</v>
      </c>
      <c r="AS19" s="244">
        <f t="shared" si="53"/>
        <v>10821331.140420465</v>
      </c>
      <c r="AT19" s="244">
        <f t="shared" si="53"/>
        <v>11570765.014949471</v>
      </c>
      <c r="AU19" s="244">
        <f t="shared" si="53"/>
        <v>12623086.41122121</v>
      </c>
      <c r="AV19" s="244">
        <f t="shared" si="53"/>
        <v>13613971.273282869</v>
      </c>
      <c r="AW19" s="244">
        <f t="shared" ref="AW19" si="54">AW213</f>
        <v>15026362.650876027</v>
      </c>
      <c r="AY19" s="244">
        <f t="shared" ref="AY19:CD19" si="55">AY213</f>
        <v>101494.18199999991</v>
      </c>
      <c r="AZ19" s="244">
        <f t="shared" si="55"/>
        <v>106934.18199999991</v>
      </c>
      <c r="BA19" s="244">
        <f t="shared" si="55"/>
        <v>121375.74199999991</v>
      </c>
      <c r="BB19" s="244">
        <f t="shared" si="55"/>
        <v>124635.67059999991</v>
      </c>
      <c r="BC19" s="244">
        <f t="shared" si="55"/>
        <v>136994.60419999991</v>
      </c>
      <c r="BD19" s="244">
        <f t="shared" si="55"/>
        <v>154132.43859999991</v>
      </c>
      <c r="BE19" s="244">
        <f t="shared" si="55"/>
        <v>155583.43859999991</v>
      </c>
      <c r="BF19" s="244">
        <f t="shared" si="55"/>
        <v>163734.5077999999</v>
      </c>
      <c r="BG19" s="244">
        <f t="shared" si="55"/>
        <v>178381.8477999999</v>
      </c>
      <c r="BH19" s="244">
        <f t="shared" si="55"/>
        <v>183951.7411999999</v>
      </c>
      <c r="BI19" s="244">
        <f t="shared" si="55"/>
        <v>195539.01459999991</v>
      </c>
      <c r="BJ19" s="244">
        <f t="shared" si="55"/>
        <v>211113.36719999992</v>
      </c>
      <c r="BK19" s="244">
        <f t="shared" si="55"/>
        <v>215483.96719999993</v>
      </c>
      <c r="BL19" s="244">
        <f t="shared" si="55"/>
        <v>218941.97299999994</v>
      </c>
      <c r="BM19" s="244">
        <f t="shared" si="55"/>
        <v>241214.03819999995</v>
      </c>
      <c r="BN19" s="244">
        <f t="shared" si="55"/>
        <v>245425.09819999995</v>
      </c>
      <c r="BO19" s="244">
        <f t="shared" si="55"/>
        <v>255993.00479999994</v>
      </c>
      <c r="BP19" s="244">
        <f t="shared" si="55"/>
        <v>272316.02139999997</v>
      </c>
      <c r="BQ19" s="244">
        <f t="shared" si="55"/>
        <v>277580.94139999995</v>
      </c>
      <c r="BR19" s="244">
        <f t="shared" si="55"/>
        <v>288280.37479999993</v>
      </c>
      <c r="BS19" s="244">
        <f t="shared" si="55"/>
        <v>316035.06059999991</v>
      </c>
      <c r="BT19" s="244">
        <f t="shared" si="55"/>
        <v>318946.09779999993</v>
      </c>
      <c r="BU19" s="244">
        <f t="shared" si="55"/>
        <v>344890.95719999995</v>
      </c>
      <c r="BV19" s="244">
        <f t="shared" si="55"/>
        <v>373488.11739999993</v>
      </c>
      <c r="BW19" s="244">
        <f t="shared" si="55"/>
        <v>379234.71739999991</v>
      </c>
      <c r="BX19" s="244">
        <f t="shared" si="55"/>
        <v>390941.75446153991</v>
      </c>
      <c r="BY19" s="244">
        <f t="shared" si="55"/>
        <v>412852.84762857994</v>
      </c>
      <c r="BZ19" s="244">
        <f t="shared" si="55"/>
        <v>419915.02945055993</v>
      </c>
      <c r="CA19" s="244">
        <f t="shared" si="55"/>
        <v>435692.6158505599</v>
      </c>
      <c r="CB19" s="244">
        <f t="shared" si="55"/>
        <v>462765.99670697987</v>
      </c>
      <c r="CC19" s="244">
        <f t="shared" si="55"/>
        <v>465262.79270697985</v>
      </c>
      <c r="CD19" s="244">
        <f t="shared" si="55"/>
        <v>483298.40588645986</v>
      </c>
      <c r="CE19" s="244">
        <f t="shared" ref="CE19:DJ19" si="56">CE213</f>
        <v>501680.31479415984</v>
      </c>
      <c r="CF19" s="244">
        <f t="shared" si="56"/>
        <v>509813.34059415985</v>
      </c>
      <c r="CG19" s="244">
        <f t="shared" si="56"/>
        <v>537339.7670666998</v>
      </c>
      <c r="CH19" s="244">
        <f t="shared" si="56"/>
        <v>577755.57234801981</v>
      </c>
      <c r="CI19" s="244">
        <f t="shared" si="56"/>
        <v>589320.04250087694</v>
      </c>
      <c r="CJ19" s="244">
        <f t="shared" si="56"/>
        <v>634320.75229107717</v>
      </c>
      <c r="CK19" s="244">
        <f t="shared" si="56"/>
        <v>730283.65843177994</v>
      </c>
      <c r="CL19" s="244">
        <f t="shared" si="56"/>
        <v>782420.13314458868</v>
      </c>
      <c r="CM19" s="244">
        <f t="shared" si="56"/>
        <v>858173.11077906284</v>
      </c>
      <c r="CN19" s="244">
        <f t="shared" si="56"/>
        <v>947566.83459277079</v>
      </c>
      <c r="CO19" s="244">
        <f t="shared" si="56"/>
        <v>997303.33188271627</v>
      </c>
      <c r="CP19" s="244">
        <f t="shared" si="56"/>
        <v>1114033.6911409488</v>
      </c>
      <c r="CQ19" s="244">
        <f t="shared" si="56"/>
        <v>1279457.544968491</v>
      </c>
      <c r="CR19" s="244">
        <f t="shared" si="56"/>
        <v>1328995.0206991134</v>
      </c>
      <c r="CS19" s="244">
        <f t="shared" si="56"/>
        <v>1526293.5231597077</v>
      </c>
      <c r="CT19" s="244">
        <f t="shared" si="56"/>
        <v>1773441.5031341745</v>
      </c>
      <c r="CU19" s="244">
        <f t="shared" si="56"/>
        <v>1803013.4022624621</v>
      </c>
      <c r="CV19" s="244">
        <f t="shared" si="56"/>
        <v>1873702.0584118851</v>
      </c>
      <c r="CW19" s="244">
        <f t="shared" si="56"/>
        <v>2015126.3807728591</v>
      </c>
      <c r="CX19" s="244">
        <f t="shared" si="56"/>
        <v>2067888.5124563752</v>
      </c>
      <c r="CY19" s="244">
        <f t="shared" si="56"/>
        <v>2182263.2966427067</v>
      </c>
      <c r="CZ19" s="244">
        <f t="shared" si="56"/>
        <v>2342447.2962527205</v>
      </c>
      <c r="DA19" s="244">
        <f t="shared" si="56"/>
        <v>2392650.29541357</v>
      </c>
      <c r="DB19" s="244">
        <f t="shared" si="56"/>
        <v>2491770.1837792802</v>
      </c>
      <c r="DC19" s="244">
        <f t="shared" si="56"/>
        <v>2667350.7108268659</v>
      </c>
      <c r="DD19" s="244">
        <f t="shared" si="56"/>
        <v>2738426.969003127</v>
      </c>
      <c r="DE19" s="244">
        <f t="shared" si="56"/>
        <v>2933365.2140069227</v>
      </c>
      <c r="DF19" s="244">
        <f t="shared" si="56"/>
        <v>3161388.1595202447</v>
      </c>
      <c r="DG19" s="244">
        <f t="shared" si="56"/>
        <v>3204092.3498118632</v>
      </c>
      <c r="DH19" s="244">
        <f t="shared" si="56"/>
        <v>3303259.3767175628</v>
      </c>
      <c r="DI19" s="244">
        <f t="shared" si="56"/>
        <v>3498220.0941020758</v>
      </c>
      <c r="DJ19" s="244">
        <f t="shared" si="56"/>
        <v>3576550.7910400406</v>
      </c>
      <c r="DK19" s="244">
        <f t="shared" ref="DK19:FB19" si="57">DK213</f>
        <v>3740925.7302022958</v>
      </c>
      <c r="DL19" s="244">
        <f t="shared" si="57"/>
        <v>3966540.5960337734</v>
      </c>
      <c r="DM19" s="244">
        <f t="shared" si="57"/>
        <v>4032833.9439326422</v>
      </c>
      <c r="DN19" s="244">
        <f t="shared" si="57"/>
        <v>4167685.5460787239</v>
      </c>
      <c r="DO19" s="244">
        <f t="shared" si="57"/>
        <v>4407047.1728338907</v>
      </c>
      <c r="DP19" s="244">
        <f t="shared" si="57"/>
        <v>4490078.0106526865</v>
      </c>
      <c r="DQ19" s="244">
        <f t="shared" si="57"/>
        <v>4741279.1708849026</v>
      </c>
      <c r="DR19" s="244">
        <f t="shared" si="57"/>
        <v>5038780.7306844769</v>
      </c>
      <c r="DS19" s="244">
        <f t="shared" si="57"/>
        <v>5094736.7694318648</v>
      </c>
      <c r="DT19" s="244">
        <f t="shared" si="57"/>
        <v>5226822.712993782</v>
      </c>
      <c r="DU19" s="244">
        <f t="shared" si="57"/>
        <v>5486767.7298754677</v>
      </c>
      <c r="DV19" s="244">
        <f t="shared" si="57"/>
        <v>5589958.8148683822</v>
      </c>
      <c r="DW19" s="244">
        <f t="shared" si="57"/>
        <v>5810556.4813942667</v>
      </c>
      <c r="DX19" s="244">
        <f t="shared" si="57"/>
        <v>6112109.7527988674</v>
      </c>
      <c r="DY19" s="244">
        <f t="shared" si="57"/>
        <v>6198928.9498343915</v>
      </c>
      <c r="DZ19" s="244">
        <f t="shared" si="57"/>
        <v>6379527.8756246399</v>
      </c>
      <c r="EA19" s="244">
        <f t="shared" si="57"/>
        <v>6700566.5355503196</v>
      </c>
      <c r="EB19" s="244">
        <f t="shared" si="57"/>
        <v>6810166.522973028</v>
      </c>
      <c r="EC19" s="244">
        <f t="shared" si="57"/>
        <v>7144652.0685535464</v>
      </c>
      <c r="ED19" s="244">
        <f t="shared" si="57"/>
        <v>7542406.0000681095</v>
      </c>
      <c r="EE19" s="244">
        <f t="shared" si="57"/>
        <v>7614656.6080366671</v>
      </c>
      <c r="EF19" s="244">
        <f t="shared" si="57"/>
        <v>7787479.4440233652</v>
      </c>
      <c r="EG19" s="244">
        <f t="shared" si="57"/>
        <v>8127872.113522185</v>
      </c>
      <c r="EH19" s="244">
        <f t="shared" si="57"/>
        <v>8261698.6087833187</v>
      </c>
      <c r="EI19" s="244">
        <f t="shared" si="57"/>
        <v>8552058.906707298</v>
      </c>
      <c r="EJ19" s="244">
        <f t="shared" si="57"/>
        <v>8947703.4627526477</v>
      </c>
      <c r="EK19" s="244">
        <f t="shared" si="57"/>
        <v>9059755.8138703257</v>
      </c>
      <c r="EL19" s="244">
        <f t="shared" si="57"/>
        <v>9297077.8133958224</v>
      </c>
      <c r="EM19" s="244">
        <f t="shared" si="57"/>
        <v>9719442.1709709484</v>
      </c>
      <c r="EN19" s="244">
        <f t="shared" si="57"/>
        <v>9861808.9431431498</v>
      </c>
      <c r="EO19" s="244">
        <f t="shared" si="57"/>
        <v>10299346.60318017</v>
      </c>
      <c r="EP19" s="244">
        <f t="shared" si="57"/>
        <v>10821331.140420465</v>
      </c>
      <c r="EQ19" s="244">
        <f t="shared" si="57"/>
        <v>10912836.635740528</v>
      </c>
      <c r="ER19" s="244">
        <f t="shared" si="57"/>
        <v>11134286.588789817</v>
      </c>
      <c r="ES19" s="244">
        <f t="shared" si="57"/>
        <v>11570765.014949471</v>
      </c>
      <c r="ET19" s="244">
        <f t="shared" si="57"/>
        <v>11740918.734774616</v>
      </c>
      <c r="EU19" s="244">
        <f t="shared" si="57"/>
        <v>12114904.986738406</v>
      </c>
      <c r="EV19" s="244">
        <f t="shared" si="57"/>
        <v>12623086.411221208</v>
      </c>
      <c r="EW19" s="244">
        <f t="shared" si="57"/>
        <v>12764945.634421498</v>
      </c>
      <c r="EX19" s="244">
        <f t="shared" si="57"/>
        <v>13070185.44021048</v>
      </c>
      <c r="EY19" s="244">
        <f t="shared" si="57"/>
        <v>13613971.273282869</v>
      </c>
      <c r="EZ19" s="244">
        <f t="shared" si="57"/>
        <v>13795240.929121578</v>
      </c>
      <c r="FA19" s="244">
        <f t="shared" si="57"/>
        <v>14355768.804482527</v>
      </c>
      <c r="FB19" s="244">
        <f t="shared" si="57"/>
        <v>15026362.650876027</v>
      </c>
    </row>
    <row r="21" spans="3:158" x14ac:dyDescent="0.25">
      <c r="C21" s="1" t="s">
        <v>637</v>
      </c>
      <c r="D21" s="22">
        <f t="shared" ref="D21:L21" si="58">D283</f>
        <v>10634385.025499994</v>
      </c>
      <c r="E21" s="22">
        <f t="shared" si="58"/>
        <v>19400379.635499995</v>
      </c>
      <c r="F21" s="22">
        <f t="shared" si="58"/>
        <v>27859679.508796997</v>
      </c>
      <c r="G21" s="22">
        <f t="shared" si="58"/>
        <v>48867258.79867994</v>
      </c>
      <c r="H21" s="22">
        <f t="shared" si="58"/>
        <v>80671616.824956074</v>
      </c>
      <c r="I21" s="22">
        <f t="shared" si="58"/>
        <v>132470186.48588201</v>
      </c>
      <c r="J21" s="22">
        <f t="shared" si="58"/>
        <v>214565374.41109663</v>
      </c>
      <c r="K21" s="22">
        <f t="shared" si="58"/>
        <v>341404983.56683886</v>
      </c>
      <c r="L21" s="22">
        <f t="shared" si="58"/>
        <v>532660040.98602217</v>
      </c>
      <c r="M21" s="22"/>
      <c r="N21" s="22">
        <f t="shared" ref="N21:AW21" si="59">N283</f>
        <v>5455561.0554999942</v>
      </c>
      <c r="O21" s="22">
        <f t="shared" si="59"/>
        <v>6713130.0254999939</v>
      </c>
      <c r="P21" s="22">
        <f t="shared" si="59"/>
        <v>8063513.5254999939</v>
      </c>
      <c r="Q21" s="22">
        <f t="shared" si="59"/>
        <v>10634385.025499994</v>
      </c>
      <c r="R21" s="22">
        <f t="shared" si="59"/>
        <v>12215117.255499994</v>
      </c>
      <c r="S21" s="22">
        <f t="shared" si="59"/>
        <v>15327258.585499994</v>
      </c>
      <c r="T21" s="22">
        <f t="shared" si="59"/>
        <v>16841948.175499994</v>
      </c>
      <c r="U21" s="22">
        <f t="shared" si="59"/>
        <v>19400379.635499995</v>
      </c>
      <c r="V21" s="22">
        <f t="shared" si="59"/>
        <v>20809157.445499994</v>
      </c>
      <c r="W21" s="22">
        <f t="shared" si="59"/>
        <v>22640948.844730996</v>
      </c>
      <c r="X21" s="22">
        <f t="shared" si="59"/>
        <v>25612607.174731001</v>
      </c>
      <c r="Y21" s="22">
        <f t="shared" si="59"/>
        <v>27859679.508796997</v>
      </c>
      <c r="Z21" s="22">
        <f t="shared" si="59"/>
        <v>30227422.028796997</v>
      </c>
      <c r="AA21" s="22">
        <f t="shared" si="59"/>
        <v>35353585.544091001</v>
      </c>
      <c r="AB21" s="22">
        <f t="shared" si="59"/>
        <v>41369597.187665597</v>
      </c>
      <c r="AC21" s="22">
        <f t="shared" si="59"/>
        <v>48867258.79867994</v>
      </c>
      <c r="AD21" s="22">
        <f t="shared" si="59"/>
        <v>54436452.312811241</v>
      </c>
      <c r="AE21" s="22">
        <f t="shared" si="59"/>
        <v>61932909.33835005</v>
      </c>
      <c r="AF21" s="22">
        <f t="shared" si="59"/>
        <v>69356681.172703296</v>
      </c>
      <c r="AG21" s="22">
        <f t="shared" si="59"/>
        <v>80671616.824956074</v>
      </c>
      <c r="AH21" s="22">
        <f t="shared" si="59"/>
        <v>90040772.117722213</v>
      </c>
      <c r="AI21" s="22">
        <f t="shared" si="59"/>
        <v>102911203.02613696</v>
      </c>
      <c r="AJ21" s="22">
        <f t="shared" si="59"/>
        <v>115001204.18950936</v>
      </c>
      <c r="AK21" s="22">
        <f t="shared" si="59"/>
        <v>132470186.48588201</v>
      </c>
      <c r="AL21" s="22">
        <f t="shared" si="59"/>
        <v>147318103.40805256</v>
      </c>
      <c r="AM21" s="22">
        <f t="shared" si="59"/>
        <v>167717158.67354912</v>
      </c>
      <c r="AN21" s="22">
        <f t="shared" si="59"/>
        <v>186879521.21872061</v>
      </c>
      <c r="AO21" s="22">
        <f t="shared" si="59"/>
        <v>214565374.41109663</v>
      </c>
      <c r="AP21" s="22">
        <f t="shared" si="59"/>
        <v>237501751.65873486</v>
      </c>
      <c r="AQ21" s="22">
        <f t="shared" si="59"/>
        <v>269021687.39409924</v>
      </c>
      <c r="AR21" s="22">
        <f t="shared" si="59"/>
        <v>298631602.19431114</v>
      </c>
      <c r="AS21" s="22">
        <f t="shared" si="59"/>
        <v>341404983.56683892</v>
      </c>
      <c r="AT21" s="22">
        <f t="shared" si="59"/>
        <v>375981388.20837885</v>
      </c>
      <c r="AU21" s="22">
        <f t="shared" si="59"/>
        <v>423514220.82793117</v>
      </c>
      <c r="AV21" s="22">
        <f t="shared" si="59"/>
        <v>468168439.94703627</v>
      </c>
      <c r="AW21" s="22">
        <f t="shared" si="59"/>
        <v>532660040.98602211</v>
      </c>
      <c r="AY21" s="22">
        <f>AY283</f>
        <v>4386418.5554999942</v>
      </c>
      <c r="AZ21" s="22">
        <f t="shared" ref="AZ21:DK22" si="60">AZ283</f>
        <v>4708234.3854999943</v>
      </c>
      <c r="BA21" s="22">
        <f t="shared" si="60"/>
        <v>5455561.0554999942</v>
      </c>
      <c r="BB21" s="22">
        <f t="shared" si="60"/>
        <v>5728626.0554999942</v>
      </c>
      <c r="BC21" s="22">
        <f t="shared" si="60"/>
        <v>6283343.0254999939</v>
      </c>
      <c r="BD21" s="22">
        <f t="shared" si="60"/>
        <v>6713130.0254999939</v>
      </c>
      <c r="BE21" s="22">
        <f t="shared" si="60"/>
        <v>7036280.0254999939</v>
      </c>
      <c r="BF21" s="22">
        <f t="shared" si="60"/>
        <v>7251362.5254999939</v>
      </c>
      <c r="BG21" s="22">
        <f t="shared" si="60"/>
        <v>8063513.5254999939</v>
      </c>
      <c r="BH21" s="22">
        <f t="shared" si="60"/>
        <v>8376099.0254999939</v>
      </c>
      <c r="BI21" s="22">
        <f t="shared" si="60"/>
        <v>9695505.0254999939</v>
      </c>
      <c r="BJ21" s="22">
        <f t="shared" si="60"/>
        <v>10634385.025499994</v>
      </c>
      <c r="BK21" s="22">
        <f t="shared" si="60"/>
        <v>10777535.025499994</v>
      </c>
      <c r="BL21" s="22">
        <f t="shared" si="60"/>
        <v>11224416.025499994</v>
      </c>
      <c r="BM21" s="22">
        <f t="shared" si="60"/>
        <v>12215117.255499994</v>
      </c>
      <c r="BN21" s="22">
        <f t="shared" si="60"/>
        <v>12601662.485499995</v>
      </c>
      <c r="BO21" s="22">
        <f t="shared" si="60"/>
        <v>14302660.345499994</v>
      </c>
      <c r="BP21" s="22">
        <f t="shared" si="60"/>
        <v>15327258.585499994</v>
      </c>
      <c r="BQ21" s="22">
        <f t="shared" si="60"/>
        <v>15823258.815499995</v>
      </c>
      <c r="BR21" s="22">
        <f t="shared" si="60"/>
        <v>16014319.815499995</v>
      </c>
      <c r="BS21" s="22">
        <f t="shared" si="60"/>
        <v>16841948.175499994</v>
      </c>
      <c r="BT21" s="22">
        <f t="shared" si="60"/>
        <v>16896148.175499994</v>
      </c>
      <c r="BU21" s="22">
        <f t="shared" si="60"/>
        <v>17810880.175499994</v>
      </c>
      <c r="BV21" s="22">
        <f t="shared" si="60"/>
        <v>19400379.635499995</v>
      </c>
      <c r="BW21" s="22">
        <f t="shared" si="60"/>
        <v>19884154.275499996</v>
      </c>
      <c r="BX21" s="22">
        <f t="shared" si="60"/>
        <v>20486861.275499996</v>
      </c>
      <c r="BY21" s="22">
        <f t="shared" si="60"/>
        <v>20809157.445499998</v>
      </c>
      <c r="BZ21" s="22">
        <f t="shared" si="60"/>
        <v>21344880.455499999</v>
      </c>
      <c r="CA21" s="22">
        <f t="shared" si="60"/>
        <v>21423905.284731001</v>
      </c>
      <c r="CB21" s="22">
        <f t="shared" si="60"/>
        <v>22640948.844730999</v>
      </c>
      <c r="CC21" s="22">
        <f t="shared" si="60"/>
        <v>22706383.774730999</v>
      </c>
      <c r="CD21" s="22">
        <f t="shared" si="60"/>
        <v>24195592.264730997</v>
      </c>
      <c r="CE21" s="22">
        <f t="shared" si="60"/>
        <v>25612607.174730998</v>
      </c>
      <c r="CF21" s="22">
        <f t="shared" si="60"/>
        <v>25930038.114510998</v>
      </c>
      <c r="CG21" s="22">
        <f t="shared" si="60"/>
        <v>26708744.608796999</v>
      </c>
      <c r="CH21" s="22">
        <f t="shared" si="60"/>
        <v>27859679.508796997</v>
      </c>
      <c r="CI21" s="22">
        <f t="shared" si="60"/>
        <v>28388794.518796999</v>
      </c>
      <c r="CJ21" s="22">
        <f t="shared" si="60"/>
        <v>28585958.438797001</v>
      </c>
      <c r="CK21" s="22">
        <f t="shared" si="60"/>
        <v>30227422.028797001</v>
      </c>
      <c r="CL21" s="22">
        <f t="shared" si="60"/>
        <v>30963617.818797</v>
      </c>
      <c r="CM21" s="22">
        <f t="shared" si="60"/>
        <v>32154855.124090999</v>
      </c>
      <c r="CN21" s="22">
        <f t="shared" si="60"/>
        <v>35353585.544091001</v>
      </c>
      <c r="CO21" s="22">
        <f t="shared" si="60"/>
        <v>36258251.536992662</v>
      </c>
      <c r="CP21" s="22">
        <f t="shared" si="60"/>
        <v>38371280.147825293</v>
      </c>
      <c r="CQ21" s="22">
        <f t="shared" si="60"/>
        <v>41369597.187665597</v>
      </c>
      <c r="CR21" s="22">
        <f t="shared" si="60"/>
        <v>42104972.796585575</v>
      </c>
      <c r="CS21" s="22">
        <f t="shared" si="60"/>
        <v>45078182.809277005</v>
      </c>
      <c r="CT21" s="22">
        <f t="shared" si="60"/>
        <v>48867258.79867994</v>
      </c>
      <c r="CU21" s="22">
        <f t="shared" si="60"/>
        <v>49567702.77611237</v>
      </c>
      <c r="CV21" s="22">
        <f t="shared" si="60"/>
        <v>51192811.575355031</v>
      </c>
      <c r="CW21" s="22">
        <f t="shared" si="60"/>
        <v>54436452.312811233</v>
      </c>
      <c r="CX21" s="22">
        <f t="shared" si="60"/>
        <v>55676452.989056587</v>
      </c>
      <c r="CY21" s="22">
        <f t="shared" si="60"/>
        <v>58272347.079734035</v>
      </c>
      <c r="CZ21" s="22">
        <f t="shared" si="60"/>
        <v>61932909.33835005</v>
      </c>
      <c r="DA21" s="22">
        <f t="shared" si="60"/>
        <v>63116664.503480598</v>
      </c>
      <c r="DB21" s="22">
        <f t="shared" si="60"/>
        <v>65371871.812051624</v>
      </c>
      <c r="DC21" s="22">
        <f t="shared" si="60"/>
        <v>69356681.172703311</v>
      </c>
      <c r="DD21" s="22">
        <f t="shared" si="60"/>
        <v>71002805.92446357</v>
      </c>
      <c r="DE21" s="22">
        <f t="shared" si="60"/>
        <v>75474165.725126222</v>
      </c>
      <c r="DF21" s="22">
        <f t="shared" si="60"/>
        <v>80671616.824956074</v>
      </c>
      <c r="DG21" s="22">
        <f t="shared" si="60"/>
        <v>81912488.897828221</v>
      </c>
      <c r="DH21" s="22">
        <f t="shared" si="60"/>
        <v>84658654.51396741</v>
      </c>
      <c r="DI21" s="22">
        <f t="shared" si="60"/>
        <v>90040772.117722213</v>
      </c>
      <c r="DJ21" s="22">
        <f t="shared" si="60"/>
        <v>92281967.792495266</v>
      </c>
      <c r="DK21" s="22">
        <f t="shared" si="60"/>
        <v>96729305.021328613</v>
      </c>
      <c r="DL21" s="22">
        <f t="shared" ref="DL21:FB22" si="61">DL283</f>
        <v>102911203.02613696</v>
      </c>
      <c r="DM21" s="22">
        <f t="shared" si="61"/>
        <v>104840424.16251537</v>
      </c>
      <c r="DN21" s="22">
        <f t="shared" si="61"/>
        <v>108512777.11919399</v>
      </c>
      <c r="DO21" s="22">
        <f t="shared" si="61"/>
        <v>115001204.18950936</v>
      </c>
      <c r="DP21" s="22">
        <f t="shared" si="61"/>
        <v>117363187.075215</v>
      </c>
      <c r="DQ21" s="22">
        <f t="shared" si="61"/>
        <v>124326023.88300881</v>
      </c>
      <c r="DR21" s="22">
        <f t="shared" si="61"/>
        <v>132470186.48588201</v>
      </c>
      <c r="DS21" s="22">
        <f t="shared" si="61"/>
        <v>134435850.60520691</v>
      </c>
      <c r="DT21" s="22">
        <f t="shared" si="61"/>
        <v>138788070.59329683</v>
      </c>
      <c r="DU21" s="22">
        <f t="shared" si="61"/>
        <v>147318103.40805256</v>
      </c>
      <c r="DV21" s="22">
        <f t="shared" si="61"/>
        <v>150868900.21067008</v>
      </c>
      <c r="DW21" s="22">
        <f t="shared" si="61"/>
        <v>157918836.09348318</v>
      </c>
      <c r="DX21" s="22">
        <f t="shared" si="61"/>
        <v>167717158.67354912</v>
      </c>
      <c r="DY21" s="22">
        <f t="shared" si="61"/>
        <v>170773192.34199962</v>
      </c>
      <c r="DZ21" s="22">
        <f t="shared" si="61"/>
        <v>176594238.4058587</v>
      </c>
      <c r="EA21" s="22">
        <f t="shared" si="61"/>
        <v>186879521.21872064</v>
      </c>
      <c r="EB21" s="22">
        <f t="shared" si="61"/>
        <v>190621892.71431118</v>
      </c>
      <c r="EC21" s="22">
        <f t="shared" si="61"/>
        <v>201656739.96072328</v>
      </c>
      <c r="ED21" s="22">
        <f t="shared" si="61"/>
        <v>214565374.41109663</v>
      </c>
      <c r="EE21" s="22">
        <f t="shared" si="61"/>
        <v>217598983.32542029</v>
      </c>
      <c r="EF21" s="22">
        <f t="shared" si="61"/>
        <v>224322750.48843056</v>
      </c>
      <c r="EG21" s="22">
        <f t="shared" si="61"/>
        <v>237501751.65873489</v>
      </c>
      <c r="EH21" s="22">
        <f t="shared" si="61"/>
        <v>242983496.28257468</v>
      </c>
      <c r="EI21" s="22">
        <f t="shared" si="61"/>
        <v>253880640.53433946</v>
      </c>
      <c r="EJ21" s="22">
        <f t="shared" si="61"/>
        <v>269021687.39409924</v>
      </c>
      <c r="EK21" s="22">
        <f t="shared" si="61"/>
        <v>273737913.14982718</v>
      </c>
      <c r="EL21" s="22">
        <f t="shared" si="61"/>
        <v>282734233.78300941</v>
      </c>
      <c r="EM21" s="22">
        <f t="shared" si="61"/>
        <v>298631602.19431108</v>
      </c>
      <c r="EN21" s="22">
        <f t="shared" si="61"/>
        <v>304409818.83312607</v>
      </c>
      <c r="EO21" s="22">
        <f t="shared" si="61"/>
        <v>321457259.93029153</v>
      </c>
      <c r="EP21" s="22">
        <f t="shared" si="61"/>
        <v>341404983.56683886</v>
      </c>
      <c r="EQ21" s="22">
        <f t="shared" si="61"/>
        <v>345972424.78218186</v>
      </c>
      <c r="ER21" s="22">
        <f t="shared" si="61"/>
        <v>356109762.86138386</v>
      </c>
      <c r="ES21" s="22">
        <f t="shared" si="61"/>
        <v>375981388.20837885</v>
      </c>
      <c r="ET21" s="22">
        <f t="shared" si="61"/>
        <v>384238369.02874315</v>
      </c>
      <c r="EU21" s="22">
        <f t="shared" si="61"/>
        <v>400679143.82417744</v>
      </c>
      <c r="EV21" s="22">
        <f t="shared" si="61"/>
        <v>423514220.82793117</v>
      </c>
      <c r="EW21" s="22">
        <f t="shared" si="61"/>
        <v>430614732.15592664</v>
      </c>
      <c r="EX21" s="22">
        <f t="shared" si="61"/>
        <v>444185062.66346204</v>
      </c>
      <c r="EY21" s="22">
        <f t="shared" si="61"/>
        <v>468168439.94703621</v>
      </c>
      <c r="EZ21" s="22">
        <f t="shared" si="61"/>
        <v>476873419.32245392</v>
      </c>
      <c r="FA21" s="22">
        <f t="shared" si="61"/>
        <v>502574928.24909455</v>
      </c>
      <c r="FB21" s="22">
        <f t="shared" si="61"/>
        <v>532660040.98602217</v>
      </c>
    </row>
    <row r="22" spans="3:158" x14ac:dyDescent="0.25">
      <c r="C22" s="2" t="s">
        <v>346</v>
      </c>
      <c r="D22" s="244">
        <f t="shared" ref="D22:L22" si="62">D284</f>
        <v>10091122.567499995</v>
      </c>
      <c r="E22" s="244">
        <f t="shared" si="62"/>
        <v>18418817.446999993</v>
      </c>
      <c r="F22" s="244">
        <f t="shared" si="62"/>
        <v>26455152.326632135</v>
      </c>
      <c r="G22" s="244">
        <f t="shared" si="62"/>
        <v>44644258.540512756</v>
      </c>
      <c r="H22" s="244">
        <f t="shared" si="62"/>
        <v>70291067.051125452</v>
      </c>
      <c r="I22" s="244">
        <f t="shared" si="62"/>
        <v>96221934.655131578</v>
      </c>
      <c r="J22" s="244">
        <f t="shared" si="62"/>
        <v>120590638.33686255</v>
      </c>
      <c r="K22" s="244">
        <f t="shared" si="62"/>
        <v>146025082.76563731</v>
      </c>
      <c r="L22" s="244">
        <f t="shared" si="62"/>
        <v>245145897.00594568</v>
      </c>
      <c r="M22" s="244"/>
      <c r="N22" s="244">
        <f t="shared" ref="N22:AV22" si="63">N284</f>
        <v>5171239.7959999954</v>
      </c>
      <c r="O22" s="244">
        <f t="shared" si="63"/>
        <v>6365930.3174999952</v>
      </c>
      <c r="P22" s="244">
        <f t="shared" si="63"/>
        <v>7648794.6424999954</v>
      </c>
      <c r="Q22" s="244">
        <f t="shared" si="63"/>
        <v>10091122.567499995</v>
      </c>
      <c r="R22" s="244">
        <f t="shared" si="63"/>
        <v>11592818.185999995</v>
      </c>
      <c r="S22" s="244">
        <f t="shared" si="63"/>
        <v>14549352.449499995</v>
      </c>
      <c r="T22" s="244">
        <f t="shared" si="63"/>
        <v>15988307.559999995</v>
      </c>
      <c r="U22" s="244">
        <f t="shared" si="63"/>
        <v>18418817.446999993</v>
      </c>
      <c r="V22" s="244">
        <f t="shared" si="63"/>
        <v>19757156.366499994</v>
      </c>
      <c r="W22" s="244">
        <f t="shared" si="63"/>
        <v>21497358.19576944</v>
      </c>
      <c r="X22" s="244">
        <f t="shared" si="63"/>
        <v>24320433.609269436</v>
      </c>
      <c r="Y22" s="244">
        <f t="shared" si="63"/>
        <v>26455152.326632135</v>
      </c>
      <c r="Z22" s="244">
        <f t="shared" si="63"/>
        <v>28479769.592349302</v>
      </c>
      <c r="AA22" s="244">
        <f t="shared" si="63"/>
        <v>32927891.032495424</v>
      </c>
      <c r="AB22" s="244">
        <f t="shared" si="63"/>
        <v>38142958.959306821</v>
      </c>
      <c r="AC22" s="244">
        <f t="shared" si="63"/>
        <v>44644258.540512756</v>
      </c>
      <c r="AD22" s="244">
        <f t="shared" si="63"/>
        <v>49128854.409488142</v>
      </c>
      <c r="AE22" s="244">
        <f t="shared" si="63"/>
        <v>55174763.058670998</v>
      </c>
      <c r="AF22" s="244">
        <f t="shared" si="63"/>
        <v>61165600.174662143</v>
      </c>
      <c r="AG22" s="244">
        <f t="shared" si="63"/>
        <v>70291067.051125452</v>
      </c>
      <c r="AH22" s="244">
        <f t="shared" si="63"/>
        <v>74952603.26846908</v>
      </c>
      <c r="AI22" s="244">
        <f t="shared" si="63"/>
        <v>81414977.179002032</v>
      </c>
      <c r="AJ22" s="244">
        <f t="shared" si="63"/>
        <v>87491605.699508056</v>
      </c>
      <c r="AK22" s="244">
        <f t="shared" si="63"/>
        <v>96221934.655131578</v>
      </c>
      <c r="AL22" s="244">
        <f t="shared" si="63"/>
        <v>100575997.90914774</v>
      </c>
      <c r="AM22" s="244">
        <f t="shared" si="63"/>
        <v>106666951.77626045</v>
      </c>
      <c r="AN22" s="244">
        <f t="shared" si="63"/>
        <v>112399981.66807663</v>
      </c>
      <c r="AO22" s="244">
        <f t="shared" si="63"/>
        <v>120590638.33686256</v>
      </c>
      <c r="AP22" s="244">
        <f t="shared" si="63"/>
        <v>125119130.39130633</v>
      </c>
      <c r="AQ22" s="244">
        <f t="shared" si="63"/>
        <v>131487206.00048657</v>
      </c>
      <c r="AR22" s="244">
        <f t="shared" si="63"/>
        <v>137484454.57324219</v>
      </c>
      <c r="AS22" s="244">
        <f t="shared" si="63"/>
        <v>146025082.76563731</v>
      </c>
      <c r="AT22" s="244">
        <f t="shared" si="63"/>
        <v>163972312.68015248</v>
      </c>
      <c r="AU22" s="244">
        <f t="shared" si="63"/>
        <v>188588458.72422677</v>
      </c>
      <c r="AV22" s="244">
        <f t="shared" si="63"/>
        <v>211707992.47535697</v>
      </c>
      <c r="AW22" s="244">
        <f t="shared" ref="AW22" si="64">AW284</f>
        <v>245145897.00594568</v>
      </c>
      <c r="AY22" s="244">
        <f t="shared" ref="AY22:BN22" si="65">AY284</f>
        <v>4155554.4209999954</v>
      </c>
      <c r="AZ22" s="244">
        <f t="shared" si="65"/>
        <v>4461279.4594999952</v>
      </c>
      <c r="BA22" s="244">
        <f t="shared" si="65"/>
        <v>5171239.7959999954</v>
      </c>
      <c r="BB22" s="244">
        <f t="shared" si="65"/>
        <v>5430651.5459999954</v>
      </c>
      <c r="BC22" s="244">
        <f t="shared" si="65"/>
        <v>5957632.6674999949</v>
      </c>
      <c r="BD22" s="244">
        <f t="shared" si="65"/>
        <v>6365930.3174999952</v>
      </c>
      <c r="BE22" s="244">
        <f t="shared" si="65"/>
        <v>6672922.8174999952</v>
      </c>
      <c r="BF22" s="244">
        <f t="shared" si="65"/>
        <v>6877251.1924999952</v>
      </c>
      <c r="BG22" s="244">
        <f t="shared" si="65"/>
        <v>7648794.6424999954</v>
      </c>
      <c r="BH22" s="244">
        <f t="shared" si="65"/>
        <v>7945750.867499995</v>
      </c>
      <c r="BI22" s="244">
        <f t="shared" si="65"/>
        <v>9199186.5674999952</v>
      </c>
      <c r="BJ22" s="244">
        <f t="shared" si="65"/>
        <v>10091122.567499995</v>
      </c>
      <c r="BK22" s="244">
        <f t="shared" si="65"/>
        <v>10227115.067499995</v>
      </c>
      <c r="BL22" s="244">
        <f t="shared" si="65"/>
        <v>10651652.017499994</v>
      </c>
      <c r="BM22" s="244">
        <f t="shared" si="65"/>
        <v>11592818.185999995</v>
      </c>
      <c r="BN22" s="244">
        <f t="shared" si="65"/>
        <v>11960036.154499995</v>
      </c>
      <c r="BO22" s="244">
        <f t="shared" si="60"/>
        <v>13575984.121499995</v>
      </c>
      <c r="BP22" s="244">
        <f t="shared" si="60"/>
        <v>14549352.449499995</v>
      </c>
      <c r="BQ22" s="244">
        <f t="shared" si="60"/>
        <v>15020552.667999994</v>
      </c>
      <c r="BR22" s="244">
        <f t="shared" si="60"/>
        <v>15202060.617999993</v>
      </c>
      <c r="BS22" s="244">
        <f t="shared" si="60"/>
        <v>15988307.559999993</v>
      </c>
      <c r="BT22" s="244">
        <f t="shared" si="60"/>
        <v>16039797.559999993</v>
      </c>
      <c r="BU22" s="244">
        <f t="shared" si="60"/>
        <v>16908792.959999993</v>
      </c>
      <c r="BV22" s="244">
        <f t="shared" si="60"/>
        <v>18418817.446999993</v>
      </c>
      <c r="BW22" s="244">
        <f t="shared" si="60"/>
        <v>18878403.354999993</v>
      </c>
      <c r="BX22" s="244">
        <f t="shared" si="60"/>
        <v>19450975.004999992</v>
      </c>
      <c r="BY22" s="244">
        <f t="shared" si="60"/>
        <v>19757156.36649999</v>
      </c>
      <c r="BZ22" s="244">
        <f t="shared" si="60"/>
        <v>20266093.225999989</v>
      </c>
      <c r="CA22" s="244">
        <f t="shared" si="60"/>
        <v>20341166.813769437</v>
      </c>
      <c r="CB22" s="244">
        <f t="shared" si="60"/>
        <v>21497358.195769437</v>
      </c>
      <c r="CC22" s="244">
        <f t="shared" si="60"/>
        <v>21559521.379269436</v>
      </c>
      <c r="CD22" s="244">
        <f t="shared" si="60"/>
        <v>22974269.444769435</v>
      </c>
      <c r="CE22" s="244">
        <f t="shared" si="60"/>
        <v>24320433.609269433</v>
      </c>
      <c r="CF22" s="244">
        <f t="shared" si="60"/>
        <v>24621993.002060432</v>
      </c>
      <c r="CG22" s="244">
        <f t="shared" si="60"/>
        <v>25361764.171632133</v>
      </c>
      <c r="CH22" s="244">
        <f t="shared" si="60"/>
        <v>26455152.326632135</v>
      </c>
      <c r="CI22" s="244">
        <f t="shared" si="60"/>
        <v>26915635.100329049</v>
      </c>
      <c r="CJ22" s="244">
        <f t="shared" si="60"/>
        <v>27064215.245332621</v>
      </c>
      <c r="CK22" s="244">
        <f t="shared" si="60"/>
        <v>28479769.592349302</v>
      </c>
      <c r="CL22" s="244">
        <f t="shared" si="60"/>
        <v>29119520.848501179</v>
      </c>
      <c r="CM22" s="244">
        <f t="shared" si="60"/>
        <v>30151443.652034648</v>
      </c>
      <c r="CN22" s="244">
        <f t="shared" si="60"/>
        <v>32927891.032495428</v>
      </c>
      <c r="CO22" s="244">
        <f t="shared" si="60"/>
        <v>33712301.317410551</v>
      </c>
      <c r="CP22" s="244">
        <f t="shared" si="60"/>
        <v>35544625.324360982</v>
      </c>
      <c r="CQ22" s="244">
        <f t="shared" si="60"/>
        <v>38142958.959306821</v>
      </c>
      <c r="CR22" s="244">
        <f t="shared" si="60"/>
        <v>38779423.855347119</v>
      </c>
      <c r="CS22" s="244">
        <f t="shared" si="60"/>
        <v>41355392.500148565</v>
      </c>
      <c r="CT22" s="244">
        <f t="shared" si="60"/>
        <v>44644258.540512756</v>
      </c>
      <c r="CU22" s="244">
        <f t="shared" si="60"/>
        <v>45204418.749501824</v>
      </c>
      <c r="CV22" s="244">
        <f t="shared" si="60"/>
        <v>46513809.219181888</v>
      </c>
      <c r="CW22" s="244">
        <f t="shared" si="60"/>
        <v>49128854.409488134</v>
      </c>
      <c r="CX22" s="244">
        <f t="shared" si="60"/>
        <v>50122437.92519249</v>
      </c>
      <c r="CY22" s="244">
        <f t="shared" si="60"/>
        <v>52220862.655327678</v>
      </c>
      <c r="CZ22" s="244">
        <f t="shared" si="60"/>
        <v>55174763.058670998</v>
      </c>
      <c r="DA22" s="244">
        <f t="shared" si="60"/>
        <v>56122499.780054234</v>
      </c>
      <c r="DB22" s="244">
        <f t="shared" si="60"/>
        <v>57944379.380767405</v>
      </c>
      <c r="DC22" s="244">
        <f t="shared" si="60"/>
        <v>61165600.174662143</v>
      </c>
      <c r="DD22" s="244">
        <f t="shared" si="60"/>
        <v>62489452.317118593</v>
      </c>
      <c r="DE22" s="244">
        <f t="shared" si="60"/>
        <v>66094221.475170657</v>
      </c>
      <c r="DF22" s="244">
        <f t="shared" si="60"/>
        <v>70291067.051125452</v>
      </c>
      <c r="DG22" s="244">
        <f t="shared" si="60"/>
        <v>70888477.403418496</v>
      </c>
      <c r="DH22" s="244">
        <f t="shared" si="60"/>
        <v>72259407.869832605</v>
      </c>
      <c r="DI22" s="244">
        <f t="shared" si="60"/>
        <v>74952603.26846908</v>
      </c>
      <c r="DJ22" s="244">
        <f t="shared" si="60"/>
        <v>76044192.368336201</v>
      </c>
      <c r="DK22" s="244">
        <f t="shared" si="60"/>
        <v>78303941.752475828</v>
      </c>
      <c r="DL22" s="244">
        <f t="shared" si="61"/>
        <v>81414977.179002032</v>
      </c>
      <c r="DM22" s="244">
        <f t="shared" si="61"/>
        <v>82342739.91340813</v>
      </c>
      <c r="DN22" s="244">
        <f t="shared" si="61"/>
        <v>84199493.981859148</v>
      </c>
      <c r="DO22" s="244">
        <f t="shared" si="61"/>
        <v>87491605.699508056</v>
      </c>
      <c r="DP22" s="244">
        <f t="shared" si="61"/>
        <v>88647038.742116272</v>
      </c>
      <c r="DQ22" s="244">
        <f t="shared" si="61"/>
        <v>92120543.776020005</v>
      </c>
      <c r="DR22" s="244">
        <f t="shared" si="61"/>
        <v>96221934.655131578</v>
      </c>
      <c r="DS22" s="244">
        <f t="shared" si="61"/>
        <v>96761316.126966149</v>
      </c>
      <c r="DT22" s="244">
        <f t="shared" si="61"/>
        <v>98046110.854292765</v>
      </c>
      <c r="DU22" s="244">
        <f t="shared" si="61"/>
        <v>100575997.90914774</v>
      </c>
      <c r="DV22" s="244">
        <f t="shared" si="61"/>
        <v>101573677.45874265</v>
      </c>
      <c r="DW22" s="244">
        <f t="shared" si="61"/>
        <v>103728214.73586032</v>
      </c>
      <c r="DX22" s="244">
        <f t="shared" si="61"/>
        <v>106666951.77626045</v>
      </c>
      <c r="DY22" s="244">
        <f t="shared" si="61"/>
        <v>107503586.26475979</v>
      </c>
      <c r="DZ22" s="244">
        <f t="shared" si="61"/>
        <v>109265477.25103758</v>
      </c>
      <c r="EA22" s="244">
        <f t="shared" si="61"/>
        <v>112399981.66807665</v>
      </c>
      <c r="EB22" s="244">
        <f t="shared" si="61"/>
        <v>113460788.13583568</v>
      </c>
      <c r="EC22" s="244">
        <f t="shared" si="61"/>
        <v>116713769.94081867</v>
      </c>
      <c r="ED22" s="244">
        <f t="shared" si="61"/>
        <v>120590638.33686255</v>
      </c>
      <c r="EE22" s="244">
        <f t="shared" si="61"/>
        <v>121140382.41384073</v>
      </c>
      <c r="EF22" s="244">
        <f t="shared" si="61"/>
        <v>122479238.07338548</v>
      </c>
      <c r="EG22" s="244">
        <f t="shared" si="61"/>
        <v>125119130.39130633</v>
      </c>
      <c r="EH22" s="244">
        <f t="shared" si="61"/>
        <v>126143549.0165296</v>
      </c>
      <c r="EI22" s="244">
        <f t="shared" si="61"/>
        <v>128410871.32129401</v>
      </c>
      <c r="EJ22" s="244">
        <f t="shared" si="61"/>
        <v>131487206.00048657</v>
      </c>
      <c r="EK22" s="244">
        <f t="shared" si="61"/>
        <v>132339282.43598141</v>
      </c>
      <c r="EL22" s="244">
        <f t="shared" si="61"/>
        <v>134188427.04077603</v>
      </c>
      <c r="EM22" s="244">
        <f t="shared" si="61"/>
        <v>137484454.57324219</v>
      </c>
      <c r="EN22" s="244">
        <f t="shared" si="61"/>
        <v>138576638.88237983</v>
      </c>
      <c r="EO22" s="244">
        <f t="shared" si="61"/>
        <v>141965124.37717745</v>
      </c>
      <c r="EP22" s="244">
        <f t="shared" si="61"/>
        <v>146025082.76563731</v>
      </c>
      <c r="EQ22" s="244">
        <f t="shared" si="61"/>
        <v>148414962.64069119</v>
      </c>
      <c r="ER22" s="244">
        <f t="shared" si="61"/>
        <v>153672448.96612319</v>
      </c>
      <c r="ES22" s="244">
        <f t="shared" si="61"/>
        <v>163972312.68015245</v>
      </c>
      <c r="ET22" s="244">
        <f t="shared" si="61"/>
        <v>168280654.5830729</v>
      </c>
      <c r="EU22" s="244">
        <f t="shared" si="61"/>
        <v>176769434.53105891</v>
      </c>
      <c r="EV22" s="244">
        <f t="shared" si="61"/>
        <v>188588458.7242268</v>
      </c>
      <c r="EW22" s="244">
        <f t="shared" si="61"/>
        <v>192304754.8407999</v>
      </c>
      <c r="EX22" s="244">
        <f t="shared" si="61"/>
        <v>199320252.35870624</v>
      </c>
      <c r="EY22" s="244">
        <f t="shared" si="61"/>
        <v>211707992.47535697</v>
      </c>
      <c r="EZ22" s="244">
        <f t="shared" si="61"/>
        <v>216245288.42911187</v>
      </c>
      <c r="FA22" s="244">
        <f t="shared" si="61"/>
        <v>229577105.73328632</v>
      </c>
      <c r="FB22" s="244">
        <f t="shared" si="61"/>
        <v>245145897.00594568</v>
      </c>
    </row>
    <row r="23" spans="3:158" x14ac:dyDescent="0.25">
      <c r="C23" s="2" t="s">
        <v>298</v>
      </c>
      <c r="D23" s="244">
        <f t="shared" ref="D23:L23" si="66">D285</f>
        <v>217304.98319999987</v>
      </c>
      <c r="E23" s="244">
        <f t="shared" si="66"/>
        <v>392624.87539999984</v>
      </c>
      <c r="F23" s="244">
        <f t="shared" si="66"/>
        <v>561810.87286593986</v>
      </c>
      <c r="G23" s="244">
        <f t="shared" si="66"/>
        <v>1203640.272342263</v>
      </c>
      <c r="H23" s="244">
        <f t="shared" si="66"/>
        <v>2676838.398403056</v>
      </c>
      <c r="I23" s="244">
        <f t="shared" si="66"/>
        <v>9456207.6015947647</v>
      </c>
      <c r="J23" s="244">
        <f t="shared" si="66"/>
        <v>20002691.618636899</v>
      </c>
      <c r="K23" s="244">
        <f t="shared" si="66"/>
        <v>36123818.361930288</v>
      </c>
      <c r="L23" s="244">
        <f t="shared" si="66"/>
        <v>65385742.020100512</v>
      </c>
      <c r="M23" s="244"/>
      <c r="N23" s="244">
        <f t="shared" ref="N23:AV23" si="67">N285</f>
        <v>113728.5037999999</v>
      </c>
      <c r="O23" s="244">
        <f t="shared" si="67"/>
        <v>138879.88319999989</v>
      </c>
      <c r="P23" s="244">
        <f t="shared" si="67"/>
        <v>165887.55319999991</v>
      </c>
      <c r="Q23" s="244">
        <f t="shared" si="67"/>
        <v>217304.98319999987</v>
      </c>
      <c r="R23" s="244">
        <f t="shared" si="67"/>
        <v>248919.62779999987</v>
      </c>
      <c r="S23" s="244">
        <f t="shared" si="67"/>
        <v>311162.45439999987</v>
      </c>
      <c r="T23" s="244">
        <f t="shared" si="67"/>
        <v>341456.24619999988</v>
      </c>
      <c r="U23" s="244">
        <f t="shared" si="67"/>
        <v>392624.87539999984</v>
      </c>
      <c r="V23" s="244">
        <f t="shared" si="67"/>
        <v>420800.43159999984</v>
      </c>
      <c r="W23" s="244">
        <f t="shared" si="67"/>
        <v>457436.2595846199</v>
      </c>
      <c r="X23" s="244">
        <f t="shared" si="67"/>
        <v>516869.42618461984</v>
      </c>
      <c r="Y23" s="244">
        <f t="shared" si="67"/>
        <v>561810.87286593986</v>
      </c>
      <c r="Z23" s="244">
        <f t="shared" si="67"/>
        <v>637308.06112529337</v>
      </c>
      <c r="AA23" s="244">
        <f t="shared" si="67"/>
        <v>792720.12700794777</v>
      </c>
      <c r="AB23" s="244">
        <f t="shared" si="67"/>
        <v>975755.07067741477</v>
      </c>
      <c r="AC23" s="244">
        <f t="shared" si="67"/>
        <v>1203640.2723422628</v>
      </c>
      <c r="AD23" s="244">
        <f t="shared" si="67"/>
        <v>1462896.2674802188</v>
      </c>
      <c r="AE23" s="244">
        <f t="shared" si="67"/>
        <v>1809971.2225474326</v>
      </c>
      <c r="AF23" s="244">
        <f t="shared" si="67"/>
        <v>2152962.7712196428</v>
      </c>
      <c r="AG23" s="244">
        <f t="shared" si="67"/>
        <v>2676838.3984030564</v>
      </c>
      <c r="AH23" s="244">
        <f t="shared" si="67"/>
        <v>3910646.260580604</v>
      </c>
      <c r="AI23" s="244">
        <f t="shared" si="67"/>
        <v>5590032.1817244217</v>
      </c>
      <c r="AJ23" s="244">
        <f t="shared" si="67"/>
        <v>7165972.5860784221</v>
      </c>
      <c r="AK23" s="244">
        <f t="shared" si="67"/>
        <v>9456207.6015947647</v>
      </c>
      <c r="AL23" s="244">
        <f t="shared" si="67"/>
        <v>11370753.212401442</v>
      </c>
      <c r="AM23" s="244">
        <f t="shared" si="67"/>
        <v>13986590.675395343</v>
      </c>
      <c r="AN23" s="244">
        <f t="shared" si="67"/>
        <v>16442335.944479074</v>
      </c>
      <c r="AO23" s="244">
        <f t="shared" si="67"/>
        <v>20002691.618636899</v>
      </c>
      <c r="AP23" s="244">
        <f t="shared" si="67"/>
        <v>22924506.764285844</v>
      </c>
      <c r="AQ23" s="244">
        <f t="shared" si="67"/>
        <v>26926187.600346226</v>
      </c>
      <c r="AR23" s="244">
        <f t="shared" si="67"/>
        <v>30683966.374895811</v>
      </c>
      <c r="AS23" s="244">
        <f t="shared" si="67"/>
        <v>36123818.361930281</v>
      </c>
      <c r="AT23" s="244">
        <f t="shared" si="67"/>
        <v>41428315.728040561</v>
      </c>
      <c r="AU23" s="244">
        <f t="shared" si="67"/>
        <v>48691193.2585003</v>
      </c>
      <c r="AV23" s="244">
        <f t="shared" si="67"/>
        <v>55511180.615180872</v>
      </c>
      <c r="AW23" s="244">
        <f t="shared" ref="AW23" si="68">AW285</f>
        <v>65385742.020100512</v>
      </c>
      <c r="AY23" s="244">
        <f t="shared" ref="AY23:CD23" si="69">AY285</f>
        <v>92345.653799999898</v>
      </c>
      <c r="AZ23" s="244">
        <f t="shared" si="69"/>
        <v>98781.970399999904</v>
      </c>
      <c r="BA23" s="244">
        <f t="shared" si="69"/>
        <v>113728.5037999999</v>
      </c>
      <c r="BB23" s="244">
        <f t="shared" si="69"/>
        <v>119189.80379999991</v>
      </c>
      <c r="BC23" s="244">
        <f t="shared" si="69"/>
        <v>130284.1431999999</v>
      </c>
      <c r="BD23" s="244">
        <f t="shared" si="69"/>
        <v>138879.88319999989</v>
      </c>
      <c r="BE23" s="244">
        <f t="shared" si="69"/>
        <v>145342.88319999989</v>
      </c>
      <c r="BF23" s="244">
        <f t="shared" si="69"/>
        <v>149644.53319999989</v>
      </c>
      <c r="BG23" s="244">
        <f t="shared" si="69"/>
        <v>165887.55319999988</v>
      </c>
      <c r="BH23" s="244">
        <f t="shared" si="69"/>
        <v>172139.26319999987</v>
      </c>
      <c r="BI23" s="244">
        <f t="shared" si="69"/>
        <v>198527.38319999987</v>
      </c>
      <c r="BJ23" s="244">
        <f t="shared" si="69"/>
        <v>217304.98319999987</v>
      </c>
      <c r="BK23" s="244">
        <f t="shared" si="69"/>
        <v>220167.98319999987</v>
      </c>
      <c r="BL23" s="244">
        <f t="shared" si="69"/>
        <v>229105.60319999987</v>
      </c>
      <c r="BM23" s="244">
        <f t="shared" si="69"/>
        <v>248919.62779999987</v>
      </c>
      <c r="BN23" s="244">
        <f t="shared" si="69"/>
        <v>256650.53239999988</v>
      </c>
      <c r="BO23" s="244">
        <f t="shared" si="69"/>
        <v>290670.48959999986</v>
      </c>
      <c r="BP23" s="244">
        <f t="shared" si="69"/>
        <v>311162.45439999987</v>
      </c>
      <c r="BQ23" s="244">
        <f t="shared" si="69"/>
        <v>321082.45899999986</v>
      </c>
      <c r="BR23" s="244">
        <f t="shared" si="69"/>
        <v>324903.67899999983</v>
      </c>
      <c r="BS23" s="244">
        <f t="shared" si="69"/>
        <v>341456.24619999982</v>
      </c>
      <c r="BT23" s="244">
        <f t="shared" si="69"/>
        <v>342540.24619999982</v>
      </c>
      <c r="BU23" s="244">
        <f t="shared" si="69"/>
        <v>360834.88619999983</v>
      </c>
      <c r="BV23" s="244">
        <f t="shared" si="69"/>
        <v>392624.87539999984</v>
      </c>
      <c r="BW23" s="244">
        <f t="shared" si="69"/>
        <v>402300.36819999985</v>
      </c>
      <c r="BX23" s="244">
        <f t="shared" si="69"/>
        <v>414354.50819999987</v>
      </c>
      <c r="BY23" s="244">
        <f t="shared" si="69"/>
        <v>420800.43159999989</v>
      </c>
      <c r="BZ23" s="244">
        <f t="shared" si="69"/>
        <v>431514.89179999987</v>
      </c>
      <c r="CA23" s="244">
        <f t="shared" si="69"/>
        <v>433095.38838461984</v>
      </c>
      <c r="CB23" s="244">
        <f t="shared" si="69"/>
        <v>457436.25958461984</v>
      </c>
      <c r="CC23" s="244">
        <f t="shared" si="69"/>
        <v>458744.95818461984</v>
      </c>
      <c r="CD23" s="244">
        <f t="shared" si="69"/>
        <v>488529.12798461982</v>
      </c>
      <c r="CE23" s="244">
        <f t="shared" ref="CE23:DJ23" si="70">CE285</f>
        <v>516869.42618461984</v>
      </c>
      <c r="CF23" s="244">
        <f t="shared" si="70"/>
        <v>523218.04498021986</v>
      </c>
      <c r="CG23" s="244">
        <f t="shared" si="70"/>
        <v>538792.17486593989</v>
      </c>
      <c r="CH23" s="244">
        <f t="shared" si="70"/>
        <v>561810.87286593986</v>
      </c>
      <c r="CI23" s="244">
        <f t="shared" si="70"/>
        <v>577684.32316593989</v>
      </c>
      <c r="CJ23" s="244">
        <f t="shared" si="70"/>
        <v>586452.81869645277</v>
      </c>
      <c r="CK23" s="244">
        <f t="shared" si="70"/>
        <v>637308.06112529337</v>
      </c>
      <c r="CL23" s="244">
        <f t="shared" si="70"/>
        <v>659511.94602307968</v>
      </c>
      <c r="CM23" s="244">
        <f t="shared" si="70"/>
        <v>695844.03830407234</v>
      </c>
      <c r="CN23" s="244">
        <f t="shared" si="70"/>
        <v>792720.12700794789</v>
      </c>
      <c r="CO23" s="244">
        <f t="shared" si="70"/>
        <v>820221.0287471927</v>
      </c>
      <c r="CP23" s="244">
        <f t="shared" si="70"/>
        <v>884432.9802375366</v>
      </c>
      <c r="CQ23" s="244">
        <f t="shared" si="70"/>
        <v>975755.07067741477</v>
      </c>
      <c r="CR23" s="244">
        <f t="shared" si="70"/>
        <v>998253.39480343426</v>
      </c>
      <c r="CS23" s="244">
        <f t="shared" si="70"/>
        <v>1088886.0978560217</v>
      </c>
      <c r="CT23" s="244">
        <f t="shared" si="70"/>
        <v>1203640.272342263</v>
      </c>
      <c r="CU23" s="244">
        <f t="shared" si="70"/>
        <v>1237030.8360175726</v>
      </c>
      <c r="CV23" s="244">
        <f t="shared" si="70"/>
        <v>1312526.6087270868</v>
      </c>
      <c r="CW23" s="244">
        <f t="shared" si="70"/>
        <v>1462896.2674802188</v>
      </c>
      <c r="CX23" s="244">
        <f t="shared" si="70"/>
        <v>1521617.6468930009</v>
      </c>
      <c r="CY23" s="244">
        <f t="shared" si="70"/>
        <v>1640826.260403424</v>
      </c>
      <c r="CZ23" s="244">
        <f t="shared" si="70"/>
        <v>1809971.2225474324</v>
      </c>
      <c r="DA23" s="244">
        <f t="shared" si="70"/>
        <v>1866186.5904676621</v>
      </c>
      <c r="DB23" s="244">
        <f t="shared" si="70"/>
        <v>1969982.1934002787</v>
      </c>
      <c r="DC23" s="244">
        <f t="shared" si="70"/>
        <v>2152962.7712196433</v>
      </c>
      <c r="DD23" s="244">
        <f t="shared" si="70"/>
        <v>2229934.9470083904</v>
      </c>
      <c r="DE23" s="244">
        <f t="shared" si="70"/>
        <v>2437234.0337263709</v>
      </c>
      <c r="DF23" s="244">
        <f t="shared" si="70"/>
        <v>2676838.398403056</v>
      </c>
      <c r="DG23" s="244">
        <f t="shared" si="70"/>
        <v>2845510.6334621436</v>
      </c>
      <c r="DH23" s="244">
        <f t="shared" si="70"/>
        <v>3205935.8225232721</v>
      </c>
      <c r="DI23" s="244">
        <f t="shared" si="70"/>
        <v>3910646.2605806044</v>
      </c>
      <c r="DJ23" s="244">
        <f t="shared" si="70"/>
        <v>4211977.8222464612</v>
      </c>
      <c r="DK23" s="244">
        <f t="shared" ref="DK23:EP23" si="71">DK285</f>
        <v>4785248.8792324364</v>
      </c>
      <c r="DL23" s="244">
        <f t="shared" si="71"/>
        <v>5590032.1817244207</v>
      </c>
      <c r="DM23" s="244">
        <f t="shared" si="71"/>
        <v>5852548.4606728489</v>
      </c>
      <c r="DN23" s="244">
        <f t="shared" si="71"/>
        <v>6328351.1543464363</v>
      </c>
      <c r="DO23" s="244">
        <f t="shared" si="71"/>
        <v>7165972.5860784231</v>
      </c>
      <c r="DP23" s="244">
        <f t="shared" si="71"/>
        <v>7482222.8234964767</v>
      </c>
      <c r="DQ23" s="244">
        <f t="shared" si="71"/>
        <v>8396719.5075225309</v>
      </c>
      <c r="DR23" s="244">
        <f t="shared" si="71"/>
        <v>9456207.6015947647</v>
      </c>
      <c r="DS23" s="244">
        <f t="shared" si="71"/>
        <v>9714589.8020332549</v>
      </c>
      <c r="DT23" s="244">
        <f t="shared" si="71"/>
        <v>10274647.347683903</v>
      </c>
      <c r="DU23" s="244">
        <f t="shared" si="71"/>
        <v>11370753.21240144</v>
      </c>
      <c r="DV23" s="244">
        <f t="shared" si="71"/>
        <v>11834396.473583857</v>
      </c>
      <c r="DW23" s="244">
        <f t="shared" si="71"/>
        <v>12731854.851098897</v>
      </c>
      <c r="DX23" s="244">
        <f t="shared" si="71"/>
        <v>13986590.675395345</v>
      </c>
      <c r="DY23" s="244">
        <f t="shared" si="71"/>
        <v>14388558.180185542</v>
      </c>
      <c r="DZ23" s="244">
        <f t="shared" si="71"/>
        <v>15131849.023599062</v>
      </c>
      <c r="EA23" s="244">
        <f t="shared" si="71"/>
        <v>16442335.944479076</v>
      </c>
      <c r="EB23" s="244">
        <f t="shared" si="71"/>
        <v>16929758.097298041</v>
      </c>
      <c r="EC23" s="244">
        <f t="shared" si="71"/>
        <v>18350362.66709917</v>
      </c>
      <c r="ED23" s="244">
        <f t="shared" si="71"/>
        <v>20002691.618636899</v>
      </c>
      <c r="EE23" s="244">
        <f t="shared" si="71"/>
        <v>20393747.021386679</v>
      </c>
      <c r="EF23" s="244">
        <f t="shared" si="71"/>
        <v>21249210.975091174</v>
      </c>
      <c r="EG23" s="244">
        <f t="shared" si="71"/>
        <v>22924506.764285844</v>
      </c>
      <c r="EH23" s="244">
        <f t="shared" si="71"/>
        <v>23628238.04495015</v>
      </c>
      <c r="EI23" s="244">
        <f t="shared" si="71"/>
        <v>25005548.425054509</v>
      </c>
      <c r="EJ23" s="244">
        <f t="shared" si="71"/>
        <v>26926187.600346226</v>
      </c>
      <c r="EK23" s="244">
        <f t="shared" si="71"/>
        <v>27534387.684108999</v>
      </c>
      <c r="EL23" s="244">
        <f t="shared" si="71"/>
        <v>28673574.792816445</v>
      </c>
      <c r="EM23" s="244">
        <f t="shared" si="71"/>
        <v>30683966.374895811</v>
      </c>
      <c r="EN23" s="244">
        <f t="shared" si="71"/>
        <v>31424599.576861054</v>
      </c>
      <c r="EO23" s="244">
        <f t="shared" si="71"/>
        <v>33594109.988907285</v>
      </c>
      <c r="EP23" s="244">
        <f t="shared" si="71"/>
        <v>36123818.361930288</v>
      </c>
      <c r="EQ23" s="244">
        <f t="shared" ref="EQ23:FB23" si="72">EQ285</f>
        <v>36834483.05790443</v>
      </c>
      <c r="ER23" s="244">
        <f t="shared" si="72"/>
        <v>38387397.000309534</v>
      </c>
      <c r="ES23" s="244">
        <f t="shared" si="72"/>
        <v>41428315.728040561</v>
      </c>
      <c r="ET23" s="244">
        <f t="shared" si="72"/>
        <v>42706762.741630919</v>
      </c>
      <c r="EU23" s="244">
        <f t="shared" si="72"/>
        <v>45205567.824160226</v>
      </c>
      <c r="EV23" s="244">
        <f t="shared" si="72"/>
        <v>48691193.2585003</v>
      </c>
      <c r="EW23" s="244">
        <f t="shared" si="72"/>
        <v>49796511.797766</v>
      </c>
      <c r="EX23" s="244">
        <f t="shared" si="72"/>
        <v>51863628.838806033</v>
      </c>
      <c r="EY23" s="244">
        <f t="shared" si="72"/>
        <v>55511180.615180872</v>
      </c>
      <c r="EZ23" s="244">
        <f t="shared" si="72"/>
        <v>56856488.869979359</v>
      </c>
      <c r="FA23" s="244">
        <f t="shared" si="72"/>
        <v>60794863.909479462</v>
      </c>
      <c r="FB23" s="244">
        <f t="shared" si="72"/>
        <v>65385742.020100512</v>
      </c>
    </row>
    <row r="24" spans="3:158" x14ac:dyDescent="0.25">
      <c r="C24" s="2" t="s">
        <v>299</v>
      </c>
      <c r="D24" s="244">
        <f t="shared" ref="D24:L24" si="73">D286</f>
        <v>108652.49159999994</v>
      </c>
      <c r="E24" s="244">
        <f t="shared" si="73"/>
        <v>196312.43769999992</v>
      </c>
      <c r="F24" s="244">
        <f t="shared" si="73"/>
        <v>280905.43643296993</v>
      </c>
      <c r="G24" s="244">
        <f t="shared" si="73"/>
        <v>1267440.1518299514</v>
      </c>
      <c r="H24" s="244">
        <f t="shared" si="73"/>
        <v>4261933.900973293</v>
      </c>
      <c r="I24" s="244">
        <f t="shared" si="73"/>
        <v>20621331.600409597</v>
      </c>
      <c r="J24" s="244">
        <f t="shared" si="73"/>
        <v>63496577.273577794</v>
      </c>
      <c r="K24" s="244">
        <f t="shared" si="73"/>
        <v>142147431.53349298</v>
      </c>
      <c r="L24" s="244">
        <f t="shared" si="73"/>
        <v>195033519.38351169</v>
      </c>
      <c r="M24" s="244"/>
      <c r="N24" s="244">
        <f t="shared" ref="N24:AV24" si="74">N286</f>
        <v>56864.251899999952</v>
      </c>
      <c r="O24" s="244">
        <f t="shared" si="74"/>
        <v>69439.941599999947</v>
      </c>
      <c r="P24" s="244">
        <f t="shared" si="74"/>
        <v>82943.776599999954</v>
      </c>
      <c r="Q24" s="244">
        <f t="shared" si="74"/>
        <v>108652.49159999994</v>
      </c>
      <c r="R24" s="244">
        <f t="shared" si="74"/>
        <v>124459.81389999994</v>
      </c>
      <c r="S24" s="244">
        <f t="shared" si="74"/>
        <v>155581.22719999994</v>
      </c>
      <c r="T24" s="244">
        <f t="shared" si="74"/>
        <v>170728.12309999994</v>
      </c>
      <c r="U24" s="244">
        <f t="shared" si="74"/>
        <v>196312.43769999992</v>
      </c>
      <c r="V24" s="244">
        <f t="shared" si="74"/>
        <v>210400.21579999992</v>
      </c>
      <c r="W24" s="244">
        <f t="shared" si="74"/>
        <v>228718.12979230995</v>
      </c>
      <c r="X24" s="244">
        <f t="shared" si="74"/>
        <v>258434.71309230992</v>
      </c>
      <c r="Y24" s="244">
        <f t="shared" si="74"/>
        <v>280905.43643296993</v>
      </c>
      <c r="Z24" s="244">
        <f t="shared" si="74"/>
        <v>403306.78106264665</v>
      </c>
      <c r="AA24" s="244">
        <f t="shared" si="74"/>
        <v>639761.46666279389</v>
      </c>
      <c r="AB24" s="244">
        <f t="shared" si="74"/>
        <v>919552.22599752736</v>
      </c>
      <c r="AC24" s="244">
        <f t="shared" si="74"/>
        <v>1267440.1518299514</v>
      </c>
      <c r="AD24" s="244">
        <f t="shared" si="74"/>
        <v>1795848.6286088526</v>
      </c>
      <c r="AE24" s="244">
        <f t="shared" si="74"/>
        <v>2501145.6168857552</v>
      </c>
      <c r="AF24" s="244">
        <f t="shared" si="74"/>
        <v>3197345.2961205142</v>
      </c>
      <c r="AG24" s="244">
        <f t="shared" si="74"/>
        <v>4261933.900973293</v>
      </c>
      <c r="AH24" s="244">
        <f t="shared" si="74"/>
        <v>7241367.1227205861</v>
      </c>
      <c r="AI24" s="244">
        <f t="shared" si="74"/>
        <v>11292499.492738325</v>
      </c>
      <c r="AJ24" s="244">
        <f t="shared" si="74"/>
        <v>15093642.534583762</v>
      </c>
      <c r="AK24" s="244">
        <f t="shared" si="74"/>
        <v>20621331.600409601</v>
      </c>
      <c r="AL24" s="244">
        <f t="shared" si="74"/>
        <v>28421345.607120261</v>
      </c>
      <c r="AM24" s="244">
        <f t="shared" si="74"/>
        <v>39044449.885148734</v>
      </c>
      <c r="AN24" s="244">
        <f t="shared" si="74"/>
        <v>49013849.97418385</v>
      </c>
      <c r="AO24" s="244">
        <f t="shared" si="74"/>
        <v>63496577.273577794</v>
      </c>
      <c r="AP24" s="244">
        <f t="shared" si="74"/>
        <v>77782489.72144118</v>
      </c>
      <c r="AQ24" s="244">
        <f t="shared" si="74"/>
        <v>97284764.573414102</v>
      </c>
      <c r="AR24" s="244">
        <f t="shared" si="74"/>
        <v>115591750.77514715</v>
      </c>
      <c r="AS24" s="244">
        <f t="shared" si="74"/>
        <v>142147431.53349298</v>
      </c>
      <c r="AT24" s="244">
        <f t="shared" si="74"/>
        <v>151666091.22935691</v>
      </c>
      <c r="AU24" s="244">
        <f t="shared" si="74"/>
        <v>164838439.4784649</v>
      </c>
      <c r="AV24" s="244">
        <f t="shared" si="74"/>
        <v>177222090.95467484</v>
      </c>
      <c r="AW24" s="244">
        <f t="shared" ref="AW24" si="75">AW286</f>
        <v>195033519.38351169</v>
      </c>
      <c r="AY24" s="244">
        <f t="shared" ref="AY24:CD24" si="76">AY286</f>
        <v>46172.826899999949</v>
      </c>
      <c r="AZ24" s="244">
        <f t="shared" si="76"/>
        <v>49390.985199999952</v>
      </c>
      <c r="BA24" s="244">
        <f t="shared" si="76"/>
        <v>56864.251899999952</v>
      </c>
      <c r="BB24" s="244">
        <f t="shared" si="76"/>
        <v>59594.901899999953</v>
      </c>
      <c r="BC24" s="244">
        <f t="shared" si="76"/>
        <v>65142.071599999952</v>
      </c>
      <c r="BD24" s="244">
        <f t="shared" si="76"/>
        <v>69439.941599999947</v>
      </c>
      <c r="BE24" s="244">
        <f t="shared" si="76"/>
        <v>72671.441599999947</v>
      </c>
      <c r="BF24" s="244">
        <f t="shared" si="76"/>
        <v>74822.266599999944</v>
      </c>
      <c r="BG24" s="244">
        <f t="shared" si="76"/>
        <v>82943.776599999939</v>
      </c>
      <c r="BH24" s="244">
        <f t="shared" si="76"/>
        <v>86069.631599999935</v>
      </c>
      <c r="BI24" s="244">
        <f t="shared" si="76"/>
        <v>99263.691599999933</v>
      </c>
      <c r="BJ24" s="244">
        <f t="shared" si="76"/>
        <v>108652.49159999994</v>
      </c>
      <c r="BK24" s="244">
        <f t="shared" si="76"/>
        <v>110083.99159999994</v>
      </c>
      <c r="BL24" s="244">
        <f t="shared" si="76"/>
        <v>114552.80159999993</v>
      </c>
      <c r="BM24" s="244">
        <f t="shared" si="76"/>
        <v>124459.81389999994</v>
      </c>
      <c r="BN24" s="244">
        <f t="shared" si="76"/>
        <v>128325.26619999994</v>
      </c>
      <c r="BO24" s="244">
        <f t="shared" si="76"/>
        <v>145335.24479999993</v>
      </c>
      <c r="BP24" s="244">
        <f t="shared" si="76"/>
        <v>155581.22719999994</v>
      </c>
      <c r="BQ24" s="244">
        <f t="shared" si="76"/>
        <v>160541.22949999993</v>
      </c>
      <c r="BR24" s="244">
        <f t="shared" si="76"/>
        <v>162451.83949999991</v>
      </c>
      <c r="BS24" s="244">
        <f t="shared" si="76"/>
        <v>170728.12309999991</v>
      </c>
      <c r="BT24" s="244">
        <f t="shared" si="76"/>
        <v>171270.12309999991</v>
      </c>
      <c r="BU24" s="244">
        <f t="shared" si="76"/>
        <v>180417.44309999992</v>
      </c>
      <c r="BV24" s="244">
        <f t="shared" si="76"/>
        <v>196312.43769999992</v>
      </c>
      <c r="BW24" s="244">
        <f t="shared" si="76"/>
        <v>201150.18409999993</v>
      </c>
      <c r="BX24" s="244">
        <f t="shared" si="76"/>
        <v>207177.25409999993</v>
      </c>
      <c r="BY24" s="244">
        <f t="shared" si="76"/>
        <v>210400.21579999995</v>
      </c>
      <c r="BZ24" s="244">
        <f t="shared" si="76"/>
        <v>215757.44589999993</v>
      </c>
      <c r="CA24" s="244">
        <f t="shared" si="76"/>
        <v>216547.69419230992</v>
      </c>
      <c r="CB24" s="244">
        <f t="shared" si="76"/>
        <v>228718.12979230992</v>
      </c>
      <c r="CC24" s="244">
        <f t="shared" si="76"/>
        <v>229372.47909230992</v>
      </c>
      <c r="CD24" s="244">
        <f t="shared" si="76"/>
        <v>244264.56399230991</v>
      </c>
      <c r="CE24" s="244">
        <f t="shared" ref="CE24:DJ24" si="77">CE286</f>
        <v>258434.71309230992</v>
      </c>
      <c r="CF24" s="244">
        <f t="shared" si="77"/>
        <v>261609.02249010993</v>
      </c>
      <c r="CG24" s="244">
        <f t="shared" si="77"/>
        <v>269396.08743296994</v>
      </c>
      <c r="CH24" s="244">
        <f t="shared" si="77"/>
        <v>280905.43643296993</v>
      </c>
      <c r="CI24" s="244">
        <f t="shared" si="77"/>
        <v>304715.61188296991</v>
      </c>
      <c r="CJ24" s="244">
        <f t="shared" si="77"/>
        <v>323719.78214822634</v>
      </c>
      <c r="CK24" s="244">
        <f t="shared" si="77"/>
        <v>403306.78106264665</v>
      </c>
      <c r="CL24" s="244">
        <f t="shared" si="77"/>
        <v>436854.5972115398</v>
      </c>
      <c r="CM24" s="244">
        <f t="shared" si="77"/>
        <v>492572.76251085609</v>
      </c>
      <c r="CN24" s="244">
        <f t="shared" si="77"/>
        <v>639761.46666279389</v>
      </c>
      <c r="CO24" s="244">
        <f t="shared" si="77"/>
        <v>681752.91065741633</v>
      </c>
      <c r="CP24" s="244">
        <f t="shared" si="77"/>
        <v>779754.53702758823</v>
      </c>
      <c r="CQ24" s="244">
        <f t="shared" si="77"/>
        <v>919552.22599752736</v>
      </c>
      <c r="CR24" s="244">
        <f t="shared" si="77"/>
        <v>954195.92056053714</v>
      </c>
      <c r="CS24" s="244">
        <f t="shared" si="77"/>
        <v>1093090.4020868309</v>
      </c>
      <c r="CT24" s="244">
        <f t="shared" si="77"/>
        <v>1267440.1518299514</v>
      </c>
      <c r="CU24" s="244">
        <f t="shared" si="77"/>
        <v>1336363.3297907056</v>
      </c>
      <c r="CV24" s="244">
        <f t="shared" si="77"/>
        <v>1490064.096421107</v>
      </c>
      <c r="CW24" s="244">
        <f t="shared" si="77"/>
        <v>1795848.6286088529</v>
      </c>
      <c r="CX24" s="244">
        <f t="shared" si="77"/>
        <v>1916636.6929954886</v>
      </c>
      <c r="CY24" s="244">
        <f t="shared" si="77"/>
        <v>2157794.6352019454</v>
      </c>
      <c r="CZ24" s="244">
        <f t="shared" si="77"/>
        <v>2501145.6168857547</v>
      </c>
      <c r="DA24" s="244">
        <f t="shared" si="77"/>
        <v>2616950.3281821432</v>
      </c>
      <c r="DB24" s="244">
        <f t="shared" si="77"/>
        <v>2827188.2284240657</v>
      </c>
      <c r="DC24" s="244">
        <f t="shared" si="77"/>
        <v>3197345.2961205137</v>
      </c>
      <c r="DD24" s="244">
        <f t="shared" si="77"/>
        <v>3354606.5690558418</v>
      </c>
      <c r="DE24" s="244">
        <f t="shared" si="77"/>
        <v>3776176.1353066009</v>
      </c>
      <c r="DF24" s="244">
        <f t="shared" si="77"/>
        <v>4261933.900973293</v>
      </c>
      <c r="DG24" s="244">
        <f t="shared" si="77"/>
        <v>4670706.9965782007</v>
      </c>
      <c r="DH24" s="244">
        <f t="shared" si="77"/>
        <v>5540735.6366023049</v>
      </c>
      <c r="DI24" s="244">
        <f t="shared" si="77"/>
        <v>7241367.1227205861</v>
      </c>
      <c r="DJ24" s="244">
        <f t="shared" si="77"/>
        <v>7970746.9037294295</v>
      </c>
      <c r="DK24" s="244">
        <f t="shared" ref="DK24:EP24" si="78">DK286</f>
        <v>9351663.8456033375</v>
      </c>
      <c r="DL24" s="244">
        <f t="shared" si="78"/>
        <v>11292499.492738327</v>
      </c>
      <c r="DM24" s="244">
        <f t="shared" si="78"/>
        <v>11928775.593545819</v>
      </c>
      <c r="DN24" s="244">
        <f t="shared" si="78"/>
        <v>13075594.659380814</v>
      </c>
      <c r="DO24" s="244">
        <f t="shared" si="78"/>
        <v>15093642.53458376</v>
      </c>
      <c r="DP24" s="244">
        <f t="shared" si="78"/>
        <v>15858774.667198487</v>
      </c>
      <c r="DQ24" s="244">
        <f t="shared" si="78"/>
        <v>18066453.8196229</v>
      </c>
      <c r="DR24" s="244">
        <f t="shared" si="78"/>
        <v>20621331.600409597</v>
      </c>
      <c r="DS24" s="244">
        <f t="shared" si="78"/>
        <v>21685559.215020571</v>
      </c>
      <c r="DT24" s="244">
        <f t="shared" si="78"/>
        <v>23964616.619801138</v>
      </c>
      <c r="DU24" s="244">
        <f t="shared" si="78"/>
        <v>28421345.607120257</v>
      </c>
      <c r="DV24" s="244">
        <f t="shared" si="78"/>
        <v>30323861.921202637</v>
      </c>
      <c r="DW24" s="244">
        <f t="shared" si="78"/>
        <v>33952974.009546302</v>
      </c>
      <c r="DX24" s="244">
        <f t="shared" si="78"/>
        <v>39044449.885148734</v>
      </c>
      <c r="DY24" s="244">
        <f t="shared" si="78"/>
        <v>40700674.056454964</v>
      </c>
      <c r="DZ24" s="244">
        <f t="shared" si="78"/>
        <v>43711768.548531398</v>
      </c>
      <c r="EA24" s="244">
        <f t="shared" si="78"/>
        <v>49013849.974183843</v>
      </c>
      <c r="EB24" s="244">
        <f t="shared" si="78"/>
        <v>51011075.066411071</v>
      </c>
      <c r="EC24" s="244">
        <f t="shared" si="78"/>
        <v>56793403.909054935</v>
      </c>
      <c r="ED24" s="244">
        <f t="shared" si="78"/>
        <v>63496577.273577794</v>
      </c>
      <c r="EE24" s="244">
        <f t="shared" si="78"/>
        <v>65430178.733905964</v>
      </c>
      <c r="EF24" s="244">
        <f t="shared" si="78"/>
        <v>69607910.674534783</v>
      </c>
      <c r="EG24" s="244">
        <f t="shared" si="78"/>
        <v>77782489.72144118</v>
      </c>
      <c r="EH24" s="244">
        <f t="shared" si="78"/>
        <v>81248693.120156512</v>
      </c>
      <c r="EI24" s="244">
        <f t="shared" si="78"/>
        <v>87932119.133632809</v>
      </c>
      <c r="EJ24" s="244">
        <f t="shared" si="78"/>
        <v>97284764.573414102</v>
      </c>
      <c r="EK24" s="244">
        <f t="shared" si="78"/>
        <v>100293174.91669506</v>
      </c>
      <c r="EL24" s="244">
        <f t="shared" si="78"/>
        <v>105831127.71934107</v>
      </c>
      <c r="EM24" s="244">
        <f t="shared" si="78"/>
        <v>115591750.77514715</v>
      </c>
      <c r="EN24" s="244">
        <f t="shared" si="78"/>
        <v>119234334.24672434</v>
      </c>
      <c r="EO24" s="244">
        <f t="shared" si="78"/>
        <v>129831981.44932918</v>
      </c>
      <c r="EP24" s="244">
        <f t="shared" si="78"/>
        <v>142147431.53349298</v>
      </c>
      <c r="EQ24" s="244">
        <f t="shared" ref="EQ24:FB24" si="79">EQ286</f>
        <v>143375315.13949579</v>
      </c>
      <c r="ER24" s="244">
        <f t="shared" si="79"/>
        <v>146172854.94318819</v>
      </c>
      <c r="ES24" s="244">
        <f t="shared" si="79"/>
        <v>151666091.22935691</v>
      </c>
      <c r="ET24" s="244">
        <f t="shared" si="79"/>
        <v>153904477.40880254</v>
      </c>
      <c r="EU24" s="244">
        <f t="shared" si="79"/>
        <v>158499965.53898492</v>
      </c>
      <c r="EV24" s="244">
        <f t="shared" si="79"/>
        <v>164838439.47846493</v>
      </c>
      <c r="EW24" s="244">
        <f t="shared" si="79"/>
        <v>166745744.8457711</v>
      </c>
      <c r="EX24" s="244">
        <f t="shared" si="79"/>
        <v>170525303.62427562</v>
      </c>
      <c r="EY24" s="244">
        <f t="shared" si="79"/>
        <v>177222090.95467484</v>
      </c>
      <c r="EZ24" s="244">
        <f t="shared" si="79"/>
        <v>179589343.43204847</v>
      </c>
      <c r="FA24" s="244">
        <f t="shared" si="79"/>
        <v>186678406.24774927</v>
      </c>
      <c r="FB24" s="244">
        <f t="shared" si="79"/>
        <v>195033519.38351169</v>
      </c>
    </row>
    <row r="25" spans="3:158" x14ac:dyDescent="0.25">
      <c r="C25" s="2" t="s">
        <v>300</v>
      </c>
      <c r="D25" s="244">
        <f t="shared" ref="D25:L25" si="80">D287</f>
        <v>217304.98319999987</v>
      </c>
      <c r="E25" s="244">
        <f t="shared" si="80"/>
        <v>392624.87539999984</v>
      </c>
      <c r="F25" s="244">
        <f t="shared" si="80"/>
        <v>561810.87286593986</v>
      </c>
      <c r="G25" s="244">
        <f t="shared" si="80"/>
        <v>1751919.8339949572</v>
      </c>
      <c r="H25" s="244">
        <f t="shared" si="80"/>
        <v>3441777.4744542534</v>
      </c>
      <c r="I25" s="244">
        <f t="shared" si="80"/>
        <v>6170712.6287460476</v>
      </c>
      <c r="J25" s="244">
        <f t="shared" si="80"/>
        <v>10475467.182019316</v>
      </c>
      <c r="K25" s="244">
        <f t="shared" si="80"/>
        <v>17108650.905778345</v>
      </c>
      <c r="L25" s="244">
        <f t="shared" si="80"/>
        <v>27094882.576464318</v>
      </c>
      <c r="M25" s="244"/>
      <c r="N25" s="244">
        <f t="shared" ref="N25:AG25" si="81">N287</f>
        <v>113728.5037999999</v>
      </c>
      <c r="O25" s="244">
        <f t="shared" si="81"/>
        <v>138879.88319999989</v>
      </c>
      <c r="P25" s="244">
        <f t="shared" si="81"/>
        <v>165887.55319999991</v>
      </c>
      <c r="Q25" s="244">
        <f t="shared" si="81"/>
        <v>217304.98319999987</v>
      </c>
      <c r="R25" s="244">
        <f t="shared" si="81"/>
        <v>248919.62779999987</v>
      </c>
      <c r="S25" s="244">
        <f t="shared" si="81"/>
        <v>311162.45439999987</v>
      </c>
      <c r="T25" s="244">
        <f t="shared" si="81"/>
        <v>341456.24619999988</v>
      </c>
      <c r="U25" s="244">
        <f t="shared" si="81"/>
        <v>392624.87539999984</v>
      </c>
      <c r="V25" s="244">
        <f t="shared" si="81"/>
        <v>420800.43159999984</v>
      </c>
      <c r="W25" s="244">
        <f t="shared" si="81"/>
        <v>457436.2595846199</v>
      </c>
      <c r="X25" s="244">
        <f t="shared" si="81"/>
        <v>516869.42618461984</v>
      </c>
      <c r="Y25" s="244">
        <f t="shared" si="81"/>
        <v>561810.87286593986</v>
      </c>
      <c r="Z25" s="244">
        <f t="shared" si="81"/>
        <v>707037.59425974346</v>
      </c>
      <c r="AA25" s="244">
        <f t="shared" si="81"/>
        <v>993212.91792481951</v>
      </c>
      <c r="AB25" s="244">
        <f t="shared" si="81"/>
        <v>1331330.9316838176</v>
      </c>
      <c r="AC25" s="244">
        <f t="shared" si="81"/>
        <v>1751919.8339949569</v>
      </c>
      <c r="AD25" s="244">
        <f t="shared" si="81"/>
        <v>2048853.0072340127</v>
      </c>
      <c r="AE25" s="244">
        <f t="shared" si="81"/>
        <v>2447029.4402458472</v>
      </c>
      <c r="AF25" s="244">
        <f t="shared" si="81"/>
        <v>2840772.9307009834</v>
      </c>
      <c r="AG25" s="244">
        <f t="shared" si="81"/>
        <v>3441777.4744542534</v>
      </c>
      <c r="AH25" s="244">
        <f t="shared" ref="AH25:AV25" si="82">AH287</f>
        <v>3936155.4659519335</v>
      </c>
      <c r="AI25" s="244">
        <f t="shared" si="82"/>
        <v>4613694.1726721758</v>
      </c>
      <c r="AJ25" s="244">
        <f t="shared" si="82"/>
        <v>5249983.3693391019</v>
      </c>
      <c r="AK25" s="244">
        <f t="shared" si="82"/>
        <v>6170712.6287460476</v>
      </c>
      <c r="AL25" s="244">
        <f t="shared" si="82"/>
        <v>6950006.6793830823</v>
      </c>
      <c r="AM25" s="244">
        <f t="shared" si="82"/>
        <v>8019166.3367445394</v>
      </c>
      <c r="AN25" s="244">
        <f t="shared" si="82"/>
        <v>9023353.6319810208</v>
      </c>
      <c r="AO25" s="244">
        <f t="shared" si="82"/>
        <v>10475467.182019318</v>
      </c>
      <c r="AP25" s="244">
        <f t="shared" si="82"/>
        <v>11675624.781701438</v>
      </c>
      <c r="AQ25" s="244">
        <f t="shared" si="82"/>
        <v>13323529.219852256</v>
      </c>
      <c r="AR25" s="244">
        <f t="shared" si="82"/>
        <v>14871430.471025899</v>
      </c>
      <c r="AS25" s="244">
        <f t="shared" si="82"/>
        <v>17108650.905778345</v>
      </c>
      <c r="AT25" s="244">
        <f t="shared" si="82"/>
        <v>18914668.570828971</v>
      </c>
      <c r="AU25" s="244">
        <f t="shared" si="82"/>
        <v>21396129.366739195</v>
      </c>
      <c r="AV25" s="244">
        <f t="shared" si="82"/>
        <v>23727175.901823621</v>
      </c>
      <c r="AW25" s="244">
        <f t="shared" ref="AW25" si="83">AW287</f>
        <v>27094882.576464318</v>
      </c>
      <c r="AY25" s="244">
        <f t="shared" ref="AY25:CD25" si="84">AY287</f>
        <v>92345.653799999898</v>
      </c>
      <c r="AZ25" s="244">
        <f t="shared" si="84"/>
        <v>98781.970399999904</v>
      </c>
      <c r="BA25" s="244">
        <f t="shared" si="84"/>
        <v>113728.5037999999</v>
      </c>
      <c r="BB25" s="244">
        <f t="shared" si="84"/>
        <v>119189.80379999991</v>
      </c>
      <c r="BC25" s="244">
        <f t="shared" si="84"/>
        <v>130284.1431999999</v>
      </c>
      <c r="BD25" s="244">
        <f t="shared" si="84"/>
        <v>138879.88319999989</v>
      </c>
      <c r="BE25" s="244">
        <f t="shared" si="84"/>
        <v>145342.88319999989</v>
      </c>
      <c r="BF25" s="244">
        <f t="shared" si="84"/>
        <v>149644.53319999989</v>
      </c>
      <c r="BG25" s="244">
        <f t="shared" si="84"/>
        <v>165887.55319999988</v>
      </c>
      <c r="BH25" s="244">
        <f t="shared" si="84"/>
        <v>172139.26319999987</v>
      </c>
      <c r="BI25" s="244">
        <f t="shared" si="84"/>
        <v>198527.38319999987</v>
      </c>
      <c r="BJ25" s="244">
        <f t="shared" si="84"/>
        <v>217304.98319999987</v>
      </c>
      <c r="BK25" s="244">
        <f t="shared" si="84"/>
        <v>220167.98319999987</v>
      </c>
      <c r="BL25" s="244">
        <f t="shared" si="84"/>
        <v>229105.60319999987</v>
      </c>
      <c r="BM25" s="244">
        <f t="shared" si="84"/>
        <v>248919.62779999987</v>
      </c>
      <c r="BN25" s="244">
        <f t="shared" si="84"/>
        <v>256650.53239999988</v>
      </c>
      <c r="BO25" s="244">
        <f t="shared" si="84"/>
        <v>290670.48959999986</v>
      </c>
      <c r="BP25" s="244">
        <f t="shared" si="84"/>
        <v>311162.45439999987</v>
      </c>
      <c r="BQ25" s="244">
        <f t="shared" si="84"/>
        <v>321082.45899999986</v>
      </c>
      <c r="BR25" s="244">
        <f t="shared" si="84"/>
        <v>324903.67899999983</v>
      </c>
      <c r="BS25" s="244">
        <f t="shared" si="84"/>
        <v>341456.24619999982</v>
      </c>
      <c r="BT25" s="244">
        <f t="shared" si="84"/>
        <v>342540.24619999982</v>
      </c>
      <c r="BU25" s="244">
        <f t="shared" si="84"/>
        <v>360834.88619999983</v>
      </c>
      <c r="BV25" s="244">
        <f t="shared" si="84"/>
        <v>392624.87539999984</v>
      </c>
      <c r="BW25" s="244">
        <f t="shared" si="84"/>
        <v>402300.36819999985</v>
      </c>
      <c r="BX25" s="244">
        <f t="shared" si="84"/>
        <v>414354.50819999987</v>
      </c>
      <c r="BY25" s="244">
        <f t="shared" si="84"/>
        <v>420800.43159999989</v>
      </c>
      <c r="BZ25" s="244">
        <f t="shared" si="84"/>
        <v>431514.89179999987</v>
      </c>
      <c r="CA25" s="244">
        <f t="shared" si="84"/>
        <v>433095.38838461984</v>
      </c>
      <c r="CB25" s="244">
        <f t="shared" si="84"/>
        <v>457436.25958461984</v>
      </c>
      <c r="CC25" s="244">
        <f t="shared" si="84"/>
        <v>458744.95818461984</v>
      </c>
      <c r="CD25" s="244">
        <f t="shared" si="84"/>
        <v>488529.12798461982</v>
      </c>
      <c r="CE25" s="244">
        <f t="shared" ref="CE25:DJ25" si="85">CE287</f>
        <v>516869.42618461984</v>
      </c>
      <c r="CF25" s="244">
        <f t="shared" si="85"/>
        <v>523218.04498021986</v>
      </c>
      <c r="CG25" s="244">
        <f t="shared" si="85"/>
        <v>538792.17486593989</v>
      </c>
      <c r="CH25" s="244">
        <f t="shared" si="85"/>
        <v>561810.87286593986</v>
      </c>
      <c r="CI25" s="244">
        <f t="shared" si="85"/>
        <v>590759.48341902462</v>
      </c>
      <c r="CJ25" s="244">
        <f t="shared" si="85"/>
        <v>611570.59261968452</v>
      </c>
      <c r="CK25" s="244">
        <f t="shared" si="85"/>
        <v>707037.59425974358</v>
      </c>
      <c r="CL25" s="244">
        <f t="shared" si="85"/>
        <v>747730.42706118757</v>
      </c>
      <c r="CM25" s="244">
        <f t="shared" si="85"/>
        <v>814994.67124141182</v>
      </c>
      <c r="CN25" s="244">
        <f t="shared" si="85"/>
        <v>993212.9179248194</v>
      </c>
      <c r="CO25" s="244">
        <f t="shared" si="85"/>
        <v>1043976.2801774939</v>
      </c>
      <c r="CP25" s="244">
        <f t="shared" si="85"/>
        <v>1162467.3061991737</v>
      </c>
      <c r="CQ25" s="244">
        <f t="shared" si="85"/>
        <v>1331330.9316838174</v>
      </c>
      <c r="CR25" s="244">
        <f t="shared" si="85"/>
        <v>1373099.625874466</v>
      </c>
      <c r="CS25" s="244">
        <f t="shared" si="85"/>
        <v>1540813.8091855701</v>
      </c>
      <c r="CT25" s="244">
        <f t="shared" si="85"/>
        <v>1751919.8339949572</v>
      </c>
      <c r="CU25" s="244">
        <f t="shared" si="85"/>
        <v>1789889.860802257</v>
      </c>
      <c r="CV25" s="244">
        <f t="shared" si="85"/>
        <v>1876411.6510249376</v>
      </c>
      <c r="CW25" s="244">
        <f t="shared" si="85"/>
        <v>2048853.0072340125</v>
      </c>
      <c r="CX25" s="244">
        <f t="shared" si="85"/>
        <v>2115760.7239755946</v>
      </c>
      <c r="CY25" s="244">
        <f t="shared" si="85"/>
        <v>2252863.5288009699</v>
      </c>
      <c r="CZ25" s="244">
        <f t="shared" si="85"/>
        <v>2447029.4402458477</v>
      </c>
      <c r="DA25" s="244">
        <f t="shared" si="85"/>
        <v>2511027.8047765377</v>
      </c>
      <c r="DB25" s="244">
        <f t="shared" si="85"/>
        <v>2630322.0094598508</v>
      </c>
      <c r="DC25" s="244">
        <f t="shared" si="85"/>
        <v>2840772.9307009834</v>
      </c>
      <c r="DD25" s="244">
        <f t="shared" si="85"/>
        <v>2928812.0912807155</v>
      </c>
      <c r="DE25" s="244">
        <f t="shared" si="85"/>
        <v>3166534.0809225701</v>
      </c>
      <c r="DF25" s="244">
        <f t="shared" si="85"/>
        <v>3441777.4744542534</v>
      </c>
      <c r="DG25" s="244">
        <f t="shared" si="85"/>
        <v>3507793.864369357</v>
      </c>
      <c r="DH25" s="244">
        <f t="shared" si="85"/>
        <v>3652575.1850092188</v>
      </c>
      <c r="DI25" s="244">
        <f t="shared" si="85"/>
        <v>3936155.465951934</v>
      </c>
      <c r="DJ25" s="244">
        <f t="shared" si="85"/>
        <v>4055050.6981831733</v>
      </c>
      <c r="DK25" s="244">
        <f t="shared" ref="DK25:FB25" si="86">DK287</f>
        <v>4288450.5440170094</v>
      </c>
      <c r="DL25" s="244">
        <f t="shared" si="86"/>
        <v>4613694.1726721767</v>
      </c>
      <c r="DM25" s="244">
        <f t="shared" si="86"/>
        <v>4716360.1948885657</v>
      </c>
      <c r="DN25" s="244">
        <f t="shared" si="86"/>
        <v>4909337.3236075705</v>
      </c>
      <c r="DO25" s="244">
        <f t="shared" si="86"/>
        <v>5249983.3693391019</v>
      </c>
      <c r="DP25" s="244">
        <f t="shared" si="86"/>
        <v>5375150.8424037341</v>
      </c>
      <c r="DQ25" s="244">
        <f t="shared" si="86"/>
        <v>5742306.779843335</v>
      </c>
      <c r="DR25" s="244">
        <f t="shared" si="86"/>
        <v>6170712.6287460476</v>
      </c>
      <c r="DS25" s="244">
        <f t="shared" si="86"/>
        <v>6274385.4611868979</v>
      </c>
      <c r="DT25" s="244">
        <f t="shared" si="86"/>
        <v>6502695.7715189708</v>
      </c>
      <c r="DU25" s="244">
        <f t="shared" si="86"/>
        <v>6950006.6793830832</v>
      </c>
      <c r="DV25" s="244">
        <f t="shared" si="86"/>
        <v>7136964.3571408913</v>
      </c>
      <c r="DW25" s="244">
        <f t="shared" si="86"/>
        <v>7505792.4969776133</v>
      </c>
      <c r="DX25" s="244">
        <f t="shared" si="86"/>
        <v>8019166.3367445394</v>
      </c>
      <c r="DY25" s="244">
        <f t="shared" si="86"/>
        <v>8180373.8405992668</v>
      </c>
      <c r="DZ25" s="244">
        <f t="shared" si="86"/>
        <v>8485143.5826905984</v>
      </c>
      <c r="EA25" s="244">
        <f t="shared" si="86"/>
        <v>9023353.6319810208</v>
      </c>
      <c r="EB25" s="244">
        <f t="shared" si="86"/>
        <v>9220271.4147663154</v>
      </c>
      <c r="EC25" s="244">
        <f t="shared" si="86"/>
        <v>9799203.4437504355</v>
      </c>
      <c r="ED25" s="244">
        <f t="shared" si="86"/>
        <v>10475467.182019316</v>
      </c>
      <c r="EE25" s="244">
        <f t="shared" si="86"/>
        <v>10634675.156286841</v>
      </c>
      <c r="EF25" s="244">
        <f t="shared" si="86"/>
        <v>10986390.765419029</v>
      </c>
      <c r="EG25" s="244">
        <f t="shared" si="86"/>
        <v>11675624.781701436</v>
      </c>
      <c r="EH25" s="244">
        <f t="shared" si="86"/>
        <v>11963016.100938329</v>
      </c>
      <c r="EI25" s="244">
        <f t="shared" si="86"/>
        <v>12532101.65435805</v>
      </c>
      <c r="EJ25" s="244">
        <f t="shared" si="86"/>
        <v>13323529.219852258</v>
      </c>
      <c r="EK25" s="244">
        <f t="shared" si="86"/>
        <v>13571068.113041658</v>
      </c>
      <c r="EL25" s="244">
        <f t="shared" si="86"/>
        <v>14041104.230075805</v>
      </c>
      <c r="EM25" s="244">
        <f t="shared" si="86"/>
        <v>14871430.471025897</v>
      </c>
      <c r="EN25" s="244">
        <f t="shared" si="86"/>
        <v>15174246.12716084</v>
      </c>
      <c r="EO25" s="244">
        <f t="shared" si="86"/>
        <v>16066044.114877658</v>
      </c>
      <c r="EP25" s="244">
        <f t="shared" si="86"/>
        <v>17108650.905778345</v>
      </c>
      <c r="EQ25" s="244">
        <f t="shared" si="86"/>
        <v>17347663.94409053</v>
      </c>
      <c r="ER25" s="244">
        <f t="shared" si="86"/>
        <v>17877061.951763</v>
      </c>
      <c r="ES25" s="244">
        <f t="shared" si="86"/>
        <v>18914668.570828967</v>
      </c>
      <c r="ET25" s="244">
        <f t="shared" si="86"/>
        <v>19346474.295236818</v>
      </c>
      <c r="EU25" s="244">
        <f t="shared" si="86"/>
        <v>20204175.929973416</v>
      </c>
      <c r="EV25" s="244">
        <f t="shared" si="86"/>
        <v>21396129.366739199</v>
      </c>
      <c r="EW25" s="244">
        <f t="shared" si="86"/>
        <v>21767720.671589721</v>
      </c>
      <c r="EX25" s="244">
        <f t="shared" si="86"/>
        <v>22475877.841674235</v>
      </c>
      <c r="EY25" s="244">
        <f t="shared" si="86"/>
        <v>23727175.901823621</v>
      </c>
      <c r="EZ25" s="244">
        <f t="shared" si="86"/>
        <v>24182298.591314282</v>
      </c>
      <c r="FA25" s="244">
        <f t="shared" si="86"/>
        <v>25524552.35857952</v>
      </c>
      <c r="FB25" s="244">
        <f t="shared" si="86"/>
        <v>27094882.576464318</v>
      </c>
    </row>
    <row r="27" spans="3:158" x14ac:dyDescent="0.25">
      <c r="C27" s="1" t="s">
        <v>638</v>
      </c>
      <c r="D27" s="22">
        <f t="shared" ref="D27:L27" si="87">SUM(D9,D15,D21)</f>
        <v>30372823.736999996</v>
      </c>
      <c r="E27" s="22">
        <f t="shared" si="87"/>
        <v>55180642.637915</v>
      </c>
      <c r="F27" s="22">
        <f t="shared" si="87"/>
        <v>81796833.065349996</v>
      </c>
      <c r="G27" s="22">
        <f t="shared" si="87"/>
        <v>139064244.02327001</v>
      </c>
      <c r="H27" s="22">
        <f t="shared" si="87"/>
        <v>215421874.80607873</v>
      </c>
      <c r="I27" s="22">
        <f t="shared" si="87"/>
        <v>327109707.40993571</v>
      </c>
      <c r="J27" s="22">
        <f t="shared" si="87"/>
        <v>488998799.68783557</v>
      </c>
      <c r="K27" s="22">
        <f t="shared" si="87"/>
        <v>719659412.14411581</v>
      </c>
      <c r="L27" s="22">
        <f t="shared" si="87"/>
        <v>1042580730.1779492</v>
      </c>
      <c r="M27" s="22"/>
      <c r="N27" s="22">
        <f t="shared" ref="N27:AW27" si="88">SUM(N9,N15,N21)</f>
        <v>16078192.546999995</v>
      </c>
      <c r="O27" s="22">
        <f t="shared" si="88"/>
        <v>19982320.346999995</v>
      </c>
      <c r="P27" s="22">
        <f t="shared" si="88"/>
        <v>24023348.806999996</v>
      </c>
      <c r="Q27" s="22">
        <f t="shared" si="88"/>
        <v>30372823.736999996</v>
      </c>
      <c r="R27" s="22">
        <f t="shared" si="88"/>
        <v>35344232.046999998</v>
      </c>
      <c r="S27" s="22">
        <f t="shared" si="88"/>
        <v>42109026.897</v>
      </c>
      <c r="T27" s="22">
        <f t="shared" si="88"/>
        <v>47550289.207000002</v>
      </c>
      <c r="U27" s="22">
        <f t="shared" si="88"/>
        <v>55180642.637915</v>
      </c>
      <c r="V27" s="22">
        <f t="shared" si="88"/>
        <v>59262172.921577998</v>
      </c>
      <c r="W27" s="22">
        <f t="shared" si="88"/>
        <v>65924653.227766991</v>
      </c>
      <c r="X27" s="22">
        <f t="shared" si="88"/>
        <v>72578535.141135007</v>
      </c>
      <c r="Y27" s="22">
        <f t="shared" si="88"/>
        <v>81796833.065349996</v>
      </c>
      <c r="Z27" s="22">
        <f t="shared" si="88"/>
        <v>89128181.603371993</v>
      </c>
      <c r="AA27" s="22">
        <f t="shared" si="88"/>
        <v>101887756.52327001</v>
      </c>
      <c r="AB27" s="22">
        <f t="shared" si="88"/>
        <v>117686456.52327</v>
      </c>
      <c r="AC27" s="22">
        <f t="shared" si="88"/>
        <v>139064244.02327001</v>
      </c>
      <c r="AD27" s="22">
        <f t="shared" si="88"/>
        <v>152256839.41322142</v>
      </c>
      <c r="AE27" s="22">
        <f t="shared" si="88"/>
        <v>170277681.53099337</v>
      </c>
      <c r="AF27" s="22">
        <f t="shared" si="88"/>
        <v>188223220.07094094</v>
      </c>
      <c r="AG27" s="22">
        <f t="shared" si="88"/>
        <v>215421874.80607873</v>
      </c>
      <c r="AH27" s="22">
        <f t="shared" si="88"/>
        <v>235384544.49521628</v>
      </c>
      <c r="AI27" s="22">
        <f t="shared" si="88"/>
        <v>263296258.00699958</v>
      </c>
      <c r="AJ27" s="22">
        <f t="shared" si="88"/>
        <v>289566327.69203007</v>
      </c>
      <c r="AK27" s="22">
        <f t="shared" si="88"/>
        <v>327109707.40993571</v>
      </c>
      <c r="AL27" s="22">
        <f t="shared" si="88"/>
        <v>356043589.91926169</v>
      </c>
      <c r="AM27" s="22">
        <f t="shared" si="88"/>
        <v>396502071.01277757</v>
      </c>
      <c r="AN27" s="22">
        <f t="shared" si="88"/>
        <v>434581295.75466055</v>
      </c>
      <c r="AO27" s="22">
        <f t="shared" si="88"/>
        <v>488998799.68783557</v>
      </c>
      <c r="AP27" s="22">
        <f t="shared" si="88"/>
        <v>530223132.94951707</v>
      </c>
      <c r="AQ27" s="22">
        <f t="shared" si="88"/>
        <v>587869204.21167505</v>
      </c>
      <c r="AR27" s="22">
        <f t="shared" si="88"/>
        <v>642125441.55590081</v>
      </c>
      <c r="AS27" s="22">
        <f t="shared" si="88"/>
        <v>719659412.14411592</v>
      </c>
      <c r="AT27" s="22">
        <f t="shared" si="88"/>
        <v>777372750.44651484</v>
      </c>
      <c r="AU27" s="22">
        <f t="shared" si="88"/>
        <v>858076429.92087829</v>
      </c>
      <c r="AV27" s="22">
        <f t="shared" si="88"/>
        <v>934034410.38361788</v>
      </c>
      <c r="AW27" s="22">
        <f t="shared" si="88"/>
        <v>1042580730.1779491</v>
      </c>
      <c r="AY27" s="22">
        <f t="shared" ref="AY27:CD27" si="89">SUM(AY9,AY15,AY21)</f>
        <v>13102331.846999995</v>
      </c>
      <c r="AZ27" s="22">
        <f t="shared" si="89"/>
        <v>14106212.676999997</v>
      </c>
      <c r="BA27" s="22">
        <f t="shared" si="89"/>
        <v>16078192.546999995</v>
      </c>
      <c r="BB27" s="22">
        <f t="shared" si="89"/>
        <v>16679793.976999994</v>
      </c>
      <c r="BC27" s="22">
        <f t="shared" si="89"/>
        <v>18182357.626999997</v>
      </c>
      <c r="BD27" s="22">
        <f t="shared" si="89"/>
        <v>19982320.346999995</v>
      </c>
      <c r="BE27" s="22">
        <f t="shared" si="89"/>
        <v>20698197.016999997</v>
      </c>
      <c r="BF27" s="22">
        <f t="shared" si="89"/>
        <v>21752246.476999998</v>
      </c>
      <c r="BG27" s="22">
        <f t="shared" si="89"/>
        <v>24023348.806999996</v>
      </c>
      <c r="BH27" s="22">
        <f t="shared" si="89"/>
        <v>25111860.976999994</v>
      </c>
      <c r="BI27" s="22">
        <f t="shared" si="89"/>
        <v>27895143.646999992</v>
      </c>
      <c r="BJ27" s="22">
        <f t="shared" si="89"/>
        <v>30372823.736999996</v>
      </c>
      <c r="BK27" s="22">
        <f t="shared" si="89"/>
        <v>31050437.066999994</v>
      </c>
      <c r="BL27" s="22">
        <f t="shared" si="89"/>
        <v>32282318.186999992</v>
      </c>
      <c r="BM27" s="22">
        <f t="shared" si="89"/>
        <v>35344232.046999998</v>
      </c>
      <c r="BN27" s="22">
        <f t="shared" si="89"/>
        <v>36446598.806999996</v>
      </c>
      <c r="BO27" s="22">
        <f t="shared" si="89"/>
        <v>39374079.186999992</v>
      </c>
      <c r="BP27" s="22">
        <f t="shared" si="89"/>
        <v>42109026.897</v>
      </c>
      <c r="BQ27" s="22">
        <f t="shared" si="89"/>
        <v>43213202.296999991</v>
      </c>
      <c r="BR27" s="22">
        <f t="shared" si="89"/>
        <v>44334211.966999993</v>
      </c>
      <c r="BS27" s="22">
        <f t="shared" si="89"/>
        <v>47550289.207000002</v>
      </c>
      <c r="BT27" s="22">
        <f t="shared" si="89"/>
        <v>48115751.746999994</v>
      </c>
      <c r="BU27" s="22">
        <f t="shared" si="89"/>
        <v>51223164.506999999</v>
      </c>
      <c r="BV27" s="22">
        <f t="shared" si="89"/>
        <v>55180642.637915</v>
      </c>
      <c r="BW27" s="22">
        <f t="shared" si="89"/>
        <v>55976774.137915</v>
      </c>
      <c r="BX27" s="22">
        <f t="shared" si="89"/>
        <v>57331966.513116002</v>
      </c>
      <c r="BY27" s="22">
        <f t="shared" si="89"/>
        <v>59262172.92157799</v>
      </c>
      <c r="BZ27" s="22">
        <f t="shared" si="89"/>
        <v>60403738.713445999</v>
      </c>
      <c r="CA27" s="22">
        <f t="shared" si="89"/>
        <v>61794343.467583999</v>
      </c>
      <c r="CB27" s="22">
        <f t="shared" si="89"/>
        <v>65924653.227767006</v>
      </c>
      <c r="CC27" s="22">
        <f t="shared" si="89"/>
        <v>66245295.594945997</v>
      </c>
      <c r="CD27" s="22">
        <f t="shared" si="89"/>
        <v>69258546.248936996</v>
      </c>
      <c r="CE27" s="22">
        <f t="shared" ref="CE27:DJ27" si="90">SUM(CE9,CE15,CE21)</f>
        <v>72578535.141134992</v>
      </c>
      <c r="CF27" s="22">
        <f t="shared" si="90"/>
        <v>73858373.527289987</v>
      </c>
      <c r="CG27" s="22">
        <f t="shared" si="90"/>
        <v>76960709.968975991</v>
      </c>
      <c r="CH27" s="22">
        <f t="shared" si="90"/>
        <v>81796833.065349996</v>
      </c>
      <c r="CI27" s="22">
        <f t="shared" si="90"/>
        <v>82846785.072255999</v>
      </c>
      <c r="CJ27" s="22">
        <f t="shared" si="90"/>
        <v>84536217.273762003</v>
      </c>
      <c r="CK27" s="22">
        <f t="shared" si="90"/>
        <v>89128181.603372008</v>
      </c>
      <c r="CL27" s="22">
        <f t="shared" si="90"/>
        <v>91244502.10827899</v>
      </c>
      <c r="CM27" s="22">
        <f t="shared" si="90"/>
        <v>94994018.240116999</v>
      </c>
      <c r="CN27" s="22">
        <f t="shared" si="90"/>
        <v>101887756.52327001</v>
      </c>
      <c r="CO27" s="22">
        <f t="shared" si="90"/>
        <v>104237221.34369531</v>
      </c>
      <c r="CP27" s="22">
        <f t="shared" si="90"/>
        <v>109855883.89661852</v>
      </c>
      <c r="CQ27" s="22">
        <f t="shared" si="90"/>
        <v>117686456.52327</v>
      </c>
      <c r="CR27" s="22">
        <f t="shared" si="90"/>
        <v>119737641.28364201</v>
      </c>
      <c r="CS27" s="22">
        <f t="shared" si="90"/>
        <v>128305276.09555492</v>
      </c>
      <c r="CT27" s="22">
        <f t="shared" si="90"/>
        <v>139064244.02327001</v>
      </c>
      <c r="CU27" s="22">
        <f t="shared" si="90"/>
        <v>140615006.55031872</v>
      </c>
      <c r="CV27" s="22">
        <f t="shared" si="90"/>
        <v>144486241.28713495</v>
      </c>
      <c r="CW27" s="22">
        <f t="shared" si="90"/>
        <v>152256839.41322145</v>
      </c>
      <c r="CX27" s="22">
        <f t="shared" si="90"/>
        <v>155056178.08250117</v>
      </c>
      <c r="CY27" s="22">
        <f t="shared" si="90"/>
        <v>161431806.00678721</v>
      </c>
      <c r="CZ27" s="22">
        <f t="shared" si="90"/>
        <v>170277681.53099337</v>
      </c>
      <c r="DA27" s="22">
        <f t="shared" si="90"/>
        <v>172928233.64502734</v>
      </c>
      <c r="DB27" s="22">
        <f t="shared" si="90"/>
        <v>178435001.80567658</v>
      </c>
      <c r="DC27" s="22">
        <f t="shared" si="90"/>
        <v>188223220.07094097</v>
      </c>
      <c r="DD27" s="22">
        <f t="shared" si="90"/>
        <v>192075285.76056775</v>
      </c>
      <c r="DE27" s="22">
        <f t="shared" si="90"/>
        <v>202785055.43340123</v>
      </c>
      <c r="DF27" s="22">
        <f t="shared" si="90"/>
        <v>215421874.80607873</v>
      </c>
      <c r="DG27" s="22">
        <f t="shared" si="90"/>
        <v>217899713.14692456</v>
      </c>
      <c r="DH27" s="22">
        <f t="shared" si="90"/>
        <v>223789167.27946061</v>
      </c>
      <c r="DI27" s="22">
        <f t="shared" si="90"/>
        <v>235384544.49521628</v>
      </c>
      <c r="DJ27" s="22">
        <f t="shared" si="90"/>
        <v>239964462.35397553</v>
      </c>
      <c r="DK27" s="22">
        <f t="shared" ref="DK27:EP27" si="91">SUM(DK9,DK15,DK21)</f>
        <v>249831218.64549226</v>
      </c>
      <c r="DL27" s="22">
        <f t="shared" si="91"/>
        <v>263296258.00699958</v>
      </c>
      <c r="DM27" s="22">
        <f t="shared" si="91"/>
        <v>267139905.57780328</v>
      </c>
      <c r="DN27" s="22">
        <f t="shared" si="91"/>
        <v>275210680.58686411</v>
      </c>
      <c r="DO27" s="22">
        <f t="shared" si="91"/>
        <v>289566327.69203007</v>
      </c>
      <c r="DP27" s="22">
        <f t="shared" si="91"/>
        <v>294434759.94325978</v>
      </c>
      <c r="DQ27" s="22">
        <f t="shared" si="91"/>
        <v>309346908.76859665</v>
      </c>
      <c r="DR27" s="22">
        <f t="shared" si="91"/>
        <v>327109707.40993571</v>
      </c>
      <c r="DS27" s="22">
        <f t="shared" si="91"/>
        <v>330699978.13786793</v>
      </c>
      <c r="DT27" s="22">
        <f t="shared" si="91"/>
        <v>339236404.69694257</v>
      </c>
      <c r="DU27" s="22">
        <f t="shared" si="91"/>
        <v>356043589.91926169</v>
      </c>
      <c r="DV27" s="22">
        <f t="shared" si="91"/>
        <v>362680418.33288121</v>
      </c>
      <c r="DW27" s="22">
        <f t="shared" si="91"/>
        <v>376983894.87088048</v>
      </c>
      <c r="DX27" s="22">
        <f t="shared" si="91"/>
        <v>396502071.01277757</v>
      </c>
      <c r="DY27" s="22">
        <f t="shared" si="91"/>
        <v>402071272.77833569</v>
      </c>
      <c r="DZ27" s="22">
        <f t="shared" si="91"/>
        <v>413770690.35297555</v>
      </c>
      <c r="EA27" s="22">
        <f t="shared" si="91"/>
        <v>434581295.75466061</v>
      </c>
      <c r="EB27" s="22">
        <f t="shared" si="91"/>
        <v>441636504.42180282</v>
      </c>
      <c r="EC27" s="22">
        <f t="shared" si="91"/>
        <v>463250675.11824667</v>
      </c>
      <c r="ED27" s="22">
        <f t="shared" si="91"/>
        <v>488998799.68783557</v>
      </c>
      <c r="EE27" s="22">
        <f t="shared" si="91"/>
        <v>494113539.54970467</v>
      </c>
      <c r="EF27" s="22">
        <f t="shared" si="91"/>
        <v>506276181.85883141</v>
      </c>
      <c r="EG27" s="22">
        <f t="shared" si="91"/>
        <v>530223132.94951713</v>
      </c>
      <c r="EH27" s="22">
        <f t="shared" si="91"/>
        <v>539678433.37973464</v>
      </c>
      <c r="EI27" s="22">
        <f t="shared" si="91"/>
        <v>560059101.38492572</v>
      </c>
      <c r="EJ27" s="22">
        <f t="shared" si="91"/>
        <v>587869204.21167505</v>
      </c>
      <c r="EK27" s="22">
        <f t="shared" si="91"/>
        <v>595803117.98488986</v>
      </c>
      <c r="EL27" s="22">
        <f t="shared" si="91"/>
        <v>612473063.23850632</v>
      </c>
      <c r="EM27" s="22">
        <f t="shared" si="91"/>
        <v>642125441.55590081</v>
      </c>
      <c r="EN27" s="22">
        <f t="shared" si="91"/>
        <v>652176952.34472489</v>
      </c>
      <c r="EO27" s="22">
        <f t="shared" si="91"/>
        <v>682972602.48976409</v>
      </c>
      <c r="EP27" s="22">
        <f t="shared" si="91"/>
        <v>719659412.14411581</v>
      </c>
      <c r="EQ27" s="22">
        <f t="shared" ref="EQ27:FB27" si="92">SUM(EQ9,EQ15,EQ21)</f>
        <v>726819890.32122946</v>
      </c>
      <c r="ER27" s="22">
        <f t="shared" si="92"/>
        <v>743847390.18747878</v>
      </c>
      <c r="ES27" s="22">
        <f t="shared" si="92"/>
        <v>777372750.44651484</v>
      </c>
      <c r="ET27" s="22">
        <f t="shared" si="92"/>
        <v>790609924.87403226</v>
      </c>
      <c r="EU27" s="22">
        <f t="shared" si="92"/>
        <v>819142658.3971889</v>
      </c>
      <c r="EV27" s="22">
        <f t="shared" si="92"/>
        <v>858076429.92087829</v>
      </c>
      <c r="EW27" s="22">
        <f t="shared" si="92"/>
        <v>869183660.91882801</v>
      </c>
      <c r="EX27" s="22">
        <f t="shared" si="92"/>
        <v>892521389.50859582</v>
      </c>
      <c r="EY27" s="22">
        <f t="shared" si="92"/>
        <v>934034410.38361788</v>
      </c>
      <c r="EZ27" s="22">
        <f t="shared" si="92"/>
        <v>948106281.40192509</v>
      </c>
      <c r="FA27" s="22">
        <f t="shared" si="92"/>
        <v>991219678.59320545</v>
      </c>
      <c r="FB27" s="22">
        <f t="shared" si="92"/>
        <v>1042580730.1779492</v>
      </c>
    </row>
    <row r="28" spans="3:158" x14ac:dyDescent="0.25">
      <c r="C28" s="2" t="s">
        <v>346</v>
      </c>
      <c r="D28" s="244">
        <f t="shared" ref="D28:L28" si="93">SUM(D10,D16,D22)</f>
        <v>29001775.3266</v>
      </c>
      <c r="E28" s="244">
        <f t="shared" si="93"/>
        <v>52847659.292196691</v>
      </c>
      <c r="F28" s="244">
        <f t="shared" si="93"/>
        <v>78350071.558112621</v>
      </c>
      <c r="G28" s="244">
        <f t="shared" si="93"/>
        <v>129161601.92583527</v>
      </c>
      <c r="H28" s="244">
        <f t="shared" si="93"/>
        <v>192328325.604599</v>
      </c>
      <c r="I28" s="244">
        <f t="shared" si="93"/>
        <v>255837444.94557232</v>
      </c>
      <c r="J28" s="244">
        <f t="shared" si="93"/>
        <v>327751263.58684844</v>
      </c>
      <c r="K28" s="244">
        <f t="shared" si="93"/>
        <v>416119056.36776686</v>
      </c>
      <c r="L28" s="244">
        <f t="shared" si="93"/>
        <v>572419821.44323885</v>
      </c>
      <c r="M28" s="244"/>
      <c r="N28" s="244">
        <f t="shared" ref="N28:AW28" si="94">SUM(N10,N16,N22)</f>
        <v>15270794.586999997</v>
      </c>
      <c r="O28" s="244">
        <f t="shared" si="94"/>
        <v>19012290.716999996</v>
      </c>
      <c r="P28" s="244">
        <f t="shared" si="94"/>
        <v>22898074.818999995</v>
      </c>
      <c r="Q28" s="244">
        <f t="shared" si="94"/>
        <v>29001775.326599997</v>
      </c>
      <c r="R28" s="244">
        <f t="shared" si="94"/>
        <v>33789356.012000002</v>
      </c>
      <c r="S28" s="244">
        <f t="shared" si="94"/>
        <v>40287486.510299996</v>
      </c>
      <c r="T28" s="244">
        <f t="shared" si="94"/>
        <v>45517351.217599995</v>
      </c>
      <c r="U28" s="244">
        <f t="shared" si="94"/>
        <v>52847659.292196691</v>
      </c>
      <c r="V28" s="244">
        <f t="shared" si="94"/>
        <v>56754918.156921223</v>
      </c>
      <c r="W28" s="244">
        <f t="shared" si="94"/>
        <v>63143472.736707687</v>
      </c>
      <c r="X28" s="244">
        <f t="shared" si="94"/>
        <v>69512523.754259259</v>
      </c>
      <c r="Y28" s="244">
        <f t="shared" si="94"/>
        <v>78350071.558112621</v>
      </c>
      <c r="Z28" s="244">
        <f t="shared" si="94"/>
        <v>84841717.252102852</v>
      </c>
      <c r="AA28" s="244">
        <f t="shared" si="94"/>
        <v>96202803.977710694</v>
      </c>
      <c r="AB28" s="244">
        <f t="shared" si="94"/>
        <v>110212636.12309939</v>
      </c>
      <c r="AC28" s="244">
        <f t="shared" si="94"/>
        <v>129161601.92583527</v>
      </c>
      <c r="AD28" s="244">
        <f t="shared" si="94"/>
        <v>140039690.65537319</v>
      </c>
      <c r="AE28" s="244">
        <f t="shared" si="94"/>
        <v>154951967.27347302</v>
      </c>
      <c r="AF28" s="244">
        <f t="shared" si="94"/>
        <v>169821688.74264383</v>
      </c>
      <c r="AG28" s="244">
        <f t="shared" si="94"/>
        <v>192328325.604599</v>
      </c>
      <c r="AH28" s="244">
        <f t="shared" si="94"/>
        <v>203541891.51758331</v>
      </c>
      <c r="AI28" s="244">
        <f t="shared" si="94"/>
        <v>219505904.47778046</v>
      </c>
      <c r="AJ28" s="244">
        <f t="shared" si="94"/>
        <v>234560131.64282793</v>
      </c>
      <c r="AK28" s="244">
        <f t="shared" si="94"/>
        <v>255837444.94557232</v>
      </c>
      <c r="AL28" s="244">
        <f t="shared" si="94"/>
        <v>268470170.15915394</v>
      </c>
      <c r="AM28" s="244">
        <f t="shared" si="94"/>
        <v>286590373.43217444</v>
      </c>
      <c r="AN28" s="244">
        <f t="shared" si="94"/>
        <v>303691540.64531434</v>
      </c>
      <c r="AO28" s="244">
        <f t="shared" si="94"/>
        <v>327751263.5868485</v>
      </c>
      <c r="AP28" s="244">
        <f t="shared" si="94"/>
        <v>343249881.78054655</v>
      </c>
      <c r="AQ28" s="244">
        <f t="shared" si="94"/>
        <v>365532458.74765277</v>
      </c>
      <c r="AR28" s="244">
        <f t="shared" si="94"/>
        <v>386567055.00092554</v>
      </c>
      <c r="AS28" s="244">
        <f t="shared" si="94"/>
        <v>416119056.36776686</v>
      </c>
      <c r="AT28" s="244">
        <f t="shared" si="94"/>
        <v>443837252.1918332</v>
      </c>
      <c r="AU28" s="244">
        <f t="shared" si="94"/>
        <v>483044799.34234267</v>
      </c>
      <c r="AV28" s="244">
        <f t="shared" si="94"/>
        <v>519992525.6054107</v>
      </c>
      <c r="AW28" s="244">
        <f t="shared" si="94"/>
        <v>572419821.44323885</v>
      </c>
      <c r="AY28" s="244">
        <f t="shared" ref="AY28:CD28" si="95">SUM(AY10,AY16,AY22)</f>
        <v>12412735.433999997</v>
      </c>
      <c r="AZ28" s="244">
        <f t="shared" si="95"/>
        <v>13380329.472499996</v>
      </c>
      <c r="BA28" s="244">
        <f t="shared" si="95"/>
        <v>15270794.586999997</v>
      </c>
      <c r="BB28" s="244">
        <f t="shared" si="95"/>
        <v>15848302.145499997</v>
      </c>
      <c r="BC28" s="244">
        <f t="shared" si="95"/>
        <v>17286207.612999998</v>
      </c>
      <c r="BD28" s="244">
        <f t="shared" si="95"/>
        <v>19012290.716999996</v>
      </c>
      <c r="BE28" s="244">
        <f t="shared" si="95"/>
        <v>19701978.853599995</v>
      </c>
      <c r="BF28" s="244">
        <f t="shared" si="95"/>
        <v>20717884.525599997</v>
      </c>
      <c r="BG28" s="244">
        <f t="shared" si="95"/>
        <v>22898074.818999998</v>
      </c>
      <c r="BH28" s="244">
        <f t="shared" si="95"/>
        <v>23947084.340499997</v>
      </c>
      <c r="BI28" s="244">
        <f t="shared" si="95"/>
        <v>26619769.266999997</v>
      </c>
      <c r="BJ28" s="244">
        <f t="shared" si="95"/>
        <v>29001775.3266</v>
      </c>
      <c r="BK28" s="244">
        <f t="shared" si="95"/>
        <v>29655837.989999998</v>
      </c>
      <c r="BL28" s="244">
        <f t="shared" si="95"/>
        <v>30846822.063899998</v>
      </c>
      <c r="BM28" s="244">
        <f t="shared" si="95"/>
        <v>33789356.012000002</v>
      </c>
      <c r="BN28" s="244">
        <f t="shared" si="95"/>
        <v>34854707.619899996</v>
      </c>
      <c r="BO28" s="244">
        <f t="shared" si="95"/>
        <v>37659109.586599998</v>
      </c>
      <c r="BP28" s="244">
        <f t="shared" si="95"/>
        <v>40287486.510299996</v>
      </c>
      <c r="BQ28" s="244">
        <f t="shared" si="95"/>
        <v>41349948.1954</v>
      </c>
      <c r="BR28" s="244">
        <f t="shared" si="95"/>
        <v>42427959.391899996</v>
      </c>
      <c r="BS28" s="244">
        <f t="shared" si="95"/>
        <v>45517351.217599995</v>
      </c>
      <c r="BT28" s="244">
        <f t="shared" si="95"/>
        <v>46067436.270999998</v>
      </c>
      <c r="BU28" s="244">
        <f t="shared" si="95"/>
        <v>49050045.737999991</v>
      </c>
      <c r="BV28" s="244">
        <f t="shared" si="95"/>
        <v>52847659.292196691</v>
      </c>
      <c r="BW28" s="244">
        <f t="shared" si="95"/>
        <v>53609768.554396689</v>
      </c>
      <c r="BX28" s="244">
        <f t="shared" si="95"/>
        <v>54905716.821280122</v>
      </c>
      <c r="BY28" s="244">
        <f t="shared" si="95"/>
        <v>56754918.156921223</v>
      </c>
      <c r="BZ28" s="244">
        <f t="shared" si="95"/>
        <v>57849180.321765035</v>
      </c>
      <c r="CA28" s="244">
        <f t="shared" si="95"/>
        <v>59184842.521386594</v>
      </c>
      <c r="CB28" s="244">
        <f t="shared" si="95"/>
        <v>63143472.73670768</v>
      </c>
      <c r="CC28" s="244">
        <f t="shared" si="95"/>
        <v>63455127.776871309</v>
      </c>
      <c r="CD28" s="244">
        <f t="shared" si="95"/>
        <v>66333654.920263104</v>
      </c>
      <c r="CE28" s="244">
        <f t="shared" ref="CE28:DJ28" si="96">SUM(CE10,CE16,CE22)</f>
        <v>69512523.754259259</v>
      </c>
      <c r="CF28" s="244">
        <f t="shared" si="96"/>
        <v>70743500.21603401</v>
      </c>
      <c r="CG28" s="244">
        <f t="shared" si="96"/>
        <v>73716487.994711161</v>
      </c>
      <c r="CH28" s="244">
        <f t="shared" si="96"/>
        <v>78350071.558112621</v>
      </c>
      <c r="CI28" s="244">
        <f t="shared" si="96"/>
        <v>79277832.324385285</v>
      </c>
      <c r="CJ28" s="244">
        <f t="shared" si="96"/>
        <v>80773725.106814206</v>
      </c>
      <c r="CK28" s="244">
        <f t="shared" si="96"/>
        <v>84841717.252102867</v>
      </c>
      <c r="CL28" s="244">
        <f t="shared" si="96"/>
        <v>86706547.030383691</v>
      </c>
      <c r="CM28" s="244">
        <f t="shared" si="96"/>
        <v>90051332.058334023</v>
      </c>
      <c r="CN28" s="244">
        <f t="shared" si="96"/>
        <v>96202803.977710679</v>
      </c>
      <c r="CO28" s="244">
        <f t="shared" si="96"/>
        <v>98284421.1607548</v>
      </c>
      <c r="CP28" s="244">
        <f t="shared" si="96"/>
        <v>103273919.78348802</v>
      </c>
      <c r="CQ28" s="244">
        <f t="shared" si="96"/>
        <v>110212636.12309939</v>
      </c>
      <c r="CR28" s="244">
        <f t="shared" si="96"/>
        <v>112023185.34111267</v>
      </c>
      <c r="CS28" s="244">
        <f t="shared" si="96"/>
        <v>119619985.88751242</v>
      </c>
      <c r="CT28" s="244">
        <f t="shared" si="96"/>
        <v>129161601.92583527</v>
      </c>
      <c r="CU28" s="244">
        <f t="shared" si="96"/>
        <v>130418420.62545845</v>
      </c>
      <c r="CV28" s="244">
        <f t="shared" si="96"/>
        <v>133614841.16166604</v>
      </c>
      <c r="CW28" s="244">
        <f t="shared" si="96"/>
        <v>140039690.65537319</v>
      </c>
      <c r="CX28" s="244">
        <f t="shared" si="96"/>
        <v>142320075.38451999</v>
      </c>
      <c r="CY28" s="244">
        <f t="shared" si="96"/>
        <v>147622810.06450322</v>
      </c>
      <c r="CZ28" s="244">
        <f t="shared" si="96"/>
        <v>154951967.27347302</v>
      </c>
      <c r="DA28" s="244">
        <f t="shared" si="96"/>
        <v>157106532.7120201</v>
      </c>
      <c r="DB28" s="244">
        <f t="shared" si="96"/>
        <v>161680372.34022349</v>
      </c>
      <c r="DC28" s="244">
        <f t="shared" si="96"/>
        <v>169821688.74264383</v>
      </c>
      <c r="DD28" s="244">
        <f t="shared" si="96"/>
        <v>172988397.53435981</v>
      </c>
      <c r="DE28" s="244">
        <f t="shared" si="96"/>
        <v>181842999.76199317</v>
      </c>
      <c r="DF28" s="244">
        <f t="shared" si="96"/>
        <v>192328325.604599</v>
      </c>
      <c r="DG28" s="244">
        <f t="shared" si="96"/>
        <v>193623311.10237557</v>
      </c>
      <c r="DH28" s="244">
        <f t="shared" si="96"/>
        <v>196953893.24568254</v>
      </c>
      <c r="DI28" s="244">
        <f t="shared" si="96"/>
        <v>203541891.51758331</v>
      </c>
      <c r="DJ28" s="244">
        <f t="shared" si="96"/>
        <v>206000583.41697729</v>
      </c>
      <c r="DK28" s="244">
        <f t="shared" ref="DK28:EP28" si="97">SUM(DK10,DK16,DK22)</f>
        <v>211771062.28465265</v>
      </c>
      <c r="DL28" s="244">
        <f t="shared" si="97"/>
        <v>219505904.47778046</v>
      </c>
      <c r="DM28" s="244">
        <f t="shared" si="97"/>
        <v>221509269.23824009</v>
      </c>
      <c r="DN28" s="244">
        <f t="shared" si="97"/>
        <v>226186455.77594751</v>
      </c>
      <c r="DO28" s="244">
        <f t="shared" si="97"/>
        <v>234560131.64282793</v>
      </c>
      <c r="DP28" s="244">
        <f t="shared" si="97"/>
        <v>237199066.24241036</v>
      </c>
      <c r="DQ28" s="244">
        <f t="shared" si="97"/>
        <v>245620293.00052851</v>
      </c>
      <c r="DR28" s="244">
        <f t="shared" si="97"/>
        <v>255837444.94557232</v>
      </c>
      <c r="DS28" s="244">
        <f t="shared" si="97"/>
        <v>257250188.99474689</v>
      </c>
      <c r="DT28" s="244">
        <f t="shared" si="97"/>
        <v>261012907.75998521</v>
      </c>
      <c r="DU28" s="244">
        <f t="shared" si="97"/>
        <v>268470170.15915394</v>
      </c>
      <c r="DV28" s="244">
        <f t="shared" si="97"/>
        <v>271185759.67258763</v>
      </c>
      <c r="DW28" s="244">
        <f t="shared" si="97"/>
        <v>277795126.53797102</v>
      </c>
      <c r="DX28" s="244">
        <f t="shared" si="97"/>
        <v>286590373.43217444</v>
      </c>
      <c r="DY28" s="244">
        <f t="shared" si="97"/>
        <v>288773133.88898152</v>
      </c>
      <c r="DZ28" s="244">
        <f t="shared" si="97"/>
        <v>294110636.74034226</v>
      </c>
      <c r="EA28" s="244">
        <f t="shared" si="97"/>
        <v>303691540.6453144</v>
      </c>
      <c r="EB28" s="244">
        <f t="shared" si="97"/>
        <v>306618838.75030029</v>
      </c>
      <c r="EC28" s="244">
        <f t="shared" si="97"/>
        <v>316127105.41132677</v>
      </c>
      <c r="ED28" s="244">
        <f t="shared" si="97"/>
        <v>327751263.58684844</v>
      </c>
      <c r="EE28" s="244">
        <f t="shared" si="97"/>
        <v>329466989.11061448</v>
      </c>
      <c r="EF28" s="244">
        <f t="shared" si="97"/>
        <v>334087363.39816236</v>
      </c>
      <c r="EG28" s="244">
        <f t="shared" si="97"/>
        <v>343249881.78054655</v>
      </c>
      <c r="EH28" s="244">
        <f t="shared" si="97"/>
        <v>346560930.02292144</v>
      </c>
      <c r="EI28" s="244">
        <f t="shared" si="97"/>
        <v>354710950.15582001</v>
      </c>
      <c r="EJ28" s="244">
        <f t="shared" si="97"/>
        <v>365532458.74765277</v>
      </c>
      <c r="EK28" s="244">
        <f t="shared" si="97"/>
        <v>368182251.14753616</v>
      </c>
      <c r="EL28" s="244">
        <f t="shared" si="97"/>
        <v>374756601.01995802</v>
      </c>
      <c r="EM28" s="244">
        <f t="shared" si="97"/>
        <v>386567055.00092554</v>
      </c>
      <c r="EN28" s="244">
        <f t="shared" si="97"/>
        <v>390141127.07626671</v>
      </c>
      <c r="EO28" s="244">
        <f t="shared" si="97"/>
        <v>401814541.32712579</v>
      </c>
      <c r="EP28" s="244">
        <f t="shared" si="97"/>
        <v>416119056.36776686</v>
      </c>
      <c r="EQ28" s="244">
        <f t="shared" ref="EQ28:FB28" si="98">SUM(EQ10,EQ16,EQ22)</f>
        <v>419405992.74501216</v>
      </c>
      <c r="ER28" s="244">
        <f t="shared" si="98"/>
        <v>427618879.5173825</v>
      </c>
      <c r="ES28" s="244">
        <f t="shared" si="98"/>
        <v>443837252.19183326</v>
      </c>
      <c r="ET28" s="244">
        <f t="shared" si="98"/>
        <v>450015846.98798722</v>
      </c>
      <c r="EU28" s="244">
        <f t="shared" si="98"/>
        <v>464077292.86577713</v>
      </c>
      <c r="EV28" s="244">
        <f t="shared" si="98"/>
        <v>483044799.34234273</v>
      </c>
      <c r="EW28" s="244">
        <f t="shared" si="98"/>
        <v>488134922.57498109</v>
      </c>
      <c r="EX28" s="244">
        <f t="shared" si="98"/>
        <v>499568817.45726109</v>
      </c>
      <c r="EY28" s="244">
        <f t="shared" si="98"/>
        <v>519992525.6054107</v>
      </c>
      <c r="EZ28" s="244">
        <f t="shared" si="98"/>
        <v>526600530.23912466</v>
      </c>
      <c r="FA28" s="244">
        <f t="shared" si="98"/>
        <v>547376872.08972502</v>
      </c>
      <c r="FB28" s="244">
        <f t="shared" si="98"/>
        <v>572419821.44323885</v>
      </c>
    </row>
    <row r="29" spans="3:158" x14ac:dyDescent="0.25">
      <c r="C29" s="2" t="s">
        <v>298</v>
      </c>
      <c r="D29" s="244">
        <f t="shared" ref="D29:L29" si="99">SUM(D11,D17,D23)</f>
        <v>621248.40299999993</v>
      </c>
      <c r="E29" s="244">
        <f t="shared" si="99"/>
        <v>1117404.7810182997</v>
      </c>
      <c r="F29" s="244">
        <f t="shared" si="99"/>
        <v>1649728.589567</v>
      </c>
      <c r="G29" s="244">
        <f t="shared" si="99"/>
        <v>3433281.1930988571</v>
      </c>
      <c r="H29" s="244">
        <f t="shared" si="99"/>
        <v>7095515.5774900978</v>
      </c>
      <c r="I29" s="244">
        <f t="shared" si="99"/>
        <v>22823432.003468119</v>
      </c>
      <c r="J29" s="244">
        <f t="shared" si="99"/>
        <v>45569208.615087673</v>
      </c>
      <c r="K29" s="244">
        <f t="shared" si="99"/>
        <v>76940163.900478959</v>
      </c>
      <c r="L29" s="244">
        <f t="shared" si="99"/>
        <v>127404023.20734057</v>
      </c>
      <c r="M29" s="244"/>
      <c r="N29" s="244">
        <f t="shared" ref="N29:AW29" si="100">SUM(N11,N17,N23)</f>
        <v>335355.77919999993</v>
      </c>
      <c r="O29" s="244">
        <f t="shared" si="100"/>
        <v>413438.33519999997</v>
      </c>
      <c r="P29" s="244">
        <f t="shared" si="100"/>
        <v>494258.90439999994</v>
      </c>
      <c r="Q29" s="244">
        <f t="shared" si="100"/>
        <v>621248.40299999993</v>
      </c>
      <c r="R29" s="244">
        <f t="shared" si="100"/>
        <v>720676.56919999991</v>
      </c>
      <c r="S29" s="244">
        <f t="shared" si="100"/>
        <v>855972.46619999991</v>
      </c>
      <c r="T29" s="244">
        <f t="shared" si="100"/>
        <v>964797.71240000008</v>
      </c>
      <c r="U29" s="244">
        <f t="shared" si="100"/>
        <v>1117404.7810182997</v>
      </c>
      <c r="V29" s="244">
        <f t="shared" si="100"/>
        <v>1199035.3866915598</v>
      </c>
      <c r="W29" s="244">
        <f t="shared" si="100"/>
        <v>1332284.9928153399</v>
      </c>
      <c r="X29" s="244">
        <f t="shared" si="100"/>
        <v>1465362.6310826999</v>
      </c>
      <c r="Y29" s="244">
        <f t="shared" si="100"/>
        <v>1649728.589567</v>
      </c>
      <c r="Z29" s="244">
        <f t="shared" si="100"/>
        <v>1886751.6890314566</v>
      </c>
      <c r="AA29" s="244">
        <f t="shared" si="100"/>
        <v>2283573.7587952102</v>
      </c>
      <c r="AB29" s="244">
        <f t="shared" si="100"/>
        <v>2772283.1864038287</v>
      </c>
      <c r="AC29" s="244">
        <f t="shared" si="100"/>
        <v>3433281.1930988571</v>
      </c>
      <c r="AD29" s="244">
        <f t="shared" si="100"/>
        <v>4073478.5014653066</v>
      </c>
      <c r="AE29" s="244">
        <f t="shared" si="100"/>
        <v>4936826.8452290781</v>
      </c>
      <c r="AF29" s="244">
        <f t="shared" si="100"/>
        <v>5792411.5944660008</v>
      </c>
      <c r="AG29" s="244">
        <f t="shared" si="100"/>
        <v>7095515.5774900988</v>
      </c>
      <c r="AH29" s="244">
        <f t="shared" si="100"/>
        <v>9950514.3915541358</v>
      </c>
      <c r="AI29" s="244">
        <f t="shared" si="100"/>
        <v>13851601.890439784</v>
      </c>
      <c r="AJ29" s="244">
        <f t="shared" si="100"/>
        <v>17513971.058678027</v>
      </c>
      <c r="AK29" s="244">
        <f t="shared" si="100"/>
        <v>22823432.003468119</v>
      </c>
      <c r="AL29" s="244">
        <f t="shared" si="100"/>
        <v>26930476.178872887</v>
      </c>
      <c r="AM29" s="244">
        <f t="shared" si="100"/>
        <v>32586930.337165408</v>
      </c>
      <c r="AN29" s="244">
        <f t="shared" si="100"/>
        <v>37901909.87357986</v>
      </c>
      <c r="AO29" s="244">
        <f t="shared" si="100"/>
        <v>45569208.615087673</v>
      </c>
      <c r="AP29" s="244">
        <f t="shared" si="100"/>
        <v>51210509.902466327</v>
      </c>
      <c r="AQ29" s="244">
        <f t="shared" si="100"/>
        <v>59027420.855909422</v>
      </c>
      <c r="AR29" s="244">
        <f t="shared" si="100"/>
        <v>66377348.455961272</v>
      </c>
      <c r="AS29" s="244">
        <f t="shared" si="100"/>
        <v>76940163.900478944</v>
      </c>
      <c r="AT29" s="244">
        <f t="shared" si="100"/>
        <v>86013962.482379824</v>
      </c>
      <c r="AU29" s="244">
        <f t="shared" si="100"/>
        <v>98588981.830396742</v>
      </c>
      <c r="AV29" s="244">
        <f t="shared" si="100"/>
        <v>110412957.78994213</v>
      </c>
      <c r="AW29" s="244">
        <f t="shared" si="100"/>
        <v>127404023.20734054</v>
      </c>
      <c r="AY29" s="244">
        <f t="shared" ref="AY29:CD29" si="101">SUM(AY11,AY17,AY23)</f>
        <v>275838.56519999995</v>
      </c>
      <c r="AZ29" s="244">
        <f t="shared" si="101"/>
        <v>295916.1817999999</v>
      </c>
      <c r="BA29" s="244">
        <f t="shared" si="101"/>
        <v>335355.77919999993</v>
      </c>
      <c r="BB29" s="244">
        <f t="shared" si="101"/>
        <v>347387.80779999995</v>
      </c>
      <c r="BC29" s="244">
        <f t="shared" si="101"/>
        <v>377439.08079999994</v>
      </c>
      <c r="BD29" s="244">
        <f t="shared" si="101"/>
        <v>413438.33519999997</v>
      </c>
      <c r="BE29" s="244">
        <f t="shared" si="101"/>
        <v>427755.86859999993</v>
      </c>
      <c r="BF29" s="244">
        <f t="shared" si="101"/>
        <v>448836.85779999994</v>
      </c>
      <c r="BG29" s="244">
        <f t="shared" si="101"/>
        <v>494258.90439999988</v>
      </c>
      <c r="BH29" s="244">
        <f t="shared" si="101"/>
        <v>516029.14779999986</v>
      </c>
      <c r="BI29" s="244">
        <f t="shared" si="101"/>
        <v>571694.80119999987</v>
      </c>
      <c r="BJ29" s="244">
        <f t="shared" si="101"/>
        <v>621248.40299999993</v>
      </c>
      <c r="BK29" s="244">
        <f t="shared" si="101"/>
        <v>634800.66959999991</v>
      </c>
      <c r="BL29" s="244">
        <f t="shared" si="101"/>
        <v>659438.2919999999</v>
      </c>
      <c r="BM29" s="244">
        <f t="shared" si="101"/>
        <v>720676.56919999991</v>
      </c>
      <c r="BN29" s="244">
        <f t="shared" si="101"/>
        <v>742723.9044</v>
      </c>
      <c r="BO29" s="244">
        <f t="shared" si="101"/>
        <v>801273.51199999987</v>
      </c>
      <c r="BP29" s="244">
        <f t="shared" si="101"/>
        <v>855972.46619999991</v>
      </c>
      <c r="BQ29" s="244">
        <f t="shared" si="101"/>
        <v>878055.97419999982</v>
      </c>
      <c r="BR29" s="244">
        <f t="shared" si="101"/>
        <v>900476.16759999981</v>
      </c>
      <c r="BS29" s="244">
        <f t="shared" si="101"/>
        <v>964797.71239999984</v>
      </c>
      <c r="BT29" s="244">
        <f t="shared" si="101"/>
        <v>976106.96319999988</v>
      </c>
      <c r="BU29" s="244">
        <f t="shared" si="101"/>
        <v>1038255.2183999999</v>
      </c>
      <c r="BV29" s="244">
        <f t="shared" si="101"/>
        <v>1117404.7810182997</v>
      </c>
      <c r="BW29" s="244">
        <f t="shared" si="101"/>
        <v>1133327.4110182999</v>
      </c>
      <c r="BX29" s="244">
        <f t="shared" si="101"/>
        <v>1160431.2585223198</v>
      </c>
      <c r="BY29" s="244">
        <f t="shared" si="101"/>
        <v>1199035.38669156</v>
      </c>
      <c r="BZ29" s="244">
        <f t="shared" si="101"/>
        <v>1221866.70252892</v>
      </c>
      <c r="CA29" s="244">
        <f t="shared" si="101"/>
        <v>1249678.7976116799</v>
      </c>
      <c r="CB29" s="244">
        <f t="shared" si="101"/>
        <v>1332284.9928153399</v>
      </c>
      <c r="CC29" s="244">
        <f t="shared" si="101"/>
        <v>1338697.84015892</v>
      </c>
      <c r="CD29" s="244">
        <f t="shared" si="101"/>
        <v>1398962.85323874</v>
      </c>
      <c r="CE29" s="244">
        <f t="shared" ref="CE29:DJ29" si="102">SUM(CE11,CE17,CE23)</f>
        <v>1465362.6310826999</v>
      </c>
      <c r="CF29" s="244">
        <f t="shared" si="102"/>
        <v>1490959.3988057999</v>
      </c>
      <c r="CG29" s="244">
        <f t="shared" si="102"/>
        <v>1553006.12763952</v>
      </c>
      <c r="CH29" s="244">
        <f t="shared" si="102"/>
        <v>1649728.589567</v>
      </c>
      <c r="CI29" s="244">
        <f t="shared" si="102"/>
        <v>1685329.4007287452</v>
      </c>
      <c r="CJ29" s="244">
        <f t="shared" si="102"/>
        <v>1741510.1279270425</v>
      </c>
      <c r="CK29" s="244">
        <f t="shared" si="102"/>
        <v>1886751.6890314564</v>
      </c>
      <c r="CL29" s="244">
        <f t="shared" si="102"/>
        <v>1955057.5009137415</v>
      </c>
      <c r="CM29" s="244">
        <f t="shared" si="102"/>
        <v>2072224.9217007014</v>
      </c>
      <c r="CN29" s="244">
        <f t="shared" si="102"/>
        <v>2283573.7587952102</v>
      </c>
      <c r="CO29" s="244">
        <f t="shared" si="102"/>
        <v>2356470.0464722961</v>
      </c>
      <c r="CP29" s="244">
        <f t="shared" si="102"/>
        <v>2529315.5928107975</v>
      </c>
      <c r="CQ29" s="244">
        <f t="shared" si="102"/>
        <v>2772283.1864038287</v>
      </c>
      <c r="CR29" s="244">
        <f t="shared" si="102"/>
        <v>2836637.1276789014</v>
      </c>
      <c r="CS29" s="244">
        <f t="shared" si="102"/>
        <v>3101369.0854734285</v>
      </c>
      <c r="CT29" s="244">
        <f t="shared" si="102"/>
        <v>3433281.1930988571</v>
      </c>
      <c r="CU29" s="244">
        <f t="shared" si="102"/>
        <v>3513136.8305903086</v>
      </c>
      <c r="CV29" s="244">
        <f t="shared" si="102"/>
        <v>3700080.3952987911</v>
      </c>
      <c r="CW29" s="244">
        <f t="shared" si="102"/>
        <v>4073478.5014653066</v>
      </c>
      <c r="CX29" s="244">
        <f t="shared" si="102"/>
        <v>4215177.4341123663</v>
      </c>
      <c r="CY29" s="244">
        <f t="shared" si="102"/>
        <v>4514966.7681287657</v>
      </c>
      <c r="CZ29" s="244">
        <f t="shared" si="102"/>
        <v>4936826.8452290781</v>
      </c>
      <c r="DA29" s="244">
        <f t="shared" si="102"/>
        <v>5071965.1807292718</v>
      </c>
      <c r="DB29" s="244">
        <f t="shared" si="102"/>
        <v>5332213.7657949654</v>
      </c>
      <c r="DC29" s="244">
        <f t="shared" si="102"/>
        <v>5792411.5944660008</v>
      </c>
      <c r="DD29" s="244">
        <f t="shared" si="102"/>
        <v>5981349.7884317022</v>
      </c>
      <c r="DE29" s="244">
        <f t="shared" si="102"/>
        <v>6496066.9658751953</v>
      </c>
      <c r="DF29" s="244">
        <f t="shared" si="102"/>
        <v>7095515.5774900978</v>
      </c>
      <c r="DG29" s="244">
        <f t="shared" si="102"/>
        <v>7480713.0251832344</v>
      </c>
      <c r="DH29" s="244">
        <f t="shared" si="102"/>
        <v>8315903.5453279391</v>
      </c>
      <c r="DI29" s="244">
        <f t="shared" si="102"/>
        <v>9950514.3915541358</v>
      </c>
      <c r="DJ29" s="244">
        <f t="shared" si="102"/>
        <v>10641781.495423172</v>
      </c>
      <c r="DK29" s="244">
        <f t="shared" ref="DK29:EP29" si="103">SUM(DK11,DK17,DK23)</f>
        <v>11980334.077090969</v>
      </c>
      <c r="DL29" s="244">
        <f t="shared" si="103"/>
        <v>13851601.890439784</v>
      </c>
      <c r="DM29" s="244">
        <f t="shared" si="103"/>
        <v>14450851.552129328</v>
      </c>
      <c r="DN29" s="244">
        <f t="shared" si="103"/>
        <v>15559414.899697434</v>
      </c>
      <c r="DO29" s="244">
        <f t="shared" si="103"/>
        <v>17513971.058678027</v>
      </c>
      <c r="DP29" s="244">
        <f t="shared" si="103"/>
        <v>18240717.470879529</v>
      </c>
      <c r="DQ29" s="244">
        <f t="shared" si="103"/>
        <v>20359192.919657703</v>
      </c>
      <c r="DR29" s="244">
        <f t="shared" si="103"/>
        <v>22823432.003468119</v>
      </c>
      <c r="DS29" s="244">
        <f t="shared" si="103"/>
        <v>23362420.298899949</v>
      </c>
      <c r="DT29" s="244">
        <f t="shared" si="103"/>
        <v>24567366.080646656</v>
      </c>
      <c r="DU29" s="244">
        <f t="shared" si="103"/>
        <v>26930476.178872883</v>
      </c>
      <c r="DV29" s="244">
        <f t="shared" si="103"/>
        <v>27907089.864106588</v>
      </c>
      <c r="DW29" s="244">
        <f t="shared" si="103"/>
        <v>29868286.422514752</v>
      </c>
      <c r="DX29" s="244">
        <f t="shared" si="103"/>
        <v>32586930.337165408</v>
      </c>
      <c r="DY29" s="244">
        <f t="shared" si="103"/>
        <v>33424651.244937472</v>
      </c>
      <c r="DZ29" s="244">
        <f t="shared" si="103"/>
        <v>35041806.005925655</v>
      </c>
      <c r="EA29" s="244">
        <f t="shared" si="103"/>
        <v>37901909.87357986</v>
      </c>
      <c r="EB29" s="244">
        <f t="shared" si="103"/>
        <v>38932401.766559474</v>
      </c>
      <c r="EC29" s="244">
        <f t="shared" si="103"/>
        <v>41986903.12596193</v>
      </c>
      <c r="ED29" s="244">
        <f t="shared" si="103"/>
        <v>45569208.615087673</v>
      </c>
      <c r="EE29" s="244">
        <f t="shared" si="103"/>
        <v>46293449.739468552</v>
      </c>
      <c r="EF29" s="244">
        <f t="shared" si="103"/>
        <v>47952231.583751805</v>
      </c>
      <c r="EG29" s="244">
        <f t="shared" si="103"/>
        <v>51210509.902466327</v>
      </c>
      <c r="EH29" s="244">
        <f t="shared" si="103"/>
        <v>52533020.027992539</v>
      </c>
      <c r="EI29" s="244">
        <f t="shared" si="103"/>
        <v>55264743.584416479</v>
      </c>
      <c r="EJ29" s="244">
        <f t="shared" si="103"/>
        <v>59027420.855909422</v>
      </c>
      <c r="EK29" s="244">
        <f t="shared" si="103"/>
        <v>60152217.232080147</v>
      </c>
      <c r="EL29" s="244">
        <f t="shared" si="103"/>
        <v>62397347.601919912</v>
      </c>
      <c r="EM29" s="244">
        <f t="shared" si="103"/>
        <v>66377348.455961272</v>
      </c>
      <c r="EN29" s="244">
        <f t="shared" si="103"/>
        <v>67776883.654202238</v>
      </c>
      <c r="EO29" s="244">
        <f t="shared" si="103"/>
        <v>71979868.444044113</v>
      </c>
      <c r="EP29" s="244">
        <f t="shared" si="103"/>
        <v>76940163.900478959</v>
      </c>
      <c r="EQ29" s="244">
        <f t="shared" ref="EQ29:FB29" si="104">SUM(EQ11,EQ17,EQ23)</f>
        <v>78104449.6701608</v>
      </c>
      <c r="ER29" s="244">
        <f t="shared" si="104"/>
        <v>80772675.501877248</v>
      </c>
      <c r="ES29" s="244">
        <f t="shared" si="104"/>
        <v>86013962.482379824</v>
      </c>
      <c r="ET29" s="244">
        <f t="shared" si="104"/>
        <v>88140428.660352439</v>
      </c>
      <c r="EU29" s="244">
        <f t="shared" si="104"/>
        <v>92535765.932584882</v>
      </c>
      <c r="EV29" s="244">
        <f t="shared" si="104"/>
        <v>98588981.830396742</v>
      </c>
      <c r="EW29" s="244">
        <f t="shared" si="104"/>
        <v>100397163.94772571</v>
      </c>
      <c r="EX29" s="244">
        <f t="shared" si="104"/>
        <v>104009290.72415809</v>
      </c>
      <c r="EY29" s="244">
        <f t="shared" si="104"/>
        <v>110412957.78994213</v>
      </c>
      <c r="EZ29" s="244">
        <f t="shared" si="104"/>
        <v>112663433.03485525</v>
      </c>
      <c r="FA29" s="244">
        <f t="shared" si="104"/>
        <v>119424047.96954992</v>
      </c>
      <c r="FB29" s="244">
        <f t="shared" si="104"/>
        <v>127404023.20734057</v>
      </c>
    </row>
    <row r="30" spans="3:158" x14ac:dyDescent="0.25">
      <c r="C30" s="2" t="s">
        <v>299</v>
      </c>
      <c r="D30" s="244">
        <f t="shared" ref="D30:L30" si="105">SUM(D12,D18,D24)</f>
        <v>249933.33579999994</v>
      </c>
      <c r="E30" s="244">
        <f t="shared" si="105"/>
        <v>405192.85489999992</v>
      </c>
      <c r="F30" s="244">
        <f t="shared" si="105"/>
        <v>671354.75917434995</v>
      </c>
      <c r="G30" s="244">
        <f t="shared" si="105"/>
        <v>2956096.503163598</v>
      </c>
      <c r="H30" s="244">
        <f t="shared" si="105"/>
        <v>9405409.4502819963</v>
      </c>
      <c r="I30" s="244">
        <f t="shared" si="105"/>
        <v>37248397.729794785</v>
      </c>
      <c r="J30" s="244">
        <f t="shared" si="105"/>
        <v>97668243.387089431</v>
      </c>
      <c r="K30" s="244">
        <f t="shared" si="105"/>
        <v>198676906.54233861</v>
      </c>
      <c r="L30" s="244">
        <f t="shared" si="105"/>
        <v>296785564.05503714</v>
      </c>
      <c r="M30" s="244"/>
      <c r="N30" s="244">
        <f t="shared" ref="N30:AW30" si="106">SUM(N12,N18,N24)</f>
        <v>157347.39359999995</v>
      </c>
      <c r="O30" s="244">
        <f t="shared" si="106"/>
        <v>185530.43159999995</v>
      </c>
      <c r="P30" s="244">
        <f t="shared" si="106"/>
        <v>210338.36119999996</v>
      </c>
      <c r="Q30" s="244">
        <f t="shared" si="106"/>
        <v>249933.33579999994</v>
      </c>
      <c r="R30" s="244">
        <f t="shared" si="106"/>
        <v>278066.48859999998</v>
      </c>
      <c r="S30" s="244">
        <f t="shared" si="106"/>
        <v>321855.97349999996</v>
      </c>
      <c r="T30" s="244">
        <f t="shared" si="106"/>
        <v>356046.75899999996</v>
      </c>
      <c r="U30" s="244">
        <f t="shared" si="106"/>
        <v>405192.85489999992</v>
      </c>
      <c r="V30" s="244">
        <f t="shared" si="106"/>
        <v>446008.15773662995</v>
      </c>
      <c r="W30" s="244">
        <f t="shared" si="106"/>
        <v>512632.96079852001</v>
      </c>
      <c r="X30" s="244">
        <f t="shared" si="106"/>
        <v>579171.77993219986</v>
      </c>
      <c r="Y30" s="244">
        <f t="shared" si="106"/>
        <v>671354.75917434995</v>
      </c>
      <c r="Z30" s="244">
        <f t="shared" si="106"/>
        <v>975833.07459146786</v>
      </c>
      <c r="AA30" s="244">
        <f t="shared" si="106"/>
        <v>1473659.1732679326</v>
      </c>
      <c r="AB30" s="244">
        <f t="shared" si="106"/>
        <v>2103401.3133027563</v>
      </c>
      <c r="AC30" s="244">
        <f t="shared" si="106"/>
        <v>2956096.503163598</v>
      </c>
      <c r="AD30" s="244">
        <f t="shared" si="106"/>
        <v>4091467.7514169929</v>
      </c>
      <c r="AE30" s="244">
        <f t="shared" si="106"/>
        <v>5610827.0617154837</v>
      </c>
      <c r="AF30" s="244">
        <f t="shared" si="106"/>
        <v>7112082.0734077264</v>
      </c>
      <c r="AG30" s="244">
        <f t="shared" si="106"/>
        <v>9405409.4502819963</v>
      </c>
      <c r="AH30" s="244">
        <f t="shared" si="106"/>
        <v>14467999.791989878</v>
      </c>
      <c r="AI30" s="244">
        <f t="shared" si="106"/>
        <v>21368410.438360009</v>
      </c>
      <c r="AJ30" s="244">
        <f t="shared" si="106"/>
        <v>27844773.46719791</v>
      </c>
      <c r="AK30" s="244">
        <f t="shared" si="106"/>
        <v>37248397.729794793</v>
      </c>
      <c r="AL30" s="244">
        <f t="shared" si="106"/>
        <v>48214968.168636739</v>
      </c>
      <c r="AM30" s="244">
        <f t="shared" si="106"/>
        <v>63201995.457214274</v>
      </c>
      <c r="AN30" s="244">
        <f t="shared" si="106"/>
        <v>77272159.277579993</v>
      </c>
      <c r="AO30" s="244">
        <f t="shared" si="106"/>
        <v>97668243.387089431</v>
      </c>
      <c r="AP30" s="244">
        <f t="shared" si="106"/>
        <v>115966808.68961865</v>
      </c>
      <c r="AQ30" s="244">
        <f t="shared" si="106"/>
        <v>141045403.07598263</v>
      </c>
      <c r="AR30" s="244">
        <f t="shared" si="106"/>
        <v>164597244.57267749</v>
      </c>
      <c r="AS30" s="244">
        <f t="shared" si="106"/>
        <v>198676906.54233861</v>
      </c>
      <c r="AT30" s="244">
        <f t="shared" si="106"/>
        <v>216339401.32164028</v>
      </c>
      <c r="AU30" s="244">
        <f t="shared" si="106"/>
        <v>240772330.06008068</v>
      </c>
      <c r="AV30" s="244">
        <f t="shared" si="106"/>
        <v>263741380.45394599</v>
      </c>
      <c r="AW30" s="244">
        <f t="shared" si="106"/>
        <v>296785564.05503714</v>
      </c>
      <c r="AY30" s="244">
        <f t="shared" ref="AY30:CD30" si="107">SUM(AY12,AY18,AY24)</f>
        <v>137919.28259999998</v>
      </c>
      <c r="AZ30" s="244">
        <f t="shared" si="107"/>
        <v>143322.34089999995</v>
      </c>
      <c r="BA30" s="244">
        <f t="shared" si="107"/>
        <v>157347.39359999995</v>
      </c>
      <c r="BB30" s="244">
        <f t="shared" si="107"/>
        <v>161368.00789999997</v>
      </c>
      <c r="BC30" s="244">
        <f t="shared" si="107"/>
        <v>172903.64439999999</v>
      </c>
      <c r="BD30" s="244">
        <f t="shared" si="107"/>
        <v>185530.43159999995</v>
      </c>
      <c r="BE30" s="244">
        <f t="shared" si="107"/>
        <v>189487.43159999995</v>
      </c>
      <c r="BF30" s="244">
        <f t="shared" si="107"/>
        <v>195175.03119999997</v>
      </c>
      <c r="BG30" s="244">
        <f t="shared" si="107"/>
        <v>210338.36119999993</v>
      </c>
      <c r="BH30" s="244">
        <f t="shared" si="107"/>
        <v>216249.16289999994</v>
      </c>
      <c r="BI30" s="244">
        <f t="shared" si="107"/>
        <v>234559.85959999994</v>
      </c>
      <c r="BJ30" s="244">
        <f t="shared" si="107"/>
        <v>249933.33579999994</v>
      </c>
      <c r="BK30" s="244">
        <f t="shared" si="107"/>
        <v>253266.13579999999</v>
      </c>
      <c r="BL30" s="244">
        <f t="shared" si="107"/>
        <v>258685.94369999995</v>
      </c>
      <c r="BM30" s="244">
        <f t="shared" si="107"/>
        <v>278066.48859999998</v>
      </c>
      <c r="BN30" s="244">
        <f t="shared" si="107"/>
        <v>283055.76089999999</v>
      </c>
      <c r="BO30" s="244">
        <f t="shared" si="107"/>
        <v>304565.36279999994</v>
      </c>
      <c r="BP30" s="244">
        <f t="shared" si="107"/>
        <v>321855.97349999996</v>
      </c>
      <c r="BQ30" s="244">
        <f t="shared" si="107"/>
        <v>328399.37579999992</v>
      </c>
      <c r="BR30" s="244">
        <f t="shared" si="107"/>
        <v>335258.80249999993</v>
      </c>
      <c r="BS30" s="244">
        <f t="shared" si="107"/>
        <v>356046.75899999996</v>
      </c>
      <c r="BT30" s="244">
        <f t="shared" si="107"/>
        <v>357402.83759999997</v>
      </c>
      <c r="BU30" s="244">
        <f t="shared" si="107"/>
        <v>378287.85019999999</v>
      </c>
      <c r="BV30" s="244">
        <f t="shared" si="107"/>
        <v>405192.85489999992</v>
      </c>
      <c r="BW30" s="244">
        <f t="shared" si="107"/>
        <v>413154.16989999998</v>
      </c>
      <c r="BX30" s="244">
        <f t="shared" si="107"/>
        <v>426706.09365200996</v>
      </c>
      <c r="BY30" s="244">
        <f t="shared" si="107"/>
        <v>446008.15773662995</v>
      </c>
      <c r="BZ30" s="244">
        <f t="shared" si="107"/>
        <v>457423.81565530994</v>
      </c>
      <c r="CA30" s="244">
        <f t="shared" si="107"/>
        <v>471329.86319668993</v>
      </c>
      <c r="CB30" s="244">
        <f t="shared" si="107"/>
        <v>512632.9607985199</v>
      </c>
      <c r="CC30" s="244">
        <f t="shared" si="107"/>
        <v>515839.38447030995</v>
      </c>
      <c r="CD30" s="244">
        <f t="shared" si="107"/>
        <v>545971.89101021993</v>
      </c>
      <c r="CE30" s="244">
        <f t="shared" ref="CE30:DJ30" si="108">SUM(CE12,CE18,CE24)</f>
        <v>579171.77993219986</v>
      </c>
      <c r="CF30" s="244">
        <f t="shared" si="108"/>
        <v>591970.16379374987</v>
      </c>
      <c r="CG30" s="244">
        <f t="shared" si="108"/>
        <v>622993.52821060992</v>
      </c>
      <c r="CH30" s="244">
        <f t="shared" si="108"/>
        <v>671354.75917434995</v>
      </c>
      <c r="CI30" s="244">
        <f t="shared" si="108"/>
        <v>717313.72545194847</v>
      </c>
      <c r="CJ30" s="244">
        <f t="shared" si="108"/>
        <v>788770.2069571449</v>
      </c>
      <c r="CK30" s="244">
        <f t="shared" si="108"/>
        <v>975833.07459146774</v>
      </c>
      <c r="CL30" s="244">
        <f t="shared" si="108"/>
        <v>1066051.1017694287</v>
      </c>
      <c r="CM30" s="244">
        <f t="shared" si="108"/>
        <v>1210489.8423488003</v>
      </c>
      <c r="CN30" s="244">
        <f t="shared" si="108"/>
        <v>1473659.1732679324</v>
      </c>
      <c r="CO30" s="244">
        <f t="shared" si="108"/>
        <v>1568038.4034656598</v>
      </c>
      <c r="CP30" s="244">
        <f t="shared" si="108"/>
        <v>1789022.1266461024</v>
      </c>
      <c r="CQ30" s="244">
        <f t="shared" si="108"/>
        <v>2103401.3133027563</v>
      </c>
      <c r="CR30" s="244">
        <f t="shared" si="108"/>
        <v>2188277.7663000543</v>
      </c>
      <c r="CS30" s="244">
        <f t="shared" si="108"/>
        <v>2529176.417515846</v>
      </c>
      <c r="CT30" s="244">
        <f t="shared" si="108"/>
        <v>2956096.503163598</v>
      </c>
      <c r="CU30" s="244">
        <f t="shared" si="108"/>
        <v>3102573.493127943</v>
      </c>
      <c r="CV30" s="244">
        <f t="shared" si="108"/>
        <v>3433146.0662935581</v>
      </c>
      <c r="CW30" s="244">
        <f t="shared" si="108"/>
        <v>4091467.7514169933</v>
      </c>
      <c r="CX30" s="244">
        <f t="shared" si="108"/>
        <v>4348944.7231125236</v>
      </c>
      <c r="CY30" s="244">
        <f t="shared" si="108"/>
        <v>4870482.4095079303</v>
      </c>
      <c r="CZ30" s="244">
        <f t="shared" si="108"/>
        <v>5610827.0617154837</v>
      </c>
      <c r="DA30" s="244">
        <f t="shared" si="108"/>
        <v>5857364.9234594721</v>
      </c>
      <c r="DB30" s="244">
        <f t="shared" si="108"/>
        <v>6311545.1835493743</v>
      </c>
      <c r="DC30" s="244">
        <f t="shared" si="108"/>
        <v>7112082.0734077264</v>
      </c>
      <c r="DD30" s="244">
        <f t="shared" si="108"/>
        <v>7449278.0891783293</v>
      </c>
      <c r="DE30" s="244">
        <f t="shared" si="108"/>
        <v>8356842.6670635976</v>
      </c>
      <c r="DF30" s="244">
        <f t="shared" si="108"/>
        <v>9405409.4502819963</v>
      </c>
      <c r="DG30" s="244">
        <f t="shared" si="108"/>
        <v>10094278.315721195</v>
      </c>
      <c r="DH30" s="244">
        <f t="shared" si="108"/>
        <v>11573928.025408184</v>
      </c>
      <c r="DI30" s="244">
        <f t="shared" si="108"/>
        <v>14467999.791989878</v>
      </c>
      <c r="DJ30" s="244">
        <f t="shared" si="108"/>
        <v>15700629.722618185</v>
      </c>
      <c r="DK30" s="244">
        <f t="shared" ref="DK30:EP30" si="109">SUM(DK12,DK18,DK24)</f>
        <v>18060495.39830333</v>
      </c>
      <c r="DL30" s="244">
        <f t="shared" si="109"/>
        <v>21368410.438360013</v>
      </c>
      <c r="DM30" s="244">
        <f t="shared" si="109"/>
        <v>22440380.338508148</v>
      </c>
      <c r="DN30" s="244">
        <f t="shared" si="109"/>
        <v>24397495.244660802</v>
      </c>
      <c r="DO30" s="244">
        <f t="shared" si="109"/>
        <v>27844773.467197906</v>
      </c>
      <c r="DP30" s="244">
        <f t="shared" si="109"/>
        <v>29139224.273957949</v>
      </c>
      <c r="DQ30" s="244">
        <f t="shared" si="109"/>
        <v>32893099.158586271</v>
      </c>
      <c r="DR30" s="244">
        <f t="shared" si="109"/>
        <v>37248397.729794785</v>
      </c>
      <c r="DS30" s="244">
        <f t="shared" si="109"/>
        <v>38727250.612917922</v>
      </c>
      <c r="DT30" s="244">
        <f t="shared" si="109"/>
        <v>41935544.747909814</v>
      </c>
      <c r="DU30" s="244">
        <f t="shared" si="109"/>
        <v>48214968.168636739</v>
      </c>
      <c r="DV30" s="244">
        <f t="shared" si="109"/>
        <v>50869356.181584477</v>
      </c>
      <c r="DW30" s="244">
        <f t="shared" si="109"/>
        <v>56012771.033625349</v>
      </c>
      <c r="DX30" s="244">
        <f t="shared" si="109"/>
        <v>63201995.457214274</v>
      </c>
      <c r="DY30" s="244">
        <f t="shared" si="109"/>
        <v>65502599.960108519</v>
      </c>
      <c r="DZ30" s="244">
        <f t="shared" si="109"/>
        <v>69761921.284325033</v>
      </c>
      <c r="EA30" s="244">
        <f t="shared" si="109"/>
        <v>77272159.277579993</v>
      </c>
      <c r="EB30" s="244">
        <f t="shared" si="109"/>
        <v>80062972.487683281</v>
      </c>
      <c r="EC30" s="244">
        <f t="shared" si="109"/>
        <v>88200773.287650257</v>
      </c>
      <c r="ED30" s="244">
        <f t="shared" si="109"/>
        <v>97668243.387089431</v>
      </c>
      <c r="EE30" s="244">
        <f t="shared" si="109"/>
        <v>100111509.3692013</v>
      </c>
      <c r="EF30" s="244">
        <f t="shared" si="109"/>
        <v>105470395.57065782</v>
      </c>
      <c r="EG30" s="244">
        <f t="shared" si="109"/>
        <v>115966808.68961865</v>
      </c>
      <c r="EH30" s="244">
        <f t="shared" si="109"/>
        <v>120367256.96023029</v>
      </c>
      <c r="EI30" s="244">
        <f t="shared" si="109"/>
        <v>129006673.17875677</v>
      </c>
      <c r="EJ30" s="244">
        <f t="shared" si="109"/>
        <v>141045403.07598263</v>
      </c>
      <c r="EK30" s="244">
        <f t="shared" si="109"/>
        <v>144845060.20049065</v>
      </c>
      <c r="EL30" s="244">
        <f t="shared" si="109"/>
        <v>151988106.98464951</v>
      </c>
      <c r="EM30" s="244">
        <f t="shared" si="109"/>
        <v>164597244.57267749</v>
      </c>
      <c r="EN30" s="244">
        <f t="shared" si="109"/>
        <v>169229890.32705602</v>
      </c>
      <c r="EO30" s="244">
        <f t="shared" si="109"/>
        <v>182819647.45222834</v>
      </c>
      <c r="EP30" s="244">
        <f t="shared" si="109"/>
        <v>198676906.54233861</v>
      </c>
      <c r="EQ30" s="244">
        <f t="shared" ref="EQ30:FB30" si="110">SUM(EQ12,EQ18,EQ24)</f>
        <v>200958457.48217419</v>
      </c>
      <c r="ER30" s="244">
        <f t="shared" si="110"/>
        <v>206148753.65154654</v>
      </c>
      <c r="ES30" s="244">
        <f t="shared" si="110"/>
        <v>216339401.32164031</v>
      </c>
      <c r="ET30" s="244">
        <f t="shared" si="110"/>
        <v>220496558.32768601</v>
      </c>
      <c r="EU30" s="244">
        <f t="shared" si="110"/>
        <v>229016412.43836656</v>
      </c>
      <c r="EV30" s="244">
        <f t="shared" si="110"/>
        <v>240772330.06008071</v>
      </c>
      <c r="EW30" s="244">
        <f t="shared" si="110"/>
        <v>244316494.80427593</v>
      </c>
      <c r="EX30" s="244">
        <f t="shared" si="110"/>
        <v>251325069.13694245</v>
      </c>
      <c r="EY30" s="244">
        <f t="shared" si="110"/>
        <v>263741380.45394599</v>
      </c>
      <c r="EZ30" s="244">
        <f t="shared" si="110"/>
        <v>268137069.55561417</v>
      </c>
      <c r="FA30" s="244">
        <f t="shared" si="110"/>
        <v>281289844.10858405</v>
      </c>
      <c r="FB30" s="244">
        <f t="shared" si="110"/>
        <v>296785564.05503714</v>
      </c>
    </row>
    <row r="31" spans="3:158" x14ac:dyDescent="0.25">
      <c r="C31" s="2" t="s">
        <v>300</v>
      </c>
      <c r="D31" s="244">
        <f t="shared" ref="D31:L31" si="111">SUM(D13,D19,D25)</f>
        <v>499866.67159999989</v>
      </c>
      <c r="E31" s="244">
        <f t="shared" si="111"/>
        <v>810385.70979999984</v>
      </c>
      <c r="F31" s="244">
        <f t="shared" si="111"/>
        <v>1125678.1584959999</v>
      </c>
      <c r="G31" s="244">
        <f t="shared" si="111"/>
        <v>3513264.4011722617</v>
      </c>
      <c r="H31" s="244">
        <f t="shared" si="111"/>
        <v>6592624.1737075765</v>
      </c>
      <c r="I31" s="244">
        <f t="shared" si="111"/>
        <v>11200432.731100403</v>
      </c>
      <c r="J31" s="244">
        <f t="shared" si="111"/>
        <v>18010084.098809913</v>
      </c>
      <c r="K31" s="244">
        <f t="shared" si="111"/>
        <v>27923285.333531447</v>
      </c>
      <c r="L31" s="244">
        <f t="shared" si="111"/>
        <v>45971321.472332537</v>
      </c>
      <c r="M31" s="244"/>
      <c r="N31" s="244">
        <f t="shared" ref="N31:AW31" si="112">SUM(N13,N19,N25)</f>
        <v>314694.7871999999</v>
      </c>
      <c r="O31" s="244">
        <f t="shared" si="112"/>
        <v>371060.86319999991</v>
      </c>
      <c r="P31" s="244">
        <f t="shared" si="112"/>
        <v>420676.72239999991</v>
      </c>
      <c r="Q31" s="244">
        <f t="shared" si="112"/>
        <v>499866.67159999989</v>
      </c>
      <c r="R31" s="244">
        <f t="shared" si="112"/>
        <v>556132.97719999996</v>
      </c>
      <c r="S31" s="244">
        <f t="shared" si="112"/>
        <v>643711.94699999993</v>
      </c>
      <c r="T31" s="244">
        <f t="shared" si="112"/>
        <v>712093.51799999992</v>
      </c>
      <c r="U31" s="244">
        <f t="shared" si="112"/>
        <v>810385.70979999984</v>
      </c>
      <c r="V31" s="244">
        <f t="shared" si="112"/>
        <v>862211.22022857983</v>
      </c>
      <c r="W31" s="244">
        <f t="shared" si="112"/>
        <v>936262.53744543996</v>
      </c>
      <c r="X31" s="244">
        <f t="shared" si="112"/>
        <v>1021476.9758608199</v>
      </c>
      <c r="Y31" s="244">
        <f t="shared" si="112"/>
        <v>1125678.1584959999</v>
      </c>
      <c r="Z31" s="244">
        <f t="shared" si="112"/>
        <v>1423879.5876461957</v>
      </c>
      <c r="AA31" s="244">
        <f t="shared" si="112"/>
        <v>1927719.613496149</v>
      </c>
      <c r="AB31" s="244">
        <f t="shared" si="112"/>
        <v>2598135.9004640067</v>
      </c>
      <c r="AC31" s="244">
        <f t="shared" si="112"/>
        <v>3513264.4011722608</v>
      </c>
      <c r="AD31" s="244">
        <f t="shared" si="112"/>
        <v>4052202.5049659433</v>
      </c>
      <c r="AE31" s="244">
        <f t="shared" si="112"/>
        <v>4778060.350575747</v>
      </c>
      <c r="AF31" s="244">
        <f t="shared" si="112"/>
        <v>5497037.6604233421</v>
      </c>
      <c r="AG31" s="244">
        <f t="shared" si="112"/>
        <v>6592624.1737075755</v>
      </c>
      <c r="AH31" s="244">
        <f t="shared" si="112"/>
        <v>7424138.7940889355</v>
      </c>
      <c r="AI31" s="244">
        <f t="shared" si="112"/>
        <v>8570341.20041929</v>
      </c>
      <c r="AJ31" s="244">
        <f t="shared" si="112"/>
        <v>9647451.52332622</v>
      </c>
      <c r="AK31" s="244">
        <f t="shared" si="112"/>
        <v>11200432.731100403</v>
      </c>
      <c r="AL31" s="244">
        <f t="shared" si="112"/>
        <v>12427975.412598062</v>
      </c>
      <c r="AM31" s="244">
        <f t="shared" si="112"/>
        <v>14122771.786223339</v>
      </c>
      <c r="AN31" s="244">
        <f t="shared" si="112"/>
        <v>15715685.958186254</v>
      </c>
      <c r="AO31" s="244">
        <f t="shared" si="112"/>
        <v>18010084.098809917</v>
      </c>
      <c r="AP31" s="244">
        <f t="shared" si="112"/>
        <v>19795932.576885432</v>
      </c>
      <c r="AQ31" s="244">
        <f t="shared" si="112"/>
        <v>22263921.532130029</v>
      </c>
      <c r="AR31" s="244">
        <f t="shared" si="112"/>
        <v>24583793.526336342</v>
      </c>
      <c r="AS31" s="244">
        <f t="shared" si="112"/>
        <v>27923285.333531447</v>
      </c>
      <c r="AT31" s="244">
        <f t="shared" si="112"/>
        <v>31182134.45066154</v>
      </c>
      <c r="AU31" s="244">
        <f t="shared" si="112"/>
        <v>35670318.688058227</v>
      </c>
      <c r="AV31" s="244">
        <f t="shared" si="112"/>
        <v>39887546.534319028</v>
      </c>
      <c r="AW31" s="244">
        <f t="shared" si="112"/>
        <v>45971321.472332537</v>
      </c>
      <c r="AY31" s="244">
        <f t="shared" ref="AY31:CD31" si="113">SUM(AY13,AY19,AY25)</f>
        <v>275838.56519999995</v>
      </c>
      <c r="AZ31" s="244">
        <f t="shared" si="113"/>
        <v>286644.6817999999</v>
      </c>
      <c r="BA31" s="244">
        <f t="shared" si="113"/>
        <v>314694.7871999999</v>
      </c>
      <c r="BB31" s="244">
        <f t="shared" si="113"/>
        <v>322736.01579999994</v>
      </c>
      <c r="BC31" s="244">
        <f t="shared" si="113"/>
        <v>345807.28879999998</v>
      </c>
      <c r="BD31" s="244">
        <f t="shared" si="113"/>
        <v>371060.86319999991</v>
      </c>
      <c r="BE31" s="244">
        <f t="shared" si="113"/>
        <v>378974.86319999991</v>
      </c>
      <c r="BF31" s="244">
        <f t="shared" si="113"/>
        <v>390350.06239999994</v>
      </c>
      <c r="BG31" s="244">
        <f t="shared" si="113"/>
        <v>420676.72239999985</v>
      </c>
      <c r="BH31" s="244">
        <f t="shared" si="113"/>
        <v>432498.32579999988</v>
      </c>
      <c r="BI31" s="244">
        <f t="shared" si="113"/>
        <v>469119.71919999988</v>
      </c>
      <c r="BJ31" s="244">
        <f t="shared" si="113"/>
        <v>499866.67159999989</v>
      </c>
      <c r="BK31" s="244">
        <f t="shared" si="113"/>
        <v>506532.27159999998</v>
      </c>
      <c r="BL31" s="244">
        <f t="shared" si="113"/>
        <v>517371.88739999989</v>
      </c>
      <c r="BM31" s="244">
        <f t="shared" si="113"/>
        <v>556132.97719999996</v>
      </c>
      <c r="BN31" s="244">
        <f t="shared" si="113"/>
        <v>566111.52179999999</v>
      </c>
      <c r="BO31" s="244">
        <f t="shared" si="113"/>
        <v>609130.72559999989</v>
      </c>
      <c r="BP31" s="244">
        <f t="shared" si="113"/>
        <v>643711.94699999993</v>
      </c>
      <c r="BQ31" s="244">
        <f t="shared" si="113"/>
        <v>656798.75159999984</v>
      </c>
      <c r="BR31" s="244">
        <f t="shared" si="113"/>
        <v>670517.60499999986</v>
      </c>
      <c r="BS31" s="244">
        <f t="shared" si="113"/>
        <v>712093.51799999992</v>
      </c>
      <c r="BT31" s="244">
        <f t="shared" si="113"/>
        <v>714805.67519999994</v>
      </c>
      <c r="BU31" s="244">
        <f t="shared" si="113"/>
        <v>756575.70039999997</v>
      </c>
      <c r="BV31" s="244">
        <f t="shared" si="113"/>
        <v>810385.70979999984</v>
      </c>
      <c r="BW31" s="244">
        <f t="shared" si="113"/>
        <v>820524.00259999989</v>
      </c>
      <c r="BX31" s="244">
        <f t="shared" si="113"/>
        <v>839112.33966153988</v>
      </c>
      <c r="BY31" s="244">
        <f t="shared" si="113"/>
        <v>862211.22022857994</v>
      </c>
      <c r="BZ31" s="244">
        <f t="shared" si="113"/>
        <v>875267.87349671987</v>
      </c>
      <c r="CA31" s="244">
        <f t="shared" si="113"/>
        <v>888492.28538901987</v>
      </c>
      <c r="CB31" s="244">
        <f t="shared" si="113"/>
        <v>936262.53744543984</v>
      </c>
      <c r="CC31" s="244">
        <f t="shared" si="113"/>
        <v>935630.59344543982</v>
      </c>
      <c r="CD31" s="244">
        <f t="shared" si="113"/>
        <v>979956.5844249198</v>
      </c>
      <c r="CE31" s="244">
        <f t="shared" ref="CE31:DJ31" si="114">SUM(CE13,CE19,CE25)</f>
        <v>1021476.9758608198</v>
      </c>
      <c r="CF31" s="244">
        <f t="shared" si="114"/>
        <v>1031943.7486564198</v>
      </c>
      <c r="CG31" s="244">
        <f t="shared" si="114"/>
        <v>1068222.3184146797</v>
      </c>
      <c r="CH31" s="244">
        <f t="shared" si="114"/>
        <v>1125678.1584959999</v>
      </c>
      <c r="CI31" s="244">
        <f t="shared" si="114"/>
        <v>1166309.6216899883</v>
      </c>
      <c r="CJ31" s="244">
        <f t="shared" si="114"/>
        <v>1232211.8320635748</v>
      </c>
      <c r="CK31" s="244">
        <f t="shared" si="114"/>
        <v>1423879.5876461957</v>
      </c>
      <c r="CL31" s="244">
        <f t="shared" si="114"/>
        <v>1516846.4752121095</v>
      </c>
      <c r="CM31" s="244">
        <f t="shared" si="114"/>
        <v>1659971.4177334593</v>
      </c>
      <c r="CN31" s="244">
        <f t="shared" si="114"/>
        <v>1927719.613496149</v>
      </c>
      <c r="CO31" s="244">
        <f t="shared" si="114"/>
        <v>2028291.7330025188</v>
      </c>
      <c r="CP31" s="244">
        <f t="shared" si="114"/>
        <v>2263626.3936735578</v>
      </c>
      <c r="CQ31" s="244">
        <f t="shared" si="114"/>
        <v>2598135.9004640067</v>
      </c>
      <c r="CR31" s="244">
        <f t="shared" si="114"/>
        <v>2689541.0485503618</v>
      </c>
      <c r="CS31" s="244">
        <f t="shared" si="114"/>
        <v>3054744.7050531874</v>
      </c>
      <c r="CT31" s="244">
        <f t="shared" si="114"/>
        <v>3513264.4011722617</v>
      </c>
      <c r="CU31" s="244">
        <f t="shared" si="114"/>
        <v>3580875.6011419883</v>
      </c>
      <c r="CV31" s="244">
        <f t="shared" si="114"/>
        <v>3738173.6638765624</v>
      </c>
      <c r="CW31" s="244">
        <f t="shared" si="114"/>
        <v>4052202.5049659428</v>
      </c>
      <c r="CX31" s="244">
        <f t="shared" si="114"/>
        <v>4171980.5407562451</v>
      </c>
      <c r="CY31" s="244">
        <f t="shared" si="114"/>
        <v>4423546.7646472752</v>
      </c>
      <c r="CZ31" s="244">
        <f t="shared" si="114"/>
        <v>4778060.3505757479</v>
      </c>
      <c r="DA31" s="244">
        <f t="shared" si="114"/>
        <v>4892370.8288184628</v>
      </c>
      <c r="DB31" s="244">
        <f t="shared" si="114"/>
        <v>5110870.5161086954</v>
      </c>
      <c r="DC31" s="244">
        <f t="shared" si="114"/>
        <v>5497037.6604233421</v>
      </c>
      <c r="DD31" s="244">
        <f t="shared" si="114"/>
        <v>5656260.3485978507</v>
      </c>
      <c r="DE31" s="244">
        <f t="shared" si="114"/>
        <v>6089146.0384692401</v>
      </c>
      <c r="DF31" s="244">
        <f t="shared" si="114"/>
        <v>6592624.1737075765</v>
      </c>
      <c r="DG31" s="244">
        <f t="shared" si="114"/>
        <v>6701410.7036445364</v>
      </c>
      <c r="DH31" s="244">
        <f t="shared" si="114"/>
        <v>6945442.4630418997</v>
      </c>
      <c r="DI31" s="244">
        <f t="shared" si="114"/>
        <v>7424138.7940889364</v>
      </c>
      <c r="DJ31" s="244">
        <f t="shared" si="114"/>
        <v>7621467.7189568765</v>
      </c>
      <c r="DK31" s="244">
        <f t="shared" ref="DK31:EP31" si="115">SUM(DK13,DK19,DK25)</f>
        <v>8019326.8854453079</v>
      </c>
      <c r="DL31" s="244">
        <f t="shared" si="115"/>
        <v>8570341.20041929</v>
      </c>
      <c r="DM31" s="244">
        <f t="shared" si="115"/>
        <v>8739404.4489257019</v>
      </c>
      <c r="DN31" s="244">
        <f t="shared" si="115"/>
        <v>9067314.6665583458</v>
      </c>
      <c r="DO31" s="244">
        <f t="shared" si="115"/>
        <v>9647451.52332622</v>
      </c>
      <c r="DP31" s="244">
        <f t="shared" si="115"/>
        <v>9855751.9560118765</v>
      </c>
      <c r="DQ31" s="244">
        <f t="shared" si="115"/>
        <v>10474323.689824102</v>
      </c>
      <c r="DR31" s="244">
        <f t="shared" si="115"/>
        <v>11200432.731100403</v>
      </c>
      <c r="DS31" s="244">
        <f t="shared" si="115"/>
        <v>11360118.231303129</v>
      </c>
      <c r="DT31" s="244">
        <f t="shared" si="115"/>
        <v>11720586.108400842</v>
      </c>
      <c r="DU31" s="244">
        <f t="shared" si="115"/>
        <v>12427975.412598064</v>
      </c>
      <c r="DV31" s="244">
        <f t="shared" si="115"/>
        <v>12718212.614602366</v>
      </c>
      <c r="DW31" s="244">
        <f t="shared" si="115"/>
        <v>13307710.876769342</v>
      </c>
      <c r="DX31" s="244">
        <f t="shared" si="115"/>
        <v>14122771.786223339</v>
      </c>
      <c r="DY31" s="244">
        <f t="shared" si="115"/>
        <v>14370887.684308127</v>
      </c>
      <c r="DZ31" s="244">
        <f t="shared" si="115"/>
        <v>14856326.322382521</v>
      </c>
      <c r="EA31" s="244">
        <f t="shared" si="115"/>
        <v>15715685.958186254</v>
      </c>
      <c r="EB31" s="244">
        <f t="shared" si="115"/>
        <v>16022291.417259658</v>
      </c>
      <c r="EC31" s="244">
        <f t="shared" si="115"/>
        <v>16935893.29330758</v>
      </c>
      <c r="ED31" s="244">
        <f t="shared" si="115"/>
        <v>18010084.098809913</v>
      </c>
      <c r="EE31" s="244">
        <f t="shared" si="115"/>
        <v>18241591.330420222</v>
      </c>
      <c r="EF31" s="244">
        <f t="shared" si="115"/>
        <v>18766191.30625923</v>
      </c>
      <c r="EG31" s="244">
        <f t="shared" si="115"/>
        <v>19795932.576885432</v>
      </c>
      <c r="EH31" s="244">
        <f t="shared" si="115"/>
        <v>20217226.368590239</v>
      </c>
      <c r="EI31" s="244">
        <f t="shared" si="115"/>
        <v>21076734.465932272</v>
      </c>
      <c r="EJ31" s="244">
        <f t="shared" si="115"/>
        <v>22263921.532130033</v>
      </c>
      <c r="EK31" s="244">
        <f t="shared" si="115"/>
        <v>22623589.404782772</v>
      </c>
      <c r="EL31" s="244">
        <f t="shared" si="115"/>
        <v>23331007.631978735</v>
      </c>
      <c r="EM31" s="244">
        <f t="shared" si="115"/>
        <v>24583793.526336342</v>
      </c>
      <c r="EN31" s="244">
        <f t="shared" si="115"/>
        <v>25029051.287199892</v>
      </c>
      <c r="EO31" s="244">
        <f t="shared" si="115"/>
        <v>26358545.266365848</v>
      </c>
      <c r="EP31" s="244">
        <f t="shared" si="115"/>
        <v>27923285.333531447</v>
      </c>
      <c r="EQ31" s="244">
        <f t="shared" ref="EQ31:FB31" si="116">SUM(EQ13,EQ19,EQ25)</f>
        <v>28350990.423882462</v>
      </c>
      <c r="ER31" s="244">
        <f t="shared" si="116"/>
        <v>29307081.516672537</v>
      </c>
      <c r="ES31" s="244">
        <f t="shared" si="116"/>
        <v>31182134.450661536</v>
      </c>
      <c r="ET31" s="244">
        <f t="shared" si="116"/>
        <v>31957090.898006618</v>
      </c>
      <c r="EU31" s="244">
        <f t="shared" si="116"/>
        <v>33513187.160460431</v>
      </c>
      <c r="EV31" s="244">
        <f t="shared" si="116"/>
        <v>35670318.688058235</v>
      </c>
      <c r="EW31" s="244">
        <f t="shared" si="116"/>
        <v>36335079.591845281</v>
      </c>
      <c r="EX31" s="244">
        <f t="shared" si="116"/>
        <v>37618212.190234274</v>
      </c>
      <c r="EY31" s="244">
        <f t="shared" si="116"/>
        <v>39887546.534319028</v>
      </c>
      <c r="EZ31" s="244">
        <f t="shared" si="116"/>
        <v>40705248.572330885</v>
      </c>
      <c r="FA31" s="244">
        <f t="shared" si="116"/>
        <v>43128914.425346389</v>
      </c>
      <c r="FB31" s="244">
        <f t="shared" si="116"/>
        <v>45971321.472332537</v>
      </c>
    </row>
    <row r="32" spans="3:158" x14ac:dyDescent="0.25">
      <c r="C32" s="2"/>
      <c r="D32" s="244"/>
      <c r="E32" s="244"/>
      <c r="F32" s="244"/>
      <c r="G32" s="244"/>
      <c r="H32" s="244"/>
      <c r="I32" s="244"/>
      <c r="J32" s="244"/>
      <c r="K32" s="244"/>
      <c r="L32" s="244"/>
      <c r="M32" s="244"/>
      <c r="N32" s="244"/>
      <c r="O32" s="244"/>
      <c r="P32" s="244"/>
      <c r="Q32" s="244"/>
      <c r="R32" s="244"/>
      <c r="S32" s="244"/>
      <c r="T32" s="244"/>
      <c r="U32" s="244"/>
      <c r="V32" s="244"/>
      <c r="W32" s="244"/>
      <c r="X32" s="244"/>
      <c r="Y32" s="244"/>
      <c r="Z32" s="244"/>
      <c r="AA32" s="244"/>
      <c r="AB32" s="244"/>
      <c r="AC32" s="244"/>
      <c r="AD32" s="244"/>
      <c r="AE32" s="244"/>
      <c r="AF32" s="244"/>
      <c r="AG32" s="244"/>
      <c r="AH32" s="244"/>
      <c r="AI32" s="244"/>
      <c r="AJ32" s="244"/>
      <c r="AK32" s="244"/>
      <c r="AL32" s="244"/>
      <c r="AM32" s="244"/>
      <c r="AN32" s="244"/>
      <c r="AO32" s="244"/>
      <c r="AP32" s="244"/>
      <c r="AQ32" s="244"/>
      <c r="AR32" s="244"/>
      <c r="AS32" s="244"/>
      <c r="AT32" s="244"/>
      <c r="AU32" s="244"/>
      <c r="AV32" s="244"/>
      <c r="AW32" s="244"/>
      <c r="AY32" s="244"/>
      <c r="AZ32" s="244"/>
      <c r="BA32" s="244"/>
      <c r="BB32" s="244"/>
      <c r="BC32" s="244"/>
      <c r="BD32" s="244"/>
      <c r="BE32" s="244"/>
      <c r="BF32" s="244"/>
      <c r="BG32" s="244"/>
      <c r="BH32" s="244"/>
      <c r="BI32" s="244"/>
      <c r="BJ32" s="244"/>
      <c r="BK32" s="244"/>
      <c r="BL32" s="244"/>
      <c r="BM32" s="244"/>
      <c r="BN32" s="244"/>
      <c r="BO32" s="244"/>
      <c r="BP32" s="244"/>
      <c r="BQ32" s="244"/>
      <c r="BR32" s="244"/>
      <c r="BS32" s="244"/>
      <c r="BT32" s="244"/>
      <c r="BU32" s="244"/>
      <c r="BV32" s="244"/>
      <c r="BW32" s="244"/>
      <c r="BX32" s="244"/>
      <c r="BY32" s="244"/>
      <c r="BZ32" s="244"/>
      <c r="CA32" s="244"/>
      <c r="CB32" s="244"/>
      <c r="CC32" s="244"/>
      <c r="CD32" s="244"/>
      <c r="CE32" s="244"/>
      <c r="CF32" s="244"/>
      <c r="CG32" s="244"/>
      <c r="CH32" s="244"/>
      <c r="CI32" s="244"/>
      <c r="CJ32" s="244"/>
      <c r="CK32" s="244"/>
      <c r="CL32" s="244"/>
      <c r="CM32" s="244"/>
      <c r="CN32" s="244"/>
      <c r="CO32" s="244"/>
      <c r="CP32" s="244"/>
      <c r="CQ32" s="244"/>
      <c r="CR32" s="244"/>
      <c r="CS32" s="244"/>
      <c r="CT32" s="244"/>
      <c r="CU32" s="244"/>
      <c r="CV32" s="244"/>
      <c r="CW32" s="244"/>
      <c r="CX32" s="244"/>
      <c r="CY32" s="244"/>
      <c r="CZ32" s="244"/>
      <c r="DA32" s="244"/>
      <c r="DB32" s="244"/>
      <c r="DC32" s="244"/>
      <c r="DD32" s="244"/>
      <c r="DE32" s="244"/>
      <c r="DF32" s="244"/>
      <c r="DG32" s="244"/>
      <c r="DH32" s="244"/>
      <c r="DI32" s="244"/>
      <c r="DJ32" s="244"/>
      <c r="DK32" s="244"/>
      <c r="DL32" s="244"/>
      <c r="DM32" s="244"/>
      <c r="DN32" s="244"/>
      <c r="DO32" s="244"/>
      <c r="DP32" s="244"/>
      <c r="DQ32" s="244"/>
      <c r="DR32" s="244"/>
      <c r="DS32" s="244"/>
      <c r="DT32" s="244"/>
      <c r="DU32" s="244"/>
      <c r="DV32" s="244"/>
      <c r="DW32" s="244"/>
      <c r="DX32" s="244"/>
      <c r="DY32" s="244"/>
      <c r="DZ32" s="244"/>
      <c r="EA32" s="244"/>
      <c r="EB32" s="244"/>
      <c r="EC32" s="244"/>
      <c r="ED32" s="244"/>
      <c r="EE32" s="244"/>
      <c r="EF32" s="244"/>
      <c r="EG32" s="244"/>
      <c r="EH32" s="244"/>
      <c r="EI32" s="244"/>
      <c r="EJ32" s="244"/>
      <c r="EK32" s="244"/>
      <c r="EL32" s="244"/>
      <c r="EM32" s="244"/>
      <c r="EN32" s="244"/>
      <c r="EO32" s="244"/>
      <c r="EP32" s="244"/>
      <c r="EQ32" s="244"/>
      <c r="ER32" s="244"/>
      <c r="ES32" s="244"/>
      <c r="ET32" s="244"/>
      <c r="EU32" s="244"/>
      <c r="EV32" s="244"/>
      <c r="EW32" s="244"/>
      <c r="EX32" s="244"/>
      <c r="EY32" s="244"/>
      <c r="EZ32" s="244"/>
      <c r="FA32" s="244"/>
      <c r="FB32" s="244"/>
    </row>
    <row r="33" spans="1:158" x14ac:dyDescent="0.25">
      <c r="C33" s="1" t="s">
        <v>651</v>
      </c>
      <c r="D33" s="335">
        <f t="shared" ref="D33:K37" si="117">D27/D$27</f>
        <v>1</v>
      </c>
      <c r="E33" s="335">
        <f t="shared" si="117"/>
        <v>1</v>
      </c>
      <c r="F33" s="335">
        <f t="shared" si="117"/>
        <v>1</v>
      </c>
      <c r="G33" s="335">
        <f t="shared" si="117"/>
        <v>1</v>
      </c>
      <c r="H33" s="335">
        <f t="shared" si="117"/>
        <v>1</v>
      </c>
      <c r="I33" s="335">
        <f t="shared" si="117"/>
        <v>1</v>
      </c>
      <c r="J33" s="335">
        <f t="shared" si="117"/>
        <v>1</v>
      </c>
      <c r="K33" s="335">
        <f t="shared" si="117"/>
        <v>1</v>
      </c>
      <c r="L33" s="22">
        <f>SUM(L15,L21,L27)</f>
        <v>1874047775.3887429</v>
      </c>
      <c r="M33" s="22"/>
      <c r="N33" s="335">
        <f t="shared" ref="N33:AW33" si="118">N27/N$27</f>
        <v>1</v>
      </c>
      <c r="O33" s="335">
        <f t="shared" si="118"/>
        <v>1</v>
      </c>
      <c r="P33" s="335">
        <f t="shared" si="118"/>
        <v>1</v>
      </c>
      <c r="Q33" s="335">
        <f t="shared" si="118"/>
        <v>1</v>
      </c>
      <c r="R33" s="335">
        <f t="shared" si="118"/>
        <v>1</v>
      </c>
      <c r="S33" s="335">
        <f t="shared" si="118"/>
        <v>1</v>
      </c>
      <c r="T33" s="335">
        <f t="shared" si="118"/>
        <v>1</v>
      </c>
      <c r="U33" s="335">
        <f t="shared" si="118"/>
        <v>1</v>
      </c>
      <c r="V33" s="335">
        <f t="shared" si="118"/>
        <v>1</v>
      </c>
      <c r="W33" s="335">
        <f t="shared" si="118"/>
        <v>1</v>
      </c>
      <c r="X33" s="335">
        <f t="shared" si="118"/>
        <v>1</v>
      </c>
      <c r="Y33" s="335">
        <f t="shared" si="118"/>
        <v>1</v>
      </c>
      <c r="Z33" s="335">
        <f t="shared" si="118"/>
        <v>1</v>
      </c>
      <c r="AA33" s="335">
        <f t="shared" si="118"/>
        <v>1</v>
      </c>
      <c r="AB33" s="335">
        <f t="shared" si="118"/>
        <v>1</v>
      </c>
      <c r="AC33" s="335">
        <f t="shared" si="118"/>
        <v>1</v>
      </c>
      <c r="AD33" s="335">
        <f t="shared" si="118"/>
        <v>1</v>
      </c>
      <c r="AE33" s="335">
        <f t="shared" si="118"/>
        <v>1</v>
      </c>
      <c r="AF33" s="335">
        <f t="shared" si="118"/>
        <v>1</v>
      </c>
      <c r="AG33" s="335">
        <f t="shared" si="118"/>
        <v>1</v>
      </c>
      <c r="AH33" s="335">
        <f t="shared" si="118"/>
        <v>1</v>
      </c>
      <c r="AI33" s="335">
        <f t="shared" si="118"/>
        <v>1</v>
      </c>
      <c r="AJ33" s="335">
        <f t="shared" si="118"/>
        <v>1</v>
      </c>
      <c r="AK33" s="335">
        <f t="shared" si="118"/>
        <v>1</v>
      </c>
      <c r="AL33" s="335">
        <f t="shared" si="118"/>
        <v>1</v>
      </c>
      <c r="AM33" s="335">
        <f t="shared" si="118"/>
        <v>1</v>
      </c>
      <c r="AN33" s="335">
        <f t="shared" si="118"/>
        <v>1</v>
      </c>
      <c r="AO33" s="335">
        <f t="shared" si="118"/>
        <v>1</v>
      </c>
      <c r="AP33" s="335">
        <f t="shared" si="118"/>
        <v>1</v>
      </c>
      <c r="AQ33" s="335">
        <f t="shared" si="118"/>
        <v>1</v>
      </c>
      <c r="AR33" s="335">
        <f t="shared" si="118"/>
        <v>1</v>
      </c>
      <c r="AS33" s="335">
        <f t="shared" si="118"/>
        <v>1</v>
      </c>
      <c r="AT33" s="335">
        <f t="shared" si="118"/>
        <v>1</v>
      </c>
      <c r="AU33" s="335">
        <f t="shared" si="118"/>
        <v>1</v>
      </c>
      <c r="AV33" s="335">
        <f t="shared" si="118"/>
        <v>1</v>
      </c>
      <c r="AW33" s="335">
        <f t="shared" si="118"/>
        <v>1</v>
      </c>
      <c r="AY33" s="335">
        <f t="shared" ref="AY33:CD33" si="119">AY27/AY$27</f>
        <v>1</v>
      </c>
      <c r="AZ33" s="335">
        <f t="shared" si="119"/>
        <v>1</v>
      </c>
      <c r="BA33" s="335">
        <f t="shared" si="119"/>
        <v>1</v>
      </c>
      <c r="BB33" s="335">
        <f t="shared" si="119"/>
        <v>1</v>
      </c>
      <c r="BC33" s="335">
        <f t="shared" si="119"/>
        <v>1</v>
      </c>
      <c r="BD33" s="335">
        <f t="shared" si="119"/>
        <v>1</v>
      </c>
      <c r="BE33" s="335">
        <f t="shared" si="119"/>
        <v>1</v>
      </c>
      <c r="BF33" s="335">
        <f t="shared" si="119"/>
        <v>1</v>
      </c>
      <c r="BG33" s="335">
        <f t="shared" si="119"/>
        <v>1</v>
      </c>
      <c r="BH33" s="335">
        <f t="shared" si="119"/>
        <v>1</v>
      </c>
      <c r="BI33" s="335">
        <f t="shared" si="119"/>
        <v>1</v>
      </c>
      <c r="BJ33" s="335">
        <f t="shared" si="119"/>
        <v>1</v>
      </c>
      <c r="BK33" s="335">
        <f t="shared" si="119"/>
        <v>1</v>
      </c>
      <c r="BL33" s="335">
        <f t="shared" si="119"/>
        <v>1</v>
      </c>
      <c r="BM33" s="335">
        <f t="shared" si="119"/>
        <v>1</v>
      </c>
      <c r="BN33" s="335">
        <f t="shared" si="119"/>
        <v>1</v>
      </c>
      <c r="BO33" s="335">
        <f t="shared" si="119"/>
        <v>1</v>
      </c>
      <c r="BP33" s="335">
        <f t="shared" si="119"/>
        <v>1</v>
      </c>
      <c r="BQ33" s="335">
        <f t="shared" si="119"/>
        <v>1</v>
      </c>
      <c r="BR33" s="335">
        <f t="shared" si="119"/>
        <v>1</v>
      </c>
      <c r="BS33" s="335">
        <f t="shared" si="119"/>
        <v>1</v>
      </c>
      <c r="BT33" s="335">
        <f t="shared" si="119"/>
        <v>1</v>
      </c>
      <c r="BU33" s="335">
        <f t="shared" si="119"/>
        <v>1</v>
      </c>
      <c r="BV33" s="335">
        <f t="shared" si="119"/>
        <v>1</v>
      </c>
      <c r="BW33" s="335">
        <f t="shared" si="119"/>
        <v>1</v>
      </c>
      <c r="BX33" s="335">
        <f t="shared" si="119"/>
        <v>1</v>
      </c>
      <c r="BY33" s="335">
        <f t="shared" si="119"/>
        <v>1</v>
      </c>
      <c r="BZ33" s="335">
        <f t="shared" si="119"/>
        <v>1</v>
      </c>
      <c r="CA33" s="335">
        <f t="shared" si="119"/>
        <v>1</v>
      </c>
      <c r="CB33" s="335">
        <f t="shared" si="119"/>
        <v>1</v>
      </c>
      <c r="CC33" s="335">
        <f t="shared" si="119"/>
        <v>1</v>
      </c>
      <c r="CD33" s="335">
        <f t="shared" si="119"/>
        <v>1</v>
      </c>
      <c r="CE33" s="335">
        <f t="shared" ref="CE33:DJ33" si="120">CE27/CE$27</f>
        <v>1</v>
      </c>
      <c r="CF33" s="335">
        <f t="shared" si="120"/>
        <v>1</v>
      </c>
      <c r="CG33" s="335">
        <f t="shared" si="120"/>
        <v>1</v>
      </c>
      <c r="CH33" s="335">
        <f t="shared" si="120"/>
        <v>1</v>
      </c>
      <c r="CI33" s="335">
        <f t="shared" si="120"/>
        <v>1</v>
      </c>
      <c r="CJ33" s="335">
        <f t="shared" si="120"/>
        <v>1</v>
      </c>
      <c r="CK33" s="335">
        <f t="shared" si="120"/>
        <v>1</v>
      </c>
      <c r="CL33" s="335">
        <f t="shared" si="120"/>
        <v>1</v>
      </c>
      <c r="CM33" s="335">
        <f t="shared" si="120"/>
        <v>1</v>
      </c>
      <c r="CN33" s="335">
        <f t="shared" si="120"/>
        <v>1</v>
      </c>
      <c r="CO33" s="335">
        <f t="shared" si="120"/>
        <v>1</v>
      </c>
      <c r="CP33" s="335">
        <f t="shared" si="120"/>
        <v>1</v>
      </c>
      <c r="CQ33" s="335">
        <f t="shared" si="120"/>
        <v>1</v>
      </c>
      <c r="CR33" s="335">
        <f t="shared" si="120"/>
        <v>1</v>
      </c>
      <c r="CS33" s="335">
        <f t="shared" si="120"/>
        <v>1</v>
      </c>
      <c r="CT33" s="335">
        <f t="shared" si="120"/>
        <v>1</v>
      </c>
      <c r="CU33" s="335">
        <f t="shared" si="120"/>
        <v>1</v>
      </c>
      <c r="CV33" s="335">
        <f t="shared" si="120"/>
        <v>1</v>
      </c>
      <c r="CW33" s="335">
        <f t="shared" si="120"/>
        <v>1</v>
      </c>
      <c r="CX33" s="335">
        <f t="shared" si="120"/>
        <v>1</v>
      </c>
      <c r="CY33" s="335">
        <f t="shared" si="120"/>
        <v>1</v>
      </c>
      <c r="CZ33" s="335">
        <f t="shared" si="120"/>
        <v>1</v>
      </c>
      <c r="DA33" s="335">
        <f t="shared" si="120"/>
        <v>1</v>
      </c>
      <c r="DB33" s="335">
        <f t="shared" si="120"/>
        <v>1</v>
      </c>
      <c r="DC33" s="335">
        <f t="shared" si="120"/>
        <v>1</v>
      </c>
      <c r="DD33" s="335">
        <f t="shared" si="120"/>
        <v>1</v>
      </c>
      <c r="DE33" s="335">
        <f t="shared" si="120"/>
        <v>1</v>
      </c>
      <c r="DF33" s="335">
        <f t="shared" si="120"/>
        <v>1</v>
      </c>
      <c r="DG33" s="335">
        <f t="shared" si="120"/>
        <v>1</v>
      </c>
      <c r="DH33" s="335">
        <f t="shared" si="120"/>
        <v>1</v>
      </c>
      <c r="DI33" s="335">
        <f t="shared" si="120"/>
        <v>1</v>
      </c>
      <c r="DJ33" s="335">
        <f t="shared" si="120"/>
        <v>1</v>
      </c>
      <c r="DK33" s="335">
        <f t="shared" ref="DK33:EP33" si="121">DK27/DK$27</f>
        <v>1</v>
      </c>
      <c r="DL33" s="335">
        <f t="shared" si="121"/>
        <v>1</v>
      </c>
      <c r="DM33" s="335">
        <f t="shared" si="121"/>
        <v>1</v>
      </c>
      <c r="DN33" s="335">
        <f t="shared" si="121"/>
        <v>1</v>
      </c>
      <c r="DO33" s="335">
        <f t="shared" si="121"/>
        <v>1</v>
      </c>
      <c r="DP33" s="335">
        <f t="shared" si="121"/>
        <v>1</v>
      </c>
      <c r="DQ33" s="335">
        <f t="shared" si="121"/>
        <v>1</v>
      </c>
      <c r="DR33" s="335">
        <f t="shared" si="121"/>
        <v>1</v>
      </c>
      <c r="DS33" s="335">
        <f t="shared" si="121"/>
        <v>1</v>
      </c>
      <c r="DT33" s="335">
        <f t="shared" si="121"/>
        <v>1</v>
      </c>
      <c r="DU33" s="335">
        <f t="shared" si="121"/>
        <v>1</v>
      </c>
      <c r="DV33" s="335">
        <f t="shared" si="121"/>
        <v>1</v>
      </c>
      <c r="DW33" s="335">
        <f t="shared" si="121"/>
        <v>1</v>
      </c>
      <c r="DX33" s="335">
        <f t="shared" si="121"/>
        <v>1</v>
      </c>
      <c r="DY33" s="335">
        <f t="shared" si="121"/>
        <v>1</v>
      </c>
      <c r="DZ33" s="335">
        <f t="shared" si="121"/>
        <v>1</v>
      </c>
      <c r="EA33" s="335">
        <f t="shared" si="121"/>
        <v>1</v>
      </c>
      <c r="EB33" s="335">
        <f t="shared" si="121"/>
        <v>1</v>
      </c>
      <c r="EC33" s="335">
        <f t="shared" si="121"/>
        <v>1</v>
      </c>
      <c r="ED33" s="335">
        <f t="shared" si="121"/>
        <v>1</v>
      </c>
      <c r="EE33" s="335">
        <f t="shared" si="121"/>
        <v>1</v>
      </c>
      <c r="EF33" s="335">
        <f t="shared" si="121"/>
        <v>1</v>
      </c>
      <c r="EG33" s="335">
        <f t="shared" si="121"/>
        <v>1</v>
      </c>
      <c r="EH33" s="335">
        <f t="shared" si="121"/>
        <v>1</v>
      </c>
      <c r="EI33" s="335">
        <f t="shared" si="121"/>
        <v>1</v>
      </c>
      <c r="EJ33" s="335">
        <f t="shared" si="121"/>
        <v>1</v>
      </c>
      <c r="EK33" s="335">
        <f t="shared" si="121"/>
        <v>1</v>
      </c>
      <c r="EL33" s="335">
        <f t="shared" si="121"/>
        <v>1</v>
      </c>
      <c r="EM33" s="335">
        <f t="shared" si="121"/>
        <v>1</v>
      </c>
      <c r="EN33" s="335">
        <f t="shared" si="121"/>
        <v>1</v>
      </c>
      <c r="EO33" s="335">
        <f t="shared" si="121"/>
        <v>1</v>
      </c>
      <c r="EP33" s="335">
        <f t="shared" si="121"/>
        <v>1</v>
      </c>
      <c r="EQ33" s="335">
        <f t="shared" ref="EQ33:FB33" si="122">EQ27/EQ$27</f>
        <v>1</v>
      </c>
      <c r="ER33" s="335">
        <f t="shared" si="122"/>
        <v>1</v>
      </c>
      <c r="ES33" s="335">
        <f t="shared" si="122"/>
        <v>1</v>
      </c>
      <c r="ET33" s="335">
        <f t="shared" si="122"/>
        <v>1</v>
      </c>
      <c r="EU33" s="335">
        <f t="shared" si="122"/>
        <v>1</v>
      </c>
      <c r="EV33" s="335">
        <f t="shared" si="122"/>
        <v>1</v>
      </c>
      <c r="EW33" s="335">
        <f t="shared" si="122"/>
        <v>1</v>
      </c>
      <c r="EX33" s="335">
        <f t="shared" si="122"/>
        <v>1</v>
      </c>
      <c r="EY33" s="335">
        <f t="shared" si="122"/>
        <v>1</v>
      </c>
      <c r="EZ33" s="335">
        <f t="shared" si="122"/>
        <v>1</v>
      </c>
      <c r="FA33" s="335">
        <f t="shared" si="122"/>
        <v>1</v>
      </c>
      <c r="FB33" s="335">
        <f t="shared" si="122"/>
        <v>1</v>
      </c>
    </row>
    <row r="34" spans="1:158" x14ac:dyDescent="0.25">
      <c r="C34" s="2" t="s">
        <v>346</v>
      </c>
      <c r="D34" s="308">
        <f t="shared" si="117"/>
        <v>0.954859369603828</v>
      </c>
      <c r="E34" s="308">
        <f t="shared" si="117"/>
        <v>0.95772098268179107</v>
      </c>
      <c r="F34" s="308">
        <f t="shared" si="117"/>
        <v>0.95786191985594782</v>
      </c>
      <c r="G34" s="308">
        <f t="shared" si="117"/>
        <v>0.92879088246596508</v>
      </c>
      <c r="H34" s="308">
        <f t="shared" si="117"/>
        <v>0.89279849494268682</v>
      </c>
      <c r="I34" s="308">
        <f t="shared" si="117"/>
        <v>0.7821151104664571</v>
      </c>
      <c r="J34" s="308">
        <f t="shared" si="117"/>
        <v>0.6702496280074236</v>
      </c>
      <c r="K34" s="308">
        <f t="shared" si="117"/>
        <v>0.57821665269131051</v>
      </c>
      <c r="L34" s="244">
        <f>SUM(L16,L22,L28)</f>
        <v>992509470.1522193</v>
      </c>
      <c r="M34" s="244"/>
      <c r="N34" s="308">
        <f t="shared" ref="N34:AW34" si="123">N28/N$27</f>
        <v>0.94978303950274257</v>
      </c>
      <c r="O34" s="308">
        <f t="shared" si="123"/>
        <v>0.95145560609803592</v>
      </c>
      <c r="P34" s="308">
        <f t="shared" si="123"/>
        <v>0.95315915374495519</v>
      </c>
      <c r="Q34" s="308">
        <f t="shared" si="123"/>
        <v>0.95485936960382789</v>
      </c>
      <c r="R34" s="308">
        <f t="shared" si="123"/>
        <v>0.95600764410633243</v>
      </c>
      <c r="S34" s="308">
        <f t="shared" si="123"/>
        <v>0.95674228257148874</v>
      </c>
      <c r="T34" s="308">
        <f t="shared" si="123"/>
        <v>0.95724656940465602</v>
      </c>
      <c r="U34" s="308">
        <f t="shared" si="123"/>
        <v>0.95772098268179107</v>
      </c>
      <c r="V34" s="308">
        <f t="shared" si="123"/>
        <v>0.95769215604067304</v>
      </c>
      <c r="W34" s="308">
        <f t="shared" si="123"/>
        <v>0.95781273992522287</v>
      </c>
      <c r="X34" s="308">
        <f t="shared" si="123"/>
        <v>0.95775594835423949</v>
      </c>
      <c r="Y34" s="308">
        <f t="shared" si="123"/>
        <v>0.95786191985594782</v>
      </c>
      <c r="Z34" s="308">
        <f t="shared" si="123"/>
        <v>0.95190674516008555</v>
      </c>
      <c r="AA34" s="308">
        <f t="shared" si="123"/>
        <v>0.94420377148788293</v>
      </c>
      <c r="AB34" s="308">
        <f t="shared" si="123"/>
        <v>0.93649379358539175</v>
      </c>
      <c r="AC34" s="308">
        <f t="shared" si="123"/>
        <v>0.92879088246596508</v>
      </c>
      <c r="AD34" s="308">
        <f t="shared" si="123"/>
        <v>0.91975960616986685</v>
      </c>
      <c r="AE34" s="308">
        <f t="shared" si="123"/>
        <v>0.90999575446573833</v>
      </c>
      <c r="AF34" s="308">
        <f t="shared" si="123"/>
        <v>0.90223559387964136</v>
      </c>
      <c r="AG34" s="308">
        <f t="shared" si="123"/>
        <v>0.89279849494268682</v>
      </c>
      <c r="AH34" s="308">
        <f t="shared" si="123"/>
        <v>0.86472071458251543</v>
      </c>
      <c r="AI34" s="308">
        <f t="shared" si="123"/>
        <v>0.83368410223264555</v>
      </c>
      <c r="AJ34" s="308">
        <f t="shared" si="123"/>
        <v>0.81003939067216302</v>
      </c>
      <c r="AK34" s="308">
        <f t="shared" si="123"/>
        <v>0.7821151104664571</v>
      </c>
      <c r="AL34" s="308">
        <f t="shared" si="123"/>
        <v>0.75403736441381697</v>
      </c>
      <c r="AM34" s="308">
        <f t="shared" si="123"/>
        <v>0.72279666207074833</v>
      </c>
      <c r="AN34" s="308">
        <f t="shared" si="123"/>
        <v>0.6988141082278907</v>
      </c>
      <c r="AO34" s="308">
        <f t="shared" si="123"/>
        <v>0.67024962800742371</v>
      </c>
      <c r="AP34" s="308">
        <f t="shared" si="123"/>
        <v>0.64736874053593507</v>
      </c>
      <c r="AQ34" s="308">
        <f t="shared" si="123"/>
        <v>0.62179215398402621</v>
      </c>
      <c r="AR34" s="308">
        <f t="shared" si="123"/>
        <v>0.60201174098359189</v>
      </c>
      <c r="AS34" s="308">
        <f t="shared" si="123"/>
        <v>0.5782166526913104</v>
      </c>
      <c r="AT34" s="308">
        <f t="shared" si="123"/>
        <v>0.57094521506818663</v>
      </c>
      <c r="AU34" s="308">
        <f t="shared" si="123"/>
        <v>0.5629391304768544</v>
      </c>
      <c r="AV34" s="308">
        <f t="shared" si="123"/>
        <v>0.55671666891998572</v>
      </c>
      <c r="AW34" s="308">
        <f t="shared" si="123"/>
        <v>0.54904124436055657</v>
      </c>
      <c r="AY34" s="308">
        <f t="shared" ref="AY34:CD34" si="124">AY28/AY$27</f>
        <v>0.94736842105263164</v>
      </c>
      <c r="AZ34" s="308">
        <f t="shared" si="124"/>
        <v>0.9485415950318441</v>
      </c>
      <c r="BA34" s="308">
        <f t="shared" si="124"/>
        <v>0.94978303950274257</v>
      </c>
      <c r="BB34" s="308">
        <f t="shared" si="124"/>
        <v>0.95014975408889624</v>
      </c>
      <c r="BC34" s="308">
        <f t="shared" si="124"/>
        <v>0.95071321154363087</v>
      </c>
      <c r="BD34" s="308">
        <f t="shared" si="124"/>
        <v>0.95145560609803592</v>
      </c>
      <c r="BE34" s="308">
        <f t="shared" si="124"/>
        <v>0.95186932646443645</v>
      </c>
      <c r="BF34" s="308">
        <f t="shared" si="124"/>
        <v>0.95244804013720163</v>
      </c>
      <c r="BG34" s="308">
        <f t="shared" si="124"/>
        <v>0.9531591537449553</v>
      </c>
      <c r="BH34" s="308">
        <f t="shared" si="124"/>
        <v>0.95361647479783285</v>
      </c>
      <c r="BI34" s="308">
        <f t="shared" si="124"/>
        <v>0.95427969842567362</v>
      </c>
      <c r="BJ34" s="308">
        <f t="shared" si="124"/>
        <v>0.954859369603828</v>
      </c>
      <c r="BK34" s="308">
        <f t="shared" si="124"/>
        <v>0.95508600816179301</v>
      </c>
      <c r="BL34" s="308">
        <f t="shared" si="124"/>
        <v>0.95553305327130855</v>
      </c>
      <c r="BM34" s="308">
        <f t="shared" si="124"/>
        <v>0.95600764410633243</v>
      </c>
      <c r="BN34" s="308">
        <f t="shared" si="124"/>
        <v>0.95632264081678153</v>
      </c>
      <c r="BO34" s="308">
        <f t="shared" si="124"/>
        <v>0.95644419791368174</v>
      </c>
      <c r="BP34" s="308">
        <f t="shared" si="124"/>
        <v>0.95674228257148874</v>
      </c>
      <c r="BQ34" s="308">
        <f t="shared" si="124"/>
        <v>0.95688229516539802</v>
      </c>
      <c r="BR34" s="308">
        <f t="shared" si="124"/>
        <v>0.95700267376988879</v>
      </c>
      <c r="BS34" s="308">
        <f t="shared" si="124"/>
        <v>0.95724656940465602</v>
      </c>
      <c r="BT34" s="308">
        <f t="shared" si="124"/>
        <v>0.95742941964680606</v>
      </c>
      <c r="BU34" s="308">
        <f t="shared" si="124"/>
        <v>0.95757546824927153</v>
      </c>
      <c r="BV34" s="308">
        <f t="shared" si="124"/>
        <v>0.95772098268179107</v>
      </c>
      <c r="BW34" s="308">
        <f t="shared" si="124"/>
        <v>0.95771450534669067</v>
      </c>
      <c r="BX34" s="308">
        <f t="shared" si="124"/>
        <v>0.9576806825336992</v>
      </c>
      <c r="BY34" s="308">
        <f t="shared" si="124"/>
        <v>0.95769215604067315</v>
      </c>
      <c r="BZ34" s="308">
        <f t="shared" si="124"/>
        <v>0.95770860469747188</v>
      </c>
      <c r="CA34" s="308">
        <f t="shared" si="124"/>
        <v>0.95777120040823327</v>
      </c>
      <c r="CB34" s="308">
        <f t="shared" si="124"/>
        <v>0.95781273992522253</v>
      </c>
      <c r="CC34" s="308">
        <f t="shared" si="124"/>
        <v>0.95788126850342625</v>
      </c>
      <c r="CD34" s="308">
        <f t="shared" si="124"/>
        <v>0.95776851396561358</v>
      </c>
      <c r="CE34" s="308">
        <f t="shared" ref="CE34:DJ34" si="125">CE28/CE$27</f>
        <v>0.95775594835423972</v>
      </c>
      <c r="CF34" s="308">
        <f t="shared" si="125"/>
        <v>0.9578264025797284</v>
      </c>
      <c r="CG34" s="308">
        <f t="shared" si="125"/>
        <v>0.95784573744742452</v>
      </c>
      <c r="CH34" s="308">
        <f t="shared" si="125"/>
        <v>0.95786191985594782</v>
      </c>
      <c r="CI34" s="308">
        <f t="shared" si="125"/>
        <v>0.95692104715037518</v>
      </c>
      <c r="CJ34" s="308">
        <f t="shared" si="125"/>
        <v>0.95549254167875353</v>
      </c>
      <c r="CK34" s="308">
        <f t="shared" si="125"/>
        <v>0.95190674516008555</v>
      </c>
      <c r="CL34" s="308">
        <f t="shared" si="125"/>
        <v>0.95026598893037795</v>
      </c>
      <c r="CM34" s="308">
        <f t="shared" si="125"/>
        <v>0.94796844818913428</v>
      </c>
      <c r="CN34" s="308">
        <f t="shared" si="125"/>
        <v>0.94420377148788281</v>
      </c>
      <c r="CO34" s="308">
        <f t="shared" si="125"/>
        <v>0.94289179905023857</v>
      </c>
      <c r="CP34" s="308">
        <f t="shared" si="125"/>
        <v>0.94008546579694763</v>
      </c>
      <c r="CQ34" s="308">
        <f t="shared" si="125"/>
        <v>0.93649379358539175</v>
      </c>
      <c r="CR34" s="308">
        <f t="shared" si="125"/>
        <v>0.93557200676556795</v>
      </c>
      <c r="CS34" s="308">
        <f t="shared" si="125"/>
        <v>0.93230761452417465</v>
      </c>
      <c r="CT34" s="308">
        <f t="shared" si="125"/>
        <v>0.92879088246596508</v>
      </c>
      <c r="CU34" s="308">
        <f t="shared" si="125"/>
        <v>0.92748579134609332</v>
      </c>
      <c r="CV34" s="308">
        <f t="shared" si="125"/>
        <v>0.92475823283502567</v>
      </c>
      <c r="CW34" s="308">
        <f t="shared" si="125"/>
        <v>0.91975960616986663</v>
      </c>
      <c r="CX34" s="308">
        <f t="shared" si="125"/>
        <v>0.91786136576122335</v>
      </c>
      <c r="CY34" s="308">
        <f t="shared" si="125"/>
        <v>0.9144592612579493</v>
      </c>
      <c r="CZ34" s="308">
        <f t="shared" si="125"/>
        <v>0.90999575446573833</v>
      </c>
      <c r="DA34" s="308">
        <f t="shared" si="125"/>
        <v>0.90850712691899282</v>
      </c>
      <c r="DB34" s="308">
        <f t="shared" si="125"/>
        <v>0.90610233812926677</v>
      </c>
      <c r="DC34" s="308">
        <f t="shared" si="125"/>
        <v>0.90223559387964125</v>
      </c>
      <c r="DD34" s="308">
        <f t="shared" si="125"/>
        <v>0.90062808887343904</v>
      </c>
      <c r="DE34" s="308">
        <f t="shared" si="125"/>
        <v>0.89672781543664659</v>
      </c>
      <c r="DF34" s="308">
        <f t="shared" si="125"/>
        <v>0.89279849494268682</v>
      </c>
      <c r="DG34" s="308">
        <f t="shared" si="125"/>
        <v>0.88858910507982181</v>
      </c>
      <c r="DH34" s="308">
        <f t="shared" si="125"/>
        <v>0.88008680509424719</v>
      </c>
      <c r="DI34" s="308">
        <f t="shared" si="125"/>
        <v>0.86472071458251543</v>
      </c>
      <c r="DJ34" s="308">
        <f t="shared" si="125"/>
        <v>0.85846287986219572</v>
      </c>
      <c r="DK34" s="308">
        <f t="shared" ref="DK34:EP34" si="126">DK28/DK$27</f>
        <v>0.84765652360345511</v>
      </c>
      <c r="DL34" s="308">
        <f t="shared" si="126"/>
        <v>0.83368410223264555</v>
      </c>
      <c r="DM34" s="308">
        <f t="shared" si="126"/>
        <v>0.82918824411176006</v>
      </c>
      <c r="DN34" s="308">
        <f t="shared" si="126"/>
        <v>0.82186656162334804</v>
      </c>
      <c r="DO34" s="308">
        <f t="shared" si="126"/>
        <v>0.81003939067216302</v>
      </c>
      <c r="DP34" s="308">
        <f t="shared" si="126"/>
        <v>0.80560823147416682</v>
      </c>
      <c r="DQ34" s="308">
        <f t="shared" si="126"/>
        <v>0.79399627420961849</v>
      </c>
      <c r="DR34" s="308">
        <f t="shared" si="126"/>
        <v>0.7821151104664571</v>
      </c>
      <c r="DS34" s="308">
        <f t="shared" si="126"/>
        <v>0.77789599637499818</v>
      </c>
      <c r="DT34" s="308">
        <f t="shared" si="126"/>
        <v>0.76941302332561134</v>
      </c>
      <c r="DU34" s="308">
        <f t="shared" si="126"/>
        <v>0.75403736441381697</v>
      </c>
      <c r="DV34" s="308">
        <f t="shared" si="126"/>
        <v>0.74772649959745974</v>
      </c>
      <c r="DW34" s="308">
        <f t="shared" si="126"/>
        <v>0.73688857884265246</v>
      </c>
      <c r="DX34" s="308">
        <f t="shared" si="126"/>
        <v>0.72279666207074833</v>
      </c>
      <c r="DY34" s="308">
        <f t="shared" si="126"/>
        <v>0.71821379302615307</v>
      </c>
      <c r="DZ34" s="308">
        <f t="shared" si="126"/>
        <v>0.71080587290860353</v>
      </c>
      <c r="EA34" s="308">
        <f t="shared" si="126"/>
        <v>0.6988141082278907</v>
      </c>
      <c r="EB34" s="308">
        <f t="shared" si="126"/>
        <v>0.69427874661704037</v>
      </c>
      <c r="EC34" s="308">
        <f t="shared" si="126"/>
        <v>0.68241045807571465</v>
      </c>
      <c r="ED34" s="308">
        <f t="shared" si="126"/>
        <v>0.6702496280074236</v>
      </c>
      <c r="EE34" s="308">
        <f t="shared" si="126"/>
        <v>0.66678397319544047</v>
      </c>
      <c r="EF34" s="308">
        <f t="shared" si="126"/>
        <v>0.65989152831866449</v>
      </c>
      <c r="EG34" s="308">
        <f t="shared" si="126"/>
        <v>0.64736874053593507</v>
      </c>
      <c r="EH34" s="308">
        <f t="shared" si="126"/>
        <v>0.64216190343680146</v>
      </c>
      <c r="EI34" s="308">
        <f t="shared" si="126"/>
        <v>0.63334556884922222</v>
      </c>
      <c r="EJ34" s="308">
        <f t="shared" si="126"/>
        <v>0.62179215398402621</v>
      </c>
      <c r="EK34" s="308">
        <f t="shared" si="126"/>
        <v>0.61795959106893028</v>
      </c>
      <c r="EL34" s="308">
        <f t="shared" si="126"/>
        <v>0.61187442111886337</v>
      </c>
      <c r="EM34" s="308">
        <f t="shared" si="126"/>
        <v>0.60201174098359189</v>
      </c>
      <c r="EN34" s="308">
        <f t="shared" si="126"/>
        <v>0.59821360701818793</v>
      </c>
      <c r="EO34" s="308">
        <f t="shared" si="126"/>
        <v>0.58833185967097101</v>
      </c>
      <c r="EP34" s="308">
        <f t="shared" si="126"/>
        <v>0.57821665269131051</v>
      </c>
      <c r="EQ34" s="308">
        <f t="shared" ref="EQ34:FB34" si="127">EQ28/EQ$27</f>
        <v>0.57704253602587718</v>
      </c>
      <c r="ER34" s="308">
        <f t="shared" si="127"/>
        <v>0.57487447715532847</v>
      </c>
      <c r="ES34" s="308">
        <f t="shared" si="127"/>
        <v>0.57094521506818674</v>
      </c>
      <c r="ET34" s="308">
        <f t="shared" si="127"/>
        <v>0.56920085724915248</v>
      </c>
      <c r="EU34" s="308">
        <f t="shared" si="127"/>
        <v>0.56654025780299877</v>
      </c>
      <c r="EV34" s="308">
        <f t="shared" si="127"/>
        <v>0.5629391304768544</v>
      </c>
      <c r="EW34" s="308">
        <f t="shared" si="127"/>
        <v>0.5616015860893725</v>
      </c>
      <c r="EX34" s="308">
        <f t="shared" si="127"/>
        <v>0.55972755760208004</v>
      </c>
      <c r="EY34" s="308">
        <f t="shared" si="127"/>
        <v>0.55671666891998572</v>
      </c>
      <c r="EZ34" s="308">
        <f t="shared" si="127"/>
        <v>0.55542352220308311</v>
      </c>
      <c r="FA34" s="308">
        <f t="shared" si="127"/>
        <v>0.55222559026127582</v>
      </c>
      <c r="FB34" s="308">
        <f t="shared" si="127"/>
        <v>0.54904124436055657</v>
      </c>
    </row>
    <row r="35" spans="1:158" x14ac:dyDescent="0.25">
      <c r="C35" s="2" t="s">
        <v>298</v>
      </c>
      <c r="D35" s="308">
        <f t="shared" si="117"/>
        <v>2.0454087785166934E-2</v>
      </c>
      <c r="E35" s="308">
        <f t="shared" si="117"/>
        <v>2.02499414214963E-2</v>
      </c>
      <c r="F35" s="308">
        <f t="shared" si="117"/>
        <v>2.0168612007863206E-2</v>
      </c>
      <c r="G35" s="308">
        <f t="shared" si="117"/>
        <v>2.4688454010682693E-2</v>
      </c>
      <c r="H35" s="308">
        <f t="shared" si="117"/>
        <v>3.2937767271208791E-2</v>
      </c>
      <c r="I35" s="308">
        <f t="shared" si="117"/>
        <v>6.9773019529700678E-2</v>
      </c>
      <c r="J35" s="308">
        <f t="shared" si="117"/>
        <v>9.3188794418673213E-2</v>
      </c>
      <c r="K35" s="308">
        <f t="shared" si="117"/>
        <v>0.10691191222143186</v>
      </c>
      <c r="L35" s="244">
        <f>SUM(L17,L23,L29)</f>
        <v>227412724.37041312</v>
      </c>
      <c r="M35" s="244"/>
      <c r="N35" s="308">
        <f t="shared" ref="N35:AW35" si="128">N29/N$27</f>
        <v>2.0857803401699741E-2</v>
      </c>
      <c r="O35" s="308">
        <f t="shared" si="128"/>
        <v>2.0690206543609469E-2</v>
      </c>
      <c r="P35" s="308">
        <f t="shared" si="128"/>
        <v>2.0574105149569376E-2</v>
      </c>
      <c r="Q35" s="308">
        <f t="shared" si="128"/>
        <v>2.0454087785166934E-2</v>
      </c>
      <c r="R35" s="308">
        <f t="shared" si="128"/>
        <v>2.0390217228136678E-2</v>
      </c>
      <c r="S35" s="308">
        <f t="shared" si="128"/>
        <v>2.032752901874782E-2</v>
      </c>
      <c r="T35" s="308">
        <f t="shared" si="128"/>
        <v>2.0290049303379836E-2</v>
      </c>
      <c r="U35" s="308">
        <f t="shared" si="128"/>
        <v>2.02499414214963E-2</v>
      </c>
      <c r="V35" s="308">
        <f t="shared" si="128"/>
        <v>2.0232727346637301E-2</v>
      </c>
      <c r="W35" s="308">
        <f t="shared" si="128"/>
        <v>2.0209207444934894E-2</v>
      </c>
      <c r="X35" s="308">
        <f t="shared" si="128"/>
        <v>2.0190027647060942E-2</v>
      </c>
      <c r="Y35" s="308">
        <f t="shared" si="128"/>
        <v>2.0168612007863206E-2</v>
      </c>
      <c r="Z35" s="308">
        <f t="shared" si="128"/>
        <v>2.1168968726722852E-2</v>
      </c>
      <c r="AA35" s="308">
        <f t="shared" si="128"/>
        <v>2.2412641486258142E-2</v>
      </c>
      <c r="AB35" s="308">
        <f t="shared" si="128"/>
        <v>2.3556518466979832E-2</v>
      </c>
      <c r="AC35" s="308">
        <f t="shared" si="128"/>
        <v>2.4688454010682693E-2</v>
      </c>
      <c r="AD35" s="308">
        <f t="shared" si="128"/>
        <v>2.6753993562220107E-2</v>
      </c>
      <c r="AE35" s="308">
        <f t="shared" si="128"/>
        <v>2.8992800470627113E-2</v>
      </c>
      <c r="AF35" s="308">
        <f t="shared" si="128"/>
        <v>3.0774160554063696E-2</v>
      </c>
      <c r="AG35" s="308">
        <f t="shared" si="128"/>
        <v>3.2937767271208798E-2</v>
      </c>
      <c r="AH35" s="308">
        <f t="shared" si="128"/>
        <v>4.2273439884904424E-2</v>
      </c>
      <c r="AI35" s="308">
        <f t="shared" si="128"/>
        <v>5.2608426702636796E-2</v>
      </c>
      <c r="AJ35" s="308">
        <f t="shared" si="128"/>
        <v>6.0483451920228484E-2</v>
      </c>
      <c r="AK35" s="308">
        <f t="shared" si="128"/>
        <v>6.9773019529700678E-2</v>
      </c>
      <c r="AL35" s="308">
        <f t="shared" si="128"/>
        <v>7.5638143590732204E-2</v>
      </c>
      <c r="AM35" s="308">
        <f t="shared" si="128"/>
        <v>8.2186028067720407E-2</v>
      </c>
      <c r="AN35" s="308">
        <f t="shared" si="128"/>
        <v>8.7214774873737508E-2</v>
      </c>
      <c r="AO35" s="308">
        <f t="shared" si="128"/>
        <v>9.3188794418673213E-2</v>
      </c>
      <c r="AP35" s="308">
        <f t="shared" si="128"/>
        <v>9.6582941633635053E-2</v>
      </c>
      <c r="AQ35" s="308">
        <f t="shared" si="128"/>
        <v>0.10040910534693584</v>
      </c>
      <c r="AR35" s="308">
        <f t="shared" si="128"/>
        <v>0.10337131058866904</v>
      </c>
      <c r="AS35" s="308">
        <f t="shared" si="128"/>
        <v>0.10691191222143182</v>
      </c>
      <c r="AT35" s="308">
        <f t="shared" si="128"/>
        <v>0.11064699969605868</v>
      </c>
      <c r="AU35" s="308">
        <f t="shared" si="128"/>
        <v>0.11489533844844969</v>
      </c>
      <c r="AV35" s="308">
        <f t="shared" si="128"/>
        <v>0.11821080311655151</v>
      </c>
      <c r="AW35" s="308">
        <f t="shared" si="128"/>
        <v>0.12220063110661469</v>
      </c>
      <c r="AY35" s="308">
        <f t="shared" ref="AY35:CD35" si="129">AY29/AY$27</f>
        <v>2.1052631578947371E-2</v>
      </c>
      <c r="AZ35" s="308">
        <f t="shared" si="129"/>
        <v>2.0977720141883833E-2</v>
      </c>
      <c r="BA35" s="308">
        <f t="shared" si="129"/>
        <v>2.0857803401699741E-2</v>
      </c>
      <c r="BB35" s="308">
        <f t="shared" si="129"/>
        <v>2.0826864425245176E-2</v>
      </c>
      <c r="BC35" s="308">
        <f t="shared" si="129"/>
        <v>2.0758533549000247E-2</v>
      </c>
      <c r="BD35" s="308">
        <f t="shared" si="129"/>
        <v>2.0690206543609469E-2</v>
      </c>
      <c r="BE35" s="308">
        <f t="shared" si="129"/>
        <v>2.0666334765712797E-2</v>
      </c>
      <c r="BF35" s="308">
        <f t="shared" si="129"/>
        <v>2.0634046155857191E-2</v>
      </c>
      <c r="BG35" s="308">
        <f t="shared" si="129"/>
        <v>2.0574105149569373E-2</v>
      </c>
      <c r="BH35" s="308">
        <f t="shared" si="129"/>
        <v>2.0549219680398519E-2</v>
      </c>
      <c r="BI35" s="308">
        <f t="shared" si="129"/>
        <v>2.0494420406452479E-2</v>
      </c>
      <c r="BJ35" s="308">
        <f t="shared" si="129"/>
        <v>2.0454087785166934E-2</v>
      </c>
      <c r="BK35" s="308">
        <f t="shared" si="129"/>
        <v>2.0444178232668354E-2</v>
      </c>
      <c r="BL35" s="308">
        <f t="shared" si="129"/>
        <v>2.0427228558373915E-2</v>
      </c>
      <c r="BM35" s="308">
        <f t="shared" si="129"/>
        <v>2.0390217228136678E-2</v>
      </c>
      <c r="BN35" s="308">
        <f t="shared" si="129"/>
        <v>2.037841468645769E-2</v>
      </c>
      <c r="BO35" s="308">
        <f t="shared" si="129"/>
        <v>2.035027938544284E-2</v>
      </c>
      <c r="BP35" s="308">
        <f t="shared" si="129"/>
        <v>2.032752901874782E-2</v>
      </c>
      <c r="BQ35" s="308">
        <f t="shared" si="129"/>
        <v>2.0319160060511356E-2</v>
      </c>
      <c r="BR35" s="308">
        <f t="shared" si="129"/>
        <v>2.0311089960734295E-2</v>
      </c>
      <c r="BS35" s="308">
        <f t="shared" si="129"/>
        <v>2.0290049303379829E-2</v>
      </c>
      <c r="BT35" s="308">
        <f t="shared" si="129"/>
        <v>2.0286640606438408E-2</v>
      </c>
      <c r="BU35" s="308">
        <f t="shared" si="129"/>
        <v>2.0269251780766398E-2</v>
      </c>
      <c r="BV35" s="308">
        <f t="shared" si="129"/>
        <v>2.02499414214963E-2</v>
      </c>
      <c r="BW35" s="308">
        <f t="shared" si="129"/>
        <v>2.024638662145874E-2</v>
      </c>
      <c r="BX35" s="308">
        <f t="shared" si="129"/>
        <v>2.0240562623241688E-2</v>
      </c>
      <c r="BY35" s="308">
        <f t="shared" si="129"/>
        <v>2.0232727346637308E-2</v>
      </c>
      <c r="BZ35" s="308">
        <f t="shared" si="129"/>
        <v>2.0228329049720394E-2</v>
      </c>
      <c r="CA35" s="308">
        <f t="shared" si="129"/>
        <v>2.0223190788769118E-2</v>
      </c>
      <c r="CB35" s="308">
        <f t="shared" si="129"/>
        <v>2.0209207444934891E-2</v>
      </c>
      <c r="CC35" s="308">
        <f t="shared" si="129"/>
        <v>2.0208194833099248E-2</v>
      </c>
      <c r="CD35" s="308">
        <f t="shared" si="129"/>
        <v>2.0199136843133084E-2</v>
      </c>
      <c r="CE35" s="308">
        <f t="shared" ref="CE35:DJ35" si="130">CE29/CE$27</f>
        <v>2.0190027647060946E-2</v>
      </c>
      <c r="CF35" s="308">
        <f t="shared" si="130"/>
        <v>2.0186734795275503E-2</v>
      </c>
      <c r="CG35" s="308">
        <f t="shared" si="130"/>
        <v>2.0179207393818999E-2</v>
      </c>
      <c r="CH35" s="308">
        <f t="shared" si="130"/>
        <v>2.0168612007863206E-2</v>
      </c>
      <c r="CI35" s="308">
        <f t="shared" si="130"/>
        <v>2.0342725420894259E-2</v>
      </c>
      <c r="CJ35" s="308">
        <f t="shared" si="130"/>
        <v>2.0600757688120086E-2</v>
      </c>
      <c r="CK35" s="308">
        <f t="shared" si="130"/>
        <v>2.1168968726722845E-2</v>
      </c>
      <c r="CL35" s="308">
        <f t="shared" si="130"/>
        <v>2.1426578651212249E-2</v>
      </c>
      <c r="CM35" s="308">
        <f t="shared" si="130"/>
        <v>2.1814267467481215E-2</v>
      </c>
      <c r="CN35" s="308">
        <f t="shared" si="130"/>
        <v>2.2412641486258142E-2</v>
      </c>
      <c r="CO35" s="308">
        <f t="shared" si="130"/>
        <v>2.2606800297395157E-2</v>
      </c>
      <c r="CP35" s="308">
        <f t="shared" si="130"/>
        <v>2.3023942852173917E-2</v>
      </c>
      <c r="CQ35" s="308">
        <f t="shared" si="130"/>
        <v>2.3556518466979832E-2</v>
      </c>
      <c r="CR35" s="308">
        <f t="shared" si="130"/>
        <v>2.3690437670801433E-2</v>
      </c>
      <c r="CS35" s="308">
        <f t="shared" si="130"/>
        <v>2.4171796981783466E-2</v>
      </c>
      <c r="CT35" s="308">
        <f t="shared" si="130"/>
        <v>2.4688454010682693E-2</v>
      </c>
      <c r="CU35" s="308">
        <f t="shared" si="130"/>
        <v>2.4984081832924009E-2</v>
      </c>
      <c r="CV35" s="308">
        <f t="shared" si="130"/>
        <v>2.5608531043074801E-2</v>
      </c>
      <c r="CW35" s="308">
        <f t="shared" si="130"/>
        <v>2.6753993562220104E-2</v>
      </c>
      <c r="CX35" s="308">
        <f t="shared" si="130"/>
        <v>2.7184840270405641E-2</v>
      </c>
      <c r="CY35" s="308">
        <f t="shared" si="130"/>
        <v>2.7968260281613522E-2</v>
      </c>
      <c r="CZ35" s="308">
        <f t="shared" si="130"/>
        <v>2.8992800470627113E-2</v>
      </c>
      <c r="DA35" s="308">
        <f t="shared" si="130"/>
        <v>2.9329884853508532E-2</v>
      </c>
      <c r="DB35" s="308">
        <f t="shared" si="130"/>
        <v>2.9883227572144039E-2</v>
      </c>
      <c r="DC35" s="308">
        <f t="shared" si="130"/>
        <v>3.0774160554063689E-2</v>
      </c>
      <c r="DD35" s="308">
        <f t="shared" si="130"/>
        <v>3.1140652816145115E-2</v>
      </c>
      <c r="DE35" s="308">
        <f t="shared" si="130"/>
        <v>3.2034249032757922E-2</v>
      </c>
      <c r="DF35" s="308">
        <f t="shared" si="130"/>
        <v>3.2937767271208791E-2</v>
      </c>
      <c r="DG35" s="308">
        <f t="shared" si="130"/>
        <v>3.4330990698180353E-2</v>
      </c>
      <c r="DH35" s="308">
        <f t="shared" si="130"/>
        <v>3.7159544612556293E-2</v>
      </c>
      <c r="DI35" s="308">
        <f t="shared" si="130"/>
        <v>4.2273439884904424E-2</v>
      </c>
      <c r="DJ35" s="308">
        <f t="shared" si="130"/>
        <v>4.4347322895359829E-2</v>
      </c>
      <c r="DK35" s="308">
        <f t="shared" ref="DK35:EP35" si="131">DK29/DK$27</f>
        <v>4.7953711077601283E-2</v>
      </c>
      <c r="DL35" s="308">
        <f t="shared" si="131"/>
        <v>5.2608426702636796E-2</v>
      </c>
      <c r="DM35" s="308">
        <f t="shared" si="131"/>
        <v>5.409469439196378E-2</v>
      </c>
      <c r="DN35" s="308">
        <f t="shared" si="131"/>
        <v>5.6536377391016447E-2</v>
      </c>
      <c r="DO35" s="308">
        <f t="shared" si="131"/>
        <v>6.0483451920228484E-2</v>
      </c>
      <c r="DP35" s="308">
        <f t="shared" si="131"/>
        <v>6.1951644141454897E-2</v>
      </c>
      <c r="DQ35" s="308">
        <f t="shared" si="131"/>
        <v>6.5813468124509888E-2</v>
      </c>
      <c r="DR35" s="308">
        <f t="shared" si="131"/>
        <v>6.9773019529700678E-2</v>
      </c>
      <c r="DS35" s="308">
        <f t="shared" si="131"/>
        <v>7.0645363904923569E-2</v>
      </c>
      <c r="DT35" s="308">
        <f t="shared" si="131"/>
        <v>7.2419603970847277E-2</v>
      </c>
      <c r="DU35" s="308">
        <f t="shared" si="131"/>
        <v>7.563814359073219E-2</v>
      </c>
      <c r="DV35" s="308">
        <f t="shared" si="131"/>
        <v>7.6946778633337876E-2</v>
      </c>
      <c r="DW35" s="308">
        <f t="shared" si="131"/>
        <v>7.9229608555943326E-2</v>
      </c>
      <c r="DX35" s="308">
        <f t="shared" si="131"/>
        <v>8.2186028067720407E-2</v>
      </c>
      <c r="DY35" s="308">
        <f t="shared" si="131"/>
        <v>8.3131159841316693E-2</v>
      </c>
      <c r="DZ35" s="308">
        <f t="shared" si="131"/>
        <v>8.4688951689721001E-2</v>
      </c>
      <c r="EA35" s="308">
        <f t="shared" si="131"/>
        <v>8.7214774873737508E-2</v>
      </c>
      <c r="EB35" s="308">
        <f t="shared" si="131"/>
        <v>8.815485444875161E-2</v>
      </c>
      <c r="EC35" s="308">
        <f t="shared" si="131"/>
        <v>9.0635384644058195E-2</v>
      </c>
      <c r="ED35" s="308">
        <f t="shared" si="131"/>
        <v>9.3188794418673213E-2</v>
      </c>
      <c r="EE35" s="308">
        <f t="shared" si="131"/>
        <v>9.3689903299668087E-2</v>
      </c>
      <c r="EF35" s="308">
        <f t="shared" si="131"/>
        <v>9.4715559020950871E-2</v>
      </c>
      <c r="EG35" s="308">
        <f t="shared" si="131"/>
        <v>9.6582941633635039E-2</v>
      </c>
      <c r="EH35" s="308">
        <f t="shared" si="131"/>
        <v>9.7341336578904314E-2</v>
      </c>
      <c r="EI35" s="308">
        <f t="shared" si="131"/>
        <v>9.8676627962578728E-2</v>
      </c>
      <c r="EJ35" s="308">
        <f t="shared" si="131"/>
        <v>0.10040910534693584</v>
      </c>
      <c r="EK35" s="308">
        <f t="shared" si="131"/>
        <v>0.1009598899641973</v>
      </c>
      <c r="EL35" s="308">
        <f t="shared" si="131"/>
        <v>0.10187770099143353</v>
      </c>
      <c r="EM35" s="308">
        <f t="shared" si="131"/>
        <v>0.10337131058866904</v>
      </c>
      <c r="EN35" s="308">
        <f t="shared" si="131"/>
        <v>0.10392407062305542</v>
      </c>
      <c r="EO35" s="308">
        <f t="shared" si="131"/>
        <v>0.10539202917019339</v>
      </c>
      <c r="EP35" s="308">
        <f t="shared" si="131"/>
        <v>0.10691191222143186</v>
      </c>
      <c r="EQ35" s="308">
        <f t="shared" ref="EQ35:FB35" si="132">EQ29/EQ$27</f>
        <v>0.10746052868151601</v>
      </c>
      <c r="ER35" s="308">
        <f t="shared" si="132"/>
        <v>0.10858769764792663</v>
      </c>
      <c r="ES35" s="308">
        <f t="shared" si="132"/>
        <v>0.11064699969605868</v>
      </c>
      <c r="ET35" s="308">
        <f t="shared" si="132"/>
        <v>0.11148409081051674</v>
      </c>
      <c r="EU35" s="308">
        <f t="shared" si="132"/>
        <v>0.1129666059800243</v>
      </c>
      <c r="EV35" s="308">
        <f t="shared" si="132"/>
        <v>0.11489533844844969</v>
      </c>
      <c r="EW35" s="308">
        <f t="shared" si="132"/>
        <v>0.11550742203505558</v>
      </c>
      <c r="EX35" s="308">
        <f t="shared" si="132"/>
        <v>0.11653422757904267</v>
      </c>
      <c r="EY35" s="308">
        <f t="shared" si="132"/>
        <v>0.11821080311655151</v>
      </c>
      <c r="EZ35" s="308">
        <f t="shared" si="132"/>
        <v>0.11882996162441255</v>
      </c>
      <c r="FA35" s="308">
        <f t="shared" si="132"/>
        <v>0.12048191793270613</v>
      </c>
      <c r="FB35" s="308">
        <f t="shared" si="132"/>
        <v>0.12220063110661471</v>
      </c>
    </row>
    <row r="36" spans="1:158" x14ac:dyDescent="0.25">
      <c r="C36" s="2" t="s">
        <v>299</v>
      </c>
      <c r="D36" s="308">
        <f t="shared" si="117"/>
        <v>8.2288475370017253E-3</v>
      </c>
      <c r="E36" s="308">
        <f t="shared" si="117"/>
        <v>7.3430252989041692E-3</v>
      </c>
      <c r="F36" s="308">
        <f t="shared" si="117"/>
        <v>8.2075886561278483E-3</v>
      </c>
      <c r="G36" s="308">
        <f t="shared" si="117"/>
        <v>2.1257056577886017E-2</v>
      </c>
      <c r="H36" s="308">
        <f t="shared" si="117"/>
        <v>4.3660419624277622E-2</v>
      </c>
      <c r="I36" s="308">
        <f t="shared" si="117"/>
        <v>0.11387126974839326</v>
      </c>
      <c r="J36" s="308">
        <f t="shared" si="117"/>
        <v>0.19973104933884983</v>
      </c>
      <c r="K36" s="308">
        <f t="shared" si="117"/>
        <v>0.27607074011637112</v>
      </c>
      <c r="L36" s="244">
        <f>SUM(L18,L24,L30)</f>
        <v>566033014.16643751</v>
      </c>
      <c r="M36" s="244"/>
      <c r="N36" s="308">
        <f t="shared" ref="N36:AW36" si="133">N30/N$27</f>
        <v>9.7863856985192753E-3</v>
      </c>
      <c r="O36" s="308">
        <f t="shared" si="133"/>
        <v>9.2847291194515444E-3</v>
      </c>
      <c r="P36" s="308">
        <f t="shared" si="133"/>
        <v>8.755580368491795E-3</v>
      </c>
      <c r="Q36" s="308">
        <f t="shared" si="133"/>
        <v>8.2288475370017253E-3</v>
      </c>
      <c r="R36" s="308">
        <f t="shared" si="133"/>
        <v>7.8673795551770127E-3</v>
      </c>
      <c r="S36" s="308">
        <f t="shared" si="133"/>
        <v>7.6433961365877622E-3</v>
      </c>
      <c r="T36" s="308">
        <f t="shared" si="133"/>
        <v>7.4877937639879879E-3</v>
      </c>
      <c r="U36" s="308">
        <f t="shared" si="133"/>
        <v>7.3430252989041692E-3</v>
      </c>
      <c r="V36" s="308">
        <f t="shared" si="133"/>
        <v>7.5260176221826243E-3</v>
      </c>
      <c r="W36" s="308">
        <f t="shared" si="133"/>
        <v>7.7760433418950876E-3</v>
      </c>
      <c r="X36" s="308">
        <f t="shared" si="133"/>
        <v>7.9799320667736286E-3</v>
      </c>
      <c r="Y36" s="308">
        <f t="shared" si="133"/>
        <v>8.2075886561278483E-3</v>
      </c>
      <c r="Z36" s="308">
        <f t="shared" si="133"/>
        <v>1.0948647857913317E-2</v>
      </c>
      <c r="AA36" s="308">
        <f t="shared" si="133"/>
        <v>1.4463555029120358E-2</v>
      </c>
      <c r="AB36" s="308">
        <f t="shared" si="133"/>
        <v>1.7872925869654794E-2</v>
      </c>
      <c r="AC36" s="308">
        <f t="shared" si="133"/>
        <v>2.1257056577886017E-2</v>
      </c>
      <c r="AD36" s="308">
        <f t="shared" si="133"/>
        <v>2.6872144247739489E-2</v>
      </c>
      <c r="AE36" s="308">
        <f t="shared" si="133"/>
        <v>3.2951042152251878E-2</v>
      </c>
      <c r="AF36" s="308">
        <f t="shared" si="133"/>
        <v>3.7785359695404197E-2</v>
      </c>
      <c r="AG36" s="308">
        <f t="shared" si="133"/>
        <v>4.3660419624277622E-2</v>
      </c>
      <c r="AH36" s="308">
        <f t="shared" si="133"/>
        <v>6.1465377104586875E-2</v>
      </c>
      <c r="AI36" s="308">
        <f t="shared" si="133"/>
        <v>8.1157288751866508E-2</v>
      </c>
      <c r="AJ36" s="308">
        <f t="shared" si="133"/>
        <v>9.6160260376725773E-2</v>
      </c>
      <c r="AK36" s="308">
        <f t="shared" si="133"/>
        <v>0.11387126974839329</v>
      </c>
      <c r="AL36" s="308">
        <f t="shared" si="133"/>
        <v>0.1354187226894612</v>
      </c>
      <c r="AM36" s="308">
        <f t="shared" si="133"/>
        <v>0.15939890375800217</v>
      </c>
      <c r="AN36" s="308">
        <f t="shared" si="133"/>
        <v>0.17780829509331525</v>
      </c>
      <c r="AO36" s="308">
        <f t="shared" si="133"/>
        <v>0.19973104933884983</v>
      </c>
      <c r="AP36" s="308">
        <f t="shared" si="133"/>
        <v>0.21871321993161685</v>
      </c>
      <c r="AQ36" s="308">
        <f t="shared" si="133"/>
        <v>0.23992650417046879</v>
      </c>
      <c r="AR36" s="308">
        <f t="shared" si="133"/>
        <v>0.25633191572950365</v>
      </c>
      <c r="AS36" s="308">
        <f t="shared" si="133"/>
        <v>0.27607074011637106</v>
      </c>
      <c r="AT36" s="308">
        <f t="shared" si="133"/>
        <v>0.27829558110620312</v>
      </c>
      <c r="AU36" s="308">
        <f t="shared" si="133"/>
        <v>0.28059543609918508</v>
      </c>
      <c r="AV36" s="308">
        <f t="shared" si="133"/>
        <v>0.28236794867720622</v>
      </c>
      <c r="AW36" s="308">
        <f t="shared" si="133"/>
        <v>0.28466434825088449</v>
      </c>
      <c r="AY36" s="308">
        <f t="shared" ref="AY36:CD36" si="134">AY30/AY$27</f>
        <v>1.0526315789473686E-2</v>
      </c>
      <c r="AZ36" s="308">
        <f t="shared" si="134"/>
        <v>1.0160228275424007E-2</v>
      </c>
      <c r="BA36" s="308">
        <f t="shared" si="134"/>
        <v>9.7863856985192753E-3</v>
      </c>
      <c r="BB36" s="308">
        <f t="shared" si="134"/>
        <v>9.6744604952862488E-3</v>
      </c>
      <c r="BC36" s="308">
        <f t="shared" si="134"/>
        <v>9.5094183024563173E-3</v>
      </c>
      <c r="BD36" s="308">
        <f t="shared" si="134"/>
        <v>9.2847291194515444E-3</v>
      </c>
      <c r="BE36" s="308">
        <f t="shared" si="134"/>
        <v>9.154779589950212E-3</v>
      </c>
      <c r="BF36" s="308">
        <f t="shared" si="134"/>
        <v>8.9726379023137067E-3</v>
      </c>
      <c r="BG36" s="308">
        <f t="shared" si="134"/>
        <v>8.7555803684917933E-3</v>
      </c>
      <c r="BH36" s="308">
        <f t="shared" si="134"/>
        <v>8.6114351739229114E-3</v>
      </c>
      <c r="BI36" s="308">
        <f t="shared" si="134"/>
        <v>8.4086270559580317E-3</v>
      </c>
      <c r="BJ36" s="308">
        <f t="shared" si="134"/>
        <v>8.2288475370017253E-3</v>
      </c>
      <c r="BK36" s="308">
        <f t="shared" si="134"/>
        <v>8.1566045351795704E-3</v>
      </c>
      <c r="BL36" s="308">
        <f t="shared" si="134"/>
        <v>8.0132393901058852E-3</v>
      </c>
      <c r="BM36" s="308">
        <f t="shared" si="134"/>
        <v>7.8673795551770127E-3</v>
      </c>
      <c r="BN36" s="308">
        <f t="shared" si="134"/>
        <v>7.766314832253588E-3</v>
      </c>
      <c r="BO36" s="308">
        <f t="shared" si="134"/>
        <v>7.7351742336251835E-3</v>
      </c>
      <c r="BP36" s="308">
        <f t="shared" si="134"/>
        <v>7.6433961365877622E-3</v>
      </c>
      <c r="BQ36" s="308">
        <f t="shared" si="134"/>
        <v>7.5995149246969491E-3</v>
      </c>
      <c r="BR36" s="308">
        <f t="shared" si="134"/>
        <v>7.5620787564589752E-3</v>
      </c>
      <c r="BS36" s="308">
        <f t="shared" si="134"/>
        <v>7.4877937639879879E-3</v>
      </c>
      <c r="BT36" s="308">
        <f t="shared" si="134"/>
        <v>7.4279799155852104E-3</v>
      </c>
      <c r="BU36" s="308">
        <f t="shared" si="134"/>
        <v>7.3850933233206304E-3</v>
      </c>
      <c r="BV36" s="308">
        <f t="shared" si="134"/>
        <v>7.3430252989041692E-3</v>
      </c>
      <c r="BW36" s="308">
        <f t="shared" si="134"/>
        <v>7.3808142084442916E-3</v>
      </c>
      <c r="BX36" s="308">
        <f t="shared" si="134"/>
        <v>7.4427255788337759E-3</v>
      </c>
      <c r="BY36" s="308">
        <f t="shared" si="134"/>
        <v>7.5260176221826252E-3</v>
      </c>
      <c r="BZ36" s="308">
        <f t="shared" si="134"/>
        <v>7.5727732322219063E-3</v>
      </c>
      <c r="CA36" s="308">
        <f t="shared" si="134"/>
        <v>7.6273949482761243E-3</v>
      </c>
      <c r="CB36" s="308">
        <f t="shared" si="134"/>
        <v>7.7760433418950841E-3</v>
      </c>
      <c r="CC36" s="308">
        <f t="shared" si="134"/>
        <v>7.786807800275926E-3</v>
      </c>
      <c r="CD36" s="308">
        <f t="shared" si="134"/>
        <v>7.8830977630951898E-3</v>
      </c>
      <c r="CE36" s="308">
        <f t="shared" ref="CE36:DJ36" si="135">CE30/CE$27</f>
        <v>7.9799320667736304E-3</v>
      </c>
      <c r="CF36" s="308">
        <f t="shared" si="135"/>
        <v>8.0149363643246541E-3</v>
      </c>
      <c r="CG36" s="308">
        <f t="shared" si="135"/>
        <v>8.0949555748868213E-3</v>
      </c>
      <c r="CH36" s="308">
        <f t="shared" si="135"/>
        <v>8.2075886561278483E-3</v>
      </c>
      <c r="CI36" s="308">
        <f t="shared" si="135"/>
        <v>8.6583169742354294E-3</v>
      </c>
      <c r="CJ36" s="308">
        <f t="shared" si="135"/>
        <v>9.3305595210487393E-3</v>
      </c>
      <c r="CK36" s="308">
        <f t="shared" si="135"/>
        <v>1.0948647857913314E-2</v>
      </c>
      <c r="CL36" s="308">
        <f t="shared" si="135"/>
        <v>1.1683455738564455E-2</v>
      </c>
      <c r="CM36" s="308">
        <f t="shared" si="135"/>
        <v>1.274280070234567E-2</v>
      </c>
      <c r="CN36" s="308">
        <f t="shared" si="135"/>
        <v>1.4463555029120357E-2</v>
      </c>
      <c r="CO36" s="308">
        <f t="shared" si="135"/>
        <v>1.5042979688564972E-2</v>
      </c>
      <c r="CP36" s="308">
        <f t="shared" si="135"/>
        <v>1.6285173476276317E-2</v>
      </c>
      <c r="CQ36" s="308">
        <f t="shared" si="135"/>
        <v>1.7872925869654794E-2</v>
      </c>
      <c r="CR36" s="308">
        <f t="shared" si="135"/>
        <v>1.8275604420136565E-2</v>
      </c>
      <c r="CS36" s="308">
        <f t="shared" si="135"/>
        <v>1.9712177819034116E-2</v>
      </c>
      <c r="CT36" s="308">
        <f t="shared" si="135"/>
        <v>2.1257056577886017E-2</v>
      </c>
      <c r="CU36" s="308">
        <f t="shared" si="135"/>
        <v>2.2064312830065509E-2</v>
      </c>
      <c r="CV36" s="308">
        <f t="shared" si="135"/>
        <v>2.3761058739641013E-2</v>
      </c>
      <c r="CW36" s="308">
        <f t="shared" si="135"/>
        <v>2.6872144247739486E-2</v>
      </c>
      <c r="CX36" s="308">
        <f t="shared" si="135"/>
        <v>2.8047542361056832E-2</v>
      </c>
      <c r="CY36" s="308">
        <f t="shared" si="135"/>
        <v>3.0170525437243492E-2</v>
      </c>
      <c r="CZ36" s="308">
        <f t="shared" si="135"/>
        <v>3.2951042152251878E-2</v>
      </c>
      <c r="DA36" s="308">
        <f t="shared" si="135"/>
        <v>3.387165184074558E-2</v>
      </c>
      <c r="DB36" s="308">
        <f t="shared" si="135"/>
        <v>3.5371676631151774E-2</v>
      </c>
      <c r="DC36" s="308">
        <f t="shared" si="135"/>
        <v>3.778535969540419E-2</v>
      </c>
      <c r="DD36" s="308">
        <f t="shared" si="135"/>
        <v>3.8783116004129016E-2</v>
      </c>
      <c r="DE36" s="308">
        <f t="shared" si="135"/>
        <v>4.1210347819778843E-2</v>
      </c>
      <c r="DF36" s="308">
        <f t="shared" si="135"/>
        <v>4.3660419624277622E-2</v>
      </c>
      <c r="DG36" s="308">
        <f t="shared" si="135"/>
        <v>4.632534008392597E-2</v>
      </c>
      <c r="DH36" s="308">
        <f t="shared" si="135"/>
        <v>5.1717999428252219E-2</v>
      </c>
      <c r="DI36" s="308">
        <f t="shared" si="135"/>
        <v>6.1465377104586875E-2</v>
      </c>
      <c r="DJ36" s="308">
        <f t="shared" si="135"/>
        <v>6.542897881044539E-2</v>
      </c>
      <c r="DK36" s="308">
        <f t="shared" ref="DK36:EP36" si="136">DK30/DK$27</f>
        <v>7.2290786940966634E-2</v>
      </c>
      <c r="DL36" s="308">
        <f t="shared" si="136"/>
        <v>8.1157288751866521E-2</v>
      </c>
      <c r="DM36" s="308">
        <f t="shared" si="136"/>
        <v>8.4002351838716544E-2</v>
      </c>
      <c r="DN36" s="308">
        <f t="shared" si="136"/>
        <v>8.8650248575510057E-2</v>
      </c>
      <c r="DO36" s="308">
        <f t="shared" si="136"/>
        <v>9.6160260376725759E-2</v>
      </c>
      <c r="DP36" s="308">
        <f t="shared" si="136"/>
        <v>9.8966658283055092E-2</v>
      </c>
      <c r="DQ36" s="308">
        <f t="shared" si="136"/>
        <v>0.10633078342215331</v>
      </c>
      <c r="DR36" s="308">
        <f t="shared" si="136"/>
        <v>0.11387126974839326</v>
      </c>
      <c r="DS36" s="308">
        <f t="shared" si="136"/>
        <v>0.1171069040614591</v>
      </c>
      <c r="DT36" s="308">
        <f t="shared" si="136"/>
        <v>0.12361746607170007</v>
      </c>
      <c r="DU36" s="308">
        <f t="shared" si="136"/>
        <v>0.1354187226894612</v>
      </c>
      <c r="DV36" s="308">
        <f t="shared" si="136"/>
        <v>0.14025945049753069</v>
      </c>
      <c r="DW36" s="308">
        <f t="shared" si="136"/>
        <v>0.1485813367512957</v>
      </c>
      <c r="DX36" s="308">
        <f t="shared" si="136"/>
        <v>0.15939890375800217</v>
      </c>
      <c r="DY36" s="308">
        <f t="shared" si="136"/>
        <v>0.16291290722533289</v>
      </c>
      <c r="DZ36" s="308">
        <f t="shared" si="136"/>
        <v>0.16860044201007374</v>
      </c>
      <c r="EA36" s="308">
        <f t="shared" si="136"/>
        <v>0.17780829509331522</v>
      </c>
      <c r="EB36" s="308">
        <f t="shared" si="136"/>
        <v>0.18128703512066544</v>
      </c>
      <c r="EC36" s="308">
        <f t="shared" si="136"/>
        <v>0.19039534754080314</v>
      </c>
      <c r="ED36" s="308">
        <f t="shared" si="136"/>
        <v>0.19973104933884983</v>
      </c>
      <c r="EE36" s="308">
        <f t="shared" si="136"/>
        <v>0.20260831034995494</v>
      </c>
      <c r="EF36" s="308">
        <f t="shared" si="136"/>
        <v>0.20832580980486828</v>
      </c>
      <c r="EG36" s="308">
        <f t="shared" si="136"/>
        <v>0.21871321993161683</v>
      </c>
      <c r="EH36" s="308">
        <f t="shared" si="136"/>
        <v>0.22303514373629996</v>
      </c>
      <c r="EI36" s="308">
        <f t="shared" si="136"/>
        <v>0.23034474908049241</v>
      </c>
      <c r="EJ36" s="308">
        <f t="shared" si="136"/>
        <v>0.23992650417046879</v>
      </c>
      <c r="EK36" s="308">
        <f t="shared" si="136"/>
        <v>0.24310893284745122</v>
      </c>
      <c r="EL36" s="308">
        <f t="shared" si="136"/>
        <v>0.24815476158412378</v>
      </c>
      <c r="EM36" s="308">
        <f t="shared" si="136"/>
        <v>0.25633191572950365</v>
      </c>
      <c r="EN36" s="308">
        <f t="shared" si="136"/>
        <v>0.25948462256851607</v>
      </c>
      <c r="EO36" s="308">
        <f t="shared" si="136"/>
        <v>0.26768225663190975</v>
      </c>
      <c r="EP36" s="308">
        <f t="shared" si="136"/>
        <v>0.27607074011637112</v>
      </c>
      <c r="EQ36" s="308">
        <f t="shared" ref="EQ36:FB36" si="137">EQ30/EQ$27</f>
        <v>0.27649003578225884</v>
      </c>
      <c r="ER36" s="308">
        <f t="shared" si="137"/>
        <v>0.27713850498230419</v>
      </c>
      <c r="ES36" s="308">
        <f t="shared" si="137"/>
        <v>0.27829558110620317</v>
      </c>
      <c r="ET36" s="308">
        <f t="shared" si="137"/>
        <v>0.27889424530411466</v>
      </c>
      <c r="EU36" s="308">
        <f t="shared" si="137"/>
        <v>0.27958062016509</v>
      </c>
      <c r="EV36" s="308">
        <f t="shared" si="137"/>
        <v>0.28059543609918514</v>
      </c>
      <c r="EW36" s="308">
        <f t="shared" si="137"/>
        <v>0.28108730730856701</v>
      </c>
      <c r="EX36" s="308">
        <f t="shared" si="137"/>
        <v>0.28158996758085197</v>
      </c>
      <c r="EY36" s="308">
        <f t="shared" si="137"/>
        <v>0.28236794867720622</v>
      </c>
      <c r="EZ36" s="308">
        <f t="shared" si="137"/>
        <v>0.28281330354560158</v>
      </c>
      <c r="FA36" s="308">
        <f t="shared" si="137"/>
        <v>0.28378153721464283</v>
      </c>
      <c r="FB36" s="308">
        <f t="shared" si="137"/>
        <v>0.28466434825088449</v>
      </c>
    </row>
    <row r="37" spans="1:158" x14ac:dyDescent="0.25">
      <c r="C37" s="2" t="s">
        <v>300</v>
      </c>
      <c r="D37" s="308">
        <f t="shared" si="117"/>
        <v>1.6457695074003451E-2</v>
      </c>
      <c r="E37" s="308">
        <f t="shared" si="117"/>
        <v>1.4686050597808338E-2</v>
      </c>
      <c r="F37" s="308">
        <f t="shared" si="117"/>
        <v>1.3761879480060812E-2</v>
      </c>
      <c r="G37" s="308">
        <f t="shared" si="117"/>
        <v>2.5263606945465991E-2</v>
      </c>
      <c r="H37" s="308">
        <f t="shared" si="117"/>
        <v>3.0603318161826466E-2</v>
      </c>
      <c r="I37" s="308">
        <f t="shared" si="117"/>
        <v>3.4240600255448728E-2</v>
      </c>
      <c r="J37" s="308">
        <f t="shared" si="117"/>
        <v>3.6830528235053117E-2</v>
      </c>
      <c r="K37" s="308">
        <f t="shared" si="117"/>
        <v>3.8800694970886666E-2</v>
      </c>
      <c r="L37" s="244">
        <f>SUM(L19,L25,L31)</f>
        <v>88092566.699672878</v>
      </c>
      <c r="M37" s="244"/>
      <c r="N37" s="308">
        <f t="shared" ref="N37:AW37" si="138">N31/N$27</f>
        <v>1.9572771397038551E-2</v>
      </c>
      <c r="O37" s="308">
        <f t="shared" si="138"/>
        <v>1.8569458238903089E-2</v>
      </c>
      <c r="P37" s="308">
        <f t="shared" si="138"/>
        <v>1.751116073698359E-2</v>
      </c>
      <c r="Q37" s="308">
        <f t="shared" si="138"/>
        <v>1.6457695074003451E-2</v>
      </c>
      <c r="R37" s="308">
        <f t="shared" si="138"/>
        <v>1.5734759110354025E-2</v>
      </c>
      <c r="S37" s="308">
        <f t="shared" si="138"/>
        <v>1.5286792273175524E-2</v>
      </c>
      <c r="T37" s="308">
        <f t="shared" si="138"/>
        <v>1.4975587527975976E-2</v>
      </c>
      <c r="U37" s="308">
        <f t="shared" si="138"/>
        <v>1.4686050597808338E-2</v>
      </c>
      <c r="V37" s="308">
        <f t="shared" si="138"/>
        <v>1.4549098990506968E-2</v>
      </c>
      <c r="W37" s="308">
        <f t="shared" si="138"/>
        <v>1.4202009287947121E-2</v>
      </c>
      <c r="X37" s="308">
        <f t="shared" si="138"/>
        <v>1.4074091931925504E-2</v>
      </c>
      <c r="Y37" s="308">
        <f t="shared" si="138"/>
        <v>1.3761879480060812E-2</v>
      </c>
      <c r="Z37" s="308">
        <f t="shared" si="138"/>
        <v>1.5975638255278014E-2</v>
      </c>
      <c r="AA37" s="308">
        <f t="shared" si="138"/>
        <v>1.8920031996738289E-2</v>
      </c>
      <c r="AB37" s="308">
        <f t="shared" si="138"/>
        <v>2.2076762077973523E-2</v>
      </c>
      <c r="AC37" s="308">
        <f t="shared" si="138"/>
        <v>2.5263606945465984E-2</v>
      </c>
      <c r="AD37" s="308">
        <f t="shared" si="138"/>
        <v>2.6614256020173668E-2</v>
      </c>
      <c r="AE37" s="308">
        <f t="shared" si="138"/>
        <v>2.8060402911382492E-2</v>
      </c>
      <c r="AF37" s="308">
        <f t="shared" si="138"/>
        <v>2.920488587089053E-2</v>
      </c>
      <c r="AG37" s="308">
        <f t="shared" si="138"/>
        <v>3.0603318161826463E-2</v>
      </c>
      <c r="AH37" s="308">
        <f t="shared" si="138"/>
        <v>3.1540468427993226E-2</v>
      </c>
      <c r="AI37" s="308">
        <f t="shared" si="138"/>
        <v>3.2550182312850992E-2</v>
      </c>
      <c r="AJ37" s="308">
        <f t="shared" si="138"/>
        <v>3.331689703088276E-2</v>
      </c>
      <c r="AK37" s="308">
        <f t="shared" si="138"/>
        <v>3.4240600255448728E-2</v>
      </c>
      <c r="AL37" s="308">
        <f t="shared" si="138"/>
        <v>3.4905769305989459E-2</v>
      </c>
      <c r="AM37" s="308">
        <f t="shared" si="138"/>
        <v>3.561840610352883E-2</v>
      </c>
      <c r="AN37" s="308">
        <f t="shared" si="138"/>
        <v>3.616282180505629E-2</v>
      </c>
      <c r="AO37" s="308">
        <f t="shared" si="138"/>
        <v>3.6830528235053124E-2</v>
      </c>
      <c r="AP37" s="308">
        <f t="shared" si="138"/>
        <v>3.7335097898812758E-2</v>
      </c>
      <c r="AQ37" s="308">
        <f t="shared" si="138"/>
        <v>3.7872236498568856E-2</v>
      </c>
      <c r="AR37" s="308">
        <f t="shared" si="138"/>
        <v>3.828503269823514E-2</v>
      </c>
      <c r="AS37" s="308">
        <f t="shared" si="138"/>
        <v>3.8800694970886659E-2</v>
      </c>
      <c r="AT37" s="308">
        <f t="shared" si="138"/>
        <v>4.0112204129551549E-2</v>
      </c>
      <c r="AU37" s="308">
        <f t="shared" si="138"/>
        <v>4.1570094975510896E-2</v>
      </c>
      <c r="AV37" s="308">
        <f t="shared" si="138"/>
        <v>4.2704579286256476E-2</v>
      </c>
      <c r="AW37" s="308">
        <f t="shared" si="138"/>
        <v>4.4093776281944219E-2</v>
      </c>
      <c r="AY37" s="308">
        <f t="shared" ref="AY37:CD37" si="139">AY31/AY$27</f>
        <v>2.1052631578947371E-2</v>
      </c>
      <c r="AZ37" s="308">
        <f t="shared" si="139"/>
        <v>2.0320456550848014E-2</v>
      </c>
      <c r="BA37" s="308">
        <f t="shared" si="139"/>
        <v>1.9572771397038551E-2</v>
      </c>
      <c r="BB37" s="308">
        <f t="shared" si="139"/>
        <v>1.9348920990572498E-2</v>
      </c>
      <c r="BC37" s="308">
        <f t="shared" si="139"/>
        <v>1.9018836604912635E-2</v>
      </c>
      <c r="BD37" s="308">
        <f t="shared" si="139"/>
        <v>1.8569458238903089E-2</v>
      </c>
      <c r="BE37" s="308">
        <f t="shared" si="139"/>
        <v>1.8309559179900424E-2</v>
      </c>
      <c r="BF37" s="308">
        <f t="shared" si="139"/>
        <v>1.7945275804627413E-2</v>
      </c>
      <c r="BG37" s="308">
        <f t="shared" si="139"/>
        <v>1.7511160736983587E-2</v>
      </c>
      <c r="BH37" s="308">
        <f t="shared" si="139"/>
        <v>1.7222870347845823E-2</v>
      </c>
      <c r="BI37" s="308">
        <f t="shared" si="139"/>
        <v>1.6817254111916063E-2</v>
      </c>
      <c r="BJ37" s="308">
        <f t="shared" si="139"/>
        <v>1.6457695074003451E-2</v>
      </c>
      <c r="BK37" s="308">
        <f t="shared" si="139"/>
        <v>1.6313209070359141E-2</v>
      </c>
      <c r="BL37" s="308">
        <f t="shared" si="139"/>
        <v>1.602647878021177E-2</v>
      </c>
      <c r="BM37" s="308">
        <f t="shared" si="139"/>
        <v>1.5734759110354025E-2</v>
      </c>
      <c r="BN37" s="308">
        <f t="shared" si="139"/>
        <v>1.5532629664507176E-2</v>
      </c>
      <c r="BO37" s="308">
        <f t="shared" si="139"/>
        <v>1.5470348467250367E-2</v>
      </c>
      <c r="BP37" s="308">
        <f t="shared" si="139"/>
        <v>1.5286792273175524E-2</v>
      </c>
      <c r="BQ37" s="308">
        <f t="shared" si="139"/>
        <v>1.5199029849393898E-2</v>
      </c>
      <c r="BR37" s="308">
        <f t="shared" si="139"/>
        <v>1.512415751291795E-2</v>
      </c>
      <c r="BS37" s="308">
        <f t="shared" si="139"/>
        <v>1.4975587527975976E-2</v>
      </c>
      <c r="BT37" s="308">
        <f t="shared" si="139"/>
        <v>1.4855959831170421E-2</v>
      </c>
      <c r="BU37" s="308">
        <f t="shared" si="139"/>
        <v>1.4770186646641261E-2</v>
      </c>
      <c r="BV37" s="308">
        <f t="shared" si="139"/>
        <v>1.4686050597808338E-2</v>
      </c>
      <c r="BW37" s="308">
        <f t="shared" si="139"/>
        <v>1.4658293823406138E-2</v>
      </c>
      <c r="BX37" s="308">
        <f t="shared" si="139"/>
        <v>1.4636029264225111E-2</v>
      </c>
      <c r="BY37" s="308">
        <f t="shared" si="139"/>
        <v>1.4549098990506971E-2</v>
      </c>
      <c r="BZ37" s="308">
        <f t="shared" si="139"/>
        <v>1.4490293020585552E-2</v>
      </c>
      <c r="CA37" s="308">
        <f t="shared" si="139"/>
        <v>1.4378213854721251E-2</v>
      </c>
      <c r="CB37" s="308">
        <f t="shared" si="139"/>
        <v>1.4202009287947116E-2</v>
      </c>
      <c r="CC37" s="308">
        <f t="shared" si="139"/>
        <v>1.4123728863198267E-2</v>
      </c>
      <c r="CD37" s="308">
        <f t="shared" si="139"/>
        <v>1.4149251428158016E-2</v>
      </c>
      <c r="CE37" s="308">
        <f t="shared" ref="CE37:DJ37" si="140">CE31/CE$27</f>
        <v>1.4074091931925506E-2</v>
      </c>
      <c r="CF37" s="308">
        <f t="shared" si="140"/>
        <v>1.3971926260671393E-2</v>
      </c>
      <c r="CG37" s="308">
        <f t="shared" si="140"/>
        <v>1.3880099583869432E-2</v>
      </c>
      <c r="CH37" s="308">
        <f t="shared" si="140"/>
        <v>1.3761879480060812E-2</v>
      </c>
      <c r="CI37" s="308">
        <f t="shared" si="140"/>
        <v>1.4077910454494701E-2</v>
      </c>
      <c r="CJ37" s="308">
        <f t="shared" si="140"/>
        <v>1.457614111207722E-2</v>
      </c>
      <c r="CK37" s="308">
        <f t="shared" si="140"/>
        <v>1.5975638255278011E-2</v>
      </c>
      <c r="CL37" s="308">
        <f t="shared" si="140"/>
        <v>1.6623976679845127E-2</v>
      </c>
      <c r="CM37" s="308">
        <f t="shared" si="140"/>
        <v>1.7474483641038732E-2</v>
      </c>
      <c r="CN37" s="308">
        <f t="shared" si="140"/>
        <v>1.8920031996738289E-2</v>
      </c>
      <c r="CO37" s="308">
        <f t="shared" si="140"/>
        <v>1.9458420963800932E-2</v>
      </c>
      <c r="CP37" s="308">
        <f t="shared" si="140"/>
        <v>2.060541787460175E-2</v>
      </c>
      <c r="CQ37" s="308">
        <f t="shared" si="140"/>
        <v>2.2076762077973523E-2</v>
      </c>
      <c r="CR37" s="308">
        <f t="shared" si="140"/>
        <v>2.2461951143493874E-2</v>
      </c>
      <c r="CS37" s="308">
        <f t="shared" si="140"/>
        <v>2.3808410675007448E-2</v>
      </c>
      <c r="CT37" s="308">
        <f t="shared" si="140"/>
        <v>2.5263606945465991E-2</v>
      </c>
      <c r="CU37" s="308">
        <f t="shared" si="140"/>
        <v>2.5465813990916974E-2</v>
      </c>
      <c r="CV37" s="308">
        <f t="shared" si="140"/>
        <v>2.5872177382258537E-2</v>
      </c>
      <c r="CW37" s="308">
        <f t="shared" si="140"/>
        <v>2.6614256020173657E-2</v>
      </c>
      <c r="CX37" s="308">
        <f t="shared" si="140"/>
        <v>2.6906251607313886E-2</v>
      </c>
      <c r="CY37" s="308">
        <f t="shared" si="140"/>
        <v>2.7401953023193537E-2</v>
      </c>
      <c r="CZ37" s="308">
        <f t="shared" si="140"/>
        <v>2.8060402911382495E-2</v>
      </c>
      <c r="DA37" s="308">
        <f t="shared" si="140"/>
        <v>2.8291336386752863E-2</v>
      </c>
      <c r="DB37" s="308">
        <f t="shared" si="140"/>
        <v>2.86427576674371E-2</v>
      </c>
      <c r="DC37" s="308">
        <f t="shared" si="140"/>
        <v>2.9204885870890526E-2</v>
      </c>
      <c r="DD37" s="308">
        <f t="shared" si="140"/>
        <v>2.9448142306286534E-2</v>
      </c>
      <c r="DE37" s="308">
        <f t="shared" si="140"/>
        <v>3.0027587710816494E-2</v>
      </c>
      <c r="DF37" s="308">
        <f t="shared" si="140"/>
        <v>3.0603318161826466E-2</v>
      </c>
      <c r="DG37" s="308">
        <f t="shared" si="140"/>
        <v>3.0754564138071792E-2</v>
      </c>
      <c r="DH37" s="308">
        <f t="shared" si="140"/>
        <v>3.1035650864944048E-2</v>
      </c>
      <c r="DI37" s="308">
        <f t="shared" si="140"/>
        <v>3.1540468427993226E-2</v>
      </c>
      <c r="DJ37" s="308">
        <f t="shared" si="140"/>
        <v>3.1760818431999002E-2</v>
      </c>
      <c r="DK37" s="308">
        <f t="shared" ref="DK37:EP37" si="141">DK31/DK$27</f>
        <v>3.2098978377977032E-2</v>
      </c>
      <c r="DL37" s="308">
        <f t="shared" si="141"/>
        <v>3.2550182312850992E-2</v>
      </c>
      <c r="DM37" s="308">
        <f t="shared" si="141"/>
        <v>3.2714709657559529E-2</v>
      </c>
      <c r="DN37" s="308">
        <f t="shared" si="141"/>
        <v>3.2946812410125377E-2</v>
      </c>
      <c r="DO37" s="308">
        <f t="shared" si="141"/>
        <v>3.331689703088276E-2</v>
      </c>
      <c r="DP37" s="308">
        <f t="shared" si="141"/>
        <v>3.3473466101322985E-2</v>
      </c>
      <c r="DQ37" s="308">
        <f t="shared" si="141"/>
        <v>3.3859474243718074E-2</v>
      </c>
      <c r="DR37" s="308">
        <f t="shared" si="141"/>
        <v>3.4240600255448728E-2</v>
      </c>
      <c r="DS37" s="308">
        <f t="shared" si="141"/>
        <v>3.4351735658619022E-2</v>
      </c>
      <c r="DT37" s="308">
        <f t="shared" si="141"/>
        <v>3.4549906631841147E-2</v>
      </c>
      <c r="DU37" s="308">
        <f t="shared" si="141"/>
        <v>3.4905769305989466E-2</v>
      </c>
      <c r="DV37" s="308">
        <f t="shared" si="141"/>
        <v>3.506727127167128E-2</v>
      </c>
      <c r="DW37" s="308">
        <f t="shared" si="141"/>
        <v>3.5300475850108454E-2</v>
      </c>
      <c r="DX37" s="308">
        <f t="shared" si="141"/>
        <v>3.561840610352883E-2</v>
      </c>
      <c r="DY37" s="308">
        <f t="shared" si="141"/>
        <v>3.5742139907197205E-2</v>
      </c>
      <c r="DZ37" s="308">
        <f t="shared" si="141"/>
        <v>3.5904733391601586E-2</v>
      </c>
      <c r="EA37" s="308">
        <f t="shared" si="141"/>
        <v>3.6162821805056283E-2</v>
      </c>
      <c r="EB37" s="308">
        <f t="shared" si="141"/>
        <v>3.6279363813542277E-2</v>
      </c>
      <c r="EC37" s="308">
        <f t="shared" si="141"/>
        <v>3.6558809739423742E-2</v>
      </c>
      <c r="ED37" s="308">
        <f t="shared" si="141"/>
        <v>3.6830528235053117E-2</v>
      </c>
      <c r="EE37" s="308">
        <f t="shared" si="141"/>
        <v>3.6917813154936294E-2</v>
      </c>
      <c r="EF37" s="308">
        <f t="shared" si="141"/>
        <v>3.7067102855516003E-2</v>
      </c>
      <c r="EG37" s="308">
        <f t="shared" si="141"/>
        <v>3.7335097898812751E-2</v>
      </c>
      <c r="EH37" s="308">
        <f t="shared" si="141"/>
        <v>3.7461616247994045E-2</v>
      </c>
      <c r="EI37" s="308">
        <f t="shared" si="141"/>
        <v>3.7633054107706287E-2</v>
      </c>
      <c r="EJ37" s="308">
        <f t="shared" si="141"/>
        <v>3.7872236498568863E-2</v>
      </c>
      <c r="EK37" s="308">
        <f t="shared" si="141"/>
        <v>3.7971586119420961E-2</v>
      </c>
      <c r="EL37" s="308">
        <f t="shared" si="141"/>
        <v>3.8093116305579121E-2</v>
      </c>
      <c r="EM37" s="308">
        <f t="shared" si="141"/>
        <v>3.828503269823514E-2</v>
      </c>
      <c r="EN37" s="308">
        <f t="shared" si="141"/>
        <v>3.8377699790240583E-2</v>
      </c>
      <c r="EO37" s="308">
        <f t="shared" si="141"/>
        <v>3.8593854526925757E-2</v>
      </c>
      <c r="EP37" s="308">
        <f t="shared" si="141"/>
        <v>3.8800694970886666E-2</v>
      </c>
      <c r="EQ37" s="308">
        <f t="shared" ref="EQ37:FB37" si="142">EQ31/EQ$27</f>
        <v>3.900689951034815E-2</v>
      </c>
      <c r="ER37" s="308">
        <f t="shared" si="142"/>
        <v>3.9399320214440758E-2</v>
      </c>
      <c r="ES37" s="308">
        <f t="shared" si="142"/>
        <v>4.0112204129551549E-2</v>
      </c>
      <c r="ET37" s="308">
        <f t="shared" si="142"/>
        <v>4.0420806636216132E-2</v>
      </c>
      <c r="EU37" s="308">
        <f t="shared" si="142"/>
        <v>4.091251605188706E-2</v>
      </c>
      <c r="EV37" s="308">
        <f t="shared" si="142"/>
        <v>4.1570094975510903E-2</v>
      </c>
      <c r="EW37" s="308">
        <f t="shared" si="142"/>
        <v>4.1803684567004958E-2</v>
      </c>
      <c r="EX37" s="308">
        <f t="shared" si="142"/>
        <v>4.2148247238025412E-2</v>
      </c>
      <c r="EY37" s="308">
        <f t="shared" si="142"/>
        <v>4.2704579286256476E-2</v>
      </c>
      <c r="EZ37" s="308">
        <f t="shared" si="142"/>
        <v>4.2933212626902688E-2</v>
      </c>
      <c r="FA37" s="308">
        <f t="shared" si="142"/>
        <v>4.3510954591375106E-2</v>
      </c>
      <c r="FB37" s="308">
        <f t="shared" si="142"/>
        <v>4.4093776281944212E-2</v>
      </c>
    </row>
    <row r="39" spans="1:158" x14ac:dyDescent="0.25">
      <c r="C39" s="3" t="s">
        <v>587</v>
      </c>
      <c r="D39" s="327"/>
      <c r="E39" s="327"/>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4"/>
      <c r="EO39" s="4"/>
      <c r="EP39" s="4"/>
      <c r="EQ39" s="4"/>
      <c r="ER39" s="4"/>
      <c r="ES39" s="4"/>
      <c r="ET39" s="4"/>
      <c r="EU39" s="4"/>
      <c r="EV39" s="4"/>
      <c r="EW39" s="4"/>
      <c r="EX39" s="4"/>
      <c r="EY39" s="4"/>
      <c r="EZ39" s="4"/>
      <c r="FA39" s="4"/>
      <c r="FB39" s="4"/>
    </row>
    <row r="40" spans="1:158" x14ac:dyDescent="0.25">
      <c r="C40" s="1"/>
      <c r="D40" s="289"/>
      <c r="E40" s="289"/>
    </row>
    <row r="41" spans="1:158" x14ac:dyDescent="0.25">
      <c r="C41" s="1" t="s">
        <v>607</v>
      </c>
      <c r="D41" s="289"/>
      <c r="E41" s="289"/>
    </row>
    <row r="42" spans="1:158" x14ac:dyDescent="0.25">
      <c r="A42" t="s">
        <v>607</v>
      </c>
      <c r="C42" s="2" t="s">
        <v>18</v>
      </c>
      <c r="D42" s="30">
        <f>AY42</f>
        <v>4027858.4700000053</v>
      </c>
      <c r="E42" s="30">
        <f>BK42</f>
        <v>9641502.6300000064</v>
      </c>
      <c r="F42" s="30">
        <f>BW42</f>
        <v>17564589.410915006</v>
      </c>
      <c r="G42" s="30">
        <f>CI42</f>
        <v>25508107.217652</v>
      </c>
      <c r="H42" s="68">
        <f>G47</f>
        <v>41315676.316121288</v>
      </c>
      <c r="I42" s="68">
        <f>H47</f>
        <v>60381079.580205388</v>
      </c>
      <c r="J42" s="68">
        <f>I47</f>
        <v>85265073.706972077</v>
      </c>
      <c r="K42" s="68">
        <f t="shared" ref="K42:L42" si="143">J47</f>
        <v>117924301.52658938</v>
      </c>
      <c r="L42" s="68">
        <f t="shared" si="143"/>
        <v>159631173.34786245</v>
      </c>
      <c r="M42" s="292"/>
      <c r="N42" s="30">
        <f>AY42</f>
        <v>4027858.4700000053</v>
      </c>
      <c r="O42" s="30">
        <f>BB42</f>
        <v>5012576.6700000055</v>
      </c>
      <c r="P42" s="30">
        <f>BE42</f>
        <v>6021300.6700000055</v>
      </c>
      <c r="Q42" s="30">
        <f>BH42</f>
        <v>7499475.1700000055</v>
      </c>
      <c r="R42" s="30">
        <f>BK42</f>
        <v>9641502.6300000064</v>
      </c>
      <c r="S42" s="30">
        <f>BN42</f>
        <v>11527145.160000006</v>
      </c>
      <c r="T42" s="30">
        <f>BQ42</f>
        <v>13624699.520000005</v>
      </c>
      <c r="U42" s="30">
        <f>BT42</f>
        <v>15365320.280000005</v>
      </c>
      <c r="V42" s="30">
        <f>BW42</f>
        <v>17564589.410915006</v>
      </c>
      <c r="W42" s="30">
        <f>BZ42</f>
        <v>18269105.373149004</v>
      </c>
      <c r="X42" s="30">
        <f>CC42</f>
        <v>20604136.826187003</v>
      </c>
      <c r="Y42" s="30">
        <f>CF42</f>
        <v>22340644.505196001</v>
      </c>
      <c r="Z42" s="30">
        <f>CI42</f>
        <v>25508107.217652</v>
      </c>
      <c r="AA42" s="30">
        <f>CL42</f>
        <v>27980246.216048002</v>
      </c>
      <c r="AB42" s="30">
        <f>CO42</f>
        <v>32000090.893999003</v>
      </c>
      <c r="AC42" s="30">
        <f>CR42</f>
        <v>36030717.428660035</v>
      </c>
      <c r="AD42" s="30">
        <f>CU42</f>
        <v>41315676.31612128</v>
      </c>
      <c r="AE42" s="30">
        <f>CX42</f>
        <v>44537598.054279454</v>
      </c>
      <c r="AF42" s="30">
        <f>DA42</f>
        <v>49046421.26728949</v>
      </c>
      <c r="AG42" s="30">
        <f>DD42</f>
        <v>53576562.602930389</v>
      </c>
      <c r="AH42" s="30">
        <f>DG42</f>
        <v>60381079.580205351</v>
      </c>
      <c r="AI42" s="30">
        <f>DJ42</f>
        <v>64721597.072871134</v>
      </c>
      <c r="AJ42" s="30">
        <f>DM42</f>
        <v>71012278.214738786</v>
      </c>
      <c r="AK42" s="30">
        <f>DP42</f>
        <v>76955631.312567174</v>
      </c>
      <c r="AL42" s="30">
        <f>DS42</f>
        <v>85265073.706972048</v>
      </c>
      <c r="AM42" s="30">
        <f>DV42</f>
        <v>90942125.923466668</v>
      </c>
      <c r="AN42" s="30">
        <f>DY42</f>
        <v>99211618.914439619</v>
      </c>
      <c r="AO42" s="30">
        <f>EB42</f>
        <v>107028646.16562246</v>
      </c>
      <c r="AP42" s="30">
        <f>EE42</f>
        <v>117924301.52658933</v>
      </c>
      <c r="AQ42" s="30">
        <f>EH42</f>
        <v>125144488.14608918</v>
      </c>
      <c r="AR42" s="30">
        <f>EK42</f>
        <v>135724765.64570612</v>
      </c>
      <c r="AS42" s="30">
        <f>EN42</f>
        <v>145732319.03300792</v>
      </c>
      <c r="AT42" s="30">
        <f>EQ42</f>
        <v>159631173.34786233</v>
      </c>
      <c r="AU42" s="30">
        <f>ET42</f>
        <v>168535027.34599689</v>
      </c>
      <c r="AV42" s="30">
        <f>EW42</f>
        <v>181676865.63609594</v>
      </c>
      <c r="AW42" s="30">
        <f>EZ42</f>
        <v>194116518.50414619</v>
      </c>
      <c r="AX42" s="244"/>
      <c r="AY42" s="244">
        <f>ARR!AY7</f>
        <v>4027858.4700000053</v>
      </c>
      <c r="AZ42" s="244">
        <f>ARR!AZ7</f>
        <v>4099936.4700000053</v>
      </c>
      <c r="BA42" s="244">
        <f>ARR!BA7</f>
        <v>4510001.4700000053</v>
      </c>
      <c r="BB42" s="244">
        <f>ARR!BB7</f>
        <v>5012576.6700000055</v>
      </c>
      <c r="BC42" s="244">
        <f>ARR!BC7</f>
        <v>5178116.6700000055</v>
      </c>
      <c r="BD42" s="244">
        <f>ARR!BD7</f>
        <v>5508016.6700000055</v>
      </c>
      <c r="BE42" s="244">
        <f>ARR!BE7</f>
        <v>6021300.6700000055</v>
      </c>
      <c r="BF42" s="244">
        <f>ARR!BF7</f>
        <v>6341477.3400000054</v>
      </c>
      <c r="BG42" s="244">
        <f>ARR!BG7</f>
        <v>6772890.8400000054</v>
      </c>
      <c r="BH42" s="244">
        <f>ARR!BH7</f>
        <v>7499475.1700000055</v>
      </c>
      <c r="BI42" s="244">
        <f>ARR!BI7</f>
        <v>7996907.1700000055</v>
      </c>
      <c r="BJ42" s="244">
        <f>ARR!BJ7</f>
        <v>8881420.1700000055</v>
      </c>
      <c r="BK42" s="244">
        <f>ARR!BK7</f>
        <v>9641502.6300000064</v>
      </c>
      <c r="BL42" s="244">
        <f>ARR!BL7</f>
        <v>9957435.9600000065</v>
      </c>
      <c r="BM42" s="244">
        <f>ARR!BM7</f>
        <v>10569535.790000007</v>
      </c>
      <c r="BN42" s="244">
        <f>ARR!BN7</f>
        <v>11527145.160000006</v>
      </c>
      <c r="BO42" s="244">
        <f>ARR!BO7</f>
        <v>12032413.690000005</v>
      </c>
      <c r="BP42" s="244">
        <f>ARR!BP7</f>
        <v>12730500.880000005</v>
      </c>
      <c r="BQ42" s="244">
        <f>ARR!BQ7</f>
        <v>13624699.520000005</v>
      </c>
      <c r="BR42" s="244">
        <f>ARR!BR7</f>
        <v>13969628.690000005</v>
      </c>
      <c r="BS42" s="244">
        <f>ARR!BS7</f>
        <v>14364605.690000005</v>
      </c>
      <c r="BT42" s="244">
        <f>ARR!BT7</f>
        <v>15365320.280000005</v>
      </c>
      <c r="BU42" s="244">
        <f>ARR!BU7</f>
        <v>15731030.960000005</v>
      </c>
      <c r="BV42" s="244">
        <f>ARR!BV7</f>
        <v>16626468.750000006</v>
      </c>
      <c r="BW42" s="244">
        <f>ARR!BW7</f>
        <v>17564589.410915006</v>
      </c>
      <c r="BX42" s="244">
        <f>ARR!BX7</f>
        <v>17589616.270915005</v>
      </c>
      <c r="BY42" s="244">
        <f>ARR!BY7</f>
        <v>17756749.793039005</v>
      </c>
      <c r="BZ42" s="244">
        <f>ARR!BZ7</f>
        <v>18269105.373149004</v>
      </c>
      <c r="CA42" s="244">
        <f>ARR!CA7</f>
        <v>18521839.063918006</v>
      </c>
      <c r="CB42" s="244">
        <f>ARR!CB7</f>
        <v>19044539.668825004</v>
      </c>
      <c r="CC42" s="244">
        <f>ARR!CC7</f>
        <v>20604136.826187003</v>
      </c>
      <c r="CD42" s="244">
        <f>ARR!CD7</f>
        <v>20734504.463366002</v>
      </c>
      <c r="CE42" s="244">
        <f>ARR!CE7</f>
        <v>21356765.968383003</v>
      </c>
      <c r="CF42" s="244">
        <f>ARR!CF7</f>
        <v>22340644.505196001</v>
      </c>
      <c r="CG42" s="244">
        <f>ARR!CG7</f>
        <v>22896400.661571</v>
      </c>
      <c r="CH42" s="244">
        <f>ARR!CH7</f>
        <v>23843709.285344001</v>
      </c>
      <c r="CI42" s="50">
        <f>ARR!CI7</f>
        <v>25508107.217652</v>
      </c>
      <c r="CJ42" s="50">
        <f>ARR!CJ7</f>
        <v>25944830.313618001</v>
      </c>
      <c r="CK42" s="50">
        <f>ARR!CK7</f>
        <v>26680390.815124001</v>
      </c>
      <c r="CL42" s="50">
        <f>ARR!CL7</f>
        <v>27980246.216048002</v>
      </c>
      <c r="CM42" s="50">
        <f>ARR!CM7</f>
        <v>28550875.870068002</v>
      </c>
      <c r="CN42" s="50">
        <f>ARR!CN7</f>
        <v>29863117.937316004</v>
      </c>
      <c r="CO42" s="50">
        <f>ARR!CO7</f>
        <v>32000090.893999003</v>
      </c>
      <c r="CP42" s="50">
        <f>ARR!CP7</f>
        <v>32584415.222394947</v>
      </c>
      <c r="CQ42" s="50">
        <f>ARR!CQ7</f>
        <v>34048646.714760482</v>
      </c>
      <c r="CR42" s="50">
        <f>ARR!CR7</f>
        <v>36030717.428660035</v>
      </c>
      <c r="CS42" s="50">
        <f>ARR!CS7</f>
        <v>36480116.964594282</v>
      </c>
      <c r="CT42" s="50">
        <f>ARR!CT7</f>
        <v>38651099.411555104</v>
      </c>
      <c r="CU42" s="20">
        <f>ARR!CU7</f>
        <v>41315676.31612128</v>
      </c>
      <c r="CV42" s="20">
        <f>ARR!CV7</f>
        <v>41649939.388837047</v>
      </c>
      <c r="CW42" s="20">
        <f>ARR!CW7</f>
        <v>42604230.532208942</v>
      </c>
      <c r="CX42" s="20">
        <f>ARR!CX7</f>
        <v>44537598.054279454</v>
      </c>
      <c r="CY42" s="20">
        <f>ARR!CY7</f>
        <v>45164677.023952574</v>
      </c>
      <c r="CZ42" s="20">
        <f>ARR!CZ7</f>
        <v>46814519.651795663</v>
      </c>
      <c r="DA42" s="20">
        <f>ARR!DA7</f>
        <v>49046421.26728949</v>
      </c>
      <c r="DB42" s="20">
        <f>ARR!DB7</f>
        <v>49630789.796066143</v>
      </c>
      <c r="DC42" s="20">
        <f>ARR!DC7</f>
        <v>51043097.039484277</v>
      </c>
      <c r="DD42" s="20">
        <f>ARR!DD7</f>
        <v>53576562.602930389</v>
      </c>
      <c r="DE42" s="20">
        <f>ARR!DE7</f>
        <v>54497909.177640155</v>
      </c>
      <c r="DF42" s="20">
        <f>ARR!DF7</f>
        <v>57161747.170220114</v>
      </c>
      <c r="DG42" s="20">
        <f>ARR!DG7</f>
        <v>60381079.580205351</v>
      </c>
      <c r="DH42" s="20">
        <f>ARR!DH7</f>
        <v>60844513.093447305</v>
      </c>
      <c r="DI42" s="20">
        <f>ARR!DI7</f>
        <v>62142419.737607859</v>
      </c>
      <c r="DJ42" s="20">
        <f>ARR!DJ7</f>
        <v>64721597.072871134</v>
      </c>
      <c r="DK42" s="20">
        <f>ARR!DK7</f>
        <v>65628803.316996716</v>
      </c>
      <c r="DL42" s="20">
        <f>ARR!DL7</f>
        <v>67951466.037505656</v>
      </c>
      <c r="DM42" s="20">
        <f>ARR!DM7</f>
        <v>71012278.214738786</v>
      </c>
      <c r="DN42" s="20">
        <f>ARR!DN7</f>
        <v>71726939.287662864</v>
      </c>
      <c r="DO42" s="20">
        <f>ARR!DO7</f>
        <v>73593444.626973122</v>
      </c>
      <c r="DP42" s="20">
        <f>ARR!DP7</f>
        <v>76955631.312567174</v>
      </c>
      <c r="DQ42" s="20">
        <f>ARR!DQ7</f>
        <v>77939702.086278066</v>
      </c>
      <c r="DR42" s="20">
        <f>ARR!DR7</f>
        <v>81216810.304345638</v>
      </c>
      <c r="DS42" s="20">
        <f>ARR!DS7</f>
        <v>85265073.706972048</v>
      </c>
      <c r="DT42" s="20">
        <f>ARR!DT7</f>
        <v>85857017.518521056</v>
      </c>
      <c r="DU42" s="20">
        <f>ARR!DU7</f>
        <v>87557845.287186086</v>
      </c>
      <c r="DV42" s="20">
        <f>ARR!DV7</f>
        <v>90942125.923466668</v>
      </c>
      <c r="DW42" s="20">
        <f>ARR!DW7</f>
        <v>92111986.354833737</v>
      </c>
      <c r="DX42" s="20">
        <f>ARR!DX7</f>
        <v>95183248.440515652</v>
      </c>
      <c r="DY42" s="20">
        <f>ARR!DY7</f>
        <v>99211618.914439619</v>
      </c>
      <c r="DZ42" s="20">
        <f>ARR!DZ7</f>
        <v>100123531.23601428</v>
      </c>
      <c r="EA42" s="20">
        <f>ARR!EA7</f>
        <v>102585807.50903952</v>
      </c>
      <c r="EB42" s="20">
        <f>ARR!EB7</f>
        <v>107028646.16562246</v>
      </c>
      <c r="EC42" s="20">
        <f>ARR!EC7</f>
        <v>108301701.60675406</v>
      </c>
      <c r="ED42" s="20">
        <f>ARR!ED7</f>
        <v>112594442.28824216</v>
      </c>
      <c r="EE42" s="20">
        <f>ARR!EE7</f>
        <v>117924301.52658933</v>
      </c>
      <c r="EF42" s="20">
        <f>ARR!EF7</f>
        <v>118655759.31146483</v>
      </c>
      <c r="EG42" s="20">
        <f>ARR!EG7</f>
        <v>120823832.49463625</v>
      </c>
      <c r="EH42" s="20">
        <f>ARR!EH7</f>
        <v>125144488.14608918</v>
      </c>
      <c r="EI42" s="20">
        <f>ARR!EI7</f>
        <v>126607179.28576194</v>
      </c>
      <c r="EJ42" s="20">
        <f>ARR!EJ7</f>
        <v>130563617.25014083</v>
      </c>
      <c r="EK42" s="20">
        <f>ARR!EK7</f>
        <v>135724765.64570612</v>
      </c>
      <c r="EL42" s="20">
        <f>ARR!EL7</f>
        <v>136850177.73271716</v>
      </c>
      <c r="EM42" s="20">
        <f>ARR!EM7</f>
        <v>140013454.08636019</v>
      </c>
      <c r="EN42" s="20">
        <f>ARR!EN7</f>
        <v>145732319.03300792</v>
      </c>
      <c r="EO42" s="20">
        <f>ARR!EO7</f>
        <v>147330268.28107041</v>
      </c>
      <c r="EP42" s="20">
        <f>ARR!EP7</f>
        <v>152799722.50455061</v>
      </c>
      <c r="EQ42" s="20">
        <f>ARR!EQ7</f>
        <v>159631173.34786233</v>
      </c>
      <c r="ER42" s="20">
        <f>ARR!ER7</f>
        <v>160501151.99363193</v>
      </c>
      <c r="ES42" s="20">
        <f>ARR!ES7</f>
        <v>163182178.19600391</v>
      </c>
      <c r="ET42" s="20">
        <f>ARR!ET7</f>
        <v>168535027.34599689</v>
      </c>
      <c r="EU42" s="20">
        <f>ARR!EU7</f>
        <v>170301102.47782815</v>
      </c>
      <c r="EV42" s="20">
        <f>ARR!EV7</f>
        <v>175255575.1366775</v>
      </c>
      <c r="EW42" s="20">
        <f>ARR!EW7</f>
        <v>181676865.63609594</v>
      </c>
      <c r="EX42" s="20">
        <f>ARR!EX7</f>
        <v>183013203.70690235</v>
      </c>
      <c r="EY42" s="20">
        <f>ARR!EY7</f>
        <v>186961626.56538308</v>
      </c>
      <c r="EZ42" s="20">
        <f>ARR!EZ7</f>
        <v>194116518.50414619</v>
      </c>
      <c r="FA42" s="20">
        <f>ARR!FA7</f>
        <v>196055404.86434168</v>
      </c>
      <c r="FB42" s="20">
        <f>ARR!FB7</f>
        <v>202815052.30391991</v>
      </c>
    </row>
    <row r="43" spans="1:158" x14ac:dyDescent="0.25">
      <c r="A43" t="s">
        <v>607</v>
      </c>
      <c r="C43" s="258" t="s">
        <v>585</v>
      </c>
      <c r="D43" s="244">
        <f t="shared" ref="D43:L46" si="144">SUMIF($AY$2:$FB$2,D$2,$AY43:$FB43)</f>
        <v>5718339.0999999996</v>
      </c>
      <c r="E43" s="244">
        <f t="shared" si="144"/>
        <v>7829961.8145050006</v>
      </c>
      <c r="F43" s="244">
        <f t="shared" si="144"/>
        <v>8657987.1461899988</v>
      </c>
      <c r="G43" s="244">
        <f t="shared" si="144"/>
        <v>16709358.41097267</v>
      </c>
      <c r="H43" s="244">
        <f t="shared" si="144"/>
        <v>18750724.309394229</v>
      </c>
      <c r="I43" s="244">
        <f t="shared" si="144"/>
        <v>25003008.950996581</v>
      </c>
      <c r="J43" s="244">
        <f t="shared" si="144"/>
        <v>32555326.841173172</v>
      </c>
      <c r="K43" s="244">
        <f t="shared" si="144"/>
        <v>41333554.564846858</v>
      </c>
      <c r="L43" s="244">
        <f t="shared" si="144"/>
        <v>51084752.170930743</v>
      </c>
      <c r="M43" s="244"/>
      <c r="N43" s="294">
        <f t="shared" ref="N43" si="145">SUM(AY43:BA43)</f>
        <v>1035185.6</v>
      </c>
      <c r="O43" s="294">
        <f>SUM(BB43:BD43)</f>
        <v>947839</v>
      </c>
      <c r="P43" s="294">
        <f>SUM(BE43:BG43)</f>
        <v>1374139.5</v>
      </c>
      <c r="Q43" s="294">
        <f>SUM(BH43:BJ43)</f>
        <v>2361175</v>
      </c>
      <c r="R43" s="294">
        <f>SUM(BK43:BM43)</f>
        <v>1966893.72</v>
      </c>
      <c r="S43" s="294">
        <f>SUM(BN43:BP43)</f>
        <v>2138899.92</v>
      </c>
      <c r="T43" s="294">
        <f>SUM(BQ43:BS43)</f>
        <v>1586173.72</v>
      </c>
      <c r="U43" s="294">
        <f>SUM(BT43:BV43)</f>
        <v>2137994.4545049998</v>
      </c>
      <c r="V43" s="294">
        <f>SUM(BW43:BY43)</f>
        <v>1187612.8935159999</v>
      </c>
      <c r="W43" s="294">
        <f>SUM(BZ43:CB43)</f>
        <v>2496187.72487</v>
      </c>
      <c r="X43" s="294">
        <f>SUM(CC43:CE43)</f>
        <v>1792109.2252369998</v>
      </c>
      <c r="Y43" s="294">
        <f>SUM(CF43:CH43)</f>
        <v>3182077.302567</v>
      </c>
      <c r="Z43" s="294">
        <f>SUM(CI43:CK43)</f>
        <v>2478561.1667750003</v>
      </c>
      <c r="AA43" s="294">
        <f>SUM(CL43:CN43)</f>
        <v>3596821.8275309997</v>
      </c>
      <c r="AB43" s="294">
        <f>SUM(CO43:CQ43)</f>
        <v>4579891.458333334</v>
      </c>
      <c r="AC43" s="294">
        <f>SUM(CR43:CT43)</f>
        <v>6054083.958333334</v>
      </c>
      <c r="AD43" s="294">
        <f>SUM(CU43:CW43)</f>
        <v>3318393.1822028025</v>
      </c>
      <c r="AE43" s="294">
        <f>SUM(CX43:CZ43)</f>
        <v>4415141.5763387</v>
      </c>
      <c r="AF43" s="294">
        <f>SUM(DA43:DC43)</f>
        <v>4352811.0971852168</v>
      </c>
      <c r="AG43" s="294">
        <f>SUM(DD43:DF43)</f>
        <v>6664378.4536675103</v>
      </c>
      <c r="AH43" s="294">
        <f>SUM(DG43:DI43)</f>
        <v>4559902.0857307035</v>
      </c>
      <c r="AI43" s="294">
        <f>SUM(DJ43:DL43)</f>
        <v>6187372.6460760506</v>
      </c>
      <c r="AJ43" s="294">
        <f>SUM(DM43:DO43)</f>
        <v>5804222.4411775414</v>
      </c>
      <c r="AK43" s="294">
        <f>SUM(DP43:DR43)</f>
        <v>8451511.778012285</v>
      </c>
      <c r="AL43" s="294">
        <f>SUM(DS43:DU43)</f>
        <v>5937249.5148746241</v>
      </c>
      <c r="AM43" s="294">
        <f>SUM(DV43:DX43)</f>
        <v>8056307.9098170549</v>
      </c>
      <c r="AN43" s="294">
        <f>SUM(DY43:EA43)</f>
        <v>7557424.7484271415</v>
      </c>
      <c r="AO43" s="294">
        <f>SUM(EB43:ED43)</f>
        <v>11004344.668054355</v>
      </c>
      <c r="AP43" s="294">
        <f>SUM(EE43:EG43)</f>
        <v>7538171.1873281021</v>
      </c>
      <c r="AQ43" s="294">
        <f>SUM(EH43:EJ43)</f>
        <v>10228613.099361856</v>
      </c>
      <c r="AR43" s="294">
        <f>SUM(EK43:EM43)</f>
        <v>9595210.938376205</v>
      </c>
      <c r="AS43" s="294">
        <f>SUM(EN43:EP43)</f>
        <v>13971559.339780699</v>
      </c>
      <c r="AT43" s="294">
        <f>SUM(EQ43:ES43)</f>
        <v>9316537.3987508994</v>
      </c>
      <c r="AU43" s="294">
        <f>SUM(ET43:EV43)</f>
        <v>12641694.399001226</v>
      </c>
      <c r="AV43" s="294">
        <f>SUM(EW43:EY43)</f>
        <v>11858863.288559953</v>
      </c>
      <c r="AW43" s="294">
        <f>SUM(EZ43:FB43)</f>
        <v>17267657.084618654</v>
      </c>
      <c r="AX43" s="244"/>
      <c r="AY43" s="244">
        <f>ARR!AY8</f>
        <v>78250</v>
      </c>
      <c r="AZ43" s="244">
        <f>ARR!AZ8</f>
        <v>438175</v>
      </c>
      <c r="BA43" s="244">
        <f>ARR!BA8</f>
        <v>518760.6</v>
      </c>
      <c r="BB43" s="244">
        <f>ARR!BB8</f>
        <v>163840</v>
      </c>
      <c r="BC43" s="244">
        <f>ARR!BC8</f>
        <v>300140</v>
      </c>
      <c r="BD43" s="244">
        <f>ARR!BD8</f>
        <v>483859</v>
      </c>
      <c r="BE43" s="244">
        <f>ARR!BE8</f>
        <v>270916.67</v>
      </c>
      <c r="BF43" s="244">
        <f>ARR!BF8</f>
        <v>423389.5</v>
      </c>
      <c r="BG43" s="244">
        <f>ARR!BG8</f>
        <v>679833.33</v>
      </c>
      <c r="BH43" s="244">
        <f>ARR!BH8</f>
        <v>491650</v>
      </c>
      <c r="BI43" s="244">
        <f>ARR!BI8</f>
        <v>984175</v>
      </c>
      <c r="BJ43" s="244">
        <f>ARR!BJ8</f>
        <v>885350</v>
      </c>
      <c r="BK43" s="244">
        <f>ARR!BK8</f>
        <v>325633.33</v>
      </c>
      <c r="BL43" s="244">
        <f>ARR!BL8</f>
        <v>614517.32999999996</v>
      </c>
      <c r="BM43" s="244">
        <f>ARR!BM8</f>
        <v>1026743.06</v>
      </c>
      <c r="BN43" s="244">
        <f>ARR!BN8</f>
        <v>548266.67000000004</v>
      </c>
      <c r="BO43" s="244">
        <f>ARR!BO8</f>
        <v>708736.61</v>
      </c>
      <c r="BP43" s="244">
        <f>ARR!BP8</f>
        <v>881896.64</v>
      </c>
      <c r="BQ43" s="244">
        <f>ARR!BQ8</f>
        <v>429835.17</v>
      </c>
      <c r="BR43" s="244">
        <f>ARR!BR8</f>
        <v>356700</v>
      </c>
      <c r="BS43" s="244">
        <f>ARR!BS8</f>
        <v>799638.55</v>
      </c>
      <c r="BT43" s="244">
        <f>ARR!BT8</f>
        <v>276754.48</v>
      </c>
      <c r="BU43" s="244">
        <f>ARR!BU8</f>
        <v>829160.48</v>
      </c>
      <c r="BV43" s="244">
        <f>ARR!BV8</f>
        <v>1032079.494505</v>
      </c>
      <c r="BW43" s="244">
        <f>ARR!BW8</f>
        <v>211086.86</v>
      </c>
      <c r="BX43" s="244">
        <f>ARR!BX8</f>
        <v>343880.24212399998</v>
      </c>
      <c r="BY43" s="244">
        <f>ARR!BY8</f>
        <v>632645.79139200004</v>
      </c>
      <c r="BZ43" s="244">
        <f>ARR!BZ8</f>
        <v>398339.78897400002</v>
      </c>
      <c r="CA43" s="244">
        <f>ARR!CA8</f>
        <v>617609.16853400005</v>
      </c>
      <c r="CB43" s="244">
        <f>ARR!CB8</f>
        <v>1480238.767362</v>
      </c>
      <c r="CC43" s="244">
        <f>ARR!CC8</f>
        <v>225861.55</v>
      </c>
      <c r="CD43" s="244">
        <f>ARR!CD8</f>
        <v>681003.32150099997</v>
      </c>
      <c r="CE43" s="244">
        <f>ARR!CE8</f>
        <v>885244.35373600002</v>
      </c>
      <c r="CF43" s="244">
        <f>ARR!CF8</f>
        <v>533185.24945200002</v>
      </c>
      <c r="CG43" s="244">
        <f>ARR!CG8</f>
        <v>921185.87619099999</v>
      </c>
      <c r="CH43" s="244">
        <f>ARR!CH8</f>
        <v>1727706.176924</v>
      </c>
      <c r="CI43" s="55">
        <f>ARR!CI8</f>
        <v>417149.06475100003</v>
      </c>
      <c r="CJ43" s="55">
        <f>ARR!CJ8</f>
        <v>703910.10811300005</v>
      </c>
      <c r="CK43" s="55">
        <f>ARR!CK8</f>
        <v>1357501.993911</v>
      </c>
      <c r="CL43" s="55">
        <f>ARR!CL8</f>
        <v>522178.75454599998</v>
      </c>
      <c r="CM43" s="55">
        <f>ARR!CM8</f>
        <v>1110364.198349</v>
      </c>
      <c r="CN43" s="55">
        <f>ARR!CN8</f>
        <v>1964278.874636</v>
      </c>
      <c r="CO43" s="55">
        <f>ARR!CO8</f>
        <v>686983.71875000012</v>
      </c>
      <c r="CP43" s="55">
        <f>ARR!CP8</f>
        <v>1602962.0104166667</v>
      </c>
      <c r="CQ43" s="55">
        <f>ARR!CQ8</f>
        <v>2289945.729166667</v>
      </c>
      <c r="CR43" s="55">
        <f>ARR!CR8</f>
        <v>605408.39583333349</v>
      </c>
      <c r="CS43" s="55">
        <f>ARR!CS8</f>
        <v>2421633.583333334</v>
      </c>
      <c r="CT43" s="55">
        <f>ARR!CT8</f>
        <v>3027041.979166667</v>
      </c>
      <c r="CU43" s="55">
        <f>ARR!CU8</f>
        <v>438658.63632085227</v>
      </c>
      <c r="CV43" s="55">
        <f>ARR!CV8</f>
        <v>964078.39666739036</v>
      </c>
      <c r="CW43" s="55">
        <f>ARR!CW8</f>
        <v>1915656.1492145599</v>
      </c>
      <c r="CX43" s="55">
        <f>ARR!CX8</f>
        <v>765955.15688817343</v>
      </c>
      <c r="CY43" s="55">
        <f>ARR!CY8</f>
        <v>1502318.2913442629</v>
      </c>
      <c r="CZ43" s="55">
        <f>ARR!CZ8</f>
        <v>2146868.1281062635</v>
      </c>
      <c r="DA43" s="55">
        <f>ARR!DA8</f>
        <v>735494.374673062</v>
      </c>
      <c r="DB43" s="55">
        <f>ARR!DB8</f>
        <v>1311459.3132739773</v>
      </c>
      <c r="DC43" s="55">
        <f>ARR!DC8</f>
        <v>2305857.4092381778</v>
      </c>
      <c r="DD43" s="55">
        <f>ARR!DD8</f>
        <v>990139.13281642762</v>
      </c>
      <c r="DE43" s="55">
        <f>ARR!DE8</f>
        <v>2641125.7658198043</v>
      </c>
      <c r="DF43" s="55">
        <f>ARR!DF8</f>
        <v>3033113.5550312777</v>
      </c>
      <c r="DG43" s="55">
        <f>ARR!DG8</f>
        <v>629931.39707068913</v>
      </c>
      <c r="DH43" s="55">
        <f>ARR!DH8</f>
        <v>1330548.3308065883</v>
      </c>
      <c r="DI43" s="55">
        <f>ARR!DI8</f>
        <v>2599422.3578534261</v>
      </c>
      <c r="DJ43" s="55">
        <f>ARR!DJ8</f>
        <v>1121369.0419513234</v>
      </c>
      <c r="DK43" s="55">
        <f>ARR!DK8</f>
        <v>2103266.793643259</v>
      </c>
      <c r="DL43" s="55">
        <f>ARR!DL8</f>
        <v>2962736.8104814682</v>
      </c>
      <c r="DM43" s="55">
        <f>ARR!DM8</f>
        <v>980739.31064865121</v>
      </c>
      <c r="DN43" s="55">
        <f>ARR!DN8</f>
        <v>1748755.3231332442</v>
      </c>
      <c r="DO43" s="55">
        <f>ARR!DO8</f>
        <v>3074727.8073956454</v>
      </c>
      <c r="DP43" s="55">
        <f>ARR!DP8</f>
        <v>1175275.9507309641</v>
      </c>
      <c r="DQ43" s="55">
        <f>ARR!DQ8</f>
        <v>3376771.3640189609</v>
      </c>
      <c r="DR43" s="55">
        <f>ARR!DR8</f>
        <v>3899464.4632623605</v>
      </c>
      <c r="DS43" s="55">
        <f>ARR!DS8</f>
        <v>820206.18235773256</v>
      </c>
      <c r="DT43" s="55">
        <f>ARR!DT8</f>
        <v>1732448.9173395813</v>
      </c>
      <c r="DU43" s="55">
        <f>ARR!DU8</f>
        <v>3384594.4151773099</v>
      </c>
      <c r="DV43" s="55">
        <f>ARR!DV8</f>
        <v>1460085.6937598099</v>
      </c>
      <c r="DW43" s="55">
        <f>ARR!DW8</f>
        <v>2738571.9069029661</v>
      </c>
      <c r="DX43" s="55">
        <f>ARR!DX8</f>
        <v>3857650.3091542781</v>
      </c>
      <c r="DY43" s="55">
        <f>ARR!DY8</f>
        <v>1276977.8576142571</v>
      </c>
      <c r="DZ43" s="55">
        <f>ARR!DZ8</f>
        <v>2276977.9917858639</v>
      </c>
      <c r="EA43" s="55">
        <f>ARR!EA8</f>
        <v>4003468.8990270202</v>
      </c>
      <c r="EB43" s="55">
        <f>ARR!EB8</f>
        <v>1530275.5272217761</v>
      </c>
      <c r="EC43" s="55">
        <f>ARR!EC8</f>
        <v>4396746.6331355171</v>
      </c>
      <c r="ED43" s="55">
        <f>ARR!ED8</f>
        <v>5077322.5076970626</v>
      </c>
      <c r="EE43" s="55">
        <f>ARR!EE8</f>
        <v>1041366.8140487443</v>
      </c>
      <c r="EF43" s="55">
        <f>ARR!EF8</f>
        <v>2199586.9433293934</v>
      </c>
      <c r="EG43" s="55">
        <f>ARR!EG8</f>
        <v>4297217.4299499644</v>
      </c>
      <c r="EH43" s="55">
        <f>ARR!EH8</f>
        <v>1853783.6215499833</v>
      </c>
      <c r="EI43" s="55">
        <f>ARR!EI8</f>
        <v>3477001.2261271873</v>
      </c>
      <c r="EJ43" s="55">
        <f>ARR!EJ8</f>
        <v>4897828.2516846852</v>
      </c>
      <c r="EK43" s="55">
        <f>ARR!EK8</f>
        <v>1621302.5356282396</v>
      </c>
      <c r="EL43" s="55">
        <f>ARR!EL8</f>
        <v>2890942.9945395952</v>
      </c>
      <c r="EM43" s="55">
        <f>ARR!EM8</f>
        <v>5082965.4082083702</v>
      </c>
      <c r="EN43" s="55">
        <f>ARR!EN8</f>
        <v>1942899.4619607306</v>
      </c>
      <c r="EO43" s="55">
        <f>ARR!EO8</f>
        <v>5582286.6640267661</v>
      </c>
      <c r="EP43" s="55">
        <f>ARR!EP8</f>
        <v>6446373.2137932032</v>
      </c>
      <c r="EQ43" s="55">
        <f>ARR!EQ8</f>
        <v>1287040.6664699318</v>
      </c>
      <c r="ER43" s="55">
        <f>ARR!ER8</f>
        <v>2718502.0756468163</v>
      </c>
      <c r="ES43" s="55">
        <f>ARR!ES8</f>
        <v>5310994.656634151</v>
      </c>
      <c r="ET43" s="55">
        <f>ARR!ET8</f>
        <v>2291118.6294621597</v>
      </c>
      <c r="EU43" s="55">
        <f>ARR!EU8</f>
        <v>4297277.3042314742</v>
      </c>
      <c r="EV43" s="55">
        <f>ARR!EV8</f>
        <v>6053298.4653075915</v>
      </c>
      <c r="EW43" s="55">
        <f>ARR!EW8</f>
        <v>2003791.8126961619</v>
      </c>
      <c r="EX43" s="55">
        <f>ARR!EX8</f>
        <v>3572959.2572215963</v>
      </c>
      <c r="EY43" s="55">
        <f>ARR!EY8</f>
        <v>6282112.2186421948</v>
      </c>
      <c r="EZ43" s="55">
        <f>ARR!EZ8</f>
        <v>2401258.216289734</v>
      </c>
      <c r="FA43" s="55">
        <f>ARR!FA8</f>
        <v>6899230.7528621936</v>
      </c>
      <c r="FB43" s="55">
        <f>ARR!FB8</f>
        <v>7967168.115466726</v>
      </c>
    </row>
    <row r="44" spans="1:158" x14ac:dyDescent="0.25">
      <c r="A44" t="s">
        <v>607</v>
      </c>
      <c r="C44" s="258" t="s">
        <v>584</v>
      </c>
      <c r="D44" s="244">
        <f t="shared" si="144"/>
        <v>439111.47</v>
      </c>
      <c r="E44" s="244">
        <f t="shared" si="144"/>
        <v>1451905.1764100001</v>
      </c>
      <c r="F44" s="244">
        <f t="shared" si="144"/>
        <v>2193580.8464450003</v>
      </c>
      <c r="G44" s="244">
        <f t="shared" si="144"/>
        <v>2361877.9045540001</v>
      </c>
      <c r="H44" s="244">
        <f t="shared" si="144"/>
        <v>5600865.7028060667</v>
      </c>
      <c r="I44" s="244">
        <f t="shared" si="144"/>
        <v>8334336.3169988608</v>
      </c>
      <c r="J44" s="244">
        <f t="shared" si="144"/>
        <v>12041011.297420217</v>
      </c>
      <c r="K44" s="244">
        <f t="shared" si="144"/>
        <v>16882719.47014872</v>
      </c>
      <c r="L44" s="244">
        <f t="shared" si="144"/>
        <v>22951120.540563088</v>
      </c>
      <c r="M44" s="244"/>
      <c r="N44" s="294">
        <f t="shared" ref="N44:N46" si="146">SUM(AY44:BA44)</f>
        <v>86228</v>
      </c>
      <c r="O44" s="294">
        <f t="shared" ref="O44:O46" si="147">SUM(BB44:BD44)</f>
        <v>137985</v>
      </c>
      <c r="P44" s="294">
        <f t="shared" ref="P44:P46" si="148">SUM(BE44:BG44)</f>
        <v>186096</v>
      </c>
      <c r="Q44" s="294">
        <f t="shared" ref="Q44:Q46" si="149">SUM(BH44:BJ44)</f>
        <v>28802.47</v>
      </c>
      <c r="R44" s="294">
        <f t="shared" ref="R44:R46" si="150">SUM(BK44:BM44)</f>
        <v>191199.31</v>
      </c>
      <c r="S44" s="294">
        <f t="shared" ref="S44:S46" si="151">SUM(BN44:BP44)</f>
        <v>246946.44</v>
      </c>
      <c r="T44" s="294">
        <f t="shared" ref="T44:T46" si="152">SUM(BQ44:BS44)</f>
        <v>436010.04</v>
      </c>
      <c r="U44" s="294">
        <f t="shared" ref="U44:U46" si="153">SUM(BT44:BV44)</f>
        <v>577749.38641000004</v>
      </c>
      <c r="V44" s="294">
        <f t="shared" ref="V44:V46" si="154">SUM(BW44:BY44)</f>
        <v>302641.86871800001</v>
      </c>
      <c r="W44" s="294">
        <f t="shared" ref="W44:W46" si="155">SUM(BZ44:CB44)</f>
        <v>463726.72047599999</v>
      </c>
      <c r="X44" s="294">
        <f t="shared" ref="X44:X46" si="156">SUM(CC44:CE44)</f>
        <v>601050.76736199996</v>
      </c>
      <c r="Y44" s="294">
        <f t="shared" ref="Y44:Y46" si="157">SUM(CF44:CH44)</f>
        <v>826161.48988900008</v>
      </c>
      <c r="Z44" s="294">
        <f t="shared" ref="Z44:Z46" si="158">SUM(CI44:CK44)</f>
        <v>807279.16977200005</v>
      </c>
      <c r="AA44" s="294">
        <f t="shared" ref="AA44:AA46" si="159">SUM(CL44:CN44)</f>
        <v>1118126.2347820001</v>
      </c>
      <c r="AB44" s="294">
        <f t="shared" ref="AB44:AB46" si="160">SUM(CO44:CQ44)</f>
        <v>193275</v>
      </c>
      <c r="AC44" s="294">
        <f t="shared" ref="AC44:AC46" si="161">SUM(CR44:CT44)</f>
        <v>243197.5</v>
      </c>
      <c r="AD44" s="294">
        <f t="shared" ref="AD44:AD46" si="162">SUM(CU44:CW44)</f>
        <v>991208.35312551237</v>
      </c>
      <c r="AE44" s="294">
        <f t="shared" ref="AE44:AE46" si="163">SUM(CX44:CZ44)</f>
        <v>1318808.5228024684</v>
      </c>
      <c r="AF44" s="294">
        <f t="shared" ref="AF44:AF46" si="164">SUM(DA44:DC44)</f>
        <v>1300190.3277306494</v>
      </c>
      <c r="AG44" s="294">
        <f t="shared" ref="AG44:AG46" si="165">SUM(DD44:DF44)</f>
        <v>1990658.4991474373</v>
      </c>
      <c r="AH44" s="294">
        <f t="shared" ref="AH44:AH46" si="166">SUM(DG44:DI44)</f>
        <v>1519967.3619102342</v>
      </c>
      <c r="AI44" s="294">
        <f t="shared" ref="AI44:AI46" si="167">SUM(DJ44:DL44)</f>
        <v>2062457.5486920166</v>
      </c>
      <c r="AJ44" s="294">
        <f t="shared" ref="AJ44:AJ46" si="168">SUM(DM44:DO44)</f>
        <v>1934740.8137258468</v>
      </c>
      <c r="AK44" s="294">
        <f t="shared" ref="AK44:AK46" si="169">SUM(DP44:DR44)</f>
        <v>2817170.592670762</v>
      </c>
      <c r="AL44" s="294">
        <f t="shared" ref="AL44:AL46" si="170">SUM(DS44:DU44)</f>
        <v>2195968.998652258</v>
      </c>
      <c r="AM44" s="294">
        <f t="shared" ref="AM44:AM46" si="171">SUM(DV44:DX44)</f>
        <v>2979730.3228090471</v>
      </c>
      <c r="AN44" s="294">
        <f t="shared" ref="AN44:AN46" si="172">SUM(DY44:EA44)</f>
        <v>2795211.893253874</v>
      </c>
      <c r="AO44" s="294">
        <f t="shared" ref="AO44:AO46" si="173">SUM(EB44:ED44)</f>
        <v>4070100.0827050363</v>
      </c>
      <c r="AP44" s="294">
        <f t="shared" ref="AP44:AP46" si="174">SUM(EE44:EG44)</f>
        <v>3078971.330035422</v>
      </c>
      <c r="AQ44" s="294">
        <f t="shared" ref="AQ44:AQ46" si="175">SUM(EH44:EJ44)</f>
        <v>4177884.2236830126</v>
      </c>
      <c r="AR44" s="294">
        <f t="shared" ref="AR44:AR46" si="176">SUM(EK44:EM44)</f>
        <v>3919170.6649705637</v>
      </c>
      <c r="AS44" s="294">
        <f t="shared" ref="AS44:AS46" si="177">SUM(EN44:EP44)</f>
        <v>5706693.2514597233</v>
      </c>
      <c r="AT44" s="294">
        <f t="shared" ref="AT44:AT46" si="178">SUM(EQ44:ES44)</f>
        <v>4185690.7153808391</v>
      </c>
      <c r="AU44" s="294">
        <f t="shared" ref="AU44:AU46" si="179">SUM(ET44:EV44)</f>
        <v>5679601.8314353339</v>
      </c>
      <c r="AV44" s="294">
        <f t="shared" ref="AV44:AV46" si="180">SUM(EW44:EY44)</f>
        <v>5327895.1006573718</v>
      </c>
      <c r="AW44" s="294">
        <f t="shared" ref="AW44:AW46" si="181">SUM(EZ44:FB44)</f>
        <v>7757932.8930895422</v>
      </c>
      <c r="AX44" s="244"/>
      <c r="AY44" s="244">
        <f>ARR!AY9</f>
        <v>10114</v>
      </c>
      <c r="AZ44" s="244">
        <f>ARR!AZ9</f>
        <v>25400</v>
      </c>
      <c r="BA44" s="244">
        <f>ARR!BA9</f>
        <v>50714</v>
      </c>
      <c r="BB44" s="244">
        <f>ARR!BB9</f>
        <v>35700</v>
      </c>
      <c r="BC44" s="244">
        <f>ARR!BC9</f>
        <v>48860</v>
      </c>
      <c r="BD44" s="244">
        <f>ARR!BD9</f>
        <v>53425</v>
      </c>
      <c r="BE44" s="244">
        <f>ARR!BE9</f>
        <v>49260</v>
      </c>
      <c r="BF44" s="244">
        <f>ARR!BF9</f>
        <v>61900</v>
      </c>
      <c r="BG44" s="244">
        <f>ARR!BG9</f>
        <v>74936</v>
      </c>
      <c r="BH44" s="244">
        <f>ARR!BH9</f>
        <v>5782</v>
      </c>
      <c r="BI44" s="244">
        <f>ARR!BI9</f>
        <v>-31962</v>
      </c>
      <c r="BJ44" s="244">
        <f>ARR!BJ9</f>
        <v>54982.47</v>
      </c>
      <c r="BK44" s="244">
        <f>ARR!BK9</f>
        <v>18700</v>
      </c>
      <c r="BL44" s="244">
        <f>ARR!BL9</f>
        <v>75383</v>
      </c>
      <c r="BM44" s="244">
        <f>ARR!BM9</f>
        <v>97116.31</v>
      </c>
      <c r="BN44" s="244">
        <f>ARR!BN9</f>
        <v>55172.86</v>
      </c>
      <c r="BO44" s="244">
        <f>ARR!BO9</f>
        <v>67783.58</v>
      </c>
      <c r="BP44" s="244">
        <f>ARR!BP9</f>
        <v>123990</v>
      </c>
      <c r="BQ44" s="244">
        <f>ARR!BQ9</f>
        <v>20000</v>
      </c>
      <c r="BR44" s="244">
        <f>ARR!BR9</f>
        <v>78367</v>
      </c>
      <c r="BS44" s="244">
        <f>ARR!BS9</f>
        <v>337643.04</v>
      </c>
      <c r="BT44" s="244">
        <f>ARR!BT9</f>
        <v>153100.20000000001</v>
      </c>
      <c r="BU44" s="244">
        <f>ARR!BU9</f>
        <v>189751.02</v>
      </c>
      <c r="BV44" s="244">
        <f>ARR!BV9</f>
        <v>234898.16641000001</v>
      </c>
      <c r="BW44" s="244">
        <f>ARR!BW9</f>
        <v>78130</v>
      </c>
      <c r="BX44" s="244">
        <f>ARR!BX9</f>
        <v>81895.28</v>
      </c>
      <c r="BY44" s="244">
        <f>ARR!BY9</f>
        <v>142616.58871800001</v>
      </c>
      <c r="BZ44" s="244">
        <f>ARR!BZ9</f>
        <v>90393.339487000005</v>
      </c>
      <c r="CA44" s="244">
        <f>ARR!CA9</f>
        <v>111774.990989</v>
      </c>
      <c r="CB44" s="244">
        <f>ARR!CB9</f>
        <v>261558.39</v>
      </c>
      <c r="CC44" s="244">
        <f>ARR!CC9</f>
        <v>126378.017179</v>
      </c>
      <c r="CD44" s="244">
        <f>ARR!CD9</f>
        <v>115947.783516</v>
      </c>
      <c r="CE44" s="244">
        <f>ARR!CE9</f>
        <v>358724.96666699997</v>
      </c>
      <c r="CF44" s="244">
        <f>ARR!CF9</f>
        <v>223314.496923</v>
      </c>
      <c r="CG44" s="244">
        <f>ARR!CG9</f>
        <v>367222.077582</v>
      </c>
      <c r="CH44" s="244">
        <f>ARR!CH9</f>
        <v>235624.91538399999</v>
      </c>
      <c r="CI44" s="55">
        <f>ARR!CI9</f>
        <v>235255.434156</v>
      </c>
      <c r="CJ44" s="55">
        <f>ARR!CJ9</f>
        <v>196334.71927500001</v>
      </c>
      <c r="CK44" s="55">
        <f>ARR!CK9</f>
        <v>375689.01634099998</v>
      </c>
      <c r="CL44" s="55">
        <f>ARR!CL9</f>
        <v>299108.39999300003</v>
      </c>
      <c r="CM44" s="55">
        <f>ARR!CM9</f>
        <v>398134.54097700003</v>
      </c>
      <c r="CN44" s="55">
        <f>ARR!CN9</f>
        <v>420883.29381200002</v>
      </c>
      <c r="CO44" s="55">
        <f>ARR!CO9</f>
        <v>28991.25</v>
      </c>
      <c r="CP44" s="55">
        <f>ARR!CP9</f>
        <v>67646.25</v>
      </c>
      <c r="CQ44" s="55">
        <f>ARR!CQ9</f>
        <v>96637.5</v>
      </c>
      <c r="CR44" s="55">
        <f>ARR!CR9</f>
        <v>24319.75</v>
      </c>
      <c r="CS44" s="55">
        <f>ARR!CS9</f>
        <v>97279</v>
      </c>
      <c r="CT44" s="55">
        <f>ARR!CT9</f>
        <v>121598.75</v>
      </c>
      <c r="CU44" s="55">
        <f>ARR!CU9</f>
        <v>131027.90435557923</v>
      </c>
      <c r="CV44" s="55">
        <f>ARR!CV9</f>
        <v>287971.46913441527</v>
      </c>
      <c r="CW44" s="55">
        <f>ARR!CW9</f>
        <v>572208.97963551781</v>
      </c>
      <c r="CX44" s="55">
        <f>ARR!CX9</f>
        <v>228791.80010945431</v>
      </c>
      <c r="CY44" s="55">
        <f>ARR!CY9</f>
        <v>448744.42468724726</v>
      </c>
      <c r="CZ44" s="55">
        <f>ARR!CZ9</f>
        <v>641272.2980057667</v>
      </c>
      <c r="DA44" s="55">
        <f>ARR!DA9</f>
        <v>219693.12490234314</v>
      </c>
      <c r="DB44" s="55">
        <f>ARR!DB9</f>
        <v>391734.60006885044</v>
      </c>
      <c r="DC44" s="55">
        <f>ARR!DC9</f>
        <v>688762.6027594558</v>
      </c>
      <c r="DD44" s="55">
        <f>ARR!DD9</f>
        <v>295755.8448672446</v>
      </c>
      <c r="DE44" s="55">
        <f>ARR!DE9</f>
        <v>788907.69628383731</v>
      </c>
      <c r="DF44" s="55">
        <f>ARR!DF9</f>
        <v>905994.95799635537</v>
      </c>
      <c r="DG44" s="55">
        <f>ARR!DG9</f>
        <v>209977.1323568963</v>
      </c>
      <c r="DH44" s="55">
        <f>ARR!DH9</f>
        <v>443516.11026886269</v>
      </c>
      <c r="DI44" s="55">
        <f>ARR!DI9</f>
        <v>866474.11928447522</v>
      </c>
      <c r="DJ44" s="55">
        <f>ARR!DJ9</f>
        <v>373789.68065044121</v>
      </c>
      <c r="DK44" s="55">
        <f>ARR!DK9</f>
        <v>701088.93121441966</v>
      </c>
      <c r="DL44" s="55">
        <f>ARR!DL9</f>
        <v>987578.93682715576</v>
      </c>
      <c r="DM44" s="55">
        <f>ARR!DM9</f>
        <v>326913.1035495504</v>
      </c>
      <c r="DN44" s="55">
        <f>ARR!DN9</f>
        <v>582918.44104441488</v>
      </c>
      <c r="DO44" s="55">
        <f>ARR!DO9</f>
        <v>1024909.2691318817</v>
      </c>
      <c r="DP44" s="55">
        <f>ARR!DP9</f>
        <v>391758.65024365461</v>
      </c>
      <c r="DQ44" s="55">
        <f>ARR!DQ9</f>
        <v>1125590.4546729866</v>
      </c>
      <c r="DR44" s="55">
        <f>ARR!DR9</f>
        <v>1299821.4877541205</v>
      </c>
      <c r="DS44" s="55">
        <f>ARR!DS9</f>
        <v>303363.93046107923</v>
      </c>
      <c r="DT44" s="55">
        <f>ARR!DT9</f>
        <v>640768.77764614648</v>
      </c>
      <c r="DU44" s="55">
        <f>ARR!DU9</f>
        <v>1251836.2905450324</v>
      </c>
      <c r="DV44" s="55">
        <f>ARR!DV9</f>
        <v>540031.69495225837</v>
      </c>
      <c r="DW44" s="55">
        <f>ARR!DW9</f>
        <v>1012896.4587175352</v>
      </c>
      <c r="DX44" s="55">
        <f>ARR!DX9</f>
        <v>1426802.1691392534</v>
      </c>
      <c r="DY44" s="55">
        <f>ARR!DY9</f>
        <v>472306.8788436295</v>
      </c>
      <c r="DZ44" s="55">
        <f>ARR!DZ9</f>
        <v>842169.94216737431</v>
      </c>
      <c r="EA44" s="55">
        <f>ARR!EA9</f>
        <v>1480735.0722428705</v>
      </c>
      <c r="EB44" s="55">
        <f>ARR!EB9</f>
        <v>565992.31828750623</v>
      </c>
      <c r="EC44" s="55">
        <f>ARR!EC9</f>
        <v>1626193.960200808</v>
      </c>
      <c r="ED44" s="55">
        <f>ARR!ED9</f>
        <v>1877913.804216722</v>
      </c>
      <c r="EE44" s="55">
        <f>ARR!EE9</f>
        <v>425347.00855512102</v>
      </c>
      <c r="EF44" s="55">
        <f>ARR!EF9</f>
        <v>898422.8360077804</v>
      </c>
      <c r="EG44" s="55">
        <f>ARR!EG9</f>
        <v>1755201.4854725208</v>
      </c>
      <c r="EH44" s="55">
        <f>ARR!EH9</f>
        <v>757179.22570351441</v>
      </c>
      <c r="EI44" s="55">
        <f>ARR!EI9</f>
        <v>1420183.5994040626</v>
      </c>
      <c r="EJ44" s="55">
        <f>ARR!EJ9</f>
        <v>2000521.3985754354</v>
      </c>
      <c r="EK44" s="55">
        <f>ARR!EK9</f>
        <v>662222.16243970348</v>
      </c>
      <c r="EL44" s="55">
        <f>ARR!EL9</f>
        <v>1180807.7019950463</v>
      </c>
      <c r="EM44" s="55">
        <f>ARR!EM9</f>
        <v>2076140.8005358139</v>
      </c>
      <c r="EN44" s="55">
        <f>ARR!EN9</f>
        <v>793578.65347691812</v>
      </c>
      <c r="EO44" s="55">
        <f>ARR!EO9</f>
        <v>2280088.9191095252</v>
      </c>
      <c r="EP44" s="55">
        <f>ARR!EP9</f>
        <v>2633025.6788732801</v>
      </c>
      <c r="EQ44" s="55">
        <f>ARR!EQ9</f>
        <v>578235.66174736083</v>
      </c>
      <c r="ER44" s="55">
        <f>ARR!ER9</f>
        <v>1221356.0050007435</v>
      </c>
      <c r="ES44" s="55">
        <f>ARR!ES9</f>
        <v>2386099.0486327345</v>
      </c>
      <c r="ET44" s="55">
        <f>ARR!ET9</f>
        <v>1029343.1523670573</v>
      </c>
      <c r="EU44" s="55">
        <f>ARR!EU9</f>
        <v>1930660.8178431261</v>
      </c>
      <c r="EV44" s="55">
        <f>ARR!EV9</f>
        <v>2719597.8612251505</v>
      </c>
      <c r="EW44" s="55">
        <f>ARR!EW9</f>
        <v>900254.29266059469</v>
      </c>
      <c r="EX44" s="55">
        <f>ARR!EX9</f>
        <v>1605242.5648386888</v>
      </c>
      <c r="EY44" s="55">
        <f>ARR!EY9</f>
        <v>2822398.2431580881</v>
      </c>
      <c r="EZ44" s="55">
        <f>ARR!EZ9</f>
        <v>1078826.1551446631</v>
      </c>
      <c r="FA44" s="55">
        <f>ARR!FA9</f>
        <v>3099654.3962134505</v>
      </c>
      <c r="FB44" s="55">
        <f>ARR!FB9</f>
        <v>3579452.3417314282</v>
      </c>
    </row>
    <row r="45" spans="1:158" x14ac:dyDescent="0.25">
      <c r="A45" t="s">
        <v>607</v>
      </c>
      <c r="C45" s="258" t="s">
        <v>583</v>
      </c>
      <c r="D45" s="244">
        <f t="shared" si="144"/>
        <v>-94675.41</v>
      </c>
      <c r="E45" s="244">
        <f t="shared" si="144"/>
        <v>-188897.5</v>
      </c>
      <c r="F45" s="244">
        <f t="shared" si="144"/>
        <v>-510444.66230800003</v>
      </c>
      <c r="G45" s="244">
        <f t="shared" si="144"/>
        <v>-650085.40134785243</v>
      </c>
      <c r="H45" s="244">
        <f t="shared" si="144"/>
        <v>-1052948.2956437089</v>
      </c>
      <c r="I45" s="244">
        <f t="shared" si="144"/>
        <v>-1683811.4317105005</v>
      </c>
      <c r="J45" s="244">
        <f t="shared" si="144"/>
        <v>-2377736.6491556466</v>
      </c>
      <c r="K45" s="244">
        <f t="shared" si="144"/>
        <v>-3288485.2070787</v>
      </c>
      <c r="L45" s="244">
        <f t="shared" si="144"/>
        <v>-4451540.0587274004</v>
      </c>
      <c r="M45" s="244"/>
      <c r="N45" s="294">
        <f t="shared" si="146"/>
        <v>-22049.4</v>
      </c>
      <c r="O45" s="294">
        <f t="shared" si="147"/>
        <v>-11000</v>
      </c>
      <c r="P45" s="294">
        <f t="shared" si="148"/>
        <v>-12626</v>
      </c>
      <c r="Q45" s="294">
        <f t="shared" si="149"/>
        <v>-49000.01</v>
      </c>
      <c r="R45" s="294">
        <f t="shared" si="150"/>
        <v>-68050.5</v>
      </c>
      <c r="S45" s="294">
        <f t="shared" si="151"/>
        <v>-34819</v>
      </c>
      <c r="T45" s="294">
        <f t="shared" si="152"/>
        <v>-39635</v>
      </c>
      <c r="U45" s="294">
        <f t="shared" si="153"/>
        <v>-46393</v>
      </c>
      <c r="V45" s="294">
        <f t="shared" si="154"/>
        <v>-102463.13</v>
      </c>
      <c r="W45" s="294">
        <f t="shared" si="155"/>
        <v>-92597.39230800001</v>
      </c>
      <c r="X45" s="294">
        <f t="shared" si="156"/>
        <v>-67657.820000000007</v>
      </c>
      <c r="Y45" s="294">
        <f t="shared" si="157"/>
        <v>-247726.31999999998</v>
      </c>
      <c r="Z45" s="294">
        <f t="shared" si="158"/>
        <v>-186557.249412</v>
      </c>
      <c r="AA45" s="294">
        <f t="shared" si="159"/>
        <v>-107671.763766</v>
      </c>
      <c r="AB45" s="294">
        <f t="shared" si="160"/>
        <v>-150574.51859129546</v>
      </c>
      <c r="AC45" s="294">
        <f t="shared" si="161"/>
        <v>-205281.86957855683</v>
      </c>
      <c r="AD45" s="294">
        <f t="shared" si="162"/>
        <v>-216653.44854578315</v>
      </c>
      <c r="AE45" s="294">
        <f t="shared" si="163"/>
        <v>-244031.34587682824</v>
      </c>
      <c r="AF45" s="294">
        <f t="shared" si="164"/>
        <v>-223660.96272889775</v>
      </c>
      <c r="AG45" s="294">
        <f t="shared" si="165"/>
        <v>-368602.53849219985</v>
      </c>
      <c r="AH45" s="294">
        <f t="shared" si="166"/>
        <v>-346459.13278949133</v>
      </c>
      <c r="AI45" s="294">
        <f t="shared" si="167"/>
        <v>-390240.21557668352</v>
      </c>
      <c r="AJ45" s="294">
        <f t="shared" si="168"/>
        <v>-357665.12698523526</v>
      </c>
      <c r="AK45" s="294">
        <f t="shared" si="169"/>
        <v>-589446.95635909028</v>
      </c>
      <c r="AL45" s="294">
        <f t="shared" si="170"/>
        <v>-489240.3994617202</v>
      </c>
      <c r="AM45" s="294">
        <f t="shared" si="171"/>
        <v>-551064.3561841629</v>
      </c>
      <c r="AN45" s="294">
        <f t="shared" si="172"/>
        <v>-505064.56040257961</v>
      </c>
      <c r="AO45" s="294">
        <f t="shared" si="173"/>
        <v>-832367.33310718357</v>
      </c>
      <c r="AP45" s="294">
        <f t="shared" si="174"/>
        <v>-676634.99105607858</v>
      </c>
      <c r="AQ45" s="294">
        <f t="shared" si="175"/>
        <v>-762139.48424586165</v>
      </c>
      <c r="AR45" s="294">
        <f t="shared" si="176"/>
        <v>-698520.30757627753</v>
      </c>
      <c r="AS45" s="294">
        <f t="shared" si="177"/>
        <v>-1151190.4242004824</v>
      </c>
      <c r="AT45" s="294">
        <f t="shared" si="178"/>
        <v>-915943.83983820211</v>
      </c>
      <c r="AU45" s="294">
        <f t="shared" si="179"/>
        <v>-1031689.1306536137</v>
      </c>
      <c r="AV45" s="294">
        <f t="shared" si="180"/>
        <v>-945569.44465402537</v>
      </c>
      <c r="AW45" s="294">
        <f t="shared" si="181"/>
        <v>-1558337.643581559</v>
      </c>
      <c r="AX45" s="244"/>
      <c r="AY45" s="244">
        <f>ARR!AY10</f>
        <v>0</v>
      </c>
      <c r="AZ45" s="244">
        <f>ARR!AZ10</f>
        <v>-1050</v>
      </c>
      <c r="BA45" s="244">
        <f>ARR!BA10</f>
        <v>-20999.4</v>
      </c>
      <c r="BB45" s="244">
        <f>ARR!BB10</f>
        <v>-6000</v>
      </c>
      <c r="BC45" s="244">
        <f>ARR!BC10</f>
        <v>-3500</v>
      </c>
      <c r="BD45" s="244">
        <f>ARR!BD10</f>
        <v>-1500</v>
      </c>
      <c r="BE45" s="244">
        <f>ARR!BE10</f>
        <v>0</v>
      </c>
      <c r="BF45" s="244">
        <f>ARR!BF10</f>
        <v>-1</v>
      </c>
      <c r="BG45" s="244">
        <f>ARR!BG10</f>
        <v>-12625</v>
      </c>
      <c r="BH45" s="244">
        <f>ARR!BH10</f>
        <v>0</v>
      </c>
      <c r="BI45" s="244">
        <f>ARR!BI10</f>
        <v>0</v>
      </c>
      <c r="BJ45" s="244">
        <f>ARR!BJ10</f>
        <v>-49000.01</v>
      </c>
      <c r="BK45" s="244">
        <f>ARR!BK10</f>
        <v>-16400</v>
      </c>
      <c r="BL45" s="244">
        <f>ARR!BL10</f>
        <v>-0.5</v>
      </c>
      <c r="BM45" s="244">
        <f>ARR!BM10</f>
        <v>-51650</v>
      </c>
      <c r="BN45" s="244">
        <f>ARR!BN10</f>
        <v>-24519</v>
      </c>
      <c r="BO45" s="244">
        <f>ARR!BO10</f>
        <v>0</v>
      </c>
      <c r="BP45" s="244">
        <f>ARR!BP10</f>
        <v>-10300</v>
      </c>
      <c r="BQ45" s="244">
        <f>ARR!BQ10</f>
        <v>-6920</v>
      </c>
      <c r="BR45" s="244">
        <f>ARR!BR10</f>
        <v>-4500</v>
      </c>
      <c r="BS45" s="244">
        <f>ARR!BS10</f>
        <v>-28215</v>
      </c>
      <c r="BT45" s="244">
        <f>ARR!BT10</f>
        <v>0</v>
      </c>
      <c r="BU45" s="244">
        <f>ARR!BU10</f>
        <v>-6500</v>
      </c>
      <c r="BV45" s="244">
        <f>ARR!BV10</f>
        <v>-39893</v>
      </c>
      <c r="BW45" s="244">
        <f>ARR!BW10</f>
        <v>-21677</v>
      </c>
      <c r="BX45" s="244">
        <f>ARR!BX10</f>
        <v>-34500</v>
      </c>
      <c r="BY45" s="244">
        <f>ARR!BY10</f>
        <v>-46286.13</v>
      </c>
      <c r="BZ45" s="244">
        <f>ARR!BZ10</f>
        <v>-42533.837692000001</v>
      </c>
      <c r="CA45" s="244">
        <f>ARR!CA10</f>
        <v>-49563.554616000001</v>
      </c>
      <c r="CB45" s="244">
        <f>ARR!CB10</f>
        <v>-500</v>
      </c>
      <c r="CC45" s="244">
        <f>ARR!CC10</f>
        <v>-24383.33</v>
      </c>
      <c r="CD45" s="244">
        <f>ARR!CD10</f>
        <v>-20190</v>
      </c>
      <c r="CE45" s="244">
        <f>ARR!CE10</f>
        <v>-23084.49</v>
      </c>
      <c r="CF45" s="244">
        <f>ARR!CF10</f>
        <v>-36049.99</v>
      </c>
      <c r="CG45" s="244">
        <f>ARR!CG10</f>
        <v>-155911.32999999999</v>
      </c>
      <c r="CH45" s="244">
        <f>ARR!CH10</f>
        <v>-55765</v>
      </c>
      <c r="CI45" s="55">
        <f>ARR!CI10</f>
        <v>-55331.402941</v>
      </c>
      <c r="CJ45" s="55">
        <f>ARR!CJ10</f>
        <v>-44150</v>
      </c>
      <c r="CK45" s="55">
        <f>ARR!CK10</f>
        <v>-87075.846470999997</v>
      </c>
      <c r="CL45" s="55">
        <f>ARR!CL10</f>
        <v>-17490.400000000001</v>
      </c>
      <c r="CM45" s="55">
        <f>ARR!CM10</f>
        <v>-44790.363766000002</v>
      </c>
      <c r="CN45" s="55">
        <f>ARR!CN10</f>
        <v>-45391</v>
      </c>
      <c r="CO45" s="55">
        <f>ARR!CO10</f>
        <v>-26696.519825506879</v>
      </c>
      <c r="CP45" s="55">
        <f>ARR!CP10</f>
        <v>-41849.712731998516</v>
      </c>
      <c r="CQ45" s="55">
        <f>ARR!CQ10</f>
        <v>-82028.286033790078</v>
      </c>
      <c r="CR45" s="55">
        <f>ARR!CR10</f>
        <v>-36567.587490119142</v>
      </c>
      <c r="CS45" s="55">
        <f>ARR!CS10</f>
        <v>-70554.338046361823</v>
      </c>
      <c r="CT45" s="55">
        <f>ARR!CT10</f>
        <v>-98159.944042075862</v>
      </c>
      <c r="CU45" s="55">
        <f>ARR!CU10</f>
        <v>-46893.678024533045</v>
      </c>
      <c r="CV45" s="55">
        <f>ARR!CV10</f>
        <v>-59310.1519554439</v>
      </c>
      <c r="CW45" s="55">
        <f>ARR!CW10</f>
        <v>-110449.6185658062</v>
      </c>
      <c r="CX45" s="55">
        <f>ARR!CX10</f>
        <v>-73235.282645670304</v>
      </c>
      <c r="CY45" s="55">
        <f>ARR!CY10</f>
        <v>-59999.61665839138</v>
      </c>
      <c r="CZ45" s="55">
        <f>ARR!CZ10</f>
        <v>-110796.44657276654</v>
      </c>
      <c r="DA45" s="55">
        <f>ARR!DA10</f>
        <v>-73862.922726678982</v>
      </c>
      <c r="DB45" s="55">
        <f>ARR!DB10</f>
        <v>-57941.317232469373</v>
      </c>
      <c r="DC45" s="55">
        <f>ARR!DC10</f>
        <v>-91856.722769749424</v>
      </c>
      <c r="DD45" s="55">
        <f>ARR!DD10</f>
        <v>-72613.896913082615</v>
      </c>
      <c r="DE45" s="55">
        <f>ARR!DE10</f>
        <v>-152617.42579419608</v>
      </c>
      <c r="DF45" s="55">
        <f>ARR!DF10</f>
        <v>-143371.21578492114</v>
      </c>
      <c r="DG45" s="55">
        <f>ARR!DG10</f>
        <v>-74989.542657827056</v>
      </c>
      <c r="DH45" s="55">
        <f>ARR!DH10</f>
        <v>-94845.219173853751</v>
      </c>
      <c r="DI45" s="55">
        <f>ARR!DI10</f>
        <v>-176624.37095781055</v>
      </c>
      <c r="DJ45" s="55">
        <f>ARR!DJ10</f>
        <v>-117113.44862184548</v>
      </c>
      <c r="DK45" s="55">
        <f>ARR!DK10</f>
        <v>-95947.769558698739</v>
      </c>
      <c r="DL45" s="55">
        <f>ARR!DL10</f>
        <v>-177178.99739613928</v>
      </c>
      <c r="DM45" s="55">
        <f>ARR!DM10</f>
        <v>-118117.13279871763</v>
      </c>
      <c r="DN45" s="55">
        <f>ARR!DN10</f>
        <v>-92656.261212477548</v>
      </c>
      <c r="DO45" s="55">
        <f>ARR!DO10</f>
        <v>-146891.73297404006</v>
      </c>
      <c r="DP45" s="55">
        <f>ARR!DP10</f>
        <v>-116119.76602189094</v>
      </c>
      <c r="DQ45" s="55">
        <f>ARR!DQ10</f>
        <v>-244056.58596312645</v>
      </c>
      <c r="DR45" s="55">
        <f>ARR!DR10</f>
        <v>-229270.60437407292</v>
      </c>
      <c r="DS45" s="55">
        <f>ARR!DS10</f>
        <v>-105893.91455776288</v>
      </c>
      <c r="DT45" s="55">
        <f>ARR!DT10</f>
        <v>-133932.42816850363</v>
      </c>
      <c r="DU45" s="55">
        <f>ARR!DU10</f>
        <v>-249414.05673545369</v>
      </c>
      <c r="DV45" s="55">
        <f>ARR!DV10</f>
        <v>-165377.74578136113</v>
      </c>
      <c r="DW45" s="55">
        <f>ARR!DW10</f>
        <v>-135489.35693630722</v>
      </c>
      <c r="DX45" s="55">
        <f>ARR!DX10</f>
        <v>-250197.25346649459</v>
      </c>
      <c r="DY45" s="55">
        <f>ARR!DY10</f>
        <v>-166795.06401936727</v>
      </c>
      <c r="DZ45" s="55">
        <f>ARR!DZ10</f>
        <v>-130841.36614682706</v>
      </c>
      <c r="EA45" s="55">
        <f>ARR!EA10</f>
        <v>-207428.13023638524</v>
      </c>
      <c r="EB45" s="55">
        <f>ARR!EB10</f>
        <v>-163974.55092768322</v>
      </c>
      <c r="EC45" s="55">
        <f>ARR!EC10</f>
        <v>-344636.14985843812</v>
      </c>
      <c r="ED45" s="55">
        <f>ARR!ED10</f>
        <v>-323756.63232106226</v>
      </c>
      <c r="EE45" s="55">
        <f>ARR!EE10</f>
        <v>-146454.64276563955</v>
      </c>
      <c r="EF45" s="55">
        <f>ARR!EF10</f>
        <v>-185232.79646493099</v>
      </c>
      <c r="EG45" s="55">
        <f>ARR!EG10</f>
        <v>-344947.55182550807</v>
      </c>
      <c r="EH45" s="55">
        <f>ARR!EH10</f>
        <v>-228722.6681622419</v>
      </c>
      <c r="EI45" s="55">
        <f>ARR!EI10</f>
        <v>-187386.07833624983</v>
      </c>
      <c r="EJ45" s="55">
        <f>ARR!EJ10</f>
        <v>-346030.73774736986</v>
      </c>
      <c r="EK45" s="55">
        <f>ARR!EK10</f>
        <v>-230682.86424243494</v>
      </c>
      <c r="EL45" s="55">
        <f>ARR!EL10</f>
        <v>-180957.75964112801</v>
      </c>
      <c r="EM45" s="55">
        <f>ARR!EM10</f>
        <v>-286879.68369271461</v>
      </c>
      <c r="EN45" s="55">
        <f>ARR!EN10</f>
        <v>-226782.00517056562</v>
      </c>
      <c r="EO45" s="55">
        <f>ARR!EO10</f>
        <v>-476642.72703896242</v>
      </c>
      <c r="EP45" s="55">
        <f>ARR!EP10</f>
        <v>-447765.69199095434</v>
      </c>
      <c r="EQ45" s="55">
        <f>ARR!EQ10</f>
        <v>-198251.98168886063</v>
      </c>
      <c r="ER45" s="55">
        <f>ARR!ER10</f>
        <v>-250744.99708217962</v>
      </c>
      <c r="ES45" s="55">
        <f>ARR!ES10</f>
        <v>-466946.8610671619</v>
      </c>
      <c r="ET45" s="55">
        <f>ARR!ET10</f>
        <v>-309616.14711586788</v>
      </c>
      <c r="EU45" s="55">
        <f>ARR!EU10</f>
        <v>-253659.84081852177</v>
      </c>
      <c r="EV45" s="55">
        <f>ARR!EV10</f>
        <v>-468413.14271922415</v>
      </c>
      <c r="EW45" s="55">
        <f>ARR!EW10</f>
        <v>-312269.61545294797</v>
      </c>
      <c r="EX45" s="55">
        <f>ARR!EX10</f>
        <v>-244957.98680987276</v>
      </c>
      <c r="EY45" s="55">
        <f>ARR!EY10</f>
        <v>-388341.84239120473</v>
      </c>
      <c r="EZ45" s="55">
        <f>ARR!EZ10</f>
        <v>-306989.12023147114</v>
      </c>
      <c r="FA45" s="55">
        <f>ARR!FA10</f>
        <v>-645219.32120834745</v>
      </c>
      <c r="FB45" s="55">
        <f>ARR!FB10</f>
        <v>-606129.20214174036</v>
      </c>
    </row>
    <row r="46" spans="1:158" x14ac:dyDescent="0.25">
      <c r="A46" t="s">
        <v>607</v>
      </c>
      <c r="C46" s="258" t="s">
        <v>22</v>
      </c>
      <c r="D46" s="295">
        <f t="shared" si="144"/>
        <v>-449131</v>
      </c>
      <c r="E46" s="295">
        <f t="shared" si="144"/>
        <v>-1169882.71</v>
      </c>
      <c r="F46" s="295">
        <f t="shared" si="144"/>
        <v>-2397605.5235900003</v>
      </c>
      <c r="G46" s="295">
        <f t="shared" si="144"/>
        <v>-2613581.8157095336</v>
      </c>
      <c r="H46" s="295">
        <f t="shared" si="144"/>
        <v>-4233238.4524724949</v>
      </c>
      <c r="I46" s="295">
        <f t="shared" si="144"/>
        <v>-6769539.7095182538</v>
      </c>
      <c r="J46" s="295">
        <f t="shared" si="144"/>
        <v>-9559373.6698204428</v>
      </c>
      <c r="K46" s="295">
        <f t="shared" si="144"/>
        <v>-13220917.006643813</v>
      </c>
      <c r="L46" s="295">
        <f t="shared" si="144"/>
        <v>-17896824.209973343</v>
      </c>
      <c r="M46" s="244"/>
      <c r="N46" s="295">
        <f t="shared" si="146"/>
        <v>-114646</v>
      </c>
      <c r="O46" s="295">
        <f t="shared" si="147"/>
        <v>-66100</v>
      </c>
      <c r="P46" s="295">
        <f t="shared" si="148"/>
        <v>-69435</v>
      </c>
      <c r="Q46" s="295">
        <f t="shared" si="149"/>
        <v>-198950</v>
      </c>
      <c r="R46" s="295">
        <f t="shared" si="150"/>
        <v>-204400</v>
      </c>
      <c r="S46" s="295">
        <f t="shared" si="151"/>
        <v>-253473</v>
      </c>
      <c r="T46" s="295">
        <f t="shared" si="152"/>
        <v>-241928</v>
      </c>
      <c r="U46" s="295">
        <f t="shared" si="153"/>
        <v>-470081.71</v>
      </c>
      <c r="V46" s="295">
        <f t="shared" si="154"/>
        <v>-683275.67</v>
      </c>
      <c r="W46" s="295">
        <f t="shared" si="155"/>
        <v>-532285.6</v>
      </c>
      <c r="X46" s="295">
        <f t="shared" si="156"/>
        <v>-588994.49358999997</v>
      </c>
      <c r="Y46" s="295">
        <f t="shared" si="157"/>
        <v>-593049.76</v>
      </c>
      <c r="Z46" s="295">
        <f t="shared" si="158"/>
        <v>-627144.08873900003</v>
      </c>
      <c r="AA46" s="295">
        <f t="shared" si="159"/>
        <v>-587431.62059599999</v>
      </c>
      <c r="AB46" s="295">
        <f t="shared" si="160"/>
        <v>-591965.40508099971</v>
      </c>
      <c r="AC46" s="295">
        <f t="shared" si="161"/>
        <v>-807040.70129353367</v>
      </c>
      <c r="AD46" s="295">
        <f t="shared" si="162"/>
        <v>-871026.34862435749</v>
      </c>
      <c r="AE46" s="295">
        <f t="shared" si="163"/>
        <v>-981095.54025429569</v>
      </c>
      <c r="AF46" s="295">
        <f t="shared" si="164"/>
        <v>-899199.12654606183</v>
      </c>
      <c r="AG46" s="295">
        <f t="shared" si="165"/>
        <v>-1481917.43704778</v>
      </c>
      <c r="AH46" s="295">
        <f t="shared" si="166"/>
        <v>-1392892.8221856623</v>
      </c>
      <c r="AI46" s="295">
        <f t="shared" si="167"/>
        <v>-1568908.837323728</v>
      </c>
      <c r="AJ46" s="295">
        <f t="shared" si="168"/>
        <v>-1437945.0300897611</v>
      </c>
      <c r="AK46" s="295">
        <f t="shared" si="169"/>
        <v>-2369793.019919103</v>
      </c>
      <c r="AL46" s="295">
        <f t="shared" si="170"/>
        <v>-1966925.897570526</v>
      </c>
      <c r="AM46" s="295">
        <f t="shared" si="171"/>
        <v>-2215480.8854689989</v>
      </c>
      <c r="AN46" s="295">
        <f t="shared" si="172"/>
        <v>-2030544.8300956099</v>
      </c>
      <c r="AO46" s="295">
        <f t="shared" si="173"/>
        <v>-3346422.0566853089</v>
      </c>
      <c r="AP46" s="295">
        <f t="shared" si="174"/>
        <v>-2720320.9068075651</v>
      </c>
      <c r="AQ46" s="295">
        <f t="shared" si="175"/>
        <v>-3064080.339182049</v>
      </c>
      <c r="AR46" s="295">
        <f t="shared" si="176"/>
        <v>-2808307.9084686483</v>
      </c>
      <c r="AS46" s="295">
        <f t="shared" si="177"/>
        <v>-4628207.8521855492</v>
      </c>
      <c r="AT46" s="295">
        <f t="shared" si="178"/>
        <v>-3682430.2761589754</v>
      </c>
      <c r="AU46" s="295">
        <f t="shared" si="179"/>
        <v>-4147768.8096838999</v>
      </c>
      <c r="AV46" s="295">
        <f t="shared" si="180"/>
        <v>-3801536.0765130445</v>
      </c>
      <c r="AW46" s="295">
        <f t="shared" si="181"/>
        <v>-6265089.0476174224</v>
      </c>
      <c r="AX46" s="244"/>
      <c r="AY46" s="295">
        <f>ARR!AY11</f>
        <v>-16286</v>
      </c>
      <c r="AZ46" s="295">
        <f>ARR!AZ11</f>
        <v>-52460</v>
      </c>
      <c r="BA46" s="295">
        <f>ARR!BA11</f>
        <v>-45900</v>
      </c>
      <c r="BB46" s="295">
        <f>ARR!BB11</f>
        <v>-28000</v>
      </c>
      <c r="BC46" s="295">
        <f>ARR!BC11</f>
        <v>-15600</v>
      </c>
      <c r="BD46" s="295">
        <f>ARR!BD11</f>
        <v>-22500</v>
      </c>
      <c r="BE46" s="295">
        <f>ARR!BE11</f>
        <v>0</v>
      </c>
      <c r="BF46" s="295">
        <f>ARR!BF11</f>
        <v>-53875</v>
      </c>
      <c r="BG46" s="295">
        <f>ARR!BG11</f>
        <v>-15560</v>
      </c>
      <c r="BH46" s="295">
        <f>ARR!BH11</f>
        <v>0</v>
      </c>
      <c r="BI46" s="295">
        <f>ARR!BI11</f>
        <v>-67700</v>
      </c>
      <c r="BJ46" s="295">
        <f>ARR!BJ11</f>
        <v>-131250</v>
      </c>
      <c r="BK46" s="295">
        <f>ARR!BK11</f>
        <v>-12000</v>
      </c>
      <c r="BL46" s="295">
        <f>ARR!BL11</f>
        <v>-77800</v>
      </c>
      <c r="BM46" s="295">
        <f>ARR!BM11</f>
        <v>-114600</v>
      </c>
      <c r="BN46" s="295">
        <f>ARR!BN11</f>
        <v>-73652</v>
      </c>
      <c r="BO46" s="295">
        <f>ARR!BO11</f>
        <v>-78433</v>
      </c>
      <c r="BP46" s="295">
        <f>ARR!BP11</f>
        <v>-101388</v>
      </c>
      <c r="BQ46" s="295">
        <f>ARR!BQ11</f>
        <v>-97986</v>
      </c>
      <c r="BR46" s="295">
        <f>ARR!BR11</f>
        <v>-35590</v>
      </c>
      <c r="BS46" s="295">
        <f>ARR!BS11</f>
        <v>-108352</v>
      </c>
      <c r="BT46" s="295">
        <f>ARR!BT11</f>
        <v>-64144</v>
      </c>
      <c r="BU46" s="295">
        <f>ARR!BU11</f>
        <v>-116973.71</v>
      </c>
      <c r="BV46" s="295">
        <f>ARR!BV11</f>
        <v>-288964</v>
      </c>
      <c r="BW46" s="295">
        <f>ARR!BW11</f>
        <v>-242513</v>
      </c>
      <c r="BX46" s="295">
        <f>ARR!BX11</f>
        <v>-224142</v>
      </c>
      <c r="BY46" s="295">
        <f>ARR!BY11</f>
        <v>-216620.67</v>
      </c>
      <c r="BZ46" s="295">
        <f>ARR!BZ11</f>
        <v>-193465.60000000001</v>
      </c>
      <c r="CA46" s="295">
        <f>ARR!CA11</f>
        <v>-157120</v>
      </c>
      <c r="CB46" s="295">
        <f>ARR!CB11</f>
        <v>-181700</v>
      </c>
      <c r="CC46" s="295">
        <f>ARR!CC11</f>
        <v>-197488.6</v>
      </c>
      <c r="CD46" s="295">
        <f>ARR!CD11</f>
        <v>-154499.6</v>
      </c>
      <c r="CE46" s="295">
        <f>ARR!CE11</f>
        <v>-237006.29358999999</v>
      </c>
      <c r="CF46" s="295">
        <f>ARR!CF11</f>
        <v>-164693.6</v>
      </c>
      <c r="CG46" s="295">
        <f>ARR!CG11</f>
        <v>-185188</v>
      </c>
      <c r="CH46" s="295">
        <f>ARR!CH11</f>
        <v>-243168.16</v>
      </c>
      <c r="CI46" s="83">
        <f>ARR!CI11</f>
        <v>-160350</v>
      </c>
      <c r="CJ46" s="83">
        <f>ARR!CJ11</f>
        <v>-120534.325882</v>
      </c>
      <c r="CK46" s="83">
        <f>ARR!CK11</f>
        <v>-346259.76285699999</v>
      </c>
      <c r="CL46" s="83">
        <f>ARR!CL11</f>
        <v>-233167.100519</v>
      </c>
      <c r="CM46" s="83">
        <f>ARR!CM11</f>
        <v>-151466.30831200001</v>
      </c>
      <c r="CN46" s="83">
        <f>ARR!CN11</f>
        <v>-202798.21176500001</v>
      </c>
      <c r="CO46" s="83">
        <f>ARR!CO11</f>
        <v>-104954.12052854933</v>
      </c>
      <c r="CP46" s="83">
        <f>ARR!CP11</f>
        <v>-164527.05531912687</v>
      </c>
      <c r="CQ46" s="83">
        <f>ARR!CQ11</f>
        <v>-322484.22923332348</v>
      </c>
      <c r="CR46" s="83">
        <f>ARR!CR11</f>
        <v>-143761.02240897116</v>
      </c>
      <c r="CS46" s="83">
        <f>ARR!CS11</f>
        <v>-277375.7983261504</v>
      </c>
      <c r="CT46" s="83">
        <f>ARR!CT11</f>
        <v>-385903.88055841217</v>
      </c>
      <c r="CU46" s="83">
        <f>ARR!CU11</f>
        <v>-188529.78993613296</v>
      </c>
      <c r="CV46" s="83">
        <f>ARR!CV11</f>
        <v>-238448.57047446986</v>
      </c>
      <c r="CW46" s="83">
        <f>ARR!CW11</f>
        <v>-444047.98821375472</v>
      </c>
      <c r="CX46" s="83">
        <f>ARR!CX11</f>
        <v>-294432.70467883151</v>
      </c>
      <c r="CY46" s="83">
        <f>ARR!CY11</f>
        <v>-241220.47153002501</v>
      </c>
      <c r="CZ46" s="83">
        <f>ARR!CZ11</f>
        <v>-445442.36404543917</v>
      </c>
      <c r="DA46" s="83">
        <f>ARR!DA11</f>
        <v>-296956.04807207431</v>
      </c>
      <c r="DB46" s="83">
        <f>ARR!DB11</f>
        <v>-232945.35269222077</v>
      </c>
      <c r="DC46" s="83">
        <f>ARR!DC11</f>
        <v>-369297.7257817667</v>
      </c>
      <c r="DD46" s="83">
        <f>ARR!DD11</f>
        <v>-291934.50606082636</v>
      </c>
      <c r="DE46" s="83">
        <f>ARR!DE11</f>
        <v>-613578.04372948129</v>
      </c>
      <c r="DF46" s="83">
        <f>ARR!DF11</f>
        <v>-576404.88725747238</v>
      </c>
      <c r="DG46" s="83">
        <f>ARR!DG11</f>
        <v>-301485.47352780611</v>
      </c>
      <c r="DH46" s="83">
        <f>ARR!DH11</f>
        <v>-381312.57774104184</v>
      </c>
      <c r="DI46" s="83">
        <f>ARR!DI11</f>
        <v>-710094.77091681445</v>
      </c>
      <c r="DJ46" s="83">
        <f>ARR!DJ11</f>
        <v>-470839.02985433384</v>
      </c>
      <c r="DK46" s="83">
        <f>ARR!DK11</f>
        <v>-385745.23479003849</v>
      </c>
      <c r="DL46" s="83">
        <f>ARR!DL11</f>
        <v>-712324.57267935562</v>
      </c>
      <c r="DM46" s="83">
        <f>ARR!DM11</f>
        <v>-474874.20847540366</v>
      </c>
      <c r="DN46" s="83">
        <f>ARR!DN11</f>
        <v>-372512.1636549175</v>
      </c>
      <c r="DO46" s="83">
        <f>ARR!DO11</f>
        <v>-590558.65795943991</v>
      </c>
      <c r="DP46" s="83">
        <f>ARR!DP11</f>
        <v>-466844.06124183536</v>
      </c>
      <c r="DQ46" s="83">
        <f>ARR!DQ11</f>
        <v>-981197.01466125692</v>
      </c>
      <c r="DR46" s="83">
        <f>ARR!DR11</f>
        <v>-921751.94401601073</v>
      </c>
      <c r="DS46" s="83">
        <f>ARR!DS11</f>
        <v>-425732.38671202841</v>
      </c>
      <c r="DT46" s="83">
        <f>ARR!DT11</f>
        <v>-538457.49815218616</v>
      </c>
      <c r="DU46" s="83">
        <f>ARR!DU11</f>
        <v>-1002736.0127063114</v>
      </c>
      <c r="DV46" s="83">
        <f>ARR!DV11</f>
        <v>-664879.21156365052</v>
      </c>
      <c r="DW46" s="83">
        <f>ARR!DW11</f>
        <v>-544716.92300228984</v>
      </c>
      <c r="DX46" s="83">
        <f>ARR!DX11</f>
        <v>-1005884.7509030583</v>
      </c>
      <c r="DY46" s="83">
        <f>ARR!DY11</f>
        <v>-670577.35086388118</v>
      </c>
      <c r="DZ46" s="83">
        <f>ARR!DZ11</f>
        <v>-526030.29478116101</v>
      </c>
      <c r="EA46" s="83">
        <f>ARR!EA11</f>
        <v>-833937.1844505677</v>
      </c>
      <c r="EB46" s="83">
        <f>ARR!EB11</f>
        <v>-659237.8534499841</v>
      </c>
      <c r="EC46" s="83">
        <f>ARR!EC11</f>
        <v>-1385563.7619897695</v>
      </c>
      <c r="ED46" s="83">
        <f>ARR!ED11</f>
        <v>-1301620.4412455556</v>
      </c>
      <c r="EE46" s="83">
        <f>ARR!EE11</f>
        <v>-588801.39496271405</v>
      </c>
      <c r="EF46" s="83">
        <f>ARR!EF11</f>
        <v>-744703.79970080545</v>
      </c>
      <c r="EG46" s="83">
        <f>ARR!EG11</f>
        <v>-1386815.7121440459</v>
      </c>
      <c r="EH46" s="83">
        <f>ARR!EH11</f>
        <v>-919549.03941849002</v>
      </c>
      <c r="EI46" s="83">
        <f>ARR!EI11</f>
        <v>-753360.78281611239</v>
      </c>
      <c r="EJ46" s="83">
        <f>ARR!EJ11</f>
        <v>-1391170.5169474469</v>
      </c>
      <c r="EK46" s="83">
        <f>ARR!EK11</f>
        <v>-927429.74681446538</v>
      </c>
      <c r="EL46" s="83">
        <f>ARR!EL11</f>
        <v>-727516.58325045253</v>
      </c>
      <c r="EM46" s="83">
        <f>ARR!EM11</f>
        <v>-1153361.5784037304</v>
      </c>
      <c r="EN46" s="83">
        <f>ARR!EN11</f>
        <v>-911746.86220462038</v>
      </c>
      <c r="EO46" s="83">
        <f>ARR!EO11</f>
        <v>-1916278.6326171518</v>
      </c>
      <c r="EP46" s="83">
        <f>ARR!EP11</f>
        <v>-1800182.3573637772</v>
      </c>
      <c r="EQ46" s="83">
        <f>ARR!EQ11</f>
        <v>-797045.70075883204</v>
      </c>
      <c r="ER46" s="83">
        <f>ARR!ER11</f>
        <v>-1008086.8811934129</v>
      </c>
      <c r="ES46" s="83">
        <f>ARR!ES11</f>
        <v>-1877297.6942067305</v>
      </c>
      <c r="ET46" s="83">
        <f>ARR!ET11</f>
        <v>-1244770.502882103</v>
      </c>
      <c r="EU46" s="83">
        <f>ARR!EU11</f>
        <v>-1019805.6224067113</v>
      </c>
      <c r="EV46" s="83">
        <f>ARR!EV11</f>
        <v>-1883192.6843950856</v>
      </c>
      <c r="EW46" s="83">
        <f>ARR!EW11</f>
        <v>-1255438.4190973798</v>
      </c>
      <c r="EX46" s="83">
        <f>ARR!EX11</f>
        <v>-984820.97676967643</v>
      </c>
      <c r="EY46" s="83">
        <f>ARR!EY11</f>
        <v>-1561276.6806459886</v>
      </c>
      <c r="EZ46" s="83">
        <f>ARR!EZ11</f>
        <v>-1234208.8910074108</v>
      </c>
      <c r="FA46" s="83">
        <f>ARR!FA11</f>
        <v>-2594018.388289033</v>
      </c>
      <c r="FB46" s="83">
        <f>ARR!FB11</f>
        <v>-2436861.7683209782</v>
      </c>
    </row>
    <row r="47" spans="1:158" x14ac:dyDescent="0.25">
      <c r="A47" t="s">
        <v>607</v>
      </c>
      <c r="C47" s="291" t="s">
        <v>24</v>
      </c>
      <c r="D47" s="30">
        <f t="shared" ref="D47:I47" si="182">SUM(D42:D46)</f>
        <v>9641502.6300000045</v>
      </c>
      <c r="E47" s="30">
        <f t="shared" si="182"/>
        <v>17564589.410915006</v>
      </c>
      <c r="F47" s="30">
        <f t="shared" si="182"/>
        <v>25508107.217652008</v>
      </c>
      <c r="G47" s="30">
        <f t="shared" si="182"/>
        <v>41315676.316121288</v>
      </c>
      <c r="H47" s="30">
        <f t="shared" si="182"/>
        <v>60381079.580205388</v>
      </c>
      <c r="I47" s="68">
        <f t="shared" si="182"/>
        <v>85265073.706972077</v>
      </c>
      <c r="J47" s="68">
        <f t="shared" ref="J47:L47" si="183">SUM(J42:J46)</f>
        <v>117924301.52658938</v>
      </c>
      <c r="K47" s="68">
        <f t="shared" si="183"/>
        <v>159631173.34786245</v>
      </c>
      <c r="L47" s="68">
        <f t="shared" si="183"/>
        <v>211318681.79065552</v>
      </c>
      <c r="M47" s="292"/>
      <c r="N47" s="30">
        <f t="shared" ref="N47:AW47" si="184">SUM(N42:N46)</f>
        <v>5012576.6700000046</v>
      </c>
      <c r="O47" s="30">
        <f t="shared" si="184"/>
        <v>6021300.6700000055</v>
      </c>
      <c r="P47" s="30">
        <f t="shared" si="184"/>
        <v>7499475.1700000055</v>
      </c>
      <c r="Q47" s="30">
        <f t="shared" si="184"/>
        <v>9641502.6300000064</v>
      </c>
      <c r="R47" s="30">
        <f t="shared" si="184"/>
        <v>11527145.160000008</v>
      </c>
      <c r="S47" s="30">
        <f t="shared" si="184"/>
        <v>13624699.520000005</v>
      </c>
      <c r="T47" s="30">
        <f t="shared" si="184"/>
        <v>15365320.280000005</v>
      </c>
      <c r="U47" s="30">
        <f t="shared" si="184"/>
        <v>17564589.410915006</v>
      </c>
      <c r="V47" s="30">
        <f t="shared" si="184"/>
        <v>18269105.373149004</v>
      </c>
      <c r="W47" s="30">
        <f t="shared" si="184"/>
        <v>20604136.826187003</v>
      </c>
      <c r="X47" s="30">
        <f t="shared" si="184"/>
        <v>22340644.505196001</v>
      </c>
      <c r="Y47" s="30">
        <f t="shared" si="184"/>
        <v>25508107.217652</v>
      </c>
      <c r="Z47" s="30">
        <f t="shared" si="184"/>
        <v>27980246.216047999</v>
      </c>
      <c r="AA47" s="30">
        <f t="shared" si="184"/>
        <v>32000090.893999003</v>
      </c>
      <c r="AB47" s="30">
        <f t="shared" si="184"/>
        <v>36030717.42866005</v>
      </c>
      <c r="AC47" s="30">
        <f t="shared" si="184"/>
        <v>41315676.31612128</v>
      </c>
      <c r="AD47" s="30">
        <f t="shared" si="184"/>
        <v>44537598.054279454</v>
      </c>
      <c r="AE47" s="30">
        <f t="shared" si="184"/>
        <v>49046421.267289504</v>
      </c>
      <c r="AF47" s="30">
        <f t="shared" si="184"/>
        <v>53576562.602930397</v>
      </c>
      <c r="AG47" s="30">
        <f t="shared" si="184"/>
        <v>60381079.580205359</v>
      </c>
      <c r="AH47" s="30">
        <f t="shared" si="184"/>
        <v>64721597.072871126</v>
      </c>
      <c r="AI47" s="30">
        <f t="shared" si="184"/>
        <v>71012278.214738801</v>
      </c>
      <c r="AJ47" s="30">
        <f t="shared" si="184"/>
        <v>76955631.312567174</v>
      </c>
      <c r="AK47" s="30">
        <f t="shared" si="184"/>
        <v>85265073.706972048</v>
      </c>
      <c r="AL47" s="30">
        <f t="shared" si="184"/>
        <v>90942125.923466697</v>
      </c>
      <c r="AM47" s="30">
        <f t="shared" si="184"/>
        <v>99211618.914439589</v>
      </c>
      <c r="AN47" s="30">
        <f t="shared" si="184"/>
        <v>107028646.16562246</v>
      </c>
      <c r="AO47" s="30">
        <f t="shared" si="184"/>
        <v>117924301.52658935</v>
      </c>
      <c r="AP47" s="30">
        <f t="shared" si="184"/>
        <v>125144488.1460892</v>
      </c>
      <c r="AQ47" s="30">
        <f t="shared" si="184"/>
        <v>135724765.64570612</v>
      </c>
      <c r="AR47" s="30">
        <f t="shared" si="184"/>
        <v>145732319.03300801</v>
      </c>
      <c r="AS47" s="30">
        <f t="shared" si="184"/>
        <v>159631173.3478623</v>
      </c>
      <c r="AT47" s="30">
        <f t="shared" si="184"/>
        <v>168535027.34599689</v>
      </c>
      <c r="AU47" s="30">
        <f t="shared" si="184"/>
        <v>181676865.63609591</v>
      </c>
      <c r="AV47" s="30">
        <f t="shared" si="184"/>
        <v>194116518.50414619</v>
      </c>
      <c r="AW47" s="30">
        <f t="shared" si="184"/>
        <v>211318681.79065537</v>
      </c>
      <c r="AX47" s="244"/>
      <c r="AY47" s="244">
        <f>ARR!AY12</f>
        <v>4099936.4700000053</v>
      </c>
      <c r="AZ47" s="244">
        <f>ARR!AZ12</f>
        <v>4510001.4700000053</v>
      </c>
      <c r="BA47" s="244">
        <f>ARR!BA12</f>
        <v>5012576.6700000055</v>
      </c>
      <c r="BB47" s="244">
        <f>ARR!BB12</f>
        <v>5178116.6700000055</v>
      </c>
      <c r="BC47" s="244">
        <f>ARR!BC12</f>
        <v>5508016.6700000055</v>
      </c>
      <c r="BD47" s="244">
        <f>ARR!BD12</f>
        <v>6021300.6700000055</v>
      </c>
      <c r="BE47" s="244">
        <f>ARR!BE12</f>
        <v>6341477.3400000054</v>
      </c>
      <c r="BF47" s="244">
        <f>ARR!BF12</f>
        <v>6772890.8400000054</v>
      </c>
      <c r="BG47" s="244">
        <f>ARR!BG12</f>
        <v>7499475.1700000055</v>
      </c>
      <c r="BH47" s="244">
        <f>ARR!BH12</f>
        <v>7996907.1700000055</v>
      </c>
      <c r="BI47" s="244">
        <f>ARR!BI12</f>
        <v>8881420.1700000055</v>
      </c>
      <c r="BJ47" s="244">
        <f>ARR!BJ12</f>
        <v>9641502.6300000064</v>
      </c>
      <c r="BK47" s="244">
        <f>ARR!BK12</f>
        <v>9957435.9600000065</v>
      </c>
      <c r="BL47" s="244">
        <f>ARR!BL12</f>
        <v>10569535.790000007</v>
      </c>
      <c r="BM47" s="244">
        <f>ARR!BM12</f>
        <v>11527145.160000006</v>
      </c>
      <c r="BN47" s="244">
        <f>ARR!BN12</f>
        <v>12032413.690000005</v>
      </c>
      <c r="BO47" s="244">
        <f>ARR!BO12</f>
        <v>12730500.880000005</v>
      </c>
      <c r="BP47" s="244">
        <f>ARR!BP12</f>
        <v>13624699.520000005</v>
      </c>
      <c r="BQ47" s="244">
        <f>ARR!BQ12</f>
        <v>13969628.690000005</v>
      </c>
      <c r="BR47" s="244">
        <f>ARR!BR12</f>
        <v>14364605.690000005</v>
      </c>
      <c r="BS47" s="244">
        <f>ARR!BS12</f>
        <v>15365320.280000005</v>
      </c>
      <c r="BT47" s="244">
        <f>ARR!BT12</f>
        <v>15731030.960000005</v>
      </c>
      <c r="BU47" s="244">
        <f>ARR!BU12</f>
        <v>16626468.750000006</v>
      </c>
      <c r="BV47" s="244">
        <f>ARR!BV12</f>
        <v>17564589.410915006</v>
      </c>
      <c r="BW47" s="244">
        <f>ARR!BW12</f>
        <v>17589616.270915005</v>
      </c>
      <c r="BX47" s="244">
        <f>ARR!BX12</f>
        <v>17756749.793039005</v>
      </c>
      <c r="BY47" s="244">
        <f>ARR!BY12</f>
        <v>18269105.373149004</v>
      </c>
      <c r="BZ47" s="244">
        <f>ARR!BZ12</f>
        <v>18521839.063918006</v>
      </c>
      <c r="CA47" s="244">
        <f>ARR!CA12</f>
        <v>19044539.668825004</v>
      </c>
      <c r="CB47" s="244">
        <f>ARR!CB12</f>
        <v>20604136.826187003</v>
      </c>
      <c r="CC47" s="244">
        <f>ARR!CC12</f>
        <v>20734504.463366002</v>
      </c>
      <c r="CD47" s="244">
        <f>ARR!CD12</f>
        <v>21356765.968383003</v>
      </c>
      <c r="CE47" s="244">
        <f>ARR!CE12</f>
        <v>22340644.505196001</v>
      </c>
      <c r="CF47" s="244">
        <f>ARR!CF12</f>
        <v>22896400.661571</v>
      </c>
      <c r="CG47" s="244">
        <f>ARR!CG12</f>
        <v>23843709.285344001</v>
      </c>
      <c r="CH47" s="244">
        <f>ARR!CH12</f>
        <v>25508107.217652</v>
      </c>
      <c r="CI47" s="50">
        <f>ARR!CI12</f>
        <v>25944830.313618001</v>
      </c>
      <c r="CJ47" s="50">
        <f>ARR!CJ12</f>
        <v>26680390.815124001</v>
      </c>
      <c r="CK47" s="50">
        <f>ARR!CK12</f>
        <v>27980246.216048002</v>
      </c>
      <c r="CL47" s="50">
        <f>ARR!CL12</f>
        <v>28550875.870068002</v>
      </c>
      <c r="CM47" s="50">
        <f>ARR!CM12</f>
        <v>29863117.937316004</v>
      </c>
      <c r="CN47" s="50">
        <f>ARR!CN12</f>
        <v>32000090.893999003</v>
      </c>
      <c r="CO47" s="50">
        <f>ARR!CO12</f>
        <v>32584415.222394947</v>
      </c>
      <c r="CP47" s="50">
        <f>ARR!CP12</f>
        <v>34048646.714760482</v>
      </c>
      <c r="CQ47" s="50">
        <f>ARR!CQ12</f>
        <v>36030717.428660035</v>
      </c>
      <c r="CR47" s="50">
        <f>ARR!CR12</f>
        <v>36480116.964594282</v>
      </c>
      <c r="CS47" s="50">
        <f>ARR!CS12</f>
        <v>38651099.411555104</v>
      </c>
      <c r="CT47" s="50">
        <f>ARR!CT12</f>
        <v>41315676.31612128</v>
      </c>
      <c r="CU47" s="50">
        <f>ARR!CU12</f>
        <v>41649939.388837047</v>
      </c>
      <c r="CV47" s="50">
        <f>ARR!CV12</f>
        <v>42604230.532208942</v>
      </c>
      <c r="CW47" s="50">
        <f>ARR!CW12</f>
        <v>44537598.054279454</v>
      </c>
      <c r="CX47" s="50">
        <f>ARR!CX12</f>
        <v>45164677.023952574</v>
      </c>
      <c r="CY47" s="50">
        <f>ARR!CY12</f>
        <v>46814519.651795663</v>
      </c>
      <c r="CZ47" s="50">
        <f>ARR!CZ12</f>
        <v>49046421.26728949</v>
      </c>
      <c r="DA47" s="50">
        <f>ARR!DA12</f>
        <v>49630789.796066143</v>
      </c>
      <c r="DB47" s="50">
        <f>ARR!DB12</f>
        <v>51043097.039484277</v>
      </c>
      <c r="DC47" s="50">
        <f>ARR!DC12</f>
        <v>53576562.602930389</v>
      </c>
      <c r="DD47" s="50">
        <f>ARR!DD12</f>
        <v>54497909.177640155</v>
      </c>
      <c r="DE47" s="50">
        <f>ARR!DE12</f>
        <v>57161747.170220114</v>
      </c>
      <c r="DF47" s="50">
        <f>ARR!DF12</f>
        <v>60381079.580205351</v>
      </c>
      <c r="DG47" s="50">
        <f>ARR!DG12</f>
        <v>60844513.093447305</v>
      </c>
      <c r="DH47" s="50">
        <f>ARR!DH12</f>
        <v>62142419.737607859</v>
      </c>
      <c r="DI47" s="50">
        <f>ARR!DI12</f>
        <v>64721597.072871134</v>
      </c>
      <c r="DJ47" s="50">
        <f>ARR!DJ12</f>
        <v>65628803.316996716</v>
      </c>
      <c r="DK47" s="50">
        <f>ARR!DK12</f>
        <v>67951466.037505656</v>
      </c>
      <c r="DL47" s="50">
        <f>ARR!DL12</f>
        <v>71012278.214738786</v>
      </c>
      <c r="DM47" s="50">
        <f>ARR!DM12</f>
        <v>71726939.287662864</v>
      </c>
      <c r="DN47" s="50">
        <f>ARR!DN12</f>
        <v>73593444.626973122</v>
      </c>
      <c r="DO47" s="50">
        <f>ARR!DO12</f>
        <v>76955631.312567174</v>
      </c>
      <c r="DP47" s="50">
        <f>ARR!DP12</f>
        <v>77939702.086278066</v>
      </c>
      <c r="DQ47" s="50">
        <f>ARR!DQ12</f>
        <v>81216810.304345638</v>
      </c>
      <c r="DR47" s="50">
        <f>ARR!DR12</f>
        <v>85265073.706972048</v>
      </c>
      <c r="DS47" s="50">
        <f>ARR!DS12</f>
        <v>85857017.518521056</v>
      </c>
      <c r="DT47" s="50">
        <f>ARR!DT12</f>
        <v>87557845.287186086</v>
      </c>
      <c r="DU47" s="50">
        <f>ARR!DU12</f>
        <v>90942125.923466668</v>
      </c>
      <c r="DV47" s="50">
        <f>ARR!DV12</f>
        <v>92111986.354833737</v>
      </c>
      <c r="DW47" s="50">
        <f>ARR!DW12</f>
        <v>95183248.440515652</v>
      </c>
      <c r="DX47" s="50">
        <f>ARR!DX12</f>
        <v>99211618.914439619</v>
      </c>
      <c r="DY47" s="50">
        <f>ARR!DY12</f>
        <v>100123531.23601428</v>
      </c>
      <c r="DZ47" s="50">
        <f>ARR!DZ12</f>
        <v>102585807.50903952</v>
      </c>
      <c r="EA47" s="50">
        <f>ARR!EA12</f>
        <v>107028646.16562246</v>
      </c>
      <c r="EB47" s="50">
        <f>ARR!EB12</f>
        <v>108301701.60675406</v>
      </c>
      <c r="EC47" s="50">
        <f>ARR!EC12</f>
        <v>112594442.28824216</v>
      </c>
      <c r="ED47" s="50">
        <f>ARR!ED12</f>
        <v>117924301.52658933</v>
      </c>
      <c r="EE47" s="50">
        <f>ARR!EE12</f>
        <v>118655759.31146483</v>
      </c>
      <c r="EF47" s="50">
        <f>ARR!EF12</f>
        <v>120823832.49463625</v>
      </c>
      <c r="EG47" s="50">
        <f>ARR!EG12</f>
        <v>125144488.14608918</v>
      </c>
      <c r="EH47" s="50">
        <f>ARR!EH12</f>
        <v>126607179.28576194</v>
      </c>
      <c r="EI47" s="50">
        <f>ARR!EI12</f>
        <v>130563617.25014083</v>
      </c>
      <c r="EJ47" s="50">
        <f>ARR!EJ12</f>
        <v>135724765.64570612</v>
      </c>
      <c r="EK47" s="50">
        <f>ARR!EK12</f>
        <v>136850177.73271716</v>
      </c>
      <c r="EL47" s="50">
        <f>ARR!EL12</f>
        <v>140013454.08636019</v>
      </c>
      <c r="EM47" s="50">
        <f>ARR!EM12</f>
        <v>145732319.03300792</v>
      </c>
      <c r="EN47" s="50">
        <f>ARR!EN12</f>
        <v>147330268.28107041</v>
      </c>
      <c r="EO47" s="50">
        <f>ARR!EO12</f>
        <v>152799722.50455061</v>
      </c>
      <c r="EP47" s="50">
        <f>ARR!EP12</f>
        <v>159631173.34786233</v>
      </c>
      <c r="EQ47" s="50">
        <f>ARR!EQ12</f>
        <v>160501151.99363193</v>
      </c>
      <c r="ER47" s="50">
        <f>ARR!ER12</f>
        <v>163182178.19600391</v>
      </c>
      <c r="ES47" s="50">
        <f>ARR!ES12</f>
        <v>168535027.34599689</v>
      </c>
      <c r="ET47" s="50">
        <f>ARR!ET12</f>
        <v>170301102.47782815</v>
      </c>
      <c r="EU47" s="50">
        <f>ARR!EU12</f>
        <v>175255575.1366775</v>
      </c>
      <c r="EV47" s="50">
        <f>ARR!EV12</f>
        <v>181676865.63609594</v>
      </c>
      <c r="EW47" s="50">
        <f>ARR!EW12</f>
        <v>183013203.70690235</v>
      </c>
      <c r="EX47" s="50">
        <f>ARR!EX12</f>
        <v>186961626.56538308</v>
      </c>
      <c r="EY47" s="50">
        <f>ARR!EY12</f>
        <v>194116518.50414619</v>
      </c>
      <c r="EZ47" s="50">
        <f>ARR!EZ12</f>
        <v>196055404.86434168</v>
      </c>
      <c r="FA47" s="50">
        <f>ARR!FA12</f>
        <v>202815052.30391991</v>
      </c>
      <c r="FB47" s="50">
        <f>ARR!FB12</f>
        <v>211318681.79065534</v>
      </c>
    </row>
    <row r="48" spans="1:158" x14ac:dyDescent="0.25">
      <c r="C48" s="289"/>
      <c r="D48" s="244"/>
      <c r="E48" s="244"/>
      <c r="F48" s="244"/>
      <c r="G48" s="244"/>
      <c r="H48" s="244"/>
      <c r="I48" s="244"/>
      <c r="J48" s="244"/>
      <c r="K48" s="244"/>
      <c r="L48" s="244"/>
      <c r="M48" s="244"/>
      <c r="N48" s="244"/>
      <c r="O48" s="244"/>
      <c r="P48" s="244"/>
      <c r="Q48" s="244"/>
      <c r="R48" s="244"/>
      <c r="S48" s="244"/>
      <c r="T48" s="244"/>
      <c r="U48" s="244"/>
      <c r="V48" s="244"/>
      <c r="W48" s="244"/>
      <c r="X48" s="244"/>
      <c r="Y48" s="244"/>
      <c r="Z48" s="244"/>
      <c r="AA48" s="244"/>
      <c r="AB48" s="244"/>
      <c r="AC48" s="244"/>
      <c r="AD48" s="244"/>
      <c r="AE48" s="244"/>
      <c r="AF48" s="244"/>
      <c r="AG48" s="244"/>
      <c r="AH48" s="244"/>
      <c r="AI48" s="244"/>
      <c r="AJ48" s="244"/>
      <c r="AK48" s="244"/>
      <c r="AL48" s="244"/>
      <c r="AM48" s="244"/>
      <c r="AN48" s="244"/>
      <c r="AO48" s="244"/>
      <c r="AP48" s="244"/>
      <c r="AQ48" s="244"/>
      <c r="AR48" s="244"/>
      <c r="AS48" s="244"/>
      <c r="AT48" s="244"/>
      <c r="AU48" s="244"/>
      <c r="AV48" s="244"/>
      <c r="AW48" s="244"/>
      <c r="AX48" s="244"/>
      <c r="AY48" s="244"/>
      <c r="AZ48" s="244"/>
      <c r="BA48" s="244"/>
      <c r="BB48" s="244"/>
      <c r="BC48" s="244"/>
      <c r="BD48" s="244"/>
      <c r="BE48" s="244"/>
      <c r="BF48" s="244"/>
      <c r="BG48" s="244"/>
      <c r="BH48" s="244"/>
      <c r="BI48" s="244"/>
      <c r="BJ48" s="244"/>
      <c r="BK48" s="244"/>
      <c r="BL48" s="244"/>
      <c r="BM48" s="244"/>
      <c r="BN48" s="244"/>
      <c r="BO48" s="244"/>
      <c r="BP48" s="244"/>
      <c r="BQ48" s="244"/>
      <c r="BR48" s="244"/>
      <c r="BS48" s="244"/>
      <c r="BT48" s="244"/>
      <c r="BU48" s="244"/>
      <c r="BV48" s="244"/>
      <c r="BW48" s="244"/>
      <c r="BX48" s="244"/>
      <c r="BY48" s="244"/>
      <c r="BZ48" s="244"/>
      <c r="CA48" s="244"/>
      <c r="CB48" s="244"/>
      <c r="CC48" s="244"/>
      <c r="CD48" s="244"/>
      <c r="CE48" s="244"/>
      <c r="CF48" s="244"/>
      <c r="CG48" s="244"/>
      <c r="CH48" s="244"/>
      <c r="CI48" s="99"/>
      <c r="CJ48" s="99"/>
      <c r="CK48" s="99"/>
      <c r="CL48" s="99"/>
      <c r="CM48" s="99"/>
      <c r="CN48" s="99"/>
      <c r="CO48" s="99"/>
      <c r="CP48" s="99"/>
      <c r="CQ48" s="99"/>
      <c r="CR48" s="99"/>
      <c r="CS48" s="99"/>
      <c r="CT48" s="99"/>
    </row>
    <row r="49" spans="1:158" x14ac:dyDescent="0.25">
      <c r="C49" s="1" t="s">
        <v>608</v>
      </c>
      <c r="D49" s="244"/>
      <c r="E49" s="244"/>
      <c r="F49" s="244"/>
      <c r="G49" s="244"/>
      <c r="H49" s="244"/>
      <c r="I49" s="244"/>
      <c r="J49" s="244"/>
      <c r="K49" s="244"/>
      <c r="L49" s="244"/>
      <c r="M49" s="244"/>
      <c r="N49" s="244"/>
      <c r="O49" s="244"/>
      <c r="P49" s="244"/>
      <c r="Q49" s="244"/>
      <c r="R49" s="244"/>
      <c r="S49" s="244"/>
      <c r="T49" s="244"/>
      <c r="U49" s="244"/>
      <c r="V49" s="244"/>
      <c r="W49" s="244"/>
      <c r="X49" s="244"/>
      <c r="Y49" s="244"/>
      <c r="Z49" s="244"/>
      <c r="AA49" s="244"/>
      <c r="AB49" s="244"/>
      <c r="AC49" s="244"/>
      <c r="AD49" s="244"/>
      <c r="AE49" s="244"/>
      <c r="AF49" s="244"/>
      <c r="AG49" s="244"/>
      <c r="AH49" s="244"/>
      <c r="AI49" s="244"/>
      <c r="AJ49" s="244"/>
      <c r="AK49" s="244"/>
      <c r="AL49" s="244"/>
      <c r="AM49" s="244"/>
      <c r="AN49" s="244"/>
      <c r="AO49" s="244"/>
      <c r="AP49" s="244"/>
      <c r="AQ49" s="244"/>
      <c r="AR49" s="244"/>
      <c r="AS49" s="244"/>
      <c r="AT49" s="244"/>
      <c r="AU49" s="244"/>
      <c r="AV49" s="244"/>
      <c r="AW49" s="244"/>
      <c r="AX49" s="244"/>
      <c r="AY49" s="244"/>
      <c r="AZ49" s="244"/>
      <c r="BA49" s="244"/>
      <c r="BB49" s="244"/>
      <c r="BC49" s="244"/>
      <c r="BD49" s="244"/>
      <c r="BE49" s="244"/>
      <c r="BF49" s="244"/>
      <c r="BG49" s="244"/>
      <c r="BH49" s="244"/>
      <c r="BI49" s="244"/>
      <c r="BJ49" s="244"/>
      <c r="BK49" s="244"/>
      <c r="BL49" s="244"/>
      <c r="BM49" s="244"/>
      <c r="BN49" s="244"/>
      <c r="BO49" s="244"/>
      <c r="BP49" s="244"/>
      <c r="BQ49" s="244"/>
      <c r="BR49" s="244"/>
      <c r="BS49" s="244"/>
      <c r="BT49" s="244"/>
      <c r="BU49" s="244"/>
      <c r="BV49" s="244"/>
      <c r="BW49" s="244"/>
      <c r="BX49" s="244"/>
      <c r="BY49" s="244"/>
      <c r="BZ49" s="244"/>
      <c r="CA49" s="244"/>
      <c r="CB49" s="244"/>
      <c r="CC49" s="244"/>
      <c r="CD49" s="244"/>
      <c r="CE49" s="244"/>
      <c r="CF49" s="244"/>
      <c r="CG49" s="244"/>
      <c r="CH49" s="244"/>
      <c r="CI49" s="99"/>
      <c r="CJ49" s="99"/>
      <c r="CK49" s="99"/>
      <c r="CL49" s="99"/>
      <c r="CM49" s="99"/>
      <c r="CN49" s="99"/>
      <c r="CO49" s="99"/>
      <c r="CP49" s="99"/>
      <c r="CQ49" s="99"/>
      <c r="CR49" s="99"/>
      <c r="CS49" s="99"/>
      <c r="CT49" s="99"/>
    </row>
    <row r="50" spans="1:158" x14ac:dyDescent="0.25">
      <c r="A50" t="s">
        <v>608</v>
      </c>
      <c r="C50" s="2" t="s">
        <v>18</v>
      </c>
      <c r="D50" s="30">
        <f>AY50</f>
        <v>4968899.0999999959</v>
      </c>
      <c r="E50" s="30">
        <f>BK50</f>
        <v>10555668.359999996</v>
      </c>
      <c r="F50" s="30">
        <f>BW50</f>
        <v>18674405.869999997</v>
      </c>
      <c r="G50" s="30">
        <f>CI50</f>
        <v>28887778.617401</v>
      </c>
      <c r="H50" s="68">
        <f>G55</f>
        <v>49340041.186968766</v>
      </c>
      <c r="I50" s="68">
        <f>H55</f>
        <v>74827910.679417253</v>
      </c>
      <c r="J50" s="68">
        <f>I55</f>
        <v>109833179.49558161</v>
      </c>
      <c r="K50" s="68">
        <f t="shared" ref="K50" si="185">J55</f>
        <v>156967856.0286496</v>
      </c>
      <c r="L50" s="68">
        <f t="shared" ref="L50" si="186">K55</f>
        <v>219081987.50791454</v>
      </c>
      <c r="M50" s="292"/>
      <c r="N50" s="30">
        <f>AY50</f>
        <v>4968899.0999999959</v>
      </c>
      <c r="O50" s="30">
        <f>BB50</f>
        <v>6068787.0999999959</v>
      </c>
      <c r="P50" s="30">
        <f>BE50</f>
        <v>7706621.929999995</v>
      </c>
      <c r="Q50" s="30">
        <f>BH50</f>
        <v>8919092.389999995</v>
      </c>
      <c r="R50" s="30">
        <f>BK50</f>
        <v>10555668.359999996</v>
      </c>
      <c r="S50" s="30">
        <f>BN50</f>
        <v>12060701.909999995</v>
      </c>
      <c r="T50" s="30">
        <f>BQ50</f>
        <v>13615801.069999995</v>
      </c>
      <c r="U50" s="30">
        <f>BT50</f>
        <v>15801753.029999996</v>
      </c>
      <c r="V50" s="30">
        <f>BW50</f>
        <v>18674405.869999997</v>
      </c>
      <c r="W50" s="30">
        <f>BZ50</f>
        <v>20642642.381428998</v>
      </c>
      <c r="X50" s="30">
        <f>CC50</f>
        <v>23138299.835349001</v>
      </c>
      <c r="Y50" s="30">
        <f>CF50</f>
        <v>25084015.739708003</v>
      </c>
      <c r="Z50" s="30">
        <f>CI50</f>
        <v>28887778.617401</v>
      </c>
      <c r="AA50" s="30">
        <f>CL50</f>
        <v>31379245.637026995</v>
      </c>
      <c r="AB50" s="30">
        <f>CO50</f>
        <v>34992812.36367999</v>
      </c>
      <c r="AC50" s="30">
        <f>CR50</f>
        <v>40744874.18544434</v>
      </c>
      <c r="AD50" s="30">
        <f>CU50</f>
        <v>49340041.186968744</v>
      </c>
      <c r="AE50" s="30">
        <f>CX50</f>
        <v>53741521.324630708</v>
      </c>
      <c r="AF50" s="30">
        <f>DA50</f>
        <v>59757083.203853764</v>
      </c>
      <c r="AG50" s="30">
        <f>DD50</f>
        <v>65748708.573807195</v>
      </c>
      <c r="AH50" s="30">
        <f>DG50</f>
        <v>74827910.679417253</v>
      </c>
      <c r="AI50" s="30">
        <f>DJ50</f>
        <v>81080907.583122909</v>
      </c>
      <c r="AJ50" s="30">
        <f>DM50</f>
        <v>89831509.044623822</v>
      </c>
      <c r="AK50" s="30">
        <f>DP50</f>
        <v>98068224.468453571</v>
      </c>
      <c r="AL50" s="30">
        <f>DS50</f>
        <v>109833179.49558167</v>
      </c>
      <c r="AM50" s="30">
        <f>DV50</f>
        <v>118242092.86624253</v>
      </c>
      <c r="AN50" s="30">
        <f>DY50</f>
        <v>130032025.70328888</v>
      </c>
      <c r="AO50" s="30">
        <f>EB50</f>
        <v>141131860.64881754</v>
      </c>
      <c r="AP50" s="30">
        <f>EE50</f>
        <v>156967856.02864963</v>
      </c>
      <c r="AQ50" s="30">
        <f>EH50</f>
        <v>168035625.42319304</v>
      </c>
      <c r="AR50" s="30">
        <f>EK50</f>
        <v>183581483.45036966</v>
      </c>
      <c r="AS50" s="30">
        <f>EN50</f>
        <v>198220252.60708174</v>
      </c>
      <c r="AT50" s="30">
        <f>EQ50</f>
        <v>219081987.5079146</v>
      </c>
      <c r="AU50" s="30">
        <f>ET50</f>
        <v>233315067.1706391</v>
      </c>
      <c r="AV50" s="30">
        <f>EW50</f>
        <v>253344075.73535123</v>
      </c>
      <c r="AW50" s="30">
        <f>EZ50</f>
        <v>272208184.21093541</v>
      </c>
      <c r="AX50" s="244"/>
      <c r="AY50" s="244">
        <f>ARR!AY18</f>
        <v>4968899.0999999959</v>
      </c>
      <c r="AZ50" s="244">
        <f>ARR!AZ18</f>
        <v>5074709.0999999959</v>
      </c>
      <c r="BA50" s="244">
        <f>ARR!BA18</f>
        <v>5346709.0999999959</v>
      </c>
      <c r="BB50" s="244">
        <f>ARR!BB18</f>
        <v>6068787.0999999959</v>
      </c>
      <c r="BC50" s="244">
        <f>ARR!BC18</f>
        <v>6231783.5299999956</v>
      </c>
      <c r="BD50" s="244">
        <f>ARR!BD18</f>
        <v>6849730.2099999953</v>
      </c>
      <c r="BE50" s="244">
        <f>ARR!BE18</f>
        <v>7706621.929999995</v>
      </c>
      <c r="BF50" s="244">
        <f>ARR!BF18</f>
        <v>7779171.929999995</v>
      </c>
      <c r="BG50" s="244">
        <f>ARR!BG18</f>
        <v>8186725.389999995</v>
      </c>
      <c r="BH50" s="244">
        <f>ARR!BH18</f>
        <v>8919092.389999995</v>
      </c>
      <c r="BI50" s="244">
        <f>ARR!BI18</f>
        <v>9197587.0599999949</v>
      </c>
      <c r="BJ50" s="244">
        <f>ARR!BJ18</f>
        <v>9776950.7299999949</v>
      </c>
      <c r="BK50" s="244">
        <f>ARR!BK18</f>
        <v>10555668.359999996</v>
      </c>
      <c r="BL50" s="244">
        <f>ARR!BL18</f>
        <v>10774198.359999996</v>
      </c>
      <c r="BM50" s="244">
        <f>ARR!BM18</f>
        <v>10947098.649999995</v>
      </c>
      <c r="BN50" s="244">
        <f>ARR!BN18</f>
        <v>12060701.909999995</v>
      </c>
      <c r="BO50" s="244">
        <f>ARR!BO18</f>
        <v>12271254.909999995</v>
      </c>
      <c r="BP50" s="244">
        <f>ARR!BP18</f>
        <v>12799650.239999995</v>
      </c>
      <c r="BQ50" s="244">
        <f>ARR!BQ18</f>
        <v>13615801.069999995</v>
      </c>
      <c r="BR50" s="244">
        <f>ARR!BR18</f>
        <v>13879047.069999995</v>
      </c>
      <c r="BS50" s="244">
        <f>ARR!BS18</f>
        <v>14414018.739999995</v>
      </c>
      <c r="BT50" s="244">
        <f>ARR!BT18</f>
        <v>15801753.029999996</v>
      </c>
      <c r="BU50" s="244">
        <f>ARR!BU18</f>
        <v>15947304.889999995</v>
      </c>
      <c r="BV50" s="244">
        <f>ARR!BV18</f>
        <v>17244547.859999996</v>
      </c>
      <c r="BW50" s="244">
        <f>ARR!BW18</f>
        <v>18674405.869999997</v>
      </c>
      <c r="BX50" s="244">
        <f>ARR!BX18</f>
        <v>18961735.869999997</v>
      </c>
      <c r="BY50" s="244">
        <f>ARR!BY18</f>
        <v>19547087.723076999</v>
      </c>
      <c r="BZ50" s="244">
        <f>ARR!BZ18</f>
        <v>20642642.381428998</v>
      </c>
      <c r="CA50" s="244">
        <f>ARR!CA18</f>
        <v>20995751.472527999</v>
      </c>
      <c r="CB50" s="244">
        <f>ARR!CB18</f>
        <v>21784630.792528</v>
      </c>
      <c r="CC50" s="244">
        <f>ARR!CC18</f>
        <v>23138299.835349001</v>
      </c>
      <c r="CD50" s="244">
        <f>ARR!CD18</f>
        <v>23263139.635349002</v>
      </c>
      <c r="CE50" s="244">
        <f>ARR!CE18</f>
        <v>24164920.294323001</v>
      </c>
      <c r="CF50" s="244">
        <f>ARR!CF18</f>
        <v>25084015.739708003</v>
      </c>
      <c r="CG50" s="244">
        <f>ARR!CG18</f>
        <v>25490667.029708002</v>
      </c>
      <c r="CH50" s="244">
        <f>ARR!CH18</f>
        <v>26866988.353335001</v>
      </c>
      <c r="CI50" s="50">
        <f>ARR!CI18</f>
        <v>28887778.617401</v>
      </c>
      <c r="CJ50" s="50">
        <f>ARR!CJ18</f>
        <v>28971892.518340997</v>
      </c>
      <c r="CK50" s="50">
        <f>ARR!CK18</f>
        <v>29728600.298340995</v>
      </c>
      <c r="CL50" s="50">
        <f>ARR!CL18</f>
        <v>31379245.637026995</v>
      </c>
      <c r="CM50" s="50">
        <f>ARR!CM18</f>
        <v>32188740.697913997</v>
      </c>
      <c r="CN50" s="50">
        <f>ARR!CN18</f>
        <v>33434777.457209997</v>
      </c>
      <c r="CO50" s="50">
        <f>ARR!CO18</f>
        <v>34992812.36367999</v>
      </c>
      <c r="CP50" s="50">
        <f>ARR!CP18</f>
        <v>35853286.862807676</v>
      </c>
      <c r="CQ50" s="50">
        <f>ARR!CQ18</f>
        <v>37894689.312532693</v>
      </c>
      <c r="CR50" s="50">
        <f>ARR!CR18</f>
        <v>40744874.18544434</v>
      </c>
      <c r="CS50" s="50">
        <f>ARR!CS18</f>
        <v>41611283.80096212</v>
      </c>
      <c r="CT50" s="50">
        <f>ARR!CT18</f>
        <v>45034726.153222777</v>
      </c>
      <c r="CU50" s="20">
        <f>ARR!CU18</f>
        <v>49340041.186968744</v>
      </c>
      <c r="CV50" s="20">
        <f>ARR!CV18</f>
        <v>49856096.663869247</v>
      </c>
      <c r="CW50" s="20">
        <f>ARR!CW18</f>
        <v>51147931.458070949</v>
      </c>
      <c r="CX50" s="20">
        <f>ARR!CX18</f>
        <v>53741521.324630708</v>
      </c>
      <c r="CY50" s="20">
        <f>ARR!CY18</f>
        <v>54673780.347991928</v>
      </c>
      <c r="CZ50" s="20">
        <f>ARR!CZ18</f>
        <v>56803671.553757459</v>
      </c>
      <c r="DA50" s="20">
        <f>ARR!DA18</f>
        <v>59757083.203853764</v>
      </c>
      <c r="DB50" s="20">
        <f>ARR!DB18</f>
        <v>60639511.62398053</v>
      </c>
      <c r="DC50" s="20">
        <f>ARR!DC18</f>
        <v>62478765.232640624</v>
      </c>
      <c r="DD50" s="20">
        <f>ARR!DD18</f>
        <v>65748708.573807195</v>
      </c>
      <c r="DE50" s="20">
        <f>ARR!DE18</f>
        <v>67033302.936963975</v>
      </c>
      <c r="DF50" s="20">
        <f>ARR!DF18</f>
        <v>70607874.816554829</v>
      </c>
      <c r="DG50" s="20">
        <f>ARR!DG18</f>
        <v>74827910.679417253</v>
      </c>
      <c r="DH50" s="20">
        <f>ARR!DH18</f>
        <v>75601443.434149012</v>
      </c>
      <c r="DI50" s="20">
        <f>ARR!DI18</f>
        <v>77446825.306385309</v>
      </c>
      <c r="DJ50" s="20">
        <f>ARR!DJ18</f>
        <v>81080907.583122909</v>
      </c>
      <c r="DK50" s="20">
        <f>ARR!DK18</f>
        <v>82512423.522983551</v>
      </c>
      <c r="DL50" s="20">
        <f>ARR!DL18</f>
        <v>85609179.865157992</v>
      </c>
      <c r="DM50" s="20">
        <f>ARR!DM18</f>
        <v>89831509.044623822</v>
      </c>
      <c r="DN50" s="20">
        <f>ARR!DN18</f>
        <v>91031274.406125039</v>
      </c>
      <c r="DO50" s="20">
        <f>ARR!DO18</f>
        <v>93563191.119196996</v>
      </c>
      <c r="DP50" s="20">
        <f>ARR!DP18</f>
        <v>98068224.468453571</v>
      </c>
      <c r="DQ50" s="20">
        <f>ARR!DQ18</f>
        <v>99590603.060266718</v>
      </c>
      <c r="DR50" s="20">
        <f>ARR!DR18</f>
        <v>104262806.85974224</v>
      </c>
      <c r="DS50" s="20">
        <f>ARR!DS18</f>
        <v>109833179.49558167</v>
      </c>
      <c r="DT50" s="20">
        <f>ARR!DT18</f>
        <v>110865842.29264003</v>
      </c>
      <c r="DU50" s="20">
        <f>ARR!DU18</f>
        <v>113349221.09495972</v>
      </c>
      <c r="DV50" s="20">
        <f>ARR!DV18</f>
        <v>118242092.86624253</v>
      </c>
      <c r="DW50" s="20">
        <f>ARR!DW18</f>
        <v>120158264.04587741</v>
      </c>
      <c r="DX50" s="20">
        <f>ARR!DX18</f>
        <v>124340542.61538176</v>
      </c>
      <c r="DY50" s="20">
        <f>ARR!DY18</f>
        <v>130032025.70328888</v>
      </c>
      <c r="DZ50" s="20">
        <f>ARR!DZ18</f>
        <v>131633281.47882189</v>
      </c>
      <c r="EA50" s="20">
        <f>ARR!EA18</f>
        <v>135049376.71657741</v>
      </c>
      <c r="EB50" s="20">
        <f>ARR!EB18</f>
        <v>141131860.64881754</v>
      </c>
      <c r="EC50" s="20">
        <f>ARR!EC18</f>
        <v>143171642.37923762</v>
      </c>
      <c r="ED50" s="20">
        <f>ARR!ED18</f>
        <v>149458225.14778122</v>
      </c>
      <c r="EE50" s="20">
        <f>ARR!EE18</f>
        <v>156967856.02864963</v>
      </c>
      <c r="EF50" s="20">
        <f>ARR!EF18</f>
        <v>158317529.19131961</v>
      </c>
      <c r="EG50" s="20">
        <f>ARR!EG18</f>
        <v>161588331.1542646</v>
      </c>
      <c r="EH50" s="20">
        <f>ARR!EH18</f>
        <v>168035625.42319304</v>
      </c>
      <c r="EI50" s="20">
        <f>ARR!EI18</f>
        <v>170546490.08989802</v>
      </c>
      <c r="EJ50" s="20">
        <f>ARR!EJ18</f>
        <v>176073575.87894541</v>
      </c>
      <c r="EK50" s="20">
        <f>ARR!EK18</f>
        <v>183581483.45036966</v>
      </c>
      <c r="EL50" s="20">
        <f>ARR!EL18</f>
        <v>185673759.38084555</v>
      </c>
      <c r="EM50" s="20">
        <f>ARR!EM18</f>
        <v>190184107.64763668</v>
      </c>
      <c r="EN50" s="20">
        <f>ARR!EN18</f>
        <v>198220252.60708174</v>
      </c>
      <c r="EO50" s="20">
        <f>ARR!EO18</f>
        <v>200895597.50902846</v>
      </c>
      <c r="EP50" s="20">
        <f>ARR!EP18</f>
        <v>209174352.33342203</v>
      </c>
      <c r="EQ50" s="20">
        <f>ARR!EQ18</f>
        <v>219081987.5079146</v>
      </c>
      <c r="ER50" s="20">
        <f>ARR!ER18</f>
        <v>220805045.82391572</v>
      </c>
      <c r="ES50" s="20">
        <f>ARR!ES18</f>
        <v>225014181.408591</v>
      </c>
      <c r="ET50" s="20">
        <f>ARR!ET18</f>
        <v>233315067.1706391</v>
      </c>
      <c r="EU50" s="20">
        <f>ARR!EU18</f>
        <v>236529185.64596099</v>
      </c>
      <c r="EV50" s="20">
        <f>ARR!EV18</f>
        <v>243666671.714834</v>
      </c>
      <c r="EW50" s="20">
        <f>ARR!EW18</f>
        <v>253344075.73535123</v>
      </c>
      <c r="EX50" s="20">
        <f>ARR!EX18</f>
        <v>256014457.33449897</v>
      </c>
      <c r="EY50" s="20">
        <f>ARR!EY18</f>
        <v>261833432.5582507</v>
      </c>
      <c r="EZ50" s="20">
        <f>ARR!EZ18</f>
        <v>272208184.21093541</v>
      </c>
      <c r="FA50" s="20">
        <f>ARR!FA18</f>
        <v>275636189.49362934</v>
      </c>
      <c r="FB50" s="20">
        <f>ARR!FB18</f>
        <v>286288430.31869084</v>
      </c>
    </row>
    <row r="51" spans="1:158" x14ac:dyDescent="0.25">
      <c r="A51" t="s">
        <v>608</v>
      </c>
      <c r="C51" s="258" t="s">
        <v>585</v>
      </c>
      <c r="D51" s="244">
        <f t="shared" ref="D51:L54" si="187">SUMIF($AY$2:$FB$2,D$2,$AY51:$FB51)</f>
        <v>4135547.4499999997</v>
      </c>
      <c r="E51" s="244">
        <f t="shared" si="187"/>
        <v>6446601.9000000004</v>
      </c>
      <c r="F51" s="244">
        <f t="shared" si="187"/>
        <v>6373032.4761190014</v>
      </c>
      <c r="G51" s="244">
        <f t="shared" si="187"/>
        <v>10348857.147820331</v>
      </c>
      <c r="H51" s="244">
        <f t="shared" si="187"/>
        <v>12486617.328824773</v>
      </c>
      <c r="I51" s="244">
        <f t="shared" si="187"/>
        <v>17056083.393466983</v>
      </c>
      <c r="J51" s="244">
        <f t="shared" si="187"/>
        <v>21505101.122632332</v>
      </c>
      <c r="K51" s="244">
        <f t="shared" si="187"/>
        <v>26367416.356500991</v>
      </c>
      <c r="L51" s="244">
        <f t="shared" si="187"/>
        <v>31374103.714801259</v>
      </c>
      <c r="M51" s="244"/>
      <c r="N51" s="294">
        <f t="shared" ref="N51" si="188">SUM(AY51:BA51)</f>
        <v>942678</v>
      </c>
      <c r="O51" s="294">
        <f>SUM(BB51:BD51)</f>
        <v>1175560.1099999999</v>
      </c>
      <c r="P51" s="294">
        <f>SUM(BE51:BG51)</f>
        <v>899799</v>
      </c>
      <c r="Q51" s="294">
        <f>SUM(BH51:BJ51)</f>
        <v>1117510.3399999999</v>
      </c>
      <c r="R51" s="294">
        <f>SUM(BK51:BM51)</f>
        <v>1312061.26</v>
      </c>
      <c r="S51" s="294">
        <f>SUM(BN51:BP51)</f>
        <v>1241153.3400000001</v>
      </c>
      <c r="T51" s="294">
        <f>SUM(BQ51:BS51)</f>
        <v>1826211.1400000001</v>
      </c>
      <c r="U51" s="294">
        <f>SUM(BT51:BV51)</f>
        <v>2067176.1600000001</v>
      </c>
      <c r="V51" s="294">
        <f>SUM(BW51:BY51)</f>
        <v>1563850.5114290002</v>
      </c>
      <c r="W51" s="294">
        <f>SUM(BZ51:CB51)</f>
        <v>1611306.3739199999</v>
      </c>
      <c r="X51" s="294">
        <f>SUM(CC51:CE51)</f>
        <v>1023480.697692</v>
      </c>
      <c r="Y51" s="294">
        <f>SUM(CF51:CH51)</f>
        <v>2174394.8930780003</v>
      </c>
      <c r="Z51" s="294">
        <f>SUM(CI51:CK51)</f>
        <v>1237977.660779</v>
      </c>
      <c r="AA51" s="294">
        <f>SUM(CL51:CN51)</f>
        <v>1920331.1687080001</v>
      </c>
      <c r="AB51" s="294">
        <f>SUM(CO51:CQ51)</f>
        <v>2897690.6083333329</v>
      </c>
      <c r="AC51" s="294">
        <f>SUM(CR51:CT51)</f>
        <v>4292857.709999999</v>
      </c>
      <c r="AD51" s="294">
        <f>SUM(CU51:CW51)</f>
        <v>2209808.2788187577</v>
      </c>
      <c r="AE51" s="294">
        <f>SUM(CX51:CZ51)</f>
        <v>2940162.8655328783</v>
      </c>
      <c r="AF51" s="294">
        <f>SUM(DA51:DC51)</f>
        <v>2898655.3041038038</v>
      </c>
      <c r="AG51" s="294">
        <f>SUM(DD51:DF51)</f>
        <v>4437990.8803693345</v>
      </c>
      <c r="AH51" s="294">
        <f>SUM(DG51:DI51)</f>
        <v>3110588.4252849882</v>
      </c>
      <c r="AI51" s="294">
        <f>SUM(DJ51:DL51)</f>
        <v>4220785.7480178699</v>
      </c>
      <c r="AJ51" s="294">
        <f>SUM(DM51:DO51)</f>
        <v>3959415.5321458131</v>
      </c>
      <c r="AK51" s="294">
        <f>SUM(DP51:DR51)</f>
        <v>5765293.6880183127</v>
      </c>
      <c r="AL51" s="294">
        <f>SUM(DS51:DU51)</f>
        <v>3921974.1773932497</v>
      </c>
      <c r="AM51" s="294">
        <f>SUM(DV51:DX51)</f>
        <v>5321762.4605926126</v>
      </c>
      <c r="AN51" s="294">
        <f>SUM(DY51:EA51)</f>
        <v>4992214.7682469143</v>
      </c>
      <c r="AO51" s="294">
        <f>SUM(EB51:ED51)</f>
        <v>7269149.7163995579</v>
      </c>
      <c r="AP51" s="294">
        <f>SUM(EE51:EG51)</f>
        <v>4808734.703690391</v>
      </c>
      <c r="AQ51" s="294">
        <f>SUM(EH51:EJ51)</f>
        <v>6525015.8903538603</v>
      </c>
      <c r="AR51" s="294">
        <f>SUM(EK51:EM51)</f>
        <v>6120957.2828703402</v>
      </c>
      <c r="AS51" s="294">
        <f>SUM(EN51:EP51)</f>
        <v>8912708.4795864001</v>
      </c>
      <c r="AT51" s="294">
        <f>SUM(EQ51:ES51)</f>
        <v>5721824.9710441921</v>
      </c>
      <c r="AU51" s="294">
        <f>SUM(ET51:EV51)</f>
        <v>7763996.3854181198</v>
      </c>
      <c r="AV51" s="294">
        <f>SUM(EW51:EY51)</f>
        <v>7283214.4807124436</v>
      </c>
      <c r="AW51" s="294">
        <f>SUM(EZ51:FB51)</f>
        <v>10605067.877626508</v>
      </c>
      <c r="AX51" s="244"/>
      <c r="AY51" s="244">
        <f>ARR!AY19</f>
        <v>65700</v>
      </c>
      <c r="AZ51" s="244">
        <f>ARR!AZ19</f>
        <v>228500</v>
      </c>
      <c r="BA51" s="244">
        <f>ARR!BA19</f>
        <v>648478</v>
      </c>
      <c r="BB51" s="244">
        <f>ARR!BB19</f>
        <v>161613.43</v>
      </c>
      <c r="BC51" s="244">
        <f>ARR!BC19</f>
        <v>475946.68</v>
      </c>
      <c r="BD51" s="244">
        <f>ARR!BD19</f>
        <v>538000</v>
      </c>
      <c r="BE51" s="244">
        <f>ARR!BE19</f>
        <v>65000</v>
      </c>
      <c r="BF51" s="244">
        <f>ARR!BF19</f>
        <v>319499</v>
      </c>
      <c r="BG51" s="244">
        <f>ARR!BG19</f>
        <v>515300</v>
      </c>
      <c r="BH51" s="244">
        <f>ARR!BH19</f>
        <v>242494.67</v>
      </c>
      <c r="BI51" s="244">
        <f>ARR!BI19</f>
        <v>390866.67</v>
      </c>
      <c r="BJ51" s="244">
        <f>ARR!BJ19</f>
        <v>484149</v>
      </c>
      <c r="BK51" s="244">
        <f>ARR!BK19</f>
        <v>111600</v>
      </c>
      <c r="BL51" s="244">
        <f>ARR!BL19</f>
        <v>142500</v>
      </c>
      <c r="BM51" s="244">
        <f>ARR!BM19</f>
        <v>1057961.26</v>
      </c>
      <c r="BN51" s="244">
        <f>ARR!BN19</f>
        <v>289100</v>
      </c>
      <c r="BO51" s="244">
        <f>ARR!BO19</f>
        <v>395523.34</v>
      </c>
      <c r="BP51" s="244">
        <f>ARR!BP19</f>
        <v>556530</v>
      </c>
      <c r="BQ51" s="244">
        <f>ARR!BQ19</f>
        <v>187750</v>
      </c>
      <c r="BR51" s="244">
        <f>ARR!BR19</f>
        <v>565973.67000000004</v>
      </c>
      <c r="BS51" s="244">
        <f>ARR!BS19</f>
        <v>1072487.47</v>
      </c>
      <c r="BT51" s="244">
        <f>ARR!BT19</f>
        <v>125000</v>
      </c>
      <c r="BU51" s="244">
        <f>ARR!BU19</f>
        <v>950419.49</v>
      </c>
      <c r="BV51" s="244">
        <f>ARR!BV19</f>
        <v>991756.67</v>
      </c>
      <c r="BW51" s="244">
        <f>ARR!BW19</f>
        <v>159540</v>
      </c>
      <c r="BX51" s="244">
        <f>ARR!BX19</f>
        <v>585490.86307700002</v>
      </c>
      <c r="BY51" s="244">
        <f>ARR!BY19</f>
        <v>818819.64835200005</v>
      </c>
      <c r="BZ51" s="244">
        <f>ARR!BZ19</f>
        <v>319848.90109900001</v>
      </c>
      <c r="CA51" s="244">
        <f>ARR!CA19</f>
        <v>445334.56</v>
      </c>
      <c r="CB51" s="244">
        <f>ARR!CB19</f>
        <v>846122.91282099998</v>
      </c>
      <c r="CC51" s="244">
        <f>ARR!CC19</f>
        <v>236328.37</v>
      </c>
      <c r="CD51" s="244">
        <f>ARR!CD19</f>
        <v>539332.34769199998</v>
      </c>
      <c r="CE51" s="244">
        <f>ARR!CE19</f>
        <v>247819.98</v>
      </c>
      <c r="CF51" s="244">
        <f>ARR!CF19</f>
        <v>131927.69</v>
      </c>
      <c r="CG51" s="244">
        <f>ARR!CG19</f>
        <v>931908.91362699994</v>
      </c>
      <c r="CH51" s="244">
        <f>ARR!CH19</f>
        <v>1110558.289451</v>
      </c>
      <c r="CI51" s="55">
        <f>ARR!CI19</f>
        <v>145344.536234</v>
      </c>
      <c r="CJ51" s="55">
        <f>ARR!CJ19</f>
        <v>373766.72</v>
      </c>
      <c r="CK51" s="55">
        <f>ARR!CK19</f>
        <v>718866.40454500006</v>
      </c>
      <c r="CL51" s="55">
        <f>ARR!CL19</f>
        <v>438762.17</v>
      </c>
      <c r="CM51" s="55">
        <f>ARR!CM19</f>
        <v>621217.30753200001</v>
      </c>
      <c r="CN51" s="55">
        <f>ARR!CN19</f>
        <v>860351.69117600005</v>
      </c>
      <c r="CO51" s="55">
        <f>ARR!CO19</f>
        <v>434653.59124999994</v>
      </c>
      <c r="CP51" s="55">
        <f>ARR!CP19</f>
        <v>1014191.7129166665</v>
      </c>
      <c r="CQ51" s="55">
        <f>ARR!CQ19</f>
        <v>1448845.3041666665</v>
      </c>
      <c r="CR51" s="55">
        <f>ARR!CR19</f>
        <v>429285.77099999995</v>
      </c>
      <c r="CS51" s="55">
        <f>ARR!CS19</f>
        <v>1717143.0839999998</v>
      </c>
      <c r="CT51" s="55">
        <f>ARR!CT19</f>
        <v>2146428.8549999995</v>
      </c>
      <c r="CU51" s="20">
        <f>ARR!CU19</f>
        <v>292114.71724206436</v>
      </c>
      <c r="CV51" s="20">
        <f>ARR!CV19</f>
        <v>642006.02683606674</v>
      </c>
      <c r="CW51" s="20">
        <f>ARR!CW19</f>
        <v>1275687.5347406266</v>
      </c>
      <c r="CX51" s="20">
        <f>ARR!CX19</f>
        <v>510070.37260479829</v>
      </c>
      <c r="CY51" s="20">
        <f>ARR!CY19</f>
        <v>1000434.6125824797</v>
      </c>
      <c r="CZ51" s="20">
        <f>ARR!CZ19</f>
        <v>1429657.8803456002</v>
      </c>
      <c r="DA51" s="20">
        <f>ARR!DA19</f>
        <v>489785.70920829108</v>
      </c>
      <c r="DB51" s="20">
        <f>ARR!DB19</f>
        <v>873336.42780781328</v>
      </c>
      <c r="DC51" s="20">
        <f>ARR!DC19</f>
        <v>1535533.1670876993</v>
      </c>
      <c r="DD51" s="20">
        <f>ARR!DD19</f>
        <v>659360.57987791731</v>
      </c>
      <c r="DE51" s="20">
        <f>ARR!DE19</f>
        <v>1758797.4848826837</v>
      </c>
      <c r="DF51" s="20">
        <f>ARR!DF19</f>
        <v>2019832.8156087331</v>
      </c>
      <c r="DG51" s="20">
        <f>ARR!DG19</f>
        <v>429714.77799565368</v>
      </c>
      <c r="DH51" s="20">
        <f>ARR!DH19</f>
        <v>907648.48877802445</v>
      </c>
      <c r="DI51" s="20">
        <f>ARR!DI19</f>
        <v>1773225.1585113101</v>
      </c>
      <c r="DJ51" s="20">
        <f>ARR!DJ19</f>
        <v>764954.48735227576</v>
      </c>
      <c r="DK51" s="20">
        <f>ARR!DK19</f>
        <v>1434767.0674916699</v>
      </c>
      <c r="DL51" s="20">
        <f>ARR!DL19</f>
        <v>2021064.1931739242</v>
      </c>
      <c r="DM51" s="20">
        <f>ARR!DM19</f>
        <v>669022.3365699345</v>
      </c>
      <c r="DN51" s="20">
        <f>ARR!DN19</f>
        <v>1192933.0859572829</v>
      </c>
      <c r="DO51" s="20">
        <f>ARR!DO19</f>
        <v>2097460.1096185958</v>
      </c>
      <c r="DP51" s="20">
        <f>ARR!DP19</f>
        <v>801727.69066678802</v>
      </c>
      <c r="DQ51" s="20">
        <f>ARR!DQ19</f>
        <v>2303502.5143676968</v>
      </c>
      <c r="DR51" s="20">
        <f>ARR!DR19</f>
        <v>2660063.4829838281</v>
      </c>
      <c r="DS51" s="20">
        <f>ARR!DS19</f>
        <v>541804.32526647078</v>
      </c>
      <c r="DT51" s="20">
        <f>ARR!DT19</f>
        <v>1144405.3177209634</v>
      </c>
      <c r="DU51" s="20">
        <f>ARR!DU19</f>
        <v>2235764.5344058154</v>
      </c>
      <c r="DV51" s="20">
        <f>ARR!DV19</f>
        <v>964490.10158000863</v>
      </c>
      <c r="DW51" s="20">
        <f>ARR!DW19</f>
        <v>1809020.8732005483</v>
      </c>
      <c r="DX51" s="20">
        <f>ARR!DX19</f>
        <v>2548251.4858120554</v>
      </c>
      <c r="DY51" s="20">
        <f>ARR!DY19</f>
        <v>843534.39587115461</v>
      </c>
      <c r="DZ51" s="20">
        <f>ARR!DZ19</f>
        <v>1504105.3713346384</v>
      </c>
      <c r="EA51" s="20">
        <f>ARR!EA19</f>
        <v>2644575.0010411213</v>
      </c>
      <c r="EB51" s="20">
        <f>ARR!EB19</f>
        <v>1010855.4621166843</v>
      </c>
      <c r="EC51" s="20">
        <f>ARR!EC19</f>
        <v>2904362.8226330909</v>
      </c>
      <c r="ED51" s="20">
        <f>ARR!ED19</f>
        <v>3353931.4316497822</v>
      </c>
      <c r="EE51" s="20">
        <f>ARR!EE19</f>
        <v>664306.58226569858</v>
      </c>
      <c r="EF51" s="20">
        <f>ARR!EF19</f>
        <v>1403155.9917282022</v>
      </c>
      <c r="EG51" s="20">
        <f>ARR!EG19</f>
        <v>2741272.1296964898</v>
      </c>
      <c r="EH51" s="20">
        <f>ARR!EH19</f>
        <v>1182561.8459110563</v>
      </c>
      <c r="EI51" s="20">
        <f>ARR!EI19</f>
        <v>2218041.4911455768</v>
      </c>
      <c r="EJ51" s="20">
        <f>ARR!EJ19</f>
        <v>3124412.5532972268</v>
      </c>
      <c r="EK51" s="20">
        <f>ARR!EK19</f>
        <v>1034257.9883782361</v>
      </c>
      <c r="EL51" s="20">
        <f>ARR!EL19</f>
        <v>1844184.426005407</v>
      </c>
      <c r="EM51" s="20">
        <f>ARR!EM19</f>
        <v>3242514.8684866969</v>
      </c>
      <c r="EN51" s="20">
        <f>ARR!EN19</f>
        <v>1239410.4400570837</v>
      </c>
      <c r="EO51" s="20">
        <f>ARR!EO19</f>
        <v>3561040.8599341335</v>
      </c>
      <c r="EP51" s="20">
        <f>ARR!EP19</f>
        <v>4112257.1795951831</v>
      </c>
      <c r="EQ51" s="20">
        <f>ARR!EQ19</f>
        <v>790446.18284303392</v>
      </c>
      <c r="ER51" s="20">
        <f>ARR!ER19</f>
        <v>1669589.5046111129</v>
      </c>
      <c r="ES51" s="20">
        <f>ARR!ES19</f>
        <v>3261789.2835900453</v>
      </c>
      <c r="ET51" s="20">
        <f>ARR!ET19</f>
        <v>1407108.5881583809</v>
      </c>
      <c r="EU51" s="20">
        <f>ARR!EU19</f>
        <v>2639206.7711926699</v>
      </c>
      <c r="EV51" s="20">
        <f>ARR!EV19</f>
        <v>3717681.0260670688</v>
      </c>
      <c r="EW51" s="20">
        <f>ARR!EW19</f>
        <v>1230644.5560124093</v>
      </c>
      <c r="EX51" s="20">
        <f>ARR!EX19</f>
        <v>2194361.1261878284</v>
      </c>
      <c r="EY51" s="20">
        <f>ARR!EY19</f>
        <v>3858208.7985122064</v>
      </c>
      <c r="EZ51" s="20">
        <f>ARR!EZ19</f>
        <v>1474751.684647748</v>
      </c>
      <c r="FA51" s="20">
        <f>ARR!FA19</f>
        <v>4237217.0167014673</v>
      </c>
      <c r="FB51" s="20">
        <f>ARR!FB19</f>
        <v>4893099.176277292</v>
      </c>
    </row>
    <row r="52" spans="1:158" x14ac:dyDescent="0.25">
      <c r="A52" t="s">
        <v>608</v>
      </c>
      <c r="C52" s="258" t="s">
        <v>584</v>
      </c>
      <c r="D52" s="244">
        <f t="shared" si="187"/>
        <v>1895049.81</v>
      </c>
      <c r="E52" s="244">
        <f t="shared" si="187"/>
        <v>2734060.3200000003</v>
      </c>
      <c r="F52" s="244">
        <f t="shared" si="187"/>
        <v>5291309.6112820003</v>
      </c>
      <c r="G52" s="244">
        <f t="shared" si="187"/>
        <v>12324815.001792001</v>
      </c>
      <c r="H52" s="244">
        <f t="shared" si="187"/>
        <v>16795397.834156636</v>
      </c>
      <c r="I52" s="244">
        <f t="shared" si="187"/>
        <v>23553638.971930597</v>
      </c>
      <c r="J52" s="244">
        <f t="shared" si="187"/>
        <v>33636183.807194166</v>
      </c>
      <c r="K52" s="244">
        <f t="shared" si="187"/>
        <v>46875406.856001765</v>
      </c>
      <c r="L52" s="244">
        <f t="shared" si="187"/>
        <v>63698937.84520258</v>
      </c>
      <c r="M52" s="244"/>
      <c r="N52" s="294">
        <f t="shared" ref="N52:N54" si="189">SUM(AY52:BA52)</f>
        <v>207675</v>
      </c>
      <c r="O52" s="294">
        <f t="shared" ref="O52:O54" si="190">SUM(BB52:BD52)</f>
        <v>501334.72</v>
      </c>
      <c r="P52" s="294">
        <f t="shared" ref="P52:P54" si="191">SUM(BE52:BG52)</f>
        <v>423071.46</v>
      </c>
      <c r="Q52" s="294">
        <f t="shared" ref="Q52:Q54" si="192">SUM(BH52:BJ52)</f>
        <v>762968.63</v>
      </c>
      <c r="R52" s="294">
        <f t="shared" ref="R52:R54" si="193">SUM(BK52:BM52)</f>
        <v>523982</v>
      </c>
      <c r="S52" s="294">
        <f t="shared" ref="S52:S54" si="194">SUM(BN52:BP52)</f>
        <v>538121.82000000007</v>
      </c>
      <c r="T52" s="294">
        <f t="shared" ref="T52:T54" si="195">SUM(BQ52:BS52)</f>
        <v>629803.82000000007</v>
      </c>
      <c r="U52" s="294">
        <f t="shared" ref="U52:U54" si="196">SUM(BT52:BV52)</f>
        <v>1042152.6799999999</v>
      </c>
      <c r="V52" s="294">
        <f t="shared" ref="V52:V54" si="197">SUM(BW52:BY52)</f>
        <v>658975.99</v>
      </c>
      <c r="W52" s="294">
        <f t="shared" ref="W52:W54" si="198">SUM(BZ52:CB52)</f>
        <v>1169172.2</v>
      </c>
      <c r="X52" s="294">
        <f t="shared" ref="X52:X54" si="199">SUM(CC52:CE52)</f>
        <v>1491143.536667</v>
      </c>
      <c r="Y52" s="294">
        <f t="shared" ref="Y52:Y54" si="200">SUM(CF52:CH52)</f>
        <v>1972017.8846149999</v>
      </c>
      <c r="Z52" s="294">
        <f t="shared" ref="Z52:Z54" si="201">SUM(CI52:CK52)</f>
        <v>1723067.898847</v>
      </c>
      <c r="AA52" s="294">
        <f t="shared" ref="AA52:AA54" si="202">SUM(CL52:CN52)</f>
        <v>2260209.5879450003</v>
      </c>
      <c r="AB52" s="294">
        <f t="shared" ref="AB52:AB54" si="203">SUM(CO52:CQ52)</f>
        <v>3352066.6833333336</v>
      </c>
      <c r="AC52" s="294">
        <f t="shared" ref="AC52:AC54" si="204">SUM(CR52:CT52)</f>
        <v>4989470.831666667</v>
      </c>
      <c r="AD52" s="294">
        <f t="shared" ref="AD52:AD54" si="205">SUM(CU52:CW52)</f>
        <v>2972350.974054168</v>
      </c>
      <c r="AE52" s="294">
        <f t="shared" ref="AE52:AE54" si="206">SUM(CX52:CZ52)</f>
        <v>3954730.3904192261</v>
      </c>
      <c r="AF52" s="294">
        <f t="shared" ref="AF52:AF54" si="207">SUM(DA52:DC52)</f>
        <v>3898899.7367707239</v>
      </c>
      <c r="AG52" s="294">
        <f t="shared" ref="AG52:AG54" si="208">SUM(DD52:DF52)</f>
        <v>5969416.7329125181</v>
      </c>
      <c r="AH52" s="294">
        <f t="shared" ref="AH52:AH54" si="209">SUM(DG52:DI52)</f>
        <v>4295574.4920602217</v>
      </c>
      <c r="AI52" s="294">
        <f t="shared" ref="AI52:AI54" si="210">SUM(DJ52:DL52)</f>
        <v>5828704.1282151546</v>
      </c>
      <c r="AJ52" s="294">
        <f t="shared" ref="AJ52:AJ54" si="211">SUM(DM52:DO52)</f>
        <v>5467764.3062966</v>
      </c>
      <c r="AK52" s="294">
        <f t="shared" ref="AK52:AK54" si="212">SUM(DP52:DR52)</f>
        <v>7961596.0453586224</v>
      </c>
      <c r="AL52" s="294">
        <f t="shared" ref="AL52:AL54" si="213">SUM(DS52:DU52)</f>
        <v>6134369.8672048263</v>
      </c>
      <c r="AM52" s="294">
        <f t="shared" ref="AM52:AM54" si="214">SUM(DV52:DX52)</f>
        <v>8323782.3101576753</v>
      </c>
      <c r="AN52" s="294">
        <f t="shared" ref="AN52:AN54" si="215">SUM(DY52:EA52)</f>
        <v>7808335.919565686</v>
      </c>
      <c r="AO52" s="294">
        <f t="shared" ref="AO52:AO54" si="216">SUM(EB52:ED52)</f>
        <v>11369695.710265975</v>
      </c>
      <c r="AP52" s="294">
        <f t="shared" ref="AP52:AP54" si="217">SUM(EE52:EG52)</f>
        <v>8548861.6954495832</v>
      </c>
      <c r="AQ52" s="294">
        <f t="shared" ref="AQ52:AQ54" si="218">SUM(EH52:EJ52)</f>
        <v>11600028.249517974</v>
      </c>
      <c r="AR52" s="294">
        <f t="shared" ref="AR52:AR54" si="219">SUM(EK52:EM52)</f>
        <v>10881701.836213939</v>
      </c>
      <c r="AS52" s="294">
        <f t="shared" ref="AS52:AS54" si="220">SUM(EN52:EP52)</f>
        <v>15844815.074820267</v>
      </c>
      <c r="AT52" s="294">
        <f t="shared" ref="AT52:AT54" si="221">SUM(EQ52:ES52)</f>
        <v>11617038.577574573</v>
      </c>
      <c r="AU52" s="294">
        <f t="shared" ref="AU52:AU54" si="222">SUM(ET52:EV52)</f>
        <v>15763265.388576185</v>
      </c>
      <c r="AV52" s="294">
        <f t="shared" ref="AV52:AV54" si="223">SUM(EW52:EY52)</f>
        <v>14787132.430537388</v>
      </c>
      <c r="AW52" s="294">
        <f t="shared" ref="AW52:AW54" si="224">SUM(EZ52:FB52)</f>
        <v>21531501.448514428</v>
      </c>
      <c r="AX52" s="244"/>
      <c r="AY52" s="244">
        <f>ARR!AY20</f>
        <v>78575</v>
      </c>
      <c r="AZ52" s="244">
        <f>ARR!AZ20</f>
        <v>43500</v>
      </c>
      <c r="BA52" s="244">
        <f>ARR!BA20</f>
        <v>85600</v>
      </c>
      <c r="BB52" s="244">
        <f>ARR!BB20</f>
        <v>22383</v>
      </c>
      <c r="BC52" s="244">
        <f>ARR!BC20</f>
        <v>142000</v>
      </c>
      <c r="BD52" s="244">
        <f>ARR!BD20</f>
        <v>336951.72</v>
      </c>
      <c r="BE52" s="244">
        <f>ARR!BE20</f>
        <v>9800</v>
      </c>
      <c r="BF52" s="244">
        <f>ARR!BF20</f>
        <v>91054.46</v>
      </c>
      <c r="BG52" s="244">
        <f>ARR!BG20</f>
        <v>322217</v>
      </c>
      <c r="BH52" s="244">
        <f>ARR!BH20</f>
        <v>49500</v>
      </c>
      <c r="BI52" s="244">
        <f>ARR!BI20</f>
        <v>388700</v>
      </c>
      <c r="BJ52" s="244">
        <f>ARR!BJ20</f>
        <v>324768.63</v>
      </c>
      <c r="BK52" s="244">
        <f>ARR!BK20</f>
        <v>138930</v>
      </c>
      <c r="BL52" s="244">
        <f>ARR!BL20</f>
        <v>88410</v>
      </c>
      <c r="BM52" s="244">
        <f>ARR!BM20</f>
        <v>296642</v>
      </c>
      <c r="BN52" s="244">
        <f>ARR!BN20</f>
        <v>24541</v>
      </c>
      <c r="BO52" s="244">
        <f>ARR!BO20</f>
        <v>223059.99</v>
      </c>
      <c r="BP52" s="244">
        <f>ARR!BP20</f>
        <v>290520.83</v>
      </c>
      <c r="BQ52" s="244">
        <f>ARR!BQ20</f>
        <v>88420</v>
      </c>
      <c r="BR52" s="244">
        <f>ARR!BR20</f>
        <v>109137</v>
      </c>
      <c r="BS52" s="244">
        <f>ARR!BS20</f>
        <v>432246.82</v>
      </c>
      <c r="BT52" s="244">
        <f>ARR!BT20</f>
        <v>104050.86</v>
      </c>
      <c r="BU52" s="244">
        <f>ARR!BU20</f>
        <v>461873.48</v>
      </c>
      <c r="BV52" s="244">
        <f>ARR!BV20</f>
        <v>476228.34</v>
      </c>
      <c r="BW52" s="244">
        <f>ARR!BW20</f>
        <v>170270</v>
      </c>
      <c r="BX52" s="244">
        <f>ARR!BX20</f>
        <v>44780.99</v>
      </c>
      <c r="BY52" s="244">
        <f>ARR!BY20</f>
        <v>443925</v>
      </c>
      <c r="BZ52" s="244">
        <f>ARR!BZ20</f>
        <v>177768.19</v>
      </c>
      <c r="CA52" s="244">
        <f>ARR!CA20</f>
        <v>381232.76</v>
      </c>
      <c r="CB52" s="244">
        <f>ARR!CB20</f>
        <v>610171.25</v>
      </c>
      <c r="CC52" s="244">
        <f>ARR!CC20</f>
        <v>223501.43</v>
      </c>
      <c r="CD52" s="244">
        <f>ARR!CD20</f>
        <v>464866.641282</v>
      </c>
      <c r="CE52" s="244">
        <f>ARR!CE20</f>
        <v>802775.46538499999</v>
      </c>
      <c r="CF52" s="244">
        <f>ARR!CF20</f>
        <v>359811.6</v>
      </c>
      <c r="CG52" s="244">
        <f>ARR!CG20</f>
        <v>549005.24</v>
      </c>
      <c r="CH52" s="244">
        <f>ARR!CH20</f>
        <v>1063201.044615</v>
      </c>
      <c r="CI52" s="55">
        <f>ARR!CI20</f>
        <v>140380.89470599999</v>
      </c>
      <c r="CJ52" s="55">
        <f>ARR!CJ20</f>
        <v>487191.07</v>
      </c>
      <c r="CK52" s="55">
        <f>ARR!CK20</f>
        <v>1095495.934141</v>
      </c>
      <c r="CL52" s="55">
        <f>ARR!CL20</f>
        <v>597982.89088700002</v>
      </c>
      <c r="CM52" s="55">
        <f>ARR!CM20</f>
        <v>844329.451764</v>
      </c>
      <c r="CN52" s="55">
        <f>ARR!CN20</f>
        <v>817897.24529400002</v>
      </c>
      <c r="CO52" s="55">
        <f>ARR!CO20</f>
        <v>502810.0025</v>
      </c>
      <c r="CP52" s="55">
        <f>ARR!CP20</f>
        <v>1173223.3391666668</v>
      </c>
      <c r="CQ52" s="55">
        <f>ARR!CQ20</f>
        <v>1676033.3416666668</v>
      </c>
      <c r="CR52" s="55">
        <f>ARR!CR20</f>
        <v>498947.08316666668</v>
      </c>
      <c r="CS52" s="55">
        <f>ARR!CS20</f>
        <v>1995788.3326666667</v>
      </c>
      <c r="CT52" s="55">
        <f>ARR!CT20</f>
        <v>2494735.4158333335</v>
      </c>
      <c r="CU52" s="20">
        <f>ARR!CU20</f>
        <v>392915.29163522547</v>
      </c>
      <c r="CV52" s="20">
        <f>ARR!CV20</f>
        <v>863544.25291359867</v>
      </c>
      <c r="CW52" s="20">
        <f>ARR!CW20</f>
        <v>1715891.4295053438</v>
      </c>
      <c r="CX52" s="20">
        <f>ARR!CX20</f>
        <v>686081.3145557011</v>
      </c>
      <c r="CY52" s="20">
        <f>ARR!CY20</f>
        <v>1345656.4642687393</v>
      </c>
      <c r="CZ52" s="20">
        <f>ARR!CZ20</f>
        <v>1922992.6115947859</v>
      </c>
      <c r="DA52" s="20">
        <f>ARR!DA20</f>
        <v>658796.98424393381</v>
      </c>
      <c r="DB52" s="20">
        <f>ARR!DB20</f>
        <v>1174700.2700429501</v>
      </c>
      <c r="DC52" s="20">
        <f>ARR!DC20</f>
        <v>2065402.4824838401</v>
      </c>
      <c r="DD52" s="20">
        <f>ARR!DD20</f>
        <v>886887.37418464071</v>
      </c>
      <c r="DE52" s="20">
        <f>ARR!DE20</f>
        <v>2365709.0379576012</v>
      </c>
      <c r="DF52" s="20">
        <f>ARR!DF20</f>
        <v>2716820.3207702767</v>
      </c>
      <c r="DG52" s="20">
        <f>ARR!DG20</f>
        <v>593415.64580352174</v>
      </c>
      <c r="DH52" s="20">
        <f>ARR!DH20</f>
        <v>1253419.3416458433</v>
      </c>
      <c r="DI52" s="20">
        <f>ARR!DI20</f>
        <v>2448739.504610857</v>
      </c>
      <c r="DJ52" s="20">
        <f>ARR!DJ20</f>
        <v>1056365.7206293333</v>
      </c>
      <c r="DK52" s="20">
        <f>ARR!DK20</f>
        <v>1981344.9979646874</v>
      </c>
      <c r="DL52" s="20">
        <f>ARR!DL20</f>
        <v>2790993.4096211335</v>
      </c>
      <c r="DM52" s="20">
        <f>ARR!DM20</f>
        <v>923887.98859657615</v>
      </c>
      <c r="DN52" s="20">
        <f>ARR!DN20</f>
        <v>1647383.7853695813</v>
      </c>
      <c r="DO52" s="20">
        <f>ARR!DO20</f>
        <v>2896492.5323304422</v>
      </c>
      <c r="DP52" s="20">
        <f>ARR!DP20</f>
        <v>1107147.7633017551</v>
      </c>
      <c r="DQ52" s="20">
        <f>ARR!DQ20</f>
        <v>3181027.2817458669</v>
      </c>
      <c r="DR52" s="20">
        <f>ARR!DR20</f>
        <v>3673421.0003110007</v>
      </c>
      <c r="DS52" s="20">
        <f>ARR!DS20</f>
        <v>847437.5343911465</v>
      </c>
      <c r="DT52" s="20">
        <f>ARR!DT20</f>
        <v>1789967.2918199685</v>
      </c>
      <c r="DU52" s="20">
        <f>ARR!DU20</f>
        <v>3496965.040993711</v>
      </c>
      <c r="DV52" s="20">
        <f>ARR!DV20</f>
        <v>1508561.4409328338</v>
      </c>
      <c r="DW52" s="20">
        <f>ARR!DW20</f>
        <v>2829494.1862880369</v>
      </c>
      <c r="DX52" s="20">
        <f>ARR!DX20</f>
        <v>3985726.6829368048</v>
      </c>
      <c r="DY52" s="20">
        <f>ARR!DY20</f>
        <v>1319374.3114907802</v>
      </c>
      <c r="DZ52" s="20">
        <f>ARR!DZ20</f>
        <v>2352575.067984947</v>
      </c>
      <c r="EA52" s="20">
        <f>ARR!EA20</f>
        <v>4136386.5400899588</v>
      </c>
      <c r="EB52" s="20">
        <f>ARR!EB20</f>
        <v>1581081.6202337882</v>
      </c>
      <c r="EC52" s="20">
        <f>ARR!EC20</f>
        <v>4542721.3379645776</v>
      </c>
      <c r="ED52" s="20">
        <f>ARR!ED20</f>
        <v>5245892.7520676088</v>
      </c>
      <c r="EE52" s="20">
        <f>ARR!EE20</f>
        <v>1180989.4795834641</v>
      </c>
      <c r="EF52" s="20">
        <f>ARR!EF20</f>
        <v>2494499.5408501374</v>
      </c>
      <c r="EG52" s="20">
        <f>ARR!EG20</f>
        <v>4873372.6750159822</v>
      </c>
      <c r="EH52" s="20">
        <f>ARR!EH20</f>
        <v>2102332.1705085444</v>
      </c>
      <c r="EI52" s="20">
        <f>ARR!EI20</f>
        <v>3943184.8731476921</v>
      </c>
      <c r="EJ52" s="20">
        <f>ARR!EJ20</f>
        <v>5554511.2058617361</v>
      </c>
      <c r="EK52" s="20">
        <f>ARR!EK20</f>
        <v>1838680.8682279754</v>
      </c>
      <c r="EL52" s="20">
        <f>ARR!EL20</f>
        <v>3278550.0906762788</v>
      </c>
      <c r="EM52" s="20">
        <f>ARR!EM20</f>
        <v>5764470.8773096837</v>
      </c>
      <c r="EN52" s="20">
        <f>ARR!EN20</f>
        <v>2203396.3378792601</v>
      </c>
      <c r="EO52" s="20">
        <f>ARR!EO20</f>
        <v>6330739.3065495705</v>
      </c>
      <c r="EP52" s="20">
        <f>ARR!EP20</f>
        <v>7310679.4303914364</v>
      </c>
      <c r="EQ52" s="20">
        <f>ARR!EQ20</f>
        <v>1604845.2803176751</v>
      </c>
      <c r="ER52" s="20">
        <f>ARR!ER20</f>
        <v>3389772.6305740783</v>
      </c>
      <c r="ES52" s="20">
        <f>ARR!ES20</f>
        <v>6622420.6666828208</v>
      </c>
      <c r="ET52" s="20">
        <f>ARR!ET20</f>
        <v>2856856.8305033799</v>
      </c>
      <c r="EU52" s="20">
        <f>ARR!EU20</f>
        <v>5358389.5051487554</v>
      </c>
      <c r="EV52" s="20">
        <f>ARR!EV20</f>
        <v>7548019.05292405</v>
      </c>
      <c r="EW52" s="20">
        <f>ARR!EW20</f>
        <v>2498581.371297922</v>
      </c>
      <c r="EX52" s="20">
        <f>ARR!EX20</f>
        <v>4455218.0440783184</v>
      </c>
      <c r="EY52" s="20">
        <f>ARR!EY20</f>
        <v>7833333.0151611483</v>
      </c>
      <c r="EZ52" s="20">
        <f>ARR!EZ20</f>
        <v>2994192.814284822</v>
      </c>
      <c r="FA52" s="20">
        <f>ARR!FA20</f>
        <v>8602834.5490605552</v>
      </c>
      <c r="FB52" s="20">
        <f>ARR!FB20</f>
        <v>9934474.0851690508</v>
      </c>
    </row>
    <row r="53" spans="1:158" x14ac:dyDescent="0.25">
      <c r="A53" t="s">
        <v>608</v>
      </c>
      <c r="C53" s="258" t="s">
        <v>583</v>
      </c>
      <c r="D53" s="244">
        <f t="shared" si="187"/>
        <v>-91265</v>
      </c>
      <c r="E53" s="244">
        <f t="shared" si="187"/>
        <v>-132447.25</v>
      </c>
      <c r="F53" s="244">
        <f t="shared" si="187"/>
        <v>-374225.74000000005</v>
      </c>
      <c r="G53" s="244">
        <f t="shared" si="187"/>
        <v>-771029.74174830795</v>
      </c>
      <c r="H53" s="244">
        <f t="shared" si="187"/>
        <v>-1316911.2003414431</v>
      </c>
      <c r="I53" s="244">
        <f t="shared" si="187"/>
        <v>-1945251.5247633921</v>
      </c>
      <c r="J53" s="244">
        <f t="shared" si="187"/>
        <v>-2779016.1975932093</v>
      </c>
      <c r="K53" s="244">
        <f t="shared" si="187"/>
        <v>-3862661.0734715476</v>
      </c>
      <c r="L53" s="244">
        <f t="shared" si="187"/>
        <v>-5239081.5963725559</v>
      </c>
      <c r="M53" s="244"/>
      <c r="N53" s="294">
        <f t="shared" si="189"/>
        <v>-27665</v>
      </c>
      <c r="O53" s="294">
        <f t="shared" si="190"/>
        <v>-21000</v>
      </c>
      <c r="P53" s="294">
        <f t="shared" si="191"/>
        <v>-36600</v>
      </c>
      <c r="Q53" s="294">
        <f t="shared" si="192"/>
        <v>-6000</v>
      </c>
      <c r="R53" s="294">
        <f t="shared" si="193"/>
        <v>-16884.25</v>
      </c>
      <c r="S53" s="294">
        <f t="shared" si="194"/>
        <v>-62400</v>
      </c>
      <c r="T53" s="294">
        <f t="shared" si="195"/>
        <v>-2375</v>
      </c>
      <c r="U53" s="294">
        <f t="shared" si="196"/>
        <v>-50788</v>
      </c>
      <c r="V53" s="294">
        <f t="shared" si="197"/>
        <v>-84540</v>
      </c>
      <c r="W53" s="294">
        <f t="shared" si="198"/>
        <v>-79712.179999999993</v>
      </c>
      <c r="X53" s="294">
        <f t="shared" si="199"/>
        <v>-116608.33</v>
      </c>
      <c r="Y53" s="294">
        <f t="shared" si="200"/>
        <v>-93365.23000000001</v>
      </c>
      <c r="Z53" s="294">
        <f t="shared" si="201"/>
        <v>-139240.1</v>
      </c>
      <c r="AA53" s="294">
        <f t="shared" si="202"/>
        <v>-260784.03</v>
      </c>
      <c r="AB53" s="294">
        <f t="shared" si="203"/>
        <v>-155839.7432855806</v>
      </c>
      <c r="AC53" s="294">
        <f t="shared" si="204"/>
        <v>-215165.86846272729</v>
      </c>
      <c r="AD53" s="294">
        <f t="shared" si="205"/>
        <v>-270966.15680271084</v>
      </c>
      <c r="AE53" s="294">
        <f t="shared" si="206"/>
        <v>-305207.40092287911</v>
      </c>
      <c r="AF53" s="294">
        <f t="shared" si="207"/>
        <v>-279730.38003425475</v>
      </c>
      <c r="AG53" s="294">
        <f t="shared" si="208"/>
        <v>-461007.26258159842</v>
      </c>
      <c r="AH53" s="294">
        <f t="shared" si="209"/>
        <v>-400252.75018018374</v>
      </c>
      <c r="AI53" s="294">
        <f t="shared" si="210"/>
        <v>-450831.58367881528</v>
      </c>
      <c r="AJ53" s="294">
        <f t="shared" si="211"/>
        <v>-413198.66376957938</v>
      </c>
      <c r="AK53" s="294">
        <f t="shared" si="212"/>
        <v>-680968.52713481337</v>
      </c>
      <c r="AL53" s="294">
        <f t="shared" si="213"/>
        <v>-571807.22478408203</v>
      </c>
      <c r="AM53" s="294">
        <f t="shared" si="214"/>
        <v>-644064.92295767111</v>
      </c>
      <c r="AN53" s="294">
        <f t="shared" si="215"/>
        <v>-590301.95572225633</v>
      </c>
      <c r="AO53" s="294">
        <f t="shared" si="216"/>
        <v>-972842.09412919986</v>
      </c>
      <c r="AP53" s="294">
        <f t="shared" si="217"/>
        <v>-794776.76690626354</v>
      </c>
      <c r="AQ53" s="294">
        <f t="shared" si="218"/>
        <v>-895210.50969462923</v>
      </c>
      <c r="AR53" s="294">
        <f t="shared" si="219"/>
        <v>-820483.30194592476</v>
      </c>
      <c r="AS53" s="294">
        <f t="shared" si="220"/>
        <v>-1352190.4949247304</v>
      </c>
      <c r="AT53" s="294">
        <f t="shared" si="221"/>
        <v>-1077987.494507459</v>
      </c>
      <c r="AU53" s="294">
        <f t="shared" si="222"/>
        <v>-1214209.7939763688</v>
      </c>
      <c r="AV53" s="294">
        <f t="shared" si="223"/>
        <v>-1112854.2954177842</v>
      </c>
      <c r="AW53" s="294">
        <f t="shared" si="224"/>
        <v>-1834030.0124709439</v>
      </c>
      <c r="AX53" s="244"/>
      <c r="AY53" s="244">
        <f>ARR!AY21</f>
        <v>-27665</v>
      </c>
      <c r="AZ53" s="244">
        <f>ARR!AZ21</f>
        <v>0</v>
      </c>
      <c r="BA53" s="244">
        <f>ARR!BA21</f>
        <v>0</v>
      </c>
      <c r="BB53" s="244">
        <f>ARR!BB21</f>
        <v>-21000</v>
      </c>
      <c r="BC53" s="244">
        <f>ARR!BC21</f>
        <v>0</v>
      </c>
      <c r="BD53" s="244">
        <f>ARR!BD21</f>
        <v>0</v>
      </c>
      <c r="BE53" s="244">
        <f>ARR!BE21</f>
        <v>-2250</v>
      </c>
      <c r="BF53" s="244">
        <f>ARR!BF21</f>
        <v>-3000</v>
      </c>
      <c r="BG53" s="244">
        <f>ARR!BG21</f>
        <v>-31350</v>
      </c>
      <c r="BH53" s="244">
        <f>ARR!BH21</f>
        <v>0</v>
      </c>
      <c r="BI53" s="244">
        <f>ARR!BI21</f>
        <v>-6000</v>
      </c>
      <c r="BJ53" s="244">
        <f>ARR!BJ21</f>
        <v>0</v>
      </c>
      <c r="BK53" s="244">
        <f>ARR!BK21</f>
        <v>0</v>
      </c>
      <c r="BL53" s="244">
        <f>ARR!BL21</f>
        <v>-16884.25</v>
      </c>
      <c r="BM53" s="244">
        <f>ARR!BM21</f>
        <v>0</v>
      </c>
      <c r="BN53" s="244">
        <f>ARR!BN21</f>
        <v>-20000</v>
      </c>
      <c r="BO53" s="244">
        <f>ARR!BO21</f>
        <v>-29500</v>
      </c>
      <c r="BP53" s="244">
        <f>ARR!BP21</f>
        <v>-12900</v>
      </c>
      <c r="BQ53" s="244">
        <f>ARR!BQ21</f>
        <v>0</v>
      </c>
      <c r="BR53" s="244">
        <f>ARR!BR21</f>
        <v>-2375</v>
      </c>
      <c r="BS53" s="244">
        <f>ARR!BS21</f>
        <v>0</v>
      </c>
      <c r="BT53" s="244">
        <f>ARR!BT21</f>
        <v>0</v>
      </c>
      <c r="BU53" s="244">
        <f>ARR!BU21</f>
        <v>-33000</v>
      </c>
      <c r="BV53" s="244">
        <f>ARR!BV21</f>
        <v>-17788</v>
      </c>
      <c r="BW53" s="244">
        <f>ARR!BW21</f>
        <v>-9900</v>
      </c>
      <c r="BX53" s="244">
        <f>ARR!BX21</f>
        <v>-17000</v>
      </c>
      <c r="BY53" s="244">
        <f>ARR!BY21</f>
        <v>-57640</v>
      </c>
      <c r="BZ53" s="244">
        <f>ARR!BZ21</f>
        <v>-46000</v>
      </c>
      <c r="CA53" s="244">
        <f>ARR!CA21</f>
        <v>-2700</v>
      </c>
      <c r="CB53" s="244">
        <f>ARR!CB21</f>
        <v>-31012.18</v>
      </c>
      <c r="CC53" s="244">
        <f>ARR!CC21</f>
        <v>-26490</v>
      </c>
      <c r="CD53" s="244">
        <f>ARR!CD21</f>
        <v>-10118.33</v>
      </c>
      <c r="CE53" s="244">
        <f>ARR!CE21</f>
        <v>-80000</v>
      </c>
      <c r="CF53" s="244">
        <f>ARR!CF21</f>
        <v>0</v>
      </c>
      <c r="CG53" s="244">
        <f>ARR!CG21</f>
        <v>-54862.83</v>
      </c>
      <c r="CH53" s="244">
        <f>ARR!CH21</f>
        <v>-38502.400000000001</v>
      </c>
      <c r="CI53" s="55">
        <f>ARR!CI21</f>
        <v>-65940.100000000006</v>
      </c>
      <c r="CJ53" s="55">
        <f>ARR!CJ21</f>
        <v>-34050</v>
      </c>
      <c r="CK53" s="55">
        <f>ARR!CK21</f>
        <v>-39250</v>
      </c>
      <c r="CL53" s="55">
        <f>ARR!CL21</f>
        <v>-30500</v>
      </c>
      <c r="CM53" s="55">
        <f>ARR!CM21</f>
        <v>-124510</v>
      </c>
      <c r="CN53" s="55">
        <f>ARR!CN21</f>
        <v>-105774.03</v>
      </c>
      <c r="CO53" s="55">
        <f>ARR!CO21</f>
        <v>-24107.032246215145</v>
      </c>
      <c r="CP53" s="55">
        <f>ARR!CP21</f>
        <v>-45719.858515981781</v>
      </c>
      <c r="CQ53" s="55">
        <f>ARR!CQ21</f>
        <v>-86012.852523383684</v>
      </c>
      <c r="CR53" s="55">
        <f>ARR!CR21</f>
        <v>-19358.258659691426</v>
      </c>
      <c r="CS53" s="55">
        <f>ARR!CS21</f>
        <v>-90645.593961045932</v>
      </c>
      <c r="CT53" s="55">
        <f>ARR!CT21</f>
        <v>-105162.01584198991</v>
      </c>
      <c r="CU53" s="20">
        <f>ARR!CU21</f>
        <v>-58649.422836056547</v>
      </c>
      <c r="CV53" s="20">
        <f>ARR!CV21</f>
        <v>-74178.574320525033</v>
      </c>
      <c r="CW53" s="20">
        <f>ARR!CW21</f>
        <v>-138138.15964612926</v>
      </c>
      <c r="CX53" s="20">
        <f>ARR!CX21</f>
        <v>-91594.586719278814</v>
      </c>
      <c r="CY53" s="20">
        <f>ARR!CY21</f>
        <v>-75040.880469182142</v>
      </c>
      <c r="CZ53" s="20">
        <f>ARR!CZ21</f>
        <v>-138571.93373441815</v>
      </c>
      <c r="DA53" s="20">
        <f>ARR!DA21</f>
        <v>-92379.569472832009</v>
      </c>
      <c r="DB53" s="20">
        <f>ARR!DB21</f>
        <v>-72466.58733544765</v>
      </c>
      <c r="DC53" s="20">
        <f>ARR!DC21</f>
        <v>-114884.2232259751</v>
      </c>
      <c r="DD53" s="20">
        <f>ARR!DD21</f>
        <v>-90817.42621257338</v>
      </c>
      <c r="DE53" s="20">
        <f>ARR!DE21</f>
        <v>-190876.986293792</v>
      </c>
      <c r="DF53" s="20">
        <f>ARR!DF21</f>
        <v>-179312.85007523303</v>
      </c>
      <c r="DG53" s="20">
        <f>ARR!DG21</f>
        <v>-86632.932553654085</v>
      </c>
      <c r="DH53" s="20">
        <f>ARR!DH21</f>
        <v>-109571.53737044946</v>
      </c>
      <c r="DI53" s="20">
        <f>ARR!DI21</f>
        <v>-204048.28025608021</v>
      </c>
      <c r="DJ53" s="20">
        <f>ARR!DJ21</f>
        <v>-135297.28460776515</v>
      </c>
      <c r="DK53" s="20">
        <f>ARR!DK21</f>
        <v>-110845.27727793387</v>
      </c>
      <c r="DL53" s="20">
        <f>ARR!DL21</f>
        <v>-204689.02179311629</v>
      </c>
      <c r="DM53" s="20">
        <f>ARR!DM21</f>
        <v>-136456.80766282487</v>
      </c>
      <c r="DN53" s="20">
        <f>ARR!DN21</f>
        <v>-107042.70680675357</v>
      </c>
      <c r="DO53" s="20">
        <f>ARR!DO21</f>
        <v>-169699.14930000089</v>
      </c>
      <c r="DP53" s="20">
        <f>ARR!DP21</f>
        <v>-134149.31604294264</v>
      </c>
      <c r="DQ53" s="20">
        <f>ARR!DQ21</f>
        <v>-281950.48271589604</v>
      </c>
      <c r="DR53" s="20">
        <f>ARR!DR21</f>
        <v>-264868.72837597475</v>
      </c>
      <c r="DS53" s="20">
        <f>ARR!DS21</f>
        <v>-123765.13769389724</v>
      </c>
      <c r="DT53" s="20">
        <f>ARR!DT21</f>
        <v>-156535.58075720121</v>
      </c>
      <c r="DU53" s="20">
        <f>ARR!DU21</f>
        <v>-291506.50633298355</v>
      </c>
      <c r="DV53" s="20">
        <f>ARR!DV21</f>
        <v>-193287.77827900235</v>
      </c>
      <c r="DW53" s="20">
        <f>ARR!DW21</f>
        <v>-158355.26514729601</v>
      </c>
      <c r="DX53" s="20">
        <f>ARR!DX21</f>
        <v>-292421.87953137269</v>
      </c>
      <c r="DY53" s="20">
        <f>ARR!DY21</f>
        <v>-194944.29071992473</v>
      </c>
      <c r="DZ53" s="20">
        <f>ARR!DZ21</f>
        <v>-152922.85458373919</v>
      </c>
      <c r="EA53" s="20">
        <f>ARR!EA21</f>
        <v>-242434.81041859245</v>
      </c>
      <c r="EB53" s="20">
        <f>ARR!EB21</f>
        <v>-191647.77276025194</v>
      </c>
      <c r="EC53" s="20">
        <f>ARR!EC21</f>
        <v>-402798.78895455675</v>
      </c>
      <c r="ED53" s="20">
        <f>ARR!ED21</f>
        <v>-378395.53241439123</v>
      </c>
      <c r="EE53" s="20">
        <f>ARR!EE21</f>
        <v>-172025.90615955868</v>
      </c>
      <c r="EF53" s="20">
        <f>ARR!EF21</f>
        <v>-217574.80036559701</v>
      </c>
      <c r="EG53" s="20">
        <f>ARR!EG21</f>
        <v>-405176.06038110785</v>
      </c>
      <c r="EH53" s="20">
        <f>ARR!EH21</f>
        <v>-268658.08762925008</v>
      </c>
      <c r="EI53" s="20">
        <f>ARR!EI21</f>
        <v>-220104.04940909319</v>
      </c>
      <c r="EJ53" s="20">
        <f>ARR!EJ21</f>
        <v>-406448.372656286</v>
      </c>
      <c r="EK53" s="20">
        <f>ARR!EK21</f>
        <v>-270960.53772968985</v>
      </c>
      <c r="EL53" s="20">
        <f>ARR!EL21</f>
        <v>-212553.33385833836</v>
      </c>
      <c r="EM53" s="20">
        <f>ARR!EM21</f>
        <v>-336969.43035789661</v>
      </c>
      <c r="EN53" s="20">
        <f>ARR!EN21</f>
        <v>-266378.58113229554</v>
      </c>
      <c r="EO53" s="20">
        <f>ARR!EO21</f>
        <v>-559865.4674570543</v>
      </c>
      <c r="EP53" s="20">
        <f>ARR!EP21</f>
        <v>-525946.44633538055</v>
      </c>
      <c r="EQ53" s="20">
        <f>ARR!EQ21</f>
        <v>-233325.6120371584</v>
      </c>
      <c r="ER53" s="20">
        <f>ARR!ER21</f>
        <v>-295105.39774212171</v>
      </c>
      <c r="ES53" s="20">
        <f>ARR!ES21</f>
        <v>-549556.48472817882</v>
      </c>
      <c r="ET53" s="20">
        <f>ARR!ET21</f>
        <v>-364391.70194915554</v>
      </c>
      <c r="EU53" s="20">
        <f>ARR!EU21</f>
        <v>-298535.91930856986</v>
      </c>
      <c r="EV53" s="20">
        <f>ARR!EV21</f>
        <v>-551282.17271864333</v>
      </c>
      <c r="EW53" s="20">
        <f>ARR!EW21</f>
        <v>-367514.60704446037</v>
      </c>
      <c r="EX53" s="20">
        <f>ARR!EX21</f>
        <v>-288294.58202089259</v>
      </c>
      <c r="EY53" s="20">
        <f>ARR!EY21</f>
        <v>-457045.10635243118</v>
      </c>
      <c r="EZ53" s="20">
        <f>ARR!EZ21</f>
        <v>-361299.91618026514</v>
      </c>
      <c r="FA53" s="20">
        <f>ARR!FA21</f>
        <v>-759367.91015489982</v>
      </c>
      <c r="FB53" s="20">
        <f>ARR!FB21</f>
        <v>-713362.18613577902</v>
      </c>
    </row>
    <row r="54" spans="1:158" x14ac:dyDescent="0.25">
      <c r="A54" t="s">
        <v>608</v>
      </c>
      <c r="C54" s="258" t="s">
        <v>22</v>
      </c>
      <c r="D54" s="295">
        <f t="shared" si="187"/>
        <v>-352563</v>
      </c>
      <c r="E54" s="295">
        <f t="shared" si="187"/>
        <v>-929477.46</v>
      </c>
      <c r="F54" s="295">
        <f t="shared" si="187"/>
        <v>-1076743.5999999999</v>
      </c>
      <c r="G54" s="295">
        <f t="shared" si="187"/>
        <v>-1450379.8382962472</v>
      </c>
      <c r="H54" s="295">
        <f t="shared" si="187"/>
        <v>-2477234.4701914745</v>
      </c>
      <c r="I54" s="295">
        <f t="shared" si="187"/>
        <v>-3659202.0244698268</v>
      </c>
      <c r="J54" s="295">
        <f t="shared" si="187"/>
        <v>-5227592.1991653005</v>
      </c>
      <c r="K54" s="295">
        <f t="shared" si="187"/>
        <v>-7266030.6597662671</v>
      </c>
      <c r="L54" s="295">
        <f t="shared" si="187"/>
        <v>-9855207.7917743269</v>
      </c>
      <c r="M54" s="244"/>
      <c r="N54" s="295">
        <f t="shared" si="189"/>
        <v>-22800</v>
      </c>
      <c r="O54" s="295">
        <f t="shared" si="190"/>
        <v>-18060</v>
      </c>
      <c r="P54" s="295">
        <f t="shared" si="191"/>
        <v>-73800</v>
      </c>
      <c r="Q54" s="295">
        <f t="shared" si="192"/>
        <v>-237903</v>
      </c>
      <c r="R54" s="295">
        <f t="shared" si="193"/>
        <v>-314125.45999999996</v>
      </c>
      <c r="S54" s="295">
        <f t="shared" si="194"/>
        <v>-161776</v>
      </c>
      <c r="T54" s="295">
        <f t="shared" si="195"/>
        <v>-267688</v>
      </c>
      <c r="U54" s="295">
        <f t="shared" si="196"/>
        <v>-185888</v>
      </c>
      <c r="V54" s="295">
        <f t="shared" si="197"/>
        <v>-170049.99</v>
      </c>
      <c r="W54" s="295">
        <f t="shared" si="198"/>
        <v>-205108.94</v>
      </c>
      <c r="X54" s="295">
        <f t="shared" si="199"/>
        <v>-452300</v>
      </c>
      <c r="Y54" s="295">
        <f t="shared" si="200"/>
        <v>-249284.66999999998</v>
      </c>
      <c r="Z54" s="295">
        <f t="shared" si="201"/>
        <v>-330338.44</v>
      </c>
      <c r="AA54" s="295">
        <f t="shared" si="202"/>
        <v>-306190</v>
      </c>
      <c r="AB54" s="295">
        <f t="shared" si="203"/>
        <v>-341855.72661671857</v>
      </c>
      <c r="AC54" s="295">
        <f t="shared" si="204"/>
        <v>-471995.67167952855</v>
      </c>
      <c r="AD54" s="295">
        <f t="shared" si="205"/>
        <v>-509712.95840824</v>
      </c>
      <c r="AE54" s="295">
        <f t="shared" si="206"/>
        <v>-574123.97580617026</v>
      </c>
      <c r="AF54" s="295">
        <f t="shared" si="207"/>
        <v>-526199.29088684928</v>
      </c>
      <c r="AG54" s="295">
        <f t="shared" si="208"/>
        <v>-867198.245090215</v>
      </c>
      <c r="AH54" s="295">
        <f t="shared" si="209"/>
        <v>-752913.26345938211</v>
      </c>
      <c r="AI54" s="295">
        <f t="shared" si="210"/>
        <v>-848056.83105330891</v>
      </c>
      <c r="AJ54" s="295">
        <f t="shared" si="211"/>
        <v>-777265.75084308418</v>
      </c>
      <c r="AK54" s="295">
        <f t="shared" si="212"/>
        <v>-1280966.1791140519</v>
      </c>
      <c r="AL54" s="295">
        <f t="shared" si="213"/>
        <v>-1075623.4491531311</v>
      </c>
      <c r="AM54" s="295">
        <f t="shared" si="214"/>
        <v>-1211547.0107462711</v>
      </c>
      <c r="AN54" s="295">
        <f t="shared" si="215"/>
        <v>-1110413.7865616693</v>
      </c>
      <c r="AO54" s="295">
        <f t="shared" si="216"/>
        <v>-1830007.9527042292</v>
      </c>
      <c r="AP54" s="295">
        <f t="shared" si="217"/>
        <v>-1495050.2376903289</v>
      </c>
      <c r="AQ54" s="295">
        <f t="shared" si="218"/>
        <v>-1683975.6030005917</v>
      </c>
      <c r="AR54" s="295">
        <f t="shared" si="219"/>
        <v>-1543406.6604262907</v>
      </c>
      <c r="AS54" s="295">
        <f t="shared" si="220"/>
        <v>-2543598.1586490558</v>
      </c>
      <c r="AT54" s="295">
        <f t="shared" si="221"/>
        <v>-2027796.3913867869</v>
      </c>
      <c r="AU54" s="295">
        <f t="shared" si="222"/>
        <v>-2284043.4153058142</v>
      </c>
      <c r="AV54" s="295">
        <f t="shared" si="223"/>
        <v>-2093384.1402478842</v>
      </c>
      <c r="AW54" s="295">
        <f t="shared" si="224"/>
        <v>-3449983.844833842</v>
      </c>
      <c r="AX54" s="244"/>
      <c r="AY54" s="295">
        <f>ARR!AY22</f>
        <v>-10800</v>
      </c>
      <c r="AZ54" s="295">
        <f>ARR!AZ22</f>
        <v>0</v>
      </c>
      <c r="BA54" s="295">
        <f>ARR!BA22</f>
        <v>-12000</v>
      </c>
      <c r="BB54" s="295">
        <f>ARR!BB22</f>
        <v>0</v>
      </c>
      <c r="BC54" s="295">
        <f>ARR!BC22</f>
        <v>0</v>
      </c>
      <c r="BD54" s="295">
        <f>ARR!BD22</f>
        <v>-18060</v>
      </c>
      <c r="BE54" s="295">
        <f>ARR!BE22</f>
        <v>0</v>
      </c>
      <c r="BF54" s="295">
        <f>ARR!BF22</f>
        <v>0</v>
      </c>
      <c r="BG54" s="295">
        <f>ARR!BG22</f>
        <v>-73800</v>
      </c>
      <c r="BH54" s="295">
        <f>ARR!BH22</f>
        <v>-13500</v>
      </c>
      <c r="BI54" s="295">
        <f>ARR!BI22</f>
        <v>-194203</v>
      </c>
      <c r="BJ54" s="295">
        <f>ARR!BJ22</f>
        <v>-30200</v>
      </c>
      <c r="BK54" s="295">
        <f>ARR!BK22</f>
        <v>-32000</v>
      </c>
      <c r="BL54" s="295">
        <f>ARR!BL22</f>
        <v>-41125.46</v>
      </c>
      <c r="BM54" s="295">
        <f>ARR!BM22</f>
        <v>-241000</v>
      </c>
      <c r="BN54" s="295">
        <f>ARR!BN22</f>
        <v>-83088</v>
      </c>
      <c r="BO54" s="295">
        <f>ARR!BO22</f>
        <v>-60688</v>
      </c>
      <c r="BP54" s="295">
        <f>ARR!BP22</f>
        <v>-18000</v>
      </c>
      <c r="BQ54" s="295">
        <f>ARR!BQ22</f>
        <v>-12924</v>
      </c>
      <c r="BR54" s="295">
        <f>ARR!BR22</f>
        <v>-137764</v>
      </c>
      <c r="BS54" s="295">
        <f>ARR!BS22</f>
        <v>-117000</v>
      </c>
      <c r="BT54" s="295">
        <f>ARR!BT22</f>
        <v>-83499</v>
      </c>
      <c r="BU54" s="295">
        <f>ARR!BU22</f>
        <v>-82050</v>
      </c>
      <c r="BV54" s="295">
        <f>ARR!BV22</f>
        <v>-20339</v>
      </c>
      <c r="BW54" s="295">
        <f>ARR!BW22</f>
        <v>-32580</v>
      </c>
      <c r="BX54" s="295">
        <f>ARR!BX22</f>
        <v>-27920</v>
      </c>
      <c r="BY54" s="295">
        <f>ARR!BY22</f>
        <v>-109549.99</v>
      </c>
      <c r="BZ54" s="295">
        <f>ARR!BZ22</f>
        <v>-98508</v>
      </c>
      <c r="CA54" s="295">
        <f>ARR!CA22</f>
        <v>-34988</v>
      </c>
      <c r="CB54" s="295">
        <f>ARR!CB22</f>
        <v>-71612.94</v>
      </c>
      <c r="CC54" s="295">
        <f>ARR!CC22</f>
        <v>-308500</v>
      </c>
      <c r="CD54" s="295">
        <f>ARR!CD22</f>
        <v>-92300</v>
      </c>
      <c r="CE54" s="295">
        <f>ARR!CE22</f>
        <v>-51500</v>
      </c>
      <c r="CF54" s="295">
        <f>ARR!CF22</f>
        <v>-85088</v>
      </c>
      <c r="CG54" s="295">
        <f>ARR!CG22</f>
        <v>-49730</v>
      </c>
      <c r="CH54" s="295">
        <f>ARR!CH22</f>
        <v>-114466.67</v>
      </c>
      <c r="CI54" s="83">
        <f>ARR!CI22</f>
        <v>-135671.43</v>
      </c>
      <c r="CJ54" s="83">
        <f>ARR!CJ22</f>
        <v>-70200.009999999995</v>
      </c>
      <c r="CK54" s="83">
        <f>ARR!CK22</f>
        <v>-124467</v>
      </c>
      <c r="CL54" s="83">
        <f>ARR!CL22</f>
        <v>-196750</v>
      </c>
      <c r="CM54" s="83">
        <f>ARR!CM22</f>
        <v>-95000</v>
      </c>
      <c r="CN54" s="83">
        <f>ARR!CN22</f>
        <v>-14440</v>
      </c>
      <c r="CO54" s="83">
        <f>ARR!CO22</f>
        <v>-52882.062376093971</v>
      </c>
      <c r="CP54" s="83">
        <f>ARR!CP22</f>
        <v>-100292.74384232562</v>
      </c>
      <c r="CQ54" s="83">
        <f>ARR!CQ22</f>
        <v>-188680.920398299</v>
      </c>
      <c r="CR54" s="83">
        <f>ARR!CR22</f>
        <v>-42464.979989193263</v>
      </c>
      <c r="CS54" s="83">
        <f>ARR!CS22</f>
        <v>-198843.4704449657</v>
      </c>
      <c r="CT54" s="83">
        <f>ARR!CT22</f>
        <v>-230687.22124536958</v>
      </c>
      <c r="CU54" s="29">
        <f>ARR!CU22</f>
        <v>-110325.10914072608</v>
      </c>
      <c r="CV54" s="29">
        <f>ARR!CV22</f>
        <v>-139536.91122743947</v>
      </c>
      <c r="CW54" s="29">
        <f>ARR!CW22</f>
        <v>-259850.93804007446</v>
      </c>
      <c r="CX54" s="29">
        <f>ARR!CX22</f>
        <v>-172298.07707999577</v>
      </c>
      <c r="CY54" s="29">
        <f>ARR!CY22</f>
        <v>-141158.99061651115</v>
      </c>
      <c r="CZ54" s="29">
        <f>ARR!CZ22</f>
        <v>-260666.90810966337</v>
      </c>
      <c r="DA54" s="29">
        <f>ARR!DA22</f>
        <v>-173774.70385263133</v>
      </c>
      <c r="DB54" s="29">
        <f>ARR!DB22</f>
        <v>-136316.50185522571</v>
      </c>
      <c r="DC54" s="29">
        <f>ARR!DC22</f>
        <v>-216108.08517899225</v>
      </c>
      <c r="DD54" s="29">
        <f>ARR!DD22</f>
        <v>-170836.16469320538</v>
      </c>
      <c r="DE54" s="29">
        <f>ARR!DE22</f>
        <v>-359057.65695564693</v>
      </c>
      <c r="DF54" s="29">
        <f>ARR!DF22</f>
        <v>-337304.42344136263</v>
      </c>
      <c r="DG54" s="29">
        <f>ARR!DG22</f>
        <v>-162964.73651377694</v>
      </c>
      <c r="DH54" s="29">
        <f>ARR!DH22</f>
        <v>-206114.42081711686</v>
      </c>
      <c r="DI54" s="29">
        <f>ARR!DI22</f>
        <v>-383834.10612848832</v>
      </c>
      <c r="DJ54" s="29">
        <f>ARR!DJ22</f>
        <v>-254506.98351321073</v>
      </c>
      <c r="DK54" s="29">
        <f>ARR!DK22</f>
        <v>-208510.44600397898</v>
      </c>
      <c r="DL54" s="29">
        <f>ARR!DL22</f>
        <v>-385039.40153611923</v>
      </c>
      <c r="DM54" s="29">
        <f>ARR!DM22</f>
        <v>-256688.15600246511</v>
      </c>
      <c r="DN54" s="29">
        <f>ARR!DN22</f>
        <v>-201357.45144815947</v>
      </c>
      <c r="DO54" s="29">
        <f>ARR!DO22</f>
        <v>-319220.14339245961</v>
      </c>
      <c r="DP54" s="29">
        <f>ARR!DP22</f>
        <v>-252347.54611246783</v>
      </c>
      <c r="DQ54" s="29">
        <f>ARR!DQ22</f>
        <v>-530375.51392216119</v>
      </c>
      <c r="DR54" s="29">
        <f>ARR!DR22</f>
        <v>-498243.11907942285</v>
      </c>
      <c r="DS54" s="29">
        <f>ARR!DS22</f>
        <v>-232813.92490535713</v>
      </c>
      <c r="DT54" s="29">
        <f>ARR!DT22</f>
        <v>-294458.22646404663</v>
      </c>
      <c r="DU54" s="29">
        <f>ARR!DU22</f>
        <v>-548351.29778372729</v>
      </c>
      <c r="DV54" s="29">
        <f>ARR!DV22</f>
        <v>-363592.58459896565</v>
      </c>
      <c r="DW54" s="29">
        <f>ARR!DW22</f>
        <v>-297881.22483693878</v>
      </c>
      <c r="DX54" s="29">
        <f>ARR!DX22</f>
        <v>-550073.20131036662</v>
      </c>
      <c r="DY54" s="29">
        <f>ARR!DY22</f>
        <v>-366708.64110899461</v>
      </c>
      <c r="DZ54" s="29">
        <f>ARR!DZ22</f>
        <v>-287662.3469803406</v>
      </c>
      <c r="EA54" s="29">
        <f>ARR!EA22</f>
        <v>-456042.79847233417</v>
      </c>
      <c r="EB54" s="29">
        <f>ARR!EB22</f>
        <v>-360507.57917012629</v>
      </c>
      <c r="EC54" s="29">
        <f>ARR!EC22</f>
        <v>-757702.60309950798</v>
      </c>
      <c r="ED54" s="29">
        <f>ARR!ED22</f>
        <v>-711797.77043459495</v>
      </c>
      <c r="EE54" s="29">
        <f>ARR!EE22</f>
        <v>-323596.99301964534</v>
      </c>
      <c r="EF54" s="29">
        <f>ARR!EF22</f>
        <v>-409278.76926776848</v>
      </c>
      <c r="EG54" s="29">
        <f>ARR!EG22</f>
        <v>-762174.47540291504</v>
      </c>
      <c r="EH54" s="29">
        <f>ARR!EH22</f>
        <v>-505371.2620853589</v>
      </c>
      <c r="EI54" s="29">
        <f>ARR!EI22</f>
        <v>-414036.52583679382</v>
      </c>
      <c r="EJ54" s="29">
        <f>ARR!EJ22</f>
        <v>-764567.81507843896</v>
      </c>
      <c r="EK54" s="29">
        <f>ARR!EK22</f>
        <v>-509702.38840065361</v>
      </c>
      <c r="EL54" s="29">
        <f>ARR!EL22</f>
        <v>-399832.91603220644</v>
      </c>
      <c r="EM54" s="29">
        <f>ARR!EM22</f>
        <v>-633871.3559934306</v>
      </c>
      <c r="EN54" s="29">
        <f>ARR!EN22</f>
        <v>-501083.29485733539</v>
      </c>
      <c r="EO54" s="29">
        <f>ARR!EO22</f>
        <v>-1053159.8746330687</v>
      </c>
      <c r="EP54" s="29">
        <f>ARR!EP22</f>
        <v>-989354.98915865168</v>
      </c>
      <c r="EQ54" s="29">
        <f>ARR!EQ22</f>
        <v>-438907.53512242105</v>
      </c>
      <c r="ER54" s="29">
        <f>ARR!ER22</f>
        <v>-555121.15276778489</v>
      </c>
      <c r="ES54" s="29">
        <f>ARR!ES22</f>
        <v>-1033767.7034965808</v>
      </c>
      <c r="ET54" s="29">
        <f>ARR!ET22</f>
        <v>-685455.24139071943</v>
      </c>
      <c r="EU54" s="29">
        <f>ARR!EU22</f>
        <v>-561574.28815985785</v>
      </c>
      <c r="EV54" s="29">
        <f>ARR!EV22</f>
        <v>-1037013.8857552371</v>
      </c>
      <c r="EW54" s="29">
        <f>ARR!EW22</f>
        <v>-691329.72111814527</v>
      </c>
      <c r="EX54" s="29">
        <f>ARR!EX22</f>
        <v>-542309.36449354421</v>
      </c>
      <c r="EY54" s="29">
        <f>ARR!EY22</f>
        <v>-859745.05463619484</v>
      </c>
      <c r="EZ54" s="29">
        <f>ARR!EZ22</f>
        <v>-679639.30005833728</v>
      </c>
      <c r="FA54" s="29">
        <f>ARR!FA22</f>
        <v>-1428442.8305456347</v>
      </c>
      <c r="FB54" s="29">
        <f>ARR!FB22</f>
        <v>-1341901.7142298701</v>
      </c>
    </row>
    <row r="55" spans="1:158" x14ac:dyDescent="0.25">
      <c r="A55" t="s">
        <v>608</v>
      </c>
      <c r="C55" s="291" t="s">
        <v>24</v>
      </c>
      <c r="D55" s="30">
        <f t="shared" ref="D55:I55" si="225">SUM(D50:D54)</f>
        <v>10555668.359999996</v>
      </c>
      <c r="E55" s="30">
        <f t="shared" si="225"/>
        <v>18674405.869999997</v>
      </c>
      <c r="F55" s="30">
        <f t="shared" si="225"/>
        <v>28887778.617401</v>
      </c>
      <c r="G55" s="30">
        <f t="shared" si="225"/>
        <v>49340041.186968766</v>
      </c>
      <c r="H55" s="30">
        <f t="shared" si="225"/>
        <v>74827910.679417253</v>
      </c>
      <c r="I55" s="68">
        <f t="shared" si="225"/>
        <v>109833179.49558161</v>
      </c>
      <c r="J55" s="68">
        <f t="shared" ref="J55:L55" si="226">SUM(J50:J54)</f>
        <v>156967856.0286496</v>
      </c>
      <c r="K55" s="68">
        <f t="shared" si="226"/>
        <v>219081987.50791454</v>
      </c>
      <c r="L55" s="68">
        <f t="shared" si="226"/>
        <v>299060739.67977148</v>
      </c>
      <c r="M55" s="292"/>
      <c r="N55" s="30">
        <f t="shared" ref="N55:AW55" si="227">SUM(N50:N54)</f>
        <v>6068787.0999999959</v>
      </c>
      <c r="O55" s="30">
        <f t="shared" si="227"/>
        <v>7706621.929999995</v>
      </c>
      <c r="P55" s="30">
        <f t="shared" si="227"/>
        <v>8919092.3899999969</v>
      </c>
      <c r="Q55" s="30">
        <f t="shared" si="227"/>
        <v>10555668.359999996</v>
      </c>
      <c r="R55" s="30">
        <f t="shared" si="227"/>
        <v>12060701.909999996</v>
      </c>
      <c r="S55" s="30">
        <f t="shared" si="227"/>
        <v>13615801.069999995</v>
      </c>
      <c r="T55" s="30">
        <f t="shared" si="227"/>
        <v>15801753.029999996</v>
      </c>
      <c r="U55" s="30">
        <f t="shared" si="227"/>
        <v>18674405.869999997</v>
      </c>
      <c r="V55" s="30">
        <f t="shared" si="227"/>
        <v>20642642.381428998</v>
      </c>
      <c r="W55" s="30">
        <f t="shared" si="227"/>
        <v>23138299.835348997</v>
      </c>
      <c r="X55" s="30">
        <f t="shared" si="227"/>
        <v>25084015.739708003</v>
      </c>
      <c r="Y55" s="30">
        <f t="shared" si="227"/>
        <v>28887778.617401</v>
      </c>
      <c r="Z55" s="30">
        <f t="shared" si="227"/>
        <v>31379245.637026995</v>
      </c>
      <c r="AA55" s="30">
        <f t="shared" si="227"/>
        <v>34992812.363679998</v>
      </c>
      <c r="AB55" s="30">
        <f t="shared" si="227"/>
        <v>40744874.185444362</v>
      </c>
      <c r="AC55" s="30">
        <f t="shared" si="227"/>
        <v>49340041.186968759</v>
      </c>
      <c r="AD55" s="30">
        <f t="shared" si="227"/>
        <v>53741521.324630715</v>
      </c>
      <c r="AE55" s="30">
        <f t="shared" si="227"/>
        <v>59757083.203853764</v>
      </c>
      <c r="AF55" s="30">
        <f t="shared" si="227"/>
        <v>65748708.573807195</v>
      </c>
      <c r="AG55" s="30">
        <f t="shared" si="227"/>
        <v>74827910.679417238</v>
      </c>
      <c r="AH55" s="30">
        <f t="shared" si="227"/>
        <v>81080907.583122879</v>
      </c>
      <c r="AI55" s="30">
        <f t="shared" si="227"/>
        <v>89831509.044623822</v>
      </c>
      <c r="AJ55" s="30">
        <f t="shared" si="227"/>
        <v>98068224.468453586</v>
      </c>
      <c r="AK55" s="30">
        <f t="shared" si="227"/>
        <v>109833179.49558164</v>
      </c>
      <c r="AL55" s="30">
        <f t="shared" si="227"/>
        <v>118242092.86624254</v>
      </c>
      <c r="AM55" s="30">
        <f t="shared" si="227"/>
        <v>130032025.70328887</v>
      </c>
      <c r="AN55" s="30">
        <f t="shared" si="227"/>
        <v>141131860.64881757</v>
      </c>
      <c r="AO55" s="30">
        <f t="shared" si="227"/>
        <v>156967856.02864963</v>
      </c>
      <c r="AP55" s="30">
        <f t="shared" si="227"/>
        <v>168035625.42319301</v>
      </c>
      <c r="AQ55" s="30">
        <f t="shared" si="227"/>
        <v>183581483.45036966</v>
      </c>
      <c r="AR55" s="30">
        <f t="shared" si="227"/>
        <v>198220252.60708174</v>
      </c>
      <c r="AS55" s="30">
        <f t="shared" si="227"/>
        <v>219081987.50791463</v>
      </c>
      <c r="AT55" s="30">
        <f t="shared" si="227"/>
        <v>233315067.17063913</v>
      </c>
      <c r="AU55" s="30">
        <f t="shared" si="227"/>
        <v>253344075.7353512</v>
      </c>
      <c r="AV55" s="30">
        <f t="shared" si="227"/>
        <v>272208184.21093541</v>
      </c>
      <c r="AW55" s="30">
        <f t="shared" si="227"/>
        <v>299060739.67977148</v>
      </c>
      <c r="AX55" s="244"/>
      <c r="AY55" s="244">
        <f>ARR!AY23</f>
        <v>5074709.0999999959</v>
      </c>
      <c r="AZ55" s="244">
        <f>ARR!AZ23</f>
        <v>5346709.0999999959</v>
      </c>
      <c r="BA55" s="244">
        <f>ARR!BA23</f>
        <v>6068787.0999999959</v>
      </c>
      <c r="BB55" s="244">
        <f>ARR!BB23</f>
        <v>6231783.5299999956</v>
      </c>
      <c r="BC55" s="244">
        <f>ARR!BC23</f>
        <v>6849730.2099999953</v>
      </c>
      <c r="BD55" s="244">
        <f>ARR!BD23</f>
        <v>7706621.929999995</v>
      </c>
      <c r="BE55" s="244">
        <f>ARR!BE23</f>
        <v>7779171.929999995</v>
      </c>
      <c r="BF55" s="244">
        <f>ARR!BF23</f>
        <v>8186725.389999995</v>
      </c>
      <c r="BG55" s="244">
        <f>ARR!BG23</f>
        <v>8919092.389999995</v>
      </c>
      <c r="BH55" s="244">
        <f>ARR!BH23</f>
        <v>9197587.0599999949</v>
      </c>
      <c r="BI55" s="244">
        <f>ARR!BI23</f>
        <v>9776950.7299999949</v>
      </c>
      <c r="BJ55" s="244">
        <f>ARR!BJ23</f>
        <v>10555668.359999996</v>
      </c>
      <c r="BK55" s="244">
        <f>ARR!BK23</f>
        <v>10774198.359999996</v>
      </c>
      <c r="BL55" s="244">
        <f>ARR!BL23</f>
        <v>10947098.649999995</v>
      </c>
      <c r="BM55" s="244">
        <f>ARR!BM23</f>
        <v>12060701.909999995</v>
      </c>
      <c r="BN55" s="244">
        <f>ARR!BN23</f>
        <v>12271254.909999995</v>
      </c>
      <c r="BO55" s="244">
        <f>ARR!BO23</f>
        <v>12799650.239999995</v>
      </c>
      <c r="BP55" s="244">
        <f>ARR!BP23</f>
        <v>13615801.069999995</v>
      </c>
      <c r="BQ55" s="244">
        <f>ARR!BQ23</f>
        <v>13879047.069999995</v>
      </c>
      <c r="BR55" s="244">
        <f>ARR!BR23</f>
        <v>14414018.739999995</v>
      </c>
      <c r="BS55" s="244">
        <f>ARR!BS23</f>
        <v>15801753.029999996</v>
      </c>
      <c r="BT55" s="244">
        <f>ARR!BT23</f>
        <v>15947304.889999995</v>
      </c>
      <c r="BU55" s="244">
        <f>ARR!BU23</f>
        <v>17244547.859999996</v>
      </c>
      <c r="BV55" s="244">
        <f>ARR!BV23</f>
        <v>18674405.869999997</v>
      </c>
      <c r="BW55" s="244">
        <f>ARR!BW23</f>
        <v>18961735.869999997</v>
      </c>
      <c r="BX55" s="244">
        <f>ARR!BX23</f>
        <v>19547087.723076999</v>
      </c>
      <c r="BY55" s="244">
        <f>ARR!BY23</f>
        <v>20642642.381428998</v>
      </c>
      <c r="BZ55" s="244">
        <f>ARR!BZ23</f>
        <v>20995751.472527999</v>
      </c>
      <c r="CA55" s="244">
        <f>ARR!CA23</f>
        <v>21784630.792528</v>
      </c>
      <c r="CB55" s="244">
        <f>ARR!CB23</f>
        <v>23138299.835349001</v>
      </c>
      <c r="CC55" s="244">
        <f>ARR!CC23</f>
        <v>23263139.635349002</v>
      </c>
      <c r="CD55" s="244">
        <f>ARR!CD23</f>
        <v>24164920.294323001</v>
      </c>
      <c r="CE55" s="244">
        <f>ARR!CE23</f>
        <v>25084015.739708003</v>
      </c>
      <c r="CF55" s="244">
        <f>ARR!CF23</f>
        <v>25490667.029708002</v>
      </c>
      <c r="CG55" s="244">
        <f>ARR!CG23</f>
        <v>26866988.353335001</v>
      </c>
      <c r="CH55" s="244">
        <f>ARR!CH23</f>
        <v>28887778.617401</v>
      </c>
      <c r="CI55" s="50">
        <f>ARR!CI23</f>
        <v>28971892.518340997</v>
      </c>
      <c r="CJ55" s="50">
        <f>ARR!CJ23</f>
        <v>29728600.298340995</v>
      </c>
      <c r="CK55" s="50">
        <f>ARR!CK23</f>
        <v>31379245.637026995</v>
      </c>
      <c r="CL55" s="50">
        <f>ARR!CL23</f>
        <v>32188740.697913997</v>
      </c>
      <c r="CM55" s="50">
        <f>ARR!CM23</f>
        <v>33434777.457209997</v>
      </c>
      <c r="CN55" s="50">
        <f>ARR!CN23</f>
        <v>34992812.36367999</v>
      </c>
      <c r="CO55" s="50">
        <f>ARR!CO23</f>
        <v>35853286.862807676</v>
      </c>
      <c r="CP55" s="50">
        <f>ARR!CP23</f>
        <v>37894689.312532693</v>
      </c>
      <c r="CQ55" s="50">
        <f>ARR!CQ23</f>
        <v>40744874.18544434</v>
      </c>
      <c r="CR55" s="50">
        <f>ARR!CR23</f>
        <v>41611283.80096212</v>
      </c>
      <c r="CS55" s="50">
        <f>ARR!CS23</f>
        <v>45034726.153222777</v>
      </c>
      <c r="CT55" s="50">
        <f>ARR!CT23</f>
        <v>49340041.186968744</v>
      </c>
      <c r="CU55" s="50">
        <f>ARR!CU23</f>
        <v>49856096.663869247</v>
      </c>
      <c r="CV55" s="50">
        <f>ARR!CV23</f>
        <v>51147931.458070949</v>
      </c>
      <c r="CW55" s="50">
        <f>ARR!CW23</f>
        <v>53741521.324630708</v>
      </c>
      <c r="CX55" s="50">
        <f>ARR!CX23</f>
        <v>54673780.347991928</v>
      </c>
      <c r="CY55" s="50">
        <f>ARR!CY23</f>
        <v>56803671.553757459</v>
      </c>
      <c r="CZ55" s="50">
        <f>ARR!CZ23</f>
        <v>59757083.203853764</v>
      </c>
      <c r="DA55" s="50">
        <f>ARR!DA23</f>
        <v>60639511.62398053</v>
      </c>
      <c r="DB55" s="50">
        <f>ARR!DB23</f>
        <v>62478765.232640624</v>
      </c>
      <c r="DC55" s="50">
        <f>ARR!DC23</f>
        <v>65748708.573807195</v>
      </c>
      <c r="DD55" s="50">
        <f>ARR!DD23</f>
        <v>67033302.936963975</v>
      </c>
      <c r="DE55" s="50">
        <f>ARR!DE23</f>
        <v>70607874.816554829</v>
      </c>
      <c r="DF55" s="50">
        <f>ARR!DF23</f>
        <v>74827910.679417253</v>
      </c>
      <c r="DG55" s="50">
        <f>ARR!DG23</f>
        <v>75601443.434149012</v>
      </c>
      <c r="DH55" s="50">
        <f>ARR!DH23</f>
        <v>77446825.306385309</v>
      </c>
      <c r="DI55" s="50">
        <f>ARR!DI23</f>
        <v>81080907.583122909</v>
      </c>
      <c r="DJ55" s="50">
        <f>ARR!DJ23</f>
        <v>82512423.522983551</v>
      </c>
      <c r="DK55" s="50">
        <f>ARR!DK23</f>
        <v>85609179.865157992</v>
      </c>
      <c r="DL55" s="50">
        <f>ARR!DL23</f>
        <v>89831509.044623822</v>
      </c>
      <c r="DM55" s="50">
        <f>ARR!DM23</f>
        <v>91031274.406125039</v>
      </c>
      <c r="DN55" s="50">
        <f>ARR!DN23</f>
        <v>93563191.119196996</v>
      </c>
      <c r="DO55" s="50">
        <f>ARR!DO23</f>
        <v>98068224.468453571</v>
      </c>
      <c r="DP55" s="50">
        <f>ARR!DP23</f>
        <v>99590603.060266718</v>
      </c>
      <c r="DQ55" s="50">
        <f>ARR!DQ23</f>
        <v>104262806.85974224</v>
      </c>
      <c r="DR55" s="50">
        <f>ARR!DR23</f>
        <v>109833179.49558167</v>
      </c>
      <c r="DS55" s="50">
        <f>ARR!DS23</f>
        <v>110865842.29264003</v>
      </c>
      <c r="DT55" s="50">
        <f>ARR!DT23</f>
        <v>113349221.09495972</v>
      </c>
      <c r="DU55" s="50">
        <f>ARR!DU23</f>
        <v>118242092.86624253</v>
      </c>
      <c r="DV55" s="50">
        <f>ARR!DV23</f>
        <v>120158264.04587741</v>
      </c>
      <c r="DW55" s="50">
        <f>ARR!DW23</f>
        <v>124340542.61538176</v>
      </c>
      <c r="DX55" s="50">
        <f>ARR!DX23</f>
        <v>130032025.70328888</v>
      </c>
      <c r="DY55" s="50">
        <f>ARR!DY23</f>
        <v>131633281.47882189</v>
      </c>
      <c r="DZ55" s="50">
        <f>ARR!DZ23</f>
        <v>135049376.71657741</v>
      </c>
      <c r="EA55" s="50">
        <f>ARR!EA23</f>
        <v>141131860.64881754</v>
      </c>
      <c r="EB55" s="50">
        <f>ARR!EB23</f>
        <v>143171642.37923762</v>
      </c>
      <c r="EC55" s="50">
        <f>ARR!EC23</f>
        <v>149458225.14778122</v>
      </c>
      <c r="ED55" s="50">
        <f>ARR!ED23</f>
        <v>156967856.02864963</v>
      </c>
      <c r="EE55" s="50">
        <f>ARR!EE23</f>
        <v>158317529.19131961</v>
      </c>
      <c r="EF55" s="50">
        <f>ARR!EF23</f>
        <v>161588331.1542646</v>
      </c>
      <c r="EG55" s="50">
        <f>ARR!EG23</f>
        <v>168035625.42319304</v>
      </c>
      <c r="EH55" s="50">
        <f>ARR!EH23</f>
        <v>170546490.08989802</v>
      </c>
      <c r="EI55" s="50">
        <f>ARR!EI23</f>
        <v>176073575.87894541</v>
      </c>
      <c r="EJ55" s="50">
        <f>ARR!EJ23</f>
        <v>183581483.45036966</v>
      </c>
      <c r="EK55" s="50">
        <f>ARR!EK23</f>
        <v>185673759.38084555</v>
      </c>
      <c r="EL55" s="50">
        <f>ARR!EL23</f>
        <v>190184107.64763668</v>
      </c>
      <c r="EM55" s="50">
        <f>ARR!EM23</f>
        <v>198220252.60708174</v>
      </c>
      <c r="EN55" s="50">
        <f>ARR!EN23</f>
        <v>200895597.50902846</v>
      </c>
      <c r="EO55" s="50">
        <f>ARR!EO23</f>
        <v>209174352.33342203</v>
      </c>
      <c r="EP55" s="50">
        <f>ARR!EP23</f>
        <v>219081987.5079146</v>
      </c>
      <c r="EQ55" s="50">
        <f>ARR!EQ23</f>
        <v>220805045.82391572</v>
      </c>
      <c r="ER55" s="50">
        <f>ARR!ER23</f>
        <v>225014181.408591</v>
      </c>
      <c r="ES55" s="50">
        <f>ARR!ES23</f>
        <v>233315067.1706391</v>
      </c>
      <c r="ET55" s="50">
        <f>ARR!ET23</f>
        <v>236529185.64596099</v>
      </c>
      <c r="EU55" s="50">
        <f>ARR!EU23</f>
        <v>243666671.714834</v>
      </c>
      <c r="EV55" s="50">
        <f>ARR!EV23</f>
        <v>253344075.73535123</v>
      </c>
      <c r="EW55" s="50">
        <f>ARR!EW23</f>
        <v>256014457.33449897</v>
      </c>
      <c r="EX55" s="50">
        <f>ARR!EX23</f>
        <v>261833432.5582507</v>
      </c>
      <c r="EY55" s="50">
        <f>ARR!EY23</f>
        <v>272208184.21093541</v>
      </c>
      <c r="EZ55" s="50">
        <f>ARR!EZ23</f>
        <v>275636189.49362934</v>
      </c>
      <c r="FA55" s="50">
        <f>ARR!FA23</f>
        <v>286288430.31869084</v>
      </c>
      <c r="FB55" s="50">
        <f>ARR!FB23</f>
        <v>299060739.67977154</v>
      </c>
    </row>
    <row r="56" spans="1:158" x14ac:dyDescent="0.25">
      <c r="D56" s="244"/>
      <c r="E56" s="244"/>
      <c r="F56" s="244"/>
      <c r="G56" s="244"/>
      <c r="H56" s="244"/>
      <c r="I56" s="244"/>
      <c r="J56" s="244"/>
      <c r="K56" s="244"/>
      <c r="L56" s="244"/>
      <c r="M56" s="244"/>
      <c r="N56" s="244"/>
      <c r="O56" s="244"/>
      <c r="P56" s="244"/>
      <c r="Q56" s="244"/>
      <c r="R56" s="244"/>
      <c r="S56" s="244"/>
      <c r="T56" s="244"/>
      <c r="U56" s="244"/>
      <c r="V56" s="244"/>
      <c r="W56" s="244"/>
      <c r="X56" s="244"/>
      <c r="Y56" s="244"/>
      <c r="Z56" s="244"/>
      <c r="AA56" s="244"/>
      <c r="AB56" s="244"/>
      <c r="AC56" s="244"/>
      <c r="AD56" s="244"/>
      <c r="AE56" s="244"/>
      <c r="AF56" s="244"/>
      <c r="AG56" s="244"/>
      <c r="AH56" s="244"/>
      <c r="AI56" s="244"/>
      <c r="AJ56" s="244"/>
      <c r="AK56" s="244"/>
      <c r="AL56" s="244"/>
      <c r="AM56" s="244"/>
      <c r="AN56" s="244"/>
      <c r="AO56" s="244"/>
      <c r="AP56" s="244"/>
      <c r="AQ56" s="244"/>
      <c r="AR56" s="244"/>
      <c r="AS56" s="244"/>
      <c r="AT56" s="244"/>
      <c r="AU56" s="244"/>
      <c r="AV56" s="244"/>
      <c r="AW56" s="244"/>
      <c r="AX56" s="244"/>
      <c r="AY56" s="244"/>
      <c r="AZ56" s="244"/>
      <c r="BA56" s="244"/>
      <c r="BB56" s="244"/>
      <c r="BC56" s="244"/>
      <c r="BD56" s="244"/>
      <c r="BE56" s="244"/>
      <c r="BF56" s="244"/>
      <c r="BG56" s="244"/>
      <c r="BH56" s="244"/>
      <c r="BI56" s="244"/>
      <c r="BJ56" s="244"/>
      <c r="BK56" s="244"/>
      <c r="BL56" s="244"/>
      <c r="BM56" s="244"/>
      <c r="BN56" s="244"/>
      <c r="BO56" s="244"/>
      <c r="BP56" s="244"/>
      <c r="BQ56" s="244"/>
      <c r="BR56" s="244"/>
      <c r="BS56" s="244"/>
      <c r="BT56" s="244"/>
      <c r="BU56" s="244"/>
      <c r="BV56" s="244"/>
      <c r="BW56" s="244"/>
      <c r="BX56" s="244"/>
      <c r="BY56" s="244"/>
      <c r="BZ56" s="244"/>
      <c r="CA56" s="244"/>
      <c r="CB56" s="244"/>
      <c r="CC56" s="244"/>
      <c r="CD56" s="244"/>
      <c r="CE56" s="244"/>
      <c r="CF56" s="244"/>
      <c r="CG56" s="244"/>
      <c r="CH56" s="244"/>
      <c r="CI56" s="99"/>
      <c r="CJ56" s="99"/>
      <c r="CK56" s="99"/>
      <c r="CL56" s="99"/>
      <c r="CM56" s="99"/>
      <c r="CN56" s="99"/>
      <c r="CO56" s="99"/>
      <c r="CP56" s="99"/>
      <c r="CQ56" s="99"/>
      <c r="CR56" s="99"/>
      <c r="CS56" s="99"/>
      <c r="CT56" s="99"/>
    </row>
    <row r="57" spans="1:158" x14ac:dyDescent="0.25">
      <c r="C57" s="1" t="s">
        <v>313</v>
      </c>
      <c r="D57" s="244"/>
      <c r="E57" s="244"/>
      <c r="F57" s="244"/>
      <c r="G57" s="244"/>
      <c r="H57" s="244"/>
      <c r="I57" s="244"/>
      <c r="J57" s="244"/>
      <c r="K57" s="244"/>
      <c r="L57" s="244"/>
      <c r="M57" s="244"/>
      <c r="N57" s="244"/>
      <c r="O57" s="244"/>
      <c r="P57" s="244"/>
      <c r="Q57" s="244"/>
      <c r="R57" s="244"/>
      <c r="S57" s="244"/>
      <c r="T57" s="244"/>
      <c r="U57" s="244"/>
      <c r="V57" s="244"/>
      <c r="W57" s="244"/>
      <c r="X57" s="244"/>
      <c r="Y57" s="244"/>
      <c r="Z57" s="244"/>
      <c r="AA57" s="244"/>
      <c r="AB57" s="244"/>
      <c r="AC57" s="244"/>
      <c r="AD57" s="244"/>
      <c r="AE57" s="244"/>
      <c r="AF57" s="244"/>
      <c r="AG57" s="244"/>
      <c r="AH57" s="244"/>
      <c r="AI57" s="244"/>
      <c r="AJ57" s="244"/>
      <c r="AK57" s="244"/>
      <c r="AL57" s="244"/>
      <c r="AM57" s="244"/>
      <c r="AN57" s="244"/>
      <c r="AO57" s="244"/>
      <c r="AP57" s="244"/>
      <c r="AQ57" s="244"/>
      <c r="AR57" s="244"/>
      <c r="AS57" s="244"/>
      <c r="AT57" s="244"/>
      <c r="AU57" s="244"/>
      <c r="AV57" s="244"/>
      <c r="AW57" s="244"/>
      <c r="AX57" s="244"/>
      <c r="AY57" s="244"/>
      <c r="AZ57" s="244"/>
      <c r="BA57" s="244"/>
      <c r="BB57" s="244"/>
      <c r="BC57" s="244"/>
      <c r="BD57" s="244"/>
      <c r="BE57" s="244"/>
      <c r="BF57" s="244"/>
      <c r="BG57" s="244"/>
      <c r="BH57" s="244"/>
      <c r="BI57" s="244"/>
      <c r="BJ57" s="244"/>
      <c r="BK57" s="244"/>
      <c r="BL57" s="244"/>
      <c r="BM57" s="244"/>
      <c r="BN57" s="244"/>
      <c r="BO57" s="244"/>
      <c r="BP57" s="244"/>
      <c r="BQ57" s="244"/>
      <c r="BR57" s="244"/>
      <c r="BS57" s="244"/>
      <c r="BT57" s="244"/>
      <c r="BU57" s="244"/>
      <c r="BV57" s="244"/>
      <c r="BW57" s="244"/>
      <c r="BX57" s="244"/>
      <c r="BY57" s="244"/>
      <c r="BZ57" s="244"/>
      <c r="CA57" s="244"/>
      <c r="CB57" s="244"/>
      <c r="CC57" s="244"/>
      <c r="CD57" s="244"/>
      <c r="CE57" s="244"/>
      <c r="CF57" s="244"/>
      <c r="CG57" s="244"/>
      <c r="CH57" s="244"/>
      <c r="CI57" s="99"/>
      <c r="CJ57" s="99"/>
      <c r="CK57" s="99"/>
      <c r="CL57" s="99"/>
      <c r="CM57" s="99"/>
      <c r="CN57" s="99"/>
      <c r="CO57" s="99"/>
      <c r="CP57" s="99"/>
      <c r="CQ57" s="99"/>
      <c r="CR57" s="99"/>
      <c r="CS57" s="99"/>
      <c r="CT57" s="99"/>
    </row>
    <row r="58" spans="1:158" x14ac:dyDescent="0.25">
      <c r="A58" s="292" t="s">
        <v>609</v>
      </c>
      <c r="C58" s="2" t="s">
        <v>18</v>
      </c>
      <c r="D58" s="30">
        <f>AY58</f>
        <v>4609482.6899999948</v>
      </c>
      <c r="E58" s="30">
        <f>BK58</f>
        <v>10865249.159999995</v>
      </c>
      <c r="F58" s="30">
        <f>BW58</f>
        <v>19631243.769999996</v>
      </c>
      <c r="G58" s="30">
        <f>CI58</f>
        <v>28090543.643297002</v>
      </c>
      <c r="H58" s="68">
        <f>G63</f>
        <v>49098122.933179937</v>
      </c>
      <c r="I58" s="68">
        <f>H63</f>
        <v>80902480.959456056</v>
      </c>
      <c r="J58" s="68">
        <f>I63</f>
        <v>132701050.62038198</v>
      </c>
      <c r="K58" s="68">
        <f t="shared" ref="K58" si="228">J63</f>
        <v>214796238.54559654</v>
      </c>
      <c r="L58" s="68">
        <f t="shared" ref="L58" si="229">K63</f>
        <v>341635847.70133883</v>
      </c>
      <c r="M58" s="292"/>
      <c r="N58" s="30">
        <f>AY58</f>
        <v>4609482.6899999948</v>
      </c>
      <c r="O58" s="30">
        <f>BB58</f>
        <v>5686425.1899999948</v>
      </c>
      <c r="P58" s="30">
        <f>BE58</f>
        <v>6943994.1599999946</v>
      </c>
      <c r="Q58" s="30">
        <f>BH58</f>
        <v>8294377.6599999946</v>
      </c>
      <c r="R58" s="30">
        <f>BK58</f>
        <v>10865249.159999995</v>
      </c>
      <c r="S58" s="30">
        <f>BN58</f>
        <v>12445981.389999995</v>
      </c>
      <c r="T58" s="30">
        <f>BQ58</f>
        <v>15558122.719999995</v>
      </c>
      <c r="U58" s="30">
        <f>BT58</f>
        <v>17072812.309999995</v>
      </c>
      <c r="V58" s="30">
        <f>BW58</f>
        <v>19631243.769999996</v>
      </c>
      <c r="W58" s="30">
        <f>BZ58</f>
        <v>21040021.579999998</v>
      </c>
      <c r="X58" s="30">
        <f>CC58</f>
        <v>22871812.979231</v>
      </c>
      <c r="Y58" s="30">
        <f>CF58</f>
        <v>25843471.309231002</v>
      </c>
      <c r="Z58" s="30">
        <f>CI58</f>
        <v>28090543.643297002</v>
      </c>
      <c r="AA58" s="30">
        <f>CL58</f>
        <v>30458286.163297005</v>
      </c>
      <c r="AB58" s="30">
        <f>CO58</f>
        <v>35584449.678591006</v>
      </c>
      <c r="AC58" s="30">
        <f>CR58</f>
        <v>41600461.322165601</v>
      </c>
      <c r="AD58" s="30">
        <f>CU58</f>
        <v>49098122.933179945</v>
      </c>
      <c r="AE58" s="30">
        <f>CX58</f>
        <v>54667316.447311237</v>
      </c>
      <c r="AF58" s="30">
        <f>DA58</f>
        <v>62163773.472850062</v>
      </c>
      <c r="AG58" s="30">
        <f>DD58</f>
        <v>69587545.307203338</v>
      </c>
      <c r="AH58" s="30">
        <f>DG58</f>
        <v>80902480.959456101</v>
      </c>
      <c r="AI58" s="30">
        <f>DJ58</f>
        <v>90271636.252222255</v>
      </c>
      <c r="AJ58" s="30">
        <f>DM58</f>
        <v>103142067.16063702</v>
      </c>
      <c r="AK58" s="30">
        <f>DP58</f>
        <v>115232068.32400943</v>
      </c>
      <c r="AL58" s="30">
        <f>DS58</f>
        <v>132701050.62038209</v>
      </c>
      <c r="AM58" s="30">
        <f>DV58</f>
        <v>147548967.54255262</v>
      </c>
      <c r="AN58" s="30">
        <f>DY58</f>
        <v>167948022.80804917</v>
      </c>
      <c r="AO58" s="30">
        <f>EB58</f>
        <v>187110385.35322067</v>
      </c>
      <c r="AP58" s="30">
        <f>EE58</f>
        <v>214796238.54559666</v>
      </c>
      <c r="AQ58" s="30">
        <f>EH58</f>
        <v>237732615.79323491</v>
      </c>
      <c r="AR58" s="30">
        <f>EK58</f>
        <v>269252551.52859926</v>
      </c>
      <c r="AS58" s="30">
        <f>EN58</f>
        <v>298862466.32881111</v>
      </c>
      <c r="AT58" s="30">
        <f>EQ58</f>
        <v>341635847.70133901</v>
      </c>
      <c r="AU58" s="30">
        <f>ET58</f>
        <v>376212252.34287906</v>
      </c>
      <c r="AV58" s="30">
        <f>EW58</f>
        <v>423745084.96243131</v>
      </c>
      <c r="AW58" s="30">
        <f>EZ58</f>
        <v>468399304.08153641</v>
      </c>
      <c r="AX58" s="244"/>
      <c r="AY58" s="244">
        <f>ARR!AY29</f>
        <v>4609482.6899999948</v>
      </c>
      <c r="AZ58" s="244">
        <f>ARR!AZ29</f>
        <v>4617282.6899999948</v>
      </c>
      <c r="BA58" s="244">
        <f>ARR!BA29</f>
        <v>4939098.5199999949</v>
      </c>
      <c r="BB58" s="244">
        <f>ARR!BB29</f>
        <v>5686425.1899999948</v>
      </c>
      <c r="BC58" s="244">
        <f>ARR!BC29</f>
        <v>5959490.1899999948</v>
      </c>
      <c r="BD58" s="244">
        <f>ARR!BD29</f>
        <v>6514207.1599999946</v>
      </c>
      <c r="BE58" s="244">
        <f>ARR!BE29</f>
        <v>6943994.1599999946</v>
      </c>
      <c r="BF58" s="244">
        <f>ARR!BF29</f>
        <v>7267144.1599999946</v>
      </c>
      <c r="BG58" s="244">
        <f>ARR!BG29</f>
        <v>7482226.6599999946</v>
      </c>
      <c r="BH58" s="244">
        <f>ARR!BH29</f>
        <v>8294377.6599999946</v>
      </c>
      <c r="BI58" s="244">
        <f>ARR!BI29</f>
        <v>8606963.1599999946</v>
      </c>
      <c r="BJ58" s="244">
        <f>ARR!BJ29</f>
        <v>9926369.1599999946</v>
      </c>
      <c r="BK58" s="244">
        <f>ARR!BK29</f>
        <v>10865249.159999995</v>
      </c>
      <c r="BL58" s="244">
        <f>ARR!BL29</f>
        <v>11008399.159999995</v>
      </c>
      <c r="BM58" s="244">
        <f>ARR!BM29</f>
        <v>11455280.159999995</v>
      </c>
      <c r="BN58" s="244">
        <f>ARR!BN29</f>
        <v>12445981.389999995</v>
      </c>
      <c r="BO58" s="244">
        <f>ARR!BO29</f>
        <v>12832526.619999995</v>
      </c>
      <c r="BP58" s="244">
        <f>ARR!BP29</f>
        <v>14533524.479999995</v>
      </c>
      <c r="BQ58" s="244">
        <f>ARR!BQ29</f>
        <v>15558122.719999995</v>
      </c>
      <c r="BR58" s="244">
        <f>ARR!BR29</f>
        <v>16054122.949999996</v>
      </c>
      <c r="BS58" s="244">
        <f>ARR!BS29</f>
        <v>16245183.949999996</v>
      </c>
      <c r="BT58" s="244">
        <f>ARR!BT29</f>
        <v>17072812.309999995</v>
      </c>
      <c r="BU58" s="244">
        <f>ARR!BU29</f>
        <v>17127012.309999995</v>
      </c>
      <c r="BV58" s="244">
        <f>ARR!BV29</f>
        <v>18041744.309999995</v>
      </c>
      <c r="BW58" s="244">
        <f>ARR!BW29</f>
        <v>19631243.769999996</v>
      </c>
      <c r="BX58" s="244">
        <f>ARR!BX29</f>
        <v>20115018.409999996</v>
      </c>
      <c r="BY58" s="244">
        <f>ARR!BY29</f>
        <v>20717725.409999996</v>
      </c>
      <c r="BZ58" s="244">
        <f>ARR!BZ29</f>
        <v>21040021.579999998</v>
      </c>
      <c r="CA58" s="244">
        <f>ARR!CA29</f>
        <v>21575744.59</v>
      </c>
      <c r="CB58" s="244">
        <f>ARR!CB29</f>
        <v>21654769.419231001</v>
      </c>
      <c r="CC58" s="244">
        <f>ARR!CC29</f>
        <v>22871812.979231</v>
      </c>
      <c r="CD58" s="244">
        <f>ARR!CD29</f>
        <v>22937247.909231</v>
      </c>
      <c r="CE58" s="244">
        <f>ARR!CE29</f>
        <v>24426456.399231002</v>
      </c>
      <c r="CF58" s="244">
        <f>ARR!CF29</f>
        <v>25843471.309231002</v>
      </c>
      <c r="CG58" s="244">
        <f>ARR!CG29</f>
        <v>26160902.249011002</v>
      </c>
      <c r="CH58" s="244">
        <f>ARR!CH29</f>
        <v>26939608.743297003</v>
      </c>
      <c r="CI58" s="50">
        <f>ARR!CI29</f>
        <v>28090543.643297002</v>
      </c>
      <c r="CJ58" s="50">
        <f>ARR!CJ29</f>
        <v>28619658.653297003</v>
      </c>
      <c r="CK58" s="50">
        <f>ARR!CK29</f>
        <v>28816822.573297005</v>
      </c>
      <c r="CL58" s="50">
        <f>ARR!CL29</f>
        <v>30458286.163297005</v>
      </c>
      <c r="CM58" s="50">
        <f>ARR!CM29</f>
        <v>31194481.953297004</v>
      </c>
      <c r="CN58" s="50">
        <f>ARR!CN29</f>
        <v>32385719.258591004</v>
      </c>
      <c r="CO58" s="50">
        <f>ARR!CO29</f>
        <v>35584449.678591006</v>
      </c>
      <c r="CP58" s="50">
        <f>ARR!CP29</f>
        <v>36489115.671492666</v>
      </c>
      <c r="CQ58" s="50">
        <f>ARR!CQ29</f>
        <v>38602144.282325298</v>
      </c>
      <c r="CR58" s="50">
        <f>ARR!CR29</f>
        <v>41600461.322165601</v>
      </c>
      <c r="CS58" s="50">
        <f>ARR!CS29</f>
        <v>42335836.931085579</v>
      </c>
      <c r="CT58" s="50">
        <f>ARR!CT29</f>
        <v>45309046.94377701</v>
      </c>
      <c r="CU58" s="20">
        <f>ARR!CU29</f>
        <v>49098122.933179945</v>
      </c>
      <c r="CV58" s="20">
        <f>ARR!CV29</f>
        <v>49798566.910612375</v>
      </c>
      <c r="CW58" s="20">
        <f>ARR!CW29</f>
        <v>51423675.709855035</v>
      </c>
      <c r="CX58" s="20">
        <f>ARR!CX29</f>
        <v>54667316.447311237</v>
      </c>
      <c r="CY58" s="20">
        <f>ARR!CY29</f>
        <v>55907317.123556599</v>
      </c>
      <c r="CZ58" s="20">
        <f>ARR!CZ29</f>
        <v>58503211.214234047</v>
      </c>
      <c r="DA58" s="20">
        <f>ARR!DA29</f>
        <v>62163773.472850062</v>
      </c>
      <c r="DB58" s="20">
        <f>ARR!DB29</f>
        <v>63347528.637980618</v>
      </c>
      <c r="DC58" s="20">
        <f>ARR!DC29</f>
        <v>65602735.946551651</v>
      </c>
      <c r="DD58" s="20">
        <f>ARR!DD29</f>
        <v>69587545.307203338</v>
      </c>
      <c r="DE58" s="20">
        <f>ARR!DE29</f>
        <v>71233670.058963597</v>
      </c>
      <c r="DF58" s="20">
        <f>ARR!DF29</f>
        <v>75705029.859626248</v>
      </c>
      <c r="DG58" s="20">
        <f>ARR!DG29</f>
        <v>80902480.959456101</v>
      </c>
      <c r="DH58" s="20">
        <f>ARR!DH29</f>
        <v>82143353.032328248</v>
      </c>
      <c r="DI58" s="20">
        <f>ARR!DI29</f>
        <v>84889518.648467451</v>
      </c>
      <c r="DJ58" s="20">
        <f>ARR!DJ29</f>
        <v>90271636.252222255</v>
      </c>
      <c r="DK58" s="20">
        <f>ARR!DK29</f>
        <v>92512831.926995322</v>
      </c>
      <c r="DL58" s="20">
        <f>ARR!DL29</f>
        <v>96960169.15582867</v>
      </c>
      <c r="DM58" s="20">
        <f>ARR!DM29</f>
        <v>103142067.16063702</v>
      </c>
      <c r="DN58" s="20">
        <f>ARR!DN29</f>
        <v>105071288.29701543</v>
      </c>
      <c r="DO58" s="20">
        <f>ARR!DO29</f>
        <v>108743641.25369404</v>
      </c>
      <c r="DP58" s="20">
        <f>ARR!DP29</f>
        <v>115232068.32400943</v>
      </c>
      <c r="DQ58" s="20">
        <f>ARR!DQ29</f>
        <v>117594051.20971507</v>
      </c>
      <c r="DR58" s="20">
        <f>ARR!DR29</f>
        <v>124556888.01750888</v>
      </c>
      <c r="DS58" s="20">
        <f>ARR!DS29</f>
        <v>132701050.62038209</v>
      </c>
      <c r="DT58" s="20">
        <f>ARR!DT29</f>
        <v>134666714.73970696</v>
      </c>
      <c r="DU58" s="20">
        <f>ARR!DU29</f>
        <v>139018934.72779685</v>
      </c>
      <c r="DV58" s="20">
        <f>ARR!DV29</f>
        <v>147548967.54255262</v>
      </c>
      <c r="DW58" s="20">
        <f>ARR!DW29</f>
        <v>151099764.34517014</v>
      </c>
      <c r="DX58" s="20">
        <f>ARR!DX29</f>
        <v>158149700.22798324</v>
      </c>
      <c r="DY58" s="20">
        <f>ARR!DY29</f>
        <v>167948022.80804917</v>
      </c>
      <c r="DZ58" s="20">
        <f>ARR!DZ29</f>
        <v>171004056.47649968</v>
      </c>
      <c r="EA58" s="20">
        <f>ARR!EA29</f>
        <v>176825102.54035875</v>
      </c>
      <c r="EB58" s="20">
        <f>ARR!EB29</f>
        <v>187110385.35322067</v>
      </c>
      <c r="EC58" s="20">
        <f>ARR!EC29</f>
        <v>190852756.84881118</v>
      </c>
      <c r="ED58" s="20">
        <f>ARR!ED29</f>
        <v>201887604.09522331</v>
      </c>
      <c r="EE58" s="20">
        <f>ARR!EE29</f>
        <v>214796238.54559666</v>
      </c>
      <c r="EF58" s="20">
        <f>ARR!EF29</f>
        <v>217829847.45992032</v>
      </c>
      <c r="EG58" s="20">
        <f>ARR!EG29</f>
        <v>224553614.62293059</v>
      </c>
      <c r="EH58" s="20">
        <f>ARR!EH29</f>
        <v>237732615.79323491</v>
      </c>
      <c r="EI58" s="20">
        <f>ARR!EI29</f>
        <v>243214360.41707471</v>
      </c>
      <c r="EJ58" s="20">
        <f>ARR!EJ29</f>
        <v>254111504.66883951</v>
      </c>
      <c r="EK58" s="20">
        <f>ARR!EK29</f>
        <v>269252551.52859926</v>
      </c>
      <c r="EL58" s="20">
        <f>ARR!EL29</f>
        <v>273968777.28432721</v>
      </c>
      <c r="EM58" s="20">
        <f>ARR!EM29</f>
        <v>282965097.91750944</v>
      </c>
      <c r="EN58" s="20">
        <f>ARR!EN29</f>
        <v>298862466.32881111</v>
      </c>
      <c r="EO58" s="20">
        <f>ARR!EO29</f>
        <v>304640682.96762609</v>
      </c>
      <c r="EP58" s="20">
        <f>ARR!EP29</f>
        <v>321688124.06479168</v>
      </c>
      <c r="EQ58" s="20">
        <f>ARR!EQ29</f>
        <v>341635847.70133901</v>
      </c>
      <c r="ER58" s="20">
        <f>ARR!ER29</f>
        <v>346203288.91668206</v>
      </c>
      <c r="ES58" s="20">
        <f>ARR!ES29</f>
        <v>356340626.99588412</v>
      </c>
      <c r="ET58" s="20">
        <f>ARR!ET29</f>
        <v>376212252.34287906</v>
      </c>
      <c r="EU58" s="20">
        <f>ARR!EU29</f>
        <v>384469233.16324335</v>
      </c>
      <c r="EV58" s="20">
        <f>ARR!EV29</f>
        <v>400910007.95867759</v>
      </c>
      <c r="EW58" s="20">
        <f>ARR!EW29</f>
        <v>423745084.96243131</v>
      </c>
      <c r="EX58" s="20">
        <f>ARR!EX29</f>
        <v>430845596.29042679</v>
      </c>
      <c r="EY58" s="20">
        <f>ARR!EY29</f>
        <v>444415926.79796225</v>
      </c>
      <c r="EZ58" s="20">
        <f>ARR!EZ29</f>
        <v>468399304.08153641</v>
      </c>
      <c r="FA58" s="20">
        <f>ARR!FA29</f>
        <v>477104283.45695412</v>
      </c>
      <c r="FB58" s="20">
        <f>ARR!FB29</f>
        <v>502805792.38359469</v>
      </c>
    </row>
    <row r="59" spans="1:158" x14ac:dyDescent="0.25">
      <c r="A59" s="292" t="s">
        <v>609</v>
      </c>
      <c r="C59" s="258" t="s">
        <v>585</v>
      </c>
      <c r="D59" s="244">
        <f t="shared" ref="D59:L62" si="230">SUMIF($AY$2:$FB$2,D$2,$AY59:$FB59)</f>
        <v>3057385.5</v>
      </c>
      <c r="E59" s="244">
        <f t="shared" si="230"/>
        <v>2750214.6799999997</v>
      </c>
      <c r="F59" s="244">
        <f t="shared" si="230"/>
        <v>2352684.4286809997</v>
      </c>
      <c r="G59" s="244">
        <f t="shared" si="230"/>
        <v>5787834.6133333333</v>
      </c>
      <c r="H59" s="244">
        <f t="shared" si="230"/>
        <v>6773278.9649636559</v>
      </c>
      <c r="I59" s="244">
        <f t="shared" si="230"/>
        <v>9920777.825989252</v>
      </c>
      <c r="J59" s="244">
        <f t="shared" si="230"/>
        <v>13984480.309052814</v>
      </c>
      <c r="K59" s="244">
        <f t="shared" si="230"/>
        <v>20282444.006625246</v>
      </c>
      <c r="L59" s="244">
        <f t="shared" si="230"/>
        <v>30635494.890525348</v>
      </c>
      <c r="M59" s="244"/>
      <c r="N59" s="294">
        <f t="shared" ref="N59" si="231">SUM(AY59:BA59)</f>
        <v>364083.32999999996</v>
      </c>
      <c r="O59" s="294">
        <f>SUM(BB59:BD59)</f>
        <v>791616.66999999993</v>
      </c>
      <c r="P59" s="294">
        <f>SUM(BE59:BG59)</f>
        <v>564350</v>
      </c>
      <c r="Q59" s="294">
        <f>SUM(BH59:BJ59)</f>
        <v>1337335.5</v>
      </c>
      <c r="R59" s="294">
        <f>SUM(BK59:BM59)</f>
        <v>612602</v>
      </c>
      <c r="S59" s="294">
        <f>SUM(BN59:BP59)</f>
        <v>854539.59</v>
      </c>
      <c r="T59" s="294">
        <f>SUM(BQ59:BS59)</f>
        <v>624336.59</v>
      </c>
      <c r="U59" s="294">
        <f>SUM(BT59:BV59)</f>
        <v>658736.5</v>
      </c>
      <c r="V59" s="294">
        <f>SUM(BW59:BY59)</f>
        <v>261800</v>
      </c>
      <c r="W59" s="294">
        <f>SUM(BZ59:CB59)</f>
        <v>594240.78</v>
      </c>
      <c r="X59" s="294">
        <f>SUM(CC59:CE59)</f>
        <v>989521.62000000011</v>
      </c>
      <c r="Y59" s="294">
        <f>SUM(CF59:CH59)</f>
        <v>507122.028681</v>
      </c>
      <c r="Z59" s="294">
        <f>SUM(CI59:CK59)</f>
        <v>1344032.9</v>
      </c>
      <c r="AA59" s="294">
        <f>SUM(CL59:CN59)</f>
        <v>1265277.6299999999</v>
      </c>
      <c r="AB59" s="294">
        <f>SUM(CO59:CQ59)</f>
        <v>1388410.2499999998</v>
      </c>
      <c r="AC59" s="294">
        <f>SUM(CR59:CT59)</f>
        <v>1790113.833333333</v>
      </c>
      <c r="AD59" s="294">
        <f>SUM(CU59:CW59)</f>
        <v>1198695.173990278</v>
      </c>
      <c r="AE59" s="294">
        <f>SUM(CX59:CZ59)</f>
        <v>1594870.9539379664</v>
      </c>
      <c r="AF59" s="294">
        <f>SUM(DA59:DC59)</f>
        <v>1572355.4651301624</v>
      </c>
      <c r="AG59" s="294">
        <f>SUM(DD59:DF59)</f>
        <v>2407357.3719052495</v>
      </c>
      <c r="AH59" s="294">
        <f>SUM(DG59:DI59)</f>
        <v>1809293.2570420168</v>
      </c>
      <c r="AI59" s="294">
        <f>SUM(DJ59:DL59)</f>
        <v>2455046.4893497182</v>
      </c>
      <c r="AJ59" s="294">
        <f>SUM(DM59:DO59)</f>
        <v>2303018.8648253959</v>
      </c>
      <c r="AK59" s="294">
        <f>SUM(DP59:DR59)</f>
        <v>3353419.214772122</v>
      </c>
      <c r="AL59" s="294">
        <f>SUM(DS59:DU59)</f>
        <v>2550407.4751198376</v>
      </c>
      <c r="AM59" s="294">
        <f>SUM(DV59:DX59)</f>
        <v>3460671.1177605567</v>
      </c>
      <c r="AN59" s="294">
        <f>SUM(DY59:EA59)</f>
        <v>3246370.6507122023</v>
      </c>
      <c r="AO59" s="294">
        <f>SUM(EB59:ED59)</f>
        <v>4727031.0654602181</v>
      </c>
      <c r="AP59" s="294">
        <f>SUM(EE59:EG59)</f>
        <v>3698993.1456165928</v>
      </c>
      <c r="AQ59" s="294">
        <f>SUM(EH59:EJ59)</f>
        <v>5019197.4689174425</v>
      </c>
      <c r="AR59" s="294">
        <f>SUM(EK59:EM59)</f>
        <v>4708385.9745004363</v>
      </c>
      <c r="AS59" s="294">
        <f>SUM(EN59:EP59)</f>
        <v>6855867.4175907746</v>
      </c>
      <c r="AT59" s="294">
        <f>SUM(EQ59:ES59)</f>
        <v>5587121.8269163892</v>
      </c>
      <c r="AU59" s="294">
        <f>SUM(ET59:EV59)</f>
        <v>7581216.4630322959</v>
      </c>
      <c r="AV59" s="294">
        <f>SUM(EW59:EY59)</f>
        <v>7111753.1209410578</v>
      </c>
      <c r="AW59" s="294">
        <f>SUM(EZ59:FB59)</f>
        <v>10355403.479635604</v>
      </c>
      <c r="AX59" s="244"/>
      <c r="AY59" s="244">
        <f>ARR!AY30</f>
        <v>15000</v>
      </c>
      <c r="AZ59" s="244">
        <f>ARR!AZ30</f>
        <v>138333.32999999999</v>
      </c>
      <c r="BA59" s="244">
        <f>ARR!BA30</f>
        <v>210750</v>
      </c>
      <c r="BB59" s="244">
        <f>ARR!BB30</f>
        <v>198700</v>
      </c>
      <c r="BC59" s="244">
        <f>ARR!BC30</f>
        <v>375916.67</v>
      </c>
      <c r="BD59" s="244">
        <f>ARR!BD30</f>
        <v>217000</v>
      </c>
      <c r="BE59" s="244">
        <f>ARR!BE30</f>
        <v>108000</v>
      </c>
      <c r="BF59" s="244">
        <f>ARR!BF30</f>
        <v>115000</v>
      </c>
      <c r="BG59" s="244">
        <f>ARR!BG30</f>
        <v>341350</v>
      </c>
      <c r="BH59" s="244">
        <f>ARR!BH30</f>
        <v>363785.5</v>
      </c>
      <c r="BI59" s="244">
        <f>ARR!BI30</f>
        <v>349300</v>
      </c>
      <c r="BJ59" s="244">
        <f>ARR!BJ30</f>
        <v>624250</v>
      </c>
      <c r="BK59" s="244">
        <f>ARR!BK30</f>
        <v>45850</v>
      </c>
      <c r="BL59" s="244">
        <f>ARR!BL30</f>
        <v>347400</v>
      </c>
      <c r="BM59" s="244">
        <f>ARR!BM30</f>
        <v>219352</v>
      </c>
      <c r="BN59" s="244">
        <f>ARR!BN30</f>
        <v>315895.23</v>
      </c>
      <c r="BO59" s="244">
        <f>ARR!BO30</f>
        <v>21000</v>
      </c>
      <c r="BP59" s="244">
        <f>ARR!BP30</f>
        <v>517644.36</v>
      </c>
      <c r="BQ59" s="244">
        <f>ARR!BQ30</f>
        <v>206000.23</v>
      </c>
      <c r="BR59" s="244">
        <f>ARR!BR30</f>
        <v>0</v>
      </c>
      <c r="BS59" s="244">
        <f>ARR!BS30</f>
        <v>418336.36</v>
      </c>
      <c r="BT59" s="244">
        <f>ARR!BT30</f>
        <v>0</v>
      </c>
      <c r="BU59" s="244">
        <f>ARR!BU30</f>
        <v>52500</v>
      </c>
      <c r="BV59" s="244">
        <f>ARR!BV30</f>
        <v>606236.5</v>
      </c>
      <c r="BW59" s="244">
        <f>ARR!BW30</f>
        <v>89500</v>
      </c>
      <c r="BX59" s="244">
        <f>ARR!BX30</f>
        <v>127300</v>
      </c>
      <c r="BY59" s="244">
        <f>ARR!BY30</f>
        <v>45000</v>
      </c>
      <c r="BZ59" s="244">
        <f>ARR!BZ30</f>
        <v>95100</v>
      </c>
      <c r="CA59" s="244">
        <f>ARR!CA30</f>
        <v>152971.18</v>
      </c>
      <c r="CB59" s="244">
        <f>ARR!CB30</f>
        <v>346169.59999999998</v>
      </c>
      <c r="CC59" s="244">
        <f>ARR!CC30</f>
        <v>76788.3</v>
      </c>
      <c r="CD59" s="244">
        <f>ARR!CD30</f>
        <v>262937.90000000002</v>
      </c>
      <c r="CE59" s="244">
        <f>ARR!CE30</f>
        <v>649795.42000000004</v>
      </c>
      <c r="CF59" s="244">
        <f>ARR!CF30</f>
        <v>40192.307692000002</v>
      </c>
      <c r="CG59" s="244">
        <f>ARR!CG30</f>
        <v>178132.910989</v>
      </c>
      <c r="CH59" s="244">
        <f>ARR!CH30</f>
        <v>288796.81</v>
      </c>
      <c r="CI59" s="55">
        <f>ARR!CI30</f>
        <v>211500</v>
      </c>
      <c r="CJ59" s="55">
        <f>ARR!CJ30</f>
        <v>42000</v>
      </c>
      <c r="CK59" s="55">
        <f>ARR!CK30</f>
        <v>1090532.8999999999</v>
      </c>
      <c r="CL59" s="55">
        <f>ARR!CL30</f>
        <v>157920</v>
      </c>
      <c r="CM59" s="55">
        <f>ARR!CM30</f>
        <v>173945.83</v>
      </c>
      <c r="CN59" s="55">
        <f>ARR!CN30</f>
        <v>933411.8</v>
      </c>
      <c r="CO59" s="55">
        <f>ARR!CO30</f>
        <v>208261.53749999998</v>
      </c>
      <c r="CP59" s="55">
        <f>ARR!CP30</f>
        <v>485943.58749999991</v>
      </c>
      <c r="CQ59" s="55">
        <f>ARR!CQ30</f>
        <v>694205.12499999988</v>
      </c>
      <c r="CR59" s="55">
        <f>ARR!CR30</f>
        <v>179011.3833333333</v>
      </c>
      <c r="CS59" s="55">
        <f>ARR!CS30</f>
        <v>716045.53333333321</v>
      </c>
      <c r="CT59" s="55">
        <f>ARR!CT30</f>
        <v>895056.9166666664</v>
      </c>
      <c r="CU59" s="20">
        <f>ARR!CU30</f>
        <v>158455.60230988532</v>
      </c>
      <c r="CV59" s="20">
        <f>ARR!CV30</f>
        <v>348251.71641244635</v>
      </c>
      <c r="CW59" s="20">
        <f>ARR!CW30</f>
        <v>691987.85526794638</v>
      </c>
      <c r="CX59" s="20">
        <f>ARR!CX30</f>
        <v>276684.13585798751</v>
      </c>
      <c r="CY59" s="20">
        <f>ARR!CY30</f>
        <v>542678.81675078475</v>
      </c>
      <c r="CZ59" s="20">
        <f>ARR!CZ30</f>
        <v>775508.00132919417</v>
      </c>
      <c r="DA59" s="20">
        <f>ARR!DA30</f>
        <v>265680.86088953278</v>
      </c>
      <c r="DB59" s="20">
        <f>ARR!DB30</f>
        <v>473735.28795119311</v>
      </c>
      <c r="DC59" s="20">
        <f>ARR!DC30</f>
        <v>832939.31628943642</v>
      </c>
      <c r="DD59" s="20">
        <f>ARR!DD30</f>
        <v>357665.57334176538</v>
      </c>
      <c r="DE59" s="20">
        <f>ARR!DE30</f>
        <v>954047.49695393187</v>
      </c>
      <c r="DF59" s="20">
        <f>ARR!DF30</f>
        <v>1095644.301609552</v>
      </c>
      <c r="DG59" s="20">
        <f>ARR!DG30</f>
        <v>249946.29439206884</v>
      </c>
      <c r="DH59" s="20">
        <f>ARR!DH30</f>
        <v>527939.43331156066</v>
      </c>
      <c r="DI59" s="20">
        <f>ARR!DI30</f>
        <v>1031407.5293383874</v>
      </c>
      <c r="DJ59" s="20">
        <f>ARR!DJ30</f>
        <v>444940.57287045382</v>
      </c>
      <c r="DK59" s="20">
        <f>ARR!DK30</f>
        <v>834541.25899050524</v>
      </c>
      <c r="DL59" s="20">
        <f>ARR!DL30</f>
        <v>1175564.6574887589</v>
      </c>
      <c r="DM59" s="20">
        <f>ARR!DM30</f>
        <v>389141.03599404241</v>
      </c>
      <c r="DN59" s="20">
        <f>ARR!DN30</f>
        <v>693877.00763629319</v>
      </c>
      <c r="DO59" s="20">
        <f>ARR!DO30</f>
        <v>1220000.8211950604</v>
      </c>
      <c r="DP59" s="20">
        <f>ARR!DP30</f>
        <v>466329.93710004858</v>
      </c>
      <c r="DQ59" s="20">
        <f>ARR!DQ30</f>
        <v>1339846.6775439652</v>
      </c>
      <c r="DR59" s="20">
        <f>ARR!DR30</f>
        <v>1547242.6001281082</v>
      </c>
      <c r="DS59" s="20">
        <f>ARR!DS30</f>
        <v>352328.1232132687</v>
      </c>
      <c r="DT59" s="20">
        <f>ARR!DT30</f>
        <v>744191.50786514347</v>
      </c>
      <c r="DU59" s="20">
        <f>ARR!DU30</f>
        <v>1453887.8440414253</v>
      </c>
      <c r="DV59" s="20">
        <f>ARR!DV30</f>
        <v>627195.0434879422</v>
      </c>
      <c r="DW59" s="20">
        <f>ARR!DW30</f>
        <v>1176382.1353676093</v>
      </c>
      <c r="DX59" s="20">
        <f>ARR!DX30</f>
        <v>1657093.9389050056</v>
      </c>
      <c r="DY59" s="20">
        <f>ARR!DY30</f>
        <v>548539.16202487436</v>
      </c>
      <c r="DZ59" s="20">
        <f>ARR!DZ30</f>
        <v>978099.65311128646</v>
      </c>
      <c r="EA59" s="20">
        <f>ARR!EA30</f>
        <v>1719731.8355760414</v>
      </c>
      <c r="EB59" s="20">
        <f>ARR!EB30</f>
        <v>657345.81877375988</v>
      </c>
      <c r="EC59" s="20">
        <f>ARR!EC30</f>
        <v>1888668.3895065503</v>
      </c>
      <c r="ED59" s="20">
        <f>ARR!ED30</f>
        <v>2181016.8571799085</v>
      </c>
      <c r="EE59" s="20">
        <f>ARR!EE30</f>
        <v>511000.42855410866</v>
      </c>
      <c r="EF59" s="20">
        <f>ARR!EF30</f>
        <v>1079340.9733438368</v>
      </c>
      <c r="EG59" s="20">
        <f>ARR!EG30</f>
        <v>2108651.7437186474</v>
      </c>
      <c r="EH59" s="20">
        <f>ARR!EH30</f>
        <v>909654.70790803258</v>
      </c>
      <c r="EI59" s="20">
        <f>ARR!EI30</f>
        <v>1706170.287611055</v>
      </c>
      <c r="EJ59" s="20">
        <f>ARR!EJ30</f>
        <v>2403372.4733983548</v>
      </c>
      <c r="EK59" s="20">
        <f>ARR!EK30</f>
        <v>795575.85218296933</v>
      </c>
      <c r="EL59" s="20">
        <f>ARR!EL30</f>
        <v>1418590.5381329765</v>
      </c>
      <c r="EM59" s="20">
        <f>ARR!EM30</f>
        <v>2494219.5841844911</v>
      </c>
      <c r="EN59" s="20">
        <f>ARR!EN30</f>
        <v>953383.99909199367</v>
      </c>
      <c r="EO59" s="20">
        <f>ARR!EO30</f>
        <v>2739237.3553167991</v>
      </c>
      <c r="EP59" s="20">
        <f>ARR!EP30</f>
        <v>3163246.0631819819</v>
      </c>
      <c r="EQ59" s="20">
        <f>ARR!EQ30</f>
        <v>771837.50700418756</v>
      </c>
      <c r="ER59" s="20">
        <f>ARR!ER30</f>
        <v>1630284.0458087169</v>
      </c>
      <c r="ES59" s="20">
        <f>ARR!ES30</f>
        <v>3185000.2741034846</v>
      </c>
      <c r="ET59" s="20">
        <f>ARR!ET30</f>
        <v>1373982.4523689495</v>
      </c>
      <c r="EU59" s="20">
        <f>ARR!EU30</f>
        <v>2577074.592756222</v>
      </c>
      <c r="EV59" s="20">
        <f>ARR!EV30</f>
        <v>3630159.4179071249</v>
      </c>
      <c r="EW59" s="20">
        <f>ARR!EW30</f>
        <v>1201672.7346376663</v>
      </c>
      <c r="EX59" s="20">
        <f>ARR!EX30</f>
        <v>2142701.4993126313</v>
      </c>
      <c r="EY59" s="20">
        <f>ARR!EY30</f>
        <v>3767378.88699076</v>
      </c>
      <c r="EZ59" s="20">
        <f>ARR!EZ30</f>
        <v>1440033.0957822844</v>
      </c>
      <c r="FA59" s="20">
        <f>ARR!FA30</f>
        <v>4137464.4976380672</v>
      </c>
      <c r="FB59" s="20">
        <f>ARR!FB30</f>
        <v>4777905.8862152528</v>
      </c>
    </row>
    <row r="60" spans="1:158" x14ac:dyDescent="0.25">
      <c r="A60" s="292" t="s">
        <v>609</v>
      </c>
      <c r="C60" s="258" t="s">
        <v>584</v>
      </c>
      <c r="D60" s="244">
        <f t="shared" si="230"/>
        <v>3664491.9699999997</v>
      </c>
      <c r="E60" s="244">
        <f t="shared" si="230"/>
        <v>6524064</v>
      </c>
      <c r="F60" s="244">
        <f t="shared" si="230"/>
        <v>7473375.0553849991</v>
      </c>
      <c r="G60" s="244">
        <f t="shared" si="230"/>
        <v>16399499.241960667</v>
      </c>
      <c r="H60" s="244">
        <f t="shared" si="230"/>
        <v>27093115.859854624</v>
      </c>
      <c r="I60" s="244">
        <f t="shared" si="230"/>
        <v>45194654.540617704</v>
      </c>
      <c r="J60" s="244">
        <f t="shared" si="230"/>
        <v>73418521.622527272</v>
      </c>
      <c r="K60" s="244">
        <f t="shared" si="230"/>
        <v>114933849.37087639</v>
      </c>
      <c r="L60" s="244">
        <f t="shared" si="230"/>
        <v>173601137.71297699</v>
      </c>
      <c r="M60" s="244"/>
      <c r="N60" s="294">
        <f t="shared" ref="N60:N62" si="232">SUM(AY60:BA60)</f>
        <v>776758.17</v>
      </c>
      <c r="O60" s="294">
        <f t="shared" ref="O60:O62" si="233">SUM(BB60:BD60)</f>
        <v>625643.30000000005</v>
      </c>
      <c r="P60" s="294">
        <f t="shared" ref="P60:P62" si="234">SUM(BE60:BG60)</f>
        <v>855610.5</v>
      </c>
      <c r="Q60" s="294">
        <f t="shared" ref="Q60:Q62" si="235">SUM(BH60:BJ60)</f>
        <v>1406480</v>
      </c>
      <c r="R60" s="294">
        <f t="shared" ref="R60:R62" si="236">SUM(BK60:BM60)</f>
        <v>1081586</v>
      </c>
      <c r="S60" s="294">
        <f t="shared" ref="S60:S62" si="237">SUM(BN60:BP60)</f>
        <v>2484886.7400000002</v>
      </c>
      <c r="T60" s="294">
        <f t="shared" ref="T60:T62" si="238">SUM(BQ60:BS60)</f>
        <v>910603</v>
      </c>
      <c r="U60" s="294">
        <f t="shared" ref="U60:U62" si="239">SUM(BT60:BV60)</f>
        <v>2046988.26</v>
      </c>
      <c r="V60" s="294">
        <f t="shared" ref="V60:V62" si="240">SUM(BW60:BY60)</f>
        <v>1250731.81</v>
      </c>
      <c r="W60" s="294">
        <f t="shared" ref="W60:W62" si="241">SUM(BZ60:CB60)</f>
        <v>1776271.85</v>
      </c>
      <c r="X60" s="294">
        <f t="shared" ref="X60:X62" si="242">SUM(CC60:CE60)</f>
        <v>2255269.2599999998</v>
      </c>
      <c r="Y60" s="294">
        <f t="shared" ref="Y60:Y62" si="243">SUM(CF60:CH60)</f>
        <v>2191102.1353850001</v>
      </c>
      <c r="Z60" s="294">
        <f t="shared" ref="Z60:Z62" si="244">SUM(CI60:CK60)</f>
        <v>1477725.45</v>
      </c>
      <c r="AA60" s="294">
        <f t="shared" ref="AA60:AA62" si="245">SUM(CL60:CN60)</f>
        <v>4026344.1252939999</v>
      </c>
      <c r="AB60" s="294">
        <f t="shared" ref="AB60:AB62" si="246">SUM(CO60:CQ60)</f>
        <v>4887366</v>
      </c>
      <c r="AC60" s="294">
        <f t="shared" ref="AC60:AC62" si="247">SUM(CR60:CT60)</f>
        <v>6008063.666666666</v>
      </c>
      <c r="AD60" s="294">
        <f t="shared" ref="AD60:AD62" si="248">SUM(CU60:CW60)</f>
        <v>4794780.6959611122</v>
      </c>
      <c r="AE60" s="294">
        <f t="shared" ref="AE60:AE62" si="249">SUM(CX60:CZ60)</f>
        <v>6379483.8157518655</v>
      </c>
      <c r="AF60" s="294">
        <f t="shared" ref="AF60:AF62" si="250">SUM(DA60:DC60)</f>
        <v>6289421.8605206488</v>
      </c>
      <c r="AG60" s="294">
        <f t="shared" ref="AG60:AG62" si="251">SUM(DD60:DF60)</f>
        <v>9629429.4876209963</v>
      </c>
      <c r="AH60" s="294">
        <f t="shared" ref="AH60:AH62" si="252">SUM(DG60:DI60)</f>
        <v>8242335.9487469662</v>
      </c>
      <c r="AI60" s="294">
        <f t="shared" ref="AI60:AI62" si="253">SUM(DJ60:DL60)</f>
        <v>11184100.673704272</v>
      </c>
      <c r="AJ60" s="294">
        <f t="shared" ref="AJ60:AJ62" si="254">SUM(DM60:DO60)</f>
        <v>10491530.384204581</v>
      </c>
      <c r="AK60" s="294">
        <f t="shared" ref="AK60:AK62" si="255">SUM(DP60:DR60)</f>
        <v>15276687.533961888</v>
      </c>
      <c r="AL60" s="294">
        <f t="shared" ref="AL60:AL62" si="256">SUM(DS60:DU60)</f>
        <v>13389639.244379146</v>
      </c>
      <c r="AM60" s="294">
        <f t="shared" ref="AM60:AM62" si="257">SUM(DV60:DX60)</f>
        <v>18168523.368242919</v>
      </c>
      <c r="AN60" s="294">
        <f t="shared" ref="AN60:AN62" si="258">SUM(DY60:EA60)</f>
        <v>17043445.91623906</v>
      </c>
      <c r="AO60" s="294">
        <f t="shared" ref="AO60:AO62" si="259">SUM(EB60:ED60)</f>
        <v>24816913.093666147</v>
      </c>
      <c r="AP60" s="294">
        <f t="shared" ref="AP60:AP62" si="260">SUM(EE60:EG60)</f>
        <v>20960961.158494025</v>
      </c>
      <c r="AQ60" s="294">
        <f t="shared" ref="AQ60:AQ62" si="261">SUM(EH60:EJ60)</f>
        <v>28442118.990532175</v>
      </c>
      <c r="AR60" s="294">
        <f t="shared" ref="AR60:AR62" si="262">SUM(EK60:EM60)</f>
        <v>26680853.855502475</v>
      </c>
      <c r="AS60" s="294">
        <f t="shared" ref="AS60:AS62" si="263">SUM(EN60:EP60)</f>
        <v>38849915.36634773</v>
      </c>
      <c r="AT60" s="294">
        <f t="shared" ref="AT60:AT62" si="264">SUM(EQ60:ES60)</f>
        <v>31660357.019192871</v>
      </c>
      <c r="AU60" s="294">
        <f t="shared" ref="AU60:AU62" si="265">SUM(ET60:EV60)</f>
        <v>42960226.623849675</v>
      </c>
      <c r="AV60" s="294">
        <f t="shared" ref="AV60:AV62" si="266">SUM(EW60:EY60)</f>
        <v>40299934.351999328</v>
      </c>
      <c r="AW60" s="294">
        <f t="shared" ref="AW60:AW62" si="267">SUM(EZ60:FB60)</f>
        <v>58680619.717935085</v>
      </c>
      <c r="AX60" s="244"/>
      <c r="AY60" s="244">
        <f>ARR!AY31</f>
        <v>0</v>
      </c>
      <c r="AZ60" s="244">
        <f>ARR!AZ31</f>
        <v>208124.5</v>
      </c>
      <c r="BA60" s="244">
        <f>ARR!BA31</f>
        <v>568633.67000000004</v>
      </c>
      <c r="BB60" s="244">
        <f>ARR!BB31</f>
        <v>74365</v>
      </c>
      <c r="BC60" s="244">
        <f>ARR!BC31</f>
        <v>178800.3</v>
      </c>
      <c r="BD60" s="244">
        <f>ARR!BD31</f>
        <v>372478</v>
      </c>
      <c r="BE60" s="244">
        <f>ARR!BE31</f>
        <v>275150</v>
      </c>
      <c r="BF60" s="244">
        <f>ARR!BF31</f>
        <v>103659.5</v>
      </c>
      <c r="BG60" s="244">
        <f>ARR!BG31</f>
        <v>476801</v>
      </c>
      <c r="BH60" s="244">
        <f>ARR!BH31</f>
        <v>43800</v>
      </c>
      <c r="BI60" s="244">
        <f>ARR!BI31</f>
        <v>1009050</v>
      </c>
      <c r="BJ60" s="244">
        <f>ARR!BJ31</f>
        <v>353630</v>
      </c>
      <c r="BK60" s="244">
        <f>ARR!BK31</f>
        <v>146300</v>
      </c>
      <c r="BL60" s="244">
        <f>ARR!BL31</f>
        <v>139481</v>
      </c>
      <c r="BM60" s="244">
        <f>ARR!BM31</f>
        <v>795805</v>
      </c>
      <c r="BN60" s="244">
        <f>ARR!BN31</f>
        <v>93150</v>
      </c>
      <c r="BO60" s="244">
        <f>ARR!BO31</f>
        <v>1699465.86</v>
      </c>
      <c r="BP60" s="244">
        <f>ARR!BP31</f>
        <v>692270.88</v>
      </c>
      <c r="BQ60" s="244">
        <f>ARR!BQ31</f>
        <v>290000</v>
      </c>
      <c r="BR60" s="244">
        <f>ARR!BR31</f>
        <v>197811</v>
      </c>
      <c r="BS60" s="244">
        <f>ARR!BS31</f>
        <v>422792</v>
      </c>
      <c r="BT60" s="244">
        <f>ARR!BT31</f>
        <v>138500</v>
      </c>
      <c r="BU60" s="244">
        <f>ARR!BU31</f>
        <v>862232</v>
      </c>
      <c r="BV60" s="244">
        <f>ARR!BV31</f>
        <v>1046256.26</v>
      </c>
      <c r="BW60" s="244">
        <f>ARR!BW31</f>
        <v>394742.64</v>
      </c>
      <c r="BX60" s="244">
        <f>ARR!BX31</f>
        <v>487907</v>
      </c>
      <c r="BY60" s="244">
        <f>ARR!BY31</f>
        <v>368082.17</v>
      </c>
      <c r="BZ60" s="244">
        <f>ARR!BZ31</f>
        <v>600800.01</v>
      </c>
      <c r="CA60" s="244">
        <f>ARR!CA31</f>
        <v>217572.88</v>
      </c>
      <c r="CB60" s="244">
        <f>ARR!CB31</f>
        <v>957898.96</v>
      </c>
      <c r="CC60" s="244">
        <f>ARR!CC31</f>
        <v>161229.98000000001</v>
      </c>
      <c r="CD60" s="244">
        <f>ARR!CD31</f>
        <v>1290770.5900000001</v>
      </c>
      <c r="CE60" s="244">
        <f>ARR!CE31</f>
        <v>803268.69</v>
      </c>
      <c r="CF60" s="244">
        <f>ARR!CF31</f>
        <v>295238.63208800001</v>
      </c>
      <c r="CG60" s="244">
        <f>ARR!CG31</f>
        <v>969773.81329700002</v>
      </c>
      <c r="CH60" s="244">
        <f>ARR!CH31</f>
        <v>926089.69</v>
      </c>
      <c r="CI60" s="55">
        <f>ARR!CI31</f>
        <v>317615.01</v>
      </c>
      <c r="CJ60" s="55">
        <f>ARR!CJ31</f>
        <v>445330.75</v>
      </c>
      <c r="CK60" s="55">
        <f>ARR!CK31</f>
        <v>714779.69</v>
      </c>
      <c r="CL60" s="55">
        <f>ARR!CL31</f>
        <v>590275.79</v>
      </c>
      <c r="CM60" s="55">
        <f>ARR!CM31</f>
        <v>1077791.475294</v>
      </c>
      <c r="CN60" s="55">
        <f>ARR!CN31</f>
        <v>2358276.86</v>
      </c>
      <c r="CO60" s="55">
        <f>ARR!CO31</f>
        <v>733104.9</v>
      </c>
      <c r="CP60" s="55">
        <f>ARR!CP31</f>
        <v>1710578.1</v>
      </c>
      <c r="CQ60" s="55">
        <f>ARR!CQ31</f>
        <v>2443683</v>
      </c>
      <c r="CR60" s="55">
        <f>ARR!CR31</f>
        <v>600806.3666666667</v>
      </c>
      <c r="CS60" s="55">
        <f>ARR!CS31</f>
        <v>2403225.4666666668</v>
      </c>
      <c r="CT60" s="55">
        <f>ARR!CT31</f>
        <v>3004031.833333333</v>
      </c>
      <c r="CU60" s="20">
        <f>ARR!CU31</f>
        <v>633822.40923954116</v>
      </c>
      <c r="CV60" s="20">
        <f>ARR!CV31</f>
        <v>1393006.8656497854</v>
      </c>
      <c r="CW60" s="20">
        <f>ARR!CW31</f>
        <v>2767951.4210717855</v>
      </c>
      <c r="CX60" s="20">
        <f>ARR!CX31</f>
        <v>1106736.54343195</v>
      </c>
      <c r="CY60" s="20">
        <f>ARR!CY31</f>
        <v>2170715.267003139</v>
      </c>
      <c r="CZ60" s="20">
        <f>ARR!CZ31</f>
        <v>3102032.0053167762</v>
      </c>
      <c r="DA60" s="20">
        <f>ARR!DA31</f>
        <v>1062723.4435581309</v>
      </c>
      <c r="DB60" s="20">
        <f>ARR!DB31</f>
        <v>1894941.1518047724</v>
      </c>
      <c r="DC60" s="20">
        <f>ARR!DC31</f>
        <v>3331757.2651577452</v>
      </c>
      <c r="DD60" s="20">
        <f>ARR!DD31</f>
        <v>1430662.2933670613</v>
      </c>
      <c r="DE60" s="20">
        <f>ARR!DE31</f>
        <v>3816189.9878157275</v>
      </c>
      <c r="DF60" s="20">
        <f>ARR!DF31</f>
        <v>4382577.206438208</v>
      </c>
      <c r="DG60" s="20">
        <f>ARR!DG31</f>
        <v>1138644.2300083137</v>
      </c>
      <c r="DH60" s="20">
        <f>ARR!DH31</f>
        <v>2405057.4184193322</v>
      </c>
      <c r="DI60" s="20">
        <f>ARR!DI31</f>
        <v>4698634.3003193205</v>
      </c>
      <c r="DJ60" s="20">
        <f>ARR!DJ31</f>
        <v>2026951.4986320673</v>
      </c>
      <c r="DK60" s="20">
        <f>ARR!DK31</f>
        <v>3801799.0687345243</v>
      </c>
      <c r="DL60" s="20">
        <f>ARR!DL31</f>
        <v>5355350.1063376805</v>
      </c>
      <c r="DM60" s="20">
        <f>ARR!DM31</f>
        <v>1772753.6084173045</v>
      </c>
      <c r="DN60" s="20">
        <f>ARR!DN31</f>
        <v>3160995.25700978</v>
      </c>
      <c r="DO60" s="20">
        <f>ARR!DO31</f>
        <v>5557781.518777498</v>
      </c>
      <c r="DP60" s="20">
        <f>ARR!DP31</f>
        <v>2124391.9356779992</v>
      </c>
      <c r="DQ60" s="20">
        <f>ARR!DQ31</f>
        <v>6103745.9754780633</v>
      </c>
      <c r="DR60" s="20">
        <f>ARR!DR31</f>
        <v>7048549.6228058264</v>
      </c>
      <c r="DS60" s="20">
        <f>ARR!DS31</f>
        <v>1849722.6468696604</v>
      </c>
      <c r="DT60" s="20">
        <f>ARR!DT31</f>
        <v>3907005.4162920029</v>
      </c>
      <c r="DU60" s="20">
        <f>ARR!DU31</f>
        <v>7632911.1812174823</v>
      </c>
      <c r="DV60" s="20">
        <f>ARR!DV31</f>
        <v>3292773.9783116961</v>
      </c>
      <c r="DW60" s="20">
        <f>ARR!DW31</f>
        <v>6176006.2106799483</v>
      </c>
      <c r="DX60" s="20">
        <f>ARR!DX31</f>
        <v>8699743.1792512778</v>
      </c>
      <c r="DY60" s="20">
        <f>ARR!DY31</f>
        <v>2879830.6006305902</v>
      </c>
      <c r="DZ60" s="20">
        <f>ARR!DZ31</f>
        <v>5135023.1788342539</v>
      </c>
      <c r="EA60" s="20">
        <f>ARR!EA31</f>
        <v>9028592.1367742177</v>
      </c>
      <c r="EB60" s="20">
        <f>ARR!EB31</f>
        <v>3451065.5485622394</v>
      </c>
      <c r="EC60" s="20">
        <f>ARR!EC31</f>
        <v>9915509.0449093878</v>
      </c>
      <c r="ED60" s="20">
        <f>ARR!ED31</f>
        <v>11450338.50019452</v>
      </c>
      <c r="EE60" s="20">
        <f>ARR!EE31</f>
        <v>2895669.0951399491</v>
      </c>
      <c r="EF60" s="20">
        <f>ARR!EF31</f>
        <v>6116265.5156150749</v>
      </c>
      <c r="EG60" s="20">
        <f>ARR!EG31</f>
        <v>11949026.547739003</v>
      </c>
      <c r="EH60" s="20">
        <f>ARR!EH31</f>
        <v>5154710.0114788515</v>
      </c>
      <c r="EI60" s="20">
        <f>ARR!EI31</f>
        <v>9668298.2964626458</v>
      </c>
      <c r="EJ60" s="20">
        <f>ARR!EJ31</f>
        <v>13619110.682590678</v>
      </c>
      <c r="EK60" s="20">
        <f>ARR!EK31</f>
        <v>4508263.1623701593</v>
      </c>
      <c r="EL60" s="20">
        <f>ARR!EL31</f>
        <v>8038679.7160868663</v>
      </c>
      <c r="EM60" s="20">
        <f>ARR!EM31</f>
        <v>14133910.97704545</v>
      </c>
      <c r="EN60" s="20">
        <f>ARR!EN31</f>
        <v>5402509.3281879639</v>
      </c>
      <c r="EO60" s="20">
        <f>ARR!EO31</f>
        <v>15522345.013461862</v>
      </c>
      <c r="EP60" s="20">
        <f>ARR!EP31</f>
        <v>17925061.0246979</v>
      </c>
      <c r="EQ60" s="20">
        <f>ARR!EQ31</f>
        <v>4373745.8730237298</v>
      </c>
      <c r="ER60" s="20">
        <f>ARR!ER31</f>
        <v>9238276.2595827281</v>
      </c>
      <c r="ES60" s="20">
        <f>ARR!ES31</f>
        <v>18048334.886586413</v>
      </c>
      <c r="ET60" s="20">
        <f>ARR!ET31</f>
        <v>7785900.563424048</v>
      </c>
      <c r="EU60" s="20">
        <f>ARR!EU31</f>
        <v>14603422.692285258</v>
      </c>
      <c r="EV60" s="20">
        <f>ARR!EV31</f>
        <v>20570903.368140373</v>
      </c>
      <c r="EW60" s="20">
        <f>ARR!EW31</f>
        <v>6809478.8296134416</v>
      </c>
      <c r="EX60" s="20">
        <f>ARR!EX31</f>
        <v>12141975.162771577</v>
      </c>
      <c r="EY60" s="20">
        <f>ARR!EY31</f>
        <v>21348480.359614309</v>
      </c>
      <c r="EZ60" s="20">
        <f>ARR!EZ31</f>
        <v>8160187.5427662777</v>
      </c>
      <c r="FA60" s="20">
        <f>ARR!FA31</f>
        <v>23445632.153282382</v>
      </c>
      <c r="FB60" s="20">
        <f>ARR!FB31</f>
        <v>27074800.021886431</v>
      </c>
    </row>
    <row r="61" spans="1:158" x14ac:dyDescent="0.25">
      <c r="A61" s="292" t="s">
        <v>609</v>
      </c>
      <c r="C61" s="258" t="s">
        <v>583</v>
      </c>
      <c r="D61" s="244">
        <f t="shared" si="230"/>
        <v>-250321</v>
      </c>
      <c r="E61" s="244">
        <f t="shared" si="230"/>
        <v>-339419.07</v>
      </c>
      <c r="F61" s="244">
        <f t="shared" si="230"/>
        <v>-466971.60076899995</v>
      </c>
      <c r="G61" s="244">
        <f t="shared" si="230"/>
        <v>-788183.57850139972</v>
      </c>
      <c r="H61" s="244">
        <f t="shared" si="230"/>
        <v>-1377628.5259046492</v>
      </c>
      <c r="I61" s="244">
        <f t="shared" si="230"/>
        <v>-2215966.6030625738</v>
      </c>
      <c r="J61" s="244">
        <f t="shared" si="230"/>
        <v>-3546103.5373059665</v>
      </c>
      <c r="K61" s="244">
        <f t="shared" si="230"/>
        <v>-5596388.5535649722</v>
      </c>
      <c r="L61" s="244">
        <f t="shared" si="230"/>
        <v>-8672875.4296420012</v>
      </c>
      <c r="M61" s="244"/>
      <c r="N61" s="294">
        <f t="shared" si="232"/>
        <v>-27800</v>
      </c>
      <c r="O61" s="294">
        <f t="shared" si="233"/>
        <v>0</v>
      </c>
      <c r="P61" s="294">
        <f t="shared" si="234"/>
        <v>-69577</v>
      </c>
      <c r="Q61" s="294">
        <f t="shared" si="235"/>
        <v>-152944</v>
      </c>
      <c r="R61" s="294">
        <f t="shared" si="236"/>
        <v>-101455.77</v>
      </c>
      <c r="S61" s="294">
        <f t="shared" si="237"/>
        <v>-132720</v>
      </c>
      <c r="T61" s="294">
        <f t="shared" si="238"/>
        <v>-20250</v>
      </c>
      <c r="U61" s="294">
        <f t="shared" si="239"/>
        <v>-84993.3</v>
      </c>
      <c r="V61" s="294">
        <f t="shared" si="240"/>
        <v>-31354</v>
      </c>
      <c r="W61" s="294">
        <f t="shared" si="241"/>
        <v>-219721.23076900002</v>
      </c>
      <c r="X61" s="294">
        <f t="shared" si="242"/>
        <v>-71732.539999999994</v>
      </c>
      <c r="Y61" s="294">
        <f t="shared" si="243"/>
        <v>-144163.82999999999</v>
      </c>
      <c r="Z61" s="294">
        <f t="shared" si="244"/>
        <v>-391015.83</v>
      </c>
      <c r="AA61" s="294">
        <f t="shared" si="245"/>
        <v>-101708.23999999999</v>
      </c>
      <c r="AB61" s="294">
        <f t="shared" si="246"/>
        <v>-136984.82022687755</v>
      </c>
      <c r="AC61" s="294">
        <f t="shared" si="247"/>
        <v>-158474.68827452211</v>
      </c>
      <c r="AD61" s="294">
        <f t="shared" si="248"/>
        <v>-283459.28493081487</v>
      </c>
      <c r="AE61" s="294">
        <f t="shared" si="249"/>
        <v>-319279.25111393956</v>
      </c>
      <c r="AF61" s="294">
        <f t="shared" si="250"/>
        <v>-292627.59022584202</v>
      </c>
      <c r="AG61" s="294">
        <f t="shared" si="251"/>
        <v>-482262.39963405253</v>
      </c>
      <c r="AH61" s="294">
        <f t="shared" si="252"/>
        <v>-455954.77802857256</v>
      </c>
      <c r="AI61" s="294">
        <f t="shared" si="253"/>
        <v>-513572.52279217727</v>
      </c>
      <c r="AJ61" s="294">
        <f t="shared" si="254"/>
        <v>-470702.33730048931</v>
      </c>
      <c r="AK61" s="294">
        <f t="shared" si="255"/>
        <v>-775736.96494133421</v>
      </c>
      <c r="AL61" s="294">
        <f t="shared" si="256"/>
        <v>-729642.24685701262</v>
      </c>
      <c r="AM61" s="294">
        <f t="shared" si="257"/>
        <v>-821845.1204181182</v>
      </c>
      <c r="AN61" s="294">
        <f t="shared" si="258"/>
        <v>-753242.04841922806</v>
      </c>
      <c r="AO61" s="294">
        <f t="shared" si="259"/>
        <v>-1241374.1216116075</v>
      </c>
      <c r="AP61" s="294">
        <f t="shared" si="260"/>
        <v>-1151506.5692667875</v>
      </c>
      <c r="AQ61" s="294">
        <f t="shared" si="261"/>
        <v>-1297019.2709616697</v>
      </c>
      <c r="AR61" s="294">
        <f t="shared" si="262"/>
        <v>-1188751.296596302</v>
      </c>
      <c r="AS61" s="294">
        <f t="shared" si="263"/>
        <v>-1959111.4167402128</v>
      </c>
      <c r="AT61" s="294">
        <f t="shared" si="264"/>
        <v>-1784521.0238848603</v>
      </c>
      <c r="AU61" s="294">
        <f t="shared" si="265"/>
        <v>-2010026.0121735041</v>
      </c>
      <c r="AV61" s="294">
        <f t="shared" si="266"/>
        <v>-1842240.1899949571</v>
      </c>
      <c r="AW61" s="294">
        <f t="shared" si="267"/>
        <v>-3036088.2035886785</v>
      </c>
      <c r="AX61" s="244"/>
      <c r="AY61" s="244">
        <f>ARR!AY32</f>
        <v>-7200</v>
      </c>
      <c r="AZ61" s="244">
        <f>ARR!AZ32</f>
        <v>0</v>
      </c>
      <c r="BA61" s="244">
        <f>ARR!BA32</f>
        <v>-20600</v>
      </c>
      <c r="BB61" s="244">
        <f>ARR!BB32</f>
        <v>0</v>
      </c>
      <c r="BC61" s="244">
        <f>ARR!BC32</f>
        <v>0</v>
      </c>
      <c r="BD61" s="244">
        <f>ARR!BD32</f>
        <v>0</v>
      </c>
      <c r="BE61" s="244">
        <f>ARR!BE32</f>
        <v>-60000</v>
      </c>
      <c r="BF61" s="244">
        <f>ARR!BF32</f>
        <v>-3577</v>
      </c>
      <c r="BG61" s="244">
        <f>ARR!BG32</f>
        <v>-6000</v>
      </c>
      <c r="BH61" s="244">
        <f>ARR!BH32</f>
        <v>-75000</v>
      </c>
      <c r="BI61" s="244">
        <f>ARR!BI32</f>
        <v>-38944</v>
      </c>
      <c r="BJ61" s="244">
        <f>ARR!BJ32</f>
        <v>-39000</v>
      </c>
      <c r="BK61" s="244">
        <f>ARR!BK32</f>
        <v>-49000</v>
      </c>
      <c r="BL61" s="244">
        <f>ARR!BL32</f>
        <v>-40000</v>
      </c>
      <c r="BM61" s="244">
        <f>ARR!BM32</f>
        <v>-12455.77</v>
      </c>
      <c r="BN61" s="244">
        <f>ARR!BN32</f>
        <v>-22500</v>
      </c>
      <c r="BO61" s="244">
        <f>ARR!BO32</f>
        <v>-19000</v>
      </c>
      <c r="BP61" s="244">
        <f>ARR!BP32</f>
        <v>-91220</v>
      </c>
      <c r="BQ61" s="244">
        <f>ARR!BQ32</f>
        <v>0</v>
      </c>
      <c r="BR61" s="244">
        <f>ARR!BR32</f>
        <v>-6750</v>
      </c>
      <c r="BS61" s="244">
        <f>ARR!BS32</f>
        <v>-13500</v>
      </c>
      <c r="BT61" s="244">
        <f>ARR!BT32</f>
        <v>-73500</v>
      </c>
      <c r="BU61" s="244">
        <f>ARR!BU32</f>
        <v>0</v>
      </c>
      <c r="BV61" s="244">
        <f>ARR!BV32</f>
        <v>-11493.3</v>
      </c>
      <c r="BW61" s="244">
        <f>ARR!BW32</f>
        <v>-468</v>
      </c>
      <c r="BX61" s="244">
        <f>ARR!BX32</f>
        <v>-12500</v>
      </c>
      <c r="BY61" s="244">
        <f>ARR!BY32</f>
        <v>-18386</v>
      </c>
      <c r="BZ61" s="244">
        <f>ARR!BZ32</f>
        <v>-120177</v>
      </c>
      <c r="CA61" s="244">
        <f>ARR!CA32</f>
        <v>-32519.230769000002</v>
      </c>
      <c r="CB61" s="244">
        <f>ARR!CB32</f>
        <v>-67025</v>
      </c>
      <c r="CC61" s="244">
        <f>ARR!CC32</f>
        <v>-40183.339999999997</v>
      </c>
      <c r="CD61" s="244">
        <f>ARR!CD32</f>
        <v>-13500</v>
      </c>
      <c r="CE61" s="244">
        <f>ARR!CE32</f>
        <v>-18049.2</v>
      </c>
      <c r="CF61" s="244">
        <f>ARR!CF32</f>
        <v>0</v>
      </c>
      <c r="CG61" s="244">
        <f>ARR!CG32</f>
        <v>-86200.23</v>
      </c>
      <c r="CH61" s="244">
        <f>ARR!CH32</f>
        <v>-57963.6</v>
      </c>
      <c r="CI61" s="55">
        <f>ARR!CI32</f>
        <v>0</v>
      </c>
      <c r="CJ61" s="55">
        <f>ARR!CJ32</f>
        <v>-267166.83</v>
      </c>
      <c r="CK61" s="55">
        <f>ARR!CK32</f>
        <v>-123849</v>
      </c>
      <c r="CL61" s="55">
        <f>ARR!CL32</f>
        <v>0</v>
      </c>
      <c r="CM61" s="55">
        <f>ARR!CM32</f>
        <v>-38000</v>
      </c>
      <c r="CN61" s="55">
        <f>ARR!CN32</f>
        <v>-63708.24</v>
      </c>
      <c r="CO61" s="55">
        <f>ARR!CO32</f>
        <v>-19353.690538258052</v>
      </c>
      <c r="CP61" s="55">
        <f>ARR!CP32</f>
        <v>-44029.416689425358</v>
      </c>
      <c r="CQ61" s="55">
        <f>ARR!CQ32</f>
        <v>-73601.712999194133</v>
      </c>
      <c r="CR61" s="55">
        <f>ARR!CR32</f>
        <v>-23436.213232123002</v>
      </c>
      <c r="CS61" s="55">
        <f>ARR!CS32</f>
        <v>-77024.111806279878</v>
      </c>
      <c r="CT61" s="55">
        <f>ARR!CT32</f>
        <v>-58014.363236119229</v>
      </c>
      <c r="CU61" s="20">
        <f>ARR!CU32</f>
        <v>-61353.505009180801</v>
      </c>
      <c r="CV61" s="20">
        <f>ARR!CV32</f>
        <v>-77598.641403002577</v>
      </c>
      <c r="CW61" s="20">
        <f>ARR!CW32</f>
        <v>-144507.13851863146</v>
      </c>
      <c r="CX61" s="20">
        <f>ARR!CX32</f>
        <v>-95817.634059311924</v>
      </c>
      <c r="CY61" s="20">
        <f>ARR!CY32</f>
        <v>-78500.704919620126</v>
      </c>
      <c r="CZ61" s="20">
        <f>ARR!CZ32</f>
        <v>-144960.91213500747</v>
      </c>
      <c r="DA61" s="20">
        <f>ARR!DA32</f>
        <v>-96638.8091190712</v>
      </c>
      <c r="DB61" s="20">
        <f>ARR!DB32</f>
        <v>-75807.721782903216</v>
      </c>
      <c r="DC61" s="20">
        <f>ARR!DC32</f>
        <v>-120181.05932386762</v>
      </c>
      <c r="DD61" s="20">
        <f>ARR!DD32</f>
        <v>-95004.641897831083</v>
      </c>
      <c r="DE61" s="20">
        <f>ARR!DE32</f>
        <v>-199677.53420948965</v>
      </c>
      <c r="DF61" s="20">
        <f>ARR!DF32</f>
        <v>-187580.22352673183</v>
      </c>
      <c r="DG61" s="20">
        <f>ARR!DG32</f>
        <v>-98689.389428763257</v>
      </c>
      <c r="DH61" s="20">
        <f>ARR!DH32</f>
        <v>-124820.294120408</v>
      </c>
      <c r="DI61" s="20">
        <f>ARR!DI32</f>
        <v>-232445.0944794013</v>
      </c>
      <c r="DJ61" s="20">
        <f>ARR!DJ32</f>
        <v>-154126.21985340794</v>
      </c>
      <c r="DK61" s="20">
        <f>ARR!DK32</f>
        <v>-126271.29675941984</v>
      </c>
      <c r="DL61" s="20">
        <f>ARR!DL32</f>
        <v>-233175.00617934953</v>
      </c>
      <c r="DM61" s="20">
        <f>ARR!DM32</f>
        <v>-155447.11040806564</v>
      </c>
      <c r="DN61" s="20">
        <f>ARR!DN32</f>
        <v>-121939.53345649563</v>
      </c>
      <c r="DO61" s="20">
        <f>ARR!DO32</f>
        <v>-193315.69343592806</v>
      </c>
      <c r="DP61" s="20">
        <f>ARR!DP32</f>
        <v>-152818.49179427081</v>
      </c>
      <c r="DQ61" s="20">
        <f>ARR!DQ32</f>
        <v>-321188.72313532454</v>
      </c>
      <c r="DR61" s="20">
        <f>ARR!DR32</f>
        <v>-301729.75001173891</v>
      </c>
      <c r="DS61" s="20">
        <f>ARR!DS32</f>
        <v>-157927.82818307725</v>
      </c>
      <c r="DT61" s="20">
        <f>ARR!DT32</f>
        <v>-199743.84356525037</v>
      </c>
      <c r="DU61" s="20">
        <f>ARR!DU32</f>
        <v>-371970.57510868501</v>
      </c>
      <c r="DV61" s="20">
        <f>ARR!DV32</f>
        <v>-246640.69063965662</v>
      </c>
      <c r="DW61" s="20">
        <f>ARR!DW32</f>
        <v>-202065.81249011095</v>
      </c>
      <c r="DX61" s="20">
        <f>ARR!DX32</f>
        <v>-373138.61728835059</v>
      </c>
      <c r="DY61" s="20">
        <f>ARR!DY32</f>
        <v>-248754.44752651229</v>
      </c>
      <c r="DZ61" s="20">
        <f>ARR!DZ32</f>
        <v>-195133.9024378375</v>
      </c>
      <c r="EA61" s="20">
        <f>ARR!EA32</f>
        <v>-309353.69845487823</v>
      </c>
      <c r="EB61" s="20">
        <f>ARR!EB32</f>
        <v>-244547.99705396293</v>
      </c>
      <c r="EC61" s="20">
        <f>ARR!EC32</f>
        <v>-513982.68623672001</v>
      </c>
      <c r="ED61" s="20">
        <f>ARR!ED32</f>
        <v>-482843.43832092453</v>
      </c>
      <c r="EE61" s="20">
        <f>ARR!EE32</f>
        <v>-249238.48969300147</v>
      </c>
      <c r="EF61" s="20">
        <f>ARR!EF32</f>
        <v>-315231.67555984115</v>
      </c>
      <c r="EG61" s="20">
        <f>ARR!EG32</f>
        <v>-587036.40401394491</v>
      </c>
      <c r="EH61" s="20">
        <f>ARR!EH32</f>
        <v>-389243.32677205704</v>
      </c>
      <c r="EI61" s="20">
        <f>ARR!EI32</f>
        <v>-318896.1597397633</v>
      </c>
      <c r="EJ61" s="20">
        <f>ARR!EJ32</f>
        <v>-588879.78444984939</v>
      </c>
      <c r="EK61" s="20">
        <f>ARR!EK32</f>
        <v>-392579.21494400967</v>
      </c>
      <c r="EL61" s="20">
        <f>ARR!EL32</f>
        <v>-307956.36013640556</v>
      </c>
      <c r="EM61" s="20">
        <f>ARR!EM32</f>
        <v>-488215.72151588672</v>
      </c>
      <c r="EN61" s="20">
        <f>ARR!EN32</f>
        <v>-385940.68027403846</v>
      </c>
      <c r="EO61" s="20">
        <f>ARR!EO32</f>
        <v>-811157.03242298472</v>
      </c>
      <c r="EP61" s="20">
        <f>ARR!EP32</f>
        <v>-762013.70404318976</v>
      </c>
      <c r="EQ61" s="20">
        <f>ARR!EQ32</f>
        <v>-386251.66081481904</v>
      </c>
      <c r="ER61" s="20">
        <f>ARR!ER32</f>
        <v>-488523.09439205291</v>
      </c>
      <c r="ES61" s="20">
        <f>ARR!ES32</f>
        <v>-909746.26867798844</v>
      </c>
      <c r="ET61" s="20">
        <f>ARR!ET32</f>
        <v>-603220.96162587206</v>
      </c>
      <c r="EU61" s="20">
        <f>ARR!EU32</f>
        <v>-494202.04511217627</v>
      </c>
      <c r="EV61" s="20">
        <f>ARR!EV32</f>
        <v>-912603.00543545571</v>
      </c>
      <c r="EW61" s="20">
        <f>ARR!EW32</f>
        <v>-608390.67818247736</v>
      </c>
      <c r="EX61" s="20">
        <f>ARR!EX32</f>
        <v>-477248.34036543762</v>
      </c>
      <c r="EY61" s="20">
        <f>ARR!EY32</f>
        <v>-756601.17144704214</v>
      </c>
      <c r="EZ61" s="20">
        <f>ARR!EZ32</f>
        <v>-598102.76059474237</v>
      </c>
      <c r="FA61" s="20">
        <f>ARR!FA32</f>
        <v>-1257072.0972547904</v>
      </c>
      <c r="FB61" s="20">
        <f>ARR!FB32</f>
        <v>-1180913.345739146</v>
      </c>
    </row>
    <row r="62" spans="1:158" x14ac:dyDescent="0.25">
      <c r="A62" s="292" t="s">
        <v>609</v>
      </c>
      <c r="C62" s="258" t="s">
        <v>22</v>
      </c>
      <c r="D62" s="295">
        <f t="shared" si="230"/>
        <v>-215790</v>
      </c>
      <c r="E62" s="295">
        <f t="shared" si="230"/>
        <v>-168865</v>
      </c>
      <c r="F62" s="295">
        <f t="shared" si="230"/>
        <v>-899788.01</v>
      </c>
      <c r="G62" s="295">
        <f t="shared" si="230"/>
        <v>-391570.9869096594</v>
      </c>
      <c r="H62" s="295">
        <f t="shared" si="230"/>
        <v>-684408.27263749531</v>
      </c>
      <c r="I62" s="295">
        <f t="shared" si="230"/>
        <v>-1100896.102618454</v>
      </c>
      <c r="J62" s="295">
        <f t="shared" si="230"/>
        <v>-1761710.4690595446</v>
      </c>
      <c r="K62" s="295">
        <f t="shared" si="230"/>
        <v>-2780295.6681943424</v>
      </c>
      <c r="L62" s="295">
        <f t="shared" si="230"/>
        <v>-4308699.7546770424</v>
      </c>
      <c r="M62" s="244"/>
      <c r="N62" s="295">
        <f t="shared" si="232"/>
        <v>-36099</v>
      </c>
      <c r="O62" s="295">
        <f t="shared" si="233"/>
        <v>-159691</v>
      </c>
      <c r="P62" s="295">
        <f t="shared" si="234"/>
        <v>0</v>
      </c>
      <c r="Q62" s="295">
        <f t="shared" si="235"/>
        <v>-20000</v>
      </c>
      <c r="R62" s="295">
        <f t="shared" si="236"/>
        <v>-12000</v>
      </c>
      <c r="S62" s="295">
        <f t="shared" si="237"/>
        <v>-94565</v>
      </c>
      <c r="T62" s="295">
        <f t="shared" si="238"/>
        <v>0</v>
      </c>
      <c r="U62" s="295">
        <f t="shared" si="239"/>
        <v>-62300</v>
      </c>
      <c r="V62" s="295">
        <f t="shared" si="240"/>
        <v>-72400</v>
      </c>
      <c r="W62" s="295">
        <f t="shared" si="241"/>
        <v>-319000</v>
      </c>
      <c r="X62" s="295">
        <f t="shared" si="242"/>
        <v>-201400.01</v>
      </c>
      <c r="Y62" s="295">
        <f t="shared" si="243"/>
        <v>-306988</v>
      </c>
      <c r="Z62" s="295">
        <f t="shared" si="244"/>
        <v>-63000</v>
      </c>
      <c r="AA62" s="295">
        <f t="shared" si="245"/>
        <v>-63750</v>
      </c>
      <c r="AB62" s="295">
        <f t="shared" si="246"/>
        <v>-122779.78619852793</v>
      </c>
      <c r="AC62" s="295">
        <f t="shared" si="247"/>
        <v>-142041.2007111315</v>
      </c>
      <c r="AD62" s="295">
        <f t="shared" si="248"/>
        <v>-140823.07088927558</v>
      </c>
      <c r="AE62" s="295">
        <f t="shared" si="249"/>
        <v>-158618.49303707643</v>
      </c>
      <c r="AF62" s="295">
        <f t="shared" si="250"/>
        <v>-145377.90107171697</v>
      </c>
      <c r="AG62" s="295">
        <f t="shared" si="251"/>
        <v>-239588.80763942632</v>
      </c>
      <c r="AH62" s="295">
        <f t="shared" si="252"/>
        <v>-226519.13499426679</v>
      </c>
      <c r="AI62" s="295">
        <f t="shared" si="253"/>
        <v>-255143.73184705887</v>
      </c>
      <c r="AJ62" s="295">
        <f t="shared" si="254"/>
        <v>-233845.74835709881</v>
      </c>
      <c r="AK62" s="295">
        <f t="shared" si="255"/>
        <v>-385387.48742002959</v>
      </c>
      <c r="AL62" s="295">
        <f t="shared" si="256"/>
        <v>-362487.5504714342</v>
      </c>
      <c r="AM62" s="295">
        <f t="shared" si="257"/>
        <v>-408294.10008881439</v>
      </c>
      <c r="AN62" s="295">
        <f t="shared" si="258"/>
        <v>-374211.97336052696</v>
      </c>
      <c r="AO62" s="295">
        <f t="shared" si="259"/>
        <v>-616716.84513876925</v>
      </c>
      <c r="AP62" s="295">
        <f t="shared" si="260"/>
        <v>-572070.48720560386</v>
      </c>
      <c r="AQ62" s="295">
        <f t="shared" si="261"/>
        <v>-644361.45312358346</v>
      </c>
      <c r="AR62" s="295">
        <f t="shared" si="262"/>
        <v>-590573.73319472745</v>
      </c>
      <c r="AS62" s="295">
        <f t="shared" si="263"/>
        <v>-973289.99467042787</v>
      </c>
      <c r="AT62" s="295">
        <f t="shared" si="264"/>
        <v>-886553.18068440282</v>
      </c>
      <c r="AU62" s="295">
        <f t="shared" si="265"/>
        <v>-998584.45515617693</v>
      </c>
      <c r="AV62" s="295">
        <f t="shared" si="266"/>
        <v>-915228.16384036443</v>
      </c>
      <c r="AW62" s="295">
        <f t="shared" si="267"/>
        <v>-1508333.9549960983</v>
      </c>
      <c r="AX62" s="244"/>
      <c r="AY62" s="295">
        <f>ARR!AY33</f>
        <v>0</v>
      </c>
      <c r="AZ62" s="295">
        <f>ARR!AZ33</f>
        <v>-24642</v>
      </c>
      <c r="BA62" s="295">
        <f>ARR!BA33</f>
        <v>-11457</v>
      </c>
      <c r="BB62" s="295">
        <f>ARR!BB33</f>
        <v>0</v>
      </c>
      <c r="BC62" s="295">
        <f>ARR!BC33</f>
        <v>0</v>
      </c>
      <c r="BD62" s="295">
        <f>ARR!BD33</f>
        <v>-159691</v>
      </c>
      <c r="BE62" s="295">
        <f>ARR!BE33</f>
        <v>0</v>
      </c>
      <c r="BF62" s="295">
        <f>ARR!BF33</f>
        <v>0</v>
      </c>
      <c r="BG62" s="295">
        <f>ARR!BG33</f>
        <v>0</v>
      </c>
      <c r="BH62" s="295">
        <f>ARR!BH33</f>
        <v>-20000</v>
      </c>
      <c r="BI62" s="295">
        <f>ARR!BI33</f>
        <v>0</v>
      </c>
      <c r="BJ62" s="295">
        <f>ARR!BJ33</f>
        <v>0</v>
      </c>
      <c r="BK62" s="295">
        <f>ARR!BK33</f>
        <v>0</v>
      </c>
      <c r="BL62" s="295">
        <f>ARR!BL33</f>
        <v>0</v>
      </c>
      <c r="BM62" s="295">
        <f>ARR!BM33</f>
        <v>-12000</v>
      </c>
      <c r="BN62" s="295">
        <f>ARR!BN33</f>
        <v>0</v>
      </c>
      <c r="BO62" s="295">
        <f>ARR!BO33</f>
        <v>-468</v>
      </c>
      <c r="BP62" s="295">
        <f>ARR!BP33</f>
        <v>-94097</v>
      </c>
      <c r="BQ62" s="295">
        <f>ARR!BQ33</f>
        <v>0</v>
      </c>
      <c r="BR62" s="295">
        <f>ARR!BR33</f>
        <v>0</v>
      </c>
      <c r="BS62" s="295">
        <f>ARR!BS33</f>
        <v>0</v>
      </c>
      <c r="BT62" s="295">
        <f>ARR!BT33</f>
        <v>-10800</v>
      </c>
      <c r="BU62" s="295">
        <f>ARR!BU33</f>
        <v>0</v>
      </c>
      <c r="BV62" s="295">
        <f>ARR!BV33</f>
        <v>-51500</v>
      </c>
      <c r="BW62" s="295">
        <f>ARR!BW33</f>
        <v>0</v>
      </c>
      <c r="BX62" s="295">
        <f>ARR!BX33</f>
        <v>0</v>
      </c>
      <c r="BY62" s="295">
        <f>ARR!BY33</f>
        <v>-72400</v>
      </c>
      <c r="BZ62" s="295">
        <f>ARR!BZ33</f>
        <v>-40000</v>
      </c>
      <c r="CA62" s="295">
        <f>ARR!CA33</f>
        <v>-259000</v>
      </c>
      <c r="CB62" s="295">
        <f>ARR!CB33</f>
        <v>-20000</v>
      </c>
      <c r="CC62" s="295">
        <f>ARR!CC33</f>
        <v>-132400.01</v>
      </c>
      <c r="CD62" s="295">
        <f>ARR!CD33</f>
        <v>-51000</v>
      </c>
      <c r="CE62" s="295">
        <f>ARR!CE33</f>
        <v>-18000</v>
      </c>
      <c r="CF62" s="295">
        <f>ARR!CF33</f>
        <v>-18000</v>
      </c>
      <c r="CG62" s="295">
        <f>ARR!CG33</f>
        <v>-283000</v>
      </c>
      <c r="CH62" s="295">
        <f>ARR!CH33</f>
        <v>-5988</v>
      </c>
      <c r="CI62" s="83">
        <f>ARR!CI33</f>
        <v>0</v>
      </c>
      <c r="CJ62" s="83">
        <f>ARR!CJ33</f>
        <v>-23000</v>
      </c>
      <c r="CK62" s="83">
        <f>ARR!CK33</f>
        <v>-40000</v>
      </c>
      <c r="CL62" s="83">
        <f>ARR!CL33</f>
        <v>-12000</v>
      </c>
      <c r="CM62" s="83">
        <f>ARR!CM33</f>
        <v>-22500</v>
      </c>
      <c r="CN62" s="83">
        <f>ARR!CN33</f>
        <v>-29250</v>
      </c>
      <c r="CO62" s="83">
        <f>ARR!CO33</f>
        <v>-17346.754060079118</v>
      </c>
      <c r="CP62" s="83">
        <f>ARR!CP33</f>
        <v>-39463.659977945907</v>
      </c>
      <c r="CQ62" s="83">
        <f>ARR!CQ33</f>
        <v>-65969.372160502899</v>
      </c>
      <c r="CR62" s="83">
        <f>ARR!CR33</f>
        <v>-21005.927847898765</v>
      </c>
      <c r="CS62" s="83">
        <f>ARR!CS33</f>
        <v>-69036.875502290204</v>
      </c>
      <c r="CT62" s="83">
        <f>ARR!CT33</f>
        <v>-51998.397360942537</v>
      </c>
      <c r="CU62" s="29">
        <f>ARR!CU33</f>
        <v>-30480.529107812406</v>
      </c>
      <c r="CV62" s="29">
        <f>ARR!CV33</f>
        <v>-38551.141416565966</v>
      </c>
      <c r="CW62" s="29">
        <f>ARR!CW33</f>
        <v>-71791.400364897214</v>
      </c>
      <c r="CX62" s="29">
        <f>ARR!CX33</f>
        <v>-47602.368985269</v>
      </c>
      <c r="CY62" s="29">
        <f>ARR!CY33</f>
        <v>-38999.288156858005</v>
      </c>
      <c r="CZ62" s="29">
        <f>ARR!CZ33</f>
        <v>-72016.835894949443</v>
      </c>
      <c r="DA62" s="29">
        <f>ARR!DA33</f>
        <v>-48010.330198044976</v>
      </c>
      <c r="DB62" s="29">
        <f>ARR!DB33</f>
        <v>-37661.409402037651</v>
      </c>
      <c r="DC62" s="29">
        <f>ARR!DC33</f>
        <v>-59706.161471634361</v>
      </c>
      <c r="DD62" s="29">
        <f>ARR!DD33</f>
        <v>-47198.473050737928</v>
      </c>
      <c r="DE62" s="29">
        <f>ARR!DE33</f>
        <v>-99200.149897513096</v>
      </c>
      <c r="DF62" s="29">
        <f>ARR!DF33</f>
        <v>-93190.184691175295</v>
      </c>
      <c r="DG62" s="29">
        <f>ARR!DG33</f>
        <v>-49029.062099476243</v>
      </c>
      <c r="DH62" s="29">
        <f>ARR!DH33</f>
        <v>-62010.941471289887</v>
      </c>
      <c r="DI62" s="29">
        <f>ARR!DI33</f>
        <v>-115479.13142350066</v>
      </c>
      <c r="DJ62" s="29">
        <f>ARR!DJ33</f>
        <v>-76570.176876054902</v>
      </c>
      <c r="DK62" s="29">
        <f>ARR!DK33</f>
        <v>-62731.802132262645</v>
      </c>
      <c r="DL62" s="29">
        <f>ARR!DL33</f>
        <v>-115841.75283874132</v>
      </c>
      <c r="DM62" s="29">
        <f>ARR!DM33</f>
        <v>-77226.397624868754</v>
      </c>
      <c r="DN62" s="29">
        <f>ARR!DN33</f>
        <v>-60579.774510968986</v>
      </c>
      <c r="DO62" s="29">
        <f>ARR!DO33</f>
        <v>-96039.576221261086</v>
      </c>
      <c r="DP62" s="29">
        <f>ARR!DP33</f>
        <v>-75920.495278146729</v>
      </c>
      <c r="DQ62" s="29">
        <f>ARR!DQ33</f>
        <v>-159567.12209290086</v>
      </c>
      <c r="DR62" s="29">
        <f>ARR!DR33</f>
        <v>-149899.87004898203</v>
      </c>
      <c r="DS62" s="29">
        <f>ARR!DS33</f>
        <v>-78458.822574970516</v>
      </c>
      <c r="DT62" s="29">
        <f>ARR!DT33</f>
        <v>-99233.092501983425</v>
      </c>
      <c r="DU62" s="29">
        <f>ARR!DU33</f>
        <v>-184795.63539448025</v>
      </c>
      <c r="DV62" s="29">
        <f>ARR!DV33</f>
        <v>-122531.5285424699</v>
      </c>
      <c r="DW62" s="29">
        <f>ARR!DW33</f>
        <v>-100386.65074435374</v>
      </c>
      <c r="DX62" s="29">
        <f>ARR!DX33</f>
        <v>-185375.92080199078</v>
      </c>
      <c r="DY62" s="29">
        <f>ARR!DY33</f>
        <v>-123581.6466784591</v>
      </c>
      <c r="DZ62" s="29">
        <f>ARR!DZ33</f>
        <v>-96942.865648629493</v>
      </c>
      <c r="EA62" s="29">
        <f>ARR!EA33</f>
        <v>-153687.46103343833</v>
      </c>
      <c r="EB62" s="29">
        <f>ARR!EB33</f>
        <v>-121491.87469151351</v>
      </c>
      <c r="EC62" s="29">
        <f>ARR!EC33</f>
        <v>-255347.50176710618</v>
      </c>
      <c r="ED62" s="29">
        <f>ARR!ED33</f>
        <v>-239877.46868014953</v>
      </c>
      <c r="EE62" s="29">
        <f>ARR!EE33</f>
        <v>-123822.11967739978</v>
      </c>
      <c r="EF62" s="29">
        <f>ARR!EF33</f>
        <v>-156607.65038881532</v>
      </c>
      <c r="EG62" s="29">
        <f>ARR!EG33</f>
        <v>-291640.71713938878</v>
      </c>
      <c r="EH62" s="29">
        <f>ARR!EH33</f>
        <v>-193376.76877502055</v>
      </c>
      <c r="EI62" s="29">
        <f>ARR!EI33</f>
        <v>-158428.1725691621</v>
      </c>
      <c r="EJ62" s="29">
        <f>ARR!EJ33</f>
        <v>-292556.51177940087</v>
      </c>
      <c r="EK62" s="29">
        <f>ARR!EK33</f>
        <v>-195034.04388115171</v>
      </c>
      <c r="EL62" s="29">
        <f>ARR!EL33</f>
        <v>-152993.26090121613</v>
      </c>
      <c r="EM62" s="29">
        <f>ARR!EM33</f>
        <v>-242546.42841235967</v>
      </c>
      <c r="EN62" s="29">
        <f>ARR!EN33</f>
        <v>-191736.00819091685</v>
      </c>
      <c r="EO62" s="29">
        <f>ARR!EO33</f>
        <v>-402984.23919017822</v>
      </c>
      <c r="EP62" s="29">
        <f>ARR!EP33</f>
        <v>-378569.74728933279</v>
      </c>
      <c r="EQ62" s="29">
        <f>ARR!EQ33</f>
        <v>-191890.50387007662</v>
      </c>
      <c r="ER62" s="29">
        <f>ARR!ER33</f>
        <v>-242699.13179739908</v>
      </c>
      <c r="ES62" s="29">
        <f>ARR!ES33</f>
        <v>-451963.54501692706</v>
      </c>
      <c r="ET62" s="29">
        <f>ARR!ET33</f>
        <v>-299681.2338028393</v>
      </c>
      <c r="EU62" s="29">
        <f>ARR!EU33</f>
        <v>-245520.44449502981</v>
      </c>
      <c r="EV62" s="29">
        <f>ARR!EV33</f>
        <v>-453382.77685830777</v>
      </c>
      <c r="EW62" s="29">
        <f>ARR!EW33</f>
        <v>-302249.55807313428</v>
      </c>
      <c r="EX62" s="29">
        <f>ARR!EX33</f>
        <v>-237097.81418334838</v>
      </c>
      <c r="EY62" s="29">
        <f>ARR!EY33</f>
        <v>-375880.79158388171</v>
      </c>
      <c r="EZ62" s="29">
        <f>ARR!EZ33</f>
        <v>-297138.50253613107</v>
      </c>
      <c r="FA62" s="29">
        <f>ARR!FA33</f>
        <v>-624515.62702505547</v>
      </c>
      <c r="FB62" s="29">
        <f>ARR!FB33</f>
        <v>-586679.82543491176</v>
      </c>
    </row>
    <row r="63" spans="1:158" x14ac:dyDescent="0.25">
      <c r="A63" s="292" t="s">
        <v>609</v>
      </c>
      <c r="C63" s="291" t="s">
        <v>24</v>
      </c>
      <c r="D63" s="30">
        <f t="shared" ref="D63:I63" si="268">SUM(D58:D62)</f>
        <v>10865249.159999995</v>
      </c>
      <c r="E63" s="30">
        <f t="shared" si="268"/>
        <v>19631243.769999996</v>
      </c>
      <c r="F63" s="30">
        <f t="shared" si="268"/>
        <v>28090543.643296998</v>
      </c>
      <c r="G63" s="30">
        <f t="shared" si="268"/>
        <v>49098122.933179937</v>
      </c>
      <c r="H63" s="30">
        <f t="shared" si="268"/>
        <v>80902480.959456056</v>
      </c>
      <c r="I63" s="68">
        <f t="shared" si="268"/>
        <v>132701050.62038198</v>
      </c>
      <c r="J63" s="68">
        <f t="shared" ref="J63:L63" si="269">SUM(J58:J62)</f>
        <v>214796238.54559654</v>
      </c>
      <c r="K63" s="68">
        <f t="shared" si="269"/>
        <v>341635847.70133883</v>
      </c>
      <c r="L63" s="68">
        <f t="shared" si="269"/>
        <v>532890905.12052214</v>
      </c>
      <c r="M63" s="292"/>
      <c r="N63" s="30">
        <f t="shared" ref="N63:AW63" si="270">SUM(N58:N62)</f>
        <v>5686425.1899999948</v>
      </c>
      <c r="O63" s="30">
        <f t="shared" si="270"/>
        <v>6943994.1599999946</v>
      </c>
      <c r="P63" s="30">
        <f t="shared" si="270"/>
        <v>8294377.6599999946</v>
      </c>
      <c r="Q63" s="30">
        <f t="shared" si="270"/>
        <v>10865249.159999995</v>
      </c>
      <c r="R63" s="30">
        <f t="shared" si="270"/>
        <v>12445981.389999995</v>
      </c>
      <c r="S63" s="30">
        <f t="shared" si="270"/>
        <v>15558122.719999995</v>
      </c>
      <c r="T63" s="30">
        <f t="shared" si="270"/>
        <v>17072812.309999995</v>
      </c>
      <c r="U63" s="30">
        <f t="shared" si="270"/>
        <v>19631243.769999996</v>
      </c>
      <c r="V63" s="30">
        <f t="shared" si="270"/>
        <v>21040021.579999994</v>
      </c>
      <c r="W63" s="30">
        <f t="shared" si="270"/>
        <v>22871812.979231</v>
      </c>
      <c r="X63" s="30">
        <f t="shared" si="270"/>
        <v>25843471.309231002</v>
      </c>
      <c r="Y63" s="30">
        <f t="shared" si="270"/>
        <v>28090543.643297002</v>
      </c>
      <c r="Z63" s="30">
        <f t="shared" si="270"/>
        <v>30458286.163297001</v>
      </c>
      <c r="AA63" s="30">
        <f t="shared" si="270"/>
        <v>35584449.678591006</v>
      </c>
      <c r="AB63" s="30">
        <f t="shared" si="270"/>
        <v>41600461.322165601</v>
      </c>
      <c r="AC63" s="30">
        <f t="shared" si="270"/>
        <v>49098122.933179945</v>
      </c>
      <c r="AD63" s="30">
        <f t="shared" si="270"/>
        <v>54667316.447311237</v>
      </c>
      <c r="AE63" s="30">
        <f t="shared" si="270"/>
        <v>62163773.472850055</v>
      </c>
      <c r="AF63" s="30">
        <f t="shared" si="270"/>
        <v>69587545.307203323</v>
      </c>
      <c r="AG63" s="30">
        <f t="shared" si="270"/>
        <v>80902480.959456116</v>
      </c>
      <c r="AH63" s="30">
        <f t="shared" si="270"/>
        <v>90271636.25222224</v>
      </c>
      <c r="AI63" s="30">
        <f t="shared" si="270"/>
        <v>103142067.16063701</v>
      </c>
      <c r="AJ63" s="30">
        <f t="shared" si="270"/>
        <v>115232068.3240094</v>
      </c>
      <c r="AK63" s="30">
        <f t="shared" si="270"/>
        <v>132701050.62038209</v>
      </c>
      <c r="AL63" s="30">
        <f t="shared" si="270"/>
        <v>147548967.54255262</v>
      </c>
      <c r="AM63" s="30">
        <f t="shared" si="270"/>
        <v>167948022.80804917</v>
      </c>
      <c r="AN63" s="30">
        <f t="shared" si="270"/>
        <v>187110385.35322064</v>
      </c>
      <c r="AO63" s="30">
        <f t="shared" si="270"/>
        <v>214796238.54559666</v>
      </c>
      <c r="AP63" s="30">
        <f t="shared" si="270"/>
        <v>237732615.79323488</v>
      </c>
      <c r="AQ63" s="30">
        <f t="shared" si="270"/>
        <v>269252551.52859932</v>
      </c>
      <c r="AR63" s="30">
        <f t="shared" si="270"/>
        <v>298862466.32881117</v>
      </c>
      <c r="AS63" s="30">
        <f t="shared" si="270"/>
        <v>341635847.70133895</v>
      </c>
      <c r="AT63" s="30">
        <f t="shared" si="270"/>
        <v>376212252.34287906</v>
      </c>
      <c r="AU63" s="30">
        <f t="shared" si="270"/>
        <v>423745084.96243137</v>
      </c>
      <c r="AV63" s="30">
        <f t="shared" si="270"/>
        <v>468399304.08153641</v>
      </c>
      <c r="AW63" s="30">
        <f t="shared" si="270"/>
        <v>532890905.12052232</v>
      </c>
      <c r="AX63" s="244"/>
      <c r="AY63" s="244">
        <f>ARR!AY34</f>
        <v>4617282.6899999948</v>
      </c>
      <c r="AZ63" s="244">
        <f>ARR!AZ34</f>
        <v>4939098.5199999949</v>
      </c>
      <c r="BA63" s="244">
        <f>ARR!BA34</f>
        <v>5686425.1899999948</v>
      </c>
      <c r="BB63" s="244">
        <f>ARR!BB34</f>
        <v>5959490.1899999948</v>
      </c>
      <c r="BC63" s="244">
        <f>ARR!BC34</f>
        <v>6514207.1599999946</v>
      </c>
      <c r="BD63" s="244">
        <f>ARR!BD34</f>
        <v>6943994.1599999946</v>
      </c>
      <c r="BE63" s="244">
        <f>ARR!BE34</f>
        <v>7267144.1599999946</v>
      </c>
      <c r="BF63" s="244">
        <f>ARR!BF34</f>
        <v>7482226.6599999946</v>
      </c>
      <c r="BG63" s="244">
        <f>ARR!BG34</f>
        <v>8294377.6599999946</v>
      </c>
      <c r="BH63" s="244">
        <f>ARR!BH34</f>
        <v>8606963.1599999946</v>
      </c>
      <c r="BI63" s="244">
        <f>ARR!BI34</f>
        <v>9926369.1599999946</v>
      </c>
      <c r="BJ63" s="244">
        <f>ARR!BJ34</f>
        <v>10865249.159999995</v>
      </c>
      <c r="BK63" s="244">
        <f>ARR!BK34</f>
        <v>11008399.159999995</v>
      </c>
      <c r="BL63" s="244">
        <f>ARR!BL34</f>
        <v>11455280.159999995</v>
      </c>
      <c r="BM63" s="244">
        <f>ARR!BM34</f>
        <v>12445981.389999995</v>
      </c>
      <c r="BN63" s="244">
        <f>ARR!BN34</f>
        <v>12832526.619999995</v>
      </c>
      <c r="BO63" s="244">
        <f>ARR!BO34</f>
        <v>14533524.479999995</v>
      </c>
      <c r="BP63" s="244">
        <f>ARR!BP34</f>
        <v>15558122.719999995</v>
      </c>
      <c r="BQ63" s="244">
        <f>ARR!BQ34</f>
        <v>16054122.949999996</v>
      </c>
      <c r="BR63" s="244">
        <f>ARR!BR34</f>
        <v>16245183.949999996</v>
      </c>
      <c r="BS63" s="244">
        <f>ARR!BS34</f>
        <v>17072812.309999995</v>
      </c>
      <c r="BT63" s="244">
        <f>ARR!BT34</f>
        <v>17127012.309999995</v>
      </c>
      <c r="BU63" s="244">
        <f>ARR!BU34</f>
        <v>18041744.309999995</v>
      </c>
      <c r="BV63" s="244">
        <f>ARR!BV34</f>
        <v>19631243.769999996</v>
      </c>
      <c r="BW63" s="244">
        <f>ARR!BW34</f>
        <v>20115018.409999996</v>
      </c>
      <c r="BX63" s="244">
        <f>ARR!BX34</f>
        <v>20717725.409999996</v>
      </c>
      <c r="BY63" s="244">
        <f>ARR!BY34</f>
        <v>21040021.579999998</v>
      </c>
      <c r="BZ63" s="244">
        <f>ARR!BZ34</f>
        <v>21575744.59</v>
      </c>
      <c r="CA63" s="244">
        <f>ARR!CA34</f>
        <v>21654769.419231001</v>
      </c>
      <c r="CB63" s="244">
        <f>ARR!CB34</f>
        <v>22871812.979231</v>
      </c>
      <c r="CC63" s="244">
        <f>ARR!CC34</f>
        <v>22937247.909231</v>
      </c>
      <c r="CD63" s="244">
        <f>ARR!CD34</f>
        <v>24426456.399231002</v>
      </c>
      <c r="CE63" s="244">
        <f>ARR!CE34</f>
        <v>25843471.309231002</v>
      </c>
      <c r="CF63" s="244">
        <f>ARR!CF34</f>
        <v>26160902.249011002</v>
      </c>
      <c r="CG63" s="244">
        <f>ARR!CG34</f>
        <v>26939608.743297003</v>
      </c>
      <c r="CH63" s="244">
        <f>ARR!CH34</f>
        <v>28090543.643297002</v>
      </c>
      <c r="CI63" s="50">
        <f>ARR!CI34</f>
        <v>28619658.653297003</v>
      </c>
      <c r="CJ63" s="50">
        <f>ARR!CJ34</f>
        <v>28816822.573297005</v>
      </c>
      <c r="CK63" s="50">
        <f>ARR!CK34</f>
        <v>30458286.163297005</v>
      </c>
      <c r="CL63" s="50">
        <f>ARR!CL34</f>
        <v>31194481.953297004</v>
      </c>
      <c r="CM63" s="50">
        <f>ARR!CM34</f>
        <v>32385719.258591004</v>
      </c>
      <c r="CN63" s="50">
        <f>ARR!CN34</f>
        <v>35584449.678591006</v>
      </c>
      <c r="CO63" s="50">
        <f>ARR!CO34</f>
        <v>36489115.671492666</v>
      </c>
      <c r="CP63" s="50">
        <f>ARR!CP34</f>
        <v>38602144.282325298</v>
      </c>
      <c r="CQ63" s="50">
        <f>ARR!CQ34</f>
        <v>41600461.322165601</v>
      </c>
      <c r="CR63" s="50">
        <f>ARR!CR34</f>
        <v>42335836.931085579</v>
      </c>
      <c r="CS63" s="50">
        <f>ARR!CS34</f>
        <v>45309046.94377701</v>
      </c>
      <c r="CT63" s="50">
        <f>ARR!CT34</f>
        <v>49098122.933179945</v>
      </c>
      <c r="CU63" s="50">
        <f>ARR!CU34</f>
        <v>49798566.910612375</v>
      </c>
      <c r="CV63" s="50">
        <f>ARR!CV34</f>
        <v>51423675.709855035</v>
      </c>
      <c r="CW63" s="50">
        <f>ARR!CW34</f>
        <v>54667316.447311237</v>
      </c>
      <c r="CX63" s="50">
        <f>ARR!CX34</f>
        <v>55907317.123556599</v>
      </c>
      <c r="CY63" s="50">
        <f>ARR!CY34</f>
        <v>58503211.214234047</v>
      </c>
      <c r="CZ63" s="50">
        <f>ARR!CZ34</f>
        <v>62163773.472850062</v>
      </c>
      <c r="DA63" s="50">
        <f>ARR!DA34</f>
        <v>63347528.637980618</v>
      </c>
      <c r="DB63" s="50">
        <f>ARR!DB34</f>
        <v>65602735.946551651</v>
      </c>
      <c r="DC63" s="50">
        <f>ARR!DC34</f>
        <v>69587545.307203338</v>
      </c>
      <c r="DD63" s="50">
        <f>ARR!DD34</f>
        <v>71233670.058963597</v>
      </c>
      <c r="DE63" s="50">
        <f>ARR!DE34</f>
        <v>75705029.859626248</v>
      </c>
      <c r="DF63" s="50">
        <f>ARR!DF34</f>
        <v>80902480.959456101</v>
      </c>
      <c r="DG63" s="50">
        <f>ARR!DG34</f>
        <v>82143353.032328248</v>
      </c>
      <c r="DH63" s="50">
        <f>ARR!DH34</f>
        <v>84889518.648467451</v>
      </c>
      <c r="DI63" s="50">
        <f>ARR!DI34</f>
        <v>90271636.252222255</v>
      </c>
      <c r="DJ63" s="50">
        <f>ARR!DJ34</f>
        <v>92512831.926995322</v>
      </c>
      <c r="DK63" s="50">
        <f>ARR!DK34</f>
        <v>96960169.15582867</v>
      </c>
      <c r="DL63" s="50">
        <f>ARR!DL34</f>
        <v>103142067.16063702</v>
      </c>
      <c r="DM63" s="50">
        <f>ARR!DM34</f>
        <v>105071288.29701543</v>
      </c>
      <c r="DN63" s="50">
        <f>ARR!DN34</f>
        <v>108743641.25369404</v>
      </c>
      <c r="DO63" s="50">
        <f>ARR!DO34</f>
        <v>115232068.32400943</v>
      </c>
      <c r="DP63" s="50">
        <f>ARR!DP34</f>
        <v>117594051.20971507</v>
      </c>
      <c r="DQ63" s="50">
        <f>ARR!DQ34</f>
        <v>124556888.01750888</v>
      </c>
      <c r="DR63" s="50">
        <f>ARR!DR34</f>
        <v>132701050.62038209</v>
      </c>
      <c r="DS63" s="50">
        <f>ARR!DS34</f>
        <v>134666714.73970696</v>
      </c>
      <c r="DT63" s="50">
        <f>ARR!DT34</f>
        <v>139018934.72779685</v>
      </c>
      <c r="DU63" s="50">
        <f>ARR!DU34</f>
        <v>147548967.54255262</v>
      </c>
      <c r="DV63" s="50">
        <f>ARR!DV34</f>
        <v>151099764.34517014</v>
      </c>
      <c r="DW63" s="50">
        <f>ARR!DW34</f>
        <v>158149700.22798324</v>
      </c>
      <c r="DX63" s="50">
        <f>ARR!DX34</f>
        <v>167948022.80804917</v>
      </c>
      <c r="DY63" s="50">
        <f>ARR!DY34</f>
        <v>171004056.47649968</v>
      </c>
      <c r="DZ63" s="50">
        <f>ARR!DZ34</f>
        <v>176825102.54035875</v>
      </c>
      <c r="EA63" s="50">
        <f>ARR!EA34</f>
        <v>187110385.35322067</v>
      </c>
      <c r="EB63" s="50">
        <f>ARR!EB34</f>
        <v>190852756.84881118</v>
      </c>
      <c r="EC63" s="50">
        <f>ARR!EC34</f>
        <v>201887604.09522331</v>
      </c>
      <c r="ED63" s="50">
        <f>ARR!ED34</f>
        <v>214796238.54559666</v>
      </c>
      <c r="EE63" s="50">
        <f>ARR!EE34</f>
        <v>217829847.45992032</v>
      </c>
      <c r="EF63" s="50">
        <f>ARR!EF34</f>
        <v>224553614.62293059</v>
      </c>
      <c r="EG63" s="50">
        <f>ARR!EG34</f>
        <v>237732615.79323491</v>
      </c>
      <c r="EH63" s="50">
        <f>ARR!EH34</f>
        <v>243214360.41707471</v>
      </c>
      <c r="EI63" s="50">
        <f>ARR!EI34</f>
        <v>254111504.66883951</v>
      </c>
      <c r="EJ63" s="50">
        <f>ARR!EJ34</f>
        <v>269252551.52859926</v>
      </c>
      <c r="EK63" s="50">
        <f>ARR!EK34</f>
        <v>273968777.28432721</v>
      </c>
      <c r="EL63" s="50">
        <f>ARR!EL34</f>
        <v>282965097.91750944</v>
      </c>
      <c r="EM63" s="50">
        <f>ARR!EM34</f>
        <v>298862466.32881111</v>
      </c>
      <c r="EN63" s="50">
        <f>ARR!EN34</f>
        <v>304640682.96762609</v>
      </c>
      <c r="EO63" s="50">
        <f>ARR!EO34</f>
        <v>321688124.06479168</v>
      </c>
      <c r="EP63" s="50">
        <f>ARR!EP34</f>
        <v>341635847.70133901</v>
      </c>
      <c r="EQ63" s="50">
        <f>ARR!EQ34</f>
        <v>346203288.91668206</v>
      </c>
      <c r="ER63" s="50">
        <f>ARR!ER34</f>
        <v>356340626.99588412</v>
      </c>
      <c r="ES63" s="50">
        <f>ARR!ES34</f>
        <v>376212252.34287906</v>
      </c>
      <c r="ET63" s="50">
        <f>ARR!ET34</f>
        <v>384469233.16324335</v>
      </c>
      <c r="EU63" s="50">
        <f>ARR!EU34</f>
        <v>400910007.95867759</v>
      </c>
      <c r="EV63" s="50">
        <f>ARR!EV34</f>
        <v>423745084.96243131</v>
      </c>
      <c r="EW63" s="50">
        <f>ARR!EW34</f>
        <v>430845596.29042679</v>
      </c>
      <c r="EX63" s="50">
        <f>ARR!EX34</f>
        <v>444415926.79796225</v>
      </c>
      <c r="EY63" s="50">
        <f>ARR!EY34</f>
        <v>468399304.08153641</v>
      </c>
      <c r="EZ63" s="50">
        <f>ARR!EZ34</f>
        <v>477104283.45695412</v>
      </c>
      <c r="FA63" s="50">
        <f>ARR!FA34</f>
        <v>502805792.38359469</v>
      </c>
      <c r="FB63" s="50">
        <f>ARR!FB34</f>
        <v>532890905.12052232</v>
      </c>
    </row>
    <row r="64" spans="1:158" x14ac:dyDescent="0.25">
      <c r="D64" s="292"/>
      <c r="E64" s="292"/>
      <c r="F64" s="292"/>
      <c r="G64" s="292"/>
      <c r="H64" s="292"/>
      <c r="I64" s="292"/>
      <c r="J64" s="292"/>
      <c r="K64" s="292"/>
      <c r="L64" s="292"/>
      <c r="M64" s="292"/>
      <c r="N64" s="292"/>
      <c r="O64" s="292"/>
      <c r="P64" s="292"/>
      <c r="Q64" s="292"/>
      <c r="R64" s="292"/>
      <c r="S64" s="292"/>
      <c r="T64" s="292"/>
      <c r="U64" s="292"/>
      <c r="V64" s="292"/>
      <c r="W64" s="292"/>
      <c r="X64" s="292"/>
      <c r="Y64" s="292"/>
      <c r="Z64" s="292"/>
      <c r="AA64" s="292"/>
      <c r="AB64" s="292"/>
      <c r="AC64" s="292"/>
      <c r="AD64" s="292"/>
      <c r="AE64" s="292"/>
      <c r="AF64" s="292"/>
      <c r="AG64" s="292"/>
      <c r="AH64" s="292"/>
      <c r="AI64" s="292"/>
      <c r="AJ64" s="292"/>
      <c r="AK64" s="292"/>
      <c r="AL64" s="292"/>
      <c r="AM64" s="292"/>
      <c r="AN64" s="292"/>
      <c r="AO64" s="292"/>
      <c r="AP64" s="292"/>
      <c r="AQ64" s="292"/>
      <c r="AR64" s="292"/>
      <c r="AS64" s="292"/>
      <c r="AT64" s="292"/>
      <c r="AU64" s="292"/>
      <c r="AV64" s="292"/>
      <c r="AW64" s="292"/>
      <c r="AX64" s="292"/>
      <c r="AY64" s="292"/>
      <c r="AZ64" s="292"/>
      <c r="BA64" s="292"/>
      <c r="BB64" s="292"/>
      <c r="BC64" s="292"/>
      <c r="BD64" s="292"/>
      <c r="BE64" s="292"/>
      <c r="BF64" s="292"/>
      <c r="BG64" s="292"/>
      <c r="BH64" s="292"/>
      <c r="BI64" s="292"/>
      <c r="BJ64" s="292"/>
      <c r="BK64" s="292"/>
      <c r="BL64" s="292"/>
      <c r="BM64" s="292"/>
      <c r="BN64" s="292"/>
      <c r="BO64" s="292"/>
      <c r="BP64" s="292"/>
      <c r="BQ64" s="292"/>
      <c r="BR64" s="292"/>
      <c r="BS64" s="292"/>
      <c r="BT64" s="292"/>
      <c r="BU64" s="292"/>
      <c r="BV64" s="292"/>
      <c r="BW64" s="292"/>
      <c r="BX64" s="292"/>
      <c r="BY64" s="292"/>
      <c r="BZ64" s="292"/>
      <c r="CA64" s="292"/>
      <c r="CB64" s="292"/>
      <c r="CC64" s="292"/>
      <c r="CD64" s="292"/>
      <c r="CE64" s="292"/>
      <c r="CF64" s="292"/>
      <c r="CG64" s="292"/>
      <c r="CH64" s="292"/>
      <c r="CN64" s="99"/>
      <c r="CO64" s="99"/>
      <c r="CP64" s="99"/>
      <c r="CQ64" s="99"/>
      <c r="CR64" s="99"/>
      <c r="CS64" s="99"/>
      <c r="CT64" s="99"/>
    </row>
    <row r="65" spans="3:158" x14ac:dyDescent="0.25">
      <c r="C65" s="1" t="s">
        <v>308</v>
      </c>
      <c r="D65" s="292"/>
      <c r="E65" s="292"/>
      <c r="F65" s="292"/>
      <c r="G65" s="292"/>
      <c r="H65" s="292"/>
      <c r="I65" s="292"/>
      <c r="J65" s="292"/>
      <c r="K65" s="292"/>
      <c r="L65" s="292"/>
      <c r="M65" s="292"/>
      <c r="N65" s="292"/>
      <c r="O65" s="292"/>
      <c r="P65" s="292"/>
      <c r="Q65" s="292"/>
      <c r="R65" s="292"/>
      <c r="S65" s="292"/>
      <c r="T65" s="292"/>
      <c r="U65" s="292"/>
      <c r="V65" s="292"/>
      <c r="W65" s="292"/>
      <c r="X65" s="292"/>
      <c r="Y65" s="292"/>
      <c r="Z65" s="292"/>
      <c r="AA65" s="292"/>
      <c r="AB65" s="292"/>
      <c r="AC65" s="292"/>
      <c r="AD65" s="292"/>
      <c r="AE65" s="292"/>
      <c r="AF65" s="292"/>
      <c r="AG65" s="292"/>
      <c r="AH65" s="292"/>
      <c r="AI65" s="292"/>
      <c r="AJ65" s="292"/>
      <c r="AK65" s="292"/>
      <c r="AL65" s="292"/>
      <c r="AM65" s="292"/>
      <c r="AN65" s="292"/>
      <c r="AO65" s="292"/>
      <c r="AP65" s="292"/>
      <c r="AQ65" s="292"/>
      <c r="AR65" s="292"/>
      <c r="AS65" s="292"/>
      <c r="AT65" s="292"/>
      <c r="AU65" s="292"/>
      <c r="AV65" s="292"/>
      <c r="AW65" s="292"/>
      <c r="AX65" s="292"/>
      <c r="AY65" s="292"/>
      <c r="AZ65" s="292"/>
      <c r="BA65" s="292"/>
      <c r="BB65" s="292"/>
      <c r="BC65" s="292"/>
      <c r="BD65" s="292"/>
      <c r="BE65" s="292"/>
      <c r="BF65" s="292"/>
      <c r="BG65" s="292"/>
      <c r="BH65" s="292"/>
      <c r="BI65" s="292"/>
      <c r="BJ65" s="292"/>
      <c r="BK65" s="292"/>
      <c r="BL65" s="292"/>
      <c r="BM65" s="292"/>
      <c r="BN65" s="292"/>
      <c r="BO65" s="292"/>
      <c r="BP65" s="292"/>
      <c r="BQ65" s="292"/>
      <c r="BR65" s="292"/>
      <c r="BS65" s="292"/>
      <c r="BT65" s="292"/>
      <c r="BU65" s="292"/>
      <c r="BV65" s="292"/>
      <c r="BW65" s="292"/>
      <c r="BX65" s="292"/>
      <c r="BY65" s="292"/>
      <c r="BZ65" s="292"/>
      <c r="CA65" s="292"/>
      <c r="CB65" s="292"/>
      <c r="CC65" s="292"/>
      <c r="CD65" s="292"/>
      <c r="CE65" s="292"/>
      <c r="CF65" s="292"/>
      <c r="CG65" s="292"/>
      <c r="CH65" s="292"/>
      <c r="CN65" s="99"/>
      <c r="CO65" s="99"/>
      <c r="CP65" s="99"/>
      <c r="CQ65" s="99"/>
      <c r="CR65" s="99"/>
      <c r="CS65" s="99"/>
      <c r="CT65" s="99"/>
    </row>
    <row r="66" spans="3:158" x14ac:dyDescent="0.25">
      <c r="C66" s="2" t="s">
        <v>18</v>
      </c>
      <c r="D66" s="30">
        <f>AY66</f>
        <v>13606240.259999994</v>
      </c>
      <c r="E66" s="30">
        <f>BK66</f>
        <v>31062420.149999999</v>
      </c>
      <c r="F66" s="30">
        <f>BW66</f>
        <v>55870239.050915003</v>
      </c>
      <c r="G66" s="30">
        <f>CI66</f>
        <v>82486429.478349999</v>
      </c>
      <c r="H66" s="68">
        <f>G71</f>
        <v>139753840.43627</v>
      </c>
      <c r="I66" s="68">
        <f>H71</f>
        <v>216111471.21907872</v>
      </c>
      <c r="J66" s="68">
        <f>I71</f>
        <v>327799303.82293564</v>
      </c>
      <c r="K66" s="68">
        <f t="shared" ref="K66" si="271">J71</f>
        <v>489688396.10083544</v>
      </c>
      <c r="L66" s="68">
        <f t="shared" ref="L66" si="272">K71</f>
        <v>720349008.55711591</v>
      </c>
      <c r="M66" s="292"/>
      <c r="N66" s="30">
        <f>AY66</f>
        <v>13606240.259999994</v>
      </c>
      <c r="O66" s="30">
        <f>BB66</f>
        <v>16767788.959999997</v>
      </c>
      <c r="P66" s="30">
        <f>BE66</f>
        <v>20671916.759999998</v>
      </c>
      <c r="Q66" s="30">
        <f>BH66</f>
        <v>24712945.219999995</v>
      </c>
      <c r="R66" s="30">
        <f>BK66</f>
        <v>31062420.149999999</v>
      </c>
      <c r="S66" s="30">
        <f>BN66</f>
        <v>36033828.459999993</v>
      </c>
      <c r="T66" s="30">
        <f>BQ66</f>
        <v>42798623.309999995</v>
      </c>
      <c r="U66" s="30">
        <f>BT66</f>
        <v>48239885.619999997</v>
      </c>
      <c r="V66" s="30">
        <f>BW66</f>
        <v>55870239.050915003</v>
      </c>
      <c r="W66" s="30">
        <f>BZ66</f>
        <v>59951769.334578</v>
      </c>
      <c r="X66" s="30">
        <f>CC66</f>
        <v>66614249.640767008</v>
      </c>
      <c r="Y66" s="30">
        <f>CF66</f>
        <v>73268131.55413501</v>
      </c>
      <c r="Z66" s="30">
        <f>CI66</f>
        <v>82486429.478349999</v>
      </c>
      <c r="AA66" s="30">
        <f>CL66</f>
        <v>89817778.016371995</v>
      </c>
      <c r="AB66" s="30">
        <f>CO66</f>
        <v>102577352.93627</v>
      </c>
      <c r="AC66" s="30">
        <f>CR66</f>
        <v>118376052.93626997</v>
      </c>
      <c r="AD66" s="30">
        <f>CU66</f>
        <v>139753840.43626997</v>
      </c>
      <c r="AE66" s="30">
        <f>CX66</f>
        <v>152946435.82622141</v>
      </c>
      <c r="AF66" s="30">
        <f>DA66</f>
        <v>170967277.9439933</v>
      </c>
      <c r="AG66" s="30">
        <f>DD66</f>
        <v>188912816.4839409</v>
      </c>
      <c r="AH66" s="30">
        <f>DG66</f>
        <v>216111471.21907872</v>
      </c>
      <c r="AI66" s="30">
        <f>DJ66</f>
        <v>236074140.9082163</v>
      </c>
      <c r="AJ66" s="30">
        <f>DM66</f>
        <v>263985854.41999963</v>
      </c>
      <c r="AK66" s="30">
        <f>DP66</f>
        <v>290255924.10503018</v>
      </c>
      <c r="AL66" s="30">
        <f>DS66</f>
        <v>327799303.82293582</v>
      </c>
      <c r="AM66" s="30">
        <f>DV66</f>
        <v>356733186.3322618</v>
      </c>
      <c r="AN66" s="30">
        <f>DY66</f>
        <v>397191667.42577767</v>
      </c>
      <c r="AO66" s="30">
        <f>EB66</f>
        <v>435270892.16766071</v>
      </c>
      <c r="AP66" s="30">
        <f>EE66</f>
        <v>489688396.10083562</v>
      </c>
      <c r="AQ66" s="30">
        <f>EH66</f>
        <v>530912729.36251712</v>
      </c>
      <c r="AR66" s="30">
        <f>EK66</f>
        <v>588558800.62467504</v>
      </c>
      <c r="AS66" s="30">
        <f>EN66</f>
        <v>642815037.96890068</v>
      </c>
      <c r="AT66" s="30">
        <f>EQ66</f>
        <v>720349008.55711591</v>
      </c>
      <c r="AU66" s="30">
        <f>ET66</f>
        <v>778062346.85951507</v>
      </c>
      <c r="AV66" s="30">
        <f>EW66</f>
        <v>858766026.33387852</v>
      </c>
      <c r="AW66" s="30">
        <f>EZ66</f>
        <v>934724006.79661798</v>
      </c>
      <c r="AX66" s="292"/>
      <c r="AY66" s="296">
        <f>SUM(AY42,AY50,AY58)</f>
        <v>13606240.259999994</v>
      </c>
      <c r="AZ66" s="296">
        <f t="shared" ref="AZ66:DK66" si="273">SUM(AZ42,AZ50,AZ58)</f>
        <v>13791928.259999994</v>
      </c>
      <c r="BA66" s="296">
        <f t="shared" si="273"/>
        <v>14795809.089999996</v>
      </c>
      <c r="BB66" s="296">
        <f t="shared" si="273"/>
        <v>16767788.959999997</v>
      </c>
      <c r="BC66" s="296">
        <f t="shared" si="273"/>
        <v>17369390.389999997</v>
      </c>
      <c r="BD66" s="296">
        <f t="shared" si="273"/>
        <v>18871954.039999995</v>
      </c>
      <c r="BE66" s="296">
        <f t="shared" si="273"/>
        <v>20671916.759999998</v>
      </c>
      <c r="BF66" s="296">
        <f t="shared" si="273"/>
        <v>21387793.429999992</v>
      </c>
      <c r="BG66" s="296">
        <f t="shared" si="273"/>
        <v>22441842.889999993</v>
      </c>
      <c r="BH66" s="296">
        <f t="shared" si="273"/>
        <v>24712945.219999995</v>
      </c>
      <c r="BI66" s="296">
        <f t="shared" si="273"/>
        <v>25801457.389999993</v>
      </c>
      <c r="BJ66" s="296">
        <f t="shared" si="273"/>
        <v>28584740.059999995</v>
      </c>
      <c r="BK66" s="296">
        <f t="shared" si="273"/>
        <v>31062420.149999999</v>
      </c>
      <c r="BL66" s="296">
        <f t="shared" si="273"/>
        <v>31740033.479999997</v>
      </c>
      <c r="BM66" s="296">
        <f t="shared" si="273"/>
        <v>32971914.599999994</v>
      </c>
      <c r="BN66" s="296">
        <f t="shared" si="273"/>
        <v>36033828.459999993</v>
      </c>
      <c r="BO66" s="296">
        <f t="shared" si="273"/>
        <v>37136195.219999999</v>
      </c>
      <c r="BP66" s="296">
        <f t="shared" si="273"/>
        <v>40063675.599999994</v>
      </c>
      <c r="BQ66" s="296">
        <f t="shared" si="273"/>
        <v>42798623.309999995</v>
      </c>
      <c r="BR66" s="296">
        <f t="shared" si="273"/>
        <v>43902798.709999993</v>
      </c>
      <c r="BS66" s="296">
        <f t="shared" si="273"/>
        <v>45023808.379999995</v>
      </c>
      <c r="BT66" s="296">
        <f t="shared" si="273"/>
        <v>48239885.619999997</v>
      </c>
      <c r="BU66" s="296">
        <f t="shared" si="273"/>
        <v>48805348.159999996</v>
      </c>
      <c r="BV66" s="296">
        <f t="shared" si="273"/>
        <v>51912760.919999994</v>
      </c>
      <c r="BW66" s="296">
        <f t="shared" si="273"/>
        <v>55870239.050915003</v>
      </c>
      <c r="BX66" s="296">
        <f t="shared" si="273"/>
        <v>56666370.550915003</v>
      </c>
      <c r="BY66" s="296">
        <f t="shared" si="273"/>
        <v>58021562.926116005</v>
      </c>
      <c r="BZ66" s="296">
        <f t="shared" si="273"/>
        <v>59951769.334578</v>
      </c>
      <c r="CA66" s="296">
        <f t="shared" si="273"/>
        <v>61093335.126446009</v>
      </c>
      <c r="CB66" s="296">
        <f t="shared" si="273"/>
        <v>62483939.880584002</v>
      </c>
      <c r="CC66" s="296">
        <f t="shared" si="273"/>
        <v>66614249.640767008</v>
      </c>
      <c r="CD66" s="296">
        <f t="shared" si="273"/>
        <v>66934892.007946007</v>
      </c>
      <c r="CE66" s="296">
        <f t="shared" si="273"/>
        <v>69948142.661936998</v>
      </c>
      <c r="CF66" s="296">
        <f t="shared" si="273"/>
        <v>73268131.55413501</v>
      </c>
      <c r="CG66" s="296">
        <f t="shared" si="273"/>
        <v>74547969.940290004</v>
      </c>
      <c r="CH66" s="296">
        <f t="shared" si="273"/>
        <v>77650306.381976008</v>
      </c>
      <c r="CI66" s="20">
        <f t="shared" si="273"/>
        <v>82486429.478349999</v>
      </c>
      <c r="CJ66" s="20">
        <f t="shared" si="273"/>
        <v>83536381.485256001</v>
      </c>
      <c r="CK66" s="20">
        <f t="shared" si="273"/>
        <v>85225813.686762005</v>
      </c>
      <c r="CL66" s="20">
        <f t="shared" si="273"/>
        <v>89817778.016371995</v>
      </c>
      <c r="CM66" s="20">
        <f t="shared" si="273"/>
        <v>91934098.521279007</v>
      </c>
      <c r="CN66" s="50">
        <f t="shared" si="273"/>
        <v>95683614.653117001</v>
      </c>
      <c r="CO66" s="50">
        <f t="shared" si="273"/>
        <v>102577352.93627</v>
      </c>
      <c r="CP66" s="50">
        <f t="shared" si="273"/>
        <v>104926817.75669529</v>
      </c>
      <c r="CQ66" s="50">
        <f t="shared" si="273"/>
        <v>110545480.30961847</v>
      </c>
      <c r="CR66" s="50">
        <f t="shared" si="273"/>
        <v>118376052.93626997</v>
      </c>
      <c r="CS66" s="50">
        <f t="shared" si="273"/>
        <v>120427237.69664198</v>
      </c>
      <c r="CT66" s="50">
        <f t="shared" si="273"/>
        <v>128994872.50855489</v>
      </c>
      <c r="CU66" s="20">
        <f t="shared" si="273"/>
        <v>139753840.43626997</v>
      </c>
      <c r="CV66" s="20">
        <f t="shared" si="273"/>
        <v>141304602.96331868</v>
      </c>
      <c r="CW66" s="20">
        <f t="shared" si="273"/>
        <v>145175837.70013493</v>
      </c>
      <c r="CX66" s="20">
        <f t="shared" si="273"/>
        <v>152946435.82622141</v>
      </c>
      <c r="CY66" s="20">
        <f t="shared" si="273"/>
        <v>155745774.4955011</v>
      </c>
      <c r="CZ66" s="20">
        <f t="shared" si="273"/>
        <v>162121402.41978717</v>
      </c>
      <c r="DA66" s="20">
        <f t="shared" si="273"/>
        <v>170967277.9439933</v>
      </c>
      <c r="DB66" s="20">
        <f t="shared" si="273"/>
        <v>173617830.0580273</v>
      </c>
      <c r="DC66" s="20">
        <f t="shared" si="273"/>
        <v>179124598.21867657</v>
      </c>
      <c r="DD66" s="20">
        <f t="shared" si="273"/>
        <v>188912816.4839409</v>
      </c>
      <c r="DE66" s="20">
        <f t="shared" si="273"/>
        <v>192764882.17356771</v>
      </c>
      <c r="DF66" s="20">
        <f t="shared" si="273"/>
        <v>203474651.84640121</v>
      </c>
      <c r="DG66" s="20">
        <f t="shared" si="273"/>
        <v>216111471.21907872</v>
      </c>
      <c r="DH66" s="20">
        <f t="shared" si="273"/>
        <v>218589309.55992457</v>
      </c>
      <c r="DI66" s="20">
        <f t="shared" si="273"/>
        <v>224478763.69246063</v>
      </c>
      <c r="DJ66" s="20">
        <f t="shared" si="273"/>
        <v>236074140.9082163</v>
      </c>
      <c r="DK66" s="20">
        <f t="shared" si="273"/>
        <v>240654058.76697558</v>
      </c>
      <c r="DL66" s="20">
        <f t="shared" ref="DL66:FB66" si="274">SUM(DL42,DL50,DL58)</f>
        <v>250520815.0584923</v>
      </c>
      <c r="DM66" s="20">
        <f t="shared" si="274"/>
        <v>263985854.41999963</v>
      </c>
      <c r="DN66" s="20">
        <f t="shared" si="274"/>
        <v>267829501.99080333</v>
      </c>
      <c r="DO66" s="20">
        <f t="shared" si="274"/>
        <v>275900276.99986416</v>
      </c>
      <c r="DP66" s="20">
        <f t="shared" si="274"/>
        <v>290255924.10503018</v>
      </c>
      <c r="DQ66" s="20">
        <f t="shared" si="274"/>
        <v>295124356.35625982</v>
      </c>
      <c r="DR66" s="20">
        <f t="shared" si="274"/>
        <v>310036505.18159676</v>
      </c>
      <c r="DS66" s="20">
        <f t="shared" si="274"/>
        <v>327799303.82293582</v>
      </c>
      <c r="DT66" s="20">
        <f t="shared" si="274"/>
        <v>331389574.55086803</v>
      </c>
      <c r="DU66" s="20">
        <f t="shared" si="274"/>
        <v>339926001.10994267</v>
      </c>
      <c r="DV66" s="20">
        <f t="shared" si="274"/>
        <v>356733186.3322618</v>
      </c>
      <c r="DW66" s="20">
        <f t="shared" si="274"/>
        <v>363370014.74588132</v>
      </c>
      <c r="DX66" s="20">
        <f t="shared" si="274"/>
        <v>377673491.28388065</v>
      </c>
      <c r="DY66" s="20">
        <f t="shared" si="274"/>
        <v>397191667.42577767</v>
      </c>
      <c r="DZ66" s="20">
        <f t="shared" si="274"/>
        <v>402760869.19133586</v>
      </c>
      <c r="EA66" s="20">
        <f t="shared" si="274"/>
        <v>414460286.76597571</v>
      </c>
      <c r="EB66" s="20">
        <f t="shared" si="274"/>
        <v>435270892.16766071</v>
      </c>
      <c r="EC66" s="20">
        <f t="shared" si="274"/>
        <v>442326100.83480287</v>
      </c>
      <c r="ED66" s="20">
        <f t="shared" si="274"/>
        <v>463940271.53124666</v>
      </c>
      <c r="EE66" s="20">
        <f t="shared" si="274"/>
        <v>489688396.10083562</v>
      </c>
      <c r="EF66" s="20">
        <f t="shared" si="274"/>
        <v>494803135.96270478</v>
      </c>
      <c r="EG66" s="20">
        <f t="shared" si="274"/>
        <v>506965778.27183145</v>
      </c>
      <c r="EH66" s="20">
        <f t="shared" si="274"/>
        <v>530912729.36251712</v>
      </c>
      <c r="EI66" s="20">
        <f t="shared" si="274"/>
        <v>540368029.79273462</v>
      </c>
      <c r="EJ66" s="20">
        <f t="shared" si="274"/>
        <v>560748697.79792571</v>
      </c>
      <c r="EK66" s="20">
        <f t="shared" si="274"/>
        <v>588558800.62467504</v>
      </c>
      <c r="EL66" s="20">
        <f t="shared" si="274"/>
        <v>596492714.39788985</v>
      </c>
      <c r="EM66" s="20">
        <f t="shared" si="274"/>
        <v>613162659.6515063</v>
      </c>
      <c r="EN66" s="20">
        <f t="shared" si="274"/>
        <v>642815037.96890068</v>
      </c>
      <c r="EO66" s="20">
        <f t="shared" si="274"/>
        <v>652866548.757725</v>
      </c>
      <c r="EP66" s="20">
        <f t="shared" si="274"/>
        <v>683662198.90276432</v>
      </c>
      <c r="EQ66" s="20">
        <f t="shared" si="274"/>
        <v>720349008.55711591</v>
      </c>
      <c r="ER66" s="20">
        <f t="shared" si="274"/>
        <v>727509486.7342298</v>
      </c>
      <c r="ES66" s="20">
        <f t="shared" si="274"/>
        <v>744536986.60047913</v>
      </c>
      <c r="ET66" s="20">
        <f t="shared" si="274"/>
        <v>778062346.85951507</v>
      </c>
      <c r="EU66" s="20">
        <f t="shared" si="274"/>
        <v>791299521.28703249</v>
      </c>
      <c r="EV66" s="20">
        <f t="shared" si="274"/>
        <v>819832254.81018901</v>
      </c>
      <c r="EW66" s="20">
        <f t="shared" si="274"/>
        <v>858766026.33387852</v>
      </c>
      <c r="EX66" s="20">
        <f t="shared" si="274"/>
        <v>869873257.33182812</v>
      </c>
      <c r="EY66" s="20">
        <f t="shared" si="274"/>
        <v>893210985.92159605</v>
      </c>
      <c r="EZ66" s="20">
        <f t="shared" si="274"/>
        <v>934724006.79661798</v>
      </c>
      <c r="FA66" s="20">
        <f t="shared" si="274"/>
        <v>948795877.81492519</v>
      </c>
      <c r="FB66" s="20">
        <f t="shared" si="274"/>
        <v>991909275.00620544</v>
      </c>
    </row>
    <row r="67" spans="3:158" x14ac:dyDescent="0.25">
      <c r="C67" s="258" t="s">
        <v>585</v>
      </c>
      <c r="D67" s="244">
        <f t="shared" ref="D67:L70" si="275">SUMIF($AY$2:$FB$2,D$2,$AY67:$FB67)</f>
        <v>12911272.049999999</v>
      </c>
      <c r="E67" s="244">
        <f t="shared" si="275"/>
        <v>17026778.394505002</v>
      </c>
      <c r="F67" s="244">
        <f t="shared" si="275"/>
        <v>17383704.05099</v>
      </c>
      <c r="G67" s="244">
        <f t="shared" si="275"/>
        <v>32846050.17212633</v>
      </c>
      <c r="H67" s="244">
        <f t="shared" si="275"/>
        <v>38010620.603182659</v>
      </c>
      <c r="I67" s="244">
        <f t="shared" si="275"/>
        <v>51979870.170452811</v>
      </c>
      <c r="J67" s="244">
        <f t="shared" si="275"/>
        <v>68044908.272858322</v>
      </c>
      <c r="K67" s="244">
        <f t="shared" si="275"/>
        <v>87983414.927973107</v>
      </c>
      <c r="L67" s="244">
        <f t="shared" si="275"/>
        <v>113094350.77625734</v>
      </c>
      <c r="M67" s="244"/>
      <c r="N67" s="294">
        <f t="shared" ref="N67" si="276">SUM(AY67:BA67)</f>
        <v>2341946.9300000002</v>
      </c>
      <c r="O67" s="294">
        <f>SUM(BB67:BD67)</f>
        <v>2915015.78</v>
      </c>
      <c r="P67" s="294">
        <f>SUM(BE67:BG67)</f>
        <v>2838288.5</v>
      </c>
      <c r="Q67" s="294">
        <f>SUM(BH67:BJ67)</f>
        <v>4816020.84</v>
      </c>
      <c r="R67" s="294">
        <f>SUM(BK67:BM67)</f>
        <v>3891556.9800000004</v>
      </c>
      <c r="S67" s="294">
        <f>SUM(BN67:BP67)</f>
        <v>4234592.8499999996</v>
      </c>
      <c r="T67" s="294">
        <f>SUM(BQ67:BS67)</f>
        <v>4036721.4499999997</v>
      </c>
      <c r="U67" s="294">
        <f>SUM(BT67:BV67)</f>
        <v>4863907.1145050004</v>
      </c>
      <c r="V67" s="294">
        <f>SUM(BW67:BY67)</f>
        <v>3013263.4049450001</v>
      </c>
      <c r="W67" s="294">
        <f>SUM(BZ67:CB67)</f>
        <v>4701734.8787900005</v>
      </c>
      <c r="X67" s="294">
        <f>SUM(CC67:CE67)</f>
        <v>3805111.5429290002</v>
      </c>
      <c r="Y67" s="294">
        <f>SUM(CF67:CH67)</f>
        <v>5863594.2243259996</v>
      </c>
      <c r="Z67" s="294">
        <f>SUM(CI67:CK67)</f>
        <v>5060571.727554</v>
      </c>
      <c r="AA67" s="294">
        <f>SUM(CL67:CN67)</f>
        <v>6782430.6262389999</v>
      </c>
      <c r="AB67" s="294">
        <f>SUM(CO67:CQ67)</f>
        <v>8865992.3166666664</v>
      </c>
      <c r="AC67" s="294">
        <f>SUM(CR67:CT67)</f>
        <v>12137055.501666665</v>
      </c>
      <c r="AD67" s="294">
        <f>SUM(CU67:CW67)</f>
        <v>6726896.6350118387</v>
      </c>
      <c r="AE67" s="294">
        <f>SUM(CX67:CZ67)</f>
        <v>8950175.3958095461</v>
      </c>
      <c r="AF67" s="294">
        <f>SUM(DA67:DC67)</f>
        <v>8823821.8664191831</v>
      </c>
      <c r="AG67" s="294">
        <f>SUM(DD67:DF67)</f>
        <v>13509726.705942094</v>
      </c>
      <c r="AH67" s="294">
        <f>SUM(DG67:DI67)</f>
        <v>9479783.7680577096</v>
      </c>
      <c r="AI67" s="294">
        <f>SUM(DJ67:DL67)</f>
        <v>12863204.883443639</v>
      </c>
      <c r="AJ67" s="294">
        <f>SUM(DM67:DO67)</f>
        <v>12066656.83814875</v>
      </c>
      <c r="AK67" s="294">
        <f>SUM(DP67:DR67)</f>
        <v>17570224.680802718</v>
      </c>
      <c r="AL67" s="294">
        <f>SUM(DS67:DU67)</f>
        <v>12409631.167387711</v>
      </c>
      <c r="AM67" s="294">
        <f>SUM(DV67:DX67)</f>
        <v>16838741.488170221</v>
      </c>
      <c r="AN67" s="294">
        <f>SUM(DY67:EA67)</f>
        <v>15796010.167386256</v>
      </c>
      <c r="AO67" s="294">
        <f>SUM(EB67:ED67)</f>
        <v>23000525.449914131</v>
      </c>
      <c r="AP67" s="294">
        <f>SUM(EE67:EG67)</f>
        <v>16045899.036635084</v>
      </c>
      <c r="AQ67" s="294">
        <f>SUM(EH67:EJ67)</f>
        <v>21772826.458633158</v>
      </c>
      <c r="AR67" s="294">
        <f>SUM(EK67:EM67)</f>
        <v>20424554.195746984</v>
      </c>
      <c r="AS67" s="294">
        <f>SUM(EN67:EP67)</f>
        <v>29740135.236957874</v>
      </c>
      <c r="AT67" s="294">
        <f>SUM(EQ67:ES67)</f>
        <v>20625484.196711481</v>
      </c>
      <c r="AU67" s="294">
        <f>SUM(ET67:EV67)</f>
        <v>27986907.247451641</v>
      </c>
      <c r="AV67" s="294">
        <f>SUM(EW67:EY67)</f>
        <v>26253830.890213452</v>
      </c>
      <c r="AW67" s="294">
        <f>SUM(EZ67:FB67)</f>
        <v>38228128.441880763</v>
      </c>
      <c r="AX67" s="292"/>
      <c r="AY67" s="296">
        <f t="shared" ref="AY67:DJ67" si="277">SUM(AY43,AY51,AY59)</f>
        <v>158950</v>
      </c>
      <c r="AZ67" s="296">
        <f t="shared" si="277"/>
        <v>805008.33</v>
      </c>
      <c r="BA67" s="296">
        <f t="shared" si="277"/>
        <v>1377988.6</v>
      </c>
      <c r="BB67" s="296">
        <f t="shared" si="277"/>
        <v>524153.43</v>
      </c>
      <c r="BC67" s="296">
        <f t="shared" si="277"/>
        <v>1152003.3499999999</v>
      </c>
      <c r="BD67" s="296">
        <f t="shared" si="277"/>
        <v>1238859</v>
      </c>
      <c r="BE67" s="296">
        <f t="shared" si="277"/>
        <v>443916.67</v>
      </c>
      <c r="BF67" s="296">
        <f t="shared" si="277"/>
        <v>857888.5</v>
      </c>
      <c r="BG67" s="296">
        <f t="shared" si="277"/>
        <v>1536483.33</v>
      </c>
      <c r="BH67" s="296">
        <f t="shared" si="277"/>
        <v>1097930.17</v>
      </c>
      <c r="BI67" s="296">
        <f t="shared" si="277"/>
        <v>1724341.67</v>
      </c>
      <c r="BJ67" s="296">
        <f t="shared" si="277"/>
        <v>1993749</v>
      </c>
      <c r="BK67" s="296">
        <f t="shared" si="277"/>
        <v>483083.33</v>
      </c>
      <c r="BL67" s="296">
        <f t="shared" si="277"/>
        <v>1104417.33</v>
      </c>
      <c r="BM67" s="296">
        <f t="shared" si="277"/>
        <v>2304056.3200000003</v>
      </c>
      <c r="BN67" s="296">
        <f t="shared" si="277"/>
        <v>1153261.8999999999</v>
      </c>
      <c r="BO67" s="296">
        <f t="shared" si="277"/>
        <v>1125259.95</v>
      </c>
      <c r="BP67" s="296">
        <f t="shared" si="277"/>
        <v>1956071</v>
      </c>
      <c r="BQ67" s="296">
        <f t="shared" si="277"/>
        <v>823585.39999999991</v>
      </c>
      <c r="BR67" s="296">
        <f t="shared" si="277"/>
        <v>922673.67</v>
      </c>
      <c r="BS67" s="296">
        <f t="shared" si="277"/>
        <v>2290462.38</v>
      </c>
      <c r="BT67" s="296">
        <f t="shared" si="277"/>
        <v>401754.48</v>
      </c>
      <c r="BU67" s="296">
        <f t="shared" si="277"/>
        <v>1832079.97</v>
      </c>
      <c r="BV67" s="296">
        <f t="shared" si="277"/>
        <v>2630072.6645050002</v>
      </c>
      <c r="BW67" s="296">
        <f t="shared" si="277"/>
        <v>460126.86</v>
      </c>
      <c r="BX67" s="296">
        <f t="shared" si="277"/>
        <v>1056671.1052009999</v>
      </c>
      <c r="BY67" s="296">
        <f t="shared" si="277"/>
        <v>1496465.4397440001</v>
      </c>
      <c r="BZ67" s="296">
        <f t="shared" si="277"/>
        <v>813288.69007300003</v>
      </c>
      <c r="CA67" s="296">
        <f t="shared" si="277"/>
        <v>1215914.9085339999</v>
      </c>
      <c r="CB67" s="296">
        <f t="shared" si="277"/>
        <v>2672531.280183</v>
      </c>
      <c r="CC67" s="296">
        <f t="shared" si="277"/>
        <v>538978.22</v>
      </c>
      <c r="CD67" s="296">
        <f t="shared" si="277"/>
        <v>1483273.569193</v>
      </c>
      <c r="CE67" s="296">
        <f t="shared" si="277"/>
        <v>1782859.753736</v>
      </c>
      <c r="CF67" s="296">
        <f t="shared" si="277"/>
        <v>705305.24714399991</v>
      </c>
      <c r="CG67" s="296">
        <f t="shared" si="277"/>
        <v>2031227.700807</v>
      </c>
      <c r="CH67" s="296">
        <f t="shared" si="277"/>
        <v>3127061.2763749999</v>
      </c>
      <c r="CI67" s="20">
        <f t="shared" si="277"/>
        <v>773993.60098500003</v>
      </c>
      <c r="CJ67" s="20">
        <f t="shared" si="277"/>
        <v>1119676.8281129999</v>
      </c>
      <c r="CK67" s="20">
        <f t="shared" si="277"/>
        <v>3166901.2984560002</v>
      </c>
      <c r="CL67" s="20">
        <f t="shared" si="277"/>
        <v>1118860.9245460001</v>
      </c>
      <c r="CM67" s="20">
        <f t="shared" si="277"/>
        <v>1905527.3358809999</v>
      </c>
      <c r="CN67" s="50">
        <f t="shared" si="277"/>
        <v>3758042.3658119999</v>
      </c>
      <c r="CO67" s="50">
        <f t="shared" si="277"/>
        <v>1329898.8475000001</v>
      </c>
      <c r="CP67" s="50">
        <f t="shared" si="277"/>
        <v>3103097.3108333331</v>
      </c>
      <c r="CQ67" s="50">
        <f t="shared" si="277"/>
        <v>4432996.1583333332</v>
      </c>
      <c r="CR67" s="50">
        <f t="shared" si="277"/>
        <v>1213705.5501666667</v>
      </c>
      <c r="CS67" s="50">
        <f t="shared" si="277"/>
        <v>4854822.200666667</v>
      </c>
      <c r="CT67" s="50">
        <f t="shared" si="277"/>
        <v>6068527.7508333325</v>
      </c>
      <c r="CU67" s="20">
        <f t="shared" si="277"/>
        <v>889228.95587280195</v>
      </c>
      <c r="CV67" s="20">
        <f t="shared" si="277"/>
        <v>1954336.1399159036</v>
      </c>
      <c r="CW67" s="20">
        <f t="shared" si="277"/>
        <v>3883331.5392231327</v>
      </c>
      <c r="CX67" s="20">
        <f t="shared" si="277"/>
        <v>1552709.6653509592</v>
      </c>
      <c r="CY67" s="20">
        <f t="shared" si="277"/>
        <v>3045431.7206775276</v>
      </c>
      <c r="CZ67" s="20">
        <f t="shared" si="277"/>
        <v>4352034.0097810579</v>
      </c>
      <c r="DA67" s="20">
        <f t="shared" si="277"/>
        <v>1490960.9447708859</v>
      </c>
      <c r="DB67" s="20">
        <f t="shared" si="277"/>
        <v>2658531.0290329838</v>
      </c>
      <c r="DC67" s="20">
        <f t="shared" si="277"/>
        <v>4674329.8926153136</v>
      </c>
      <c r="DD67" s="20">
        <f t="shared" si="277"/>
        <v>2007165.2860361105</v>
      </c>
      <c r="DE67" s="20">
        <f t="shared" si="277"/>
        <v>5353970.7476564199</v>
      </c>
      <c r="DF67" s="20">
        <f t="shared" si="277"/>
        <v>6148590.672249563</v>
      </c>
      <c r="DG67" s="20">
        <f t="shared" si="277"/>
        <v>1309592.4694584117</v>
      </c>
      <c r="DH67" s="20">
        <f t="shared" si="277"/>
        <v>2766136.2528961734</v>
      </c>
      <c r="DI67" s="20">
        <f t="shared" si="277"/>
        <v>5404055.0457031243</v>
      </c>
      <c r="DJ67" s="20">
        <f t="shared" si="277"/>
        <v>2331264.102174053</v>
      </c>
      <c r="DK67" s="20">
        <f t="shared" ref="DK67:FB67" si="278">SUM(DK43,DK51,DK59)</f>
        <v>4372575.1201254334</v>
      </c>
      <c r="DL67" s="20">
        <f t="shared" si="278"/>
        <v>6159365.6611441514</v>
      </c>
      <c r="DM67" s="20">
        <f t="shared" si="278"/>
        <v>2038902.6832126281</v>
      </c>
      <c r="DN67" s="20">
        <f t="shared" si="278"/>
        <v>3635565.4167268206</v>
      </c>
      <c r="DO67" s="20">
        <f t="shared" si="278"/>
        <v>6392188.7382093016</v>
      </c>
      <c r="DP67" s="20">
        <f t="shared" si="278"/>
        <v>2443333.5784978005</v>
      </c>
      <c r="DQ67" s="20">
        <f t="shared" si="278"/>
        <v>7020120.5559306229</v>
      </c>
      <c r="DR67" s="20">
        <f t="shared" si="278"/>
        <v>8106770.5463742968</v>
      </c>
      <c r="DS67" s="20">
        <f t="shared" si="278"/>
        <v>1714338.6308374722</v>
      </c>
      <c r="DT67" s="20">
        <f t="shared" si="278"/>
        <v>3621045.7429256882</v>
      </c>
      <c r="DU67" s="20">
        <f t="shared" si="278"/>
        <v>7074246.7936245501</v>
      </c>
      <c r="DV67" s="20">
        <f t="shared" si="278"/>
        <v>3051770.8388277609</v>
      </c>
      <c r="DW67" s="20">
        <f t="shared" si="278"/>
        <v>5723974.9154711235</v>
      </c>
      <c r="DX67" s="20">
        <f t="shared" si="278"/>
        <v>8062995.7338713389</v>
      </c>
      <c r="DY67" s="20">
        <f t="shared" si="278"/>
        <v>2669051.4155102861</v>
      </c>
      <c r="DZ67" s="20">
        <f t="shared" si="278"/>
        <v>4759183.0162317883</v>
      </c>
      <c r="EA67" s="20">
        <f t="shared" si="278"/>
        <v>8367775.7356441831</v>
      </c>
      <c r="EB67" s="20">
        <f t="shared" si="278"/>
        <v>3198476.8081122204</v>
      </c>
      <c r="EC67" s="20">
        <f t="shared" si="278"/>
        <v>9189777.8452751581</v>
      </c>
      <c r="ED67" s="20">
        <f t="shared" si="278"/>
        <v>10612270.796526752</v>
      </c>
      <c r="EE67" s="20">
        <f t="shared" si="278"/>
        <v>2216673.8248685515</v>
      </c>
      <c r="EF67" s="20">
        <f t="shared" si="278"/>
        <v>4682083.9084014324</v>
      </c>
      <c r="EG67" s="20">
        <f t="shared" si="278"/>
        <v>9147141.3033651002</v>
      </c>
      <c r="EH67" s="20">
        <f t="shared" si="278"/>
        <v>3946000.1753690718</v>
      </c>
      <c r="EI67" s="20">
        <f t="shared" si="278"/>
        <v>7401213.0048838193</v>
      </c>
      <c r="EJ67" s="20">
        <f t="shared" si="278"/>
        <v>10425613.278380267</v>
      </c>
      <c r="EK67" s="20">
        <f t="shared" si="278"/>
        <v>3451136.3761894451</v>
      </c>
      <c r="EL67" s="20">
        <f t="shared" si="278"/>
        <v>6153717.9586779792</v>
      </c>
      <c r="EM67" s="20">
        <f t="shared" si="278"/>
        <v>10819699.860879559</v>
      </c>
      <c r="EN67" s="20">
        <f t="shared" si="278"/>
        <v>4135693.9011098077</v>
      </c>
      <c r="EO67" s="20">
        <f t="shared" si="278"/>
        <v>11882564.879277699</v>
      </c>
      <c r="EP67" s="20">
        <f t="shared" si="278"/>
        <v>13721876.456570368</v>
      </c>
      <c r="EQ67" s="20">
        <f t="shared" si="278"/>
        <v>2849324.3563171532</v>
      </c>
      <c r="ER67" s="20">
        <f t="shared" si="278"/>
        <v>6018375.6260666456</v>
      </c>
      <c r="ES67" s="20">
        <f t="shared" si="278"/>
        <v>11757784.214327682</v>
      </c>
      <c r="ET67" s="20">
        <f t="shared" si="278"/>
        <v>5072209.66998949</v>
      </c>
      <c r="EU67" s="20">
        <f t="shared" si="278"/>
        <v>9513558.6681803651</v>
      </c>
      <c r="EV67" s="20">
        <f t="shared" si="278"/>
        <v>13401138.909281785</v>
      </c>
      <c r="EW67" s="20">
        <f t="shared" si="278"/>
        <v>4436109.1033462379</v>
      </c>
      <c r="EX67" s="20">
        <f t="shared" si="278"/>
        <v>7910021.8827220555</v>
      </c>
      <c r="EY67" s="20">
        <f t="shared" si="278"/>
        <v>13907699.904145161</v>
      </c>
      <c r="EZ67" s="20">
        <f t="shared" si="278"/>
        <v>5316042.9967197664</v>
      </c>
      <c r="FA67" s="20">
        <f t="shared" si="278"/>
        <v>15273912.267201727</v>
      </c>
      <c r="FB67" s="20">
        <f t="shared" si="278"/>
        <v>17638173.177959271</v>
      </c>
    </row>
    <row r="68" spans="3:158" x14ac:dyDescent="0.25">
      <c r="C68" s="258" t="s">
        <v>584</v>
      </c>
      <c r="D68" s="244">
        <f t="shared" si="275"/>
        <v>5998653.25</v>
      </c>
      <c r="E68" s="244">
        <f t="shared" si="275"/>
        <v>10710029.496410001</v>
      </c>
      <c r="F68" s="244">
        <f t="shared" si="275"/>
        <v>14958265.513111997</v>
      </c>
      <c r="G68" s="244">
        <f t="shared" si="275"/>
        <v>31086192.148306668</v>
      </c>
      <c r="H68" s="244">
        <f t="shared" si="275"/>
        <v>49489379.396817319</v>
      </c>
      <c r="I68" s="244">
        <f t="shared" si="275"/>
        <v>77082629.829547167</v>
      </c>
      <c r="J68" s="244">
        <f t="shared" si="275"/>
        <v>119095716.72714165</v>
      </c>
      <c r="K68" s="244">
        <f t="shared" si="275"/>
        <v>178691975.69702691</v>
      </c>
      <c r="L68" s="244">
        <f t="shared" si="275"/>
        <v>260251196.0987426</v>
      </c>
      <c r="M68" s="244"/>
      <c r="N68" s="294">
        <f t="shared" ref="N68:N70" si="279">SUM(AY68:BA68)</f>
        <v>1070661.17</v>
      </c>
      <c r="O68" s="294">
        <f t="shared" ref="O68:O70" si="280">SUM(BB68:BD68)</f>
        <v>1264963.02</v>
      </c>
      <c r="P68" s="294">
        <f t="shared" ref="P68:P70" si="281">SUM(BE68:BG68)</f>
        <v>1464777.96</v>
      </c>
      <c r="Q68" s="294">
        <f t="shared" ref="Q68:Q70" si="282">SUM(BH68:BJ68)</f>
        <v>2198251.1</v>
      </c>
      <c r="R68" s="294">
        <f t="shared" ref="R68:R70" si="283">SUM(BK68:BM68)</f>
        <v>1796767.31</v>
      </c>
      <c r="S68" s="294">
        <f t="shared" ref="S68:S70" si="284">SUM(BN68:BP68)</f>
        <v>3269955</v>
      </c>
      <c r="T68" s="294">
        <f t="shared" ref="T68:T70" si="285">SUM(BQ68:BS68)</f>
        <v>1976416.8599999999</v>
      </c>
      <c r="U68" s="294">
        <f t="shared" ref="U68:U70" si="286">SUM(BT68:BV68)</f>
        <v>3666890.3264100002</v>
      </c>
      <c r="V68" s="294">
        <f t="shared" ref="V68:V70" si="287">SUM(BW68:BY68)</f>
        <v>2212349.6687179999</v>
      </c>
      <c r="W68" s="294">
        <f t="shared" ref="W68:W70" si="288">SUM(BZ68:CB68)</f>
        <v>3409170.7704760004</v>
      </c>
      <c r="X68" s="294">
        <f t="shared" ref="X68:X70" si="289">SUM(CC68:CE68)</f>
        <v>4347463.5640289998</v>
      </c>
      <c r="Y68" s="294">
        <f t="shared" ref="Y68:Y70" si="290">SUM(CF68:CH68)</f>
        <v>4989281.5098890001</v>
      </c>
      <c r="Z68" s="294">
        <f t="shared" ref="Z68:Z70" si="291">SUM(CI68:CK68)</f>
        <v>4008072.518619</v>
      </c>
      <c r="AA68" s="294">
        <f t="shared" ref="AA68:AA70" si="292">SUM(CL68:CN68)</f>
        <v>7404679.9480209993</v>
      </c>
      <c r="AB68" s="294">
        <f t="shared" ref="AB68:AB70" si="293">SUM(CO68:CQ68)</f>
        <v>8432707.6833333336</v>
      </c>
      <c r="AC68" s="294">
        <f t="shared" ref="AC68:AC70" si="294">SUM(CR68:CT68)</f>
        <v>11240731.998333335</v>
      </c>
      <c r="AD68" s="294">
        <f t="shared" ref="AD68:AD70" si="295">SUM(CU68:CW68)</f>
        <v>8758340.0231407918</v>
      </c>
      <c r="AE68" s="294">
        <f t="shared" ref="AE68:AE70" si="296">SUM(CX68:CZ68)</f>
        <v>11653022.72897356</v>
      </c>
      <c r="AF68" s="294">
        <f t="shared" ref="AF68:AF70" si="297">SUM(DA68:DC68)</f>
        <v>11488511.925022021</v>
      </c>
      <c r="AG68" s="294">
        <f t="shared" ref="AG68:AG70" si="298">SUM(DD68:DF68)</f>
        <v>17589504.71968095</v>
      </c>
      <c r="AH68" s="294">
        <f t="shared" ref="AH68:AH70" si="299">SUM(DG68:DI68)</f>
        <v>14057877.802717423</v>
      </c>
      <c r="AI68" s="294">
        <f t="shared" ref="AI68:AI70" si="300">SUM(DJ68:DL68)</f>
        <v>19075262.350611441</v>
      </c>
      <c r="AJ68" s="294">
        <f t="shared" ref="AJ68:AJ70" si="301">SUM(DM68:DO68)</f>
        <v>17894035.504227027</v>
      </c>
      <c r="AK68" s="294">
        <f t="shared" ref="AK68:AK70" si="302">SUM(DP68:DR68)</f>
        <v>26055454.171991274</v>
      </c>
      <c r="AL68" s="294">
        <f t="shared" ref="AL68:AL70" si="303">SUM(DS68:DU68)</f>
        <v>21719978.110236228</v>
      </c>
      <c r="AM68" s="294">
        <f t="shared" ref="AM68:AM70" si="304">SUM(DV68:DX68)</f>
        <v>29472036.001209646</v>
      </c>
      <c r="AN68" s="294">
        <f t="shared" ref="AN68:AN70" si="305">SUM(DY68:EA68)</f>
        <v>27646993.729058623</v>
      </c>
      <c r="AO68" s="294">
        <f t="shared" ref="AO68:AO70" si="306">SUM(EB68:ED68)</f>
        <v>40256708.886637159</v>
      </c>
      <c r="AP68" s="294">
        <f t="shared" ref="AP68:AP70" si="307">SUM(EE68:EG68)</f>
        <v>32588794.183979034</v>
      </c>
      <c r="AQ68" s="294">
        <f t="shared" ref="AQ68:AQ70" si="308">SUM(EH68:EJ68)</f>
        <v>44220031.463733159</v>
      </c>
      <c r="AR68" s="294">
        <f t="shared" ref="AR68:AR70" si="309">SUM(EK68:EM68)</f>
        <v>41481726.35668698</v>
      </c>
      <c r="AS68" s="294">
        <f t="shared" ref="AS68:AS70" si="310">SUM(EN68:EP68)</f>
        <v>60401423.692627713</v>
      </c>
      <c r="AT68" s="294">
        <f t="shared" ref="AT68:AT70" si="311">SUM(EQ68:ES68)</f>
        <v>47463086.312148288</v>
      </c>
      <c r="AU68" s="294">
        <f t="shared" ref="AU68:AU70" si="312">SUM(ET68:EV68)</f>
        <v>64403093.8438612</v>
      </c>
      <c r="AV68" s="294">
        <f t="shared" ref="AV68:AV70" si="313">SUM(EW68:EY68)</f>
        <v>60414961.883194089</v>
      </c>
      <c r="AW68" s="294">
        <f t="shared" ref="AW68:AW70" si="314">SUM(EZ68:FB68)</f>
        <v>87970054.059539065</v>
      </c>
      <c r="AX68" s="292"/>
      <c r="AY68" s="296">
        <f t="shared" ref="AY68:DJ68" si="315">SUM(AY44,AY52,AY60)</f>
        <v>88689</v>
      </c>
      <c r="AZ68" s="296">
        <f t="shared" si="315"/>
        <v>277024.5</v>
      </c>
      <c r="BA68" s="296">
        <f t="shared" si="315"/>
        <v>704947.67</v>
      </c>
      <c r="BB68" s="296">
        <f t="shared" si="315"/>
        <v>132448</v>
      </c>
      <c r="BC68" s="296">
        <f t="shared" si="315"/>
        <v>369660.3</v>
      </c>
      <c r="BD68" s="296">
        <f t="shared" si="315"/>
        <v>762854.72</v>
      </c>
      <c r="BE68" s="296">
        <f t="shared" si="315"/>
        <v>334210</v>
      </c>
      <c r="BF68" s="296">
        <f t="shared" si="315"/>
        <v>256613.96000000002</v>
      </c>
      <c r="BG68" s="296">
        <f t="shared" si="315"/>
        <v>873954</v>
      </c>
      <c r="BH68" s="296">
        <f t="shared" si="315"/>
        <v>99082</v>
      </c>
      <c r="BI68" s="296">
        <f t="shared" si="315"/>
        <v>1365788</v>
      </c>
      <c r="BJ68" s="296">
        <f t="shared" si="315"/>
        <v>733381.1</v>
      </c>
      <c r="BK68" s="296">
        <f t="shared" si="315"/>
        <v>303930</v>
      </c>
      <c r="BL68" s="296">
        <f t="shared" si="315"/>
        <v>303274</v>
      </c>
      <c r="BM68" s="296">
        <f t="shared" si="315"/>
        <v>1189563.31</v>
      </c>
      <c r="BN68" s="296">
        <f t="shared" si="315"/>
        <v>172863.86</v>
      </c>
      <c r="BO68" s="296">
        <f t="shared" si="315"/>
        <v>1990309.4300000002</v>
      </c>
      <c r="BP68" s="296">
        <f t="shared" si="315"/>
        <v>1106781.71</v>
      </c>
      <c r="BQ68" s="296">
        <f t="shared" si="315"/>
        <v>398420</v>
      </c>
      <c r="BR68" s="296">
        <f t="shared" si="315"/>
        <v>385315</v>
      </c>
      <c r="BS68" s="296">
        <f t="shared" si="315"/>
        <v>1192681.8599999999</v>
      </c>
      <c r="BT68" s="296">
        <f t="shared" si="315"/>
        <v>395651.06</v>
      </c>
      <c r="BU68" s="296">
        <f t="shared" si="315"/>
        <v>1513856.5</v>
      </c>
      <c r="BV68" s="296">
        <f t="shared" si="315"/>
        <v>1757382.7664100002</v>
      </c>
      <c r="BW68" s="296">
        <f t="shared" si="315"/>
        <v>643142.64</v>
      </c>
      <c r="BX68" s="296">
        <f t="shared" si="315"/>
        <v>614583.27</v>
      </c>
      <c r="BY68" s="296">
        <f t="shared" si="315"/>
        <v>954623.75871800003</v>
      </c>
      <c r="BZ68" s="296">
        <f t="shared" si="315"/>
        <v>868961.53948700009</v>
      </c>
      <c r="CA68" s="296">
        <f t="shared" si="315"/>
        <v>710580.63098899997</v>
      </c>
      <c r="CB68" s="296">
        <f t="shared" si="315"/>
        <v>1829628.6</v>
      </c>
      <c r="CC68" s="296">
        <f t="shared" si="315"/>
        <v>511109.42717899999</v>
      </c>
      <c r="CD68" s="296">
        <f t="shared" si="315"/>
        <v>1871585.014798</v>
      </c>
      <c r="CE68" s="296">
        <f t="shared" si="315"/>
        <v>1964769.1220519999</v>
      </c>
      <c r="CF68" s="296">
        <f t="shared" si="315"/>
        <v>878364.7290109999</v>
      </c>
      <c r="CG68" s="296">
        <f t="shared" si="315"/>
        <v>1886001.1308790001</v>
      </c>
      <c r="CH68" s="296">
        <f t="shared" si="315"/>
        <v>2224915.6499990001</v>
      </c>
      <c r="CI68" s="20">
        <f t="shared" si="315"/>
        <v>693251.33886200003</v>
      </c>
      <c r="CJ68" s="20">
        <f t="shared" si="315"/>
        <v>1128856.5392749999</v>
      </c>
      <c r="CK68" s="20">
        <f t="shared" si="315"/>
        <v>2185964.6404820001</v>
      </c>
      <c r="CL68" s="20">
        <f t="shared" si="315"/>
        <v>1487367.08088</v>
      </c>
      <c r="CM68" s="20">
        <f t="shared" si="315"/>
        <v>2320255.4680349999</v>
      </c>
      <c r="CN68" s="50">
        <f t="shared" si="315"/>
        <v>3597057.3991059996</v>
      </c>
      <c r="CO68" s="50">
        <f t="shared" si="315"/>
        <v>1264906.1524999999</v>
      </c>
      <c r="CP68" s="50">
        <f t="shared" si="315"/>
        <v>2951447.6891666669</v>
      </c>
      <c r="CQ68" s="50">
        <f t="shared" si="315"/>
        <v>4216353.8416666668</v>
      </c>
      <c r="CR68" s="50">
        <f t="shared" si="315"/>
        <v>1124073.1998333335</v>
      </c>
      <c r="CS68" s="50">
        <f t="shared" si="315"/>
        <v>4496292.799333334</v>
      </c>
      <c r="CT68" s="50">
        <f t="shared" si="315"/>
        <v>5620365.9991666665</v>
      </c>
      <c r="CU68" s="20">
        <f t="shared" si="315"/>
        <v>1157765.6052303459</v>
      </c>
      <c r="CV68" s="20">
        <f t="shared" si="315"/>
        <v>2544522.5876977993</v>
      </c>
      <c r="CW68" s="20">
        <f t="shared" si="315"/>
        <v>5056051.8302126471</v>
      </c>
      <c r="CX68" s="20">
        <f t="shared" si="315"/>
        <v>2021609.6580971056</v>
      </c>
      <c r="CY68" s="20">
        <f t="shared" si="315"/>
        <v>3965116.1559591256</v>
      </c>
      <c r="CZ68" s="20">
        <f t="shared" si="315"/>
        <v>5666296.9149173293</v>
      </c>
      <c r="DA68" s="20">
        <f t="shared" si="315"/>
        <v>1941213.5527044078</v>
      </c>
      <c r="DB68" s="20">
        <f t="shared" si="315"/>
        <v>3461376.0219165729</v>
      </c>
      <c r="DC68" s="20">
        <f t="shared" si="315"/>
        <v>6085922.3504010411</v>
      </c>
      <c r="DD68" s="20">
        <f t="shared" si="315"/>
        <v>2613305.5124189467</v>
      </c>
      <c r="DE68" s="20">
        <f t="shared" si="315"/>
        <v>6970806.7220571656</v>
      </c>
      <c r="DF68" s="20">
        <f t="shared" si="315"/>
        <v>8005392.4852048401</v>
      </c>
      <c r="DG68" s="20">
        <f t="shared" si="315"/>
        <v>1942037.0081687318</v>
      </c>
      <c r="DH68" s="20">
        <f t="shared" si="315"/>
        <v>4101992.8703340385</v>
      </c>
      <c r="DI68" s="20">
        <f t="shared" si="315"/>
        <v>8013847.9242146527</v>
      </c>
      <c r="DJ68" s="20">
        <f t="shared" si="315"/>
        <v>3457106.8999118418</v>
      </c>
      <c r="DK68" s="20">
        <f t="shared" ref="DK68:FB68" si="316">SUM(DK44,DK52,DK60)</f>
        <v>6484232.9979136307</v>
      </c>
      <c r="DL68" s="20">
        <f t="shared" si="316"/>
        <v>9133922.4527859688</v>
      </c>
      <c r="DM68" s="20">
        <f t="shared" si="316"/>
        <v>3023554.7005634308</v>
      </c>
      <c r="DN68" s="20">
        <f t="shared" si="316"/>
        <v>5391297.483423776</v>
      </c>
      <c r="DO68" s="20">
        <f t="shared" si="316"/>
        <v>9479183.3202398214</v>
      </c>
      <c r="DP68" s="20">
        <f t="shared" si="316"/>
        <v>3623298.3492234088</v>
      </c>
      <c r="DQ68" s="20">
        <f t="shared" si="316"/>
        <v>10410363.711896917</v>
      </c>
      <c r="DR68" s="20">
        <f t="shared" si="316"/>
        <v>12021792.110870948</v>
      </c>
      <c r="DS68" s="20">
        <f t="shared" si="316"/>
        <v>3000524.1117218863</v>
      </c>
      <c r="DT68" s="20">
        <f t="shared" si="316"/>
        <v>6337741.4857581183</v>
      </c>
      <c r="DU68" s="20">
        <f t="shared" si="316"/>
        <v>12381712.512756225</v>
      </c>
      <c r="DV68" s="20">
        <f t="shared" si="316"/>
        <v>5341367.1141967885</v>
      </c>
      <c r="DW68" s="20">
        <f t="shared" si="316"/>
        <v>10018396.855685521</v>
      </c>
      <c r="DX68" s="20">
        <f t="shared" si="316"/>
        <v>14112272.031327337</v>
      </c>
      <c r="DY68" s="20">
        <f t="shared" si="316"/>
        <v>4671511.7909650002</v>
      </c>
      <c r="DZ68" s="20">
        <f t="shared" si="316"/>
        <v>8329768.1889865752</v>
      </c>
      <c r="EA68" s="20">
        <f t="shared" si="316"/>
        <v>14645713.749107048</v>
      </c>
      <c r="EB68" s="20">
        <f t="shared" si="316"/>
        <v>5598139.4870835338</v>
      </c>
      <c r="EC68" s="20">
        <f t="shared" si="316"/>
        <v>16084424.343074773</v>
      </c>
      <c r="ED68" s="20">
        <f t="shared" si="316"/>
        <v>18574145.056478851</v>
      </c>
      <c r="EE68" s="20">
        <f t="shared" si="316"/>
        <v>4502005.583278534</v>
      </c>
      <c r="EF68" s="20">
        <f t="shared" si="316"/>
        <v>9509187.8924729936</v>
      </c>
      <c r="EG68" s="20">
        <f t="shared" si="316"/>
        <v>18577600.708227508</v>
      </c>
      <c r="EH68" s="20">
        <f t="shared" si="316"/>
        <v>8014221.4076909106</v>
      </c>
      <c r="EI68" s="20">
        <f t="shared" si="316"/>
        <v>15031666.769014399</v>
      </c>
      <c r="EJ68" s="20">
        <f t="shared" si="316"/>
        <v>21174143.287027851</v>
      </c>
      <c r="EK68" s="20">
        <f t="shared" si="316"/>
        <v>7009166.1930378377</v>
      </c>
      <c r="EL68" s="20">
        <f t="shared" si="316"/>
        <v>12498037.508758191</v>
      </c>
      <c r="EM68" s="20">
        <f t="shared" si="316"/>
        <v>21974522.654890947</v>
      </c>
      <c r="EN68" s="20">
        <f t="shared" si="316"/>
        <v>8399484.3195441421</v>
      </c>
      <c r="EO68" s="20">
        <f t="shared" si="316"/>
        <v>24133173.239120957</v>
      </c>
      <c r="EP68" s="20">
        <f t="shared" si="316"/>
        <v>27868766.133962616</v>
      </c>
      <c r="EQ68" s="20">
        <f t="shared" si="316"/>
        <v>6556826.8150887657</v>
      </c>
      <c r="ER68" s="20">
        <f t="shared" si="316"/>
        <v>13849404.89515755</v>
      </c>
      <c r="ES68" s="20">
        <f t="shared" si="316"/>
        <v>27056854.601901967</v>
      </c>
      <c r="ET68" s="20">
        <f t="shared" si="316"/>
        <v>11672100.546294484</v>
      </c>
      <c r="EU68" s="20">
        <f t="shared" si="316"/>
        <v>21892473.01527714</v>
      </c>
      <c r="EV68" s="20">
        <f t="shared" si="316"/>
        <v>30838520.282289572</v>
      </c>
      <c r="EW68" s="20">
        <f t="shared" si="316"/>
        <v>10208314.493571959</v>
      </c>
      <c r="EX68" s="20">
        <f t="shared" si="316"/>
        <v>18202435.771688584</v>
      </c>
      <c r="EY68" s="20">
        <f t="shared" si="316"/>
        <v>32004211.617933545</v>
      </c>
      <c r="EZ68" s="20">
        <f t="shared" si="316"/>
        <v>12233206.512195762</v>
      </c>
      <c r="FA68" s="20">
        <f t="shared" si="316"/>
        <v>35148121.098556384</v>
      </c>
      <c r="FB68" s="20">
        <f t="shared" si="316"/>
        <v>40588726.448786914</v>
      </c>
    </row>
    <row r="69" spans="3:158" x14ac:dyDescent="0.25">
      <c r="C69" s="258" t="s">
        <v>583</v>
      </c>
      <c r="D69" s="244">
        <f t="shared" si="275"/>
        <v>-436261.41000000003</v>
      </c>
      <c r="E69" s="244">
        <f t="shared" si="275"/>
        <v>-660763.82000000007</v>
      </c>
      <c r="F69" s="244">
        <f t="shared" si="275"/>
        <v>-1351642.0030769999</v>
      </c>
      <c r="G69" s="244">
        <f t="shared" si="275"/>
        <v>-2209298.7215975602</v>
      </c>
      <c r="H69" s="244">
        <f t="shared" si="275"/>
        <v>-3747488.0218898011</v>
      </c>
      <c r="I69" s="244">
        <f t="shared" si="275"/>
        <v>-5845029.5595364654</v>
      </c>
      <c r="J69" s="244">
        <f t="shared" si="275"/>
        <v>-8702856.3840548228</v>
      </c>
      <c r="K69" s="244">
        <f t="shared" si="275"/>
        <v>-12747534.834115218</v>
      </c>
      <c r="L69" s="244">
        <f t="shared" si="275"/>
        <v>-18363497.084741957</v>
      </c>
      <c r="M69" s="244"/>
      <c r="N69" s="294">
        <f t="shared" si="279"/>
        <v>-77514.399999999994</v>
      </c>
      <c r="O69" s="294">
        <f t="shared" si="280"/>
        <v>-32000</v>
      </c>
      <c r="P69" s="294">
        <f t="shared" si="281"/>
        <v>-118803</v>
      </c>
      <c r="Q69" s="294">
        <f t="shared" si="282"/>
        <v>-207944.01</v>
      </c>
      <c r="R69" s="294">
        <f t="shared" si="283"/>
        <v>-186390.52000000002</v>
      </c>
      <c r="S69" s="294">
        <f t="shared" si="284"/>
        <v>-229939</v>
      </c>
      <c r="T69" s="294">
        <f t="shared" si="285"/>
        <v>-62260</v>
      </c>
      <c r="U69" s="294">
        <f t="shared" si="286"/>
        <v>-182174.3</v>
      </c>
      <c r="V69" s="294">
        <f t="shared" si="287"/>
        <v>-218357.13</v>
      </c>
      <c r="W69" s="294">
        <f t="shared" si="288"/>
        <v>-392030.80307700002</v>
      </c>
      <c r="X69" s="294">
        <f t="shared" si="289"/>
        <v>-255998.69</v>
      </c>
      <c r="Y69" s="294">
        <f t="shared" si="290"/>
        <v>-485255.37999999995</v>
      </c>
      <c r="Z69" s="294">
        <f t="shared" si="291"/>
        <v>-716813.179412</v>
      </c>
      <c r="AA69" s="294">
        <f t="shared" si="292"/>
        <v>-470164.03376599995</v>
      </c>
      <c r="AB69" s="294">
        <f t="shared" si="293"/>
        <v>-443399.08210375364</v>
      </c>
      <c r="AC69" s="294">
        <f t="shared" si="294"/>
        <v>-578922.42631580611</v>
      </c>
      <c r="AD69" s="294">
        <f t="shared" si="295"/>
        <v>-771078.89027930889</v>
      </c>
      <c r="AE69" s="294">
        <f t="shared" si="296"/>
        <v>-868517.99791364698</v>
      </c>
      <c r="AF69" s="294">
        <f t="shared" si="297"/>
        <v>-796018.93298899452</v>
      </c>
      <c r="AG69" s="294">
        <f t="shared" si="298"/>
        <v>-1311872.2007078507</v>
      </c>
      <c r="AH69" s="294">
        <f t="shared" si="299"/>
        <v>-1202666.6609982476</v>
      </c>
      <c r="AI69" s="294">
        <f t="shared" si="300"/>
        <v>-1354644.322047676</v>
      </c>
      <c r="AJ69" s="294">
        <f t="shared" si="301"/>
        <v>-1241566.1280553038</v>
      </c>
      <c r="AK69" s="294">
        <f t="shared" si="302"/>
        <v>-2046152.4484352381</v>
      </c>
      <c r="AL69" s="294">
        <f t="shared" si="303"/>
        <v>-1790689.8711028148</v>
      </c>
      <c r="AM69" s="294">
        <f t="shared" si="304"/>
        <v>-2016974.3995599523</v>
      </c>
      <c r="AN69" s="294">
        <f t="shared" si="305"/>
        <v>-1848608.564544064</v>
      </c>
      <c r="AO69" s="294">
        <f t="shared" si="306"/>
        <v>-3046583.548847991</v>
      </c>
      <c r="AP69" s="294">
        <f t="shared" si="307"/>
        <v>-2622918.3272291296</v>
      </c>
      <c r="AQ69" s="294">
        <f t="shared" si="308"/>
        <v>-2954369.2649021605</v>
      </c>
      <c r="AR69" s="294">
        <f t="shared" si="309"/>
        <v>-2707754.9061185042</v>
      </c>
      <c r="AS69" s="294">
        <f t="shared" si="310"/>
        <v>-4462492.3358654259</v>
      </c>
      <c r="AT69" s="294">
        <f t="shared" si="311"/>
        <v>-3778452.3582305214</v>
      </c>
      <c r="AU69" s="294">
        <f t="shared" si="312"/>
        <v>-4255924.9368034862</v>
      </c>
      <c r="AV69" s="294">
        <f t="shared" si="313"/>
        <v>-3900663.9300667667</v>
      </c>
      <c r="AW69" s="294">
        <f t="shared" si="314"/>
        <v>-6428455.8596411813</v>
      </c>
      <c r="AX69" s="292"/>
      <c r="AY69" s="296">
        <f t="shared" ref="AY69:DJ69" si="317">SUM(AY45,AY53,AY61)</f>
        <v>-34865</v>
      </c>
      <c r="AZ69" s="296">
        <f t="shared" si="317"/>
        <v>-1050</v>
      </c>
      <c r="BA69" s="296">
        <f t="shared" si="317"/>
        <v>-41599.4</v>
      </c>
      <c r="BB69" s="296">
        <f t="shared" si="317"/>
        <v>-27000</v>
      </c>
      <c r="BC69" s="296">
        <f t="shared" si="317"/>
        <v>-3500</v>
      </c>
      <c r="BD69" s="296">
        <f t="shared" si="317"/>
        <v>-1500</v>
      </c>
      <c r="BE69" s="296">
        <f t="shared" si="317"/>
        <v>-62250</v>
      </c>
      <c r="BF69" s="296">
        <f t="shared" si="317"/>
        <v>-6578</v>
      </c>
      <c r="BG69" s="296">
        <f t="shared" si="317"/>
        <v>-49975</v>
      </c>
      <c r="BH69" s="296">
        <f t="shared" si="317"/>
        <v>-75000</v>
      </c>
      <c r="BI69" s="296">
        <f t="shared" si="317"/>
        <v>-44944</v>
      </c>
      <c r="BJ69" s="296">
        <f t="shared" si="317"/>
        <v>-88000.010000000009</v>
      </c>
      <c r="BK69" s="296">
        <f t="shared" si="317"/>
        <v>-65400</v>
      </c>
      <c r="BL69" s="296">
        <f t="shared" si="317"/>
        <v>-56884.75</v>
      </c>
      <c r="BM69" s="296">
        <f t="shared" si="317"/>
        <v>-64105.770000000004</v>
      </c>
      <c r="BN69" s="296">
        <f t="shared" si="317"/>
        <v>-67019</v>
      </c>
      <c r="BO69" s="296">
        <f t="shared" si="317"/>
        <v>-48500</v>
      </c>
      <c r="BP69" s="296">
        <f t="shared" si="317"/>
        <v>-114420</v>
      </c>
      <c r="BQ69" s="296">
        <f t="shared" si="317"/>
        <v>-6920</v>
      </c>
      <c r="BR69" s="296">
        <f t="shared" si="317"/>
        <v>-13625</v>
      </c>
      <c r="BS69" s="296">
        <f t="shared" si="317"/>
        <v>-41715</v>
      </c>
      <c r="BT69" s="296">
        <f t="shared" si="317"/>
        <v>-73500</v>
      </c>
      <c r="BU69" s="296">
        <f t="shared" si="317"/>
        <v>-39500</v>
      </c>
      <c r="BV69" s="296">
        <f t="shared" si="317"/>
        <v>-69174.3</v>
      </c>
      <c r="BW69" s="296">
        <f t="shared" si="317"/>
        <v>-32045</v>
      </c>
      <c r="BX69" s="296">
        <f t="shared" si="317"/>
        <v>-64000</v>
      </c>
      <c r="BY69" s="296">
        <f t="shared" si="317"/>
        <v>-122312.13</v>
      </c>
      <c r="BZ69" s="296">
        <f t="shared" si="317"/>
        <v>-208710.837692</v>
      </c>
      <c r="CA69" s="296">
        <f t="shared" si="317"/>
        <v>-84782.785384999996</v>
      </c>
      <c r="CB69" s="296">
        <f t="shared" si="317"/>
        <v>-98537.18</v>
      </c>
      <c r="CC69" s="296">
        <f t="shared" si="317"/>
        <v>-91056.67</v>
      </c>
      <c r="CD69" s="296">
        <f t="shared" si="317"/>
        <v>-43808.33</v>
      </c>
      <c r="CE69" s="296">
        <f t="shared" si="317"/>
        <v>-121133.69</v>
      </c>
      <c r="CF69" s="296">
        <f t="shared" si="317"/>
        <v>-36049.99</v>
      </c>
      <c r="CG69" s="296">
        <f t="shared" si="317"/>
        <v>-296974.38999999996</v>
      </c>
      <c r="CH69" s="296">
        <f t="shared" si="317"/>
        <v>-152231</v>
      </c>
      <c r="CI69" s="20">
        <f t="shared" si="317"/>
        <v>-121271.50294100001</v>
      </c>
      <c r="CJ69" s="20">
        <f t="shared" si="317"/>
        <v>-345366.83</v>
      </c>
      <c r="CK69" s="20">
        <f t="shared" si="317"/>
        <v>-250174.846471</v>
      </c>
      <c r="CL69" s="20">
        <f t="shared" si="317"/>
        <v>-47990.400000000001</v>
      </c>
      <c r="CM69" s="20">
        <f t="shared" si="317"/>
        <v>-207300.36376599999</v>
      </c>
      <c r="CN69" s="50">
        <f t="shared" si="317"/>
        <v>-214873.27</v>
      </c>
      <c r="CO69" s="50">
        <f t="shared" si="317"/>
        <v>-70157.24260998008</v>
      </c>
      <c r="CP69" s="50">
        <f t="shared" si="317"/>
        <v>-131598.98793740565</v>
      </c>
      <c r="CQ69" s="50">
        <f t="shared" si="317"/>
        <v>-241642.85155636791</v>
      </c>
      <c r="CR69" s="50">
        <f t="shared" si="317"/>
        <v>-79362.059381933563</v>
      </c>
      <c r="CS69" s="50">
        <f t="shared" si="317"/>
        <v>-238224.04381368763</v>
      </c>
      <c r="CT69" s="50">
        <f t="shared" si="317"/>
        <v>-261336.323120185</v>
      </c>
      <c r="CU69" s="20">
        <f t="shared" si="317"/>
        <v>-166896.6058697704</v>
      </c>
      <c r="CV69" s="20">
        <f t="shared" si="317"/>
        <v>-211087.36767897152</v>
      </c>
      <c r="CW69" s="20">
        <f t="shared" si="317"/>
        <v>-393094.91673056694</v>
      </c>
      <c r="CX69" s="20">
        <f t="shared" si="317"/>
        <v>-260647.50342426106</v>
      </c>
      <c r="CY69" s="20">
        <f t="shared" si="317"/>
        <v>-213541.20204719366</v>
      </c>
      <c r="CZ69" s="20">
        <f t="shared" si="317"/>
        <v>-394329.29244219221</v>
      </c>
      <c r="DA69" s="20">
        <f t="shared" si="317"/>
        <v>-262881.30131858215</v>
      </c>
      <c r="DB69" s="20">
        <f t="shared" si="317"/>
        <v>-206215.62635082024</v>
      </c>
      <c r="DC69" s="20">
        <f t="shared" si="317"/>
        <v>-326922.00531959214</v>
      </c>
      <c r="DD69" s="20">
        <f t="shared" si="317"/>
        <v>-258435.96502348708</v>
      </c>
      <c r="DE69" s="20">
        <f t="shared" si="317"/>
        <v>-543171.9462974777</v>
      </c>
      <c r="DF69" s="20">
        <f t="shared" si="317"/>
        <v>-510264.289386886</v>
      </c>
      <c r="DG69" s="20">
        <f t="shared" si="317"/>
        <v>-260311.8646402444</v>
      </c>
      <c r="DH69" s="20">
        <f t="shared" si="317"/>
        <v>-329237.05066471122</v>
      </c>
      <c r="DI69" s="20">
        <f t="shared" si="317"/>
        <v>-613117.745693292</v>
      </c>
      <c r="DJ69" s="20">
        <f t="shared" si="317"/>
        <v>-406536.95308301854</v>
      </c>
      <c r="DK69" s="20">
        <f t="shared" ref="DK69:FB69" si="318">SUM(DK45,DK53,DK61)</f>
        <v>-333064.34359605244</v>
      </c>
      <c r="DL69" s="20">
        <f t="shared" si="318"/>
        <v>-615043.02536860504</v>
      </c>
      <c r="DM69" s="20">
        <f t="shared" si="318"/>
        <v>-410021.05086960818</v>
      </c>
      <c r="DN69" s="20">
        <f t="shared" si="318"/>
        <v>-321638.50147572672</v>
      </c>
      <c r="DO69" s="20">
        <f t="shared" si="318"/>
        <v>-509906.57570996904</v>
      </c>
      <c r="DP69" s="20">
        <f t="shared" si="318"/>
        <v>-403087.57385910442</v>
      </c>
      <c r="DQ69" s="20">
        <f t="shared" si="318"/>
        <v>-847195.79181434703</v>
      </c>
      <c r="DR69" s="20">
        <f t="shared" si="318"/>
        <v>-795869.08276178665</v>
      </c>
      <c r="DS69" s="20">
        <f t="shared" si="318"/>
        <v>-387586.88043473737</v>
      </c>
      <c r="DT69" s="20">
        <f t="shared" si="318"/>
        <v>-490211.85249095527</v>
      </c>
      <c r="DU69" s="20">
        <f t="shared" si="318"/>
        <v>-912891.13817712222</v>
      </c>
      <c r="DV69" s="20">
        <f t="shared" si="318"/>
        <v>-605306.21470002015</v>
      </c>
      <c r="DW69" s="20">
        <f t="shared" si="318"/>
        <v>-495910.43457371416</v>
      </c>
      <c r="DX69" s="20">
        <f t="shared" si="318"/>
        <v>-915757.7502862179</v>
      </c>
      <c r="DY69" s="20">
        <f t="shared" si="318"/>
        <v>-610493.80226580426</v>
      </c>
      <c r="DZ69" s="20">
        <f t="shared" si="318"/>
        <v>-478898.12316840375</v>
      </c>
      <c r="EA69" s="20">
        <f t="shared" si="318"/>
        <v>-759216.63910985598</v>
      </c>
      <c r="EB69" s="20">
        <f t="shared" si="318"/>
        <v>-600170.32074189803</v>
      </c>
      <c r="EC69" s="20">
        <f t="shared" si="318"/>
        <v>-1261417.6250497149</v>
      </c>
      <c r="ED69" s="20">
        <f t="shared" si="318"/>
        <v>-1184995.603056378</v>
      </c>
      <c r="EE69" s="20">
        <f t="shared" si="318"/>
        <v>-567719.03861819976</v>
      </c>
      <c r="EF69" s="20">
        <f t="shared" si="318"/>
        <v>-718039.27239036909</v>
      </c>
      <c r="EG69" s="20">
        <f t="shared" si="318"/>
        <v>-1337160.0162205608</v>
      </c>
      <c r="EH69" s="20">
        <f t="shared" si="318"/>
        <v>-886624.08256354905</v>
      </c>
      <c r="EI69" s="20">
        <f t="shared" si="318"/>
        <v>-726386.28748510638</v>
      </c>
      <c r="EJ69" s="20">
        <f t="shared" si="318"/>
        <v>-1341358.8948535053</v>
      </c>
      <c r="EK69" s="20">
        <f t="shared" si="318"/>
        <v>-894222.61691613449</v>
      </c>
      <c r="EL69" s="20">
        <f t="shared" si="318"/>
        <v>-701467.45363587188</v>
      </c>
      <c r="EM69" s="20">
        <f t="shared" si="318"/>
        <v>-1112064.8355664979</v>
      </c>
      <c r="EN69" s="20">
        <f t="shared" si="318"/>
        <v>-879101.26657689968</v>
      </c>
      <c r="EO69" s="20">
        <f t="shared" si="318"/>
        <v>-1847665.2269190014</v>
      </c>
      <c r="EP69" s="20">
        <f t="shared" si="318"/>
        <v>-1735725.8423695248</v>
      </c>
      <c r="EQ69" s="20">
        <f t="shared" si="318"/>
        <v>-817829.25454083807</v>
      </c>
      <c r="ER69" s="20">
        <f t="shared" si="318"/>
        <v>-1034373.4892163542</v>
      </c>
      <c r="ES69" s="20">
        <f t="shared" si="318"/>
        <v>-1926249.6144733292</v>
      </c>
      <c r="ET69" s="20">
        <f t="shared" si="318"/>
        <v>-1277228.8106908957</v>
      </c>
      <c r="EU69" s="20">
        <f t="shared" si="318"/>
        <v>-1046397.8052392679</v>
      </c>
      <c r="EV69" s="20">
        <f t="shared" si="318"/>
        <v>-1932298.3208733234</v>
      </c>
      <c r="EW69" s="20">
        <f t="shared" si="318"/>
        <v>-1288174.9006798856</v>
      </c>
      <c r="EX69" s="20">
        <f t="shared" si="318"/>
        <v>-1010500.9091962029</v>
      </c>
      <c r="EY69" s="20">
        <f t="shared" si="318"/>
        <v>-1601988.1201906782</v>
      </c>
      <c r="EZ69" s="20">
        <f t="shared" si="318"/>
        <v>-1266391.7970064785</v>
      </c>
      <c r="FA69" s="20">
        <f t="shared" si="318"/>
        <v>-2661659.3286180375</v>
      </c>
      <c r="FB69" s="20">
        <f t="shared" si="318"/>
        <v>-2500404.7340166653</v>
      </c>
    </row>
    <row r="70" spans="3:158" x14ac:dyDescent="0.25">
      <c r="C70" s="258" t="s">
        <v>22</v>
      </c>
      <c r="D70" s="295">
        <f t="shared" si="275"/>
        <v>-1017484</v>
      </c>
      <c r="E70" s="295">
        <f t="shared" si="275"/>
        <v>-2268225.17</v>
      </c>
      <c r="F70" s="295">
        <f t="shared" si="275"/>
        <v>-4374137.1335899998</v>
      </c>
      <c r="G70" s="295">
        <f t="shared" si="275"/>
        <v>-4455532.6409154395</v>
      </c>
      <c r="H70" s="295">
        <f t="shared" si="275"/>
        <v>-7394881.1953014657</v>
      </c>
      <c r="I70" s="295">
        <f t="shared" si="275"/>
        <v>-11529637.836606536</v>
      </c>
      <c r="J70" s="295">
        <f t="shared" si="275"/>
        <v>-16548676.33804529</v>
      </c>
      <c r="K70" s="295">
        <f t="shared" si="275"/>
        <v>-23267243.334604423</v>
      </c>
      <c r="L70" s="295">
        <f t="shared" si="275"/>
        <v>-32060731.75642471</v>
      </c>
      <c r="M70" s="244"/>
      <c r="N70" s="295">
        <f t="shared" si="279"/>
        <v>-173545</v>
      </c>
      <c r="O70" s="295">
        <f t="shared" si="280"/>
        <v>-243851</v>
      </c>
      <c r="P70" s="295">
        <f t="shared" si="281"/>
        <v>-143235</v>
      </c>
      <c r="Q70" s="295">
        <f t="shared" si="282"/>
        <v>-456853</v>
      </c>
      <c r="R70" s="295">
        <f t="shared" si="283"/>
        <v>-530525.46</v>
      </c>
      <c r="S70" s="295">
        <f t="shared" si="284"/>
        <v>-509814</v>
      </c>
      <c r="T70" s="295">
        <f t="shared" si="285"/>
        <v>-509616</v>
      </c>
      <c r="U70" s="295">
        <f t="shared" si="286"/>
        <v>-718269.71</v>
      </c>
      <c r="V70" s="295">
        <f t="shared" si="287"/>
        <v>-925725.66</v>
      </c>
      <c r="W70" s="295">
        <f t="shared" si="288"/>
        <v>-1056394.54</v>
      </c>
      <c r="X70" s="295">
        <f t="shared" si="289"/>
        <v>-1242694.5035899999</v>
      </c>
      <c r="Y70" s="295">
        <f t="shared" si="290"/>
        <v>-1149322.43</v>
      </c>
      <c r="Z70" s="295">
        <f t="shared" si="291"/>
        <v>-1020482.528739</v>
      </c>
      <c r="AA70" s="295">
        <f t="shared" si="292"/>
        <v>-957371.62059599999</v>
      </c>
      <c r="AB70" s="295">
        <f t="shared" si="293"/>
        <v>-1056600.9178962463</v>
      </c>
      <c r="AC70" s="295">
        <f t="shared" si="294"/>
        <v>-1421077.5736841937</v>
      </c>
      <c r="AD70" s="295">
        <f t="shared" si="295"/>
        <v>-1521562.3779218732</v>
      </c>
      <c r="AE70" s="295">
        <f t="shared" si="296"/>
        <v>-1713838.0090975426</v>
      </c>
      <c r="AF70" s="295">
        <f t="shared" si="297"/>
        <v>-1570776.318504628</v>
      </c>
      <c r="AG70" s="295">
        <f t="shared" si="298"/>
        <v>-2588704.4897774216</v>
      </c>
      <c r="AH70" s="295">
        <f t="shared" si="299"/>
        <v>-2372325.2206393108</v>
      </c>
      <c r="AI70" s="295">
        <f t="shared" si="300"/>
        <v>-2672109.4002240961</v>
      </c>
      <c r="AJ70" s="295">
        <f t="shared" si="301"/>
        <v>-2449056.5292899441</v>
      </c>
      <c r="AK70" s="295">
        <f t="shared" si="302"/>
        <v>-4036146.6864531846</v>
      </c>
      <c r="AL70" s="295">
        <f t="shared" si="303"/>
        <v>-3405036.8971950915</v>
      </c>
      <c r="AM70" s="295">
        <f t="shared" si="304"/>
        <v>-3835321.9963040845</v>
      </c>
      <c r="AN70" s="295">
        <f t="shared" si="305"/>
        <v>-3515170.5900178063</v>
      </c>
      <c r="AO70" s="295">
        <f t="shared" si="306"/>
        <v>-5793146.8545283079</v>
      </c>
      <c r="AP70" s="295">
        <f t="shared" si="307"/>
        <v>-4787441.6317034978</v>
      </c>
      <c r="AQ70" s="295">
        <f t="shared" si="308"/>
        <v>-5392417.395306224</v>
      </c>
      <c r="AR70" s="295">
        <f t="shared" si="309"/>
        <v>-4942288.3020896669</v>
      </c>
      <c r="AS70" s="295">
        <f t="shared" si="310"/>
        <v>-8145096.0055050328</v>
      </c>
      <c r="AT70" s="295">
        <f t="shared" si="311"/>
        <v>-6596779.8482301645</v>
      </c>
      <c r="AU70" s="295">
        <f t="shared" si="312"/>
        <v>-7430396.6801458914</v>
      </c>
      <c r="AV70" s="295">
        <f t="shared" si="313"/>
        <v>-6810148.3806012934</v>
      </c>
      <c r="AW70" s="295">
        <f t="shared" si="314"/>
        <v>-11223406.847447362</v>
      </c>
      <c r="AX70" s="292"/>
      <c r="AY70" s="297">
        <f t="shared" ref="AY70:DJ70" si="319">SUM(AY46,AY54,AY62)</f>
        <v>-27086</v>
      </c>
      <c r="AZ70" s="297">
        <f t="shared" si="319"/>
        <v>-77102</v>
      </c>
      <c r="BA70" s="297">
        <f t="shared" si="319"/>
        <v>-69357</v>
      </c>
      <c r="BB70" s="297">
        <f t="shared" si="319"/>
        <v>-28000</v>
      </c>
      <c r="BC70" s="297">
        <f t="shared" si="319"/>
        <v>-15600</v>
      </c>
      <c r="BD70" s="297">
        <f t="shared" si="319"/>
        <v>-200251</v>
      </c>
      <c r="BE70" s="297">
        <f t="shared" si="319"/>
        <v>0</v>
      </c>
      <c r="BF70" s="297">
        <f t="shared" si="319"/>
        <v>-53875</v>
      </c>
      <c r="BG70" s="297">
        <f t="shared" si="319"/>
        <v>-89360</v>
      </c>
      <c r="BH70" s="297">
        <f t="shared" si="319"/>
        <v>-33500</v>
      </c>
      <c r="BI70" s="297">
        <f t="shared" si="319"/>
        <v>-261903</v>
      </c>
      <c r="BJ70" s="297">
        <f t="shared" si="319"/>
        <v>-161450</v>
      </c>
      <c r="BK70" s="297">
        <f t="shared" si="319"/>
        <v>-44000</v>
      </c>
      <c r="BL70" s="297">
        <f t="shared" si="319"/>
        <v>-118925.45999999999</v>
      </c>
      <c r="BM70" s="297">
        <f t="shared" si="319"/>
        <v>-367600</v>
      </c>
      <c r="BN70" s="297">
        <f t="shared" si="319"/>
        <v>-156740</v>
      </c>
      <c r="BO70" s="297">
        <f t="shared" si="319"/>
        <v>-139589</v>
      </c>
      <c r="BP70" s="297">
        <f t="shared" si="319"/>
        <v>-213485</v>
      </c>
      <c r="BQ70" s="297">
        <f t="shared" si="319"/>
        <v>-110910</v>
      </c>
      <c r="BR70" s="297">
        <f t="shared" si="319"/>
        <v>-173354</v>
      </c>
      <c r="BS70" s="297">
        <f t="shared" si="319"/>
        <v>-225352</v>
      </c>
      <c r="BT70" s="297">
        <f t="shared" si="319"/>
        <v>-158443</v>
      </c>
      <c r="BU70" s="297">
        <f t="shared" si="319"/>
        <v>-199023.71000000002</v>
      </c>
      <c r="BV70" s="297">
        <f t="shared" si="319"/>
        <v>-360803</v>
      </c>
      <c r="BW70" s="297">
        <f t="shared" si="319"/>
        <v>-275093</v>
      </c>
      <c r="BX70" s="297">
        <f t="shared" si="319"/>
        <v>-252062</v>
      </c>
      <c r="BY70" s="297">
        <f t="shared" si="319"/>
        <v>-398570.66000000003</v>
      </c>
      <c r="BZ70" s="297">
        <f t="shared" si="319"/>
        <v>-331973.59999999998</v>
      </c>
      <c r="CA70" s="297">
        <f t="shared" si="319"/>
        <v>-451108</v>
      </c>
      <c r="CB70" s="297">
        <f t="shared" si="319"/>
        <v>-273312.94</v>
      </c>
      <c r="CC70" s="297">
        <f t="shared" si="319"/>
        <v>-638388.61</v>
      </c>
      <c r="CD70" s="297">
        <f t="shared" si="319"/>
        <v>-297799.59999999998</v>
      </c>
      <c r="CE70" s="297">
        <f t="shared" si="319"/>
        <v>-306506.29359000002</v>
      </c>
      <c r="CF70" s="297">
        <f t="shared" si="319"/>
        <v>-267781.59999999998</v>
      </c>
      <c r="CG70" s="297">
        <f t="shared" si="319"/>
        <v>-517918</v>
      </c>
      <c r="CH70" s="297">
        <f t="shared" si="319"/>
        <v>-363622.83</v>
      </c>
      <c r="CI70" s="29">
        <f t="shared" si="319"/>
        <v>-296021.43</v>
      </c>
      <c r="CJ70" s="29">
        <f t="shared" si="319"/>
        <v>-213734.33588199998</v>
      </c>
      <c r="CK70" s="29">
        <f t="shared" si="319"/>
        <v>-510726.76285699999</v>
      </c>
      <c r="CL70" s="29">
        <f t="shared" si="319"/>
        <v>-441917.10051899997</v>
      </c>
      <c r="CM70" s="29">
        <f t="shared" si="319"/>
        <v>-268966.30831200001</v>
      </c>
      <c r="CN70" s="51">
        <f t="shared" si="319"/>
        <v>-246488.21176500001</v>
      </c>
      <c r="CO70" s="51">
        <f t="shared" si="319"/>
        <v>-175182.93696472241</v>
      </c>
      <c r="CP70" s="51">
        <f t="shared" si="319"/>
        <v>-304283.45913939842</v>
      </c>
      <c r="CQ70" s="51">
        <f t="shared" si="319"/>
        <v>-577134.52179212542</v>
      </c>
      <c r="CR70" s="51">
        <f t="shared" si="319"/>
        <v>-207231.93024606319</v>
      </c>
      <c r="CS70" s="51">
        <f t="shared" si="319"/>
        <v>-545256.14427340636</v>
      </c>
      <c r="CT70" s="51">
        <f t="shared" si="319"/>
        <v>-668589.49916472426</v>
      </c>
      <c r="CU70" s="29">
        <f t="shared" si="319"/>
        <v>-329335.42818467144</v>
      </c>
      <c r="CV70" s="29">
        <f t="shared" si="319"/>
        <v>-416536.62311847531</v>
      </c>
      <c r="CW70" s="29">
        <f t="shared" si="319"/>
        <v>-775690.32661872637</v>
      </c>
      <c r="CX70" s="29">
        <f t="shared" si="319"/>
        <v>-514333.15074409626</v>
      </c>
      <c r="CY70" s="29">
        <f t="shared" si="319"/>
        <v>-421378.75030339416</v>
      </c>
      <c r="CZ70" s="29">
        <f t="shared" si="319"/>
        <v>-778126.10805005208</v>
      </c>
      <c r="DA70" s="29">
        <f t="shared" si="319"/>
        <v>-518741.08212275058</v>
      </c>
      <c r="DB70" s="29">
        <f t="shared" si="319"/>
        <v>-406923.2639494841</v>
      </c>
      <c r="DC70" s="29">
        <f t="shared" si="319"/>
        <v>-645111.97243239335</v>
      </c>
      <c r="DD70" s="29">
        <f t="shared" si="319"/>
        <v>-509969.14380476967</v>
      </c>
      <c r="DE70" s="29">
        <f t="shared" si="319"/>
        <v>-1071835.8505826413</v>
      </c>
      <c r="DF70" s="29">
        <f t="shared" si="319"/>
        <v>-1006899.4953900103</v>
      </c>
      <c r="DG70" s="29">
        <f t="shared" si="319"/>
        <v>-513479.27214105928</v>
      </c>
      <c r="DH70" s="29">
        <f t="shared" si="319"/>
        <v>-649437.9400294486</v>
      </c>
      <c r="DI70" s="29">
        <f t="shared" si="319"/>
        <v>-1209408.0084688033</v>
      </c>
      <c r="DJ70" s="29">
        <f t="shared" si="319"/>
        <v>-801916.19024359947</v>
      </c>
      <c r="DK70" s="29">
        <f t="shared" ref="DK70:FB70" si="320">SUM(DK46,DK54,DK62)</f>
        <v>-656987.48292628012</v>
      </c>
      <c r="DL70" s="29">
        <f t="shared" si="320"/>
        <v>-1213205.7270542162</v>
      </c>
      <c r="DM70" s="29">
        <f t="shared" si="320"/>
        <v>-808788.76210273756</v>
      </c>
      <c r="DN70" s="29">
        <f t="shared" si="320"/>
        <v>-634449.38961404585</v>
      </c>
      <c r="DO70" s="29">
        <f t="shared" si="320"/>
        <v>-1005818.3775731606</v>
      </c>
      <c r="DP70" s="29">
        <f t="shared" si="320"/>
        <v>-795112.10263244982</v>
      </c>
      <c r="DQ70" s="29">
        <f t="shared" si="320"/>
        <v>-1671139.6506763189</v>
      </c>
      <c r="DR70" s="29">
        <f t="shared" si="320"/>
        <v>-1569894.9331444157</v>
      </c>
      <c r="DS70" s="29">
        <f t="shared" si="320"/>
        <v>-737005.13419235614</v>
      </c>
      <c r="DT70" s="29">
        <f t="shared" si="320"/>
        <v>-932148.81711821619</v>
      </c>
      <c r="DU70" s="29">
        <f t="shared" si="320"/>
        <v>-1735882.945884519</v>
      </c>
      <c r="DV70" s="29">
        <f t="shared" si="320"/>
        <v>-1151003.3247050862</v>
      </c>
      <c r="DW70" s="29">
        <f t="shared" si="320"/>
        <v>-942984.79858358239</v>
      </c>
      <c r="DX70" s="29">
        <f t="shared" si="320"/>
        <v>-1741333.8730154159</v>
      </c>
      <c r="DY70" s="29">
        <f t="shared" si="320"/>
        <v>-1160867.6386513349</v>
      </c>
      <c r="DZ70" s="29">
        <f t="shared" si="320"/>
        <v>-910635.50741013105</v>
      </c>
      <c r="EA70" s="29">
        <f t="shared" si="320"/>
        <v>-1443667.4439563402</v>
      </c>
      <c r="EB70" s="29">
        <f t="shared" si="320"/>
        <v>-1141237.3073116241</v>
      </c>
      <c r="EC70" s="29">
        <f t="shared" si="320"/>
        <v>-2398613.8668563841</v>
      </c>
      <c r="ED70" s="29">
        <f t="shared" si="320"/>
        <v>-2253295.6803603</v>
      </c>
      <c r="EE70" s="29">
        <f t="shared" si="320"/>
        <v>-1036220.5076597591</v>
      </c>
      <c r="EF70" s="29">
        <f t="shared" si="320"/>
        <v>-1310590.2193573895</v>
      </c>
      <c r="EG70" s="29">
        <f t="shared" si="320"/>
        <v>-2440630.9046863499</v>
      </c>
      <c r="EH70" s="29">
        <f t="shared" si="320"/>
        <v>-1618297.0702788695</v>
      </c>
      <c r="EI70" s="29">
        <f t="shared" si="320"/>
        <v>-1325825.4812220684</v>
      </c>
      <c r="EJ70" s="29">
        <f t="shared" si="320"/>
        <v>-2448294.8438052866</v>
      </c>
      <c r="EK70" s="29">
        <f t="shared" si="320"/>
        <v>-1632166.1790962708</v>
      </c>
      <c r="EL70" s="29">
        <f t="shared" si="320"/>
        <v>-1280342.7601838752</v>
      </c>
      <c r="EM70" s="29">
        <f t="shared" si="320"/>
        <v>-2029779.3628095207</v>
      </c>
      <c r="EN70" s="29">
        <f t="shared" si="320"/>
        <v>-1604566.1652528727</v>
      </c>
      <c r="EO70" s="29">
        <f t="shared" si="320"/>
        <v>-3372422.7464403985</v>
      </c>
      <c r="EP70" s="29">
        <f t="shared" si="320"/>
        <v>-3168107.0938117616</v>
      </c>
      <c r="EQ70" s="29">
        <f t="shared" si="320"/>
        <v>-1427843.7397513296</v>
      </c>
      <c r="ER70" s="29">
        <f t="shared" si="320"/>
        <v>-1805907.165758597</v>
      </c>
      <c r="ES70" s="29">
        <f t="shared" si="320"/>
        <v>-3363028.9427202386</v>
      </c>
      <c r="ET70" s="29">
        <f t="shared" si="320"/>
        <v>-2229906.9780756617</v>
      </c>
      <c r="EU70" s="29">
        <f t="shared" si="320"/>
        <v>-1826900.3550615991</v>
      </c>
      <c r="EV70" s="29">
        <f t="shared" si="320"/>
        <v>-3373589.3470086306</v>
      </c>
      <c r="EW70" s="29">
        <f t="shared" si="320"/>
        <v>-2249017.6982886591</v>
      </c>
      <c r="EX70" s="29">
        <f t="shared" si="320"/>
        <v>-1764228.155446569</v>
      </c>
      <c r="EY70" s="29">
        <f t="shared" si="320"/>
        <v>-2796902.5268660653</v>
      </c>
      <c r="EZ70" s="29">
        <f t="shared" si="320"/>
        <v>-2210986.6936018793</v>
      </c>
      <c r="FA70" s="29">
        <f t="shared" si="320"/>
        <v>-4646976.8458597232</v>
      </c>
      <c r="FB70" s="29">
        <f t="shared" si="320"/>
        <v>-4365443.3079857603</v>
      </c>
    </row>
    <row r="71" spans="3:158" x14ac:dyDescent="0.25">
      <c r="C71" s="291" t="s">
        <v>24</v>
      </c>
      <c r="D71" s="30">
        <f t="shared" ref="D71:I71" si="321">SUM(D66:D70)</f>
        <v>31062420.149999995</v>
      </c>
      <c r="E71" s="30">
        <f t="shared" si="321"/>
        <v>55870239.050914995</v>
      </c>
      <c r="F71" s="30">
        <f t="shared" si="321"/>
        <v>82486429.478349999</v>
      </c>
      <c r="G71" s="30">
        <f t="shared" si="321"/>
        <v>139753840.43627</v>
      </c>
      <c r="H71" s="30">
        <f t="shared" si="321"/>
        <v>216111471.21907872</v>
      </c>
      <c r="I71" s="68">
        <f t="shared" si="321"/>
        <v>327799303.82293564</v>
      </c>
      <c r="J71" s="68">
        <f t="shared" ref="J71:L71" si="322">SUM(J66:J70)</f>
        <v>489688396.10083544</v>
      </c>
      <c r="K71" s="68">
        <f t="shared" si="322"/>
        <v>720349008.55711591</v>
      </c>
      <c r="L71" s="68">
        <f t="shared" si="322"/>
        <v>1043270326.5909493</v>
      </c>
      <c r="M71" s="292"/>
      <c r="N71" s="30">
        <f t="shared" ref="N71:AW71" si="323">SUM(N66:N70)</f>
        <v>16767788.959999993</v>
      </c>
      <c r="O71" s="30">
        <f t="shared" si="323"/>
        <v>20671916.759999998</v>
      </c>
      <c r="P71" s="30">
        <f t="shared" si="323"/>
        <v>24712945.219999999</v>
      </c>
      <c r="Q71" s="30">
        <f t="shared" si="323"/>
        <v>31062420.149999995</v>
      </c>
      <c r="R71" s="30">
        <f t="shared" si="323"/>
        <v>36033828.459999993</v>
      </c>
      <c r="S71" s="30">
        <f t="shared" si="323"/>
        <v>42798623.309999995</v>
      </c>
      <c r="T71" s="30">
        <f t="shared" si="323"/>
        <v>48239885.619999997</v>
      </c>
      <c r="U71" s="30">
        <f t="shared" si="323"/>
        <v>55870239.050915003</v>
      </c>
      <c r="V71" s="30">
        <f t="shared" si="323"/>
        <v>59951769.334578007</v>
      </c>
      <c r="W71" s="30">
        <f t="shared" si="323"/>
        <v>66614249.640767001</v>
      </c>
      <c r="X71" s="30">
        <f t="shared" si="323"/>
        <v>73268131.554134995</v>
      </c>
      <c r="Y71" s="30">
        <f t="shared" si="323"/>
        <v>82486429.478350013</v>
      </c>
      <c r="Z71" s="30">
        <f t="shared" si="323"/>
        <v>89817778.01637198</v>
      </c>
      <c r="AA71" s="30">
        <f t="shared" si="323"/>
        <v>102577352.93626998</v>
      </c>
      <c r="AB71" s="30">
        <f t="shared" si="323"/>
        <v>118376052.93627</v>
      </c>
      <c r="AC71" s="30">
        <f t="shared" si="323"/>
        <v>139753840.43626997</v>
      </c>
      <c r="AD71" s="30">
        <f t="shared" si="323"/>
        <v>152946435.82622141</v>
      </c>
      <c r="AE71" s="30">
        <f t="shared" si="323"/>
        <v>170967277.9439933</v>
      </c>
      <c r="AF71" s="30">
        <f t="shared" si="323"/>
        <v>188912816.4839409</v>
      </c>
      <c r="AG71" s="30">
        <f t="shared" si="323"/>
        <v>216111471.21907869</v>
      </c>
      <c r="AH71" s="30">
        <f t="shared" si="323"/>
        <v>236074140.90821627</v>
      </c>
      <c r="AI71" s="30">
        <f t="shared" si="323"/>
        <v>263985854.41999963</v>
      </c>
      <c r="AJ71" s="30">
        <f t="shared" si="323"/>
        <v>290255924.10503018</v>
      </c>
      <c r="AK71" s="30">
        <f t="shared" si="323"/>
        <v>327799303.82293576</v>
      </c>
      <c r="AL71" s="30">
        <f t="shared" si="323"/>
        <v>356733186.33226186</v>
      </c>
      <c r="AM71" s="30">
        <f t="shared" si="323"/>
        <v>397191667.42577761</v>
      </c>
      <c r="AN71" s="30">
        <f t="shared" si="323"/>
        <v>435270892.16766065</v>
      </c>
      <c r="AO71" s="30">
        <f t="shared" si="323"/>
        <v>489688396.10083574</v>
      </c>
      <c r="AP71" s="30">
        <f t="shared" si="323"/>
        <v>530912729.36251712</v>
      </c>
      <c r="AQ71" s="30">
        <f t="shared" si="323"/>
        <v>588558800.62467515</v>
      </c>
      <c r="AR71" s="30">
        <f t="shared" si="323"/>
        <v>642815037.9689008</v>
      </c>
      <c r="AS71" s="30">
        <f t="shared" si="323"/>
        <v>720349008.55711579</v>
      </c>
      <c r="AT71" s="30">
        <f t="shared" si="323"/>
        <v>778062346.85951507</v>
      </c>
      <c r="AU71" s="30">
        <f t="shared" si="323"/>
        <v>858766026.33387864</v>
      </c>
      <c r="AV71" s="30">
        <f t="shared" si="323"/>
        <v>934724006.79661798</v>
      </c>
      <c r="AW71" s="30">
        <f t="shared" si="323"/>
        <v>1043270326.5909492</v>
      </c>
      <c r="AX71" s="292"/>
      <c r="AY71" s="296">
        <f t="shared" ref="AY71:DJ71" si="324">SUM(AY47,AY55,AY63)</f>
        <v>13791928.259999994</v>
      </c>
      <c r="AZ71" s="296">
        <f t="shared" si="324"/>
        <v>14795809.089999996</v>
      </c>
      <c r="BA71" s="296">
        <f t="shared" si="324"/>
        <v>16767788.959999997</v>
      </c>
      <c r="BB71" s="296">
        <f t="shared" si="324"/>
        <v>17369390.389999997</v>
      </c>
      <c r="BC71" s="296">
        <f t="shared" si="324"/>
        <v>18871954.039999995</v>
      </c>
      <c r="BD71" s="296">
        <f t="shared" si="324"/>
        <v>20671916.759999998</v>
      </c>
      <c r="BE71" s="296">
        <f t="shared" si="324"/>
        <v>21387793.429999992</v>
      </c>
      <c r="BF71" s="296">
        <f t="shared" si="324"/>
        <v>22441842.889999993</v>
      </c>
      <c r="BG71" s="296">
        <f t="shared" si="324"/>
        <v>24712945.219999995</v>
      </c>
      <c r="BH71" s="296">
        <f t="shared" si="324"/>
        <v>25801457.389999993</v>
      </c>
      <c r="BI71" s="296">
        <f t="shared" si="324"/>
        <v>28584740.059999995</v>
      </c>
      <c r="BJ71" s="296">
        <f t="shared" si="324"/>
        <v>31062420.149999999</v>
      </c>
      <c r="BK71" s="296">
        <f t="shared" si="324"/>
        <v>31740033.479999997</v>
      </c>
      <c r="BL71" s="296">
        <f t="shared" si="324"/>
        <v>32971914.599999994</v>
      </c>
      <c r="BM71" s="296">
        <f t="shared" si="324"/>
        <v>36033828.459999993</v>
      </c>
      <c r="BN71" s="296">
        <f t="shared" si="324"/>
        <v>37136195.219999999</v>
      </c>
      <c r="BO71" s="296">
        <f t="shared" si="324"/>
        <v>40063675.599999994</v>
      </c>
      <c r="BP71" s="296">
        <f t="shared" si="324"/>
        <v>42798623.309999995</v>
      </c>
      <c r="BQ71" s="296">
        <f t="shared" si="324"/>
        <v>43902798.709999993</v>
      </c>
      <c r="BR71" s="296">
        <f t="shared" si="324"/>
        <v>45023808.379999995</v>
      </c>
      <c r="BS71" s="296">
        <f t="shared" si="324"/>
        <v>48239885.619999997</v>
      </c>
      <c r="BT71" s="296">
        <f t="shared" si="324"/>
        <v>48805348.159999996</v>
      </c>
      <c r="BU71" s="296">
        <f t="shared" si="324"/>
        <v>51912760.919999994</v>
      </c>
      <c r="BV71" s="296">
        <f t="shared" si="324"/>
        <v>55870239.050915003</v>
      </c>
      <c r="BW71" s="296">
        <f t="shared" si="324"/>
        <v>56666370.550915003</v>
      </c>
      <c r="BX71" s="296">
        <f t="shared" si="324"/>
        <v>58021562.926116005</v>
      </c>
      <c r="BY71" s="296">
        <f t="shared" si="324"/>
        <v>59951769.334578</v>
      </c>
      <c r="BZ71" s="296">
        <f t="shared" si="324"/>
        <v>61093335.126446009</v>
      </c>
      <c r="CA71" s="296">
        <f t="shared" si="324"/>
        <v>62483939.880584002</v>
      </c>
      <c r="CB71" s="296">
        <f t="shared" si="324"/>
        <v>66614249.640767008</v>
      </c>
      <c r="CC71" s="296">
        <f t="shared" si="324"/>
        <v>66934892.007946007</v>
      </c>
      <c r="CD71" s="296">
        <f t="shared" si="324"/>
        <v>69948142.661936998</v>
      </c>
      <c r="CE71" s="296">
        <f t="shared" si="324"/>
        <v>73268131.55413501</v>
      </c>
      <c r="CF71" s="296">
        <f t="shared" si="324"/>
        <v>74547969.940290004</v>
      </c>
      <c r="CG71" s="296">
        <f t="shared" si="324"/>
        <v>77650306.381976008</v>
      </c>
      <c r="CH71" s="296">
        <f t="shared" si="324"/>
        <v>82486429.478349999</v>
      </c>
      <c r="CI71" s="20">
        <f t="shared" si="324"/>
        <v>83536381.485256001</v>
      </c>
      <c r="CJ71" s="20">
        <f t="shared" si="324"/>
        <v>85225813.686762005</v>
      </c>
      <c r="CK71" s="20">
        <f t="shared" si="324"/>
        <v>89817778.016371995</v>
      </c>
      <c r="CL71" s="20">
        <f t="shared" si="324"/>
        <v>91934098.521279007</v>
      </c>
      <c r="CM71" s="20">
        <f t="shared" si="324"/>
        <v>95683614.653117001</v>
      </c>
      <c r="CN71" s="50">
        <f t="shared" si="324"/>
        <v>102577352.93627</v>
      </c>
      <c r="CO71" s="50">
        <f t="shared" si="324"/>
        <v>104926817.75669529</v>
      </c>
      <c r="CP71" s="50">
        <f t="shared" si="324"/>
        <v>110545480.30961847</v>
      </c>
      <c r="CQ71" s="50">
        <f t="shared" si="324"/>
        <v>118376052.93626997</v>
      </c>
      <c r="CR71" s="50">
        <f t="shared" si="324"/>
        <v>120427237.69664198</v>
      </c>
      <c r="CS71" s="50">
        <f t="shared" si="324"/>
        <v>128994872.50855489</v>
      </c>
      <c r="CT71" s="50">
        <f t="shared" si="324"/>
        <v>139753840.43626997</v>
      </c>
      <c r="CU71" s="20">
        <f t="shared" si="324"/>
        <v>141304602.96331868</v>
      </c>
      <c r="CV71" s="20">
        <f t="shared" si="324"/>
        <v>145175837.70013493</v>
      </c>
      <c r="CW71" s="20">
        <f t="shared" si="324"/>
        <v>152946435.82622141</v>
      </c>
      <c r="CX71" s="20">
        <f t="shared" si="324"/>
        <v>155745774.4955011</v>
      </c>
      <c r="CY71" s="20">
        <f t="shared" si="324"/>
        <v>162121402.41978717</v>
      </c>
      <c r="CZ71" s="20">
        <f t="shared" si="324"/>
        <v>170967277.9439933</v>
      </c>
      <c r="DA71" s="20">
        <f t="shared" si="324"/>
        <v>173617830.0580273</v>
      </c>
      <c r="DB71" s="20">
        <f t="shared" si="324"/>
        <v>179124598.21867657</v>
      </c>
      <c r="DC71" s="20">
        <f t="shared" si="324"/>
        <v>188912816.4839409</v>
      </c>
      <c r="DD71" s="20">
        <f t="shared" si="324"/>
        <v>192764882.17356771</v>
      </c>
      <c r="DE71" s="20">
        <f t="shared" si="324"/>
        <v>203474651.84640121</v>
      </c>
      <c r="DF71" s="20">
        <f t="shared" si="324"/>
        <v>216111471.21907872</v>
      </c>
      <c r="DG71" s="20">
        <f t="shared" si="324"/>
        <v>218589309.55992457</v>
      </c>
      <c r="DH71" s="20">
        <f t="shared" si="324"/>
        <v>224478763.69246063</v>
      </c>
      <c r="DI71" s="20">
        <f t="shared" si="324"/>
        <v>236074140.9082163</v>
      </c>
      <c r="DJ71" s="20">
        <f t="shared" si="324"/>
        <v>240654058.76697558</v>
      </c>
      <c r="DK71" s="20">
        <f t="shared" ref="DK71:FB71" si="325">SUM(DK47,DK55,DK63)</f>
        <v>250520815.0584923</v>
      </c>
      <c r="DL71" s="20">
        <f t="shared" si="325"/>
        <v>263985854.41999963</v>
      </c>
      <c r="DM71" s="20">
        <f t="shared" si="325"/>
        <v>267829501.99080333</v>
      </c>
      <c r="DN71" s="20">
        <f t="shared" si="325"/>
        <v>275900276.99986416</v>
      </c>
      <c r="DO71" s="20">
        <f t="shared" si="325"/>
        <v>290255924.10503018</v>
      </c>
      <c r="DP71" s="20">
        <f t="shared" si="325"/>
        <v>295124356.35625982</v>
      </c>
      <c r="DQ71" s="20">
        <f t="shared" si="325"/>
        <v>310036505.18159676</v>
      </c>
      <c r="DR71" s="20">
        <f t="shared" si="325"/>
        <v>327799303.82293582</v>
      </c>
      <c r="DS71" s="20">
        <f t="shared" si="325"/>
        <v>331389574.55086803</v>
      </c>
      <c r="DT71" s="20">
        <f t="shared" si="325"/>
        <v>339926001.10994267</v>
      </c>
      <c r="DU71" s="20">
        <f t="shared" si="325"/>
        <v>356733186.3322618</v>
      </c>
      <c r="DV71" s="20">
        <f t="shared" si="325"/>
        <v>363370014.74588132</v>
      </c>
      <c r="DW71" s="20">
        <f t="shared" si="325"/>
        <v>377673491.28388065</v>
      </c>
      <c r="DX71" s="20">
        <f t="shared" si="325"/>
        <v>397191667.42577767</v>
      </c>
      <c r="DY71" s="20">
        <f t="shared" si="325"/>
        <v>402760869.19133586</v>
      </c>
      <c r="DZ71" s="20">
        <f t="shared" si="325"/>
        <v>414460286.76597571</v>
      </c>
      <c r="EA71" s="20">
        <f t="shared" si="325"/>
        <v>435270892.16766071</v>
      </c>
      <c r="EB71" s="20">
        <f t="shared" si="325"/>
        <v>442326100.83480287</v>
      </c>
      <c r="EC71" s="20">
        <f t="shared" si="325"/>
        <v>463940271.53124666</v>
      </c>
      <c r="ED71" s="20">
        <f t="shared" si="325"/>
        <v>489688396.10083562</v>
      </c>
      <c r="EE71" s="20">
        <f t="shared" si="325"/>
        <v>494803135.96270478</v>
      </c>
      <c r="EF71" s="20">
        <f t="shared" si="325"/>
        <v>506965778.27183145</v>
      </c>
      <c r="EG71" s="20">
        <f t="shared" si="325"/>
        <v>530912729.36251712</v>
      </c>
      <c r="EH71" s="20">
        <f t="shared" si="325"/>
        <v>540368029.79273462</v>
      </c>
      <c r="EI71" s="20">
        <f t="shared" si="325"/>
        <v>560748697.79792571</v>
      </c>
      <c r="EJ71" s="20">
        <f t="shared" si="325"/>
        <v>588558800.62467504</v>
      </c>
      <c r="EK71" s="20">
        <f t="shared" si="325"/>
        <v>596492714.39788985</v>
      </c>
      <c r="EL71" s="20">
        <f t="shared" si="325"/>
        <v>613162659.6515063</v>
      </c>
      <c r="EM71" s="20">
        <f t="shared" si="325"/>
        <v>642815037.96890068</v>
      </c>
      <c r="EN71" s="20">
        <f t="shared" si="325"/>
        <v>652866548.757725</v>
      </c>
      <c r="EO71" s="20">
        <f t="shared" si="325"/>
        <v>683662198.90276432</v>
      </c>
      <c r="EP71" s="20">
        <f t="shared" si="325"/>
        <v>720349008.55711591</v>
      </c>
      <c r="EQ71" s="20">
        <f t="shared" si="325"/>
        <v>727509486.7342298</v>
      </c>
      <c r="ER71" s="20">
        <f t="shared" si="325"/>
        <v>744536986.60047913</v>
      </c>
      <c r="ES71" s="20">
        <f t="shared" si="325"/>
        <v>778062346.85951507</v>
      </c>
      <c r="ET71" s="20">
        <f t="shared" si="325"/>
        <v>791299521.28703249</v>
      </c>
      <c r="EU71" s="20">
        <f t="shared" si="325"/>
        <v>819832254.81018901</v>
      </c>
      <c r="EV71" s="20">
        <f t="shared" si="325"/>
        <v>858766026.33387852</v>
      </c>
      <c r="EW71" s="20">
        <f t="shared" si="325"/>
        <v>869873257.33182812</v>
      </c>
      <c r="EX71" s="20">
        <f t="shared" si="325"/>
        <v>893210985.92159605</v>
      </c>
      <c r="EY71" s="20">
        <f t="shared" si="325"/>
        <v>934724006.79661798</v>
      </c>
      <c r="EZ71" s="20">
        <f t="shared" si="325"/>
        <v>948795877.81492519</v>
      </c>
      <c r="FA71" s="20">
        <f t="shared" si="325"/>
        <v>991909275.00620544</v>
      </c>
      <c r="FB71" s="20">
        <f t="shared" si="325"/>
        <v>1043270326.5909493</v>
      </c>
    </row>
    <row r="73" spans="3:158" x14ac:dyDescent="0.25">
      <c r="C73" s="3" t="s">
        <v>639</v>
      </c>
      <c r="D73" s="327"/>
      <c r="E73" s="327"/>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c r="BU73" s="4"/>
      <c r="BV73" s="4"/>
      <c r="BW73" s="4"/>
      <c r="BX73" s="4"/>
      <c r="BY73" s="4"/>
      <c r="BZ73" s="4"/>
      <c r="CA73" s="4"/>
      <c r="CB73" s="4"/>
      <c r="CC73" s="4"/>
      <c r="CD73" s="4"/>
      <c r="CE73" s="4"/>
      <c r="CF73" s="4"/>
      <c r="CG73" s="4"/>
      <c r="CH73" s="4"/>
      <c r="CI73" s="4"/>
      <c r="CJ73" s="4"/>
      <c r="CK73" s="4"/>
      <c r="CL73" s="4"/>
      <c r="CM73" s="4"/>
      <c r="CN73" s="4"/>
      <c r="CO73" s="4"/>
      <c r="CP73" s="4"/>
      <c r="CQ73" s="4"/>
      <c r="CR73" s="4"/>
      <c r="CS73" s="4"/>
      <c r="CT73" s="4"/>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4"/>
      <c r="DV73" s="4"/>
      <c r="DW73" s="4"/>
      <c r="DX73" s="4"/>
      <c r="DY73" s="4"/>
      <c r="DZ73" s="4"/>
      <c r="EA73" s="4"/>
      <c r="EB73" s="4"/>
      <c r="EC73" s="4"/>
      <c r="ED73" s="4"/>
      <c r="EE73" s="4"/>
      <c r="EF73" s="4"/>
      <c r="EG73" s="4"/>
      <c r="EH73" s="4"/>
      <c r="EI73" s="4"/>
      <c r="EJ73" s="4"/>
      <c r="EK73" s="4"/>
      <c r="EL73" s="4"/>
      <c r="EM73" s="4"/>
      <c r="EN73" s="4"/>
      <c r="EO73" s="4"/>
      <c r="EP73" s="4"/>
      <c r="EQ73" s="4"/>
      <c r="ER73" s="4"/>
      <c r="ES73" s="4"/>
      <c r="ET73" s="4"/>
      <c r="EU73" s="4"/>
      <c r="EV73" s="4"/>
      <c r="EW73" s="4"/>
      <c r="EX73" s="4"/>
      <c r="EY73" s="4"/>
      <c r="EZ73" s="4"/>
      <c r="FA73" s="4"/>
      <c r="FB73" s="4"/>
    </row>
    <row r="75" spans="3:158" x14ac:dyDescent="0.25">
      <c r="C75" s="304" t="s">
        <v>640</v>
      </c>
    </row>
    <row r="76" spans="3:158" x14ac:dyDescent="0.25">
      <c r="C76" s="2" t="s">
        <v>346</v>
      </c>
      <c r="D76" s="349">
        <f t="shared" ref="D76" si="326">1-SUM(D77:D79)</f>
        <v>0.98</v>
      </c>
      <c r="E76" s="349">
        <f t="shared" ref="E76" si="327">1-SUM(E77:E79)</f>
        <v>0.98</v>
      </c>
      <c r="F76" s="349">
        <f t="shared" ref="F76" si="328">1-SUM(F77:F79)</f>
        <v>0.97</v>
      </c>
      <c r="G76" s="349">
        <f t="shared" ref="G76" si="329">1-SUM(G77:G79)</f>
        <v>0.95</v>
      </c>
      <c r="H76" s="349">
        <f t="shared" ref="H76" si="330">1-SUM(H77:H79)</f>
        <v>0.91500000000000004</v>
      </c>
      <c r="I76" s="349">
        <f>1-SUM(I77:I79)</f>
        <v>0.81576398543440243</v>
      </c>
      <c r="J76" s="349">
        <f t="shared" ref="J76" si="331">1-SUM(J77:J79)</f>
        <v>0.79576398543440241</v>
      </c>
      <c r="K76" s="349">
        <f t="shared" ref="K76" si="332">1-SUM(K77:K79)</f>
        <v>0.79576398543440241</v>
      </c>
      <c r="L76" s="349">
        <f t="shared" ref="L76" si="333">1-SUM(L77:L79)</f>
        <v>0.51250976511640023</v>
      </c>
      <c r="N76" s="260">
        <f t="shared" ref="N76:AW76" si="334">N100/N$99</f>
        <v>0.98000000000000009</v>
      </c>
      <c r="O76" s="260">
        <f t="shared" si="334"/>
        <v>0.98</v>
      </c>
      <c r="P76" s="260">
        <f t="shared" si="334"/>
        <v>0.98</v>
      </c>
      <c r="Q76" s="260">
        <f t="shared" si="334"/>
        <v>0.98</v>
      </c>
      <c r="R76" s="260">
        <f t="shared" si="334"/>
        <v>0.98000000000000009</v>
      </c>
      <c r="S76" s="260">
        <f t="shared" si="334"/>
        <v>0.98</v>
      </c>
      <c r="T76" s="260">
        <f t="shared" si="334"/>
        <v>0.98</v>
      </c>
      <c r="U76" s="260">
        <f t="shared" si="334"/>
        <v>0.98000000000000009</v>
      </c>
      <c r="V76" s="260">
        <f t="shared" si="334"/>
        <v>0.97000000000000008</v>
      </c>
      <c r="W76" s="260">
        <f t="shared" si="334"/>
        <v>0.96999999999999986</v>
      </c>
      <c r="X76" s="260">
        <f t="shared" si="334"/>
        <v>0.97000000000000008</v>
      </c>
      <c r="Y76" s="260">
        <f t="shared" si="334"/>
        <v>0.97000000000000008</v>
      </c>
      <c r="Z76" s="260">
        <f t="shared" si="334"/>
        <v>0.95</v>
      </c>
      <c r="AA76" s="260">
        <f t="shared" si="334"/>
        <v>0.95</v>
      </c>
      <c r="AB76" s="260">
        <f t="shared" si="334"/>
        <v>0.95</v>
      </c>
      <c r="AC76" s="260">
        <f t="shared" si="334"/>
        <v>0.95000000000000007</v>
      </c>
      <c r="AD76" s="260">
        <f t="shared" si="334"/>
        <v>0.91500000000000015</v>
      </c>
      <c r="AE76" s="260">
        <f t="shared" si="334"/>
        <v>0.91499999999999992</v>
      </c>
      <c r="AF76" s="260">
        <f t="shared" si="334"/>
        <v>0.91500000000000015</v>
      </c>
      <c r="AG76" s="260">
        <f t="shared" si="334"/>
        <v>0.91499999999999992</v>
      </c>
      <c r="AH76" s="260">
        <f t="shared" si="334"/>
        <v>0.81576398543440243</v>
      </c>
      <c r="AI76" s="260">
        <f t="shared" si="334"/>
        <v>0.81576398543440243</v>
      </c>
      <c r="AJ76" s="260">
        <f t="shared" si="334"/>
        <v>0.81576398543440232</v>
      </c>
      <c r="AK76" s="260">
        <f t="shared" si="334"/>
        <v>0.81576398543440254</v>
      </c>
      <c r="AL76" s="260">
        <f t="shared" si="334"/>
        <v>0.79576398543440241</v>
      </c>
      <c r="AM76" s="260">
        <f t="shared" si="334"/>
        <v>0.7957639854344023</v>
      </c>
      <c r="AN76" s="260">
        <f t="shared" si="334"/>
        <v>0.79576398543440241</v>
      </c>
      <c r="AO76" s="260">
        <f t="shared" si="334"/>
        <v>0.79576398543440241</v>
      </c>
      <c r="AP76" s="260">
        <f t="shared" si="334"/>
        <v>0.79576398543440241</v>
      </c>
      <c r="AQ76" s="260">
        <f t="shared" si="334"/>
        <v>0.79576398543440241</v>
      </c>
      <c r="AR76" s="260">
        <f t="shared" si="334"/>
        <v>0.79576398543440241</v>
      </c>
      <c r="AS76" s="260">
        <f t="shared" si="334"/>
        <v>0.79576398543440241</v>
      </c>
      <c r="AT76" s="260">
        <f t="shared" si="334"/>
        <v>0.51250976511640012</v>
      </c>
      <c r="AU76" s="260">
        <f t="shared" si="334"/>
        <v>0.51250976511640023</v>
      </c>
      <c r="AV76" s="260">
        <f t="shared" si="334"/>
        <v>0.51250976511640023</v>
      </c>
      <c r="AW76" s="260">
        <f t="shared" si="334"/>
        <v>0.51250976511640023</v>
      </c>
      <c r="AY76" s="260">
        <f t="shared" ref="AY76:DJ76" si="335">1-SUM(AY77:AY79)</f>
        <v>0.98</v>
      </c>
      <c r="AZ76" s="260">
        <f t="shared" si="335"/>
        <v>0.98</v>
      </c>
      <c r="BA76" s="260">
        <f t="shared" si="335"/>
        <v>0.98</v>
      </c>
      <c r="BB76" s="260">
        <f t="shared" si="335"/>
        <v>0.98</v>
      </c>
      <c r="BC76" s="260">
        <f t="shared" si="335"/>
        <v>0.98</v>
      </c>
      <c r="BD76" s="260">
        <f t="shared" si="335"/>
        <v>0.98</v>
      </c>
      <c r="BE76" s="260">
        <f t="shared" si="335"/>
        <v>0.98</v>
      </c>
      <c r="BF76" s="260">
        <f t="shared" si="335"/>
        <v>0.98</v>
      </c>
      <c r="BG76" s="260">
        <f t="shared" si="335"/>
        <v>0.98</v>
      </c>
      <c r="BH76" s="260">
        <f t="shared" si="335"/>
        <v>0.98</v>
      </c>
      <c r="BI76" s="260">
        <f t="shared" si="335"/>
        <v>0.98</v>
      </c>
      <c r="BJ76" s="260">
        <f t="shared" si="335"/>
        <v>0.98</v>
      </c>
      <c r="BK76" s="260">
        <f t="shared" si="335"/>
        <v>0.98</v>
      </c>
      <c r="BL76" s="260">
        <f t="shared" si="335"/>
        <v>0.98</v>
      </c>
      <c r="BM76" s="260">
        <f t="shared" si="335"/>
        <v>0.98</v>
      </c>
      <c r="BN76" s="260">
        <f t="shared" si="335"/>
        <v>0.98</v>
      </c>
      <c r="BO76" s="260">
        <f t="shared" si="335"/>
        <v>0.98</v>
      </c>
      <c r="BP76" s="260">
        <f t="shared" si="335"/>
        <v>0.98</v>
      </c>
      <c r="BQ76" s="260">
        <f t="shared" si="335"/>
        <v>0.98</v>
      </c>
      <c r="BR76" s="260">
        <f t="shared" si="335"/>
        <v>0.98</v>
      </c>
      <c r="BS76" s="260">
        <f t="shared" si="335"/>
        <v>0.98</v>
      </c>
      <c r="BT76" s="260">
        <f t="shared" si="335"/>
        <v>0.98</v>
      </c>
      <c r="BU76" s="260">
        <f t="shared" si="335"/>
        <v>0.98</v>
      </c>
      <c r="BV76" s="260">
        <f t="shared" si="335"/>
        <v>0.98</v>
      </c>
      <c r="BW76" s="260">
        <f t="shared" si="335"/>
        <v>0.97</v>
      </c>
      <c r="BX76" s="260">
        <f t="shared" si="335"/>
        <v>0.97</v>
      </c>
      <c r="BY76" s="260">
        <f t="shared" si="335"/>
        <v>0.97</v>
      </c>
      <c r="BZ76" s="260">
        <f t="shared" si="335"/>
        <v>0.97</v>
      </c>
      <c r="CA76" s="260">
        <f t="shared" si="335"/>
        <v>0.97</v>
      </c>
      <c r="CB76" s="260">
        <f t="shared" si="335"/>
        <v>0.97</v>
      </c>
      <c r="CC76" s="260">
        <f t="shared" si="335"/>
        <v>0.97</v>
      </c>
      <c r="CD76" s="260">
        <f t="shared" si="335"/>
        <v>0.97</v>
      </c>
      <c r="CE76" s="260">
        <f t="shared" si="335"/>
        <v>0.97</v>
      </c>
      <c r="CF76" s="260">
        <f t="shared" si="335"/>
        <v>0.97</v>
      </c>
      <c r="CG76" s="260">
        <f t="shared" si="335"/>
        <v>0.97</v>
      </c>
      <c r="CH76" s="260">
        <f t="shared" si="335"/>
        <v>0.97</v>
      </c>
      <c r="CI76" s="260">
        <f t="shared" si="335"/>
        <v>0.95</v>
      </c>
      <c r="CJ76" s="260">
        <f t="shared" si="335"/>
        <v>0.95</v>
      </c>
      <c r="CK76" s="260">
        <f t="shared" si="335"/>
        <v>0.95</v>
      </c>
      <c r="CL76" s="260">
        <f t="shared" si="335"/>
        <v>0.95</v>
      </c>
      <c r="CM76" s="260">
        <f t="shared" si="335"/>
        <v>0.95</v>
      </c>
      <c r="CN76" s="260">
        <f t="shared" si="335"/>
        <v>0.95</v>
      </c>
      <c r="CO76" s="260">
        <f t="shared" si="335"/>
        <v>0.95</v>
      </c>
      <c r="CP76" s="260">
        <f t="shared" si="335"/>
        <v>0.95</v>
      </c>
      <c r="CQ76" s="260">
        <f t="shared" si="335"/>
        <v>0.95</v>
      </c>
      <c r="CR76" s="260">
        <f t="shared" si="335"/>
        <v>0.95</v>
      </c>
      <c r="CS76" s="260">
        <f t="shared" si="335"/>
        <v>0.95</v>
      </c>
      <c r="CT76" s="260">
        <f t="shared" si="335"/>
        <v>0.95</v>
      </c>
      <c r="CU76" s="260">
        <f t="shared" si="335"/>
        <v>0.91500000000000004</v>
      </c>
      <c r="CV76" s="260">
        <f t="shared" si="335"/>
        <v>0.91500000000000004</v>
      </c>
      <c r="CW76" s="260">
        <f t="shared" si="335"/>
        <v>0.91500000000000004</v>
      </c>
      <c r="CX76" s="260">
        <f t="shared" si="335"/>
        <v>0.91500000000000004</v>
      </c>
      <c r="CY76" s="260">
        <f t="shared" si="335"/>
        <v>0.91500000000000004</v>
      </c>
      <c r="CZ76" s="260">
        <f t="shared" si="335"/>
        <v>0.91500000000000004</v>
      </c>
      <c r="DA76" s="260">
        <f t="shared" si="335"/>
        <v>0.91500000000000004</v>
      </c>
      <c r="DB76" s="260">
        <f t="shared" si="335"/>
        <v>0.91500000000000004</v>
      </c>
      <c r="DC76" s="260">
        <f t="shared" si="335"/>
        <v>0.91500000000000004</v>
      </c>
      <c r="DD76" s="260">
        <f t="shared" si="335"/>
        <v>0.91500000000000004</v>
      </c>
      <c r="DE76" s="260">
        <f t="shared" si="335"/>
        <v>0.91500000000000004</v>
      </c>
      <c r="DF76" s="260">
        <f t="shared" si="335"/>
        <v>0.91500000000000004</v>
      </c>
      <c r="DG76" s="260">
        <f t="shared" si="335"/>
        <v>0.81576398543440243</v>
      </c>
      <c r="DH76" s="260">
        <f t="shared" si="335"/>
        <v>0.81576398543440243</v>
      </c>
      <c r="DI76" s="260">
        <f t="shared" si="335"/>
        <v>0.81576398543440243</v>
      </c>
      <c r="DJ76" s="260">
        <f t="shared" si="335"/>
        <v>0.81576398543440243</v>
      </c>
      <c r="DK76" s="260">
        <f t="shared" ref="DK76:FB76" si="336">1-SUM(DK77:DK79)</f>
        <v>0.81576398543440243</v>
      </c>
      <c r="DL76" s="260">
        <f t="shared" si="336"/>
        <v>0.81576398543440243</v>
      </c>
      <c r="DM76" s="260">
        <f t="shared" si="336"/>
        <v>0.81576398543440243</v>
      </c>
      <c r="DN76" s="260">
        <f t="shared" si="336"/>
        <v>0.81576398543440243</v>
      </c>
      <c r="DO76" s="260">
        <f t="shared" si="336"/>
        <v>0.81576398543440243</v>
      </c>
      <c r="DP76" s="260">
        <f t="shared" si="336"/>
        <v>0.81576398543440243</v>
      </c>
      <c r="DQ76" s="260">
        <f t="shared" si="336"/>
        <v>0.81576398543440243</v>
      </c>
      <c r="DR76" s="260">
        <f t="shared" si="336"/>
        <v>0.81576398543440243</v>
      </c>
      <c r="DS76" s="260">
        <f t="shared" si="336"/>
        <v>0.79576398543440241</v>
      </c>
      <c r="DT76" s="260">
        <f t="shared" si="336"/>
        <v>0.79576398543440241</v>
      </c>
      <c r="DU76" s="260">
        <f t="shared" si="336"/>
        <v>0.79576398543440241</v>
      </c>
      <c r="DV76" s="260">
        <f t="shared" si="336"/>
        <v>0.79576398543440241</v>
      </c>
      <c r="DW76" s="260">
        <f t="shared" si="336"/>
        <v>0.79576398543440241</v>
      </c>
      <c r="DX76" s="260">
        <f t="shared" si="336"/>
        <v>0.79576398543440241</v>
      </c>
      <c r="DY76" s="260">
        <f t="shared" si="336"/>
        <v>0.79576398543440241</v>
      </c>
      <c r="DZ76" s="260">
        <f t="shared" si="336"/>
        <v>0.79576398543440241</v>
      </c>
      <c r="EA76" s="260">
        <f t="shared" si="336"/>
        <v>0.79576398543440241</v>
      </c>
      <c r="EB76" s="260">
        <f t="shared" si="336"/>
        <v>0.79576398543440241</v>
      </c>
      <c r="EC76" s="260">
        <f t="shared" si="336"/>
        <v>0.79576398543440241</v>
      </c>
      <c r="ED76" s="260">
        <f t="shared" si="336"/>
        <v>0.79576398543440241</v>
      </c>
      <c r="EE76" s="260">
        <f t="shared" si="336"/>
        <v>0.79576398543440241</v>
      </c>
      <c r="EF76" s="260">
        <f t="shared" si="336"/>
        <v>0.79576398543440241</v>
      </c>
      <c r="EG76" s="260">
        <f t="shared" si="336"/>
        <v>0.79576398543440241</v>
      </c>
      <c r="EH76" s="260">
        <f t="shared" si="336"/>
        <v>0.79576398543440241</v>
      </c>
      <c r="EI76" s="260">
        <f t="shared" si="336"/>
        <v>0.79576398543440241</v>
      </c>
      <c r="EJ76" s="260">
        <f t="shared" si="336"/>
        <v>0.79576398543440241</v>
      </c>
      <c r="EK76" s="260">
        <f t="shared" si="336"/>
        <v>0.79576398543440241</v>
      </c>
      <c r="EL76" s="260">
        <f t="shared" si="336"/>
        <v>0.79576398543440241</v>
      </c>
      <c r="EM76" s="260">
        <f t="shared" si="336"/>
        <v>0.79576398543440241</v>
      </c>
      <c r="EN76" s="260">
        <f t="shared" si="336"/>
        <v>0.79576398543440241</v>
      </c>
      <c r="EO76" s="260">
        <f t="shared" si="336"/>
        <v>0.79576398543440241</v>
      </c>
      <c r="EP76" s="260">
        <f t="shared" si="336"/>
        <v>0.79576398543440241</v>
      </c>
      <c r="EQ76" s="260">
        <f t="shared" si="336"/>
        <v>0.51250976511640023</v>
      </c>
      <c r="ER76" s="260">
        <f t="shared" si="336"/>
        <v>0.51250976511640023</v>
      </c>
      <c r="ES76" s="260">
        <f t="shared" si="336"/>
        <v>0.51250976511640023</v>
      </c>
      <c r="ET76" s="260">
        <f t="shared" si="336"/>
        <v>0.51250976511640023</v>
      </c>
      <c r="EU76" s="260">
        <f t="shared" si="336"/>
        <v>0.51250976511640023</v>
      </c>
      <c r="EV76" s="260">
        <f t="shared" si="336"/>
        <v>0.51250976511640023</v>
      </c>
      <c r="EW76" s="260">
        <f t="shared" si="336"/>
        <v>0.51250976511640023</v>
      </c>
      <c r="EX76" s="260">
        <f t="shared" si="336"/>
        <v>0.51250976511640023</v>
      </c>
      <c r="EY76" s="260">
        <f t="shared" si="336"/>
        <v>0.51250976511640023</v>
      </c>
      <c r="EZ76" s="260">
        <f t="shared" si="336"/>
        <v>0.51250976511640023</v>
      </c>
      <c r="FA76" s="260">
        <f t="shared" si="336"/>
        <v>0.51250976511640023</v>
      </c>
      <c r="FB76" s="260">
        <f t="shared" si="336"/>
        <v>0.51250976511640023</v>
      </c>
    </row>
    <row r="77" spans="3:158" x14ac:dyDescent="0.25">
      <c r="C77" s="2" t="s">
        <v>298</v>
      </c>
      <c r="D77" s="330">
        <v>0.02</v>
      </c>
      <c r="E77" s="330">
        <v>0.02</v>
      </c>
      <c r="F77" s="330">
        <v>0.02</v>
      </c>
      <c r="G77" s="169">
        <v>0.03</v>
      </c>
      <c r="H77" s="169">
        <v>4.4999999999999998E-2</v>
      </c>
      <c r="I77" s="169">
        <v>0.13</v>
      </c>
      <c r="J77" s="169">
        <v>0.15</v>
      </c>
      <c r="K77" s="169">
        <v>0.15</v>
      </c>
      <c r="L77" s="169">
        <v>0.15</v>
      </c>
      <c r="N77" s="260">
        <f t="shared" ref="N77:AW77" si="337">N101/N$99</f>
        <v>0.02</v>
      </c>
      <c r="O77" s="260">
        <f t="shared" si="337"/>
        <v>0.02</v>
      </c>
      <c r="P77" s="260">
        <f t="shared" si="337"/>
        <v>0.02</v>
      </c>
      <c r="Q77" s="260">
        <f t="shared" si="337"/>
        <v>0.02</v>
      </c>
      <c r="R77" s="260">
        <f t="shared" si="337"/>
        <v>0.02</v>
      </c>
      <c r="S77" s="260">
        <f t="shared" si="337"/>
        <v>2.0000000000000004E-2</v>
      </c>
      <c r="T77" s="260">
        <f t="shared" si="337"/>
        <v>0.02</v>
      </c>
      <c r="U77" s="260">
        <f t="shared" si="337"/>
        <v>0.02</v>
      </c>
      <c r="V77" s="260">
        <f t="shared" si="337"/>
        <v>0.02</v>
      </c>
      <c r="W77" s="260">
        <f t="shared" si="337"/>
        <v>0.02</v>
      </c>
      <c r="X77" s="260">
        <f t="shared" si="337"/>
        <v>0.02</v>
      </c>
      <c r="Y77" s="260">
        <f t="shared" si="337"/>
        <v>0.02</v>
      </c>
      <c r="Z77" s="260">
        <f t="shared" si="337"/>
        <v>2.9999999999999992E-2</v>
      </c>
      <c r="AA77" s="260">
        <f t="shared" si="337"/>
        <v>0.03</v>
      </c>
      <c r="AB77" s="260">
        <f t="shared" si="337"/>
        <v>3.0000000000000002E-2</v>
      </c>
      <c r="AC77" s="260">
        <f t="shared" si="337"/>
        <v>3.0000000000000006E-2</v>
      </c>
      <c r="AD77" s="260">
        <f t="shared" si="337"/>
        <v>4.4999999999999998E-2</v>
      </c>
      <c r="AE77" s="260">
        <f t="shared" si="337"/>
        <v>4.4999999999999998E-2</v>
      </c>
      <c r="AF77" s="260">
        <f t="shared" si="337"/>
        <v>4.4999999999999998E-2</v>
      </c>
      <c r="AG77" s="260">
        <f t="shared" si="337"/>
        <v>4.4999999999999998E-2</v>
      </c>
      <c r="AH77" s="260">
        <f t="shared" si="337"/>
        <v>0.13</v>
      </c>
      <c r="AI77" s="260">
        <f t="shared" si="337"/>
        <v>0.13</v>
      </c>
      <c r="AJ77" s="260">
        <f t="shared" si="337"/>
        <v>0.13</v>
      </c>
      <c r="AK77" s="260">
        <f t="shared" si="337"/>
        <v>0.13</v>
      </c>
      <c r="AL77" s="260">
        <f t="shared" si="337"/>
        <v>0.15</v>
      </c>
      <c r="AM77" s="260">
        <f t="shared" si="337"/>
        <v>0.14999999999999997</v>
      </c>
      <c r="AN77" s="260">
        <f t="shared" si="337"/>
        <v>0.15</v>
      </c>
      <c r="AO77" s="260">
        <f t="shared" si="337"/>
        <v>0.15</v>
      </c>
      <c r="AP77" s="260">
        <f t="shared" si="337"/>
        <v>0.15</v>
      </c>
      <c r="AQ77" s="260">
        <f t="shared" si="337"/>
        <v>0.15</v>
      </c>
      <c r="AR77" s="260">
        <f t="shared" si="337"/>
        <v>0.15</v>
      </c>
      <c r="AS77" s="260">
        <f t="shared" si="337"/>
        <v>0.15</v>
      </c>
      <c r="AT77" s="260">
        <f t="shared" si="337"/>
        <v>0.15</v>
      </c>
      <c r="AU77" s="260">
        <f t="shared" si="337"/>
        <v>0.15</v>
      </c>
      <c r="AV77" s="260">
        <f t="shared" si="337"/>
        <v>0.15</v>
      </c>
      <c r="AW77" s="260">
        <f t="shared" si="337"/>
        <v>0.14999999999999997</v>
      </c>
      <c r="AY77" s="262">
        <f t="shared" ref="AY77:BH79" si="338">INDEX($D77:$L77,1,MATCH(AY$2,$D$2:$L$2,))</f>
        <v>0.02</v>
      </c>
      <c r="AZ77" s="262">
        <f t="shared" si="338"/>
        <v>0.02</v>
      </c>
      <c r="BA77" s="262">
        <f t="shared" si="338"/>
        <v>0.02</v>
      </c>
      <c r="BB77" s="262">
        <f t="shared" si="338"/>
        <v>0.02</v>
      </c>
      <c r="BC77" s="262">
        <f t="shared" si="338"/>
        <v>0.02</v>
      </c>
      <c r="BD77" s="262">
        <f t="shared" si="338"/>
        <v>0.02</v>
      </c>
      <c r="BE77" s="262">
        <f t="shared" si="338"/>
        <v>0.02</v>
      </c>
      <c r="BF77" s="262">
        <f t="shared" si="338"/>
        <v>0.02</v>
      </c>
      <c r="BG77" s="262">
        <f t="shared" si="338"/>
        <v>0.02</v>
      </c>
      <c r="BH77" s="262">
        <f t="shared" si="338"/>
        <v>0.02</v>
      </c>
      <c r="BI77" s="262">
        <f t="shared" ref="BI77:BR79" si="339">INDEX($D77:$L77,1,MATCH(BI$2,$D$2:$L$2,))</f>
        <v>0.02</v>
      </c>
      <c r="BJ77" s="262">
        <f t="shared" si="339"/>
        <v>0.02</v>
      </c>
      <c r="BK77" s="262">
        <f t="shared" si="339"/>
        <v>0.02</v>
      </c>
      <c r="BL77" s="262">
        <f t="shared" si="339"/>
        <v>0.02</v>
      </c>
      <c r="BM77" s="262">
        <f t="shared" si="339"/>
        <v>0.02</v>
      </c>
      <c r="BN77" s="262">
        <f t="shared" si="339"/>
        <v>0.02</v>
      </c>
      <c r="BO77" s="262">
        <f t="shared" si="339"/>
        <v>0.02</v>
      </c>
      <c r="BP77" s="262">
        <f t="shared" si="339"/>
        <v>0.02</v>
      </c>
      <c r="BQ77" s="262">
        <f t="shared" si="339"/>
        <v>0.02</v>
      </c>
      <c r="BR77" s="262">
        <f t="shared" si="339"/>
        <v>0.02</v>
      </c>
      <c r="BS77" s="262">
        <f t="shared" ref="BS77:CB79" si="340">INDEX($D77:$L77,1,MATCH(BS$2,$D$2:$L$2,))</f>
        <v>0.02</v>
      </c>
      <c r="BT77" s="262">
        <f t="shared" si="340"/>
        <v>0.02</v>
      </c>
      <c r="BU77" s="262">
        <f t="shared" si="340"/>
        <v>0.02</v>
      </c>
      <c r="BV77" s="262">
        <f t="shared" si="340"/>
        <v>0.02</v>
      </c>
      <c r="BW77" s="262">
        <f t="shared" si="340"/>
        <v>0.02</v>
      </c>
      <c r="BX77" s="262">
        <f t="shared" si="340"/>
        <v>0.02</v>
      </c>
      <c r="BY77" s="262">
        <f t="shared" si="340"/>
        <v>0.02</v>
      </c>
      <c r="BZ77" s="262">
        <f t="shared" si="340"/>
        <v>0.02</v>
      </c>
      <c r="CA77" s="262">
        <f t="shared" si="340"/>
        <v>0.02</v>
      </c>
      <c r="CB77" s="262">
        <f t="shared" si="340"/>
        <v>0.02</v>
      </c>
      <c r="CC77" s="262">
        <f t="shared" ref="CC77:CL79" si="341">INDEX($D77:$L77,1,MATCH(CC$2,$D$2:$L$2,))</f>
        <v>0.02</v>
      </c>
      <c r="CD77" s="262">
        <f t="shared" si="341"/>
        <v>0.02</v>
      </c>
      <c r="CE77" s="262">
        <f t="shared" si="341"/>
        <v>0.02</v>
      </c>
      <c r="CF77" s="262">
        <f t="shared" si="341"/>
        <v>0.02</v>
      </c>
      <c r="CG77" s="262">
        <f t="shared" si="341"/>
        <v>0.02</v>
      </c>
      <c r="CH77" s="262">
        <f t="shared" si="341"/>
        <v>0.02</v>
      </c>
      <c r="CI77" s="262">
        <f t="shared" si="341"/>
        <v>0.03</v>
      </c>
      <c r="CJ77" s="262">
        <f t="shared" si="341"/>
        <v>0.03</v>
      </c>
      <c r="CK77" s="262">
        <f t="shared" si="341"/>
        <v>0.03</v>
      </c>
      <c r="CL77" s="262">
        <f t="shared" si="341"/>
        <v>0.03</v>
      </c>
      <c r="CM77" s="262">
        <f t="shared" ref="CM77:CV79" si="342">INDEX($D77:$L77,1,MATCH(CM$2,$D$2:$L$2,))</f>
        <v>0.03</v>
      </c>
      <c r="CN77" s="262">
        <f t="shared" si="342"/>
        <v>0.03</v>
      </c>
      <c r="CO77" s="262">
        <f t="shared" si="342"/>
        <v>0.03</v>
      </c>
      <c r="CP77" s="262">
        <f t="shared" si="342"/>
        <v>0.03</v>
      </c>
      <c r="CQ77" s="262">
        <f t="shared" si="342"/>
        <v>0.03</v>
      </c>
      <c r="CR77" s="262">
        <f t="shared" si="342"/>
        <v>0.03</v>
      </c>
      <c r="CS77" s="262">
        <f t="shared" si="342"/>
        <v>0.03</v>
      </c>
      <c r="CT77" s="262">
        <f t="shared" si="342"/>
        <v>0.03</v>
      </c>
      <c r="CU77" s="262">
        <f t="shared" si="342"/>
        <v>4.4999999999999998E-2</v>
      </c>
      <c r="CV77" s="262">
        <f t="shared" si="342"/>
        <v>4.4999999999999998E-2</v>
      </c>
      <c r="CW77" s="262">
        <f t="shared" ref="CW77:DF79" si="343">INDEX($D77:$L77,1,MATCH(CW$2,$D$2:$L$2,))</f>
        <v>4.4999999999999998E-2</v>
      </c>
      <c r="CX77" s="262">
        <f t="shared" si="343"/>
        <v>4.4999999999999998E-2</v>
      </c>
      <c r="CY77" s="262">
        <f t="shared" si="343"/>
        <v>4.4999999999999998E-2</v>
      </c>
      <c r="CZ77" s="262">
        <f t="shared" si="343"/>
        <v>4.4999999999999998E-2</v>
      </c>
      <c r="DA77" s="262">
        <f t="shared" si="343"/>
        <v>4.4999999999999998E-2</v>
      </c>
      <c r="DB77" s="262">
        <f t="shared" si="343"/>
        <v>4.4999999999999998E-2</v>
      </c>
      <c r="DC77" s="262">
        <f t="shared" si="343"/>
        <v>4.4999999999999998E-2</v>
      </c>
      <c r="DD77" s="262">
        <f t="shared" si="343"/>
        <v>4.4999999999999998E-2</v>
      </c>
      <c r="DE77" s="262">
        <f t="shared" si="343"/>
        <v>4.4999999999999998E-2</v>
      </c>
      <c r="DF77" s="262">
        <f t="shared" si="343"/>
        <v>4.4999999999999998E-2</v>
      </c>
      <c r="DG77" s="262">
        <f t="shared" ref="DG77:DP79" si="344">INDEX($D77:$L77,1,MATCH(DG$2,$D$2:$L$2,))</f>
        <v>0.13</v>
      </c>
      <c r="DH77" s="262">
        <f t="shared" si="344"/>
        <v>0.13</v>
      </c>
      <c r="DI77" s="262">
        <f t="shared" si="344"/>
        <v>0.13</v>
      </c>
      <c r="DJ77" s="262">
        <f t="shared" si="344"/>
        <v>0.13</v>
      </c>
      <c r="DK77" s="262">
        <f t="shared" si="344"/>
        <v>0.13</v>
      </c>
      <c r="DL77" s="262">
        <f t="shared" si="344"/>
        <v>0.13</v>
      </c>
      <c r="DM77" s="262">
        <f t="shared" si="344"/>
        <v>0.13</v>
      </c>
      <c r="DN77" s="262">
        <f t="shared" si="344"/>
        <v>0.13</v>
      </c>
      <c r="DO77" s="262">
        <f t="shared" si="344"/>
        <v>0.13</v>
      </c>
      <c r="DP77" s="262">
        <f t="shared" si="344"/>
        <v>0.13</v>
      </c>
      <c r="DQ77" s="262">
        <f t="shared" ref="DQ77:DZ79" si="345">INDEX($D77:$L77,1,MATCH(DQ$2,$D$2:$L$2,))</f>
        <v>0.13</v>
      </c>
      <c r="DR77" s="262">
        <f t="shared" si="345"/>
        <v>0.13</v>
      </c>
      <c r="DS77" s="262">
        <f t="shared" si="345"/>
        <v>0.15</v>
      </c>
      <c r="DT77" s="262">
        <f t="shared" si="345"/>
        <v>0.15</v>
      </c>
      <c r="DU77" s="262">
        <f t="shared" si="345"/>
        <v>0.15</v>
      </c>
      <c r="DV77" s="262">
        <f t="shared" si="345"/>
        <v>0.15</v>
      </c>
      <c r="DW77" s="262">
        <f t="shared" si="345"/>
        <v>0.15</v>
      </c>
      <c r="DX77" s="262">
        <f t="shared" si="345"/>
        <v>0.15</v>
      </c>
      <c r="DY77" s="262">
        <f t="shared" si="345"/>
        <v>0.15</v>
      </c>
      <c r="DZ77" s="262">
        <f t="shared" si="345"/>
        <v>0.15</v>
      </c>
      <c r="EA77" s="262">
        <f t="shared" ref="EA77:EJ79" si="346">INDEX($D77:$L77,1,MATCH(EA$2,$D$2:$L$2,))</f>
        <v>0.15</v>
      </c>
      <c r="EB77" s="262">
        <f t="shared" si="346"/>
        <v>0.15</v>
      </c>
      <c r="EC77" s="262">
        <f t="shared" si="346"/>
        <v>0.15</v>
      </c>
      <c r="ED77" s="262">
        <f t="shared" si="346"/>
        <v>0.15</v>
      </c>
      <c r="EE77" s="262">
        <f t="shared" si="346"/>
        <v>0.15</v>
      </c>
      <c r="EF77" s="262">
        <f t="shared" si="346"/>
        <v>0.15</v>
      </c>
      <c r="EG77" s="262">
        <f t="shared" si="346"/>
        <v>0.15</v>
      </c>
      <c r="EH77" s="262">
        <f t="shared" si="346"/>
        <v>0.15</v>
      </c>
      <c r="EI77" s="262">
        <f t="shared" si="346"/>
        <v>0.15</v>
      </c>
      <c r="EJ77" s="262">
        <f t="shared" si="346"/>
        <v>0.15</v>
      </c>
      <c r="EK77" s="262">
        <f t="shared" ref="EK77:ET79" si="347">INDEX($D77:$L77,1,MATCH(EK$2,$D$2:$L$2,))</f>
        <v>0.15</v>
      </c>
      <c r="EL77" s="262">
        <f t="shared" si="347"/>
        <v>0.15</v>
      </c>
      <c r="EM77" s="262">
        <f t="shared" si="347"/>
        <v>0.15</v>
      </c>
      <c r="EN77" s="262">
        <f t="shared" si="347"/>
        <v>0.15</v>
      </c>
      <c r="EO77" s="262">
        <f t="shared" si="347"/>
        <v>0.15</v>
      </c>
      <c r="EP77" s="262">
        <f t="shared" si="347"/>
        <v>0.15</v>
      </c>
      <c r="EQ77" s="262">
        <f t="shared" si="347"/>
        <v>0.15</v>
      </c>
      <c r="ER77" s="262">
        <f t="shared" si="347"/>
        <v>0.15</v>
      </c>
      <c r="ES77" s="262">
        <f t="shared" si="347"/>
        <v>0.15</v>
      </c>
      <c r="ET77" s="262">
        <f t="shared" si="347"/>
        <v>0.15</v>
      </c>
      <c r="EU77" s="262">
        <f t="shared" ref="EU77:FB79" si="348">INDEX($D77:$L77,1,MATCH(EU$2,$D$2:$L$2,))</f>
        <v>0.15</v>
      </c>
      <c r="EV77" s="262">
        <f t="shared" si="348"/>
        <v>0.15</v>
      </c>
      <c r="EW77" s="262">
        <f t="shared" si="348"/>
        <v>0.15</v>
      </c>
      <c r="EX77" s="262">
        <f t="shared" si="348"/>
        <v>0.15</v>
      </c>
      <c r="EY77" s="262">
        <f t="shared" si="348"/>
        <v>0.15</v>
      </c>
      <c r="EZ77" s="262">
        <f t="shared" si="348"/>
        <v>0.15</v>
      </c>
      <c r="FA77" s="262">
        <f t="shared" si="348"/>
        <v>0.15</v>
      </c>
      <c r="FB77" s="262">
        <f t="shared" si="348"/>
        <v>0.15</v>
      </c>
    </row>
    <row r="78" spans="3:158" x14ac:dyDescent="0.25">
      <c r="C78" s="2" t="s">
        <v>299</v>
      </c>
      <c r="D78" s="330">
        <v>0</v>
      </c>
      <c r="E78" s="330">
        <v>0</v>
      </c>
      <c r="F78" s="330">
        <v>0.01</v>
      </c>
      <c r="G78" s="169">
        <v>0.02</v>
      </c>
      <c r="H78" s="169">
        <v>0.04</v>
      </c>
      <c r="I78" s="169">
        <v>5.4236014565597575E-2</v>
      </c>
      <c r="J78" s="169">
        <v>5.4236014565597575E-2</v>
      </c>
      <c r="K78" s="169">
        <v>5.4236014565597575E-2</v>
      </c>
      <c r="L78" s="169">
        <v>0.28540961408259985</v>
      </c>
      <c r="N78" s="260">
        <f t="shared" ref="N78:AW78" si="349">N102/N$99</f>
        <v>0</v>
      </c>
      <c r="O78" s="260">
        <f t="shared" si="349"/>
        <v>0</v>
      </c>
      <c r="P78" s="260">
        <f t="shared" si="349"/>
        <v>0</v>
      </c>
      <c r="Q78" s="260">
        <f t="shared" si="349"/>
        <v>0</v>
      </c>
      <c r="R78" s="260">
        <f t="shared" si="349"/>
        <v>0</v>
      </c>
      <c r="S78" s="260">
        <f t="shared" si="349"/>
        <v>0</v>
      </c>
      <c r="T78" s="260">
        <f t="shared" si="349"/>
        <v>0</v>
      </c>
      <c r="U78" s="260">
        <f t="shared" si="349"/>
        <v>0</v>
      </c>
      <c r="V78" s="260">
        <f t="shared" si="349"/>
        <v>0.01</v>
      </c>
      <c r="W78" s="260">
        <f t="shared" si="349"/>
        <v>0.01</v>
      </c>
      <c r="X78" s="260">
        <f t="shared" si="349"/>
        <v>0.01</v>
      </c>
      <c r="Y78" s="260">
        <f t="shared" si="349"/>
        <v>0.01</v>
      </c>
      <c r="Z78" s="260">
        <f t="shared" si="349"/>
        <v>1.9999999999999997E-2</v>
      </c>
      <c r="AA78" s="260">
        <f t="shared" si="349"/>
        <v>0.02</v>
      </c>
      <c r="AB78" s="260">
        <f t="shared" si="349"/>
        <v>0.02</v>
      </c>
      <c r="AC78" s="260">
        <f t="shared" si="349"/>
        <v>2.0000000000000004E-2</v>
      </c>
      <c r="AD78" s="260">
        <f t="shared" si="349"/>
        <v>0.04</v>
      </c>
      <c r="AE78" s="260">
        <f t="shared" si="349"/>
        <v>0.04</v>
      </c>
      <c r="AF78" s="260">
        <f t="shared" si="349"/>
        <v>0.04</v>
      </c>
      <c r="AG78" s="260">
        <f t="shared" si="349"/>
        <v>0.04</v>
      </c>
      <c r="AH78" s="260">
        <f t="shared" si="349"/>
        <v>5.4236014565597575E-2</v>
      </c>
      <c r="AI78" s="260">
        <f t="shared" si="349"/>
        <v>5.4236014565597575E-2</v>
      </c>
      <c r="AJ78" s="260">
        <f t="shared" si="349"/>
        <v>5.4236014565597575E-2</v>
      </c>
      <c r="AK78" s="260">
        <f t="shared" si="349"/>
        <v>5.4236014565597575E-2</v>
      </c>
      <c r="AL78" s="260">
        <f t="shared" si="349"/>
        <v>5.4236014565597575E-2</v>
      </c>
      <c r="AM78" s="260">
        <f t="shared" si="349"/>
        <v>5.4236014565597568E-2</v>
      </c>
      <c r="AN78" s="260">
        <f t="shared" si="349"/>
        <v>5.4236014565597568E-2</v>
      </c>
      <c r="AO78" s="260">
        <f t="shared" si="349"/>
        <v>5.4236014565597568E-2</v>
      </c>
      <c r="AP78" s="260">
        <f t="shared" si="349"/>
        <v>5.4236014565597575E-2</v>
      </c>
      <c r="AQ78" s="260">
        <f t="shared" si="349"/>
        <v>5.4236014565597582E-2</v>
      </c>
      <c r="AR78" s="260">
        <f t="shared" si="349"/>
        <v>5.4236014565597575E-2</v>
      </c>
      <c r="AS78" s="260">
        <f t="shared" si="349"/>
        <v>5.4236014565597575E-2</v>
      </c>
      <c r="AT78" s="260">
        <f t="shared" si="349"/>
        <v>0.28540961408259985</v>
      </c>
      <c r="AU78" s="260">
        <f t="shared" si="349"/>
        <v>0.28540961408259985</v>
      </c>
      <c r="AV78" s="260">
        <f t="shared" si="349"/>
        <v>0.28540961408259985</v>
      </c>
      <c r="AW78" s="260">
        <f t="shared" si="349"/>
        <v>0.28540961408259985</v>
      </c>
      <c r="AY78" s="262">
        <f t="shared" si="338"/>
        <v>0</v>
      </c>
      <c r="AZ78" s="262">
        <f t="shared" si="338"/>
        <v>0</v>
      </c>
      <c r="BA78" s="262">
        <f t="shared" si="338"/>
        <v>0</v>
      </c>
      <c r="BB78" s="262">
        <f t="shared" si="338"/>
        <v>0</v>
      </c>
      <c r="BC78" s="262">
        <f t="shared" si="338"/>
        <v>0</v>
      </c>
      <c r="BD78" s="262">
        <f t="shared" si="338"/>
        <v>0</v>
      </c>
      <c r="BE78" s="262">
        <f t="shared" si="338"/>
        <v>0</v>
      </c>
      <c r="BF78" s="262">
        <f t="shared" si="338"/>
        <v>0</v>
      </c>
      <c r="BG78" s="262">
        <f t="shared" si="338"/>
        <v>0</v>
      </c>
      <c r="BH78" s="262">
        <f t="shared" si="338"/>
        <v>0</v>
      </c>
      <c r="BI78" s="262">
        <f t="shared" si="339"/>
        <v>0</v>
      </c>
      <c r="BJ78" s="262">
        <f t="shared" si="339"/>
        <v>0</v>
      </c>
      <c r="BK78" s="262">
        <f t="shared" si="339"/>
        <v>0</v>
      </c>
      <c r="BL78" s="262">
        <f t="shared" si="339"/>
        <v>0</v>
      </c>
      <c r="BM78" s="262">
        <f t="shared" si="339"/>
        <v>0</v>
      </c>
      <c r="BN78" s="262">
        <f t="shared" si="339"/>
        <v>0</v>
      </c>
      <c r="BO78" s="262">
        <f t="shared" si="339"/>
        <v>0</v>
      </c>
      <c r="BP78" s="262">
        <f t="shared" si="339"/>
        <v>0</v>
      </c>
      <c r="BQ78" s="262">
        <f t="shared" si="339"/>
        <v>0</v>
      </c>
      <c r="BR78" s="262">
        <f t="shared" si="339"/>
        <v>0</v>
      </c>
      <c r="BS78" s="262">
        <f t="shared" si="340"/>
        <v>0</v>
      </c>
      <c r="BT78" s="262">
        <f t="shared" si="340"/>
        <v>0</v>
      </c>
      <c r="BU78" s="262">
        <f t="shared" si="340"/>
        <v>0</v>
      </c>
      <c r="BV78" s="262">
        <f t="shared" si="340"/>
        <v>0</v>
      </c>
      <c r="BW78" s="262">
        <f t="shared" si="340"/>
        <v>0.01</v>
      </c>
      <c r="BX78" s="262">
        <f t="shared" si="340"/>
        <v>0.01</v>
      </c>
      <c r="BY78" s="262">
        <f t="shared" si="340"/>
        <v>0.01</v>
      </c>
      <c r="BZ78" s="262">
        <f t="shared" si="340"/>
        <v>0.01</v>
      </c>
      <c r="CA78" s="262">
        <f t="shared" si="340"/>
        <v>0.01</v>
      </c>
      <c r="CB78" s="262">
        <f t="shared" si="340"/>
        <v>0.01</v>
      </c>
      <c r="CC78" s="262">
        <f t="shared" si="341"/>
        <v>0.01</v>
      </c>
      <c r="CD78" s="262">
        <f t="shared" si="341"/>
        <v>0.01</v>
      </c>
      <c r="CE78" s="262">
        <f t="shared" si="341"/>
        <v>0.01</v>
      </c>
      <c r="CF78" s="262">
        <f t="shared" si="341"/>
        <v>0.01</v>
      </c>
      <c r="CG78" s="262">
        <f t="shared" si="341"/>
        <v>0.01</v>
      </c>
      <c r="CH78" s="262">
        <f t="shared" si="341"/>
        <v>0.01</v>
      </c>
      <c r="CI78" s="262">
        <f t="shared" si="341"/>
        <v>0.02</v>
      </c>
      <c r="CJ78" s="262">
        <f t="shared" si="341"/>
        <v>0.02</v>
      </c>
      <c r="CK78" s="262">
        <f t="shared" si="341"/>
        <v>0.02</v>
      </c>
      <c r="CL78" s="262">
        <f t="shared" si="341"/>
        <v>0.02</v>
      </c>
      <c r="CM78" s="262">
        <f t="shared" si="342"/>
        <v>0.02</v>
      </c>
      <c r="CN78" s="262">
        <f t="shared" si="342"/>
        <v>0.02</v>
      </c>
      <c r="CO78" s="262">
        <f t="shared" si="342"/>
        <v>0.02</v>
      </c>
      <c r="CP78" s="262">
        <f t="shared" si="342"/>
        <v>0.02</v>
      </c>
      <c r="CQ78" s="262">
        <f t="shared" si="342"/>
        <v>0.02</v>
      </c>
      <c r="CR78" s="262">
        <f t="shared" si="342"/>
        <v>0.02</v>
      </c>
      <c r="CS78" s="262">
        <f t="shared" si="342"/>
        <v>0.02</v>
      </c>
      <c r="CT78" s="262">
        <f t="shared" si="342"/>
        <v>0.02</v>
      </c>
      <c r="CU78" s="262">
        <f t="shared" si="342"/>
        <v>0.04</v>
      </c>
      <c r="CV78" s="262">
        <f t="shared" si="342"/>
        <v>0.04</v>
      </c>
      <c r="CW78" s="262">
        <f t="shared" si="343"/>
        <v>0.04</v>
      </c>
      <c r="CX78" s="262">
        <f t="shared" si="343"/>
        <v>0.04</v>
      </c>
      <c r="CY78" s="262">
        <f t="shared" si="343"/>
        <v>0.04</v>
      </c>
      <c r="CZ78" s="262">
        <f t="shared" si="343"/>
        <v>0.04</v>
      </c>
      <c r="DA78" s="262">
        <f t="shared" si="343"/>
        <v>0.04</v>
      </c>
      <c r="DB78" s="262">
        <f t="shared" si="343"/>
        <v>0.04</v>
      </c>
      <c r="DC78" s="262">
        <f t="shared" si="343"/>
        <v>0.04</v>
      </c>
      <c r="DD78" s="262">
        <f t="shared" si="343"/>
        <v>0.04</v>
      </c>
      <c r="DE78" s="262">
        <f t="shared" si="343"/>
        <v>0.04</v>
      </c>
      <c r="DF78" s="262">
        <f t="shared" si="343"/>
        <v>0.04</v>
      </c>
      <c r="DG78" s="262">
        <f t="shared" si="344"/>
        <v>5.4236014565597575E-2</v>
      </c>
      <c r="DH78" s="262">
        <f t="shared" si="344"/>
        <v>5.4236014565597575E-2</v>
      </c>
      <c r="DI78" s="262">
        <f t="shared" si="344"/>
        <v>5.4236014565597575E-2</v>
      </c>
      <c r="DJ78" s="262">
        <f t="shared" si="344"/>
        <v>5.4236014565597575E-2</v>
      </c>
      <c r="DK78" s="262">
        <f t="shared" si="344"/>
        <v>5.4236014565597575E-2</v>
      </c>
      <c r="DL78" s="262">
        <f t="shared" si="344"/>
        <v>5.4236014565597575E-2</v>
      </c>
      <c r="DM78" s="262">
        <f t="shared" si="344"/>
        <v>5.4236014565597575E-2</v>
      </c>
      <c r="DN78" s="262">
        <f t="shared" si="344"/>
        <v>5.4236014565597575E-2</v>
      </c>
      <c r="DO78" s="262">
        <f t="shared" si="344"/>
        <v>5.4236014565597575E-2</v>
      </c>
      <c r="DP78" s="262">
        <f t="shared" si="344"/>
        <v>5.4236014565597575E-2</v>
      </c>
      <c r="DQ78" s="262">
        <f t="shared" si="345"/>
        <v>5.4236014565597575E-2</v>
      </c>
      <c r="DR78" s="262">
        <f t="shared" si="345"/>
        <v>5.4236014565597575E-2</v>
      </c>
      <c r="DS78" s="262">
        <f t="shared" si="345"/>
        <v>5.4236014565597575E-2</v>
      </c>
      <c r="DT78" s="262">
        <f t="shared" si="345"/>
        <v>5.4236014565597575E-2</v>
      </c>
      <c r="DU78" s="262">
        <f t="shared" si="345"/>
        <v>5.4236014565597575E-2</v>
      </c>
      <c r="DV78" s="262">
        <f t="shared" si="345"/>
        <v>5.4236014565597575E-2</v>
      </c>
      <c r="DW78" s="262">
        <f t="shared" si="345"/>
        <v>5.4236014565597575E-2</v>
      </c>
      <c r="DX78" s="262">
        <f t="shared" si="345"/>
        <v>5.4236014565597575E-2</v>
      </c>
      <c r="DY78" s="262">
        <f t="shared" si="345"/>
        <v>5.4236014565597575E-2</v>
      </c>
      <c r="DZ78" s="262">
        <f t="shared" si="345"/>
        <v>5.4236014565597575E-2</v>
      </c>
      <c r="EA78" s="262">
        <f t="shared" si="346"/>
        <v>5.4236014565597575E-2</v>
      </c>
      <c r="EB78" s="262">
        <f t="shared" si="346"/>
        <v>5.4236014565597575E-2</v>
      </c>
      <c r="EC78" s="262">
        <f t="shared" si="346"/>
        <v>5.4236014565597575E-2</v>
      </c>
      <c r="ED78" s="262">
        <f t="shared" si="346"/>
        <v>5.4236014565597575E-2</v>
      </c>
      <c r="EE78" s="262">
        <f t="shared" si="346"/>
        <v>5.4236014565597575E-2</v>
      </c>
      <c r="EF78" s="262">
        <f t="shared" si="346"/>
        <v>5.4236014565597575E-2</v>
      </c>
      <c r="EG78" s="262">
        <f t="shared" si="346"/>
        <v>5.4236014565597575E-2</v>
      </c>
      <c r="EH78" s="262">
        <f t="shared" si="346"/>
        <v>5.4236014565597575E-2</v>
      </c>
      <c r="EI78" s="262">
        <f t="shared" si="346"/>
        <v>5.4236014565597575E-2</v>
      </c>
      <c r="EJ78" s="262">
        <f t="shared" si="346"/>
        <v>5.4236014565597575E-2</v>
      </c>
      <c r="EK78" s="262">
        <f t="shared" si="347"/>
        <v>5.4236014565597575E-2</v>
      </c>
      <c r="EL78" s="262">
        <f t="shared" si="347"/>
        <v>5.4236014565597575E-2</v>
      </c>
      <c r="EM78" s="262">
        <f t="shared" si="347"/>
        <v>5.4236014565597575E-2</v>
      </c>
      <c r="EN78" s="262">
        <f t="shared" si="347"/>
        <v>5.4236014565597575E-2</v>
      </c>
      <c r="EO78" s="262">
        <f t="shared" si="347"/>
        <v>5.4236014565597575E-2</v>
      </c>
      <c r="EP78" s="262">
        <f t="shared" si="347"/>
        <v>5.4236014565597575E-2</v>
      </c>
      <c r="EQ78" s="262">
        <f t="shared" si="347"/>
        <v>0.28540961408259985</v>
      </c>
      <c r="ER78" s="262">
        <f t="shared" si="347"/>
        <v>0.28540961408259985</v>
      </c>
      <c r="ES78" s="262">
        <f t="shared" si="347"/>
        <v>0.28540961408259985</v>
      </c>
      <c r="ET78" s="262">
        <f t="shared" si="347"/>
        <v>0.28540961408259985</v>
      </c>
      <c r="EU78" s="262">
        <f t="shared" si="348"/>
        <v>0.28540961408259985</v>
      </c>
      <c r="EV78" s="262">
        <f t="shared" si="348"/>
        <v>0.28540961408259985</v>
      </c>
      <c r="EW78" s="262">
        <f t="shared" si="348"/>
        <v>0.28540961408259985</v>
      </c>
      <c r="EX78" s="262">
        <f t="shared" si="348"/>
        <v>0.28540961408259985</v>
      </c>
      <c r="EY78" s="262">
        <f t="shared" si="348"/>
        <v>0.28540961408259985</v>
      </c>
      <c r="EZ78" s="262">
        <f t="shared" si="348"/>
        <v>0.28540961408259985</v>
      </c>
      <c r="FA78" s="262">
        <f t="shared" si="348"/>
        <v>0.28540961408259985</v>
      </c>
      <c r="FB78" s="262">
        <f t="shared" si="348"/>
        <v>0.28540961408259985</v>
      </c>
    </row>
    <row r="79" spans="3:158" x14ac:dyDescent="0.25">
      <c r="C79" s="2" t="s">
        <v>300</v>
      </c>
      <c r="D79" s="330">
        <v>0</v>
      </c>
      <c r="E79" s="330">
        <v>0</v>
      </c>
      <c r="F79" s="330">
        <v>0</v>
      </c>
      <c r="G79" s="169">
        <v>0</v>
      </c>
      <c r="H79" s="169">
        <v>0</v>
      </c>
      <c r="I79" s="169">
        <v>0</v>
      </c>
      <c r="J79" s="169">
        <v>0</v>
      </c>
      <c r="K79" s="169">
        <v>0</v>
      </c>
      <c r="L79" s="169">
        <v>5.2080620800999948E-2</v>
      </c>
      <c r="N79" s="260">
        <f t="shared" ref="N79:AW79" si="350">N103/N$99</f>
        <v>0</v>
      </c>
      <c r="O79" s="260">
        <f t="shared" si="350"/>
        <v>0</v>
      </c>
      <c r="P79" s="260">
        <f t="shared" si="350"/>
        <v>0</v>
      </c>
      <c r="Q79" s="260">
        <f t="shared" si="350"/>
        <v>0</v>
      </c>
      <c r="R79" s="260">
        <f t="shared" si="350"/>
        <v>0</v>
      </c>
      <c r="S79" s="260">
        <f t="shared" si="350"/>
        <v>0</v>
      </c>
      <c r="T79" s="260">
        <f t="shared" si="350"/>
        <v>0</v>
      </c>
      <c r="U79" s="260">
        <f t="shared" si="350"/>
        <v>0</v>
      </c>
      <c r="V79" s="260">
        <f t="shared" si="350"/>
        <v>0</v>
      </c>
      <c r="W79" s="260">
        <f t="shared" si="350"/>
        <v>0</v>
      </c>
      <c r="X79" s="260">
        <f t="shared" si="350"/>
        <v>0</v>
      </c>
      <c r="Y79" s="260">
        <f t="shared" si="350"/>
        <v>0</v>
      </c>
      <c r="Z79" s="260">
        <f t="shared" si="350"/>
        <v>0</v>
      </c>
      <c r="AA79" s="260">
        <f t="shared" si="350"/>
        <v>0</v>
      </c>
      <c r="AB79" s="260">
        <f t="shared" si="350"/>
        <v>0</v>
      </c>
      <c r="AC79" s="260">
        <f t="shared" si="350"/>
        <v>0</v>
      </c>
      <c r="AD79" s="260">
        <f t="shared" si="350"/>
        <v>0</v>
      </c>
      <c r="AE79" s="260">
        <f t="shared" si="350"/>
        <v>0</v>
      </c>
      <c r="AF79" s="260">
        <f t="shared" si="350"/>
        <v>0</v>
      </c>
      <c r="AG79" s="260">
        <f t="shared" si="350"/>
        <v>0</v>
      </c>
      <c r="AH79" s="260">
        <f t="shared" si="350"/>
        <v>0</v>
      </c>
      <c r="AI79" s="260">
        <f t="shared" si="350"/>
        <v>0</v>
      </c>
      <c r="AJ79" s="260">
        <f t="shared" si="350"/>
        <v>0</v>
      </c>
      <c r="AK79" s="260">
        <f t="shared" si="350"/>
        <v>0</v>
      </c>
      <c r="AL79" s="260">
        <f t="shared" si="350"/>
        <v>0</v>
      </c>
      <c r="AM79" s="260">
        <f t="shared" si="350"/>
        <v>0</v>
      </c>
      <c r="AN79" s="260">
        <f t="shared" si="350"/>
        <v>0</v>
      </c>
      <c r="AO79" s="260">
        <f t="shared" si="350"/>
        <v>0</v>
      </c>
      <c r="AP79" s="260">
        <f t="shared" si="350"/>
        <v>0</v>
      </c>
      <c r="AQ79" s="260">
        <f t="shared" si="350"/>
        <v>0</v>
      </c>
      <c r="AR79" s="260">
        <f t="shared" si="350"/>
        <v>0</v>
      </c>
      <c r="AS79" s="260">
        <f t="shared" si="350"/>
        <v>0</v>
      </c>
      <c r="AT79" s="260">
        <f t="shared" si="350"/>
        <v>5.2080620800999948E-2</v>
      </c>
      <c r="AU79" s="260">
        <f t="shared" si="350"/>
        <v>5.2080620800999941E-2</v>
      </c>
      <c r="AV79" s="260">
        <f t="shared" si="350"/>
        <v>5.2080620800999955E-2</v>
      </c>
      <c r="AW79" s="260">
        <f t="shared" si="350"/>
        <v>5.2080620800999948E-2</v>
      </c>
      <c r="AY79" s="262">
        <f t="shared" si="338"/>
        <v>0</v>
      </c>
      <c r="AZ79" s="262">
        <f t="shared" si="338"/>
        <v>0</v>
      </c>
      <c r="BA79" s="262">
        <f t="shared" si="338"/>
        <v>0</v>
      </c>
      <c r="BB79" s="262">
        <f t="shared" si="338"/>
        <v>0</v>
      </c>
      <c r="BC79" s="262">
        <f t="shared" si="338"/>
        <v>0</v>
      </c>
      <c r="BD79" s="262">
        <f t="shared" si="338"/>
        <v>0</v>
      </c>
      <c r="BE79" s="262">
        <f t="shared" si="338"/>
        <v>0</v>
      </c>
      <c r="BF79" s="262">
        <f t="shared" si="338"/>
        <v>0</v>
      </c>
      <c r="BG79" s="262">
        <f t="shared" si="338"/>
        <v>0</v>
      </c>
      <c r="BH79" s="262">
        <f t="shared" si="338"/>
        <v>0</v>
      </c>
      <c r="BI79" s="262">
        <f t="shared" si="339"/>
        <v>0</v>
      </c>
      <c r="BJ79" s="262">
        <f t="shared" si="339"/>
        <v>0</v>
      </c>
      <c r="BK79" s="262">
        <f t="shared" si="339"/>
        <v>0</v>
      </c>
      <c r="BL79" s="262">
        <f t="shared" si="339"/>
        <v>0</v>
      </c>
      <c r="BM79" s="262">
        <f t="shared" si="339"/>
        <v>0</v>
      </c>
      <c r="BN79" s="262">
        <f t="shared" si="339"/>
        <v>0</v>
      </c>
      <c r="BO79" s="262">
        <f t="shared" si="339"/>
        <v>0</v>
      </c>
      <c r="BP79" s="262">
        <f t="shared" si="339"/>
        <v>0</v>
      </c>
      <c r="BQ79" s="262">
        <f t="shared" si="339"/>
        <v>0</v>
      </c>
      <c r="BR79" s="262">
        <f t="shared" si="339"/>
        <v>0</v>
      </c>
      <c r="BS79" s="262">
        <f t="shared" si="340"/>
        <v>0</v>
      </c>
      <c r="BT79" s="262">
        <f t="shared" si="340"/>
        <v>0</v>
      </c>
      <c r="BU79" s="262">
        <f t="shared" si="340"/>
        <v>0</v>
      </c>
      <c r="BV79" s="262">
        <f t="shared" si="340"/>
        <v>0</v>
      </c>
      <c r="BW79" s="262">
        <f t="shared" si="340"/>
        <v>0</v>
      </c>
      <c r="BX79" s="262">
        <f t="shared" si="340"/>
        <v>0</v>
      </c>
      <c r="BY79" s="262">
        <f t="shared" si="340"/>
        <v>0</v>
      </c>
      <c r="BZ79" s="262">
        <f t="shared" si="340"/>
        <v>0</v>
      </c>
      <c r="CA79" s="262">
        <f t="shared" si="340"/>
        <v>0</v>
      </c>
      <c r="CB79" s="262">
        <f t="shared" si="340"/>
        <v>0</v>
      </c>
      <c r="CC79" s="262">
        <f t="shared" si="341"/>
        <v>0</v>
      </c>
      <c r="CD79" s="262">
        <f t="shared" si="341"/>
        <v>0</v>
      </c>
      <c r="CE79" s="262">
        <f t="shared" si="341"/>
        <v>0</v>
      </c>
      <c r="CF79" s="262">
        <f t="shared" si="341"/>
        <v>0</v>
      </c>
      <c r="CG79" s="262">
        <f t="shared" si="341"/>
        <v>0</v>
      </c>
      <c r="CH79" s="262">
        <f t="shared" si="341"/>
        <v>0</v>
      </c>
      <c r="CI79" s="262">
        <f t="shared" si="341"/>
        <v>0</v>
      </c>
      <c r="CJ79" s="262">
        <f t="shared" si="341"/>
        <v>0</v>
      </c>
      <c r="CK79" s="262">
        <f t="shared" si="341"/>
        <v>0</v>
      </c>
      <c r="CL79" s="262">
        <f t="shared" si="341"/>
        <v>0</v>
      </c>
      <c r="CM79" s="262">
        <f t="shared" si="342"/>
        <v>0</v>
      </c>
      <c r="CN79" s="262">
        <f t="shared" si="342"/>
        <v>0</v>
      </c>
      <c r="CO79" s="262">
        <f t="shared" si="342"/>
        <v>0</v>
      </c>
      <c r="CP79" s="262">
        <f t="shared" si="342"/>
        <v>0</v>
      </c>
      <c r="CQ79" s="262">
        <f t="shared" si="342"/>
        <v>0</v>
      </c>
      <c r="CR79" s="262">
        <f t="shared" si="342"/>
        <v>0</v>
      </c>
      <c r="CS79" s="262">
        <f t="shared" si="342"/>
        <v>0</v>
      </c>
      <c r="CT79" s="262">
        <f t="shared" si="342"/>
        <v>0</v>
      </c>
      <c r="CU79" s="262">
        <f t="shared" si="342"/>
        <v>0</v>
      </c>
      <c r="CV79" s="262">
        <f t="shared" si="342"/>
        <v>0</v>
      </c>
      <c r="CW79" s="262">
        <f t="shared" si="343"/>
        <v>0</v>
      </c>
      <c r="CX79" s="262">
        <f t="shared" si="343"/>
        <v>0</v>
      </c>
      <c r="CY79" s="262">
        <f t="shared" si="343"/>
        <v>0</v>
      </c>
      <c r="CZ79" s="262">
        <f t="shared" si="343"/>
        <v>0</v>
      </c>
      <c r="DA79" s="262">
        <f t="shared" si="343"/>
        <v>0</v>
      </c>
      <c r="DB79" s="262">
        <f t="shared" si="343"/>
        <v>0</v>
      </c>
      <c r="DC79" s="262">
        <f t="shared" si="343"/>
        <v>0</v>
      </c>
      <c r="DD79" s="262">
        <f t="shared" si="343"/>
        <v>0</v>
      </c>
      <c r="DE79" s="262">
        <f t="shared" si="343"/>
        <v>0</v>
      </c>
      <c r="DF79" s="262">
        <f t="shared" si="343"/>
        <v>0</v>
      </c>
      <c r="DG79" s="262">
        <f t="shared" si="344"/>
        <v>0</v>
      </c>
      <c r="DH79" s="262">
        <f t="shared" si="344"/>
        <v>0</v>
      </c>
      <c r="DI79" s="262">
        <f t="shared" si="344"/>
        <v>0</v>
      </c>
      <c r="DJ79" s="262">
        <f t="shared" si="344"/>
        <v>0</v>
      </c>
      <c r="DK79" s="262">
        <f t="shared" si="344"/>
        <v>0</v>
      </c>
      <c r="DL79" s="262">
        <f t="shared" si="344"/>
        <v>0</v>
      </c>
      <c r="DM79" s="262">
        <f t="shared" si="344"/>
        <v>0</v>
      </c>
      <c r="DN79" s="262">
        <f t="shared" si="344"/>
        <v>0</v>
      </c>
      <c r="DO79" s="262">
        <f t="shared" si="344"/>
        <v>0</v>
      </c>
      <c r="DP79" s="262">
        <f t="shared" si="344"/>
        <v>0</v>
      </c>
      <c r="DQ79" s="262">
        <f t="shared" si="345"/>
        <v>0</v>
      </c>
      <c r="DR79" s="262">
        <f t="shared" si="345"/>
        <v>0</v>
      </c>
      <c r="DS79" s="262">
        <f t="shared" si="345"/>
        <v>0</v>
      </c>
      <c r="DT79" s="262">
        <f t="shared" si="345"/>
        <v>0</v>
      </c>
      <c r="DU79" s="262">
        <f t="shared" si="345"/>
        <v>0</v>
      </c>
      <c r="DV79" s="262">
        <f t="shared" si="345"/>
        <v>0</v>
      </c>
      <c r="DW79" s="262">
        <f t="shared" si="345"/>
        <v>0</v>
      </c>
      <c r="DX79" s="262">
        <f t="shared" si="345"/>
        <v>0</v>
      </c>
      <c r="DY79" s="262">
        <f t="shared" si="345"/>
        <v>0</v>
      </c>
      <c r="DZ79" s="262">
        <f t="shared" si="345"/>
        <v>0</v>
      </c>
      <c r="EA79" s="262">
        <f t="shared" si="346"/>
        <v>0</v>
      </c>
      <c r="EB79" s="262">
        <f t="shared" si="346"/>
        <v>0</v>
      </c>
      <c r="EC79" s="262">
        <f t="shared" si="346"/>
        <v>0</v>
      </c>
      <c r="ED79" s="262">
        <f t="shared" si="346"/>
        <v>0</v>
      </c>
      <c r="EE79" s="262">
        <f t="shared" si="346"/>
        <v>0</v>
      </c>
      <c r="EF79" s="262">
        <f t="shared" si="346"/>
        <v>0</v>
      </c>
      <c r="EG79" s="262">
        <f t="shared" si="346"/>
        <v>0</v>
      </c>
      <c r="EH79" s="262">
        <f t="shared" si="346"/>
        <v>0</v>
      </c>
      <c r="EI79" s="262">
        <f t="shared" si="346"/>
        <v>0</v>
      </c>
      <c r="EJ79" s="262">
        <f t="shared" si="346"/>
        <v>0</v>
      </c>
      <c r="EK79" s="262">
        <f t="shared" si="347"/>
        <v>0</v>
      </c>
      <c r="EL79" s="262">
        <f t="shared" si="347"/>
        <v>0</v>
      </c>
      <c r="EM79" s="262">
        <f t="shared" si="347"/>
        <v>0</v>
      </c>
      <c r="EN79" s="262">
        <f t="shared" si="347"/>
        <v>0</v>
      </c>
      <c r="EO79" s="262">
        <f t="shared" si="347"/>
        <v>0</v>
      </c>
      <c r="EP79" s="262">
        <f t="shared" si="347"/>
        <v>0</v>
      </c>
      <c r="EQ79" s="262">
        <f t="shared" si="347"/>
        <v>5.2080620800999948E-2</v>
      </c>
      <c r="ER79" s="262">
        <f t="shared" si="347"/>
        <v>5.2080620800999948E-2</v>
      </c>
      <c r="ES79" s="262">
        <f t="shared" si="347"/>
        <v>5.2080620800999948E-2</v>
      </c>
      <c r="ET79" s="262">
        <f t="shared" si="347"/>
        <v>5.2080620800999948E-2</v>
      </c>
      <c r="EU79" s="262">
        <f t="shared" si="348"/>
        <v>5.2080620800999948E-2</v>
      </c>
      <c r="EV79" s="262">
        <f t="shared" si="348"/>
        <v>5.2080620800999948E-2</v>
      </c>
      <c r="EW79" s="262">
        <f t="shared" si="348"/>
        <v>5.2080620800999948E-2</v>
      </c>
      <c r="EX79" s="262">
        <f t="shared" si="348"/>
        <v>5.2080620800999948E-2</v>
      </c>
      <c r="EY79" s="262">
        <f t="shared" si="348"/>
        <v>5.2080620800999948E-2</v>
      </c>
      <c r="EZ79" s="262">
        <f t="shared" si="348"/>
        <v>5.2080620800999948E-2</v>
      </c>
      <c r="FA79" s="262">
        <f t="shared" si="348"/>
        <v>5.2080620800999948E-2</v>
      </c>
      <c r="FB79" s="262">
        <f t="shared" si="348"/>
        <v>5.2080620800999948E-2</v>
      </c>
    </row>
    <row r="80" spans="3:158" x14ac:dyDescent="0.25">
      <c r="D80" s="331"/>
      <c r="E80" s="331"/>
      <c r="F80" s="331"/>
      <c r="G80" s="15"/>
      <c r="H80" s="15"/>
      <c r="I80" s="15"/>
      <c r="J80" s="15"/>
      <c r="K80" s="15"/>
      <c r="L80" s="328"/>
    </row>
    <row r="81" spans="3:158" x14ac:dyDescent="0.25">
      <c r="C81" s="304" t="s">
        <v>641</v>
      </c>
      <c r="D81" s="331"/>
      <c r="E81" s="331"/>
      <c r="F81" s="331"/>
    </row>
    <row r="82" spans="3:158" x14ac:dyDescent="0.25">
      <c r="C82" s="2" t="s">
        <v>346</v>
      </c>
      <c r="D82" s="349">
        <f t="shared" ref="D82" si="351">1-SUM(D83:D85)</f>
        <v>0.98</v>
      </c>
      <c r="E82" s="349">
        <f t="shared" ref="E82" si="352">1-SUM(E83:E85)</f>
        <v>0.98</v>
      </c>
      <c r="F82" s="349">
        <f t="shared" ref="F82" si="353">1-SUM(F83:F85)</f>
        <v>0.97</v>
      </c>
      <c r="G82" s="349">
        <f t="shared" ref="G82" si="354">1-SUM(G83:G85)</f>
        <v>0.95</v>
      </c>
      <c r="H82" s="349">
        <f t="shared" ref="H82" si="355">1-SUM(H83:H85)</f>
        <v>0.91500000000000004</v>
      </c>
      <c r="I82" s="349">
        <f>1-SUM(I83:I85)</f>
        <v>0.81576398543440243</v>
      </c>
      <c r="J82" s="349">
        <f t="shared" ref="J82" si="356">1-SUM(J83:J85)</f>
        <v>0.79576398543440241</v>
      </c>
      <c r="K82" s="349">
        <f t="shared" ref="K82" si="357">1-SUM(K83:K85)</f>
        <v>0.79576398543440241</v>
      </c>
      <c r="L82" s="349">
        <f t="shared" ref="L82" si="358">1-SUM(L83:L85)</f>
        <v>0.51250976511640023</v>
      </c>
      <c r="N82" s="260">
        <f t="shared" ref="N82:AW82" si="359">N106/N$105</f>
        <v>0.98</v>
      </c>
      <c r="O82" s="260">
        <f t="shared" si="359"/>
        <v>0.97999999999999987</v>
      </c>
      <c r="P82" s="260">
        <f t="shared" si="359"/>
        <v>0.98</v>
      </c>
      <c r="Q82" s="260">
        <f t="shared" si="359"/>
        <v>0.98</v>
      </c>
      <c r="R82" s="260">
        <f t="shared" si="359"/>
        <v>0.98000000000000009</v>
      </c>
      <c r="S82" s="260">
        <f t="shared" si="359"/>
        <v>0.98</v>
      </c>
      <c r="T82" s="260">
        <f t="shared" si="359"/>
        <v>0.97999999999999987</v>
      </c>
      <c r="U82" s="260">
        <f t="shared" si="359"/>
        <v>0.98</v>
      </c>
      <c r="V82" s="260">
        <f t="shared" si="359"/>
        <v>0.97000000000000008</v>
      </c>
      <c r="W82" s="260">
        <f t="shared" si="359"/>
        <v>0.97000000000000008</v>
      </c>
      <c r="X82" s="260">
        <f t="shared" si="359"/>
        <v>0.97</v>
      </c>
      <c r="Y82" s="260">
        <f t="shared" si="359"/>
        <v>0.96999999999999986</v>
      </c>
      <c r="Z82" s="260">
        <f t="shared" si="359"/>
        <v>0.94999999999999984</v>
      </c>
      <c r="AA82" s="260">
        <f t="shared" si="359"/>
        <v>0.94999999999999984</v>
      </c>
      <c r="AB82" s="260">
        <f t="shared" si="359"/>
        <v>0.95</v>
      </c>
      <c r="AC82" s="260">
        <f t="shared" si="359"/>
        <v>0.95</v>
      </c>
      <c r="AD82" s="260">
        <f t="shared" si="359"/>
        <v>0.91500000000000004</v>
      </c>
      <c r="AE82" s="260">
        <f t="shared" si="359"/>
        <v>0.91499999999999981</v>
      </c>
      <c r="AF82" s="260">
        <f t="shared" si="359"/>
        <v>0.91500000000000026</v>
      </c>
      <c r="AG82" s="260">
        <f t="shared" si="359"/>
        <v>0.91499999999999992</v>
      </c>
      <c r="AH82" s="260">
        <f t="shared" si="359"/>
        <v>0.81576398543440232</v>
      </c>
      <c r="AI82" s="260">
        <f t="shared" si="359"/>
        <v>0.81576398543440254</v>
      </c>
      <c r="AJ82" s="260">
        <f t="shared" si="359"/>
        <v>0.81576398543440254</v>
      </c>
      <c r="AK82" s="260">
        <f t="shared" si="359"/>
        <v>0.81576398543440232</v>
      </c>
      <c r="AL82" s="260">
        <f t="shared" si="359"/>
        <v>0.79576398543440252</v>
      </c>
      <c r="AM82" s="260">
        <f t="shared" si="359"/>
        <v>0.79576398543440252</v>
      </c>
      <c r="AN82" s="260">
        <f t="shared" si="359"/>
        <v>0.79576398543440252</v>
      </c>
      <c r="AO82" s="260">
        <f t="shared" si="359"/>
        <v>0.79576398543440241</v>
      </c>
      <c r="AP82" s="260">
        <f t="shared" si="359"/>
        <v>0.79576398543440241</v>
      </c>
      <c r="AQ82" s="260">
        <f t="shared" si="359"/>
        <v>0.79576398543440241</v>
      </c>
      <c r="AR82" s="260">
        <f t="shared" si="359"/>
        <v>0.79576398543440241</v>
      </c>
      <c r="AS82" s="260">
        <f t="shared" si="359"/>
        <v>0.79576398543440241</v>
      </c>
      <c r="AT82" s="260">
        <f t="shared" si="359"/>
        <v>0.51250976511640012</v>
      </c>
      <c r="AU82" s="260">
        <f t="shared" si="359"/>
        <v>0.51250976511640023</v>
      </c>
      <c r="AV82" s="260">
        <f t="shared" si="359"/>
        <v>0.51250976511640023</v>
      </c>
      <c r="AW82" s="260">
        <f t="shared" si="359"/>
        <v>0.51250976511640023</v>
      </c>
      <c r="AY82" s="260">
        <f t="shared" ref="AY82:DJ82" si="360">1-SUM(AY83:AY85)</f>
        <v>0.98</v>
      </c>
      <c r="AZ82" s="260">
        <f t="shared" si="360"/>
        <v>0.98</v>
      </c>
      <c r="BA82" s="260">
        <f t="shared" si="360"/>
        <v>0.98</v>
      </c>
      <c r="BB82" s="260">
        <f t="shared" si="360"/>
        <v>0.98</v>
      </c>
      <c r="BC82" s="260">
        <f t="shared" si="360"/>
        <v>0.98</v>
      </c>
      <c r="BD82" s="260">
        <f t="shared" si="360"/>
        <v>0.98</v>
      </c>
      <c r="BE82" s="260">
        <f t="shared" si="360"/>
        <v>0.98</v>
      </c>
      <c r="BF82" s="260">
        <f t="shared" si="360"/>
        <v>0.98</v>
      </c>
      <c r="BG82" s="260">
        <f t="shared" si="360"/>
        <v>0.98</v>
      </c>
      <c r="BH82" s="260">
        <f t="shared" si="360"/>
        <v>0.98</v>
      </c>
      <c r="BI82" s="260">
        <f t="shared" si="360"/>
        <v>0.98</v>
      </c>
      <c r="BJ82" s="260">
        <f t="shared" si="360"/>
        <v>0.98</v>
      </c>
      <c r="BK82" s="260">
        <f t="shared" si="360"/>
        <v>0.98</v>
      </c>
      <c r="BL82" s="260">
        <f t="shared" si="360"/>
        <v>0.98</v>
      </c>
      <c r="BM82" s="260">
        <f t="shared" si="360"/>
        <v>0.98</v>
      </c>
      <c r="BN82" s="260">
        <f t="shared" si="360"/>
        <v>0.98</v>
      </c>
      <c r="BO82" s="260">
        <f t="shared" si="360"/>
        <v>0.98</v>
      </c>
      <c r="BP82" s="260">
        <f t="shared" si="360"/>
        <v>0.98</v>
      </c>
      <c r="BQ82" s="260">
        <f t="shared" si="360"/>
        <v>0.98</v>
      </c>
      <c r="BR82" s="260">
        <f t="shared" si="360"/>
        <v>0.98</v>
      </c>
      <c r="BS82" s="260">
        <f t="shared" si="360"/>
        <v>0.98</v>
      </c>
      <c r="BT82" s="260">
        <f t="shared" si="360"/>
        <v>0.98</v>
      </c>
      <c r="BU82" s="260">
        <f t="shared" si="360"/>
        <v>0.98</v>
      </c>
      <c r="BV82" s="260">
        <f t="shared" si="360"/>
        <v>0.98</v>
      </c>
      <c r="BW82" s="260">
        <f t="shared" si="360"/>
        <v>0.97</v>
      </c>
      <c r="BX82" s="260">
        <f t="shared" si="360"/>
        <v>0.97</v>
      </c>
      <c r="BY82" s="260">
        <f t="shared" si="360"/>
        <v>0.97</v>
      </c>
      <c r="BZ82" s="260">
        <f t="shared" si="360"/>
        <v>0.97</v>
      </c>
      <c r="CA82" s="260">
        <f t="shared" si="360"/>
        <v>0.97</v>
      </c>
      <c r="CB82" s="260">
        <f t="shared" si="360"/>
        <v>0.97</v>
      </c>
      <c r="CC82" s="260">
        <f t="shared" si="360"/>
        <v>0.97</v>
      </c>
      <c r="CD82" s="260">
        <f t="shared" si="360"/>
        <v>0.97</v>
      </c>
      <c r="CE82" s="260">
        <f t="shared" si="360"/>
        <v>0.97</v>
      </c>
      <c r="CF82" s="260">
        <f t="shared" si="360"/>
        <v>0.97</v>
      </c>
      <c r="CG82" s="260">
        <f t="shared" si="360"/>
        <v>0.97</v>
      </c>
      <c r="CH82" s="260">
        <f t="shared" si="360"/>
        <v>0.97</v>
      </c>
      <c r="CI82" s="260">
        <f t="shared" si="360"/>
        <v>0.95</v>
      </c>
      <c r="CJ82" s="260">
        <f t="shared" si="360"/>
        <v>0.95</v>
      </c>
      <c r="CK82" s="260">
        <f t="shared" si="360"/>
        <v>0.95</v>
      </c>
      <c r="CL82" s="260">
        <f t="shared" si="360"/>
        <v>0.95</v>
      </c>
      <c r="CM82" s="260">
        <f t="shared" si="360"/>
        <v>0.95</v>
      </c>
      <c r="CN82" s="260">
        <f t="shared" si="360"/>
        <v>0.95</v>
      </c>
      <c r="CO82" s="260">
        <f t="shared" si="360"/>
        <v>0.95</v>
      </c>
      <c r="CP82" s="260">
        <f t="shared" si="360"/>
        <v>0.95</v>
      </c>
      <c r="CQ82" s="260">
        <f t="shared" si="360"/>
        <v>0.95</v>
      </c>
      <c r="CR82" s="260">
        <f t="shared" si="360"/>
        <v>0.95</v>
      </c>
      <c r="CS82" s="260">
        <f t="shared" si="360"/>
        <v>0.95</v>
      </c>
      <c r="CT82" s="260">
        <f t="shared" si="360"/>
        <v>0.95</v>
      </c>
      <c r="CU82" s="260">
        <f t="shared" si="360"/>
        <v>0.91500000000000004</v>
      </c>
      <c r="CV82" s="260">
        <f t="shared" si="360"/>
        <v>0.91500000000000004</v>
      </c>
      <c r="CW82" s="260">
        <f t="shared" si="360"/>
        <v>0.91500000000000004</v>
      </c>
      <c r="CX82" s="260">
        <f t="shared" si="360"/>
        <v>0.91500000000000004</v>
      </c>
      <c r="CY82" s="260">
        <f t="shared" si="360"/>
        <v>0.91500000000000004</v>
      </c>
      <c r="CZ82" s="260">
        <f t="shared" si="360"/>
        <v>0.91500000000000004</v>
      </c>
      <c r="DA82" s="260">
        <f t="shared" si="360"/>
        <v>0.91500000000000004</v>
      </c>
      <c r="DB82" s="260">
        <f t="shared" si="360"/>
        <v>0.91500000000000004</v>
      </c>
      <c r="DC82" s="260">
        <f t="shared" si="360"/>
        <v>0.91500000000000004</v>
      </c>
      <c r="DD82" s="260">
        <f t="shared" si="360"/>
        <v>0.91500000000000004</v>
      </c>
      <c r="DE82" s="260">
        <f t="shared" si="360"/>
        <v>0.91500000000000004</v>
      </c>
      <c r="DF82" s="260">
        <f t="shared" si="360"/>
        <v>0.91500000000000004</v>
      </c>
      <c r="DG82" s="260">
        <f t="shared" si="360"/>
        <v>0.81576398543440243</v>
      </c>
      <c r="DH82" s="260">
        <f t="shared" si="360"/>
        <v>0.81576398543440243</v>
      </c>
      <c r="DI82" s="260">
        <f t="shared" si="360"/>
        <v>0.81576398543440243</v>
      </c>
      <c r="DJ82" s="260">
        <f t="shared" si="360"/>
        <v>0.81576398543440243</v>
      </c>
      <c r="DK82" s="260">
        <f t="shared" ref="DK82:FB82" si="361">1-SUM(DK83:DK85)</f>
        <v>0.81576398543440243</v>
      </c>
      <c r="DL82" s="260">
        <f t="shared" si="361"/>
        <v>0.81576398543440243</v>
      </c>
      <c r="DM82" s="260">
        <f t="shared" si="361"/>
        <v>0.81576398543440243</v>
      </c>
      <c r="DN82" s="260">
        <f t="shared" si="361"/>
        <v>0.81576398543440243</v>
      </c>
      <c r="DO82" s="260">
        <f t="shared" si="361"/>
        <v>0.81576398543440243</v>
      </c>
      <c r="DP82" s="260">
        <f t="shared" si="361"/>
        <v>0.81576398543440243</v>
      </c>
      <c r="DQ82" s="260">
        <f t="shared" si="361"/>
        <v>0.81576398543440243</v>
      </c>
      <c r="DR82" s="260">
        <f t="shared" si="361"/>
        <v>0.81576398543440243</v>
      </c>
      <c r="DS82" s="260">
        <f t="shared" si="361"/>
        <v>0.79576398543440241</v>
      </c>
      <c r="DT82" s="260">
        <f t="shared" si="361"/>
        <v>0.79576398543440241</v>
      </c>
      <c r="DU82" s="260">
        <f t="shared" si="361"/>
        <v>0.79576398543440241</v>
      </c>
      <c r="DV82" s="260">
        <f t="shared" si="361"/>
        <v>0.79576398543440241</v>
      </c>
      <c r="DW82" s="260">
        <f t="shared" si="361"/>
        <v>0.79576398543440241</v>
      </c>
      <c r="DX82" s="260">
        <f t="shared" si="361"/>
        <v>0.79576398543440241</v>
      </c>
      <c r="DY82" s="260">
        <f t="shared" si="361"/>
        <v>0.79576398543440241</v>
      </c>
      <c r="DZ82" s="260">
        <f t="shared" si="361"/>
        <v>0.79576398543440241</v>
      </c>
      <c r="EA82" s="260">
        <f t="shared" si="361"/>
        <v>0.79576398543440241</v>
      </c>
      <c r="EB82" s="260">
        <f t="shared" si="361"/>
        <v>0.79576398543440241</v>
      </c>
      <c r="EC82" s="260">
        <f t="shared" si="361"/>
        <v>0.79576398543440241</v>
      </c>
      <c r="ED82" s="260">
        <f t="shared" si="361"/>
        <v>0.79576398543440241</v>
      </c>
      <c r="EE82" s="260">
        <f t="shared" si="361"/>
        <v>0.79576398543440241</v>
      </c>
      <c r="EF82" s="260">
        <f t="shared" si="361"/>
        <v>0.79576398543440241</v>
      </c>
      <c r="EG82" s="260">
        <f t="shared" si="361"/>
        <v>0.79576398543440241</v>
      </c>
      <c r="EH82" s="260">
        <f t="shared" si="361"/>
        <v>0.79576398543440241</v>
      </c>
      <c r="EI82" s="260">
        <f t="shared" si="361"/>
        <v>0.79576398543440241</v>
      </c>
      <c r="EJ82" s="260">
        <f t="shared" si="361"/>
        <v>0.79576398543440241</v>
      </c>
      <c r="EK82" s="260">
        <f t="shared" si="361"/>
        <v>0.79576398543440241</v>
      </c>
      <c r="EL82" s="260">
        <f t="shared" si="361"/>
        <v>0.79576398543440241</v>
      </c>
      <c r="EM82" s="260">
        <f t="shared" si="361"/>
        <v>0.79576398543440241</v>
      </c>
      <c r="EN82" s="260">
        <f t="shared" si="361"/>
        <v>0.79576398543440241</v>
      </c>
      <c r="EO82" s="260">
        <f t="shared" si="361"/>
        <v>0.79576398543440241</v>
      </c>
      <c r="EP82" s="260">
        <f t="shared" si="361"/>
        <v>0.79576398543440241</v>
      </c>
      <c r="EQ82" s="260">
        <f t="shared" si="361"/>
        <v>0.51250976511640023</v>
      </c>
      <c r="ER82" s="260">
        <f t="shared" si="361"/>
        <v>0.51250976511640023</v>
      </c>
      <c r="ES82" s="260">
        <f t="shared" si="361"/>
        <v>0.51250976511640023</v>
      </c>
      <c r="ET82" s="260">
        <f t="shared" si="361"/>
        <v>0.51250976511640023</v>
      </c>
      <c r="EU82" s="260">
        <f t="shared" si="361"/>
        <v>0.51250976511640023</v>
      </c>
      <c r="EV82" s="260">
        <f t="shared" si="361"/>
        <v>0.51250976511640023</v>
      </c>
      <c r="EW82" s="260">
        <f t="shared" si="361"/>
        <v>0.51250976511640023</v>
      </c>
      <c r="EX82" s="260">
        <f t="shared" si="361"/>
        <v>0.51250976511640023</v>
      </c>
      <c r="EY82" s="260">
        <f t="shared" si="361"/>
        <v>0.51250976511640023</v>
      </c>
      <c r="EZ82" s="260">
        <f t="shared" si="361"/>
        <v>0.51250976511640023</v>
      </c>
      <c r="FA82" s="260">
        <f t="shared" si="361"/>
        <v>0.51250976511640023</v>
      </c>
      <c r="FB82" s="260">
        <f t="shared" si="361"/>
        <v>0.51250976511640023</v>
      </c>
    </row>
    <row r="83" spans="3:158" x14ac:dyDescent="0.25">
      <c r="C83" s="2" t="s">
        <v>298</v>
      </c>
      <c r="D83" s="330">
        <v>0.02</v>
      </c>
      <c r="E83" s="330">
        <v>0.02</v>
      </c>
      <c r="F83" s="330">
        <v>0.02</v>
      </c>
      <c r="G83" s="169">
        <v>0.03</v>
      </c>
      <c r="H83" s="169">
        <v>4.4999999999999998E-2</v>
      </c>
      <c r="I83" s="169">
        <f t="shared" ref="I83:K85" si="362">I77</f>
        <v>0.13</v>
      </c>
      <c r="J83" s="169">
        <f t="shared" si="362"/>
        <v>0.15</v>
      </c>
      <c r="K83" s="169">
        <f t="shared" si="362"/>
        <v>0.15</v>
      </c>
      <c r="L83" s="169">
        <v>0.15</v>
      </c>
      <c r="N83" s="260">
        <f t="shared" ref="N83:AW83" si="363">N107/N$105</f>
        <v>0.02</v>
      </c>
      <c r="O83" s="260">
        <f t="shared" si="363"/>
        <v>1.9999999999999997E-2</v>
      </c>
      <c r="P83" s="260">
        <f t="shared" si="363"/>
        <v>0.02</v>
      </c>
      <c r="Q83" s="260">
        <f t="shared" si="363"/>
        <v>0.02</v>
      </c>
      <c r="R83" s="260">
        <f t="shared" si="363"/>
        <v>0.02</v>
      </c>
      <c r="S83" s="260">
        <f t="shared" si="363"/>
        <v>2.0000000000000004E-2</v>
      </c>
      <c r="T83" s="260">
        <f t="shared" si="363"/>
        <v>1.9999999999999997E-2</v>
      </c>
      <c r="U83" s="260">
        <f t="shared" si="363"/>
        <v>0.02</v>
      </c>
      <c r="V83" s="260">
        <f t="shared" si="363"/>
        <v>0.02</v>
      </c>
      <c r="W83" s="260">
        <f t="shared" si="363"/>
        <v>0.02</v>
      </c>
      <c r="X83" s="260">
        <f t="shared" si="363"/>
        <v>0.02</v>
      </c>
      <c r="Y83" s="260">
        <f t="shared" si="363"/>
        <v>0.02</v>
      </c>
      <c r="Z83" s="260">
        <f t="shared" si="363"/>
        <v>0.03</v>
      </c>
      <c r="AA83" s="260">
        <f t="shared" si="363"/>
        <v>2.9999999999999995E-2</v>
      </c>
      <c r="AB83" s="260">
        <f t="shared" si="363"/>
        <v>0.03</v>
      </c>
      <c r="AC83" s="260">
        <f t="shared" si="363"/>
        <v>2.9999999999999995E-2</v>
      </c>
      <c r="AD83" s="260">
        <f t="shared" si="363"/>
        <v>4.4999999999999991E-2</v>
      </c>
      <c r="AE83" s="260">
        <f t="shared" si="363"/>
        <v>4.4999999999999998E-2</v>
      </c>
      <c r="AF83" s="260">
        <f t="shared" si="363"/>
        <v>4.4999999999999998E-2</v>
      </c>
      <c r="AG83" s="260">
        <f t="shared" si="363"/>
        <v>4.4999999999999998E-2</v>
      </c>
      <c r="AH83" s="260">
        <f t="shared" si="363"/>
        <v>0.13</v>
      </c>
      <c r="AI83" s="260">
        <f t="shared" si="363"/>
        <v>0.13</v>
      </c>
      <c r="AJ83" s="260">
        <f t="shared" si="363"/>
        <v>0.13</v>
      </c>
      <c r="AK83" s="260">
        <f t="shared" si="363"/>
        <v>0.13</v>
      </c>
      <c r="AL83" s="260">
        <f t="shared" si="363"/>
        <v>0.15000000000000002</v>
      </c>
      <c r="AM83" s="260">
        <f t="shared" si="363"/>
        <v>0.15</v>
      </c>
      <c r="AN83" s="260">
        <f t="shared" si="363"/>
        <v>0.15000000000000002</v>
      </c>
      <c r="AO83" s="260">
        <f t="shared" si="363"/>
        <v>0.15</v>
      </c>
      <c r="AP83" s="260">
        <f t="shared" si="363"/>
        <v>0.15</v>
      </c>
      <c r="AQ83" s="260">
        <f t="shared" si="363"/>
        <v>0.15</v>
      </c>
      <c r="AR83" s="260">
        <f t="shared" si="363"/>
        <v>0.15</v>
      </c>
      <c r="AS83" s="260">
        <f t="shared" si="363"/>
        <v>0.15</v>
      </c>
      <c r="AT83" s="260">
        <f t="shared" si="363"/>
        <v>0.15</v>
      </c>
      <c r="AU83" s="260">
        <f t="shared" si="363"/>
        <v>0.15000000000000002</v>
      </c>
      <c r="AV83" s="260">
        <f t="shared" si="363"/>
        <v>0.14999999999999997</v>
      </c>
      <c r="AW83" s="260">
        <f t="shared" si="363"/>
        <v>0.15</v>
      </c>
      <c r="AY83" s="262">
        <f t="shared" ref="AY83:BH84" si="364">INDEX($D83:$L83,1,MATCH(AY$2,$D$2:$L$2,))</f>
        <v>0.02</v>
      </c>
      <c r="AZ83" s="262">
        <f t="shared" si="364"/>
        <v>0.02</v>
      </c>
      <c r="BA83" s="262">
        <f t="shared" si="364"/>
        <v>0.02</v>
      </c>
      <c r="BB83" s="262">
        <f t="shared" si="364"/>
        <v>0.02</v>
      </c>
      <c r="BC83" s="262">
        <f t="shared" si="364"/>
        <v>0.02</v>
      </c>
      <c r="BD83" s="262">
        <f t="shared" si="364"/>
        <v>0.02</v>
      </c>
      <c r="BE83" s="262">
        <f t="shared" si="364"/>
        <v>0.02</v>
      </c>
      <c r="BF83" s="262">
        <f t="shared" si="364"/>
        <v>0.02</v>
      </c>
      <c r="BG83" s="262">
        <f t="shared" si="364"/>
        <v>0.02</v>
      </c>
      <c r="BH83" s="262">
        <f t="shared" si="364"/>
        <v>0.02</v>
      </c>
      <c r="BI83" s="262">
        <f t="shared" ref="BI83:BR84" si="365">INDEX($D83:$L83,1,MATCH(BI$2,$D$2:$L$2,))</f>
        <v>0.02</v>
      </c>
      <c r="BJ83" s="262">
        <f t="shared" si="365"/>
        <v>0.02</v>
      </c>
      <c r="BK83" s="262">
        <f t="shared" si="365"/>
        <v>0.02</v>
      </c>
      <c r="BL83" s="262">
        <f t="shared" si="365"/>
        <v>0.02</v>
      </c>
      <c r="BM83" s="262">
        <f t="shared" si="365"/>
        <v>0.02</v>
      </c>
      <c r="BN83" s="262">
        <f t="shared" si="365"/>
        <v>0.02</v>
      </c>
      <c r="BO83" s="262">
        <f t="shared" si="365"/>
        <v>0.02</v>
      </c>
      <c r="BP83" s="262">
        <f t="shared" si="365"/>
        <v>0.02</v>
      </c>
      <c r="BQ83" s="262">
        <f t="shared" si="365"/>
        <v>0.02</v>
      </c>
      <c r="BR83" s="262">
        <f t="shared" si="365"/>
        <v>0.02</v>
      </c>
      <c r="BS83" s="262">
        <f t="shared" ref="BS83:CB84" si="366">INDEX($D83:$L83,1,MATCH(BS$2,$D$2:$L$2,))</f>
        <v>0.02</v>
      </c>
      <c r="BT83" s="262">
        <f t="shared" si="366"/>
        <v>0.02</v>
      </c>
      <c r="BU83" s="262">
        <f t="shared" si="366"/>
        <v>0.02</v>
      </c>
      <c r="BV83" s="262">
        <f t="shared" si="366"/>
        <v>0.02</v>
      </c>
      <c r="BW83" s="262">
        <f t="shared" si="366"/>
        <v>0.02</v>
      </c>
      <c r="BX83" s="262">
        <f t="shared" si="366"/>
        <v>0.02</v>
      </c>
      <c r="BY83" s="262">
        <f t="shared" si="366"/>
        <v>0.02</v>
      </c>
      <c r="BZ83" s="262">
        <f t="shared" si="366"/>
        <v>0.02</v>
      </c>
      <c r="CA83" s="262">
        <f t="shared" si="366"/>
        <v>0.02</v>
      </c>
      <c r="CB83" s="262">
        <f t="shared" si="366"/>
        <v>0.02</v>
      </c>
      <c r="CC83" s="262">
        <f t="shared" ref="CC83:CL84" si="367">INDEX($D83:$L83,1,MATCH(CC$2,$D$2:$L$2,))</f>
        <v>0.02</v>
      </c>
      <c r="CD83" s="262">
        <f t="shared" si="367"/>
        <v>0.02</v>
      </c>
      <c r="CE83" s="262">
        <f t="shared" si="367"/>
        <v>0.02</v>
      </c>
      <c r="CF83" s="262">
        <f t="shared" si="367"/>
        <v>0.02</v>
      </c>
      <c r="CG83" s="262">
        <f t="shared" si="367"/>
        <v>0.02</v>
      </c>
      <c r="CH83" s="262">
        <f t="shared" si="367"/>
        <v>0.02</v>
      </c>
      <c r="CI83" s="262">
        <f t="shared" si="367"/>
        <v>0.03</v>
      </c>
      <c r="CJ83" s="262">
        <f t="shared" si="367"/>
        <v>0.03</v>
      </c>
      <c r="CK83" s="262">
        <f t="shared" si="367"/>
        <v>0.03</v>
      </c>
      <c r="CL83" s="262">
        <f t="shared" si="367"/>
        <v>0.03</v>
      </c>
      <c r="CM83" s="262">
        <f t="shared" ref="CM83:CV84" si="368">INDEX($D83:$L83,1,MATCH(CM$2,$D$2:$L$2,))</f>
        <v>0.03</v>
      </c>
      <c r="CN83" s="262">
        <f t="shared" si="368"/>
        <v>0.03</v>
      </c>
      <c r="CO83" s="262">
        <f t="shared" si="368"/>
        <v>0.03</v>
      </c>
      <c r="CP83" s="262">
        <f t="shared" si="368"/>
        <v>0.03</v>
      </c>
      <c r="CQ83" s="262">
        <f t="shared" si="368"/>
        <v>0.03</v>
      </c>
      <c r="CR83" s="262">
        <f t="shared" si="368"/>
        <v>0.03</v>
      </c>
      <c r="CS83" s="262">
        <f t="shared" si="368"/>
        <v>0.03</v>
      </c>
      <c r="CT83" s="262">
        <f t="shared" si="368"/>
        <v>0.03</v>
      </c>
      <c r="CU83" s="262">
        <f t="shared" si="368"/>
        <v>4.4999999999999998E-2</v>
      </c>
      <c r="CV83" s="262">
        <f t="shared" si="368"/>
        <v>4.4999999999999998E-2</v>
      </c>
      <c r="CW83" s="262">
        <f t="shared" ref="CW83:DI84" si="369">INDEX($D83:$L83,1,MATCH(CW$2,$D$2:$L$2,))</f>
        <v>4.4999999999999998E-2</v>
      </c>
      <c r="CX83" s="262">
        <f t="shared" si="369"/>
        <v>4.4999999999999998E-2</v>
      </c>
      <c r="CY83" s="262">
        <f t="shared" si="369"/>
        <v>4.4999999999999998E-2</v>
      </c>
      <c r="CZ83" s="262">
        <f t="shared" si="369"/>
        <v>4.4999999999999998E-2</v>
      </c>
      <c r="DA83" s="262">
        <f t="shared" si="369"/>
        <v>4.4999999999999998E-2</v>
      </c>
      <c r="DB83" s="262">
        <f t="shared" si="369"/>
        <v>4.4999999999999998E-2</v>
      </c>
      <c r="DC83" s="262">
        <f t="shared" si="369"/>
        <v>4.4999999999999998E-2</v>
      </c>
      <c r="DD83" s="262">
        <f t="shared" si="369"/>
        <v>4.4999999999999998E-2</v>
      </c>
      <c r="DE83" s="262">
        <f t="shared" si="369"/>
        <v>4.4999999999999998E-2</v>
      </c>
      <c r="DF83" s="262">
        <f t="shared" si="369"/>
        <v>4.4999999999999998E-2</v>
      </c>
      <c r="DG83" s="262">
        <f t="shared" si="369"/>
        <v>0.13</v>
      </c>
      <c r="DH83" s="262">
        <f t="shared" si="369"/>
        <v>0.13</v>
      </c>
      <c r="DI83" s="262">
        <f t="shared" si="369"/>
        <v>0.13</v>
      </c>
      <c r="DJ83" s="262">
        <f t="shared" ref="DJ83:DJ84" si="370">INDEX($D83:$L83,1,MATCH(DJ$2,$D$2:$L$2,))</f>
        <v>0.13</v>
      </c>
      <c r="DK83" s="262">
        <f t="shared" ref="DK83:DT85" si="371">INDEX($D83:$L83,1,MATCH(DK$2,$D$2:$L$2,))</f>
        <v>0.13</v>
      </c>
      <c r="DL83" s="262">
        <f t="shared" si="371"/>
        <v>0.13</v>
      </c>
      <c r="DM83" s="262">
        <f t="shared" si="371"/>
        <v>0.13</v>
      </c>
      <c r="DN83" s="262">
        <f t="shared" si="371"/>
        <v>0.13</v>
      </c>
      <c r="DO83" s="262">
        <f t="shared" si="371"/>
        <v>0.13</v>
      </c>
      <c r="DP83" s="262">
        <f t="shared" si="371"/>
        <v>0.13</v>
      </c>
      <c r="DQ83" s="262">
        <f t="shared" si="371"/>
        <v>0.13</v>
      </c>
      <c r="DR83" s="262">
        <f t="shared" si="371"/>
        <v>0.13</v>
      </c>
      <c r="DS83" s="262">
        <f t="shared" si="371"/>
        <v>0.15</v>
      </c>
      <c r="DT83" s="262">
        <f t="shared" si="371"/>
        <v>0.15</v>
      </c>
      <c r="DU83" s="262">
        <f t="shared" ref="DU83:ED85" si="372">INDEX($D83:$L83,1,MATCH(DU$2,$D$2:$L$2,))</f>
        <v>0.15</v>
      </c>
      <c r="DV83" s="262">
        <f t="shared" si="372"/>
        <v>0.15</v>
      </c>
      <c r="DW83" s="262">
        <f t="shared" si="372"/>
        <v>0.15</v>
      </c>
      <c r="DX83" s="262">
        <f t="shared" si="372"/>
        <v>0.15</v>
      </c>
      <c r="DY83" s="262">
        <f t="shared" si="372"/>
        <v>0.15</v>
      </c>
      <c r="DZ83" s="262">
        <f t="shared" si="372"/>
        <v>0.15</v>
      </c>
      <c r="EA83" s="262">
        <f t="shared" si="372"/>
        <v>0.15</v>
      </c>
      <c r="EB83" s="262">
        <f t="shared" si="372"/>
        <v>0.15</v>
      </c>
      <c r="EC83" s="262">
        <f t="shared" si="372"/>
        <v>0.15</v>
      </c>
      <c r="ED83" s="262">
        <f t="shared" si="372"/>
        <v>0.15</v>
      </c>
      <c r="EE83" s="262">
        <f t="shared" ref="EE83:EN85" si="373">INDEX($D83:$L83,1,MATCH(EE$2,$D$2:$L$2,))</f>
        <v>0.15</v>
      </c>
      <c r="EF83" s="262">
        <f t="shared" si="373"/>
        <v>0.15</v>
      </c>
      <c r="EG83" s="262">
        <f t="shared" si="373"/>
        <v>0.15</v>
      </c>
      <c r="EH83" s="262">
        <f t="shared" si="373"/>
        <v>0.15</v>
      </c>
      <c r="EI83" s="262">
        <f t="shared" si="373"/>
        <v>0.15</v>
      </c>
      <c r="EJ83" s="262">
        <f t="shared" si="373"/>
        <v>0.15</v>
      </c>
      <c r="EK83" s="262">
        <f t="shared" si="373"/>
        <v>0.15</v>
      </c>
      <c r="EL83" s="262">
        <f t="shared" si="373"/>
        <v>0.15</v>
      </c>
      <c r="EM83" s="262">
        <f t="shared" si="373"/>
        <v>0.15</v>
      </c>
      <c r="EN83" s="262">
        <f t="shared" si="373"/>
        <v>0.15</v>
      </c>
      <c r="EO83" s="262">
        <f t="shared" ref="EO83:FB85" si="374">INDEX($D83:$L83,1,MATCH(EO$2,$D$2:$L$2,))</f>
        <v>0.15</v>
      </c>
      <c r="EP83" s="262">
        <f t="shared" si="374"/>
        <v>0.15</v>
      </c>
      <c r="EQ83" s="262">
        <f t="shared" si="374"/>
        <v>0.15</v>
      </c>
      <c r="ER83" s="262">
        <f t="shared" si="374"/>
        <v>0.15</v>
      </c>
      <c r="ES83" s="262">
        <f t="shared" si="374"/>
        <v>0.15</v>
      </c>
      <c r="ET83" s="262">
        <f t="shared" si="374"/>
        <v>0.15</v>
      </c>
      <c r="EU83" s="262">
        <f t="shared" si="374"/>
        <v>0.15</v>
      </c>
      <c r="EV83" s="262">
        <f t="shared" si="374"/>
        <v>0.15</v>
      </c>
      <c r="EW83" s="262">
        <f t="shared" si="374"/>
        <v>0.15</v>
      </c>
      <c r="EX83" s="262">
        <f t="shared" si="374"/>
        <v>0.15</v>
      </c>
      <c r="EY83" s="262">
        <f t="shared" si="374"/>
        <v>0.15</v>
      </c>
      <c r="EZ83" s="262">
        <f t="shared" si="374"/>
        <v>0.15</v>
      </c>
      <c r="FA83" s="262">
        <f t="shared" si="374"/>
        <v>0.15</v>
      </c>
      <c r="FB83" s="262">
        <f t="shared" si="374"/>
        <v>0.15</v>
      </c>
    </row>
    <row r="84" spans="3:158" x14ac:dyDescent="0.25">
      <c r="C84" s="2" t="s">
        <v>299</v>
      </c>
      <c r="D84" s="330">
        <v>0</v>
      </c>
      <c r="E84" s="330">
        <v>0</v>
      </c>
      <c r="F84" s="330">
        <v>0.01</v>
      </c>
      <c r="G84" s="169">
        <f>G78</f>
        <v>0.02</v>
      </c>
      <c r="H84" s="169">
        <f>H78</f>
        <v>0.04</v>
      </c>
      <c r="I84" s="169">
        <f t="shared" si="362"/>
        <v>5.4236014565597575E-2</v>
      </c>
      <c r="J84" s="169">
        <f t="shared" si="362"/>
        <v>5.4236014565597575E-2</v>
      </c>
      <c r="K84" s="169">
        <f t="shared" si="362"/>
        <v>5.4236014565597575E-2</v>
      </c>
      <c r="L84" s="169">
        <v>0.28540961408259985</v>
      </c>
      <c r="N84" s="260">
        <f t="shared" ref="N84:AW84" si="375">N108/N$105</f>
        <v>0</v>
      </c>
      <c r="O84" s="260">
        <f t="shared" si="375"/>
        <v>0</v>
      </c>
      <c r="P84" s="260">
        <f t="shared" si="375"/>
        <v>0</v>
      </c>
      <c r="Q84" s="260">
        <f t="shared" si="375"/>
        <v>0</v>
      </c>
      <c r="R84" s="260">
        <f t="shared" si="375"/>
        <v>0</v>
      </c>
      <c r="S84" s="260">
        <f t="shared" si="375"/>
        <v>0</v>
      </c>
      <c r="T84" s="260">
        <f t="shared" si="375"/>
        <v>0</v>
      </c>
      <c r="U84" s="260">
        <f t="shared" si="375"/>
        <v>0</v>
      </c>
      <c r="V84" s="260">
        <f t="shared" si="375"/>
        <v>0.01</v>
      </c>
      <c r="W84" s="260">
        <f t="shared" si="375"/>
        <v>0.01</v>
      </c>
      <c r="X84" s="260">
        <f t="shared" si="375"/>
        <v>0.01</v>
      </c>
      <c r="Y84" s="260">
        <f t="shared" si="375"/>
        <v>0.01</v>
      </c>
      <c r="Z84" s="260">
        <f t="shared" si="375"/>
        <v>0.02</v>
      </c>
      <c r="AA84" s="260">
        <f t="shared" si="375"/>
        <v>0.02</v>
      </c>
      <c r="AB84" s="260">
        <f t="shared" si="375"/>
        <v>0.02</v>
      </c>
      <c r="AC84" s="260">
        <f t="shared" si="375"/>
        <v>0.02</v>
      </c>
      <c r="AD84" s="260">
        <f t="shared" si="375"/>
        <v>0.04</v>
      </c>
      <c r="AE84" s="260">
        <f t="shared" si="375"/>
        <v>0.04</v>
      </c>
      <c r="AF84" s="260">
        <f t="shared" si="375"/>
        <v>0.04</v>
      </c>
      <c r="AG84" s="260">
        <f t="shared" si="375"/>
        <v>0.04</v>
      </c>
      <c r="AH84" s="260">
        <f t="shared" si="375"/>
        <v>5.4236014565597582E-2</v>
      </c>
      <c r="AI84" s="260">
        <f t="shared" si="375"/>
        <v>5.4236014565597575E-2</v>
      </c>
      <c r="AJ84" s="260">
        <f t="shared" si="375"/>
        <v>5.4236014565597582E-2</v>
      </c>
      <c r="AK84" s="260">
        <f t="shared" si="375"/>
        <v>5.4236014565597575E-2</v>
      </c>
      <c r="AL84" s="260">
        <f t="shared" si="375"/>
        <v>5.4236014565597582E-2</v>
      </c>
      <c r="AM84" s="260">
        <f t="shared" si="375"/>
        <v>5.4236014565597575E-2</v>
      </c>
      <c r="AN84" s="260">
        <f t="shared" si="375"/>
        <v>5.4236014565597582E-2</v>
      </c>
      <c r="AO84" s="260">
        <f t="shared" si="375"/>
        <v>5.4236014565597575E-2</v>
      </c>
      <c r="AP84" s="260">
        <f t="shared" si="375"/>
        <v>5.4236014565597575E-2</v>
      </c>
      <c r="AQ84" s="260">
        <f t="shared" si="375"/>
        <v>5.4236014565597575E-2</v>
      </c>
      <c r="AR84" s="260">
        <f t="shared" si="375"/>
        <v>5.4236014565597575E-2</v>
      </c>
      <c r="AS84" s="260">
        <f t="shared" si="375"/>
        <v>5.4236014565597568E-2</v>
      </c>
      <c r="AT84" s="260">
        <f t="shared" si="375"/>
        <v>0.28540961408259979</v>
      </c>
      <c r="AU84" s="260">
        <f t="shared" si="375"/>
        <v>0.28540961408259985</v>
      </c>
      <c r="AV84" s="260">
        <f t="shared" si="375"/>
        <v>0.28540961408259985</v>
      </c>
      <c r="AW84" s="260">
        <f t="shared" si="375"/>
        <v>0.28540961408259985</v>
      </c>
      <c r="AY84" s="262">
        <f t="shared" si="364"/>
        <v>0</v>
      </c>
      <c r="AZ84" s="262">
        <f t="shared" si="364"/>
        <v>0</v>
      </c>
      <c r="BA84" s="262">
        <f t="shared" si="364"/>
        <v>0</v>
      </c>
      <c r="BB84" s="262">
        <f t="shared" si="364"/>
        <v>0</v>
      </c>
      <c r="BC84" s="262">
        <f t="shared" si="364"/>
        <v>0</v>
      </c>
      <c r="BD84" s="262">
        <f t="shared" si="364"/>
        <v>0</v>
      </c>
      <c r="BE84" s="262">
        <f t="shared" si="364"/>
        <v>0</v>
      </c>
      <c r="BF84" s="262">
        <f t="shared" si="364"/>
        <v>0</v>
      </c>
      <c r="BG84" s="262">
        <f t="shared" si="364"/>
        <v>0</v>
      </c>
      <c r="BH84" s="262">
        <f t="shared" si="364"/>
        <v>0</v>
      </c>
      <c r="BI84" s="262">
        <f t="shared" si="365"/>
        <v>0</v>
      </c>
      <c r="BJ84" s="262">
        <f t="shared" si="365"/>
        <v>0</v>
      </c>
      <c r="BK84" s="262">
        <f t="shared" si="365"/>
        <v>0</v>
      </c>
      <c r="BL84" s="262">
        <f t="shared" si="365"/>
        <v>0</v>
      </c>
      <c r="BM84" s="262">
        <f t="shared" si="365"/>
        <v>0</v>
      </c>
      <c r="BN84" s="262">
        <f t="shared" si="365"/>
        <v>0</v>
      </c>
      <c r="BO84" s="262">
        <f t="shared" si="365"/>
        <v>0</v>
      </c>
      <c r="BP84" s="262">
        <f t="shared" si="365"/>
        <v>0</v>
      </c>
      <c r="BQ84" s="262">
        <f t="shared" si="365"/>
        <v>0</v>
      </c>
      <c r="BR84" s="262">
        <f t="shared" si="365"/>
        <v>0</v>
      </c>
      <c r="BS84" s="262">
        <f t="shared" si="366"/>
        <v>0</v>
      </c>
      <c r="BT84" s="262">
        <f t="shared" si="366"/>
        <v>0</v>
      </c>
      <c r="BU84" s="262">
        <f t="shared" si="366"/>
        <v>0</v>
      </c>
      <c r="BV84" s="262">
        <f t="shared" si="366"/>
        <v>0</v>
      </c>
      <c r="BW84" s="262">
        <f t="shared" si="366"/>
        <v>0.01</v>
      </c>
      <c r="BX84" s="262">
        <f t="shared" si="366"/>
        <v>0.01</v>
      </c>
      <c r="BY84" s="262">
        <f t="shared" si="366"/>
        <v>0.01</v>
      </c>
      <c r="BZ84" s="262">
        <f t="shared" si="366"/>
        <v>0.01</v>
      </c>
      <c r="CA84" s="262">
        <f t="shared" si="366"/>
        <v>0.01</v>
      </c>
      <c r="CB84" s="262">
        <f t="shared" si="366"/>
        <v>0.01</v>
      </c>
      <c r="CC84" s="262">
        <f t="shared" si="367"/>
        <v>0.01</v>
      </c>
      <c r="CD84" s="262">
        <f t="shared" si="367"/>
        <v>0.01</v>
      </c>
      <c r="CE84" s="262">
        <f t="shared" si="367"/>
        <v>0.01</v>
      </c>
      <c r="CF84" s="262">
        <f t="shared" si="367"/>
        <v>0.01</v>
      </c>
      <c r="CG84" s="262">
        <f t="shared" si="367"/>
        <v>0.01</v>
      </c>
      <c r="CH84" s="262">
        <f t="shared" si="367"/>
        <v>0.01</v>
      </c>
      <c r="CI84" s="262">
        <f t="shared" si="367"/>
        <v>0.02</v>
      </c>
      <c r="CJ84" s="262">
        <f t="shared" si="367"/>
        <v>0.02</v>
      </c>
      <c r="CK84" s="262">
        <f t="shared" si="367"/>
        <v>0.02</v>
      </c>
      <c r="CL84" s="262">
        <f t="shared" si="367"/>
        <v>0.02</v>
      </c>
      <c r="CM84" s="262">
        <f t="shared" si="368"/>
        <v>0.02</v>
      </c>
      <c r="CN84" s="262">
        <f t="shared" si="368"/>
        <v>0.02</v>
      </c>
      <c r="CO84" s="262">
        <f t="shared" si="368"/>
        <v>0.02</v>
      </c>
      <c r="CP84" s="262">
        <f t="shared" si="368"/>
        <v>0.02</v>
      </c>
      <c r="CQ84" s="262">
        <f t="shared" si="368"/>
        <v>0.02</v>
      </c>
      <c r="CR84" s="262">
        <f t="shared" si="368"/>
        <v>0.02</v>
      </c>
      <c r="CS84" s="262">
        <f t="shared" si="368"/>
        <v>0.02</v>
      </c>
      <c r="CT84" s="262">
        <f t="shared" si="368"/>
        <v>0.02</v>
      </c>
      <c r="CU84" s="262">
        <f t="shared" si="368"/>
        <v>0.04</v>
      </c>
      <c r="CV84" s="262">
        <f t="shared" si="368"/>
        <v>0.04</v>
      </c>
      <c r="CW84" s="262">
        <f t="shared" si="369"/>
        <v>0.04</v>
      </c>
      <c r="CX84" s="262">
        <f t="shared" si="369"/>
        <v>0.04</v>
      </c>
      <c r="CY84" s="262">
        <f t="shared" si="369"/>
        <v>0.04</v>
      </c>
      <c r="CZ84" s="262">
        <f t="shared" si="369"/>
        <v>0.04</v>
      </c>
      <c r="DA84" s="262">
        <f t="shared" si="369"/>
        <v>0.04</v>
      </c>
      <c r="DB84" s="262">
        <f t="shared" si="369"/>
        <v>0.04</v>
      </c>
      <c r="DC84" s="262">
        <f t="shared" si="369"/>
        <v>0.04</v>
      </c>
      <c r="DD84" s="262">
        <f t="shared" si="369"/>
        <v>0.04</v>
      </c>
      <c r="DE84" s="262">
        <f t="shared" si="369"/>
        <v>0.04</v>
      </c>
      <c r="DF84" s="262">
        <f t="shared" si="369"/>
        <v>0.04</v>
      </c>
      <c r="DG84" s="262">
        <f t="shared" si="369"/>
        <v>5.4236014565597575E-2</v>
      </c>
      <c r="DH84" s="262">
        <f t="shared" si="369"/>
        <v>5.4236014565597575E-2</v>
      </c>
      <c r="DI84" s="262">
        <f t="shared" si="369"/>
        <v>5.4236014565597575E-2</v>
      </c>
      <c r="DJ84" s="262">
        <f t="shared" si="370"/>
        <v>5.4236014565597575E-2</v>
      </c>
      <c r="DK84" s="262">
        <f t="shared" si="371"/>
        <v>5.4236014565597575E-2</v>
      </c>
      <c r="DL84" s="262">
        <f t="shared" si="371"/>
        <v>5.4236014565597575E-2</v>
      </c>
      <c r="DM84" s="262">
        <f t="shared" si="371"/>
        <v>5.4236014565597575E-2</v>
      </c>
      <c r="DN84" s="262">
        <f t="shared" si="371"/>
        <v>5.4236014565597575E-2</v>
      </c>
      <c r="DO84" s="262">
        <f t="shared" si="371"/>
        <v>5.4236014565597575E-2</v>
      </c>
      <c r="DP84" s="262">
        <f t="shared" si="371"/>
        <v>5.4236014565597575E-2</v>
      </c>
      <c r="DQ84" s="262">
        <f t="shared" si="371"/>
        <v>5.4236014565597575E-2</v>
      </c>
      <c r="DR84" s="262">
        <f t="shared" si="371"/>
        <v>5.4236014565597575E-2</v>
      </c>
      <c r="DS84" s="262">
        <f t="shared" si="371"/>
        <v>5.4236014565597575E-2</v>
      </c>
      <c r="DT84" s="262">
        <f t="shared" si="371"/>
        <v>5.4236014565597575E-2</v>
      </c>
      <c r="DU84" s="262">
        <f t="shared" si="372"/>
        <v>5.4236014565597575E-2</v>
      </c>
      <c r="DV84" s="262">
        <f t="shared" si="372"/>
        <v>5.4236014565597575E-2</v>
      </c>
      <c r="DW84" s="262">
        <f t="shared" si="372"/>
        <v>5.4236014565597575E-2</v>
      </c>
      <c r="DX84" s="262">
        <f t="shared" si="372"/>
        <v>5.4236014565597575E-2</v>
      </c>
      <c r="DY84" s="262">
        <f t="shared" si="372"/>
        <v>5.4236014565597575E-2</v>
      </c>
      <c r="DZ84" s="262">
        <f t="shared" si="372"/>
        <v>5.4236014565597575E-2</v>
      </c>
      <c r="EA84" s="262">
        <f t="shared" si="372"/>
        <v>5.4236014565597575E-2</v>
      </c>
      <c r="EB84" s="262">
        <f t="shared" si="372"/>
        <v>5.4236014565597575E-2</v>
      </c>
      <c r="EC84" s="262">
        <f t="shared" si="372"/>
        <v>5.4236014565597575E-2</v>
      </c>
      <c r="ED84" s="262">
        <f t="shared" si="372"/>
        <v>5.4236014565597575E-2</v>
      </c>
      <c r="EE84" s="262">
        <f t="shared" si="373"/>
        <v>5.4236014565597575E-2</v>
      </c>
      <c r="EF84" s="262">
        <f t="shared" si="373"/>
        <v>5.4236014565597575E-2</v>
      </c>
      <c r="EG84" s="262">
        <f t="shared" si="373"/>
        <v>5.4236014565597575E-2</v>
      </c>
      <c r="EH84" s="262">
        <f t="shared" si="373"/>
        <v>5.4236014565597575E-2</v>
      </c>
      <c r="EI84" s="262">
        <f t="shared" si="373"/>
        <v>5.4236014565597575E-2</v>
      </c>
      <c r="EJ84" s="262">
        <f t="shared" si="373"/>
        <v>5.4236014565597575E-2</v>
      </c>
      <c r="EK84" s="262">
        <f t="shared" si="373"/>
        <v>5.4236014565597575E-2</v>
      </c>
      <c r="EL84" s="262">
        <f t="shared" si="373"/>
        <v>5.4236014565597575E-2</v>
      </c>
      <c r="EM84" s="262">
        <f t="shared" si="373"/>
        <v>5.4236014565597575E-2</v>
      </c>
      <c r="EN84" s="262">
        <f t="shared" si="373"/>
        <v>5.4236014565597575E-2</v>
      </c>
      <c r="EO84" s="262">
        <f t="shared" si="374"/>
        <v>5.4236014565597575E-2</v>
      </c>
      <c r="EP84" s="262">
        <f t="shared" si="374"/>
        <v>5.4236014565597575E-2</v>
      </c>
      <c r="EQ84" s="262">
        <f t="shared" si="374"/>
        <v>0.28540961408259985</v>
      </c>
      <c r="ER84" s="262">
        <f t="shared" si="374"/>
        <v>0.28540961408259985</v>
      </c>
      <c r="ES84" s="262">
        <f t="shared" si="374"/>
        <v>0.28540961408259985</v>
      </c>
      <c r="ET84" s="262">
        <f t="shared" si="374"/>
        <v>0.28540961408259985</v>
      </c>
      <c r="EU84" s="262">
        <f t="shared" si="374"/>
        <v>0.28540961408259985</v>
      </c>
      <c r="EV84" s="262">
        <f t="shared" si="374"/>
        <v>0.28540961408259985</v>
      </c>
      <c r="EW84" s="262">
        <f t="shared" si="374"/>
        <v>0.28540961408259985</v>
      </c>
      <c r="EX84" s="262">
        <f t="shared" si="374"/>
        <v>0.28540961408259985</v>
      </c>
      <c r="EY84" s="262">
        <f t="shared" si="374"/>
        <v>0.28540961408259985</v>
      </c>
      <c r="EZ84" s="262">
        <f t="shared" si="374"/>
        <v>0.28540961408259985</v>
      </c>
      <c r="FA84" s="262">
        <f t="shared" si="374"/>
        <v>0.28540961408259985</v>
      </c>
      <c r="FB84" s="262">
        <f t="shared" si="374"/>
        <v>0.28540961408259985</v>
      </c>
    </row>
    <row r="85" spans="3:158" x14ac:dyDescent="0.25">
      <c r="C85" s="2" t="s">
        <v>300</v>
      </c>
      <c r="D85" s="330">
        <v>0</v>
      </c>
      <c r="E85" s="330">
        <v>0</v>
      </c>
      <c r="F85" s="330">
        <v>0</v>
      </c>
      <c r="G85" s="169">
        <f>G79</f>
        <v>0</v>
      </c>
      <c r="H85" s="169">
        <f>H79</f>
        <v>0</v>
      </c>
      <c r="I85" s="169">
        <f t="shared" si="362"/>
        <v>0</v>
      </c>
      <c r="J85" s="169">
        <f t="shared" si="362"/>
        <v>0</v>
      </c>
      <c r="K85" s="169">
        <f t="shared" si="362"/>
        <v>0</v>
      </c>
      <c r="L85" s="169">
        <v>5.2080620800999948E-2</v>
      </c>
      <c r="N85" s="260">
        <f t="shared" ref="N85:AW85" si="376">N109/N$105</f>
        <v>0</v>
      </c>
      <c r="O85" s="260">
        <f t="shared" si="376"/>
        <v>0</v>
      </c>
      <c r="P85" s="260">
        <f t="shared" si="376"/>
        <v>0</v>
      </c>
      <c r="Q85" s="260">
        <f t="shared" si="376"/>
        <v>0</v>
      </c>
      <c r="R85" s="260">
        <f t="shared" si="376"/>
        <v>0</v>
      </c>
      <c r="S85" s="260">
        <f t="shared" si="376"/>
        <v>0</v>
      </c>
      <c r="T85" s="260">
        <f t="shared" si="376"/>
        <v>0</v>
      </c>
      <c r="U85" s="260">
        <f t="shared" si="376"/>
        <v>0</v>
      </c>
      <c r="V85" s="260">
        <f t="shared" si="376"/>
        <v>0</v>
      </c>
      <c r="W85" s="260">
        <f t="shared" si="376"/>
        <v>0</v>
      </c>
      <c r="X85" s="260">
        <f t="shared" si="376"/>
        <v>0</v>
      </c>
      <c r="Y85" s="260">
        <f t="shared" si="376"/>
        <v>0</v>
      </c>
      <c r="Z85" s="260">
        <f t="shared" si="376"/>
        <v>0</v>
      </c>
      <c r="AA85" s="260">
        <f t="shared" si="376"/>
        <v>0</v>
      </c>
      <c r="AB85" s="260">
        <f t="shared" si="376"/>
        <v>0</v>
      </c>
      <c r="AC85" s="260">
        <f t="shared" si="376"/>
        <v>0</v>
      </c>
      <c r="AD85" s="260">
        <f t="shared" si="376"/>
        <v>0</v>
      </c>
      <c r="AE85" s="260">
        <f t="shared" si="376"/>
        <v>0</v>
      </c>
      <c r="AF85" s="260">
        <f t="shared" si="376"/>
        <v>0</v>
      </c>
      <c r="AG85" s="260">
        <f t="shared" si="376"/>
        <v>0</v>
      </c>
      <c r="AH85" s="260">
        <f t="shared" si="376"/>
        <v>0</v>
      </c>
      <c r="AI85" s="260">
        <f t="shared" si="376"/>
        <v>0</v>
      </c>
      <c r="AJ85" s="260">
        <f t="shared" si="376"/>
        <v>0</v>
      </c>
      <c r="AK85" s="260">
        <f t="shared" si="376"/>
        <v>0</v>
      </c>
      <c r="AL85" s="260">
        <f t="shared" si="376"/>
        <v>0</v>
      </c>
      <c r="AM85" s="260">
        <f t="shared" si="376"/>
        <v>0</v>
      </c>
      <c r="AN85" s="260">
        <f t="shared" si="376"/>
        <v>0</v>
      </c>
      <c r="AO85" s="260">
        <f t="shared" si="376"/>
        <v>0</v>
      </c>
      <c r="AP85" s="260">
        <f t="shared" si="376"/>
        <v>0</v>
      </c>
      <c r="AQ85" s="260">
        <f t="shared" si="376"/>
        <v>0</v>
      </c>
      <c r="AR85" s="260">
        <f t="shared" si="376"/>
        <v>0</v>
      </c>
      <c r="AS85" s="260">
        <f t="shared" si="376"/>
        <v>0</v>
      </c>
      <c r="AT85" s="260">
        <f t="shared" si="376"/>
        <v>5.2080620800999948E-2</v>
      </c>
      <c r="AU85" s="260">
        <f t="shared" si="376"/>
        <v>5.2080620800999948E-2</v>
      </c>
      <c r="AV85" s="260">
        <f t="shared" si="376"/>
        <v>5.2080620800999941E-2</v>
      </c>
      <c r="AW85" s="260">
        <f t="shared" si="376"/>
        <v>5.2080620800999941E-2</v>
      </c>
      <c r="AY85" s="262">
        <f t="shared" ref="AY85:DJ85" si="377">INDEX($D85:$L85,1,MATCH(AY$2,$D$2:$L$2,))</f>
        <v>0</v>
      </c>
      <c r="AZ85" s="262">
        <f t="shared" si="377"/>
        <v>0</v>
      </c>
      <c r="BA85" s="262">
        <f t="shared" si="377"/>
        <v>0</v>
      </c>
      <c r="BB85" s="262">
        <f t="shared" si="377"/>
        <v>0</v>
      </c>
      <c r="BC85" s="262">
        <f t="shared" si="377"/>
        <v>0</v>
      </c>
      <c r="BD85" s="262">
        <f t="shared" si="377"/>
        <v>0</v>
      </c>
      <c r="BE85" s="262">
        <f t="shared" si="377"/>
        <v>0</v>
      </c>
      <c r="BF85" s="262">
        <f t="shared" si="377"/>
        <v>0</v>
      </c>
      <c r="BG85" s="262">
        <f t="shared" si="377"/>
        <v>0</v>
      </c>
      <c r="BH85" s="262">
        <f t="shared" si="377"/>
        <v>0</v>
      </c>
      <c r="BI85" s="262">
        <f t="shared" si="377"/>
        <v>0</v>
      </c>
      <c r="BJ85" s="262">
        <f t="shared" si="377"/>
        <v>0</v>
      </c>
      <c r="BK85" s="262">
        <f t="shared" si="377"/>
        <v>0</v>
      </c>
      <c r="BL85" s="262">
        <f t="shared" si="377"/>
        <v>0</v>
      </c>
      <c r="BM85" s="262">
        <f t="shared" si="377"/>
        <v>0</v>
      </c>
      <c r="BN85" s="262">
        <f t="shared" si="377"/>
        <v>0</v>
      </c>
      <c r="BO85" s="262">
        <f t="shared" si="377"/>
        <v>0</v>
      </c>
      <c r="BP85" s="262">
        <f t="shared" si="377"/>
        <v>0</v>
      </c>
      <c r="BQ85" s="262">
        <f t="shared" si="377"/>
        <v>0</v>
      </c>
      <c r="BR85" s="262">
        <f t="shared" si="377"/>
        <v>0</v>
      </c>
      <c r="BS85" s="262">
        <f t="shared" si="377"/>
        <v>0</v>
      </c>
      <c r="BT85" s="262">
        <f t="shared" si="377"/>
        <v>0</v>
      </c>
      <c r="BU85" s="262">
        <f t="shared" si="377"/>
        <v>0</v>
      </c>
      <c r="BV85" s="262">
        <f t="shared" si="377"/>
        <v>0</v>
      </c>
      <c r="BW85" s="262">
        <f t="shared" si="377"/>
        <v>0</v>
      </c>
      <c r="BX85" s="262">
        <f t="shared" si="377"/>
        <v>0</v>
      </c>
      <c r="BY85" s="262">
        <f t="shared" si="377"/>
        <v>0</v>
      </c>
      <c r="BZ85" s="262">
        <f t="shared" si="377"/>
        <v>0</v>
      </c>
      <c r="CA85" s="262">
        <f t="shared" si="377"/>
        <v>0</v>
      </c>
      <c r="CB85" s="262">
        <f t="shared" si="377"/>
        <v>0</v>
      </c>
      <c r="CC85" s="262">
        <f t="shared" si="377"/>
        <v>0</v>
      </c>
      <c r="CD85" s="262">
        <f t="shared" si="377"/>
        <v>0</v>
      </c>
      <c r="CE85" s="262">
        <f t="shared" si="377"/>
        <v>0</v>
      </c>
      <c r="CF85" s="262">
        <f t="shared" si="377"/>
        <v>0</v>
      </c>
      <c r="CG85" s="262">
        <f t="shared" si="377"/>
        <v>0</v>
      </c>
      <c r="CH85" s="262">
        <f t="shared" si="377"/>
        <v>0</v>
      </c>
      <c r="CI85" s="262">
        <f t="shared" si="377"/>
        <v>0</v>
      </c>
      <c r="CJ85" s="262">
        <f t="shared" si="377"/>
        <v>0</v>
      </c>
      <c r="CK85" s="262">
        <f t="shared" si="377"/>
        <v>0</v>
      </c>
      <c r="CL85" s="262">
        <f t="shared" si="377"/>
        <v>0</v>
      </c>
      <c r="CM85" s="262">
        <f t="shared" si="377"/>
        <v>0</v>
      </c>
      <c r="CN85" s="262">
        <f t="shared" si="377"/>
        <v>0</v>
      </c>
      <c r="CO85" s="262">
        <f t="shared" si="377"/>
        <v>0</v>
      </c>
      <c r="CP85" s="262">
        <f t="shared" si="377"/>
        <v>0</v>
      </c>
      <c r="CQ85" s="262">
        <f t="shared" si="377"/>
        <v>0</v>
      </c>
      <c r="CR85" s="262">
        <f t="shared" si="377"/>
        <v>0</v>
      </c>
      <c r="CS85" s="262">
        <f t="shared" si="377"/>
        <v>0</v>
      </c>
      <c r="CT85" s="262">
        <f t="shared" si="377"/>
        <v>0</v>
      </c>
      <c r="CU85" s="262">
        <f t="shared" si="377"/>
        <v>0</v>
      </c>
      <c r="CV85" s="262">
        <f t="shared" si="377"/>
        <v>0</v>
      </c>
      <c r="CW85" s="262">
        <f t="shared" si="377"/>
        <v>0</v>
      </c>
      <c r="CX85" s="262">
        <f t="shared" si="377"/>
        <v>0</v>
      </c>
      <c r="CY85" s="262">
        <f t="shared" si="377"/>
        <v>0</v>
      </c>
      <c r="CZ85" s="262">
        <f t="shared" si="377"/>
        <v>0</v>
      </c>
      <c r="DA85" s="262">
        <f t="shared" si="377"/>
        <v>0</v>
      </c>
      <c r="DB85" s="262">
        <f t="shared" si="377"/>
        <v>0</v>
      </c>
      <c r="DC85" s="262">
        <f t="shared" si="377"/>
        <v>0</v>
      </c>
      <c r="DD85" s="262">
        <f t="shared" si="377"/>
        <v>0</v>
      </c>
      <c r="DE85" s="262">
        <f t="shared" si="377"/>
        <v>0</v>
      </c>
      <c r="DF85" s="262">
        <f t="shared" si="377"/>
        <v>0</v>
      </c>
      <c r="DG85" s="262">
        <f t="shared" si="377"/>
        <v>0</v>
      </c>
      <c r="DH85" s="262">
        <f t="shared" si="377"/>
        <v>0</v>
      </c>
      <c r="DI85" s="262">
        <f t="shared" si="377"/>
        <v>0</v>
      </c>
      <c r="DJ85" s="262">
        <f t="shared" si="377"/>
        <v>0</v>
      </c>
      <c r="DK85" s="262">
        <f t="shared" si="371"/>
        <v>0</v>
      </c>
      <c r="DL85" s="262">
        <f t="shared" si="371"/>
        <v>0</v>
      </c>
      <c r="DM85" s="262">
        <f t="shared" si="371"/>
        <v>0</v>
      </c>
      <c r="DN85" s="262">
        <f t="shared" si="371"/>
        <v>0</v>
      </c>
      <c r="DO85" s="262">
        <f t="shared" si="371"/>
        <v>0</v>
      </c>
      <c r="DP85" s="262">
        <f t="shared" si="371"/>
        <v>0</v>
      </c>
      <c r="DQ85" s="262">
        <f t="shared" si="371"/>
        <v>0</v>
      </c>
      <c r="DR85" s="262">
        <f t="shared" si="371"/>
        <v>0</v>
      </c>
      <c r="DS85" s="262">
        <f t="shared" si="371"/>
        <v>0</v>
      </c>
      <c r="DT85" s="262">
        <f t="shared" si="371"/>
        <v>0</v>
      </c>
      <c r="DU85" s="262">
        <f t="shared" si="372"/>
        <v>0</v>
      </c>
      <c r="DV85" s="262">
        <f t="shared" si="372"/>
        <v>0</v>
      </c>
      <c r="DW85" s="262">
        <f t="shared" si="372"/>
        <v>0</v>
      </c>
      <c r="DX85" s="262">
        <f t="shared" si="372"/>
        <v>0</v>
      </c>
      <c r="DY85" s="262">
        <f t="shared" si="372"/>
        <v>0</v>
      </c>
      <c r="DZ85" s="262">
        <f t="shared" si="372"/>
        <v>0</v>
      </c>
      <c r="EA85" s="262">
        <f t="shared" si="372"/>
        <v>0</v>
      </c>
      <c r="EB85" s="262">
        <f t="shared" si="372"/>
        <v>0</v>
      </c>
      <c r="EC85" s="262">
        <f t="shared" si="372"/>
        <v>0</v>
      </c>
      <c r="ED85" s="262">
        <f t="shared" si="372"/>
        <v>0</v>
      </c>
      <c r="EE85" s="262">
        <f t="shared" si="373"/>
        <v>0</v>
      </c>
      <c r="EF85" s="262">
        <f t="shared" si="373"/>
        <v>0</v>
      </c>
      <c r="EG85" s="262">
        <f t="shared" si="373"/>
        <v>0</v>
      </c>
      <c r="EH85" s="262">
        <f t="shared" si="373"/>
        <v>0</v>
      </c>
      <c r="EI85" s="262">
        <f t="shared" si="373"/>
        <v>0</v>
      </c>
      <c r="EJ85" s="262">
        <f t="shared" si="373"/>
        <v>0</v>
      </c>
      <c r="EK85" s="262">
        <f t="shared" si="373"/>
        <v>0</v>
      </c>
      <c r="EL85" s="262">
        <f t="shared" si="373"/>
        <v>0</v>
      </c>
      <c r="EM85" s="262">
        <f t="shared" si="373"/>
        <v>0</v>
      </c>
      <c r="EN85" s="262">
        <f t="shared" si="373"/>
        <v>0</v>
      </c>
      <c r="EO85" s="262">
        <f t="shared" si="374"/>
        <v>0</v>
      </c>
      <c r="EP85" s="262">
        <f t="shared" si="374"/>
        <v>0</v>
      </c>
      <c r="EQ85" s="262">
        <f t="shared" si="374"/>
        <v>5.2080620800999948E-2</v>
      </c>
      <c r="ER85" s="262">
        <f t="shared" si="374"/>
        <v>5.2080620800999948E-2</v>
      </c>
      <c r="ES85" s="262">
        <f t="shared" si="374"/>
        <v>5.2080620800999948E-2</v>
      </c>
      <c r="ET85" s="262">
        <f t="shared" si="374"/>
        <v>5.2080620800999948E-2</v>
      </c>
      <c r="EU85" s="262">
        <f t="shared" si="374"/>
        <v>5.2080620800999948E-2</v>
      </c>
      <c r="EV85" s="262">
        <f t="shared" si="374"/>
        <v>5.2080620800999948E-2</v>
      </c>
      <c r="EW85" s="262">
        <f t="shared" si="374"/>
        <v>5.2080620800999948E-2</v>
      </c>
      <c r="EX85" s="262">
        <f t="shared" si="374"/>
        <v>5.2080620800999948E-2</v>
      </c>
      <c r="EY85" s="262">
        <f t="shared" si="374"/>
        <v>5.2080620800999948E-2</v>
      </c>
      <c r="EZ85" s="262">
        <f t="shared" si="374"/>
        <v>5.2080620800999948E-2</v>
      </c>
      <c r="FA85" s="262">
        <f t="shared" si="374"/>
        <v>5.2080620800999948E-2</v>
      </c>
      <c r="FB85" s="262">
        <f t="shared" si="374"/>
        <v>5.2080620800999948E-2</v>
      </c>
    </row>
    <row r="86" spans="3:158" x14ac:dyDescent="0.25">
      <c r="D86" s="331"/>
      <c r="E86" s="331"/>
      <c r="F86" s="331"/>
    </row>
    <row r="87" spans="3:158" x14ac:dyDescent="0.25">
      <c r="C87" s="304" t="s">
        <v>642</v>
      </c>
      <c r="D87" s="331"/>
      <c r="E87" s="331"/>
      <c r="F87" s="331"/>
    </row>
    <row r="88" spans="3:158" x14ac:dyDescent="0.25">
      <c r="C88" s="2" t="s">
        <v>346</v>
      </c>
      <c r="D88" s="349">
        <f t="shared" ref="D88" si="378">1-SUM(D89:D91)</f>
        <v>0.95</v>
      </c>
      <c r="E88" s="349">
        <f t="shared" ref="E88" si="379">1-SUM(E89:E91)</f>
        <v>0.95</v>
      </c>
      <c r="F88" s="349">
        <f t="shared" ref="F88" si="380">1-SUM(F89:F91)</f>
        <v>0.95</v>
      </c>
      <c r="G88" s="349">
        <f t="shared" ref="G88" si="381">1-SUM(G89:G91)</f>
        <v>0.97637265202223422</v>
      </c>
      <c r="H88" s="349">
        <f t="shared" ref="H88" si="382">1-SUM(H89:H91)</f>
        <v>0.96413838381770467</v>
      </c>
      <c r="I88" s="349">
        <f>1-SUM(I89:I91)</f>
        <v>0.94425344412449175</v>
      </c>
      <c r="J88" s="349">
        <f t="shared" ref="J88" si="383">1-SUM(J89:J91)</f>
        <v>0.89389494922779045</v>
      </c>
      <c r="K88" s="349">
        <f t="shared" ref="K88" si="384">1-SUM(K89:K91)</f>
        <v>0.85671938440234552</v>
      </c>
      <c r="L88" s="349">
        <f t="shared" ref="L88" si="385">1-SUM(L89:L91)</f>
        <v>0.83446083008213967</v>
      </c>
      <c r="N88" s="260">
        <f t="shared" ref="N88:AW88" si="386">N112/N$111</f>
        <v>0.95</v>
      </c>
      <c r="O88" s="260">
        <f t="shared" si="386"/>
        <v>0.95</v>
      </c>
      <c r="P88" s="260">
        <f t="shared" si="386"/>
        <v>0.95000000000000007</v>
      </c>
      <c r="Q88" s="260">
        <f t="shared" si="386"/>
        <v>0.95</v>
      </c>
      <c r="R88" s="260">
        <f t="shared" si="386"/>
        <v>0.95</v>
      </c>
      <c r="S88" s="260">
        <f t="shared" si="386"/>
        <v>0.95000000000000007</v>
      </c>
      <c r="T88" s="260">
        <f t="shared" si="386"/>
        <v>0.95</v>
      </c>
      <c r="U88" s="260">
        <f t="shared" si="386"/>
        <v>0.95</v>
      </c>
      <c r="V88" s="260">
        <f t="shared" si="386"/>
        <v>0.94999999999999984</v>
      </c>
      <c r="W88" s="260">
        <f t="shared" si="386"/>
        <v>0.95</v>
      </c>
      <c r="X88" s="260">
        <f t="shared" si="386"/>
        <v>0.95</v>
      </c>
      <c r="Y88" s="260">
        <f t="shared" si="386"/>
        <v>0.95</v>
      </c>
      <c r="Z88" s="260">
        <f t="shared" si="386"/>
        <v>0.97637265202223422</v>
      </c>
      <c r="AA88" s="260">
        <f t="shared" si="386"/>
        <v>0.97637265202223444</v>
      </c>
      <c r="AB88" s="260">
        <f t="shared" si="386"/>
        <v>0.97637265202223433</v>
      </c>
      <c r="AC88" s="260">
        <f t="shared" si="386"/>
        <v>0.97637265202223422</v>
      </c>
      <c r="AD88" s="260">
        <f t="shared" si="386"/>
        <v>0.96413838381770478</v>
      </c>
      <c r="AE88" s="260">
        <f t="shared" si="386"/>
        <v>0.96413838381770456</v>
      </c>
      <c r="AF88" s="260">
        <f t="shared" si="386"/>
        <v>0.96413838381770478</v>
      </c>
      <c r="AG88" s="260">
        <f t="shared" si="386"/>
        <v>0.96413838381770467</v>
      </c>
      <c r="AH88" s="260">
        <f t="shared" si="386"/>
        <v>0.94425344412449175</v>
      </c>
      <c r="AI88" s="260">
        <f t="shared" si="386"/>
        <v>0.94425344412449164</v>
      </c>
      <c r="AJ88" s="260">
        <f t="shared" si="386"/>
        <v>0.94425344412449164</v>
      </c>
      <c r="AK88" s="260">
        <f t="shared" si="386"/>
        <v>0.94425344412449186</v>
      </c>
      <c r="AL88" s="260">
        <f t="shared" si="386"/>
        <v>0.89389494922779056</v>
      </c>
      <c r="AM88" s="260">
        <f t="shared" si="386"/>
        <v>0.89389494922779045</v>
      </c>
      <c r="AN88" s="260">
        <f t="shared" si="386"/>
        <v>0.89389494922779045</v>
      </c>
      <c r="AO88" s="260">
        <f t="shared" si="386"/>
        <v>0.89389494922779045</v>
      </c>
      <c r="AP88" s="260">
        <f t="shared" si="386"/>
        <v>0.85671938440234563</v>
      </c>
      <c r="AQ88" s="260">
        <f t="shared" si="386"/>
        <v>0.85671938440234552</v>
      </c>
      <c r="AR88" s="260">
        <f t="shared" si="386"/>
        <v>0.85671938440234552</v>
      </c>
      <c r="AS88" s="260">
        <f t="shared" si="386"/>
        <v>0.85671938440234552</v>
      </c>
      <c r="AT88" s="260">
        <f t="shared" si="386"/>
        <v>0.83446083008213967</v>
      </c>
      <c r="AU88" s="260">
        <f t="shared" si="386"/>
        <v>0.83446083008213978</v>
      </c>
      <c r="AV88" s="260">
        <f t="shared" si="386"/>
        <v>0.83446083008213978</v>
      </c>
      <c r="AW88" s="260">
        <f t="shared" si="386"/>
        <v>0.83446083008213967</v>
      </c>
      <c r="AY88" s="260">
        <f t="shared" ref="AY88:DJ88" si="387">1-SUM(AY89:AY91)</f>
        <v>0.95</v>
      </c>
      <c r="AZ88" s="260">
        <f t="shared" si="387"/>
        <v>0.95</v>
      </c>
      <c r="BA88" s="260">
        <f t="shared" si="387"/>
        <v>0.95</v>
      </c>
      <c r="BB88" s="260">
        <f t="shared" si="387"/>
        <v>0.95</v>
      </c>
      <c r="BC88" s="260">
        <f t="shared" si="387"/>
        <v>0.95</v>
      </c>
      <c r="BD88" s="260">
        <f t="shared" si="387"/>
        <v>0.95</v>
      </c>
      <c r="BE88" s="260">
        <f t="shared" si="387"/>
        <v>0.95</v>
      </c>
      <c r="BF88" s="260">
        <f t="shared" si="387"/>
        <v>0.95</v>
      </c>
      <c r="BG88" s="260">
        <f t="shared" si="387"/>
        <v>0.95</v>
      </c>
      <c r="BH88" s="260">
        <f t="shared" si="387"/>
        <v>0.95</v>
      </c>
      <c r="BI88" s="260">
        <f t="shared" si="387"/>
        <v>0.95</v>
      </c>
      <c r="BJ88" s="260">
        <f t="shared" si="387"/>
        <v>0.95</v>
      </c>
      <c r="BK88" s="260">
        <f t="shared" si="387"/>
        <v>0.95</v>
      </c>
      <c r="BL88" s="260">
        <f t="shared" si="387"/>
        <v>0.95</v>
      </c>
      <c r="BM88" s="260">
        <f t="shared" si="387"/>
        <v>0.95</v>
      </c>
      <c r="BN88" s="260">
        <f t="shared" si="387"/>
        <v>0.95</v>
      </c>
      <c r="BO88" s="260">
        <f t="shared" si="387"/>
        <v>0.95</v>
      </c>
      <c r="BP88" s="260">
        <f t="shared" si="387"/>
        <v>0.95</v>
      </c>
      <c r="BQ88" s="260">
        <f t="shared" si="387"/>
        <v>0.95</v>
      </c>
      <c r="BR88" s="260">
        <f t="shared" si="387"/>
        <v>0.95</v>
      </c>
      <c r="BS88" s="260">
        <f t="shared" si="387"/>
        <v>0.95</v>
      </c>
      <c r="BT88" s="260">
        <f t="shared" si="387"/>
        <v>0.95</v>
      </c>
      <c r="BU88" s="260">
        <f t="shared" si="387"/>
        <v>0.95</v>
      </c>
      <c r="BV88" s="260">
        <f t="shared" si="387"/>
        <v>0.95</v>
      </c>
      <c r="BW88" s="260">
        <f t="shared" si="387"/>
        <v>0.95</v>
      </c>
      <c r="BX88" s="260">
        <f t="shared" si="387"/>
        <v>0.95</v>
      </c>
      <c r="BY88" s="260">
        <f t="shared" si="387"/>
        <v>0.95</v>
      </c>
      <c r="BZ88" s="260">
        <f t="shared" si="387"/>
        <v>0.95</v>
      </c>
      <c r="CA88" s="260">
        <f t="shared" si="387"/>
        <v>0.95</v>
      </c>
      <c r="CB88" s="260">
        <f t="shared" si="387"/>
        <v>0.95</v>
      </c>
      <c r="CC88" s="260">
        <f t="shared" si="387"/>
        <v>0.95</v>
      </c>
      <c r="CD88" s="260">
        <f t="shared" si="387"/>
        <v>0.95</v>
      </c>
      <c r="CE88" s="260">
        <f t="shared" si="387"/>
        <v>0.95</v>
      </c>
      <c r="CF88" s="260">
        <f t="shared" si="387"/>
        <v>0.95</v>
      </c>
      <c r="CG88" s="260">
        <f t="shared" si="387"/>
        <v>0.95</v>
      </c>
      <c r="CH88" s="260">
        <f t="shared" si="387"/>
        <v>0.95</v>
      </c>
      <c r="CI88" s="260">
        <f t="shared" si="387"/>
        <v>0.97637265202223422</v>
      </c>
      <c r="CJ88" s="260">
        <f t="shared" si="387"/>
        <v>0.97637265202223422</v>
      </c>
      <c r="CK88" s="260">
        <f t="shared" si="387"/>
        <v>0.97637265202223422</v>
      </c>
      <c r="CL88" s="260">
        <f t="shared" si="387"/>
        <v>0.97637265202223422</v>
      </c>
      <c r="CM88" s="260">
        <f t="shared" si="387"/>
        <v>0.97637265202223422</v>
      </c>
      <c r="CN88" s="260">
        <f t="shared" si="387"/>
        <v>0.97637265202223422</v>
      </c>
      <c r="CO88" s="260">
        <f t="shared" si="387"/>
        <v>0.97637265202223422</v>
      </c>
      <c r="CP88" s="260">
        <f t="shared" si="387"/>
        <v>0.97637265202223422</v>
      </c>
      <c r="CQ88" s="260">
        <f t="shared" si="387"/>
        <v>0.97637265202223422</v>
      </c>
      <c r="CR88" s="260">
        <f t="shared" si="387"/>
        <v>0.97637265202223422</v>
      </c>
      <c r="CS88" s="260">
        <f t="shared" si="387"/>
        <v>0.97637265202223422</v>
      </c>
      <c r="CT88" s="260">
        <f t="shared" si="387"/>
        <v>0.97637265202223422</v>
      </c>
      <c r="CU88" s="260">
        <f t="shared" si="387"/>
        <v>0.96413838381770467</v>
      </c>
      <c r="CV88" s="260">
        <f t="shared" si="387"/>
        <v>0.96413838381770467</v>
      </c>
      <c r="CW88" s="260">
        <f t="shared" si="387"/>
        <v>0.96413838381770467</v>
      </c>
      <c r="CX88" s="260">
        <f t="shared" si="387"/>
        <v>0.96413838381770467</v>
      </c>
      <c r="CY88" s="260">
        <f t="shared" si="387"/>
        <v>0.96413838381770467</v>
      </c>
      <c r="CZ88" s="260">
        <f t="shared" si="387"/>
        <v>0.96413838381770467</v>
      </c>
      <c r="DA88" s="260">
        <f t="shared" si="387"/>
        <v>0.96413838381770467</v>
      </c>
      <c r="DB88" s="260">
        <f t="shared" si="387"/>
        <v>0.96413838381770467</v>
      </c>
      <c r="DC88" s="260">
        <f t="shared" si="387"/>
        <v>0.96413838381770467</v>
      </c>
      <c r="DD88" s="260">
        <f t="shared" si="387"/>
        <v>0.96413838381770467</v>
      </c>
      <c r="DE88" s="260">
        <f t="shared" si="387"/>
        <v>0.96413838381770467</v>
      </c>
      <c r="DF88" s="260">
        <f t="shared" si="387"/>
        <v>0.96413838381770467</v>
      </c>
      <c r="DG88" s="260">
        <f t="shared" si="387"/>
        <v>0.94425344412449175</v>
      </c>
      <c r="DH88" s="260">
        <f t="shared" si="387"/>
        <v>0.94425344412449175</v>
      </c>
      <c r="DI88" s="260">
        <f t="shared" si="387"/>
        <v>0.94425344412449175</v>
      </c>
      <c r="DJ88" s="260">
        <f t="shared" si="387"/>
        <v>0.94425344412449175</v>
      </c>
      <c r="DK88" s="260">
        <f t="shared" ref="DK88:FB88" si="388">1-SUM(DK89:DK91)</f>
        <v>0.94425344412449175</v>
      </c>
      <c r="DL88" s="260">
        <f t="shared" si="388"/>
        <v>0.94425344412449175</v>
      </c>
      <c r="DM88" s="260">
        <f t="shared" si="388"/>
        <v>0.94425344412449175</v>
      </c>
      <c r="DN88" s="260">
        <f t="shared" si="388"/>
        <v>0.94425344412449175</v>
      </c>
      <c r="DO88" s="260">
        <f t="shared" si="388"/>
        <v>0.94425344412449175</v>
      </c>
      <c r="DP88" s="260">
        <f t="shared" si="388"/>
        <v>0.94425344412449175</v>
      </c>
      <c r="DQ88" s="260">
        <f t="shared" si="388"/>
        <v>0.94425344412449175</v>
      </c>
      <c r="DR88" s="260">
        <f t="shared" si="388"/>
        <v>0.94425344412449175</v>
      </c>
      <c r="DS88" s="260">
        <f t="shared" si="388"/>
        <v>0.89389494922779045</v>
      </c>
      <c r="DT88" s="260">
        <f t="shared" si="388"/>
        <v>0.89389494922779045</v>
      </c>
      <c r="DU88" s="260">
        <f t="shared" si="388"/>
        <v>0.89389494922779045</v>
      </c>
      <c r="DV88" s="260">
        <f t="shared" si="388"/>
        <v>0.89389494922779045</v>
      </c>
      <c r="DW88" s="260">
        <f t="shared" si="388"/>
        <v>0.89389494922779045</v>
      </c>
      <c r="DX88" s="260">
        <f t="shared" si="388"/>
        <v>0.89389494922779045</v>
      </c>
      <c r="DY88" s="260">
        <f t="shared" si="388"/>
        <v>0.89389494922779045</v>
      </c>
      <c r="DZ88" s="260">
        <f t="shared" si="388"/>
        <v>0.89389494922779045</v>
      </c>
      <c r="EA88" s="260">
        <f t="shared" si="388"/>
        <v>0.89389494922779045</v>
      </c>
      <c r="EB88" s="260">
        <f t="shared" si="388"/>
        <v>0.89389494922779045</v>
      </c>
      <c r="EC88" s="260">
        <f t="shared" si="388"/>
        <v>0.89389494922779045</v>
      </c>
      <c r="ED88" s="260">
        <f t="shared" si="388"/>
        <v>0.89389494922779045</v>
      </c>
      <c r="EE88" s="260">
        <f t="shared" si="388"/>
        <v>0.85671938440234552</v>
      </c>
      <c r="EF88" s="260">
        <f t="shared" si="388"/>
        <v>0.85671938440234552</v>
      </c>
      <c r="EG88" s="260">
        <f t="shared" si="388"/>
        <v>0.85671938440234552</v>
      </c>
      <c r="EH88" s="260">
        <f t="shared" si="388"/>
        <v>0.85671938440234552</v>
      </c>
      <c r="EI88" s="260">
        <f t="shared" si="388"/>
        <v>0.85671938440234552</v>
      </c>
      <c r="EJ88" s="260">
        <f t="shared" si="388"/>
        <v>0.85671938440234552</v>
      </c>
      <c r="EK88" s="260">
        <f t="shared" si="388"/>
        <v>0.85671938440234552</v>
      </c>
      <c r="EL88" s="260">
        <f t="shared" si="388"/>
        <v>0.85671938440234552</v>
      </c>
      <c r="EM88" s="260">
        <f t="shared" si="388"/>
        <v>0.85671938440234552</v>
      </c>
      <c r="EN88" s="260">
        <f t="shared" si="388"/>
        <v>0.85671938440234552</v>
      </c>
      <c r="EO88" s="260">
        <f t="shared" si="388"/>
        <v>0.85671938440234552</v>
      </c>
      <c r="EP88" s="260">
        <f t="shared" si="388"/>
        <v>0.85671938440234552</v>
      </c>
      <c r="EQ88" s="260">
        <f t="shared" si="388"/>
        <v>0.83446083008213967</v>
      </c>
      <c r="ER88" s="260">
        <f t="shared" si="388"/>
        <v>0.83446083008213967</v>
      </c>
      <c r="ES88" s="260">
        <f t="shared" si="388"/>
        <v>0.83446083008213967</v>
      </c>
      <c r="ET88" s="260">
        <f t="shared" si="388"/>
        <v>0.83446083008213967</v>
      </c>
      <c r="EU88" s="260">
        <f t="shared" si="388"/>
        <v>0.83446083008213967</v>
      </c>
      <c r="EV88" s="260">
        <f t="shared" si="388"/>
        <v>0.83446083008213967</v>
      </c>
      <c r="EW88" s="260">
        <f t="shared" si="388"/>
        <v>0.83446083008213967</v>
      </c>
      <c r="EX88" s="260">
        <f t="shared" si="388"/>
        <v>0.83446083008213967</v>
      </c>
      <c r="EY88" s="260">
        <f t="shared" si="388"/>
        <v>0.83446083008213967</v>
      </c>
      <c r="EZ88" s="260">
        <f t="shared" si="388"/>
        <v>0.83446083008213967</v>
      </c>
      <c r="FA88" s="260">
        <f t="shared" si="388"/>
        <v>0.83446083008213967</v>
      </c>
      <c r="FB88" s="260">
        <f t="shared" si="388"/>
        <v>0.83446083008213967</v>
      </c>
    </row>
    <row r="89" spans="3:158" x14ac:dyDescent="0.25">
      <c r="C89" s="2" t="s">
        <v>298</v>
      </c>
      <c r="D89" s="330">
        <v>0.02</v>
      </c>
      <c r="E89" s="330">
        <v>0.02</v>
      </c>
      <c r="F89" s="330">
        <v>0.02</v>
      </c>
      <c r="G89" s="351">
        <f t="shared" ref="G89:L89" si="389">F143</f>
        <v>2.0162032904498084E-2</v>
      </c>
      <c r="H89" s="351">
        <f t="shared" si="389"/>
        <v>2.4725863949333231E-2</v>
      </c>
      <c r="I89" s="351">
        <f t="shared" si="389"/>
        <v>3.2930243934542434E-2</v>
      </c>
      <c r="J89" s="351">
        <f t="shared" si="389"/>
        <v>7.0974507372811746E-2</v>
      </c>
      <c r="K89" s="351">
        <f t="shared" si="389"/>
        <v>0.10091222744055964</v>
      </c>
      <c r="L89" s="351">
        <f t="shared" si="389"/>
        <v>0.1188371835637545</v>
      </c>
      <c r="N89" s="260">
        <f t="shared" ref="N89:AW89" si="390">N113/N$111</f>
        <v>0.02</v>
      </c>
      <c r="O89" s="260">
        <f t="shared" si="390"/>
        <v>0.02</v>
      </c>
      <c r="P89" s="260">
        <f t="shared" si="390"/>
        <v>0.02</v>
      </c>
      <c r="Q89" s="260">
        <f t="shared" si="390"/>
        <v>0.02</v>
      </c>
      <c r="R89" s="260">
        <f t="shared" si="390"/>
        <v>0.02</v>
      </c>
      <c r="S89" s="260">
        <f t="shared" si="390"/>
        <v>0.02</v>
      </c>
      <c r="T89" s="260">
        <f t="shared" si="390"/>
        <v>0.02</v>
      </c>
      <c r="U89" s="260">
        <f t="shared" si="390"/>
        <v>0.02</v>
      </c>
      <c r="V89" s="260">
        <f t="shared" si="390"/>
        <v>0.02</v>
      </c>
      <c r="W89" s="260">
        <f t="shared" si="390"/>
        <v>0.02</v>
      </c>
      <c r="X89" s="260">
        <f t="shared" si="390"/>
        <v>0.02</v>
      </c>
      <c r="Y89" s="260">
        <f t="shared" si="390"/>
        <v>0.02</v>
      </c>
      <c r="Z89" s="260">
        <f t="shared" si="390"/>
        <v>2.0162032904498084E-2</v>
      </c>
      <c r="AA89" s="260">
        <f t="shared" si="390"/>
        <v>2.016203290449808E-2</v>
      </c>
      <c r="AB89" s="260">
        <f t="shared" si="390"/>
        <v>2.0162032904498084E-2</v>
      </c>
      <c r="AC89" s="260">
        <f t="shared" si="390"/>
        <v>2.0162032904498084E-2</v>
      </c>
      <c r="AD89" s="260">
        <f t="shared" si="390"/>
        <v>2.4725863949333231E-2</v>
      </c>
      <c r="AE89" s="260">
        <f t="shared" si="390"/>
        <v>2.4725863949333227E-2</v>
      </c>
      <c r="AF89" s="260">
        <f t="shared" si="390"/>
        <v>2.4725863949333234E-2</v>
      </c>
      <c r="AG89" s="260">
        <f t="shared" si="390"/>
        <v>2.4725863949333234E-2</v>
      </c>
      <c r="AH89" s="260">
        <f t="shared" si="390"/>
        <v>3.2930243934542441E-2</v>
      </c>
      <c r="AI89" s="260">
        <f t="shared" si="390"/>
        <v>3.2930243934542434E-2</v>
      </c>
      <c r="AJ89" s="260">
        <f t="shared" si="390"/>
        <v>3.2930243934542434E-2</v>
      </c>
      <c r="AK89" s="260">
        <f t="shared" si="390"/>
        <v>3.2930243934542434E-2</v>
      </c>
      <c r="AL89" s="260">
        <f t="shared" si="390"/>
        <v>7.0974507372811746E-2</v>
      </c>
      <c r="AM89" s="260">
        <f t="shared" si="390"/>
        <v>7.0974507372811746E-2</v>
      </c>
      <c r="AN89" s="260">
        <f t="shared" si="390"/>
        <v>7.0974507372811732E-2</v>
      </c>
      <c r="AO89" s="260">
        <f t="shared" si="390"/>
        <v>7.0974507372811746E-2</v>
      </c>
      <c r="AP89" s="260">
        <f t="shared" si="390"/>
        <v>0.10091222744055964</v>
      </c>
      <c r="AQ89" s="260">
        <f t="shared" si="390"/>
        <v>0.10091222744055962</v>
      </c>
      <c r="AR89" s="260">
        <f t="shared" si="390"/>
        <v>0.10091222744055964</v>
      </c>
      <c r="AS89" s="260">
        <f t="shared" si="390"/>
        <v>0.10091222744055964</v>
      </c>
      <c r="AT89" s="260">
        <f t="shared" si="390"/>
        <v>0.11883718356375451</v>
      </c>
      <c r="AU89" s="260">
        <f t="shared" si="390"/>
        <v>0.1188371835637545</v>
      </c>
      <c r="AV89" s="260">
        <f t="shared" si="390"/>
        <v>0.11883718356375451</v>
      </c>
      <c r="AW89" s="260">
        <f t="shared" si="390"/>
        <v>0.11883718356375451</v>
      </c>
      <c r="AY89" s="262">
        <f t="shared" ref="AY89:DJ90" si="391">INDEX($D89:$L89,1,MATCH(AY$2,$D$2:$L$2,))</f>
        <v>0.02</v>
      </c>
      <c r="AZ89" s="262">
        <f t="shared" si="391"/>
        <v>0.02</v>
      </c>
      <c r="BA89" s="262">
        <f t="shared" si="391"/>
        <v>0.02</v>
      </c>
      <c r="BB89" s="262">
        <f t="shared" si="391"/>
        <v>0.02</v>
      </c>
      <c r="BC89" s="262">
        <f t="shared" si="391"/>
        <v>0.02</v>
      </c>
      <c r="BD89" s="262">
        <f t="shared" si="391"/>
        <v>0.02</v>
      </c>
      <c r="BE89" s="262">
        <f t="shared" si="391"/>
        <v>0.02</v>
      </c>
      <c r="BF89" s="262">
        <f t="shared" si="391"/>
        <v>0.02</v>
      </c>
      <c r="BG89" s="262">
        <f t="shared" si="391"/>
        <v>0.02</v>
      </c>
      <c r="BH89" s="262">
        <f t="shared" si="391"/>
        <v>0.02</v>
      </c>
      <c r="BI89" s="262">
        <f t="shared" si="391"/>
        <v>0.02</v>
      </c>
      <c r="BJ89" s="262">
        <f t="shared" si="391"/>
        <v>0.02</v>
      </c>
      <c r="BK89" s="262">
        <f t="shared" si="391"/>
        <v>0.02</v>
      </c>
      <c r="BL89" s="262">
        <f t="shared" si="391"/>
        <v>0.02</v>
      </c>
      <c r="BM89" s="262">
        <f t="shared" si="391"/>
        <v>0.02</v>
      </c>
      <c r="BN89" s="262">
        <f t="shared" si="391"/>
        <v>0.02</v>
      </c>
      <c r="BO89" s="262">
        <f t="shared" si="391"/>
        <v>0.02</v>
      </c>
      <c r="BP89" s="262">
        <f t="shared" si="391"/>
        <v>0.02</v>
      </c>
      <c r="BQ89" s="262">
        <f t="shared" si="391"/>
        <v>0.02</v>
      </c>
      <c r="BR89" s="262">
        <f t="shared" si="391"/>
        <v>0.02</v>
      </c>
      <c r="BS89" s="262">
        <f t="shared" si="391"/>
        <v>0.02</v>
      </c>
      <c r="BT89" s="262">
        <f t="shared" si="391"/>
        <v>0.02</v>
      </c>
      <c r="BU89" s="262">
        <f t="shared" si="391"/>
        <v>0.02</v>
      </c>
      <c r="BV89" s="262">
        <f t="shared" si="391"/>
        <v>0.02</v>
      </c>
      <c r="BW89" s="262">
        <f t="shared" si="391"/>
        <v>0.02</v>
      </c>
      <c r="BX89" s="262">
        <f t="shared" si="391"/>
        <v>0.02</v>
      </c>
      <c r="BY89" s="262">
        <f t="shared" si="391"/>
        <v>0.02</v>
      </c>
      <c r="BZ89" s="262">
        <f t="shared" si="391"/>
        <v>0.02</v>
      </c>
      <c r="CA89" s="262">
        <f t="shared" si="391"/>
        <v>0.02</v>
      </c>
      <c r="CB89" s="262">
        <f t="shared" si="391"/>
        <v>0.02</v>
      </c>
      <c r="CC89" s="262">
        <f t="shared" si="391"/>
        <v>0.02</v>
      </c>
      <c r="CD89" s="262">
        <f t="shared" si="391"/>
        <v>0.02</v>
      </c>
      <c r="CE89" s="262">
        <f t="shared" si="391"/>
        <v>0.02</v>
      </c>
      <c r="CF89" s="262">
        <f t="shared" si="391"/>
        <v>0.02</v>
      </c>
      <c r="CG89" s="262">
        <f t="shared" si="391"/>
        <v>0.02</v>
      </c>
      <c r="CH89" s="262">
        <f t="shared" si="391"/>
        <v>0.02</v>
      </c>
      <c r="CI89" s="262">
        <f t="shared" si="391"/>
        <v>2.0162032904498084E-2</v>
      </c>
      <c r="CJ89" s="262">
        <f t="shared" si="391"/>
        <v>2.0162032904498084E-2</v>
      </c>
      <c r="CK89" s="262">
        <f t="shared" si="391"/>
        <v>2.0162032904498084E-2</v>
      </c>
      <c r="CL89" s="262">
        <f t="shared" si="391"/>
        <v>2.0162032904498084E-2</v>
      </c>
      <c r="CM89" s="262">
        <f t="shared" si="391"/>
        <v>2.0162032904498084E-2</v>
      </c>
      <c r="CN89" s="262">
        <f t="shared" si="391"/>
        <v>2.0162032904498084E-2</v>
      </c>
      <c r="CO89" s="262">
        <f t="shared" si="391"/>
        <v>2.0162032904498084E-2</v>
      </c>
      <c r="CP89" s="262">
        <f t="shared" si="391"/>
        <v>2.0162032904498084E-2</v>
      </c>
      <c r="CQ89" s="262">
        <f t="shared" si="391"/>
        <v>2.0162032904498084E-2</v>
      </c>
      <c r="CR89" s="262">
        <f t="shared" si="391"/>
        <v>2.0162032904498084E-2</v>
      </c>
      <c r="CS89" s="262">
        <f t="shared" si="391"/>
        <v>2.0162032904498084E-2</v>
      </c>
      <c r="CT89" s="262">
        <f t="shared" si="391"/>
        <v>2.0162032904498084E-2</v>
      </c>
      <c r="CU89" s="262">
        <f t="shared" si="391"/>
        <v>2.4725863949333231E-2</v>
      </c>
      <c r="CV89" s="262">
        <f t="shared" si="391"/>
        <v>2.4725863949333231E-2</v>
      </c>
      <c r="CW89" s="262">
        <f t="shared" si="391"/>
        <v>2.4725863949333231E-2</v>
      </c>
      <c r="CX89" s="262">
        <f t="shared" si="391"/>
        <v>2.4725863949333231E-2</v>
      </c>
      <c r="CY89" s="262">
        <f t="shared" si="391"/>
        <v>2.4725863949333231E-2</v>
      </c>
      <c r="CZ89" s="262">
        <f t="shared" si="391"/>
        <v>2.4725863949333231E-2</v>
      </c>
      <c r="DA89" s="262">
        <f t="shared" si="391"/>
        <v>2.4725863949333231E-2</v>
      </c>
      <c r="DB89" s="262">
        <f t="shared" si="391"/>
        <v>2.4725863949333231E-2</v>
      </c>
      <c r="DC89" s="262">
        <f t="shared" si="391"/>
        <v>2.4725863949333231E-2</v>
      </c>
      <c r="DD89" s="262">
        <f t="shared" si="391"/>
        <v>2.4725863949333231E-2</v>
      </c>
      <c r="DE89" s="262">
        <f t="shared" si="391"/>
        <v>2.4725863949333231E-2</v>
      </c>
      <c r="DF89" s="262">
        <f t="shared" si="391"/>
        <v>2.4725863949333231E-2</v>
      </c>
      <c r="DG89" s="262">
        <f t="shared" si="391"/>
        <v>3.2930243934542434E-2</v>
      </c>
      <c r="DH89" s="262">
        <f t="shared" si="391"/>
        <v>3.2930243934542434E-2</v>
      </c>
      <c r="DI89" s="262">
        <f t="shared" si="391"/>
        <v>3.2930243934542434E-2</v>
      </c>
      <c r="DJ89" s="262">
        <f t="shared" si="391"/>
        <v>3.2930243934542434E-2</v>
      </c>
      <c r="DK89" s="262">
        <f t="shared" ref="DK89:FB91" si="392">INDEX($D89:$L89,1,MATCH(DK$2,$D$2:$L$2,))</f>
        <v>3.2930243934542434E-2</v>
      </c>
      <c r="DL89" s="262">
        <f t="shared" si="392"/>
        <v>3.2930243934542434E-2</v>
      </c>
      <c r="DM89" s="262">
        <f t="shared" si="392"/>
        <v>3.2930243934542434E-2</v>
      </c>
      <c r="DN89" s="262">
        <f t="shared" si="392"/>
        <v>3.2930243934542434E-2</v>
      </c>
      <c r="DO89" s="262">
        <f t="shared" si="392"/>
        <v>3.2930243934542434E-2</v>
      </c>
      <c r="DP89" s="262">
        <f t="shared" si="392"/>
        <v>3.2930243934542434E-2</v>
      </c>
      <c r="DQ89" s="262">
        <f t="shared" si="392"/>
        <v>3.2930243934542434E-2</v>
      </c>
      <c r="DR89" s="262">
        <f t="shared" si="392"/>
        <v>3.2930243934542434E-2</v>
      </c>
      <c r="DS89" s="262">
        <f t="shared" si="392"/>
        <v>7.0974507372811746E-2</v>
      </c>
      <c r="DT89" s="262">
        <f t="shared" si="392"/>
        <v>7.0974507372811746E-2</v>
      </c>
      <c r="DU89" s="262">
        <f t="shared" si="392"/>
        <v>7.0974507372811746E-2</v>
      </c>
      <c r="DV89" s="262">
        <f t="shared" si="392"/>
        <v>7.0974507372811746E-2</v>
      </c>
      <c r="DW89" s="262">
        <f t="shared" si="392"/>
        <v>7.0974507372811746E-2</v>
      </c>
      <c r="DX89" s="262">
        <f t="shared" si="392"/>
        <v>7.0974507372811746E-2</v>
      </c>
      <c r="DY89" s="262">
        <f t="shared" si="392"/>
        <v>7.0974507372811746E-2</v>
      </c>
      <c r="DZ89" s="262">
        <f t="shared" si="392"/>
        <v>7.0974507372811746E-2</v>
      </c>
      <c r="EA89" s="262">
        <f t="shared" si="392"/>
        <v>7.0974507372811746E-2</v>
      </c>
      <c r="EB89" s="262">
        <f t="shared" si="392"/>
        <v>7.0974507372811746E-2</v>
      </c>
      <c r="EC89" s="262">
        <f t="shared" si="392"/>
        <v>7.0974507372811746E-2</v>
      </c>
      <c r="ED89" s="262">
        <f t="shared" si="392"/>
        <v>7.0974507372811746E-2</v>
      </c>
      <c r="EE89" s="262">
        <f t="shared" si="392"/>
        <v>0.10091222744055964</v>
      </c>
      <c r="EF89" s="262">
        <f t="shared" si="392"/>
        <v>0.10091222744055964</v>
      </c>
      <c r="EG89" s="262">
        <f t="shared" si="392"/>
        <v>0.10091222744055964</v>
      </c>
      <c r="EH89" s="262">
        <f t="shared" si="392"/>
        <v>0.10091222744055964</v>
      </c>
      <c r="EI89" s="262">
        <f t="shared" si="392"/>
        <v>0.10091222744055964</v>
      </c>
      <c r="EJ89" s="262">
        <f t="shared" si="392"/>
        <v>0.10091222744055964</v>
      </c>
      <c r="EK89" s="262">
        <f t="shared" si="392"/>
        <v>0.10091222744055964</v>
      </c>
      <c r="EL89" s="262">
        <f t="shared" si="392"/>
        <v>0.10091222744055964</v>
      </c>
      <c r="EM89" s="262">
        <f t="shared" si="392"/>
        <v>0.10091222744055964</v>
      </c>
      <c r="EN89" s="262">
        <f t="shared" si="392"/>
        <v>0.10091222744055964</v>
      </c>
      <c r="EO89" s="262">
        <f t="shared" si="392"/>
        <v>0.10091222744055964</v>
      </c>
      <c r="EP89" s="262">
        <f t="shared" si="392"/>
        <v>0.10091222744055964</v>
      </c>
      <c r="EQ89" s="262">
        <f t="shared" si="392"/>
        <v>0.1188371835637545</v>
      </c>
      <c r="ER89" s="262">
        <f t="shared" si="392"/>
        <v>0.1188371835637545</v>
      </c>
      <c r="ES89" s="262">
        <f t="shared" si="392"/>
        <v>0.1188371835637545</v>
      </c>
      <c r="ET89" s="262">
        <f t="shared" si="392"/>
        <v>0.1188371835637545</v>
      </c>
      <c r="EU89" s="262">
        <f t="shared" si="392"/>
        <v>0.1188371835637545</v>
      </c>
      <c r="EV89" s="262">
        <f t="shared" si="392"/>
        <v>0.1188371835637545</v>
      </c>
      <c r="EW89" s="262">
        <f t="shared" si="392"/>
        <v>0.1188371835637545</v>
      </c>
      <c r="EX89" s="262">
        <f t="shared" si="392"/>
        <v>0.1188371835637545</v>
      </c>
      <c r="EY89" s="262">
        <f t="shared" si="392"/>
        <v>0.1188371835637545</v>
      </c>
      <c r="EZ89" s="262">
        <f t="shared" si="392"/>
        <v>0.1188371835637545</v>
      </c>
      <c r="FA89" s="262">
        <f t="shared" si="392"/>
        <v>0.1188371835637545</v>
      </c>
      <c r="FB89" s="262">
        <f t="shared" si="392"/>
        <v>0.1188371835637545</v>
      </c>
    </row>
    <row r="90" spans="3:158" x14ac:dyDescent="0.25">
      <c r="C90" s="2" t="s">
        <v>299</v>
      </c>
      <c r="D90" s="330">
        <v>0.01</v>
      </c>
      <c r="E90" s="330">
        <v>0.01</v>
      </c>
      <c r="F90" s="330">
        <v>0.01</v>
      </c>
      <c r="G90" s="351">
        <f t="shared" ref="G90:L90" si="393">F144</f>
        <v>4.0141917331572435E-3</v>
      </c>
      <c r="H90" s="351">
        <f t="shared" si="393"/>
        <v>1.1430005115817998E-2</v>
      </c>
      <c r="I90" s="351">
        <f t="shared" si="393"/>
        <v>2.2991488851525865E-2</v>
      </c>
      <c r="J90" s="351">
        <f t="shared" si="393"/>
        <v>3.5237063739633735E-2</v>
      </c>
      <c r="K90" s="351">
        <f t="shared" si="393"/>
        <v>4.2434554732722778E-2</v>
      </c>
      <c r="L90" s="351">
        <f t="shared" si="393"/>
        <v>4.6743991455233933E-2</v>
      </c>
      <c r="N90" s="260">
        <f t="shared" ref="N90:AW90" si="394">N114/N$111</f>
        <v>0.01</v>
      </c>
      <c r="O90" s="260">
        <f t="shared" si="394"/>
        <v>0.01</v>
      </c>
      <c r="P90" s="260">
        <f t="shared" si="394"/>
        <v>0.01</v>
      </c>
      <c r="Q90" s="260">
        <f t="shared" si="394"/>
        <v>0.01</v>
      </c>
      <c r="R90" s="260">
        <f t="shared" si="394"/>
        <v>0.01</v>
      </c>
      <c r="S90" s="260">
        <f t="shared" si="394"/>
        <v>0.01</v>
      </c>
      <c r="T90" s="260">
        <f t="shared" si="394"/>
        <v>0.01</v>
      </c>
      <c r="U90" s="260">
        <f t="shared" si="394"/>
        <v>0.01</v>
      </c>
      <c r="V90" s="260">
        <f t="shared" si="394"/>
        <v>0.01</v>
      </c>
      <c r="W90" s="260">
        <f t="shared" si="394"/>
        <v>0.01</v>
      </c>
      <c r="X90" s="260">
        <f t="shared" si="394"/>
        <v>0.01</v>
      </c>
      <c r="Y90" s="260">
        <f t="shared" si="394"/>
        <v>0.01</v>
      </c>
      <c r="Z90" s="260">
        <f t="shared" si="394"/>
        <v>4.0141917331572435E-3</v>
      </c>
      <c r="AA90" s="260">
        <f t="shared" si="394"/>
        <v>4.0141917331572435E-3</v>
      </c>
      <c r="AB90" s="260">
        <f t="shared" si="394"/>
        <v>4.0141917331572444E-3</v>
      </c>
      <c r="AC90" s="260">
        <f t="shared" si="394"/>
        <v>4.0141917331572435E-3</v>
      </c>
      <c r="AD90" s="260">
        <f t="shared" si="394"/>
        <v>1.1430005115817998E-2</v>
      </c>
      <c r="AE90" s="260">
        <f t="shared" si="394"/>
        <v>1.1430005115817996E-2</v>
      </c>
      <c r="AF90" s="260">
        <f t="shared" si="394"/>
        <v>1.1430005115817999E-2</v>
      </c>
      <c r="AG90" s="260">
        <f t="shared" si="394"/>
        <v>1.1430005115817996E-2</v>
      </c>
      <c r="AH90" s="260">
        <f t="shared" si="394"/>
        <v>2.2991488851525865E-2</v>
      </c>
      <c r="AI90" s="260">
        <f t="shared" si="394"/>
        <v>2.2991488851525865E-2</v>
      </c>
      <c r="AJ90" s="260">
        <f t="shared" si="394"/>
        <v>2.2991488851525865E-2</v>
      </c>
      <c r="AK90" s="260">
        <f t="shared" si="394"/>
        <v>2.2991488851525865E-2</v>
      </c>
      <c r="AL90" s="260">
        <f t="shared" si="394"/>
        <v>3.5237063739633728E-2</v>
      </c>
      <c r="AM90" s="260">
        <f t="shared" si="394"/>
        <v>3.5237063739633735E-2</v>
      </c>
      <c r="AN90" s="260">
        <f t="shared" si="394"/>
        <v>3.5237063739633735E-2</v>
      </c>
      <c r="AO90" s="260">
        <f t="shared" si="394"/>
        <v>3.5237063739633735E-2</v>
      </c>
      <c r="AP90" s="260">
        <f t="shared" si="394"/>
        <v>4.2434554732722785E-2</v>
      </c>
      <c r="AQ90" s="260">
        <f t="shared" si="394"/>
        <v>4.2434554732722771E-2</v>
      </c>
      <c r="AR90" s="260">
        <f t="shared" si="394"/>
        <v>4.2434554732722778E-2</v>
      </c>
      <c r="AS90" s="260">
        <f t="shared" si="394"/>
        <v>4.2434554732722771E-2</v>
      </c>
      <c r="AT90" s="260">
        <f t="shared" si="394"/>
        <v>4.6743991455233933E-2</v>
      </c>
      <c r="AU90" s="260">
        <f t="shared" si="394"/>
        <v>4.6743991455233933E-2</v>
      </c>
      <c r="AV90" s="260">
        <f t="shared" si="394"/>
        <v>4.6743991455233939E-2</v>
      </c>
      <c r="AW90" s="260">
        <f t="shared" si="394"/>
        <v>4.6743991455233933E-2</v>
      </c>
      <c r="AY90" s="262">
        <f t="shared" si="391"/>
        <v>0.01</v>
      </c>
      <c r="AZ90" s="262">
        <f t="shared" si="391"/>
        <v>0.01</v>
      </c>
      <c r="BA90" s="262">
        <f t="shared" si="391"/>
        <v>0.01</v>
      </c>
      <c r="BB90" s="262">
        <f t="shared" si="391"/>
        <v>0.01</v>
      </c>
      <c r="BC90" s="262">
        <f t="shared" si="391"/>
        <v>0.01</v>
      </c>
      <c r="BD90" s="262">
        <f t="shared" si="391"/>
        <v>0.01</v>
      </c>
      <c r="BE90" s="262">
        <f t="shared" si="391"/>
        <v>0.01</v>
      </c>
      <c r="BF90" s="262">
        <f t="shared" si="391"/>
        <v>0.01</v>
      </c>
      <c r="BG90" s="262">
        <f t="shared" si="391"/>
        <v>0.01</v>
      </c>
      <c r="BH90" s="262">
        <f t="shared" si="391"/>
        <v>0.01</v>
      </c>
      <c r="BI90" s="262">
        <f t="shared" si="391"/>
        <v>0.01</v>
      </c>
      <c r="BJ90" s="262">
        <f t="shared" si="391"/>
        <v>0.01</v>
      </c>
      <c r="BK90" s="262">
        <f t="shared" si="391"/>
        <v>0.01</v>
      </c>
      <c r="BL90" s="262">
        <f t="shared" si="391"/>
        <v>0.01</v>
      </c>
      <c r="BM90" s="262">
        <f t="shared" si="391"/>
        <v>0.01</v>
      </c>
      <c r="BN90" s="262">
        <f t="shared" si="391"/>
        <v>0.01</v>
      </c>
      <c r="BO90" s="262">
        <f t="shared" si="391"/>
        <v>0.01</v>
      </c>
      <c r="BP90" s="262">
        <f t="shared" si="391"/>
        <v>0.01</v>
      </c>
      <c r="BQ90" s="262">
        <f t="shared" si="391"/>
        <v>0.01</v>
      </c>
      <c r="BR90" s="262">
        <f t="shared" si="391"/>
        <v>0.01</v>
      </c>
      <c r="BS90" s="262">
        <f t="shared" si="391"/>
        <v>0.01</v>
      </c>
      <c r="BT90" s="262">
        <f t="shared" si="391"/>
        <v>0.01</v>
      </c>
      <c r="BU90" s="262">
        <f t="shared" si="391"/>
        <v>0.01</v>
      </c>
      <c r="BV90" s="262">
        <f t="shared" si="391"/>
        <v>0.01</v>
      </c>
      <c r="BW90" s="262">
        <f t="shared" si="391"/>
        <v>0.01</v>
      </c>
      <c r="BX90" s="262">
        <f t="shared" si="391"/>
        <v>0.01</v>
      </c>
      <c r="BY90" s="262">
        <f t="shared" si="391"/>
        <v>0.01</v>
      </c>
      <c r="BZ90" s="262">
        <f t="shared" si="391"/>
        <v>0.01</v>
      </c>
      <c r="CA90" s="262">
        <f t="shared" si="391"/>
        <v>0.01</v>
      </c>
      <c r="CB90" s="262">
        <f t="shared" si="391"/>
        <v>0.01</v>
      </c>
      <c r="CC90" s="262">
        <f t="shared" si="391"/>
        <v>0.01</v>
      </c>
      <c r="CD90" s="262">
        <f t="shared" si="391"/>
        <v>0.01</v>
      </c>
      <c r="CE90" s="262">
        <f t="shared" si="391"/>
        <v>0.01</v>
      </c>
      <c r="CF90" s="262">
        <f t="shared" si="391"/>
        <v>0.01</v>
      </c>
      <c r="CG90" s="262">
        <f t="shared" si="391"/>
        <v>0.01</v>
      </c>
      <c r="CH90" s="262">
        <f t="shared" si="391"/>
        <v>0.01</v>
      </c>
      <c r="CI90" s="262">
        <f t="shared" si="391"/>
        <v>4.0141917331572435E-3</v>
      </c>
      <c r="CJ90" s="262">
        <f t="shared" si="391"/>
        <v>4.0141917331572435E-3</v>
      </c>
      <c r="CK90" s="262">
        <f t="shared" si="391"/>
        <v>4.0141917331572435E-3</v>
      </c>
      <c r="CL90" s="262">
        <f t="shared" si="391"/>
        <v>4.0141917331572435E-3</v>
      </c>
      <c r="CM90" s="262">
        <f t="shared" si="391"/>
        <v>4.0141917331572435E-3</v>
      </c>
      <c r="CN90" s="262">
        <f t="shared" si="391"/>
        <v>4.0141917331572435E-3</v>
      </c>
      <c r="CO90" s="262">
        <f t="shared" si="391"/>
        <v>4.0141917331572435E-3</v>
      </c>
      <c r="CP90" s="262">
        <f t="shared" si="391"/>
        <v>4.0141917331572435E-3</v>
      </c>
      <c r="CQ90" s="262">
        <f t="shared" si="391"/>
        <v>4.0141917331572435E-3</v>
      </c>
      <c r="CR90" s="262">
        <f t="shared" si="391"/>
        <v>4.0141917331572435E-3</v>
      </c>
      <c r="CS90" s="262">
        <f t="shared" si="391"/>
        <v>4.0141917331572435E-3</v>
      </c>
      <c r="CT90" s="262">
        <f t="shared" si="391"/>
        <v>4.0141917331572435E-3</v>
      </c>
      <c r="CU90" s="262">
        <f t="shared" si="391"/>
        <v>1.1430005115817998E-2</v>
      </c>
      <c r="CV90" s="262">
        <f t="shared" si="391"/>
        <v>1.1430005115817998E-2</v>
      </c>
      <c r="CW90" s="262">
        <f t="shared" si="391"/>
        <v>1.1430005115817998E-2</v>
      </c>
      <c r="CX90" s="262">
        <f t="shared" si="391"/>
        <v>1.1430005115817998E-2</v>
      </c>
      <c r="CY90" s="262">
        <f t="shared" si="391"/>
        <v>1.1430005115817998E-2</v>
      </c>
      <c r="CZ90" s="262">
        <f t="shared" si="391"/>
        <v>1.1430005115817998E-2</v>
      </c>
      <c r="DA90" s="262">
        <f t="shared" si="391"/>
        <v>1.1430005115817998E-2</v>
      </c>
      <c r="DB90" s="262">
        <f t="shared" si="391"/>
        <v>1.1430005115817998E-2</v>
      </c>
      <c r="DC90" s="262">
        <f t="shared" si="391"/>
        <v>1.1430005115817998E-2</v>
      </c>
      <c r="DD90" s="262">
        <f t="shared" si="391"/>
        <v>1.1430005115817998E-2</v>
      </c>
      <c r="DE90" s="262">
        <f t="shared" si="391"/>
        <v>1.1430005115817998E-2</v>
      </c>
      <c r="DF90" s="262">
        <f t="shared" si="391"/>
        <v>1.1430005115817998E-2</v>
      </c>
      <c r="DG90" s="262">
        <f t="shared" si="391"/>
        <v>2.2991488851525865E-2</v>
      </c>
      <c r="DH90" s="262">
        <f t="shared" si="391"/>
        <v>2.2991488851525865E-2</v>
      </c>
      <c r="DI90" s="262">
        <f t="shared" si="391"/>
        <v>2.2991488851525865E-2</v>
      </c>
      <c r="DJ90" s="262">
        <f t="shared" ref="DJ90" si="395">INDEX($D90:$L90,1,MATCH(DJ$2,$D$2:$L$2,))</f>
        <v>2.2991488851525865E-2</v>
      </c>
      <c r="DK90" s="262">
        <f t="shared" si="392"/>
        <v>2.2991488851525865E-2</v>
      </c>
      <c r="DL90" s="262">
        <f t="shared" si="392"/>
        <v>2.2991488851525865E-2</v>
      </c>
      <c r="DM90" s="262">
        <f t="shared" si="392"/>
        <v>2.2991488851525865E-2</v>
      </c>
      <c r="DN90" s="262">
        <f t="shared" si="392"/>
        <v>2.2991488851525865E-2</v>
      </c>
      <c r="DO90" s="262">
        <f t="shared" si="392"/>
        <v>2.2991488851525865E-2</v>
      </c>
      <c r="DP90" s="262">
        <f t="shared" si="392"/>
        <v>2.2991488851525865E-2</v>
      </c>
      <c r="DQ90" s="262">
        <f t="shared" si="392"/>
        <v>2.2991488851525865E-2</v>
      </c>
      <c r="DR90" s="262">
        <f t="shared" si="392"/>
        <v>2.2991488851525865E-2</v>
      </c>
      <c r="DS90" s="262">
        <f t="shared" si="392"/>
        <v>3.5237063739633735E-2</v>
      </c>
      <c r="DT90" s="262">
        <f t="shared" si="392"/>
        <v>3.5237063739633735E-2</v>
      </c>
      <c r="DU90" s="262">
        <f t="shared" si="392"/>
        <v>3.5237063739633735E-2</v>
      </c>
      <c r="DV90" s="262">
        <f t="shared" si="392"/>
        <v>3.5237063739633735E-2</v>
      </c>
      <c r="DW90" s="262">
        <f t="shared" si="392"/>
        <v>3.5237063739633735E-2</v>
      </c>
      <c r="DX90" s="262">
        <f t="shared" si="392"/>
        <v>3.5237063739633735E-2</v>
      </c>
      <c r="DY90" s="262">
        <f t="shared" si="392"/>
        <v>3.5237063739633735E-2</v>
      </c>
      <c r="DZ90" s="262">
        <f t="shared" si="392"/>
        <v>3.5237063739633735E-2</v>
      </c>
      <c r="EA90" s="262">
        <f t="shared" si="392"/>
        <v>3.5237063739633735E-2</v>
      </c>
      <c r="EB90" s="262">
        <f t="shared" si="392"/>
        <v>3.5237063739633735E-2</v>
      </c>
      <c r="EC90" s="262">
        <f t="shared" si="392"/>
        <v>3.5237063739633735E-2</v>
      </c>
      <c r="ED90" s="262">
        <f t="shared" si="392"/>
        <v>3.5237063739633735E-2</v>
      </c>
      <c r="EE90" s="262">
        <f t="shared" si="392"/>
        <v>4.2434554732722778E-2</v>
      </c>
      <c r="EF90" s="262">
        <f t="shared" si="392"/>
        <v>4.2434554732722778E-2</v>
      </c>
      <c r="EG90" s="262">
        <f t="shared" si="392"/>
        <v>4.2434554732722778E-2</v>
      </c>
      <c r="EH90" s="262">
        <f t="shared" si="392"/>
        <v>4.2434554732722778E-2</v>
      </c>
      <c r="EI90" s="262">
        <f t="shared" si="392"/>
        <v>4.2434554732722778E-2</v>
      </c>
      <c r="EJ90" s="262">
        <f t="shared" si="392"/>
        <v>4.2434554732722778E-2</v>
      </c>
      <c r="EK90" s="262">
        <f t="shared" si="392"/>
        <v>4.2434554732722778E-2</v>
      </c>
      <c r="EL90" s="262">
        <f t="shared" si="392"/>
        <v>4.2434554732722778E-2</v>
      </c>
      <c r="EM90" s="262">
        <f t="shared" si="392"/>
        <v>4.2434554732722778E-2</v>
      </c>
      <c r="EN90" s="262">
        <f t="shared" si="392"/>
        <v>4.2434554732722778E-2</v>
      </c>
      <c r="EO90" s="262">
        <f t="shared" si="392"/>
        <v>4.2434554732722778E-2</v>
      </c>
      <c r="EP90" s="262">
        <f t="shared" si="392"/>
        <v>4.2434554732722778E-2</v>
      </c>
      <c r="EQ90" s="262">
        <f t="shared" si="392"/>
        <v>4.6743991455233933E-2</v>
      </c>
      <c r="ER90" s="262">
        <f t="shared" si="392"/>
        <v>4.6743991455233933E-2</v>
      </c>
      <c r="ES90" s="262">
        <f t="shared" si="392"/>
        <v>4.6743991455233933E-2</v>
      </c>
      <c r="ET90" s="262">
        <f t="shared" si="392"/>
        <v>4.6743991455233933E-2</v>
      </c>
      <c r="EU90" s="262">
        <f t="shared" si="392"/>
        <v>4.6743991455233933E-2</v>
      </c>
      <c r="EV90" s="262">
        <f t="shared" si="392"/>
        <v>4.6743991455233933E-2</v>
      </c>
      <c r="EW90" s="262">
        <f t="shared" si="392"/>
        <v>4.6743991455233933E-2</v>
      </c>
      <c r="EX90" s="262">
        <f t="shared" si="392"/>
        <v>4.6743991455233933E-2</v>
      </c>
      <c r="EY90" s="262">
        <f t="shared" si="392"/>
        <v>4.6743991455233933E-2</v>
      </c>
      <c r="EZ90" s="262">
        <f t="shared" si="392"/>
        <v>4.6743991455233933E-2</v>
      </c>
      <c r="FA90" s="262">
        <f t="shared" si="392"/>
        <v>4.6743991455233933E-2</v>
      </c>
      <c r="FB90" s="262">
        <f t="shared" si="392"/>
        <v>4.6743991455233933E-2</v>
      </c>
    </row>
    <row r="91" spans="3:158" x14ac:dyDescent="0.25">
      <c r="C91" s="2" t="s">
        <v>300</v>
      </c>
      <c r="D91" s="330">
        <v>0.02</v>
      </c>
      <c r="E91" s="330">
        <v>0.02</v>
      </c>
      <c r="F91" s="330">
        <v>0.02</v>
      </c>
      <c r="G91" s="351">
        <f t="shared" ref="G91:L91" si="396">F145</f>
        <v>-5.4887665988959642E-4</v>
      </c>
      <c r="H91" s="351">
        <f t="shared" si="396"/>
        <v>-2.9425288285593669E-4</v>
      </c>
      <c r="I91" s="351">
        <f t="shared" si="396"/>
        <v>-1.7517691055999452E-4</v>
      </c>
      <c r="J91" s="351">
        <f t="shared" si="396"/>
        <v>-1.0652034023594345E-4</v>
      </c>
      <c r="K91" s="351">
        <f t="shared" si="396"/>
        <v>-6.6166575627992269E-5</v>
      </c>
      <c r="L91" s="351">
        <f t="shared" si="396"/>
        <v>-4.2005101128051383E-5</v>
      </c>
      <c r="N91" s="260">
        <f t="shared" ref="N91:AW91" si="397">N115/N$111</f>
        <v>0.02</v>
      </c>
      <c r="O91" s="260">
        <f t="shared" si="397"/>
        <v>0.02</v>
      </c>
      <c r="P91" s="260">
        <f t="shared" si="397"/>
        <v>0.02</v>
      </c>
      <c r="Q91" s="260">
        <f t="shared" si="397"/>
        <v>0.02</v>
      </c>
      <c r="R91" s="260">
        <f t="shared" si="397"/>
        <v>0.02</v>
      </c>
      <c r="S91" s="260">
        <f t="shared" si="397"/>
        <v>0.02</v>
      </c>
      <c r="T91" s="260">
        <f t="shared" si="397"/>
        <v>0.02</v>
      </c>
      <c r="U91" s="260">
        <f t="shared" si="397"/>
        <v>0.02</v>
      </c>
      <c r="V91" s="260">
        <f t="shared" si="397"/>
        <v>0.02</v>
      </c>
      <c r="W91" s="260">
        <f t="shared" si="397"/>
        <v>0.02</v>
      </c>
      <c r="X91" s="260">
        <f t="shared" si="397"/>
        <v>0.02</v>
      </c>
      <c r="Y91" s="260">
        <f t="shared" si="397"/>
        <v>0.02</v>
      </c>
      <c r="Z91" s="260">
        <f t="shared" si="397"/>
        <v>-5.4887665988959642E-4</v>
      </c>
      <c r="AA91" s="260">
        <f t="shared" si="397"/>
        <v>-5.4887665988959642E-4</v>
      </c>
      <c r="AB91" s="260">
        <f t="shared" si="397"/>
        <v>-5.4887665988959642E-4</v>
      </c>
      <c r="AC91" s="260">
        <f t="shared" si="397"/>
        <v>-5.4887665988959642E-4</v>
      </c>
      <c r="AD91" s="260">
        <f t="shared" si="397"/>
        <v>-2.9425288285593669E-4</v>
      </c>
      <c r="AE91" s="260">
        <f t="shared" si="397"/>
        <v>-2.9425288285593669E-4</v>
      </c>
      <c r="AF91" s="260">
        <f t="shared" si="397"/>
        <v>-2.9425288285593674E-4</v>
      </c>
      <c r="AG91" s="260">
        <f t="shared" si="397"/>
        <v>-2.9425288285593669E-4</v>
      </c>
      <c r="AH91" s="260">
        <f t="shared" si="397"/>
        <v>-1.7517691055999454E-4</v>
      </c>
      <c r="AI91" s="260">
        <f t="shared" si="397"/>
        <v>-1.7517691055999452E-4</v>
      </c>
      <c r="AJ91" s="260">
        <f t="shared" si="397"/>
        <v>-1.7517691055999452E-4</v>
      </c>
      <c r="AK91" s="260">
        <f t="shared" si="397"/>
        <v>-1.7517691055999454E-4</v>
      </c>
      <c r="AL91" s="260">
        <f t="shared" si="397"/>
        <v>-1.0652034023594345E-4</v>
      </c>
      <c r="AM91" s="260">
        <f t="shared" si="397"/>
        <v>-1.0652034023594347E-4</v>
      </c>
      <c r="AN91" s="260">
        <f t="shared" si="397"/>
        <v>-1.0652034023594344E-4</v>
      </c>
      <c r="AO91" s="260">
        <f t="shared" si="397"/>
        <v>-1.0652034023594345E-4</v>
      </c>
      <c r="AP91" s="260">
        <f t="shared" si="397"/>
        <v>-6.6166575627992269E-5</v>
      </c>
      <c r="AQ91" s="260">
        <f t="shared" si="397"/>
        <v>-6.6166575627992256E-5</v>
      </c>
      <c r="AR91" s="260">
        <f t="shared" si="397"/>
        <v>-6.6166575627992283E-5</v>
      </c>
      <c r="AS91" s="260">
        <f t="shared" si="397"/>
        <v>-6.6166575627992269E-5</v>
      </c>
      <c r="AT91" s="260">
        <f t="shared" si="397"/>
        <v>-4.2005101128051383E-5</v>
      </c>
      <c r="AU91" s="260">
        <f t="shared" si="397"/>
        <v>-4.200510112805139E-5</v>
      </c>
      <c r="AV91" s="260">
        <f t="shared" si="397"/>
        <v>-4.2005101128051383E-5</v>
      </c>
      <c r="AW91" s="260">
        <f t="shared" si="397"/>
        <v>-4.2005101128051383E-5</v>
      </c>
      <c r="AY91" s="262">
        <f t="shared" ref="AY91:DJ91" si="398">INDEX($D91:$L91,1,MATCH(AY$2,$D$2:$L$2,))</f>
        <v>0.02</v>
      </c>
      <c r="AZ91" s="262">
        <f t="shared" si="398"/>
        <v>0.02</v>
      </c>
      <c r="BA91" s="262">
        <f t="shared" si="398"/>
        <v>0.02</v>
      </c>
      <c r="BB91" s="262">
        <f t="shared" si="398"/>
        <v>0.02</v>
      </c>
      <c r="BC91" s="262">
        <f t="shared" si="398"/>
        <v>0.02</v>
      </c>
      <c r="BD91" s="262">
        <f t="shared" si="398"/>
        <v>0.02</v>
      </c>
      <c r="BE91" s="262">
        <f t="shared" si="398"/>
        <v>0.02</v>
      </c>
      <c r="BF91" s="262">
        <f t="shared" si="398"/>
        <v>0.02</v>
      </c>
      <c r="BG91" s="262">
        <f t="shared" si="398"/>
        <v>0.02</v>
      </c>
      <c r="BH91" s="262">
        <f t="shared" si="398"/>
        <v>0.02</v>
      </c>
      <c r="BI91" s="262">
        <f t="shared" si="398"/>
        <v>0.02</v>
      </c>
      <c r="BJ91" s="262">
        <f t="shared" si="398"/>
        <v>0.02</v>
      </c>
      <c r="BK91" s="262">
        <f t="shared" si="398"/>
        <v>0.02</v>
      </c>
      <c r="BL91" s="262">
        <f t="shared" si="398"/>
        <v>0.02</v>
      </c>
      <c r="BM91" s="262">
        <f t="shared" si="398"/>
        <v>0.02</v>
      </c>
      <c r="BN91" s="262">
        <f t="shared" si="398"/>
        <v>0.02</v>
      </c>
      <c r="BO91" s="262">
        <f t="shared" si="398"/>
        <v>0.02</v>
      </c>
      <c r="BP91" s="262">
        <f t="shared" si="398"/>
        <v>0.02</v>
      </c>
      <c r="BQ91" s="262">
        <f t="shared" si="398"/>
        <v>0.02</v>
      </c>
      <c r="BR91" s="262">
        <f t="shared" si="398"/>
        <v>0.02</v>
      </c>
      <c r="BS91" s="262">
        <f t="shared" si="398"/>
        <v>0.02</v>
      </c>
      <c r="BT91" s="262">
        <f t="shared" si="398"/>
        <v>0.02</v>
      </c>
      <c r="BU91" s="262">
        <f t="shared" si="398"/>
        <v>0.02</v>
      </c>
      <c r="BV91" s="262">
        <f t="shared" si="398"/>
        <v>0.02</v>
      </c>
      <c r="BW91" s="262">
        <f t="shared" si="398"/>
        <v>0.02</v>
      </c>
      <c r="BX91" s="262">
        <f t="shared" si="398"/>
        <v>0.02</v>
      </c>
      <c r="BY91" s="262">
        <f t="shared" si="398"/>
        <v>0.02</v>
      </c>
      <c r="BZ91" s="262">
        <f t="shared" si="398"/>
        <v>0.02</v>
      </c>
      <c r="CA91" s="262">
        <f t="shared" si="398"/>
        <v>0.02</v>
      </c>
      <c r="CB91" s="262">
        <f t="shared" si="398"/>
        <v>0.02</v>
      </c>
      <c r="CC91" s="262">
        <f t="shared" si="398"/>
        <v>0.02</v>
      </c>
      <c r="CD91" s="262">
        <f t="shared" si="398"/>
        <v>0.02</v>
      </c>
      <c r="CE91" s="262">
        <f t="shared" si="398"/>
        <v>0.02</v>
      </c>
      <c r="CF91" s="262">
        <f t="shared" si="398"/>
        <v>0.02</v>
      </c>
      <c r="CG91" s="262">
        <f t="shared" si="398"/>
        <v>0.02</v>
      </c>
      <c r="CH91" s="262">
        <f t="shared" si="398"/>
        <v>0.02</v>
      </c>
      <c r="CI91" s="262">
        <f t="shared" si="398"/>
        <v>-5.4887665988959642E-4</v>
      </c>
      <c r="CJ91" s="262">
        <f t="shared" si="398"/>
        <v>-5.4887665988959642E-4</v>
      </c>
      <c r="CK91" s="262">
        <f t="shared" si="398"/>
        <v>-5.4887665988959642E-4</v>
      </c>
      <c r="CL91" s="262">
        <f t="shared" si="398"/>
        <v>-5.4887665988959642E-4</v>
      </c>
      <c r="CM91" s="262">
        <f t="shared" si="398"/>
        <v>-5.4887665988959642E-4</v>
      </c>
      <c r="CN91" s="262">
        <f t="shared" si="398"/>
        <v>-5.4887665988959642E-4</v>
      </c>
      <c r="CO91" s="262">
        <f t="shared" si="398"/>
        <v>-5.4887665988959642E-4</v>
      </c>
      <c r="CP91" s="262">
        <f t="shared" si="398"/>
        <v>-5.4887665988959642E-4</v>
      </c>
      <c r="CQ91" s="262">
        <f t="shared" si="398"/>
        <v>-5.4887665988959642E-4</v>
      </c>
      <c r="CR91" s="262">
        <f t="shared" si="398"/>
        <v>-5.4887665988959642E-4</v>
      </c>
      <c r="CS91" s="262">
        <f t="shared" si="398"/>
        <v>-5.4887665988959642E-4</v>
      </c>
      <c r="CT91" s="262">
        <f t="shared" si="398"/>
        <v>-5.4887665988959642E-4</v>
      </c>
      <c r="CU91" s="262">
        <f t="shared" si="398"/>
        <v>-2.9425288285593669E-4</v>
      </c>
      <c r="CV91" s="262">
        <f t="shared" si="398"/>
        <v>-2.9425288285593669E-4</v>
      </c>
      <c r="CW91" s="262">
        <f t="shared" si="398"/>
        <v>-2.9425288285593669E-4</v>
      </c>
      <c r="CX91" s="262">
        <f t="shared" si="398"/>
        <v>-2.9425288285593669E-4</v>
      </c>
      <c r="CY91" s="262">
        <f t="shared" si="398"/>
        <v>-2.9425288285593669E-4</v>
      </c>
      <c r="CZ91" s="262">
        <f t="shared" si="398"/>
        <v>-2.9425288285593669E-4</v>
      </c>
      <c r="DA91" s="262">
        <f t="shared" si="398"/>
        <v>-2.9425288285593669E-4</v>
      </c>
      <c r="DB91" s="262">
        <f t="shared" si="398"/>
        <v>-2.9425288285593669E-4</v>
      </c>
      <c r="DC91" s="262">
        <f t="shared" si="398"/>
        <v>-2.9425288285593669E-4</v>
      </c>
      <c r="DD91" s="262">
        <f t="shared" si="398"/>
        <v>-2.9425288285593669E-4</v>
      </c>
      <c r="DE91" s="262">
        <f t="shared" si="398"/>
        <v>-2.9425288285593669E-4</v>
      </c>
      <c r="DF91" s="262">
        <f t="shared" si="398"/>
        <v>-2.9425288285593669E-4</v>
      </c>
      <c r="DG91" s="262">
        <f t="shared" si="398"/>
        <v>-1.7517691055999452E-4</v>
      </c>
      <c r="DH91" s="262">
        <f t="shared" si="398"/>
        <v>-1.7517691055999452E-4</v>
      </c>
      <c r="DI91" s="262">
        <f t="shared" si="398"/>
        <v>-1.7517691055999452E-4</v>
      </c>
      <c r="DJ91" s="262">
        <f t="shared" si="398"/>
        <v>-1.7517691055999452E-4</v>
      </c>
      <c r="DK91" s="262">
        <f t="shared" si="392"/>
        <v>-1.7517691055999452E-4</v>
      </c>
      <c r="DL91" s="262">
        <f t="shared" si="392"/>
        <v>-1.7517691055999452E-4</v>
      </c>
      <c r="DM91" s="262">
        <f t="shared" si="392"/>
        <v>-1.7517691055999452E-4</v>
      </c>
      <c r="DN91" s="262">
        <f t="shared" si="392"/>
        <v>-1.7517691055999452E-4</v>
      </c>
      <c r="DO91" s="262">
        <f t="shared" si="392"/>
        <v>-1.7517691055999452E-4</v>
      </c>
      <c r="DP91" s="262">
        <f t="shared" si="392"/>
        <v>-1.7517691055999452E-4</v>
      </c>
      <c r="DQ91" s="262">
        <f t="shared" si="392"/>
        <v>-1.7517691055999452E-4</v>
      </c>
      <c r="DR91" s="262">
        <f t="shared" si="392"/>
        <v>-1.7517691055999452E-4</v>
      </c>
      <c r="DS91" s="262">
        <f t="shared" si="392"/>
        <v>-1.0652034023594345E-4</v>
      </c>
      <c r="DT91" s="262">
        <f t="shared" si="392"/>
        <v>-1.0652034023594345E-4</v>
      </c>
      <c r="DU91" s="262">
        <f t="shared" si="392"/>
        <v>-1.0652034023594345E-4</v>
      </c>
      <c r="DV91" s="262">
        <f t="shared" si="392"/>
        <v>-1.0652034023594345E-4</v>
      </c>
      <c r="DW91" s="262">
        <f t="shared" si="392"/>
        <v>-1.0652034023594345E-4</v>
      </c>
      <c r="DX91" s="262">
        <f t="shared" si="392"/>
        <v>-1.0652034023594345E-4</v>
      </c>
      <c r="DY91" s="262">
        <f t="shared" si="392"/>
        <v>-1.0652034023594345E-4</v>
      </c>
      <c r="DZ91" s="262">
        <f t="shared" si="392"/>
        <v>-1.0652034023594345E-4</v>
      </c>
      <c r="EA91" s="262">
        <f t="shared" si="392"/>
        <v>-1.0652034023594345E-4</v>
      </c>
      <c r="EB91" s="262">
        <f t="shared" si="392"/>
        <v>-1.0652034023594345E-4</v>
      </c>
      <c r="EC91" s="262">
        <f t="shared" si="392"/>
        <v>-1.0652034023594345E-4</v>
      </c>
      <c r="ED91" s="262">
        <f t="shared" si="392"/>
        <v>-1.0652034023594345E-4</v>
      </c>
      <c r="EE91" s="262">
        <f t="shared" si="392"/>
        <v>-6.6166575627992269E-5</v>
      </c>
      <c r="EF91" s="262">
        <f t="shared" si="392"/>
        <v>-6.6166575627992269E-5</v>
      </c>
      <c r="EG91" s="262">
        <f t="shared" si="392"/>
        <v>-6.6166575627992269E-5</v>
      </c>
      <c r="EH91" s="262">
        <f t="shared" si="392"/>
        <v>-6.6166575627992269E-5</v>
      </c>
      <c r="EI91" s="262">
        <f t="shared" si="392"/>
        <v>-6.6166575627992269E-5</v>
      </c>
      <c r="EJ91" s="262">
        <f t="shared" si="392"/>
        <v>-6.6166575627992269E-5</v>
      </c>
      <c r="EK91" s="262">
        <f t="shared" si="392"/>
        <v>-6.6166575627992269E-5</v>
      </c>
      <c r="EL91" s="262">
        <f t="shared" si="392"/>
        <v>-6.6166575627992269E-5</v>
      </c>
      <c r="EM91" s="262">
        <f t="shared" si="392"/>
        <v>-6.6166575627992269E-5</v>
      </c>
      <c r="EN91" s="262">
        <f t="shared" si="392"/>
        <v>-6.6166575627992269E-5</v>
      </c>
      <c r="EO91" s="262">
        <f t="shared" si="392"/>
        <v>-6.6166575627992269E-5</v>
      </c>
      <c r="EP91" s="262">
        <f t="shared" si="392"/>
        <v>-6.6166575627992269E-5</v>
      </c>
      <c r="EQ91" s="262">
        <f t="shared" si="392"/>
        <v>-4.2005101128051383E-5</v>
      </c>
      <c r="ER91" s="262">
        <f t="shared" si="392"/>
        <v>-4.2005101128051383E-5</v>
      </c>
      <c r="ES91" s="262">
        <f t="shared" si="392"/>
        <v>-4.2005101128051383E-5</v>
      </c>
      <c r="ET91" s="262">
        <f t="shared" si="392"/>
        <v>-4.2005101128051383E-5</v>
      </c>
      <c r="EU91" s="262">
        <f t="shared" si="392"/>
        <v>-4.2005101128051383E-5</v>
      </c>
      <c r="EV91" s="262">
        <f t="shared" si="392"/>
        <v>-4.2005101128051383E-5</v>
      </c>
      <c r="EW91" s="262">
        <f t="shared" si="392"/>
        <v>-4.2005101128051383E-5</v>
      </c>
      <c r="EX91" s="262">
        <f t="shared" si="392"/>
        <v>-4.2005101128051383E-5</v>
      </c>
      <c r="EY91" s="262">
        <f t="shared" si="392"/>
        <v>-4.2005101128051383E-5</v>
      </c>
      <c r="EZ91" s="262">
        <f t="shared" si="392"/>
        <v>-4.2005101128051383E-5</v>
      </c>
      <c r="FA91" s="262">
        <f t="shared" si="392"/>
        <v>-4.2005101128051383E-5</v>
      </c>
      <c r="FB91" s="262">
        <f t="shared" si="392"/>
        <v>-4.2005101128051383E-5</v>
      </c>
    </row>
    <row r="92" spans="3:158" x14ac:dyDescent="0.25">
      <c r="D92" s="331"/>
      <c r="E92" s="331"/>
      <c r="F92" s="331"/>
      <c r="G92" s="350"/>
      <c r="H92" s="350"/>
      <c r="I92" s="350"/>
      <c r="J92" s="350"/>
      <c r="K92" s="350"/>
    </row>
    <row r="93" spans="3:158" x14ac:dyDescent="0.25">
      <c r="C93" s="304" t="s">
        <v>643</v>
      </c>
      <c r="D93" s="331"/>
      <c r="E93" s="331"/>
      <c r="F93" s="331"/>
      <c r="G93" s="350"/>
      <c r="H93" s="350"/>
      <c r="I93" s="350"/>
      <c r="J93" s="350"/>
      <c r="K93" s="350"/>
    </row>
    <row r="94" spans="3:158" x14ac:dyDescent="0.25">
      <c r="C94" s="2" t="s">
        <v>346</v>
      </c>
      <c r="D94" s="349">
        <f t="shared" ref="D94" si="399">1-SUM(D95:D97)</f>
        <v>0.95</v>
      </c>
      <c r="E94" s="349">
        <f t="shared" ref="E94" si="400">1-SUM(E95:E97)</f>
        <v>0.95</v>
      </c>
      <c r="F94" s="349">
        <f t="shared" ref="F94" si="401">1-SUM(F95:F97)</f>
        <v>0.95</v>
      </c>
      <c r="G94" s="349">
        <f t="shared" ref="G94" si="402">1-SUM(G95:G97)</f>
        <v>0.97637265202223422</v>
      </c>
      <c r="H94" s="349">
        <f t="shared" ref="H94" si="403">1-SUM(H95:H97)</f>
        <v>0.96413838381770467</v>
      </c>
      <c r="I94" s="349">
        <f>1-SUM(I95:I97)</f>
        <v>0.94425344412449175</v>
      </c>
      <c r="J94" s="349">
        <f t="shared" ref="J94" si="404">1-SUM(J95:J97)</f>
        <v>0.89389494922779045</v>
      </c>
      <c r="K94" s="349">
        <f t="shared" ref="K94" si="405">1-SUM(K95:K97)</f>
        <v>0.85671938440234552</v>
      </c>
      <c r="L94" s="349">
        <f t="shared" ref="L94" si="406">1-SUM(L95:L97)</f>
        <v>0.83446083008213967</v>
      </c>
      <c r="N94" s="260">
        <f t="shared" ref="N94:AW94" si="407">N118/N$117</f>
        <v>0.95</v>
      </c>
      <c r="O94" s="260">
        <f t="shared" si="407"/>
        <v>0.95</v>
      </c>
      <c r="P94" s="260">
        <f t="shared" si="407"/>
        <v>0.95</v>
      </c>
      <c r="Q94" s="260">
        <f t="shared" si="407"/>
        <v>0.95</v>
      </c>
      <c r="R94" s="260">
        <f t="shared" si="407"/>
        <v>0.95</v>
      </c>
      <c r="S94" s="260">
        <f t="shared" si="407"/>
        <v>0.95</v>
      </c>
      <c r="T94" s="260">
        <f t="shared" si="407"/>
        <v>0.95</v>
      </c>
      <c r="U94" s="260">
        <f t="shared" si="407"/>
        <v>0.95</v>
      </c>
      <c r="V94" s="260">
        <f t="shared" si="407"/>
        <v>0.95</v>
      </c>
      <c r="W94" s="260">
        <f t="shared" si="407"/>
        <v>0.95000000000000007</v>
      </c>
      <c r="X94" s="260">
        <f t="shared" si="407"/>
        <v>0.95000000000000007</v>
      </c>
      <c r="Y94" s="260">
        <f t="shared" si="407"/>
        <v>0.95</v>
      </c>
      <c r="Z94" s="260">
        <f t="shared" si="407"/>
        <v>0.97637265202223411</v>
      </c>
      <c r="AA94" s="260">
        <f t="shared" si="407"/>
        <v>0.97637265202223422</v>
      </c>
      <c r="AB94" s="260">
        <f t="shared" si="407"/>
        <v>0.97637265202223411</v>
      </c>
      <c r="AC94" s="260">
        <f t="shared" si="407"/>
        <v>0.97637265202223433</v>
      </c>
      <c r="AD94" s="260">
        <f t="shared" si="407"/>
        <v>0.96413838381770467</v>
      </c>
      <c r="AE94" s="260">
        <f t="shared" si="407"/>
        <v>0.96413838381770467</v>
      </c>
      <c r="AF94" s="260">
        <f t="shared" si="407"/>
        <v>0.96413838381770456</v>
      </c>
      <c r="AG94" s="260">
        <f t="shared" si="407"/>
        <v>0.96413838381770478</v>
      </c>
      <c r="AH94" s="260">
        <f t="shared" si="407"/>
        <v>0.94425344412449186</v>
      </c>
      <c r="AI94" s="260">
        <f t="shared" si="407"/>
        <v>0.94425344412449175</v>
      </c>
      <c r="AJ94" s="260">
        <f t="shared" si="407"/>
        <v>0.94425344412449164</v>
      </c>
      <c r="AK94" s="260">
        <f t="shared" si="407"/>
        <v>0.94425344412449175</v>
      </c>
      <c r="AL94" s="260">
        <f t="shared" si="407"/>
        <v>0.89389494922779045</v>
      </c>
      <c r="AM94" s="260">
        <f t="shared" si="407"/>
        <v>0.89389494922779034</v>
      </c>
      <c r="AN94" s="260">
        <f t="shared" si="407"/>
        <v>0.89389494922779045</v>
      </c>
      <c r="AO94" s="260">
        <f t="shared" si="407"/>
        <v>0.89389494922779056</v>
      </c>
      <c r="AP94" s="260">
        <f t="shared" si="407"/>
        <v>0.85671938440234563</v>
      </c>
      <c r="AQ94" s="260">
        <f t="shared" si="407"/>
        <v>0.85671938440234563</v>
      </c>
      <c r="AR94" s="260">
        <f t="shared" si="407"/>
        <v>0.85671938440234563</v>
      </c>
      <c r="AS94" s="260">
        <f t="shared" si="407"/>
        <v>0.85671938440234552</v>
      </c>
      <c r="AT94" s="260">
        <f t="shared" si="407"/>
        <v>0.83446083008213967</v>
      </c>
      <c r="AU94" s="260">
        <f t="shared" si="407"/>
        <v>0.83446083008213967</v>
      </c>
      <c r="AV94" s="260">
        <f t="shared" si="407"/>
        <v>0.83446083008213956</v>
      </c>
      <c r="AW94" s="260">
        <f t="shared" si="407"/>
        <v>0.83446083008213967</v>
      </c>
      <c r="AY94" s="260">
        <f t="shared" ref="AY94:DJ94" si="408">1-SUM(AY95:AY97)</f>
        <v>0.95</v>
      </c>
      <c r="AZ94" s="260">
        <f t="shared" si="408"/>
        <v>0.95</v>
      </c>
      <c r="BA94" s="260">
        <f t="shared" si="408"/>
        <v>0.95</v>
      </c>
      <c r="BB94" s="260">
        <f t="shared" si="408"/>
        <v>0.95</v>
      </c>
      <c r="BC94" s="260">
        <f t="shared" si="408"/>
        <v>0.95</v>
      </c>
      <c r="BD94" s="260">
        <f t="shared" si="408"/>
        <v>0.95</v>
      </c>
      <c r="BE94" s="260">
        <f t="shared" si="408"/>
        <v>0.95</v>
      </c>
      <c r="BF94" s="260">
        <f t="shared" si="408"/>
        <v>0.95</v>
      </c>
      <c r="BG94" s="260">
        <f t="shared" si="408"/>
        <v>0.95</v>
      </c>
      <c r="BH94" s="260">
        <f t="shared" si="408"/>
        <v>0.95</v>
      </c>
      <c r="BI94" s="260">
        <f t="shared" si="408"/>
        <v>0.95</v>
      </c>
      <c r="BJ94" s="260">
        <f t="shared" si="408"/>
        <v>0.95</v>
      </c>
      <c r="BK94" s="260">
        <f t="shared" si="408"/>
        <v>0.95</v>
      </c>
      <c r="BL94" s="260">
        <f t="shared" si="408"/>
        <v>0.95</v>
      </c>
      <c r="BM94" s="260">
        <f t="shared" si="408"/>
        <v>0.95</v>
      </c>
      <c r="BN94" s="260">
        <f t="shared" si="408"/>
        <v>0.95</v>
      </c>
      <c r="BO94" s="260">
        <f t="shared" si="408"/>
        <v>0.95</v>
      </c>
      <c r="BP94" s="260">
        <f t="shared" si="408"/>
        <v>0.95</v>
      </c>
      <c r="BQ94" s="260">
        <f t="shared" si="408"/>
        <v>0.95</v>
      </c>
      <c r="BR94" s="260">
        <f t="shared" si="408"/>
        <v>0.95</v>
      </c>
      <c r="BS94" s="260">
        <f t="shared" si="408"/>
        <v>0.95</v>
      </c>
      <c r="BT94" s="260">
        <f t="shared" si="408"/>
        <v>0.95</v>
      </c>
      <c r="BU94" s="260">
        <f t="shared" si="408"/>
        <v>0.95</v>
      </c>
      <c r="BV94" s="260">
        <f t="shared" si="408"/>
        <v>0.95</v>
      </c>
      <c r="BW94" s="260">
        <f t="shared" si="408"/>
        <v>0.95</v>
      </c>
      <c r="BX94" s="260">
        <f t="shared" si="408"/>
        <v>0.95</v>
      </c>
      <c r="BY94" s="260">
        <f t="shared" si="408"/>
        <v>0.95</v>
      </c>
      <c r="BZ94" s="260">
        <f t="shared" si="408"/>
        <v>0.95</v>
      </c>
      <c r="CA94" s="260">
        <f t="shared" si="408"/>
        <v>0.95</v>
      </c>
      <c r="CB94" s="260">
        <f t="shared" si="408"/>
        <v>0.95</v>
      </c>
      <c r="CC94" s="260">
        <f t="shared" si="408"/>
        <v>0.95</v>
      </c>
      <c r="CD94" s="260">
        <f t="shared" si="408"/>
        <v>0.95</v>
      </c>
      <c r="CE94" s="260">
        <f t="shared" si="408"/>
        <v>0.95</v>
      </c>
      <c r="CF94" s="260">
        <f t="shared" si="408"/>
        <v>0.95</v>
      </c>
      <c r="CG94" s="260">
        <f t="shared" si="408"/>
        <v>0.95</v>
      </c>
      <c r="CH94" s="260">
        <f t="shared" si="408"/>
        <v>0.95</v>
      </c>
      <c r="CI94" s="260">
        <f t="shared" si="408"/>
        <v>0.97637265202223422</v>
      </c>
      <c r="CJ94" s="260">
        <f t="shared" si="408"/>
        <v>0.97637265202223422</v>
      </c>
      <c r="CK94" s="260">
        <f t="shared" si="408"/>
        <v>0.97637265202223422</v>
      </c>
      <c r="CL94" s="260">
        <f t="shared" si="408"/>
        <v>0.97637265202223422</v>
      </c>
      <c r="CM94" s="260">
        <f t="shared" si="408"/>
        <v>0.97637265202223422</v>
      </c>
      <c r="CN94" s="260">
        <f t="shared" si="408"/>
        <v>0.97637265202223422</v>
      </c>
      <c r="CO94" s="260">
        <f t="shared" si="408"/>
        <v>0.97637265202223422</v>
      </c>
      <c r="CP94" s="260">
        <f t="shared" si="408"/>
        <v>0.97637265202223422</v>
      </c>
      <c r="CQ94" s="260">
        <f t="shared" si="408"/>
        <v>0.97637265202223422</v>
      </c>
      <c r="CR94" s="260">
        <f t="shared" si="408"/>
        <v>0.97637265202223422</v>
      </c>
      <c r="CS94" s="260">
        <f t="shared" si="408"/>
        <v>0.97637265202223422</v>
      </c>
      <c r="CT94" s="260">
        <f t="shared" si="408"/>
        <v>0.97637265202223422</v>
      </c>
      <c r="CU94" s="260">
        <f t="shared" si="408"/>
        <v>0.96413838381770467</v>
      </c>
      <c r="CV94" s="260">
        <f t="shared" si="408"/>
        <v>0.96413838381770467</v>
      </c>
      <c r="CW94" s="260">
        <f t="shared" si="408"/>
        <v>0.96413838381770467</v>
      </c>
      <c r="CX94" s="260">
        <f t="shared" si="408"/>
        <v>0.96413838381770467</v>
      </c>
      <c r="CY94" s="260">
        <f t="shared" si="408"/>
        <v>0.96413838381770467</v>
      </c>
      <c r="CZ94" s="260">
        <f t="shared" si="408"/>
        <v>0.96413838381770467</v>
      </c>
      <c r="DA94" s="260">
        <f t="shared" si="408"/>
        <v>0.96413838381770467</v>
      </c>
      <c r="DB94" s="260">
        <f t="shared" si="408"/>
        <v>0.96413838381770467</v>
      </c>
      <c r="DC94" s="260">
        <f t="shared" si="408"/>
        <v>0.96413838381770467</v>
      </c>
      <c r="DD94" s="260">
        <f t="shared" si="408"/>
        <v>0.96413838381770467</v>
      </c>
      <c r="DE94" s="260">
        <f t="shared" si="408"/>
        <v>0.96413838381770467</v>
      </c>
      <c r="DF94" s="260">
        <f t="shared" si="408"/>
        <v>0.96413838381770467</v>
      </c>
      <c r="DG94" s="260">
        <f t="shared" si="408"/>
        <v>0.94425344412449175</v>
      </c>
      <c r="DH94" s="260">
        <f t="shared" si="408"/>
        <v>0.94425344412449175</v>
      </c>
      <c r="DI94" s="260">
        <f t="shared" si="408"/>
        <v>0.94425344412449175</v>
      </c>
      <c r="DJ94" s="260">
        <f t="shared" si="408"/>
        <v>0.94425344412449175</v>
      </c>
      <c r="DK94" s="260">
        <f t="shared" ref="DK94:FB94" si="409">1-SUM(DK95:DK97)</f>
        <v>0.94425344412449175</v>
      </c>
      <c r="DL94" s="260">
        <f t="shared" si="409"/>
        <v>0.94425344412449175</v>
      </c>
      <c r="DM94" s="260">
        <f t="shared" si="409"/>
        <v>0.94425344412449175</v>
      </c>
      <c r="DN94" s="260">
        <f t="shared" si="409"/>
        <v>0.94425344412449175</v>
      </c>
      <c r="DO94" s="260">
        <f t="shared" si="409"/>
        <v>0.94425344412449175</v>
      </c>
      <c r="DP94" s="260">
        <f t="shared" si="409"/>
        <v>0.94425344412449175</v>
      </c>
      <c r="DQ94" s="260">
        <f t="shared" si="409"/>
        <v>0.94425344412449175</v>
      </c>
      <c r="DR94" s="260">
        <f t="shared" si="409"/>
        <v>0.94425344412449175</v>
      </c>
      <c r="DS94" s="260">
        <f t="shared" si="409"/>
        <v>0.89389494922779045</v>
      </c>
      <c r="DT94" s="260">
        <f t="shared" si="409"/>
        <v>0.89389494922779045</v>
      </c>
      <c r="DU94" s="260">
        <f t="shared" si="409"/>
        <v>0.89389494922779045</v>
      </c>
      <c r="DV94" s="260">
        <f t="shared" si="409"/>
        <v>0.89389494922779045</v>
      </c>
      <c r="DW94" s="260">
        <f t="shared" si="409"/>
        <v>0.89389494922779045</v>
      </c>
      <c r="DX94" s="260">
        <f t="shared" si="409"/>
        <v>0.89389494922779045</v>
      </c>
      <c r="DY94" s="260">
        <f t="shared" si="409"/>
        <v>0.89389494922779045</v>
      </c>
      <c r="DZ94" s="260">
        <f t="shared" si="409"/>
        <v>0.89389494922779045</v>
      </c>
      <c r="EA94" s="260">
        <f t="shared" si="409"/>
        <v>0.89389494922779045</v>
      </c>
      <c r="EB94" s="260">
        <f t="shared" si="409"/>
        <v>0.89389494922779045</v>
      </c>
      <c r="EC94" s="260">
        <f t="shared" si="409"/>
        <v>0.89389494922779045</v>
      </c>
      <c r="ED94" s="260">
        <f t="shared" si="409"/>
        <v>0.89389494922779045</v>
      </c>
      <c r="EE94" s="260">
        <f t="shared" si="409"/>
        <v>0.85671938440234552</v>
      </c>
      <c r="EF94" s="260">
        <f t="shared" si="409"/>
        <v>0.85671938440234552</v>
      </c>
      <c r="EG94" s="260">
        <f t="shared" si="409"/>
        <v>0.85671938440234552</v>
      </c>
      <c r="EH94" s="260">
        <f t="shared" si="409"/>
        <v>0.85671938440234552</v>
      </c>
      <c r="EI94" s="260">
        <f t="shared" si="409"/>
        <v>0.85671938440234552</v>
      </c>
      <c r="EJ94" s="260">
        <f t="shared" si="409"/>
        <v>0.85671938440234552</v>
      </c>
      <c r="EK94" s="260">
        <f t="shared" si="409"/>
        <v>0.85671938440234552</v>
      </c>
      <c r="EL94" s="260">
        <f t="shared" si="409"/>
        <v>0.85671938440234552</v>
      </c>
      <c r="EM94" s="260">
        <f t="shared" si="409"/>
        <v>0.85671938440234552</v>
      </c>
      <c r="EN94" s="260">
        <f t="shared" si="409"/>
        <v>0.85671938440234552</v>
      </c>
      <c r="EO94" s="260">
        <f t="shared" si="409"/>
        <v>0.85671938440234552</v>
      </c>
      <c r="EP94" s="260">
        <f t="shared" si="409"/>
        <v>0.85671938440234552</v>
      </c>
      <c r="EQ94" s="260">
        <f t="shared" si="409"/>
        <v>0.83446083008213967</v>
      </c>
      <c r="ER94" s="260">
        <f t="shared" si="409"/>
        <v>0.83446083008213967</v>
      </c>
      <c r="ES94" s="260">
        <f t="shared" si="409"/>
        <v>0.83446083008213967</v>
      </c>
      <c r="ET94" s="260">
        <f t="shared" si="409"/>
        <v>0.83446083008213967</v>
      </c>
      <c r="EU94" s="260">
        <f t="shared" si="409"/>
        <v>0.83446083008213967</v>
      </c>
      <c r="EV94" s="260">
        <f t="shared" si="409"/>
        <v>0.83446083008213967</v>
      </c>
      <c r="EW94" s="260">
        <f t="shared" si="409"/>
        <v>0.83446083008213967</v>
      </c>
      <c r="EX94" s="260">
        <f t="shared" si="409"/>
        <v>0.83446083008213967</v>
      </c>
      <c r="EY94" s="260">
        <f t="shared" si="409"/>
        <v>0.83446083008213967</v>
      </c>
      <c r="EZ94" s="260">
        <f t="shared" si="409"/>
        <v>0.83446083008213967</v>
      </c>
      <c r="FA94" s="260">
        <f t="shared" si="409"/>
        <v>0.83446083008213967</v>
      </c>
      <c r="FB94" s="260">
        <f t="shared" si="409"/>
        <v>0.83446083008213967</v>
      </c>
    </row>
    <row r="95" spans="3:158" x14ac:dyDescent="0.25">
      <c r="C95" s="2" t="s">
        <v>298</v>
      </c>
      <c r="D95" s="330">
        <v>0.02</v>
      </c>
      <c r="E95" s="330">
        <v>0.02</v>
      </c>
      <c r="F95" s="330">
        <v>0.02</v>
      </c>
      <c r="G95" s="351">
        <f t="shared" ref="G95:L97" si="410">G89</f>
        <v>2.0162032904498084E-2</v>
      </c>
      <c r="H95" s="351">
        <f t="shared" si="410"/>
        <v>2.4725863949333231E-2</v>
      </c>
      <c r="I95" s="351">
        <f t="shared" si="410"/>
        <v>3.2930243934542434E-2</v>
      </c>
      <c r="J95" s="351">
        <f t="shared" si="410"/>
        <v>7.0974507372811746E-2</v>
      </c>
      <c r="K95" s="351">
        <f t="shared" si="410"/>
        <v>0.10091222744055964</v>
      </c>
      <c r="L95" s="351">
        <f t="shared" si="410"/>
        <v>0.1188371835637545</v>
      </c>
      <c r="N95" s="260">
        <f t="shared" ref="N95:AW95" si="411">N119/N$117</f>
        <v>0.02</v>
      </c>
      <c r="O95" s="260">
        <f t="shared" si="411"/>
        <v>0.02</v>
      </c>
      <c r="P95" s="260">
        <f t="shared" si="411"/>
        <v>0.02</v>
      </c>
      <c r="Q95" s="260">
        <f t="shared" si="411"/>
        <v>0.02</v>
      </c>
      <c r="R95" s="260">
        <f t="shared" si="411"/>
        <v>0.02</v>
      </c>
      <c r="S95" s="260">
        <f t="shared" si="411"/>
        <v>0.02</v>
      </c>
      <c r="T95" s="260">
        <f t="shared" si="411"/>
        <v>1.9999999999999997E-2</v>
      </c>
      <c r="U95" s="260">
        <f t="shared" si="411"/>
        <v>0.02</v>
      </c>
      <c r="V95" s="260">
        <f t="shared" si="411"/>
        <v>1.9999999999999997E-2</v>
      </c>
      <c r="W95" s="260">
        <f t="shared" si="411"/>
        <v>0.02</v>
      </c>
      <c r="X95" s="260">
        <f t="shared" si="411"/>
        <v>2.0000000000000004E-2</v>
      </c>
      <c r="Y95" s="260">
        <f t="shared" si="411"/>
        <v>0.02</v>
      </c>
      <c r="Z95" s="260">
        <f t="shared" si="411"/>
        <v>2.0162032904498084E-2</v>
      </c>
      <c r="AA95" s="260">
        <f t="shared" si="411"/>
        <v>2.0162032904498087E-2</v>
      </c>
      <c r="AB95" s="260">
        <f t="shared" si="411"/>
        <v>2.0162032904498084E-2</v>
      </c>
      <c r="AC95" s="260">
        <f t="shared" si="411"/>
        <v>2.0162032904498084E-2</v>
      </c>
      <c r="AD95" s="260">
        <f t="shared" si="411"/>
        <v>2.4725863949333231E-2</v>
      </c>
      <c r="AE95" s="260">
        <f t="shared" si="411"/>
        <v>2.4725863949333231E-2</v>
      </c>
      <c r="AF95" s="260">
        <f t="shared" si="411"/>
        <v>2.4725863949333227E-2</v>
      </c>
      <c r="AG95" s="260">
        <f t="shared" si="411"/>
        <v>2.4725863949333231E-2</v>
      </c>
      <c r="AH95" s="260">
        <f t="shared" si="411"/>
        <v>3.2930243934542434E-2</v>
      </c>
      <c r="AI95" s="260">
        <f t="shared" si="411"/>
        <v>3.2930243934542434E-2</v>
      </c>
      <c r="AJ95" s="260">
        <f t="shared" si="411"/>
        <v>3.2930243934542434E-2</v>
      </c>
      <c r="AK95" s="260">
        <f t="shared" si="411"/>
        <v>3.2930243934542427E-2</v>
      </c>
      <c r="AL95" s="260">
        <f t="shared" si="411"/>
        <v>7.097450737281176E-2</v>
      </c>
      <c r="AM95" s="260">
        <f t="shared" si="411"/>
        <v>7.0974507372811732E-2</v>
      </c>
      <c r="AN95" s="260">
        <f t="shared" si="411"/>
        <v>7.0974507372811732E-2</v>
      </c>
      <c r="AO95" s="260">
        <f t="shared" si="411"/>
        <v>7.0974507372811746E-2</v>
      </c>
      <c r="AP95" s="260">
        <f t="shared" si="411"/>
        <v>0.10091222744055965</v>
      </c>
      <c r="AQ95" s="260">
        <f t="shared" si="411"/>
        <v>0.10091222744055965</v>
      </c>
      <c r="AR95" s="260">
        <f t="shared" si="411"/>
        <v>0.10091222744055964</v>
      </c>
      <c r="AS95" s="260">
        <f t="shared" si="411"/>
        <v>0.10091222744055965</v>
      </c>
      <c r="AT95" s="260">
        <f t="shared" si="411"/>
        <v>0.11883718356375449</v>
      </c>
      <c r="AU95" s="260">
        <f t="shared" si="411"/>
        <v>0.1188371835637545</v>
      </c>
      <c r="AV95" s="260">
        <f t="shared" si="411"/>
        <v>0.11883718356375451</v>
      </c>
      <c r="AW95" s="260">
        <f t="shared" si="411"/>
        <v>0.11883718356375449</v>
      </c>
      <c r="AY95" s="262">
        <f t="shared" ref="AY95:DJ96" si="412">INDEX($D95:$L95,1,MATCH(AY$2,$D$2:$L$2,))</f>
        <v>0.02</v>
      </c>
      <c r="AZ95" s="262">
        <f t="shared" si="412"/>
        <v>0.02</v>
      </c>
      <c r="BA95" s="262">
        <f t="shared" si="412"/>
        <v>0.02</v>
      </c>
      <c r="BB95" s="262">
        <f t="shared" si="412"/>
        <v>0.02</v>
      </c>
      <c r="BC95" s="262">
        <f t="shared" si="412"/>
        <v>0.02</v>
      </c>
      <c r="BD95" s="262">
        <f t="shared" si="412"/>
        <v>0.02</v>
      </c>
      <c r="BE95" s="262">
        <f t="shared" si="412"/>
        <v>0.02</v>
      </c>
      <c r="BF95" s="262">
        <f t="shared" si="412"/>
        <v>0.02</v>
      </c>
      <c r="BG95" s="262">
        <f t="shared" si="412"/>
        <v>0.02</v>
      </c>
      <c r="BH95" s="262">
        <f t="shared" si="412"/>
        <v>0.02</v>
      </c>
      <c r="BI95" s="262">
        <f t="shared" si="412"/>
        <v>0.02</v>
      </c>
      <c r="BJ95" s="262">
        <f t="shared" si="412"/>
        <v>0.02</v>
      </c>
      <c r="BK95" s="262">
        <f t="shared" si="412"/>
        <v>0.02</v>
      </c>
      <c r="BL95" s="262">
        <f t="shared" si="412"/>
        <v>0.02</v>
      </c>
      <c r="BM95" s="262">
        <f t="shared" si="412"/>
        <v>0.02</v>
      </c>
      <c r="BN95" s="262">
        <f t="shared" si="412"/>
        <v>0.02</v>
      </c>
      <c r="BO95" s="262">
        <f t="shared" si="412"/>
        <v>0.02</v>
      </c>
      <c r="BP95" s="262">
        <f t="shared" si="412"/>
        <v>0.02</v>
      </c>
      <c r="BQ95" s="262">
        <f t="shared" si="412"/>
        <v>0.02</v>
      </c>
      <c r="BR95" s="262">
        <f t="shared" si="412"/>
        <v>0.02</v>
      </c>
      <c r="BS95" s="262">
        <f t="shared" si="412"/>
        <v>0.02</v>
      </c>
      <c r="BT95" s="262">
        <f t="shared" si="412"/>
        <v>0.02</v>
      </c>
      <c r="BU95" s="262">
        <f t="shared" si="412"/>
        <v>0.02</v>
      </c>
      <c r="BV95" s="262">
        <f t="shared" si="412"/>
        <v>0.02</v>
      </c>
      <c r="BW95" s="262">
        <f t="shared" si="412"/>
        <v>0.02</v>
      </c>
      <c r="BX95" s="262">
        <f t="shared" si="412"/>
        <v>0.02</v>
      </c>
      <c r="BY95" s="262">
        <f t="shared" si="412"/>
        <v>0.02</v>
      </c>
      <c r="BZ95" s="262">
        <f t="shared" si="412"/>
        <v>0.02</v>
      </c>
      <c r="CA95" s="262">
        <f t="shared" si="412"/>
        <v>0.02</v>
      </c>
      <c r="CB95" s="262">
        <f t="shared" si="412"/>
        <v>0.02</v>
      </c>
      <c r="CC95" s="262">
        <f t="shared" si="412"/>
        <v>0.02</v>
      </c>
      <c r="CD95" s="262">
        <f t="shared" si="412"/>
        <v>0.02</v>
      </c>
      <c r="CE95" s="262">
        <f t="shared" si="412"/>
        <v>0.02</v>
      </c>
      <c r="CF95" s="262">
        <f t="shared" si="412"/>
        <v>0.02</v>
      </c>
      <c r="CG95" s="262">
        <f t="shared" si="412"/>
        <v>0.02</v>
      </c>
      <c r="CH95" s="262">
        <f t="shared" si="412"/>
        <v>0.02</v>
      </c>
      <c r="CI95" s="262">
        <f t="shared" si="412"/>
        <v>2.0162032904498084E-2</v>
      </c>
      <c r="CJ95" s="262">
        <f t="shared" si="412"/>
        <v>2.0162032904498084E-2</v>
      </c>
      <c r="CK95" s="262">
        <f t="shared" si="412"/>
        <v>2.0162032904498084E-2</v>
      </c>
      <c r="CL95" s="262">
        <f t="shared" si="412"/>
        <v>2.0162032904498084E-2</v>
      </c>
      <c r="CM95" s="262">
        <f t="shared" si="412"/>
        <v>2.0162032904498084E-2</v>
      </c>
      <c r="CN95" s="262">
        <f t="shared" si="412"/>
        <v>2.0162032904498084E-2</v>
      </c>
      <c r="CO95" s="262">
        <f t="shared" si="412"/>
        <v>2.0162032904498084E-2</v>
      </c>
      <c r="CP95" s="262">
        <f t="shared" si="412"/>
        <v>2.0162032904498084E-2</v>
      </c>
      <c r="CQ95" s="262">
        <f t="shared" si="412"/>
        <v>2.0162032904498084E-2</v>
      </c>
      <c r="CR95" s="262">
        <f t="shared" si="412"/>
        <v>2.0162032904498084E-2</v>
      </c>
      <c r="CS95" s="262">
        <f t="shared" si="412"/>
        <v>2.0162032904498084E-2</v>
      </c>
      <c r="CT95" s="262">
        <f t="shared" si="412"/>
        <v>2.0162032904498084E-2</v>
      </c>
      <c r="CU95" s="262">
        <f t="shared" si="412"/>
        <v>2.4725863949333231E-2</v>
      </c>
      <c r="CV95" s="262">
        <f t="shared" si="412"/>
        <v>2.4725863949333231E-2</v>
      </c>
      <c r="CW95" s="262">
        <f t="shared" si="412"/>
        <v>2.4725863949333231E-2</v>
      </c>
      <c r="CX95" s="262">
        <f t="shared" si="412"/>
        <v>2.4725863949333231E-2</v>
      </c>
      <c r="CY95" s="262">
        <f t="shared" si="412"/>
        <v>2.4725863949333231E-2</v>
      </c>
      <c r="CZ95" s="262">
        <f t="shared" si="412"/>
        <v>2.4725863949333231E-2</v>
      </c>
      <c r="DA95" s="262">
        <f t="shared" si="412"/>
        <v>2.4725863949333231E-2</v>
      </c>
      <c r="DB95" s="262">
        <f t="shared" si="412"/>
        <v>2.4725863949333231E-2</v>
      </c>
      <c r="DC95" s="262">
        <f t="shared" si="412"/>
        <v>2.4725863949333231E-2</v>
      </c>
      <c r="DD95" s="262">
        <f t="shared" si="412"/>
        <v>2.4725863949333231E-2</v>
      </c>
      <c r="DE95" s="262">
        <f t="shared" si="412"/>
        <v>2.4725863949333231E-2</v>
      </c>
      <c r="DF95" s="262">
        <f t="shared" si="412"/>
        <v>2.4725863949333231E-2</v>
      </c>
      <c r="DG95" s="262">
        <f t="shared" si="412"/>
        <v>3.2930243934542434E-2</v>
      </c>
      <c r="DH95" s="262">
        <f t="shared" si="412"/>
        <v>3.2930243934542434E-2</v>
      </c>
      <c r="DI95" s="262">
        <f t="shared" si="412"/>
        <v>3.2930243934542434E-2</v>
      </c>
      <c r="DJ95" s="262">
        <f t="shared" si="412"/>
        <v>3.2930243934542434E-2</v>
      </c>
      <c r="DK95" s="262">
        <f t="shared" ref="DK95:FB97" si="413">INDEX($D95:$L95,1,MATCH(DK$2,$D$2:$L$2,))</f>
        <v>3.2930243934542434E-2</v>
      </c>
      <c r="DL95" s="262">
        <f t="shared" si="413"/>
        <v>3.2930243934542434E-2</v>
      </c>
      <c r="DM95" s="262">
        <f t="shared" si="413"/>
        <v>3.2930243934542434E-2</v>
      </c>
      <c r="DN95" s="262">
        <f t="shared" si="413"/>
        <v>3.2930243934542434E-2</v>
      </c>
      <c r="DO95" s="262">
        <f t="shared" si="413"/>
        <v>3.2930243934542434E-2</v>
      </c>
      <c r="DP95" s="262">
        <f t="shared" si="413"/>
        <v>3.2930243934542434E-2</v>
      </c>
      <c r="DQ95" s="262">
        <f t="shared" si="413"/>
        <v>3.2930243934542434E-2</v>
      </c>
      <c r="DR95" s="262">
        <f t="shared" si="413"/>
        <v>3.2930243934542434E-2</v>
      </c>
      <c r="DS95" s="262">
        <f t="shared" si="413"/>
        <v>7.0974507372811746E-2</v>
      </c>
      <c r="DT95" s="262">
        <f t="shared" si="413"/>
        <v>7.0974507372811746E-2</v>
      </c>
      <c r="DU95" s="262">
        <f t="shared" si="413"/>
        <v>7.0974507372811746E-2</v>
      </c>
      <c r="DV95" s="262">
        <f t="shared" si="413"/>
        <v>7.0974507372811746E-2</v>
      </c>
      <c r="DW95" s="262">
        <f t="shared" si="413"/>
        <v>7.0974507372811746E-2</v>
      </c>
      <c r="DX95" s="262">
        <f t="shared" si="413"/>
        <v>7.0974507372811746E-2</v>
      </c>
      <c r="DY95" s="262">
        <f t="shared" si="413"/>
        <v>7.0974507372811746E-2</v>
      </c>
      <c r="DZ95" s="262">
        <f t="shared" si="413"/>
        <v>7.0974507372811746E-2</v>
      </c>
      <c r="EA95" s="262">
        <f t="shared" si="413"/>
        <v>7.0974507372811746E-2</v>
      </c>
      <c r="EB95" s="262">
        <f t="shared" si="413"/>
        <v>7.0974507372811746E-2</v>
      </c>
      <c r="EC95" s="262">
        <f t="shared" si="413"/>
        <v>7.0974507372811746E-2</v>
      </c>
      <c r="ED95" s="262">
        <f t="shared" si="413"/>
        <v>7.0974507372811746E-2</v>
      </c>
      <c r="EE95" s="262">
        <f t="shared" si="413"/>
        <v>0.10091222744055964</v>
      </c>
      <c r="EF95" s="262">
        <f t="shared" si="413"/>
        <v>0.10091222744055964</v>
      </c>
      <c r="EG95" s="262">
        <f t="shared" si="413"/>
        <v>0.10091222744055964</v>
      </c>
      <c r="EH95" s="262">
        <f t="shared" si="413"/>
        <v>0.10091222744055964</v>
      </c>
      <c r="EI95" s="262">
        <f t="shared" si="413"/>
        <v>0.10091222744055964</v>
      </c>
      <c r="EJ95" s="262">
        <f t="shared" si="413"/>
        <v>0.10091222744055964</v>
      </c>
      <c r="EK95" s="262">
        <f t="shared" si="413"/>
        <v>0.10091222744055964</v>
      </c>
      <c r="EL95" s="262">
        <f t="shared" si="413"/>
        <v>0.10091222744055964</v>
      </c>
      <c r="EM95" s="262">
        <f t="shared" si="413"/>
        <v>0.10091222744055964</v>
      </c>
      <c r="EN95" s="262">
        <f t="shared" si="413"/>
        <v>0.10091222744055964</v>
      </c>
      <c r="EO95" s="262">
        <f t="shared" si="413"/>
        <v>0.10091222744055964</v>
      </c>
      <c r="EP95" s="262">
        <f t="shared" si="413"/>
        <v>0.10091222744055964</v>
      </c>
      <c r="EQ95" s="262">
        <f t="shared" si="413"/>
        <v>0.1188371835637545</v>
      </c>
      <c r="ER95" s="262">
        <f t="shared" si="413"/>
        <v>0.1188371835637545</v>
      </c>
      <c r="ES95" s="262">
        <f t="shared" si="413"/>
        <v>0.1188371835637545</v>
      </c>
      <c r="ET95" s="262">
        <f t="shared" si="413"/>
        <v>0.1188371835637545</v>
      </c>
      <c r="EU95" s="262">
        <f t="shared" si="413"/>
        <v>0.1188371835637545</v>
      </c>
      <c r="EV95" s="262">
        <f t="shared" si="413"/>
        <v>0.1188371835637545</v>
      </c>
      <c r="EW95" s="262">
        <f t="shared" si="413"/>
        <v>0.1188371835637545</v>
      </c>
      <c r="EX95" s="262">
        <f t="shared" si="413"/>
        <v>0.1188371835637545</v>
      </c>
      <c r="EY95" s="262">
        <f t="shared" si="413"/>
        <v>0.1188371835637545</v>
      </c>
      <c r="EZ95" s="262">
        <f t="shared" si="413"/>
        <v>0.1188371835637545</v>
      </c>
      <c r="FA95" s="262">
        <f t="shared" si="413"/>
        <v>0.1188371835637545</v>
      </c>
      <c r="FB95" s="262">
        <f t="shared" si="413"/>
        <v>0.1188371835637545</v>
      </c>
    </row>
    <row r="96" spans="3:158" x14ac:dyDescent="0.25">
      <c r="C96" s="2" t="s">
        <v>299</v>
      </c>
      <c r="D96" s="330">
        <v>0.01</v>
      </c>
      <c r="E96" s="330">
        <v>0.01</v>
      </c>
      <c r="F96" s="330">
        <v>0.01</v>
      </c>
      <c r="G96" s="351">
        <f t="shared" si="410"/>
        <v>4.0141917331572435E-3</v>
      </c>
      <c r="H96" s="351">
        <f t="shared" si="410"/>
        <v>1.1430005115817998E-2</v>
      </c>
      <c r="I96" s="351">
        <f t="shared" si="410"/>
        <v>2.2991488851525865E-2</v>
      </c>
      <c r="J96" s="351">
        <f t="shared" si="410"/>
        <v>3.5237063739633735E-2</v>
      </c>
      <c r="K96" s="351">
        <f t="shared" si="410"/>
        <v>4.2434554732722778E-2</v>
      </c>
      <c r="L96" s="351">
        <f t="shared" si="410"/>
        <v>4.6743991455233933E-2</v>
      </c>
      <c r="N96" s="260">
        <f t="shared" ref="N96:AW96" si="414">N120/N$117</f>
        <v>0.01</v>
      </c>
      <c r="O96" s="260">
        <f t="shared" si="414"/>
        <v>0.01</v>
      </c>
      <c r="P96" s="260">
        <f t="shared" si="414"/>
        <v>0.01</v>
      </c>
      <c r="Q96" s="260">
        <f t="shared" si="414"/>
        <v>0.01</v>
      </c>
      <c r="R96" s="260">
        <f t="shared" si="414"/>
        <v>0.01</v>
      </c>
      <c r="S96" s="260">
        <f t="shared" si="414"/>
        <v>0.01</v>
      </c>
      <c r="T96" s="260">
        <f t="shared" si="414"/>
        <v>9.9999999999999985E-3</v>
      </c>
      <c r="U96" s="260">
        <f t="shared" si="414"/>
        <v>0.01</v>
      </c>
      <c r="V96" s="260">
        <f t="shared" si="414"/>
        <v>9.9999999999999985E-3</v>
      </c>
      <c r="W96" s="260">
        <f t="shared" si="414"/>
        <v>0.01</v>
      </c>
      <c r="X96" s="260">
        <f t="shared" si="414"/>
        <v>1.0000000000000002E-2</v>
      </c>
      <c r="Y96" s="260">
        <f t="shared" si="414"/>
        <v>0.01</v>
      </c>
      <c r="Z96" s="260">
        <f t="shared" si="414"/>
        <v>4.0141917331572435E-3</v>
      </c>
      <c r="AA96" s="260">
        <f t="shared" si="414"/>
        <v>4.0141917331572444E-3</v>
      </c>
      <c r="AB96" s="260">
        <f t="shared" si="414"/>
        <v>4.0141917331572435E-3</v>
      </c>
      <c r="AC96" s="260">
        <f t="shared" si="414"/>
        <v>4.0141917331572435E-3</v>
      </c>
      <c r="AD96" s="260">
        <f t="shared" si="414"/>
        <v>1.1430005115817998E-2</v>
      </c>
      <c r="AE96" s="260">
        <f t="shared" si="414"/>
        <v>1.1430005115817998E-2</v>
      </c>
      <c r="AF96" s="260">
        <f t="shared" si="414"/>
        <v>1.1430005115817998E-2</v>
      </c>
      <c r="AG96" s="260">
        <f t="shared" si="414"/>
        <v>1.1430005115817998E-2</v>
      </c>
      <c r="AH96" s="260">
        <f t="shared" si="414"/>
        <v>2.2991488851525865E-2</v>
      </c>
      <c r="AI96" s="260">
        <f t="shared" si="414"/>
        <v>2.2991488851525861E-2</v>
      </c>
      <c r="AJ96" s="260">
        <f t="shared" si="414"/>
        <v>2.2991488851525865E-2</v>
      </c>
      <c r="AK96" s="260">
        <f t="shared" si="414"/>
        <v>2.2991488851525865E-2</v>
      </c>
      <c r="AL96" s="260">
        <f t="shared" si="414"/>
        <v>3.5237063739633735E-2</v>
      </c>
      <c r="AM96" s="260">
        <f t="shared" si="414"/>
        <v>3.5237063739633735E-2</v>
      </c>
      <c r="AN96" s="260">
        <f t="shared" si="414"/>
        <v>3.5237063739633735E-2</v>
      </c>
      <c r="AO96" s="260">
        <f t="shared" si="414"/>
        <v>3.5237063739633735E-2</v>
      </c>
      <c r="AP96" s="260">
        <f t="shared" si="414"/>
        <v>4.2434554732722778E-2</v>
      </c>
      <c r="AQ96" s="260">
        <f t="shared" si="414"/>
        <v>4.2434554732722785E-2</v>
      </c>
      <c r="AR96" s="260">
        <f t="shared" si="414"/>
        <v>4.2434554732722778E-2</v>
      </c>
      <c r="AS96" s="260">
        <f t="shared" si="414"/>
        <v>4.2434554732722785E-2</v>
      </c>
      <c r="AT96" s="260">
        <f t="shared" si="414"/>
        <v>4.6743991455233933E-2</v>
      </c>
      <c r="AU96" s="260">
        <f t="shared" si="414"/>
        <v>4.6743991455233939E-2</v>
      </c>
      <c r="AV96" s="260">
        <f t="shared" si="414"/>
        <v>4.6743991455233933E-2</v>
      </c>
      <c r="AW96" s="260">
        <f t="shared" si="414"/>
        <v>4.6743991455233933E-2</v>
      </c>
      <c r="AY96" s="262">
        <f t="shared" si="412"/>
        <v>0.01</v>
      </c>
      <c r="AZ96" s="262">
        <f t="shared" si="412"/>
        <v>0.01</v>
      </c>
      <c r="BA96" s="262">
        <f t="shared" si="412"/>
        <v>0.01</v>
      </c>
      <c r="BB96" s="262">
        <f t="shared" si="412"/>
        <v>0.01</v>
      </c>
      <c r="BC96" s="262">
        <f t="shared" si="412"/>
        <v>0.01</v>
      </c>
      <c r="BD96" s="262">
        <f t="shared" si="412"/>
        <v>0.01</v>
      </c>
      <c r="BE96" s="262">
        <f t="shared" si="412"/>
        <v>0.01</v>
      </c>
      <c r="BF96" s="262">
        <f t="shared" si="412"/>
        <v>0.01</v>
      </c>
      <c r="BG96" s="262">
        <f t="shared" si="412"/>
        <v>0.01</v>
      </c>
      <c r="BH96" s="262">
        <f t="shared" si="412"/>
        <v>0.01</v>
      </c>
      <c r="BI96" s="262">
        <f t="shared" si="412"/>
        <v>0.01</v>
      </c>
      <c r="BJ96" s="262">
        <f t="shared" si="412"/>
        <v>0.01</v>
      </c>
      <c r="BK96" s="262">
        <f t="shared" si="412"/>
        <v>0.01</v>
      </c>
      <c r="BL96" s="262">
        <f t="shared" si="412"/>
        <v>0.01</v>
      </c>
      <c r="BM96" s="262">
        <f t="shared" si="412"/>
        <v>0.01</v>
      </c>
      <c r="BN96" s="262">
        <f t="shared" si="412"/>
        <v>0.01</v>
      </c>
      <c r="BO96" s="262">
        <f t="shared" si="412"/>
        <v>0.01</v>
      </c>
      <c r="BP96" s="262">
        <f t="shared" si="412"/>
        <v>0.01</v>
      </c>
      <c r="BQ96" s="262">
        <f t="shared" si="412"/>
        <v>0.01</v>
      </c>
      <c r="BR96" s="262">
        <f t="shared" si="412"/>
        <v>0.01</v>
      </c>
      <c r="BS96" s="262">
        <f t="shared" si="412"/>
        <v>0.01</v>
      </c>
      <c r="BT96" s="262">
        <f t="shared" si="412"/>
        <v>0.01</v>
      </c>
      <c r="BU96" s="262">
        <f t="shared" si="412"/>
        <v>0.01</v>
      </c>
      <c r="BV96" s="262">
        <f t="shared" si="412"/>
        <v>0.01</v>
      </c>
      <c r="BW96" s="262">
        <f t="shared" si="412"/>
        <v>0.01</v>
      </c>
      <c r="BX96" s="262">
        <f t="shared" si="412"/>
        <v>0.01</v>
      </c>
      <c r="BY96" s="262">
        <f t="shared" si="412"/>
        <v>0.01</v>
      </c>
      <c r="BZ96" s="262">
        <f t="shared" si="412"/>
        <v>0.01</v>
      </c>
      <c r="CA96" s="262">
        <f t="shared" si="412"/>
        <v>0.01</v>
      </c>
      <c r="CB96" s="262">
        <f t="shared" si="412"/>
        <v>0.01</v>
      </c>
      <c r="CC96" s="262">
        <f t="shared" si="412"/>
        <v>0.01</v>
      </c>
      <c r="CD96" s="262">
        <f t="shared" si="412"/>
        <v>0.01</v>
      </c>
      <c r="CE96" s="262">
        <f t="shared" si="412"/>
        <v>0.01</v>
      </c>
      <c r="CF96" s="262">
        <f t="shared" si="412"/>
        <v>0.01</v>
      </c>
      <c r="CG96" s="262">
        <f t="shared" si="412"/>
        <v>0.01</v>
      </c>
      <c r="CH96" s="262">
        <f t="shared" si="412"/>
        <v>0.01</v>
      </c>
      <c r="CI96" s="262">
        <f t="shared" si="412"/>
        <v>4.0141917331572435E-3</v>
      </c>
      <c r="CJ96" s="262">
        <f t="shared" si="412"/>
        <v>4.0141917331572435E-3</v>
      </c>
      <c r="CK96" s="262">
        <f t="shared" si="412"/>
        <v>4.0141917331572435E-3</v>
      </c>
      <c r="CL96" s="262">
        <f t="shared" si="412"/>
        <v>4.0141917331572435E-3</v>
      </c>
      <c r="CM96" s="262">
        <f t="shared" si="412"/>
        <v>4.0141917331572435E-3</v>
      </c>
      <c r="CN96" s="262">
        <f t="shared" si="412"/>
        <v>4.0141917331572435E-3</v>
      </c>
      <c r="CO96" s="262">
        <f t="shared" si="412"/>
        <v>4.0141917331572435E-3</v>
      </c>
      <c r="CP96" s="262">
        <f t="shared" si="412"/>
        <v>4.0141917331572435E-3</v>
      </c>
      <c r="CQ96" s="262">
        <f t="shared" si="412"/>
        <v>4.0141917331572435E-3</v>
      </c>
      <c r="CR96" s="262">
        <f t="shared" si="412"/>
        <v>4.0141917331572435E-3</v>
      </c>
      <c r="CS96" s="262">
        <f t="shared" si="412"/>
        <v>4.0141917331572435E-3</v>
      </c>
      <c r="CT96" s="262">
        <f t="shared" si="412"/>
        <v>4.0141917331572435E-3</v>
      </c>
      <c r="CU96" s="262">
        <f t="shared" si="412"/>
        <v>1.1430005115817998E-2</v>
      </c>
      <c r="CV96" s="262">
        <f t="shared" si="412"/>
        <v>1.1430005115817998E-2</v>
      </c>
      <c r="CW96" s="262">
        <f t="shared" si="412"/>
        <v>1.1430005115817998E-2</v>
      </c>
      <c r="CX96" s="262">
        <f t="shared" si="412"/>
        <v>1.1430005115817998E-2</v>
      </c>
      <c r="CY96" s="262">
        <f t="shared" si="412"/>
        <v>1.1430005115817998E-2</v>
      </c>
      <c r="CZ96" s="262">
        <f t="shared" si="412"/>
        <v>1.1430005115817998E-2</v>
      </c>
      <c r="DA96" s="262">
        <f t="shared" si="412"/>
        <v>1.1430005115817998E-2</v>
      </c>
      <c r="DB96" s="262">
        <f t="shared" si="412"/>
        <v>1.1430005115817998E-2</v>
      </c>
      <c r="DC96" s="262">
        <f t="shared" si="412"/>
        <v>1.1430005115817998E-2</v>
      </c>
      <c r="DD96" s="262">
        <f t="shared" si="412"/>
        <v>1.1430005115817998E-2</v>
      </c>
      <c r="DE96" s="262">
        <f t="shared" si="412"/>
        <v>1.1430005115817998E-2</v>
      </c>
      <c r="DF96" s="262">
        <f t="shared" si="412"/>
        <v>1.1430005115817998E-2</v>
      </c>
      <c r="DG96" s="262">
        <f t="shared" si="412"/>
        <v>2.2991488851525865E-2</v>
      </c>
      <c r="DH96" s="262">
        <f t="shared" si="412"/>
        <v>2.2991488851525865E-2</v>
      </c>
      <c r="DI96" s="262">
        <f t="shared" si="412"/>
        <v>2.2991488851525865E-2</v>
      </c>
      <c r="DJ96" s="262">
        <f t="shared" ref="DJ96" si="415">INDEX($D96:$L96,1,MATCH(DJ$2,$D$2:$L$2,))</f>
        <v>2.2991488851525865E-2</v>
      </c>
      <c r="DK96" s="262">
        <f t="shared" si="413"/>
        <v>2.2991488851525865E-2</v>
      </c>
      <c r="DL96" s="262">
        <f t="shared" si="413"/>
        <v>2.2991488851525865E-2</v>
      </c>
      <c r="DM96" s="262">
        <f t="shared" si="413"/>
        <v>2.2991488851525865E-2</v>
      </c>
      <c r="DN96" s="262">
        <f t="shared" si="413"/>
        <v>2.2991488851525865E-2</v>
      </c>
      <c r="DO96" s="262">
        <f t="shared" si="413"/>
        <v>2.2991488851525865E-2</v>
      </c>
      <c r="DP96" s="262">
        <f t="shared" si="413"/>
        <v>2.2991488851525865E-2</v>
      </c>
      <c r="DQ96" s="262">
        <f t="shared" si="413"/>
        <v>2.2991488851525865E-2</v>
      </c>
      <c r="DR96" s="262">
        <f t="shared" si="413"/>
        <v>2.2991488851525865E-2</v>
      </c>
      <c r="DS96" s="262">
        <f t="shared" si="413"/>
        <v>3.5237063739633735E-2</v>
      </c>
      <c r="DT96" s="262">
        <f t="shared" si="413"/>
        <v>3.5237063739633735E-2</v>
      </c>
      <c r="DU96" s="262">
        <f t="shared" si="413"/>
        <v>3.5237063739633735E-2</v>
      </c>
      <c r="DV96" s="262">
        <f t="shared" si="413"/>
        <v>3.5237063739633735E-2</v>
      </c>
      <c r="DW96" s="262">
        <f t="shared" si="413"/>
        <v>3.5237063739633735E-2</v>
      </c>
      <c r="DX96" s="262">
        <f t="shared" si="413"/>
        <v>3.5237063739633735E-2</v>
      </c>
      <c r="DY96" s="262">
        <f t="shared" si="413"/>
        <v>3.5237063739633735E-2</v>
      </c>
      <c r="DZ96" s="262">
        <f t="shared" si="413"/>
        <v>3.5237063739633735E-2</v>
      </c>
      <c r="EA96" s="262">
        <f t="shared" si="413"/>
        <v>3.5237063739633735E-2</v>
      </c>
      <c r="EB96" s="262">
        <f t="shared" si="413"/>
        <v>3.5237063739633735E-2</v>
      </c>
      <c r="EC96" s="262">
        <f t="shared" si="413"/>
        <v>3.5237063739633735E-2</v>
      </c>
      <c r="ED96" s="262">
        <f t="shared" si="413"/>
        <v>3.5237063739633735E-2</v>
      </c>
      <c r="EE96" s="262">
        <f t="shared" si="413"/>
        <v>4.2434554732722778E-2</v>
      </c>
      <c r="EF96" s="262">
        <f t="shared" si="413"/>
        <v>4.2434554732722778E-2</v>
      </c>
      <c r="EG96" s="262">
        <f t="shared" si="413"/>
        <v>4.2434554732722778E-2</v>
      </c>
      <c r="EH96" s="262">
        <f t="shared" si="413"/>
        <v>4.2434554732722778E-2</v>
      </c>
      <c r="EI96" s="262">
        <f t="shared" si="413"/>
        <v>4.2434554732722778E-2</v>
      </c>
      <c r="EJ96" s="262">
        <f t="shared" si="413"/>
        <v>4.2434554732722778E-2</v>
      </c>
      <c r="EK96" s="262">
        <f t="shared" si="413"/>
        <v>4.2434554732722778E-2</v>
      </c>
      <c r="EL96" s="262">
        <f t="shared" si="413"/>
        <v>4.2434554732722778E-2</v>
      </c>
      <c r="EM96" s="262">
        <f t="shared" si="413"/>
        <v>4.2434554732722778E-2</v>
      </c>
      <c r="EN96" s="262">
        <f t="shared" si="413"/>
        <v>4.2434554732722778E-2</v>
      </c>
      <c r="EO96" s="262">
        <f t="shared" si="413"/>
        <v>4.2434554732722778E-2</v>
      </c>
      <c r="EP96" s="262">
        <f t="shared" si="413"/>
        <v>4.2434554732722778E-2</v>
      </c>
      <c r="EQ96" s="262">
        <f t="shared" si="413"/>
        <v>4.6743991455233933E-2</v>
      </c>
      <c r="ER96" s="262">
        <f t="shared" si="413"/>
        <v>4.6743991455233933E-2</v>
      </c>
      <c r="ES96" s="262">
        <f t="shared" si="413"/>
        <v>4.6743991455233933E-2</v>
      </c>
      <c r="ET96" s="262">
        <f t="shared" si="413"/>
        <v>4.6743991455233933E-2</v>
      </c>
      <c r="EU96" s="262">
        <f t="shared" si="413"/>
        <v>4.6743991455233933E-2</v>
      </c>
      <c r="EV96" s="262">
        <f t="shared" si="413"/>
        <v>4.6743991455233933E-2</v>
      </c>
      <c r="EW96" s="262">
        <f t="shared" si="413"/>
        <v>4.6743991455233933E-2</v>
      </c>
      <c r="EX96" s="262">
        <f t="shared" si="413"/>
        <v>4.6743991455233933E-2</v>
      </c>
      <c r="EY96" s="262">
        <f t="shared" si="413"/>
        <v>4.6743991455233933E-2</v>
      </c>
      <c r="EZ96" s="262">
        <f t="shared" si="413"/>
        <v>4.6743991455233933E-2</v>
      </c>
      <c r="FA96" s="262">
        <f t="shared" si="413"/>
        <v>4.6743991455233933E-2</v>
      </c>
      <c r="FB96" s="262">
        <f t="shared" si="413"/>
        <v>4.6743991455233933E-2</v>
      </c>
    </row>
    <row r="97" spans="3:158" x14ac:dyDescent="0.25">
      <c r="C97" s="2" t="s">
        <v>300</v>
      </c>
      <c r="D97" s="330">
        <v>0.02</v>
      </c>
      <c r="E97" s="330">
        <v>0.02</v>
      </c>
      <c r="F97" s="330">
        <v>0.02</v>
      </c>
      <c r="G97" s="351">
        <f t="shared" si="410"/>
        <v>-5.4887665988959642E-4</v>
      </c>
      <c r="H97" s="351">
        <f t="shared" si="410"/>
        <v>-2.9425288285593669E-4</v>
      </c>
      <c r="I97" s="351">
        <f t="shared" si="410"/>
        <v>-1.7517691055999452E-4</v>
      </c>
      <c r="J97" s="351">
        <f t="shared" si="410"/>
        <v>-1.0652034023594345E-4</v>
      </c>
      <c r="K97" s="351">
        <f t="shared" si="410"/>
        <v>-6.6166575627992269E-5</v>
      </c>
      <c r="L97" s="351">
        <f t="shared" si="410"/>
        <v>-4.2005101128051383E-5</v>
      </c>
      <c r="N97" s="260">
        <f>N121/N$117</f>
        <v>0.02</v>
      </c>
      <c r="AY97" s="262">
        <f t="shared" ref="AY97:DJ97" si="416">INDEX($D97:$L97,1,MATCH(AY$2,$D$2:$L$2,))</f>
        <v>0.02</v>
      </c>
      <c r="AZ97" s="262">
        <f t="shared" si="416"/>
        <v>0.02</v>
      </c>
      <c r="BA97" s="262">
        <f t="shared" si="416"/>
        <v>0.02</v>
      </c>
      <c r="BB97" s="262">
        <f t="shared" si="416"/>
        <v>0.02</v>
      </c>
      <c r="BC97" s="262">
        <f t="shared" si="416"/>
        <v>0.02</v>
      </c>
      <c r="BD97" s="262">
        <f t="shared" si="416"/>
        <v>0.02</v>
      </c>
      <c r="BE97" s="262">
        <f t="shared" si="416"/>
        <v>0.02</v>
      </c>
      <c r="BF97" s="262">
        <f t="shared" si="416"/>
        <v>0.02</v>
      </c>
      <c r="BG97" s="262">
        <f t="shared" si="416"/>
        <v>0.02</v>
      </c>
      <c r="BH97" s="262">
        <f t="shared" si="416"/>
        <v>0.02</v>
      </c>
      <c r="BI97" s="262">
        <f t="shared" si="416"/>
        <v>0.02</v>
      </c>
      <c r="BJ97" s="262">
        <f t="shared" si="416"/>
        <v>0.02</v>
      </c>
      <c r="BK97" s="262">
        <f t="shared" si="416"/>
        <v>0.02</v>
      </c>
      <c r="BL97" s="262">
        <f t="shared" si="416"/>
        <v>0.02</v>
      </c>
      <c r="BM97" s="262">
        <f t="shared" si="416"/>
        <v>0.02</v>
      </c>
      <c r="BN97" s="262">
        <f t="shared" si="416"/>
        <v>0.02</v>
      </c>
      <c r="BO97" s="262">
        <f t="shared" si="416"/>
        <v>0.02</v>
      </c>
      <c r="BP97" s="262">
        <f t="shared" si="416"/>
        <v>0.02</v>
      </c>
      <c r="BQ97" s="262">
        <f t="shared" si="416"/>
        <v>0.02</v>
      </c>
      <c r="BR97" s="262">
        <f t="shared" si="416"/>
        <v>0.02</v>
      </c>
      <c r="BS97" s="262">
        <f t="shared" si="416"/>
        <v>0.02</v>
      </c>
      <c r="BT97" s="262">
        <f t="shared" si="416"/>
        <v>0.02</v>
      </c>
      <c r="BU97" s="262">
        <f t="shared" si="416"/>
        <v>0.02</v>
      </c>
      <c r="BV97" s="262">
        <f t="shared" si="416"/>
        <v>0.02</v>
      </c>
      <c r="BW97" s="262">
        <f t="shared" si="416"/>
        <v>0.02</v>
      </c>
      <c r="BX97" s="262">
        <f t="shared" si="416"/>
        <v>0.02</v>
      </c>
      <c r="BY97" s="262">
        <f t="shared" si="416"/>
        <v>0.02</v>
      </c>
      <c r="BZ97" s="262">
        <f t="shared" si="416"/>
        <v>0.02</v>
      </c>
      <c r="CA97" s="262">
        <f t="shared" si="416"/>
        <v>0.02</v>
      </c>
      <c r="CB97" s="262">
        <f t="shared" si="416"/>
        <v>0.02</v>
      </c>
      <c r="CC97" s="262">
        <f t="shared" si="416"/>
        <v>0.02</v>
      </c>
      <c r="CD97" s="262">
        <f t="shared" si="416"/>
        <v>0.02</v>
      </c>
      <c r="CE97" s="262">
        <f t="shared" si="416"/>
        <v>0.02</v>
      </c>
      <c r="CF97" s="262">
        <f t="shared" si="416"/>
        <v>0.02</v>
      </c>
      <c r="CG97" s="262">
        <f t="shared" si="416"/>
        <v>0.02</v>
      </c>
      <c r="CH97" s="262">
        <f t="shared" si="416"/>
        <v>0.02</v>
      </c>
      <c r="CI97" s="262">
        <f t="shared" si="416"/>
        <v>-5.4887665988959642E-4</v>
      </c>
      <c r="CJ97" s="262">
        <f t="shared" si="416"/>
        <v>-5.4887665988959642E-4</v>
      </c>
      <c r="CK97" s="262">
        <f t="shared" si="416"/>
        <v>-5.4887665988959642E-4</v>
      </c>
      <c r="CL97" s="262">
        <f t="shared" si="416"/>
        <v>-5.4887665988959642E-4</v>
      </c>
      <c r="CM97" s="262">
        <f t="shared" si="416"/>
        <v>-5.4887665988959642E-4</v>
      </c>
      <c r="CN97" s="262">
        <f t="shared" si="416"/>
        <v>-5.4887665988959642E-4</v>
      </c>
      <c r="CO97" s="262">
        <f t="shared" si="416"/>
        <v>-5.4887665988959642E-4</v>
      </c>
      <c r="CP97" s="262">
        <f t="shared" si="416"/>
        <v>-5.4887665988959642E-4</v>
      </c>
      <c r="CQ97" s="262">
        <f t="shared" si="416"/>
        <v>-5.4887665988959642E-4</v>
      </c>
      <c r="CR97" s="262">
        <f t="shared" si="416"/>
        <v>-5.4887665988959642E-4</v>
      </c>
      <c r="CS97" s="262">
        <f t="shared" si="416"/>
        <v>-5.4887665988959642E-4</v>
      </c>
      <c r="CT97" s="262">
        <f t="shared" si="416"/>
        <v>-5.4887665988959642E-4</v>
      </c>
      <c r="CU97" s="262">
        <f t="shared" si="416"/>
        <v>-2.9425288285593669E-4</v>
      </c>
      <c r="CV97" s="262">
        <f t="shared" si="416"/>
        <v>-2.9425288285593669E-4</v>
      </c>
      <c r="CW97" s="262">
        <f t="shared" si="416"/>
        <v>-2.9425288285593669E-4</v>
      </c>
      <c r="CX97" s="262">
        <f t="shared" si="416"/>
        <v>-2.9425288285593669E-4</v>
      </c>
      <c r="CY97" s="262">
        <f t="shared" si="416"/>
        <v>-2.9425288285593669E-4</v>
      </c>
      <c r="CZ97" s="262">
        <f t="shared" si="416"/>
        <v>-2.9425288285593669E-4</v>
      </c>
      <c r="DA97" s="262">
        <f t="shared" si="416"/>
        <v>-2.9425288285593669E-4</v>
      </c>
      <c r="DB97" s="262">
        <f t="shared" si="416"/>
        <v>-2.9425288285593669E-4</v>
      </c>
      <c r="DC97" s="262">
        <f t="shared" si="416"/>
        <v>-2.9425288285593669E-4</v>
      </c>
      <c r="DD97" s="262">
        <f t="shared" si="416"/>
        <v>-2.9425288285593669E-4</v>
      </c>
      <c r="DE97" s="262">
        <f t="shared" si="416"/>
        <v>-2.9425288285593669E-4</v>
      </c>
      <c r="DF97" s="262">
        <f t="shared" si="416"/>
        <v>-2.9425288285593669E-4</v>
      </c>
      <c r="DG97" s="262">
        <f t="shared" si="416"/>
        <v>-1.7517691055999452E-4</v>
      </c>
      <c r="DH97" s="262">
        <f t="shared" si="416"/>
        <v>-1.7517691055999452E-4</v>
      </c>
      <c r="DI97" s="262">
        <f t="shared" si="416"/>
        <v>-1.7517691055999452E-4</v>
      </c>
      <c r="DJ97" s="262">
        <f t="shared" si="416"/>
        <v>-1.7517691055999452E-4</v>
      </c>
      <c r="DK97" s="262">
        <f t="shared" si="413"/>
        <v>-1.7517691055999452E-4</v>
      </c>
      <c r="DL97" s="262">
        <f t="shared" si="413"/>
        <v>-1.7517691055999452E-4</v>
      </c>
      <c r="DM97" s="262">
        <f t="shared" si="413"/>
        <v>-1.7517691055999452E-4</v>
      </c>
      <c r="DN97" s="262">
        <f t="shared" si="413"/>
        <v>-1.7517691055999452E-4</v>
      </c>
      <c r="DO97" s="262">
        <f t="shared" si="413"/>
        <v>-1.7517691055999452E-4</v>
      </c>
      <c r="DP97" s="262">
        <f t="shared" si="413"/>
        <v>-1.7517691055999452E-4</v>
      </c>
      <c r="DQ97" s="262">
        <f t="shared" si="413"/>
        <v>-1.7517691055999452E-4</v>
      </c>
      <c r="DR97" s="262">
        <f t="shared" si="413"/>
        <v>-1.7517691055999452E-4</v>
      </c>
      <c r="DS97" s="262">
        <f t="shared" si="413"/>
        <v>-1.0652034023594345E-4</v>
      </c>
      <c r="DT97" s="262">
        <f t="shared" si="413"/>
        <v>-1.0652034023594345E-4</v>
      </c>
      <c r="DU97" s="262">
        <f t="shared" si="413"/>
        <v>-1.0652034023594345E-4</v>
      </c>
      <c r="DV97" s="262">
        <f t="shared" si="413"/>
        <v>-1.0652034023594345E-4</v>
      </c>
      <c r="DW97" s="262">
        <f t="shared" si="413"/>
        <v>-1.0652034023594345E-4</v>
      </c>
      <c r="DX97" s="262">
        <f t="shared" si="413"/>
        <v>-1.0652034023594345E-4</v>
      </c>
      <c r="DY97" s="262">
        <f t="shared" si="413"/>
        <v>-1.0652034023594345E-4</v>
      </c>
      <c r="DZ97" s="262">
        <f t="shared" si="413"/>
        <v>-1.0652034023594345E-4</v>
      </c>
      <c r="EA97" s="262">
        <f t="shared" si="413"/>
        <v>-1.0652034023594345E-4</v>
      </c>
      <c r="EB97" s="262">
        <f t="shared" si="413"/>
        <v>-1.0652034023594345E-4</v>
      </c>
      <c r="EC97" s="262">
        <f t="shared" si="413"/>
        <v>-1.0652034023594345E-4</v>
      </c>
      <c r="ED97" s="262">
        <f t="shared" si="413"/>
        <v>-1.0652034023594345E-4</v>
      </c>
      <c r="EE97" s="262">
        <f t="shared" si="413"/>
        <v>-6.6166575627992269E-5</v>
      </c>
      <c r="EF97" s="262">
        <f t="shared" si="413"/>
        <v>-6.6166575627992269E-5</v>
      </c>
      <c r="EG97" s="262">
        <f t="shared" si="413"/>
        <v>-6.6166575627992269E-5</v>
      </c>
      <c r="EH97" s="262">
        <f t="shared" si="413"/>
        <v>-6.6166575627992269E-5</v>
      </c>
      <c r="EI97" s="262">
        <f t="shared" si="413"/>
        <v>-6.6166575627992269E-5</v>
      </c>
      <c r="EJ97" s="262">
        <f t="shared" si="413"/>
        <v>-6.6166575627992269E-5</v>
      </c>
      <c r="EK97" s="262">
        <f t="shared" si="413"/>
        <v>-6.6166575627992269E-5</v>
      </c>
      <c r="EL97" s="262">
        <f t="shared" si="413"/>
        <v>-6.6166575627992269E-5</v>
      </c>
      <c r="EM97" s="262">
        <f t="shared" si="413"/>
        <v>-6.6166575627992269E-5</v>
      </c>
      <c r="EN97" s="262">
        <f t="shared" si="413"/>
        <v>-6.6166575627992269E-5</v>
      </c>
      <c r="EO97" s="262">
        <f t="shared" si="413"/>
        <v>-6.6166575627992269E-5</v>
      </c>
      <c r="EP97" s="262">
        <f t="shared" si="413"/>
        <v>-6.6166575627992269E-5</v>
      </c>
      <c r="EQ97" s="262">
        <f t="shared" si="413"/>
        <v>-4.2005101128051383E-5</v>
      </c>
      <c r="ER97" s="262">
        <f t="shared" si="413"/>
        <v>-4.2005101128051383E-5</v>
      </c>
      <c r="ES97" s="262">
        <f t="shared" si="413"/>
        <v>-4.2005101128051383E-5</v>
      </c>
      <c r="ET97" s="262">
        <f t="shared" si="413"/>
        <v>-4.2005101128051383E-5</v>
      </c>
      <c r="EU97" s="262">
        <f t="shared" si="413"/>
        <v>-4.2005101128051383E-5</v>
      </c>
      <c r="EV97" s="262">
        <f t="shared" si="413"/>
        <v>-4.2005101128051383E-5</v>
      </c>
      <c r="EW97" s="262">
        <f t="shared" si="413"/>
        <v>-4.2005101128051383E-5</v>
      </c>
      <c r="EX97" s="262">
        <f t="shared" si="413"/>
        <v>-4.2005101128051383E-5</v>
      </c>
      <c r="EY97" s="262">
        <f t="shared" si="413"/>
        <v>-4.2005101128051383E-5</v>
      </c>
      <c r="EZ97" s="262">
        <f t="shared" si="413"/>
        <v>-4.2005101128051383E-5</v>
      </c>
      <c r="FA97" s="262">
        <f t="shared" si="413"/>
        <v>-4.2005101128051383E-5</v>
      </c>
      <c r="FB97" s="262">
        <f t="shared" si="413"/>
        <v>-4.2005101128051383E-5</v>
      </c>
    </row>
    <row r="99" spans="3:158" s="1" customFormat="1" x14ac:dyDescent="0.25">
      <c r="C99" s="304" t="s">
        <v>644</v>
      </c>
      <c r="D99" s="22">
        <f t="shared" ref="D99:L121" si="417">SUMIF($AY$2:$FB$2,D$2,$AY99:$FB99)</f>
        <v>5718339.0999999996</v>
      </c>
      <c r="E99" s="22">
        <f t="shared" si="417"/>
        <v>7829961.8145050006</v>
      </c>
      <c r="F99" s="22">
        <f t="shared" si="417"/>
        <v>8657987.1461899988</v>
      </c>
      <c r="G99" s="22">
        <f t="shared" si="417"/>
        <v>16709358.41097267</v>
      </c>
      <c r="H99" s="22">
        <f t="shared" si="417"/>
        <v>18750724.309394229</v>
      </c>
      <c r="I99" s="22">
        <f t="shared" si="417"/>
        <v>25003008.950996581</v>
      </c>
      <c r="J99" s="22">
        <f t="shared" si="417"/>
        <v>32555326.841173172</v>
      </c>
      <c r="K99" s="22">
        <f t="shared" si="417"/>
        <v>41333554.564846858</v>
      </c>
      <c r="L99" s="22">
        <f t="shared" si="417"/>
        <v>51084752.170930743</v>
      </c>
      <c r="N99" s="22">
        <f t="shared" ref="N99:N121" si="418">SUM(AY99:BA99)</f>
        <v>1035185.6</v>
      </c>
      <c r="O99" s="22">
        <f t="shared" ref="O99:O121" si="419">SUM(BB99:BD99)</f>
        <v>947839</v>
      </c>
      <c r="P99" s="22">
        <f t="shared" ref="P99:P121" si="420">SUM(BE99:BG99)</f>
        <v>1374139.5</v>
      </c>
      <c r="Q99" s="22">
        <f t="shared" ref="Q99:Q121" si="421">SUM(BH99:BJ99)</f>
        <v>2361175</v>
      </c>
      <c r="R99" s="22">
        <f t="shared" ref="R99:R121" si="422">SUM(BK99:BM99)</f>
        <v>1966893.72</v>
      </c>
      <c r="S99" s="22">
        <f t="shared" ref="S99:S121" si="423">SUM(BN99:BP99)</f>
        <v>2138899.92</v>
      </c>
      <c r="T99" s="22">
        <f t="shared" ref="T99:T121" si="424">SUM(BQ99:BS99)</f>
        <v>1586173.72</v>
      </c>
      <c r="U99" s="22">
        <f t="shared" ref="U99:U121" si="425">SUM(BT99:BV99)</f>
        <v>2137994.4545049998</v>
      </c>
      <c r="V99" s="22">
        <f t="shared" ref="V99:V121" si="426">SUM(BW99:BY99)</f>
        <v>1187612.8935159999</v>
      </c>
      <c r="W99" s="22">
        <f t="shared" ref="W99:W121" si="427">SUM(BZ99:CB99)</f>
        <v>2496187.72487</v>
      </c>
      <c r="X99" s="22">
        <f t="shared" ref="X99:X121" si="428">SUM(CC99:CE99)</f>
        <v>1792109.2252369998</v>
      </c>
      <c r="Y99" s="22">
        <f t="shared" ref="Y99:Y121" si="429">SUM(CF99:CH99)</f>
        <v>3182077.302567</v>
      </c>
      <c r="Z99" s="22">
        <f t="shared" ref="Z99:Z121" si="430">SUM(CI99:CK99)</f>
        <v>2478561.1667750003</v>
      </c>
      <c r="AA99" s="22">
        <f t="shared" ref="AA99:AA121" si="431">SUM(CL99:CN99)</f>
        <v>3596821.8275309997</v>
      </c>
      <c r="AB99" s="22">
        <f t="shared" ref="AB99:AB121" si="432">SUM(CO99:CQ99)</f>
        <v>4579891.458333334</v>
      </c>
      <c r="AC99" s="22">
        <f t="shared" ref="AC99:AC121" si="433">SUM(CR99:CT99)</f>
        <v>6054083.958333334</v>
      </c>
      <c r="AD99" s="22">
        <f t="shared" ref="AD99:AD121" si="434">SUM(CU99:CW99)</f>
        <v>3318393.1822028025</v>
      </c>
      <c r="AE99" s="22">
        <f t="shared" ref="AE99:AE121" si="435">SUM(CX99:CZ99)</f>
        <v>4415141.5763387</v>
      </c>
      <c r="AF99" s="22">
        <f t="shared" ref="AF99:AF121" si="436">SUM(DA99:DC99)</f>
        <v>4352811.0971852168</v>
      </c>
      <c r="AG99" s="22">
        <f t="shared" ref="AG99:AG121" si="437">SUM(DD99:DF99)</f>
        <v>6664378.4536675103</v>
      </c>
      <c r="AH99" s="22">
        <f t="shared" ref="AH99:AH121" si="438">SUM(DG99:DI99)</f>
        <v>4559902.0857307035</v>
      </c>
      <c r="AI99" s="22">
        <f t="shared" ref="AI99:AI121" si="439">SUM(DJ99:DL99)</f>
        <v>6187372.6460760506</v>
      </c>
      <c r="AJ99" s="22">
        <f t="shared" ref="AJ99:AJ121" si="440">SUM(DM99:DO99)</f>
        <v>5804222.4411775414</v>
      </c>
      <c r="AK99" s="22">
        <f t="shared" ref="AK99:AK121" si="441">SUM(DP99:DR99)</f>
        <v>8451511.778012285</v>
      </c>
      <c r="AL99" s="22">
        <f t="shared" ref="AL99:AL121" si="442">SUM(DS99:DU99)</f>
        <v>5937249.5148746241</v>
      </c>
      <c r="AM99" s="22">
        <f t="shared" ref="AM99:AM121" si="443">SUM(DV99:DX99)</f>
        <v>8056307.9098170549</v>
      </c>
      <c r="AN99" s="22">
        <f t="shared" ref="AN99:AN121" si="444">SUM(DY99:EA99)</f>
        <v>7557424.7484271415</v>
      </c>
      <c r="AO99" s="22">
        <f t="shared" ref="AO99:AO121" si="445">SUM(EB99:ED99)</f>
        <v>11004344.668054355</v>
      </c>
      <c r="AP99" s="22">
        <f t="shared" ref="AP99:AP121" si="446">SUM(EE99:EG99)</f>
        <v>7538171.1873281021</v>
      </c>
      <c r="AQ99" s="22">
        <f t="shared" ref="AQ99:AQ121" si="447">SUM(EH99:EJ99)</f>
        <v>10228613.099361856</v>
      </c>
      <c r="AR99" s="22">
        <f t="shared" ref="AR99:AR121" si="448">SUM(EK99:EM99)</f>
        <v>9595210.938376205</v>
      </c>
      <c r="AS99" s="22">
        <f t="shared" ref="AS99:AS121" si="449">SUM(EN99:EP99)</f>
        <v>13971559.339780699</v>
      </c>
      <c r="AT99" s="22">
        <f t="shared" ref="AT99:AT121" si="450">SUM(EQ99:ES99)</f>
        <v>9316537.3987508994</v>
      </c>
      <c r="AU99" s="22">
        <f t="shared" ref="AU99:AU121" si="451">SUM(ET99:EV99)</f>
        <v>12641694.399001226</v>
      </c>
      <c r="AV99" s="22">
        <f t="shared" ref="AV99:AV121" si="452">SUM(EW99:EY99)</f>
        <v>11858863.288559953</v>
      </c>
      <c r="AW99" s="22">
        <f t="shared" ref="AW99:AW121" si="453">SUM(EZ99:FB99)</f>
        <v>17267657.084618654</v>
      </c>
      <c r="AY99" s="49">
        <f t="shared" ref="AY99:CD99" si="454">AY43</f>
        <v>78250</v>
      </c>
      <c r="AZ99" s="49">
        <f t="shared" si="454"/>
        <v>438175</v>
      </c>
      <c r="BA99" s="49">
        <f t="shared" si="454"/>
        <v>518760.6</v>
      </c>
      <c r="BB99" s="49">
        <f t="shared" si="454"/>
        <v>163840</v>
      </c>
      <c r="BC99" s="49">
        <f t="shared" si="454"/>
        <v>300140</v>
      </c>
      <c r="BD99" s="49">
        <f t="shared" si="454"/>
        <v>483859</v>
      </c>
      <c r="BE99" s="49">
        <f t="shared" si="454"/>
        <v>270916.67</v>
      </c>
      <c r="BF99" s="49">
        <f t="shared" si="454"/>
        <v>423389.5</v>
      </c>
      <c r="BG99" s="49">
        <f t="shared" si="454"/>
        <v>679833.33</v>
      </c>
      <c r="BH99" s="49">
        <f t="shared" si="454"/>
        <v>491650</v>
      </c>
      <c r="BI99" s="49">
        <f t="shared" si="454"/>
        <v>984175</v>
      </c>
      <c r="BJ99" s="49">
        <f t="shared" si="454"/>
        <v>885350</v>
      </c>
      <c r="BK99" s="49">
        <f t="shared" si="454"/>
        <v>325633.33</v>
      </c>
      <c r="BL99" s="49">
        <f t="shared" si="454"/>
        <v>614517.32999999996</v>
      </c>
      <c r="BM99" s="49">
        <f t="shared" si="454"/>
        <v>1026743.06</v>
      </c>
      <c r="BN99" s="49">
        <f t="shared" si="454"/>
        <v>548266.67000000004</v>
      </c>
      <c r="BO99" s="49">
        <f t="shared" si="454"/>
        <v>708736.61</v>
      </c>
      <c r="BP99" s="49">
        <f t="shared" si="454"/>
        <v>881896.64</v>
      </c>
      <c r="BQ99" s="49">
        <f t="shared" si="454"/>
        <v>429835.17</v>
      </c>
      <c r="BR99" s="49">
        <f t="shared" si="454"/>
        <v>356700</v>
      </c>
      <c r="BS99" s="49">
        <f t="shared" si="454"/>
        <v>799638.55</v>
      </c>
      <c r="BT99" s="49">
        <f t="shared" si="454"/>
        <v>276754.48</v>
      </c>
      <c r="BU99" s="49">
        <f t="shared" si="454"/>
        <v>829160.48</v>
      </c>
      <c r="BV99" s="49">
        <f t="shared" si="454"/>
        <v>1032079.494505</v>
      </c>
      <c r="BW99" s="49">
        <f t="shared" si="454"/>
        <v>211086.86</v>
      </c>
      <c r="BX99" s="49">
        <f t="shared" si="454"/>
        <v>343880.24212399998</v>
      </c>
      <c r="BY99" s="49">
        <f t="shared" si="454"/>
        <v>632645.79139200004</v>
      </c>
      <c r="BZ99" s="49">
        <f t="shared" si="454"/>
        <v>398339.78897400002</v>
      </c>
      <c r="CA99" s="49">
        <f t="shared" si="454"/>
        <v>617609.16853400005</v>
      </c>
      <c r="CB99" s="49">
        <f t="shared" si="454"/>
        <v>1480238.767362</v>
      </c>
      <c r="CC99" s="49">
        <f t="shared" si="454"/>
        <v>225861.55</v>
      </c>
      <c r="CD99" s="49">
        <f t="shared" si="454"/>
        <v>681003.32150099997</v>
      </c>
      <c r="CE99" s="49">
        <f t="shared" ref="CE99:DJ99" si="455">CE43</f>
        <v>885244.35373600002</v>
      </c>
      <c r="CF99" s="49">
        <f t="shared" si="455"/>
        <v>533185.24945200002</v>
      </c>
      <c r="CG99" s="49">
        <f t="shared" si="455"/>
        <v>921185.87619099999</v>
      </c>
      <c r="CH99" s="49">
        <f t="shared" si="455"/>
        <v>1727706.176924</v>
      </c>
      <c r="CI99" s="49">
        <f t="shared" si="455"/>
        <v>417149.06475100003</v>
      </c>
      <c r="CJ99" s="49">
        <f t="shared" si="455"/>
        <v>703910.10811300005</v>
      </c>
      <c r="CK99" s="49">
        <f t="shared" si="455"/>
        <v>1357501.993911</v>
      </c>
      <c r="CL99" s="49">
        <f t="shared" si="455"/>
        <v>522178.75454599998</v>
      </c>
      <c r="CM99" s="49">
        <f t="shared" si="455"/>
        <v>1110364.198349</v>
      </c>
      <c r="CN99" s="49">
        <f t="shared" si="455"/>
        <v>1964278.874636</v>
      </c>
      <c r="CO99" s="49">
        <f t="shared" si="455"/>
        <v>686983.71875000012</v>
      </c>
      <c r="CP99" s="49">
        <f t="shared" si="455"/>
        <v>1602962.0104166667</v>
      </c>
      <c r="CQ99" s="49">
        <f t="shared" si="455"/>
        <v>2289945.729166667</v>
      </c>
      <c r="CR99" s="49">
        <f t="shared" si="455"/>
        <v>605408.39583333349</v>
      </c>
      <c r="CS99" s="49">
        <f t="shared" si="455"/>
        <v>2421633.583333334</v>
      </c>
      <c r="CT99" s="49">
        <f t="shared" si="455"/>
        <v>3027041.979166667</v>
      </c>
      <c r="CU99" s="49">
        <f t="shared" si="455"/>
        <v>438658.63632085227</v>
      </c>
      <c r="CV99" s="49">
        <f t="shared" si="455"/>
        <v>964078.39666739036</v>
      </c>
      <c r="CW99" s="49">
        <f t="shared" si="455"/>
        <v>1915656.1492145599</v>
      </c>
      <c r="CX99" s="49">
        <f t="shared" si="455"/>
        <v>765955.15688817343</v>
      </c>
      <c r="CY99" s="49">
        <f t="shared" si="455"/>
        <v>1502318.2913442629</v>
      </c>
      <c r="CZ99" s="49">
        <f t="shared" si="455"/>
        <v>2146868.1281062635</v>
      </c>
      <c r="DA99" s="49">
        <f t="shared" si="455"/>
        <v>735494.374673062</v>
      </c>
      <c r="DB99" s="49">
        <f t="shared" si="455"/>
        <v>1311459.3132739773</v>
      </c>
      <c r="DC99" s="49">
        <f t="shared" si="455"/>
        <v>2305857.4092381778</v>
      </c>
      <c r="DD99" s="49">
        <f t="shared" si="455"/>
        <v>990139.13281642762</v>
      </c>
      <c r="DE99" s="49">
        <f t="shared" si="455"/>
        <v>2641125.7658198043</v>
      </c>
      <c r="DF99" s="49">
        <f t="shared" si="455"/>
        <v>3033113.5550312777</v>
      </c>
      <c r="DG99" s="49">
        <f t="shared" si="455"/>
        <v>629931.39707068913</v>
      </c>
      <c r="DH99" s="49">
        <f t="shared" si="455"/>
        <v>1330548.3308065883</v>
      </c>
      <c r="DI99" s="49">
        <f t="shared" si="455"/>
        <v>2599422.3578534261</v>
      </c>
      <c r="DJ99" s="49">
        <f t="shared" si="455"/>
        <v>1121369.0419513234</v>
      </c>
      <c r="DK99" s="49">
        <f t="shared" ref="DK99:EP99" si="456">DK43</f>
        <v>2103266.793643259</v>
      </c>
      <c r="DL99" s="49">
        <f t="shared" si="456"/>
        <v>2962736.8104814682</v>
      </c>
      <c r="DM99" s="49">
        <f t="shared" si="456"/>
        <v>980739.31064865121</v>
      </c>
      <c r="DN99" s="49">
        <f t="shared" si="456"/>
        <v>1748755.3231332442</v>
      </c>
      <c r="DO99" s="49">
        <f t="shared" si="456"/>
        <v>3074727.8073956454</v>
      </c>
      <c r="DP99" s="49">
        <f t="shared" si="456"/>
        <v>1175275.9507309641</v>
      </c>
      <c r="DQ99" s="49">
        <f t="shared" si="456"/>
        <v>3376771.3640189609</v>
      </c>
      <c r="DR99" s="49">
        <f t="shared" si="456"/>
        <v>3899464.4632623605</v>
      </c>
      <c r="DS99" s="49">
        <f t="shared" si="456"/>
        <v>820206.18235773256</v>
      </c>
      <c r="DT99" s="49">
        <f t="shared" si="456"/>
        <v>1732448.9173395813</v>
      </c>
      <c r="DU99" s="49">
        <f t="shared" si="456"/>
        <v>3384594.4151773099</v>
      </c>
      <c r="DV99" s="49">
        <f t="shared" si="456"/>
        <v>1460085.6937598099</v>
      </c>
      <c r="DW99" s="49">
        <f t="shared" si="456"/>
        <v>2738571.9069029661</v>
      </c>
      <c r="DX99" s="49">
        <f t="shared" si="456"/>
        <v>3857650.3091542781</v>
      </c>
      <c r="DY99" s="49">
        <f t="shared" si="456"/>
        <v>1276977.8576142571</v>
      </c>
      <c r="DZ99" s="49">
        <f t="shared" si="456"/>
        <v>2276977.9917858639</v>
      </c>
      <c r="EA99" s="49">
        <f t="shared" si="456"/>
        <v>4003468.8990270202</v>
      </c>
      <c r="EB99" s="49">
        <f t="shared" si="456"/>
        <v>1530275.5272217761</v>
      </c>
      <c r="EC99" s="49">
        <f t="shared" si="456"/>
        <v>4396746.6331355171</v>
      </c>
      <c r="ED99" s="49">
        <f t="shared" si="456"/>
        <v>5077322.5076970626</v>
      </c>
      <c r="EE99" s="49">
        <f t="shared" si="456"/>
        <v>1041366.8140487443</v>
      </c>
      <c r="EF99" s="49">
        <f t="shared" si="456"/>
        <v>2199586.9433293934</v>
      </c>
      <c r="EG99" s="49">
        <f t="shared" si="456"/>
        <v>4297217.4299499644</v>
      </c>
      <c r="EH99" s="49">
        <f t="shared" si="456"/>
        <v>1853783.6215499833</v>
      </c>
      <c r="EI99" s="49">
        <f t="shared" si="456"/>
        <v>3477001.2261271873</v>
      </c>
      <c r="EJ99" s="49">
        <f t="shared" si="456"/>
        <v>4897828.2516846852</v>
      </c>
      <c r="EK99" s="49">
        <f t="shared" si="456"/>
        <v>1621302.5356282396</v>
      </c>
      <c r="EL99" s="49">
        <f t="shared" si="456"/>
        <v>2890942.9945395952</v>
      </c>
      <c r="EM99" s="49">
        <f t="shared" si="456"/>
        <v>5082965.4082083702</v>
      </c>
      <c r="EN99" s="49">
        <f t="shared" si="456"/>
        <v>1942899.4619607306</v>
      </c>
      <c r="EO99" s="49">
        <f t="shared" si="456"/>
        <v>5582286.6640267661</v>
      </c>
      <c r="EP99" s="49">
        <f t="shared" si="456"/>
        <v>6446373.2137932032</v>
      </c>
      <c r="EQ99" s="49">
        <f t="shared" ref="EQ99:FB99" si="457">EQ43</f>
        <v>1287040.6664699318</v>
      </c>
      <c r="ER99" s="49">
        <f t="shared" si="457"/>
        <v>2718502.0756468163</v>
      </c>
      <c r="ES99" s="49">
        <f t="shared" si="457"/>
        <v>5310994.656634151</v>
      </c>
      <c r="ET99" s="49">
        <f t="shared" si="457"/>
        <v>2291118.6294621597</v>
      </c>
      <c r="EU99" s="49">
        <f t="shared" si="457"/>
        <v>4297277.3042314742</v>
      </c>
      <c r="EV99" s="49">
        <f t="shared" si="457"/>
        <v>6053298.4653075915</v>
      </c>
      <c r="EW99" s="49">
        <f t="shared" si="457"/>
        <v>2003791.8126961619</v>
      </c>
      <c r="EX99" s="49">
        <f t="shared" si="457"/>
        <v>3572959.2572215963</v>
      </c>
      <c r="EY99" s="49">
        <f t="shared" si="457"/>
        <v>6282112.2186421948</v>
      </c>
      <c r="EZ99" s="49">
        <f t="shared" si="457"/>
        <v>2401258.216289734</v>
      </c>
      <c r="FA99" s="49">
        <f t="shared" si="457"/>
        <v>6899230.7528621936</v>
      </c>
      <c r="FB99" s="49">
        <f t="shared" si="457"/>
        <v>7967168.115466726</v>
      </c>
    </row>
    <row r="100" spans="3:158" x14ac:dyDescent="0.25">
      <c r="C100" s="2" t="s">
        <v>346</v>
      </c>
      <c r="D100" s="244">
        <f t="shared" si="417"/>
        <v>5603972.318</v>
      </c>
      <c r="E100" s="244">
        <f t="shared" si="417"/>
        <v>7673362.5782149006</v>
      </c>
      <c r="F100" s="244">
        <f t="shared" si="417"/>
        <v>8398247.5318043008</v>
      </c>
      <c r="G100" s="244">
        <f t="shared" si="417"/>
        <v>15873890.490424035</v>
      </c>
      <c r="H100" s="244">
        <f t="shared" si="417"/>
        <v>17156912.743095722</v>
      </c>
      <c r="I100" s="244">
        <f t="shared" si="417"/>
        <v>20396554.229717009</v>
      </c>
      <c r="J100" s="244">
        <f t="shared" si="417"/>
        <v>25906356.634251539</v>
      </c>
      <c r="K100" s="244">
        <f t="shared" si="417"/>
        <v>32891754.11269287</v>
      </c>
      <c r="L100" s="244">
        <f t="shared" si="417"/>
        <v>26181434.336153224</v>
      </c>
      <c r="N100" s="244">
        <f t="shared" si="418"/>
        <v>1014481.888</v>
      </c>
      <c r="O100" s="244">
        <f t="shared" si="419"/>
        <v>928882.22</v>
      </c>
      <c r="P100" s="244">
        <f t="shared" si="420"/>
        <v>1346656.71</v>
      </c>
      <c r="Q100" s="244">
        <f t="shared" si="421"/>
        <v>2313951.5</v>
      </c>
      <c r="R100" s="244">
        <f t="shared" si="422"/>
        <v>1927555.8456000001</v>
      </c>
      <c r="S100" s="244">
        <f t="shared" si="423"/>
        <v>2096121.9216</v>
      </c>
      <c r="T100" s="244">
        <f t="shared" si="424"/>
        <v>1554450.2456</v>
      </c>
      <c r="U100" s="244">
        <f t="shared" si="425"/>
        <v>2095234.5654149</v>
      </c>
      <c r="V100" s="244">
        <f t="shared" si="426"/>
        <v>1151984.50671052</v>
      </c>
      <c r="W100" s="244">
        <f t="shared" si="427"/>
        <v>2421302.0931238998</v>
      </c>
      <c r="X100" s="244">
        <f t="shared" si="428"/>
        <v>1738345.9484798899</v>
      </c>
      <c r="Y100" s="244">
        <f t="shared" si="429"/>
        <v>3086614.9834899902</v>
      </c>
      <c r="Z100" s="244">
        <f t="shared" si="430"/>
        <v>2354633.1084362501</v>
      </c>
      <c r="AA100" s="244">
        <f t="shared" si="431"/>
        <v>3416980.7361544496</v>
      </c>
      <c r="AB100" s="244">
        <f t="shared" si="432"/>
        <v>4350896.885416667</v>
      </c>
      <c r="AC100" s="244">
        <f t="shared" si="433"/>
        <v>5751379.7604166679</v>
      </c>
      <c r="AD100" s="244">
        <f t="shared" si="434"/>
        <v>3036329.7617155649</v>
      </c>
      <c r="AE100" s="244">
        <f t="shared" si="435"/>
        <v>4039854.5423499104</v>
      </c>
      <c r="AF100" s="244">
        <f t="shared" si="436"/>
        <v>3982822.153924474</v>
      </c>
      <c r="AG100" s="244">
        <f t="shared" si="437"/>
        <v>6097906.2851057714</v>
      </c>
      <c r="AH100" s="244">
        <f t="shared" si="438"/>
        <v>3719803.898646323</v>
      </c>
      <c r="AI100" s="244">
        <f t="shared" si="439"/>
        <v>5047435.7691308036</v>
      </c>
      <c r="AJ100" s="244">
        <f t="shared" si="440"/>
        <v>4734875.6309627872</v>
      </c>
      <c r="AK100" s="244">
        <f t="shared" si="441"/>
        <v>6894438.9309770949</v>
      </c>
      <c r="AL100" s="244">
        <f t="shared" si="442"/>
        <v>4724649.3364751032</v>
      </c>
      <c r="AM100" s="244">
        <f t="shared" si="443"/>
        <v>6410919.6902027186</v>
      </c>
      <c r="AN100" s="244">
        <f t="shared" si="444"/>
        <v>6013926.437428968</v>
      </c>
      <c r="AO100" s="244">
        <f t="shared" si="445"/>
        <v>8756861.1701447498</v>
      </c>
      <c r="AP100" s="244">
        <f t="shared" si="446"/>
        <v>5998605.1469149916</v>
      </c>
      <c r="AQ100" s="244">
        <f t="shared" si="447"/>
        <v>8139561.9254147252</v>
      </c>
      <c r="AR100" s="244">
        <f t="shared" si="448"/>
        <v>7635523.2974060215</v>
      </c>
      <c r="AS100" s="244">
        <f t="shared" si="449"/>
        <v>11118063.742957138</v>
      </c>
      <c r="AT100" s="244">
        <f t="shared" si="450"/>
        <v>4774816.3939319812</v>
      </c>
      <c r="AU100" s="244">
        <f t="shared" si="451"/>
        <v>6478991.82710543</v>
      </c>
      <c r="AV100" s="244">
        <f t="shared" si="452"/>
        <v>6077783.2385673635</v>
      </c>
      <c r="AW100" s="244">
        <f t="shared" si="453"/>
        <v>8849842.8765484504</v>
      </c>
      <c r="AY100" s="20">
        <f t="shared" ref="AY100:CD100" si="458">AY$99*AY76</f>
        <v>76685</v>
      </c>
      <c r="AZ100" s="20">
        <f t="shared" si="458"/>
        <v>429411.5</v>
      </c>
      <c r="BA100" s="20">
        <f t="shared" si="458"/>
        <v>508385.38799999998</v>
      </c>
      <c r="BB100" s="20">
        <f t="shared" si="458"/>
        <v>160563.20000000001</v>
      </c>
      <c r="BC100" s="20">
        <f t="shared" si="458"/>
        <v>294137.2</v>
      </c>
      <c r="BD100" s="20">
        <f t="shared" si="458"/>
        <v>474181.82</v>
      </c>
      <c r="BE100" s="20">
        <f t="shared" si="458"/>
        <v>265498.33659999998</v>
      </c>
      <c r="BF100" s="20">
        <f t="shared" si="458"/>
        <v>414921.71</v>
      </c>
      <c r="BG100" s="20">
        <f t="shared" si="458"/>
        <v>666236.66339999996</v>
      </c>
      <c r="BH100" s="20">
        <f t="shared" si="458"/>
        <v>481817</v>
      </c>
      <c r="BI100" s="20">
        <f t="shared" si="458"/>
        <v>964491.5</v>
      </c>
      <c r="BJ100" s="20">
        <f t="shared" si="458"/>
        <v>867643</v>
      </c>
      <c r="BK100" s="20">
        <f t="shared" si="458"/>
        <v>319120.66340000002</v>
      </c>
      <c r="BL100" s="20">
        <f t="shared" si="458"/>
        <v>602226.98339999991</v>
      </c>
      <c r="BM100" s="20">
        <f t="shared" si="458"/>
        <v>1006208.1988</v>
      </c>
      <c r="BN100" s="20">
        <f t="shared" si="458"/>
        <v>537301.33660000004</v>
      </c>
      <c r="BO100" s="20">
        <f t="shared" si="458"/>
        <v>694561.87780000002</v>
      </c>
      <c r="BP100" s="20">
        <f t="shared" si="458"/>
        <v>864258.70719999995</v>
      </c>
      <c r="BQ100" s="20">
        <f t="shared" si="458"/>
        <v>421238.46659999999</v>
      </c>
      <c r="BR100" s="20">
        <f t="shared" si="458"/>
        <v>349566</v>
      </c>
      <c r="BS100" s="20">
        <f t="shared" si="458"/>
        <v>783645.77899999998</v>
      </c>
      <c r="BT100" s="20">
        <f t="shared" si="458"/>
        <v>271219.39039999997</v>
      </c>
      <c r="BU100" s="20">
        <f t="shared" si="458"/>
        <v>812577.27039999992</v>
      </c>
      <c r="BV100" s="20">
        <f t="shared" si="458"/>
        <v>1011437.9046148999</v>
      </c>
      <c r="BW100" s="20">
        <f t="shared" si="458"/>
        <v>204754.25419999997</v>
      </c>
      <c r="BX100" s="20">
        <f t="shared" si="458"/>
        <v>333563.83486027998</v>
      </c>
      <c r="BY100" s="20">
        <f t="shared" si="458"/>
        <v>613666.41765024001</v>
      </c>
      <c r="BZ100" s="20">
        <f t="shared" si="458"/>
        <v>386389.59530478</v>
      </c>
      <c r="CA100" s="20">
        <f t="shared" si="458"/>
        <v>599080.89347798005</v>
      </c>
      <c r="CB100" s="20">
        <f t="shared" si="458"/>
        <v>1435831.60434114</v>
      </c>
      <c r="CC100" s="20">
        <f t="shared" si="458"/>
        <v>219085.70349999997</v>
      </c>
      <c r="CD100" s="20">
        <f t="shared" si="458"/>
        <v>660573.22185596998</v>
      </c>
      <c r="CE100" s="20">
        <f t="shared" ref="CE100:DJ100" si="459">CE$99*CE76</f>
        <v>858687.02312391996</v>
      </c>
      <c r="CF100" s="20">
        <f t="shared" si="459"/>
        <v>517189.69196844002</v>
      </c>
      <c r="CG100" s="20">
        <f t="shared" si="459"/>
        <v>893550.29990526999</v>
      </c>
      <c r="CH100" s="20">
        <f t="shared" si="459"/>
        <v>1675874.9916162801</v>
      </c>
      <c r="CI100" s="20">
        <f t="shared" si="459"/>
        <v>396291.61151344999</v>
      </c>
      <c r="CJ100" s="20">
        <f t="shared" si="459"/>
        <v>668714.60270735004</v>
      </c>
      <c r="CK100" s="20">
        <f t="shared" si="459"/>
        <v>1289626.8942154499</v>
      </c>
      <c r="CL100" s="20">
        <f t="shared" si="459"/>
        <v>496069.81681869994</v>
      </c>
      <c r="CM100" s="20">
        <f t="shared" si="459"/>
        <v>1054845.9884315499</v>
      </c>
      <c r="CN100" s="20">
        <f t="shared" si="459"/>
        <v>1866064.9309041998</v>
      </c>
      <c r="CO100" s="20">
        <f t="shared" si="459"/>
        <v>652634.53281250002</v>
      </c>
      <c r="CP100" s="20">
        <f t="shared" si="459"/>
        <v>1522813.9098958333</v>
      </c>
      <c r="CQ100" s="20">
        <f t="shared" si="459"/>
        <v>2175448.4427083335</v>
      </c>
      <c r="CR100" s="20">
        <f t="shared" si="459"/>
        <v>575137.97604166681</v>
      </c>
      <c r="CS100" s="20">
        <f t="shared" si="459"/>
        <v>2300551.9041666673</v>
      </c>
      <c r="CT100" s="20">
        <f t="shared" si="459"/>
        <v>2875689.8802083335</v>
      </c>
      <c r="CU100" s="20">
        <f t="shared" si="459"/>
        <v>401372.65223357984</v>
      </c>
      <c r="CV100" s="20">
        <f t="shared" si="459"/>
        <v>882131.73295066226</v>
      </c>
      <c r="CW100" s="20">
        <f t="shared" si="459"/>
        <v>1752825.3765313225</v>
      </c>
      <c r="CX100" s="20">
        <f t="shared" si="459"/>
        <v>700848.96855267871</v>
      </c>
      <c r="CY100" s="20">
        <f t="shared" si="459"/>
        <v>1374621.2365800005</v>
      </c>
      <c r="CZ100" s="20">
        <f t="shared" si="459"/>
        <v>1964384.337217231</v>
      </c>
      <c r="DA100" s="20">
        <f t="shared" si="459"/>
        <v>672977.35282585176</v>
      </c>
      <c r="DB100" s="20">
        <f t="shared" si="459"/>
        <v>1199985.2716456892</v>
      </c>
      <c r="DC100" s="20">
        <f t="shared" si="459"/>
        <v>2109859.529452933</v>
      </c>
      <c r="DD100" s="20">
        <f t="shared" si="459"/>
        <v>905977.30652703135</v>
      </c>
      <c r="DE100" s="20">
        <f t="shared" si="459"/>
        <v>2416630.075725121</v>
      </c>
      <c r="DF100" s="20">
        <f t="shared" si="459"/>
        <v>2775298.9028536193</v>
      </c>
      <c r="DG100" s="20">
        <f t="shared" si="459"/>
        <v>513875.34702464641</v>
      </c>
      <c r="DH100" s="20">
        <f t="shared" si="459"/>
        <v>1085413.4091518742</v>
      </c>
      <c r="DI100" s="20">
        <f t="shared" si="459"/>
        <v>2120515.1424698024</v>
      </c>
      <c r="DJ100" s="20">
        <f t="shared" si="459"/>
        <v>914772.47880496923</v>
      </c>
      <c r="DK100" s="20">
        <f t="shared" ref="DK100:EP100" si="460">DK$99*DK76</f>
        <v>1715769.3020142617</v>
      </c>
      <c r="DL100" s="20">
        <f t="shared" si="460"/>
        <v>2416893.9883115725</v>
      </c>
      <c r="DM100" s="20">
        <f t="shared" si="460"/>
        <v>800051.80872693215</v>
      </c>
      <c r="DN100" s="20">
        <f t="shared" si="460"/>
        <v>1426571.6119488014</v>
      </c>
      <c r="DO100" s="20">
        <f t="shared" si="460"/>
        <v>2508252.2102870536</v>
      </c>
      <c r="DP100" s="20">
        <f t="shared" si="460"/>
        <v>958747.79355349764</v>
      </c>
      <c r="DQ100" s="20">
        <f t="shared" si="460"/>
        <v>2754648.4658128708</v>
      </c>
      <c r="DR100" s="20">
        <f t="shared" si="460"/>
        <v>3181042.671610726</v>
      </c>
      <c r="DS100" s="20">
        <f t="shared" si="460"/>
        <v>652690.54055092554</v>
      </c>
      <c r="DT100" s="20">
        <f t="shared" si="460"/>
        <v>1378620.4550236608</v>
      </c>
      <c r="DU100" s="20">
        <f t="shared" si="460"/>
        <v>2693338.3409005166</v>
      </c>
      <c r="DV100" s="20">
        <f t="shared" si="460"/>
        <v>1161883.6107420607</v>
      </c>
      <c r="DW100" s="20">
        <f t="shared" si="460"/>
        <v>2179256.8950357954</v>
      </c>
      <c r="DX100" s="20">
        <f t="shared" si="460"/>
        <v>3069779.1844248627</v>
      </c>
      <c r="DY100" s="20">
        <f t="shared" si="460"/>
        <v>1016172.9892866061</v>
      </c>
      <c r="DZ100" s="20">
        <f t="shared" si="460"/>
        <v>1811937.0814899411</v>
      </c>
      <c r="EA100" s="20">
        <f t="shared" si="460"/>
        <v>3185816.3666524207</v>
      </c>
      <c r="EB100" s="20">
        <f t="shared" si="460"/>
        <v>1217738.1523547319</v>
      </c>
      <c r="EC100" s="20">
        <f t="shared" si="460"/>
        <v>3498772.6237292094</v>
      </c>
      <c r="ED100" s="20">
        <f t="shared" si="460"/>
        <v>4040350.3940608087</v>
      </c>
      <c r="EE100" s="20">
        <f t="shared" si="460"/>
        <v>828682.20624655497</v>
      </c>
      <c r="EF100" s="20">
        <f t="shared" si="460"/>
        <v>1750352.072333273</v>
      </c>
      <c r="EG100" s="20">
        <f t="shared" si="460"/>
        <v>3419570.8683351637</v>
      </c>
      <c r="EH100" s="20">
        <f t="shared" si="460"/>
        <v>1475174.2428176347</v>
      </c>
      <c r="EI100" s="20">
        <f t="shared" si="460"/>
        <v>2766872.3530632742</v>
      </c>
      <c r="EJ100" s="20">
        <f t="shared" si="460"/>
        <v>3897515.3295338163</v>
      </c>
      <c r="EK100" s="20">
        <f t="shared" si="460"/>
        <v>1290174.1673464302</v>
      </c>
      <c r="EL100" s="20">
        <f t="shared" si="460"/>
        <v>2300508.3189984942</v>
      </c>
      <c r="EM100" s="20">
        <f t="shared" si="460"/>
        <v>4044840.8110610968</v>
      </c>
      <c r="EN100" s="20">
        <f t="shared" si="460"/>
        <v>1546089.4191482272</v>
      </c>
      <c r="EO100" s="20">
        <f t="shared" si="460"/>
        <v>4442182.6836032541</v>
      </c>
      <c r="EP100" s="20">
        <f t="shared" si="460"/>
        <v>5129791.6402056562</v>
      </c>
      <c r="EQ100" s="20">
        <f t="shared" ref="EQ100:FB100" si="461">EQ$99*EQ76</f>
        <v>659620.90966776002</v>
      </c>
      <c r="ER100" s="20">
        <f t="shared" si="461"/>
        <v>1393258.8602581962</v>
      </c>
      <c r="ES100" s="20">
        <f t="shared" si="461"/>
        <v>2721936.6240060255</v>
      </c>
      <c r="ET100" s="20">
        <f t="shared" si="461"/>
        <v>1174220.6706394602</v>
      </c>
      <c r="EU100" s="20">
        <f t="shared" si="461"/>
        <v>2202396.5818317104</v>
      </c>
      <c r="EV100" s="20">
        <f t="shared" si="461"/>
        <v>3102374.5746342596</v>
      </c>
      <c r="EW100" s="20">
        <f t="shared" si="461"/>
        <v>1026962.8712670758</v>
      </c>
      <c r="EX100" s="20">
        <f t="shared" si="461"/>
        <v>1831176.5096891082</v>
      </c>
      <c r="EY100" s="20">
        <f t="shared" si="461"/>
        <v>3219643.8576111794</v>
      </c>
      <c r="EZ100" s="20">
        <f t="shared" si="461"/>
        <v>1230668.2844144776</v>
      </c>
      <c r="FA100" s="20">
        <f t="shared" si="461"/>
        <v>3535923.1326332479</v>
      </c>
      <c r="FB100" s="20">
        <f t="shared" si="461"/>
        <v>4083251.4595007249</v>
      </c>
    </row>
    <row r="101" spans="3:158" x14ac:dyDescent="0.25">
      <c r="C101" s="2" t="s">
        <v>298</v>
      </c>
      <c r="D101" s="244">
        <f t="shared" si="417"/>
        <v>114366.78200000001</v>
      </c>
      <c r="E101" s="244">
        <f t="shared" si="417"/>
        <v>156599.23629010003</v>
      </c>
      <c r="F101" s="244">
        <f t="shared" si="417"/>
        <v>173159.74292379999</v>
      </c>
      <c r="G101" s="244">
        <f t="shared" si="417"/>
        <v>501280.75232918002</v>
      </c>
      <c r="H101" s="244">
        <f t="shared" si="417"/>
        <v>843782.59392274031</v>
      </c>
      <c r="I101" s="244">
        <f t="shared" si="417"/>
        <v>3250391.1636295556</v>
      </c>
      <c r="J101" s="244">
        <f t="shared" si="417"/>
        <v>4883299.0261759758</v>
      </c>
      <c r="K101" s="244">
        <f t="shared" si="417"/>
        <v>6200033.184727028</v>
      </c>
      <c r="L101" s="244">
        <f t="shared" si="417"/>
        <v>7662712.8256396092</v>
      </c>
      <c r="N101" s="244">
        <f t="shared" si="418"/>
        <v>20703.712</v>
      </c>
      <c r="O101" s="244">
        <f t="shared" si="419"/>
        <v>18956.78</v>
      </c>
      <c r="P101" s="244">
        <f t="shared" si="420"/>
        <v>27482.79</v>
      </c>
      <c r="Q101" s="244">
        <f t="shared" si="421"/>
        <v>47223.5</v>
      </c>
      <c r="R101" s="244">
        <f t="shared" si="422"/>
        <v>39337.874400000001</v>
      </c>
      <c r="S101" s="244">
        <f t="shared" si="423"/>
        <v>42777.998400000004</v>
      </c>
      <c r="T101" s="244">
        <f t="shared" si="424"/>
        <v>31723.474399999999</v>
      </c>
      <c r="U101" s="244">
        <f t="shared" si="425"/>
        <v>42759.889090099998</v>
      </c>
      <c r="V101" s="244">
        <f t="shared" si="426"/>
        <v>23752.257870319998</v>
      </c>
      <c r="W101" s="244">
        <f t="shared" si="427"/>
        <v>49923.754497400005</v>
      </c>
      <c r="X101" s="244">
        <f t="shared" si="428"/>
        <v>35842.184504739998</v>
      </c>
      <c r="Y101" s="244">
        <f t="shared" si="429"/>
        <v>63641.546051340003</v>
      </c>
      <c r="Z101" s="244">
        <f t="shared" si="430"/>
        <v>74356.835003249987</v>
      </c>
      <c r="AA101" s="244">
        <f t="shared" si="431"/>
        <v>107904.65482592999</v>
      </c>
      <c r="AB101" s="244">
        <f t="shared" si="432"/>
        <v>137396.74375000002</v>
      </c>
      <c r="AC101" s="244">
        <f t="shared" si="433"/>
        <v>181622.51875000005</v>
      </c>
      <c r="AD101" s="244">
        <f t="shared" si="434"/>
        <v>149327.69319912611</v>
      </c>
      <c r="AE101" s="244">
        <f t="shared" si="435"/>
        <v>198681.37093524149</v>
      </c>
      <c r="AF101" s="244">
        <f t="shared" si="436"/>
        <v>195876.49937333475</v>
      </c>
      <c r="AG101" s="244">
        <f t="shared" si="437"/>
        <v>299897.03041503794</v>
      </c>
      <c r="AH101" s="244">
        <f t="shared" si="438"/>
        <v>592787.27114499151</v>
      </c>
      <c r="AI101" s="244">
        <f t="shared" si="439"/>
        <v>804358.44398988667</v>
      </c>
      <c r="AJ101" s="244">
        <f t="shared" si="440"/>
        <v>754548.91735308035</v>
      </c>
      <c r="AK101" s="244">
        <f t="shared" si="441"/>
        <v>1098696.5311415971</v>
      </c>
      <c r="AL101" s="244">
        <f t="shared" si="442"/>
        <v>890587.42723119352</v>
      </c>
      <c r="AM101" s="244">
        <f t="shared" si="443"/>
        <v>1208446.186472558</v>
      </c>
      <c r="AN101" s="244">
        <f t="shared" si="444"/>
        <v>1133613.7122640712</v>
      </c>
      <c r="AO101" s="244">
        <f t="shared" si="445"/>
        <v>1650651.7002081533</v>
      </c>
      <c r="AP101" s="244">
        <f t="shared" si="446"/>
        <v>1130725.6780992153</v>
      </c>
      <c r="AQ101" s="244">
        <f t="shared" si="447"/>
        <v>1534291.9649042783</v>
      </c>
      <c r="AR101" s="244">
        <f t="shared" si="448"/>
        <v>1439281.6407564308</v>
      </c>
      <c r="AS101" s="244">
        <f t="shared" si="449"/>
        <v>2095733.9009671048</v>
      </c>
      <c r="AT101" s="244">
        <f t="shared" si="450"/>
        <v>1397480.6098126348</v>
      </c>
      <c r="AU101" s="244">
        <f t="shared" si="451"/>
        <v>1896254.1598501839</v>
      </c>
      <c r="AV101" s="244">
        <f t="shared" si="452"/>
        <v>1778829.4932839929</v>
      </c>
      <c r="AW101" s="244">
        <f t="shared" si="453"/>
        <v>2590148.5626927977</v>
      </c>
      <c r="AY101" s="20">
        <f t="shared" ref="AY101:CD101" si="462">AY$99*AY77</f>
        <v>1565</v>
      </c>
      <c r="AZ101" s="20">
        <f t="shared" si="462"/>
        <v>8763.5</v>
      </c>
      <c r="BA101" s="20">
        <f t="shared" si="462"/>
        <v>10375.212</v>
      </c>
      <c r="BB101" s="20">
        <f t="shared" si="462"/>
        <v>3276.8</v>
      </c>
      <c r="BC101" s="20">
        <f t="shared" si="462"/>
        <v>6002.8</v>
      </c>
      <c r="BD101" s="20">
        <f t="shared" si="462"/>
        <v>9677.18</v>
      </c>
      <c r="BE101" s="20">
        <f t="shared" si="462"/>
        <v>5418.3333999999995</v>
      </c>
      <c r="BF101" s="20">
        <f t="shared" si="462"/>
        <v>8467.7900000000009</v>
      </c>
      <c r="BG101" s="20">
        <f t="shared" si="462"/>
        <v>13596.666599999999</v>
      </c>
      <c r="BH101" s="20">
        <f t="shared" si="462"/>
        <v>9833</v>
      </c>
      <c r="BI101" s="20">
        <f t="shared" si="462"/>
        <v>19683.5</v>
      </c>
      <c r="BJ101" s="20">
        <f t="shared" si="462"/>
        <v>17707</v>
      </c>
      <c r="BK101" s="20">
        <f t="shared" si="462"/>
        <v>6512.6666000000005</v>
      </c>
      <c r="BL101" s="20">
        <f t="shared" si="462"/>
        <v>12290.346599999999</v>
      </c>
      <c r="BM101" s="20">
        <f t="shared" si="462"/>
        <v>20534.861200000003</v>
      </c>
      <c r="BN101" s="20">
        <f t="shared" si="462"/>
        <v>10965.333400000001</v>
      </c>
      <c r="BO101" s="20">
        <f t="shared" si="462"/>
        <v>14174.7322</v>
      </c>
      <c r="BP101" s="20">
        <f t="shared" si="462"/>
        <v>17637.932800000002</v>
      </c>
      <c r="BQ101" s="20">
        <f t="shared" si="462"/>
        <v>8596.7034000000003</v>
      </c>
      <c r="BR101" s="20">
        <f t="shared" si="462"/>
        <v>7134</v>
      </c>
      <c r="BS101" s="20">
        <f t="shared" si="462"/>
        <v>15992.771000000001</v>
      </c>
      <c r="BT101" s="20">
        <f t="shared" si="462"/>
        <v>5535.0895999999993</v>
      </c>
      <c r="BU101" s="20">
        <f t="shared" si="462"/>
        <v>16583.209599999998</v>
      </c>
      <c r="BV101" s="20">
        <f t="shared" si="462"/>
        <v>20641.5898901</v>
      </c>
      <c r="BW101" s="20">
        <f t="shared" si="462"/>
        <v>4221.7371999999996</v>
      </c>
      <c r="BX101" s="20">
        <f t="shared" si="462"/>
        <v>6877.6048424800001</v>
      </c>
      <c r="BY101" s="20">
        <f t="shared" si="462"/>
        <v>12652.915827840001</v>
      </c>
      <c r="BZ101" s="20">
        <f t="shared" si="462"/>
        <v>7966.7957794800004</v>
      </c>
      <c r="CA101" s="20">
        <f t="shared" si="462"/>
        <v>12352.183370680001</v>
      </c>
      <c r="CB101" s="20">
        <f t="shared" si="462"/>
        <v>29604.77534724</v>
      </c>
      <c r="CC101" s="20">
        <f t="shared" si="462"/>
        <v>4517.2309999999998</v>
      </c>
      <c r="CD101" s="20">
        <f t="shared" si="462"/>
        <v>13620.066430020001</v>
      </c>
      <c r="CE101" s="20">
        <f t="shared" ref="CE101:DJ101" si="463">CE$99*CE77</f>
        <v>17704.887074720002</v>
      </c>
      <c r="CF101" s="20">
        <f t="shared" si="463"/>
        <v>10663.704989040001</v>
      </c>
      <c r="CG101" s="20">
        <f t="shared" si="463"/>
        <v>18423.71752382</v>
      </c>
      <c r="CH101" s="20">
        <f t="shared" si="463"/>
        <v>34554.123538480002</v>
      </c>
      <c r="CI101" s="20">
        <f t="shared" si="463"/>
        <v>12514.471942530001</v>
      </c>
      <c r="CJ101" s="20">
        <f t="shared" si="463"/>
        <v>21117.303243390001</v>
      </c>
      <c r="CK101" s="20">
        <f t="shared" si="463"/>
        <v>40725.059817329995</v>
      </c>
      <c r="CL101" s="20">
        <f t="shared" si="463"/>
        <v>15665.362636379999</v>
      </c>
      <c r="CM101" s="20">
        <f t="shared" si="463"/>
        <v>33310.925950469995</v>
      </c>
      <c r="CN101" s="20">
        <f t="shared" si="463"/>
        <v>58928.366239080002</v>
      </c>
      <c r="CO101" s="20">
        <f t="shared" si="463"/>
        <v>20609.511562500003</v>
      </c>
      <c r="CP101" s="20">
        <f t="shared" si="463"/>
        <v>48088.860312500001</v>
      </c>
      <c r="CQ101" s="20">
        <f t="shared" si="463"/>
        <v>68698.371875000012</v>
      </c>
      <c r="CR101" s="20">
        <f t="shared" si="463"/>
        <v>18162.251875000005</v>
      </c>
      <c r="CS101" s="20">
        <f t="shared" si="463"/>
        <v>72649.007500000022</v>
      </c>
      <c r="CT101" s="20">
        <f t="shared" si="463"/>
        <v>90811.259375000009</v>
      </c>
      <c r="CU101" s="20">
        <f t="shared" si="463"/>
        <v>19739.63863443835</v>
      </c>
      <c r="CV101" s="20">
        <f t="shared" si="463"/>
        <v>43383.527850032566</v>
      </c>
      <c r="CW101" s="20">
        <f t="shared" si="463"/>
        <v>86204.526714655192</v>
      </c>
      <c r="CX101" s="20">
        <f t="shared" si="463"/>
        <v>34467.982059967806</v>
      </c>
      <c r="CY101" s="20">
        <f t="shared" si="463"/>
        <v>67604.323110491823</v>
      </c>
      <c r="CZ101" s="20">
        <f t="shared" si="463"/>
        <v>96609.065764781859</v>
      </c>
      <c r="DA101" s="20">
        <f t="shared" si="463"/>
        <v>33097.246860287793</v>
      </c>
      <c r="DB101" s="20">
        <f t="shared" si="463"/>
        <v>59015.669097328973</v>
      </c>
      <c r="DC101" s="20">
        <f t="shared" si="463"/>
        <v>103763.58341571799</v>
      </c>
      <c r="DD101" s="20">
        <f t="shared" si="463"/>
        <v>44556.260976739242</v>
      </c>
      <c r="DE101" s="20">
        <f t="shared" si="463"/>
        <v>118850.65946189119</v>
      </c>
      <c r="DF101" s="20">
        <f t="shared" si="463"/>
        <v>136490.10997640749</v>
      </c>
      <c r="DG101" s="20">
        <f t="shared" si="463"/>
        <v>81891.081619189586</v>
      </c>
      <c r="DH101" s="20">
        <f t="shared" si="463"/>
        <v>172971.28300485649</v>
      </c>
      <c r="DI101" s="20">
        <f t="shared" si="463"/>
        <v>337924.90652094543</v>
      </c>
      <c r="DJ101" s="20">
        <f t="shared" si="463"/>
        <v>145777.97545367206</v>
      </c>
      <c r="DK101" s="20">
        <f t="shared" ref="DK101:EP101" si="464">DK$99*DK77</f>
        <v>273424.68317362369</v>
      </c>
      <c r="DL101" s="20">
        <f t="shared" si="464"/>
        <v>385155.78536259086</v>
      </c>
      <c r="DM101" s="20">
        <f t="shared" si="464"/>
        <v>127496.11038432467</v>
      </c>
      <c r="DN101" s="20">
        <f t="shared" si="464"/>
        <v>227338.19200732175</v>
      </c>
      <c r="DO101" s="20">
        <f t="shared" si="464"/>
        <v>399714.61496143392</v>
      </c>
      <c r="DP101" s="20">
        <f t="shared" si="464"/>
        <v>152785.87359502533</v>
      </c>
      <c r="DQ101" s="20">
        <f t="shared" si="464"/>
        <v>438980.27732246491</v>
      </c>
      <c r="DR101" s="20">
        <f t="shared" si="464"/>
        <v>506930.38022410689</v>
      </c>
      <c r="DS101" s="20">
        <f t="shared" si="464"/>
        <v>123030.92735365988</v>
      </c>
      <c r="DT101" s="20">
        <f t="shared" si="464"/>
        <v>259867.33760093717</v>
      </c>
      <c r="DU101" s="20">
        <f t="shared" si="464"/>
        <v>507689.16227659647</v>
      </c>
      <c r="DV101" s="20">
        <f t="shared" si="464"/>
        <v>219012.85406397149</v>
      </c>
      <c r="DW101" s="20">
        <f t="shared" si="464"/>
        <v>410785.78603544488</v>
      </c>
      <c r="DX101" s="20">
        <f t="shared" si="464"/>
        <v>578647.5463731417</v>
      </c>
      <c r="DY101" s="20">
        <f t="shared" si="464"/>
        <v>191546.67864213858</v>
      </c>
      <c r="DZ101" s="20">
        <f t="shared" si="464"/>
        <v>341546.69876787957</v>
      </c>
      <c r="EA101" s="20">
        <f t="shared" si="464"/>
        <v>600520.33485405298</v>
      </c>
      <c r="EB101" s="20">
        <f t="shared" si="464"/>
        <v>229541.32908326641</v>
      </c>
      <c r="EC101" s="20">
        <f t="shared" si="464"/>
        <v>659511.99497032759</v>
      </c>
      <c r="ED101" s="20">
        <f t="shared" si="464"/>
        <v>761598.37615455932</v>
      </c>
      <c r="EE101" s="20">
        <f t="shared" si="464"/>
        <v>156205.02210731164</v>
      </c>
      <c r="EF101" s="20">
        <f t="shared" si="464"/>
        <v>329938.04149940901</v>
      </c>
      <c r="EG101" s="20">
        <f t="shared" si="464"/>
        <v>644582.61449249461</v>
      </c>
      <c r="EH101" s="20">
        <f t="shared" si="464"/>
        <v>278067.54323249747</v>
      </c>
      <c r="EI101" s="20">
        <f t="shared" si="464"/>
        <v>521550.18391907809</v>
      </c>
      <c r="EJ101" s="20">
        <f t="shared" si="464"/>
        <v>734674.23775270279</v>
      </c>
      <c r="EK101" s="20">
        <f t="shared" si="464"/>
        <v>243195.38034423592</v>
      </c>
      <c r="EL101" s="20">
        <f t="shared" si="464"/>
        <v>433641.44918093929</v>
      </c>
      <c r="EM101" s="20">
        <f t="shared" si="464"/>
        <v>762444.81123125553</v>
      </c>
      <c r="EN101" s="20">
        <f t="shared" si="464"/>
        <v>291434.91929410957</v>
      </c>
      <c r="EO101" s="20">
        <f t="shared" si="464"/>
        <v>837342.99960401491</v>
      </c>
      <c r="EP101" s="20">
        <f t="shared" si="464"/>
        <v>966955.98206898046</v>
      </c>
      <c r="EQ101" s="20">
        <f t="shared" ref="EQ101:FB101" si="465">EQ$99*EQ77</f>
        <v>193056.09997048977</v>
      </c>
      <c r="ER101" s="20">
        <f t="shared" si="465"/>
        <v>407775.31134702242</v>
      </c>
      <c r="ES101" s="20">
        <f t="shared" si="465"/>
        <v>796649.1984951226</v>
      </c>
      <c r="ET101" s="20">
        <f t="shared" si="465"/>
        <v>343667.79441932397</v>
      </c>
      <c r="EU101" s="20">
        <f t="shared" si="465"/>
        <v>644591.5956347211</v>
      </c>
      <c r="EV101" s="20">
        <f t="shared" si="465"/>
        <v>907994.76979613875</v>
      </c>
      <c r="EW101" s="20">
        <f t="shared" si="465"/>
        <v>300568.7719044243</v>
      </c>
      <c r="EX101" s="20">
        <f t="shared" si="465"/>
        <v>535943.8885832394</v>
      </c>
      <c r="EY101" s="20">
        <f t="shared" si="465"/>
        <v>942316.83279632917</v>
      </c>
      <c r="EZ101" s="20">
        <f t="shared" si="465"/>
        <v>360188.73244346009</v>
      </c>
      <c r="FA101" s="20">
        <f t="shared" si="465"/>
        <v>1034884.612929329</v>
      </c>
      <c r="FB101" s="20">
        <f t="shared" si="465"/>
        <v>1195075.2173200089</v>
      </c>
    </row>
    <row r="102" spans="3:158" x14ac:dyDescent="0.25">
      <c r="C102" s="2" t="s">
        <v>299</v>
      </c>
      <c r="D102" s="244">
        <f t="shared" si="417"/>
        <v>0</v>
      </c>
      <c r="E102" s="244">
        <f t="shared" si="417"/>
        <v>0</v>
      </c>
      <c r="F102" s="244">
        <f t="shared" si="417"/>
        <v>86579.871461899995</v>
      </c>
      <c r="G102" s="244">
        <f t="shared" si="417"/>
        <v>334187.16821945336</v>
      </c>
      <c r="H102" s="244">
        <f t="shared" si="417"/>
        <v>750028.97237576928</v>
      </c>
      <c r="I102" s="244">
        <f t="shared" si="417"/>
        <v>1356063.5576500171</v>
      </c>
      <c r="J102" s="244">
        <f t="shared" si="417"/>
        <v>1765671.1807456578</v>
      </c>
      <c r="K102" s="244">
        <f t="shared" si="417"/>
        <v>2241767.2674269564</v>
      </c>
      <c r="L102" s="244">
        <f t="shared" si="417"/>
        <v>14580079.402610594</v>
      </c>
      <c r="N102" s="244">
        <f t="shared" si="418"/>
        <v>0</v>
      </c>
      <c r="O102" s="244">
        <f t="shared" si="419"/>
        <v>0</v>
      </c>
      <c r="P102" s="244">
        <f t="shared" si="420"/>
        <v>0</v>
      </c>
      <c r="Q102" s="244">
        <f t="shared" si="421"/>
        <v>0</v>
      </c>
      <c r="R102" s="244">
        <f t="shared" si="422"/>
        <v>0</v>
      </c>
      <c r="S102" s="244">
        <f t="shared" si="423"/>
        <v>0</v>
      </c>
      <c r="T102" s="244">
        <f t="shared" si="424"/>
        <v>0</v>
      </c>
      <c r="U102" s="244">
        <f t="shared" si="425"/>
        <v>0</v>
      </c>
      <c r="V102" s="244">
        <f t="shared" si="426"/>
        <v>11876.128935159999</v>
      </c>
      <c r="W102" s="244">
        <f t="shared" si="427"/>
        <v>24961.877248700002</v>
      </c>
      <c r="X102" s="244">
        <f t="shared" si="428"/>
        <v>17921.092252369999</v>
      </c>
      <c r="Y102" s="244">
        <f t="shared" si="429"/>
        <v>31820.773025670002</v>
      </c>
      <c r="Z102" s="244">
        <f t="shared" si="430"/>
        <v>49571.223335499999</v>
      </c>
      <c r="AA102" s="244">
        <f t="shared" si="431"/>
        <v>71936.436550619997</v>
      </c>
      <c r="AB102" s="244">
        <f t="shared" si="432"/>
        <v>91597.829166666677</v>
      </c>
      <c r="AC102" s="244">
        <f t="shared" si="433"/>
        <v>121081.6791666667</v>
      </c>
      <c r="AD102" s="244">
        <f t="shared" si="434"/>
        <v>132735.7272881121</v>
      </c>
      <c r="AE102" s="244">
        <f t="shared" si="435"/>
        <v>176605.66305354799</v>
      </c>
      <c r="AF102" s="244">
        <f t="shared" si="436"/>
        <v>174112.44388740868</v>
      </c>
      <c r="AG102" s="244">
        <f t="shared" si="437"/>
        <v>266575.1381467004</v>
      </c>
      <c r="AH102" s="244">
        <f t="shared" si="438"/>
        <v>247310.9159393892</v>
      </c>
      <c r="AI102" s="244">
        <f t="shared" si="439"/>
        <v>335578.43295536068</v>
      </c>
      <c r="AJ102" s="244">
        <f t="shared" si="440"/>
        <v>314797.89286167343</v>
      </c>
      <c r="AK102" s="244">
        <f t="shared" si="441"/>
        <v>458376.31589359377</v>
      </c>
      <c r="AL102" s="244">
        <f t="shared" si="442"/>
        <v>322012.75116832723</v>
      </c>
      <c r="AM102" s="244">
        <f t="shared" si="443"/>
        <v>436942.03314177669</v>
      </c>
      <c r="AN102" s="244">
        <f t="shared" si="444"/>
        <v>409884.59873410198</v>
      </c>
      <c r="AO102" s="244">
        <f t="shared" si="445"/>
        <v>596831.79770145193</v>
      </c>
      <c r="AP102" s="244">
        <f t="shared" si="446"/>
        <v>408840.3623138949</v>
      </c>
      <c r="AQ102" s="244">
        <f t="shared" si="447"/>
        <v>554759.20904285181</v>
      </c>
      <c r="AR102" s="244">
        <f t="shared" si="448"/>
        <v>520406.00021375302</v>
      </c>
      <c r="AS102" s="244">
        <f t="shared" si="449"/>
        <v>757761.69585645688</v>
      </c>
      <c r="AT102" s="244">
        <f t="shared" si="450"/>
        <v>2659029.3435636028</v>
      </c>
      <c r="AU102" s="244">
        <f t="shared" si="451"/>
        <v>3608061.1197691038</v>
      </c>
      <c r="AV102" s="244">
        <f t="shared" si="452"/>
        <v>3384633.5946462071</v>
      </c>
      <c r="AW102" s="244">
        <f t="shared" si="453"/>
        <v>4928355.3446316812</v>
      </c>
      <c r="AY102" s="20">
        <f t="shared" ref="AY102:CD102" si="466">AY$99*AY78</f>
        <v>0</v>
      </c>
      <c r="AZ102" s="20">
        <f t="shared" si="466"/>
        <v>0</v>
      </c>
      <c r="BA102" s="20">
        <f t="shared" si="466"/>
        <v>0</v>
      </c>
      <c r="BB102" s="20">
        <f t="shared" si="466"/>
        <v>0</v>
      </c>
      <c r="BC102" s="20">
        <f t="shared" si="466"/>
        <v>0</v>
      </c>
      <c r="BD102" s="20">
        <f t="shared" si="466"/>
        <v>0</v>
      </c>
      <c r="BE102" s="20">
        <f t="shared" si="466"/>
        <v>0</v>
      </c>
      <c r="BF102" s="20">
        <f t="shared" si="466"/>
        <v>0</v>
      </c>
      <c r="BG102" s="20">
        <f t="shared" si="466"/>
        <v>0</v>
      </c>
      <c r="BH102" s="20">
        <f t="shared" si="466"/>
        <v>0</v>
      </c>
      <c r="BI102" s="20">
        <f t="shared" si="466"/>
        <v>0</v>
      </c>
      <c r="BJ102" s="20">
        <f t="shared" si="466"/>
        <v>0</v>
      </c>
      <c r="BK102" s="20">
        <f t="shared" si="466"/>
        <v>0</v>
      </c>
      <c r="BL102" s="20">
        <f t="shared" si="466"/>
        <v>0</v>
      </c>
      <c r="BM102" s="20">
        <f t="shared" si="466"/>
        <v>0</v>
      </c>
      <c r="BN102" s="20">
        <f t="shared" si="466"/>
        <v>0</v>
      </c>
      <c r="BO102" s="20">
        <f t="shared" si="466"/>
        <v>0</v>
      </c>
      <c r="BP102" s="20">
        <f t="shared" si="466"/>
        <v>0</v>
      </c>
      <c r="BQ102" s="20">
        <f t="shared" si="466"/>
        <v>0</v>
      </c>
      <c r="BR102" s="20">
        <f t="shared" si="466"/>
        <v>0</v>
      </c>
      <c r="BS102" s="20">
        <f t="shared" si="466"/>
        <v>0</v>
      </c>
      <c r="BT102" s="20">
        <f t="shared" si="466"/>
        <v>0</v>
      </c>
      <c r="BU102" s="20">
        <f t="shared" si="466"/>
        <v>0</v>
      </c>
      <c r="BV102" s="20">
        <f t="shared" si="466"/>
        <v>0</v>
      </c>
      <c r="BW102" s="20">
        <f t="shared" si="466"/>
        <v>2110.8685999999998</v>
      </c>
      <c r="BX102" s="20">
        <f t="shared" si="466"/>
        <v>3438.8024212400001</v>
      </c>
      <c r="BY102" s="20">
        <f t="shared" si="466"/>
        <v>6326.4579139200005</v>
      </c>
      <c r="BZ102" s="20">
        <f t="shared" si="466"/>
        <v>3983.3978897400002</v>
      </c>
      <c r="CA102" s="20">
        <f t="shared" si="466"/>
        <v>6176.0916853400004</v>
      </c>
      <c r="CB102" s="20">
        <f t="shared" si="466"/>
        <v>14802.38767362</v>
      </c>
      <c r="CC102" s="20">
        <f t="shared" si="466"/>
        <v>2258.6154999999999</v>
      </c>
      <c r="CD102" s="20">
        <f t="shared" si="466"/>
        <v>6810.0332150100003</v>
      </c>
      <c r="CE102" s="20">
        <f t="shared" ref="CE102:DJ102" si="467">CE$99*CE78</f>
        <v>8852.4435373600008</v>
      </c>
      <c r="CF102" s="20">
        <f t="shared" si="467"/>
        <v>5331.8524945200006</v>
      </c>
      <c r="CG102" s="20">
        <f t="shared" si="467"/>
        <v>9211.8587619099999</v>
      </c>
      <c r="CH102" s="20">
        <f t="shared" si="467"/>
        <v>17277.061769240001</v>
      </c>
      <c r="CI102" s="20">
        <f t="shared" si="467"/>
        <v>8342.9812950200012</v>
      </c>
      <c r="CJ102" s="20">
        <f t="shared" si="467"/>
        <v>14078.20216226</v>
      </c>
      <c r="CK102" s="20">
        <f t="shared" si="467"/>
        <v>27150.039878219999</v>
      </c>
      <c r="CL102" s="20">
        <f t="shared" si="467"/>
        <v>10443.57509092</v>
      </c>
      <c r="CM102" s="20">
        <f t="shared" si="467"/>
        <v>22207.283966979998</v>
      </c>
      <c r="CN102" s="20">
        <f t="shared" si="467"/>
        <v>39285.577492720004</v>
      </c>
      <c r="CO102" s="20">
        <f t="shared" si="467"/>
        <v>13739.674375000002</v>
      </c>
      <c r="CP102" s="20">
        <f t="shared" si="467"/>
        <v>32059.240208333336</v>
      </c>
      <c r="CQ102" s="20">
        <f t="shared" si="467"/>
        <v>45798.914583333339</v>
      </c>
      <c r="CR102" s="20">
        <f t="shared" si="467"/>
        <v>12108.167916666671</v>
      </c>
      <c r="CS102" s="20">
        <f t="shared" si="467"/>
        <v>48432.671666666683</v>
      </c>
      <c r="CT102" s="20">
        <f t="shared" si="467"/>
        <v>60540.839583333342</v>
      </c>
      <c r="CU102" s="20">
        <f t="shared" si="467"/>
        <v>17546.345452834092</v>
      </c>
      <c r="CV102" s="20">
        <f t="shared" si="467"/>
        <v>38563.135866695615</v>
      </c>
      <c r="CW102" s="20">
        <f t="shared" si="467"/>
        <v>76626.2459685824</v>
      </c>
      <c r="CX102" s="20">
        <f t="shared" si="467"/>
        <v>30638.206275526936</v>
      </c>
      <c r="CY102" s="20">
        <f t="shared" si="467"/>
        <v>60092.731653770519</v>
      </c>
      <c r="CZ102" s="20">
        <f t="shared" si="467"/>
        <v>85874.725124250544</v>
      </c>
      <c r="DA102" s="20">
        <f t="shared" si="467"/>
        <v>29419.774986922479</v>
      </c>
      <c r="DB102" s="20">
        <f t="shared" si="467"/>
        <v>52458.372530959088</v>
      </c>
      <c r="DC102" s="20">
        <f t="shared" si="467"/>
        <v>92234.296369527117</v>
      </c>
      <c r="DD102" s="20">
        <f t="shared" si="467"/>
        <v>39605.565312657105</v>
      </c>
      <c r="DE102" s="20">
        <f t="shared" si="467"/>
        <v>105645.03063279217</v>
      </c>
      <c r="DF102" s="20">
        <f t="shared" si="467"/>
        <v>121324.54220125111</v>
      </c>
      <c r="DG102" s="20">
        <f t="shared" si="467"/>
        <v>34164.968426853127</v>
      </c>
      <c r="DH102" s="20">
        <f t="shared" si="467"/>
        <v>72163.638649857661</v>
      </c>
      <c r="DI102" s="20">
        <f t="shared" si="467"/>
        <v>140982.30886267842</v>
      </c>
      <c r="DJ102" s="20">
        <f t="shared" si="467"/>
        <v>60818.587692682173</v>
      </c>
      <c r="DK102" s="20">
        <f t="shared" ref="DK102:EP102" si="468">DK$99*DK78</f>
        <v>114072.80845537351</v>
      </c>
      <c r="DL102" s="20">
        <f t="shared" si="468"/>
        <v>160687.036807305</v>
      </c>
      <c r="DM102" s="20">
        <f t="shared" si="468"/>
        <v>53191.391537394375</v>
      </c>
      <c r="DN102" s="20">
        <f t="shared" si="468"/>
        <v>94845.519177120921</v>
      </c>
      <c r="DO102" s="20">
        <f t="shared" si="468"/>
        <v>166760.98214715812</v>
      </c>
      <c r="DP102" s="20">
        <f t="shared" si="468"/>
        <v>63742.283582441109</v>
      </c>
      <c r="DQ102" s="20">
        <f t="shared" si="468"/>
        <v>183142.62088362515</v>
      </c>
      <c r="DR102" s="20">
        <f t="shared" si="468"/>
        <v>211491.41142752752</v>
      </c>
      <c r="DS102" s="20">
        <f t="shared" si="468"/>
        <v>44484.714453147164</v>
      </c>
      <c r="DT102" s="20">
        <f t="shared" si="468"/>
        <v>93961.124714983278</v>
      </c>
      <c r="DU102" s="20">
        <f t="shared" si="468"/>
        <v>183566.91200019678</v>
      </c>
      <c r="DV102" s="20">
        <f t="shared" si="468"/>
        <v>79189.228953777696</v>
      </c>
      <c r="DW102" s="20">
        <f t="shared" si="468"/>
        <v>148529.22583172561</v>
      </c>
      <c r="DX102" s="20">
        <f t="shared" si="468"/>
        <v>209223.57835627341</v>
      </c>
      <c r="DY102" s="20">
        <f t="shared" si="468"/>
        <v>69258.189685512436</v>
      </c>
      <c r="DZ102" s="20">
        <f t="shared" si="468"/>
        <v>123494.21152804323</v>
      </c>
      <c r="EA102" s="20">
        <f t="shared" si="468"/>
        <v>217132.19752054635</v>
      </c>
      <c r="EB102" s="20">
        <f t="shared" si="468"/>
        <v>82996.04578377775</v>
      </c>
      <c r="EC102" s="20">
        <f t="shared" si="468"/>
        <v>238462.01443598</v>
      </c>
      <c r="ED102" s="20">
        <f t="shared" si="468"/>
        <v>275373.73748169426</v>
      </c>
      <c r="EE102" s="20">
        <f t="shared" si="468"/>
        <v>56479.585694877635</v>
      </c>
      <c r="EF102" s="20">
        <f t="shared" si="468"/>
        <v>119296.82949671123</v>
      </c>
      <c r="EG102" s="20">
        <f t="shared" si="468"/>
        <v>233063.94712230604</v>
      </c>
      <c r="EH102" s="20">
        <f t="shared" si="468"/>
        <v>100541.83549985112</v>
      </c>
      <c r="EI102" s="20">
        <f t="shared" si="468"/>
        <v>188578.68914483476</v>
      </c>
      <c r="EJ102" s="20">
        <f t="shared" si="468"/>
        <v>265638.6843981659</v>
      </c>
      <c r="EK102" s="20">
        <f t="shared" si="468"/>
        <v>87932.987937573489</v>
      </c>
      <c r="EL102" s="20">
        <f t="shared" si="468"/>
        <v>156793.22636016176</v>
      </c>
      <c r="EM102" s="20">
        <f t="shared" si="468"/>
        <v>275679.78591601778</v>
      </c>
      <c r="EN102" s="20">
        <f t="shared" si="468"/>
        <v>105375.12351839387</v>
      </c>
      <c r="EO102" s="20">
        <f t="shared" si="468"/>
        <v>302760.98081949679</v>
      </c>
      <c r="EP102" s="20">
        <f t="shared" si="468"/>
        <v>349625.59151856625</v>
      </c>
      <c r="EQ102" s="20">
        <f t="shared" ref="EQ102:FB102" si="469">EQ$99*EQ78</f>
        <v>367333.77992579533</v>
      </c>
      <c r="ER102" s="20">
        <f t="shared" si="469"/>
        <v>775886.62829310447</v>
      </c>
      <c r="ES102" s="20">
        <f t="shared" si="469"/>
        <v>1515808.935344703</v>
      </c>
      <c r="ET102" s="20">
        <f t="shared" si="469"/>
        <v>653907.28385225008</v>
      </c>
      <c r="EU102" s="20">
        <f t="shared" si="469"/>
        <v>1226484.2570066201</v>
      </c>
      <c r="EV102" s="20">
        <f t="shared" si="469"/>
        <v>1727669.5789102337</v>
      </c>
      <c r="EW102" s="20">
        <f t="shared" si="469"/>
        <v>571901.4479634848</v>
      </c>
      <c r="EX102" s="20">
        <f t="shared" si="469"/>
        <v>1019756.9227364684</v>
      </c>
      <c r="EY102" s="20">
        <f t="shared" si="469"/>
        <v>1792975.223946254</v>
      </c>
      <c r="EZ102" s="20">
        <f t="shared" si="469"/>
        <v>685342.18082392507</v>
      </c>
      <c r="FA102" s="20">
        <f t="shared" si="469"/>
        <v>1969106.7866412036</v>
      </c>
      <c r="FB102" s="20">
        <f t="shared" si="469"/>
        <v>2273906.3771665525</v>
      </c>
    </row>
    <row r="103" spans="3:158" x14ac:dyDescent="0.25">
      <c r="C103" s="2" t="s">
        <v>300</v>
      </c>
      <c r="D103" s="244">
        <f t="shared" si="417"/>
        <v>0</v>
      </c>
      <c r="E103" s="244">
        <f t="shared" si="417"/>
        <v>0</v>
      </c>
      <c r="F103" s="244">
        <f t="shared" si="417"/>
        <v>0</v>
      </c>
      <c r="G103" s="244">
        <f t="shared" si="417"/>
        <v>0</v>
      </c>
      <c r="H103" s="244">
        <f t="shared" si="417"/>
        <v>0</v>
      </c>
      <c r="I103" s="244">
        <f t="shared" si="417"/>
        <v>0</v>
      </c>
      <c r="J103" s="244">
        <f t="shared" si="417"/>
        <v>0</v>
      </c>
      <c r="K103" s="244">
        <f t="shared" si="417"/>
        <v>0</v>
      </c>
      <c r="L103" s="244">
        <f t="shared" si="417"/>
        <v>2660525.6065273024</v>
      </c>
      <c r="N103" s="244">
        <f t="shared" si="418"/>
        <v>0</v>
      </c>
      <c r="O103" s="244">
        <f t="shared" si="419"/>
        <v>0</v>
      </c>
      <c r="P103" s="244">
        <f t="shared" si="420"/>
        <v>0</v>
      </c>
      <c r="Q103" s="244">
        <f t="shared" si="421"/>
        <v>0</v>
      </c>
      <c r="R103" s="244">
        <f t="shared" si="422"/>
        <v>0</v>
      </c>
      <c r="S103" s="244">
        <f t="shared" si="423"/>
        <v>0</v>
      </c>
      <c r="T103" s="244">
        <f t="shared" si="424"/>
        <v>0</v>
      </c>
      <c r="U103" s="244">
        <f t="shared" si="425"/>
        <v>0</v>
      </c>
      <c r="V103" s="244">
        <f t="shared" si="426"/>
        <v>0</v>
      </c>
      <c r="W103" s="244">
        <f t="shared" si="427"/>
        <v>0</v>
      </c>
      <c r="X103" s="244">
        <f t="shared" si="428"/>
        <v>0</v>
      </c>
      <c r="Y103" s="244">
        <f t="shared" si="429"/>
        <v>0</v>
      </c>
      <c r="Z103" s="244">
        <f t="shared" si="430"/>
        <v>0</v>
      </c>
      <c r="AA103" s="244">
        <f t="shared" si="431"/>
        <v>0</v>
      </c>
      <c r="AB103" s="244">
        <f t="shared" si="432"/>
        <v>0</v>
      </c>
      <c r="AC103" s="244">
        <f t="shared" si="433"/>
        <v>0</v>
      </c>
      <c r="AD103" s="244">
        <f t="shared" si="434"/>
        <v>0</v>
      </c>
      <c r="AE103" s="244">
        <f t="shared" si="435"/>
        <v>0</v>
      </c>
      <c r="AF103" s="244">
        <f t="shared" si="436"/>
        <v>0</v>
      </c>
      <c r="AG103" s="244">
        <f t="shared" si="437"/>
        <v>0</v>
      </c>
      <c r="AH103" s="244">
        <f t="shared" si="438"/>
        <v>0</v>
      </c>
      <c r="AI103" s="244">
        <f t="shared" si="439"/>
        <v>0</v>
      </c>
      <c r="AJ103" s="244">
        <f t="shared" si="440"/>
        <v>0</v>
      </c>
      <c r="AK103" s="244">
        <f t="shared" si="441"/>
        <v>0</v>
      </c>
      <c r="AL103" s="244">
        <f t="shared" si="442"/>
        <v>0</v>
      </c>
      <c r="AM103" s="244">
        <f t="shared" si="443"/>
        <v>0</v>
      </c>
      <c r="AN103" s="244">
        <f t="shared" si="444"/>
        <v>0</v>
      </c>
      <c r="AO103" s="244">
        <f t="shared" si="445"/>
        <v>0</v>
      </c>
      <c r="AP103" s="244">
        <f t="shared" si="446"/>
        <v>0</v>
      </c>
      <c r="AQ103" s="244">
        <f t="shared" si="447"/>
        <v>0</v>
      </c>
      <c r="AR103" s="244">
        <f t="shared" si="448"/>
        <v>0</v>
      </c>
      <c r="AS103" s="244">
        <f t="shared" si="449"/>
        <v>0</v>
      </c>
      <c r="AT103" s="244">
        <f t="shared" si="450"/>
        <v>485211.05144268007</v>
      </c>
      <c r="AU103" s="244">
        <f t="shared" si="451"/>
        <v>658387.29227650771</v>
      </c>
      <c r="AV103" s="244">
        <f t="shared" si="452"/>
        <v>617616.96206239017</v>
      </c>
      <c r="AW103" s="244">
        <f t="shared" si="453"/>
        <v>899310.30074572435</v>
      </c>
      <c r="AY103" s="20">
        <f t="shared" ref="AY103:CD103" si="470">AY$99*AY79</f>
        <v>0</v>
      </c>
      <c r="AZ103" s="20">
        <f t="shared" si="470"/>
        <v>0</v>
      </c>
      <c r="BA103" s="20">
        <f t="shared" si="470"/>
        <v>0</v>
      </c>
      <c r="BB103" s="20">
        <f t="shared" si="470"/>
        <v>0</v>
      </c>
      <c r="BC103" s="20">
        <f t="shared" si="470"/>
        <v>0</v>
      </c>
      <c r="BD103" s="20">
        <f t="shared" si="470"/>
        <v>0</v>
      </c>
      <c r="BE103" s="20">
        <f t="shared" si="470"/>
        <v>0</v>
      </c>
      <c r="BF103" s="20">
        <f t="shared" si="470"/>
        <v>0</v>
      </c>
      <c r="BG103" s="20">
        <f t="shared" si="470"/>
        <v>0</v>
      </c>
      <c r="BH103" s="20">
        <f t="shared" si="470"/>
        <v>0</v>
      </c>
      <c r="BI103" s="20">
        <f t="shared" si="470"/>
        <v>0</v>
      </c>
      <c r="BJ103" s="20">
        <f t="shared" si="470"/>
        <v>0</v>
      </c>
      <c r="BK103" s="20">
        <f t="shared" si="470"/>
        <v>0</v>
      </c>
      <c r="BL103" s="20">
        <f t="shared" si="470"/>
        <v>0</v>
      </c>
      <c r="BM103" s="20">
        <f t="shared" si="470"/>
        <v>0</v>
      </c>
      <c r="BN103" s="20">
        <f t="shared" si="470"/>
        <v>0</v>
      </c>
      <c r="BO103" s="20">
        <f t="shared" si="470"/>
        <v>0</v>
      </c>
      <c r="BP103" s="20">
        <f t="shared" si="470"/>
        <v>0</v>
      </c>
      <c r="BQ103" s="20">
        <f t="shared" si="470"/>
        <v>0</v>
      </c>
      <c r="BR103" s="20">
        <f t="shared" si="470"/>
        <v>0</v>
      </c>
      <c r="BS103" s="20">
        <f t="shared" si="470"/>
        <v>0</v>
      </c>
      <c r="BT103" s="20">
        <f t="shared" si="470"/>
        <v>0</v>
      </c>
      <c r="BU103" s="20">
        <f t="shared" si="470"/>
        <v>0</v>
      </c>
      <c r="BV103" s="20">
        <f t="shared" si="470"/>
        <v>0</v>
      </c>
      <c r="BW103" s="20">
        <f t="shared" si="470"/>
        <v>0</v>
      </c>
      <c r="BX103" s="20">
        <f t="shared" si="470"/>
        <v>0</v>
      </c>
      <c r="BY103" s="20">
        <f t="shared" si="470"/>
        <v>0</v>
      </c>
      <c r="BZ103" s="20">
        <f t="shared" si="470"/>
        <v>0</v>
      </c>
      <c r="CA103" s="20">
        <f t="shared" si="470"/>
        <v>0</v>
      </c>
      <c r="CB103" s="20">
        <f t="shared" si="470"/>
        <v>0</v>
      </c>
      <c r="CC103" s="20">
        <f t="shared" si="470"/>
        <v>0</v>
      </c>
      <c r="CD103" s="20">
        <f t="shared" si="470"/>
        <v>0</v>
      </c>
      <c r="CE103" s="20">
        <f t="shared" ref="CE103:DJ103" si="471">CE$99*CE79</f>
        <v>0</v>
      </c>
      <c r="CF103" s="20">
        <f t="shared" si="471"/>
        <v>0</v>
      </c>
      <c r="CG103" s="20">
        <f t="shared" si="471"/>
        <v>0</v>
      </c>
      <c r="CH103" s="20">
        <f t="shared" si="471"/>
        <v>0</v>
      </c>
      <c r="CI103" s="20">
        <f t="shared" si="471"/>
        <v>0</v>
      </c>
      <c r="CJ103" s="20">
        <f t="shared" si="471"/>
        <v>0</v>
      </c>
      <c r="CK103" s="20">
        <f t="shared" si="471"/>
        <v>0</v>
      </c>
      <c r="CL103" s="20">
        <f t="shared" si="471"/>
        <v>0</v>
      </c>
      <c r="CM103" s="20">
        <f t="shared" si="471"/>
        <v>0</v>
      </c>
      <c r="CN103" s="20">
        <f t="shared" si="471"/>
        <v>0</v>
      </c>
      <c r="CO103" s="20">
        <f t="shared" si="471"/>
        <v>0</v>
      </c>
      <c r="CP103" s="20">
        <f t="shared" si="471"/>
        <v>0</v>
      </c>
      <c r="CQ103" s="20">
        <f t="shared" si="471"/>
        <v>0</v>
      </c>
      <c r="CR103" s="20">
        <f t="shared" si="471"/>
        <v>0</v>
      </c>
      <c r="CS103" s="20">
        <f t="shared" si="471"/>
        <v>0</v>
      </c>
      <c r="CT103" s="20">
        <f t="shared" si="471"/>
        <v>0</v>
      </c>
      <c r="CU103" s="20">
        <f t="shared" si="471"/>
        <v>0</v>
      </c>
      <c r="CV103" s="20">
        <f t="shared" si="471"/>
        <v>0</v>
      </c>
      <c r="CW103" s="20">
        <f t="shared" si="471"/>
        <v>0</v>
      </c>
      <c r="CX103" s="20">
        <f t="shared" si="471"/>
        <v>0</v>
      </c>
      <c r="CY103" s="20">
        <f t="shared" si="471"/>
        <v>0</v>
      </c>
      <c r="CZ103" s="20">
        <f t="shared" si="471"/>
        <v>0</v>
      </c>
      <c r="DA103" s="20">
        <f t="shared" si="471"/>
        <v>0</v>
      </c>
      <c r="DB103" s="20">
        <f t="shared" si="471"/>
        <v>0</v>
      </c>
      <c r="DC103" s="20">
        <f t="shared" si="471"/>
        <v>0</v>
      </c>
      <c r="DD103" s="20">
        <f t="shared" si="471"/>
        <v>0</v>
      </c>
      <c r="DE103" s="20">
        <f t="shared" si="471"/>
        <v>0</v>
      </c>
      <c r="DF103" s="20">
        <f t="shared" si="471"/>
        <v>0</v>
      </c>
      <c r="DG103" s="20">
        <f t="shared" si="471"/>
        <v>0</v>
      </c>
      <c r="DH103" s="20">
        <f t="shared" si="471"/>
        <v>0</v>
      </c>
      <c r="DI103" s="20">
        <f t="shared" si="471"/>
        <v>0</v>
      </c>
      <c r="DJ103" s="20">
        <f t="shared" si="471"/>
        <v>0</v>
      </c>
      <c r="DK103" s="20">
        <f t="shared" ref="DK103:EP103" si="472">DK$99*DK79</f>
        <v>0</v>
      </c>
      <c r="DL103" s="20">
        <f t="shared" si="472"/>
        <v>0</v>
      </c>
      <c r="DM103" s="20">
        <f t="shared" si="472"/>
        <v>0</v>
      </c>
      <c r="DN103" s="20">
        <f t="shared" si="472"/>
        <v>0</v>
      </c>
      <c r="DO103" s="20">
        <f t="shared" si="472"/>
        <v>0</v>
      </c>
      <c r="DP103" s="20">
        <f t="shared" si="472"/>
        <v>0</v>
      </c>
      <c r="DQ103" s="20">
        <f t="shared" si="472"/>
        <v>0</v>
      </c>
      <c r="DR103" s="20">
        <f t="shared" si="472"/>
        <v>0</v>
      </c>
      <c r="DS103" s="20">
        <f t="shared" si="472"/>
        <v>0</v>
      </c>
      <c r="DT103" s="20">
        <f t="shared" si="472"/>
        <v>0</v>
      </c>
      <c r="DU103" s="20">
        <f t="shared" si="472"/>
        <v>0</v>
      </c>
      <c r="DV103" s="20">
        <f t="shared" si="472"/>
        <v>0</v>
      </c>
      <c r="DW103" s="20">
        <f t="shared" si="472"/>
        <v>0</v>
      </c>
      <c r="DX103" s="20">
        <f t="shared" si="472"/>
        <v>0</v>
      </c>
      <c r="DY103" s="20">
        <f t="shared" si="472"/>
        <v>0</v>
      </c>
      <c r="DZ103" s="20">
        <f t="shared" si="472"/>
        <v>0</v>
      </c>
      <c r="EA103" s="20">
        <f t="shared" si="472"/>
        <v>0</v>
      </c>
      <c r="EB103" s="20">
        <f t="shared" si="472"/>
        <v>0</v>
      </c>
      <c r="EC103" s="20">
        <f t="shared" si="472"/>
        <v>0</v>
      </c>
      <c r="ED103" s="20">
        <f t="shared" si="472"/>
        <v>0</v>
      </c>
      <c r="EE103" s="20">
        <f t="shared" si="472"/>
        <v>0</v>
      </c>
      <c r="EF103" s="20">
        <f t="shared" si="472"/>
        <v>0</v>
      </c>
      <c r="EG103" s="20">
        <f t="shared" si="472"/>
        <v>0</v>
      </c>
      <c r="EH103" s="20">
        <f t="shared" si="472"/>
        <v>0</v>
      </c>
      <c r="EI103" s="20">
        <f t="shared" si="472"/>
        <v>0</v>
      </c>
      <c r="EJ103" s="20">
        <f t="shared" si="472"/>
        <v>0</v>
      </c>
      <c r="EK103" s="20">
        <f t="shared" si="472"/>
        <v>0</v>
      </c>
      <c r="EL103" s="20">
        <f t="shared" si="472"/>
        <v>0</v>
      </c>
      <c r="EM103" s="20">
        <f t="shared" si="472"/>
        <v>0</v>
      </c>
      <c r="EN103" s="20">
        <f t="shared" si="472"/>
        <v>0</v>
      </c>
      <c r="EO103" s="20">
        <f t="shared" si="472"/>
        <v>0</v>
      </c>
      <c r="EP103" s="20">
        <f t="shared" si="472"/>
        <v>0</v>
      </c>
      <c r="EQ103" s="20">
        <f t="shared" ref="EQ103:FB103" si="473">EQ$99*EQ79</f>
        <v>67029.876905886762</v>
      </c>
      <c r="ER103" s="20">
        <f t="shared" si="473"/>
        <v>141581.27574849312</v>
      </c>
      <c r="ES103" s="20">
        <f t="shared" si="473"/>
        <v>276599.89878830017</v>
      </c>
      <c r="ET103" s="20">
        <f t="shared" si="473"/>
        <v>119322.88055112545</v>
      </c>
      <c r="EU103" s="20">
        <f t="shared" si="473"/>
        <v>223804.86975842269</v>
      </c>
      <c r="EV103" s="20">
        <f t="shared" si="473"/>
        <v>315259.5419669596</v>
      </c>
      <c r="EW103" s="20">
        <f t="shared" si="473"/>
        <v>104358.72156117712</v>
      </c>
      <c r="EX103" s="20">
        <f t="shared" si="473"/>
        <v>186081.93621278039</v>
      </c>
      <c r="EY103" s="20">
        <f t="shared" si="473"/>
        <v>327176.30428843264</v>
      </c>
      <c r="EZ103" s="20">
        <f t="shared" si="473"/>
        <v>125059.01860787116</v>
      </c>
      <c r="FA103" s="20">
        <f t="shared" si="473"/>
        <v>359316.22065841331</v>
      </c>
      <c r="FB103" s="20">
        <f t="shared" si="473"/>
        <v>414935.0614794399</v>
      </c>
    </row>
    <row r="105" spans="3:158" s="1" customFormat="1" x14ac:dyDescent="0.25">
      <c r="C105" s="304" t="s">
        <v>645</v>
      </c>
      <c r="D105" s="22">
        <f t="shared" si="417"/>
        <v>439111.47</v>
      </c>
      <c r="E105" s="22">
        <f t="shared" si="417"/>
        <v>1451905.1764100001</v>
      </c>
      <c r="F105" s="22">
        <f t="shared" si="417"/>
        <v>2193580.8464450003</v>
      </c>
      <c r="G105" s="22">
        <f t="shared" si="417"/>
        <v>2361877.9045540001</v>
      </c>
      <c r="H105" s="22">
        <f t="shared" si="417"/>
        <v>5600865.7028060667</v>
      </c>
      <c r="I105" s="22">
        <f t="shared" si="417"/>
        <v>8334336.3169988608</v>
      </c>
      <c r="J105" s="22">
        <f t="shared" si="417"/>
        <v>12041011.297420217</v>
      </c>
      <c r="K105" s="22">
        <f t="shared" si="417"/>
        <v>16882719.47014872</v>
      </c>
      <c r="L105" s="22">
        <f t="shared" si="417"/>
        <v>22951120.540563088</v>
      </c>
      <c r="N105" s="22">
        <f t="shared" si="418"/>
        <v>86228</v>
      </c>
      <c r="O105" s="22">
        <f t="shared" si="419"/>
        <v>137985</v>
      </c>
      <c r="P105" s="22">
        <f t="shared" si="420"/>
        <v>186096</v>
      </c>
      <c r="Q105" s="22">
        <f t="shared" si="421"/>
        <v>28802.47</v>
      </c>
      <c r="R105" s="22">
        <f t="shared" si="422"/>
        <v>191199.31</v>
      </c>
      <c r="S105" s="22">
        <f t="shared" si="423"/>
        <v>246946.44</v>
      </c>
      <c r="T105" s="22">
        <f t="shared" si="424"/>
        <v>436010.04</v>
      </c>
      <c r="U105" s="22">
        <f t="shared" si="425"/>
        <v>577749.38641000004</v>
      </c>
      <c r="V105" s="22">
        <f t="shared" si="426"/>
        <v>302641.86871800001</v>
      </c>
      <c r="W105" s="22">
        <f t="shared" si="427"/>
        <v>463726.72047599999</v>
      </c>
      <c r="X105" s="22">
        <f t="shared" si="428"/>
        <v>601050.76736199996</v>
      </c>
      <c r="Y105" s="22">
        <f t="shared" si="429"/>
        <v>826161.48988900008</v>
      </c>
      <c r="Z105" s="22">
        <f t="shared" si="430"/>
        <v>807279.16977200005</v>
      </c>
      <c r="AA105" s="22">
        <f t="shared" si="431"/>
        <v>1118126.2347820001</v>
      </c>
      <c r="AB105" s="22">
        <f t="shared" si="432"/>
        <v>193275</v>
      </c>
      <c r="AC105" s="22">
        <f t="shared" si="433"/>
        <v>243197.5</v>
      </c>
      <c r="AD105" s="22">
        <f t="shared" si="434"/>
        <v>991208.35312551237</v>
      </c>
      <c r="AE105" s="22">
        <f t="shared" si="435"/>
        <v>1318808.5228024684</v>
      </c>
      <c r="AF105" s="22">
        <f t="shared" si="436"/>
        <v>1300190.3277306494</v>
      </c>
      <c r="AG105" s="22">
        <f t="shared" si="437"/>
        <v>1990658.4991474373</v>
      </c>
      <c r="AH105" s="22">
        <f t="shared" si="438"/>
        <v>1519967.3619102342</v>
      </c>
      <c r="AI105" s="22">
        <f t="shared" si="439"/>
        <v>2062457.5486920166</v>
      </c>
      <c r="AJ105" s="22">
        <f t="shared" si="440"/>
        <v>1934740.8137258468</v>
      </c>
      <c r="AK105" s="22">
        <f t="shared" si="441"/>
        <v>2817170.592670762</v>
      </c>
      <c r="AL105" s="22">
        <f t="shared" si="442"/>
        <v>2195968.998652258</v>
      </c>
      <c r="AM105" s="22">
        <f t="shared" si="443"/>
        <v>2979730.3228090471</v>
      </c>
      <c r="AN105" s="22">
        <f t="shared" si="444"/>
        <v>2795211.893253874</v>
      </c>
      <c r="AO105" s="22">
        <f t="shared" si="445"/>
        <v>4070100.0827050363</v>
      </c>
      <c r="AP105" s="22">
        <f t="shared" si="446"/>
        <v>3078971.330035422</v>
      </c>
      <c r="AQ105" s="22">
        <f t="shared" si="447"/>
        <v>4177884.2236830126</v>
      </c>
      <c r="AR105" s="22">
        <f t="shared" si="448"/>
        <v>3919170.6649705637</v>
      </c>
      <c r="AS105" s="22">
        <f t="shared" si="449"/>
        <v>5706693.2514597233</v>
      </c>
      <c r="AT105" s="22">
        <f t="shared" si="450"/>
        <v>4185690.7153808391</v>
      </c>
      <c r="AU105" s="22">
        <f t="shared" si="451"/>
        <v>5679601.8314353339</v>
      </c>
      <c r="AV105" s="22">
        <f t="shared" si="452"/>
        <v>5327895.1006573718</v>
      </c>
      <c r="AW105" s="22">
        <f t="shared" si="453"/>
        <v>7757932.8930895422</v>
      </c>
      <c r="AY105" s="49">
        <f t="shared" ref="AY105:CD105" si="474">AY44</f>
        <v>10114</v>
      </c>
      <c r="AZ105" s="49">
        <f t="shared" si="474"/>
        <v>25400</v>
      </c>
      <c r="BA105" s="49">
        <f t="shared" si="474"/>
        <v>50714</v>
      </c>
      <c r="BB105" s="49">
        <f t="shared" si="474"/>
        <v>35700</v>
      </c>
      <c r="BC105" s="49">
        <f t="shared" si="474"/>
        <v>48860</v>
      </c>
      <c r="BD105" s="49">
        <f t="shared" si="474"/>
        <v>53425</v>
      </c>
      <c r="BE105" s="49">
        <f t="shared" si="474"/>
        <v>49260</v>
      </c>
      <c r="BF105" s="49">
        <f t="shared" si="474"/>
        <v>61900</v>
      </c>
      <c r="BG105" s="49">
        <f t="shared" si="474"/>
        <v>74936</v>
      </c>
      <c r="BH105" s="49">
        <f t="shared" si="474"/>
        <v>5782</v>
      </c>
      <c r="BI105" s="49">
        <f t="shared" si="474"/>
        <v>-31962</v>
      </c>
      <c r="BJ105" s="49">
        <f t="shared" si="474"/>
        <v>54982.47</v>
      </c>
      <c r="BK105" s="49">
        <f t="shared" si="474"/>
        <v>18700</v>
      </c>
      <c r="BL105" s="49">
        <f t="shared" si="474"/>
        <v>75383</v>
      </c>
      <c r="BM105" s="49">
        <f t="shared" si="474"/>
        <v>97116.31</v>
      </c>
      <c r="BN105" s="49">
        <f t="shared" si="474"/>
        <v>55172.86</v>
      </c>
      <c r="BO105" s="49">
        <f t="shared" si="474"/>
        <v>67783.58</v>
      </c>
      <c r="BP105" s="49">
        <f t="shared" si="474"/>
        <v>123990</v>
      </c>
      <c r="BQ105" s="49">
        <f t="shared" si="474"/>
        <v>20000</v>
      </c>
      <c r="BR105" s="49">
        <f t="shared" si="474"/>
        <v>78367</v>
      </c>
      <c r="BS105" s="49">
        <f t="shared" si="474"/>
        <v>337643.04</v>
      </c>
      <c r="BT105" s="49">
        <f t="shared" si="474"/>
        <v>153100.20000000001</v>
      </c>
      <c r="BU105" s="49">
        <f t="shared" si="474"/>
        <v>189751.02</v>
      </c>
      <c r="BV105" s="49">
        <f t="shared" si="474"/>
        <v>234898.16641000001</v>
      </c>
      <c r="BW105" s="49">
        <f t="shared" si="474"/>
        <v>78130</v>
      </c>
      <c r="BX105" s="49">
        <f t="shared" si="474"/>
        <v>81895.28</v>
      </c>
      <c r="BY105" s="49">
        <f t="shared" si="474"/>
        <v>142616.58871800001</v>
      </c>
      <c r="BZ105" s="49">
        <f t="shared" si="474"/>
        <v>90393.339487000005</v>
      </c>
      <c r="CA105" s="49">
        <f t="shared" si="474"/>
        <v>111774.990989</v>
      </c>
      <c r="CB105" s="49">
        <f t="shared" si="474"/>
        <v>261558.39</v>
      </c>
      <c r="CC105" s="49">
        <f t="shared" si="474"/>
        <v>126378.017179</v>
      </c>
      <c r="CD105" s="49">
        <f t="shared" si="474"/>
        <v>115947.783516</v>
      </c>
      <c r="CE105" s="49">
        <f t="shared" ref="CE105:DJ105" si="475">CE44</f>
        <v>358724.96666699997</v>
      </c>
      <c r="CF105" s="49">
        <f t="shared" si="475"/>
        <v>223314.496923</v>
      </c>
      <c r="CG105" s="49">
        <f t="shared" si="475"/>
        <v>367222.077582</v>
      </c>
      <c r="CH105" s="49">
        <f t="shared" si="475"/>
        <v>235624.91538399999</v>
      </c>
      <c r="CI105" s="49">
        <f t="shared" si="475"/>
        <v>235255.434156</v>
      </c>
      <c r="CJ105" s="49">
        <f t="shared" si="475"/>
        <v>196334.71927500001</v>
      </c>
      <c r="CK105" s="49">
        <f t="shared" si="475"/>
        <v>375689.01634099998</v>
      </c>
      <c r="CL105" s="49">
        <f t="shared" si="475"/>
        <v>299108.39999300003</v>
      </c>
      <c r="CM105" s="49">
        <f t="shared" si="475"/>
        <v>398134.54097700003</v>
      </c>
      <c r="CN105" s="49">
        <f t="shared" si="475"/>
        <v>420883.29381200002</v>
      </c>
      <c r="CO105" s="49">
        <f t="shared" si="475"/>
        <v>28991.25</v>
      </c>
      <c r="CP105" s="49">
        <f t="shared" si="475"/>
        <v>67646.25</v>
      </c>
      <c r="CQ105" s="49">
        <f t="shared" si="475"/>
        <v>96637.5</v>
      </c>
      <c r="CR105" s="49">
        <f t="shared" si="475"/>
        <v>24319.75</v>
      </c>
      <c r="CS105" s="49">
        <f t="shared" si="475"/>
        <v>97279</v>
      </c>
      <c r="CT105" s="49">
        <f t="shared" si="475"/>
        <v>121598.75</v>
      </c>
      <c r="CU105" s="49">
        <f t="shared" si="475"/>
        <v>131027.90435557923</v>
      </c>
      <c r="CV105" s="49">
        <f t="shared" si="475"/>
        <v>287971.46913441527</v>
      </c>
      <c r="CW105" s="49">
        <f t="shared" si="475"/>
        <v>572208.97963551781</v>
      </c>
      <c r="CX105" s="49">
        <f t="shared" si="475"/>
        <v>228791.80010945431</v>
      </c>
      <c r="CY105" s="49">
        <f t="shared" si="475"/>
        <v>448744.42468724726</v>
      </c>
      <c r="CZ105" s="49">
        <f t="shared" si="475"/>
        <v>641272.2980057667</v>
      </c>
      <c r="DA105" s="49">
        <f t="shared" si="475"/>
        <v>219693.12490234314</v>
      </c>
      <c r="DB105" s="49">
        <f t="shared" si="475"/>
        <v>391734.60006885044</v>
      </c>
      <c r="DC105" s="49">
        <f t="shared" si="475"/>
        <v>688762.6027594558</v>
      </c>
      <c r="DD105" s="49">
        <f t="shared" si="475"/>
        <v>295755.8448672446</v>
      </c>
      <c r="DE105" s="49">
        <f t="shared" si="475"/>
        <v>788907.69628383731</v>
      </c>
      <c r="DF105" s="49">
        <f t="shared" si="475"/>
        <v>905994.95799635537</v>
      </c>
      <c r="DG105" s="49">
        <f t="shared" si="475"/>
        <v>209977.1323568963</v>
      </c>
      <c r="DH105" s="49">
        <f t="shared" si="475"/>
        <v>443516.11026886269</v>
      </c>
      <c r="DI105" s="49">
        <f t="shared" si="475"/>
        <v>866474.11928447522</v>
      </c>
      <c r="DJ105" s="49">
        <f t="shared" si="475"/>
        <v>373789.68065044121</v>
      </c>
      <c r="DK105" s="49">
        <f t="shared" ref="DK105:EP105" si="476">DK44</f>
        <v>701088.93121441966</v>
      </c>
      <c r="DL105" s="49">
        <f t="shared" si="476"/>
        <v>987578.93682715576</v>
      </c>
      <c r="DM105" s="49">
        <f t="shared" si="476"/>
        <v>326913.1035495504</v>
      </c>
      <c r="DN105" s="49">
        <f t="shared" si="476"/>
        <v>582918.44104441488</v>
      </c>
      <c r="DO105" s="49">
        <f t="shared" si="476"/>
        <v>1024909.2691318817</v>
      </c>
      <c r="DP105" s="49">
        <f t="shared" si="476"/>
        <v>391758.65024365461</v>
      </c>
      <c r="DQ105" s="49">
        <f t="shared" si="476"/>
        <v>1125590.4546729866</v>
      </c>
      <c r="DR105" s="49">
        <f t="shared" si="476"/>
        <v>1299821.4877541205</v>
      </c>
      <c r="DS105" s="49">
        <f t="shared" si="476"/>
        <v>303363.93046107923</v>
      </c>
      <c r="DT105" s="49">
        <f t="shared" si="476"/>
        <v>640768.77764614648</v>
      </c>
      <c r="DU105" s="49">
        <f t="shared" si="476"/>
        <v>1251836.2905450324</v>
      </c>
      <c r="DV105" s="49">
        <f t="shared" si="476"/>
        <v>540031.69495225837</v>
      </c>
      <c r="DW105" s="49">
        <f t="shared" si="476"/>
        <v>1012896.4587175352</v>
      </c>
      <c r="DX105" s="49">
        <f t="shared" si="476"/>
        <v>1426802.1691392534</v>
      </c>
      <c r="DY105" s="49">
        <f t="shared" si="476"/>
        <v>472306.8788436295</v>
      </c>
      <c r="DZ105" s="49">
        <f t="shared" si="476"/>
        <v>842169.94216737431</v>
      </c>
      <c r="EA105" s="49">
        <f t="shared" si="476"/>
        <v>1480735.0722428705</v>
      </c>
      <c r="EB105" s="49">
        <f t="shared" si="476"/>
        <v>565992.31828750623</v>
      </c>
      <c r="EC105" s="49">
        <f t="shared" si="476"/>
        <v>1626193.960200808</v>
      </c>
      <c r="ED105" s="49">
        <f t="shared" si="476"/>
        <v>1877913.804216722</v>
      </c>
      <c r="EE105" s="49">
        <f t="shared" si="476"/>
        <v>425347.00855512102</v>
      </c>
      <c r="EF105" s="49">
        <f t="shared" si="476"/>
        <v>898422.8360077804</v>
      </c>
      <c r="EG105" s="49">
        <f t="shared" si="476"/>
        <v>1755201.4854725208</v>
      </c>
      <c r="EH105" s="49">
        <f t="shared" si="476"/>
        <v>757179.22570351441</v>
      </c>
      <c r="EI105" s="49">
        <f t="shared" si="476"/>
        <v>1420183.5994040626</v>
      </c>
      <c r="EJ105" s="49">
        <f t="shared" si="476"/>
        <v>2000521.3985754354</v>
      </c>
      <c r="EK105" s="49">
        <f t="shared" si="476"/>
        <v>662222.16243970348</v>
      </c>
      <c r="EL105" s="49">
        <f t="shared" si="476"/>
        <v>1180807.7019950463</v>
      </c>
      <c r="EM105" s="49">
        <f t="shared" si="476"/>
        <v>2076140.8005358139</v>
      </c>
      <c r="EN105" s="49">
        <f t="shared" si="476"/>
        <v>793578.65347691812</v>
      </c>
      <c r="EO105" s="49">
        <f t="shared" si="476"/>
        <v>2280088.9191095252</v>
      </c>
      <c r="EP105" s="49">
        <f t="shared" si="476"/>
        <v>2633025.6788732801</v>
      </c>
      <c r="EQ105" s="49">
        <f t="shared" ref="EQ105:FB105" si="477">EQ44</f>
        <v>578235.66174736083</v>
      </c>
      <c r="ER105" s="49">
        <f t="shared" si="477"/>
        <v>1221356.0050007435</v>
      </c>
      <c r="ES105" s="49">
        <f t="shared" si="477"/>
        <v>2386099.0486327345</v>
      </c>
      <c r="ET105" s="49">
        <f t="shared" si="477"/>
        <v>1029343.1523670573</v>
      </c>
      <c r="EU105" s="49">
        <f t="shared" si="477"/>
        <v>1930660.8178431261</v>
      </c>
      <c r="EV105" s="49">
        <f t="shared" si="477"/>
        <v>2719597.8612251505</v>
      </c>
      <c r="EW105" s="49">
        <f t="shared" si="477"/>
        <v>900254.29266059469</v>
      </c>
      <c r="EX105" s="49">
        <f t="shared" si="477"/>
        <v>1605242.5648386888</v>
      </c>
      <c r="EY105" s="49">
        <f t="shared" si="477"/>
        <v>2822398.2431580881</v>
      </c>
      <c r="EZ105" s="49">
        <f t="shared" si="477"/>
        <v>1078826.1551446631</v>
      </c>
      <c r="FA105" s="49">
        <f t="shared" si="477"/>
        <v>3099654.3962134505</v>
      </c>
      <c r="FB105" s="49">
        <f t="shared" si="477"/>
        <v>3579452.3417314282</v>
      </c>
    </row>
    <row r="106" spans="3:158" x14ac:dyDescent="0.25">
      <c r="C106" s="2" t="s">
        <v>346</v>
      </c>
      <c r="D106" s="244">
        <f t="shared" si="417"/>
        <v>430329.2405999999</v>
      </c>
      <c r="E106" s="244">
        <f t="shared" si="417"/>
        <v>1422867.0728817999</v>
      </c>
      <c r="F106" s="244">
        <f t="shared" si="417"/>
        <v>2127773.4210516498</v>
      </c>
      <c r="G106" s="244">
        <f t="shared" si="417"/>
        <v>2243784.0093263001</v>
      </c>
      <c r="H106" s="244">
        <f t="shared" si="417"/>
        <v>5124792.1180675523</v>
      </c>
      <c r="I106" s="244">
        <f t="shared" si="417"/>
        <v>6798851.4099056693</v>
      </c>
      <c r="J106" s="244">
        <f t="shared" si="417"/>
        <v>9581803.1386957746</v>
      </c>
      <c r="K106" s="244">
        <f t="shared" si="417"/>
        <v>13434660.130536528</v>
      </c>
      <c r="L106" s="244">
        <f t="shared" si="417"/>
        <v>11762673.397402177</v>
      </c>
      <c r="N106" s="244">
        <f t="shared" si="418"/>
        <v>84503.44</v>
      </c>
      <c r="O106" s="244">
        <f t="shared" si="419"/>
        <v>135225.29999999999</v>
      </c>
      <c r="P106" s="244">
        <f t="shared" si="420"/>
        <v>182374.08</v>
      </c>
      <c r="Q106" s="244">
        <f t="shared" si="421"/>
        <v>28226.420600000001</v>
      </c>
      <c r="R106" s="244">
        <f t="shared" si="422"/>
        <v>187375.32380000001</v>
      </c>
      <c r="S106" s="244">
        <f t="shared" si="423"/>
        <v>242007.51120000001</v>
      </c>
      <c r="T106" s="244">
        <f t="shared" si="424"/>
        <v>427289.83919999993</v>
      </c>
      <c r="U106" s="244">
        <f t="shared" si="425"/>
        <v>566194.3986818</v>
      </c>
      <c r="V106" s="244">
        <f t="shared" si="426"/>
        <v>293562.61265646003</v>
      </c>
      <c r="W106" s="244">
        <f t="shared" si="427"/>
        <v>449814.91886172001</v>
      </c>
      <c r="X106" s="244">
        <f t="shared" si="428"/>
        <v>583019.24434113991</v>
      </c>
      <c r="Y106" s="244">
        <f t="shared" si="429"/>
        <v>801376.64519233</v>
      </c>
      <c r="Z106" s="244">
        <f t="shared" si="430"/>
        <v>766915.21128339996</v>
      </c>
      <c r="AA106" s="244">
        <f t="shared" si="431"/>
        <v>1062219.9230428999</v>
      </c>
      <c r="AB106" s="244">
        <f t="shared" si="432"/>
        <v>183611.25</v>
      </c>
      <c r="AC106" s="244">
        <f t="shared" si="433"/>
        <v>231037.625</v>
      </c>
      <c r="AD106" s="244">
        <f t="shared" si="434"/>
        <v>906955.64310984383</v>
      </c>
      <c r="AE106" s="244">
        <f t="shared" si="435"/>
        <v>1206709.7983642584</v>
      </c>
      <c r="AF106" s="244">
        <f t="shared" si="436"/>
        <v>1189674.1498735445</v>
      </c>
      <c r="AG106" s="244">
        <f t="shared" si="437"/>
        <v>1821452.526719905</v>
      </c>
      <c r="AH106" s="244">
        <f t="shared" si="438"/>
        <v>1239934.6328821073</v>
      </c>
      <c r="AI106" s="244">
        <f t="shared" si="439"/>
        <v>1682478.5897102677</v>
      </c>
      <c r="AJ106" s="244">
        <f t="shared" si="440"/>
        <v>1578291.8769875958</v>
      </c>
      <c r="AK106" s="244">
        <f t="shared" si="441"/>
        <v>2298146.310325698</v>
      </c>
      <c r="AL106" s="244">
        <f t="shared" si="442"/>
        <v>1747473.0422579148</v>
      </c>
      <c r="AM106" s="244">
        <f t="shared" si="443"/>
        <v>2371162.0771982661</v>
      </c>
      <c r="AN106" s="244">
        <f t="shared" si="444"/>
        <v>2224328.9563093446</v>
      </c>
      <c r="AO106" s="244">
        <f t="shared" si="445"/>
        <v>3238839.0629302505</v>
      </c>
      <c r="AP106" s="244">
        <f t="shared" si="446"/>
        <v>2450134.4966272502</v>
      </c>
      <c r="AQ106" s="244">
        <f t="shared" si="447"/>
        <v>3324609.8005215083</v>
      </c>
      <c r="AR106" s="244">
        <f t="shared" si="448"/>
        <v>3118734.8679545727</v>
      </c>
      <c r="AS106" s="244">
        <f t="shared" si="449"/>
        <v>4541180.965433198</v>
      </c>
      <c r="AT106" s="244">
        <f t="shared" si="450"/>
        <v>2145207.3653897308</v>
      </c>
      <c r="AU106" s="244">
        <f t="shared" si="451"/>
        <v>2910851.4005835997</v>
      </c>
      <c r="AV106" s="244">
        <f t="shared" si="452"/>
        <v>2730598.266602729</v>
      </c>
      <c r="AW106" s="244">
        <f t="shared" si="453"/>
        <v>3976016.3648261167</v>
      </c>
      <c r="AY106" s="20">
        <f t="shared" ref="AY106:CD106" si="478">AY$105*AY82</f>
        <v>9911.7199999999993</v>
      </c>
      <c r="AZ106" s="20">
        <f t="shared" si="478"/>
        <v>24892</v>
      </c>
      <c r="BA106" s="20">
        <f t="shared" si="478"/>
        <v>49699.72</v>
      </c>
      <c r="BB106" s="20">
        <f t="shared" si="478"/>
        <v>34986</v>
      </c>
      <c r="BC106" s="20">
        <f t="shared" si="478"/>
        <v>47882.799999999996</v>
      </c>
      <c r="BD106" s="20">
        <f t="shared" si="478"/>
        <v>52356.5</v>
      </c>
      <c r="BE106" s="20">
        <f t="shared" si="478"/>
        <v>48274.799999999996</v>
      </c>
      <c r="BF106" s="20">
        <f t="shared" si="478"/>
        <v>60662</v>
      </c>
      <c r="BG106" s="20">
        <f t="shared" si="478"/>
        <v>73437.279999999999</v>
      </c>
      <c r="BH106" s="20">
        <f t="shared" si="478"/>
        <v>5666.36</v>
      </c>
      <c r="BI106" s="20">
        <f t="shared" si="478"/>
        <v>-31322.76</v>
      </c>
      <c r="BJ106" s="20">
        <f t="shared" si="478"/>
        <v>53882.820599999999</v>
      </c>
      <c r="BK106" s="20">
        <f t="shared" si="478"/>
        <v>18326</v>
      </c>
      <c r="BL106" s="20">
        <f t="shared" si="478"/>
        <v>73875.34</v>
      </c>
      <c r="BM106" s="20">
        <f t="shared" si="478"/>
        <v>95173.983800000002</v>
      </c>
      <c r="BN106" s="20">
        <f t="shared" si="478"/>
        <v>54069.402799999996</v>
      </c>
      <c r="BO106" s="20">
        <f t="shared" si="478"/>
        <v>66427.9084</v>
      </c>
      <c r="BP106" s="20">
        <f t="shared" si="478"/>
        <v>121510.2</v>
      </c>
      <c r="BQ106" s="20">
        <f t="shared" si="478"/>
        <v>19600</v>
      </c>
      <c r="BR106" s="20">
        <f t="shared" si="478"/>
        <v>76799.66</v>
      </c>
      <c r="BS106" s="20">
        <f t="shared" si="478"/>
        <v>330890.17919999996</v>
      </c>
      <c r="BT106" s="20">
        <f t="shared" si="478"/>
        <v>150038.196</v>
      </c>
      <c r="BU106" s="20">
        <f t="shared" si="478"/>
        <v>185955.99959999998</v>
      </c>
      <c r="BV106" s="20">
        <f t="shared" si="478"/>
        <v>230200.20308179999</v>
      </c>
      <c r="BW106" s="20">
        <f t="shared" si="478"/>
        <v>75786.099999999991</v>
      </c>
      <c r="BX106" s="20">
        <f t="shared" si="478"/>
        <v>79438.421600000001</v>
      </c>
      <c r="BY106" s="20">
        <f t="shared" si="478"/>
        <v>138338.09105646002</v>
      </c>
      <c r="BZ106" s="20">
        <f t="shared" si="478"/>
        <v>87681.539302389996</v>
      </c>
      <c r="CA106" s="20">
        <f t="shared" si="478"/>
        <v>108421.74125933</v>
      </c>
      <c r="CB106" s="20">
        <f t="shared" si="478"/>
        <v>253711.63830000002</v>
      </c>
      <c r="CC106" s="20">
        <f t="shared" si="478"/>
        <v>122586.67666363</v>
      </c>
      <c r="CD106" s="20">
        <f t="shared" si="478"/>
        <v>112469.35001051999</v>
      </c>
      <c r="CE106" s="20">
        <f t="shared" ref="CE106:DJ106" si="479">CE$105*CE82</f>
        <v>347963.21766698995</v>
      </c>
      <c r="CF106" s="20">
        <f t="shared" si="479"/>
        <v>216615.06201530999</v>
      </c>
      <c r="CG106" s="20">
        <f t="shared" si="479"/>
        <v>356205.41525453998</v>
      </c>
      <c r="CH106" s="20">
        <f t="shared" si="479"/>
        <v>228556.16792247997</v>
      </c>
      <c r="CI106" s="20">
        <f t="shared" si="479"/>
        <v>223492.66244819999</v>
      </c>
      <c r="CJ106" s="20">
        <f t="shared" si="479"/>
        <v>186517.98331124999</v>
      </c>
      <c r="CK106" s="20">
        <f t="shared" si="479"/>
        <v>356904.56552394998</v>
      </c>
      <c r="CL106" s="20">
        <f t="shared" si="479"/>
        <v>284152.97999334999</v>
      </c>
      <c r="CM106" s="20">
        <f t="shared" si="479"/>
        <v>378227.81392814999</v>
      </c>
      <c r="CN106" s="20">
        <f t="shared" si="479"/>
        <v>399839.12912140001</v>
      </c>
      <c r="CO106" s="20">
        <f t="shared" si="479"/>
        <v>27541.6875</v>
      </c>
      <c r="CP106" s="20">
        <f t="shared" si="479"/>
        <v>64263.9375</v>
      </c>
      <c r="CQ106" s="20">
        <f t="shared" si="479"/>
        <v>91805.625</v>
      </c>
      <c r="CR106" s="20">
        <f t="shared" si="479"/>
        <v>23103.762500000001</v>
      </c>
      <c r="CS106" s="20">
        <f t="shared" si="479"/>
        <v>92415.05</v>
      </c>
      <c r="CT106" s="20">
        <f t="shared" si="479"/>
        <v>115518.8125</v>
      </c>
      <c r="CU106" s="20">
        <f t="shared" si="479"/>
        <v>119890.532485355</v>
      </c>
      <c r="CV106" s="20">
        <f t="shared" si="479"/>
        <v>263493.89425799</v>
      </c>
      <c r="CW106" s="20">
        <f t="shared" si="479"/>
        <v>523571.21636649879</v>
      </c>
      <c r="CX106" s="20">
        <f t="shared" si="479"/>
        <v>209344.49710015071</v>
      </c>
      <c r="CY106" s="20">
        <f t="shared" si="479"/>
        <v>410601.14858883125</v>
      </c>
      <c r="CZ106" s="20">
        <f t="shared" si="479"/>
        <v>586764.15267527651</v>
      </c>
      <c r="DA106" s="20">
        <f t="shared" si="479"/>
        <v>201019.209285644</v>
      </c>
      <c r="DB106" s="20">
        <f t="shared" si="479"/>
        <v>358437.15906299819</v>
      </c>
      <c r="DC106" s="20">
        <f t="shared" si="479"/>
        <v>630217.78152490209</v>
      </c>
      <c r="DD106" s="20">
        <f t="shared" si="479"/>
        <v>270616.59805352881</v>
      </c>
      <c r="DE106" s="20">
        <f t="shared" si="479"/>
        <v>721850.54209971114</v>
      </c>
      <c r="DF106" s="20">
        <f t="shared" si="479"/>
        <v>828985.38656666514</v>
      </c>
      <c r="DG106" s="20">
        <f t="shared" si="479"/>
        <v>171291.78234154874</v>
      </c>
      <c r="DH106" s="20">
        <f t="shared" si="479"/>
        <v>361804.4697172913</v>
      </c>
      <c r="DI106" s="20">
        <f t="shared" si="479"/>
        <v>706838.38082326727</v>
      </c>
      <c r="DJ106" s="20">
        <f t="shared" si="479"/>
        <v>304924.15960165643</v>
      </c>
      <c r="DK106" s="20">
        <f t="shared" ref="DK106:EP106" si="480">DK$105*DK82</f>
        <v>571923.10067142057</v>
      </c>
      <c r="DL106" s="20">
        <f t="shared" si="480"/>
        <v>805631.32943719055</v>
      </c>
      <c r="DM106" s="20">
        <f t="shared" si="480"/>
        <v>266683.93624231074</v>
      </c>
      <c r="DN106" s="20">
        <f t="shared" si="480"/>
        <v>475523.87064960063</v>
      </c>
      <c r="DO106" s="20">
        <f t="shared" si="480"/>
        <v>836084.07009568438</v>
      </c>
      <c r="DP106" s="20">
        <f t="shared" si="480"/>
        <v>319582.5978511658</v>
      </c>
      <c r="DQ106" s="20">
        <f t="shared" si="480"/>
        <v>918216.15527095669</v>
      </c>
      <c r="DR106" s="20">
        <f t="shared" si="480"/>
        <v>1060347.5572035757</v>
      </c>
      <c r="DS106" s="20">
        <f t="shared" si="480"/>
        <v>241406.09034075332</v>
      </c>
      <c r="DT106" s="20">
        <f t="shared" si="480"/>
        <v>509900.71624162793</v>
      </c>
      <c r="DU106" s="20">
        <f t="shared" si="480"/>
        <v>996166.23567553342</v>
      </c>
      <c r="DV106" s="20">
        <f t="shared" si="480"/>
        <v>429737.77383610461</v>
      </c>
      <c r="DW106" s="20">
        <f t="shared" si="480"/>
        <v>806026.52282145852</v>
      </c>
      <c r="DX106" s="20">
        <f t="shared" si="480"/>
        <v>1135397.7805407026</v>
      </c>
      <c r="DY106" s="20">
        <f t="shared" si="480"/>
        <v>375844.80425669003</v>
      </c>
      <c r="DZ106" s="20">
        <f t="shared" si="480"/>
        <v>670168.50959217001</v>
      </c>
      <c r="EA106" s="20">
        <f t="shared" si="480"/>
        <v>1178315.6424604843</v>
      </c>
      <c r="EB106" s="20">
        <f t="shared" si="480"/>
        <v>450396.30292572279</v>
      </c>
      <c r="EC106" s="20">
        <f t="shared" si="480"/>
        <v>1294066.5868587489</v>
      </c>
      <c r="ED106" s="20">
        <f t="shared" si="480"/>
        <v>1494376.1731457787</v>
      </c>
      <c r="EE106" s="20">
        <f t="shared" si="480"/>
        <v>338475.83072042395</v>
      </c>
      <c r="EF106" s="20">
        <f t="shared" si="480"/>
        <v>714932.53658682981</v>
      </c>
      <c r="EG106" s="20">
        <f t="shared" si="480"/>
        <v>1396726.1293199966</v>
      </c>
      <c r="EH106" s="20">
        <f t="shared" si="480"/>
        <v>602535.95833396353</v>
      </c>
      <c r="EI106" s="20">
        <f t="shared" si="480"/>
        <v>1130130.9611103516</v>
      </c>
      <c r="EJ106" s="20">
        <f t="shared" si="480"/>
        <v>1591942.8810771932</v>
      </c>
      <c r="EK106" s="20">
        <f t="shared" si="480"/>
        <v>526972.54722600663</v>
      </c>
      <c r="EL106" s="20">
        <f t="shared" si="480"/>
        <v>939644.24297121621</v>
      </c>
      <c r="EM106" s="20">
        <f t="shared" si="480"/>
        <v>1652118.0777573499</v>
      </c>
      <c r="EN106" s="20">
        <f t="shared" si="480"/>
        <v>631501.31204645894</v>
      </c>
      <c r="EO106" s="20">
        <f t="shared" si="480"/>
        <v>1814412.6454154146</v>
      </c>
      <c r="EP106" s="20">
        <f t="shared" si="480"/>
        <v>2095267.0079713243</v>
      </c>
      <c r="EQ106" s="20">
        <f t="shared" ref="EQ106:FB106" si="481">EQ$105*EQ82</f>
        <v>296351.42318406614</v>
      </c>
      <c r="ER106" s="20">
        <f t="shared" si="481"/>
        <v>625956.87924643606</v>
      </c>
      <c r="ES106" s="20">
        <f t="shared" si="481"/>
        <v>1222899.0629592289</v>
      </c>
      <c r="ET106" s="20">
        <f t="shared" si="481"/>
        <v>527548.41724381549</v>
      </c>
      <c r="EU106" s="20">
        <f t="shared" si="481"/>
        <v>989482.52227221779</v>
      </c>
      <c r="EV106" s="20">
        <f t="shared" si="481"/>
        <v>1393820.4610675664</v>
      </c>
      <c r="EW106" s="20">
        <f t="shared" si="481"/>
        <v>461389.11607651244</v>
      </c>
      <c r="EX106" s="20">
        <f t="shared" si="481"/>
        <v>822702.48986032431</v>
      </c>
      <c r="EY106" s="20">
        <f t="shared" si="481"/>
        <v>1446506.6606658923</v>
      </c>
      <c r="EZ106" s="20">
        <f t="shared" si="481"/>
        <v>552908.93937462044</v>
      </c>
      <c r="FA106" s="20">
        <f t="shared" si="481"/>
        <v>1588603.1465453729</v>
      </c>
      <c r="FB106" s="20">
        <f t="shared" si="481"/>
        <v>1834504.278906123</v>
      </c>
    </row>
    <row r="107" spans="3:158" x14ac:dyDescent="0.25">
      <c r="C107" s="2" t="s">
        <v>298</v>
      </c>
      <c r="D107" s="244">
        <f t="shared" si="417"/>
        <v>8782.2294000000002</v>
      </c>
      <c r="E107" s="244">
        <f t="shared" si="417"/>
        <v>29038.103528200001</v>
      </c>
      <c r="F107" s="244">
        <f t="shared" si="417"/>
        <v>43871.616928899995</v>
      </c>
      <c r="G107" s="244">
        <f t="shared" si="417"/>
        <v>70856.337136620001</v>
      </c>
      <c r="H107" s="244">
        <f t="shared" si="417"/>
        <v>252038.95662627299</v>
      </c>
      <c r="I107" s="244">
        <f t="shared" si="417"/>
        <v>1083463.7212098518</v>
      </c>
      <c r="J107" s="244">
        <f t="shared" si="417"/>
        <v>1806151.694613032</v>
      </c>
      <c r="K107" s="244">
        <f t="shared" si="417"/>
        <v>2532407.920522308</v>
      </c>
      <c r="L107" s="244">
        <f t="shared" si="417"/>
        <v>3442668.0810844628</v>
      </c>
      <c r="N107" s="244">
        <f t="shared" si="418"/>
        <v>1724.56</v>
      </c>
      <c r="O107" s="244">
        <f t="shared" si="419"/>
        <v>2759.7</v>
      </c>
      <c r="P107" s="244">
        <f t="shared" si="420"/>
        <v>3721.92</v>
      </c>
      <c r="Q107" s="244">
        <f t="shared" si="421"/>
        <v>576.04939999999999</v>
      </c>
      <c r="R107" s="244">
        <f t="shared" si="422"/>
        <v>3823.9862000000003</v>
      </c>
      <c r="S107" s="244">
        <f t="shared" si="423"/>
        <v>4938.9288000000006</v>
      </c>
      <c r="T107" s="244">
        <f t="shared" si="424"/>
        <v>8720.2007999999987</v>
      </c>
      <c r="U107" s="244">
        <f t="shared" si="425"/>
        <v>11554.987728200002</v>
      </c>
      <c r="V107" s="244">
        <f t="shared" si="426"/>
        <v>6052.8373743600005</v>
      </c>
      <c r="W107" s="244">
        <f t="shared" si="427"/>
        <v>9274.5344095199998</v>
      </c>
      <c r="X107" s="244">
        <f t="shared" si="428"/>
        <v>12021.01534724</v>
      </c>
      <c r="Y107" s="244">
        <f t="shared" si="429"/>
        <v>16523.229797780001</v>
      </c>
      <c r="Z107" s="244">
        <f t="shared" si="430"/>
        <v>24218.375093160001</v>
      </c>
      <c r="AA107" s="244">
        <f t="shared" si="431"/>
        <v>33543.787043459997</v>
      </c>
      <c r="AB107" s="244">
        <f t="shared" si="432"/>
        <v>5798.25</v>
      </c>
      <c r="AC107" s="244">
        <f t="shared" si="433"/>
        <v>7295.9249999999993</v>
      </c>
      <c r="AD107" s="244">
        <f t="shared" si="434"/>
        <v>44604.375890648051</v>
      </c>
      <c r="AE107" s="244">
        <f t="shared" si="435"/>
        <v>59346.383526111073</v>
      </c>
      <c r="AF107" s="244">
        <f t="shared" si="436"/>
        <v>58508.564747879223</v>
      </c>
      <c r="AG107" s="244">
        <f t="shared" si="437"/>
        <v>89579.632461634668</v>
      </c>
      <c r="AH107" s="244">
        <f t="shared" si="438"/>
        <v>197595.75704833044</v>
      </c>
      <c r="AI107" s="244">
        <f t="shared" si="439"/>
        <v>268119.48132996215</v>
      </c>
      <c r="AJ107" s="244">
        <f t="shared" si="440"/>
        <v>251516.3057843601</v>
      </c>
      <c r="AK107" s="244">
        <f t="shared" si="441"/>
        <v>366232.17704719905</v>
      </c>
      <c r="AL107" s="244">
        <f t="shared" si="442"/>
        <v>329395.34979783872</v>
      </c>
      <c r="AM107" s="244">
        <f t="shared" si="443"/>
        <v>446959.54842135706</v>
      </c>
      <c r="AN107" s="244">
        <f t="shared" si="444"/>
        <v>419281.78398808115</v>
      </c>
      <c r="AO107" s="244">
        <f t="shared" si="445"/>
        <v>610515.01240575546</v>
      </c>
      <c r="AP107" s="244">
        <f t="shared" si="446"/>
        <v>461845.6995053133</v>
      </c>
      <c r="AQ107" s="244">
        <f t="shared" si="447"/>
        <v>626682.63355245185</v>
      </c>
      <c r="AR107" s="244">
        <f t="shared" si="448"/>
        <v>587875.59974558454</v>
      </c>
      <c r="AS107" s="244">
        <f t="shared" si="449"/>
        <v>856003.98771895841</v>
      </c>
      <c r="AT107" s="244">
        <f t="shared" si="450"/>
        <v>627853.60730712581</v>
      </c>
      <c r="AU107" s="244">
        <f t="shared" si="451"/>
        <v>851940.27471530018</v>
      </c>
      <c r="AV107" s="244">
        <f t="shared" si="452"/>
        <v>799184.26509860565</v>
      </c>
      <c r="AW107" s="244">
        <f t="shared" si="453"/>
        <v>1163689.9339634313</v>
      </c>
      <c r="AY107" s="20">
        <f t="shared" ref="AY107:CD107" si="482">AY$105*AY83</f>
        <v>202.28</v>
      </c>
      <c r="AZ107" s="20">
        <f t="shared" si="482"/>
        <v>508</v>
      </c>
      <c r="BA107" s="20">
        <f t="shared" si="482"/>
        <v>1014.28</v>
      </c>
      <c r="BB107" s="20">
        <f t="shared" si="482"/>
        <v>714</v>
      </c>
      <c r="BC107" s="20">
        <f t="shared" si="482"/>
        <v>977.2</v>
      </c>
      <c r="BD107" s="20">
        <f t="shared" si="482"/>
        <v>1068.5</v>
      </c>
      <c r="BE107" s="20">
        <f t="shared" si="482"/>
        <v>985.2</v>
      </c>
      <c r="BF107" s="20">
        <f t="shared" si="482"/>
        <v>1238</v>
      </c>
      <c r="BG107" s="20">
        <f t="shared" si="482"/>
        <v>1498.72</v>
      </c>
      <c r="BH107" s="20">
        <f t="shared" si="482"/>
        <v>115.64</v>
      </c>
      <c r="BI107" s="20">
        <f t="shared" si="482"/>
        <v>-639.24</v>
      </c>
      <c r="BJ107" s="20">
        <f t="shared" si="482"/>
        <v>1099.6494</v>
      </c>
      <c r="BK107" s="20">
        <f t="shared" si="482"/>
        <v>374</v>
      </c>
      <c r="BL107" s="20">
        <f t="shared" si="482"/>
        <v>1507.66</v>
      </c>
      <c r="BM107" s="20">
        <f t="shared" si="482"/>
        <v>1942.3262</v>
      </c>
      <c r="BN107" s="20">
        <f t="shared" si="482"/>
        <v>1103.4572000000001</v>
      </c>
      <c r="BO107" s="20">
        <f t="shared" si="482"/>
        <v>1355.6716000000001</v>
      </c>
      <c r="BP107" s="20">
        <f t="shared" si="482"/>
        <v>2479.8000000000002</v>
      </c>
      <c r="BQ107" s="20">
        <f t="shared" si="482"/>
        <v>400</v>
      </c>
      <c r="BR107" s="20">
        <f t="shared" si="482"/>
        <v>1567.3400000000001</v>
      </c>
      <c r="BS107" s="20">
        <f t="shared" si="482"/>
        <v>6752.8607999999995</v>
      </c>
      <c r="BT107" s="20">
        <f t="shared" si="482"/>
        <v>3062.0040000000004</v>
      </c>
      <c r="BU107" s="20">
        <f t="shared" si="482"/>
        <v>3795.0203999999999</v>
      </c>
      <c r="BV107" s="20">
        <f t="shared" si="482"/>
        <v>4697.9633282000004</v>
      </c>
      <c r="BW107" s="20">
        <f t="shared" si="482"/>
        <v>1562.6000000000001</v>
      </c>
      <c r="BX107" s="20">
        <f t="shared" si="482"/>
        <v>1637.9056</v>
      </c>
      <c r="BY107" s="20">
        <f t="shared" si="482"/>
        <v>2852.3317743600005</v>
      </c>
      <c r="BZ107" s="20">
        <f t="shared" si="482"/>
        <v>1807.8667897400001</v>
      </c>
      <c r="CA107" s="20">
        <f t="shared" si="482"/>
        <v>2235.4998197800001</v>
      </c>
      <c r="CB107" s="20">
        <f t="shared" si="482"/>
        <v>5231.1678000000002</v>
      </c>
      <c r="CC107" s="20">
        <f t="shared" si="482"/>
        <v>2527.5603435799999</v>
      </c>
      <c r="CD107" s="20">
        <f t="shared" si="482"/>
        <v>2318.9556703200001</v>
      </c>
      <c r="CE107" s="20">
        <f t="shared" ref="CE107:DJ107" si="483">CE$105*CE83</f>
        <v>7174.4993333399998</v>
      </c>
      <c r="CF107" s="20">
        <f t="shared" si="483"/>
        <v>4466.2899384600005</v>
      </c>
      <c r="CG107" s="20">
        <f t="shared" si="483"/>
        <v>7344.4415516400004</v>
      </c>
      <c r="CH107" s="20">
        <f t="shared" si="483"/>
        <v>4712.4983076799999</v>
      </c>
      <c r="CI107" s="20">
        <f t="shared" si="483"/>
        <v>7057.6630246799996</v>
      </c>
      <c r="CJ107" s="20">
        <f t="shared" si="483"/>
        <v>5890.0415782500004</v>
      </c>
      <c r="CK107" s="20">
        <f t="shared" si="483"/>
        <v>11270.670490229999</v>
      </c>
      <c r="CL107" s="20">
        <f t="shared" si="483"/>
        <v>8973.2519997899999</v>
      </c>
      <c r="CM107" s="20">
        <f t="shared" si="483"/>
        <v>11944.036229310001</v>
      </c>
      <c r="CN107" s="20">
        <f t="shared" si="483"/>
        <v>12626.49881436</v>
      </c>
      <c r="CO107" s="20">
        <f t="shared" si="483"/>
        <v>869.73749999999995</v>
      </c>
      <c r="CP107" s="20">
        <f t="shared" si="483"/>
        <v>2029.3874999999998</v>
      </c>
      <c r="CQ107" s="20">
        <f t="shared" si="483"/>
        <v>2899.125</v>
      </c>
      <c r="CR107" s="20">
        <f t="shared" si="483"/>
        <v>729.59249999999997</v>
      </c>
      <c r="CS107" s="20">
        <f t="shared" si="483"/>
        <v>2918.37</v>
      </c>
      <c r="CT107" s="20">
        <f t="shared" si="483"/>
        <v>3647.9625000000001</v>
      </c>
      <c r="CU107" s="20">
        <f t="shared" si="483"/>
        <v>5896.2556960010652</v>
      </c>
      <c r="CV107" s="20">
        <f t="shared" si="483"/>
        <v>12958.716111048687</v>
      </c>
      <c r="CW107" s="20">
        <f t="shared" si="483"/>
        <v>25749.4040835983</v>
      </c>
      <c r="CX107" s="20">
        <f t="shared" si="483"/>
        <v>10295.631004925444</v>
      </c>
      <c r="CY107" s="20">
        <f t="shared" si="483"/>
        <v>20193.499110926125</v>
      </c>
      <c r="CZ107" s="20">
        <f t="shared" si="483"/>
        <v>28857.253410259502</v>
      </c>
      <c r="DA107" s="20">
        <f t="shared" si="483"/>
        <v>9886.1906206054409</v>
      </c>
      <c r="DB107" s="20">
        <f t="shared" si="483"/>
        <v>17628.057003098271</v>
      </c>
      <c r="DC107" s="20">
        <f t="shared" si="483"/>
        <v>30994.317124175508</v>
      </c>
      <c r="DD107" s="20">
        <f t="shared" si="483"/>
        <v>13309.013019026006</v>
      </c>
      <c r="DE107" s="20">
        <f t="shared" si="483"/>
        <v>35500.846332772679</v>
      </c>
      <c r="DF107" s="20">
        <f t="shared" si="483"/>
        <v>40769.773109835987</v>
      </c>
      <c r="DG107" s="20">
        <f t="shared" si="483"/>
        <v>27297.02720639652</v>
      </c>
      <c r="DH107" s="20">
        <f t="shared" si="483"/>
        <v>57657.094334952148</v>
      </c>
      <c r="DI107" s="20">
        <f t="shared" si="483"/>
        <v>112641.63550698178</v>
      </c>
      <c r="DJ107" s="20">
        <f t="shared" si="483"/>
        <v>48592.65848455736</v>
      </c>
      <c r="DK107" s="20">
        <f t="shared" ref="DK107:EP107" si="484">DK$105*DK83</f>
        <v>91141.561057874555</v>
      </c>
      <c r="DL107" s="20">
        <f t="shared" si="484"/>
        <v>128385.26178753025</v>
      </c>
      <c r="DM107" s="20">
        <f t="shared" si="484"/>
        <v>42498.703461441553</v>
      </c>
      <c r="DN107" s="20">
        <f t="shared" si="484"/>
        <v>75779.397335773931</v>
      </c>
      <c r="DO107" s="20">
        <f t="shared" si="484"/>
        <v>133238.20498714462</v>
      </c>
      <c r="DP107" s="20">
        <f t="shared" si="484"/>
        <v>50928.624531675101</v>
      </c>
      <c r="DQ107" s="20">
        <f t="shared" si="484"/>
        <v>146326.75910748827</v>
      </c>
      <c r="DR107" s="20">
        <f t="shared" si="484"/>
        <v>168976.79340803568</v>
      </c>
      <c r="DS107" s="20">
        <f t="shared" si="484"/>
        <v>45504.589569161886</v>
      </c>
      <c r="DT107" s="20">
        <f t="shared" si="484"/>
        <v>96115.316646921972</v>
      </c>
      <c r="DU107" s="20">
        <f t="shared" si="484"/>
        <v>187775.44358175484</v>
      </c>
      <c r="DV107" s="20">
        <f t="shared" si="484"/>
        <v>81004.754242838753</v>
      </c>
      <c r="DW107" s="20">
        <f t="shared" si="484"/>
        <v>151934.46880763027</v>
      </c>
      <c r="DX107" s="20">
        <f t="shared" si="484"/>
        <v>214020.32537088802</v>
      </c>
      <c r="DY107" s="20">
        <f t="shared" si="484"/>
        <v>70846.031826544422</v>
      </c>
      <c r="DZ107" s="20">
        <f t="shared" si="484"/>
        <v>126325.49132510614</v>
      </c>
      <c r="EA107" s="20">
        <f t="shared" si="484"/>
        <v>222110.26083643056</v>
      </c>
      <c r="EB107" s="20">
        <f t="shared" si="484"/>
        <v>84898.847743125938</v>
      </c>
      <c r="EC107" s="20">
        <f t="shared" si="484"/>
        <v>243929.0940301212</v>
      </c>
      <c r="ED107" s="20">
        <f t="shared" si="484"/>
        <v>281687.07063250832</v>
      </c>
      <c r="EE107" s="20">
        <f t="shared" si="484"/>
        <v>63802.051283268149</v>
      </c>
      <c r="EF107" s="20">
        <f t="shared" si="484"/>
        <v>134763.42540116704</v>
      </c>
      <c r="EG107" s="20">
        <f t="shared" si="484"/>
        <v>263280.22282087809</v>
      </c>
      <c r="EH107" s="20">
        <f t="shared" si="484"/>
        <v>113576.88385552716</v>
      </c>
      <c r="EI107" s="20">
        <f t="shared" si="484"/>
        <v>213027.5399106094</v>
      </c>
      <c r="EJ107" s="20">
        <f t="shared" si="484"/>
        <v>300078.20978631527</v>
      </c>
      <c r="EK107" s="20">
        <f t="shared" si="484"/>
        <v>99333.324365955516</v>
      </c>
      <c r="EL107" s="20">
        <f t="shared" si="484"/>
        <v>177121.15529925693</v>
      </c>
      <c r="EM107" s="20">
        <f t="shared" si="484"/>
        <v>311421.12008037209</v>
      </c>
      <c r="EN107" s="20">
        <f t="shared" si="484"/>
        <v>119036.79802153772</v>
      </c>
      <c r="EO107" s="20">
        <f t="shared" si="484"/>
        <v>342013.33786642877</v>
      </c>
      <c r="EP107" s="20">
        <f t="shared" si="484"/>
        <v>394953.85183099197</v>
      </c>
      <c r="EQ107" s="20">
        <f t="shared" ref="EQ107:FB107" si="485">EQ$105*EQ83</f>
        <v>86735.349262104122</v>
      </c>
      <c r="ER107" s="20">
        <f t="shared" si="485"/>
        <v>183203.40075011153</v>
      </c>
      <c r="ES107" s="20">
        <f t="shared" si="485"/>
        <v>357914.85729491018</v>
      </c>
      <c r="ET107" s="20">
        <f t="shared" si="485"/>
        <v>154401.47285505859</v>
      </c>
      <c r="EU107" s="20">
        <f t="shared" si="485"/>
        <v>289599.12267646892</v>
      </c>
      <c r="EV107" s="20">
        <f t="shared" si="485"/>
        <v>407939.67918377259</v>
      </c>
      <c r="EW107" s="20">
        <f t="shared" si="485"/>
        <v>135038.14389908919</v>
      </c>
      <c r="EX107" s="20">
        <f t="shared" si="485"/>
        <v>240786.38472580331</v>
      </c>
      <c r="EY107" s="20">
        <f t="shared" si="485"/>
        <v>423359.73647371319</v>
      </c>
      <c r="EZ107" s="20">
        <f t="shared" si="485"/>
        <v>161823.92327169946</v>
      </c>
      <c r="FA107" s="20">
        <f t="shared" si="485"/>
        <v>464948.15943201754</v>
      </c>
      <c r="FB107" s="20">
        <f t="shared" si="485"/>
        <v>536917.85125971423</v>
      </c>
    </row>
    <row r="108" spans="3:158" x14ac:dyDescent="0.25">
      <c r="C108" s="2" t="s">
        <v>299</v>
      </c>
      <c r="D108" s="244">
        <f t="shared" si="417"/>
        <v>0</v>
      </c>
      <c r="E108" s="244">
        <f t="shared" si="417"/>
        <v>0</v>
      </c>
      <c r="F108" s="244">
        <f t="shared" si="417"/>
        <v>21935.808464449998</v>
      </c>
      <c r="G108" s="244">
        <f t="shared" si="417"/>
        <v>47237.558091080005</v>
      </c>
      <c r="H108" s="244">
        <f t="shared" si="417"/>
        <v>224034.6281122427</v>
      </c>
      <c r="I108" s="244">
        <f t="shared" si="417"/>
        <v>452021.18588333903</v>
      </c>
      <c r="J108" s="244">
        <f t="shared" si="417"/>
        <v>653056.46411140775</v>
      </c>
      <c r="K108" s="244">
        <f t="shared" si="417"/>
        <v>915651.4190898838</v>
      </c>
      <c r="L108" s="244">
        <f t="shared" si="417"/>
        <v>6550470.4562453404</v>
      </c>
      <c r="N108" s="244">
        <f t="shared" si="418"/>
        <v>0</v>
      </c>
      <c r="O108" s="244">
        <f t="shared" si="419"/>
        <v>0</v>
      </c>
      <c r="P108" s="244">
        <f t="shared" si="420"/>
        <v>0</v>
      </c>
      <c r="Q108" s="244">
        <f t="shared" si="421"/>
        <v>0</v>
      </c>
      <c r="R108" s="244">
        <f t="shared" si="422"/>
        <v>0</v>
      </c>
      <c r="S108" s="244">
        <f t="shared" si="423"/>
        <v>0</v>
      </c>
      <c r="T108" s="244">
        <f t="shared" si="424"/>
        <v>0</v>
      </c>
      <c r="U108" s="244">
        <f t="shared" si="425"/>
        <v>0</v>
      </c>
      <c r="V108" s="244">
        <f t="shared" si="426"/>
        <v>3026.4186871800002</v>
      </c>
      <c r="W108" s="244">
        <f t="shared" si="427"/>
        <v>4637.2672047599999</v>
      </c>
      <c r="X108" s="244">
        <f t="shared" si="428"/>
        <v>6010.5076736199999</v>
      </c>
      <c r="Y108" s="244">
        <f t="shared" si="429"/>
        <v>8261.6148988900004</v>
      </c>
      <c r="Z108" s="244">
        <f t="shared" si="430"/>
        <v>16145.58339544</v>
      </c>
      <c r="AA108" s="244">
        <f t="shared" si="431"/>
        <v>22362.524695640001</v>
      </c>
      <c r="AB108" s="244">
        <f t="shared" si="432"/>
        <v>3865.5</v>
      </c>
      <c r="AC108" s="244">
        <f t="shared" si="433"/>
        <v>4863.95</v>
      </c>
      <c r="AD108" s="244">
        <f t="shared" si="434"/>
        <v>39648.334125020498</v>
      </c>
      <c r="AE108" s="244">
        <f t="shared" si="435"/>
        <v>52752.340912098734</v>
      </c>
      <c r="AF108" s="244">
        <f t="shared" si="436"/>
        <v>52007.613109225975</v>
      </c>
      <c r="AG108" s="244">
        <f t="shared" si="437"/>
        <v>79626.339965897496</v>
      </c>
      <c r="AH108" s="244">
        <f t="shared" si="438"/>
        <v>82436.971979796392</v>
      </c>
      <c r="AI108" s="244">
        <f t="shared" si="439"/>
        <v>111859.47765178689</v>
      </c>
      <c r="AJ108" s="244">
        <f t="shared" si="440"/>
        <v>104932.63095389114</v>
      </c>
      <c r="AK108" s="244">
        <f t="shared" si="441"/>
        <v>152792.10529786459</v>
      </c>
      <c r="AL108" s="244">
        <f t="shared" si="442"/>
        <v>119100.6065965046</v>
      </c>
      <c r="AM108" s="244">
        <f t="shared" si="443"/>
        <v>161608.69718942425</v>
      </c>
      <c r="AN108" s="244">
        <f t="shared" si="444"/>
        <v>151601.1529564487</v>
      </c>
      <c r="AO108" s="244">
        <f t="shared" si="445"/>
        <v>220746.00736903024</v>
      </c>
      <c r="AP108" s="244">
        <f t="shared" si="446"/>
        <v>166991.13390285848</v>
      </c>
      <c r="AQ108" s="244">
        <f t="shared" si="447"/>
        <v>226591.78960905218</v>
      </c>
      <c r="AR108" s="244">
        <f t="shared" si="448"/>
        <v>212560.19727040624</v>
      </c>
      <c r="AS108" s="244">
        <f t="shared" si="449"/>
        <v>309508.2983075669</v>
      </c>
      <c r="AT108" s="244">
        <f t="shared" si="450"/>
        <v>1194636.3717459664</v>
      </c>
      <c r="AU108" s="244">
        <f t="shared" si="451"/>
        <v>1621012.966852786</v>
      </c>
      <c r="AV108" s="244">
        <f t="shared" si="452"/>
        <v>1520632.4845511951</v>
      </c>
      <c r="AW108" s="244">
        <f t="shared" si="453"/>
        <v>2214188.6330953934</v>
      </c>
      <c r="AY108" s="20">
        <f t="shared" ref="AY108:CD108" si="486">AY$105*AY84</f>
        <v>0</v>
      </c>
      <c r="AZ108" s="20">
        <f t="shared" si="486"/>
        <v>0</v>
      </c>
      <c r="BA108" s="20">
        <f t="shared" si="486"/>
        <v>0</v>
      </c>
      <c r="BB108" s="20">
        <f t="shared" si="486"/>
        <v>0</v>
      </c>
      <c r="BC108" s="20">
        <f t="shared" si="486"/>
        <v>0</v>
      </c>
      <c r="BD108" s="20">
        <f t="shared" si="486"/>
        <v>0</v>
      </c>
      <c r="BE108" s="20">
        <f t="shared" si="486"/>
        <v>0</v>
      </c>
      <c r="BF108" s="20">
        <f t="shared" si="486"/>
        <v>0</v>
      </c>
      <c r="BG108" s="20">
        <f t="shared" si="486"/>
        <v>0</v>
      </c>
      <c r="BH108" s="20">
        <f t="shared" si="486"/>
        <v>0</v>
      </c>
      <c r="BI108" s="20">
        <f t="shared" si="486"/>
        <v>0</v>
      </c>
      <c r="BJ108" s="20">
        <f t="shared" si="486"/>
        <v>0</v>
      </c>
      <c r="BK108" s="20">
        <f t="shared" si="486"/>
        <v>0</v>
      </c>
      <c r="BL108" s="20">
        <f t="shared" si="486"/>
        <v>0</v>
      </c>
      <c r="BM108" s="20">
        <f t="shared" si="486"/>
        <v>0</v>
      </c>
      <c r="BN108" s="20">
        <f t="shared" si="486"/>
        <v>0</v>
      </c>
      <c r="BO108" s="20">
        <f t="shared" si="486"/>
        <v>0</v>
      </c>
      <c r="BP108" s="20">
        <f t="shared" si="486"/>
        <v>0</v>
      </c>
      <c r="BQ108" s="20">
        <f t="shared" si="486"/>
        <v>0</v>
      </c>
      <c r="BR108" s="20">
        <f t="shared" si="486"/>
        <v>0</v>
      </c>
      <c r="BS108" s="20">
        <f t="shared" si="486"/>
        <v>0</v>
      </c>
      <c r="BT108" s="20">
        <f t="shared" si="486"/>
        <v>0</v>
      </c>
      <c r="BU108" s="20">
        <f t="shared" si="486"/>
        <v>0</v>
      </c>
      <c r="BV108" s="20">
        <f t="shared" si="486"/>
        <v>0</v>
      </c>
      <c r="BW108" s="20">
        <f t="shared" si="486"/>
        <v>781.30000000000007</v>
      </c>
      <c r="BX108" s="20">
        <f t="shared" si="486"/>
        <v>818.95280000000002</v>
      </c>
      <c r="BY108" s="20">
        <f t="shared" si="486"/>
        <v>1426.1658871800003</v>
      </c>
      <c r="BZ108" s="20">
        <f t="shared" si="486"/>
        <v>903.93339487000003</v>
      </c>
      <c r="CA108" s="20">
        <f t="shared" si="486"/>
        <v>1117.74990989</v>
      </c>
      <c r="CB108" s="20">
        <f t="shared" si="486"/>
        <v>2615.5839000000001</v>
      </c>
      <c r="CC108" s="20">
        <f t="shared" si="486"/>
        <v>1263.7801717899999</v>
      </c>
      <c r="CD108" s="20">
        <f t="shared" si="486"/>
        <v>1159.47783516</v>
      </c>
      <c r="CE108" s="20">
        <f t="shared" ref="CE108:DJ108" si="487">CE$105*CE84</f>
        <v>3587.2496666699999</v>
      </c>
      <c r="CF108" s="20">
        <f t="shared" si="487"/>
        <v>2233.1449692300002</v>
      </c>
      <c r="CG108" s="20">
        <f t="shared" si="487"/>
        <v>3672.2207758200002</v>
      </c>
      <c r="CH108" s="20">
        <f t="shared" si="487"/>
        <v>2356.24915384</v>
      </c>
      <c r="CI108" s="20">
        <f t="shared" si="487"/>
        <v>4705.10868312</v>
      </c>
      <c r="CJ108" s="20">
        <f t="shared" si="487"/>
        <v>3926.6943855000004</v>
      </c>
      <c r="CK108" s="20">
        <f t="shared" si="487"/>
        <v>7513.7803268199996</v>
      </c>
      <c r="CL108" s="20">
        <f t="shared" si="487"/>
        <v>5982.1679998600002</v>
      </c>
      <c r="CM108" s="20">
        <f t="shared" si="487"/>
        <v>7962.690819540001</v>
      </c>
      <c r="CN108" s="20">
        <f t="shared" si="487"/>
        <v>8417.6658762400002</v>
      </c>
      <c r="CO108" s="20">
        <f t="shared" si="487"/>
        <v>579.82500000000005</v>
      </c>
      <c r="CP108" s="20">
        <f t="shared" si="487"/>
        <v>1352.925</v>
      </c>
      <c r="CQ108" s="20">
        <f t="shared" si="487"/>
        <v>1932.75</v>
      </c>
      <c r="CR108" s="20">
        <f t="shared" si="487"/>
        <v>486.39499999999998</v>
      </c>
      <c r="CS108" s="20">
        <f t="shared" si="487"/>
        <v>1945.58</v>
      </c>
      <c r="CT108" s="20">
        <f t="shared" si="487"/>
        <v>2431.9749999999999</v>
      </c>
      <c r="CU108" s="20">
        <f t="shared" si="487"/>
        <v>5241.1161742231698</v>
      </c>
      <c r="CV108" s="20">
        <f t="shared" si="487"/>
        <v>11518.858765376612</v>
      </c>
      <c r="CW108" s="20">
        <f t="shared" si="487"/>
        <v>22888.359185420712</v>
      </c>
      <c r="CX108" s="20">
        <f t="shared" si="487"/>
        <v>9151.6720043781734</v>
      </c>
      <c r="CY108" s="20">
        <f t="shared" si="487"/>
        <v>17949.776987489891</v>
      </c>
      <c r="CZ108" s="20">
        <f t="shared" si="487"/>
        <v>25650.891920230668</v>
      </c>
      <c r="DA108" s="20">
        <f t="shared" si="487"/>
        <v>8787.7249960937261</v>
      </c>
      <c r="DB108" s="20">
        <f t="shared" si="487"/>
        <v>15669.384002754017</v>
      </c>
      <c r="DC108" s="20">
        <f t="shared" si="487"/>
        <v>27550.504110378231</v>
      </c>
      <c r="DD108" s="20">
        <f t="shared" si="487"/>
        <v>11830.233794689784</v>
      </c>
      <c r="DE108" s="20">
        <f t="shared" si="487"/>
        <v>31556.307851353493</v>
      </c>
      <c r="DF108" s="20">
        <f t="shared" si="487"/>
        <v>36239.798319854213</v>
      </c>
      <c r="DG108" s="20">
        <f t="shared" si="487"/>
        <v>11388.322808951038</v>
      </c>
      <c r="DH108" s="20">
        <f t="shared" si="487"/>
        <v>24054.546216619216</v>
      </c>
      <c r="DI108" s="20">
        <f t="shared" si="487"/>
        <v>46994.102954226131</v>
      </c>
      <c r="DJ108" s="20">
        <f t="shared" si="487"/>
        <v>20272.862564227395</v>
      </c>
      <c r="DK108" s="20">
        <f t="shared" ref="DK108:EP108" si="488">DK$105*DK84</f>
        <v>38024.269485124503</v>
      </c>
      <c r="DL108" s="20">
        <f t="shared" si="488"/>
        <v>53562.345602434987</v>
      </c>
      <c r="DM108" s="20">
        <f t="shared" si="488"/>
        <v>17730.463845798124</v>
      </c>
      <c r="DN108" s="20">
        <f t="shared" si="488"/>
        <v>31615.173059040317</v>
      </c>
      <c r="DO108" s="20">
        <f t="shared" si="488"/>
        <v>55586.994049052701</v>
      </c>
      <c r="DP108" s="20">
        <f t="shared" si="488"/>
        <v>21247.427860813699</v>
      </c>
      <c r="DQ108" s="20">
        <f t="shared" si="488"/>
        <v>61047.540294541701</v>
      </c>
      <c r="DR108" s="20">
        <f t="shared" si="488"/>
        <v>70497.137142509193</v>
      </c>
      <c r="DS108" s="20">
        <f t="shared" si="488"/>
        <v>16453.250551164023</v>
      </c>
      <c r="DT108" s="20">
        <f t="shared" si="488"/>
        <v>34752.744757596556</v>
      </c>
      <c r="DU108" s="20">
        <f t="shared" si="488"/>
        <v>67894.611287744017</v>
      </c>
      <c r="DV108" s="20">
        <f t="shared" si="488"/>
        <v>29289.166873315033</v>
      </c>
      <c r="DW108" s="20">
        <f t="shared" si="488"/>
        <v>54935.467088446443</v>
      </c>
      <c r="DX108" s="20">
        <f t="shared" si="488"/>
        <v>77384.063227662758</v>
      </c>
      <c r="DY108" s="20">
        <f t="shared" si="488"/>
        <v>25616.042760395019</v>
      </c>
      <c r="DZ108" s="20">
        <f t="shared" si="488"/>
        <v>45675.941250098178</v>
      </c>
      <c r="EA108" s="20">
        <f t="shared" si="488"/>
        <v>80309.168945955505</v>
      </c>
      <c r="EB108" s="20">
        <f t="shared" si="488"/>
        <v>30697.167618657528</v>
      </c>
      <c r="EC108" s="20">
        <f t="shared" si="488"/>
        <v>88198.279311937833</v>
      </c>
      <c r="ED108" s="20">
        <f t="shared" si="488"/>
        <v>101850.56043843488</v>
      </c>
      <c r="EE108" s="20">
        <f t="shared" si="488"/>
        <v>23069.126551428901</v>
      </c>
      <c r="EF108" s="20">
        <f t="shared" si="488"/>
        <v>48726.874019783456</v>
      </c>
      <c r="EG108" s="20">
        <f t="shared" si="488"/>
        <v>95195.133331646139</v>
      </c>
      <c r="EH108" s="20">
        <f t="shared" si="488"/>
        <v>41066.383514023699</v>
      </c>
      <c r="EI108" s="20">
        <f t="shared" si="488"/>
        <v>77025.098383101533</v>
      </c>
      <c r="EJ108" s="20">
        <f t="shared" si="488"/>
        <v>108500.30771192694</v>
      </c>
      <c r="EK108" s="20">
        <f t="shared" si="488"/>
        <v>35916.290847741278</v>
      </c>
      <c r="EL108" s="20">
        <f t="shared" si="488"/>
        <v>64042.303724573132</v>
      </c>
      <c r="EM108" s="20">
        <f t="shared" si="488"/>
        <v>112601.60269809181</v>
      </c>
      <c r="EN108" s="20">
        <f t="shared" si="488"/>
        <v>43040.54340892144</v>
      </c>
      <c r="EO108" s="20">
        <f t="shared" si="488"/>
        <v>123662.93582768184</v>
      </c>
      <c r="EP108" s="20">
        <f t="shared" si="488"/>
        <v>142804.81907096365</v>
      </c>
      <c r="EQ108" s="20">
        <f t="shared" ref="EQ108:FB108" si="489">EQ$105*EQ84</f>
        <v>165034.01706811099</v>
      </c>
      <c r="ER108" s="20">
        <f t="shared" si="489"/>
        <v>348586.74604472809</v>
      </c>
      <c r="ES108" s="20">
        <f t="shared" si="489"/>
        <v>681015.60863312741</v>
      </c>
      <c r="ET108" s="20">
        <f t="shared" si="489"/>
        <v>293784.43187564862</v>
      </c>
      <c r="EU108" s="20">
        <f t="shared" si="489"/>
        <v>551029.15894500329</v>
      </c>
      <c r="EV108" s="20">
        <f t="shared" si="489"/>
        <v>776199.37603213417</v>
      </c>
      <c r="EW108" s="20">
        <f t="shared" si="489"/>
        <v>256941.23024446424</v>
      </c>
      <c r="EX108" s="20">
        <f t="shared" si="489"/>
        <v>458151.66093957296</v>
      </c>
      <c r="EY108" s="20">
        <f t="shared" si="489"/>
        <v>805539.59336715774</v>
      </c>
      <c r="EZ108" s="20">
        <f t="shared" si="489"/>
        <v>307907.35660205327</v>
      </c>
      <c r="FA108" s="20">
        <f t="shared" si="489"/>
        <v>884671.16501271492</v>
      </c>
      <c r="FB108" s="20">
        <f t="shared" si="489"/>
        <v>1021610.1114806252</v>
      </c>
    </row>
    <row r="109" spans="3:158" x14ac:dyDescent="0.25">
      <c r="C109" s="2" t="s">
        <v>300</v>
      </c>
      <c r="D109" s="244">
        <f t="shared" si="417"/>
        <v>0</v>
      </c>
      <c r="E109" s="244">
        <f t="shared" si="417"/>
        <v>0</v>
      </c>
      <c r="F109" s="244">
        <f t="shared" si="417"/>
        <v>0</v>
      </c>
      <c r="G109" s="244">
        <f t="shared" si="417"/>
        <v>0</v>
      </c>
      <c r="H109" s="244">
        <f t="shared" si="417"/>
        <v>0</v>
      </c>
      <c r="I109" s="244">
        <f t="shared" si="417"/>
        <v>0</v>
      </c>
      <c r="J109" s="244">
        <f t="shared" si="417"/>
        <v>0</v>
      </c>
      <c r="K109" s="244">
        <f t="shared" si="417"/>
        <v>0</v>
      </c>
      <c r="L109" s="244">
        <f t="shared" si="417"/>
        <v>1195308.6058311069</v>
      </c>
      <c r="N109" s="244">
        <f t="shared" si="418"/>
        <v>0</v>
      </c>
      <c r="O109" s="244">
        <f t="shared" si="419"/>
        <v>0</v>
      </c>
      <c r="P109" s="244">
        <f t="shared" si="420"/>
        <v>0</v>
      </c>
      <c r="Q109" s="244">
        <f t="shared" si="421"/>
        <v>0</v>
      </c>
      <c r="R109" s="244">
        <f t="shared" si="422"/>
        <v>0</v>
      </c>
      <c r="S109" s="244">
        <f t="shared" si="423"/>
        <v>0</v>
      </c>
      <c r="T109" s="244">
        <f t="shared" si="424"/>
        <v>0</v>
      </c>
      <c r="U109" s="244">
        <f t="shared" si="425"/>
        <v>0</v>
      </c>
      <c r="V109" s="244">
        <f t="shared" si="426"/>
        <v>0</v>
      </c>
      <c r="W109" s="244">
        <f t="shared" si="427"/>
        <v>0</v>
      </c>
      <c r="X109" s="244">
        <f t="shared" si="428"/>
        <v>0</v>
      </c>
      <c r="Y109" s="244">
        <f t="shared" si="429"/>
        <v>0</v>
      </c>
      <c r="Z109" s="244">
        <f t="shared" si="430"/>
        <v>0</v>
      </c>
      <c r="AA109" s="244">
        <f t="shared" si="431"/>
        <v>0</v>
      </c>
      <c r="AB109" s="244">
        <f t="shared" si="432"/>
        <v>0</v>
      </c>
      <c r="AC109" s="244">
        <f t="shared" si="433"/>
        <v>0</v>
      </c>
      <c r="AD109" s="244">
        <f t="shared" si="434"/>
        <v>0</v>
      </c>
      <c r="AE109" s="244">
        <f t="shared" si="435"/>
        <v>0</v>
      </c>
      <c r="AF109" s="244">
        <f t="shared" si="436"/>
        <v>0</v>
      </c>
      <c r="AG109" s="244">
        <f t="shared" si="437"/>
        <v>0</v>
      </c>
      <c r="AH109" s="244">
        <f t="shared" si="438"/>
        <v>0</v>
      </c>
      <c r="AI109" s="244">
        <f t="shared" si="439"/>
        <v>0</v>
      </c>
      <c r="AJ109" s="244">
        <f t="shared" si="440"/>
        <v>0</v>
      </c>
      <c r="AK109" s="244">
        <f t="shared" si="441"/>
        <v>0</v>
      </c>
      <c r="AL109" s="244">
        <f t="shared" si="442"/>
        <v>0</v>
      </c>
      <c r="AM109" s="244">
        <f t="shared" si="443"/>
        <v>0</v>
      </c>
      <c r="AN109" s="244">
        <f t="shared" si="444"/>
        <v>0</v>
      </c>
      <c r="AO109" s="244">
        <f t="shared" si="445"/>
        <v>0</v>
      </c>
      <c r="AP109" s="244">
        <f t="shared" si="446"/>
        <v>0</v>
      </c>
      <c r="AQ109" s="244">
        <f t="shared" si="447"/>
        <v>0</v>
      </c>
      <c r="AR109" s="244">
        <f t="shared" si="448"/>
        <v>0</v>
      </c>
      <c r="AS109" s="244">
        <f t="shared" si="449"/>
        <v>0</v>
      </c>
      <c r="AT109" s="244">
        <f t="shared" si="450"/>
        <v>217993.37093801569</v>
      </c>
      <c r="AU109" s="244">
        <f t="shared" si="451"/>
        <v>295797.18928364845</v>
      </c>
      <c r="AV109" s="244">
        <f t="shared" si="452"/>
        <v>277480.084404842</v>
      </c>
      <c r="AW109" s="244">
        <f t="shared" si="453"/>
        <v>404037.96120460087</v>
      </c>
      <c r="AY109" s="20">
        <f t="shared" ref="AY109:CD109" si="490">AY$105*AY85</f>
        <v>0</v>
      </c>
      <c r="AZ109" s="20">
        <f t="shared" si="490"/>
        <v>0</v>
      </c>
      <c r="BA109" s="20">
        <f t="shared" si="490"/>
        <v>0</v>
      </c>
      <c r="BB109" s="20">
        <f t="shared" si="490"/>
        <v>0</v>
      </c>
      <c r="BC109" s="20">
        <f t="shared" si="490"/>
        <v>0</v>
      </c>
      <c r="BD109" s="20">
        <f t="shared" si="490"/>
        <v>0</v>
      </c>
      <c r="BE109" s="20">
        <f t="shared" si="490"/>
        <v>0</v>
      </c>
      <c r="BF109" s="20">
        <f t="shared" si="490"/>
        <v>0</v>
      </c>
      <c r="BG109" s="20">
        <f t="shared" si="490"/>
        <v>0</v>
      </c>
      <c r="BH109" s="20">
        <f t="shared" si="490"/>
        <v>0</v>
      </c>
      <c r="BI109" s="20">
        <f t="shared" si="490"/>
        <v>0</v>
      </c>
      <c r="BJ109" s="20">
        <f t="shared" si="490"/>
        <v>0</v>
      </c>
      <c r="BK109" s="20">
        <f t="shared" si="490"/>
        <v>0</v>
      </c>
      <c r="BL109" s="20">
        <f t="shared" si="490"/>
        <v>0</v>
      </c>
      <c r="BM109" s="20">
        <f t="shared" si="490"/>
        <v>0</v>
      </c>
      <c r="BN109" s="20">
        <f t="shared" si="490"/>
        <v>0</v>
      </c>
      <c r="BO109" s="20">
        <f t="shared" si="490"/>
        <v>0</v>
      </c>
      <c r="BP109" s="20">
        <f t="shared" si="490"/>
        <v>0</v>
      </c>
      <c r="BQ109" s="20">
        <f t="shared" si="490"/>
        <v>0</v>
      </c>
      <c r="BR109" s="20">
        <f t="shared" si="490"/>
        <v>0</v>
      </c>
      <c r="BS109" s="20">
        <f t="shared" si="490"/>
        <v>0</v>
      </c>
      <c r="BT109" s="20">
        <f t="shared" si="490"/>
        <v>0</v>
      </c>
      <c r="BU109" s="20">
        <f t="shared" si="490"/>
        <v>0</v>
      </c>
      <c r="BV109" s="20">
        <f t="shared" si="490"/>
        <v>0</v>
      </c>
      <c r="BW109" s="20">
        <f t="shared" si="490"/>
        <v>0</v>
      </c>
      <c r="BX109" s="20">
        <f t="shared" si="490"/>
        <v>0</v>
      </c>
      <c r="BY109" s="20">
        <f t="shared" si="490"/>
        <v>0</v>
      </c>
      <c r="BZ109" s="20">
        <f t="shared" si="490"/>
        <v>0</v>
      </c>
      <c r="CA109" s="20">
        <f t="shared" si="490"/>
        <v>0</v>
      </c>
      <c r="CB109" s="20">
        <f t="shared" si="490"/>
        <v>0</v>
      </c>
      <c r="CC109" s="20">
        <f t="shared" si="490"/>
        <v>0</v>
      </c>
      <c r="CD109" s="20">
        <f t="shared" si="490"/>
        <v>0</v>
      </c>
      <c r="CE109" s="20">
        <f t="shared" ref="CE109:DJ109" si="491">CE$105*CE85</f>
        <v>0</v>
      </c>
      <c r="CF109" s="20">
        <f t="shared" si="491"/>
        <v>0</v>
      </c>
      <c r="CG109" s="20">
        <f t="shared" si="491"/>
        <v>0</v>
      </c>
      <c r="CH109" s="20">
        <f t="shared" si="491"/>
        <v>0</v>
      </c>
      <c r="CI109" s="20">
        <f t="shared" si="491"/>
        <v>0</v>
      </c>
      <c r="CJ109" s="20">
        <f t="shared" si="491"/>
        <v>0</v>
      </c>
      <c r="CK109" s="20">
        <f t="shared" si="491"/>
        <v>0</v>
      </c>
      <c r="CL109" s="20">
        <f t="shared" si="491"/>
        <v>0</v>
      </c>
      <c r="CM109" s="20">
        <f t="shared" si="491"/>
        <v>0</v>
      </c>
      <c r="CN109" s="20">
        <f t="shared" si="491"/>
        <v>0</v>
      </c>
      <c r="CO109" s="20">
        <f t="shared" si="491"/>
        <v>0</v>
      </c>
      <c r="CP109" s="20">
        <f t="shared" si="491"/>
        <v>0</v>
      </c>
      <c r="CQ109" s="20">
        <f t="shared" si="491"/>
        <v>0</v>
      </c>
      <c r="CR109" s="20">
        <f t="shared" si="491"/>
        <v>0</v>
      </c>
      <c r="CS109" s="20">
        <f t="shared" si="491"/>
        <v>0</v>
      </c>
      <c r="CT109" s="20">
        <f t="shared" si="491"/>
        <v>0</v>
      </c>
      <c r="CU109" s="20">
        <f t="shared" si="491"/>
        <v>0</v>
      </c>
      <c r="CV109" s="20">
        <f t="shared" si="491"/>
        <v>0</v>
      </c>
      <c r="CW109" s="20">
        <f t="shared" si="491"/>
        <v>0</v>
      </c>
      <c r="CX109" s="20">
        <f t="shared" si="491"/>
        <v>0</v>
      </c>
      <c r="CY109" s="20">
        <f t="shared" si="491"/>
        <v>0</v>
      </c>
      <c r="CZ109" s="20">
        <f t="shared" si="491"/>
        <v>0</v>
      </c>
      <c r="DA109" s="20">
        <f t="shared" si="491"/>
        <v>0</v>
      </c>
      <c r="DB109" s="20">
        <f t="shared" si="491"/>
        <v>0</v>
      </c>
      <c r="DC109" s="20">
        <f t="shared" si="491"/>
        <v>0</v>
      </c>
      <c r="DD109" s="20">
        <f t="shared" si="491"/>
        <v>0</v>
      </c>
      <c r="DE109" s="20">
        <f t="shared" si="491"/>
        <v>0</v>
      </c>
      <c r="DF109" s="20">
        <f t="shared" si="491"/>
        <v>0</v>
      </c>
      <c r="DG109" s="20">
        <f t="shared" si="491"/>
        <v>0</v>
      </c>
      <c r="DH109" s="20">
        <f t="shared" si="491"/>
        <v>0</v>
      </c>
      <c r="DI109" s="20">
        <f t="shared" si="491"/>
        <v>0</v>
      </c>
      <c r="DJ109" s="20">
        <f t="shared" si="491"/>
        <v>0</v>
      </c>
      <c r="DK109" s="20">
        <f t="shared" ref="DK109:EP109" si="492">DK$105*DK85</f>
        <v>0</v>
      </c>
      <c r="DL109" s="20">
        <f t="shared" si="492"/>
        <v>0</v>
      </c>
      <c r="DM109" s="20">
        <f t="shared" si="492"/>
        <v>0</v>
      </c>
      <c r="DN109" s="20">
        <f t="shared" si="492"/>
        <v>0</v>
      </c>
      <c r="DO109" s="20">
        <f t="shared" si="492"/>
        <v>0</v>
      </c>
      <c r="DP109" s="20">
        <f t="shared" si="492"/>
        <v>0</v>
      </c>
      <c r="DQ109" s="20">
        <f t="shared" si="492"/>
        <v>0</v>
      </c>
      <c r="DR109" s="20">
        <f t="shared" si="492"/>
        <v>0</v>
      </c>
      <c r="DS109" s="20">
        <f t="shared" si="492"/>
        <v>0</v>
      </c>
      <c r="DT109" s="20">
        <f t="shared" si="492"/>
        <v>0</v>
      </c>
      <c r="DU109" s="20">
        <f t="shared" si="492"/>
        <v>0</v>
      </c>
      <c r="DV109" s="20">
        <f t="shared" si="492"/>
        <v>0</v>
      </c>
      <c r="DW109" s="20">
        <f t="shared" si="492"/>
        <v>0</v>
      </c>
      <c r="DX109" s="20">
        <f t="shared" si="492"/>
        <v>0</v>
      </c>
      <c r="DY109" s="20">
        <f t="shared" si="492"/>
        <v>0</v>
      </c>
      <c r="DZ109" s="20">
        <f t="shared" si="492"/>
        <v>0</v>
      </c>
      <c r="EA109" s="20">
        <f t="shared" si="492"/>
        <v>0</v>
      </c>
      <c r="EB109" s="20">
        <f t="shared" si="492"/>
        <v>0</v>
      </c>
      <c r="EC109" s="20">
        <f t="shared" si="492"/>
        <v>0</v>
      </c>
      <c r="ED109" s="20">
        <f t="shared" si="492"/>
        <v>0</v>
      </c>
      <c r="EE109" s="20">
        <f t="shared" si="492"/>
        <v>0</v>
      </c>
      <c r="EF109" s="20">
        <f t="shared" si="492"/>
        <v>0</v>
      </c>
      <c r="EG109" s="20">
        <f t="shared" si="492"/>
        <v>0</v>
      </c>
      <c r="EH109" s="20">
        <f t="shared" si="492"/>
        <v>0</v>
      </c>
      <c r="EI109" s="20">
        <f t="shared" si="492"/>
        <v>0</v>
      </c>
      <c r="EJ109" s="20">
        <f t="shared" si="492"/>
        <v>0</v>
      </c>
      <c r="EK109" s="20">
        <f t="shared" si="492"/>
        <v>0</v>
      </c>
      <c r="EL109" s="20">
        <f t="shared" si="492"/>
        <v>0</v>
      </c>
      <c r="EM109" s="20">
        <f t="shared" si="492"/>
        <v>0</v>
      </c>
      <c r="EN109" s="20">
        <f t="shared" si="492"/>
        <v>0</v>
      </c>
      <c r="EO109" s="20">
        <f t="shared" si="492"/>
        <v>0</v>
      </c>
      <c r="EP109" s="20">
        <f t="shared" si="492"/>
        <v>0</v>
      </c>
      <c r="EQ109" s="20">
        <f t="shared" ref="EQ109:FB109" si="493">EQ$105*EQ85</f>
        <v>30114.872233079572</v>
      </c>
      <c r="ER109" s="20">
        <f t="shared" si="493"/>
        <v>63608.978959467924</v>
      </c>
      <c r="ES109" s="20">
        <f t="shared" si="493"/>
        <v>124269.51974546818</v>
      </c>
      <c r="ET109" s="20">
        <f t="shared" si="493"/>
        <v>53608.830392534619</v>
      </c>
      <c r="EU109" s="20">
        <f t="shared" si="493"/>
        <v>100550.01394943628</v>
      </c>
      <c r="EV109" s="20">
        <f t="shared" si="493"/>
        <v>141638.34494167755</v>
      </c>
      <c r="EW109" s="20">
        <f t="shared" si="493"/>
        <v>46885.80244052886</v>
      </c>
      <c r="EX109" s="20">
        <f t="shared" si="493"/>
        <v>83602.029312988321</v>
      </c>
      <c r="EY109" s="20">
        <f t="shared" si="493"/>
        <v>146992.25265132484</v>
      </c>
      <c r="EZ109" s="20">
        <f t="shared" si="493"/>
        <v>56185.935896289935</v>
      </c>
      <c r="FA109" s="20">
        <f t="shared" si="493"/>
        <v>161431.92522334517</v>
      </c>
      <c r="FB109" s="20">
        <f t="shared" si="493"/>
        <v>186420.10008496579</v>
      </c>
    </row>
    <row r="111" spans="3:158" s="1" customFormat="1" x14ac:dyDescent="0.25">
      <c r="C111" s="304" t="s">
        <v>646</v>
      </c>
      <c r="D111" s="22">
        <f t="shared" si="417"/>
        <v>-94675.41</v>
      </c>
      <c r="E111" s="22">
        <f t="shared" si="417"/>
        <v>-188897.5</v>
      </c>
      <c r="F111" s="22">
        <f t="shared" si="417"/>
        <v>-510444.66230800003</v>
      </c>
      <c r="G111" s="22">
        <f t="shared" si="417"/>
        <v>-650085.40134785243</v>
      </c>
      <c r="H111" s="22">
        <f t="shared" si="417"/>
        <v>-1052948.2956437089</v>
      </c>
      <c r="I111" s="22">
        <f t="shared" si="417"/>
        <v>-1683811.4317105005</v>
      </c>
      <c r="J111" s="22">
        <f t="shared" si="417"/>
        <v>-2377736.6491556466</v>
      </c>
      <c r="K111" s="22">
        <f t="shared" si="417"/>
        <v>-3288485.2070787</v>
      </c>
      <c r="L111" s="22">
        <f t="shared" si="417"/>
        <v>-4451540.0587274004</v>
      </c>
      <c r="N111" s="22">
        <f t="shared" si="418"/>
        <v>-22049.4</v>
      </c>
      <c r="O111" s="22">
        <f t="shared" si="419"/>
        <v>-11000</v>
      </c>
      <c r="P111" s="22">
        <f t="shared" si="420"/>
        <v>-12626</v>
      </c>
      <c r="Q111" s="22">
        <f t="shared" si="421"/>
        <v>-49000.01</v>
      </c>
      <c r="R111" s="22">
        <f t="shared" si="422"/>
        <v>-68050.5</v>
      </c>
      <c r="S111" s="22">
        <f t="shared" si="423"/>
        <v>-34819</v>
      </c>
      <c r="T111" s="22">
        <f t="shared" si="424"/>
        <v>-39635</v>
      </c>
      <c r="U111" s="22">
        <f t="shared" si="425"/>
        <v>-46393</v>
      </c>
      <c r="V111" s="22">
        <f t="shared" si="426"/>
        <v>-102463.13</v>
      </c>
      <c r="W111" s="22">
        <f t="shared" si="427"/>
        <v>-92597.39230800001</v>
      </c>
      <c r="X111" s="22">
        <f t="shared" si="428"/>
        <v>-67657.820000000007</v>
      </c>
      <c r="Y111" s="22">
        <f t="shared" si="429"/>
        <v>-247726.31999999998</v>
      </c>
      <c r="Z111" s="22">
        <f t="shared" si="430"/>
        <v>-186557.249412</v>
      </c>
      <c r="AA111" s="22">
        <f t="shared" si="431"/>
        <v>-107671.763766</v>
      </c>
      <c r="AB111" s="22">
        <f t="shared" si="432"/>
        <v>-150574.51859129546</v>
      </c>
      <c r="AC111" s="22">
        <f t="shared" si="433"/>
        <v>-205281.86957855683</v>
      </c>
      <c r="AD111" s="22">
        <f t="shared" si="434"/>
        <v>-216653.44854578315</v>
      </c>
      <c r="AE111" s="22">
        <f t="shared" si="435"/>
        <v>-244031.34587682824</v>
      </c>
      <c r="AF111" s="22">
        <f t="shared" si="436"/>
        <v>-223660.96272889775</v>
      </c>
      <c r="AG111" s="22">
        <f t="shared" si="437"/>
        <v>-368602.53849219985</v>
      </c>
      <c r="AH111" s="22">
        <f t="shared" si="438"/>
        <v>-346459.13278949133</v>
      </c>
      <c r="AI111" s="22">
        <f t="shared" si="439"/>
        <v>-390240.21557668352</v>
      </c>
      <c r="AJ111" s="22">
        <f t="shared" si="440"/>
        <v>-357665.12698523526</v>
      </c>
      <c r="AK111" s="22">
        <f t="shared" si="441"/>
        <v>-589446.95635909028</v>
      </c>
      <c r="AL111" s="22">
        <f t="shared" si="442"/>
        <v>-489240.3994617202</v>
      </c>
      <c r="AM111" s="22">
        <f t="shared" si="443"/>
        <v>-551064.3561841629</v>
      </c>
      <c r="AN111" s="22">
        <f t="shared" si="444"/>
        <v>-505064.56040257961</v>
      </c>
      <c r="AO111" s="22">
        <f t="shared" si="445"/>
        <v>-832367.33310718357</v>
      </c>
      <c r="AP111" s="22">
        <f t="shared" si="446"/>
        <v>-676634.99105607858</v>
      </c>
      <c r="AQ111" s="22">
        <f t="shared" si="447"/>
        <v>-762139.48424586165</v>
      </c>
      <c r="AR111" s="22">
        <f t="shared" si="448"/>
        <v>-698520.30757627753</v>
      </c>
      <c r="AS111" s="22">
        <f t="shared" si="449"/>
        <v>-1151190.4242004824</v>
      </c>
      <c r="AT111" s="22">
        <f t="shared" si="450"/>
        <v>-915943.83983820211</v>
      </c>
      <c r="AU111" s="22">
        <f t="shared" si="451"/>
        <v>-1031689.1306536137</v>
      </c>
      <c r="AV111" s="22">
        <f t="shared" si="452"/>
        <v>-945569.44465402537</v>
      </c>
      <c r="AW111" s="22">
        <f t="shared" si="453"/>
        <v>-1558337.643581559</v>
      </c>
      <c r="AY111" s="49">
        <f t="shared" ref="AY111:CD111" si="494">AY45</f>
        <v>0</v>
      </c>
      <c r="AZ111" s="49">
        <f t="shared" si="494"/>
        <v>-1050</v>
      </c>
      <c r="BA111" s="49">
        <f t="shared" si="494"/>
        <v>-20999.4</v>
      </c>
      <c r="BB111" s="49">
        <f t="shared" si="494"/>
        <v>-6000</v>
      </c>
      <c r="BC111" s="49">
        <f t="shared" si="494"/>
        <v>-3500</v>
      </c>
      <c r="BD111" s="49">
        <f t="shared" si="494"/>
        <v>-1500</v>
      </c>
      <c r="BE111" s="49">
        <f t="shared" si="494"/>
        <v>0</v>
      </c>
      <c r="BF111" s="49">
        <f t="shared" si="494"/>
        <v>-1</v>
      </c>
      <c r="BG111" s="49">
        <f t="shared" si="494"/>
        <v>-12625</v>
      </c>
      <c r="BH111" s="49">
        <f t="shared" si="494"/>
        <v>0</v>
      </c>
      <c r="BI111" s="49">
        <f t="shared" si="494"/>
        <v>0</v>
      </c>
      <c r="BJ111" s="49">
        <f t="shared" si="494"/>
        <v>-49000.01</v>
      </c>
      <c r="BK111" s="49">
        <f t="shared" si="494"/>
        <v>-16400</v>
      </c>
      <c r="BL111" s="49">
        <f t="shared" si="494"/>
        <v>-0.5</v>
      </c>
      <c r="BM111" s="49">
        <f t="shared" si="494"/>
        <v>-51650</v>
      </c>
      <c r="BN111" s="49">
        <f t="shared" si="494"/>
        <v>-24519</v>
      </c>
      <c r="BO111" s="49">
        <f t="shared" si="494"/>
        <v>0</v>
      </c>
      <c r="BP111" s="49">
        <f t="shared" si="494"/>
        <v>-10300</v>
      </c>
      <c r="BQ111" s="49">
        <f t="shared" si="494"/>
        <v>-6920</v>
      </c>
      <c r="BR111" s="49">
        <f t="shared" si="494"/>
        <v>-4500</v>
      </c>
      <c r="BS111" s="49">
        <f t="shared" si="494"/>
        <v>-28215</v>
      </c>
      <c r="BT111" s="49">
        <f t="shared" si="494"/>
        <v>0</v>
      </c>
      <c r="BU111" s="49">
        <f t="shared" si="494"/>
        <v>-6500</v>
      </c>
      <c r="BV111" s="49">
        <f t="shared" si="494"/>
        <v>-39893</v>
      </c>
      <c r="BW111" s="49">
        <f t="shared" si="494"/>
        <v>-21677</v>
      </c>
      <c r="BX111" s="49">
        <f t="shared" si="494"/>
        <v>-34500</v>
      </c>
      <c r="BY111" s="49">
        <f t="shared" si="494"/>
        <v>-46286.13</v>
      </c>
      <c r="BZ111" s="49">
        <f t="shared" si="494"/>
        <v>-42533.837692000001</v>
      </c>
      <c r="CA111" s="49">
        <f t="shared" si="494"/>
        <v>-49563.554616000001</v>
      </c>
      <c r="CB111" s="49">
        <f t="shared" si="494"/>
        <v>-500</v>
      </c>
      <c r="CC111" s="49">
        <f t="shared" si="494"/>
        <v>-24383.33</v>
      </c>
      <c r="CD111" s="49">
        <f t="shared" si="494"/>
        <v>-20190</v>
      </c>
      <c r="CE111" s="49">
        <f t="shared" ref="CE111:DJ111" si="495">CE45</f>
        <v>-23084.49</v>
      </c>
      <c r="CF111" s="49">
        <f t="shared" si="495"/>
        <v>-36049.99</v>
      </c>
      <c r="CG111" s="49">
        <f t="shared" si="495"/>
        <v>-155911.32999999999</v>
      </c>
      <c r="CH111" s="49">
        <f t="shared" si="495"/>
        <v>-55765</v>
      </c>
      <c r="CI111" s="49">
        <f t="shared" si="495"/>
        <v>-55331.402941</v>
      </c>
      <c r="CJ111" s="49">
        <f t="shared" si="495"/>
        <v>-44150</v>
      </c>
      <c r="CK111" s="49">
        <f t="shared" si="495"/>
        <v>-87075.846470999997</v>
      </c>
      <c r="CL111" s="49">
        <f t="shared" si="495"/>
        <v>-17490.400000000001</v>
      </c>
      <c r="CM111" s="49">
        <f t="shared" si="495"/>
        <v>-44790.363766000002</v>
      </c>
      <c r="CN111" s="49">
        <f t="shared" si="495"/>
        <v>-45391</v>
      </c>
      <c r="CO111" s="49">
        <f t="shared" si="495"/>
        <v>-26696.519825506879</v>
      </c>
      <c r="CP111" s="49">
        <f t="shared" si="495"/>
        <v>-41849.712731998516</v>
      </c>
      <c r="CQ111" s="49">
        <f t="shared" si="495"/>
        <v>-82028.286033790078</v>
      </c>
      <c r="CR111" s="49">
        <f t="shared" si="495"/>
        <v>-36567.587490119142</v>
      </c>
      <c r="CS111" s="49">
        <f t="shared" si="495"/>
        <v>-70554.338046361823</v>
      </c>
      <c r="CT111" s="49">
        <f t="shared" si="495"/>
        <v>-98159.944042075862</v>
      </c>
      <c r="CU111" s="49">
        <f t="shared" si="495"/>
        <v>-46893.678024533045</v>
      </c>
      <c r="CV111" s="49">
        <f t="shared" si="495"/>
        <v>-59310.1519554439</v>
      </c>
      <c r="CW111" s="49">
        <f t="shared" si="495"/>
        <v>-110449.6185658062</v>
      </c>
      <c r="CX111" s="49">
        <f t="shared" si="495"/>
        <v>-73235.282645670304</v>
      </c>
      <c r="CY111" s="49">
        <f t="shared" si="495"/>
        <v>-59999.61665839138</v>
      </c>
      <c r="CZ111" s="49">
        <f t="shared" si="495"/>
        <v>-110796.44657276654</v>
      </c>
      <c r="DA111" s="49">
        <f t="shared" si="495"/>
        <v>-73862.922726678982</v>
      </c>
      <c r="DB111" s="49">
        <f t="shared" si="495"/>
        <v>-57941.317232469373</v>
      </c>
      <c r="DC111" s="49">
        <f t="shared" si="495"/>
        <v>-91856.722769749424</v>
      </c>
      <c r="DD111" s="49">
        <f t="shared" si="495"/>
        <v>-72613.896913082615</v>
      </c>
      <c r="DE111" s="49">
        <f t="shared" si="495"/>
        <v>-152617.42579419608</v>
      </c>
      <c r="DF111" s="49">
        <f t="shared" si="495"/>
        <v>-143371.21578492114</v>
      </c>
      <c r="DG111" s="49">
        <f t="shared" si="495"/>
        <v>-74989.542657827056</v>
      </c>
      <c r="DH111" s="49">
        <f t="shared" si="495"/>
        <v>-94845.219173853751</v>
      </c>
      <c r="DI111" s="49">
        <f t="shared" si="495"/>
        <v>-176624.37095781055</v>
      </c>
      <c r="DJ111" s="49">
        <f t="shared" si="495"/>
        <v>-117113.44862184548</v>
      </c>
      <c r="DK111" s="49">
        <f t="shared" ref="DK111:EP111" si="496">DK45</f>
        <v>-95947.769558698739</v>
      </c>
      <c r="DL111" s="49">
        <f t="shared" si="496"/>
        <v>-177178.99739613928</v>
      </c>
      <c r="DM111" s="49">
        <f t="shared" si="496"/>
        <v>-118117.13279871763</v>
      </c>
      <c r="DN111" s="49">
        <f t="shared" si="496"/>
        <v>-92656.261212477548</v>
      </c>
      <c r="DO111" s="49">
        <f t="shared" si="496"/>
        <v>-146891.73297404006</v>
      </c>
      <c r="DP111" s="49">
        <f t="shared" si="496"/>
        <v>-116119.76602189094</v>
      </c>
      <c r="DQ111" s="49">
        <f t="shared" si="496"/>
        <v>-244056.58596312645</v>
      </c>
      <c r="DR111" s="49">
        <f t="shared" si="496"/>
        <v>-229270.60437407292</v>
      </c>
      <c r="DS111" s="49">
        <f t="shared" si="496"/>
        <v>-105893.91455776288</v>
      </c>
      <c r="DT111" s="49">
        <f t="shared" si="496"/>
        <v>-133932.42816850363</v>
      </c>
      <c r="DU111" s="49">
        <f t="shared" si="496"/>
        <v>-249414.05673545369</v>
      </c>
      <c r="DV111" s="49">
        <f t="shared" si="496"/>
        <v>-165377.74578136113</v>
      </c>
      <c r="DW111" s="49">
        <f t="shared" si="496"/>
        <v>-135489.35693630722</v>
      </c>
      <c r="DX111" s="49">
        <f t="shared" si="496"/>
        <v>-250197.25346649459</v>
      </c>
      <c r="DY111" s="49">
        <f t="shared" si="496"/>
        <v>-166795.06401936727</v>
      </c>
      <c r="DZ111" s="49">
        <f t="shared" si="496"/>
        <v>-130841.36614682706</v>
      </c>
      <c r="EA111" s="49">
        <f t="shared" si="496"/>
        <v>-207428.13023638524</v>
      </c>
      <c r="EB111" s="49">
        <f t="shared" si="496"/>
        <v>-163974.55092768322</v>
      </c>
      <c r="EC111" s="49">
        <f t="shared" si="496"/>
        <v>-344636.14985843812</v>
      </c>
      <c r="ED111" s="49">
        <f t="shared" si="496"/>
        <v>-323756.63232106226</v>
      </c>
      <c r="EE111" s="49">
        <f t="shared" si="496"/>
        <v>-146454.64276563955</v>
      </c>
      <c r="EF111" s="49">
        <f t="shared" si="496"/>
        <v>-185232.79646493099</v>
      </c>
      <c r="EG111" s="49">
        <f t="shared" si="496"/>
        <v>-344947.55182550807</v>
      </c>
      <c r="EH111" s="49">
        <f t="shared" si="496"/>
        <v>-228722.6681622419</v>
      </c>
      <c r="EI111" s="49">
        <f t="shared" si="496"/>
        <v>-187386.07833624983</v>
      </c>
      <c r="EJ111" s="49">
        <f t="shared" si="496"/>
        <v>-346030.73774736986</v>
      </c>
      <c r="EK111" s="49">
        <f t="shared" si="496"/>
        <v>-230682.86424243494</v>
      </c>
      <c r="EL111" s="49">
        <f t="shared" si="496"/>
        <v>-180957.75964112801</v>
      </c>
      <c r="EM111" s="49">
        <f t="shared" si="496"/>
        <v>-286879.68369271461</v>
      </c>
      <c r="EN111" s="49">
        <f t="shared" si="496"/>
        <v>-226782.00517056562</v>
      </c>
      <c r="EO111" s="49">
        <f t="shared" si="496"/>
        <v>-476642.72703896242</v>
      </c>
      <c r="EP111" s="49">
        <f t="shared" si="496"/>
        <v>-447765.69199095434</v>
      </c>
      <c r="EQ111" s="49">
        <f t="shared" ref="EQ111:FB111" si="497">EQ45</f>
        <v>-198251.98168886063</v>
      </c>
      <c r="ER111" s="49">
        <f t="shared" si="497"/>
        <v>-250744.99708217962</v>
      </c>
      <c r="ES111" s="49">
        <f t="shared" si="497"/>
        <v>-466946.8610671619</v>
      </c>
      <c r="ET111" s="49">
        <f t="shared" si="497"/>
        <v>-309616.14711586788</v>
      </c>
      <c r="EU111" s="49">
        <f t="shared" si="497"/>
        <v>-253659.84081852177</v>
      </c>
      <c r="EV111" s="49">
        <f t="shared" si="497"/>
        <v>-468413.14271922415</v>
      </c>
      <c r="EW111" s="49">
        <f t="shared" si="497"/>
        <v>-312269.61545294797</v>
      </c>
      <c r="EX111" s="49">
        <f t="shared" si="497"/>
        <v>-244957.98680987276</v>
      </c>
      <c r="EY111" s="49">
        <f t="shared" si="497"/>
        <v>-388341.84239120473</v>
      </c>
      <c r="EZ111" s="49">
        <f t="shared" si="497"/>
        <v>-306989.12023147114</v>
      </c>
      <c r="FA111" s="49">
        <f t="shared" si="497"/>
        <v>-645219.32120834745</v>
      </c>
      <c r="FB111" s="49">
        <f t="shared" si="497"/>
        <v>-606129.20214174036</v>
      </c>
    </row>
    <row r="112" spans="3:158" x14ac:dyDescent="0.25">
      <c r="C112" s="2" t="s">
        <v>346</v>
      </c>
      <c r="D112" s="244">
        <f t="shared" si="417"/>
        <v>-89941.639500000005</v>
      </c>
      <c r="E112" s="244">
        <f t="shared" si="417"/>
        <v>-179452.625</v>
      </c>
      <c r="F112" s="244">
        <f t="shared" si="417"/>
        <v>-484922.42919259996</v>
      </c>
      <c r="G112" s="244">
        <f t="shared" si="417"/>
        <v>-634725.6073549412</v>
      </c>
      <c r="H112" s="244">
        <f t="shared" si="417"/>
        <v>-1015187.8680055322</v>
      </c>
      <c r="I112" s="244">
        <f t="shared" si="417"/>
        <v>-1589944.7436488317</v>
      </c>
      <c r="J112" s="244">
        <f t="shared" si="417"/>
        <v>-2125446.781274043</v>
      </c>
      <c r="K112" s="244">
        <f t="shared" si="417"/>
        <v>-2817309.0222246833</v>
      </c>
      <c r="L112" s="244">
        <f t="shared" si="417"/>
        <v>-3714635.8125495631</v>
      </c>
      <c r="N112" s="244">
        <f t="shared" si="418"/>
        <v>-20946.93</v>
      </c>
      <c r="O112" s="244">
        <f t="shared" si="419"/>
        <v>-10450</v>
      </c>
      <c r="P112" s="244">
        <f t="shared" si="420"/>
        <v>-11994.7</v>
      </c>
      <c r="Q112" s="244">
        <f t="shared" si="421"/>
        <v>-46550.0095</v>
      </c>
      <c r="R112" s="244">
        <f t="shared" si="422"/>
        <v>-64647.974999999999</v>
      </c>
      <c r="S112" s="244">
        <f t="shared" si="423"/>
        <v>-33078.050000000003</v>
      </c>
      <c r="T112" s="244">
        <f t="shared" si="424"/>
        <v>-37653.25</v>
      </c>
      <c r="U112" s="244">
        <f t="shared" si="425"/>
        <v>-44073.35</v>
      </c>
      <c r="V112" s="244">
        <f t="shared" si="426"/>
        <v>-97339.973499999993</v>
      </c>
      <c r="W112" s="244">
        <f t="shared" si="427"/>
        <v>-87967.522692600003</v>
      </c>
      <c r="X112" s="244">
        <f t="shared" si="428"/>
        <v>-64274.929000000004</v>
      </c>
      <c r="Y112" s="244">
        <f t="shared" si="429"/>
        <v>-235340.00399999996</v>
      </c>
      <c r="Z112" s="244">
        <f t="shared" si="430"/>
        <v>-182149.39636236784</v>
      </c>
      <c r="AA112" s="244">
        <f t="shared" si="431"/>
        <v>-105127.76553612095</v>
      </c>
      <c r="AB112" s="244">
        <f t="shared" si="432"/>
        <v>-147016.84204395438</v>
      </c>
      <c r="AC112" s="244">
        <f t="shared" si="433"/>
        <v>-200431.60341249793</v>
      </c>
      <c r="AD112" s="244">
        <f t="shared" si="434"/>
        <v>-208883.90572946361</v>
      </c>
      <c r="AE112" s="244">
        <f t="shared" si="435"/>
        <v>-235279.98741454445</v>
      </c>
      <c r="AF112" s="244">
        <f t="shared" si="436"/>
        <v>-215640.11912855139</v>
      </c>
      <c r="AG112" s="244">
        <f t="shared" si="437"/>
        <v>-355383.85573297285</v>
      </c>
      <c r="AH112" s="244">
        <f t="shared" si="438"/>
        <v>-327145.22938486183</v>
      </c>
      <c r="AI112" s="244">
        <f t="shared" si="439"/>
        <v>-368485.66759416752</v>
      </c>
      <c r="AJ112" s="244">
        <f t="shared" si="440"/>
        <v>-337726.52799903206</v>
      </c>
      <c r="AK112" s="244">
        <f t="shared" si="441"/>
        <v>-556587.31867077004</v>
      </c>
      <c r="AL112" s="244">
        <f t="shared" si="442"/>
        <v>-437329.52203701832</v>
      </c>
      <c r="AM112" s="244">
        <f t="shared" si="443"/>
        <v>-492593.64469248732</v>
      </c>
      <c r="AN112" s="244">
        <f t="shared" si="444"/>
        <v>-451474.65957782022</v>
      </c>
      <c r="AO112" s="244">
        <f t="shared" si="445"/>
        <v>-744048.95496671717</v>
      </c>
      <c r="AP112" s="244">
        <f t="shared" si="446"/>
        <v>-579686.31300265028</v>
      </c>
      <c r="AQ112" s="244">
        <f t="shared" si="447"/>
        <v>-652939.66977183567</v>
      </c>
      <c r="AR112" s="244">
        <f t="shared" si="448"/>
        <v>-598435.88789928553</v>
      </c>
      <c r="AS112" s="244">
        <f t="shared" si="449"/>
        <v>-986247.1515509123</v>
      </c>
      <c r="AT112" s="244">
        <f t="shared" si="450"/>
        <v>-764319.25690000854</v>
      </c>
      <c r="AU112" s="244">
        <f t="shared" si="451"/>
        <v>-860904.16835193569</v>
      </c>
      <c r="AV112" s="244">
        <f t="shared" si="452"/>
        <v>-789040.66368630598</v>
      </c>
      <c r="AW112" s="244">
        <f t="shared" si="453"/>
        <v>-1300371.7236113132</v>
      </c>
      <c r="AY112" s="20">
        <f t="shared" ref="AY112:CD112" si="498">AY$111*AY88</f>
        <v>0</v>
      </c>
      <c r="AZ112" s="20">
        <f t="shared" si="498"/>
        <v>-997.5</v>
      </c>
      <c r="BA112" s="20">
        <f t="shared" si="498"/>
        <v>-19949.43</v>
      </c>
      <c r="BB112" s="20">
        <f t="shared" si="498"/>
        <v>-5700</v>
      </c>
      <c r="BC112" s="20">
        <f t="shared" si="498"/>
        <v>-3325</v>
      </c>
      <c r="BD112" s="20">
        <f t="shared" si="498"/>
        <v>-1425</v>
      </c>
      <c r="BE112" s="20">
        <f t="shared" si="498"/>
        <v>0</v>
      </c>
      <c r="BF112" s="20">
        <f t="shared" si="498"/>
        <v>-0.95</v>
      </c>
      <c r="BG112" s="20">
        <f t="shared" si="498"/>
        <v>-11993.75</v>
      </c>
      <c r="BH112" s="20">
        <f t="shared" si="498"/>
        <v>0</v>
      </c>
      <c r="BI112" s="20">
        <f t="shared" si="498"/>
        <v>0</v>
      </c>
      <c r="BJ112" s="20">
        <f t="shared" si="498"/>
        <v>-46550.0095</v>
      </c>
      <c r="BK112" s="20">
        <f t="shared" si="498"/>
        <v>-15580</v>
      </c>
      <c r="BL112" s="20">
        <f t="shared" si="498"/>
        <v>-0.47499999999999998</v>
      </c>
      <c r="BM112" s="20">
        <f t="shared" si="498"/>
        <v>-49067.5</v>
      </c>
      <c r="BN112" s="20">
        <f t="shared" si="498"/>
        <v>-23293.05</v>
      </c>
      <c r="BO112" s="20">
        <f t="shared" si="498"/>
        <v>0</v>
      </c>
      <c r="BP112" s="20">
        <f t="shared" si="498"/>
        <v>-9785</v>
      </c>
      <c r="BQ112" s="20">
        <f t="shared" si="498"/>
        <v>-6574</v>
      </c>
      <c r="BR112" s="20">
        <f t="shared" si="498"/>
        <v>-4275</v>
      </c>
      <c r="BS112" s="20">
        <f t="shared" si="498"/>
        <v>-26804.25</v>
      </c>
      <c r="BT112" s="20">
        <f t="shared" si="498"/>
        <v>0</v>
      </c>
      <c r="BU112" s="20">
        <f t="shared" si="498"/>
        <v>-6175</v>
      </c>
      <c r="BV112" s="20">
        <f t="shared" si="498"/>
        <v>-37898.35</v>
      </c>
      <c r="BW112" s="20">
        <f t="shared" si="498"/>
        <v>-20593.149999999998</v>
      </c>
      <c r="BX112" s="20">
        <f t="shared" si="498"/>
        <v>-32775</v>
      </c>
      <c r="BY112" s="20">
        <f t="shared" si="498"/>
        <v>-43971.823499999999</v>
      </c>
      <c r="BZ112" s="20">
        <f t="shared" si="498"/>
        <v>-40407.145807399997</v>
      </c>
      <c r="CA112" s="20">
        <f t="shared" si="498"/>
        <v>-47085.376885199999</v>
      </c>
      <c r="CB112" s="20">
        <f t="shared" si="498"/>
        <v>-475</v>
      </c>
      <c r="CC112" s="20">
        <f t="shared" si="498"/>
        <v>-23164.163500000002</v>
      </c>
      <c r="CD112" s="20">
        <f t="shared" si="498"/>
        <v>-19180.5</v>
      </c>
      <c r="CE112" s="20">
        <f t="shared" ref="CE112:DJ112" si="499">CE$111*CE88</f>
        <v>-21930.265500000001</v>
      </c>
      <c r="CF112" s="20">
        <f t="shared" si="499"/>
        <v>-34247.4905</v>
      </c>
      <c r="CG112" s="20">
        <f t="shared" si="499"/>
        <v>-148115.76349999997</v>
      </c>
      <c r="CH112" s="20">
        <f t="shared" si="499"/>
        <v>-52976.75</v>
      </c>
      <c r="CI112" s="20">
        <f t="shared" si="499"/>
        <v>-54024.068629615023</v>
      </c>
      <c r="CJ112" s="20">
        <f t="shared" si="499"/>
        <v>-43106.852586781642</v>
      </c>
      <c r="CK112" s="20">
        <f t="shared" si="499"/>
        <v>-85018.47514597117</v>
      </c>
      <c r="CL112" s="20">
        <f t="shared" si="499"/>
        <v>-17077.148232929689</v>
      </c>
      <c r="CM112" s="20">
        <f t="shared" si="499"/>
        <v>-43732.086255250011</v>
      </c>
      <c r="CN112" s="20">
        <f t="shared" si="499"/>
        <v>-44318.531047941236</v>
      </c>
      <c r="CO112" s="20">
        <f t="shared" si="499"/>
        <v>-26065.751861794306</v>
      </c>
      <c r="CP112" s="20">
        <f t="shared" si="499"/>
        <v>-40860.915006510055</v>
      </c>
      <c r="CQ112" s="20">
        <f t="shared" si="499"/>
        <v>-80090.175175650016</v>
      </c>
      <c r="CR112" s="20">
        <f t="shared" si="499"/>
        <v>-35703.592375782704</v>
      </c>
      <c r="CS112" s="20">
        <f t="shared" si="499"/>
        <v>-68887.326149999513</v>
      </c>
      <c r="CT112" s="20">
        <f t="shared" si="499"/>
        <v>-95840.684886715724</v>
      </c>
      <c r="CU112" s="20">
        <f t="shared" si="499"/>
        <v>-45211.994941841105</v>
      </c>
      <c r="CV112" s="20">
        <f t="shared" si="499"/>
        <v>-57183.194050304155</v>
      </c>
      <c r="CW112" s="20">
        <f t="shared" si="499"/>
        <v>-106488.71673731833</v>
      </c>
      <c r="CX112" s="20">
        <f t="shared" si="499"/>
        <v>-70608.947048429356</v>
      </c>
      <c r="CY112" s="20">
        <f t="shared" si="499"/>
        <v>-57847.933434703293</v>
      </c>
      <c r="CZ112" s="20">
        <f t="shared" si="499"/>
        <v>-106823.10693141179</v>
      </c>
      <c r="DA112" s="20">
        <f t="shared" si="499"/>
        <v>-71214.078941752276</v>
      </c>
      <c r="DB112" s="20">
        <f t="shared" si="499"/>
        <v>-55863.447952781942</v>
      </c>
      <c r="DC112" s="20">
        <f t="shared" si="499"/>
        <v>-88562.592234017167</v>
      </c>
      <c r="DD112" s="20">
        <f t="shared" si="499"/>
        <v>-70009.845212484885</v>
      </c>
      <c r="DE112" s="20">
        <f t="shared" si="499"/>
        <v>-147144.31824763468</v>
      </c>
      <c r="DF112" s="20">
        <f t="shared" si="499"/>
        <v>-138229.69227285325</v>
      </c>
      <c r="DG112" s="20">
        <f t="shared" si="499"/>
        <v>-70809.133927973686</v>
      </c>
      <c r="DH112" s="20">
        <f t="shared" si="499"/>
        <v>-89557.924863653679</v>
      </c>
      <c r="DI112" s="20">
        <f t="shared" si="499"/>
        <v>-166778.17059323448</v>
      </c>
      <c r="DJ112" s="20">
        <f t="shared" si="499"/>
        <v>-110584.77721447431</v>
      </c>
      <c r="DK112" s="20">
        <f t="shared" ref="DK112:EP112" si="500">DK$111*DK88</f>
        <v>-90599.011861864346</v>
      </c>
      <c r="DL112" s="20">
        <f t="shared" si="500"/>
        <v>-167301.87851782888</v>
      </c>
      <c r="DM112" s="20">
        <f t="shared" si="500"/>
        <v>-111532.50945529909</v>
      </c>
      <c r="DN112" s="20">
        <f t="shared" si="500"/>
        <v>-87490.993769580484</v>
      </c>
      <c r="DO112" s="20">
        <f t="shared" si="500"/>
        <v>-138703.02477415249</v>
      </c>
      <c r="DP112" s="20">
        <f t="shared" si="500"/>
        <v>-109646.48899710065</v>
      </c>
      <c r="DQ112" s="20">
        <f t="shared" si="500"/>
        <v>-230451.27185694725</v>
      </c>
      <c r="DR112" s="20">
        <f t="shared" si="500"/>
        <v>-216489.55781672211</v>
      </c>
      <c r="DS112" s="20">
        <f t="shared" si="500"/>
        <v>-94658.035377143431</v>
      </c>
      <c r="DT112" s="20">
        <f t="shared" si="500"/>
        <v>-119721.52107763923</v>
      </c>
      <c r="DU112" s="20">
        <f t="shared" si="500"/>
        <v>-222949.96558223563</v>
      </c>
      <c r="DV112" s="20">
        <f t="shared" si="500"/>
        <v>-147830.33166863624</v>
      </c>
      <c r="DW112" s="20">
        <f t="shared" si="500"/>
        <v>-121113.25183948631</v>
      </c>
      <c r="DX112" s="20">
        <f t="shared" si="500"/>
        <v>-223650.06118436481</v>
      </c>
      <c r="DY112" s="20">
        <f t="shared" si="500"/>
        <v>-149097.26528303837</v>
      </c>
      <c r="DZ112" s="20">
        <f t="shared" si="500"/>
        <v>-116958.43634871271</v>
      </c>
      <c r="EA112" s="20">
        <f t="shared" si="500"/>
        <v>-185418.9579460691</v>
      </c>
      <c r="EB112" s="20">
        <f t="shared" si="500"/>
        <v>-146576.02287615114</v>
      </c>
      <c r="EC112" s="20">
        <f t="shared" si="500"/>
        <v>-308068.51367976971</v>
      </c>
      <c r="ED112" s="20">
        <f t="shared" si="500"/>
        <v>-289404.41841079638</v>
      </c>
      <c r="EE112" s="20">
        <f t="shared" si="500"/>
        <v>-125470.53139304415</v>
      </c>
      <c r="EF112" s="20">
        <f t="shared" si="500"/>
        <v>-158692.52735856065</v>
      </c>
      <c r="EG112" s="20">
        <f t="shared" si="500"/>
        <v>-295523.25425104547</v>
      </c>
      <c r="EH112" s="20">
        <f t="shared" si="500"/>
        <v>-195951.14346681783</v>
      </c>
      <c r="EI112" s="20">
        <f t="shared" si="500"/>
        <v>-160537.28567780164</v>
      </c>
      <c r="EJ112" s="20">
        <f t="shared" si="500"/>
        <v>-296451.24062721618</v>
      </c>
      <c r="EK112" s="20">
        <f t="shared" si="500"/>
        <v>-197630.48144594871</v>
      </c>
      <c r="EL112" s="20">
        <f t="shared" si="500"/>
        <v>-155030.02044257478</v>
      </c>
      <c r="EM112" s="20">
        <f t="shared" si="500"/>
        <v>-245775.38601076207</v>
      </c>
      <c r="EN112" s="20">
        <f t="shared" si="500"/>
        <v>-194288.5398632565</v>
      </c>
      <c r="EO112" s="20">
        <f t="shared" si="500"/>
        <v>-408349.06368867512</v>
      </c>
      <c r="EP112" s="20">
        <f t="shared" si="500"/>
        <v>-383609.54799898068</v>
      </c>
      <c r="EQ112" s="20">
        <f t="shared" ref="EQ112:FB112" si="501">EQ$111*EQ88</f>
        <v>-165433.5132055158</v>
      </c>
      <c r="ER112" s="20">
        <f t="shared" si="501"/>
        <v>-209236.87840413928</v>
      </c>
      <c r="ES112" s="20">
        <f t="shared" si="501"/>
        <v>-389648.86529035348</v>
      </c>
      <c r="ET112" s="20">
        <f t="shared" si="501"/>
        <v>-258362.54712914099</v>
      </c>
      <c r="EU112" s="20">
        <f t="shared" si="501"/>
        <v>-211669.20132792709</v>
      </c>
      <c r="EV112" s="20">
        <f t="shared" si="501"/>
        <v>-390872.41989486752</v>
      </c>
      <c r="EW112" s="20">
        <f t="shared" si="501"/>
        <v>-260576.76252029752</v>
      </c>
      <c r="EX112" s="20">
        <f t="shared" si="501"/>
        <v>-204407.84500861625</v>
      </c>
      <c r="EY112" s="20">
        <f t="shared" si="501"/>
        <v>-324056.05615739216</v>
      </c>
      <c r="EZ112" s="20">
        <f t="shared" si="501"/>
        <v>-256170.39609453917</v>
      </c>
      <c r="FA112" s="20">
        <f t="shared" si="501"/>
        <v>-538410.25036055234</v>
      </c>
      <c r="FB112" s="20">
        <f t="shared" si="501"/>
        <v>-505791.07715622167</v>
      </c>
    </row>
    <row r="113" spans="3:158" x14ac:dyDescent="0.25">
      <c r="C113" s="2" t="s">
        <v>298</v>
      </c>
      <c r="D113" s="244">
        <f t="shared" si="417"/>
        <v>-1893.5082000000002</v>
      </c>
      <c r="E113" s="244">
        <f t="shared" si="417"/>
        <v>-3777.9500000000003</v>
      </c>
      <c r="F113" s="244">
        <f t="shared" si="417"/>
        <v>-10208.893246159998</v>
      </c>
      <c r="G113" s="244">
        <f t="shared" si="417"/>
        <v>-13107.043252709243</v>
      </c>
      <c r="H113" s="244">
        <f t="shared" si="417"/>
        <v>-26035.056303768655</v>
      </c>
      <c r="I113" s="244">
        <f t="shared" si="417"/>
        <v>-55448.32118599792</v>
      </c>
      <c r="J113" s="244">
        <f t="shared" si="417"/>
        <v>-168758.68733610213</v>
      </c>
      <c r="K113" s="244">
        <f t="shared" si="417"/>
        <v>-331848.36715164164</v>
      </c>
      <c r="L113" s="244">
        <f t="shared" si="417"/>
        <v>-529008.4831003946</v>
      </c>
      <c r="N113" s="244">
        <f t="shared" si="418"/>
        <v>-440.98800000000006</v>
      </c>
      <c r="O113" s="244">
        <f t="shared" si="419"/>
        <v>-220</v>
      </c>
      <c r="P113" s="244">
        <f t="shared" si="420"/>
        <v>-252.52</v>
      </c>
      <c r="Q113" s="244">
        <f t="shared" si="421"/>
        <v>-980.00020000000006</v>
      </c>
      <c r="R113" s="244">
        <f t="shared" si="422"/>
        <v>-1361.01</v>
      </c>
      <c r="S113" s="244">
        <f t="shared" si="423"/>
        <v>-696.38</v>
      </c>
      <c r="T113" s="244">
        <f t="shared" si="424"/>
        <v>-792.7</v>
      </c>
      <c r="U113" s="244">
        <f t="shared" si="425"/>
        <v>-927.86</v>
      </c>
      <c r="V113" s="244">
        <f t="shared" si="426"/>
        <v>-2049.2626</v>
      </c>
      <c r="W113" s="244">
        <f t="shared" si="427"/>
        <v>-1851.9478461600002</v>
      </c>
      <c r="X113" s="244">
        <f t="shared" si="428"/>
        <v>-1353.1564000000001</v>
      </c>
      <c r="Y113" s="244">
        <f t="shared" si="429"/>
        <v>-4954.5263999999997</v>
      </c>
      <c r="Z113" s="244">
        <f t="shared" si="430"/>
        <v>-3761.3734012174</v>
      </c>
      <c r="AA113" s="244">
        <f t="shared" si="431"/>
        <v>-2170.8816439354364</v>
      </c>
      <c r="AB113" s="244">
        <f t="shared" si="432"/>
        <v>-3035.8883984166578</v>
      </c>
      <c r="AC113" s="244">
        <f t="shared" si="433"/>
        <v>-4138.899809139747</v>
      </c>
      <c r="AD113" s="244">
        <f t="shared" si="434"/>
        <v>-5356.9436928969017</v>
      </c>
      <c r="AE113" s="244">
        <f t="shared" si="435"/>
        <v>-6033.8858575231352</v>
      </c>
      <c r="AF113" s="244">
        <f t="shared" si="436"/>
        <v>-5530.2105352116168</v>
      </c>
      <c r="AG113" s="244">
        <f t="shared" si="437"/>
        <v>-9114.0162181369997</v>
      </c>
      <c r="AH113" s="244">
        <f t="shared" si="438"/>
        <v>-11408.98375610798</v>
      </c>
      <c r="AI113" s="244">
        <f t="shared" si="439"/>
        <v>-12850.705492008614</v>
      </c>
      <c r="AJ113" s="244">
        <f t="shared" si="440"/>
        <v>-11777.999878502893</v>
      </c>
      <c r="AK113" s="244">
        <f t="shared" si="441"/>
        <v>-19410.632059378433</v>
      </c>
      <c r="AL113" s="244">
        <f t="shared" si="442"/>
        <v>-34723.596338673226</v>
      </c>
      <c r="AM113" s="244">
        <f t="shared" si="443"/>
        <v>-39111.521210886625</v>
      </c>
      <c r="AN113" s="244">
        <f t="shared" si="444"/>
        <v>-35846.708366038802</v>
      </c>
      <c r="AO113" s="244">
        <f t="shared" si="445"/>
        <v>-59076.861420503454</v>
      </c>
      <c r="AP113" s="244">
        <f t="shared" si="446"/>
        <v>-68280.744111692038</v>
      </c>
      <c r="AQ113" s="244">
        <f t="shared" si="447"/>
        <v>-76909.192975649203</v>
      </c>
      <c r="AR113" s="244">
        <f t="shared" si="448"/>
        <v>-70489.240149986988</v>
      </c>
      <c r="AS113" s="244">
        <f t="shared" si="449"/>
        <v>-116169.18991431341</v>
      </c>
      <c r="AT113" s="244">
        <f t="shared" si="450"/>
        <v>-108848.18622894259</v>
      </c>
      <c r="AU113" s="244">
        <f t="shared" si="451"/>
        <v>-122603.03060021379</v>
      </c>
      <c r="AV113" s="244">
        <f t="shared" si="452"/>
        <v>-112368.80966662783</v>
      </c>
      <c r="AW113" s="244">
        <f t="shared" si="453"/>
        <v>-185188.45660461037</v>
      </c>
      <c r="AY113" s="20">
        <f t="shared" ref="AY113:CD113" si="502">AY$111*AY89</f>
        <v>0</v>
      </c>
      <c r="AZ113" s="20">
        <f t="shared" si="502"/>
        <v>-21</v>
      </c>
      <c r="BA113" s="20">
        <f t="shared" si="502"/>
        <v>-419.98800000000006</v>
      </c>
      <c r="BB113" s="20">
        <f t="shared" si="502"/>
        <v>-120</v>
      </c>
      <c r="BC113" s="20">
        <f t="shared" si="502"/>
        <v>-70</v>
      </c>
      <c r="BD113" s="20">
        <f t="shared" si="502"/>
        <v>-30</v>
      </c>
      <c r="BE113" s="20">
        <f t="shared" si="502"/>
        <v>0</v>
      </c>
      <c r="BF113" s="20">
        <f t="shared" si="502"/>
        <v>-0.02</v>
      </c>
      <c r="BG113" s="20">
        <f t="shared" si="502"/>
        <v>-252.5</v>
      </c>
      <c r="BH113" s="20">
        <f t="shared" si="502"/>
        <v>0</v>
      </c>
      <c r="BI113" s="20">
        <f t="shared" si="502"/>
        <v>0</v>
      </c>
      <c r="BJ113" s="20">
        <f t="shared" si="502"/>
        <v>-980.00020000000006</v>
      </c>
      <c r="BK113" s="20">
        <f t="shared" si="502"/>
        <v>-328</v>
      </c>
      <c r="BL113" s="20">
        <f t="shared" si="502"/>
        <v>-0.01</v>
      </c>
      <c r="BM113" s="20">
        <f t="shared" si="502"/>
        <v>-1033</v>
      </c>
      <c r="BN113" s="20">
        <f t="shared" si="502"/>
        <v>-490.38</v>
      </c>
      <c r="BO113" s="20">
        <f t="shared" si="502"/>
        <v>0</v>
      </c>
      <c r="BP113" s="20">
        <f t="shared" si="502"/>
        <v>-206</v>
      </c>
      <c r="BQ113" s="20">
        <f t="shared" si="502"/>
        <v>-138.4</v>
      </c>
      <c r="BR113" s="20">
        <f t="shared" si="502"/>
        <v>-90</v>
      </c>
      <c r="BS113" s="20">
        <f t="shared" si="502"/>
        <v>-564.30000000000007</v>
      </c>
      <c r="BT113" s="20">
        <f t="shared" si="502"/>
        <v>0</v>
      </c>
      <c r="BU113" s="20">
        <f t="shared" si="502"/>
        <v>-130</v>
      </c>
      <c r="BV113" s="20">
        <f t="shared" si="502"/>
        <v>-797.86</v>
      </c>
      <c r="BW113" s="20">
        <f t="shared" si="502"/>
        <v>-433.54</v>
      </c>
      <c r="BX113" s="20">
        <f t="shared" si="502"/>
        <v>-690</v>
      </c>
      <c r="BY113" s="20">
        <f t="shared" si="502"/>
        <v>-925.72259999999994</v>
      </c>
      <c r="BZ113" s="20">
        <f t="shared" si="502"/>
        <v>-850.67675384000006</v>
      </c>
      <c r="CA113" s="20">
        <f t="shared" si="502"/>
        <v>-991.27109232000009</v>
      </c>
      <c r="CB113" s="20">
        <f t="shared" si="502"/>
        <v>-10</v>
      </c>
      <c r="CC113" s="20">
        <f t="shared" si="502"/>
        <v>-487.66660000000002</v>
      </c>
      <c r="CD113" s="20">
        <f t="shared" si="502"/>
        <v>-403.8</v>
      </c>
      <c r="CE113" s="20">
        <f t="shared" ref="CE113:DJ113" si="503">CE$111*CE89</f>
        <v>-461.68980000000005</v>
      </c>
      <c r="CF113" s="20">
        <f t="shared" si="503"/>
        <v>-720.99979999999994</v>
      </c>
      <c r="CG113" s="20">
        <f t="shared" si="503"/>
        <v>-3118.2266</v>
      </c>
      <c r="CH113" s="20">
        <f t="shared" si="503"/>
        <v>-1115.3</v>
      </c>
      <c r="CI113" s="20">
        <f t="shared" si="503"/>
        <v>-1115.5935667484841</v>
      </c>
      <c r="CJ113" s="20">
        <f t="shared" si="503"/>
        <v>-890.15375273359041</v>
      </c>
      <c r="CK113" s="20">
        <f t="shared" si="503"/>
        <v>-1755.6260817353252</v>
      </c>
      <c r="CL113" s="20">
        <f t="shared" si="503"/>
        <v>-352.64202031283332</v>
      </c>
      <c r="CM113" s="20">
        <f t="shared" si="503"/>
        <v>-903.06478805453071</v>
      </c>
      <c r="CN113" s="20">
        <f t="shared" si="503"/>
        <v>-915.17483556807258</v>
      </c>
      <c r="CO113" s="20">
        <f t="shared" si="503"/>
        <v>-538.25611115745517</v>
      </c>
      <c r="CP113" s="20">
        <f t="shared" si="503"/>
        <v>-843.7752851463465</v>
      </c>
      <c r="CQ113" s="20">
        <f t="shared" si="503"/>
        <v>-1653.8570021128562</v>
      </c>
      <c r="CR113" s="20">
        <f t="shared" si="503"/>
        <v>-737.27690221389469</v>
      </c>
      <c r="CS113" s="20">
        <f t="shared" si="503"/>
        <v>-1422.5188852458282</v>
      </c>
      <c r="CT113" s="20">
        <f t="shared" si="503"/>
        <v>-1979.1040216800243</v>
      </c>
      <c r="CU113" s="20">
        <f t="shared" si="503"/>
        <v>-1159.4867029184416</v>
      </c>
      <c r="CV113" s="20">
        <f t="shared" si="503"/>
        <v>-1466.4947480645862</v>
      </c>
      <c r="CW113" s="20">
        <f t="shared" si="503"/>
        <v>-2730.9622419138741</v>
      </c>
      <c r="CX113" s="20">
        <f t="shared" si="503"/>
        <v>-1810.8056349878091</v>
      </c>
      <c r="CY113" s="20">
        <f t="shared" si="503"/>
        <v>-1483.542358507533</v>
      </c>
      <c r="CZ113" s="20">
        <f t="shared" si="503"/>
        <v>-2739.5378640277936</v>
      </c>
      <c r="DA113" s="20">
        <f t="shared" si="503"/>
        <v>-1826.3245782399781</v>
      </c>
      <c r="DB113" s="20">
        <f t="shared" si="503"/>
        <v>-1432.6491269351948</v>
      </c>
      <c r="DC113" s="20">
        <f t="shared" si="503"/>
        <v>-2271.2368300364442</v>
      </c>
      <c r="DD113" s="20">
        <f t="shared" si="503"/>
        <v>-1795.441335903789</v>
      </c>
      <c r="DE113" s="20">
        <f t="shared" si="503"/>
        <v>-3773.5977064847525</v>
      </c>
      <c r="DF113" s="20">
        <f t="shared" si="503"/>
        <v>-3544.9771757484568</v>
      </c>
      <c r="DG113" s="20">
        <f t="shared" si="503"/>
        <v>-2469.4239322620206</v>
      </c>
      <c r="DH113" s="20">
        <f t="shared" si="503"/>
        <v>-3123.2762034201455</v>
      </c>
      <c r="DI113" s="20">
        <f t="shared" si="503"/>
        <v>-5816.2836204258138</v>
      </c>
      <c r="DJ113" s="20">
        <f t="shared" si="503"/>
        <v>-3856.5744311328745</v>
      </c>
      <c r="DK113" s="20">
        <f t="shared" ref="DK113:EP113" si="504">DK$111*DK89</f>
        <v>-3159.5834565432142</v>
      </c>
      <c r="DL113" s="20">
        <f t="shared" si="504"/>
        <v>-5834.5476043325252</v>
      </c>
      <c r="DM113" s="20">
        <f t="shared" si="504"/>
        <v>-3889.6259959105146</v>
      </c>
      <c r="DN113" s="20">
        <f t="shared" si="504"/>
        <v>-3051.1932837895683</v>
      </c>
      <c r="DO113" s="20">
        <f t="shared" si="504"/>
        <v>-4837.18059880281</v>
      </c>
      <c r="DP113" s="20">
        <f t="shared" si="504"/>
        <v>-3823.8522207228611</v>
      </c>
      <c r="DQ113" s="20">
        <f t="shared" si="504"/>
        <v>-8036.8429095973788</v>
      </c>
      <c r="DR113" s="20">
        <f t="shared" si="504"/>
        <v>-7549.9369290581926</v>
      </c>
      <c r="DS113" s="20">
        <f t="shared" si="504"/>
        <v>-7515.768419515839</v>
      </c>
      <c r="DT113" s="20">
        <f t="shared" si="504"/>
        <v>-9505.7881105040397</v>
      </c>
      <c r="DU113" s="20">
        <f t="shared" si="504"/>
        <v>-17702.039808653346</v>
      </c>
      <c r="DV113" s="20">
        <f t="shared" si="504"/>
        <v>-11737.604037258201</v>
      </c>
      <c r="DW113" s="20">
        <f t="shared" si="504"/>
        <v>-9616.2903628134591</v>
      </c>
      <c r="DX113" s="20">
        <f t="shared" si="504"/>
        <v>-17757.626810814971</v>
      </c>
      <c r="DY113" s="20">
        <f t="shared" si="504"/>
        <v>-11838.197500991189</v>
      </c>
      <c r="DZ113" s="20">
        <f t="shared" si="504"/>
        <v>-9286.4015062567378</v>
      </c>
      <c r="EA113" s="20">
        <f t="shared" si="504"/>
        <v>-14722.10935879088</v>
      </c>
      <c r="EB113" s="20">
        <f t="shared" si="504"/>
        <v>-11638.012973770348</v>
      </c>
      <c r="EC113" s="20">
        <f t="shared" si="504"/>
        <v>-24460.380959065169</v>
      </c>
      <c r="ED113" s="20">
        <f t="shared" si="504"/>
        <v>-22978.467487667935</v>
      </c>
      <c r="EE113" s="20">
        <f t="shared" si="504"/>
        <v>-14779.064220492131</v>
      </c>
      <c r="EF113" s="20">
        <f t="shared" si="504"/>
        <v>-18692.254086320008</v>
      </c>
      <c r="EG113" s="20">
        <f t="shared" si="504"/>
        <v>-34809.425804879902</v>
      </c>
      <c r="EH113" s="20">
        <f t="shared" si="504"/>
        <v>-23080.913910399802</v>
      </c>
      <c r="EI113" s="20">
        <f t="shared" si="504"/>
        <v>-18909.546556262168</v>
      </c>
      <c r="EJ113" s="20">
        <f t="shared" si="504"/>
        <v>-34918.732508987232</v>
      </c>
      <c r="EK113" s="20">
        <f t="shared" si="504"/>
        <v>-23278.721663072338</v>
      </c>
      <c r="EL113" s="20">
        <f t="shared" si="504"/>
        <v>-18260.850598039633</v>
      </c>
      <c r="EM113" s="20">
        <f t="shared" si="504"/>
        <v>-28949.667888875025</v>
      </c>
      <c r="EN113" s="20">
        <f t="shared" si="504"/>
        <v>-22885.077285198291</v>
      </c>
      <c r="EO113" s="20">
        <f t="shared" si="504"/>
        <v>-48099.079278844358</v>
      </c>
      <c r="EP113" s="20">
        <f t="shared" si="504"/>
        <v>-45185.033350270758</v>
      </c>
      <c r="EQ113" s="20">
        <f t="shared" ref="EQ113:FB113" si="505">EQ$111*EQ89</f>
        <v>-23559.707139837228</v>
      </c>
      <c r="ER113" s="20">
        <f t="shared" si="505"/>
        <v>-29797.829245948065</v>
      </c>
      <c r="ES113" s="20">
        <f t="shared" si="505"/>
        <v>-55490.649843157291</v>
      </c>
      <c r="ET113" s="20">
        <f t="shared" si="505"/>
        <v>-36793.910909110811</v>
      </c>
      <c r="EU113" s="20">
        <f t="shared" si="505"/>
        <v>-30144.221066103419</v>
      </c>
      <c r="EV113" s="20">
        <f t="shared" si="505"/>
        <v>-55664.898624999572</v>
      </c>
      <c r="EW113" s="20">
        <f t="shared" si="505"/>
        <v>-37109.241612965008</v>
      </c>
      <c r="EX113" s="20">
        <f t="shared" si="505"/>
        <v>-29110.117243932604</v>
      </c>
      <c r="EY113" s="20">
        <f t="shared" si="505"/>
        <v>-46149.450809730217</v>
      </c>
      <c r="EZ113" s="20">
        <f t="shared" si="505"/>
        <v>-36481.722433022835</v>
      </c>
      <c r="FA113" s="20">
        <f t="shared" si="505"/>
        <v>-76676.046913317463</v>
      </c>
      <c r="FB113" s="20">
        <f t="shared" si="505"/>
        <v>-72030.68725827006</v>
      </c>
    </row>
    <row r="114" spans="3:158" x14ac:dyDescent="0.25">
      <c r="C114" s="2" t="s">
        <v>299</v>
      </c>
      <c r="D114" s="244">
        <f t="shared" si="417"/>
        <v>-946.75410000000011</v>
      </c>
      <c r="E114" s="244">
        <f t="shared" si="417"/>
        <v>-1888.9750000000001</v>
      </c>
      <c r="F114" s="244">
        <f t="shared" si="417"/>
        <v>-5104.446623079999</v>
      </c>
      <c r="G114" s="244">
        <f t="shared" si="417"/>
        <v>-2609.5674439367576</v>
      </c>
      <c r="H114" s="244">
        <f t="shared" si="417"/>
        <v>-12035.204405899434</v>
      </c>
      <c r="I114" s="244">
        <f t="shared" si="417"/>
        <v>-38713.331760243775</v>
      </c>
      <c r="J114" s="244">
        <f t="shared" si="417"/>
        <v>-83784.45786236065</v>
      </c>
      <c r="K114" s="244">
        <f t="shared" si="417"/>
        <v>-139545.40550753029</v>
      </c>
      <c r="L114" s="244">
        <f t="shared" si="417"/>
        <v>-208082.7504677852</v>
      </c>
      <c r="N114" s="244">
        <f t="shared" si="418"/>
        <v>-220.49400000000003</v>
      </c>
      <c r="O114" s="244">
        <f t="shared" si="419"/>
        <v>-110</v>
      </c>
      <c r="P114" s="244">
        <f t="shared" si="420"/>
        <v>-126.26</v>
      </c>
      <c r="Q114" s="244">
        <f t="shared" si="421"/>
        <v>-490.00010000000003</v>
      </c>
      <c r="R114" s="244">
        <f t="shared" si="422"/>
        <v>-680.505</v>
      </c>
      <c r="S114" s="244">
        <f t="shared" si="423"/>
        <v>-348.19</v>
      </c>
      <c r="T114" s="244">
        <f t="shared" si="424"/>
        <v>-396.35</v>
      </c>
      <c r="U114" s="244">
        <f t="shared" si="425"/>
        <v>-463.93</v>
      </c>
      <c r="V114" s="244">
        <f t="shared" si="426"/>
        <v>-1024.6313</v>
      </c>
      <c r="W114" s="244">
        <f t="shared" si="427"/>
        <v>-925.97392308000008</v>
      </c>
      <c r="X114" s="244">
        <f t="shared" si="428"/>
        <v>-676.57820000000004</v>
      </c>
      <c r="Y114" s="244">
        <f t="shared" si="429"/>
        <v>-2477.2631999999999</v>
      </c>
      <c r="Z114" s="244">
        <f t="shared" si="430"/>
        <v>-748.87656835020448</v>
      </c>
      <c r="AA114" s="244">
        <f t="shared" si="431"/>
        <v>-432.21510400393686</v>
      </c>
      <c r="AB114" s="244">
        <f t="shared" si="432"/>
        <v>-604.43498775331</v>
      </c>
      <c r="AC114" s="244">
        <f t="shared" si="433"/>
        <v>-824.04078382930629</v>
      </c>
      <c r="AD114" s="244">
        <f t="shared" si="434"/>
        <v>-2476.3500252379126</v>
      </c>
      <c r="AE114" s="244">
        <f t="shared" si="435"/>
        <v>-2789.2795317920977</v>
      </c>
      <c r="AF114" s="244">
        <f t="shared" si="436"/>
        <v>-2556.4459482000802</v>
      </c>
      <c r="AG114" s="244">
        <f t="shared" si="437"/>
        <v>-4213.1289006693441</v>
      </c>
      <c r="AH114" s="244">
        <f t="shared" si="438"/>
        <v>-7965.6112890389095</v>
      </c>
      <c r="AI114" s="244">
        <f t="shared" si="439"/>
        <v>-8972.2035658483692</v>
      </c>
      <c r="AJ114" s="244">
        <f t="shared" si="440"/>
        <v>-8223.2537796606193</v>
      </c>
      <c r="AK114" s="244">
        <f t="shared" si="441"/>
        <v>-13552.263125695878</v>
      </c>
      <c r="AL114" s="244">
        <f t="shared" si="442"/>
        <v>-17239.395139836502</v>
      </c>
      <c r="AM114" s="244">
        <f t="shared" si="443"/>
        <v>-19417.889843501576</v>
      </c>
      <c r="AN114" s="244">
        <f t="shared" si="444"/>
        <v>-17796.992107535789</v>
      </c>
      <c r="AO114" s="244">
        <f t="shared" si="445"/>
        <v>-29330.180771486775</v>
      </c>
      <c r="AP114" s="244">
        <f t="shared" si="446"/>
        <v>-28712.704562044557</v>
      </c>
      <c r="AQ114" s="244">
        <f t="shared" si="447"/>
        <v>-32341.049658200121</v>
      </c>
      <c r="AR114" s="244">
        <f t="shared" si="448"/>
        <v>-29641.398223763899</v>
      </c>
      <c r="AS114" s="244">
        <f t="shared" si="449"/>
        <v>-48850.253063521719</v>
      </c>
      <c r="AT114" s="244">
        <f t="shared" si="450"/>
        <v>-42814.871022871077</v>
      </c>
      <c r="AU114" s="244">
        <f t="shared" si="451"/>
        <v>-48225.267907730245</v>
      </c>
      <c r="AV114" s="244">
        <f t="shared" si="452"/>
        <v>-44199.690041238064</v>
      </c>
      <c r="AW114" s="244">
        <f t="shared" si="453"/>
        <v>-72842.921495945775</v>
      </c>
      <c r="AY114" s="20">
        <f t="shared" ref="AY114:CD114" si="506">AY$111*AY90</f>
        <v>0</v>
      </c>
      <c r="AZ114" s="20">
        <f t="shared" si="506"/>
        <v>-10.5</v>
      </c>
      <c r="BA114" s="20">
        <f t="shared" si="506"/>
        <v>-209.99400000000003</v>
      </c>
      <c r="BB114" s="20">
        <f t="shared" si="506"/>
        <v>-60</v>
      </c>
      <c r="BC114" s="20">
        <f t="shared" si="506"/>
        <v>-35</v>
      </c>
      <c r="BD114" s="20">
        <f t="shared" si="506"/>
        <v>-15</v>
      </c>
      <c r="BE114" s="20">
        <f t="shared" si="506"/>
        <v>0</v>
      </c>
      <c r="BF114" s="20">
        <f t="shared" si="506"/>
        <v>-0.01</v>
      </c>
      <c r="BG114" s="20">
        <f t="shared" si="506"/>
        <v>-126.25</v>
      </c>
      <c r="BH114" s="20">
        <f t="shared" si="506"/>
        <v>0</v>
      </c>
      <c r="BI114" s="20">
        <f t="shared" si="506"/>
        <v>0</v>
      </c>
      <c r="BJ114" s="20">
        <f t="shared" si="506"/>
        <v>-490.00010000000003</v>
      </c>
      <c r="BK114" s="20">
        <f t="shared" si="506"/>
        <v>-164</v>
      </c>
      <c r="BL114" s="20">
        <f t="shared" si="506"/>
        <v>-5.0000000000000001E-3</v>
      </c>
      <c r="BM114" s="20">
        <f t="shared" si="506"/>
        <v>-516.5</v>
      </c>
      <c r="BN114" s="20">
        <f t="shared" si="506"/>
        <v>-245.19</v>
      </c>
      <c r="BO114" s="20">
        <f t="shared" si="506"/>
        <v>0</v>
      </c>
      <c r="BP114" s="20">
        <f t="shared" si="506"/>
        <v>-103</v>
      </c>
      <c r="BQ114" s="20">
        <f t="shared" si="506"/>
        <v>-69.2</v>
      </c>
      <c r="BR114" s="20">
        <f t="shared" si="506"/>
        <v>-45</v>
      </c>
      <c r="BS114" s="20">
        <f t="shared" si="506"/>
        <v>-282.15000000000003</v>
      </c>
      <c r="BT114" s="20">
        <f t="shared" si="506"/>
        <v>0</v>
      </c>
      <c r="BU114" s="20">
        <f t="shared" si="506"/>
        <v>-65</v>
      </c>
      <c r="BV114" s="20">
        <f t="shared" si="506"/>
        <v>-398.93</v>
      </c>
      <c r="BW114" s="20">
        <f t="shared" si="506"/>
        <v>-216.77</v>
      </c>
      <c r="BX114" s="20">
        <f t="shared" si="506"/>
        <v>-345</v>
      </c>
      <c r="BY114" s="20">
        <f t="shared" si="506"/>
        <v>-462.86129999999997</v>
      </c>
      <c r="BZ114" s="20">
        <f t="shared" si="506"/>
        <v>-425.33837692000003</v>
      </c>
      <c r="CA114" s="20">
        <f t="shared" si="506"/>
        <v>-495.63554616000005</v>
      </c>
      <c r="CB114" s="20">
        <f t="shared" si="506"/>
        <v>-5</v>
      </c>
      <c r="CC114" s="20">
        <f t="shared" si="506"/>
        <v>-243.83330000000001</v>
      </c>
      <c r="CD114" s="20">
        <f t="shared" si="506"/>
        <v>-201.9</v>
      </c>
      <c r="CE114" s="20">
        <f t="shared" ref="CE114:DJ114" si="507">CE$111*CE90</f>
        <v>-230.84490000000002</v>
      </c>
      <c r="CF114" s="20">
        <f t="shared" si="507"/>
        <v>-360.49989999999997</v>
      </c>
      <c r="CG114" s="20">
        <f t="shared" si="507"/>
        <v>-1559.1133</v>
      </c>
      <c r="CH114" s="20">
        <f t="shared" si="507"/>
        <v>-557.65</v>
      </c>
      <c r="CI114" s="20">
        <f t="shared" si="507"/>
        <v>-222.1108602697546</v>
      </c>
      <c r="CJ114" s="20">
        <f t="shared" si="507"/>
        <v>-177.2265650188923</v>
      </c>
      <c r="CK114" s="20">
        <f t="shared" si="507"/>
        <v>-349.53914306155752</v>
      </c>
      <c r="CL114" s="20">
        <f t="shared" si="507"/>
        <v>-70.209819089613461</v>
      </c>
      <c r="CM114" s="20">
        <f t="shared" si="507"/>
        <v>-179.79710795458294</v>
      </c>
      <c r="CN114" s="20">
        <f t="shared" si="507"/>
        <v>-182.20817695974043</v>
      </c>
      <c r="CO114" s="20">
        <f t="shared" si="507"/>
        <v>-107.16494918761818</v>
      </c>
      <c r="CP114" s="20">
        <f t="shared" si="507"/>
        <v>-167.9927708837939</v>
      </c>
      <c r="CQ114" s="20">
        <f t="shared" si="507"/>
        <v>-329.27726768189791</v>
      </c>
      <c r="CR114" s="20">
        <f t="shared" si="507"/>
        <v>-146.78930740434049</v>
      </c>
      <c r="CS114" s="20">
        <f t="shared" si="507"/>
        <v>-283.21864052408722</v>
      </c>
      <c r="CT114" s="20">
        <f t="shared" si="507"/>
        <v>-394.03283590087852</v>
      </c>
      <c r="CU114" s="20">
        <f t="shared" si="507"/>
        <v>-535.99497971993469</v>
      </c>
      <c r="CV114" s="20">
        <f t="shared" si="507"/>
        <v>-677.91534027066655</v>
      </c>
      <c r="CW114" s="20">
        <f t="shared" si="507"/>
        <v>-1262.4397052473114</v>
      </c>
      <c r="CX114" s="20">
        <f t="shared" si="507"/>
        <v>-837.07965529838862</v>
      </c>
      <c r="CY114" s="20">
        <f t="shared" si="507"/>
        <v>-685.79592535253221</v>
      </c>
      <c r="CZ114" s="20">
        <f t="shared" si="507"/>
        <v>-1266.403951141177</v>
      </c>
      <c r="DA114" s="20">
        <f t="shared" si="507"/>
        <v>-844.25358463521025</v>
      </c>
      <c r="DB114" s="20">
        <f t="shared" si="507"/>
        <v>-662.26955238435846</v>
      </c>
      <c r="DC114" s="20">
        <f t="shared" si="507"/>
        <v>-1049.9228111805114</v>
      </c>
      <c r="DD114" s="20">
        <f t="shared" si="507"/>
        <v>-829.97721319601499</v>
      </c>
      <c r="DE114" s="20">
        <f t="shared" si="507"/>
        <v>-1744.4179575906348</v>
      </c>
      <c r="DF114" s="20">
        <f t="shared" si="507"/>
        <v>-1638.7337298826947</v>
      </c>
      <c r="DG114" s="20">
        <f t="shared" si="507"/>
        <v>-1724.121233998454</v>
      </c>
      <c r="DH114" s="20">
        <f t="shared" si="507"/>
        <v>-2180.6327992561855</v>
      </c>
      <c r="DI114" s="20">
        <f t="shared" si="507"/>
        <v>-4060.8572557842699</v>
      </c>
      <c r="DJ114" s="20">
        <f t="shared" si="507"/>
        <v>-2692.6125483529077</v>
      </c>
      <c r="DK114" s="20">
        <f t="shared" ref="DK114:EP114" si="508">DK$111*DK90</f>
        <v>-2205.9820741375947</v>
      </c>
      <c r="DL114" s="20">
        <f t="shared" si="508"/>
        <v>-4073.6089433578663</v>
      </c>
      <c r="DM114" s="20">
        <f t="shared" si="508"/>
        <v>-2715.6887419159166</v>
      </c>
      <c r="DN114" s="20">
        <f t="shared" si="508"/>
        <v>-2130.305396690746</v>
      </c>
      <c r="DO114" s="20">
        <f t="shared" si="508"/>
        <v>-3377.2596410539563</v>
      </c>
      <c r="DP114" s="20">
        <f t="shared" si="508"/>
        <v>-2669.7663059340975</v>
      </c>
      <c r="DQ114" s="20">
        <f t="shared" si="508"/>
        <v>-5611.2242753126857</v>
      </c>
      <c r="DR114" s="20">
        <f t="shared" si="508"/>
        <v>-5271.2725444490943</v>
      </c>
      <c r="DS114" s="20">
        <f t="shared" si="508"/>
        <v>-3731.3906169112192</v>
      </c>
      <c r="DT114" s="20">
        <f t="shared" si="508"/>
        <v>-4719.3855081774791</v>
      </c>
      <c r="DU114" s="20">
        <f t="shared" si="508"/>
        <v>-8788.6190147478064</v>
      </c>
      <c r="DV114" s="20">
        <f t="shared" si="508"/>
        <v>-5827.4261692147657</v>
      </c>
      <c r="DW114" s="20">
        <f t="shared" si="508"/>
        <v>-4774.247106406644</v>
      </c>
      <c r="DX114" s="20">
        <f t="shared" si="508"/>
        <v>-8816.2165678801666</v>
      </c>
      <c r="DY114" s="20">
        <f t="shared" si="508"/>
        <v>-5877.3683023067342</v>
      </c>
      <c r="DZ114" s="20">
        <f t="shared" si="508"/>
        <v>-4610.4655586965009</v>
      </c>
      <c r="EA114" s="20">
        <f t="shared" si="508"/>
        <v>-7309.1582465325546</v>
      </c>
      <c r="EB114" s="20">
        <f t="shared" si="508"/>
        <v>-5777.9817027165918</v>
      </c>
      <c r="EC114" s="20">
        <f t="shared" si="508"/>
        <v>-12143.965979543747</v>
      </c>
      <c r="ED114" s="20">
        <f t="shared" si="508"/>
        <v>-11408.233089226434</v>
      </c>
      <c r="EE114" s="20">
        <f t="shared" si="508"/>
        <v>-6214.7375542998934</v>
      </c>
      <c r="EF114" s="20">
        <f t="shared" si="508"/>
        <v>-7860.2712398864123</v>
      </c>
      <c r="EG114" s="20">
        <f t="shared" si="508"/>
        <v>-14637.695767858249</v>
      </c>
      <c r="EH114" s="20">
        <f t="shared" si="508"/>
        <v>-9705.744580745044</v>
      </c>
      <c r="EI114" s="20">
        <f t="shared" si="508"/>
        <v>-7951.6447973098711</v>
      </c>
      <c r="EJ114" s="20">
        <f t="shared" si="508"/>
        <v>-14683.660280145208</v>
      </c>
      <c r="EK114" s="20">
        <f t="shared" si="508"/>
        <v>-9788.9246285968638</v>
      </c>
      <c r="EL114" s="20">
        <f t="shared" si="508"/>
        <v>-7678.8619558023393</v>
      </c>
      <c r="EM114" s="20">
        <f t="shared" si="508"/>
        <v>-12173.611639364695</v>
      </c>
      <c r="EN114" s="20">
        <f t="shared" si="508"/>
        <v>-9623.3934108069861</v>
      </c>
      <c r="EO114" s="20">
        <f t="shared" si="508"/>
        <v>-20226.121888489095</v>
      </c>
      <c r="EP114" s="20">
        <f t="shared" si="508"/>
        <v>-19000.73776422564</v>
      </c>
      <c r="EQ114" s="20">
        <f t="shared" ref="EQ114:FB114" si="509">EQ$111*EQ90</f>
        <v>-9267.0889380472945</v>
      </c>
      <c r="ER114" s="20">
        <f t="shared" si="509"/>
        <v>-11720.822001052062</v>
      </c>
      <c r="ES114" s="20">
        <f t="shared" si="509"/>
        <v>-21826.960083771723</v>
      </c>
      <c r="ET114" s="20">
        <f t="shared" si="509"/>
        <v>-14472.69453518658</v>
      </c>
      <c r="EU114" s="20">
        <f t="shared" si="509"/>
        <v>-11857.07343175698</v>
      </c>
      <c r="EV114" s="20">
        <f t="shared" si="509"/>
        <v>-21895.499940786685</v>
      </c>
      <c r="EW114" s="20">
        <f t="shared" si="509"/>
        <v>-14596.728236461786</v>
      </c>
      <c r="EX114" s="20">
        <f t="shared" si="509"/>
        <v>-11450.314042331998</v>
      </c>
      <c r="EY114" s="20">
        <f t="shared" si="509"/>
        <v>-18152.647762444278</v>
      </c>
      <c r="EZ114" s="20">
        <f t="shared" si="509"/>
        <v>-14349.89681294967</v>
      </c>
      <c r="FA114" s="20">
        <f t="shared" si="509"/>
        <v>-30160.12643731483</v>
      </c>
      <c r="FB114" s="20">
        <f t="shared" si="509"/>
        <v>-28332.898245681274</v>
      </c>
    </row>
    <row r="115" spans="3:158" x14ac:dyDescent="0.25">
      <c r="C115" s="2" t="s">
        <v>300</v>
      </c>
      <c r="D115" s="244">
        <f t="shared" si="417"/>
        <v>-1893.5082000000002</v>
      </c>
      <c r="E115" s="244">
        <f t="shared" si="417"/>
        <v>-3777.9500000000003</v>
      </c>
      <c r="F115" s="244">
        <f t="shared" si="417"/>
        <v>-10208.893246159998</v>
      </c>
      <c r="G115" s="244">
        <f t="shared" si="417"/>
        <v>356.81670373479699</v>
      </c>
      <c r="H115" s="244">
        <f t="shared" si="417"/>
        <v>309.83307149140654</v>
      </c>
      <c r="I115" s="244">
        <f t="shared" si="417"/>
        <v>294.96488457264667</v>
      </c>
      <c r="J115" s="244">
        <f t="shared" si="417"/>
        <v>253.27731685953154</v>
      </c>
      <c r="K115" s="244">
        <f t="shared" si="417"/>
        <v>217.58780515570666</v>
      </c>
      <c r="L115" s="244">
        <f t="shared" si="417"/>
        <v>186.98739034241621</v>
      </c>
      <c r="N115" s="244">
        <f t="shared" si="418"/>
        <v>-440.98800000000006</v>
      </c>
      <c r="O115" s="244">
        <f t="shared" si="419"/>
        <v>-220</v>
      </c>
      <c r="P115" s="244">
        <f t="shared" si="420"/>
        <v>-252.52</v>
      </c>
      <c r="Q115" s="244">
        <f t="shared" si="421"/>
        <v>-980.00020000000006</v>
      </c>
      <c r="R115" s="244">
        <f t="shared" si="422"/>
        <v>-1361.01</v>
      </c>
      <c r="S115" s="244">
        <f t="shared" si="423"/>
        <v>-696.38</v>
      </c>
      <c r="T115" s="244">
        <f t="shared" si="424"/>
        <v>-792.7</v>
      </c>
      <c r="U115" s="244">
        <f t="shared" si="425"/>
        <v>-927.86</v>
      </c>
      <c r="V115" s="244">
        <f t="shared" si="426"/>
        <v>-2049.2626</v>
      </c>
      <c r="W115" s="244">
        <f t="shared" si="427"/>
        <v>-1851.9478461600002</v>
      </c>
      <c r="X115" s="244">
        <f t="shared" si="428"/>
        <v>-1353.1564000000001</v>
      </c>
      <c r="Y115" s="244">
        <f t="shared" si="429"/>
        <v>-4954.5263999999997</v>
      </c>
      <c r="Z115" s="244">
        <f t="shared" si="430"/>
        <v>102.39691993544893</v>
      </c>
      <c r="AA115" s="244">
        <f t="shared" si="431"/>
        <v>59.098518060303753</v>
      </c>
      <c r="AB115" s="244">
        <f t="shared" si="432"/>
        <v>82.646838828874195</v>
      </c>
      <c r="AC115" s="244">
        <f t="shared" si="433"/>
        <v>112.67442691017003</v>
      </c>
      <c r="AD115" s="244">
        <f t="shared" si="434"/>
        <v>63.750901815277039</v>
      </c>
      <c r="AE115" s="244">
        <f t="shared" si="435"/>
        <v>71.806927031470906</v>
      </c>
      <c r="AF115" s="244">
        <f t="shared" si="436"/>
        <v>65.812883065312377</v>
      </c>
      <c r="AG115" s="244">
        <f t="shared" si="437"/>
        <v>108.46235957934618</v>
      </c>
      <c r="AH115" s="244">
        <f t="shared" si="438"/>
        <v>60.691640517357996</v>
      </c>
      <c r="AI115" s="244">
        <f t="shared" si="439"/>
        <v>68.361075340989672</v>
      </c>
      <c r="AJ115" s="244">
        <f t="shared" si="440"/>
        <v>62.654671960321636</v>
      </c>
      <c r="AK115" s="244">
        <f t="shared" si="441"/>
        <v>103.25749675397736</v>
      </c>
      <c r="AL115" s="244">
        <f t="shared" si="442"/>
        <v>52.114053807831318</v>
      </c>
      <c r="AM115" s="244">
        <f t="shared" si="443"/>
        <v>58.699562712638169</v>
      </c>
      <c r="AN115" s="244">
        <f t="shared" si="444"/>
        <v>53.799648815199987</v>
      </c>
      <c r="AO115" s="244">
        <f t="shared" si="445"/>
        <v>88.664051523862071</v>
      </c>
      <c r="AP115" s="244">
        <f t="shared" si="446"/>
        <v>44.770620308257897</v>
      </c>
      <c r="AQ115" s="244">
        <f t="shared" si="447"/>
        <v>50.428159823432821</v>
      </c>
      <c r="AR115" s="244">
        <f t="shared" si="448"/>
        <v>46.218696758934193</v>
      </c>
      <c r="AS115" s="244">
        <f t="shared" si="449"/>
        <v>76.170328265081721</v>
      </c>
      <c r="AT115" s="244">
        <f t="shared" si="450"/>
        <v>38.47431362001938</v>
      </c>
      <c r="AU115" s="244">
        <f t="shared" si="451"/>
        <v>43.336206265816465</v>
      </c>
      <c r="AV115" s="244">
        <f t="shared" si="452"/>
        <v>39.718740146287722</v>
      </c>
      <c r="AW115" s="244">
        <f t="shared" si="453"/>
        <v>65.458130310292674</v>
      </c>
      <c r="AY115" s="20">
        <f t="shared" ref="AY115:CD115" si="510">AY$111*AY91</f>
        <v>0</v>
      </c>
      <c r="AZ115" s="20">
        <f t="shared" si="510"/>
        <v>-21</v>
      </c>
      <c r="BA115" s="20">
        <f t="shared" si="510"/>
        <v>-419.98800000000006</v>
      </c>
      <c r="BB115" s="20">
        <f t="shared" si="510"/>
        <v>-120</v>
      </c>
      <c r="BC115" s="20">
        <f t="shared" si="510"/>
        <v>-70</v>
      </c>
      <c r="BD115" s="20">
        <f t="shared" si="510"/>
        <v>-30</v>
      </c>
      <c r="BE115" s="20">
        <f t="shared" si="510"/>
        <v>0</v>
      </c>
      <c r="BF115" s="20">
        <f t="shared" si="510"/>
        <v>-0.02</v>
      </c>
      <c r="BG115" s="20">
        <f t="shared" si="510"/>
        <v>-252.5</v>
      </c>
      <c r="BH115" s="20">
        <f t="shared" si="510"/>
        <v>0</v>
      </c>
      <c r="BI115" s="20">
        <f t="shared" si="510"/>
        <v>0</v>
      </c>
      <c r="BJ115" s="20">
        <f t="shared" si="510"/>
        <v>-980.00020000000006</v>
      </c>
      <c r="BK115" s="20">
        <f t="shared" si="510"/>
        <v>-328</v>
      </c>
      <c r="BL115" s="20">
        <f t="shared" si="510"/>
        <v>-0.01</v>
      </c>
      <c r="BM115" s="20">
        <f t="shared" si="510"/>
        <v>-1033</v>
      </c>
      <c r="BN115" s="20">
        <f t="shared" si="510"/>
        <v>-490.38</v>
      </c>
      <c r="BO115" s="20">
        <f t="shared" si="510"/>
        <v>0</v>
      </c>
      <c r="BP115" s="20">
        <f t="shared" si="510"/>
        <v>-206</v>
      </c>
      <c r="BQ115" s="20">
        <f t="shared" si="510"/>
        <v>-138.4</v>
      </c>
      <c r="BR115" s="20">
        <f t="shared" si="510"/>
        <v>-90</v>
      </c>
      <c r="BS115" s="20">
        <f t="shared" si="510"/>
        <v>-564.30000000000007</v>
      </c>
      <c r="BT115" s="20">
        <f t="shared" si="510"/>
        <v>0</v>
      </c>
      <c r="BU115" s="20">
        <f t="shared" si="510"/>
        <v>-130</v>
      </c>
      <c r="BV115" s="20">
        <f t="shared" si="510"/>
        <v>-797.86</v>
      </c>
      <c r="BW115" s="20">
        <f t="shared" si="510"/>
        <v>-433.54</v>
      </c>
      <c r="BX115" s="20">
        <f t="shared" si="510"/>
        <v>-690</v>
      </c>
      <c r="BY115" s="20">
        <f t="shared" si="510"/>
        <v>-925.72259999999994</v>
      </c>
      <c r="BZ115" s="20">
        <f t="shared" si="510"/>
        <v>-850.67675384000006</v>
      </c>
      <c r="CA115" s="20">
        <f t="shared" si="510"/>
        <v>-991.27109232000009</v>
      </c>
      <c r="CB115" s="20">
        <f t="shared" si="510"/>
        <v>-10</v>
      </c>
      <c r="CC115" s="20">
        <f t="shared" si="510"/>
        <v>-487.66660000000002</v>
      </c>
      <c r="CD115" s="20">
        <f t="shared" si="510"/>
        <v>-403.8</v>
      </c>
      <c r="CE115" s="20">
        <f t="shared" ref="CE115:DJ115" si="511">CE$111*CE91</f>
        <v>-461.68980000000005</v>
      </c>
      <c r="CF115" s="20">
        <f t="shared" si="511"/>
        <v>-720.99979999999994</v>
      </c>
      <c r="CG115" s="20">
        <f t="shared" si="511"/>
        <v>-3118.2266</v>
      </c>
      <c r="CH115" s="20">
        <f t="shared" si="511"/>
        <v>-1115.3</v>
      </c>
      <c r="CI115" s="20">
        <f t="shared" si="511"/>
        <v>30.370115633261474</v>
      </c>
      <c r="CJ115" s="20">
        <f t="shared" si="511"/>
        <v>24.232904534125684</v>
      </c>
      <c r="CK115" s="20">
        <f t="shared" si="511"/>
        <v>47.793899768061777</v>
      </c>
      <c r="CL115" s="20">
        <f t="shared" si="511"/>
        <v>9.6000723321329975</v>
      </c>
      <c r="CM115" s="20">
        <f t="shared" si="511"/>
        <v>24.584385259122087</v>
      </c>
      <c r="CN115" s="20">
        <f t="shared" si="511"/>
        <v>24.914060469048671</v>
      </c>
      <c r="CO115" s="20">
        <f t="shared" si="511"/>
        <v>14.653096632500608</v>
      </c>
      <c r="CP115" s="20">
        <f t="shared" si="511"/>
        <v>22.970330541678461</v>
      </c>
      <c r="CQ115" s="20">
        <f t="shared" si="511"/>
        <v>45.023411654695131</v>
      </c>
      <c r="CR115" s="20">
        <f t="shared" si="511"/>
        <v>20.071095281797184</v>
      </c>
      <c r="CS115" s="20">
        <f t="shared" si="511"/>
        <v>38.725629407608551</v>
      </c>
      <c r="CT115" s="20">
        <f t="shared" si="511"/>
        <v>53.877702220764291</v>
      </c>
      <c r="CU115" s="20">
        <f t="shared" si="511"/>
        <v>13.798599946436935</v>
      </c>
      <c r="CV115" s="20">
        <f t="shared" si="511"/>
        <v>17.452183195513037</v>
      </c>
      <c r="CW115" s="20">
        <f t="shared" si="511"/>
        <v>32.500118673327066</v>
      </c>
      <c r="CX115" s="20">
        <f t="shared" si="511"/>
        <v>21.549693045257836</v>
      </c>
      <c r="CY115" s="20">
        <f t="shared" si="511"/>
        <v>17.655060171982747</v>
      </c>
      <c r="CZ115" s="20">
        <f t="shared" si="511"/>
        <v>32.602173814230319</v>
      </c>
      <c r="DA115" s="20">
        <f t="shared" si="511"/>
        <v>21.734377948490575</v>
      </c>
      <c r="DB115" s="20">
        <f t="shared" si="511"/>
        <v>17.049399632124477</v>
      </c>
      <c r="DC115" s="20">
        <f t="shared" si="511"/>
        <v>27.029105484697329</v>
      </c>
      <c r="DD115" s="20">
        <f t="shared" si="511"/>
        <v>21.366848502078362</v>
      </c>
      <c r="DE115" s="20">
        <f t="shared" si="511"/>
        <v>44.908117513994192</v>
      </c>
      <c r="DF115" s="20">
        <f t="shared" si="511"/>
        <v>42.187393563273623</v>
      </c>
      <c r="DG115" s="20">
        <f t="shared" si="511"/>
        <v>13.136436407105064</v>
      </c>
      <c r="DH115" s="20">
        <f t="shared" si="511"/>
        <v>16.614692476261254</v>
      </c>
      <c r="DI115" s="20">
        <f t="shared" si="511"/>
        <v>30.940511633991672</v>
      </c>
      <c r="DJ115" s="20">
        <f t="shared" si="511"/>
        <v>20.51557211460154</v>
      </c>
      <c r="DK115" s="20">
        <f t="shared" ref="DK115:EP115" si="512">DK$111*DK91</f>
        <v>16.807833846415132</v>
      </c>
      <c r="DL115" s="20">
        <f t="shared" si="512"/>
        <v>31.037669379972993</v>
      </c>
      <c r="DM115" s="20">
        <f t="shared" si="512"/>
        <v>20.691394407883955</v>
      </c>
      <c r="DN115" s="20">
        <f t="shared" si="512"/>
        <v>16.231237583241668</v>
      </c>
      <c r="DO115" s="20">
        <f t="shared" si="512"/>
        <v>25.732039969196013</v>
      </c>
      <c r="DP115" s="20">
        <f t="shared" si="512"/>
        <v>20.341501866664281</v>
      </c>
      <c r="DQ115" s="20">
        <f t="shared" si="512"/>
        <v>42.753078730840215</v>
      </c>
      <c r="DR115" s="20">
        <f t="shared" si="512"/>
        <v>40.162916156472861</v>
      </c>
      <c r="DS115" s="20">
        <f t="shared" si="512"/>
        <v>11.279855807608827</v>
      </c>
      <c r="DT115" s="20">
        <f t="shared" si="512"/>
        <v>14.266527817135064</v>
      </c>
      <c r="DU115" s="20">
        <f t="shared" si="512"/>
        <v>26.567670183087429</v>
      </c>
      <c r="DV115" s="20">
        <f t="shared" si="512"/>
        <v>17.616093748083948</v>
      </c>
      <c r="DW115" s="20">
        <f t="shared" si="512"/>
        <v>14.432372399204629</v>
      </c>
      <c r="DX115" s="20">
        <f t="shared" si="512"/>
        <v>26.651096565349587</v>
      </c>
      <c r="DY115" s="20">
        <f t="shared" si="512"/>
        <v>17.767066969018973</v>
      </c>
      <c r="DZ115" s="20">
        <f t="shared" si="512"/>
        <v>13.937266838895672</v>
      </c>
      <c r="EA115" s="20">
        <f t="shared" si="512"/>
        <v>22.095315007285347</v>
      </c>
      <c r="EB115" s="20">
        <f t="shared" si="512"/>
        <v>17.466624954852854</v>
      </c>
      <c r="EC115" s="20">
        <f t="shared" si="512"/>
        <v>36.710759940526422</v>
      </c>
      <c r="ED115" s="20">
        <f t="shared" si="512"/>
        <v>34.486666628482801</v>
      </c>
      <c r="EE115" s="20">
        <f t="shared" si="512"/>
        <v>9.6904021966232801</v>
      </c>
      <c r="EF115" s="20">
        <f t="shared" si="512"/>
        <v>12.256219836081355</v>
      </c>
      <c r="EG115" s="20">
        <f t="shared" si="512"/>
        <v>22.823998275553262</v>
      </c>
      <c r="EH115" s="20">
        <f t="shared" si="512"/>
        <v>15.133795720793158</v>
      </c>
      <c r="EI115" s="20">
        <f t="shared" si="512"/>
        <v>12.398695123868359</v>
      </c>
      <c r="EJ115" s="20">
        <f t="shared" si="512"/>
        <v>22.895668978771308</v>
      </c>
      <c r="EK115" s="20">
        <f t="shared" si="512"/>
        <v>15.263495182978945</v>
      </c>
      <c r="EL115" s="20">
        <f t="shared" si="512"/>
        <v>11.973355288766744</v>
      </c>
      <c r="EM115" s="20">
        <f t="shared" si="512"/>
        <v>18.981846287188503</v>
      </c>
      <c r="EN115" s="20">
        <f t="shared" si="512"/>
        <v>15.005388696185964</v>
      </c>
      <c r="EO115" s="20">
        <f t="shared" si="512"/>
        <v>31.537817046155983</v>
      </c>
      <c r="EP115" s="20">
        <f t="shared" si="512"/>
        <v>29.627122522739771</v>
      </c>
      <c r="EQ115" s="20">
        <f t="shared" ref="EQ115:FB115" si="513">EQ$111*EQ91</f>
        <v>8.3275945396771824</v>
      </c>
      <c r="ER115" s="20">
        <f t="shared" si="513"/>
        <v>10.532568959789904</v>
      </c>
      <c r="ES115" s="20">
        <f t="shared" si="513"/>
        <v>19.614150120552296</v>
      </c>
      <c r="ET115" s="20">
        <f t="shared" si="513"/>
        <v>13.005457570479665</v>
      </c>
      <c r="EU115" s="20">
        <f t="shared" si="513"/>
        <v>10.655007265707424</v>
      </c>
      <c r="EV115" s="20">
        <f t="shared" si="513"/>
        <v>19.675741429629376</v>
      </c>
      <c r="EW115" s="20">
        <f t="shared" si="513"/>
        <v>13.116916776318796</v>
      </c>
      <c r="EX115" s="20">
        <f t="shared" si="513"/>
        <v>10.289485008072582</v>
      </c>
      <c r="EY115" s="20">
        <f t="shared" si="513"/>
        <v>16.312338361896344</v>
      </c>
      <c r="EZ115" s="20">
        <f t="shared" si="513"/>
        <v>12.89510904053447</v>
      </c>
      <c r="FA115" s="20">
        <f t="shared" si="513"/>
        <v>27.102502837129304</v>
      </c>
      <c r="FB115" s="20">
        <f t="shared" si="513"/>
        <v>25.460518432628902</v>
      </c>
    </row>
    <row r="117" spans="3:158" s="1" customFormat="1" x14ac:dyDescent="0.25">
      <c r="C117" s="304" t="s">
        <v>647</v>
      </c>
      <c r="D117" s="22">
        <f t="shared" si="417"/>
        <v>-449131</v>
      </c>
      <c r="E117" s="22">
        <f t="shared" si="417"/>
        <v>-1169882.71</v>
      </c>
      <c r="F117" s="22">
        <f t="shared" si="417"/>
        <v>-2397605.5235900003</v>
      </c>
      <c r="G117" s="22">
        <f t="shared" si="417"/>
        <v>-2613581.8157095336</v>
      </c>
      <c r="H117" s="22">
        <f t="shared" si="417"/>
        <v>-4233238.4524724949</v>
      </c>
      <c r="I117" s="22">
        <f t="shared" si="417"/>
        <v>-6769539.7095182538</v>
      </c>
      <c r="J117" s="22">
        <f t="shared" si="417"/>
        <v>-9559373.6698204428</v>
      </c>
      <c r="K117" s="22">
        <f t="shared" si="417"/>
        <v>-13220917.006643813</v>
      </c>
      <c r="L117" s="22">
        <f t="shared" si="417"/>
        <v>-17896824.209973343</v>
      </c>
      <c r="N117" s="22">
        <f t="shared" si="418"/>
        <v>-114646</v>
      </c>
      <c r="O117" s="22">
        <f t="shared" si="419"/>
        <v>-66100</v>
      </c>
      <c r="P117" s="22">
        <f t="shared" si="420"/>
        <v>-69435</v>
      </c>
      <c r="Q117" s="22">
        <f t="shared" si="421"/>
        <v>-198950</v>
      </c>
      <c r="R117" s="22">
        <f t="shared" si="422"/>
        <v>-204400</v>
      </c>
      <c r="S117" s="22">
        <f t="shared" si="423"/>
        <v>-253473</v>
      </c>
      <c r="T117" s="22">
        <f t="shared" si="424"/>
        <v>-241928</v>
      </c>
      <c r="U117" s="22">
        <f t="shared" si="425"/>
        <v>-470081.71</v>
      </c>
      <c r="V117" s="22">
        <f t="shared" si="426"/>
        <v>-683275.67</v>
      </c>
      <c r="W117" s="22">
        <f t="shared" si="427"/>
        <v>-532285.6</v>
      </c>
      <c r="X117" s="22">
        <f t="shared" si="428"/>
        <v>-588994.49358999997</v>
      </c>
      <c r="Y117" s="22">
        <f t="shared" si="429"/>
        <v>-593049.76</v>
      </c>
      <c r="Z117" s="22">
        <f t="shared" si="430"/>
        <v>-627144.08873900003</v>
      </c>
      <c r="AA117" s="22">
        <f t="shared" si="431"/>
        <v>-587431.62059599999</v>
      </c>
      <c r="AB117" s="22">
        <f t="shared" si="432"/>
        <v>-591965.40508099971</v>
      </c>
      <c r="AC117" s="22">
        <f t="shared" si="433"/>
        <v>-807040.70129353367</v>
      </c>
      <c r="AD117" s="22">
        <f t="shared" si="434"/>
        <v>-871026.34862435749</v>
      </c>
      <c r="AE117" s="22">
        <f t="shared" si="435"/>
        <v>-981095.54025429569</v>
      </c>
      <c r="AF117" s="22">
        <f t="shared" si="436"/>
        <v>-899199.12654606183</v>
      </c>
      <c r="AG117" s="22">
        <f t="shared" si="437"/>
        <v>-1481917.43704778</v>
      </c>
      <c r="AH117" s="22">
        <f t="shared" si="438"/>
        <v>-1392892.8221856623</v>
      </c>
      <c r="AI117" s="22">
        <f t="shared" si="439"/>
        <v>-1568908.837323728</v>
      </c>
      <c r="AJ117" s="22">
        <f t="shared" si="440"/>
        <v>-1437945.0300897611</v>
      </c>
      <c r="AK117" s="22">
        <f t="shared" si="441"/>
        <v>-2369793.019919103</v>
      </c>
      <c r="AL117" s="22">
        <f t="shared" si="442"/>
        <v>-1966925.897570526</v>
      </c>
      <c r="AM117" s="22">
        <f t="shared" si="443"/>
        <v>-2215480.8854689989</v>
      </c>
      <c r="AN117" s="22">
        <f t="shared" si="444"/>
        <v>-2030544.8300956099</v>
      </c>
      <c r="AO117" s="22">
        <f t="shared" si="445"/>
        <v>-3346422.0566853089</v>
      </c>
      <c r="AP117" s="22">
        <f t="shared" si="446"/>
        <v>-2720320.9068075651</v>
      </c>
      <c r="AQ117" s="22">
        <f t="shared" si="447"/>
        <v>-3064080.339182049</v>
      </c>
      <c r="AR117" s="22">
        <f t="shared" si="448"/>
        <v>-2808307.9084686483</v>
      </c>
      <c r="AS117" s="22">
        <f t="shared" si="449"/>
        <v>-4628207.8521855492</v>
      </c>
      <c r="AT117" s="22">
        <f t="shared" si="450"/>
        <v>-3682430.2761589754</v>
      </c>
      <c r="AU117" s="22">
        <f t="shared" si="451"/>
        <v>-4147768.8096838999</v>
      </c>
      <c r="AV117" s="22">
        <f t="shared" si="452"/>
        <v>-3801536.0765130445</v>
      </c>
      <c r="AW117" s="22">
        <f t="shared" si="453"/>
        <v>-6265089.0476174224</v>
      </c>
      <c r="AY117" s="49">
        <f t="shared" ref="AY117:CD117" si="514">AY46</f>
        <v>-16286</v>
      </c>
      <c r="AZ117" s="49">
        <f t="shared" si="514"/>
        <v>-52460</v>
      </c>
      <c r="BA117" s="49">
        <f t="shared" si="514"/>
        <v>-45900</v>
      </c>
      <c r="BB117" s="49">
        <f t="shared" si="514"/>
        <v>-28000</v>
      </c>
      <c r="BC117" s="49">
        <f t="shared" si="514"/>
        <v>-15600</v>
      </c>
      <c r="BD117" s="49">
        <f t="shared" si="514"/>
        <v>-22500</v>
      </c>
      <c r="BE117" s="49">
        <f t="shared" si="514"/>
        <v>0</v>
      </c>
      <c r="BF117" s="49">
        <f t="shared" si="514"/>
        <v>-53875</v>
      </c>
      <c r="BG117" s="49">
        <f t="shared" si="514"/>
        <v>-15560</v>
      </c>
      <c r="BH117" s="49">
        <f t="shared" si="514"/>
        <v>0</v>
      </c>
      <c r="BI117" s="49">
        <f t="shared" si="514"/>
        <v>-67700</v>
      </c>
      <c r="BJ117" s="49">
        <f t="shared" si="514"/>
        <v>-131250</v>
      </c>
      <c r="BK117" s="49">
        <f t="shared" si="514"/>
        <v>-12000</v>
      </c>
      <c r="BL117" s="49">
        <f t="shared" si="514"/>
        <v>-77800</v>
      </c>
      <c r="BM117" s="49">
        <f t="shared" si="514"/>
        <v>-114600</v>
      </c>
      <c r="BN117" s="49">
        <f t="shared" si="514"/>
        <v>-73652</v>
      </c>
      <c r="BO117" s="49">
        <f t="shared" si="514"/>
        <v>-78433</v>
      </c>
      <c r="BP117" s="49">
        <f t="shared" si="514"/>
        <v>-101388</v>
      </c>
      <c r="BQ117" s="49">
        <f t="shared" si="514"/>
        <v>-97986</v>
      </c>
      <c r="BR117" s="49">
        <f t="shared" si="514"/>
        <v>-35590</v>
      </c>
      <c r="BS117" s="49">
        <f t="shared" si="514"/>
        <v>-108352</v>
      </c>
      <c r="BT117" s="49">
        <f t="shared" si="514"/>
        <v>-64144</v>
      </c>
      <c r="BU117" s="49">
        <f t="shared" si="514"/>
        <v>-116973.71</v>
      </c>
      <c r="BV117" s="49">
        <f t="shared" si="514"/>
        <v>-288964</v>
      </c>
      <c r="BW117" s="49">
        <f t="shared" si="514"/>
        <v>-242513</v>
      </c>
      <c r="BX117" s="49">
        <f t="shared" si="514"/>
        <v>-224142</v>
      </c>
      <c r="BY117" s="49">
        <f t="shared" si="514"/>
        <v>-216620.67</v>
      </c>
      <c r="BZ117" s="49">
        <f t="shared" si="514"/>
        <v>-193465.60000000001</v>
      </c>
      <c r="CA117" s="49">
        <f t="shared" si="514"/>
        <v>-157120</v>
      </c>
      <c r="CB117" s="49">
        <f t="shared" si="514"/>
        <v>-181700</v>
      </c>
      <c r="CC117" s="49">
        <f t="shared" si="514"/>
        <v>-197488.6</v>
      </c>
      <c r="CD117" s="49">
        <f t="shared" si="514"/>
        <v>-154499.6</v>
      </c>
      <c r="CE117" s="49">
        <f t="shared" ref="CE117:DJ117" si="515">CE46</f>
        <v>-237006.29358999999</v>
      </c>
      <c r="CF117" s="49">
        <f t="shared" si="515"/>
        <v>-164693.6</v>
      </c>
      <c r="CG117" s="49">
        <f t="shared" si="515"/>
        <v>-185188</v>
      </c>
      <c r="CH117" s="49">
        <f t="shared" si="515"/>
        <v>-243168.16</v>
      </c>
      <c r="CI117" s="49">
        <f t="shared" si="515"/>
        <v>-160350</v>
      </c>
      <c r="CJ117" s="49">
        <f t="shared" si="515"/>
        <v>-120534.325882</v>
      </c>
      <c r="CK117" s="49">
        <f t="shared" si="515"/>
        <v>-346259.76285699999</v>
      </c>
      <c r="CL117" s="49">
        <f t="shared" si="515"/>
        <v>-233167.100519</v>
      </c>
      <c r="CM117" s="49">
        <f t="shared" si="515"/>
        <v>-151466.30831200001</v>
      </c>
      <c r="CN117" s="49">
        <f t="shared" si="515"/>
        <v>-202798.21176500001</v>
      </c>
      <c r="CO117" s="49">
        <f t="shared" si="515"/>
        <v>-104954.12052854933</v>
      </c>
      <c r="CP117" s="49">
        <f t="shared" si="515"/>
        <v>-164527.05531912687</v>
      </c>
      <c r="CQ117" s="49">
        <f t="shared" si="515"/>
        <v>-322484.22923332348</v>
      </c>
      <c r="CR117" s="49">
        <f t="shared" si="515"/>
        <v>-143761.02240897116</v>
      </c>
      <c r="CS117" s="49">
        <f t="shared" si="515"/>
        <v>-277375.7983261504</v>
      </c>
      <c r="CT117" s="49">
        <f t="shared" si="515"/>
        <v>-385903.88055841217</v>
      </c>
      <c r="CU117" s="49">
        <f t="shared" si="515"/>
        <v>-188529.78993613296</v>
      </c>
      <c r="CV117" s="49">
        <f t="shared" si="515"/>
        <v>-238448.57047446986</v>
      </c>
      <c r="CW117" s="49">
        <f t="shared" si="515"/>
        <v>-444047.98821375472</v>
      </c>
      <c r="CX117" s="49">
        <f t="shared" si="515"/>
        <v>-294432.70467883151</v>
      </c>
      <c r="CY117" s="49">
        <f t="shared" si="515"/>
        <v>-241220.47153002501</v>
      </c>
      <c r="CZ117" s="49">
        <f t="shared" si="515"/>
        <v>-445442.36404543917</v>
      </c>
      <c r="DA117" s="49">
        <f t="shared" si="515"/>
        <v>-296956.04807207431</v>
      </c>
      <c r="DB117" s="49">
        <f t="shared" si="515"/>
        <v>-232945.35269222077</v>
      </c>
      <c r="DC117" s="49">
        <f t="shared" si="515"/>
        <v>-369297.7257817667</v>
      </c>
      <c r="DD117" s="49">
        <f t="shared" si="515"/>
        <v>-291934.50606082636</v>
      </c>
      <c r="DE117" s="49">
        <f t="shared" si="515"/>
        <v>-613578.04372948129</v>
      </c>
      <c r="DF117" s="49">
        <f t="shared" si="515"/>
        <v>-576404.88725747238</v>
      </c>
      <c r="DG117" s="49">
        <f t="shared" si="515"/>
        <v>-301485.47352780611</v>
      </c>
      <c r="DH117" s="49">
        <f t="shared" si="515"/>
        <v>-381312.57774104184</v>
      </c>
      <c r="DI117" s="49">
        <f t="shared" si="515"/>
        <v>-710094.77091681445</v>
      </c>
      <c r="DJ117" s="49">
        <f t="shared" si="515"/>
        <v>-470839.02985433384</v>
      </c>
      <c r="DK117" s="49">
        <f t="shared" ref="DK117:EP117" si="516">DK46</f>
        <v>-385745.23479003849</v>
      </c>
      <c r="DL117" s="49">
        <f t="shared" si="516"/>
        <v>-712324.57267935562</v>
      </c>
      <c r="DM117" s="49">
        <f t="shared" si="516"/>
        <v>-474874.20847540366</v>
      </c>
      <c r="DN117" s="49">
        <f t="shared" si="516"/>
        <v>-372512.1636549175</v>
      </c>
      <c r="DO117" s="49">
        <f t="shared" si="516"/>
        <v>-590558.65795943991</v>
      </c>
      <c r="DP117" s="49">
        <f t="shared" si="516"/>
        <v>-466844.06124183536</v>
      </c>
      <c r="DQ117" s="49">
        <f t="shared" si="516"/>
        <v>-981197.01466125692</v>
      </c>
      <c r="DR117" s="49">
        <f t="shared" si="516"/>
        <v>-921751.94401601073</v>
      </c>
      <c r="DS117" s="49">
        <f t="shared" si="516"/>
        <v>-425732.38671202841</v>
      </c>
      <c r="DT117" s="49">
        <f t="shared" si="516"/>
        <v>-538457.49815218616</v>
      </c>
      <c r="DU117" s="49">
        <f t="shared" si="516"/>
        <v>-1002736.0127063114</v>
      </c>
      <c r="DV117" s="49">
        <f t="shared" si="516"/>
        <v>-664879.21156365052</v>
      </c>
      <c r="DW117" s="49">
        <f t="shared" si="516"/>
        <v>-544716.92300228984</v>
      </c>
      <c r="DX117" s="49">
        <f t="shared" si="516"/>
        <v>-1005884.7509030583</v>
      </c>
      <c r="DY117" s="49">
        <f t="shared" si="516"/>
        <v>-670577.35086388118</v>
      </c>
      <c r="DZ117" s="49">
        <f t="shared" si="516"/>
        <v>-526030.29478116101</v>
      </c>
      <c r="EA117" s="49">
        <f t="shared" si="516"/>
        <v>-833937.1844505677</v>
      </c>
      <c r="EB117" s="49">
        <f t="shared" si="516"/>
        <v>-659237.8534499841</v>
      </c>
      <c r="EC117" s="49">
        <f t="shared" si="516"/>
        <v>-1385563.7619897695</v>
      </c>
      <c r="ED117" s="49">
        <f t="shared" si="516"/>
        <v>-1301620.4412455556</v>
      </c>
      <c r="EE117" s="49">
        <f t="shared" si="516"/>
        <v>-588801.39496271405</v>
      </c>
      <c r="EF117" s="49">
        <f t="shared" si="516"/>
        <v>-744703.79970080545</v>
      </c>
      <c r="EG117" s="49">
        <f t="shared" si="516"/>
        <v>-1386815.7121440459</v>
      </c>
      <c r="EH117" s="49">
        <f t="shared" si="516"/>
        <v>-919549.03941849002</v>
      </c>
      <c r="EI117" s="49">
        <f t="shared" si="516"/>
        <v>-753360.78281611239</v>
      </c>
      <c r="EJ117" s="49">
        <f t="shared" si="516"/>
        <v>-1391170.5169474469</v>
      </c>
      <c r="EK117" s="49">
        <f t="shared" si="516"/>
        <v>-927429.74681446538</v>
      </c>
      <c r="EL117" s="49">
        <f t="shared" si="516"/>
        <v>-727516.58325045253</v>
      </c>
      <c r="EM117" s="49">
        <f t="shared" si="516"/>
        <v>-1153361.5784037304</v>
      </c>
      <c r="EN117" s="49">
        <f t="shared" si="516"/>
        <v>-911746.86220462038</v>
      </c>
      <c r="EO117" s="49">
        <f t="shared" si="516"/>
        <v>-1916278.6326171518</v>
      </c>
      <c r="EP117" s="49">
        <f t="shared" si="516"/>
        <v>-1800182.3573637772</v>
      </c>
      <c r="EQ117" s="49">
        <f t="shared" ref="EQ117:FB117" si="517">EQ46</f>
        <v>-797045.70075883204</v>
      </c>
      <c r="ER117" s="49">
        <f t="shared" si="517"/>
        <v>-1008086.8811934129</v>
      </c>
      <c r="ES117" s="49">
        <f t="shared" si="517"/>
        <v>-1877297.6942067305</v>
      </c>
      <c r="ET117" s="49">
        <f t="shared" si="517"/>
        <v>-1244770.502882103</v>
      </c>
      <c r="EU117" s="49">
        <f t="shared" si="517"/>
        <v>-1019805.6224067113</v>
      </c>
      <c r="EV117" s="49">
        <f t="shared" si="517"/>
        <v>-1883192.6843950856</v>
      </c>
      <c r="EW117" s="49">
        <f t="shared" si="517"/>
        <v>-1255438.4190973798</v>
      </c>
      <c r="EX117" s="49">
        <f t="shared" si="517"/>
        <v>-984820.97676967643</v>
      </c>
      <c r="EY117" s="49">
        <f t="shared" si="517"/>
        <v>-1561276.6806459886</v>
      </c>
      <c r="EZ117" s="49">
        <f t="shared" si="517"/>
        <v>-1234208.8910074108</v>
      </c>
      <c r="FA117" s="49">
        <f t="shared" si="517"/>
        <v>-2594018.388289033</v>
      </c>
      <c r="FB117" s="49">
        <f t="shared" si="517"/>
        <v>-2436861.7683209782</v>
      </c>
    </row>
    <row r="118" spans="3:158" x14ac:dyDescent="0.25">
      <c r="C118" s="2" t="s">
        <v>346</v>
      </c>
      <c r="D118" s="244">
        <f t="shared" si="417"/>
        <v>-426674.45</v>
      </c>
      <c r="E118" s="244">
        <f t="shared" si="417"/>
        <v>-1111388.5745000001</v>
      </c>
      <c r="F118" s="244">
        <f t="shared" si="417"/>
        <v>-2277725.2474105</v>
      </c>
      <c r="G118" s="244">
        <f t="shared" si="417"/>
        <v>-2551829.8086814038</v>
      </c>
      <c r="H118" s="244">
        <f t="shared" si="417"/>
        <v>-4081427.6798817925</v>
      </c>
      <c r="I118" s="244">
        <f t="shared" si="417"/>
        <v>-6392161.1858501239</v>
      </c>
      <c r="J118" s="244">
        <f t="shared" si="417"/>
        <v>-8545075.8412336223</v>
      </c>
      <c r="K118" s="244">
        <f t="shared" si="417"/>
        <v>-11326615.879166387</v>
      </c>
      <c r="L118" s="244">
        <f t="shared" si="417"/>
        <v>-14934198.786088491</v>
      </c>
      <c r="N118" s="244">
        <f t="shared" si="418"/>
        <v>-108913.7</v>
      </c>
      <c r="O118" s="244">
        <f t="shared" si="419"/>
        <v>-62795</v>
      </c>
      <c r="P118" s="244">
        <f t="shared" si="420"/>
        <v>-65963.25</v>
      </c>
      <c r="Q118" s="244">
        <f t="shared" si="421"/>
        <v>-189002.5</v>
      </c>
      <c r="R118" s="244">
        <f t="shared" si="422"/>
        <v>-194180</v>
      </c>
      <c r="S118" s="244">
        <f t="shared" si="423"/>
        <v>-240799.34999999998</v>
      </c>
      <c r="T118" s="244">
        <f t="shared" si="424"/>
        <v>-229831.59999999998</v>
      </c>
      <c r="U118" s="244">
        <f t="shared" si="425"/>
        <v>-446577.62449999998</v>
      </c>
      <c r="V118" s="244">
        <f t="shared" si="426"/>
        <v>-649111.88650000002</v>
      </c>
      <c r="W118" s="244">
        <f t="shared" si="427"/>
        <v>-505671.32</v>
      </c>
      <c r="X118" s="244">
        <f t="shared" si="428"/>
        <v>-559544.76891049999</v>
      </c>
      <c r="Y118" s="244">
        <f t="shared" si="429"/>
        <v>-563397.272</v>
      </c>
      <c r="Z118" s="244">
        <f t="shared" si="430"/>
        <v>-612326.33712216478</v>
      </c>
      <c r="AA118" s="244">
        <f t="shared" si="431"/>
        <v>-573552.16928303544</v>
      </c>
      <c r="AB118" s="244">
        <f t="shared" si="432"/>
        <v>-577978.83246435178</v>
      </c>
      <c r="AC118" s="244">
        <f t="shared" si="433"/>
        <v>-787972.46981185128</v>
      </c>
      <c r="AD118" s="244">
        <f t="shared" si="434"/>
        <v>-839789.93602532463</v>
      </c>
      <c r="AE118" s="244">
        <f t="shared" si="435"/>
        <v>-945911.86855153448</v>
      </c>
      <c r="AF118" s="244">
        <f t="shared" si="436"/>
        <v>-866952.39259841165</v>
      </c>
      <c r="AG118" s="244">
        <f t="shared" si="437"/>
        <v>-1428773.4827065219</v>
      </c>
      <c r="AH118" s="244">
        <f t="shared" si="438"/>
        <v>-1315243.8446450951</v>
      </c>
      <c r="AI118" s="244">
        <f t="shared" si="439"/>
        <v>-1481447.5731602821</v>
      </c>
      <c r="AJ118" s="244">
        <f t="shared" si="440"/>
        <v>-1357784.5471239528</v>
      </c>
      <c r="AK118" s="244">
        <f t="shared" si="441"/>
        <v>-2237685.2209207932</v>
      </c>
      <c r="AL118" s="244">
        <f t="shared" si="442"/>
        <v>-1758225.1253436315</v>
      </c>
      <c r="AM118" s="244">
        <f t="shared" si="443"/>
        <v>-1980407.1736314509</v>
      </c>
      <c r="AN118" s="244">
        <f t="shared" si="444"/>
        <v>-1815093.7678030676</v>
      </c>
      <c r="AO118" s="244">
        <f t="shared" si="445"/>
        <v>-2991349.7744554728</v>
      </c>
      <c r="AP118" s="244">
        <f t="shared" si="446"/>
        <v>-2330551.6526570078</v>
      </c>
      <c r="AQ118" s="244">
        <f t="shared" si="447"/>
        <v>-2625057.0219433755</v>
      </c>
      <c r="AR118" s="244">
        <f t="shared" si="448"/>
        <v>-2405931.8225554992</v>
      </c>
      <c r="AS118" s="244">
        <f t="shared" si="449"/>
        <v>-3965075.3820105055</v>
      </c>
      <c r="AT118" s="244">
        <f t="shared" si="450"/>
        <v>-3072843.8249632213</v>
      </c>
      <c r="AU118" s="244">
        <f t="shared" si="451"/>
        <v>-3461150.6039176355</v>
      </c>
      <c r="AV118" s="244">
        <f t="shared" si="452"/>
        <v>-3172232.9499942753</v>
      </c>
      <c r="AW118" s="244">
        <f t="shared" si="453"/>
        <v>-5227971.4072133563</v>
      </c>
      <c r="AY118" s="20">
        <f t="shared" ref="AY118:CD118" si="518">AY$117*AY94</f>
        <v>-15471.699999999999</v>
      </c>
      <c r="AZ118" s="20">
        <f t="shared" si="518"/>
        <v>-49837</v>
      </c>
      <c r="BA118" s="20">
        <f t="shared" si="518"/>
        <v>-43605</v>
      </c>
      <c r="BB118" s="20">
        <f t="shared" si="518"/>
        <v>-26600</v>
      </c>
      <c r="BC118" s="20">
        <f t="shared" si="518"/>
        <v>-14820</v>
      </c>
      <c r="BD118" s="20">
        <f t="shared" si="518"/>
        <v>-21375</v>
      </c>
      <c r="BE118" s="20">
        <f t="shared" si="518"/>
        <v>0</v>
      </c>
      <c r="BF118" s="20">
        <f t="shared" si="518"/>
        <v>-51181.25</v>
      </c>
      <c r="BG118" s="20">
        <f t="shared" si="518"/>
        <v>-14782</v>
      </c>
      <c r="BH118" s="20">
        <f t="shared" si="518"/>
        <v>0</v>
      </c>
      <c r="BI118" s="20">
        <f t="shared" si="518"/>
        <v>-64315</v>
      </c>
      <c r="BJ118" s="20">
        <f t="shared" si="518"/>
        <v>-124687.5</v>
      </c>
      <c r="BK118" s="20">
        <f t="shared" si="518"/>
        <v>-11400</v>
      </c>
      <c r="BL118" s="20">
        <f t="shared" si="518"/>
        <v>-73910</v>
      </c>
      <c r="BM118" s="20">
        <f t="shared" si="518"/>
        <v>-108870</v>
      </c>
      <c r="BN118" s="20">
        <f t="shared" si="518"/>
        <v>-69969.399999999994</v>
      </c>
      <c r="BO118" s="20">
        <f t="shared" si="518"/>
        <v>-74511.349999999991</v>
      </c>
      <c r="BP118" s="20">
        <f t="shared" si="518"/>
        <v>-96318.599999999991</v>
      </c>
      <c r="BQ118" s="20">
        <f t="shared" si="518"/>
        <v>-93086.7</v>
      </c>
      <c r="BR118" s="20">
        <f t="shared" si="518"/>
        <v>-33810.5</v>
      </c>
      <c r="BS118" s="20">
        <f t="shared" si="518"/>
        <v>-102934.39999999999</v>
      </c>
      <c r="BT118" s="20">
        <f t="shared" si="518"/>
        <v>-60936.799999999996</v>
      </c>
      <c r="BU118" s="20">
        <f t="shared" si="518"/>
        <v>-111125.0245</v>
      </c>
      <c r="BV118" s="20">
        <f t="shared" si="518"/>
        <v>-274515.8</v>
      </c>
      <c r="BW118" s="20">
        <f t="shared" si="518"/>
        <v>-230387.34999999998</v>
      </c>
      <c r="BX118" s="20">
        <f t="shared" si="518"/>
        <v>-212934.9</v>
      </c>
      <c r="BY118" s="20">
        <f t="shared" si="518"/>
        <v>-205789.63649999999</v>
      </c>
      <c r="BZ118" s="20">
        <f t="shared" si="518"/>
        <v>-183792.32</v>
      </c>
      <c r="CA118" s="20">
        <f t="shared" si="518"/>
        <v>-149264</v>
      </c>
      <c r="CB118" s="20">
        <f t="shared" si="518"/>
        <v>-172615</v>
      </c>
      <c r="CC118" s="20">
        <f t="shared" si="518"/>
        <v>-187614.16999999998</v>
      </c>
      <c r="CD118" s="20">
        <f t="shared" si="518"/>
        <v>-146774.62</v>
      </c>
      <c r="CE118" s="20">
        <f t="shared" ref="CE118:DJ118" si="519">CE$117*CE94</f>
        <v>-225155.97891049998</v>
      </c>
      <c r="CF118" s="20">
        <f t="shared" si="519"/>
        <v>-156458.91999999998</v>
      </c>
      <c r="CG118" s="20">
        <f t="shared" si="519"/>
        <v>-175928.6</v>
      </c>
      <c r="CH118" s="20">
        <f t="shared" si="519"/>
        <v>-231009.75199999998</v>
      </c>
      <c r="CI118" s="20">
        <f t="shared" si="519"/>
        <v>-156561.35475176526</v>
      </c>
      <c r="CJ118" s="20">
        <f t="shared" si="519"/>
        <v>-117686.41942112058</v>
      </c>
      <c r="CK118" s="20">
        <f t="shared" si="519"/>
        <v>-338078.56294927897</v>
      </c>
      <c r="CL118" s="20">
        <f t="shared" si="519"/>
        <v>-227657.98029807091</v>
      </c>
      <c r="CM118" s="20">
        <f t="shared" si="519"/>
        <v>-147887.56113860483</v>
      </c>
      <c r="CN118" s="20">
        <f t="shared" si="519"/>
        <v>-198006.62784635971</v>
      </c>
      <c r="CO118" s="20">
        <f t="shared" si="519"/>
        <v>-102474.33300112093</v>
      </c>
      <c r="CP118" s="20">
        <f t="shared" si="519"/>
        <v>-160639.71733134473</v>
      </c>
      <c r="CQ118" s="20">
        <f t="shared" si="519"/>
        <v>-314864.78213188617</v>
      </c>
      <c r="CR118" s="20">
        <f t="shared" si="519"/>
        <v>-140364.33070687501</v>
      </c>
      <c r="CS118" s="20">
        <f t="shared" si="519"/>
        <v>-270822.14381848788</v>
      </c>
      <c r="CT118" s="20">
        <f t="shared" si="519"/>
        <v>-376785.99528648838</v>
      </c>
      <c r="CU118" s="20">
        <f t="shared" si="519"/>
        <v>-181768.80697051459</v>
      </c>
      <c r="CV118" s="20">
        <f t="shared" si="519"/>
        <v>-229897.41936089742</v>
      </c>
      <c r="CW118" s="20">
        <f t="shared" si="519"/>
        <v>-428123.70969391265</v>
      </c>
      <c r="CX118" s="20">
        <f t="shared" si="519"/>
        <v>-283873.87203212414</v>
      </c>
      <c r="CY118" s="20">
        <f t="shared" si="519"/>
        <v>-232569.91556470297</v>
      </c>
      <c r="CZ118" s="20">
        <f t="shared" si="519"/>
        <v>-429468.08095470734</v>
      </c>
      <c r="DA118" s="20">
        <f t="shared" si="519"/>
        <v>-286306.72425310232</v>
      </c>
      <c r="DB118" s="20">
        <f t="shared" si="519"/>
        <v>-224591.55586252292</v>
      </c>
      <c r="DC118" s="20">
        <f t="shared" si="519"/>
        <v>-356054.11248278641</v>
      </c>
      <c r="DD118" s="20">
        <f t="shared" si="519"/>
        <v>-281465.26285410504</v>
      </c>
      <c r="DE118" s="20">
        <f t="shared" si="519"/>
        <v>-591574.14342737105</v>
      </c>
      <c r="DF118" s="20">
        <f t="shared" si="519"/>
        <v>-555734.07642504573</v>
      </c>
      <c r="DG118" s="20">
        <f t="shared" si="519"/>
        <v>-284678.69673213421</v>
      </c>
      <c r="DH118" s="20">
        <f t="shared" si="519"/>
        <v>-360055.71481996676</v>
      </c>
      <c r="DI118" s="20">
        <f t="shared" si="519"/>
        <v>-670509.43309299403</v>
      </c>
      <c r="DJ118" s="20">
        <f t="shared" si="519"/>
        <v>-444591.37556818913</v>
      </c>
      <c r="DK118" s="20">
        <f t="shared" ref="DK118:EP118" si="520">DK$117*DK94</f>
        <v>-364241.26650510455</v>
      </c>
      <c r="DL118" s="20">
        <f t="shared" si="520"/>
        <v>-672614.93108698842</v>
      </c>
      <c r="DM118" s="20">
        <f t="shared" si="520"/>
        <v>-448401.60687879182</v>
      </c>
      <c r="DN118" s="20">
        <f t="shared" si="520"/>
        <v>-351745.8935094222</v>
      </c>
      <c r="DO118" s="20">
        <f t="shared" si="520"/>
        <v>-557637.04673573887</v>
      </c>
      <c r="DP118" s="20">
        <f t="shared" si="520"/>
        <v>-440819.11269666819</v>
      </c>
      <c r="DQ118" s="20">
        <f t="shared" si="520"/>
        <v>-926498.66045856127</v>
      </c>
      <c r="DR118" s="20">
        <f t="shared" si="520"/>
        <v>-870367.44776556385</v>
      </c>
      <c r="DS118" s="20">
        <f t="shared" si="520"/>
        <v>-380560.03020457469</v>
      </c>
      <c r="DT118" s="20">
        <f t="shared" si="520"/>
        <v>-481324.43797207152</v>
      </c>
      <c r="DU118" s="20">
        <f t="shared" si="520"/>
        <v>-896340.65716698533</v>
      </c>
      <c r="DV118" s="20">
        <f t="shared" si="520"/>
        <v>-594332.16906330269</v>
      </c>
      <c r="DW118" s="20">
        <f t="shared" si="520"/>
        <v>-486919.70623065013</v>
      </c>
      <c r="DX118" s="20">
        <f t="shared" si="520"/>
        <v>-899155.29833749798</v>
      </c>
      <c r="DY118" s="20">
        <f t="shared" si="520"/>
        <v>-599425.70700377529</v>
      </c>
      <c r="DZ118" s="20">
        <f t="shared" si="520"/>
        <v>-470215.82364568557</v>
      </c>
      <c r="EA118" s="20">
        <f t="shared" si="520"/>
        <v>-745452.23715360672</v>
      </c>
      <c r="EB118" s="20">
        <f t="shared" si="520"/>
        <v>-589289.38753871107</v>
      </c>
      <c r="EC118" s="20">
        <f t="shared" si="520"/>
        <v>-1238548.4486757114</v>
      </c>
      <c r="ED118" s="20">
        <f t="shared" si="520"/>
        <v>-1163511.9382410501</v>
      </c>
      <c r="EE118" s="20">
        <f t="shared" si="520"/>
        <v>-504437.5686276987</v>
      </c>
      <c r="EF118" s="20">
        <f t="shared" si="520"/>
        <v>-638002.18084176164</v>
      </c>
      <c r="EG118" s="20">
        <f t="shared" si="520"/>
        <v>-1188111.9031875473</v>
      </c>
      <c r="EH118" s="20">
        <f t="shared" si="520"/>
        <v>-787795.48697837687</v>
      </c>
      <c r="EI118" s="20">
        <f t="shared" si="520"/>
        <v>-645418.78608708899</v>
      </c>
      <c r="EJ118" s="20">
        <f t="shared" si="520"/>
        <v>-1191842.7488779095</v>
      </c>
      <c r="EK118" s="20">
        <f t="shared" si="520"/>
        <v>-794547.04176731198</v>
      </c>
      <c r="EL118" s="20">
        <f t="shared" si="520"/>
        <v>-623277.55934482545</v>
      </c>
      <c r="EM118" s="20">
        <f t="shared" si="520"/>
        <v>-988107.22144336149</v>
      </c>
      <c r="EN118" s="20">
        <f t="shared" si="520"/>
        <v>-781111.21051871253</v>
      </c>
      <c r="EO118" s="20">
        <f t="shared" si="520"/>
        <v>-1641713.0504791348</v>
      </c>
      <c r="EP118" s="20">
        <f t="shared" si="520"/>
        <v>-1542251.1210126583</v>
      </c>
      <c r="EQ118" s="20">
        <f t="shared" ref="EQ118:FB118" si="521">EQ$117*EQ94</f>
        <v>-665103.41706861567</v>
      </c>
      <c r="ER118" s="20">
        <f t="shared" si="521"/>
        <v>-841209.0156755707</v>
      </c>
      <c r="ES118" s="20">
        <f t="shared" si="521"/>
        <v>-1566531.3922190352</v>
      </c>
      <c r="ET118" s="20">
        <f t="shared" si="521"/>
        <v>-1038712.227096762</v>
      </c>
      <c r="EU118" s="20">
        <f t="shared" si="521"/>
        <v>-850987.84619593748</v>
      </c>
      <c r="EV118" s="20">
        <f t="shared" si="521"/>
        <v>-1571450.5306249359</v>
      </c>
      <c r="EW118" s="20">
        <f t="shared" si="521"/>
        <v>-1047614.1853170086</v>
      </c>
      <c r="EX118" s="20">
        <f t="shared" si="521"/>
        <v>-821794.52975752775</v>
      </c>
      <c r="EY118" s="20">
        <f t="shared" si="521"/>
        <v>-1302824.2349197392</v>
      </c>
      <c r="EZ118" s="20">
        <f t="shared" si="521"/>
        <v>-1029898.9756848011</v>
      </c>
      <c r="FA118" s="20">
        <f t="shared" si="521"/>
        <v>-2164606.7375400006</v>
      </c>
      <c r="FB118" s="20">
        <f t="shared" si="521"/>
        <v>-2033465.6939885542</v>
      </c>
    </row>
    <row r="119" spans="3:158" x14ac:dyDescent="0.25">
      <c r="C119" s="2" t="s">
        <v>298</v>
      </c>
      <c r="D119" s="244">
        <f t="shared" si="417"/>
        <v>-8982.619999999999</v>
      </c>
      <c r="E119" s="244">
        <f t="shared" si="417"/>
        <v>-23397.654199999997</v>
      </c>
      <c r="F119" s="244">
        <f t="shared" si="417"/>
        <v>-47952.110471800013</v>
      </c>
      <c r="G119" s="244">
        <f t="shared" si="417"/>
        <v>-52695.122566933453</v>
      </c>
      <c r="H119" s="244">
        <f t="shared" si="417"/>
        <v>-104670.47804092086</v>
      </c>
      <c r="I119" s="244">
        <f t="shared" si="417"/>
        <v>-222922.59395900765</v>
      </c>
      <c r="J119" s="244">
        <f t="shared" si="417"/>
        <v>-678471.83700813353</v>
      </c>
      <c r="K119" s="244">
        <f t="shared" si="417"/>
        <v>-1334152.1839472034</v>
      </c>
      <c r="L119" s="244">
        <f t="shared" si="417"/>
        <v>-2126808.1838488476</v>
      </c>
      <c r="N119" s="244">
        <f t="shared" si="418"/>
        <v>-2292.92</v>
      </c>
      <c r="O119" s="244">
        <f t="shared" si="419"/>
        <v>-1322</v>
      </c>
      <c r="P119" s="244">
        <f t="shared" si="420"/>
        <v>-1388.7</v>
      </c>
      <c r="Q119" s="244">
        <f t="shared" si="421"/>
        <v>-3979</v>
      </c>
      <c r="R119" s="244">
        <f t="shared" si="422"/>
        <v>-4088</v>
      </c>
      <c r="S119" s="244">
        <f t="shared" si="423"/>
        <v>-5069.46</v>
      </c>
      <c r="T119" s="244">
        <f t="shared" si="424"/>
        <v>-4838.5599999999995</v>
      </c>
      <c r="U119" s="244">
        <f t="shared" si="425"/>
        <v>-9401.6342000000004</v>
      </c>
      <c r="V119" s="244">
        <f t="shared" si="426"/>
        <v>-13665.5134</v>
      </c>
      <c r="W119" s="244">
        <f t="shared" si="427"/>
        <v>-10645.712</v>
      </c>
      <c r="X119" s="244">
        <f t="shared" si="428"/>
        <v>-11779.889871800002</v>
      </c>
      <c r="Y119" s="244">
        <f t="shared" si="429"/>
        <v>-11860.995200000001</v>
      </c>
      <c r="Z119" s="244">
        <f t="shared" si="430"/>
        <v>-12644.499753017186</v>
      </c>
      <c r="AA119" s="244">
        <f t="shared" si="431"/>
        <v>-11843.815663599187</v>
      </c>
      <c r="AB119" s="244">
        <f t="shared" si="432"/>
        <v>-11935.225975567653</v>
      </c>
      <c r="AC119" s="244">
        <f t="shared" si="433"/>
        <v>-16271.581174749435</v>
      </c>
      <c r="AD119" s="244">
        <f t="shared" si="434"/>
        <v>-21536.878992370359</v>
      </c>
      <c r="AE119" s="244">
        <f t="shared" si="435"/>
        <v>-24258.434849625301</v>
      </c>
      <c r="AF119" s="244">
        <f t="shared" si="436"/>
        <v>-22233.475266337198</v>
      </c>
      <c r="AG119" s="244">
        <f t="shared" si="437"/>
        <v>-36641.688932588004</v>
      </c>
      <c r="AH119" s="244">
        <f t="shared" si="438"/>
        <v>-45868.300409247102</v>
      </c>
      <c r="AI119" s="244">
        <f t="shared" si="439"/>
        <v>-51664.550724129716</v>
      </c>
      <c r="AJ119" s="244">
        <f t="shared" si="440"/>
        <v>-47351.880605318795</v>
      </c>
      <c r="AK119" s="244">
        <f t="shared" si="441"/>
        <v>-78037.862220312032</v>
      </c>
      <c r="AL119" s="244">
        <f t="shared" si="442"/>
        <v>-139601.59661889367</v>
      </c>
      <c r="AM119" s="244">
        <f t="shared" si="443"/>
        <v>-157242.66444004292</v>
      </c>
      <c r="AN119" s="244">
        <f t="shared" si="444"/>
        <v>-144116.91901444562</v>
      </c>
      <c r="AO119" s="244">
        <f t="shared" si="445"/>
        <v>-237510.65693475131</v>
      </c>
      <c r="AP119" s="244">
        <f t="shared" si="446"/>
        <v>-274513.64205907448</v>
      </c>
      <c r="AQ119" s="244">
        <f t="shared" si="447"/>
        <v>-309203.17208368611</v>
      </c>
      <c r="AR119" s="244">
        <f t="shared" si="448"/>
        <v>-283392.60638251057</v>
      </c>
      <c r="AS119" s="244">
        <f t="shared" si="449"/>
        <v>-467042.76342193224</v>
      </c>
      <c r="AT119" s="244">
        <f t="shared" si="450"/>
        <v>-437609.64268863131</v>
      </c>
      <c r="AU119" s="244">
        <f t="shared" si="451"/>
        <v>-492909.1634164211</v>
      </c>
      <c r="AV119" s="244">
        <f t="shared" si="452"/>
        <v>-451763.84054881579</v>
      </c>
      <c r="AW119" s="244">
        <f t="shared" si="453"/>
        <v>-744525.53719497938</v>
      </c>
      <c r="AY119" s="20">
        <f t="shared" ref="AY119:CD119" si="522">AY$117*AY95</f>
        <v>-325.72000000000003</v>
      </c>
      <c r="AZ119" s="20">
        <f t="shared" si="522"/>
        <v>-1049.2</v>
      </c>
      <c r="BA119" s="20">
        <f t="shared" si="522"/>
        <v>-918</v>
      </c>
      <c r="BB119" s="20">
        <f t="shared" si="522"/>
        <v>-560</v>
      </c>
      <c r="BC119" s="20">
        <f t="shared" si="522"/>
        <v>-312</v>
      </c>
      <c r="BD119" s="20">
        <f t="shared" si="522"/>
        <v>-450</v>
      </c>
      <c r="BE119" s="20">
        <f t="shared" si="522"/>
        <v>0</v>
      </c>
      <c r="BF119" s="20">
        <f t="shared" si="522"/>
        <v>-1077.5</v>
      </c>
      <c r="BG119" s="20">
        <f t="shared" si="522"/>
        <v>-311.2</v>
      </c>
      <c r="BH119" s="20">
        <f t="shared" si="522"/>
        <v>0</v>
      </c>
      <c r="BI119" s="20">
        <f t="shared" si="522"/>
        <v>-1354</v>
      </c>
      <c r="BJ119" s="20">
        <f t="shared" si="522"/>
        <v>-2625</v>
      </c>
      <c r="BK119" s="20">
        <f t="shared" si="522"/>
        <v>-240</v>
      </c>
      <c r="BL119" s="20">
        <f t="shared" si="522"/>
        <v>-1556</v>
      </c>
      <c r="BM119" s="20">
        <f t="shared" si="522"/>
        <v>-2292</v>
      </c>
      <c r="BN119" s="20">
        <f t="shared" si="522"/>
        <v>-1473.04</v>
      </c>
      <c r="BO119" s="20">
        <f t="shared" si="522"/>
        <v>-1568.66</v>
      </c>
      <c r="BP119" s="20">
        <f t="shared" si="522"/>
        <v>-2027.76</v>
      </c>
      <c r="BQ119" s="20">
        <f t="shared" si="522"/>
        <v>-1959.72</v>
      </c>
      <c r="BR119" s="20">
        <f t="shared" si="522"/>
        <v>-711.80000000000007</v>
      </c>
      <c r="BS119" s="20">
        <f t="shared" si="522"/>
        <v>-2167.04</v>
      </c>
      <c r="BT119" s="20">
        <f t="shared" si="522"/>
        <v>-1282.8800000000001</v>
      </c>
      <c r="BU119" s="20">
        <f t="shared" si="522"/>
        <v>-2339.4742000000001</v>
      </c>
      <c r="BV119" s="20">
        <f t="shared" si="522"/>
        <v>-5779.28</v>
      </c>
      <c r="BW119" s="20">
        <f t="shared" si="522"/>
        <v>-4850.26</v>
      </c>
      <c r="BX119" s="20">
        <f t="shared" si="522"/>
        <v>-4482.84</v>
      </c>
      <c r="BY119" s="20">
        <f t="shared" si="522"/>
        <v>-4332.4134000000004</v>
      </c>
      <c r="BZ119" s="20">
        <f t="shared" si="522"/>
        <v>-3869.3120000000004</v>
      </c>
      <c r="CA119" s="20">
        <f t="shared" si="522"/>
        <v>-3142.4</v>
      </c>
      <c r="CB119" s="20">
        <f t="shared" si="522"/>
        <v>-3634</v>
      </c>
      <c r="CC119" s="20">
        <f t="shared" si="522"/>
        <v>-3949.7720000000004</v>
      </c>
      <c r="CD119" s="20">
        <f t="shared" si="522"/>
        <v>-3089.9920000000002</v>
      </c>
      <c r="CE119" s="20">
        <f t="shared" ref="CE119:DJ119" si="523">CE$117*CE95</f>
        <v>-4740.1258717999999</v>
      </c>
      <c r="CF119" s="20">
        <f t="shared" si="523"/>
        <v>-3293.8720000000003</v>
      </c>
      <c r="CG119" s="20">
        <f t="shared" si="523"/>
        <v>-3703.76</v>
      </c>
      <c r="CH119" s="20">
        <f t="shared" si="523"/>
        <v>-4863.3631999999998</v>
      </c>
      <c r="CI119" s="20">
        <f t="shared" si="523"/>
        <v>-3232.9819762362677</v>
      </c>
      <c r="CJ119" s="20">
        <f t="shared" si="523"/>
        <v>-2430.2170445543793</v>
      </c>
      <c r="CK119" s="20">
        <f t="shared" si="523"/>
        <v>-6981.3007322265375</v>
      </c>
      <c r="CL119" s="20">
        <f t="shared" si="523"/>
        <v>-4701.1227529104899</v>
      </c>
      <c r="CM119" s="20">
        <f t="shared" si="523"/>
        <v>-3053.8686921093959</v>
      </c>
      <c r="CN119" s="20">
        <f t="shared" si="523"/>
        <v>-4088.8242185793006</v>
      </c>
      <c r="CO119" s="20">
        <f t="shared" si="523"/>
        <v>-2116.0884315592693</v>
      </c>
      <c r="CP119" s="20">
        <f t="shared" si="523"/>
        <v>-3317.1999030244124</v>
      </c>
      <c r="CQ119" s="20">
        <f t="shared" si="523"/>
        <v>-6501.9376409839706</v>
      </c>
      <c r="CR119" s="20">
        <f t="shared" si="523"/>
        <v>-2898.5144641939628</v>
      </c>
      <c r="CS119" s="20">
        <f t="shared" si="523"/>
        <v>-5592.4599727632685</v>
      </c>
      <c r="CT119" s="20">
        <f t="shared" si="523"/>
        <v>-7780.6067377922045</v>
      </c>
      <c r="CU119" s="20">
        <f t="shared" si="523"/>
        <v>-4661.5619363571968</v>
      </c>
      <c r="CV119" s="20">
        <f t="shared" si="523"/>
        <v>-5895.8469124647381</v>
      </c>
      <c r="CW119" s="20">
        <f t="shared" si="523"/>
        <v>-10979.470143548426</v>
      </c>
      <c r="CX119" s="20">
        <f t="shared" si="523"/>
        <v>-7280.1029981229976</v>
      </c>
      <c r="CY119" s="20">
        <f t="shared" si="523"/>
        <v>-5964.3845608454085</v>
      </c>
      <c r="CZ119" s="20">
        <f t="shared" si="523"/>
        <v>-11013.947290656894</v>
      </c>
      <c r="DA119" s="20">
        <f t="shared" si="523"/>
        <v>-7342.494843561768</v>
      </c>
      <c r="DB119" s="20">
        <f t="shared" si="523"/>
        <v>-5759.7750982972957</v>
      </c>
      <c r="DC119" s="20">
        <f t="shared" si="523"/>
        <v>-9131.2053244781346</v>
      </c>
      <c r="DD119" s="20">
        <f t="shared" si="523"/>
        <v>-7218.3328789757898</v>
      </c>
      <c r="DE119" s="20">
        <f t="shared" si="523"/>
        <v>-15171.24723155319</v>
      </c>
      <c r="DF119" s="20">
        <f t="shared" si="523"/>
        <v>-14252.108822059021</v>
      </c>
      <c r="DG119" s="20">
        <f t="shared" si="523"/>
        <v>-9927.9901859916918</v>
      </c>
      <c r="DH119" s="20">
        <f t="shared" si="523"/>
        <v>-12556.716200321684</v>
      </c>
      <c r="DI119" s="20">
        <f t="shared" si="523"/>
        <v>-23383.594022933728</v>
      </c>
      <c r="DJ119" s="20">
        <f t="shared" si="523"/>
        <v>-15504.844107006522</v>
      </c>
      <c r="DK119" s="20">
        <f t="shared" ref="DK119:EP119" si="524">DK$117*DK95</f>
        <v>-12702.684678223311</v>
      </c>
      <c r="DL119" s="20">
        <f t="shared" si="524"/>
        <v>-23457.021938899881</v>
      </c>
      <c r="DM119" s="20">
        <f t="shared" si="524"/>
        <v>-15637.723523317802</v>
      </c>
      <c r="DN119" s="20">
        <f t="shared" si="524"/>
        <v>-12266.916417740626</v>
      </c>
      <c r="DO119" s="20">
        <f t="shared" si="524"/>
        <v>-19447.240664260367</v>
      </c>
      <c r="DP119" s="20">
        <f t="shared" si="524"/>
        <v>-15373.288816086106</v>
      </c>
      <c r="DQ119" s="20">
        <f t="shared" si="524"/>
        <v>-32311.05704064</v>
      </c>
      <c r="DR119" s="20">
        <f t="shared" si="524"/>
        <v>-30353.516363585935</v>
      </c>
      <c r="DS119" s="20">
        <f t="shared" si="524"/>
        <v>-30216.146419537603</v>
      </c>
      <c r="DT119" s="20">
        <f t="shared" si="524"/>
        <v>-38216.755672548104</v>
      </c>
      <c r="DU119" s="20">
        <f t="shared" si="524"/>
        <v>-71168.694526807958</v>
      </c>
      <c r="DV119" s="20">
        <f t="shared" si="524"/>
        <v>-47189.474503153571</v>
      </c>
      <c r="DW119" s="20">
        <f t="shared" si="524"/>
        <v>-38661.015267721348</v>
      </c>
      <c r="DX119" s="20">
        <f t="shared" si="524"/>
        <v>-71392.174669168016</v>
      </c>
      <c r="DY119" s="20">
        <f t="shared" si="524"/>
        <v>-47593.897132929102</v>
      </c>
      <c r="DZ119" s="20">
        <f t="shared" si="524"/>
        <v>-37334.741035267849</v>
      </c>
      <c r="EA119" s="20">
        <f t="shared" si="524"/>
        <v>-59188.280846248686</v>
      </c>
      <c r="EB119" s="20">
        <f t="shared" si="524"/>
        <v>-46789.081890122485</v>
      </c>
      <c r="EC119" s="20">
        <f t="shared" si="524"/>
        <v>-98339.705440843682</v>
      </c>
      <c r="ED119" s="20">
        <f t="shared" si="524"/>
        <v>-92381.869603785162</v>
      </c>
      <c r="EE119" s="20">
        <f t="shared" si="524"/>
        <v>-59417.260285796183</v>
      </c>
      <c r="EF119" s="20">
        <f t="shared" si="524"/>
        <v>-75149.719211256641</v>
      </c>
      <c r="EG119" s="20">
        <f t="shared" si="524"/>
        <v>-139946.66256202164</v>
      </c>
      <c r="EH119" s="20">
        <f t="shared" si="524"/>
        <v>-92793.741808546809</v>
      </c>
      <c r="EI119" s="20">
        <f t="shared" si="524"/>
        <v>-76023.314660337594</v>
      </c>
      <c r="EJ119" s="20">
        <f t="shared" si="524"/>
        <v>-140386.11561480167</v>
      </c>
      <c r="EK119" s="20">
        <f t="shared" si="524"/>
        <v>-93589.001545681967</v>
      </c>
      <c r="EL119" s="20">
        <f t="shared" si="524"/>
        <v>-73415.318915748503</v>
      </c>
      <c r="EM119" s="20">
        <f t="shared" si="524"/>
        <v>-116388.2859210801</v>
      </c>
      <c r="EN119" s="20">
        <f t="shared" si="524"/>
        <v>-92006.406727009235</v>
      </c>
      <c r="EO119" s="20">
        <f t="shared" si="524"/>
        <v>-193375.94521414666</v>
      </c>
      <c r="EP119" s="20">
        <f t="shared" si="524"/>
        <v>-181660.4114807763</v>
      </c>
      <c r="EQ119" s="20">
        <f t="shared" ref="EQ119:FB119" si="525">EQ$117*EQ95</f>
        <v>-94718.66624977866</v>
      </c>
      <c r="ER119" s="20">
        <f t="shared" si="525"/>
        <v>-119798.20574859438</v>
      </c>
      <c r="ES119" s="20">
        <f t="shared" si="525"/>
        <v>-223092.7706902583</v>
      </c>
      <c r="ET119" s="20">
        <f t="shared" si="525"/>
        <v>-147925.02074574746</v>
      </c>
      <c r="EU119" s="20">
        <f t="shared" si="525"/>
        <v>-121190.82794929527</v>
      </c>
      <c r="EV119" s="20">
        <f t="shared" si="525"/>
        <v>-223793.31472137838</v>
      </c>
      <c r="EW119" s="20">
        <f t="shared" si="525"/>
        <v>-149192.76586326509</v>
      </c>
      <c r="EX119" s="20">
        <f t="shared" si="525"/>
        <v>-117033.35119381404</v>
      </c>
      <c r="EY119" s="20">
        <f t="shared" si="525"/>
        <v>-185537.72349173666</v>
      </c>
      <c r="EZ119" s="20">
        <f t="shared" si="525"/>
        <v>-146669.90853666555</v>
      </c>
      <c r="FA119" s="20">
        <f t="shared" si="525"/>
        <v>-308265.83937685844</v>
      </c>
      <c r="FB119" s="20">
        <f t="shared" si="525"/>
        <v>-289589.78928145545</v>
      </c>
    </row>
    <row r="120" spans="3:158" x14ac:dyDescent="0.25">
      <c r="C120" s="2" t="s">
        <v>299</v>
      </c>
      <c r="D120" s="244">
        <f t="shared" si="417"/>
        <v>-4491.3099999999995</v>
      </c>
      <c r="E120" s="244">
        <f t="shared" si="417"/>
        <v>-11698.827099999999</v>
      </c>
      <c r="F120" s="244">
        <f t="shared" si="417"/>
        <v>-23976.055235900007</v>
      </c>
      <c r="G120" s="244">
        <f t="shared" si="417"/>
        <v>-10491.418518551307</v>
      </c>
      <c r="H120" s="244">
        <f t="shared" si="417"/>
        <v>-48385.937168238081</v>
      </c>
      <c r="I120" s="244">
        <f t="shared" si="417"/>
        <v>-155641.79676135059</v>
      </c>
      <c r="J120" s="244">
        <f t="shared" si="417"/>
        <v>-336844.25931443943</v>
      </c>
      <c r="K120" s="244">
        <f t="shared" si="417"/>
        <v>-561023.72633521224</v>
      </c>
      <c r="L120" s="244">
        <f t="shared" si="417"/>
        <v>-836568.99794681766</v>
      </c>
      <c r="N120" s="244">
        <f t="shared" si="418"/>
        <v>-1146.46</v>
      </c>
      <c r="O120" s="244">
        <f t="shared" si="419"/>
        <v>-661</v>
      </c>
      <c r="P120" s="244">
        <f t="shared" si="420"/>
        <v>-694.35</v>
      </c>
      <c r="Q120" s="244">
        <f t="shared" si="421"/>
        <v>-1989.5</v>
      </c>
      <c r="R120" s="244">
        <f t="shared" si="422"/>
        <v>-2044</v>
      </c>
      <c r="S120" s="244">
        <f t="shared" si="423"/>
        <v>-2534.73</v>
      </c>
      <c r="T120" s="244">
        <f t="shared" si="424"/>
        <v>-2419.2799999999997</v>
      </c>
      <c r="U120" s="244">
        <f t="shared" si="425"/>
        <v>-4700.8171000000002</v>
      </c>
      <c r="V120" s="244">
        <f t="shared" si="426"/>
        <v>-6832.7566999999999</v>
      </c>
      <c r="W120" s="244">
        <f t="shared" si="427"/>
        <v>-5322.8559999999998</v>
      </c>
      <c r="X120" s="244">
        <f t="shared" si="428"/>
        <v>-5889.9449359000009</v>
      </c>
      <c r="Y120" s="244">
        <f t="shared" si="429"/>
        <v>-5930.4976000000006</v>
      </c>
      <c r="Z120" s="244">
        <f t="shared" si="430"/>
        <v>-2517.4766165145265</v>
      </c>
      <c r="AA120" s="244">
        <f t="shared" si="431"/>
        <v>-2358.0631551916258</v>
      </c>
      <c r="AB120" s="244">
        <f t="shared" si="432"/>
        <v>-2376.2626353912278</v>
      </c>
      <c r="AC120" s="244">
        <f t="shared" si="433"/>
        <v>-3239.6161114539273</v>
      </c>
      <c r="AD120" s="244">
        <f t="shared" si="434"/>
        <v>-9955.8356207886773</v>
      </c>
      <c r="AE120" s="244">
        <f t="shared" si="435"/>
        <v>-11213.927044212822</v>
      </c>
      <c r="AF120" s="244">
        <f t="shared" si="436"/>
        <v>-10277.850616560561</v>
      </c>
      <c r="AG120" s="244">
        <f t="shared" si="437"/>
        <v>-16938.323886676022</v>
      </c>
      <c r="AH120" s="244">
        <f t="shared" si="438"/>
        <v>-32024.679792652056</v>
      </c>
      <c r="AI120" s="244">
        <f t="shared" si="439"/>
        <v>-36071.550042388895</v>
      </c>
      <c r="AJ120" s="244">
        <f t="shared" si="440"/>
        <v>-33060.497128415765</v>
      </c>
      <c r="AK120" s="244">
        <f t="shared" si="441"/>
        <v>-54485.06979789387</v>
      </c>
      <c r="AL120" s="244">
        <f t="shared" si="442"/>
        <v>-69308.693223828916</v>
      </c>
      <c r="AM120" s="244">
        <f t="shared" si="443"/>
        <v>-78067.0411752113</v>
      </c>
      <c r="AN120" s="244">
        <f t="shared" si="444"/>
        <v>-71550.437604262755</v>
      </c>
      <c r="AO120" s="244">
        <f t="shared" si="445"/>
        <v>-117918.08731113645</v>
      </c>
      <c r="AP120" s="244">
        <f t="shared" si="446"/>
        <v>-115435.60641049567</v>
      </c>
      <c r="AQ120" s="244">
        <f t="shared" si="447"/>
        <v>-130022.88485848045</v>
      </c>
      <c r="AR120" s="244">
        <f t="shared" si="448"/>
        <v>-119169.29564825108</v>
      </c>
      <c r="AS120" s="244">
        <f t="shared" si="449"/>
        <v>-196395.93941798504</v>
      </c>
      <c r="AT120" s="244">
        <f t="shared" si="450"/>
        <v>-172131.48936326988</v>
      </c>
      <c r="AU120" s="244">
        <f t="shared" si="451"/>
        <v>-193883.26979815005</v>
      </c>
      <c r="AV120" s="244">
        <f t="shared" si="452"/>
        <v>-177698.96987728929</v>
      </c>
      <c r="AW120" s="244">
        <f t="shared" si="453"/>
        <v>-292855.26890810847</v>
      </c>
      <c r="AY120" s="20">
        <f t="shared" ref="AY120:CD120" si="526">AY$117*AY96</f>
        <v>-162.86000000000001</v>
      </c>
      <c r="AZ120" s="20">
        <f t="shared" si="526"/>
        <v>-524.6</v>
      </c>
      <c r="BA120" s="20">
        <f t="shared" si="526"/>
        <v>-459</v>
      </c>
      <c r="BB120" s="20">
        <f t="shared" si="526"/>
        <v>-280</v>
      </c>
      <c r="BC120" s="20">
        <f t="shared" si="526"/>
        <v>-156</v>
      </c>
      <c r="BD120" s="20">
        <f t="shared" si="526"/>
        <v>-225</v>
      </c>
      <c r="BE120" s="20">
        <f t="shared" si="526"/>
        <v>0</v>
      </c>
      <c r="BF120" s="20">
        <f t="shared" si="526"/>
        <v>-538.75</v>
      </c>
      <c r="BG120" s="20">
        <f t="shared" si="526"/>
        <v>-155.6</v>
      </c>
      <c r="BH120" s="20">
        <f t="shared" si="526"/>
        <v>0</v>
      </c>
      <c r="BI120" s="20">
        <f t="shared" si="526"/>
        <v>-677</v>
      </c>
      <c r="BJ120" s="20">
        <f t="shared" si="526"/>
        <v>-1312.5</v>
      </c>
      <c r="BK120" s="20">
        <f t="shared" si="526"/>
        <v>-120</v>
      </c>
      <c r="BL120" s="20">
        <f t="shared" si="526"/>
        <v>-778</v>
      </c>
      <c r="BM120" s="20">
        <f t="shared" si="526"/>
        <v>-1146</v>
      </c>
      <c r="BN120" s="20">
        <f t="shared" si="526"/>
        <v>-736.52</v>
      </c>
      <c r="BO120" s="20">
        <f t="shared" si="526"/>
        <v>-784.33</v>
      </c>
      <c r="BP120" s="20">
        <f t="shared" si="526"/>
        <v>-1013.88</v>
      </c>
      <c r="BQ120" s="20">
        <f t="shared" si="526"/>
        <v>-979.86</v>
      </c>
      <c r="BR120" s="20">
        <f t="shared" si="526"/>
        <v>-355.90000000000003</v>
      </c>
      <c r="BS120" s="20">
        <f t="shared" si="526"/>
        <v>-1083.52</v>
      </c>
      <c r="BT120" s="20">
        <f t="shared" si="526"/>
        <v>-641.44000000000005</v>
      </c>
      <c r="BU120" s="20">
        <f t="shared" si="526"/>
        <v>-1169.7371000000001</v>
      </c>
      <c r="BV120" s="20">
        <f t="shared" si="526"/>
        <v>-2889.64</v>
      </c>
      <c r="BW120" s="20">
        <f t="shared" si="526"/>
        <v>-2425.13</v>
      </c>
      <c r="BX120" s="20">
        <f t="shared" si="526"/>
        <v>-2241.42</v>
      </c>
      <c r="BY120" s="20">
        <f t="shared" si="526"/>
        <v>-2166.2067000000002</v>
      </c>
      <c r="BZ120" s="20">
        <f t="shared" si="526"/>
        <v>-1934.6560000000002</v>
      </c>
      <c r="CA120" s="20">
        <f t="shared" si="526"/>
        <v>-1571.2</v>
      </c>
      <c r="CB120" s="20">
        <f t="shared" si="526"/>
        <v>-1817</v>
      </c>
      <c r="CC120" s="20">
        <f t="shared" si="526"/>
        <v>-1974.8860000000002</v>
      </c>
      <c r="CD120" s="20">
        <f t="shared" si="526"/>
        <v>-1544.9960000000001</v>
      </c>
      <c r="CE120" s="20">
        <f t="shared" ref="CE120:DJ120" si="527">CE$117*CE96</f>
        <v>-2370.0629359</v>
      </c>
      <c r="CF120" s="20">
        <f t="shared" si="527"/>
        <v>-1646.9360000000001</v>
      </c>
      <c r="CG120" s="20">
        <f t="shared" si="527"/>
        <v>-1851.88</v>
      </c>
      <c r="CH120" s="20">
        <f t="shared" si="527"/>
        <v>-2431.6815999999999</v>
      </c>
      <c r="CI120" s="20">
        <f t="shared" si="527"/>
        <v>-643.67564441176398</v>
      </c>
      <c r="CJ120" s="20">
        <f t="shared" si="527"/>
        <v>-483.84789451720559</v>
      </c>
      <c r="CK120" s="20">
        <f t="shared" si="527"/>
        <v>-1389.9530775855569</v>
      </c>
      <c r="CL120" s="20">
        <f t="shared" si="527"/>
        <v>-935.97744734761386</v>
      </c>
      <c r="CM120" s="20">
        <f t="shared" si="527"/>
        <v>-608.01480267787667</v>
      </c>
      <c r="CN120" s="20">
        <f t="shared" si="527"/>
        <v>-814.07090516613505</v>
      </c>
      <c r="CO120" s="20">
        <f t="shared" si="527"/>
        <v>-421.30596298649169</v>
      </c>
      <c r="CP120" s="20">
        <f t="shared" si="527"/>
        <v>-660.44314534274361</v>
      </c>
      <c r="CQ120" s="20">
        <f t="shared" si="527"/>
        <v>-1294.5135270619926</v>
      </c>
      <c r="CR120" s="20">
        <f t="shared" si="527"/>
        <v>-577.08430770432528</v>
      </c>
      <c r="CS120" s="20">
        <f t="shared" si="527"/>
        <v>-1113.4396366187236</v>
      </c>
      <c r="CT120" s="20">
        <f t="shared" si="527"/>
        <v>-1549.0921671308784</v>
      </c>
      <c r="CU120" s="20">
        <f t="shared" si="527"/>
        <v>-2154.8964634540921</v>
      </c>
      <c r="CV120" s="20">
        <f t="shared" si="527"/>
        <v>-2725.4683803826788</v>
      </c>
      <c r="CW120" s="20">
        <f t="shared" si="527"/>
        <v>-5075.4707769519064</v>
      </c>
      <c r="CX120" s="20">
        <f t="shared" si="527"/>
        <v>-3365.3673207431739</v>
      </c>
      <c r="CY120" s="20">
        <f t="shared" si="527"/>
        <v>-2757.1512236282156</v>
      </c>
      <c r="CZ120" s="20">
        <f t="shared" si="527"/>
        <v>-5091.4084998414328</v>
      </c>
      <c r="DA120" s="20">
        <f t="shared" si="527"/>
        <v>-3394.2091486369045</v>
      </c>
      <c r="DB120" s="20">
        <f t="shared" si="527"/>
        <v>-2662.5665729781113</v>
      </c>
      <c r="DC120" s="20">
        <f t="shared" si="527"/>
        <v>-4221.0748949455456</v>
      </c>
      <c r="DD120" s="20">
        <f t="shared" si="527"/>
        <v>-3336.8128977590454</v>
      </c>
      <c r="DE120" s="20">
        <f t="shared" si="527"/>
        <v>-7013.2001787815698</v>
      </c>
      <c r="DF120" s="20">
        <f t="shared" si="527"/>
        <v>-6588.3108101354055</v>
      </c>
      <c r="DG120" s="20">
        <f t="shared" si="527"/>
        <v>-6931.5999035115501</v>
      </c>
      <c r="DH120" s="20">
        <f t="shared" si="527"/>
        <v>-8766.9438800797525</v>
      </c>
      <c r="DI120" s="20">
        <f t="shared" si="527"/>
        <v>-16326.136009060752</v>
      </c>
      <c r="DJ120" s="20">
        <f t="shared" si="527"/>
        <v>-10825.29030575917</v>
      </c>
      <c r="DK120" s="20">
        <f t="shared" ref="DK120:EP120" si="528">DK$117*DK96</f>
        <v>-8868.8572652043968</v>
      </c>
      <c r="DL120" s="20">
        <f t="shared" si="528"/>
        <v>-16377.40247142533</v>
      </c>
      <c r="DM120" s="20">
        <f t="shared" si="528"/>
        <v>-10918.065070039413</v>
      </c>
      <c r="DN120" s="20">
        <f t="shared" si="528"/>
        <v>-8564.609257729815</v>
      </c>
      <c r="DO120" s="20">
        <f t="shared" si="528"/>
        <v>-13577.82280064654</v>
      </c>
      <c r="DP120" s="20">
        <f t="shared" si="528"/>
        <v>-10733.440029442716</v>
      </c>
      <c r="DQ120" s="20">
        <f t="shared" si="528"/>
        <v>-22559.180223734747</v>
      </c>
      <c r="DR120" s="20">
        <f t="shared" si="528"/>
        <v>-21192.449544716404</v>
      </c>
      <c r="DS120" s="20">
        <f t="shared" si="528"/>
        <v>-15001.559246598143</v>
      </c>
      <c r="DT120" s="20">
        <f t="shared" si="528"/>
        <v>-18973.661183472297</v>
      </c>
      <c r="DU120" s="20">
        <f t="shared" si="528"/>
        <v>-35333.472793758476</v>
      </c>
      <c r="DV120" s="20">
        <f t="shared" si="528"/>
        <v>-23428.391157025777</v>
      </c>
      <c r="DW120" s="20">
        <f t="shared" si="528"/>
        <v>-19194.224935888848</v>
      </c>
      <c r="DX120" s="20">
        <f t="shared" si="528"/>
        <v>-35444.425082296671</v>
      </c>
      <c r="DY120" s="20">
        <f t="shared" si="528"/>
        <v>-23629.176854745318</v>
      </c>
      <c r="DZ120" s="20">
        <f t="shared" si="528"/>
        <v>-18535.763026182092</v>
      </c>
      <c r="EA120" s="20">
        <f t="shared" si="528"/>
        <v>-29385.497723335349</v>
      </c>
      <c r="EB120" s="20">
        <f t="shared" si="528"/>
        <v>-23229.606261596415</v>
      </c>
      <c r="EC120" s="20">
        <f t="shared" si="528"/>
        <v>-48823.198596560214</v>
      </c>
      <c r="ED120" s="20">
        <f t="shared" si="528"/>
        <v>-45865.282452979831</v>
      </c>
      <c r="EE120" s="20">
        <f t="shared" si="528"/>
        <v>-24985.52502124881</v>
      </c>
      <c r="EF120" s="20">
        <f t="shared" si="528"/>
        <v>-31601.174148070448</v>
      </c>
      <c r="EG120" s="20">
        <f t="shared" si="528"/>
        <v>-58848.907241176428</v>
      </c>
      <c r="EH120" s="20">
        <f t="shared" si="528"/>
        <v>-39020.654042626571</v>
      </c>
      <c r="EI120" s="20">
        <f t="shared" si="528"/>
        <v>-31968.529371897199</v>
      </c>
      <c r="EJ120" s="20">
        <f t="shared" si="528"/>
        <v>-59033.701443956677</v>
      </c>
      <c r="EK120" s="20">
        <f t="shared" si="528"/>
        <v>-39355.068351953661</v>
      </c>
      <c r="EL120" s="20">
        <f t="shared" si="528"/>
        <v>-30871.842270904795</v>
      </c>
      <c r="EM120" s="20">
        <f t="shared" si="528"/>
        <v>-48942.385025392628</v>
      </c>
      <c r="EN120" s="20">
        <f t="shared" si="528"/>
        <v>-38689.572126610219</v>
      </c>
      <c r="EO120" s="20">
        <f t="shared" si="528"/>
        <v>-81316.430518939698</v>
      </c>
      <c r="EP120" s="20">
        <f t="shared" si="528"/>
        <v>-76389.936772435118</v>
      </c>
      <c r="EQ120" s="20">
        <f t="shared" ref="EQ120:FB120" si="529">EQ$117*EQ96</f>
        <v>-37257.097425701788</v>
      </c>
      <c r="ER120" s="20">
        <f t="shared" si="529"/>
        <v>-47122.004560638321</v>
      </c>
      <c r="ES120" s="20">
        <f t="shared" si="529"/>
        <v>-87752.387376929779</v>
      </c>
      <c r="ET120" s="20">
        <f t="shared" si="529"/>
        <v>-58185.541750448268</v>
      </c>
      <c r="EU120" s="20">
        <f t="shared" si="529"/>
        <v>-47669.785299778836</v>
      </c>
      <c r="EV120" s="20">
        <f t="shared" si="529"/>
        <v>-88027.942747922934</v>
      </c>
      <c r="EW120" s="20">
        <f t="shared" si="529"/>
        <v>-58684.202734860315</v>
      </c>
      <c r="EX120" s="20">
        <f t="shared" si="529"/>
        <v>-46034.463323056887</v>
      </c>
      <c r="EY120" s="20">
        <f t="shared" si="529"/>
        <v>-72980.303819372086</v>
      </c>
      <c r="EZ120" s="20">
        <f t="shared" si="529"/>
        <v>-57691.849855224158</v>
      </c>
      <c r="FA120" s="20">
        <f t="shared" si="529"/>
        <v>-121254.77337690226</v>
      </c>
      <c r="FB120" s="20">
        <f t="shared" si="529"/>
        <v>-113908.64567598206</v>
      </c>
    </row>
    <row r="121" spans="3:158" x14ac:dyDescent="0.25">
      <c r="C121" s="2" t="s">
        <v>300</v>
      </c>
      <c r="D121" s="244">
        <f t="shared" si="417"/>
        <v>-8982.619999999999</v>
      </c>
      <c r="E121" s="244">
        <f t="shared" si="417"/>
        <v>-23397.654199999997</v>
      </c>
      <c r="F121" s="244">
        <f t="shared" si="417"/>
        <v>-47952.110471800013</v>
      </c>
      <c r="G121" s="244">
        <f t="shared" si="417"/>
        <v>1434.5340573548356</v>
      </c>
      <c r="H121" s="244">
        <f t="shared" si="417"/>
        <v>1245.6426184566358</v>
      </c>
      <c r="I121" s="244">
        <f t="shared" si="417"/>
        <v>1185.8670522266104</v>
      </c>
      <c r="J121" s="244">
        <f t="shared" si="417"/>
        <v>1018.267735751793</v>
      </c>
      <c r="K121" s="244">
        <f t="shared" si="417"/>
        <v>874.78280499150696</v>
      </c>
      <c r="L121" s="244">
        <f t="shared" si="417"/>
        <v>751.75791081088869</v>
      </c>
      <c r="N121" s="244">
        <f t="shared" si="418"/>
        <v>-2292.92</v>
      </c>
      <c r="O121" s="244">
        <f t="shared" si="419"/>
        <v>-1322</v>
      </c>
      <c r="P121" s="244">
        <f t="shared" si="420"/>
        <v>-1388.7</v>
      </c>
      <c r="Q121" s="244">
        <f t="shared" si="421"/>
        <v>-3979</v>
      </c>
      <c r="R121" s="244">
        <f t="shared" si="422"/>
        <v>-4088</v>
      </c>
      <c r="S121" s="244">
        <f t="shared" si="423"/>
        <v>-5069.46</v>
      </c>
      <c r="T121" s="244">
        <f t="shared" si="424"/>
        <v>-4838.5599999999995</v>
      </c>
      <c r="U121" s="244">
        <f t="shared" si="425"/>
        <v>-9401.6342000000004</v>
      </c>
      <c r="V121" s="244">
        <f t="shared" si="426"/>
        <v>-13665.5134</v>
      </c>
      <c r="W121" s="244">
        <f t="shared" si="427"/>
        <v>-10645.712</v>
      </c>
      <c r="X121" s="244">
        <f t="shared" si="428"/>
        <v>-11779.889871800002</v>
      </c>
      <c r="Y121" s="244">
        <f t="shared" si="429"/>
        <v>-11860.995200000001</v>
      </c>
      <c r="Z121" s="244">
        <f t="shared" si="430"/>
        <v>344.22475269656701</v>
      </c>
      <c r="AA121" s="244">
        <f t="shared" si="431"/>
        <v>322.42750582626513</v>
      </c>
      <c r="AB121" s="244">
        <f t="shared" si="432"/>
        <v>324.91599431105101</v>
      </c>
      <c r="AC121" s="244">
        <f t="shared" si="433"/>
        <v>442.9658045209523</v>
      </c>
      <c r="AD121" s="244">
        <f t="shared" si="434"/>
        <v>256.30201412619738</v>
      </c>
      <c r="AE121" s="244">
        <f t="shared" si="435"/>
        <v>288.69019107692918</v>
      </c>
      <c r="AF121" s="244">
        <f t="shared" si="436"/>
        <v>264.59193524771888</v>
      </c>
      <c r="AG121" s="244">
        <f t="shared" si="437"/>
        <v>436.05847800579033</v>
      </c>
      <c r="AH121" s="244">
        <f t="shared" si="438"/>
        <v>244.00266133167614</v>
      </c>
      <c r="AI121" s="244">
        <f t="shared" si="439"/>
        <v>274.8366030726437</v>
      </c>
      <c r="AJ121" s="244">
        <f t="shared" si="440"/>
        <v>251.8947679262227</v>
      </c>
      <c r="AK121" s="244">
        <f t="shared" si="441"/>
        <v>415.13301989606805</v>
      </c>
      <c r="AL121" s="244">
        <f t="shared" si="442"/>
        <v>209.5176158281009</v>
      </c>
      <c r="AM121" s="244">
        <f t="shared" si="443"/>
        <v>235.99377770638702</v>
      </c>
      <c r="AN121" s="244">
        <f t="shared" si="444"/>
        <v>216.29432616612036</v>
      </c>
      <c r="AO121" s="244">
        <f t="shared" si="445"/>
        <v>356.46201605118483</v>
      </c>
      <c r="AP121" s="244">
        <f t="shared" si="446"/>
        <v>179.99431901269128</v>
      </c>
      <c r="AQ121" s="244">
        <f t="shared" si="447"/>
        <v>202.73970349273327</v>
      </c>
      <c r="AR121" s="244">
        <f t="shared" si="448"/>
        <v>185.81611761237963</v>
      </c>
      <c r="AS121" s="244">
        <f t="shared" si="449"/>
        <v>306.23266487370284</v>
      </c>
      <c r="AT121" s="244">
        <f t="shared" si="450"/>
        <v>154.68085614705595</v>
      </c>
      <c r="AU121" s="244">
        <f t="shared" si="451"/>
        <v>174.22744830654952</v>
      </c>
      <c r="AV121" s="244">
        <f t="shared" si="452"/>
        <v>159.68390733586614</v>
      </c>
      <c r="AW121" s="244">
        <f t="shared" si="453"/>
        <v>263.16569902141691</v>
      </c>
      <c r="AY121" s="20">
        <f t="shared" ref="AY121:CD121" si="530">AY$117*AY97</f>
        <v>-325.72000000000003</v>
      </c>
      <c r="AZ121" s="20">
        <f t="shared" si="530"/>
        <v>-1049.2</v>
      </c>
      <c r="BA121" s="20">
        <f t="shared" si="530"/>
        <v>-918</v>
      </c>
      <c r="BB121" s="20">
        <f t="shared" si="530"/>
        <v>-560</v>
      </c>
      <c r="BC121" s="20">
        <f t="shared" si="530"/>
        <v>-312</v>
      </c>
      <c r="BD121" s="20">
        <f t="shared" si="530"/>
        <v>-450</v>
      </c>
      <c r="BE121" s="20">
        <f t="shared" si="530"/>
        <v>0</v>
      </c>
      <c r="BF121" s="20">
        <f t="shared" si="530"/>
        <v>-1077.5</v>
      </c>
      <c r="BG121" s="20">
        <f t="shared" si="530"/>
        <v>-311.2</v>
      </c>
      <c r="BH121" s="20">
        <f t="shared" si="530"/>
        <v>0</v>
      </c>
      <c r="BI121" s="20">
        <f t="shared" si="530"/>
        <v>-1354</v>
      </c>
      <c r="BJ121" s="20">
        <f t="shared" si="530"/>
        <v>-2625</v>
      </c>
      <c r="BK121" s="20">
        <f t="shared" si="530"/>
        <v>-240</v>
      </c>
      <c r="BL121" s="20">
        <f t="shared" si="530"/>
        <v>-1556</v>
      </c>
      <c r="BM121" s="20">
        <f t="shared" si="530"/>
        <v>-2292</v>
      </c>
      <c r="BN121" s="20">
        <f t="shared" si="530"/>
        <v>-1473.04</v>
      </c>
      <c r="BO121" s="20">
        <f t="shared" si="530"/>
        <v>-1568.66</v>
      </c>
      <c r="BP121" s="20">
        <f t="shared" si="530"/>
        <v>-2027.76</v>
      </c>
      <c r="BQ121" s="20">
        <f t="shared" si="530"/>
        <v>-1959.72</v>
      </c>
      <c r="BR121" s="20">
        <f t="shared" si="530"/>
        <v>-711.80000000000007</v>
      </c>
      <c r="BS121" s="20">
        <f t="shared" si="530"/>
        <v>-2167.04</v>
      </c>
      <c r="BT121" s="20">
        <f t="shared" si="530"/>
        <v>-1282.8800000000001</v>
      </c>
      <c r="BU121" s="20">
        <f t="shared" si="530"/>
        <v>-2339.4742000000001</v>
      </c>
      <c r="BV121" s="20">
        <f t="shared" si="530"/>
        <v>-5779.28</v>
      </c>
      <c r="BW121" s="20">
        <f t="shared" si="530"/>
        <v>-4850.26</v>
      </c>
      <c r="BX121" s="20">
        <f t="shared" si="530"/>
        <v>-4482.84</v>
      </c>
      <c r="BY121" s="20">
        <f t="shared" si="530"/>
        <v>-4332.4134000000004</v>
      </c>
      <c r="BZ121" s="20">
        <f t="shared" si="530"/>
        <v>-3869.3120000000004</v>
      </c>
      <c r="CA121" s="20">
        <f t="shared" si="530"/>
        <v>-3142.4</v>
      </c>
      <c r="CB121" s="20">
        <f t="shared" si="530"/>
        <v>-3634</v>
      </c>
      <c r="CC121" s="20">
        <f t="shared" si="530"/>
        <v>-3949.7720000000004</v>
      </c>
      <c r="CD121" s="20">
        <f t="shared" si="530"/>
        <v>-3089.9920000000002</v>
      </c>
      <c r="CE121" s="20">
        <f t="shared" ref="CE121:DJ121" si="531">CE$117*CE97</f>
        <v>-4740.1258717999999</v>
      </c>
      <c r="CF121" s="20">
        <f t="shared" si="531"/>
        <v>-3293.8720000000003</v>
      </c>
      <c r="CG121" s="20">
        <f t="shared" si="531"/>
        <v>-3703.76</v>
      </c>
      <c r="CH121" s="20">
        <f t="shared" si="531"/>
        <v>-4863.3631999999998</v>
      </c>
      <c r="CI121" s="20">
        <f t="shared" si="531"/>
        <v>88.012372413296788</v>
      </c>
      <c r="CJ121" s="20">
        <f t="shared" si="531"/>
        <v>66.158478192156295</v>
      </c>
      <c r="CK121" s="20">
        <f t="shared" si="531"/>
        <v>190.05390209111391</v>
      </c>
      <c r="CL121" s="20">
        <f t="shared" si="531"/>
        <v>127.9799793290105</v>
      </c>
      <c r="CM121" s="20">
        <f t="shared" si="531"/>
        <v>83.136321392098381</v>
      </c>
      <c r="CN121" s="20">
        <f t="shared" si="531"/>
        <v>111.31120510515626</v>
      </c>
      <c r="CO121" s="20">
        <f t="shared" si="531"/>
        <v>57.606867117360281</v>
      </c>
      <c r="CP121" s="20">
        <f t="shared" si="531"/>
        <v>90.305060585033218</v>
      </c>
      <c r="CQ121" s="20">
        <f t="shared" si="531"/>
        <v>177.00406660865755</v>
      </c>
      <c r="CR121" s="20">
        <f t="shared" si="531"/>
        <v>78.907069802149508</v>
      </c>
      <c r="CS121" s="20">
        <f t="shared" si="531"/>
        <v>152.24510171946775</v>
      </c>
      <c r="CT121" s="20">
        <f t="shared" si="531"/>
        <v>211.81363299933503</v>
      </c>
      <c r="CU121" s="20">
        <f t="shared" si="531"/>
        <v>55.475434192931282</v>
      </c>
      <c r="CV121" s="20">
        <f t="shared" si="531"/>
        <v>70.164179274989749</v>
      </c>
      <c r="CW121" s="20">
        <f t="shared" si="531"/>
        <v>130.66240065827631</v>
      </c>
      <c r="CX121" s="20">
        <f t="shared" si="531"/>
        <v>86.637672158816812</v>
      </c>
      <c r="CY121" s="20">
        <f t="shared" si="531"/>
        <v>70.979819151578255</v>
      </c>
      <c r="CZ121" s="20">
        <f t="shared" si="531"/>
        <v>131.07269976653413</v>
      </c>
      <c r="DA121" s="20">
        <f t="shared" si="531"/>
        <v>87.380173226713978</v>
      </c>
      <c r="DB121" s="20">
        <f t="shared" si="531"/>
        <v>68.544841577578893</v>
      </c>
      <c r="DC121" s="20">
        <f t="shared" si="531"/>
        <v>108.66692044342602</v>
      </c>
      <c r="DD121" s="20">
        <f t="shared" si="531"/>
        <v>85.90257001352208</v>
      </c>
      <c r="DE121" s="20">
        <f t="shared" si="531"/>
        <v>180.54710822450585</v>
      </c>
      <c r="DF121" s="20">
        <f t="shared" si="531"/>
        <v>169.60879976776241</v>
      </c>
      <c r="DG121" s="20">
        <f t="shared" si="531"/>
        <v>52.813293831318084</v>
      </c>
      <c r="DH121" s="20">
        <f t="shared" si="531"/>
        <v>66.797159326343447</v>
      </c>
      <c r="DI121" s="20">
        <f t="shared" si="531"/>
        <v>124.3922081740146</v>
      </c>
      <c r="DJ121" s="20">
        <f t="shared" si="531"/>
        <v>82.480126620947232</v>
      </c>
      <c r="DK121" s="20">
        <f t="shared" ref="DK121:EP121" si="532">DK$117*DK97</f>
        <v>67.573658493758657</v>
      </c>
      <c r="DL121" s="20">
        <f t="shared" si="532"/>
        <v>124.78281795793779</v>
      </c>
      <c r="DM121" s="20">
        <f t="shared" si="532"/>
        <v>83.186996745343976</v>
      </c>
      <c r="DN121" s="20">
        <f t="shared" si="532"/>
        <v>65.255529975087526</v>
      </c>
      <c r="DO121" s="20">
        <f t="shared" si="532"/>
        <v>103.4522412057912</v>
      </c>
      <c r="DP121" s="20">
        <f t="shared" si="532"/>
        <v>81.780300361625592</v>
      </c>
      <c r="DQ121" s="20">
        <f t="shared" si="532"/>
        <v>171.88306167904864</v>
      </c>
      <c r="DR121" s="20">
        <f t="shared" si="532"/>
        <v>161.46965785539379</v>
      </c>
      <c r="DS121" s="20">
        <f t="shared" si="532"/>
        <v>45.349158682025518</v>
      </c>
      <c r="DT121" s="20">
        <f t="shared" si="532"/>
        <v>57.356675905765762</v>
      </c>
      <c r="DU121" s="20">
        <f t="shared" si="532"/>
        <v>106.81178124030961</v>
      </c>
      <c r="DV121" s="20">
        <f t="shared" si="532"/>
        <v>70.823159831565889</v>
      </c>
      <c r="DW121" s="20">
        <f t="shared" si="532"/>
        <v>58.023431970480125</v>
      </c>
      <c r="DX121" s="20">
        <f t="shared" si="532"/>
        <v>107.147185904341</v>
      </c>
      <c r="DY121" s="20">
        <f t="shared" si="532"/>
        <v>71.430127568538254</v>
      </c>
      <c r="DZ121" s="20">
        <f t="shared" si="532"/>
        <v>56.032925974502902</v>
      </c>
      <c r="EA121" s="20">
        <f t="shared" si="532"/>
        <v>88.831272623079201</v>
      </c>
      <c r="EB121" s="20">
        <f t="shared" si="532"/>
        <v>70.222240445905342</v>
      </c>
      <c r="EC121" s="20">
        <f t="shared" si="532"/>
        <v>147.59072334574404</v>
      </c>
      <c r="ED121" s="20">
        <f t="shared" si="532"/>
        <v>138.64905225953544</v>
      </c>
      <c r="EE121" s="20">
        <f t="shared" si="532"/>
        <v>38.958972029667763</v>
      </c>
      <c r="EF121" s="20">
        <f t="shared" si="532"/>
        <v>49.274500283356552</v>
      </c>
      <c r="EG121" s="20">
        <f t="shared" si="532"/>
        <v>91.76084669966697</v>
      </c>
      <c r="EH121" s="20">
        <f t="shared" si="532"/>
        <v>60.843411060331164</v>
      </c>
      <c r="EI121" s="20">
        <f t="shared" si="532"/>
        <v>49.847303211365762</v>
      </c>
      <c r="EJ121" s="20">
        <f t="shared" si="532"/>
        <v>92.048989221036351</v>
      </c>
      <c r="EK121" s="20">
        <f t="shared" si="532"/>
        <v>61.364850482249047</v>
      </c>
      <c r="EL121" s="20">
        <f t="shared" si="532"/>
        <v>48.1372810262596</v>
      </c>
      <c r="EM121" s="20">
        <f t="shared" si="532"/>
        <v>76.31398610387096</v>
      </c>
      <c r="EN121" s="20">
        <f t="shared" si="532"/>
        <v>60.327167711646659</v>
      </c>
      <c r="EO121" s="20">
        <f t="shared" si="532"/>
        <v>126.79359506936839</v>
      </c>
      <c r="EP121" s="20">
        <f t="shared" si="532"/>
        <v>119.11190209268777</v>
      </c>
      <c r="EQ121" s="20">
        <f t="shared" ref="EQ121:FB121" si="533">EQ$117*EQ97</f>
        <v>33.479985264053319</v>
      </c>
      <c r="ER121" s="20">
        <f t="shared" si="533"/>
        <v>42.344791390391229</v>
      </c>
      <c r="ES121" s="20">
        <f t="shared" si="533"/>
        <v>78.8560794926114</v>
      </c>
      <c r="ET121" s="20">
        <f t="shared" si="533"/>
        <v>52.286710854778107</v>
      </c>
      <c r="EU121" s="20">
        <f t="shared" si="533"/>
        <v>42.837038300149295</v>
      </c>
      <c r="EV121" s="20">
        <f t="shared" si="533"/>
        <v>79.103699151622124</v>
      </c>
      <c r="EW121" s="20">
        <f t="shared" si="533"/>
        <v>52.734817754226391</v>
      </c>
      <c r="EX121" s="20">
        <f t="shared" si="533"/>
        <v>41.367504722236603</v>
      </c>
      <c r="EY121" s="20">
        <f t="shared" si="533"/>
        <v>65.581584859403137</v>
      </c>
      <c r="EZ121" s="20">
        <f t="shared" si="533"/>
        <v>51.843069279906437</v>
      </c>
      <c r="FA121" s="20">
        <f t="shared" si="533"/>
        <v>108.96200472810568</v>
      </c>
      <c r="FB121" s="20">
        <f t="shared" si="533"/>
        <v>102.36062501340481</v>
      </c>
    </row>
    <row r="123" spans="3:158" x14ac:dyDescent="0.25">
      <c r="C123" s="304" t="s">
        <v>342</v>
      </c>
      <c r="D123" s="22">
        <f>AY123</f>
        <v>3822861.6465000054</v>
      </c>
      <c r="E123" s="22">
        <f t="shared" ref="E123:E127" si="534">BK123</f>
        <v>9436505.8065000065</v>
      </c>
      <c r="F123" s="22">
        <f t="shared" ref="F123:F127" si="535">BW123</f>
        <v>17359592.587415006</v>
      </c>
      <c r="G123" s="22">
        <f t="shared" ref="G123:G127" si="536">CI123</f>
        <v>25303110.394152001</v>
      </c>
      <c r="H123" s="22">
        <f t="shared" ref="H123:H127" si="537">CU123</f>
        <v>41110679.49262128</v>
      </c>
      <c r="I123" s="22">
        <f t="shared" ref="I123:I127" si="538">DG123</f>
        <v>60176082.756705388</v>
      </c>
      <c r="J123" s="22">
        <f t="shared" ref="J123:J127" si="539">DS123</f>
        <v>85060076.883472055</v>
      </c>
      <c r="K123" s="22">
        <f t="shared" ref="K123:K127" si="540">EE123</f>
        <v>117719304.70308936</v>
      </c>
      <c r="L123" s="22">
        <f t="shared" ref="L123:L127" si="541">EQ123</f>
        <v>159426176.52436242</v>
      </c>
      <c r="N123" s="22">
        <f>AY123</f>
        <v>3822861.6465000054</v>
      </c>
      <c r="O123" s="22">
        <f>BB123</f>
        <v>4807579.8465000056</v>
      </c>
      <c r="P123" s="22">
        <f>BE123</f>
        <v>5816303.8465000056</v>
      </c>
      <c r="Q123" s="22">
        <f>BH123</f>
        <v>7294478.3465000056</v>
      </c>
      <c r="R123" s="22">
        <f>BK123</f>
        <v>9436505.8065000065</v>
      </c>
      <c r="S123" s="22">
        <f>BN123</f>
        <v>11322148.336500008</v>
      </c>
      <c r="T123" s="22">
        <f>BQ123</f>
        <v>13419702.696500007</v>
      </c>
      <c r="U123" s="22">
        <f>BT123</f>
        <v>15160323.456500007</v>
      </c>
      <c r="V123" s="22">
        <f>BW123</f>
        <v>17359592.587415006</v>
      </c>
      <c r="W123" s="22">
        <f>BZ123</f>
        <v>18064108.549649004</v>
      </c>
      <c r="X123" s="22">
        <f>CC123</f>
        <v>20399140.002687003</v>
      </c>
      <c r="Y123" s="22">
        <f>CF123</f>
        <v>22135647.681696001</v>
      </c>
      <c r="Z123" s="22">
        <f>CI123</f>
        <v>25303110.394152001</v>
      </c>
      <c r="AA123" s="22">
        <f>CL123</f>
        <v>27775249.392548002</v>
      </c>
      <c r="AB123" s="22">
        <f>CO123</f>
        <v>31795094.070499003</v>
      </c>
      <c r="AC123" s="22">
        <f>CR123</f>
        <v>35825720.605160043</v>
      </c>
      <c r="AD123" s="22">
        <f>CU123</f>
        <v>41110679.49262128</v>
      </c>
      <c r="AE123" s="22">
        <f>CX123</f>
        <v>44332601.230779462</v>
      </c>
      <c r="AF123" s="22">
        <f>DA123</f>
        <v>48841424.443789512</v>
      </c>
      <c r="AG123" s="22">
        <f>DD123</f>
        <v>53371565.779430419</v>
      </c>
      <c r="AH123" s="22">
        <f>DG123</f>
        <v>60176082.756705388</v>
      </c>
      <c r="AI123" s="22">
        <f>DJ123</f>
        <v>64516600.249371171</v>
      </c>
      <c r="AJ123" s="22">
        <f>DM123</f>
        <v>70807281.391238824</v>
      </c>
      <c r="AK123" s="22">
        <f>DP123</f>
        <v>76750634.489067212</v>
      </c>
      <c r="AL123" s="22">
        <f>DS123</f>
        <v>85060076.883472055</v>
      </c>
      <c r="AM123" s="22">
        <f>DV123</f>
        <v>90737129.09996669</v>
      </c>
      <c r="AN123" s="22">
        <f>DY123</f>
        <v>99006622.090939626</v>
      </c>
      <c r="AO123" s="22">
        <f>EB123</f>
        <v>106823649.34212245</v>
      </c>
      <c r="AP123" s="22">
        <f>EE123</f>
        <v>117719304.70308936</v>
      </c>
      <c r="AQ123" s="22">
        <f>EH123</f>
        <v>124939491.32258923</v>
      </c>
      <c r="AR123" s="22">
        <f>EK123</f>
        <v>135519768.8222062</v>
      </c>
      <c r="AS123" s="22">
        <f>EN123</f>
        <v>145527322.20950803</v>
      </c>
      <c r="AT123" s="22">
        <f>EQ123</f>
        <v>159426176.52436242</v>
      </c>
      <c r="AU123" s="22">
        <f>ET123</f>
        <v>168330030.52249697</v>
      </c>
      <c r="AV123" s="22">
        <f>EW123</f>
        <v>181471868.81259602</v>
      </c>
      <c r="AW123" s="22">
        <f>EZ123</f>
        <v>193911521.68064627</v>
      </c>
      <c r="AY123" s="332">
        <f>AY135-AY129</f>
        <v>3822861.6465000054</v>
      </c>
      <c r="AZ123" s="49">
        <f>AY135</f>
        <v>3894939.6465000054</v>
      </c>
      <c r="BA123" s="49">
        <f t="shared" ref="BA123:DL124" si="542">AZ135</f>
        <v>4305004.6465000054</v>
      </c>
      <c r="BB123" s="49">
        <f t="shared" si="542"/>
        <v>4807579.8465000056</v>
      </c>
      <c r="BC123" s="49">
        <f t="shared" si="542"/>
        <v>4973119.8465000056</v>
      </c>
      <c r="BD123" s="49">
        <f t="shared" si="542"/>
        <v>5303019.8465000056</v>
      </c>
      <c r="BE123" s="49">
        <f t="shared" si="542"/>
        <v>5816303.8465000056</v>
      </c>
      <c r="BF123" s="49">
        <f t="shared" si="542"/>
        <v>6136480.5165000055</v>
      </c>
      <c r="BG123" s="49">
        <f t="shared" si="542"/>
        <v>6567894.0165000055</v>
      </c>
      <c r="BH123" s="49">
        <f t="shared" si="542"/>
        <v>7294478.3465000056</v>
      </c>
      <c r="BI123" s="49">
        <f t="shared" si="542"/>
        <v>7791910.3465000056</v>
      </c>
      <c r="BJ123" s="49">
        <f t="shared" si="542"/>
        <v>8676423.3465000056</v>
      </c>
      <c r="BK123" s="49">
        <f t="shared" si="542"/>
        <v>9436505.8065000065</v>
      </c>
      <c r="BL123" s="49">
        <f t="shared" si="542"/>
        <v>9752439.1365000065</v>
      </c>
      <c r="BM123" s="49">
        <f t="shared" si="542"/>
        <v>10364538.966500007</v>
      </c>
      <c r="BN123" s="49">
        <f t="shared" si="542"/>
        <v>11322148.336500008</v>
      </c>
      <c r="BO123" s="49">
        <f t="shared" si="542"/>
        <v>11827416.866500007</v>
      </c>
      <c r="BP123" s="49">
        <f t="shared" si="542"/>
        <v>12525504.056500006</v>
      </c>
      <c r="BQ123" s="49">
        <f t="shared" si="542"/>
        <v>13419702.696500007</v>
      </c>
      <c r="BR123" s="49">
        <f t="shared" si="542"/>
        <v>13764631.866500007</v>
      </c>
      <c r="BS123" s="49">
        <f t="shared" si="542"/>
        <v>14159608.866500007</v>
      </c>
      <c r="BT123" s="49">
        <f t="shared" si="542"/>
        <v>15160323.456500007</v>
      </c>
      <c r="BU123" s="49">
        <f t="shared" si="542"/>
        <v>15526034.136500007</v>
      </c>
      <c r="BV123" s="49">
        <f t="shared" si="542"/>
        <v>16421471.926500008</v>
      </c>
      <c r="BW123" s="49">
        <f t="shared" si="542"/>
        <v>17359592.587415006</v>
      </c>
      <c r="BX123" s="49">
        <f t="shared" si="542"/>
        <v>17384619.447415005</v>
      </c>
      <c r="BY123" s="49">
        <f t="shared" si="542"/>
        <v>17551752.969539005</v>
      </c>
      <c r="BZ123" s="49">
        <f t="shared" si="542"/>
        <v>18064108.549649004</v>
      </c>
      <c r="CA123" s="49">
        <f t="shared" si="542"/>
        <v>18316842.240418006</v>
      </c>
      <c r="CB123" s="49">
        <f t="shared" si="542"/>
        <v>18839542.845325004</v>
      </c>
      <c r="CC123" s="49">
        <f t="shared" si="542"/>
        <v>20399140.002687003</v>
      </c>
      <c r="CD123" s="49">
        <f t="shared" si="542"/>
        <v>20529507.639866002</v>
      </c>
      <c r="CE123" s="49">
        <f t="shared" si="542"/>
        <v>21151769.144883003</v>
      </c>
      <c r="CF123" s="49">
        <f t="shared" si="542"/>
        <v>22135647.681696001</v>
      </c>
      <c r="CG123" s="49">
        <f t="shared" si="542"/>
        <v>22691403.838071</v>
      </c>
      <c r="CH123" s="49">
        <f t="shared" si="542"/>
        <v>23638712.461844001</v>
      </c>
      <c r="CI123" s="49">
        <f t="shared" si="542"/>
        <v>25303110.394152001</v>
      </c>
      <c r="CJ123" s="49">
        <f t="shared" si="542"/>
        <v>25739833.490118001</v>
      </c>
      <c r="CK123" s="49">
        <f t="shared" si="542"/>
        <v>26475393.991624001</v>
      </c>
      <c r="CL123" s="49">
        <f t="shared" si="542"/>
        <v>27775249.392548002</v>
      </c>
      <c r="CM123" s="49">
        <f t="shared" si="542"/>
        <v>28345879.046568003</v>
      </c>
      <c r="CN123" s="49">
        <f t="shared" si="542"/>
        <v>29658121.113816004</v>
      </c>
      <c r="CO123" s="49">
        <f t="shared" si="542"/>
        <v>31795094.070499003</v>
      </c>
      <c r="CP123" s="49">
        <f t="shared" si="542"/>
        <v>32379418.398894947</v>
      </c>
      <c r="CQ123" s="49">
        <f t="shared" si="542"/>
        <v>33843649.89126049</v>
      </c>
      <c r="CR123" s="49">
        <f t="shared" si="542"/>
        <v>35825720.605160043</v>
      </c>
      <c r="CS123" s="49">
        <f t="shared" si="542"/>
        <v>36275120.141094282</v>
      </c>
      <c r="CT123" s="49">
        <f t="shared" si="542"/>
        <v>38446102.588055104</v>
      </c>
      <c r="CU123" s="49">
        <f t="shared" si="542"/>
        <v>41110679.49262128</v>
      </c>
      <c r="CV123" s="49">
        <f t="shared" si="542"/>
        <v>41444942.565337047</v>
      </c>
      <c r="CW123" s="49">
        <f t="shared" si="542"/>
        <v>42399233.708708942</v>
      </c>
      <c r="CX123" s="49">
        <f t="shared" si="542"/>
        <v>44332601.230779462</v>
      </c>
      <c r="CY123" s="49">
        <f t="shared" si="542"/>
        <v>44959680.200452588</v>
      </c>
      <c r="CZ123" s="49">
        <f t="shared" si="542"/>
        <v>46609522.828295685</v>
      </c>
      <c r="DA123" s="49">
        <f t="shared" si="542"/>
        <v>48841424.443789512</v>
      </c>
      <c r="DB123" s="49">
        <f t="shared" si="542"/>
        <v>49425792.972566165</v>
      </c>
      <c r="DC123" s="49">
        <f t="shared" si="542"/>
        <v>50838100.2159843</v>
      </c>
      <c r="DD123" s="49">
        <f t="shared" si="542"/>
        <v>53371565.779430419</v>
      </c>
      <c r="DE123" s="49">
        <f t="shared" si="542"/>
        <v>54292912.354140185</v>
      </c>
      <c r="DF123" s="49">
        <f t="shared" si="542"/>
        <v>56956750.346720152</v>
      </c>
      <c r="DG123" s="49">
        <f t="shared" si="542"/>
        <v>60176082.756705388</v>
      </c>
      <c r="DH123" s="49">
        <f t="shared" si="542"/>
        <v>60639516.269947343</v>
      </c>
      <c r="DI123" s="49">
        <f t="shared" si="542"/>
        <v>61937422.914107896</v>
      </c>
      <c r="DJ123" s="49">
        <f t="shared" si="542"/>
        <v>64516600.249371171</v>
      </c>
      <c r="DK123" s="49">
        <f t="shared" si="542"/>
        <v>65423806.493496753</v>
      </c>
      <c r="DL123" s="49">
        <f t="shared" si="542"/>
        <v>67746469.214005694</v>
      </c>
      <c r="DM123" s="49">
        <f t="shared" ref="DM123:FB123" si="543">DL135</f>
        <v>70807281.391238824</v>
      </c>
      <c r="DN123" s="49">
        <f t="shared" si="543"/>
        <v>71521942.464162901</v>
      </c>
      <c r="DO123" s="49">
        <f t="shared" si="543"/>
        <v>73388447.80347316</v>
      </c>
      <c r="DP123" s="49">
        <f t="shared" si="543"/>
        <v>76750634.489067212</v>
      </c>
      <c r="DQ123" s="49">
        <f t="shared" si="543"/>
        <v>77734705.262778103</v>
      </c>
      <c r="DR123" s="49">
        <f t="shared" si="543"/>
        <v>81011813.48084566</v>
      </c>
      <c r="DS123" s="49">
        <f t="shared" si="543"/>
        <v>85060076.883472055</v>
      </c>
      <c r="DT123" s="49">
        <f t="shared" si="543"/>
        <v>85652020.695021078</v>
      </c>
      <c r="DU123" s="49">
        <f t="shared" si="543"/>
        <v>87352848.463686109</v>
      </c>
      <c r="DV123" s="49">
        <f t="shared" si="543"/>
        <v>90737129.09996669</v>
      </c>
      <c r="DW123" s="49">
        <f t="shared" si="543"/>
        <v>91906989.531333745</v>
      </c>
      <c r="DX123" s="49">
        <f t="shared" si="543"/>
        <v>94978251.617015645</v>
      </c>
      <c r="DY123" s="49">
        <f t="shared" si="543"/>
        <v>99006622.090939626</v>
      </c>
      <c r="DZ123" s="49">
        <f t="shared" si="543"/>
        <v>99918534.412514269</v>
      </c>
      <c r="EA123" s="49">
        <f t="shared" si="543"/>
        <v>102380810.68553951</v>
      </c>
      <c r="EB123" s="49">
        <f t="shared" si="543"/>
        <v>106823649.34212245</v>
      </c>
      <c r="EC123" s="49">
        <f t="shared" si="543"/>
        <v>108096704.78325407</v>
      </c>
      <c r="ED123" s="49">
        <f t="shared" si="543"/>
        <v>112389445.46474218</v>
      </c>
      <c r="EE123" s="49">
        <f t="shared" si="543"/>
        <v>117719304.70308936</v>
      </c>
      <c r="EF123" s="49">
        <f t="shared" si="543"/>
        <v>118450762.48796487</v>
      </c>
      <c r="EG123" s="49">
        <f t="shared" si="543"/>
        <v>120618835.6711363</v>
      </c>
      <c r="EH123" s="49">
        <f t="shared" si="543"/>
        <v>124939491.32258923</v>
      </c>
      <c r="EI123" s="49">
        <f t="shared" si="543"/>
        <v>126402182.462262</v>
      </c>
      <c r="EJ123" s="49">
        <f t="shared" si="543"/>
        <v>130358620.4266409</v>
      </c>
      <c r="EK123" s="49">
        <f t="shared" si="543"/>
        <v>135519768.8222062</v>
      </c>
      <c r="EL123" s="49">
        <f t="shared" si="543"/>
        <v>136645180.90921724</v>
      </c>
      <c r="EM123" s="49">
        <f t="shared" si="543"/>
        <v>139808457.2628603</v>
      </c>
      <c r="EN123" s="49">
        <f t="shared" si="543"/>
        <v>145527322.20950803</v>
      </c>
      <c r="EO123" s="49">
        <f t="shared" si="543"/>
        <v>147125271.45757049</v>
      </c>
      <c r="EP123" s="49">
        <f t="shared" si="543"/>
        <v>152594725.68105066</v>
      </c>
      <c r="EQ123" s="49">
        <f t="shared" si="543"/>
        <v>159426176.52436242</v>
      </c>
      <c r="ER123" s="49">
        <f t="shared" si="543"/>
        <v>160296155.17013201</v>
      </c>
      <c r="ES123" s="49">
        <f t="shared" si="543"/>
        <v>162977181.37250397</v>
      </c>
      <c r="ET123" s="49">
        <f t="shared" si="543"/>
        <v>168330030.52249697</v>
      </c>
      <c r="EU123" s="49">
        <f t="shared" si="543"/>
        <v>170096105.65432823</v>
      </c>
      <c r="EV123" s="49">
        <f t="shared" si="543"/>
        <v>175050578.31317759</v>
      </c>
      <c r="EW123" s="49">
        <f t="shared" si="543"/>
        <v>181471868.81259602</v>
      </c>
      <c r="EX123" s="49">
        <f t="shared" si="543"/>
        <v>182808206.88340247</v>
      </c>
      <c r="EY123" s="49">
        <f t="shared" si="543"/>
        <v>186756629.74188319</v>
      </c>
      <c r="EZ123" s="49">
        <f t="shared" si="543"/>
        <v>193911521.68064627</v>
      </c>
      <c r="FA123" s="49">
        <f t="shared" si="543"/>
        <v>195850408.04084179</v>
      </c>
      <c r="FB123" s="49">
        <f t="shared" si="543"/>
        <v>202610055.48042005</v>
      </c>
    </row>
    <row r="124" spans="3:158" x14ac:dyDescent="0.25">
      <c r="C124" s="2" t="s">
        <v>346</v>
      </c>
      <c r="D124" s="244">
        <f t="shared" ref="D124:D127" si="544">AY124</f>
        <v>3618817.803000005</v>
      </c>
      <c r="E124" s="244">
        <f t="shared" si="534"/>
        <v>9136503.2721000053</v>
      </c>
      <c r="F124" s="244">
        <f t="shared" si="535"/>
        <v>16941891.723696705</v>
      </c>
      <c r="G124" s="244">
        <f t="shared" si="536"/>
        <v>24705264.999949556</v>
      </c>
      <c r="H124" s="244">
        <f t="shared" si="537"/>
        <v>39636384.083663553</v>
      </c>
      <c r="I124" s="244">
        <f t="shared" si="538"/>
        <v>56821473.396939486</v>
      </c>
      <c r="J124" s="244">
        <f t="shared" si="539"/>
        <v>76034773.107063189</v>
      </c>
      <c r="K124" s="244">
        <f t="shared" si="540"/>
        <v>100852410.25750281</v>
      </c>
      <c r="L124" s="244">
        <f t="shared" si="541"/>
        <v>133034899.59934114</v>
      </c>
      <c r="N124" s="244">
        <f t="shared" ref="N124:N127" si="545">AY124</f>
        <v>3618817.803000005</v>
      </c>
      <c r="O124" s="244">
        <f t="shared" ref="O124:O127" si="546">BB124</f>
        <v>4587942.5010000048</v>
      </c>
      <c r="P124" s="244">
        <f t="shared" ref="P124:P127" si="547">BE124</f>
        <v>5578805.0210000053</v>
      </c>
      <c r="Q124" s="244">
        <f t="shared" ref="Q124:Q127" si="548">BH124</f>
        <v>7029877.8610000052</v>
      </c>
      <c r="R124" s="244">
        <f t="shared" ref="R124:R127" si="549">BK124</f>
        <v>9136503.2721000053</v>
      </c>
      <c r="S124" s="244">
        <f t="shared" ref="S124:S127" si="550">BN124</f>
        <v>10992606.466500007</v>
      </c>
      <c r="T124" s="244">
        <f t="shared" ref="T124:T127" si="551">BQ124</f>
        <v>13056858.499300007</v>
      </c>
      <c r="U124" s="244">
        <f t="shared" ref="U124:U127" si="552">BT124</f>
        <v>14771113.734100007</v>
      </c>
      <c r="V124" s="244">
        <f t="shared" ref="V124:V127" si="553">BW124</f>
        <v>16941891.723696705</v>
      </c>
      <c r="W124" s="244">
        <f t="shared" ref="W124:W127" si="554">BZ124</f>
        <v>17640986.983063687</v>
      </c>
      <c r="X124" s="244">
        <f t="shared" ref="X124:X127" si="555">CC124</f>
        <v>19918465.152356707</v>
      </c>
      <c r="Y124" s="244">
        <f t="shared" ref="Y124:Y127" si="556">CF124</f>
        <v>21616010.647267237</v>
      </c>
      <c r="Z124" s="244">
        <f t="shared" ref="Z124:Z127" si="557">CI124</f>
        <v>24705264.999949556</v>
      </c>
      <c r="AA124" s="244">
        <f t="shared" ref="AA124:AA127" si="558">CL124</f>
        <v>27032337.586184677</v>
      </c>
      <c r="AB124" s="244">
        <f t="shared" ref="AB124:AB127" si="559">CO124</f>
        <v>30832858.310562868</v>
      </c>
      <c r="AC124" s="244">
        <f t="shared" ref="AC124:AC127" si="560">CR124</f>
        <v>34642370.771471232</v>
      </c>
      <c r="AD124" s="244">
        <f t="shared" ref="AD124:AD127" si="561">CU124</f>
        <v>39636384.083663553</v>
      </c>
      <c r="AE124" s="244">
        <f t="shared" ref="AE124:AE127" si="562">CX124</f>
        <v>42530995.646734171</v>
      </c>
      <c r="AF124" s="244">
        <f t="shared" ref="AF124:AF127" si="563">DA124</f>
        <v>46596368.131482258</v>
      </c>
      <c r="AG124" s="244">
        <f t="shared" ref="AG124:AG127" si="564">DD124</f>
        <v>50686271.92355331</v>
      </c>
      <c r="AH124" s="244">
        <f t="shared" ref="AH124:AH127" si="565">DG124</f>
        <v>56821473.396939486</v>
      </c>
      <c r="AI124" s="244">
        <f t="shared" ref="AI124:AI127" si="566">DJ124</f>
        <v>60138822.854437955</v>
      </c>
      <c r="AJ124" s="244">
        <f t="shared" ref="AJ124:AJ127" si="567">DM124</f>
        <v>65018803.972524576</v>
      </c>
      <c r="AK124" s="244">
        <f t="shared" ref="AK124:AK127" si="568">DP124</f>
        <v>69636460.405351967</v>
      </c>
      <c r="AL124" s="244">
        <f t="shared" ref="AL124:AL127" si="569">DS124</f>
        <v>76034773.107063189</v>
      </c>
      <c r="AM124" s="244">
        <f t="shared" ref="AM124:AM127" si="570">DV124</f>
        <v>80311340.838415548</v>
      </c>
      <c r="AN124" s="244">
        <f t="shared" ref="AN124:AN127" si="571">DY124</f>
        <v>86620421.787492588</v>
      </c>
      <c r="AO124" s="244">
        <f t="shared" ref="AO124:AO127" si="572">EB124</f>
        <v>92592108.753850013</v>
      </c>
      <c r="AP124" s="244">
        <f t="shared" ref="AP124:AP127" si="573">EE124</f>
        <v>100852410.25750281</v>
      </c>
      <c r="AQ124" s="244">
        <f t="shared" ref="AQ124:AQ127" si="574">EH124</f>
        <v>106390911.93538539</v>
      </c>
      <c r="AR124" s="244">
        <f t="shared" ref="AR124:AR127" si="575">EK124</f>
        <v>114577086.96960641</v>
      </c>
      <c r="AS124" s="244">
        <f t="shared" ref="AS124:AS127" si="576">EN124</f>
        <v>122326977.42451222</v>
      </c>
      <c r="AT124" s="244">
        <f t="shared" ref="AT124:AT127" si="577">EQ124</f>
        <v>133034899.59934114</v>
      </c>
      <c r="AU124" s="244">
        <f t="shared" ref="AU124:AU127" si="578">ET124</f>
        <v>136117760.27679962</v>
      </c>
      <c r="AV124" s="244">
        <f t="shared" ref="AV124:AV127" si="579">EW124</f>
        <v>141185548.73221907</v>
      </c>
      <c r="AW124" s="244">
        <f t="shared" ref="AW124:AW127" si="580">EZ124</f>
        <v>146032656.62370858</v>
      </c>
      <c r="AY124" s="333">
        <f>AY136-AY130</f>
        <v>3618817.803000005</v>
      </c>
      <c r="AZ124" s="296">
        <f>AY136</f>
        <v>3689942.823000005</v>
      </c>
      <c r="BA124" s="296">
        <f t="shared" ref="BA124:BO124" si="581">AZ136</f>
        <v>4093411.823000005</v>
      </c>
      <c r="BB124" s="296">
        <f t="shared" si="581"/>
        <v>4587942.5010000048</v>
      </c>
      <c r="BC124" s="296">
        <f t="shared" si="581"/>
        <v>4751191.701000005</v>
      </c>
      <c r="BD124" s="296">
        <f t="shared" si="581"/>
        <v>5075066.701000005</v>
      </c>
      <c r="BE124" s="296">
        <f t="shared" si="581"/>
        <v>5578805.0210000053</v>
      </c>
      <c r="BF124" s="296">
        <f t="shared" si="581"/>
        <v>5892578.1576000052</v>
      </c>
      <c r="BG124" s="296">
        <f t="shared" si="581"/>
        <v>6316979.6676000049</v>
      </c>
      <c r="BH124" s="296">
        <f t="shared" si="581"/>
        <v>7029877.8610000052</v>
      </c>
      <c r="BI124" s="296">
        <f t="shared" si="581"/>
        <v>7517361.2210000055</v>
      </c>
      <c r="BJ124" s="296">
        <f t="shared" si="581"/>
        <v>8386214.9610000057</v>
      </c>
      <c r="BK124" s="296">
        <f t="shared" si="581"/>
        <v>9136503.2721000053</v>
      </c>
      <c r="BL124" s="296">
        <f t="shared" si="581"/>
        <v>9446969.9355000053</v>
      </c>
      <c r="BM124" s="296">
        <f t="shared" si="581"/>
        <v>10049161.783900006</v>
      </c>
      <c r="BN124" s="296">
        <f t="shared" si="581"/>
        <v>10992606.466500007</v>
      </c>
      <c r="BO124" s="296">
        <f t="shared" si="581"/>
        <v>11490714.755900007</v>
      </c>
      <c r="BP124" s="296">
        <f t="shared" si="542"/>
        <v>12177193.192100007</v>
      </c>
      <c r="BQ124" s="296">
        <f t="shared" si="542"/>
        <v>13056858.499300007</v>
      </c>
      <c r="BR124" s="296">
        <f t="shared" si="542"/>
        <v>13398036.265900007</v>
      </c>
      <c r="BS124" s="296">
        <f t="shared" si="542"/>
        <v>13786316.425900007</v>
      </c>
      <c r="BT124" s="296">
        <f t="shared" si="542"/>
        <v>14771113.734100007</v>
      </c>
      <c r="BU124" s="296">
        <f t="shared" si="542"/>
        <v>15131434.520500006</v>
      </c>
      <c r="BV124" s="296">
        <f t="shared" si="542"/>
        <v>16012667.766000006</v>
      </c>
      <c r="BW124" s="296">
        <f t="shared" si="542"/>
        <v>16941891.723696705</v>
      </c>
      <c r="BX124" s="296">
        <f t="shared" si="542"/>
        <v>16971451.577896707</v>
      </c>
      <c r="BY124" s="296">
        <f t="shared" si="542"/>
        <v>17138743.934356987</v>
      </c>
      <c r="BZ124" s="296">
        <f t="shared" si="542"/>
        <v>17640986.983063687</v>
      </c>
      <c r="CA124" s="296">
        <f t="shared" si="542"/>
        <v>17890858.651863456</v>
      </c>
      <c r="CB124" s="296">
        <f t="shared" si="542"/>
        <v>18402011.909715567</v>
      </c>
      <c r="CC124" s="296">
        <f t="shared" si="542"/>
        <v>19918465.152356707</v>
      </c>
      <c r="CD124" s="296">
        <f t="shared" si="542"/>
        <v>20049359.199020337</v>
      </c>
      <c r="CE124" s="296">
        <f t="shared" si="542"/>
        <v>20656446.650886826</v>
      </c>
      <c r="CF124" s="296">
        <f t="shared" si="542"/>
        <v>21616010.647267237</v>
      </c>
      <c r="CG124" s="296">
        <f t="shared" si="542"/>
        <v>22159108.990750987</v>
      </c>
      <c r="CH124" s="296">
        <f t="shared" si="542"/>
        <v>23084820.342410795</v>
      </c>
      <c r="CI124" s="296">
        <f t="shared" si="542"/>
        <v>24705264.999949556</v>
      </c>
      <c r="CJ124" s="296">
        <f t="shared" si="542"/>
        <v>25114463.850529827</v>
      </c>
      <c r="CK124" s="296">
        <f t="shared" si="542"/>
        <v>25808903.164540526</v>
      </c>
      <c r="CL124" s="296">
        <f t="shared" si="542"/>
        <v>27032337.586184677</v>
      </c>
      <c r="CM124" s="296">
        <f t="shared" si="542"/>
        <v>27567825.254465725</v>
      </c>
      <c r="CN124" s="296">
        <f t="shared" si="542"/>
        <v>28809279.409431569</v>
      </c>
      <c r="CO124" s="296">
        <f t="shared" si="542"/>
        <v>30832858.310562868</v>
      </c>
      <c r="CP124" s="296">
        <f t="shared" si="542"/>
        <v>31384494.446012452</v>
      </c>
      <c r="CQ124" s="296">
        <f t="shared" si="542"/>
        <v>32770071.661070433</v>
      </c>
      <c r="CR124" s="296">
        <f t="shared" si="542"/>
        <v>34642370.771471232</v>
      </c>
      <c r="CS124" s="296">
        <f t="shared" si="542"/>
        <v>35064544.586930238</v>
      </c>
      <c r="CT124" s="296">
        <f t="shared" si="542"/>
        <v>37117802.071128421</v>
      </c>
      <c r="CU124" s="296">
        <f t="shared" si="542"/>
        <v>39636384.083663553</v>
      </c>
      <c r="CV124" s="296">
        <f t="shared" si="542"/>
        <v>39930666.46647013</v>
      </c>
      <c r="CW124" s="296">
        <f t="shared" si="542"/>
        <v>40789211.480267577</v>
      </c>
      <c r="CX124" s="296">
        <f t="shared" si="542"/>
        <v>42530995.646734171</v>
      </c>
      <c r="CY124" s="296">
        <f t="shared" si="542"/>
        <v>43086706.293306448</v>
      </c>
      <c r="CZ124" s="296">
        <f t="shared" si="542"/>
        <v>44581510.829475872</v>
      </c>
      <c r="DA124" s="296">
        <f t="shared" si="542"/>
        <v>46596368.131482258</v>
      </c>
      <c r="DB124" s="296">
        <f t="shared" si="542"/>
        <v>47112843.890398897</v>
      </c>
      <c r="DC124" s="296">
        <f t="shared" si="542"/>
        <v>48390811.31729228</v>
      </c>
      <c r="DD124" s="296">
        <f t="shared" si="542"/>
        <v>50686271.92355331</v>
      </c>
      <c r="DE124" s="296">
        <f t="shared" si="542"/>
        <v>51511390.720067278</v>
      </c>
      <c r="DF124" s="296">
        <f t="shared" si="542"/>
        <v>53911152.876217104</v>
      </c>
      <c r="DG124" s="296">
        <f t="shared" si="542"/>
        <v>56821473.396939486</v>
      </c>
      <c r="DH124" s="296">
        <f t="shared" si="542"/>
        <v>57151152.695645571</v>
      </c>
      <c r="DI124" s="296">
        <f t="shared" si="542"/>
        <v>58148756.934831113</v>
      </c>
      <c r="DJ124" s="296">
        <f t="shared" si="542"/>
        <v>60138822.854437955</v>
      </c>
      <c r="DK124" s="296">
        <f t="shared" si="542"/>
        <v>60803343.340061918</v>
      </c>
      <c r="DL124" s="296">
        <f t="shared" si="542"/>
        <v>62636195.464380629</v>
      </c>
      <c r="DM124" s="296">
        <f t="shared" ref="DM124:FB124" si="582">DL136</f>
        <v>65018803.972524576</v>
      </c>
      <c r="DN124" s="296">
        <f t="shared" si="582"/>
        <v>65525605.601159729</v>
      </c>
      <c r="DO124" s="296">
        <f t="shared" si="582"/>
        <v>66988464.196479127</v>
      </c>
      <c r="DP124" s="296">
        <f t="shared" si="582"/>
        <v>69636460.405351967</v>
      </c>
      <c r="DQ124" s="296">
        <f t="shared" si="582"/>
        <v>70364325.195062861</v>
      </c>
      <c r="DR124" s="296">
        <f t="shared" si="582"/>
        <v>72880239.883831173</v>
      </c>
      <c r="DS124" s="296">
        <f t="shared" si="582"/>
        <v>76034773.107063189</v>
      </c>
      <c r="DT124" s="296">
        <f t="shared" si="582"/>
        <v>76453651.672373146</v>
      </c>
      <c r="DU124" s="296">
        <f t="shared" si="582"/>
        <v>77741126.884588718</v>
      </c>
      <c r="DV124" s="296">
        <f t="shared" si="582"/>
        <v>80311340.838415548</v>
      </c>
      <c r="DW124" s="296">
        <f t="shared" si="582"/>
        <v>81160799.722261772</v>
      </c>
      <c r="DX124" s="296">
        <f t="shared" si="582"/>
        <v>83538050.182048887</v>
      </c>
      <c r="DY124" s="296">
        <f t="shared" si="582"/>
        <v>86620421.787492588</v>
      </c>
      <c r="DZ124" s="296">
        <f t="shared" si="582"/>
        <v>87263916.608749077</v>
      </c>
      <c r="EA124" s="296">
        <f t="shared" si="582"/>
        <v>89158847.939836785</v>
      </c>
      <c r="EB124" s="296">
        <f t="shared" si="582"/>
        <v>92592108.753850013</v>
      </c>
      <c r="EC124" s="296">
        <f t="shared" si="582"/>
        <v>93524377.798715606</v>
      </c>
      <c r="ED124" s="296">
        <f t="shared" si="582"/>
        <v>96770600.046948075</v>
      </c>
      <c r="EE124" s="296">
        <f t="shared" si="582"/>
        <v>100852410.25750281</v>
      </c>
      <c r="EF124" s="296">
        <f t="shared" si="582"/>
        <v>101389660.19444905</v>
      </c>
      <c r="EG124" s="296">
        <f t="shared" si="582"/>
        <v>103058250.09516883</v>
      </c>
      <c r="EH124" s="296">
        <f t="shared" si="582"/>
        <v>106390911.93538539</v>
      </c>
      <c r="EI124" s="296">
        <f t="shared" si="582"/>
        <v>107484875.50609179</v>
      </c>
      <c r="EJ124" s="296">
        <f t="shared" si="582"/>
        <v>110575922.74850053</v>
      </c>
      <c r="EK124" s="296">
        <f t="shared" si="582"/>
        <v>114577086.96960641</v>
      </c>
      <c r="EL124" s="296">
        <f t="shared" si="582"/>
        <v>115402056.16096559</v>
      </c>
      <c r="EM124" s="296">
        <f t="shared" si="582"/>
        <v>117863901.1431479</v>
      </c>
      <c r="EN124" s="296">
        <f t="shared" si="582"/>
        <v>122326977.42451222</v>
      </c>
      <c r="EO124" s="296">
        <f t="shared" si="582"/>
        <v>123529168.40532494</v>
      </c>
      <c r="EP124" s="296">
        <f t="shared" si="582"/>
        <v>127735701.62017579</v>
      </c>
      <c r="EQ124" s="296">
        <f t="shared" si="582"/>
        <v>133034899.59934114</v>
      </c>
      <c r="ER124" s="296">
        <f t="shared" si="582"/>
        <v>133160335.00191884</v>
      </c>
      <c r="ES124" s="296">
        <f t="shared" si="582"/>
        <v>134129104.84734376</v>
      </c>
      <c r="ET124" s="296">
        <f t="shared" si="582"/>
        <v>136117760.27679962</v>
      </c>
      <c r="EU124" s="296">
        <f t="shared" si="582"/>
        <v>136522454.59045699</v>
      </c>
      <c r="EV124" s="296">
        <f t="shared" si="582"/>
        <v>138651676.64703706</v>
      </c>
      <c r="EW124" s="296">
        <f t="shared" si="582"/>
        <v>141185548.73221907</v>
      </c>
      <c r="EX124" s="296">
        <f t="shared" si="582"/>
        <v>141365709.77172536</v>
      </c>
      <c r="EY124" s="296">
        <f t="shared" si="582"/>
        <v>142993386.39650863</v>
      </c>
      <c r="EZ124" s="296">
        <f t="shared" si="582"/>
        <v>146032656.62370858</v>
      </c>
      <c r="FA124" s="296">
        <f t="shared" si="582"/>
        <v>146530164.47571832</v>
      </c>
      <c r="FB124" s="296">
        <f t="shared" si="582"/>
        <v>148951673.76699638</v>
      </c>
    </row>
    <row r="125" spans="3:158" x14ac:dyDescent="0.25">
      <c r="C125" s="2" t="s">
        <v>298</v>
      </c>
      <c r="D125" s="244">
        <f t="shared" si="544"/>
        <v>80557.169400000115</v>
      </c>
      <c r="E125" s="244">
        <f t="shared" si="534"/>
        <v>192830.05260000011</v>
      </c>
      <c r="F125" s="244">
        <f t="shared" si="535"/>
        <v>351291.78821830009</v>
      </c>
      <c r="G125" s="244">
        <f t="shared" si="536"/>
        <v>510162.14435304014</v>
      </c>
      <c r="H125" s="244">
        <f t="shared" si="537"/>
        <v>1016497.0679991975</v>
      </c>
      <c r="I125" s="244">
        <f t="shared" si="538"/>
        <v>1981613.0842035213</v>
      </c>
      <c r="J125" s="244">
        <f t="shared" si="539"/>
        <v>6037097.0538979219</v>
      </c>
      <c r="K125" s="244">
        <f t="shared" si="540"/>
        <v>11879317.250342695</v>
      </c>
      <c r="L125" s="244">
        <f t="shared" si="541"/>
        <v>18945757.804493185</v>
      </c>
      <c r="N125" s="244">
        <f t="shared" si="545"/>
        <v>80557.169400000115</v>
      </c>
      <c r="O125" s="244">
        <f t="shared" si="546"/>
        <v>100251.53340000012</v>
      </c>
      <c r="P125" s="244">
        <f t="shared" si="547"/>
        <v>120426.01340000011</v>
      </c>
      <c r="Q125" s="244">
        <f t="shared" si="548"/>
        <v>149989.5034000001</v>
      </c>
      <c r="R125" s="244">
        <f t="shared" si="549"/>
        <v>192830.05260000011</v>
      </c>
      <c r="S125" s="244">
        <f t="shared" si="550"/>
        <v>230542.90320000012</v>
      </c>
      <c r="T125" s="244">
        <f t="shared" si="551"/>
        <v>272493.99040000013</v>
      </c>
      <c r="U125" s="244">
        <f t="shared" si="552"/>
        <v>307306.40560000011</v>
      </c>
      <c r="V125" s="244">
        <f t="shared" si="553"/>
        <v>351291.78821830009</v>
      </c>
      <c r="W125" s="244">
        <f t="shared" si="554"/>
        <v>365382.10746298014</v>
      </c>
      <c r="X125" s="244">
        <f t="shared" si="555"/>
        <v>412082.73652374023</v>
      </c>
      <c r="Y125" s="244">
        <f t="shared" si="556"/>
        <v>446812.89010392019</v>
      </c>
      <c r="Z125" s="244">
        <f t="shared" si="557"/>
        <v>510162.14435304014</v>
      </c>
      <c r="AA125" s="244">
        <f t="shared" si="558"/>
        <v>592331.48129521555</v>
      </c>
      <c r="AB125" s="244">
        <f t="shared" si="559"/>
        <v>719765.22585707088</v>
      </c>
      <c r="AC125" s="244">
        <f t="shared" si="560"/>
        <v>847989.10523308662</v>
      </c>
      <c r="AD125" s="244">
        <f t="shared" si="561"/>
        <v>1016497.0679991975</v>
      </c>
      <c r="AE125" s="244">
        <f t="shared" si="562"/>
        <v>1183535.3144037044</v>
      </c>
      <c r="AF125" s="244">
        <f t="shared" si="563"/>
        <v>1411270.7481579084</v>
      </c>
      <c r="AG125" s="244">
        <f t="shared" si="564"/>
        <v>1637892.1264775735</v>
      </c>
      <c r="AH125" s="244">
        <f t="shared" si="565"/>
        <v>1981613.0842035213</v>
      </c>
      <c r="AI125" s="244">
        <f t="shared" si="566"/>
        <v>2714718.8282314879</v>
      </c>
      <c r="AJ125" s="244">
        <f t="shared" si="567"/>
        <v>3722681.4973351983</v>
      </c>
      <c r="AK125" s="244">
        <f t="shared" si="568"/>
        <v>4669616.8399888165</v>
      </c>
      <c r="AL125" s="244">
        <f t="shared" si="569"/>
        <v>6037097.0538979219</v>
      </c>
      <c r="AM125" s="244">
        <f t="shared" si="570"/>
        <v>7082754.6379693877</v>
      </c>
      <c r="AN125" s="244">
        <f t="shared" si="571"/>
        <v>8541806.1872123722</v>
      </c>
      <c r="AO125" s="244">
        <f t="shared" si="572"/>
        <v>9914738.0560840406</v>
      </c>
      <c r="AP125" s="244">
        <f t="shared" si="573"/>
        <v>11879317.250342695</v>
      </c>
      <c r="AQ125" s="244">
        <f t="shared" si="574"/>
        <v>13129094.241776457</v>
      </c>
      <c r="AR125" s="244">
        <f t="shared" si="575"/>
        <v>14903956.475173851</v>
      </c>
      <c r="AS125" s="244">
        <f t="shared" si="576"/>
        <v>16577231.869143369</v>
      </c>
      <c r="AT125" s="244">
        <f t="shared" si="577"/>
        <v>18945757.804493185</v>
      </c>
      <c r="AU125" s="244">
        <f t="shared" si="578"/>
        <v>20424634.192695372</v>
      </c>
      <c r="AV125" s="244">
        <f t="shared" si="579"/>
        <v>22557316.433244221</v>
      </c>
      <c r="AW125" s="244">
        <f t="shared" si="580"/>
        <v>24571197.541411377</v>
      </c>
      <c r="AY125" s="333">
        <f>AY137-AY131</f>
        <v>80557.169400000115</v>
      </c>
      <c r="AZ125" s="296">
        <f>AY137</f>
        <v>81998.729400000113</v>
      </c>
      <c r="BA125" s="296">
        <f t="shared" ref="BA125:BO125" si="583">AZ137</f>
        <v>90200.029400000116</v>
      </c>
      <c r="BB125" s="296">
        <f t="shared" si="583"/>
        <v>100251.53340000012</v>
      </c>
      <c r="BC125" s="296">
        <f t="shared" si="583"/>
        <v>103562.33340000012</v>
      </c>
      <c r="BD125" s="296">
        <f t="shared" si="583"/>
        <v>110160.33340000012</v>
      </c>
      <c r="BE125" s="296">
        <f t="shared" si="583"/>
        <v>120426.01340000011</v>
      </c>
      <c r="BF125" s="296">
        <f t="shared" si="583"/>
        <v>126829.54680000011</v>
      </c>
      <c r="BG125" s="296">
        <f t="shared" si="583"/>
        <v>135457.81680000012</v>
      </c>
      <c r="BH125" s="296">
        <f t="shared" si="583"/>
        <v>149989.5034000001</v>
      </c>
      <c r="BI125" s="296">
        <f t="shared" si="583"/>
        <v>159938.14340000012</v>
      </c>
      <c r="BJ125" s="296">
        <f t="shared" si="583"/>
        <v>177628.40340000013</v>
      </c>
      <c r="BK125" s="296">
        <f t="shared" si="583"/>
        <v>192830.05260000011</v>
      </c>
      <c r="BL125" s="296">
        <f t="shared" si="583"/>
        <v>199148.71920000011</v>
      </c>
      <c r="BM125" s="296">
        <f t="shared" si="583"/>
        <v>211390.71580000012</v>
      </c>
      <c r="BN125" s="296">
        <f t="shared" si="583"/>
        <v>230542.90320000012</v>
      </c>
      <c r="BO125" s="296">
        <f t="shared" si="583"/>
        <v>240648.27380000011</v>
      </c>
      <c r="BP125" s="296">
        <f t="shared" ref="BP125:CU125" si="584">BO137</f>
        <v>254610.01760000011</v>
      </c>
      <c r="BQ125" s="296">
        <f t="shared" si="584"/>
        <v>272493.99040000013</v>
      </c>
      <c r="BR125" s="296">
        <f t="shared" si="584"/>
        <v>279392.57380000013</v>
      </c>
      <c r="BS125" s="296">
        <f t="shared" si="584"/>
        <v>287292.11380000011</v>
      </c>
      <c r="BT125" s="296">
        <f t="shared" si="584"/>
        <v>307306.40560000011</v>
      </c>
      <c r="BU125" s="296">
        <f t="shared" si="584"/>
        <v>314620.61920000013</v>
      </c>
      <c r="BV125" s="296">
        <f t="shared" si="584"/>
        <v>332529.37500000012</v>
      </c>
      <c r="BW125" s="296">
        <f t="shared" si="584"/>
        <v>351291.78821830009</v>
      </c>
      <c r="BX125" s="296">
        <f t="shared" si="584"/>
        <v>351792.32541830011</v>
      </c>
      <c r="BY125" s="296">
        <f t="shared" si="584"/>
        <v>355134.99586078012</v>
      </c>
      <c r="BZ125" s="296">
        <f t="shared" si="584"/>
        <v>365382.10746298014</v>
      </c>
      <c r="CA125" s="296">
        <f t="shared" si="584"/>
        <v>370436.78127836017</v>
      </c>
      <c r="CB125" s="296">
        <f t="shared" si="584"/>
        <v>380890.79337650019</v>
      </c>
      <c r="CC125" s="296">
        <f t="shared" si="584"/>
        <v>412082.73652374023</v>
      </c>
      <c r="CD125" s="296">
        <f t="shared" si="584"/>
        <v>414690.08926732023</v>
      </c>
      <c r="CE125" s="296">
        <f t="shared" si="584"/>
        <v>427135.31936766021</v>
      </c>
      <c r="CF125" s="296">
        <f t="shared" si="584"/>
        <v>446812.89010392019</v>
      </c>
      <c r="CG125" s="296">
        <f t="shared" si="584"/>
        <v>457928.01323142019</v>
      </c>
      <c r="CH125" s="296">
        <f t="shared" si="584"/>
        <v>476874.18570688018</v>
      </c>
      <c r="CI125" s="296">
        <f t="shared" si="584"/>
        <v>510162.14435304014</v>
      </c>
      <c r="CJ125" s="296">
        <f t="shared" si="584"/>
        <v>525385.70377726539</v>
      </c>
      <c r="CK125" s="296">
        <f t="shared" si="584"/>
        <v>549072.67780161742</v>
      </c>
      <c r="CL125" s="296">
        <f t="shared" si="584"/>
        <v>592331.48129521555</v>
      </c>
      <c r="CM125" s="296">
        <f t="shared" si="584"/>
        <v>611916.33115816221</v>
      </c>
      <c r="CN125" s="296">
        <f t="shared" si="584"/>
        <v>653214.3598577783</v>
      </c>
      <c r="CO125" s="296">
        <f t="shared" si="584"/>
        <v>719765.22585707088</v>
      </c>
      <c r="CP125" s="296">
        <f t="shared" si="584"/>
        <v>738590.13037685421</v>
      </c>
      <c r="CQ125" s="296">
        <f t="shared" si="584"/>
        <v>784547.40300118341</v>
      </c>
      <c r="CR125" s="296">
        <f t="shared" si="584"/>
        <v>847989.10523308662</v>
      </c>
      <c r="CS125" s="296">
        <f t="shared" si="584"/>
        <v>863245.15824167873</v>
      </c>
      <c r="CT125" s="296">
        <f t="shared" si="584"/>
        <v>931797.55688366969</v>
      </c>
      <c r="CU125" s="296">
        <f t="shared" si="584"/>
        <v>1016497.0679991975</v>
      </c>
      <c r="CV125" s="296">
        <f t="shared" ref="CV125:DL125" si="585">CU137</f>
        <v>1036311.9136903613</v>
      </c>
      <c r="CW125" s="296">
        <f t="shared" si="585"/>
        <v>1085291.8159909132</v>
      </c>
      <c r="CX125" s="296">
        <f t="shared" si="585"/>
        <v>1183535.3144037044</v>
      </c>
      <c r="CY125" s="296">
        <f t="shared" si="585"/>
        <v>1219208.0188354868</v>
      </c>
      <c r="CZ125" s="296">
        <f t="shared" si="585"/>
        <v>1299557.9141375518</v>
      </c>
      <c r="DA125" s="296">
        <f t="shared" si="585"/>
        <v>1411270.7481579084</v>
      </c>
      <c r="DB125" s="296">
        <f t="shared" si="585"/>
        <v>1445085.3662169999</v>
      </c>
      <c r="DC125" s="296">
        <f t="shared" si="585"/>
        <v>1514536.6680921947</v>
      </c>
      <c r="DD125" s="296">
        <f t="shared" si="585"/>
        <v>1637892.1264775735</v>
      </c>
      <c r="DE125" s="296">
        <f t="shared" si="585"/>
        <v>1686743.6262584592</v>
      </c>
      <c r="DF125" s="296">
        <f t="shared" si="585"/>
        <v>1822150.2871150852</v>
      </c>
      <c r="DG125" s="296">
        <f t="shared" si="585"/>
        <v>1981613.0842035213</v>
      </c>
      <c r="DH125" s="296">
        <f t="shared" si="585"/>
        <v>2078403.7789108537</v>
      </c>
      <c r="DI125" s="296">
        <f t="shared" si="585"/>
        <v>2293352.1638469202</v>
      </c>
      <c r="DJ125" s="296">
        <f t="shared" si="585"/>
        <v>2714718.8282314879</v>
      </c>
      <c r="DK125" s="296">
        <f t="shared" si="585"/>
        <v>2889728.0436315779</v>
      </c>
      <c r="DL125" s="296">
        <f t="shared" si="585"/>
        <v>3238432.0197283095</v>
      </c>
      <c r="DM125" s="296">
        <f t="shared" ref="DM125:FB125" si="586">DL137</f>
        <v>3722681.4973351983</v>
      </c>
      <c r="DN125" s="296">
        <f t="shared" si="586"/>
        <v>3873148.961661736</v>
      </c>
      <c r="DO125" s="296">
        <f t="shared" si="586"/>
        <v>4160948.4413033016</v>
      </c>
      <c r="DP125" s="296">
        <f t="shared" si="586"/>
        <v>4669616.8399888165</v>
      </c>
      <c r="DQ125" s="296">
        <f t="shared" si="586"/>
        <v>4854134.1970787076</v>
      </c>
      <c r="DR125" s="296">
        <f t="shared" si="586"/>
        <v>5399093.3335584234</v>
      </c>
      <c r="DS125" s="296">
        <f t="shared" si="586"/>
        <v>6037097.0538979219</v>
      </c>
      <c r="DT125" s="296">
        <f t="shared" si="586"/>
        <v>6167900.6559816906</v>
      </c>
      <c r="DU125" s="296">
        <f t="shared" si="586"/>
        <v>6476160.7664464973</v>
      </c>
      <c r="DV125" s="296">
        <f t="shared" si="586"/>
        <v>7082754.6379693877</v>
      </c>
      <c r="DW125" s="296">
        <f t="shared" si="586"/>
        <v>7323845.1677357862</v>
      </c>
      <c r="DX125" s="296">
        <f t="shared" si="586"/>
        <v>7838288.1169483261</v>
      </c>
      <c r="DY125" s="296">
        <f t="shared" si="586"/>
        <v>8541806.1872123722</v>
      </c>
      <c r="DZ125" s="296">
        <f t="shared" si="586"/>
        <v>8744766.8030471355</v>
      </c>
      <c r="EA125" s="296">
        <f t="shared" si="586"/>
        <v>9166017.850598596</v>
      </c>
      <c r="EB125" s="296">
        <f t="shared" si="586"/>
        <v>9914738.0560840406</v>
      </c>
      <c r="EC125" s="296">
        <f t="shared" si="586"/>
        <v>10170751.13804654</v>
      </c>
      <c r="ED125" s="296">
        <f t="shared" si="586"/>
        <v>10951392.14064708</v>
      </c>
      <c r="EE125" s="296">
        <f t="shared" si="586"/>
        <v>11879317.250342695</v>
      </c>
      <c r="EF125" s="296">
        <f t="shared" si="586"/>
        <v>12025127.999226987</v>
      </c>
      <c r="EG125" s="296">
        <f t="shared" si="586"/>
        <v>12395987.492829986</v>
      </c>
      <c r="EH125" s="296">
        <f t="shared" si="586"/>
        <v>13129094.241776457</v>
      </c>
      <c r="EI125" s="296">
        <f t="shared" si="586"/>
        <v>13404864.013145534</v>
      </c>
      <c r="EJ125" s="296">
        <f t="shared" si="586"/>
        <v>14044508.875758622</v>
      </c>
      <c r="EK125" s="296">
        <f t="shared" si="586"/>
        <v>14903956.475173851</v>
      </c>
      <c r="EL125" s="296">
        <f t="shared" si="586"/>
        <v>15129617.456675289</v>
      </c>
      <c r="EM125" s="296">
        <f t="shared" si="586"/>
        <v>15648703.891641697</v>
      </c>
      <c r="EN125" s="296">
        <f t="shared" si="586"/>
        <v>16577231.869143369</v>
      </c>
      <c r="EO125" s="296">
        <f t="shared" si="586"/>
        <v>16872812.102446809</v>
      </c>
      <c r="EP125" s="296">
        <f t="shared" si="586"/>
        <v>17810693.415424261</v>
      </c>
      <c r="EQ125" s="296">
        <f t="shared" si="586"/>
        <v>18945757.804493185</v>
      </c>
      <c r="ER125" s="296">
        <f t="shared" si="586"/>
        <v>19107270.880336162</v>
      </c>
      <c r="ES125" s="296">
        <f t="shared" si="586"/>
        <v>19548653.557438754</v>
      </c>
      <c r="ET125" s="296">
        <f t="shared" si="586"/>
        <v>20424634.192695372</v>
      </c>
      <c r="EU125" s="296">
        <f t="shared" si="586"/>
        <v>20737984.528314896</v>
      </c>
      <c r="EV125" s="296">
        <f t="shared" si="586"/>
        <v>21520840.197610687</v>
      </c>
      <c r="EW125" s="296">
        <f t="shared" si="586"/>
        <v>22557316.433244221</v>
      </c>
      <c r="EX125" s="296">
        <f t="shared" si="586"/>
        <v>22806621.341571506</v>
      </c>
      <c r="EY125" s="296">
        <f t="shared" si="586"/>
        <v>23437208.146442801</v>
      </c>
      <c r="EZ125" s="296">
        <f t="shared" si="586"/>
        <v>24571197.541411377</v>
      </c>
      <c r="FA125" s="296">
        <f t="shared" si="586"/>
        <v>24910058.566156849</v>
      </c>
      <c r="FB125" s="296">
        <f t="shared" si="586"/>
        <v>26024949.452228021</v>
      </c>
    </row>
    <row r="126" spans="3:158" x14ac:dyDescent="0.25">
      <c r="C126" s="2" t="s">
        <v>299</v>
      </c>
      <c r="D126" s="244">
        <f t="shared" si="544"/>
        <v>41162.224700000057</v>
      </c>
      <c r="E126" s="244">
        <f t="shared" si="534"/>
        <v>35724.160600000061</v>
      </c>
      <c r="F126" s="244">
        <f t="shared" si="535"/>
        <v>22136.358500000064</v>
      </c>
      <c r="G126" s="244">
        <f t="shared" si="536"/>
        <v>101571.53656737007</v>
      </c>
      <c r="H126" s="244">
        <f t="shared" si="537"/>
        <v>469895.27691541531</v>
      </c>
      <c r="I126" s="244">
        <f t="shared" si="538"/>
        <v>1383537.7358292898</v>
      </c>
      <c r="J126" s="244">
        <f t="shared" si="539"/>
        <v>2997267.350841051</v>
      </c>
      <c r="K126" s="244">
        <f t="shared" si="540"/>
        <v>4995366.2785213152</v>
      </c>
      <c r="L126" s="244">
        <f t="shared" si="541"/>
        <v>7452215.8331954135</v>
      </c>
      <c r="N126" s="244">
        <f t="shared" si="545"/>
        <v>41162.224700000057</v>
      </c>
      <c r="O126" s="244">
        <f t="shared" si="546"/>
        <v>39795.270700000059</v>
      </c>
      <c r="P126" s="244">
        <f t="shared" si="547"/>
        <v>39024.270700000059</v>
      </c>
      <c r="Q126" s="244">
        <f t="shared" si="548"/>
        <v>38203.660700000059</v>
      </c>
      <c r="R126" s="244">
        <f t="shared" si="549"/>
        <v>35724.160600000061</v>
      </c>
      <c r="S126" s="244">
        <f t="shared" si="550"/>
        <v>32999.655600000064</v>
      </c>
      <c r="T126" s="244">
        <f t="shared" si="551"/>
        <v>30116.735600000062</v>
      </c>
      <c r="U126" s="244">
        <f t="shared" si="552"/>
        <v>27301.105600000061</v>
      </c>
      <c r="V126" s="244">
        <f t="shared" si="553"/>
        <v>22136.358500000064</v>
      </c>
      <c r="W126" s="244">
        <f t="shared" si="554"/>
        <v>29181.518122340065</v>
      </c>
      <c r="X126" s="244">
        <f t="shared" si="555"/>
        <v>52531.832652720062</v>
      </c>
      <c r="Y126" s="244">
        <f t="shared" si="556"/>
        <v>69896.909442810065</v>
      </c>
      <c r="Z126" s="244">
        <f t="shared" si="557"/>
        <v>101571.53656737007</v>
      </c>
      <c r="AA126" s="244">
        <f t="shared" si="558"/>
        <v>164021.99011344532</v>
      </c>
      <c r="AB126" s="244">
        <f t="shared" si="559"/>
        <v>255530.67310050974</v>
      </c>
      <c r="AC126" s="244">
        <f t="shared" si="560"/>
        <v>348013.30464403186</v>
      </c>
      <c r="AD126" s="244">
        <f t="shared" si="561"/>
        <v>469895.27691541531</v>
      </c>
      <c r="AE126" s="244">
        <f t="shared" si="562"/>
        <v>629847.15268252126</v>
      </c>
      <c r="AF126" s="244">
        <f t="shared" si="563"/>
        <v>845201.95007216302</v>
      </c>
      <c r="AG126" s="244">
        <f t="shared" si="564"/>
        <v>1058487.7105040371</v>
      </c>
      <c r="AH126" s="244">
        <f t="shared" si="565"/>
        <v>1383537.7358292898</v>
      </c>
      <c r="AI126" s="244">
        <f t="shared" si="566"/>
        <v>1673295.3326667843</v>
      </c>
      <c r="AJ126" s="244">
        <f t="shared" si="567"/>
        <v>2075689.4896656945</v>
      </c>
      <c r="AK126" s="244">
        <f t="shared" si="568"/>
        <v>2454136.2625731826</v>
      </c>
      <c r="AL126" s="244">
        <f t="shared" si="569"/>
        <v>2997267.350841051</v>
      </c>
      <c r="AM126" s="244">
        <f t="shared" si="570"/>
        <v>3351832.6202422171</v>
      </c>
      <c r="AN126" s="244">
        <f t="shared" si="571"/>
        <v>3852898.4195547048</v>
      </c>
      <c r="AO126" s="244">
        <f t="shared" si="572"/>
        <v>4325036.7415334564</v>
      </c>
      <c r="AP126" s="244">
        <f t="shared" si="573"/>
        <v>4995366.2785213152</v>
      </c>
      <c r="AQ126" s="244">
        <f t="shared" si="574"/>
        <v>5427049.463765529</v>
      </c>
      <c r="AR126" s="244">
        <f t="shared" si="575"/>
        <v>6046036.5279007526</v>
      </c>
      <c r="AS126" s="244">
        <f t="shared" si="576"/>
        <v>6630192.0315128965</v>
      </c>
      <c r="AT126" s="244">
        <f t="shared" si="577"/>
        <v>7452215.8331954135</v>
      </c>
      <c r="AU126" s="244">
        <f t="shared" si="578"/>
        <v>11090935.188118841</v>
      </c>
      <c r="AV126" s="244">
        <f t="shared" si="579"/>
        <v>16077900.737034852</v>
      </c>
      <c r="AW126" s="244">
        <f t="shared" si="580"/>
        <v>20761268.156313725</v>
      </c>
      <c r="AY126" s="333">
        <f>AY138-AY132</f>
        <v>41162.224700000057</v>
      </c>
      <c r="AZ126" s="296">
        <f>AY138</f>
        <v>40999.364700000056</v>
      </c>
      <c r="BA126" s="296">
        <f t="shared" ref="BA126:BO126" si="587">AZ138</f>
        <v>40464.264700000058</v>
      </c>
      <c r="BB126" s="296">
        <f t="shared" si="587"/>
        <v>39795.270700000059</v>
      </c>
      <c r="BC126" s="296">
        <f t="shared" si="587"/>
        <v>39455.270700000059</v>
      </c>
      <c r="BD126" s="296">
        <f t="shared" si="587"/>
        <v>39264.270700000059</v>
      </c>
      <c r="BE126" s="296">
        <f t="shared" si="587"/>
        <v>39024.270700000059</v>
      </c>
      <c r="BF126" s="296">
        <f t="shared" si="587"/>
        <v>39024.270700000059</v>
      </c>
      <c r="BG126" s="296">
        <f t="shared" si="587"/>
        <v>38485.510700000057</v>
      </c>
      <c r="BH126" s="296">
        <f t="shared" si="587"/>
        <v>38203.660700000059</v>
      </c>
      <c r="BI126" s="296">
        <f t="shared" si="587"/>
        <v>38203.660700000059</v>
      </c>
      <c r="BJ126" s="296">
        <f t="shared" si="587"/>
        <v>37526.660700000059</v>
      </c>
      <c r="BK126" s="296">
        <f t="shared" si="587"/>
        <v>35724.160600000061</v>
      </c>
      <c r="BL126" s="296">
        <f t="shared" si="587"/>
        <v>35440.160600000061</v>
      </c>
      <c r="BM126" s="296">
        <f t="shared" si="587"/>
        <v>34662.155600000064</v>
      </c>
      <c r="BN126" s="296">
        <f t="shared" si="587"/>
        <v>32999.655600000064</v>
      </c>
      <c r="BO126" s="296">
        <f t="shared" si="587"/>
        <v>32017.945600000065</v>
      </c>
      <c r="BP126" s="296">
        <f t="shared" ref="BP126:CU126" si="588">BO138</f>
        <v>31233.615600000063</v>
      </c>
      <c r="BQ126" s="296">
        <f t="shared" si="588"/>
        <v>30116.735600000062</v>
      </c>
      <c r="BR126" s="296">
        <f t="shared" si="588"/>
        <v>29067.675600000061</v>
      </c>
      <c r="BS126" s="296">
        <f t="shared" si="588"/>
        <v>28666.775600000059</v>
      </c>
      <c r="BT126" s="296">
        <f t="shared" si="588"/>
        <v>27301.105600000061</v>
      </c>
      <c r="BU126" s="296">
        <f t="shared" si="588"/>
        <v>26659.665600000062</v>
      </c>
      <c r="BV126" s="296">
        <f t="shared" si="588"/>
        <v>25424.928500000064</v>
      </c>
      <c r="BW126" s="296">
        <f t="shared" si="588"/>
        <v>22136.358500000064</v>
      </c>
      <c r="BX126" s="296">
        <f t="shared" si="588"/>
        <v>22386.627100000063</v>
      </c>
      <c r="BY126" s="296">
        <f t="shared" si="588"/>
        <v>24057.962321240062</v>
      </c>
      <c r="BZ126" s="296">
        <f t="shared" si="588"/>
        <v>29181.518122340065</v>
      </c>
      <c r="CA126" s="296">
        <f t="shared" si="588"/>
        <v>31708.855030030063</v>
      </c>
      <c r="CB126" s="296">
        <f t="shared" si="588"/>
        <v>36935.861079100061</v>
      </c>
      <c r="CC126" s="296">
        <f t="shared" si="588"/>
        <v>52531.832652720062</v>
      </c>
      <c r="CD126" s="296">
        <f t="shared" si="588"/>
        <v>53835.509024510066</v>
      </c>
      <c r="CE126" s="296">
        <f t="shared" si="588"/>
        <v>60058.124074680069</v>
      </c>
      <c r="CF126" s="296">
        <f t="shared" si="588"/>
        <v>69896.909442810065</v>
      </c>
      <c r="CG126" s="296">
        <f t="shared" si="588"/>
        <v>75454.471006560067</v>
      </c>
      <c r="CH126" s="296">
        <f t="shared" si="588"/>
        <v>84927.557244290074</v>
      </c>
      <c r="CI126" s="296">
        <f t="shared" si="588"/>
        <v>101571.53656737007</v>
      </c>
      <c r="CJ126" s="296">
        <f t="shared" si="588"/>
        <v>113753.84004082855</v>
      </c>
      <c r="CK126" s="296">
        <f t="shared" si="588"/>
        <v>131097.66212905245</v>
      </c>
      <c r="CL126" s="296">
        <f t="shared" si="588"/>
        <v>164021.99011344532</v>
      </c>
      <c r="CM126" s="296">
        <f t="shared" si="588"/>
        <v>179441.54593778809</v>
      </c>
      <c r="CN126" s="296">
        <f t="shared" si="588"/>
        <v>208823.70881367562</v>
      </c>
      <c r="CO126" s="296">
        <f t="shared" si="588"/>
        <v>255530.67310050974</v>
      </c>
      <c r="CP126" s="296">
        <f t="shared" si="588"/>
        <v>269321.70156333561</v>
      </c>
      <c r="CQ126" s="296">
        <f t="shared" si="588"/>
        <v>301905.43085544242</v>
      </c>
      <c r="CR126" s="296">
        <f t="shared" si="588"/>
        <v>348013.30464403186</v>
      </c>
      <c r="CS126" s="296">
        <f t="shared" si="588"/>
        <v>359883.99394558987</v>
      </c>
      <c r="CT126" s="296">
        <f t="shared" si="588"/>
        <v>408865.58733511373</v>
      </c>
      <c r="CU126" s="296">
        <f t="shared" si="588"/>
        <v>469895.27691541531</v>
      </c>
      <c r="CV126" s="296">
        <f t="shared" ref="CV126:DL126" si="589">CU138</f>
        <v>489991.84709929855</v>
      </c>
      <c r="CW126" s="296">
        <f t="shared" si="589"/>
        <v>536670.45801071741</v>
      </c>
      <c r="CX126" s="296">
        <f t="shared" si="589"/>
        <v>629847.15268252126</v>
      </c>
      <c r="CY126" s="296">
        <f t="shared" si="589"/>
        <v>665434.58398638479</v>
      </c>
      <c r="CZ126" s="296">
        <f t="shared" si="589"/>
        <v>740034.14547866443</v>
      </c>
      <c r="DA126" s="296">
        <f t="shared" si="589"/>
        <v>845201.95007216302</v>
      </c>
      <c r="DB126" s="296">
        <f t="shared" si="589"/>
        <v>879170.98732190707</v>
      </c>
      <c r="DC126" s="296">
        <f t="shared" si="589"/>
        <v>943973.90773025772</v>
      </c>
      <c r="DD126" s="296">
        <f t="shared" si="589"/>
        <v>1058487.7105040371</v>
      </c>
      <c r="DE126" s="296">
        <f t="shared" si="589"/>
        <v>1105756.719500429</v>
      </c>
      <c r="DF126" s="296">
        <f t="shared" si="589"/>
        <v>1234200.4398482025</v>
      </c>
      <c r="DG126" s="296">
        <f t="shared" si="589"/>
        <v>1383537.7358292898</v>
      </c>
      <c r="DH126" s="296">
        <f t="shared" si="589"/>
        <v>1420435.3059275839</v>
      </c>
      <c r="DI126" s="296">
        <f t="shared" si="589"/>
        <v>1505705.9141147248</v>
      </c>
      <c r="DJ126" s="296">
        <f t="shared" si="589"/>
        <v>1673295.3326667843</v>
      </c>
      <c r="DK126" s="296">
        <f t="shared" si="589"/>
        <v>1740868.8800695818</v>
      </c>
      <c r="DL126" s="296">
        <f t="shared" si="589"/>
        <v>1881891.1186707378</v>
      </c>
      <c r="DM126" s="296">
        <f t="shared" ref="DM126:FB126" si="590">DL138</f>
        <v>2075689.4896656945</v>
      </c>
      <c r="DN126" s="296">
        <f t="shared" si="590"/>
        <v>2132977.5912369317</v>
      </c>
      <c r="DO126" s="296">
        <f t="shared" si="590"/>
        <v>2248743.3688186724</v>
      </c>
      <c r="DP126" s="296">
        <f t="shared" si="590"/>
        <v>2454136.2625731826</v>
      </c>
      <c r="DQ126" s="296">
        <f t="shared" si="590"/>
        <v>2525722.7676810604</v>
      </c>
      <c r="DR126" s="296">
        <f t="shared" si="590"/>
        <v>2741742.5243601799</v>
      </c>
      <c r="DS126" s="296">
        <f t="shared" si="590"/>
        <v>2997267.350841051</v>
      </c>
      <c r="DT126" s="296">
        <f t="shared" si="590"/>
        <v>3039472.3659818526</v>
      </c>
      <c r="DU126" s="296">
        <f t="shared" si="590"/>
        <v>3144493.1887627826</v>
      </c>
      <c r="DV126" s="296">
        <f t="shared" si="590"/>
        <v>3351832.6202422171</v>
      </c>
      <c r="DW126" s="296">
        <f t="shared" si="590"/>
        <v>3431055.1987430691</v>
      </c>
      <c r="DX126" s="296">
        <f t="shared" si="590"/>
        <v>3610551.4196209456</v>
      </c>
      <c r="DY126" s="296">
        <f t="shared" si="590"/>
        <v>3852898.4195547048</v>
      </c>
      <c r="DZ126" s="296">
        <f t="shared" si="590"/>
        <v>3918266.10684356</v>
      </c>
      <c r="EA126" s="296">
        <f t="shared" si="590"/>
        <v>4064290.0310368226</v>
      </c>
      <c r="EB126" s="296">
        <f t="shared" si="590"/>
        <v>4325036.7415334564</v>
      </c>
      <c r="EC126" s="296">
        <f t="shared" si="590"/>
        <v>4409722.3669715784</v>
      </c>
      <c r="ED126" s="296">
        <f t="shared" si="590"/>
        <v>4675415.4961433923</v>
      </c>
      <c r="EE126" s="296">
        <f t="shared" si="590"/>
        <v>4995366.2785213152</v>
      </c>
      <c r="EF126" s="296">
        <f t="shared" si="590"/>
        <v>5043714.7281920733</v>
      </c>
      <c r="EG126" s="296">
        <f t="shared" si="590"/>
        <v>5172276.9863206111</v>
      </c>
      <c r="EH126" s="296">
        <f t="shared" si="590"/>
        <v>5427049.463765529</v>
      </c>
      <c r="EI126" s="296">
        <f t="shared" si="590"/>
        <v>5519931.2841560319</v>
      </c>
      <c r="EJ126" s="296">
        <f t="shared" si="590"/>
        <v>5745614.8975147614</v>
      </c>
      <c r="EK126" s="296">
        <f t="shared" si="590"/>
        <v>6046036.5279007526</v>
      </c>
      <c r="EL126" s="296">
        <f t="shared" si="590"/>
        <v>6120741.813705517</v>
      </c>
      <c r="EM126" s="296">
        <f t="shared" si="590"/>
        <v>6303026.6395635447</v>
      </c>
      <c r="EN126" s="296">
        <f t="shared" si="590"/>
        <v>6630192.0315128965</v>
      </c>
      <c r="EO126" s="296">
        <f t="shared" si="590"/>
        <v>6730294.7329027951</v>
      </c>
      <c r="EP126" s="296">
        <f t="shared" si="590"/>
        <v>7055176.0971425446</v>
      </c>
      <c r="EQ126" s="296">
        <f t="shared" si="590"/>
        <v>7452215.8331954135</v>
      </c>
      <c r="ER126" s="296">
        <f t="shared" si="590"/>
        <v>7938059.4438255709</v>
      </c>
      <c r="ES126" s="296">
        <f t="shared" si="590"/>
        <v>9003689.991601713</v>
      </c>
      <c r="ET126" s="296">
        <f t="shared" si="590"/>
        <v>11090935.188118841</v>
      </c>
      <c r="EU126" s="296">
        <f t="shared" si="590"/>
        <v>11965968.667561105</v>
      </c>
      <c r="EV126" s="296">
        <f t="shared" si="590"/>
        <v>13683955.224781193</v>
      </c>
      <c r="EW126" s="296">
        <f t="shared" si="590"/>
        <v>16077900.737034852</v>
      </c>
      <c r="EX126" s="296">
        <f t="shared" si="590"/>
        <v>16833462.484271478</v>
      </c>
      <c r="EY126" s="296">
        <f t="shared" si="590"/>
        <v>18253886.290582132</v>
      </c>
      <c r="EZ126" s="296">
        <f t="shared" si="590"/>
        <v>20761268.156313725</v>
      </c>
      <c r="FA126" s="296">
        <f t="shared" si="590"/>
        <v>21682475.94707153</v>
      </c>
      <c r="FB126" s="296">
        <f t="shared" si="590"/>
        <v>24384838.998911232</v>
      </c>
    </row>
    <row r="127" spans="3:158" x14ac:dyDescent="0.25">
      <c r="C127" s="2" t="s">
        <v>300</v>
      </c>
      <c r="D127" s="244">
        <f t="shared" si="544"/>
        <v>82324.449400000114</v>
      </c>
      <c r="E127" s="244">
        <f t="shared" si="534"/>
        <v>71448.321200000122</v>
      </c>
      <c r="F127" s="244">
        <f t="shared" si="535"/>
        <v>44272.717000000128</v>
      </c>
      <c r="G127" s="244">
        <f t="shared" si="536"/>
        <v>-13888.28671795988</v>
      </c>
      <c r="H127" s="244">
        <f t="shared" si="537"/>
        <v>-12096.935956870248</v>
      </c>
      <c r="I127" s="244">
        <f t="shared" si="538"/>
        <v>-10541.460266922208</v>
      </c>
      <c r="J127" s="244">
        <f t="shared" si="539"/>
        <v>-9060.6283301229523</v>
      </c>
      <c r="K127" s="244">
        <f t="shared" si="540"/>
        <v>-7789.0832775116278</v>
      </c>
      <c r="L127" s="244">
        <f t="shared" si="541"/>
        <v>-6696.7126673644143</v>
      </c>
      <c r="N127" s="244">
        <f t="shared" si="545"/>
        <v>82324.449400000114</v>
      </c>
      <c r="O127" s="244">
        <f t="shared" si="546"/>
        <v>79590.541400000118</v>
      </c>
      <c r="P127" s="244">
        <f t="shared" si="547"/>
        <v>78048.541400000118</v>
      </c>
      <c r="Q127" s="244">
        <f t="shared" si="548"/>
        <v>76407.321400000117</v>
      </c>
      <c r="R127" s="244">
        <f t="shared" si="549"/>
        <v>71448.321200000122</v>
      </c>
      <c r="S127" s="244">
        <f t="shared" si="550"/>
        <v>65999.311200000127</v>
      </c>
      <c r="T127" s="244">
        <f t="shared" si="551"/>
        <v>60233.471200000124</v>
      </c>
      <c r="U127" s="244">
        <f t="shared" si="552"/>
        <v>54602.211200000122</v>
      </c>
      <c r="V127" s="244">
        <f t="shared" si="553"/>
        <v>44272.717000000128</v>
      </c>
      <c r="W127" s="244">
        <f t="shared" si="554"/>
        <v>28557.941000000123</v>
      </c>
      <c r="X127" s="244">
        <f t="shared" si="555"/>
        <v>16060.281153840122</v>
      </c>
      <c r="Y127" s="244">
        <f t="shared" si="556"/>
        <v>2927.2348820401203</v>
      </c>
      <c r="Z127" s="244">
        <f t="shared" si="557"/>
        <v>-13888.28671795988</v>
      </c>
      <c r="AA127" s="244">
        <f t="shared" si="558"/>
        <v>-13441.665045327863</v>
      </c>
      <c r="AB127" s="244">
        <f t="shared" si="559"/>
        <v>-13060.139021441295</v>
      </c>
      <c r="AC127" s="244">
        <f t="shared" si="560"/>
        <v>-12652.576188301369</v>
      </c>
      <c r="AD127" s="244">
        <f t="shared" si="561"/>
        <v>-12096.935956870248</v>
      </c>
      <c r="AE127" s="244">
        <f t="shared" si="562"/>
        <v>-11776.883040928775</v>
      </c>
      <c r="AF127" s="244">
        <f t="shared" si="563"/>
        <v>-11416.385922820375</v>
      </c>
      <c r="AG127" s="244">
        <f t="shared" si="564"/>
        <v>-11085.981104507344</v>
      </c>
      <c r="AH127" s="244">
        <f t="shared" si="565"/>
        <v>-10541.460266922208</v>
      </c>
      <c r="AI127" s="244">
        <f t="shared" si="566"/>
        <v>-10236.765965073175</v>
      </c>
      <c r="AJ127" s="244">
        <f t="shared" si="567"/>
        <v>-9893.5682866595416</v>
      </c>
      <c r="AK127" s="244">
        <f t="shared" si="568"/>
        <v>-9579.0188467729968</v>
      </c>
      <c r="AL127" s="244">
        <f t="shared" si="569"/>
        <v>-9060.6283301229523</v>
      </c>
      <c r="AM127" s="244">
        <f t="shared" si="570"/>
        <v>-8798.9966604870206</v>
      </c>
      <c r="AN127" s="244">
        <f t="shared" si="571"/>
        <v>-8504.3033200679947</v>
      </c>
      <c r="AO127" s="244">
        <f t="shared" si="572"/>
        <v>-8234.2093450866741</v>
      </c>
      <c r="AP127" s="244">
        <f t="shared" si="573"/>
        <v>-7789.0832775116278</v>
      </c>
      <c r="AQ127" s="244">
        <f t="shared" si="574"/>
        <v>-7564.3183381906783</v>
      </c>
      <c r="AR127" s="244">
        <f t="shared" si="575"/>
        <v>-7311.1504748745128</v>
      </c>
      <c r="AS127" s="244">
        <f t="shared" si="576"/>
        <v>-7079.1156605031983</v>
      </c>
      <c r="AT127" s="244">
        <f t="shared" si="577"/>
        <v>-6696.7126673644143</v>
      </c>
      <c r="AU127" s="244">
        <f t="shared" si="578"/>
        <v>696700.86488309829</v>
      </c>
      <c r="AV127" s="244">
        <f t="shared" si="579"/>
        <v>1651102.9100978267</v>
      </c>
      <c r="AW127" s="244">
        <f t="shared" si="580"/>
        <v>2546399.359212541</v>
      </c>
      <c r="AY127" s="333">
        <f>AY139-AY133</f>
        <v>82324.449400000114</v>
      </c>
      <c r="AZ127" s="296">
        <f>AY139</f>
        <v>81998.729400000113</v>
      </c>
      <c r="BA127" s="296">
        <f t="shared" ref="BA127:BO127" si="591">AZ139</f>
        <v>80928.529400000116</v>
      </c>
      <c r="BB127" s="296">
        <f t="shared" si="591"/>
        <v>79590.541400000118</v>
      </c>
      <c r="BC127" s="296">
        <f t="shared" si="591"/>
        <v>78910.541400000118</v>
      </c>
      <c r="BD127" s="296">
        <f t="shared" si="591"/>
        <v>78528.541400000118</v>
      </c>
      <c r="BE127" s="296">
        <f t="shared" si="591"/>
        <v>78048.541400000118</v>
      </c>
      <c r="BF127" s="296">
        <f t="shared" si="591"/>
        <v>78048.541400000118</v>
      </c>
      <c r="BG127" s="296">
        <f t="shared" si="591"/>
        <v>76971.021400000114</v>
      </c>
      <c r="BH127" s="296">
        <f t="shared" si="591"/>
        <v>76407.321400000117</v>
      </c>
      <c r="BI127" s="296">
        <f t="shared" si="591"/>
        <v>76407.321400000117</v>
      </c>
      <c r="BJ127" s="296">
        <f t="shared" si="591"/>
        <v>75053.321400000117</v>
      </c>
      <c r="BK127" s="296">
        <f t="shared" si="591"/>
        <v>71448.321200000122</v>
      </c>
      <c r="BL127" s="296">
        <f t="shared" si="591"/>
        <v>70880.321200000122</v>
      </c>
      <c r="BM127" s="296">
        <f t="shared" si="591"/>
        <v>69324.311200000127</v>
      </c>
      <c r="BN127" s="296">
        <f t="shared" si="591"/>
        <v>65999.311200000127</v>
      </c>
      <c r="BO127" s="296">
        <f t="shared" si="591"/>
        <v>64035.891200000129</v>
      </c>
      <c r="BP127" s="296">
        <f t="shared" ref="BP127:DK127" si="592">BO139</f>
        <v>62467.231200000126</v>
      </c>
      <c r="BQ127" s="296">
        <f t="shared" si="592"/>
        <v>60233.471200000124</v>
      </c>
      <c r="BR127" s="296">
        <f t="shared" si="592"/>
        <v>58135.351200000121</v>
      </c>
      <c r="BS127" s="296">
        <f t="shared" si="592"/>
        <v>57333.551200000118</v>
      </c>
      <c r="BT127" s="296">
        <f t="shared" si="592"/>
        <v>54602.211200000122</v>
      </c>
      <c r="BU127" s="296">
        <f t="shared" si="592"/>
        <v>53319.331200000124</v>
      </c>
      <c r="BV127" s="296">
        <f t="shared" si="592"/>
        <v>50849.857000000127</v>
      </c>
      <c r="BW127" s="296">
        <f t="shared" si="592"/>
        <v>44272.717000000128</v>
      </c>
      <c r="BX127" s="296">
        <f t="shared" si="592"/>
        <v>38988.917000000125</v>
      </c>
      <c r="BY127" s="296">
        <f t="shared" si="592"/>
        <v>33816.077000000121</v>
      </c>
      <c r="BZ127" s="296">
        <f t="shared" si="592"/>
        <v>28557.941000000123</v>
      </c>
      <c r="CA127" s="296">
        <f t="shared" si="592"/>
        <v>23837.952246160123</v>
      </c>
      <c r="CB127" s="296">
        <f t="shared" si="592"/>
        <v>19704.281153840122</v>
      </c>
      <c r="CC127" s="296">
        <f t="shared" si="592"/>
        <v>16060.281153840122</v>
      </c>
      <c r="CD127" s="296">
        <f t="shared" si="592"/>
        <v>11622.842553840121</v>
      </c>
      <c r="CE127" s="296">
        <f t="shared" si="592"/>
        <v>8129.0505538401203</v>
      </c>
      <c r="CF127" s="296">
        <f t="shared" si="592"/>
        <v>2927.2348820401203</v>
      </c>
      <c r="CG127" s="296">
        <f t="shared" si="592"/>
        <v>-1087.6369179598801</v>
      </c>
      <c r="CH127" s="296">
        <f t="shared" si="592"/>
        <v>-7909.6235179598807</v>
      </c>
      <c r="CI127" s="296">
        <f t="shared" si="592"/>
        <v>-13888.28671795988</v>
      </c>
      <c r="CJ127" s="296">
        <f t="shared" si="592"/>
        <v>-13769.904229913322</v>
      </c>
      <c r="CK127" s="296">
        <f t="shared" si="592"/>
        <v>-13679.512847187039</v>
      </c>
      <c r="CL127" s="296">
        <f t="shared" si="592"/>
        <v>-13441.665045327863</v>
      </c>
      <c r="CM127" s="296">
        <f t="shared" si="592"/>
        <v>-13304.08499366672</v>
      </c>
      <c r="CN127" s="296">
        <f t="shared" si="592"/>
        <v>-13196.3642870155</v>
      </c>
      <c r="CO127" s="296">
        <f t="shared" si="592"/>
        <v>-13060.139021441295</v>
      </c>
      <c r="CP127" s="296">
        <f t="shared" si="592"/>
        <v>-12987.879057691434</v>
      </c>
      <c r="CQ127" s="296">
        <f t="shared" si="592"/>
        <v>-12874.603666564723</v>
      </c>
      <c r="CR127" s="296">
        <f t="shared" si="592"/>
        <v>-12652.576188301369</v>
      </c>
      <c r="CS127" s="296">
        <f t="shared" si="592"/>
        <v>-12553.598023217422</v>
      </c>
      <c r="CT127" s="296">
        <f t="shared" si="592"/>
        <v>-12362.627292090347</v>
      </c>
      <c r="CU127" s="296">
        <f t="shared" si="592"/>
        <v>-12096.935956870248</v>
      </c>
      <c r="CV127" s="296">
        <f t="shared" si="592"/>
        <v>-12027.66192273088</v>
      </c>
      <c r="CW127" s="296">
        <f t="shared" si="592"/>
        <v>-11940.045560260378</v>
      </c>
      <c r="CX127" s="296">
        <f t="shared" si="592"/>
        <v>-11776.883040928775</v>
      </c>
      <c r="CY127" s="296">
        <f t="shared" si="592"/>
        <v>-11668.695675724701</v>
      </c>
      <c r="CZ127" s="296">
        <f t="shared" si="592"/>
        <v>-11580.06079640114</v>
      </c>
      <c r="DA127" s="296">
        <f t="shared" si="592"/>
        <v>-11416.385922820375</v>
      </c>
      <c r="DB127" s="296">
        <f t="shared" si="592"/>
        <v>-11307.271371645171</v>
      </c>
      <c r="DC127" s="296">
        <f t="shared" si="592"/>
        <v>-11221.677130435468</v>
      </c>
      <c r="DD127" s="296">
        <f t="shared" si="592"/>
        <v>-11085.981104507344</v>
      </c>
      <c r="DE127" s="296">
        <f t="shared" si="592"/>
        <v>-10978.711685991744</v>
      </c>
      <c r="DF127" s="296">
        <f t="shared" si="592"/>
        <v>-10753.256460253244</v>
      </c>
      <c r="DG127" s="296">
        <f t="shared" si="592"/>
        <v>-10541.460266922208</v>
      </c>
      <c r="DH127" s="296">
        <f t="shared" si="592"/>
        <v>-10475.510536683785</v>
      </c>
      <c r="DI127" s="296">
        <f t="shared" si="592"/>
        <v>-10392.098684881181</v>
      </c>
      <c r="DJ127" s="296">
        <f t="shared" si="592"/>
        <v>-10236.765965073175</v>
      </c>
      <c r="DK127" s="296">
        <f t="shared" si="592"/>
        <v>-10133.770266337626</v>
      </c>
      <c r="DL127" s="296">
        <f t="shared" ref="DL127:FB127" si="593">DK139</f>
        <v>-10049.388773997453</v>
      </c>
      <c r="DM127" s="296">
        <f t="shared" si="593"/>
        <v>-9893.5682866595416</v>
      </c>
      <c r="DN127" s="296">
        <f t="shared" si="593"/>
        <v>-9789.6898955063134</v>
      </c>
      <c r="DO127" s="296">
        <f t="shared" si="593"/>
        <v>-9708.2031279479834</v>
      </c>
      <c r="DP127" s="296">
        <f t="shared" si="593"/>
        <v>-9579.0188467729968</v>
      </c>
      <c r="DQ127" s="296">
        <f t="shared" si="593"/>
        <v>-9476.8970445447067</v>
      </c>
      <c r="DR127" s="296">
        <f t="shared" si="593"/>
        <v>-9262.2609041348187</v>
      </c>
      <c r="DS127" s="296">
        <f t="shared" si="593"/>
        <v>-9060.6283301229523</v>
      </c>
      <c r="DT127" s="296">
        <f t="shared" si="593"/>
        <v>-9003.9993156333185</v>
      </c>
      <c r="DU127" s="296">
        <f t="shared" si="593"/>
        <v>-8932.3761119104183</v>
      </c>
      <c r="DV127" s="296">
        <f t="shared" si="593"/>
        <v>-8798.9966604870206</v>
      </c>
      <c r="DW127" s="296">
        <f t="shared" si="593"/>
        <v>-8710.55740690737</v>
      </c>
      <c r="DX127" s="296">
        <f t="shared" si="593"/>
        <v>-8638.1016025376848</v>
      </c>
      <c r="DY127" s="296">
        <f t="shared" si="593"/>
        <v>-8504.3033200679947</v>
      </c>
      <c r="DZ127" s="296">
        <f t="shared" si="593"/>
        <v>-8415.1061255304376</v>
      </c>
      <c r="EA127" s="296">
        <f t="shared" si="593"/>
        <v>-8345.1359327170394</v>
      </c>
      <c r="EB127" s="296">
        <f t="shared" si="593"/>
        <v>-8234.2093450866741</v>
      </c>
      <c r="EC127" s="296">
        <f t="shared" si="593"/>
        <v>-8146.5204796859161</v>
      </c>
      <c r="ED127" s="296">
        <f t="shared" si="593"/>
        <v>-7962.2189963996461</v>
      </c>
      <c r="EE127" s="296">
        <f t="shared" si="593"/>
        <v>-7789.0832775116278</v>
      </c>
      <c r="EF127" s="296">
        <f t="shared" si="593"/>
        <v>-7740.4339032853368</v>
      </c>
      <c r="EG127" s="296">
        <f t="shared" si="593"/>
        <v>-7678.9031831658986</v>
      </c>
      <c r="EH127" s="296">
        <f t="shared" si="593"/>
        <v>-7564.3183381906783</v>
      </c>
      <c r="EI127" s="296">
        <f t="shared" si="593"/>
        <v>-7488.3411314095538</v>
      </c>
      <c r="EJ127" s="296">
        <f t="shared" si="593"/>
        <v>-7426.0951330743201</v>
      </c>
      <c r="EK127" s="296">
        <f t="shared" si="593"/>
        <v>-7311.1504748745128</v>
      </c>
      <c r="EL127" s="296">
        <f t="shared" si="593"/>
        <v>-7234.5221292092847</v>
      </c>
      <c r="EM127" s="296">
        <f t="shared" si="593"/>
        <v>-7174.4114928942581</v>
      </c>
      <c r="EN127" s="296">
        <f t="shared" si="593"/>
        <v>-7079.1156605031983</v>
      </c>
      <c r="EO127" s="296">
        <f t="shared" si="593"/>
        <v>-7003.7831040953661</v>
      </c>
      <c r="EP127" s="296">
        <f t="shared" si="593"/>
        <v>-6845.4516919798416</v>
      </c>
      <c r="EQ127" s="296">
        <f t="shared" si="593"/>
        <v>-6696.7126673644143</v>
      </c>
      <c r="ER127" s="296">
        <f t="shared" si="593"/>
        <v>90489.844051405657</v>
      </c>
      <c r="ES127" s="296">
        <f t="shared" si="593"/>
        <v>295732.97611971688</v>
      </c>
      <c r="ET127" s="296">
        <f t="shared" si="593"/>
        <v>696700.86488309829</v>
      </c>
      <c r="EU127" s="296">
        <f t="shared" si="593"/>
        <v>869697.86799518357</v>
      </c>
      <c r="EV127" s="296">
        <f t="shared" si="593"/>
        <v>1194106.2437486085</v>
      </c>
      <c r="EW127" s="296">
        <f t="shared" si="593"/>
        <v>1651102.9100978267</v>
      </c>
      <c r="EX127" s="296">
        <f t="shared" si="593"/>
        <v>1802413.2858340633</v>
      </c>
      <c r="EY127" s="296">
        <f t="shared" si="593"/>
        <v>2072148.9083495624</v>
      </c>
      <c r="EZ127" s="296">
        <f t="shared" si="593"/>
        <v>2546399.359212541</v>
      </c>
      <c r="FA127" s="296">
        <f t="shared" si="593"/>
        <v>2727709.0518950224</v>
      </c>
      <c r="FB127" s="296">
        <f t="shared" si="593"/>
        <v>3248593.2622843459</v>
      </c>
    </row>
    <row r="129" spans="1:158" x14ac:dyDescent="0.25">
      <c r="C129" s="304" t="s">
        <v>648</v>
      </c>
      <c r="D129" s="22">
        <f t="shared" ref="D129:L129" si="594">SUM(D99,D105,D111,D117)</f>
        <v>5613644.1599999992</v>
      </c>
      <c r="E129" s="22">
        <f t="shared" si="594"/>
        <v>7923086.7809150005</v>
      </c>
      <c r="F129" s="22">
        <f t="shared" si="594"/>
        <v>7943517.8067369983</v>
      </c>
      <c r="G129" s="22">
        <f t="shared" si="594"/>
        <v>15807569.098469285</v>
      </c>
      <c r="H129" s="22">
        <f t="shared" si="594"/>
        <v>19065403.264084093</v>
      </c>
      <c r="I129" s="22">
        <f t="shared" si="594"/>
        <v>24883994.126766689</v>
      </c>
      <c r="J129" s="22">
        <f t="shared" si="594"/>
        <v>32659227.819617301</v>
      </c>
      <c r="K129" s="22">
        <f t="shared" si="594"/>
        <v>41706871.821273059</v>
      </c>
      <c r="L129" s="22">
        <f t="shared" si="594"/>
        <v>51687508.442793094</v>
      </c>
      <c r="M129" s="22"/>
      <c r="N129" s="22">
        <f t="shared" ref="N129:AW129" si="595">SUM(N99,N105,N111,N117)</f>
        <v>984718.20000000019</v>
      </c>
      <c r="O129" s="22">
        <f t="shared" si="595"/>
        <v>1008724</v>
      </c>
      <c r="P129" s="22">
        <f t="shared" si="595"/>
        <v>1478174.5</v>
      </c>
      <c r="Q129" s="22">
        <f t="shared" si="595"/>
        <v>2142027.4600000004</v>
      </c>
      <c r="R129" s="22">
        <f t="shared" si="595"/>
        <v>1885642.5299999998</v>
      </c>
      <c r="S129" s="22">
        <f t="shared" si="595"/>
        <v>2097554.36</v>
      </c>
      <c r="T129" s="22">
        <f t="shared" si="595"/>
        <v>1740620.76</v>
      </c>
      <c r="U129" s="22">
        <f t="shared" si="595"/>
        <v>2199269.1309150001</v>
      </c>
      <c r="V129" s="22">
        <f t="shared" si="595"/>
        <v>704515.96223400009</v>
      </c>
      <c r="W129" s="22">
        <f t="shared" si="595"/>
        <v>2335031.453038</v>
      </c>
      <c r="X129" s="22">
        <f t="shared" si="595"/>
        <v>1736507.6790089998</v>
      </c>
      <c r="Y129" s="22">
        <f t="shared" si="595"/>
        <v>3167462.712456</v>
      </c>
      <c r="Z129" s="22">
        <f t="shared" si="595"/>
        <v>2472138.9983959999</v>
      </c>
      <c r="AA129" s="22">
        <f t="shared" si="595"/>
        <v>4019844.6779509997</v>
      </c>
      <c r="AB129" s="22">
        <f t="shared" si="595"/>
        <v>4030626.5346610383</v>
      </c>
      <c r="AC129" s="22">
        <f t="shared" si="595"/>
        <v>5284958.8874612432</v>
      </c>
      <c r="AD129" s="22">
        <f t="shared" si="595"/>
        <v>3221921.7381581739</v>
      </c>
      <c r="AE129" s="22">
        <f t="shared" si="595"/>
        <v>4508823.2130100448</v>
      </c>
      <c r="AF129" s="22">
        <f t="shared" si="595"/>
        <v>4530141.3356409064</v>
      </c>
      <c r="AG129" s="22">
        <f t="shared" si="595"/>
        <v>6804516.9772749674</v>
      </c>
      <c r="AH129" s="22">
        <f t="shared" si="595"/>
        <v>4340517.4926657835</v>
      </c>
      <c r="AI129" s="22">
        <f t="shared" si="595"/>
        <v>6290681.1418676563</v>
      </c>
      <c r="AJ129" s="22">
        <f t="shared" si="595"/>
        <v>5943353.0978283919</v>
      </c>
      <c r="AK129" s="22">
        <f t="shared" si="595"/>
        <v>8309442.3944048546</v>
      </c>
      <c r="AL129" s="22">
        <f t="shared" si="595"/>
        <v>5677052.2164946357</v>
      </c>
      <c r="AM129" s="22">
        <f t="shared" si="595"/>
        <v>8269492.9909729417</v>
      </c>
      <c r="AN129" s="22">
        <f t="shared" si="595"/>
        <v>7817027.2511828262</v>
      </c>
      <c r="AO129" s="22">
        <f t="shared" si="595"/>
        <v>10895655.360966899</v>
      </c>
      <c r="AP129" s="22">
        <f t="shared" si="595"/>
        <v>7220186.6194998799</v>
      </c>
      <c r="AQ129" s="22">
        <f t="shared" si="595"/>
        <v>10580277.499616958</v>
      </c>
      <c r="AR129" s="22">
        <f t="shared" si="595"/>
        <v>10007553.387301842</v>
      </c>
      <c r="AS129" s="22">
        <f t="shared" si="595"/>
        <v>13898854.314854389</v>
      </c>
      <c r="AT129" s="22">
        <f t="shared" si="595"/>
        <v>8903853.998134559</v>
      </c>
      <c r="AU129" s="22">
        <f t="shared" si="595"/>
        <v>13141838.290099047</v>
      </c>
      <c r="AV129" s="22">
        <f t="shared" si="595"/>
        <v>12439652.868050255</v>
      </c>
      <c r="AW129" s="22">
        <f t="shared" si="595"/>
        <v>17202163.286509216</v>
      </c>
      <c r="AY129" s="49">
        <f t="shared" ref="AY129:CD129" si="596">SUM(AY99,AY105,AY111,AY117)</f>
        <v>72078</v>
      </c>
      <c r="AZ129" s="49">
        <f t="shared" si="596"/>
        <v>410065</v>
      </c>
      <c r="BA129" s="49">
        <f t="shared" si="596"/>
        <v>502575.19999999995</v>
      </c>
      <c r="BB129" s="49">
        <f t="shared" si="596"/>
        <v>165540</v>
      </c>
      <c r="BC129" s="49">
        <f t="shared" si="596"/>
        <v>329900</v>
      </c>
      <c r="BD129" s="49">
        <f t="shared" si="596"/>
        <v>513284</v>
      </c>
      <c r="BE129" s="49">
        <f t="shared" si="596"/>
        <v>320176.67</v>
      </c>
      <c r="BF129" s="49">
        <f t="shared" si="596"/>
        <v>431413.5</v>
      </c>
      <c r="BG129" s="49">
        <f t="shared" si="596"/>
        <v>726584.33</v>
      </c>
      <c r="BH129" s="49">
        <f t="shared" si="596"/>
        <v>497432</v>
      </c>
      <c r="BI129" s="49">
        <f t="shared" si="596"/>
        <v>884513</v>
      </c>
      <c r="BJ129" s="49">
        <f t="shared" si="596"/>
        <v>760082.46</v>
      </c>
      <c r="BK129" s="49">
        <f t="shared" si="596"/>
        <v>315933.33</v>
      </c>
      <c r="BL129" s="49">
        <f t="shared" si="596"/>
        <v>612099.82999999996</v>
      </c>
      <c r="BM129" s="49">
        <f t="shared" si="596"/>
        <v>957609.37000000011</v>
      </c>
      <c r="BN129" s="49">
        <f t="shared" si="596"/>
        <v>505268.53</v>
      </c>
      <c r="BO129" s="49">
        <f t="shared" si="596"/>
        <v>698087.19</v>
      </c>
      <c r="BP129" s="49">
        <f t="shared" si="596"/>
        <v>894198.64</v>
      </c>
      <c r="BQ129" s="49">
        <f t="shared" si="596"/>
        <v>344929.17</v>
      </c>
      <c r="BR129" s="49">
        <f t="shared" si="596"/>
        <v>394977</v>
      </c>
      <c r="BS129" s="49">
        <f t="shared" si="596"/>
        <v>1000714.5900000001</v>
      </c>
      <c r="BT129" s="49">
        <f t="shared" si="596"/>
        <v>365710.68</v>
      </c>
      <c r="BU129" s="49">
        <f t="shared" si="596"/>
        <v>895437.79</v>
      </c>
      <c r="BV129" s="49">
        <f t="shared" si="596"/>
        <v>938120.6609149999</v>
      </c>
      <c r="BW129" s="49">
        <f t="shared" si="596"/>
        <v>25026.859999999986</v>
      </c>
      <c r="BX129" s="49">
        <f t="shared" si="596"/>
        <v>167133.52212400001</v>
      </c>
      <c r="BY129" s="49">
        <f t="shared" si="596"/>
        <v>512355.58010999998</v>
      </c>
      <c r="BZ129" s="49">
        <f t="shared" si="596"/>
        <v>252733.69076900007</v>
      </c>
      <c r="CA129" s="49">
        <f t="shared" si="596"/>
        <v>522700.60490699997</v>
      </c>
      <c r="CB129" s="49">
        <f t="shared" si="596"/>
        <v>1559597.1573620001</v>
      </c>
      <c r="CC129" s="49">
        <f t="shared" si="596"/>
        <v>130367.63717899998</v>
      </c>
      <c r="CD129" s="49">
        <f t="shared" si="596"/>
        <v>622261.50501700002</v>
      </c>
      <c r="CE129" s="49">
        <f t="shared" ref="CE129:DJ129" si="597">SUM(CE99,CE105,CE111,CE117)</f>
        <v>983878.53681299987</v>
      </c>
      <c r="CF129" s="49">
        <f t="shared" si="597"/>
        <v>555756.15637500002</v>
      </c>
      <c r="CG129" s="49">
        <f t="shared" si="597"/>
        <v>947308.62377299997</v>
      </c>
      <c r="CH129" s="49">
        <f t="shared" si="597"/>
        <v>1664397.932308</v>
      </c>
      <c r="CI129" s="49">
        <f t="shared" si="597"/>
        <v>436723.09596600011</v>
      </c>
      <c r="CJ129" s="49">
        <f t="shared" si="597"/>
        <v>735560.50150600006</v>
      </c>
      <c r="CK129" s="49">
        <f t="shared" si="597"/>
        <v>1299855.400924</v>
      </c>
      <c r="CL129" s="49">
        <f t="shared" si="597"/>
        <v>570629.65402000002</v>
      </c>
      <c r="CM129" s="49">
        <f t="shared" si="597"/>
        <v>1312242.0672480001</v>
      </c>
      <c r="CN129" s="49">
        <f t="shared" si="597"/>
        <v>2136972.9566830001</v>
      </c>
      <c r="CO129" s="49">
        <f t="shared" si="597"/>
        <v>584324.32839594397</v>
      </c>
      <c r="CP129" s="49">
        <f t="shared" si="597"/>
        <v>1464231.4923655414</v>
      </c>
      <c r="CQ129" s="49">
        <f t="shared" si="597"/>
        <v>1982070.7138995533</v>
      </c>
      <c r="CR129" s="49">
        <f t="shared" si="597"/>
        <v>449399.53593424318</v>
      </c>
      <c r="CS129" s="49">
        <f t="shared" si="597"/>
        <v>2170982.4469608217</v>
      </c>
      <c r="CT129" s="49">
        <f t="shared" si="597"/>
        <v>2664576.904566179</v>
      </c>
      <c r="CU129" s="49">
        <f t="shared" si="597"/>
        <v>334263.07271576551</v>
      </c>
      <c r="CV129" s="49">
        <f t="shared" si="597"/>
        <v>954291.14337189193</v>
      </c>
      <c r="CW129" s="49">
        <f t="shared" si="597"/>
        <v>1933367.5220705168</v>
      </c>
      <c r="CX129" s="49">
        <f t="shared" si="597"/>
        <v>627078.96967312589</v>
      </c>
      <c r="CY129" s="49">
        <f t="shared" si="597"/>
        <v>1649842.6278430936</v>
      </c>
      <c r="CZ129" s="49">
        <f t="shared" si="597"/>
        <v>2231901.6154938242</v>
      </c>
      <c r="DA129" s="49">
        <f t="shared" si="597"/>
        <v>584368.52877665183</v>
      </c>
      <c r="DB129" s="49">
        <f t="shared" si="597"/>
        <v>1412307.2434181375</v>
      </c>
      <c r="DC129" s="49">
        <f t="shared" si="597"/>
        <v>2533465.5634461176</v>
      </c>
      <c r="DD129" s="49">
        <f t="shared" si="597"/>
        <v>921346.57470976328</v>
      </c>
      <c r="DE129" s="49">
        <f t="shared" si="597"/>
        <v>2663837.992579964</v>
      </c>
      <c r="DF129" s="49">
        <f t="shared" si="597"/>
        <v>3219332.4099852396</v>
      </c>
      <c r="DG129" s="49">
        <f t="shared" si="597"/>
        <v>463433.51324195229</v>
      </c>
      <c r="DH129" s="49">
        <f t="shared" si="597"/>
        <v>1297906.6441605554</v>
      </c>
      <c r="DI129" s="49">
        <f t="shared" si="597"/>
        <v>2579177.3352632765</v>
      </c>
      <c r="DJ129" s="49">
        <f t="shared" si="597"/>
        <v>907206.24412558519</v>
      </c>
      <c r="DK129" s="49">
        <f t="shared" ref="DK129:EP129" si="598">SUM(DK99,DK105,DK111,DK117)</f>
        <v>2322662.7205089414</v>
      </c>
      <c r="DL129" s="49">
        <f t="shared" si="598"/>
        <v>3060812.1772331288</v>
      </c>
      <c r="DM129" s="49">
        <f t="shared" si="598"/>
        <v>714661.0729240803</v>
      </c>
      <c r="DN129" s="49">
        <f t="shared" si="598"/>
        <v>1866505.3393102642</v>
      </c>
      <c r="DO129" s="49">
        <f t="shared" si="598"/>
        <v>3362186.6855940474</v>
      </c>
      <c r="DP129" s="49">
        <f t="shared" si="598"/>
        <v>984070.7737108923</v>
      </c>
      <c r="DQ129" s="49">
        <f t="shared" si="598"/>
        <v>3277108.2180675641</v>
      </c>
      <c r="DR129" s="49">
        <f t="shared" si="598"/>
        <v>4048263.402626398</v>
      </c>
      <c r="DS129" s="49">
        <f t="shared" si="598"/>
        <v>591943.81154902047</v>
      </c>
      <c r="DT129" s="49">
        <f t="shared" si="598"/>
        <v>1700827.768665038</v>
      </c>
      <c r="DU129" s="49">
        <f t="shared" si="598"/>
        <v>3384280.6362805767</v>
      </c>
      <c r="DV129" s="49">
        <f t="shared" si="598"/>
        <v>1169860.4313670567</v>
      </c>
      <c r="DW129" s="49">
        <f t="shared" si="598"/>
        <v>3071262.0856819041</v>
      </c>
      <c r="DX129" s="49">
        <f t="shared" si="598"/>
        <v>4028370.4739239789</v>
      </c>
      <c r="DY129" s="49">
        <f t="shared" si="598"/>
        <v>911912.32157463813</v>
      </c>
      <c r="DZ129" s="49">
        <f t="shared" si="598"/>
        <v>2462276.2730252501</v>
      </c>
      <c r="EA129" s="49">
        <f t="shared" si="598"/>
        <v>4442838.6565829376</v>
      </c>
      <c r="EB129" s="49">
        <f t="shared" si="598"/>
        <v>1273055.4411316151</v>
      </c>
      <c r="EC129" s="49">
        <f t="shared" si="598"/>
        <v>4292740.6814881172</v>
      </c>
      <c r="ED129" s="49">
        <f t="shared" si="598"/>
        <v>5329859.2383471662</v>
      </c>
      <c r="EE129" s="49">
        <f t="shared" si="598"/>
        <v>731457.78487551166</v>
      </c>
      <c r="EF129" s="49">
        <f t="shared" si="598"/>
        <v>2168073.1831714376</v>
      </c>
      <c r="EG129" s="49">
        <f t="shared" si="598"/>
        <v>4320655.6514529306</v>
      </c>
      <c r="EH129" s="49">
        <f t="shared" si="598"/>
        <v>1462691.1396727655</v>
      </c>
      <c r="EI129" s="49">
        <f t="shared" si="598"/>
        <v>3956437.9643788873</v>
      </c>
      <c r="EJ129" s="49">
        <f t="shared" si="598"/>
        <v>5161148.395565303</v>
      </c>
      <c r="EK129" s="49">
        <f t="shared" si="598"/>
        <v>1125412.0870110427</v>
      </c>
      <c r="EL129" s="49">
        <f t="shared" si="598"/>
        <v>3163276.3536430607</v>
      </c>
      <c r="EM129" s="49">
        <f t="shared" si="598"/>
        <v>5718864.946647739</v>
      </c>
      <c r="EN129" s="49">
        <f t="shared" si="598"/>
        <v>1597949.2480624628</v>
      </c>
      <c r="EO129" s="49">
        <f t="shared" si="598"/>
        <v>5469454.2234801762</v>
      </c>
      <c r="EP129" s="49">
        <f t="shared" si="598"/>
        <v>6831450.8433117513</v>
      </c>
      <c r="EQ129" s="49">
        <f t="shared" ref="EQ129:FB129" si="599">SUM(EQ99,EQ105,EQ111,EQ117)</f>
        <v>869978.64576960006</v>
      </c>
      <c r="ER129" s="49">
        <f t="shared" si="599"/>
        <v>2681026.2023719675</v>
      </c>
      <c r="ES129" s="49">
        <f t="shared" si="599"/>
        <v>5352849.1499929931</v>
      </c>
      <c r="ET129" s="49">
        <f t="shared" si="599"/>
        <v>1766075.131831246</v>
      </c>
      <c r="EU129" s="49">
        <f t="shared" si="599"/>
        <v>4954472.6588493679</v>
      </c>
      <c r="EV129" s="49">
        <f t="shared" si="599"/>
        <v>6421290.4994184319</v>
      </c>
      <c r="EW129" s="49">
        <f t="shared" si="599"/>
        <v>1336338.0708064288</v>
      </c>
      <c r="EX129" s="49">
        <f t="shared" si="599"/>
        <v>3948422.8584807357</v>
      </c>
      <c r="EY129" s="49">
        <f t="shared" si="599"/>
        <v>7154891.9387630904</v>
      </c>
      <c r="EZ129" s="49">
        <f t="shared" si="599"/>
        <v>1938886.3601955152</v>
      </c>
      <c r="FA129" s="49">
        <f t="shared" si="599"/>
        <v>6759647.439578265</v>
      </c>
      <c r="FB129" s="49">
        <f t="shared" si="599"/>
        <v>8503629.4867354371</v>
      </c>
    </row>
    <row r="130" spans="1:158" x14ac:dyDescent="0.25">
      <c r="C130" s="2" t="s">
        <v>346</v>
      </c>
      <c r="D130" s="244">
        <f t="shared" ref="D130:L130" si="600">SUM(D100,D106,D112,D118)</f>
        <v>5517685.4691000003</v>
      </c>
      <c r="E130" s="244">
        <f t="shared" si="600"/>
        <v>7805388.4515966997</v>
      </c>
      <c r="F130" s="244">
        <f t="shared" si="600"/>
        <v>7763373.276252849</v>
      </c>
      <c r="G130" s="244">
        <f t="shared" si="600"/>
        <v>14931119.083713988</v>
      </c>
      <c r="H130" s="244">
        <f t="shared" si="600"/>
        <v>17185089.313275948</v>
      </c>
      <c r="I130" s="244">
        <f t="shared" si="600"/>
        <v>19213299.710123722</v>
      </c>
      <c r="J130" s="244">
        <f t="shared" si="600"/>
        <v>24817637.150439646</v>
      </c>
      <c r="K130" s="244">
        <f t="shared" si="600"/>
        <v>32182489.341838323</v>
      </c>
      <c r="L130" s="244">
        <f t="shared" si="600"/>
        <v>19295273.134917349</v>
      </c>
      <c r="M130" s="244"/>
      <c r="N130" s="244">
        <f t="shared" ref="N130:AW130" si="601">SUM(N100,N106,N112,N118)</f>
        <v>969124.69800000009</v>
      </c>
      <c r="O130" s="244">
        <f t="shared" si="601"/>
        <v>990862.52</v>
      </c>
      <c r="P130" s="244">
        <f t="shared" si="601"/>
        <v>1451072.84</v>
      </c>
      <c r="Q130" s="244">
        <f t="shared" si="601"/>
        <v>2106625.4110999997</v>
      </c>
      <c r="R130" s="244">
        <f t="shared" si="601"/>
        <v>1856103.1943999999</v>
      </c>
      <c r="S130" s="244">
        <f t="shared" si="601"/>
        <v>2064252.0328000002</v>
      </c>
      <c r="T130" s="244">
        <f t="shared" si="601"/>
        <v>1714255.2347999997</v>
      </c>
      <c r="U130" s="244">
        <f t="shared" si="601"/>
        <v>2170777.9895966998</v>
      </c>
      <c r="V130" s="244">
        <f t="shared" si="601"/>
        <v>699095.25936698006</v>
      </c>
      <c r="W130" s="244">
        <f t="shared" si="601"/>
        <v>2277478.1692930199</v>
      </c>
      <c r="X130" s="244">
        <f t="shared" si="601"/>
        <v>1697545.4949105296</v>
      </c>
      <c r="Y130" s="244">
        <f t="shared" si="601"/>
        <v>3089254.3526823204</v>
      </c>
      <c r="Z130" s="244">
        <f t="shared" si="601"/>
        <v>2327072.5862351172</v>
      </c>
      <c r="AA130" s="244">
        <f t="shared" si="601"/>
        <v>3800520.7243781928</v>
      </c>
      <c r="AB130" s="244">
        <f t="shared" si="601"/>
        <v>3809512.4609083612</v>
      </c>
      <c r="AC130" s="244">
        <f t="shared" si="601"/>
        <v>4994013.312192319</v>
      </c>
      <c r="AD130" s="244">
        <f t="shared" si="601"/>
        <v>2894611.5630706204</v>
      </c>
      <c r="AE130" s="244">
        <f t="shared" si="601"/>
        <v>4065372.4847480897</v>
      </c>
      <c r="AF130" s="244">
        <f t="shared" si="601"/>
        <v>4089903.7920710552</v>
      </c>
      <c r="AG130" s="244">
        <f t="shared" si="601"/>
        <v>6135201.4733861815</v>
      </c>
      <c r="AH130" s="244">
        <f t="shared" si="601"/>
        <v>3317349.4574984731</v>
      </c>
      <c r="AI130" s="244">
        <f t="shared" si="601"/>
        <v>4879981.1180866212</v>
      </c>
      <c r="AJ130" s="244">
        <f t="shared" si="601"/>
        <v>4617656.4328273982</v>
      </c>
      <c r="AK130" s="244">
        <f t="shared" si="601"/>
        <v>6398312.7017112281</v>
      </c>
      <c r="AL130" s="244">
        <f t="shared" si="601"/>
        <v>4276567.7313523684</v>
      </c>
      <c r="AM130" s="244">
        <f t="shared" si="601"/>
        <v>6309080.9490770455</v>
      </c>
      <c r="AN130" s="244">
        <f t="shared" si="601"/>
        <v>5971686.9663574249</v>
      </c>
      <c r="AO130" s="244">
        <f t="shared" si="601"/>
        <v>8260301.5036528111</v>
      </c>
      <c r="AP130" s="244">
        <f t="shared" si="601"/>
        <v>5538501.6778825829</v>
      </c>
      <c r="AQ130" s="244">
        <f t="shared" si="601"/>
        <v>8186175.0342210233</v>
      </c>
      <c r="AR130" s="244">
        <f t="shared" si="601"/>
        <v>7749890.4549058098</v>
      </c>
      <c r="AS130" s="244">
        <f t="shared" si="601"/>
        <v>10707922.174828921</v>
      </c>
      <c r="AT130" s="244">
        <f t="shared" si="601"/>
        <v>3082860.6774584819</v>
      </c>
      <c r="AU130" s="244">
        <f t="shared" si="601"/>
        <v>5067788.4554194584</v>
      </c>
      <c r="AV130" s="244">
        <f t="shared" si="601"/>
        <v>4847107.8914895104</v>
      </c>
      <c r="AW130" s="244">
        <f t="shared" si="601"/>
        <v>6297516.110549897</v>
      </c>
      <c r="AY130" s="296">
        <f t="shared" ref="AY130:CD130" si="602">SUM(AY100,AY106,AY112,AY118)</f>
        <v>71125.02</v>
      </c>
      <c r="AZ130" s="296">
        <f t="shared" si="602"/>
        <v>403469</v>
      </c>
      <c r="BA130" s="296">
        <f t="shared" si="602"/>
        <v>494530.67799999996</v>
      </c>
      <c r="BB130" s="296">
        <f t="shared" si="602"/>
        <v>163249.20000000001</v>
      </c>
      <c r="BC130" s="296">
        <f t="shared" si="602"/>
        <v>323875</v>
      </c>
      <c r="BD130" s="296">
        <f t="shared" si="602"/>
        <v>503738.32000000007</v>
      </c>
      <c r="BE130" s="296">
        <f t="shared" si="602"/>
        <v>313773.13659999997</v>
      </c>
      <c r="BF130" s="296">
        <f t="shared" si="602"/>
        <v>424401.51</v>
      </c>
      <c r="BG130" s="296">
        <f t="shared" si="602"/>
        <v>712898.19339999999</v>
      </c>
      <c r="BH130" s="296">
        <f t="shared" si="602"/>
        <v>487483.36</v>
      </c>
      <c r="BI130" s="296">
        <f t="shared" si="602"/>
        <v>868853.74</v>
      </c>
      <c r="BJ130" s="296">
        <f t="shared" si="602"/>
        <v>750288.31109999993</v>
      </c>
      <c r="BK130" s="296">
        <f t="shared" si="602"/>
        <v>310466.66340000002</v>
      </c>
      <c r="BL130" s="296">
        <f t="shared" si="602"/>
        <v>602191.8483999999</v>
      </c>
      <c r="BM130" s="296">
        <f t="shared" si="602"/>
        <v>943444.68259999994</v>
      </c>
      <c r="BN130" s="296">
        <f t="shared" si="602"/>
        <v>498108.28940000001</v>
      </c>
      <c r="BO130" s="296">
        <f t="shared" si="602"/>
        <v>686478.4362</v>
      </c>
      <c r="BP130" s="296">
        <f t="shared" si="602"/>
        <v>879665.30719999992</v>
      </c>
      <c r="BQ130" s="296">
        <f t="shared" si="602"/>
        <v>341177.76659999997</v>
      </c>
      <c r="BR130" s="296">
        <f t="shared" si="602"/>
        <v>388280.16000000003</v>
      </c>
      <c r="BS130" s="296">
        <f t="shared" si="602"/>
        <v>984797.30819999997</v>
      </c>
      <c r="BT130" s="296">
        <f t="shared" si="602"/>
        <v>360320.78639999998</v>
      </c>
      <c r="BU130" s="296">
        <f t="shared" si="602"/>
        <v>881233.24549999996</v>
      </c>
      <c r="BV130" s="296">
        <f t="shared" si="602"/>
        <v>929223.95769669977</v>
      </c>
      <c r="BW130" s="296">
        <f t="shared" si="602"/>
        <v>29559.854199999972</v>
      </c>
      <c r="BX130" s="296">
        <f t="shared" si="602"/>
        <v>167292.35646027999</v>
      </c>
      <c r="BY130" s="296">
        <f t="shared" si="602"/>
        <v>502243.04870670009</v>
      </c>
      <c r="BZ130" s="296">
        <f t="shared" si="602"/>
        <v>249871.66879977001</v>
      </c>
      <c r="CA130" s="296">
        <f t="shared" si="602"/>
        <v>511153.25785210996</v>
      </c>
      <c r="CB130" s="296">
        <f t="shared" si="602"/>
        <v>1516453.24264114</v>
      </c>
      <c r="CC130" s="296">
        <f t="shared" si="602"/>
        <v>130894.04666363</v>
      </c>
      <c r="CD130" s="296">
        <f t="shared" si="602"/>
        <v>607087.45186648995</v>
      </c>
      <c r="CE130" s="296">
        <f t="shared" ref="CE130:DJ130" si="603">SUM(CE100,CE106,CE112,CE118)</f>
        <v>959563.99638040992</v>
      </c>
      <c r="CF130" s="296">
        <f t="shared" si="603"/>
        <v>543098.34348375001</v>
      </c>
      <c r="CG130" s="296">
        <f t="shared" si="603"/>
        <v>925711.35165981005</v>
      </c>
      <c r="CH130" s="296">
        <f t="shared" si="603"/>
        <v>1620444.65753876</v>
      </c>
      <c r="CI130" s="296">
        <f t="shared" si="603"/>
        <v>409198.8505802697</v>
      </c>
      <c r="CJ130" s="296">
        <f t="shared" si="603"/>
        <v>694439.31401069788</v>
      </c>
      <c r="CK130" s="296">
        <f t="shared" si="603"/>
        <v>1223434.4216441498</v>
      </c>
      <c r="CL130" s="296">
        <f t="shared" si="603"/>
        <v>535487.66828104935</v>
      </c>
      <c r="CM130" s="296">
        <f t="shared" si="603"/>
        <v>1241454.1549658449</v>
      </c>
      <c r="CN130" s="296">
        <f t="shared" si="603"/>
        <v>2023578.9011312989</v>
      </c>
      <c r="CO130" s="296">
        <f t="shared" si="603"/>
        <v>551636.13544958481</v>
      </c>
      <c r="CP130" s="296">
        <f t="shared" si="603"/>
        <v>1385577.2150579786</v>
      </c>
      <c r="CQ130" s="296">
        <f t="shared" si="603"/>
        <v>1872299.1104007973</v>
      </c>
      <c r="CR130" s="296">
        <f t="shared" si="603"/>
        <v>422173.81545900909</v>
      </c>
      <c r="CS130" s="296">
        <f t="shared" si="603"/>
        <v>2053257.4841981796</v>
      </c>
      <c r="CT130" s="296">
        <f t="shared" si="603"/>
        <v>2518582.0125351292</v>
      </c>
      <c r="CU130" s="296">
        <f t="shared" si="603"/>
        <v>294282.38280657912</v>
      </c>
      <c r="CV130" s="296">
        <f t="shared" si="603"/>
        <v>858545.01379745069</v>
      </c>
      <c r="CW130" s="296">
        <f t="shared" si="603"/>
        <v>1741784.1664665902</v>
      </c>
      <c r="CX130" s="296">
        <f t="shared" si="603"/>
        <v>555710.64657227579</v>
      </c>
      <c r="CY130" s="296">
        <f t="shared" si="603"/>
        <v>1494804.5361694254</v>
      </c>
      <c r="CZ130" s="296">
        <f t="shared" si="603"/>
        <v>2014857.3020063885</v>
      </c>
      <c r="DA130" s="296">
        <f t="shared" si="603"/>
        <v>516475.75891664112</v>
      </c>
      <c r="DB130" s="296">
        <f t="shared" si="603"/>
        <v>1277967.4268933823</v>
      </c>
      <c r="DC130" s="296">
        <f t="shared" si="603"/>
        <v>2295460.6062610317</v>
      </c>
      <c r="DD130" s="296">
        <f t="shared" si="603"/>
        <v>825118.79651397001</v>
      </c>
      <c r="DE130" s="296">
        <f t="shared" si="603"/>
        <v>2399762.156149826</v>
      </c>
      <c r="DF130" s="296">
        <f t="shared" si="603"/>
        <v>2910320.5207223855</v>
      </c>
      <c r="DG130" s="296">
        <f t="shared" si="603"/>
        <v>329679.29870608728</v>
      </c>
      <c r="DH130" s="296">
        <f t="shared" si="603"/>
        <v>997604.23918554513</v>
      </c>
      <c r="DI130" s="296">
        <f t="shared" si="603"/>
        <v>1990065.9196068407</v>
      </c>
      <c r="DJ130" s="296">
        <f t="shared" si="603"/>
        <v>664520.48562396225</v>
      </c>
      <c r="DK130" s="296">
        <f t="shared" ref="DK130:EP130" si="604">SUM(DK100,DK106,DK112,DK118)</f>
        <v>1832852.1243187133</v>
      </c>
      <c r="DL130" s="296">
        <f t="shared" si="604"/>
        <v>2382608.5081439456</v>
      </c>
      <c r="DM130" s="296">
        <f t="shared" si="604"/>
        <v>506801.62863515201</v>
      </c>
      <c r="DN130" s="296">
        <f t="shared" si="604"/>
        <v>1462858.5953193994</v>
      </c>
      <c r="DO130" s="296">
        <f t="shared" si="604"/>
        <v>2647996.2088728468</v>
      </c>
      <c r="DP130" s="296">
        <f t="shared" si="604"/>
        <v>727864.78971089469</v>
      </c>
      <c r="DQ130" s="296">
        <f t="shared" si="604"/>
        <v>2515914.6887683189</v>
      </c>
      <c r="DR130" s="296">
        <f t="shared" si="604"/>
        <v>3154533.223232016</v>
      </c>
      <c r="DS130" s="296">
        <f t="shared" si="604"/>
        <v>418878.56530996074</v>
      </c>
      <c r="DT130" s="296">
        <f t="shared" si="604"/>
        <v>1287475.212215578</v>
      </c>
      <c r="DU130" s="296">
        <f t="shared" si="604"/>
        <v>2570213.9538268289</v>
      </c>
      <c r="DV130" s="296">
        <f t="shared" si="604"/>
        <v>849458.88384622638</v>
      </c>
      <c r="DW130" s="296">
        <f t="shared" si="604"/>
        <v>2377250.4597871173</v>
      </c>
      <c r="DX130" s="296">
        <f t="shared" si="604"/>
        <v>3082371.6054437021</v>
      </c>
      <c r="DY130" s="296">
        <f t="shared" si="604"/>
        <v>643494.82125648251</v>
      </c>
      <c r="DZ130" s="296">
        <f t="shared" si="604"/>
        <v>1894931.3310877129</v>
      </c>
      <c r="EA130" s="296">
        <f t="shared" si="604"/>
        <v>3433260.8140132288</v>
      </c>
      <c r="EB130" s="296">
        <f t="shared" si="604"/>
        <v>932269.04486559262</v>
      </c>
      <c r="EC130" s="296">
        <f t="shared" si="604"/>
        <v>3246222.2482324764</v>
      </c>
      <c r="ED130" s="296">
        <f t="shared" si="604"/>
        <v>4081810.2105547409</v>
      </c>
      <c r="EE130" s="296">
        <f t="shared" si="604"/>
        <v>537249.93694623618</v>
      </c>
      <c r="EF130" s="296">
        <f t="shared" si="604"/>
        <v>1668589.9007197805</v>
      </c>
      <c r="EG130" s="296">
        <f t="shared" si="604"/>
        <v>3332661.8402165682</v>
      </c>
      <c r="EH130" s="296">
        <f t="shared" si="604"/>
        <v>1093963.5707064033</v>
      </c>
      <c r="EI130" s="296">
        <f t="shared" si="604"/>
        <v>3091047.2424087347</v>
      </c>
      <c r="EJ130" s="296">
        <f t="shared" si="604"/>
        <v>4001164.2211058843</v>
      </c>
      <c r="EK130" s="296">
        <f t="shared" si="604"/>
        <v>824969.19135917607</v>
      </c>
      <c r="EL130" s="296">
        <f t="shared" si="604"/>
        <v>2461844.9821823104</v>
      </c>
      <c r="EM130" s="296">
        <f t="shared" si="604"/>
        <v>4463076.2813643226</v>
      </c>
      <c r="EN130" s="296">
        <f t="shared" si="604"/>
        <v>1202190.9808127172</v>
      </c>
      <c r="EO130" s="296">
        <f t="shared" si="604"/>
        <v>4206533.2148508597</v>
      </c>
      <c r="EP130" s="296">
        <f t="shared" si="604"/>
        <v>5299197.9791653417</v>
      </c>
      <c r="EQ130" s="296">
        <f t="shared" ref="EQ130:FB130" si="605">SUM(EQ100,EQ106,EQ112,EQ118)</f>
        <v>125435.40257769474</v>
      </c>
      <c r="ER130" s="296">
        <f t="shared" si="605"/>
        <v>968769.8454249223</v>
      </c>
      <c r="ES130" s="296">
        <f t="shared" si="605"/>
        <v>1988655.4294558654</v>
      </c>
      <c r="ET130" s="296">
        <f t="shared" si="605"/>
        <v>404694.31365737272</v>
      </c>
      <c r="EU130" s="296">
        <f t="shared" si="605"/>
        <v>2129222.0565800639</v>
      </c>
      <c r="EV130" s="296">
        <f t="shared" si="605"/>
        <v>2533872.0851820228</v>
      </c>
      <c r="EW130" s="296">
        <f t="shared" si="605"/>
        <v>180161.03950628208</v>
      </c>
      <c r="EX130" s="296">
        <f t="shared" si="605"/>
        <v>1627676.6247832887</v>
      </c>
      <c r="EY130" s="296">
        <f t="shared" si="605"/>
        <v>3039270.22719994</v>
      </c>
      <c r="EZ130" s="296">
        <f t="shared" si="605"/>
        <v>497507.85200975789</v>
      </c>
      <c r="FA130" s="296">
        <f t="shared" si="605"/>
        <v>2421509.2912780684</v>
      </c>
      <c r="FB130" s="296">
        <f t="shared" si="605"/>
        <v>3378498.9672620725</v>
      </c>
    </row>
    <row r="131" spans="1:158" x14ac:dyDescent="0.25">
      <c r="C131" s="2" t="s">
        <v>298</v>
      </c>
      <c r="D131" s="244">
        <f t="shared" ref="D131:L131" si="606">SUM(D101,D107,D113,D119)</f>
        <v>112272.88320000001</v>
      </c>
      <c r="E131" s="244">
        <f t="shared" si="606"/>
        <v>158461.73561830004</v>
      </c>
      <c r="F131" s="244">
        <f t="shared" si="606"/>
        <v>158870.35613473994</v>
      </c>
      <c r="G131" s="244">
        <f t="shared" si="606"/>
        <v>506334.92364615732</v>
      </c>
      <c r="H131" s="244">
        <f t="shared" si="606"/>
        <v>965116.01620432385</v>
      </c>
      <c r="I131" s="244">
        <f t="shared" si="606"/>
        <v>4055483.9696944021</v>
      </c>
      <c r="J131" s="244">
        <f t="shared" si="606"/>
        <v>5842220.1964447722</v>
      </c>
      <c r="K131" s="244">
        <f t="shared" si="606"/>
        <v>7066440.5541504901</v>
      </c>
      <c r="L131" s="244">
        <f t="shared" si="606"/>
        <v>8449564.2397748306</v>
      </c>
      <c r="M131" s="244"/>
      <c r="N131" s="244">
        <f t="shared" ref="N131:AW131" si="607">SUM(N101,N107,N113,N119)</f>
        <v>19694.364000000001</v>
      </c>
      <c r="O131" s="244">
        <f t="shared" si="607"/>
        <v>20174.48</v>
      </c>
      <c r="P131" s="244">
        <f t="shared" si="607"/>
        <v>29563.489999999998</v>
      </c>
      <c r="Q131" s="244">
        <f t="shared" si="607"/>
        <v>42840.549200000001</v>
      </c>
      <c r="R131" s="244">
        <f t="shared" si="607"/>
        <v>37712.850599999998</v>
      </c>
      <c r="S131" s="244">
        <f t="shared" si="607"/>
        <v>41951.087200000009</v>
      </c>
      <c r="T131" s="244">
        <f t="shared" si="607"/>
        <v>34812.415200000003</v>
      </c>
      <c r="U131" s="244">
        <f t="shared" si="607"/>
        <v>43985.382618299998</v>
      </c>
      <c r="V131" s="244">
        <f t="shared" si="607"/>
        <v>14090.319244679999</v>
      </c>
      <c r="W131" s="244">
        <f t="shared" si="607"/>
        <v>46700.629060760002</v>
      </c>
      <c r="X131" s="244">
        <f t="shared" si="607"/>
        <v>34730.153580179991</v>
      </c>
      <c r="Y131" s="244">
        <f t="shared" si="607"/>
        <v>63349.25424912</v>
      </c>
      <c r="Z131" s="244">
        <f t="shared" si="607"/>
        <v>82169.336942175403</v>
      </c>
      <c r="AA131" s="244">
        <f t="shared" si="607"/>
        <v>127433.74456185538</v>
      </c>
      <c r="AB131" s="244">
        <f t="shared" si="607"/>
        <v>128223.87937601571</v>
      </c>
      <c r="AC131" s="244">
        <f t="shared" si="607"/>
        <v>168507.96276611084</v>
      </c>
      <c r="AD131" s="244">
        <f t="shared" si="607"/>
        <v>167038.24640450691</v>
      </c>
      <c r="AE131" s="244">
        <f t="shared" si="607"/>
        <v>227735.43375420413</v>
      </c>
      <c r="AF131" s="244">
        <f t="shared" si="607"/>
        <v>226621.37831966518</v>
      </c>
      <c r="AG131" s="244">
        <f t="shared" si="607"/>
        <v>343720.95772594761</v>
      </c>
      <c r="AH131" s="244">
        <f t="shared" si="607"/>
        <v>733105.74402796698</v>
      </c>
      <c r="AI131" s="244">
        <f t="shared" si="607"/>
        <v>1007962.6691037104</v>
      </c>
      <c r="AJ131" s="244">
        <f t="shared" si="607"/>
        <v>946935.34265361866</v>
      </c>
      <c r="AK131" s="244">
        <f t="shared" si="607"/>
        <v>1367480.2139091059</v>
      </c>
      <c r="AL131" s="244">
        <f t="shared" si="607"/>
        <v>1045657.5840714654</v>
      </c>
      <c r="AM131" s="244">
        <f t="shared" si="607"/>
        <v>1459051.5492429854</v>
      </c>
      <c r="AN131" s="244">
        <f t="shared" si="607"/>
        <v>1372931.8688716679</v>
      </c>
      <c r="AO131" s="244">
        <f t="shared" si="607"/>
        <v>1964579.194258654</v>
      </c>
      <c r="AP131" s="244">
        <f t="shared" si="607"/>
        <v>1249776.991433762</v>
      </c>
      <c r="AQ131" s="244">
        <f t="shared" si="607"/>
        <v>1774862.2333973949</v>
      </c>
      <c r="AR131" s="244">
        <f t="shared" si="607"/>
        <v>1673275.3939695177</v>
      </c>
      <c r="AS131" s="244">
        <f t="shared" si="607"/>
        <v>2368525.9353498174</v>
      </c>
      <c r="AT131" s="244">
        <f t="shared" si="607"/>
        <v>1478876.3882021867</v>
      </c>
      <c r="AU131" s="244">
        <f t="shared" si="607"/>
        <v>2132682.2405488491</v>
      </c>
      <c r="AV131" s="244">
        <f t="shared" si="607"/>
        <v>2013881.1081671547</v>
      </c>
      <c r="AW131" s="244">
        <f t="shared" si="607"/>
        <v>2824124.5028566392</v>
      </c>
      <c r="AY131" s="296">
        <f t="shared" ref="AY131:CD131" si="608">SUM(AY101,AY107,AY113,AY119)</f>
        <v>1441.56</v>
      </c>
      <c r="AZ131" s="296">
        <f t="shared" si="608"/>
        <v>8201.2999999999993</v>
      </c>
      <c r="BA131" s="296">
        <f t="shared" si="608"/>
        <v>10051.504000000001</v>
      </c>
      <c r="BB131" s="296">
        <f t="shared" si="608"/>
        <v>3310.8</v>
      </c>
      <c r="BC131" s="296">
        <f t="shared" si="608"/>
        <v>6598</v>
      </c>
      <c r="BD131" s="296">
        <f t="shared" si="608"/>
        <v>10265.68</v>
      </c>
      <c r="BE131" s="296">
        <f t="shared" si="608"/>
        <v>6403.5333999999993</v>
      </c>
      <c r="BF131" s="296">
        <f t="shared" si="608"/>
        <v>8628.27</v>
      </c>
      <c r="BG131" s="296">
        <f t="shared" si="608"/>
        <v>14531.686599999997</v>
      </c>
      <c r="BH131" s="296">
        <f t="shared" si="608"/>
        <v>9948.64</v>
      </c>
      <c r="BI131" s="296">
        <f t="shared" si="608"/>
        <v>17690.259999999998</v>
      </c>
      <c r="BJ131" s="296">
        <f t="shared" si="608"/>
        <v>15201.6492</v>
      </c>
      <c r="BK131" s="296">
        <f t="shared" si="608"/>
        <v>6318.6666000000005</v>
      </c>
      <c r="BL131" s="296">
        <f t="shared" si="608"/>
        <v>12241.996599999999</v>
      </c>
      <c r="BM131" s="296">
        <f t="shared" si="608"/>
        <v>19152.187400000003</v>
      </c>
      <c r="BN131" s="296">
        <f t="shared" si="608"/>
        <v>10105.370600000002</v>
      </c>
      <c r="BO131" s="296">
        <f t="shared" si="608"/>
        <v>13961.7438</v>
      </c>
      <c r="BP131" s="296">
        <f t="shared" si="608"/>
        <v>17883.972800000003</v>
      </c>
      <c r="BQ131" s="296">
        <f t="shared" si="608"/>
        <v>6898.5834000000004</v>
      </c>
      <c r="BR131" s="296">
        <f t="shared" si="608"/>
        <v>7899.54</v>
      </c>
      <c r="BS131" s="296">
        <f t="shared" si="608"/>
        <v>20014.291799999999</v>
      </c>
      <c r="BT131" s="296">
        <f t="shared" si="608"/>
        <v>7314.2136</v>
      </c>
      <c r="BU131" s="296">
        <f t="shared" si="608"/>
        <v>17908.755799999999</v>
      </c>
      <c r="BV131" s="296">
        <f t="shared" si="608"/>
        <v>18762.4132183</v>
      </c>
      <c r="BW131" s="296">
        <f t="shared" si="608"/>
        <v>500.53719999999976</v>
      </c>
      <c r="BX131" s="296">
        <f t="shared" si="608"/>
        <v>3342.6704424800009</v>
      </c>
      <c r="BY131" s="296">
        <f t="shared" si="608"/>
        <v>10247.111602200002</v>
      </c>
      <c r="BZ131" s="296">
        <f t="shared" si="608"/>
        <v>5054.6738153799997</v>
      </c>
      <c r="CA131" s="296">
        <f t="shared" si="608"/>
        <v>10454.012098140001</v>
      </c>
      <c r="CB131" s="296">
        <f t="shared" si="608"/>
        <v>31191.943147240003</v>
      </c>
      <c r="CC131" s="296">
        <f t="shared" si="608"/>
        <v>2607.3527435799992</v>
      </c>
      <c r="CD131" s="296">
        <f t="shared" si="608"/>
        <v>12445.230100340001</v>
      </c>
      <c r="CE131" s="296">
        <f t="shared" ref="CE131:DJ131" si="609">SUM(CE101,CE107,CE113,CE119)</f>
        <v>19677.570736260004</v>
      </c>
      <c r="CF131" s="296">
        <f t="shared" si="609"/>
        <v>11115.123127500003</v>
      </c>
      <c r="CG131" s="296">
        <f t="shared" si="609"/>
        <v>18946.17247546</v>
      </c>
      <c r="CH131" s="296">
        <f t="shared" si="609"/>
        <v>33287.958646159997</v>
      </c>
      <c r="CI131" s="296">
        <f t="shared" si="609"/>
        <v>15223.559424225248</v>
      </c>
      <c r="CJ131" s="296">
        <f t="shared" si="609"/>
        <v>23686.974024352032</v>
      </c>
      <c r="CK131" s="296">
        <f t="shared" si="609"/>
        <v>43258.803493598127</v>
      </c>
      <c r="CL131" s="296">
        <f t="shared" si="609"/>
        <v>19584.849862946678</v>
      </c>
      <c r="CM131" s="296">
        <f t="shared" si="609"/>
        <v>41298.028699616065</v>
      </c>
      <c r="CN131" s="296">
        <f t="shared" si="609"/>
        <v>66550.865999292626</v>
      </c>
      <c r="CO131" s="296">
        <f t="shared" si="609"/>
        <v>18824.904519783278</v>
      </c>
      <c r="CP131" s="296">
        <f t="shared" si="609"/>
        <v>45957.272624329242</v>
      </c>
      <c r="CQ131" s="296">
        <f t="shared" si="609"/>
        <v>63441.702231903189</v>
      </c>
      <c r="CR131" s="296">
        <f t="shared" si="609"/>
        <v>15256.053008592145</v>
      </c>
      <c r="CS131" s="296">
        <f t="shared" si="609"/>
        <v>68552.39864199092</v>
      </c>
      <c r="CT131" s="296">
        <f t="shared" si="609"/>
        <v>84699.511115527785</v>
      </c>
      <c r="CU131" s="296">
        <f t="shared" si="609"/>
        <v>19814.845691163777</v>
      </c>
      <c r="CV131" s="296">
        <f t="shared" si="609"/>
        <v>48979.902300551927</v>
      </c>
      <c r="CW131" s="296">
        <f t="shared" si="609"/>
        <v>98243.498412791188</v>
      </c>
      <c r="CX131" s="296">
        <f t="shared" si="609"/>
        <v>35672.704431782448</v>
      </c>
      <c r="CY131" s="296">
        <f t="shared" si="609"/>
        <v>80349.895302064993</v>
      </c>
      <c r="CZ131" s="296">
        <f t="shared" si="609"/>
        <v>111712.83402035668</v>
      </c>
      <c r="DA131" s="296">
        <f t="shared" si="609"/>
        <v>33814.618059091488</v>
      </c>
      <c r="DB131" s="296">
        <f t="shared" si="609"/>
        <v>69451.301875194753</v>
      </c>
      <c r="DC131" s="296">
        <f t="shared" si="609"/>
        <v>123355.45838537894</v>
      </c>
      <c r="DD131" s="296">
        <f t="shared" si="609"/>
        <v>48851.499780885679</v>
      </c>
      <c r="DE131" s="296">
        <f t="shared" si="609"/>
        <v>135406.66085662591</v>
      </c>
      <c r="DF131" s="296">
        <f t="shared" si="609"/>
        <v>159462.79708843597</v>
      </c>
      <c r="DG131" s="296">
        <f t="shared" si="609"/>
        <v>96790.694707332397</v>
      </c>
      <c r="DH131" s="296">
        <f t="shared" si="609"/>
        <v>214948.38493606681</v>
      </c>
      <c r="DI131" s="296">
        <f t="shared" si="609"/>
        <v>421366.6643845677</v>
      </c>
      <c r="DJ131" s="296">
        <f t="shared" si="609"/>
        <v>175009.21540009</v>
      </c>
      <c r="DK131" s="296">
        <f t="shared" ref="DK131:EP131" si="610">SUM(DK101,DK107,DK113,DK119)</f>
        <v>348703.97609673167</v>
      </c>
      <c r="DL131" s="296">
        <f t="shared" si="610"/>
        <v>484249.47760688874</v>
      </c>
      <c r="DM131" s="296">
        <f t="shared" si="610"/>
        <v>150467.46432653788</v>
      </c>
      <c r="DN131" s="296">
        <f t="shared" si="610"/>
        <v>287799.47964156547</v>
      </c>
      <c r="DO131" s="296">
        <f t="shared" si="610"/>
        <v>508668.39868551528</v>
      </c>
      <c r="DP131" s="296">
        <f t="shared" si="610"/>
        <v>184517.35708989148</v>
      </c>
      <c r="DQ131" s="296">
        <f t="shared" si="610"/>
        <v>544959.13647971582</v>
      </c>
      <c r="DR131" s="296">
        <f t="shared" si="610"/>
        <v>638003.72033949848</v>
      </c>
      <c r="DS131" s="296">
        <f t="shared" si="610"/>
        <v>130803.60208376832</v>
      </c>
      <c r="DT131" s="296">
        <f t="shared" si="610"/>
        <v>308260.11046480702</v>
      </c>
      <c r="DU131" s="296">
        <f t="shared" si="610"/>
        <v>606593.87152289005</v>
      </c>
      <c r="DV131" s="296">
        <f t="shared" si="610"/>
        <v>241090.52976639848</v>
      </c>
      <c r="DW131" s="296">
        <f t="shared" si="610"/>
        <v>514442.94921254029</v>
      </c>
      <c r="DX131" s="296">
        <f t="shared" si="610"/>
        <v>703518.07026404678</v>
      </c>
      <c r="DY131" s="296">
        <f t="shared" si="610"/>
        <v>202960.61583476269</v>
      </c>
      <c r="DZ131" s="296">
        <f t="shared" si="610"/>
        <v>421251.04755146115</v>
      </c>
      <c r="EA131" s="296">
        <f t="shared" si="610"/>
        <v>748720.20548544393</v>
      </c>
      <c r="EB131" s="296">
        <f t="shared" si="610"/>
        <v>256013.08196249953</v>
      </c>
      <c r="EC131" s="296">
        <f t="shared" si="610"/>
        <v>780641.00260053994</v>
      </c>
      <c r="ED131" s="296">
        <f t="shared" si="610"/>
        <v>927925.10969561455</v>
      </c>
      <c r="EE131" s="296">
        <f t="shared" si="610"/>
        <v>145810.74888429145</v>
      </c>
      <c r="EF131" s="296">
        <f t="shared" si="610"/>
        <v>370859.49360299937</v>
      </c>
      <c r="EG131" s="296">
        <f t="shared" si="610"/>
        <v>733106.74894647114</v>
      </c>
      <c r="EH131" s="296">
        <f t="shared" si="610"/>
        <v>275769.77136907796</v>
      </c>
      <c r="EI131" s="296">
        <f t="shared" si="610"/>
        <v>639644.86261308764</v>
      </c>
      <c r="EJ131" s="296">
        <f t="shared" si="610"/>
        <v>859447.59941522917</v>
      </c>
      <c r="EK131" s="296">
        <f t="shared" si="610"/>
        <v>225660.98150143714</v>
      </c>
      <c r="EL131" s="296">
        <f t="shared" si="610"/>
        <v>519086.43496640807</v>
      </c>
      <c r="EM131" s="296">
        <f t="shared" si="610"/>
        <v>928527.97750167246</v>
      </c>
      <c r="EN131" s="296">
        <f t="shared" si="610"/>
        <v>295580.2333034398</v>
      </c>
      <c r="EO131" s="296">
        <f t="shared" si="610"/>
        <v>937881.31297745265</v>
      </c>
      <c r="EP131" s="296">
        <f t="shared" si="610"/>
        <v>1135064.3890689255</v>
      </c>
      <c r="EQ131" s="296">
        <f t="shared" ref="EQ131:FB131" si="611">SUM(EQ101,EQ107,EQ113,EQ119)</f>
        <v>161513.07584297797</v>
      </c>
      <c r="ER131" s="296">
        <f t="shared" si="611"/>
        <v>441382.67710259149</v>
      </c>
      <c r="ES131" s="296">
        <f t="shared" si="611"/>
        <v>875980.6352566171</v>
      </c>
      <c r="ET131" s="296">
        <f t="shared" si="611"/>
        <v>313350.33561952424</v>
      </c>
      <c r="EU131" s="296">
        <f t="shared" si="611"/>
        <v>782855.6692957913</v>
      </c>
      <c r="EV131" s="296">
        <f t="shared" si="611"/>
        <v>1036476.2356335333</v>
      </c>
      <c r="EW131" s="296">
        <f t="shared" si="611"/>
        <v>249304.9083272834</v>
      </c>
      <c r="EX131" s="296">
        <f t="shared" si="611"/>
        <v>630586.80487129604</v>
      </c>
      <c r="EY131" s="296">
        <f t="shared" si="611"/>
        <v>1133989.3949685753</v>
      </c>
      <c r="EZ131" s="296">
        <f t="shared" si="611"/>
        <v>338861.02474547114</v>
      </c>
      <c r="FA131" s="296">
        <f t="shared" si="611"/>
        <v>1114890.8860711707</v>
      </c>
      <c r="FB131" s="296">
        <f t="shared" si="611"/>
        <v>1370372.5920399977</v>
      </c>
    </row>
    <row r="132" spans="1:158" x14ac:dyDescent="0.25">
      <c r="C132" s="2" t="s">
        <v>299</v>
      </c>
      <c r="D132" s="244">
        <f t="shared" ref="D132:L132" si="612">SUM(D102,D108,D114,D120)</f>
        <v>-5438.0640999999996</v>
      </c>
      <c r="E132" s="244">
        <f t="shared" si="612"/>
        <v>-13587.802099999999</v>
      </c>
      <c r="F132" s="244">
        <f t="shared" si="612"/>
        <v>79435.178067369969</v>
      </c>
      <c r="G132" s="244">
        <f t="shared" si="612"/>
        <v>368323.74034804525</v>
      </c>
      <c r="H132" s="244">
        <f t="shared" si="612"/>
        <v>913642.45891387446</v>
      </c>
      <c r="I132" s="244">
        <f t="shared" si="612"/>
        <v>1613729.6150117619</v>
      </c>
      <c r="J132" s="244">
        <f t="shared" si="612"/>
        <v>1998098.9276802654</v>
      </c>
      <c r="K132" s="244">
        <f t="shared" si="612"/>
        <v>2456849.5546740978</v>
      </c>
      <c r="L132" s="244">
        <f t="shared" si="612"/>
        <v>20085898.110441331</v>
      </c>
      <c r="M132" s="244"/>
      <c r="N132" s="244">
        <f t="shared" ref="N132:AW132" si="613">SUM(N102,N108,N114,N120)</f>
        <v>-1366.9540000000002</v>
      </c>
      <c r="O132" s="244">
        <f t="shared" si="613"/>
        <v>-771</v>
      </c>
      <c r="P132" s="244">
        <f t="shared" si="613"/>
        <v>-820.61</v>
      </c>
      <c r="Q132" s="244">
        <f t="shared" si="613"/>
        <v>-2479.5001000000002</v>
      </c>
      <c r="R132" s="244">
        <f t="shared" si="613"/>
        <v>-2724.5050000000001</v>
      </c>
      <c r="S132" s="244">
        <f t="shared" si="613"/>
        <v>-2882.92</v>
      </c>
      <c r="T132" s="244">
        <f t="shared" si="613"/>
        <v>-2815.6299999999997</v>
      </c>
      <c r="U132" s="244">
        <f t="shared" si="613"/>
        <v>-5164.7471000000005</v>
      </c>
      <c r="V132" s="244">
        <f t="shared" si="613"/>
        <v>7045.1596223399993</v>
      </c>
      <c r="W132" s="244">
        <f t="shared" si="613"/>
        <v>23350.314530380001</v>
      </c>
      <c r="X132" s="244">
        <f t="shared" si="613"/>
        <v>17365.076790089995</v>
      </c>
      <c r="Y132" s="244">
        <f t="shared" si="613"/>
        <v>31674.62712456</v>
      </c>
      <c r="Z132" s="244">
        <f t="shared" si="613"/>
        <v>62450.453546075274</v>
      </c>
      <c r="AA132" s="244">
        <f t="shared" si="613"/>
        <v>91508.682987064443</v>
      </c>
      <c r="AB132" s="244">
        <f t="shared" si="613"/>
        <v>92482.631543522133</v>
      </c>
      <c r="AC132" s="244">
        <f t="shared" si="613"/>
        <v>121881.97227138346</v>
      </c>
      <c r="AD132" s="244">
        <f t="shared" si="613"/>
        <v>159951.87576710599</v>
      </c>
      <c r="AE132" s="244">
        <f t="shared" si="613"/>
        <v>215354.79738964181</v>
      </c>
      <c r="AF132" s="244">
        <f t="shared" si="613"/>
        <v>213285.76043187402</v>
      </c>
      <c r="AG132" s="244">
        <f t="shared" si="613"/>
        <v>325050.02532525256</v>
      </c>
      <c r="AH132" s="244">
        <f t="shared" si="613"/>
        <v>289757.59683749458</v>
      </c>
      <c r="AI132" s="244">
        <f t="shared" si="613"/>
        <v>402394.1569989103</v>
      </c>
      <c r="AJ132" s="244">
        <f t="shared" si="613"/>
        <v>378446.77290748816</v>
      </c>
      <c r="AK132" s="244">
        <f t="shared" si="613"/>
        <v>543131.08826786862</v>
      </c>
      <c r="AL132" s="244">
        <f t="shared" si="613"/>
        <v>354565.26940116647</v>
      </c>
      <c r="AM132" s="244">
        <f t="shared" si="613"/>
        <v>501065.79931248794</v>
      </c>
      <c r="AN132" s="244">
        <f t="shared" si="613"/>
        <v>472138.32197875215</v>
      </c>
      <c r="AO132" s="244">
        <f t="shared" si="613"/>
        <v>670329.53698785894</v>
      </c>
      <c r="AP132" s="244">
        <f t="shared" si="613"/>
        <v>431683.18524421309</v>
      </c>
      <c r="AQ132" s="244">
        <f t="shared" si="613"/>
        <v>618987.06413522351</v>
      </c>
      <c r="AR132" s="244">
        <f t="shared" si="613"/>
        <v>584155.50361214427</v>
      </c>
      <c r="AS132" s="244">
        <f t="shared" si="613"/>
        <v>822023.80168251705</v>
      </c>
      <c r="AT132" s="244">
        <f t="shared" si="613"/>
        <v>3638719.354923428</v>
      </c>
      <c r="AU132" s="244">
        <f t="shared" si="613"/>
        <v>4986965.5489160093</v>
      </c>
      <c r="AV132" s="244">
        <f t="shared" si="613"/>
        <v>4683367.4192788741</v>
      </c>
      <c r="AW132" s="244">
        <f t="shared" si="613"/>
        <v>6776845.7873230195</v>
      </c>
      <c r="AY132" s="296">
        <f t="shared" ref="AY132:CD132" si="614">SUM(AY102,AY108,AY114,AY120)</f>
        <v>-162.86000000000001</v>
      </c>
      <c r="AZ132" s="296">
        <f t="shared" si="614"/>
        <v>-535.1</v>
      </c>
      <c r="BA132" s="296">
        <f t="shared" si="614"/>
        <v>-668.99400000000003</v>
      </c>
      <c r="BB132" s="296">
        <f t="shared" si="614"/>
        <v>-340</v>
      </c>
      <c r="BC132" s="296">
        <f t="shared" si="614"/>
        <v>-191</v>
      </c>
      <c r="BD132" s="296">
        <f t="shared" si="614"/>
        <v>-240</v>
      </c>
      <c r="BE132" s="296">
        <f t="shared" si="614"/>
        <v>0</v>
      </c>
      <c r="BF132" s="296">
        <f t="shared" si="614"/>
        <v>-538.76</v>
      </c>
      <c r="BG132" s="296">
        <f t="shared" si="614"/>
        <v>-281.85000000000002</v>
      </c>
      <c r="BH132" s="296">
        <f t="shared" si="614"/>
        <v>0</v>
      </c>
      <c r="BI132" s="296">
        <f t="shared" si="614"/>
        <v>-677</v>
      </c>
      <c r="BJ132" s="296">
        <f t="shared" si="614"/>
        <v>-1802.5001</v>
      </c>
      <c r="BK132" s="296">
        <f t="shared" si="614"/>
        <v>-284</v>
      </c>
      <c r="BL132" s="296">
        <f t="shared" si="614"/>
        <v>-778.005</v>
      </c>
      <c r="BM132" s="296">
        <f t="shared" si="614"/>
        <v>-1662.5</v>
      </c>
      <c r="BN132" s="296">
        <f t="shared" si="614"/>
        <v>-981.71</v>
      </c>
      <c r="BO132" s="296">
        <f t="shared" si="614"/>
        <v>-784.33</v>
      </c>
      <c r="BP132" s="296">
        <f t="shared" si="614"/>
        <v>-1116.8800000000001</v>
      </c>
      <c r="BQ132" s="296">
        <f t="shared" si="614"/>
        <v>-1049.06</v>
      </c>
      <c r="BR132" s="296">
        <f t="shared" si="614"/>
        <v>-400.90000000000003</v>
      </c>
      <c r="BS132" s="296">
        <f t="shared" si="614"/>
        <v>-1365.67</v>
      </c>
      <c r="BT132" s="296">
        <f t="shared" si="614"/>
        <v>-641.44000000000005</v>
      </c>
      <c r="BU132" s="296">
        <f t="shared" si="614"/>
        <v>-1234.7371000000001</v>
      </c>
      <c r="BV132" s="296">
        <f t="shared" si="614"/>
        <v>-3288.5699999999997</v>
      </c>
      <c r="BW132" s="296">
        <f t="shared" si="614"/>
        <v>250.26859999999988</v>
      </c>
      <c r="BX132" s="296">
        <f t="shared" si="614"/>
        <v>1671.3352212400005</v>
      </c>
      <c r="BY132" s="296">
        <f t="shared" si="614"/>
        <v>5123.5558011000012</v>
      </c>
      <c r="BZ132" s="296">
        <f t="shared" si="614"/>
        <v>2527.3369076899999</v>
      </c>
      <c r="CA132" s="296">
        <f t="shared" si="614"/>
        <v>5227.0060490700007</v>
      </c>
      <c r="CB132" s="296">
        <f t="shared" si="614"/>
        <v>15595.971573620001</v>
      </c>
      <c r="CC132" s="296">
        <f t="shared" si="614"/>
        <v>1303.6763717899996</v>
      </c>
      <c r="CD132" s="296">
        <f t="shared" si="614"/>
        <v>6222.6150501700004</v>
      </c>
      <c r="CE132" s="296">
        <f t="shared" ref="CE132:DJ132" si="615">SUM(CE102,CE108,CE114,CE120)</f>
        <v>9838.7853681300021</v>
      </c>
      <c r="CF132" s="296">
        <f t="shared" si="615"/>
        <v>5557.5615637500014</v>
      </c>
      <c r="CG132" s="296">
        <f t="shared" si="615"/>
        <v>9473.08623773</v>
      </c>
      <c r="CH132" s="296">
        <f t="shared" si="615"/>
        <v>16643.979323079999</v>
      </c>
      <c r="CI132" s="296">
        <f t="shared" si="615"/>
        <v>12182.303473458482</v>
      </c>
      <c r="CJ132" s="296">
        <f t="shared" si="615"/>
        <v>17343.8220882239</v>
      </c>
      <c r="CK132" s="296">
        <f t="shared" si="615"/>
        <v>32924.327984392883</v>
      </c>
      <c r="CL132" s="296">
        <f t="shared" si="615"/>
        <v>15419.555824342773</v>
      </c>
      <c r="CM132" s="296">
        <f t="shared" si="615"/>
        <v>29382.162875887538</v>
      </c>
      <c r="CN132" s="296">
        <f t="shared" si="615"/>
        <v>46706.964286834125</v>
      </c>
      <c r="CO132" s="296">
        <f t="shared" si="615"/>
        <v>13791.028462825894</v>
      </c>
      <c r="CP132" s="296">
        <f t="shared" si="615"/>
        <v>32583.729292106804</v>
      </c>
      <c r="CQ132" s="296">
        <f t="shared" si="615"/>
        <v>46107.873788589444</v>
      </c>
      <c r="CR132" s="296">
        <f t="shared" si="615"/>
        <v>11870.689301558006</v>
      </c>
      <c r="CS132" s="296">
        <f t="shared" si="615"/>
        <v>48981.593389523878</v>
      </c>
      <c r="CT132" s="296">
        <f t="shared" si="615"/>
        <v>61029.689580301587</v>
      </c>
      <c r="CU132" s="296">
        <f t="shared" si="615"/>
        <v>20096.570183883236</v>
      </c>
      <c r="CV132" s="296">
        <f t="shared" si="615"/>
        <v>46678.61091141888</v>
      </c>
      <c r="CW132" s="296">
        <f t="shared" si="615"/>
        <v>93176.694671803896</v>
      </c>
      <c r="CX132" s="296">
        <f t="shared" si="615"/>
        <v>35587.431303863552</v>
      </c>
      <c r="CY132" s="296">
        <f t="shared" si="615"/>
        <v>74599.561492279667</v>
      </c>
      <c r="CZ132" s="296">
        <f t="shared" si="615"/>
        <v>105167.8045934986</v>
      </c>
      <c r="DA132" s="296">
        <f t="shared" si="615"/>
        <v>33969.037249744091</v>
      </c>
      <c r="DB132" s="296">
        <f t="shared" si="615"/>
        <v>64802.920408350641</v>
      </c>
      <c r="DC132" s="296">
        <f t="shared" si="615"/>
        <v>114513.80277377929</v>
      </c>
      <c r="DD132" s="296">
        <f t="shared" si="615"/>
        <v>47269.008996391829</v>
      </c>
      <c r="DE132" s="296">
        <f t="shared" si="615"/>
        <v>128443.72034777347</v>
      </c>
      <c r="DF132" s="296">
        <f t="shared" si="615"/>
        <v>149337.29598108723</v>
      </c>
      <c r="DG132" s="296">
        <f t="shared" si="615"/>
        <v>36897.570098294156</v>
      </c>
      <c r="DH132" s="296">
        <f t="shared" si="615"/>
        <v>85270.608187140941</v>
      </c>
      <c r="DI132" s="296">
        <f t="shared" si="615"/>
        <v>167589.41855205953</v>
      </c>
      <c r="DJ132" s="296">
        <f t="shared" si="615"/>
        <v>67573.547402797485</v>
      </c>
      <c r="DK132" s="296">
        <f t="shared" ref="DK132:EP132" si="616">SUM(DK102,DK108,DK114,DK120)</f>
        <v>141022.23860115602</v>
      </c>
      <c r="DL132" s="296">
        <f t="shared" si="616"/>
        <v>193798.37099495681</v>
      </c>
      <c r="DM132" s="296">
        <f t="shared" si="616"/>
        <v>57288.101571237166</v>
      </c>
      <c r="DN132" s="296">
        <f t="shared" si="616"/>
        <v>115765.77758174068</v>
      </c>
      <c r="DO132" s="296">
        <f t="shared" si="616"/>
        <v>205392.89375451033</v>
      </c>
      <c r="DP132" s="296">
        <f t="shared" si="616"/>
        <v>71586.505107877994</v>
      </c>
      <c r="DQ132" s="296">
        <f t="shared" si="616"/>
        <v>216019.75667911943</v>
      </c>
      <c r="DR132" s="296">
        <f t="shared" si="616"/>
        <v>255524.82648087124</v>
      </c>
      <c r="DS132" s="296">
        <f t="shared" si="616"/>
        <v>42205.015140801828</v>
      </c>
      <c r="DT132" s="296">
        <f t="shared" si="616"/>
        <v>105020.82278093004</v>
      </c>
      <c r="DU132" s="296">
        <f t="shared" si="616"/>
        <v>207339.43147943451</v>
      </c>
      <c r="DV132" s="296">
        <f t="shared" si="616"/>
        <v>79222.578500852178</v>
      </c>
      <c r="DW132" s="296">
        <f t="shared" si="616"/>
        <v>179496.22087787659</v>
      </c>
      <c r="DX132" s="296">
        <f t="shared" si="616"/>
        <v>242346.99993375933</v>
      </c>
      <c r="DY132" s="296">
        <f t="shared" si="616"/>
        <v>65367.687288855413</v>
      </c>
      <c r="DZ132" s="296">
        <f t="shared" si="616"/>
        <v>146023.92419326279</v>
      </c>
      <c r="EA132" s="296">
        <f t="shared" si="616"/>
        <v>260746.71049663395</v>
      </c>
      <c r="EB132" s="296">
        <f t="shared" si="616"/>
        <v>84685.625438122268</v>
      </c>
      <c r="EC132" s="296">
        <f t="shared" si="616"/>
        <v>265693.1291718139</v>
      </c>
      <c r="ED132" s="296">
        <f t="shared" si="616"/>
        <v>319950.78237792291</v>
      </c>
      <c r="EE132" s="296">
        <f t="shared" si="616"/>
        <v>48348.449670757829</v>
      </c>
      <c r="EF132" s="296">
        <f t="shared" si="616"/>
        <v>128562.25812853783</v>
      </c>
      <c r="EG132" s="296">
        <f t="shared" si="616"/>
        <v>254772.47744491752</v>
      </c>
      <c r="EH132" s="296">
        <f t="shared" si="616"/>
        <v>92881.820390503199</v>
      </c>
      <c r="EI132" s="296">
        <f t="shared" si="616"/>
        <v>225683.6133587292</v>
      </c>
      <c r="EJ132" s="296">
        <f t="shared" si="616"/>
        <v>300421.63038599095</v>
      </c>
      <c r="EK132" s="296">
        <f t="shared" si="616"/>
        <v>74705.285804764222</v>
      </c>
      <c r="EL132" s="296">
        <f t="shared" si="616"/>
        <v>182284.82585802776</v>
      </c>
      <c r="EM132" s="296">
        <f t="shared" si="616"/>
        <v>327165.39194935228</v>
      </c>
      <c r="EN132" s="296">
        <f t="shared" si="616"/>
        <v>100102.70138989809</v>
      </c>
      <c r="EO132" s="296">
        <f t="shared" si="616"/>
        <v>324881.36423974985</v>
      </c>
      <c r="EP132" s="296">
        <f t="shared" si="616"/>
        <v>397039.73605286912</v>
      </c>
      <c r="EQ132" s="296">
        <f t="shared" ref="EQ132:FB132" si="617">SUM(EQ102,EQ108,EQ114,EQ120)</f>
        <v>485843.61063015729</v>
      </c>
      <c r="ER132" s="296">
        <f t="shared" si="617"/>
        <v>1065630.5477761421</v>
      </c>
      <c r="ES132" s="296">
        <f t="shared" si="617"/>
        <v>2087245.1965171292</v>
      </c>
      <c r="ET132" s="296">
        <f t="shared" si="617"/>
        <v>875033.47944226384</v>
      </c>
      <c r="EU132" s="296">
        <f t="shared" si="617"/>
        <v>1717986.5572200874</v>
      </c>
      <c r="EV132" s="296">
        <f t="shared" si="617"/>
        <v>2393945.5122536584</v>
      </c>
      <c r="EW132" s="296">
        <f t="shared" si="617"/>
        <v>755561.74723662692</v>
      </c>
      <c r="EX132" s="296">
        <f t="shared" si="617"/>
        <v>1420423.8063106525</v>
      </c>
      <c r="EY132" s="296">
        <f t="shared" si="617"/>
        <v>2507381.8657315951</v>
      </c>
      <c r="EZ132" s="296">
        <f t="shared" si="617"/>
        <v>921207.79075780453</v>
      </c>
      <c r="FA132" s="296">
        <f t="shared" si="617"/>
        <v>2702363.0518397014</v>
      </c>
      <c r="FB132" s="296">
        <f t="shared" si="617"/>
        <v>3153274.9447255149</v>
      </c>
    </row>
    <row r="133" spans="1:158" x14ac:dyDescent="0.25">
      <c r="C133" s="2" t="s">
        <v>300</v>
      </c>
      <c r="D133" s="244">
        <f t="shared" ref="D133:L133" si="618">SUM(D103,D109,D115,D121)</f>
        <v>-10876.128199999999</v>
      </c>
      <c r="E133" s="244">
        <f t="shared" si="618"/>
        <v>-27175.604199999998</v>
      </c>
      <c r="F133" s="244">
        <f t="shared" si="618"/>
        <v>-58161.003717960011</v>
      </c>
      <c r="G133" s="244">
        <f t="shared" si="618"/>
        <v>1791.3507610896327</v>
      </c>
      <c r="H133" s="244">
        <f t="shared" si="618"/>
        <v>1555.4756899480424</v>
      </c>
      <c r="I133" s="244">
        <f t="shared" si="618"/>
        <v>1480.8319367992572</v>
      </c>
      <c r="J133" s="244">
        <f t="shared" si="618"/>
        <v>1271.5450526113245</v>
      </c>
      <c r="K133" s="244">
        <f t="shared" si="618"/>
        <v>1092.3706101472137</v>
      </c>
      <c r="L133" s="244">
        <f t="shared" si="618"/>
        <v>3856772.957659563</v>
      </c>
      <c r="M133" s="244"/>
      <c r="N133" s="244">
        <f t="shared" ref="N133:AW133" si="619">SUM(N103,N109,N115,N121)</f>
        <v>-2733.9080000000004</v>
      </c>
      <c r="O133" s="244">
        <f t="shared" si="619"/>
        <v>-1542</v>
      </c>
      <c r="P133" s="244">
        <f t="shared" si="619"/>
        <v>-1641.22</v>
      </c>
      <c r="Q133" s="244">
        <f t="shared" si="619"/>
        <v>-4959.0002000000004</v>
      </c>
      <c r="R133" s="244">
        <f t="shared" si="619"/>
        <v>-5449.01</v>
      </c>
      <c r="S133" s="244">
        <f t="shared" si="619"/>
        <v>-5765.84</v>
      </c>
      <c r="T133" s="244">
        <f t="shared" si="619"/>
        <v>-5631.2599999999993</v>
      </c>
      <c r="U133" s="244">
        <f t="shared" si="619"/>
        <v>-10329.494200000001</v>
      </c>
      <c r="V133" s="244">
        <f t="shared" si="619"/>
        <v>-15714.776</v>
      </c>
      <c r="W133" s="244">
        <f t="shared" si="619"/>
        <v>-12497.659846160001</v>
      </c>
      <c r="X133" s="244">
        <f t="shared" si="619"/>
        <v>-13133.046271800002</v>
      </c>
      <c r="Y133" s="244">
        <f t="shared" si="619"/>
        <v>-16815.5216</v>
      </c>
      <c r="Z133" s="244">
        <f t="shared" si="619"/>
        <v>446.62167263201593</v>
      </c>
      <c r="AA133" s="244">
        <f t="shared" si="619"/>
        <v>381.52602388656891</v>
      </c>
      <c r="AB133" s="244">
        <f t="shared" si="619"/>
        <v>407.5628331399252</v>
      </c>
      <c r="AC133" s="244">
        <f t="shared" si="619"/>
        <v>555.64023143112229</v>
      </c>
      <c r="AD133" s="244">
        <f t="shared" si="619"/>
        <v>320.0529159414744</v>
      </c>
      <c r="AE133" s="244">
        <f t="shared" si="619"/>
        <v>360.49711810840006</v>
      </c>
      <c r="AF133" s="244">
        <f t="shared" si="619"/>
        <v>330.40481831303123</v>
      </c>
      <c r="AG133" s="244">
        <f t="shared" si="619"/>
        <v>544.52083758513652</v>
      </c>
      <c r="AH133" s="244">
        <f t="shared" si="619"/>
        <v>304.6943018490341</v>
      </c>
      <c r="AI133" s="244">
        <f t="shared" si="619"/>
        <v>343.19767841363335</v>
      </c>
      <c r="AJ133" s="244">
        <f t="shared" si="619"/>
        <v>314.54943988654435</v>
      </c>
      <c r="AK133" s="244">
        <f t="shared" si="619"/>
        <v>518.39051665004536</v>
      </c>
      <c r="AL133" s="244">
        <f t="shared" si="619"/>
        <v>261.63166963593221</v>
      </c>
      <c r="AM133" s="244">
        <f t="shared" si="619"/>
        <v>294.69334041902516</v>
      </c>
      <c r="AN133" s="244">
        <f t="shared" si="619"/>
        <v>270.09397498132034</v>
      </c>
      <c r="AO133" s="244">
        <f t="shared" si="619"/>
        <v>445.12606757504693</v>
      </c>
      <c r="AP133" s="244">
        <f t="shared" si="619"/>
        <v>224.76493932094917</v>
      </c>
      <c r="AQ133" s="244">
        <f t="shared" si="619"/>
        <v>253.16786331616609</v>
      </c>
      <c r="AR133" s="244">
        <f t="shared" si="619"/>
        <v>232.03481437131381</v>
      </c>
      <c r="AS133" s="244">
        <f t="shared" si="619"/>
        <v>382.40299313878455</v>
      </c>
      <c r="AT133" s="244">
        <f t="shared" si="619"/>
        <v>703397.57755046291</v>
      </c>
      <c r="AU133" s="244">
        <f t="shared" si="619"/>
        <v>954402.04521472857</v>
      </c>
      <c r="AV133" s="244">
        <f t="shared" si="619"/>
        <v>895296.44911471428</v>
      </c>
      <c r="AW133" s="244">
        <f t="shared" si="619"/>
        <v>1303676.8857796569</v>
      </c>
      <c r="AY133" s="296">
        <f t="shared" ref="AY133:CD133" si="620">SUM(AY103,AY109,AY115,AY121)</f>
        <v>-325.72000000000003</v>
      </c>
      <c r="AZ133" s="296">
        <f t="shared" si="620"/>
        <v>-1070.2</v>
      </c>
      <c r="BA133" s="296">
        <f t="shared" si="620"/>
        <v>-1337.9880000000001</v>
      </c>
      <c r="BB133" s="296">
        <f t="shared" si="620"/>
        <v>-680</v>
      </c>
      <c r="BC133" s="296">
        <f t="shared" si="620"/>
        <v>-382</v>
      </c>
      <c r="BD133" s="296">
        <f t="shared" si="620"/>
        <v>-480</v>
      </c>
      <c r="BE133" s="296">
        <f t="shared" si="620"/>
        <v>0</v>
      </c>
      <c r="BF133" s="296">
        <f t="shared" si="620"/>
        <v>-1077.52</v>
      </c>
      <c r="BG133" s="296">
        <f t="shared" si="620"/>
        <v>-563.70000000000005</v>
      </c>
      <c r="BH133" s="296">
        <f t="shared" si="620"/>
        <v>0</v>
      </c>
      <c r="BI133" s="296">
        <f t="shared" si="620"/>
        <v>-1354</v>
      </c>
      <c r="BJ133" s="296">
        <f t="shared" si="620"/>
        <v>-3605.0001999999999</v>
      </c>
      <c r="BK133" s="296">
        <f t="shared" si="620"/>
        <v>-568</v>
      </c>
      <c r="BL133" s="296">
        <f t="shared" si="620"/>
        <v>-1556.01</v>
      </c>
      <c r="BM133" s="296">
        <f t="shared" si="620"/>
        <v>-3325</v>
      </c>
      <c r="BN133" s="296">
        <f t="shared" si="620"/>
        <v>-1963.42</v>
      </c>
      <c r="BO133" s="296">
        <f t="shared" si="620"/>
        <v>-1568.66</v>
      </c>
      <c r="BP133" s="296">
        <f t="shared" si="620"/>
        <v>-2233.7600000000002</v>
      </c>
      <c r="BQ133" s="296">
        <f t="shared" si="620"/>
        <v>-2098.12</v>
      </c>
      <c r="BR133" s="296">
        <f t="shared" si="620"/>
        <v>-801.80000000000007</v>
      </c>
      <c r="BS133" s="296">
        <f t="shared" si="620"/>
        <v>-2731.34</v>
      </c>
      <c r="BT133" s="296">
        <f t="shared" si="620"/>
        <v>-1282.8800000000001</v>
      </c>
      <c r="BU133" s="296">
        <f t="shared" si="620"/>
        <v>-2469.4742000000001</v>
      </c>
      <c r="BV133" s="296">
        <f t="shared" si="620"/>
        <v>-6577.1399999999994</v>
      </c>
      <c r="BW133" s="296">
        <f t="shared" si="620"/>
        <v>-5283.8</v>
      </c>
      <c r="BX133" s="296">
        <f t="shared" si="620"/>
        <v>-5172.84</v>
      </c>
      <c r="BY133" s="296">
        <f t="shared" si="620"/>
        <v>-5258.1360000000004</v>
      </c>
      <c r="BZ133" s="296">
        <f t="shared" si="620"/>
        <v>-4719.9887538400008</v>
      </c>
      <c r="CA133" s="296">
        <f t="shared" si="620"/>
        <v>-4133.6710923199998</v>
      </c>
      <c r="CB133" s="296">
        <f t="shared" si="620"/>
        <v>-3644</v>
      </c>
      <c r="CC133" s="296">
        <f t="shared" si="620"/>
        <v>-4437.4386000000004</v>
      </c>
      <c r="CD133" s="296">
        <f t="shared" si="620"/>
        <v>-3493.7920000000004</v>
      </c>
      <c r="CE133" s="296">
        <f t="shared" ref="CE133:DJ133" si="621">SUM(CE103,CE109,CE115,CE121)</f>
        <v>-5201.8156718</v>
      </c>
      <c r="CF133" s="296">
        <f t="shared" si="621"/>
        <v>-4014.8718000000003</v>
      </c>
      <c r="CG133" s="296">
        <f t="shared" si="621"/>
        <v>-6821.9866000000002</v>
      </c>
      <c r="CH133" s="296">
        <f t="shared" si="621"/>
        <v>-5978.6632</v>
      </c>
      <c r="CI133" s="296">
        <f t="shared" si="621"/>
        <v>118.38248804655827</v>
      </c>
      <c r="CJ133" s="296">
        <f t="shared" si="621"/>
        <v>90.391382726281975</v>
      </c>
      <c r="CK133" s="296">
        <f t="shared" si="621"/>
        <v>237.84780185917569</v>
      </c>
      <c r="CL133" s="296">
        <f t="shared" si="621"/>
        <v>137.5800516611435</v>
      </c>
      <c r="CM133" s="296">
        <f t="shared" si="621"/>
        <v>107.72070665122047</v>
      </c>
      <c r="CN133" s="296">
        <f t="shared" si="621"/>
        <v>136.22526557420494</v>
      </c>
      <c r="CO133" s="296">
        <f t="shared" si="621"/>
        <v>72.259963749860887</v>
      </c>
      <c r="CP133" s="296">
        <f t="shared" si="621"/>
        <v>113.27539112671168</v>
      </c>
      <c r="CQ133" s="296">
        <f t="shared" si="621"/>
        <v>222.02747826335269</v>
      </c>
      <c r="CR133" s="296">
        <f t="shared" si="621"/>
        <v>98.978165083946692</v>
      </c>
      <c r="CS133" s="296">
        <f t="shared" si="621"/>
        <v>190.97073112707631</v>
      </c>
      <c r="CT133" s="296">
        <f t="shared" si="621"/>
        <v>265.69133522009929</v>
      </c>
      <c r="CU133" s="296">
        <f t="shared" si="621"/>
        <v>69.274034139368212</v>
      </c>
      <c r="CV133" s="296">
        <f t="shared" si="621"/>
        <v>87.616362470502793</v>
      </c>
      <c r="CW133" s="296">
        <f t="shared" si="621"/>
        <v>163.16251933160339</v>
      </c>
      <c r="CX133" s="296">
        <f t="shared" si="621"/>
        <v>108.18736520407465</v>
      </c>
      <c r="CY133" s="296">
        <f t="shared" si="621"/>
        <v>88.634879323560995</v>
      </c>
      <c r="CZ133" s="296">
        <f t="shared" si="621"/>
        <v>163.67487358076446</v>
      </c>
      <c r="DA133" s="296">
        <f t="shared" si="621"/>
        <v>109.11455117520455</v>
      </c>
      <c r="DB133" s="296">
        <f t="shared" si="621"/>
        <v>85.59424120970337</v>
      </c>
      <c r="DC133" s="296">
        <f t="shared" si="621"/>
        <v>135.69602592812336</v>
      </c>
      <c r="DD133" s="296">
        <f t="shared" si="621"/>
        <v>107.26941851560045</v>
      </c>
      <c r="DE133" s="296">
        <f t="shared" si="621"/>
        <v>225.45522573850005</v>
      </c>
      <c r="DF133" s="296">
        <f t="shared" si="621"/>
        <v>211.79619333103602</v>
      </c>
      <c r="DG133" s="296">
        <f t="shared" si="621"/>
        <v>65.949730238423143</v>
      </c>
      <c r="DH133" s="296">
        <f t="shared" si="621"/>
        <v>83.411851802604701</v>
      </c>
      <c r="DI133" s="296">
        <f t="shared" si="621"/>
        <v>155.33271980800626</v>
      </c>
      <c r="DJ133" s="296">
        <f t="shared" si="621"/>
        <v>102.99569873554877</v>
      </c>
      <c r="DK133" s="296">
        <f t="shared" ref="DK133:EP133" si="622">SUM(DK103,DK109,DK115,DK121)</f>
        <v>84.381492340173793</v>
      </c>
      <c r="DL133" s="296">
        <f t="shared" si="622"/>
        <v>155.82048733791078</v>
      </c>
      <c r="DM133" s="296">
        <f t="shared" si="622"/>
        <v>103.87839115322794</v>
      </c>
      <c r="DN133" s="296">
        <f t="shared" si="622"/>
        <v>81.486767558329191</v>
      </c>
      <c r="DO133" s="296">
        <f t="shared" si="622"/>
        <v>129.18428117498721</v>
      </c>
      <c r="DP133" s="296">
        <f t="shared" si="622"/>
        <v>102.12180222828988</v>
      </c>
      <c r="DQ133" s="296">
        <f t="shared" si="622"/>
        <v>214.63614040988887</v>
      </c>
      <c r="DR133" s="296">
        <f t="shared" si="622"/>
        <v>201.63257401186667</v>
      </c>
      <c r="DS133" s="296">
        <f t="shared" si="622"/>
        <v>56.629014489634343</v>
      </c>
      <c r="DT133" s="296">
        <f t="shared" si="622"/>
        <v>71.623203722900826</v>
      </c>
      <c r="DU133" s="296">
        <f t="shared" si="622"/>
        <v>133.37945142339703</v>
      </c>
      <c r="DV133" s="296">
        <f t="shared" si="622"/>
        <v>88.439253579649829</v>
      </c>
      <c r="DW133" s="296">
        <f t="shared" si="622"/>
        <v>72.455804369684756</v>
      </c>
      <c r="DX133" s="296">
        <f t="shared" si="622"/>
        <v>133.79828246969058</v>
      </c>
      <c r="DY133" s="296">
        <f t="shared" si="622"/>
        <v>89.197194537557223</v>
      </c>
      <c r="DZ133" s="296">
        <f t="shared" si="622"/>
        <v>69.970192813398569</v>
      </c>
      <c r="EA133" s="296">
        <f t="shared" si="622"/>
        <v>110.92658763036455</v>
      </c>
      <c r="EB133" s="296">
        <f t="shared" si="622"/>
        <v>87.688865400758203</v>
      </c>
      <c r="EC133" s="296">
        <f t="shared" si="622"/>
        <v>184.30148328627047</v>
      </c>
      <c r="ED133" s="296">
        <f t="shared" si="622"/>
        <v>173.13571888801823</v>
      </c>
      <c r="EE133" s="296">
        <f t="shared" si="622"/>
        <v>48.649374226291044</v>
      </c>
      <c r="EF133" s="296">
        <f t="shared" si="622"/>
        <v>61.530720119437909</v>
      </c>
      <c r="EG133" s="296">
        <f t="shared" si="622"/>
        <v>114.58484497522024</v>
      </c>
      <c r="EH133" s="296">
        <f t="shared" si="622"/>
        <v>75.977206781124323</v>
      </c>
      <c r="EI133" s="296">
        <f t="shared" si="622"/>
        <v>62.24599833523412</v>
      </c>
      <c r="EJ133" s="296">
        <f t="shared" si="622"/>
        <v>114.94465819980766</v>
      </c>
      <c r="EK133" s="296">
        <f t="shared" si="622"/>
        <v>76.628345665227997</v>
      </c>
      <c r="EL133" s="296">
        <f t="shared" si="622"/>
        <v>60.110636315026341</v>
      </c>
      <c r="EM133" s="296">
        <f t="shared" si="622"/>
        <v>95.295832391059463</v>
      </c>
      <c r="EN133" s="296">
        <f t="shared" si="622"/>
        <v>75.332556407832627</v>
      </c>
      <c r="EO133" s="296">
        <f t="shared" si="622"/>
        <v>158.33141211552439</v>
      </c>
      <c r="EP133" s="296">
        <f t="shared" si="622"/>
        <v>148.73902461542755</v>
      </c>
      <c r="EQ133" s="296">
        <f t="shared" ref="EQ133:FB133" si="623">SUM(EQ103,EQ109,EQ115,EQ121)</f>
        <v>97186.556718770065</v>
      </c>
      <c r="ER133" s="296">
        <f t="shared" si="623"/>
        <v>205243.13206831121</v>
      </c>
      <c r="ES133" s="296">
        <f t="shared" si="623"/>
        <v>400967.88876338146</v>
      </c>
      <c r="ET133" s="296">
        <f t="shared" si="623"/>
        <v>172997.00311208531</v>
      </c>
      <c r="EU133" s="296">
        <f t="shared" si="623"/>
        <v>324408.37575342483</v>
      </c>
      <c r="EV133" s="296">
        <f t="shared" si="623"/>
        <v>456996.66634921834</v>
      </c>
      <c r="EW133" s="296">
        <f t="shared" si="623"/>
        <v>151310.37573623651</v>
      </c>
      <c r="EX133" s="296">
        <f t="shared" si="623"/>
        <v>269735.62251549901</v>
      </c>
      <c r="EY133" s="296">
        <f t="shared" si="623"/>
        <v>474250.45086297882</v>
      </c>
      <c r="EZ133" s="296">
        <f t="shared" si="623"/>
        <v>181309.69268248155</v>
      </c>
      <c r="FA133" s="296">
        <f t="shared" si="623"/>
        <v>520884.21038932371</v>
      </c>
      <c r="FB133" s="296">
        <f t="shared" si="623"/>
        <v>601482.98270785168</v>
      </c>
    </row>
    <row r="135" spans="1:158" x14ac:dyDescent="0.25">
      <c r="A135" s="329">
        <v>43132</v>
      </c>
      <c r="C135" s="304" t="s">
        <v>344</v>
      </c>
      <c r="D135" s="22">
        <f t="shared" ref="D135:D139" si="624">BJ135</f>
        <v>9436505.8065000065</v>
      </c>
      <c r="E135" s="22">
        <f t="shared" ref="E135:E139" si="625">BV135</f>
        <v>17359592.587415006</v>
      </c>
      <c r="F135" s="22">
        <f t="shared" ref="F135:F139" si="626">CH135</f>
        <v>25303110.394152001</v>
      </c>
      <c r="G135" s="22">
        <f t="shared" ref="G135:G139" si="627">CT135</f>
        <v>41110679.49262128</v>
      </c>
      <c r="H135" s="22">
        <f t="shared" ref="H135:H139" si="628">DF135</f>
        <v>60176082.756705388</v>
      </c>
      <c r="I135" s="22">
        <f t="shared" ref="I135:I139" si="629">DR135</f>
        <v>85060076.883472055</v>
      </c>
      <c r="J135" s="22">
        <f t="shared" ref="J135:J139" si="630">ED135</f>
        <v>117719304.70308936</v>
      </c>
      <c r="K135" s="22">
        <f t="shared" ref="K135:K139" si="631">EP135</f>
        <v>159426176.52436242</v>
      </c>
      <c r="L135" s="22">
        <f t="shared" ref="L135:L139" si="632">FB135</f>
        <v>211113684.96715549</v>
      </c>
      <c r="M135" s="22"/>
      <c r="N135" s="22">
        <f t="shared" ref="N135:AW135" si="633">SUM(N123,N129)</f>
        <v>4807579.8465000056</v>
      </c>
      <c r="O135" s="22">
        <f t="shared" si="633"/>
        <v>5816303.8465000056</v>
      </c>
      <c r="P135" s="22">
        <f t="shared" si="633"/>
        <v>7294478.3465000056</v>
      </c>
      <c r="Q135" s="22">
        <f t="shared" si="633"/>
        <v>9436505.8065000065</v>
      </c>
      <c r="R135" s="22">
        <f t="shared" si="633"/>
        <v>11322148.336500006</v>
      </c>
      <c r="S135" s="22">
        <f t="shared" si="633"/>
        <v>13419702.696500007</v>
      </c>
      <c r="T135" s="22">
        <f t="shared" si="633"/>
        <v>15160323.456500007</v>
      </c>
      <c r="U135" s="22">
        <f t="shared" si="633"/>
        <v>17359592.587415006</v>
      </c>
      <c r="V135" s="22">
        <f t="shared" si="633"/>
        <v>18064108.549649008</v>
      </c>
      <c r="W135" s="22">
        <f t="shared" si="633"/>
        <v>20399140.002687003</v>
      </c>
      <c r="X135" s="22">
        <f t="shared" si="633"/>
        <v>22135647.681696005</v>
      </c>
      <c r="Y135" s="22">
        <f t="shared" si="633"/>
        <v>25303110.394152001</v>
      </c>
      <c r="Z135" s="22">
        <f t="shared" si="633"/>
        <v>27775249.392548002</v>
      </c>
      <c r="AA135" s="22">
        <f t="shared" si="633"/>
        <v>31795094.070499003</v>
      </c>
      <c r="AB135" s="22">
        <f t="shared" si="633"/>
        <v>35825720.605160043</v>
      </c>
      <c r="AC135" s="22">
        <f t="shared" si="633"/>
        <v>41110679.492621288</v>
      </c>
      <c r="AD135" s="22">
        <f t="shared" si="633"/>
        <v>44332601.230779454</v>
      </c>
      <c r="AE135" s="22">
        <f t="shared" si="633"/>
        <v>48841424.443789504</v>
      </c>
      <c r="AF135" s="22">
        <f t="shared" si="633"/>
        <v>53371565.779430419</v>
      </c>
      <c r="AG135" s="22">
        <f t="shared" si="633"/>
        <v>60176082.756705388</v>
      </c>
      <c r="AH135" s="22">
        <f t="shared" si="633"/>
        <v>64516600.249371171</v>
      </c>
      <c r="AI135" s="22">
        <f t="shared" si="633"/>
        <v>70807281.391238824</v>
      </c>
      <c r="AJ135" s="22">
        <f t="shared" si="633"/>
        <v>76750634.489067212</v>
      </c>
      <c r="AK135" s="22">
        <f t="shared" si="633"/>
        <v>85060076.88347207</v>
      </c>
      <c r="AL135" s="22">
        <f t="shared" si="633"/>
        <v>90737129.09996669</v>
      </c>
      <c r="AM135" s="22">
        <f t="shared" si="633"/>
        <v>99006622.090939626</v>
      </c>
      <c r="AN135" s="22">
        <f t="shared" si="633"/>
        <v>106823649.34212245</v>
      </c>
      <c r="AO135" s="22">
        <f t="shared" si="633"/>
        <v>117719304.70308936</v>
      </c>
      <c r="AP135" s="22">
        <f t="shared" si="633"/>
        <v>124939491.32258923</v>
      </c>
      <c r="AQ135" s="22">
        <f t="shared" si="633"/>
        <v>135519768.8222062</v>
      </c>
      <c r="AR135" s="22">
        <f t="shared" si="633"/>
        <v>145527322.20950803</v>
      </c>
      <c r="AS135" s="22">
        <f t="shared" si="633"/>
        <v>159426176.52436242</v>
      </c>
      <c r="AT135" s="22">
        <f t="shared" si="633"/>
        <v>168330030.52249697</v>
      </c>
      <c r="AU135" s="22">
        <f t="shared" si="633"/>
        <v>181471868.81259602</v>
      </c>
      <c r="AV135" s="22">
        <f t="shared" si="633"/>
        <v>193911521.68064627</v>
      </c>
      <c r="AW135" s="22">
        <f t="shared" si="633"/>
        <v>211113684.96715549</v>
      </c>
      <c r="AY135" s="49">
        <f>SUM(AY136:AY139)</f>
        <v>3894939.6465000054</v>
      </c>
      <c r="AZ135" s="49">
        <f t="shared" ref="AZ135:CE135" si="634">AZ123+AZ129</f>
        <v>4305004.6465000054</v>
      </c>
      <c r="BA135" s="49">
        <f t="shared" si="634"/>
        <v>4807579.8465000056</v>
      </c>
      <c r="BB135" s="49">
        <f t="shared" si="634"/>
        <v>4973119.8465000056</v>
      </c>
      <c r="BC135" s="49">
        <f t="shared" si="634"/>
        <v>5303019.8465000056</v>
      </c>
      <c r="BD135" s="49">
        <f t="shared" si="634"/>
        <v>5816303.8465000056</v>
      </c>
      <c r="BE135" s="49">
        <f t="shared" si="634"/>
        <v>6136480.5165000055</v>
      </c>
      <c r="BF135" s="49">
        <f t="shared" si="634"/>
        <v>6567894.0165000055</v>
      </c>
      <c r="BG135" s="49">
        <f t="shared" si="634"/>
        <v>7294478.3465000056</v>
      </c>
      <c r="BH135" s="49">
        <f t="shared" si="634"/>
        <v>7791910.3465000056</v>
      </c>
      <c r="BI135" s="49">
        <f t="shared" si="634"/>
        <v>8676423.3465000056</v>
      </c>
      <c r="BJ135" s="49">
        <f t="shared" si="634"/>
        <v>9436505.8065000065</v>
      </c>
      <c r="BK135" s="49">
        <f t="shared" si="634"/>
        <v>9752439.1365000065</v>
      </c>
      <c r="BL135" s="49">
        <f t="shared" si="634"/>
        <v>10364538.966500007</v>
      </c>
      <c r="BM135" s="49">
        <f t="shared" si="634"/>
        <v>11322148.336500008</v>
      </c>
      <c r="BN135" s="49">
        <f t="shared" si="634"/>
        <v>11827416.866500007</v>
      </c>
      <c r="BO135" s="49">
        <f t="shared" si="634"/>
        <v>12525504.056500006</v>
      </c>
      <c r="BP135" s="49">
        <f t="shared" si="634"/>
        <v>13419702.696500007</v>
      </c>
      <c r="BQ135" s="49">
        <f t="shared" si="634"/>
        <v>13764631.866500007</v>
      </c>
      <c r="BR135" s="49">
        <f t="shared" si="634"/>
        <v>14159608.866500007</v>
      </c>
      <c r="BS135" s="49">
        <f t="shared" si="634"/>
        <v>15160323.456500007</v>
      </c>
      <c r="BT135" s="49">
        <f t="shared" si="634"/>
        <v>15526034.136500007</v>
      </c>
      <c r="BU135" s="49">
        <f t="shared" si="634"/>
        <v>16421471.926500008</v>
      </c>
      <c r="BV135" s="49">
        <f t="shared" si="634"/>
        <v>17359592.587415006</v>
      </c>
      <c r="BW135" s="49">
        <f t="shared" si="634"/>
        <v>17384619.447415005</v>
      </c>
      <c r="BX135" s="49">
        <f t="shared" si="634"/>
        <v>17551752.969539005</v>
      </c>
      <c r="BY135" s="49">
        <f t="shared" si="634"/>
        <v>18064108.549649004</v>
      </c>
      <c r="BZ135" s="49">
        <f t="shared" si="634"/>
        <v>18316842.240418006</v>
      </c>
      <c r="CA135" s="49">
        <f t="shared" si="634"/>
        <v>18839542.845325004</v>
      </c>
      <c r="CB135" s="49">
        <f t="shared" si="634"/>
        <v>20399140.002687003</v>
      </c>
      <c r="CC135" s="49">
        <f t="shared" si="634"/>
        <v>20529507.639866002</v>
      </c>
      <c r="CD135" s="49">
        <f t="shared" si="634"/>
        <v>21151769.144883003</v>
      </c>
      <c r="CE135" s="49">
        <f t="shared" si="634"/>
        <v>22135647.681696001</v>
      </c>
      <c r="CF135" s="49">
        <f t="shared" ref="CF135:DK135" si="635">CF123+CF129</f>
        <v>22691403.838071</v>
      </c>
      <c r="CG135" s="49">
        <f t="shared" si="635"/>
        <v>23638712.461844001</v>
      </c>
      <c r="CH135" s="49">
        <f t="shared" si="635"/>
        <v>25303110.394152001</v>
      </c>
      <c r="CI135" s="49">
        <f t="shared" si="635"/>
        <v>25739833.490118001</v>
      </c>
      <c r="CJ135" s="49">
        <f t="shared" si="635"/>
        <v>26475393.991624001</v>
      </c>
      <c r="CK135" s="49">
        <f t="shared" si="635"/>
        <v>27775249.392548002</v>
      </c>
      <c r="CL135" s="49">
        <f t="shared" si="635"/>
        <v>28345879.046568003</v>
      </c>
      <c r="CM135" s="49">
        <f t="shared" si="635"/>
        <v>29658121.113816004</v>
      </c>
      <c r="CN135" s="49">
        <f t="shared" si="635"/>
        <v>31795094.070499003</v>
      </c>
      <c r="CO135" s="49">
        <f t="shared" si="635"/>
        <v>32379418.398894947</v>
      </c>
      <c r="CP135" s="49">
        <f t="shared" si="635"/>
        <v>33843649.89126049</v>
      </c>
      <c r="CQ135" s="49">
        <f t="shared" si="635"/>
        <v>35825720.605160043</v>
      </c>
      <c r="CR135" s="49">
        <f t="shared" si="635"/>
        <v>36275120.141094282</v>
      </c>
      <c r="CS135" s="49">
        <f t="shared" si="635"/>
        <v>38446102.588055104</v>
      </c>
      <c r="CT135" s="49">
        <f t="shared" si="635"/>
        <v>41110679.49262128</v>
      </c>
      <c r="CU135" s="49">
        <f t="shared" si="635"/>
        <v>41444942.565337047</v>
      </c>
      <c r="CV135" s="49">
        <f t="shared" si="635"/>
        <v>42399233.708708942</v>
      </c>
      <c r="CW135" s="49">
        <f t="shared" si="635"/>
        <v>44332601.230779462</v>
      </c>
      <c r="CX135" s="49">
        <f t="shared" si="635"/>
        <v>44959680.200452588</v>
      </c>
      <c r="CY135" s="49">
        <f t="shared" si="635"/>
        <v>46609522.828295685</v>
      </c>
      <c r="CZ135" s="49">
        <f t="shared" si="635"/>
        <v>48841424.443789512</v>
      </c>
      <c r="DA135" s="49">
        <f t="shared" si="635"/>
        <v>49425792.972566165</v>
      </c>
      <c r="DB135" s="49">
        <f t="shared" si="635"/>
        <v>50838100.2159843</v>
      </c>
      <c r="DC135" s="49">
        <f t="shared" si="635"/>
        <v>53371565.779430419</v>
      </c>
      <c r="DD135" s="49">
        <f t="shared" si="635"/>
        <v>54292912.354140185</v>
      </c>
      <c r="DE135" s="49">
        <f t="shared" si="635"/>
        <v>56956750.346720152</v>
      </c>
      <c r="DF135" s="49">
        <f t="shared" si="635"/>
        <v>60176082.756705388</v>
      </c>
      <c r="DG135" s="49">
        <f t="shared" si="635"/>
        <v>60639516.269947343</v>
      </c>
      <c r="DH135" s="49">
        <f t="shared" si="635"/>
        <v>61937422.914107896</v>
      </c>
      <c r="DI135" s="49">
        <f t="shared" si="635"/>
        <v>64516600.249371171</v>
      </c>
      <c r="DJ135" s="49">
        <f t="shared" si="635"/>
        <v>65423806.493496753</v>
      </c>
      <c r="DK135" s="49">
        <f t="shared" si="635"/>
        <v>67746469.214005694</v>
      </c>
      <c r="DL135" s="49">
        <f t="shared" ref="DL135:EQ135" si="636">DL123+DL129</f>
        <v>70807281.391238824</v>
      </c>
      <c r="DM135" s="49">
        <f t="shared" si="636"/>
        <v>71521942.464162901</v>
      </c>
      <c r="DN135" s="49">
        <f t="shared" si="636"/>
        <v>73388447.80347316</v>
      </c>
      <c r="DO135" s="49">
        <f t="shared" si="636"/>
        <v>76750634.489067212</v>
      </c>
      <c r="DP135" s="49">
        <f t="shared" si="636"/>
        <v>77734705.262778103</v>
      </c>
      <c r="DQ135" s="49">
        <f t="shared" si="636"/>
        <v>81011813.48084566</v>
      </c>
      <c r="DR135" s="49">
        <f t="shared" si="636"/>
        <v>85060076.883472055</v>
      </c>
      <c r="DS135" s="49">
        <f t="shared" si="636"/>
        <v>85652020.695021078</v>
      </c>
      <c r="DT135" s="49">
        <f t="shared" si="636"/>
        <v>87352848.463686109</v>
      </c>
      <c r="DU135" s="49">
        <f t="shared" si="636"/>
        <v>90737129.09996669</v>
      </c>
      <c r="DV135" s="49">
        <f t="shared" si="636"/>
        <v>91906989.531333745</v>
      </c>
      <c r="DW135" s="49">
        <f t="shared" si="636"/>
        <v>94978251.617015645</v>
      </c>
      <c r="DX135" s="49">
        <f t="shared" si="636"/>
        <v>99006622.090939626</v>
      </c>
      <c r="DY135" s="49">
        <f t="shared" si="636"/>
        <v>99918534.412514269</v>
      </c>
      <c r="DZ135" s="49">
        <f t="shared" si="636"/>
        <v>102380810.68553951</v>
      </c>
      <c r="EA135" s="49">
        <f t="shared" si="636"/>
        <v>106823649.34212245</v>
      </c>
      <c r="EB135" s="49">
        <f t="shared" si="636"/>
        <v>108096704.78325407</v>
      </c>
      <c r="EC135" s="49">
        <f t="shared" si="636"/>
        <v>112389445.46474218</v>
      </c>
      <c r="ED135" s="49">
        <f t="shared" si="636"/>
        <v>117719304.70308936</v>
      </c>
      <c r="EE135" s="49">
        <f t="shared" si="636"/>
        <v>118450762.48796487</v>
      </c>
      <c r="EF135" s="49">
        <f t="shared" si="636"/>
        <v>120618835.6711363</v>
      </c>
      <c r="EG135" s="49">
        <f t="shared" si="636"/>
        <v>124939491.32258923</v>
      </c>
      <c r="EH135" s="49">
        <f t="shared" si="636"/>
        <v>126402182.462262</v>
      </c>
      <c r="EI135" s="49">
        <f t="shared" si="636"/>
        <v>130358620.4266409</v>
      </c>
      <c r="EJ135" s="49">
        <f t="shared" si="636"/>
        <v>135519768.8222062</v>
      </c>
      <c r="EK135" s="49">
        <f t="shared" si="636"/>
        <v>136645180.90921724</v>
      </c>
      <c r="EL135" s="49">
        <f t="shared" si="636"/>
        <v>139808457.2628603</v>
      </c>
      <c r="EM135" s="49">
        <f t="shared" si="636"/>
        <v>145527322.20950803</v>
      </c>
      <c r="EN135" s="49">
        <f t="shared" si="636"/>
        <v>147125271.45757049</v>
      </c>
      <c r="EO135" s="49">
        <f t="shared" si="636"/>
        <v>152594725.68105066</v>
      </c>
      <c r="EP135" s="49">
        <f t="shared" si="636"/>
        <v>159426176.52436242</v>
      </c>
      <c r="EQ135" s="49">
        <f t="shared" si="636"/>
        <v>160296155.17013201</v>
      </c>
      <c r="ER135" s="49">
        <f t="shared" ref="ER135:FB135" si="637">ER123+ER129</f>
        <v>162977181.37250397</v>
      </c>
      <c r="ES135" s="49">
        <f t="shared" si="637"/>
        <v>168330030.52249697</v>
      </c>
      <c r="ET135" s="49">
        <f t="shared" si="637"/>
        <v>170096105.65432823</v>
      </c>
      <c r="EU135" s="49">
        <f t="shared" si="637"/>
        <v>175050578.31317759</v>
      </c>
      <c r="EV135" s="49">
        <f t="shared" si="637"/>
        <v>181471868.81259602</v>
      </c>
      <c r="EW135" s="49">
        <f t="shared" si="637"/>
        <v>182808206.88340247</v>
      </c>
      <c r="EX135" s="49">
        <f t="shared" si="637"/>
        <v>186756629.74188319</v>
      </c>
      <c r="EY135" s="49">
        <f t="shared" si="637"/>
        <v>193911521.68064627</v>
      </c>
      <c r="EZ135" s="49">
        <f t="shared" si="637"/>
        <v>195850408.04084179</v>
      </c>
      <c r="FA135" s="49">
        <f t="shared" si="637"/>
        <v>202610055.48042005</v>
      </c>
      <c r="FB135" s="49">
        <f t="shared" si="637"/>
        <v>211113684.96715549</v>
      </c>
    </row>
    <row r="136" spans="1:158" x14ac:dyDescent="0.25">
      <c r="A136" s="334">
        <v>0.9</v>
      </c>
      <c r="C136" s="2" t="s">
        <v>346</v>
      </c>
      <c r="D136" s="244">
        <f t="shared" si="624"/>
        <v>9136503.2721000053</v>
      </c>
      <c r="E136" s="244">
        <f t="shared" si="625"/>
        <v>16941891.723696705</v>
      </c>
      <c r="F136" s="244">
        <f t="shared" si="626"/>
        <v>24705264.999949556</v>
      </c>
      <c r="G136" s="244">
        <f t="shared" si="627"/>
        <v>39636384.083663553</v>
      </c>
      <c r="H136" s="244">
        <f t="shared" si="628"/>
        <v>56821473.396939486</v>
      </c>
      <c r="I136" s="244">
        <f t="shared" si="629"/>
        <v>76034773.107063189</v>
      </c>
      <c r="J136" s="244">
        <f t="shared" si="630"/>
        <v>100852410.25750281</v>
      </c>
      <c r="K136" s="244">
        <f t="shared" si="631"/>
        <v>133034899.59934114</v>
      </c>
      <c r="L136" s="244">
        <f t="shared" si="632"/>
        <v>152330172.73425844</v>
      </c>
      <c r="M136" s="244"/>
      <c r="N136" s="244">
        <f t="shared" ref="N136:AW136" si="638">SUM(N124,N130)</f>
        <v>4587942.5010000048</v>
      </c>
      <c r="O136" s="244">
        <f t="shared" si="638"/>
        <v>5578805.0210000053</v>
      </c>
      <c r="P136" s="244">
        <f t="shared" si="638"/>
        <v>7029877.8610000052</v>
      </c>
      <c r="Q136" s="244">
        <f t="shared" si="638"/>
        <v>9136503.2721000053</v>
      </c>
      <c r="R136" s="244">
        <f t="shared" si="638"/>
        <v>10992606.466500005</v>
      </c>
      <c r="S136" s="244">
        <f t="shared" si="638"/>
        <v>13056858.499300007</v>
      </c>
      <c r="T136" s="244">
        <f t="shared" si="638"/>
        <v>14771113.734100007</v>
      </c>
      <c r="U136" s="244">
        <f t="shared" si="638"/>
        <v>16941891.723696705</v>
      </c>
      <c r="V136" s="244">
        <f t="shared" si="638"/>
        <v>17640986.983063687</v>
      </c>
      <c r="W136" s="244">
        <f t="shared" si="638"/>
        <v>19918465.152356707</v>
      </c>
      <c r="X136" s="244">
        <f t="shared" si="638"/>
        <v>21616010.647267237</v>
      </c>
      <c r="Y136" s="244">
        <f t="shared" si="638"/>
        <v>24705264.99994956</v>
      </c>
      <c r="Z136" s="244">
        <f t="shared" si="638"/>
        <v>27032337.586184673</v>
      </c>
      <c r="AA136" s="244">
        <f t="shared" si="638"/>
        <v>30832858.310562871</v>
      </c>
      <c r="AB136" s="244">
        <f t="shared" si="638"/>
        <v>34642370.771471232</v>
      </c>
      <c r="AC136" s="244">
        <f t="shared" si="638"/>
        <v>39636384.083663553</v>
      </c>
      <c r="AD136" s="244">
        <f t="shared" si="638"/>
        <v>42530995.646734171</v>
      </c>
      <c r="AE136" s="244">
        <f t="shared" si="638"/>
        <v>46596368.131482258</v>
      </c>
      <c r="AF136" s="244">
        <f t="shared" si="638"/>
        <v>50686271.92355331</v>
      </c>
      <c r="AG136" s="244">
        <f t="shared" si="638"/>
        <v>56821473.396939494</v>
      </c>
      <c r="AH136" s="244">
        <f t="shared" si="638"/>
        <v>60138822.854437962</v>
      </c>
      <c r="AI136" s="244">
        <f t="shared" si="638"/>
        <v>65018803.972524576</v>
      </c>
      <c r="AJ136" s="244">
        <f t="shared" si="638"/>
        <v>69636460.405351967</v>
      </c>
      <c r="AK136" s="244">
        <f t="shared" si="638"/>
        <v>76034773.107063189</v>
      </c>
      <c r="AL136" s="244">
        <f t="shared" si="638"/>
        <v>80311340.838415563</v>
      </c>
      <c r="AM136" s="244">
        <f t="shared" si="638"/>
        <v>86620421.787492588</v>
      </c>
      <c r="AN136" s="244">
        <f t="shared" si="638"/>
        <v>92592108.753850013</v>
      </c>
      <c r="AO136" s="244">
        <f t="shared" si="638"/>
        <v>100852410.25750282</v>
      </c>
      <c r="AP136" s="244">
        <f t="shared" si="638"/>
        <v>106390911.93538539</v>
      </c>
      <c r="AQ136" s="244">
        <f t="shared" si="638"/>
        <v>114577086.96960641</v>
      </c>
      <c r="AR136" s="244">
        <f t="shared" si="638"/>
        <v>122326977.42451222</v>
      </c>
      <c r="AS136" s="244">
        <f t="shared" si="638"/>
        <v>133034899.59934114</v>
      </c>
      <c r="AT136" s="244">
        <f t="shared" si="638"/>
        <v>136117760.27679962</v>
      </c>
      <c r="AU136" s="244">
        <f t="shared" si="638"/>
        <v>141185548.73221907</v>
      </c>
      <c r="AV136" s="244">
        <f t="shared" si="638"/>
        <v>146032656.62370858</v>
      </c>
      <c r="AW136" s="244">
        <f t="shared" si="638"/>
        <v>152330172.73425847</v>
      </c>
      <c r="AY136" s="244">
        <f>AY$47*$A136</f>
        <v>3689942.823000005</v>
      </c>
      <c r="AZ136" s="20">
        <f t="shared" ref="AZ136:CE136" si="639">AZ124+AZ130</f>
        <v>4093411.823000005</v>
      </c>
      <c r="BA136" s="20">
        <f t="shared" si="639"/>
        <v>4587942.5010000048</v>
      </c>
      <c r="BB136" s="20">
        <f t="shared" si="639"/>
        <v>4751191.701000005</v>
      </c>
      <c r="BC136" s="20">
        <f t="shared" si="639"/>
        <v>5075066.701000005</v>
      </c>
      <c r="BD136" s="20">
        <f t="shared" si="639"/>
        <v>5578805.0210000053</v>
      </c>
      <c r="BE136" s="20">
        <f t="shared" si="639"/>
        <v>5892578.1576000052</v>
      </c>
      <c r="BF136" s="20">
        <f t="shared" si="639"/>
        <v>6316979.6676000049</v>
      </c>
      <c r="BG136" s="20">
        <f t="shared" si="639"/>
        <v>7029877.8610000052</v>
      </c>
      <c r="BH136" s="20">
        <f t="shared" si="639"/>
        <v>7517361.2210000055</v>
      </c>
      <c r="BI136" s="20">
        <f t="shared" si="639"/>
        <v>8386214.9610000057</v>
      </c>
      <c r="BJ136" s="20">
        <f t="shared" si="639"/>
        <v>9136503.2721000053</v>
      </c>
      <c r="BK136" s="20">
        <f t="shared" si="639"/>
        <v>9446969.9355000053</v>
      </c>
      <c r="BL136" s="20">
        <f t="shared" si="639"/>
        <v>10049161.783900006</v>
      </c>
      <c r="BM136" s="20">
        <f t="shared" si="639"/>
        <v>10992606.466500007</v>
      </c>
      <c r="BN136" s="20">
        <f t="shared" si="639"/>
        <v>11490714.755900007</v>
      </c>
      <c r="BO136" s="20">
        <f t="shared" si="639"/>
        <v>12177193.192100007</v>
      </c>
      <c r="BP136" s="20">
        <f t="shared" si="639"/>
        <v>13056858.499300007</v>
      </c>
      <c r="BQ136" s="20">
        <f t="shared" si="639"/>
        <v>13398036.265900007</v>
      </c>
      <c r="BR136" s="20">
        <f t="shared" si="639"/>
        <v>13786316.425900007</v>
      </c>
      <c r="BS136" s="20">
        <f t="shared" si="639"/>
        <v>14771113.734100007</v>
      </c>
      <c r="BT136" s="20">
        <f t="shared" si="639"/>
        <v>15131434.520500006</v>
      </c>
      <c r="BU136" s="20">
        <f t="shared" si="639"/>
        <v>16012667.766000006</v>
      </c>
      <c r="BV136" s="20">
        <f t="shared" si="639"/>
        <v>16941891.723696705</v>
      </c>
      <c r="BW136" s="20">
        <f t="shared" si="639"/>
        <v>16971451.577896707</v>
      </c>
      <c r="BX136" s="20">
        <f t="shared" si="639"/>
        <v>17138743.934356987</v>
      </c>
      <c r="BY136" s="20">
        <f t="shared" si="639"/>
        <v>17640986.983063687</v>
      </c>
      <c r="BZ136" s="20">
        <f t="shared" si="639"/>
        <v>17890858.651863456</v>
      </c>
      <c r="CA136" s="20">
        <f t="shared" si="639"/>
        <v>18402011.909715567</v>
      </c>
      <c r="CB136" s="20">
        <f t="shared" si="639"/>
        <v>19918465.152356707</v>
      </c>
      <c r="CC136" s="20">
        <f t="shared" si="639"/>
        <v>20049359.199020337</v>
      </c>
      <c r="CD136" s="20">
        <f t="shared" si="639"/>
        <v>20656446.650886826</v>
      </c>
      <c r="CE136" s="20">
        <f t="shared" si="639"/>
        <v>21616010.647267237</v>
      </c>
      <c r="CF136" s="20">
        <f t="shared" ref="CF136:DK136" si="640">CF124+CF130</f>
        <v>22159108.990750987</v>
      </c>
      <c r="CG136" s="20">
        <f t="shared" si="640"/>
        <v>23084820.342410795</v>
      </c>
      <c r="CH136" s="20">
        <f t="shared" si="640"/>
        <v>24705264.999949556</v>
      </c>
      <c r="CI136" s="20">
        <f t="shared" si="640"/>
        <v>25114463.850529827</v>
      </c>
      <c r="CJ136" s="20">
        <f t="shared" si="640"/>
        <v>25808903.164540526</v>
      </c>
      <c r="CK136" s="20">
        <f t="shared" si="640"/>
        <v>27032337.586184677</v>
      </c>
      <c r="CL136" s="20">
        <f t="shared" si="640"/>
        <v>27567825.254465725</v>
      </c>
      <c r="CM136" s="20">
        <f t="shared" si="640"/>
        <v>28809279.409431569</v>
      </c>
      <c r="CN136" s="20">
        <f t="shared" si="640"/>
        <v>30832858.310562868</v>
      </c>
      <c r="CO136" s="20">
        <f t="shared" si="640"/>
        <v>31384494.446012452</v>
      </c>
      <c r="CP136" s="20">
        <f t="shared" si="640"/>
        <v>32770071.661070433</v>
      </c>
      <c r="CQ136" s="20">
        <f t="shared" si="640"/>
        <v>34642370.771471232</v>
      </c>
      <c r="CR136" s="20">
        <f t="shared" si="640"/>
        <v>35064544.586930238</v>
      </c>
      <c r="CS136" s="20">
        <f t="shared" si="640"/>
        <v>37117802.071128421</v>
      </c>
      <c r="CT136" s="20">
        <f t="shared" si="640"/>
        <v>39636384.083663553</v>
      </c>
      <c r="CU136" s="20">
        <f t="shared" si="640"/>
        <v>39930666.46647013</v>
      </c>
      <c r="CV136" s="20">
        <f t="shared" si="640"/>
        <v>40789211.480267577</v>
      </c>
      <c r="CW136" s="20">
        <f t="shared" si="640"/>
        <v>42530995.646734171</v>
      </c>
      <c r="CX136" s="20">
        <f t="shared" si="640"/>
        <v>43086706.293306448</v>
      </c>
      <c r="CY136" s="20">
        <f t="shared" si="640"/>
        <v>44581510.829475872</v>
      </c>
      <c r="CZ136" s="20">
        <f t="shared" si="640"/>
        <v>46596368.131482258</v>
      </c>
      <c r="DA136" s="20">
        <f t="shared" si="640"/>
        <v>47112843.890398897</v>
      </c>
      <c r="DB136" s="20">
        <f t="shared" si="640"/>
        <v>48390811.31729228</v>
      </c>
      <c r="DC136" s="20">
        <f t="shared" si="640"/>
        <v>50686271.92355331</v>
      </c>
      <c r="DD136" s="20">
        <f t="shared" si="640"/>
        <v>51511390.720067278</v>
      </c>
      <c r="DE136" s="20">
        <f t="shared" si="640"/>
        <v>53911152.876217104</v>
      </c>
      <c r="DF136" s="20">
        <f t="shared" si="640"/>
        <v>56821473.396939486</v>
      </c>
      <c r="DG136" s="20">
        <f t="shared" si="640"/>
        <v>57151152.695645571</v>
      </c>
      <c r="DH136" s="20">
        <f t="shared" si="640"/>
        <v>58148756.934831113</v>
      </c>
      <c r="DI136" s="20">
        <f t="shared" si="640"/>
        <v>60138822.854437955</v>
      </c>
      <c r="DJ136" s="20">
        <f t="shared" si="640"/>
        <v>60803343.340061918</v>
      </c>
      <c r="DK136" s="20">
        <f t="shared" si="640"/>
        <v>62636195.464380629</v>
      </c>
      <c r="DL136" s="20">
        <f t="shared" ref="DL136:EQ136" si="641">DL124+DL130</f>
        <v>65018803.972524576</v>
      </c>
      <c r="DM136" s="20">
        <f t="shared" si="641"/>
        <v>65525605.601159729</v>
      </c>
      <c r="DN136" s="20">
        <f t="shared" si="641"/>
        <v>66988464.196479127</v>
      </c>
      <c r="DO136" s="20">
        <f t="shared" si="641"/>
        <v>69636460.405351967</v>
      </c>
      <c r="DP136" s="20">
        <f t="shared" si="641"/>
        <v>70364325.195062861</v>
      </c>
      <c r="DQ136" s="20">
        <f t="shared" si="641"/>
        <v>72880239.883831173</v>
      </c>
      <c r="DR136" s="20">
        <f t="shared" si="641"/>
        <v>76034773.107063189</v>
      </c>
      <c r="DS136" s="20">
        <f t="shared" si="641"/>
        <v>76453651.672373146</v>
      </c>
      <c r="DT136" s="20">
        <f t="shared" si="641"/>
        <v>77741126.884588718</v>
      </c>
      <c r="DU136" s="20">
        <f t="shared" si="641"/>
        <v>80311340.838415548</v>
      </c>
      <c r="DV136" s="20">
        <f t="shared" si="641"/>
        <v>81160799.722261772</v>
      </c>
      <c r="DW136" s="20">
        <f t="shared" si="641"/>
        <v>83538050.182048887</v>
      </c>
      <c r="DX136" s="20">
        <f t="shared" si="641"/>
        <v>86620421.787492588</v>
      </c>
      <c r="DY136" s="20">
        <f t="shared" si="641"/>
        <v>87263916.608749077</v>
      </c>
      <c r="DZ136" s="20">
        <f t="shared" si="641"/>
        <v>89158847.939836785</v>
      </c>
      <c r="EA136" s="20">
        <f t="shared" si="641"/>
        <v>92592108.753850013</v>
      </c>
      <c r="EB136" s="20">
        <f t="shared" si="641"/>
        <v>93524377.798715606</v>
      </c>
      <c r="EC136" s="20">
        <f t="shared" si="641"/>
        <v>96770600.046948075</v>
      </c>
      <c r="ED136" s="20">
        <f t="shared" si="641"/>
        <v>100852410.25750281</v>
      </c>
      <c r="EE136" s="20">
        <f t="shared" si="641"/>
        <v>101389660.19444905</v>
      </c>
      <c r="EF136" s="20">
        <f t="shared" si="641"/>
        <v>103058250.09516883</v>
      </c>
      <c r="EG136" s="20">
        <f t="shared" si="641"/>
        <v>106390911.93538539</v>
      </c>
      <c r="EH136" s="20">
        <f t="shared" si="641"/>
        <v>107484875.50609179</v>
      </c>
      <c r="EI136" s="20">
        <f t="shared" si="641"/>
        <v>110575922.74850053</v>
      </c>
      <c r="EJ136" s="20">
        <f t="shared" si="641"/>
        <v>114577086.96960641</v>
      </c>
      <c r="EK136" s="20">
        <f t="shared" si="641"/>
        <v>115402056.16096559</v>
      </c>
      <c r="EL136" s="20">
        <f t="shared" si="641"/>
        <v>117863901.1431479</v>
      </c>
      <c r="EM136" s="20">
        <f t="shared" si="641"/>
        <v>122326977.42451222</v>
      </c>
      <c r="EN136" s="20">
        <f t="shared" si="641"/>
        <v>123529168.40532494</v>
      </c>
      <c r="EO136" s="20">
        <f t="shared" si="641"/>
        <v>127735701.62017579</v>
      </c>
      <c r="EP136" s="20">
        <f t="shared" si="641"/>
        <v>133034899.59934114</v>
      </c>
      <c r="EQ136" s="20">
        <f t="shared" si="641"/>
        <v>133160335.00191884</v>
      </c>
      <c r="ER136" s="20">
        <f t="shared" ref="ER136:FB136" si="642">ER124+ER130</f>
        <v>134129104.84734376</v>
      </c>
      <c r="ES136" s="20">
        <f t="shared" si="642"/>
        <v>136117760.27679962</v>
      </c>
      <c r="ET136" s="20">
        <f t="shared" si="642"/>
        <v>136522454.59045699</v>
      </c>
      <c r="EU136" s="20">
        <f t="shared" si="642"/>
        <v>138651676.64703706</v>
      </c>
      <c r="EV136" s="20">
        <f t="shared" si="642"/>
        <v>141185548.73221907</v>
      </c>
      <c r="EW136" s="20">
        <f t="shared" si="642"/>
        <v>141365709.77172536</v>
      </c>
      <c r="EX136" s="20">
        <f t="shared" si="642"/>
        <v>142993386.39650863</v>
      </c>
      <c r="EY136" s="20">
        <f t="shared" si="642"/>
        <v>146032656.62370858</v>
      </c>
      <c r="EZ136" s="20">
        <f t="shared" si="642"/>
        <v>146530164.47571832</v>
      </c>
      <c r="FA136" s="20">
        <f t="shared" si="642"/>
        <v>148951673.76699638</v>
      </c>
      <c r="FB136" s="20">
        <f t="shared" si="642"/>
        <v>152330172.73425844</v>
      </c>
    </row>
    <row r="137" spans="1:158" x14ac:dyDescent="0.25">
      <c r="A137" s="334">
        <v>0.02</v>
      </c>
      <c r="C137" s="2" t="s">
        <v>298</v>
      </c>
      <c r="D137" s="244">
        <f t="shared" si="624"/>
        <v>192830.05260000011</v>
      </c>
      <c r="E137" s="244">
        <f t="shared" si="625"/>
        <v>351291.78821830009</v>
      </c>
      <c r="F137" s="244">
        <f t="shared" si="626"/>
        <v>510162.14435304014</v>
      </c>
      <c r="G137" s="244">
        <f t="shared" si="627"/>
        <v>1016497.0679991975</v>
      </c>
      <c r="H137" s="244">
        <f t="shared" si="628"/>
        <v>1981613.0842035213</v>
      </c>
      <c r="I137" s="244">
        <f t="shared" si="629"/>
        <v>6037097.0538979219</v>
      </c>
      <c r="J137" s="244">
        <f t="shared" si="630"/>
        <v>11879317.250342695</v>
      </c>
      <c r="K137" s="244">
        <f t="shared" si="631"/>
        <v>18945757.804493185</v>
      </c>
      <c r="L137" s="244">
        <f t="shared" si="632"/>
        <v>27395322.044268019</v>
      </c>
      <c r="M137" s="244"/>
      <c r="N137" s="244">
        <f t="shared" ref="N137:AW137" si="643">SUM(N125,N131)</f>
        <v>100251.53340000012</v>
      </c>
      <c r="O137" s="244">
        <f t="shared" si="643"/>
        <v>120426.01340000011</v>
      </c>
      <c r="P137" s="244">
        <f t="shared" si="643"/>
        <v>149989.5034000001</v>
      </c>
      <c r="Q137" s="244">
        <f t="shared" si="643"/>
        <v>192830.05260000011</v>
      </c>
      <c r="R137" s="244">
        <f t="shared" si="643"/>
        <v>230542.90320000012</v>
      </c>
      <c r="S137" s="244">
        <f t="shared" si="643"/>
        <v>272493.99040000013</v>
      </c>
      <c r="T137" s="244">
        <f t="shared" si="643"/>
        <v>307306.40560000011</v>
      </c>
      <c r="U137" s="244">
        <f t="shared" si="643"/>
        <v>351291.78821830009</v>
      </c>
      <c r="V137" s="244">
        <f t="shared" si="643"/>
        <v>365382.10746298009</v>
      </c>
      <c r="W137" s="244">
        <f t="shared" si="643"/>
        <v>412082.73652374017</v>
      </c>
      <c r="X137" s="244">
        <f t="shared" si="643"/>
        <v>446812.89010392025</v>
      </c>
      <c r="Y137" s="244">
        <f t="shared" si="643"/>
        <v>510162.1443530402</v>
      </c>
      <c r="Z137" s="244">
        <f t="shared" si="643"/>
        <v>592331.48129521555</v>
      </c>
      <c r="AA137" s="244">
        <f t="shared" si="643"/>
        <v>719765.22585707088</v>
      </c>
      <c r="AB137" s="244">
        <f t="shared" si="643"/>
        <v>847989.10523308662</v>
      </c>
      <c r="AC137" s="244">
        <f t="shared" si="643"/>
        <v>1016497.0679991974</v>
      </c>
      <c r="AD137" s="244">
        <f t="shared" si="643"/>
        <v>1183535.3144037044</v>
      </c>
      <c r="AE137" s="244">
        <f t="shared" si="643"/>
        <v>1411270.7481579084</v>
      </c>
      <c r="AF137" s="244">
        <f t="shared" si="643"/>
        <v>1637892.1264775735</v>
      </c>
      <c r="AG137" s="244">
        <f t="shared" si="643"/>
        <v>1981613.0842035213</v>
      </c>
      <c r="AH137" s="244">
        <f t="shared" si="643"/>
        <v>2714718.8282314884</v>
      </c>
      <c r="AI137" s="244">
        <f t="shared" si="643"/>
        <v>3722681.4973351983</v>
      </c>
      <c r="AJ137" s="244">
        <f t="shared" si="643"/>
        <v>4669616.8399888165</v>
      </c>
      <c r="AK137" s="244">
        <f t="shared" si="643"/>
        <v>6037097.0538979229</v>
      </c>
      <c r="AL137" s="244">
        <f t="shared" si="643"/>
        <v>7082754.6379693877</v>
      </c>
      <c r="AM137" s="244">
        <f t="shared" si="643"/>
        <v>8541806.1872123741</v>
      </c>
      <c r="AN137" s="244">
        <f t="shared" si="643"/>
        <v>9914738.0560840406</v>
      </c>
      <c r="AO137" s="244">
        <f t="shared" si="643"/>
        <v>11879317.250342695</v>
      </c>
      <c r="AP137" s="244">
        <f t="shared" si="643"/>
        <v>13129094.241776457</v>
      </c>
      <c r="AQ137" s="244">
        <f t="shared" si="643"/>
        <v>14903956.475173851</v>
      </c>
      <c r="AR137" s="244">
        <f t="shared" si="643"/>
        <v>16577231.869143369</v>
      </c>
      <c r="AS137" s="244">
        <f t="shared" si="643"/>
        <v>18945757.804493185</v>
      </c>
      <c r="AT137" s="244">
        <f t="shared" si="643"/>
        <v>20424634.192695372</v>
      </c>
      <c r="AU137" s="244">
        <f t="shared" si="643"/>
        <v>22557316.433244221</v>
      </c>
      <c r="AV137" s="244">
        <f t="shared" si="643"/>
        <v>24571197.541411377</v>
      </c>
      <c r="AW137" s="244">
        <f t="shared" si="643"/>
        <v>27395322.044268016</v>
      </c>
      <c r="AY137" s="244">
        <f>AY$47*$A137</f>
        <v>81998.729400000113</v>
      </c>
      <c r="AZ137" s="20">
        <f t="shared" ref="AZ137:CE137" si="644">AZ125+AZ131</f>
        <v>90200.029400000116</v>
      </c>
      <c r="BA137" s="20">
        <f t="shared" si="644"/>
        <v>100251.53340000012</v>
      </c>
      <c r="BB137" s="20">
        <f t="shared" si="644"/>
        <v>103562.33340000012</v>
      </c>
      <c r="BC137" s="20">
        <f t="shared" si="644"/>
        <v>110160.33340000012</v>
      </c>
      <c r="BD137" s="20">
        <f t="shared" si="644"/>
        <v>120426.01340000011</v>
      </c>
      <c r="BE137" s="20">
        <f t="shared" si="644"/>
        <v>126829.54680000011</v>
      </c>
      <c r="BF137" s="20">
        <f t="shared" si="644"/>
        <v>135457.81680000012</v>
      </c>
      <c r="BG137" s="20">
        <f t="shared" si="644"/>
        <v>149989.5034000001</v>
      </c>
      <c r="BH137" s="20">
        <f t="shared" si="644"/>
        <v>159938.14340000012</v>
      </c>
      <c r="BI137" s="20">
        <f t="shared" si="644"/>
        <v>177628.40340000013</v>
      </c>
      <c r="BJ137" s="20">
        <f t="shared" si="644"/>
        <v>192830.05260000011</v>
      </c>
      <c r="BK137" s="20">
        <f t="shared" si="644"/>
        <v>199148.71920000011</v>
      </c>
      <c r="BL137" s="20">
        <f t="shared" si="644"/>
        <v>211390.71580000012</v>
      </c>
      <c r="BM137" s="20">
        <f t="shared" si="644"/>
        <v>230542.90320000012</v>
      </c>
      <c r="BN137" s="20">
        <f t="shared" si="644"/>
        <v>240648.27380000011</v>
      </c>
      <c r="BO137" s="20">
        <f t="shared" si="644"/>
        <v>254610.01760000011</v>
      </c>
      <c r="BP137" s="20">
        <f t="shared" si="644"/>
        <v>272493.99040000013</v>
      </c>
      <c r="BQ137" s="20">
        <f t="shared" si="644"/>
        <v>279392.57380000013</v>
      </c>
      <c r="BR137" s="20">
        <f t="shared" si="644"/>
        <v>287292.11380000011</v>
      </c>
      <c r="BS137" s="20">
        <f t="shared" si="644"/>
        <v>307306.40560000011</v>
      </c>
      <c r="BT137" s="20">
        <f t="shared" si="644"/>
        <v>314620.61920000013</v>
      </c>
      <c r="BU137" s="20">
        <f t="shared" si="644"/>
        <v>332529.37500000012</v>
      </c>
      <c r="BV137" s="20">
        <f t="shared" si="644"/>
        <v>351291.78821830009</v>
      </c>
      <c r="BW137" s="20">
        <f t="shared" si="644"/>
        <v>351792.32541830011</v>
      </c>
      <c r="BX137" s="20">
        <f t="shared" si="644"/>
        <v>355134.99586078012</v>
      </c>
      <c r="BY137" s="20">
        <f t="shared" si="644"/>
        <v>365382.10746298014</v>
      </c>
      <c r="BZ137" s="20">
        <f t="shared" si="644"/>
        <v>370436.78127836017</v>
      </c>
      <c r="CA137" s="20">
        <f t="shared" si="644"/>
        <v>380890.79337650019</v>
      </c>
      <c r="CB137" s="20">
        <f t="shared" si="644"/>
        <v>412082.73652374023</v>
      </c>
      <c r="CC137" s="20">
        <f t="shared" si="644"/>
        <v>414690.08926732023</v>
      </c>
      <c r="CD137" s="20">
        <f t="shared" si="644"/>
        <v>427135.31936766021</v>
      </c>
      <c r="CE137" s="20">
        <f t="shared" si="644"/>
        <v>446812.89010392019</v>
      </c>
      <c r="CF137" s="20">
        <f t="shared" ref="CF137:DK137" si="645">CF125+CF131</f>
        <v>457928.01323142019</v>
      </c>
      <c r="CG137" s="20">
        <f t="shared" si="645"/>
        <v>476874.18570688018</v>
      </c>
      <c r="CH137" s="20">
        <f t="shared" si="645"/>
        <v>510162.14435304014</v>
      </c>
      <c r="CI137" s="20">
        <f t="shared" si="645"/>
        <v>525385.70377726539</v>
      </c>
      <c r="CJ137" s="20">
        <f t="shared" si="645"/>
        <v>549072.67780161742</v>
      </c>
      <c r="CK137" s="20">
        <f t="shared" si="645"/>
        <v>592331.48129521555</v>
      </c>
      <c r="CL137" s="20">
        <f t="shared" si="645"/>
        <v>611916.33115816221</v>
      </c>
      <c r="CM137" s="20">
        <f t="shared" si="645"/>
        <v>653214.3598577783</v>
      </c>
      <c r="CN137" s="20">
        <f t="shared" si="645"/>
        <v>719765.22585707088</v>
      </c>
      <c r="CO137" s="20">
        <f t="shared" si="645"/>
        <v>738590.13037685421</v>
      </c>
      <c r="CP137" s="20">
        <f t="shared" si="645"/>
        <v>784547.40300118341</v>
      </c>
      <c r="CQ137" s="20">
        <f t="shared" si="645"/>
        <v>847989.10523308662</v>
      </c>
      <c r="CR137" s="20">
        <f t="shared" si="645"/>
        <v>863245.15824167873</v>
      </c>
      <c r="CS137" s="20">
        <f t="shared" si="645"/>
        <v>931797.55688366969</v>
      </c>
      <c r="CT137" s="20">
        <f t="shared" si="645"/>
        <v>1016497.0679991975</v>
      </c>
      <c r="CU137" s="20">
        <f t="shared" si="645"/>
        <v>1036311.9136903613</v>
      </c>
      <c r="CV137" s="20">
        <f t="shared" si="645"/>
        <v>1085291.8159909132</v>
      </c>
      <c r="CW137" s="20">
        <f t="shared" si="645"/>
        <v>1183535.3144037044</v>
      </c>
      <c r="CX137" s="20">
        <f t="shared" si="645"/>
        <v>1219208.0188354868</v>
      </c>
      <c r="CY137" s="20">
        <f t="shared" si="645"/>
        <v>1299557.9141375518</v>
      </c>
      <c r="CZ137" s="20">
        <f t="shared" si="645"/>
        <v>1411270.7481579084</v>
      </c>
      <c r="DA137" s="20">
        <f t="shared" si="645"/>
        <v>1445085.3662169999</v>
      </c>
      <c r="DB137" s="20">
        <f t="shared" si="645"/>
        <v>1514536.6680921947</v>
      </c>
      <c r="DC137" s="20">
        <f t="shared" si="645"/>
        <v>1637892.1264775735</v>
      </c>
      <c r="DD137" s="20">
        <f t="shared" si="645"/>
        <v>1686743.6262584592</v>
      </c>
      <c r="DE137" s="20">
        <f t="shared" si="645"/>
        <v>1822150.2871150852</v>
      </c>
      <c r="DF137" s="20">
        <f t="shared" si="645"/>
        <v>1981613.0842035213</v>
      </c>
      <c r="DG137" s="20">
        <f t="shared" si="645"/>
        <v>2078403.7789108537</v>
      </c>
      <c r="DH137" s="20">
        <f t="shared" si="645"/>
        <v>2293352.1638469202</v>
      </c>
      <c r="DI137" s="20">
        <f t="shared" si="645"/>
        <v>2714718.8282314879</v>
      </c>
      <c r="DJ137" s="20">
        <f t="shared" si="645"/>
        <v>2889728.0436315779</v>
      </c>
      <c r="DK137" s="20">
        <f t="shared" si="645"/>
        <v>3238432.0197283095</v>
      </c>
      <c r="DL137" s="20">
        <f t="shared" ref="DL137:EQ137" si="646">DL125+DL131</f>
        <v>3722681.4973351983</v>
      </c>
      <c r="DM137" s="20">
        <f t="shared" si="646"/>
        <v>3873148.961661736</v>
      </c>
      <c r="DN137" s="20">
        <f t="shared" si="646"/>
        <v>4160948.4413033016</v>
      </c>
      <c r="DO137" s="20">
        <f t="shared" si="646"/>
        <v>4669616.8399888165</v>
      </c>
      <c r="DP137" s="20">
        <f t="shared" si="646"/>
        <v>4854134.1970787076</v>
      </c>
      <c r="DQ137" s="20">
        <f t="shared" si="646"/>
        <v>5399093.3335584234</v>
      </c>
      <c r="DR137" s="20">
        <f t="shared" si="646"/>
        <v>6037097.0538979219</v>
      </c>
      <c r="DS137" s="20">
        <f t="shared" si="646"/>
        <v>6167900.6559816906</v>
      </c>
      <c r="DT137" s="20">
        <f t="shared" si="646"/>
        <v>6476160.7664464973</v>
      </c>
      <c r="DU137" s="20">
        <f t="shared" si="646"/>
        <v>7082754.6379693877</v>
      </c>
      <c r="DV137" s="20">
        <f t="shared" si="646"/>
        <v>7323845.1677357862</v>
      </c>
      <c r="DW137" s="20">
        <f t="shared" si="646"/>
        <v>7838288.1169483261</v>
      </c>
      <c r="DX137" s="20">
        <f t="shared" si="646"/>
        <v>8541806.1872123722</v>
      </c>
      <c r="DY137" s="20">
        <f t="shared" si="646"/>
        <v>8744766.8030471355</v>
      </c>
      <c r="DZ137" s="20">
        <f t="shared" si="646"/>
        <v>9166017.850598596</v>
      </c>
      <c r="EA137" s="20">
        <f t="shared" si="646"/>
        <v>9914738.0560840406</v>
      </c>
      <c r="EB137" s="20">
        <f t="shared" si="646"/>
        <v>10170751.13804654</v>
      </c>
      <c r="EC137" s="20">
        <f t="shared" si="646"/>
        <v>10951392.14064708</v>
      </c>
      <c r="ED137" s="20">
        <f t="shared" si="646"/>
        <v>11879317.250342695</v>
      </c>
      <c r="EE137" s="20">
        <f t="shared" si="646"/>
        <v>12025127.999226987</v>
      </c>
      <c r="EF137" s="20">
        <f t="shared" si="646"/>
        <v>12395987.492829986</v>
      </c>
      <c r="EG137" s="20">
        <f t="shared" si="646"/>
        <v>13129094.241776457</v>
      </c>
      <c r="EH137" s="20">
        <f t="shared" si="646"/>
        <v>13404864.013145534</v>
      </c>
      <c r="EI137" s="20">
        <f t="shared" si="646"/>
        <v>14044508.875758622</v>
      </c>
      <c r="EJ137" s="20">
        <f t="shared" si="646"/>
        <v>14903956.475173851</v>
      </c>
      <c r="EK137" s="20">
        <f t="shared" si="646"/>
        <v>15129617.456675289</v>
      </c>
      <c r="EL137" s="20">
        <f t="shared" si="646"/>
        <v>15648703.891641697</v>
      </c>
      <c r="EM137" s="20">
        <f t="shared" si="646"/>
        <v>16577231.869143369</v>
      </c>
      <c r="EN137" s="20">
        <f t="shared" si="646"/>
        <v>16872812.102446809</v>
      </c>
      <c r="EO137" s="20">
        <f t="shared" si="646"/>
        <v>17810693.415424261</v>
      </c>
      <c r="EP137" s="20">
        <f t="shared" si="646"/>
        <v>18945757.804493185</v>
      </c>
      <c r="EQ137" s="20">
        <f t="shared" si="646"/>
        <v>19107270.880336162</v>
      </c>
      <c r="ER137" s="20">
        <f t="shared" ref="ER137:FB137" si="647">ER125+ER131</f>
        <v>19548653.557438754</v>
      </c>
      <c r="ES137" s="20">
        <f t="shared" si="647"/>
        <v>20424634.192695372</v>
      </c>
      <c r="ET137" s="20">
        <f t="shared" si="647"/>
        <v>20737984.528314896</v>
      </c>
      <c r="EU137" s="20">
        <f t="shared" si="647"/>
        <v>21520840.197610687</v>
      </c>
      <c r="EV137" s="20">
        <f t="shared" si="647"/>
        <v>22557316.433244221</v>
      </c>
      <c r="EW137" s="20">
        <f t="shared" si="647"/>
        <v>22806621.341571506</v>
      </c>
      <c r="EX137" s="20">
        <f t="shared" si="647"/>
        <v>23437208.146442801</v>
      </c>
      <c r="EY137" s="20">
        <f t="shared" si="647"/>
        <v>24571197.541411377</v>
      </c>
      <c r="EZ137" s="20">
        <f t="shared" si="647"/>
        <v>24910058.566156849</v>
      </c>
      <c r="FA137" s="20">
        <f t="shared" si="647"/>
        <v>26024949.452228021</v>
      </c>
      <c r="FB137" s="20">
        <f t="shared" si="647"/>
        <v>27395322.044268019</v>
      </c>
    </row>
    <row r="138" spans="1:158" x14ac:dyDescent="0.25">
      <c r="A138" s="334">
        <v>0.01</v>
      </c>
      <c r="C138" s="2" t="s">
        <v>299</v>
      </c>
      <c r="D138" s="244">
        <f t="shared" si="624"/>
        <v>35724.160600000061</v>
      </c>
      <c r="E138" s="244">
        <f t="shared" si="625"/>
        <v>22136.358500000064</v>
      </c>
      <c r="F138" s="244">
        <f t="shared" si="626"/>
        <v>101571.53656737007</v>
      </c>
      <c r="G138" s="244">
        <f t="shared" si="627"/>
        <v>469895.27691541531</v>
      </c>
      <c r="H138" s="244">
        <f t="shared" si="628"/>
        <v>1383537.7358292898</v>
      </c>
      <c r="I138" s="244">
        <f t="shared" si="629"/>
        <v>2997267.350841051</v>
      </c>
      <c r="J138" s="244">
        <f t="shared" si="630"/>
        <v>4995366.2785213152</v>
      </c>
      <c r="K138" s="244">
        <f t="shared" si="631"/>
        <v>7452215.8331954135</v>
      </c>
      <c r="L138" s="244">
        <f t="shared" si="632"/>
        <v>27538113.943636745</v>
      </c>
      <c r="M138" s="244"/>
      <c r="N138" s="244">
        <f t="shared" ref="N138:AW138" si="648">SUM(N126,N132)</f>
        <v>39795.270700000059</v>
      </c>
      <c r="O138" s="244">
        <f t="shared" si="648"/>
        <v>39024.270700000059</v>
      </c>
      <c r="P138" s="244">
        <f t="shared" si="648"/>
        <v>38203.660700000059</v>
      </c>
      <c r="Q138" s="244">
        <f t="shared" si="648"/>
        <v>35724.160600000061</v>
      </c>
      <c r="R138" s="244">
        <f t="shared" si="648"/>
        <v>32999.655600000064</v>
      </c>
      <c r="S138" s="244">
        <f t="shared" si="648"/>
        <v>30116.735600000065</v>
      </c>
      <c r="T138" s="244">
        <f t="shared" si="648"/>
        <v>27301.105600000061</v>
      </c>
      <c r="U138" s="244">
        <f t="shared" si="648"/>
        <v>22136.35850000006</v>
      </c>
      <c r="V138" s="244">
        <f t="shared" si="648"/>
        <v>29181.518122340065</v>
      </c>
      <c r="W138" s="244">
        <f t="shared" si="648"/>
        <v>52531.83265272007</v>
      </c>
      <c r="X138" s="244">
        <f t="shared" si="648"/>
        <v>69896.909442810051</v>
      </c>
      <c r="Y138" s="244">
        <f t="shared" si="648"/>
        <v>101571.53656737006</v>
      </c>
      <c r="Z138" s="244">
        <f t="shared" si="648"/>
        <v>164021.99011344535</v>
      </c>
      <c r="AA138" s="244">
        <f t="shared" si="648"/>
        <v>255530.67310050977</v>
      </c>
      <c r="AB138" s="244">
        <f t="shared" si="648"/>
        <v>348013.30464403186</v>
      </c>
      <c r="AC138" s="244">
        <f t="shared" si="648"/>
        <v>469895.27691541531</v>
      </c>
      <c r="AD138" s="244">
        <f t="shared" si="648"/>
        <v>629847.15268252126</v>
      </c>
      <c r="AE138" s="244">
        <f t="shared" si="648"/>
        <v>845201.95007216302</v>
      </c>
      <c r="AF138" s="244">
        <f t="shared" si="648"/>
        <v>1058487.7105040371</v>
      </c>
      <c r="AG138" s="244">
        <f t="shared" si="648"/>
        <v>1383537.7358292895</v>
      </c>
      <c r="AH138" s="244">
        <f t="shared" si="648"/>
        <v>1673295.3326667843</v>
      </c>
      <c r="AI138" s="244">
        <f t="shared" si="648"/>
        <v>2075689.4896656945</v>
      </c>
      <c r="AJ138" s="244">
        <f t="shared" si="648"/>
        <v>2454136.2625731826</v>
      </c>
      <c r="AK138" s="244">
        <f t="shared" si="648"/>
        <v>2997267.350841051</v>
      </c>
      <c r="AL138" s="244">
        <f t="shared" si="648"/>
        <v>3351832.6202422176</v>
      </c>
      <c r="AM138" s="244">
        <f t="shared" si="648"/>
        <v>3852898.4195547048</v>
      </c>
      <c r="AN138" s="244">
        <f t="shared" si="648"/>
        <v>4325036.7415334573</v>
      </c>
      <c r="AO138" s="244">
        <f t="shared" si="648"/>
        <v>4995366.2785213152</v>
      </c>
      <c r="AP138" s="244">
        <f t="shared" si="648"/>
        <v>5427049.4637655281</v>
      </c>
      <c r="AQ138" s="244">
        <f t="shared" si="648"/>
        <v>6046036.5279007526</v>
      </c>
      <c r="AR138" s="244">
        <f t="shared" si="648"/>
        <v>6630192.0315128965</v>
      </c>
      <c r="AS138" s="244">
        <f t="shared" si="648"/>
        <v>7452215.8331954135</v>
      </c>
      <c r="AT138" s="244">
        <f t="shared" si="648"/>
        <v>11090935.188118841</v>
      </c>
      <c r="AU138" s="244">
        <f t="shared" si="648"/>
        <v>16077900.73703485</v>
      </c>
      <c r="AV138" s="244">
        <f t="shared" si="648"/>
        <v>20761268.156313725</v>
      </c>
      <c r="AW138" s="244">
        <f t="shared" si="648"/>
        <v>27538113.943636745</v>
      </c>
      <c r="AY138" s="244">
        <f>AY$47*$A138</f>
        <v>40999.364700000056</v>
      </c>
      <c r="AZ138" s="20">
        <f t="shared" ref="AZ138:CE138" si="649">AZ126+AZ132</f>
        <v>40464.264700000058</v>
      </c>
      <c r="BA138" s="20">
        <f t="shared" si="649"/>
        <v>39795.270700000059</v>
      </c>
      <c r="BB138" s="20">
        <f t="shared" si="649"/>
        <v>39455.270700000059</v>
      </c>
      <c r="BC138" s="20">
        <f t="shared" si="649"/>
        <v>39264.270700000059</v>
      </c>
      <c r="BD138" s="20">
        <f t="shared" si="649"/>
        <v>39024.270700000059</v>
      </c>
      <c r="BE138" s="20">
        <f t="shared" si="649"/>
        <v>39024.270700000059</v>
      </c>
      <c r="BF138" s="20">
        <f t="shared" si="649"/>
        <v>38485.510700000057</v>
      </c>
      <c r="BG138" s="20">
        <f t="shared" si="649"/>
        <v>38203.660700000059</v>
      </c>
      <c r="BH138" s="20">
        <f t="shared" si="649"/>
        <v>38203.660700000059</v>
      </c>
      <c r="BI138" s="20">
        <f t="shared" si="649"/>
        <v>37526.660700000059</v>
      </c>
      <c r="BJ138" s="20">
        <f t="shared" si="649"/>
        <v>35724.160600000061</v>
      </c>
      <c r="BK138" s="20">
        <f t="shared" si="649"/>
        <v>35440.160600000061</v>
      </c>
      <c r="BL138" s="20">
        <f t="shared" si="649"/>
        <v>34662.155600000064</v>
      </c>
      <c r="BM138" s="20">
        <f t="shared" si="649"/>
        <v>32999.655600000064</v>
      </c>
      <c r="BN138" s="20">
        <f t="shared" si="649"/>
        <v>32017.945600000065</v>
      </c>
      <c r="BO138" s="20">
        <f t="shared" si="649"/>
        <v>31233.615600000063</v>
      </c>
      <c r="BP138" s="20">
        <f t="shared" si="649"/>
        <v>30116.735600000062</v>
      </c>
      <c r="BQ138" s="20">
        <f t="shared" si="649"/>
        <v>29067.675600000061</v>
      </c>
      <c r="BR138" s="20">
        <f t="shared" si="649"/>
        <v>28666.775600000059</v>
      </c>
      <c r="BS138" s="20">
        <f t="shared" si="649"/>
        <v>27301.105600000061</v>
      </c>
      <c r="BT138" s="20">
        <f t="shared" si="649"/>
        <v>26659.665600000062</v>
      </c>
      <c r="BU138" s="20">
        <f t="shared" si="649"/>
        <v>25424.928500000064</v>
      </c>
      <c r="BV138" s="20">
        <f t="shared" si="649"/>
        <v>22136.358500000064</v>
      </c>
      <c r="BW138" s="20">
        <f t="shared" si="649"/>
        <v>22386.627100000063</v>
      </c>
      <c r="BX138" s="20">
        <f t="shared" si="649"/>
        <v>24057.962321240062</v>
      </c>
      <c r="BY138" s="20">
        <f t="shared" si="649"/>
        <v>29181.518122340065</v>
      </c>
      <c r="BZ138" s="20">
        <f t="shared" si="649"/>
        <v>31708.855030030063</v>
      </c>
      <c r="CA138" s="20">
        <f t="shared" si="649"/>
        <v>36935.861079100061</v>
      </c>
      <c r="CB138" s="20">
        <f t="shared" si="649"/>
        <v>52531.832652720062</v>
      </c>
      <c r="CC138" s="20">
        <f t="shared" si="649"/>
        <v>53835.509024510066</v>
      </c>
      <c r="CD138" s="20">
        <f t="shared" si="649"/>
        <v>60058.124074680069</v>
      </c>
      <c r="CE138" s="20">
        <f t="shared" si="649"/>
        <v>69896.909442810065</v>
      </c>
      <c r="CF138" s="20">
        <f t="shared" ref="CF138:DK138" si="650">CF126+CF132</f>
        <v>75454.471006560067</v>
      </c>
      <c r="CG138" s="20">
        <f t="shared" si="650"/>
        <v>84927.557244290074</v>
      </c>
      <c r="CH138" s="20">
        <f t="shared" si="650"/>
        <v>101571.53656737007</v>
      </c>
      <c r="CI138" s="20">
        <f t="shared" si="650"/>
        <v>113753.84004082855</v>
      </c>
      <c r="CJ138" s="20">
        <f t="shared" si="650"/>
        <v>131097.66212905245</v>
      </c>
      <c r="CK138" s="20">
        <f t="shared" si="650"/>
        <v>164021.99011344532</v>
      </c>
      <c r="CL138" s="20">
        <f t="shared" si="650"/>
        <v>179441.54593778809</v>
      </c>
      <c r="CM138" s="20">
        <f t="shared" si="650"/>
        <v>208823.70881367562</v>
      </c>
      <c r="CN138" s="20">
        <f t="shared" si="650"/>
        <v>255530.67310050974</v>
      </c>
      <c r="CO138" s="20">
        <f t="shared" si="650"/>
        <v>269321.70156333561</v>
      </c>
      <c r="CP138" s="20">
        <f t="shared" si="650"/>
        <v>301905.43085544242</v>
      </c>
      <c r="CQ138" s="20">
        <f t="shared" si="650"/>
        <v>348013.30464403186</v>
      </c>
      <c r="CR138" s="20">
        <f t="shared" si="650"/>
        <v>359883.99394558987</v>
      </c>
      <c r="CS138" s="20">
        <f t="shared" si="650"/>
        <v>408865.58733511373</v>
      </c>
      <c r="CT138" s="20">
        <f t="shared" si="650"/>
        <v>469895.27691541531</v>
      </c>
      <c r="CU138" s="20">
        <f t="shared" si="650"/>
        <v>489991.84709929855</v>
      </c>
      <c r="CV138" s="20">
        <f t="shared" si="650"/>
        <v>536670.45801071741</v>
      </c>
      <c r="CW138" s="20">
        <f t="shared" si="650"/>
        <v>629847.15268252126</v>
      </c>
      <c r="CX138" s="20">
        <f t="shared" si="650"/>
        <v>665434.58398638479</v>
      </c>
      <c r="CY138" s="20">
        <f t="shared" si="650"/>
        <v>740034.14547866443</v>
      </c>
      <c r="CZ138" s="20">
        <f t="shared" si="650"/>
        <v>845201.95007216302</v>
      </c>
      <c r="DA138" s="20">
        <f t="shared" si="650"/>
        <v>879170.98732190707</v>
      </c>
      <c r="DB138" s="20">
        <f t="shared" si="650"/>
        <v>943973.90773025772</v>
      </c>
      <c r="DC138" s="20">
        <f t="shared" si="650"/>
        <v>1058487.7105040371</v>
      </c>
      <c r="DD138" s="20">
        <f t="shared" si="650"/>
        <v>1105756.719500429</v>
      </c>
      <c r="DE138" s="20">
        <f t="shared" si="650"/>
        <v>1234200.4398482025</v>
      </c>
      <c r="DF138" s="20">
        <f t="shared" si="650"/>
        <v>1383537.7358292898</v>
      </c>
      <c r="DG138" s="20">
        <f t="shared" si="650"/>
        <v>1420435.3059275839</v>
      </c>
      <c r="DH138" s="20">
        <f t="shared" si="650"/>
        <v>1505705.9141147248</v>
      </c>
      <c r="DI138" s="20">
        <f t="shared" si="650"/>
        <v>1673295.3326667843</v>
      </c>
      <c r="DJ138" s="20">
        <f t="shared" si="650"/>
        <v>1740868.8800695818</v>
      </c>
      <c r="DK138" s="20">
        <f t="shared" si="650"/>
        <v>1881891.1186707378</v>
      </c>
      <c r="DL138" s="20">
        <f t="shared" ref="DL138:EQ138" si="651">DL126+DL132</f>
        <v>2075689.4896656945</v>
      </c>
      <c r="DM138" s="20">
        <f t="shared" si="651"/>
        <v>2132977.5912369317</v>
      </c>
      <c r="DN138" s="20">
        <f t="shared" si="651"/>
        <v>2248743.3688186724</v>
      </c>
      <c r="DO138" s="20">
        <f t="shared" si="651"/>
        <v>2454136.2625731826</v>
      </c>
      <c r="DP138" s="20">
        <f t="shared" si="651"/>
        <v>2525722.7676810604</v>
      </c>
      <c r="DQ138" s="20">
        <f t="shared" si="651"/>
        <v>2741742.5243601799</v>
      </c>
      <c r="DR138" s="20">
        <f t="shared" si="651"/>
        <v>2997267.350841051</v>
      </c>
      <c r="DS138" s="20">
        <f t="shared" si="651"/>
        <v>3039472.3659818526</v>
      </c>
      <c r="DT138" s="20">
        <f t="shared" si="651"/>
        <v>3144493.1887627826</v>
      </c>
      <c r="DU138" s="20">
        <f t="shared" si="651"/>
        <v>3351832.6202422171</v>
      </c>
      <c r="DV138" s="20">
        <f t="shared" si="651"/>
        <v>3431055.1987430691</v>
      </c>
      <c r="DW138" s="20">
        <f t="shared" si="651"/>
        <v>3610551.4196209456</v>
      </c>
      <c r="DX138" s="20">
        <f t="shared" si="651"/>
        <v>3852898.4195547048</v>
      </c>
      <c r="DY138" s="20">
        <f t="shared" si="651"/>
        <v>3918266.10684356</v>
      </c>
      <c r="DZ138" s="20">
        <f t="shared" si="651"/>
        <v>4064290.0310368226</v>
      </c>
      <c r="EA138" s="20">
        <f t="shared" si="651"/>
        <v>4325036.7415334564</v>
      </c>
      <c r="EB138" s="20">
        <f t="shared" si="651"/>
        <v>4409722.3669715784</v>
      </c>
      <c r="EC138" s="20">
        <f t="shared" si="651"/>
        <v>4675415.4961433923</v>
      </c>
      <c r="ED138" s="20">
        <f t="shared" si="651"/>
        <v>4995366.2785213152</v>
      </c>
      <c r="EE138" s="20">
        <f t="shared" si="651"/>
        <v>5043714.7281920733</v>
      </c>
      <c r="EF138" s="20">
        <f t="shared" si="651"/>
        <v>5172276.9863206111</v>
      </c>
      <c r="EG138" s="20">
        <f t="shared" si="651"/>
        <v>5427049.463765529</v>
      </c>
      <c r="EH138" s="20">
        <f t="shared" si="651"/>
        <v>5519931.2841560319</v>
      </c>
      <c r="EI138" s="20">
        <f t="shared" si="651"/>
        <v>5745614.8975147614</v>
      </c>
      <c r="EJ138" s="20">
        <f t="shared" si="651"/>
        <v>6046036.5279007526</v>
      </c>
      <c r="EK138" s="20">
        <f t="shared" si="651"/>
        <v>6120741.813705517</v>
      </c>
      <c r="EL138" s="20">
        <f t="shared" si="651"/>
        <v>6303026.6395635447</v>
      </c>
      <c r="EM138" s="20">
        <f t="shared" si="651"/>
        <v>6630192.0315128965</v>
      </c>
      <c r="EN138" s="20">
        <f t="shared" si="651"/>
        <v>6730294.7329027951</v>
      </c>
      <c r="EO138" s="20">
        <f t="shared" si="651"/>
        <v>7055176.0971425446</v>
      </c>
      <c r="EP138" s="20">
        <f t="shared" si="651"/>
        <v>7452215.8331954135</v>
      </c>
      <c r="EQ138" s="20">
        <f t="shared" si="651"/>
        <v>7938059.4438255709</v>
      </c>
      <c r="ER138" s="20">
        <f t="shared" ref="ER138:FB138" si="652">ER126+ER132</f>
        <v>9003689.991601713</v>
      </c>
      <c r="ES138" s="20">
        <f t="shared" si="652"/>
        <v>11090935.188118841</v>
      </c>
      <c r="ET138" s="20">
        <f t="shared" si="652"/>
        <v>11965968.667561105</v>
      </c>
      <c r="EU138" s="20">
        <f t="shared" si="652"/>
        <v>13683955.224781193</v>
      </c>
      <c r="EV138" s="20">
        <f t="shared" si="652"/>
        <v>16077900.737034852</v>
      </c>
      <c r="EW138" s="20">
        <f t="shared" si="652"/>
        <v>16833462.484271478</v>
      </c>
      <c r="EX138" s="20">
        <f t="shared" si="652"/>
        <v>18253886.290582132</v>
      </c>
      <c r="EY138" s="20">
        <f t="shared" si="652"/>
        <v>20761268.156313725</v>
      </c>
      <c r="EZ138" s="20">
        <f t="shared" si="652"/>
        <v>21682475.94707153</v>
      </c>
      <c r="FA138" s="20">
        <f t="shared" si="652"/>
        <v>24384838.998911232</v>
      </c>
      <c r="FB138" s="20">
        <f t="shared" si="652"/>
        <v>27538113.943636745</v>
      </c>
    </row>
    <row r="139" spans="1:158" x14ac:dyDescent="0.25">
      <c r="A139" s="334">
        <v>0.02</v>
      </c>
      <c r="C139" s="2" t="s">
        <v>300</v>
      </c>
      <c r="D139" s="244">
        <f t="shared" si="624"/>
        <v>71448.321200000122</v>
      </c>
      <c r="E139" s="244">
        <f t="shared" si="625"/>
        <v>44272.717000000128</v>
      </c>
      <c r="F139" s="244">
        <f t="shared" si="626"/>
        <v>-13888.28671795988</v>
      </c>
      <c r="G139" s="244">
        <f t="shared" si="627"/>
        <v>-12096.935956870248</v>
      </c>
      <c r="H139" s="244">
        <f t="shared" si="628"/>
        <v>-10541.460266922208</v>
      </c>
      <c r="I139" s="244">
        <f t="shared" si="629"/>
        <v>-9060.6283301229523</v>
      </c>
      <c r="J139" s="244">
        <f t="shared" si="630"/>
        <v>-7789.0832775116278</v>
      </c>
      <c r="K139" s="244">
        <f t="shared" si="631"/>
        <v>-6696.7126673644143</v>
      </c>
      <c r="L139" s="244">
        <f t="shared" si="632"/>
        <v>3850076.2449921975</v>
      </c>
      <c r="M139" s="244"/>
      <c r="N139" s="244">
        <f t="shared" ref="N139:AW139" si="653">SUM(N127,N133)</f>
        <v>79590.541400000118</v>
      </c>
      <c r="O139" s="244">
        <f t="shared" si="653"/>
        <v>78048.541400000118</v>
      </c>
      <c r="P139" s="244">
        <f t="shared" si="653"/>
        <v>76407.321400000117</v>
      </c>
      <c r="Q139" s="244">
        <f t="shared" si="653"/>
        <v>71448.321200000122</v>
      </c>
      <c r="R139" s="244">
        <f t="shared" si="653"/>
        <v>65999.311200000127</v>
      </c>
      <c r="S139" s="244">
        <f t="shared" si="653"/>
        <v>60233.471200000131</v>
      </c>
      <c r="T139" s="244">
        <f t="shared" si="653"/>
        <v>54602.211200000122</v>
      </c>
      <c r="U139" s="244">
        <f t="shared" si="653"/>
        <v>44272.717000000121</v>
      </c>
      <c r="V139" s="244">
        <f t="shared" si="653"/>
        <v>28557.94100000013</v>
      </c>
      <c r="W139" s="244">
        <f t="shared" si="653"/>
        <v>16060.281153840122</v>
      </c>
      <c r="X139" s="244">
        <f t="shared" si="653"/>
        <v>2927.2348820401203</v>
      </c>
      <c r="Y139" s="244">
        <f t="shared" si="653"/>
        <v>-13888.28671795988</v>
      </c>
      <c r="Z139" s="244">
        <f t="shared" si="653"/>
        <v>-13441.665045327863</v>
      </c>
      <c r="AA139" s="244">
        <f t="shared" si="653"/>
        <v>-13060.139021441295</v>
      </c>
      <c r="AB139" s="244">
        <f t="shared" si="653"/>
        <v>-12652.576188301369</v>
      </c>
      <c r="AC139" s="244">
        <f t="shared" si="653"/>
        <v>-12096.935956870248</v>
      </c>
      <c r="AD139" s="244">
        <f t="shared" si="653"/>
        <v>-11776.883040928773</v>
      </c>
      <c r="AE139" s="244">
        <f t="shared" si="653"/>
        <v>-11416.385922820375</v>
      </c>
      <c r="AF139" s="244">
        <f t="shared" si="653"/>
        <v>-11085.981104507344</v>
      </c>
      <c r="AG139" s="244">
        <f t="shared" si="653"/>
        <v>-10541.460266922208</v>
      </c>
      <c r="AH139" s="244">
        <f t="shared" si="653"/>
        <v>-10236.765965073173</v>
      </c>
      <c r="AI139" s="244">
        <f t="shared" si="653"/>
        <v>-9893.5682866595416</v>
      </c>
      <c r="AJ139" s="244">
        <f t="shared" si="653"/>
        <v>-9579.0188467729968</v>
      </c>
      <c r="AK139" s="244">
        <f t="shared" si="653"/>
        <v>-9060.6283301229523</v>
      </c>
      <c r="AL139" s="244">
        <f t="shared" si="653"/>
        <v>-8798.9966604870206</v>
      </c>
      <c r="AM139" s="244">
        <f t="shared" si="653"/>
        <v>-8504.3033200679947</v>
      </c>
      <c r="AN139" s="244">
        <f t="shared" si="653"/>
        <v>-8234.2093450866741</v>
      </c>
      <c r="AO139" s="244">
        <f t="shared" si="653"/>
        <v>-7789.0832775116269</v>
      </c>
      <c r="AP139" s="244">
        <f t="shared" si="653"/>
        <v>-7564.3183381906783</v>
      </c>
      <c r="AQ139" s="244">
        <f t="shared" si="653"/>
        <v>-7311.1504748745119</v>
      </c>
      <c r="AR139" s="244">
        <f t="shared" si="653"/>
        <v>-7079.1156605031993</v>
      </c>
      <c r="AS139" s="244">
        <f t="shared" si="653"/>
        <v>-6696.7126673644134</v>
      </c>
      <c r="AT139" s="244">
        <f t="shared" si="653"/>
        <v>696700.86488309852</v>
      </c>
      <c r="AU139" s="244">
        <f t="shared" si="653"/>
        <v>1651102.9100978267</v>
      </c>
      <c r="AV139" s="244">
        <f t="shared" si="653"/>
        <v>2546399.359212541</v>
      </c>
      <c r="AW139" s="244">
        <f t="shared" si="653"/>
        <v>3850076.244992198</v>
      </c>
      <c r="AY139" s="244">
        <f>AY$47*$A139</f>
        <v>81998.729400000113</v>
      </c>
      <c r="AZ139" s="20">
        <f t="shared" ref="AZ139:CE139" si="654">AZ127+AZ133</f>
        <v>80928.529400000116</v>
      </c>
      <c r="BA139" s="20">
        <f t="shared" si="654"/>
        <v>79590.541400000118</v>
      </c>
      <c r="BB139" s="20">
        <f t="shared" si="654"/>
        <v>78910.541400000118</v>
      </c>
      <c r="BC139" s="20">
        <f t="shared" si="654"/>
        <v>78528.541400000118</v>
      </c>
      <c r="BD139" s="20">
        <f t="shared" si="654"/>
        <v>78048.541400000118</v>
      </c>
      <c r="BE139" s="20">
        <f t="shared" si="654"/>
        <v>78048.541400000118</v>
      </c>
      <c r="BF139" s="20">
        <f t="shared" si="654"/>
        <v>76971.021400000114</v>
      </c>
      <c r="BG139" s="20">
        <f t="shared" si="654"/>
        <v>76407.321400000117</v>
      </c>
      <c r="BH139" s="20">
        <f t="shared" si="654"/>
        <v>76407.321400000117</v>
      </c>
      <c r="BI139" s="20">
        <f t="shared" si="654"/>
        <v>75053.321400000117</v>
      </c>
      <c r="BJ139" s="20">
        <f t="shared" si="654"/>
        <v>71448.321200000122</v>
      </c>
      <c r="BK139" s="20">
        <f t="shared" si="654"/>
        <v>70880.321200000122</v>
      </c>
      <c r="BL139" s="20">
        <f t="shared" si="654"/>
        <v>69324.311200000127</v>
      </c>
      <c r="BM139" s="20">
        <f t="shared" si="654"/>
        <v>65999.311200000127</v>
      </c>
      <c r="BN139" s="20">
        <f t="shared" si="654"/>
        <v>64035.891200000129</v>
      </c>
      <c r="BO139" s="20">
        <f t="shared" si="654"/>
        <v>62467.231200000126</v>
      </c>
      <c r="BP139" s="20">
        <f t="shared" si="654"/>
        <v>60233.471200000124</v>
      </c>
      <c r="BQ139" s="20">
        <f t="shared" si="654"/>
        <v>58135.351200000121</v>
      </c>
      <c r="BR139" s="20">
        <f t="shared" si="654"/>
        <v>57333.551200000118</v>
      </c>
      <c r="BS139" s="20">
        <f t="shared" si="654"/>
        <v>54602.211200000122</v>
      </c>
      <c r="BT139" s="20">
        <f t="shared" si="654"/>
        <v>53319.331200000124</v>
      </c>
      <c r="BU139" s="20">
        <f t="shared" si="654"/>
        <v>50849.857000000127</v>
      </c>
      <c r="BV139" s="20">
        <f t="shared" si="654"/>
        <v>44272.717000000128</v>
      </c>
      <c r="BW139" s="20">
        <f t="shared" si="654"/>
        <v>38988.917000000125</v>
      </c>
      <c r="BX139" s="20">
        <f t="shared" si="654"/>
        <v>33816.077000000121</v>
      </c>
      <c r="BY139" s="20">
        <f t="shared" si="654"/>
        <v>28557.941000000123</v>
      </c>
      <c r="BZ139" s="20">
        <f t="shared" si="654"/>
        <v>23837.952246160123</v>
      </c>
      <c r="CA139" s="20">
        <f t="shared" si="654"/>
        <v>19704.281153840122</v>
      </c>
      <c r="CB139" s="20">
        <f t="shared" si="654"/>
        <v>16060.281153840122</v>
      </c>
      <c r="CC139" s="20">
        <f t="shared" si="654"/>
        <v>11622.842553840121</v>
      </c>
      <c r="CD139" s="20">
        <f t="shared" si="654"/>
        <v>8129.0505538401203</v>
      </c>
      <c r="CE139" s="20">
        <f t="shared" si="654"/>
        <v>2927.2348820401203</v>
      </c>
      <c r="CF139" s="20">
        <f t="shared" ref="CF139:DK139" si="655">CF127+CF133</f>
        <v>-1087.6369179598801</v>
      </c>
      <c r="CG139" s="20">
        <f t="shared" si="655"/>
        <v>-7909.6235179598807</v>
      </c>
      <c r="CH139" s="20">
        <f t="shared" si="655"/>
        <v>-13888.28671795988</v>
      </c>
      <c r="CI139" s="20">
        <f t="shared" si="655"/>
        <v>-13769.904229913322</v>
      </c>
      <c r="CJ139" s="20">
        <f t="shared" si="655"/>
        <v>-13679.512847187039</v>
      </c>
      <c r="CK139" s="20">
        <f t="shared" si="655"/>
        <v>-13441.665045327863</v>
      </c>
      <c r="CL139" s="20">
        <f t="shared" si="655"/>
        <v>-13304.08499366672</v>
      </c>
      <c r="CM139" s="20">
        <f t="shared" si="655"/>
        <v>-13196.3642870155</v>
      </c>
      <c r="CN139" s="20">
        <f t="shared" si="655"/>
        <v>-13060.139021441295</v>
      </c>
      <c r="CO139" s="20">
        <f t="shared" si="655"/>
        <v>-12987.879057691434</v>
      </c>
      <c r="CP139" s="20">
        <f t="shared" si="655"/>
        <v>-12874.603666564723</v>
      </c>
      <c r="CQ139" s="20">
        <f t="shared" si="655"/>
        <v>-12652.576188301369</v>
      </c>
      <c r="CR139" s="20">
        <f t="shared" si="655"/>
        <v>-12553.598023217422</v>
      </c>
      <c r="CS139" s="20">
        <f t="shared" si="655"/>
        <v>-12362.627292090347</v>
      </c>
      <c r="CT139" s="20">
        <f t="shared" si="655"/>
        <v>-12096.935956870248</v>
      </c>
      <c r="CU139" s="20">
        <f t="shared" si="655"/>
        <v>-12027.66192273088</v>
      </c>
      <c r="CV139" s="20">
        <f t="shared" si="655"/>
        <v>-11940.045560260378</v>
      </c>
      <c r="CW139" s="20">
        <f t="shared" si="655"/>
        <v>-11776.883040928775</v>
      </c>
      <c r="CX139" s="20">
        <f t="shared" si="655"/>
        <v>-11668.695675724701</v>
      </c>
      <c r="CY139" s="20">
        <f t="shared" si="655"/>
        <v>-11580.06079640114</v>
      </c>
      <c r="CZ139" s="20">
        <f t="shared" si="655"/>
        <v>-11416.385922820375</v>
      </c>
      <c r="DA139" s="20">
        <f t="shared" si="655"/>
        <v>-11307.271371645171</v>
      </c>
      <c r="DB139" s="20">
        <f t="shared" si="655"/>
        <v>-11221.677130435468</v>
      </c>
      <c r="DC139" s="20">
        <f t="shared" si="655"/>
        <v>-11085.981104507344</v>
      </c>
      <c r="DD139" s="20">
        <f t="shared" si="655"/>
        <v>-10978.711685991744</v>
      </c>
      <c r="DE139" s="20">
        <f t="shared" si="655"/>
        <v>-10753.256460253244</v>
      </c>
      <c r="DF139" s="20">
        <f t="shared" si="655"/>
        <v>-10541.460266922208</v>
      </c>
      <c r="DG139" s="20">
        <f t="shared" si="655"/>
        <v>-10475.510536683785</v>
      </c>
      <c r="DH139" s="20">
        <f t="shared" si="655"/>
        <v>-10392.098684881181</v>
      </c>
      <c r="DI139" s="20">
        <f t="shared" si="655"/>
        <v>-10236.765965073175</v>
      </c>
      <c r="DJ139" s="20">
        <f t="shared" si="655"/>
        <v>-10133.770266337626</v>
      </c>
      <c r="DK139" s="20">
        <f t="shared" si="655"/>
        <v>-10049.388773997453</v>
      </c>
      <c r="DL139" s="20">
        <f t="shared" ref="DL139:EQ139" si="656">DL127+DL133</f>
        <v>-9893.5682866595416</v>
      </c>
      <c r="DM139" s="20">
        <f t="shared" si="656"/>
        <v>-9789.6898955063134</v>
      </c>
      <c r="DN139" s="20">
        <f t="shared" si="656"/>
        <v>-9708.2031279479834</v>
      </c>
      <c r="DO139" s="20">
        <f t="shared" si="656"/>
        <v>-9579.0188467729968</v>
      </c>
      <c r="DP139" s="20">
        <f t="shared" si="656"/>
        <v>-9476.8970445447067</v>
      </c>
      <c r="DQ139" s="20">
        <f t="shared" si="656"/>
        <v>-9262.2609041348187</v>
      </c>
      <c r="DR139" s="20">
        <f t="shared" si="656"/>
        <v>-9060.6283301229523</v>
      </c>
      <c r="DS139" s="20">
        <f t="shared" si="656"/>
        <v>-9003.9993156333185</v>
      </c>
      <c r="DT139" s="20">
        <f t="shared" si="656"/>
        <v>-8932.3761119104183</v>
      </c>
      <c r="DU139" s="20">
        <f t="shared" si="656"/>
        <v>-8798.9966604870206</v>
      </c>
      <c r="DV139" s="20">
        <f t="shared" si="656"/>
        <v>-8710.55740690737</v>
      </c>
      <c r="DW139" s="20">
        <f t="shared" si="656"/>
        <v>-8638.1016025376848</v>
      </c>
      <c r="DX139" s="20">
        <f t="shared" si="656"/>
        <v>-8504.3033200679947</v>
      </c>
      <c r="DY139" s="20">
        <f t="shared" si="656"/>
        <v>-8415.1061255304376</v>
      </c>
      <c r="DZ139" s="20">
        <f t="shared" si="656"/>
        <v>-8345.1359327170394</v>
      </c>
      <c r="EA139" s="20">
        <f t="shared" si="656"/>
        <v>-8234.2093450866741</v>
      </c>
      <c r="EB139" s="20">
        <f t="shared" si="656"/>
        <v>-8146.5204796859161</v>
      </c>
      <c r="EC139" s="20">
        <f t="shared" si="656"/>
        <v>-7962.2189963996461</v>
      </c>
      <c r="ED139" s="20">
        <f t="shared" si="656"/>
        <v>-7789.0832775116278</v>
      </c>
      <c r="EE139" s="20">
        <f t="shared" si="656"/>
        <v>-7740.4339032853368</v>
      </c>
      <c r="EF139" s="20">
        <f t="shared" si="656"/>
        <v>-7678.9031831658986</v>
      </c>
      <c r="EG139" s="20">
        <f t="shared" si="656"/>
        <v>-7564.3183381906783</v>
      </c>
      <c r="EH139" s="20">
        <f t="shared" si="656"/>
        <v>-7488.3411314095538</v>
      </c>
      <c r="EI139" s="20">
        <f t="shared" si="656"/>
        <v>-7426.0951330743201</v>
      </c>
      <c r="EJ139" s="20">
        <f t="shared" si="656"/>
        <v>-7311.1504748745128</v>
      </c>
      <c r="EK139" s="20">
        <f t="shared" si="656"/>
        <v>-7234.5221292092847</v>
      </c>
      <c r="EL139" s="20">
        <f t="shared" si="656"/>
        <v>-7174.4114928942581</v>
      </c>
      <c r="EM139" s="20">
        <f t="shared" si="656"/>
        <v>-7079.1156605031983</v>
      </c>
      <c r="EN139" s="20">
        <f t="shared" si="656"/>
        <v>-7003.7831040953661</v>
      </c>
      <c r="EO139" s="20">
        <f t="shared" si="656"/>
        <v>-6845.4516919798416</v>
      </c>
      <c r="EP139" s="20">
        <f t="shared" si="656"/>
        <v>-6696.7126673644143</v>
      </c>
      <c r="EQ139" s="20">
        <f t="shared" si="656"/>
        <v>90489.844051405657</v>
      </c>
      <c r="ER139" s="20">
        <f t="shared" ref="ER139:FB139" si="657">ER127+ER133</f>
        <v>295732.97611971688</v>
      </c>
      <c r="ES139" s="20">
        <f t="shared" si="657"/>
        <v>696700.86488309829</v>
      </c>
      <c r="ET139" s="20">
        <f t="shared" si="657"/>
        <v>869697.86799518357</v>
      </c>
      <c r="EU139" s="20">
        <f t="shared" si="657"/>
        <v>1194106.2437486085</v>
      </c>
      <c r="EV139" s="20">
        <f t="shared" si="657"/>
        <v>1651102.9100978267</v>
      </c>
      <c r="EW139" s="20">
        <f t="shared" si="657"/>
        <v>1802413.2858340633</v>
      </c>
      <c r="EX139" s="20">
        <f t="shared" si="657"/>
        <v>2072148.9083495624</v>
      </c>
      <c r="EY139" s="20">
        <f t="shared" si="657"/>
        <v>2546399.359212541</v>
      </c>
      <c r="EZ139" s="20">
        <f t="shared" si="657"/>
        <v>2727709.0518950224</v>
      </c>
      <c r="FA139" s="20">
        <f t="shared" si="657"/>
        <v>3248593.2622843459</v>
      </c>
      <c r="FB139" s="20">
        <f t="shared" si="657"/>
        <v>3850076.2449921975</v>
      </c>
    </row>
    <row r="141" spans="1:158" x14ac:dyDescent="0.25">
      <c r="A141" s="329">
        <v>43132</v>
      </c>
      <c r="C141" s="304" t="s">
        <v>345</v>
      </c>
      <c r="D141" s="335">
        <f t="shared" ref="D141:K145" si="658">D135/D$135</f>
        <v>1</v>
      </c>
      <c r="E141" s="335">
        <f t="shared" si="658"/>
        <v>1</v>
      </c>
      <c r="F141" s="335">
        <f t="shared" si="658"/>
        <v>1</v>
      </c>
      <c r="G141" s="335">
        <f t="shared" si="658"/>
        <v>1</v>
      </c>
      <c r="H141" s="335">
        <f t="shared" si="658"/>
        <v>1</v>
      </c>
      <c r="I141" s="335">
        <f t="shared" si="658"/>
        <v>1</v>
      </c>
      <c r="J141" s="335">
        <f t="shared" si="658"/>
        <v>1</v>
      </c>
      <c r="K141" s="335">
        <f t="shared" si="658"/>
        <v>1</v>
      </c>
      <c r="L141" s="335">
        <f t="shared" ref="L141:L145" si="659">FB141</f>
        <v>1</v>
      </c>
      <c r="M141" s="22"/>
      <c r="N141" s="335">
        <f t="shared" ref="N141:AW141" si="660">N135/N$135</f>
        <v>1</v>
      </c>
      <c r="O141" s="335">
        <f t="shared" si="660"/>
        <v>1</v>
      </c>
      <c r="P141" s="335">
        <f t="shared" si="660"/>
        <v>1</v>
      </c>
      <c r="Q141" s="335">
        <f t="shared" si="660"/>
        <v>1</v>
      </c>
      <c r="R141" s="335">
        <f t="shared" si="660"/>
        <v>1</v>
      </c>
      <c r="S141" s="335">
        <f t="shared" si="660"/>
        <v>1</v>
      </c>
      <c r="T141" s="335">
        <f t="shared" si="660"/>
        <v>1</v>
      </c>
      <c r="U141" s="335">
        <f t="shared" si="660"/>
        <v>1</v>
      </c>
      <c r="V141" s="335">
        <f t="shared" si="660"/>
        <v>1</v>
      </c>
      <c r="W141" s="335">
        <f t="shared" si="660"/>
        <v>1</v>
      </c>
      <c r="X141" s="335">
        <f t="shared" si="660"/>
        <v>1</v>
      </c>
      <c r="Y141" s="335">
        <f t="shared" si="660"/>
        <v>1</v>
      </c>
      <c r="Z141" s="335">
        <f t="shared" si="660"/>
        <v>1</v>
      </c>
      <c r="AA141" s="335">
        <f t="shared" si="660"/>
        <v>1</v>
      </c>
      <c r="AB141" s="335">
        <f t="shared" si="660"/>
        <v>1</v>
      </c>
      <c r="AC141" s="335">
        <f t="shared" si="660"/>
        <v>1</v>
      </c>
      <c r="AD141" s="335">
        <f t="shared" si="660"/>
        <v>1</v>
      </c>
      <c r="AE141" s="335">
        <f t="shared" si="660"/>
        <v>1</v>
      </c>
      <c r="AF141" s="335">
        <f t="shared" si="660"/>
        <v>1</v>
      </c>
      <c r="AG141" s="335">
        <f t="shared" si="660"/>
        <v>1</v>
      </c>
      <c r="AH141" s="335">
        <f t="shared" si="660"/>
        <v>1</v>
      </c>
      <c r="AI141" s="335">
        <f t="shared" si="660"/>
        <v>1</v>
      </c>
      <c r="AJ141" s="335">
        <f t="shared" si="660"/>
        <v>1</v>
      </c>
      <c r="AK141" s="335">
        <f t="shared" si="660"/>
        <v>1</v>
      </c>
      <c r="AL141" s="335">
        <f t="shared" si="660"/>
        <v>1</v>
      </c>
      <c r="AM141" s="335">
        <f t="shared" si="660"/>
        <v>1</v>
      </c>
      <c r="AN141" s="335">
        <f t="shared" si="660"/>
        <v>1</v>
      </c>
      <c r="AO141" s="335">
        <f t="shared" si="660"/>
        <v>1</v>
      </c>
      <c r="AP141" s="335">
        <f t="shared" si="660"/>
        <v>1</v>
      </c>
      <c r="AQ141" s="335">
        <f t="shared" si="660"/>
        <v>1</v>
      </c>
      <c r="AR141" s="335">
        <f t="shared" si="660"/>
        <v>1</v>
      </c>
      <c r="AS141" s="335">
        <f t="shared" si="660"/>
        <v>1</v>
      </c>
      <c r="AT141" s="335">
        <f t="shared" si="660"/>
        <v>1</v>
      </c>
      <c r="AU141" s="335">
        <f t="shared" si="660"/>
        <v>1</v>
      </c>
      <c r="AV141" s="335">
        <f t="shared" si="660"/>
        <v>1</v>
      </c>
      <c r="AW141" s="335">
        <f t="shared" si="660"/>
        <v>1</v>
      </c>
      <c r="AY141" s="335">
        <f t="shared" ref="AY141:CD141" si="661">AY135/AY$135</f>
        <v>1</v>
      </c>
      <c r="AZ141" s="335">
        <f t="shared" si="661"/>
        <v>1</v>
      </c>
      <c r="BA141" s="335">
        <f t="shared" si="661"/>
        <v>1</v>
      </c>
      <c r="BB141" s="335">
        <f t="shared" si="661"/>
        <v>1</v>
      </c>
      <c r="BC141" s="335">
        <f t="shared" si="661"/>
        <v>1</v>
      </c>
      <c r="BD141" s="335">
        <f t="shared" si="661"/>
        <v>1</v>
      </c>
      <c r="BE141" s="335">
        <f t="shared" si="661"/>
        <v>1</v>
      </c>
      <c r="BF141" s="335">
        <f t="shared" si="661"/>
        <v>1</v>
      </c>
      <c r="BG141" s="335">
        <f t="shared" si="661"/>
        <v>1</v>
      </c>
      <c r="BH141" s="335">
        <f t="shared" si="661"/>
        <v>1</v>
      </c>
      <c r="BI141" s="335">
        <f t="shared" si="661"/>
        <v>1</v>
      </c>
      <c r="BJ141" s="335">
        <f t="shared" si="661"/>
        <v>1</v>
      </c>
      <c r="BK141" s="335">
        <f t="shared" si="661"/>
        <v>1</v>
      </c>
      <c r="BL141" s="335">
        <f t="shared" si="661"/>
        <v>1</v>
      </c>
      <c r="BM141" s="335">
        <f t="shared" si="661"/>
        <v>1</v>
      </c>
      <c r="BN141" s="335">
        <f t="shared" si="661"/>
        <v>1</v>
      </c>
      <c r="BO141" s="335">
        <f t="shared" si="661"/>
        <v>1</v>
      </c>
      <c r="BP141" s="335">
        <f t="shared" si="661"/>
        <v>1</v>
      </c>
      <c r="BQ141" s="335">
        <f t="shared" si="661"/>
        <v>1</v>
      </c>
      <c r="BR141" s="335">
        <f t="shared" si="661"/>
        <v>1</v>
      </c>
      <c r="BS141" s="335">
        <f t="shared" si="661"/>
        <v>1</v>
      </c>
      <c r="BT141" s="335">
        <f t="shared" si="661"/>
        <v>1</v>
      </c>
      <c r="BU141" s="335">
        <f t="shared" si="661"/>
        <v>1</v>
      </c>
      <c r="BV141" s="335">
        <f t="shared" si="661"/>
        <v>1</v>
      </c>
      <c r="BW141" s="335">
        <f t="shared" si="661"/>
        <v>1</v>
      </c>
      <c r="BX141" s="335">
        <f t="shared" si="661"/>
        <v>1</v>
      </c>
      <c r="BY141" s="335">
        <f t="shared" si="661"/>
        <v>1</v>
      </c>
      <c r="BZ141" s="335">
        <f t="shared" si="661"/>
        <v>1</v>
      </c>
      <c r="CA141" s="335">
        <f t="shared" si="661"/>
        <v>1</v>
      </c>
      <c r="CB141" s="335">
        <f t="shared" si="661"/>
        <v>1</v>
      </c>
      <c r="CC141" s="335">
        <f t="shared" si="661"/>
        <v>1</v>
      </c>
      <c r="CD141" s="335">
        <f t="shared" si="661"/>
        <v>1</v>
      </c>
      <c r="CE141" s="335">
        <f t="shared" ref="CE141:DJ141" si="662">CE135/CE$135</f>
        <v>1</v>
      </c>
      <c r="CF141" s="335">
        <f t="shared" si="662"/>
        <v>1</v>
      </c>
      <c r="CG141" s="335">
        <f t="shared" si="662"/>
        <v>1</v>
      </c>
      <c r="CH141" s="335">
        <f t="shared" si="662"/>
        <v>1</v>
      </c>
      <c r="CI141" s="335">
        <f t="shared" si="662"/>
        <v>1</v>
      </c>
      <c r="CJ141" s="335">
        <f t="shared" si="662"/>
        <v>1</v>
      </c>
      <c r="CK141" s="335">
        <f t="shared" si="662"/>
        <v>1</v>
      </c>
      <c r="CL141" s="335">
        <f t="shared" si="662"/>
        <v>1</v>
      </c>
      <c r="CM141" s="335">
        <f t="shared" si="662"/>
        <v>1</v>
      </c>
      <c r="CN141" s="335">
        <f t="shared" si="662"/>
        <v>1</v>
      </c>
      <c r="CO141" s="335">
        <f t="shared" si="662"/>
        <v>1</v>
      </c>
      <c r="CP141" s="335">
        <f t="shared" si="662"/>
        <v>1</v>
      </c>
      <c r="CQ141" s="335">
        <f t="shared" si="662"/>
        <v>1</v>
      </c>
      <c r="CR141" s="335">
        <f t="shared" si="662"/>
        <v>1</v>
      </c>
      <c r="CS141" s="335">
        <f t="shared" si="662"/>
        <v>1</v>
      </c>
      <c r="CT141" s="335">
        <f t="shared" si="662"/>
        <v>1</v>
      </c>
      <c r="CU141" s="335">
        <f t="shared" si="662"/>
        <v>1</v>
      </c>
      <c r="CV141" s="335">
        <f t="shared" si="662"/>
        <v>1</v>
      </c>
      <c r="CW141" s="335">
        <f t="shared" si="662"/>
        <v>1</v>
      </c>
      <c r="CX141" s="335">
        <f t="shared" si="662"/>
        <v>1</v>
      </c>
      <c r="CY141" s="335">
        <f t="shared" si="662"/>
        <v>1</v>
      </c>
      <c r="CZ141" s="335">
        <f t="shared" si="662"/>
        <v>1</v>
      </c>
      <c r="DA141" s="335">
        <f t="shared" si="662"/>
        <v>1</v>
      </c>
      <c r="DB141" s="335">
        <f t="shared" si="662"/>
        <v>1</v>
      </c>
      <c r="DC141" s="335">
        <f t="shared" si="662"/>
        <v>1</v>
      </c>
      <c r="DD141" s="335">
        <f t="shared" si="662"/>
        <v>1</v>
      </c>
      <c r="DE141" s="335">
        <f t="shared" si="662"/>
        <v>1</v>
      </c>
      <c r="DF141" s="335">
        <f t="shared" si="662"/>
        <v>1</v>
      </c>
      <c r="DG141" s="335">
        <f t="shared" si="662"/>
        <v>1</v>
      </c>
      <c r="DH141" s="335">
        <f t="shared" si="662"/>
        <v>1</v>
      </c>
      <c r="DI141" s="335">
        <f t="shared" si="662"/>
        <v>1</v>
      </c>
      <c r="DJ141" s="335">
        <f t="shared" si="662"/>
        <v>1</v>
      </c>
      <c r="DK141" s="335">
        <f t="shared" ref="DK141:EP141" si="663">DK135/DK$135</f>
        <v>1</v>
      </c>
      <c r="DL141" s="335">
        <f t="shared" si="663"/>
        <v>1</v>
      </c>
      <c r="DM141" s="335">
        <f t="shared" si="663"/>
        <v>1</v>
      </c>
      <c r="DN141" s="335">
        <f t="shared" si="663"/>
        <v>1</v>
      </c>
      <c r="DO141" s="335">
        <f t="shared" si="663"/>
        <v>1</v>
      </c>
      <c r="DP141" s="335">
        <f t="shared" si="663"/>
        <v>1</v>
      </c>
      <c r="DQ141" s="335">
        <f t="shared" si="663"/>
        <v>1</v>
      </c>
      <c r="DR141" s="335">
        <f t="shared" si="663"/>
        <v>1</v>
      </c>
      <c r="DS141" s="335">
        <f t="shared" si="663"/>
        <v>1</v>
      </c>
      <c r="DT141" s="335">
        <f t="shared" si="663"/>
        <v>1</v>
      </c>
      <c r="DU141" s="335">
        <f t="shared" si="663"/>
        <v>1</v>
      </c>
      <c r="DV141" s="335">
        <f t="shared" si="663"/>
        <v>1</v>
      </c>
      <c r="DW141" s="335">
        <f t="shared" si="663"/>
        <v>1</v>
      </c>
      <c r="DX141" s="335">
        <f t="shared" si="663"/>
        <v>1</v>
      </c>
      <c r="DY141" s="335">
        <f t="shared" si="663"/>
        <v>1</v>
      </c>
      <c r="DZ141" s="335">
        <f t="shared" si="663"/>
        <v>1</v>
      </c>
      <c r="EA141" s="335">
        <f t="shared" si="663"/>
        <v>1</v>
      </c>
      <c r="EB141" s="335">
        <f t="shared" si="663"/>
        <v>1</v>
      </c>
      <c r="EC141" s="335">
        <f t="shared" si="663"/>
        <v>1</v>
      </c>
      <c r="ED141" s="335">
        <f t="shared" si="663"/>
        <v>1</v>
      </c>
      <c r="EE141" s="335">
        <f t="shared" si="663"/>
        <v>1</v>
      </c>
      <c r="EF141" s="335">
        <f t="shared" si="663"/>
        <v>1</v>
      </c>
      <c r="EG141" s="335">
        <f t="shared" si="663"/>
        <v>1</v>
      </c>
      <c r="EH141" s="335">
        <f t="shared" si="663"/>
        <v>1</v>
      </c>
      <c r="EI141" s="335">
        <f t="shared" si="663"/>
        <v>1</v>
      </c>
      <c r="EJ141" s="335">
        <f t="shared" si="663"/>
        <v>1</v>
      </c>
      <c r="EK141" s="335">
        <f t="shared" si="663"/>
        <v>1</v>
      </c>
      <c r="EL141" s="335">
        <f t="shared" si="663"/>
        <v>1</v>
      </c>
      <c r="EM141" s="335">
        <f t="shared" si="663"/>
        <v>1</v>
      </c>
      <c r="EN141" s="335">
        <f t="shared" si="663"/>
        <v>1</v>
      </c>
      <c r="EO141" s="335">
        <f t="shared" si="663"/>
        <v>1</v>
      </c>
      <c r="EP141" s="335">
        <f t="shared" si="663"/>
        <v>1</v>
      </c>
      <c r="EQ141" s="335">
        <f t="shared" ref="EQ141:FB141" si="664">EQ135/EQ$135</f>
        <v>1</v>
      </c>
      <c r="ER141" s="335">
        <f t="shared" si="664"/>
        <v>1</v>
      </c>
      <c r="ES141" s="335">
        <f t="shared" si="664"/>
        <v>1</v>
      </c>
      <c r="ET141" s="335">
        <f t="shared" si="664"/>
        <v>1</v>
      </c>
      <c r="EU141" s="335">
        <f t="shared" si="664"/>
        <v>1</v>
      </c>
      <c r="EV141" s="335">
        <f t="shared" si="664"/>
        <v>1</v>
      </c>
      <c r="EW141" s="335">
        <f t="shared" si="664"/>
        <v>1</v>
      </c>
      <c r="EX141" s="335">
        <f t="shared" si="664"/>
        <v>1</v>
      </c>
      <c r="EY141" s="335">
        <f t="shared" si="664"/>
        <v>1</v>
      </c>
      <c r="EZ141" s="335">
        <f t="shared" si="664"/>
        <v>1</v>
      </c>
      <c r="FA141" s="335">
        <f t="shared" si="664"/>
        <v>1</v>
      </c>
      <c r="FB141" s="335">
        <f t="shared" si="664"/>
        <v>1</v>
      </c>
    </row>
    <row r="142" spans="1:158" x14ac:dyDescent="0.25">
      <c r="A142" s="334">
        <v>0.9</v>
      </c>
      <c r="C142" s="2" t="s">
        <v>346</v>
      </c>
      <c r="D142" s="308">
        <f t="shared" si="658"/>
        <v>0.96820830288756299</v>
      </c>
      <c r="E142" s="308">
        <f t="shared" si="658"/>
        <v>0.97593832564820004</v>
      </c>
      <c r="F142" s="308">
        <f t="shared" si="658"/>
        <v>0.97637265202223444</v>
      </c>
      <c r="G142" s="308">
        <f t="shared" si="658"/>
        <v>0.96413838381770511</v>
      </c>
      <c r="H142" s="308">
        <f t="shared" si="658"/>
        <v>0.94425344412449153</v>
      </c>
      <c r="I142" s="308">
        <f t="shared" si="658"/>
        <v>0.89389494922779023</v>
      </c>
      <c r="J142" s="308">
        <f t="shared" si="658"/>
        <v>0.85671938440234519</v>
      </c>
      <c r="K142" s="308">
        <f t="shared" si="658"/>
        <v>0.83446083008213934</v>
      </c>
      <c r="L142" s="308">
        <f t="shared" si="659"/>
        <v>0.72155517894520937</v>
      </c>
      <c r="M142" s="244"/>
      <c r="N142" s="308">
        <f t="shared" ref="N142:AW142" si="665">N136/N$135</f>
        <v>0.95431436346087939</v>
      </c>
      <c r="O142" s="308">
        <f t="shared" si="665"/>
        <v>0.95916670934533166</v>
      </c>
      <c r="P142" s="308">
        <f t="shared" si="665"/>
        <v>0.96372592076759545</v>
      </c>
      <c r="Q142" s="308">
        <f t="shared" si="665"/>
        <v>0.96820830288756299</v>
      </c>
      <c r="R142" s="308">
        <f t="shared" si="665"/>
        <v>0.97089405118129091</v>
      </c>
      <c r="S142" s="308">
        <f t="shared" si="665"/>
        <v>0.97296183042157602</v>
      </c>
      <c r="T142" s="308">
        <f t="shared" si="665"/>
        <v>0.97432708322373385</v>
      </c>
      <c r="U142" s="308">
        <f t="shared" si="665"/>
        <v>0.97593832564820004</v>
      </c>
      <c r="V142" s="308">
        <f t="shared" si="665"/>
        <v>0.97657667050536279</v>
      </c>
      <c r="W142" s="308">
        <f t="shared" si="665"/>
        <v>0.97643651397720777</v>
      </c>
      <c r="X142" s="308">
        <f t="shared" si="665"/>
        <v>0.9765248777943617</v>
      </c>
      <c r="Y142" s="308">
        <f t="shared" si="665"/>
        <v>0.97637265202223467</v>
      </c>
      <c r="Z142" s="308">
        <f t="shared" si="665"/>
        <v>0.9732527403853789</v>
      </c>
      <c r="AA142" s="308">
        <f t="shared" si="665"/>
        <v>0.96973634492785032</v>
      </c>
      <c r="AB142" s="308">
        <f t="shared" si="665"/>
        <v>0.96696926639018199</v>
      </c>
      <c r="AC142" s="308">
        <f t="shared" si="665"/>
        <v>0.96413838381770489</v>
      </c>
      <c r="AD142" s="308">
        <f t="shared" si="665"/>
        <v>0.95936160897334266</v>
      </c>
      <c r="AE142" s="308">
        <f t="shared" si="665"/>
        <v>0.9540337666668377</v>
      </c>
      <c r="AF142" s="308">
        <f t="shared" si="665"/>
        <v>0.94968680763508662</v>
      </c>
      <c r="AG142" s="308">
        <f t="shared" si="665"/>
        <v>0.94425344412449164</v>
      </c>
      <c r="AH142" s="308">
        <f t="shared" si="665"/>
        <v>0.93214494598270659</v>
      </c>
      <c r="AI142" s="308">
        <f t="shared" si="665"/>
        <v>0.91825025188115084</v>
      </c>
      <c r="AJ142" s="308">
        <f t="shared" si="665"/>
        <v>0.90730794434372231</v>
      </c>
      <c r="AK142" s="308">
        <f t="shared" si="665"/>
        <v>0.89389494922779011</v>
      </c>
      <c r="AL142" s="308">
        <f t="shared" si="665"/>
        <v>0.88509898467181114</v>
      </c>
      <c r="AM142" s="308">
        <f t="shared" si="665"/>
        <v>0.87489523385546819</v>
      </c>
      <c r="AN142" s="308">
        <f t="shared" si="665"/>
        <v>0.8667753753413413</v>
      </c>
      <c r="AO142" s="308">
        <f t="shared" si="665"/>
        <v>0.8567193844023453</v>
      </c>
      <c r="AP142" s="308">
        <f t="shared" si="665"/>
        <v>0.85153949971420895</v>
      </c>
      <c r="AQ142" s="308">
        <f t="shared" si="665"/>
        <v>0.84546400842761671</v>
      </c>
      <c r="AR142" s="308">
        <f t="shared" si="665"/>
        <v>0.8405773951396186</v>
      </c>
      <c r="AS142" s="308">
        <f t="shared" si="665"/>
        <v>0.83446083008213934</v>
      </c>
      <c r="AT142" s="308">
        <f t="shared" si="665"/>
        <v>0.80863622405514712</v>
      </c>
      <c r="AU142" s="308">
        <f t="shared" si="665"/>
        <v>0.77800239594170828</v>
      </c>
      <c r="AV142" s="308">
        <f t="shared" si="665"/>
        <v>0.75308911692318314</v>
      </c>
      <c r="AW142" s="308">
        <f t="shared" si="665"/>
        <v>0.7215551789452096</v>
      </c>
      <c r="AY142" s="308">
        <f t="shared" ref="AY142:CD142" si="666">AY136/AY$135</f>
        <v>0.94736842105263153</v>
      </c>
      <c r="AZ142" s="308">
        <f t="shared" si="666"/>
        <v>0.95084957140010828</v>
      </c>
      <c r="BA142" s="308">
        <f t="shared" si="666"/>
        <v>0.95431436346087939</v>
      </c>
      <c r="BB142" s="308">
        <f t="shared" si="666"/>
        <v>0.95537446264115478</v>
      </c>
      <c r="BC142" s="308">
        <f t="shared" si="666"/>
        <v>0.95701446494671338</v>
      </c>
      <c r="BD142" s="308">
        <f t="shared" si="666"/>
        <v>0.95916670934533166</v>
      </c>
      <c r="BE142" s="308">
        <f t="shared" si="666"/>
        <v>0.96025370597296178</v>
      </c>
      <c r="BF142" s="308">
        <f t="shared" si="666"/>
        <v>0.9617968334644792</v>
      </c>
      <c r="BG142" s="308">
        <f t="shared" si="666"/>
        <v>0.96372592076759545</v>
      </c>
      <c r="BH142" s="308">
        <f t="shared" si="666"/>
        <v>0.96476485055769112</v>
      </c>
      <c r="BI142" s="308">
        <f t="shared" si="666"/>
        <v>0.96655207175695645</v>
      </c>
      <c r="BJ142" s="308">
        <f t="shared" si="666"/>
        <v>0.96820830288756299</v>
      </c>
      <c r="BK142" s="308">
        <f t="shared" si="666"/>
        <v>0.96867766138045042</v>
      </c>
      <c r="BL142" s="308">
        <f t="shared" si="666"/>
        <v>0.96957151846123069</v>
      </c>
      <c r="BM142" s="308">
        <f t="shared" si="666"/>
        <v>0.97089405118129091</v>
      </c>
      <c r="BN142" s="308">
        <f t="shared" si="666"/>
        <v>0.97153206702693673</v>
      </c>
      <c r="BO142" s="308">
        <f t="shared" si="666"/>
        <v>0.97219186846063521</v>
      </c>
      <c r="BP142" s="308">
        <f t="shared" si="666"/>
        <v>0.97296183042157602</v>
      </c>
      <c r="BQ142" s="308">
        <f t="shared" si="666"/>
        <v>0.97336684306885013</v>
      </c>
      <c r="BR142" s="308">
        <f t="shared" si="666"/>
        <v>0.9736368112905176</v>
      </c>
      <c r="BS142" s="308">
        <f t="shared" si="666"/>
        <v>0.97432708322373385</v>
      </c>
      <c r="BT142" s="308">
        <f t="shared" si="666"/>
        <v>0.97458464843431336</v>
      </c>
      <c r="BU142" s="308">
        <f t="shared" si="666"/>
        <v>0.97510551049688199</v>
      </c>
      <c r="BV142" s="308">
        <f t="shared" si="666"/>
        <v>0.97593832564820004</v>
      </c>
      <c r="BW142" s="308">
        <f t="shared" si="666"/>
        <v>0.97623371217483079</v>
      </c>
      <c r="BX142" s="308">
        <f t="shared" si="666"/>
        <v>0.97646907201241984</v>
      </c>
      <c r="BY142" s="308">
        <f t="shared" si="666"/>
        <v>0.97657667050536301</v>
      </c>
      <c r="BZ142" s="308">
        <f t="shared" si="666"/>
        <v>0.9767436120831694</v>
      </c>
      <c r="CA142" s="308">
        <f t="shared" si="666"/>
        <v>0.97677592608262198</v>
      </c>
      <c r="CB142" s="308">
        <f t="shared" si="666"/>
        <v>0.97643651397720777</v>
      </c>
      <c r="CC142" s="308">
        <f t="shared" si="666"/>
        <v>0.97661178975801299</v>
      </c>
      <c r="CD142" s="308">
        <f t="shared" si="666"/>
        <v>0.97658245555710388</v>
      </c>
      <c r="CE142" s="308">
        <f t="shared" ref="CE142:DJ142" si="667">CE136/CE$135</f>
        <v>0.97652487779436181</v>
      </c>
      <c r="CF142" s="308">
        <f t="shared" si="667"/>
        <v>0.97654200457941953</v>
      </c>
      <c r="CG142" s="308">
        <f t="shared" si="667"/>
        <v>0.97656843111369707</v>
      </c>
      <c r="CH142" s="308">
        <f t="shared" si="667"/>
        <v>0.97637265202223444</v>
      </c>
      <c r="CI142" s="308">
        <f t="shared" si="667"/>
        <v>0.97570420803894231</v>
      </c>
      <c r="CJ142" s="308">
        <f t="shared" si="667"/>
        <v>0.97482602799813545</v>
      </c>
      <c r="CK142" s="308">
        <f t="shared" si="667"/>
        <v>0.97325274038537901</v>
      </c>
      <c r="CL142" s="308">
        <f t="shared" si="667"/>
        <v>0.97255143187395765</v>
      </c>
      <c r="CM142" s="308">
        <f t="shared" si="667"/>
        <v>0.9713791139658875</v>
      </c>
      <c r="CN142" s="308">
        <f t="shared" si="667"/>
        <v>0.96973634492785021</v>
      </c>
      <c r="CO142" s="308">
        <f t="shared" si="667"/>
        <v>0.96927295170575234</v>
      </c>
      <c r="CP142" s="308">
        <f t="shared" si="667"/>
        <v>0.96827829641189822</v>
      </c>
      <c r="CQ142" s="308">
        <f t="shared" si="667"/>
        <v>0.96696926639018199</v>
      </c>
      <c r="CR142" s="308">
        <f t="shared" si="667"/>
        <v>0.9666279381169397</v>
      </c>
      <c r="CS142" s="308">
        <f t="shared" si="667"/>
        <v>0.96545032064344083</v>
      </c>
      <c r="CT142" s="308">
        <f t="shared" si="667"/>
        <v>0.96413838381770511</v>
      </c>
      <c r="CU142" s="308">
        <f t="shared" si="667"/>
        <v>0.96346294613680084</v>
      </c>
      <c r="CV142" s="308">
        <f t="shared" si="667"/>
        <v>0.96202709135022269</v>
      </c>
      <c r="CW142" s="308">
        <f t="shared" si="667"/>
        <v>0.95936160897334255</v>
      </c>
      <c r="CX142" s="308">
        <f t="shared" si="667"/>
        <v>0.9583410313686509</v>
      </c>
      <c r="CY142" s="308">
        <f t="shared" si="667"/>
        <v>0.95648932072763793</v>
      </c>
      <c r="CZ142" s="308">
        <f t="shared" si="667"/>
        <v>0.95403376666683748</v>
      </c>
      <c r="DA142" s="308">
        <f t="shared" si="667"/>
        <v>0.95320360194421017</v>
      </c>
      <c r="DB142" s="308">
        <f t="shared" si="667"/>
        <v>0.95186112603943152</v>
      </c>
      <c r="DC142" s="308">
        <f t="shared" si="667"/>
        <v>0.94968680763508662</v>
      </c>
      <c r="DD142" s="308">
        <f t="shared" si="667"/>
        <v>0.94876823670961541</v>
      </c>
      <c r="DE142" s="308">
        <f t="shared" si="667"/>
        <v>0.94652789262092396</v>
      </c>
      <c r="DF142" s="308">
        <f t="shared" si="667"/>
        <v>0.94425344412449153</v>
      </c>
      <c r="DG142" s="308">
        <f t="shared" si="667"/>
        <v>0.94247375657198984</v>
      </c>
      <c r="DH142" s="308">
        <f t="shared" si="667"/>
        <v>0.93883074559736301</v>
      </c>
      <c r="DI142" s="308">
        <f t="shared" si="667"/>
        <v>0.93214494598270647</v>
      </c>
      <c r="DJ142" s="308">
        <f t="shared" si="667"/>
        <v>0.92937642425476852</v>
      </c>
      <c r="DK142" s="308">
        <f t="shared" ref="DK142:EP142" si="668">DK136/DK$135</f>
        <v>0.92456767402176909</v>
      </c>
      <c r="DL142" s="308">
        <f t="shared" si="668"/>
        <v>0.91825025188115084</v>
      </c>
      <c r="DM142" s="308">
        <f t="shared" si="668"/>
        <v>0.91616087795703083</v>
      </c>
      <c r="DN142" s="308">
        <f t="shared" si="668"/>
        <v>0.91279303761632158</v>
      </c>
      <c r="DO142" s="308">
        <f t="shared" si="668"/>
        <v>0.90730794434372231</v>
      </c>
      <c r="DP142" s="308">
        <f t="shared" si="668"/>
        <v>0.90518546326508786</v>
      </c>
      <c r="DQ142" s="308">
        <f t="shared" si="668"/>
        <v>0.89962484176536661</v>
      </c>
      <c r="DR142" s="308">
        <f t="shared" si="668"/>
        <v>0.89389494922779023</v>
      </c>
      <c r="DS142" s="308">
        <f t="shared" si="668"/>
        <v>0.89260768224721365</v>
      </c>
      <c r="DT142" s="308">
        <f t="shared" si="668"/>
        <v>0.88996670688886437</v>
      </c>
      <c r="DU142" s="308">
        <f t="shared" si="668"/>
        <v>0.88509898467181092</v>
      </c>
      <c r="DV142" s="308">
        <f t="shared" si="668"/>
        <v>0.88307538018739817</v>
      </c>
      <c r="DW142" s="308">
        <f t="shared" si="668"/>
        <v>0.87954925216882796</v>
      </c>
      <c r="DX142" s="308">
        <f t="shared" si="668"/>
        <v>0.87489523385546819</v>
      </c>
      <c r="DY142" s="308">
        <f t="shared" si="668"/>
        <v>0.87335064632232773</v>
      </c>
      <c r="DZ142" s="308">
        <f t="shared" si="668"/>
        <v>0.87085506886330777</v>
      </c>
      <c r="EA142" s="308">
        <f t="shared" si="668"/>
        <v>0.8667753753413413</v>
      </c>
      <c r="EB142" s="308">
        <f t="shared" si="668"/>
        <v>0.86519175571764562</v>
      </c>
      <c r="EC142" s="308">
        <f t="shared" si="668"/>
        <v>0.86102925098341276</v>
      </c>
      <c r="ED142" s="308">
        <f t="shared" si="668"/>
        <v>0.85671938440234519</v>
      </c>
      <c r="EE142" s="308">
        <f t="shared" si="668"/>
        <v>0.85596460558665211</v>
      </c>
      <c r="EF142" s="308">
        <f t="shared" si="668"/>
        <v>0.85441257596080689</v>
      </c>
      <c r="EG142" s="308">
        <f t="shared" si="668"/>
        <v>0.85153949971420895</v>
      </c>
      <c r="EH142" s="308">
        <f t="shared" si="668"/>
        <v>0.85034034549349591</v>
      </c>
      <c r="EI142" s="308">
        <f t="shared" si="668"/>
        <v>0.84824403930177328</v>
      </c>
      <c r="EJ142" s="308">
        <f t="shared" si="668"/>
        <v>0.84546400842761671</v>
      </c>
      <c r="EK142" s="308">
        <f t="shared" si="668"/>
        <v>0.84453806122614083</v>
      </c>
      <c r="EL142" s="308">
        <f t="shared" si="668"/>
        <v>0.84303842164245169</v>
      </c>
      <c r="EM142" s="308">
        <f t="shared" si="668"/>
        <v>0.8405773951396186</v>
      </c>
      <c r="EN142" s="308">
        <f t="shared" si="668"/>
        <v>0.83961896675887904</v>
      </c>
      <c r="EO142" s="308">
        <f t="shared" si="668"/>
        <v>0.83709119728794223</v>
      </c>
      <c r="EP142" s="308">
        <f t="shared" si="668"/>
        <v>0.83446083008213934</v>
      </c>
      <c r="EQ142" s="308">
        <f t="shared" ref="EQ142:FB142" si="669">EQ136/EQ$135</f>
        <v>0.83071446636126556</v>
      </c>
      <c r="ER142" s="308">
        <f t="shared" si="669"/>
        <v>0.82299315596074485</v>
      </c>
      <c r="ES142" s="308">
        <f t="shared" si="669"/>
        <v>0.80863622405514712</v>
      </c>
      <c r="ET142" s="308">
        <f t="shared" si="669"/>
        <v>0.8026195195079886</v>
      </c>
      <c r="EU142" s="308">
        <f t="shared" si="669"/>
        <v>0.79206637294839222</v>
      </c>
      <c r="EV142" s="308">
        <f t="shared" si="669"/>
        <v>0.77800239594170828</v>
      </c>
      <c r="EW142" s="308">
        <f t="shared" si="669"/>
        <v>0.77330067496307919</v>
      </c>
      <c r="EX142" s="308">
        <f t="shared" si="669"/>
        <v>0.76566698914057374</v>
      </c>
      <c r="EY142" s="308">
        <f t="shared" si="669"/>
        <v>0.75308911692318314</v>
      </c>
      <c r="EZ142" s="308">
        <f t="shared" si="669"/>
        <v>0.74817390446876963</v>
      </c>
      <c r="FA142" s="308">
        <f t="shared" si="669"/>
        <v>0.73516427116022809</v>
      </c>
      <c r="FB142" s="308">
        <f t="shared" si="669"/>
        <v>0.72155517894520937</v>
      </c>
    </row>
    <row r="143" spans="1:158" x14ac:dyDescent="0.25">
      <c r="A143" s="334">
        <v>0.02</v>
      </c>
      <c r="C143" s="2" t="s">
        <v>298</v>
      </c>
      <c r="D143" s="308">
        <f t="shared" si="658"/>
        <v>2.0434476124327278E-2</v>
      </c>
      <c r="E143" s="308">
        <f t="shared" si="658"/>
        <v>2.0236176998357221E-2</v>
      </c>
      <c r="F143" s="308">
        <f t="shared" si="658"/>
        <v>2.0162032904498084E-2</v>
      </c>
      <c r="G143" s="308">
        <f t="shared" si="658"/>
        <v>2.4725863949333231E-2</v>
      </c>
      <c r="H143" s="308">
        <f t="shared" si="658"/>
        <v>3.2930243934542434E-2</v>
      </c>
      <c r="I143" s="308">
        <f t="shared" si="658"/>
        <v>7.0974507372811746E-2</v>
      </c>
      <c r="J143" s="308">
        <f t="shared" si="658"/>
        <v>0.10091222744055964</v>
      </c>
      <c r="K143" s="308">
        <f t="shared" si="658"/>
        <v>0.1188371835637545</v>
      </c>
      <c r="L143" s="308">
        <f t="shared" si="659"/>
        <v>0.12976573284924714</v>
      </c>
      <c r="M143" s="244"/>
      <c r="N143" s="308">
        <f t="shared" ref="N143:AW143" si="670">N137/N$135</f>
        <v>2.0852806734553732E-2</v>
      </c>
      <c r="O143" s="308">
        <f t="shared" si="670"/>
        <v>2.0704904107179196E-2</v>
      </c>
      <c r="P143" s="308">
        <f t="shared" si="670"/>
        <v>2.056206027014491E-2</v>
      </c>
      <c r="Q143" s="308">
        <f t="shared" si="670"/>
        <v>2.0434476124327278E-2</v>
      </c>
      <c r="R143" s="308">
        <f t="shared" si="670"/>
        <v>2.0362116477204484E-2</v>
      </c>
      <c r="S143" s="308">
        <f t="shared" si="670"/>
        <v>2.0305516192327368E-2</v>
      </c>
      <c r="T143" s="308">
        <f t="shared" si="670"/>
        <v>2.0270438588052823E-2</v>
      </c>
      <c r="U143" s="308">
        <f t="shared" si="670"/>
        <v>2.0236176998357221E-2</v>
      </c>
      <c r="V143" s="308">
        <f t="shared" si="670"/>
        <v>2.0226965889777029E-2</v>
      </c>
      <c r="W143" s="308">
        <f t="shared" si="670"/>
        <v>2.020098575084342E-2</v>
      </c>
      <c r="X143" s="308">
        <f t="shared" si="670"/>
        <v>2.0185218726325789E-2</v>
      </c>
      <c r="Y143" s="308">
        <f t="shared" si="670"/>
        <v>2.0162032904498087E-2</v>
      </c>
      <c r="Z143" s="308">
        <f t="shared" si="670"/>
        <v>2.1325874447562509E-2</v>
      </c>
      <c r="AA143" s="308">
        <f t="shared" si="670"/>
        <v>2.2637619006917901E-2</v>
      </c>
      <c r="AB143" s="308">
        <f t="shared" si="670"/>
        <v>2.3669840854811702E-2</v>
      </c>
      <c r="AC143" s="308">
        <f t="shared" si="670"/>
        <v>2.4725863949333224E-2</v>
      </c>
      <c r="AD143" s="308">
        <f t="shared" si="670"/>
        <v>2.6696726146129987E-2</v>
      </c>
      <c r="AE143" s="308">
        <f t="shared" si="670"/>
        <v>2.8894954728073258E-2</v>
      </c>
      <c r="AF143" s="308">
        <f t="shared" si="670"/>
        <v>3.0688478079255128E-2</v>
      </c>
      <c r="AG143" s="308">
        <f t="shared" si="670"/>
        <v>3.2930243934542434E-2</v>
      </c>
      <c r="AH143" s="308">
        <f t="shared" si="670"/>
        <v>4.2077834506754688E-2</v>
      </c>
      <c r="AI143" s="308">
        <f t="shared" si="670"/>
        <v>5.2574840103885356E-2</v>
      </c>
      <c r="AJ143" s="308">
        <f t="shared" si="670"/>
        <v>6.0841410251194508E-2</v>
      </c>
      <c r="AK143" s="308">
        <f t="shared" si="670"/>
        <v>7.0974507372811746E-2</v>
      </c>
      <c r="AL143" s="308">
        <f t="shared" si="670"/>
        <v>7.8057953874275568E-2</v>
      </c>
      <c r="AM143" s="308">
        <f t="shared" si="670"/>
        <v>8.6275099653097431E-2</v>
      </c>
      <c r="AN143" s="308">
        <f t="shared" si="670"/>
        <v>9.281407363579447E-2</v>
      </c>
      <c r="AO143" s="308">
        <f t="shared" si="670"/>
        <v>0.10091222744055964</v>
      </c>
      <c r="AP143" s="308">
        <f t="shared" si="670"/>
        <v>0.10508362170194541</v>
      </c>
      <c r="AQ143" s="308">
        <f t="shared" si="670"/>
        <v>0.10997625368389573</v>
      </c>
      <c r="AR143" s="308">
        <f t="shared" si="670"/>
        <v>0.11391147461146849</v>
      </c>
      <c r="AS143" s="308">
        <f t="shared" si="670"/>
        <v>0.1188371835637545</v>
      </c>
      <c r="AT143" s="308">
        <f t="shared" si="670"/>
        <v>0.12133684125938336</v>
      </c>
      <c r="AU143" s="308">
        <f t="shared" si="670"/>
        <v>0.12430200108061328</v>
      </c>
      <c r="AV143" s="308">
        <f t="shared" si="670"/>
        <v>0.12671344811515528</v>
      </c>
      <c r="AW143" s="308">
        <f t="shared" si="670"/>
        <v>0.12976573284924711</v>
      </c>
      <c r="AY143" s="308">
        <f t="shared" ref="AY143:CD143" si="671">AY137/AY$135</f>
        <v>2.1052631578947368E-2</v>
      </c>
      <c r="AZ143" s="308">
        <f t="shared" si="671"/>
        <v>2.0952365167209119E-2</v>
      </c>
      <c r="BA143" s="308">
        <f t="shared" si="671"/>
        <v>2.0852806734553732E-2</v>
      </c>
      <c r="BB143" s="308">
        <f t="shared" si="671"/>
        <v>2.0824419397993288E-2</v>
      </c>
      <c r="BC143" s="308">
        <f t="shared" si="671"/>
        <v>2.077313240166468E-2</v>
      </c>
      <c r="BD143" s="308">
        <f t="shared" si="671"/>
        <v>2.0704904107179196E-2</v>
      </c>
      <c r="BE143" s="308">
        <f t="shared" si="671"/>
        <v>2.0668125069243835E-2</v>
      </c>
      <c r="BF143" s="308">
        <f t="shared" si="671"/>
        <v>2.0624239133533527E-2</v>
      </c>
      <c r="BG143" s="308">
        <f t="shared" si="671"/>
        <v>2.056206027014491E-2</v>
      </c>
      <c r="BH143" s="308">
        <f t="shared" si="671"/>
        <v>2.0526178599044282E-2</v>
      </c>
      <c r="BI143" s="308">
        <f t="shared" si="671"/>
        <v>2.0472537623657323E-2</v>
      </c>
      <c r="BJ143" s="308">
        <f t="shared" si="671"/>
        <v>2.0434476124327278E-2</v>
      </c>
      <c r="BK143" s="308">
        <f t="shared" si="671"/>
        <v>2.0420401133769226E-2</v>
      </c>
      <c r="BL143" s="308">
        <f t="shared" si="671"/>
        <v>2.0395573453218876E-2</v>
      </c>
      <c r="BM143" s="308">
        <f t="shared" si="671"/>
        <v>2.036211647720448E-2</v>
      </c>
      <c r="BN143" s="308">
        <f t="shared" si="671"/>
        <v>2.0346646822064135E-2</v>
      </c>
      <c r="BO143" s="308">
        <f t="shared" si="671"/>
        <v>2.0327327064164923E-2</v>
      </c>
      <c r="BP143" s="308">
        <f t="shared" si="671"/>
        <v>2.0305516192327368E-2</v>
      </c>
      <c r="BQ143" s="308">
        <f t="shared" si="671"/>
        <v>2.0297860234095931E-2</v>
      </c>
      <c r="BR143" s="308">
        <f t="shared" si="671"/>
        <v>2.0289551534131704E-2</v>
      </c>
      <c r="BS143" s="308">
        <f t="shared" si="671"/>
        <v>2.0270438588052823E-2</v>
      </c>
      <c r="BT143" s="308">
        <f t="shared" si="671"/>
        <v>2.0264068495145292E-2</v>
      </c>
      <c r="BU143" s="308">
        <f t="shared" si="671"/>
        <v>2.0249669243314526E-2</v>
      </c>
      <c r="BV143" s="308">
        <f t="shared" si="671"/>
        <v>2.0236176998357221E-2</v>
      </c>
      <c r="BW143" s="308">
        <f t="shared" si="671"/>
        <v>2.0235836998468759E-2</v>
      </c>
      <c r="BX143" s="308">
        <f t="shared" si="671"/>
        <v>2.0233591281572583E-2</v>
      </c>
      <c r="BY143" s="308">
        <f t="shared" si="671"/>
        <v>2.0226965889777036E-2</v>
      </c>
      <c r="BZ143" s="308">
        <f t="shared" si="671"/>
        <v>2.0223834240432181E-2</v>
      </c>
      <c r="CA143" s="308">
        <f t="shared" si="671"/>
        <v>2.0217623989268799E-2</v>
      </c>
      <c r="CB143" s="308">
        <f t="shared" si="671"/>
        <v>2.0200985750843423E-2</v>
      </c>
      <c r="CC143" s="308">
        <f t="shared" si="671"/>
        <v>2.0199709439793802E-2</v>
      </c>
      <c r="CD143" s="308">
        <f t="shared" si="671"/>
        <v>2.0193834210364005E-2</v>
      </c>
      <c r="CE143" s="308">
        <f t="shared" ref="CE143:DJ143" si="672">CE137/CE$135</f>
        <v>2.0185218726325789E-2</v>
      </c>
      <c r="CF143" s="308">
        <f t="shared" si="672"/>
        <v>2.0180682363209343E-2</v>
      </c>
      <c r="CG143" s="308">
        <f t="shared" si="672"/>
        <v>2.0173441615173329E-2</v>
      </c>
      <c r="CH143" s="308">
        <f t="shared" si="672"/>
        <v>2.0162032904498084E-2</v>
      </c>
      <c r="CI143" s="308">
        <f t="shared" si="672"/>
        <v>2.0411387042537425E-2</v>
      </c>
      <c r="CJ143" s="308">
        <f t="shared" si="672"/>
        <v>2.0738980427461327E-2</v>
      </c>
      <c r="CK143" s="308">
        <f t="shared" si="672"/>
        <v>2.1325874447562509E-2</v>
      </c>
      <c r="CL143" s="308">
        <f t="shared" si="672"/>
        <v>2.1587488260740688E-2</v>
      </c>
      <c r="CM143" s="308">
        <f t="shared" si="672"/>
        <v>2.2024805865179485E-2</v>
      </c>
      <c r="CN143" s="308">
        <f t="shared" si="672"/>
        <v>2.2637619006917901E-2</v>
      </c>
      <c r="CO143" s="308">
        <f t="shared" si="672"/>
        <v>2.2810481685553097E-2</v>
      </c>
      <c r="CP143" s="308">
        <f t="shared" si="672"/>
        <v>2.3181524614571153E-2</v>
      </c>
      <c r="CQ143" s="308">
        <f t="shared" si="672"/>
        <v>2.3669840854811702E-2</v>
      </c>
      <c r="CR143" s="308">
        <f t="shared" si="672"/>
        <v>2.3797168827671258E-2</v>
      </c>
      <c r="CS143" s="308">
        <f t="shared" si="672"/>
        <v>2.4236463364512056E-2</v>
      </c>
      <c r="CT143" s="308">
        <f t="shared" si="672"/>
        <v>2.4725863949333231E-2</v>
      </c>
      <c r="CU143" s="308">
        <f t="shared" si="672"/>
        <v>2.50045445727579E-2</v>
      </c>
      <c r="CV143" s="308">
        <f t="shared" si="672"/>
        <v>2.5596967705762821E-2</v>
      </c>
      <c r="CW143" s="308">
        <f t="shared" si="672"/>
        <v>2.6696726146129984E-2</v>
      </c>
      <c r="CX143" s="308">
        <f t="shared" si="672"/>
        <v>2.7117808965714432E-2</v>
      </c>
      <c r="CY143" s="308">
        <f t="shared" si="672"/>
        <v>2.7881811168180785E-2</v>
      </c>
      <c r="CZ143" s="308">
        <f t="shared" si="672"/>
        <v>2.8894954728073255E-2</v>
      </c>
      <c r="DA143" s="308">
        <f t="shared" si="672"/>
        <v>2.9237474591841065E-2</v>
      </c>
      <c r="DB143" s="308">
        <f t="shared" si="672"/>
        <v>2.9791370284446634E-2</v>
      </c>
      <c r="DC143" s="308">
        <f t="shared" si="672"/>
        <v>3.0688478079255128E-2</v>
      </c>
      <c r="DD143" s="308">
        <f t="shared" si="672"/>
        <v>3.1067473692628945E-2</v>
      </c>
      <c r="DE143" s="308">
        <f t="shared" si="672"/>
        <v>3.1991823199583463E-2</v>
      </c>
      <c r="DF143" s="308">
        <f t="shared" si="672"/>
        <v>3.2930243934542434E-2</v>
      </c>
      <c r="DG143" s="308">
        <f t="shared" si="672"/>
        <v>3.4274742061900329E-2</v>
      </c>
      <c r="DH143" s="308">
        <f t="shared" si="672"/>
        <v>3.702692259294095E-2</v>
      </c>
      <c r="DI143" s="308">
        <f t="shared" si="672"/>
        <v>4.2077834506754681E-2</v>
      </c>
      <c r="DJ143" s="308">
        <f t="shared" si="672"/>
        <v>4.4169365839617149E-2</v>
      </c>
      <c r="DK143" s="308">
        <f t="shared" ref="DK143:EP143" si="673">DK137/DK$135</f>
        <v>4.7802225817826179E-2</v>
      </c>
      <c r="DL143" s="308">
        <f t="shared" si="673"/>
        <v>5.2574840103885356E-2</v>
      </c>
      <c r="DM143" s="308">
        <f t="shared" si="673"/>
        <v>5.4153296571921729E-2</v>
      </c>
      <c r="DN143" s="308">
        <f t="shared" si="673"/>
        <v>5.6697594319556954E-2</v>
      </c>
      <c r="DO143" s="308">
        <f t="shared" si="673"/>
        <v>6.0841410251194508E-2</v>
      </c>
      <c r="DP143" s="308">
        <f t="shared" si="673"/>
        <v>6.2444878136085562E-2</v>
      </c>
      <c r="DQ143" s="308">
        <f t="shared" si="673"/>
        <v>6.6645753274428038E-2</v>
      </c>
      <c r="DR143" s="308">
        <f t="shared" si="673"/>
        <v>7.0974507372811746E-2</v>
      </c>
      <c r="DS143" s="308">
        <f t="shared" si="673"/>
        <v>7.201115170351409E-2</v>
      </c>
      <c r="DT143" s="308">
        <f t="shared" si="673"/>
        <v>7.4137946046930969E-2</v>
      </c>
      <c r="DU143" s="308">
        <f t="shared" si="673"/>
        <v>7.8057953874275568E-2</v>
      </c>
      <c r="DV143" s="308">
        <f t="shared" si="673"/>
        <v>7.9687575505221792E-2</v>
      </c>
      <c r="DW143" s="308">
        <f t="shared" si="673"/>
        <v>8.2527188945896252E-2</v>
      </c>
      <c r="DX143" s="308">
        <f t="shared" si="673"/>
        <v>8.6275099653097417E-2</v>
      </c>
      <c r="DY143" s="308">
        <f t="shared" si="673"/>
        <v>8.7518965870178933E-2</v>
      </c>
      <c r="DZ143" s="308">
        <f t="shared" si="673"/>
        <v>8.9528670355539824E-2</v>
      </c>
      <c r="EA143" s="308">
        <f t="shared" si="673"/>
        <v>9.281407363579447E-2</v>
      </c>
      <c r="EB143" s="308">
        <f t="shared" si="673"/>
        <v>9.4089372644985139E-2</v>
      </c>
      <c r="EC143" s="308">
        <f t="shared" si="673"/>
        <v>9.7441464324002316E-2</v>
      </c>
      <c r="ED143" s="308">
        <f t="shared" si="673"/>
        <v>0.10091222744055964</v>
      </c>
      <c r="EE143" s="308">
        <f t="shared" si="673"/>
        <v>0.10152005564716221</v>
      </c>
      <c r="EF143" s="308">
        <f t="shared" si="673"/>
        <v>0.10276991502908617</v>
      </c>
      <c r="EG143" s="308">
        <f t="shared" si="673"/>
        <v>0.10508362170194541</v>
      </c>
      <c r="EH143" s="308">
        <f t="shared" si="673"/>
        <v>0.10604930826370521</v>
      </c>
      <c r="EI143" s="308">
        <f t="shared" si="673"/>
        <v>0.10773747704442872</v>
      </c>
      <c r="EJ143" s="308">
        <f t="shared" si="673"/>
        <v>0.10997625368389573</v>
      </c>
      <c r="EK143" s="308">
        <f t="shared" si="673"/>
        <v>0.11072192488608092</v>
      </c>
      <c r="EL143" s="308">
        <f t="shared" si="673"/>
        <v>0.11192959423205601</v>
      </c>
      <c r="EM143" s="308">
        <f t="shared" si="673"/>
        <v>0.11391147461146849</v>
      </c>
      <c r="EN143" s="308">
        <f t="shared" si="673"/>
        <v>0.11468330311501083</v>
      </c>
      <c r="EO143" s="308">
        <f t="shared" si="673"/>
        <v>0.11671893203341567</v>
      </c>
      <c r="EP143" s="308">
        <f t="shared" si="673"/>
        <v>0.1188371835637545</v>
      </c>
      <c r="EQ143" s="308">
        <f t="shared" ref="EQ143:FB143" si="674">EQ137/EQ$135</f>
        <v>0.11919980775619016</v>
      </c>
      <c r="ER143" s="308">
        <f t="shared" si="674"/>
        <v>0.11994718151836209</v>
      </c>
      <c r="ES143" s="308">
        <f t="shared" si="674"/>
        <v>0.12133684125938336</v>
      </c>
      <c r="ET143" s="308">
        <f t="shared" si="674"/>
        <v>0.12191922001117961</v>
      </c>
      <c r="EU143" s="308">
        <f t="shared" si="674"/>
        <v>0.12294069751148388</v>
      </c>
      <c r="EV143" s="308">
        <f t="shared" si="674"/>
        <v>0.12430200108061328</v>
      </c>
      <c r="EW143" s="308">
        <f t="shared" si="674"/>
        <v>0.12475709778236529</v>
      </c>
      <c r="EX143" s="308">
        <f t="shared" si="674"/>
        <v>0.12549599004241738</v>
      </c>
      <c r="EY143" s="308">
        <f t="shared" si="674"/>
        <v>0.12671344811515528</v>
      </c>
      <c r="EZ143" s="308">
        <f t="shared" si="674"/>
        <v>0.12718920943459161</v>
      </c>
      <c r="FA143" s="308">
        <f t="shared" si="674"/>
        <v>0.12844845923623488</v>
      </c>
      <c r="FB143" s="308">
        <f t="shared" si="674"/>
        <v>0.12976573284924714</v>
      </c>
    </row>
    <row r="144" spans="1:158" x14ac:dyDescent="0.25">
      <c r="A144" s="334">
        <v>0.01</v>
      </c>
      <c r="C144" s="2" t="s">
        <v>299</v>
      </c>
      <c r="D144" s="308">
        <f t="shared" si="658"/>
        <v>3.7857403293698739E-3</v>
      </c>
      <c r="E144" s="308">
        <f t="shared" si="658"/>
        <v>1.275165784480911E-3</v>
      </c>
      <c r="F144" s="308">
        <f t="shared" si="658"/>
        <v>4.0141917331572435E-3</v>
      </c>
      <c r="G144" s="308">
        <f t="shared" si="658"/>
        <v>1.1430005115817998E-2</v>
      </c>
      <c r="H144" s="308">
        <f t="shared" si="658"/>
        <v>2.2991488851525865E-2</v>
      </c>
      <c r="I144" s="308">
        <f t="shared" si="658"/>
        <v>3.5237063739633735E-2</v>
      </c>
      <c r="J144" s="308">
        <f t="shared" si="658"/>
        <v>4.2434554732722778E-2</v>
      </c>
      <c r="K144" s="308">
        <f t="shared" si="658"/>
        <v>4.6743991455233933E-2</v>
      </c>
      <c r="L144" s="308">
        <f t="shared" si="659"/>
        <v>0.13044210728414435</v>
      </c>
      <c r="M144" s="244"/>
      <c r="N144" s="308">
        <f t="shared" ref="N144:AW144" si="675">N138/N$135</f>
        <v>8.2776099348556113E-3</v>
      </c>
      <c r="O144" s="308">
        <f t="shared" si="675"/>
        <v>6.7094621824963872E-3</v>
      </c>
      <c r="P144" s="308">
        <f t="shared" si="675"/>
        <v>5.2373396540865346E-3</v>
      </c>
      <c r="Q144" s="308">
        <f t="shared" si="675"/>
        <v>3.7857403293698739E-3</v>
      </c>
      <c r="R144" s="308">
        <f t="shared" si="675"/>
        <v>2.9146107805015017E-3</v>
      </c>
      <c r="S144" s="308">
        <f t="shared" si="675"/>
        <v>2.2442177953655271E-3</v>
      </c>
      <c r="T144" s="308">
        <f t="shared" si="675"/>
        <v>1.8008260627377761E-3</v>
      </c>
      <c r="U144" s="308">
        <f t="shared" si="675"/>
        <v>1.2751657844809108E-3</v>
      </c>
      <c r="V144" s="308">
        <f t="shared" si="675"/>
        <v>1.6154419157820591E-3</v>
      </c>
      <c r="W144" s="308">
        <f t="shared" si="675"/>
        <v>2.5751983978638563E-3</v>
      </c>
      <c r="X144" s="308">
        <f t="shared" si="675"/>
        <v>3.1576627188825332E-3</v>
      </c>
      <c r="Y144" s="308">
        <f t="shared" si="675"/>
        <v>4.0141917331572427E-3</v>
      </c>
      <c r="Z144" s="308">
        <f t="shared" si="675"/>
        <v>5.9053291581767703E-3</v>
      </c>
      <c r="AA144" s="308">
        <f t="shared" si="675"/>
        <v>8.036795630606523E-3</v>
      </c>
      <c r="AB144" s="308">
        <f t="shared" si="675"/>
        <v>9.714062934826408E-3</v>
      </c>
      <c r="AC144" s="308">
        <f t="shared" si="675"/>
        <v>1.1430005115817996E-2</v>
      </c>
      <c r="AD144" s="308">
        <f t="shared" si="675"/>
        <v>1.4207313245702981E-2</v>
      </c>
      <c r="AE144" s="308">
        <f t="shared" si="675"/>
        <v>1.7305022523347716E-2</v>
      </c>
      <c r="AF144" s="308">
        <f t="shared" si="675"/>
        <v>1.9832427530390759E-2</v>
      </c>
      <c r="AG144" s="308">
        <f t="shared" si="675"/>
        <v>2.2991488851525861E-2</v>
      </c>
      <c r="AH144" s="308">
        <f t="shared" si="675"/>
        <v>2.5935888224102348E-2</v>
      </c>
      <c r="AI144" s="308">
        <f t="shared" si="675"/>
        <v>2.931463331005002E-2</v>
      </c>
      <c r="AJ144" s="308">
        <f t="shared" si="675"/>
        <v>3.1975452436458537E-2</v>
      </c>
      <c r="AK144" s="308">
        <f t="shared" si="675"/>
        <v>3.5237063739633728E-2</v>
      </c>
      <c r="AL144" s="308">
        <f t="shared" si="675"/>
        <v>3.694003384821052E-2</v>
      </c>
      <c r="AM144" s="308">
        <f t="shared" si="675"/>
        <v>3.8915562799584635E-2</v>
      </c>
      <c r="AN144" s="308">
        <f t="shared" si="675"/>
        <v>4.0487633292528032E-2</v>
      </c>
      <c r="AO144" s="308">
        <f t="shared" si="675"/>
        <v>4.2434554732722778E-2</v>
      </c>
      <c r="AP144" s="308">
        <f t="shared" si="675"/>
        <v>4.3437422437979066E-2</v>
      </c>
      <c r="AQ144" s="308">
        <f t="shared" si="675"/>
        <v>4.4613686847656812E-2</v>
      </c>
      <c r="AR144" s="308">
        <f t="shared" si="675"/>
        <v>4.5559774830239493E-2</v>
      </c>
      <c r="AS144" s="308">
        <f t="shared" si="675"/>
        <v>4.6743991455233933E-2</v>
      </c>
      <c r="AT144" s="308">
        <f t="shared" si="675"/>
        <v>6.5888036458453328E-2</v>
      </c>
      <c r="AU144" s="308">
        <f t="shared" si="675"/>
        <v>8.8597207061543615E-2</v>
      </c>
      <c r="AV144" s="308">
        <f t="shared" si="675"/>
        <v>0.10706567601746506</v>
      </c>
      <c r="AW144" s="308">
        <f t="shared" si="675"/>
        <v>0.13044210728414435</v>
      </c>
      <c r="AY144" s="308">
        <f t="shared" ref="AY144:CD144" si="676">AY138/AY$135</f>
        <v>1.0526315789473684E-2</v>
      </c>
      <c r="AZ144" s="308">
        <f t="shared" si="676"/>
        <v>9.399354477560842E-3</v>
      </c>
      <c r="BA144" s="308">
        <f t="shared" si="676"/>
        <v>8.2776099348556113E-3</v>
      </c>
      <c r="BB144" s="308">
        <f t="shared" si="676"/>
        <v>7.9337059869506229E-3</v>
      </c>
      <c r="BC144" s="308">
        <f t="shared" si="676"/>
        <v>7.4041342172072935E-3</v>
      </c>
      <c r="BD144" s="308">
        <f t="shared" si="676"/>
        <v>6.7094621824963872E-3</v>
      </c>
      <c r="BE144" s="308">
        <f t="shared" si="676"/>
        <v>6.3593896525981127E-3</v>
      </c>
      <c r="BF144" s="308">
        <f t="shared" si="676"/>
        <v>5.8596424673290895E-3</v>
      </c>
      <c r="BG144" s="308">
        <f t="shared" si="676"/>
        <v>5.2373396540865346E-3</v>
      </c>
      <c r="BH144" s="308">
        <f t="shared" si="676"/>
        <v>4.902990281088193E-3</v>
      </c>
      <c r="BI144" s="308">
        <f t="shared" si="676"/>
        <v>4.3251302064620887E-3</v>
      </c>
      <c r="BJ144" s="308">
        <f t="shared" si="676"/>
        <v>3.7857403293698739E-3</v>
      </c>
      <c r="BK144" s="308">
        <f t="shared" si="676"/>
        <v>3.6339791619267635E-3</v>
      </c>
      <c r="BL144" s="308">
        <f t="shared" si="676"/>
        <v>3.3443026951834693E-3</v>
      </c>
      <c r="BM144" s="308">
        <f t="shared" si="676"/>
        <v>2.9146107805015013E-3</v>
      </c>
      <c r="BN144" s="308">
        <f t="shared" si="676"/>
        <v>2.7070953836663813E-3</v>
      </c>
      <c r="BO144" s="308">
        <f t="shared" si="676"/>
        <v>2.4936014917333119E-3</v>
      </c>
      <c r="BP144" s="308">
        <f t="shared" si="676"/>
        <v>2.2442177953655267E-3</v>
      </c>
      <c r="BQ144" s="308">
        <f t="shared" si="676"/>
        <v>2.1117655656846292E-3</v>
      </c>
      <c r="BR144" s="308">
        <f t="shared" si="676"/>
        <v>2.0245457251169083E-3</v>
      </c>
      <c r="BS144" s="308">
        <f t="shared" si="676"/>
        <v>1.8008260627377761E-3</v>
      </c>
      <c r="BT144" s="308">
        <f t="shared" si="676"/>
        <v>1.7170943568471299E-3</v>
      </c>
      <c r="BU144" s="308">
        <f t="shared" si="676"/>
        <v>1.5482734199344704E-3</v>
      </c>
      <c r="BV144" s="308">
        <f t="shared" si="676"/>
        <v>1.275165784480911E-3</v>
      </c>
      <c r="BW144" s="308">
        <f t="shared" si="676"/>
        <v>1.2877260366679368E-3</v>
      </c>
      <c r="BX144" s="308">
        <f t="shared" si="676"/>
        <v>1.3706871537556707E-3</v>
      </c>
      <c r="BY144" s="308">
        <f t="shared" si="676"/>
        <v>1.6154419157820594E-3</v>
      </c>
      <c r="BZ144" s="308">
        <f t="shared" si="676"/>
        <v>1.7311310876533727E-3</v>
      </c>
      <c r="CA144" s="308">
        <f t="shared" si="676"/>
        <v>1.9605497533750202E-3</v>
      </c>
      <c r="CB144" s="308">
        <f t="shared" si="676"/>
        <v>2.5751983978638559E-3</v>
      </c>
      <c r="CC144" s="308">
        <f t="shared" si="676"/>
        <v>2.6223477917204181E-3</v>
      </c>
      <c r="CD144" s="308">
        <f t="shared" si="676"/>
        <v>2.8393901079054287E-3</v>
      </c>
      <c r="CE144" s="308">
        <f t="shared" ref="CE144:DJ144" si="677">CE138/CE$135</f>
        <v>3.1576627188825345E-3</v>
      </c>
      <c r="CF144" s="308">
        <f t="shared" si="677"/>
        <v>3.3252447290178086E-3</v>
      </c>
      <c r="CG144" s="308">
        <f t="shared" si="677"/>
        <v>3.5927319383986904E-3</v>
      </c>
      <c r="CH144" s="308">
        <f t="shared" si="677"/>
        <v>4.0141917331572435E-3</v>
      </c>
      <c r="CI144" s="308">
        <f t="shared" si="677"/>
        <v>4.4193696934558945E-3</v>
      </c>
      <c r="CJ144" s="308">
        <f t="shared" si="677"/>
        <v>4.9516793657736575E-3</v>
      </c>
      <c r="CK144" s="308">
        <f t="shared" si="677"/>
        <v>5.9053291581767694E-3</v>
      </c>
      <c r="CL144" s="308">
        <f t="shared" si="677"/>
        <v>6.3304279836583193E-3</v>
      </c>
      <c r="CM144" s="308">
        <f t="shared" si="677"/>
        <v>7.0410296057627445E-3</v>
      </c>
      <c r="CN144" s="308">
        <f t="shared" si="677"/>
        <v>8.036795630606523E-3</v>
      </c>
      <c r="CO144" s="308">
        <f t="shared" si="677"/>
        <v>8.317681875735207E-3</v>
      </c>
      <c r="CP144" s="308">
        <f t="shared" si="677"/>
        <v>8.9205931341762301E-3</v>
      </c>
      <c r="CQ144" s="308">
        <f t="shared" si="677"/>
        <v>9.714062934826408E-3</v>
      </c>
      <c r="CR144" s="308">
        <f t="shared" si="677"/>
        <v>9.9209593943672472E-3</v>
      </c>
      <c r="CS144" s="308">
        <f t="shared" si="677"/>
        <v>1.0634773353129037E-2</v>
      </c>
      <c r="CT144" s="308">
        <f t="shared" si="677"/>
        <v>1.1430005115817998E-2</v>
      </c>
      <c r="CU144" s="308">
        <f t="shared" si="677"/>
        <v>1.1822717484210217E-2</v>
      </c>
      <c r="CV144" s="308">
        <f t="shared" si="677"/>
        <v>1.2657550881644438E-2</v>
      </c>
      <c r="CW144" s="308">
        <f t="shared" si="677"/>
        <v>1.420731324570298E-2</v>
      </c>
      <c r="CX144" s="308">
        <f t="shared" si="677"/>
        <v>1.4800696557883571E-2</v>
      </c>
      <c r="CY144" s="308">
        <f t="shared" si="677"/>
        <v>1.58773164918437E-2</v>
      </c>
      <c r="CZ144" s="308">
        <f t="shared" si="677"/>
        <v>1.7305022523347712E-2</v>
      </c>
      <c r="DA144" s="308">
        <f t="shared" si="677"/>
        <v>1.7787696149050999E-2</v>
      </c>
      <c r="DB144" s="308">
        <f t="shared" si="677"/>
        <v>1.8568237281090558E-2</v>
      </c>
      <c r="DC144" s="308">
        <f t="shared" si="677"/>
        <v>1.9832427530390759E-2</v>
      </c>
      <c r="DD144" s="308">
        <f t="shared" si="677"/>
        <v>2.0366502210966916E-2</v>
      </c>
      <c r="DE144" s="308">
        <f t="shared" si="677"/>
        <v>2.166908105422264E-2</v>
      </c>
      <c r="DF144" s="308">
        <f t="shared" si="677"/>
        <v>2.2991488851525865E-2</v>
      </c>
      <c r="DG144" s="308">
        <f t="shared" si="677"/>
        <v>2.3424251928466405E-2</v>
      </c>
      <c r="DH144" s="308">
        <f t="shared" si="677"/>
        <v>2.4310115650158254E-2</v>
      </c>
      <c r="DI144" s="308">
        <f t="shared" si="677"/>
        <v>2.5935888224102348E-2</v>
      </c>
      <c r="DJ144" s="308">
        <f t="shared" si="677"/>
        <v>2.6609104137690725E-2</v>
      </c>
      <c r="DK144" s="308">
        <f t="shared" ref="DK144:EP144" si="678">DK138/DK$135</f>
        <v>2.7778438352646748E-2</v>
      </c>
      <c r="DL144" s="308">
        <f t="shared" si="678"/>
        <v>2.931463331005002E-2</v>
      </c>
      <c r="DM144" s="308">
        <f t="shared" si="678"/>
        <v>2.9822702205070713E-2</v>
      </c>
      <c r="DN144" s="308">
        <f t="shared" si="678"/>
        <v>3.0641653231862589E-2</v>
      </c>
      <c r="DO144" s="308">
        <f t="shared" si="678"/>
        <v>3.1975452436458537E-2</v>
      </c>
      <c r="DP144" s="308">
        <f t="shared" si="678"/>
        <v>3.2491571932291845E-2</v>
      </c>
      <c r="DQ144" s="308">
        <f t="shared" si="678"/>
        <v>3.3843737185422156E-2</v>
      </c>
      <c r="DR144" s="308">
        <f t="shared" si="678"/>
        <v>3.5237063739633735E-2</v>
      </c>
      <c r="DS144" s="308">
        <f t="shared" si="678"/>
        <v>3.548628907196974E-2</v>
      </c>
      <c r="DT144" s="308">
        <f t="shared" si="678"/>
        <v>3.5997603330245098E-2</v>
      </c>
      <c r="DU144" s="308">
        <f t="shared" si="678"/>
        <v>3.694003384821052E-2</v>
      </c>
      <c r="DV144" s="308">
        <f t="shared" si="678"/>
        <v>3.7331820095938661E-2</v>
      </c>
      <c r="DW144" s="308">
        <f t="shared" si="678"/>
        <v>3.801450709136979E-2</v>
      </c>
      <c r="DX144" s="308">
        <f t="shared" si="678"/>
        <v>3.8915562799584635E-2</v>
      </c>
      <c r="DY144" s="308">
        <f t="shared" si="678"/>
        <v>3.9214607478798423E-2</v>
      </c>
      <c r="DZ144" s="308">
        <f t="shared" si="678"/>
        <v>3.969777152400368E-2</v>
      </c>
      <c r="EA144" s="308">
        <f t="shared" si="678"/>
        <v>4.0487633292528025E-2</v>
      </c>
      <c r="EB144" s="308">
        <f t="shared" si="678"/>
        <v>4.0794234901180039E-2</v>
      </c>
      <c r="EC144" s="308">
        <f t="shared" si="678"/>
        <v>4.1600129592330108E-2</v>
      </c>
      <c r="ED144" s="308">
        <f t="shared" si="678"/>
        <v>4.2434554732722778E-2</v>
      </c>
      <c r="EE144" s="308">
        <f t="shared" si="678"/>
        <v>4.2580686035723389E-2</v>
      </c>
      <c r="EF144" s="308">
        <f t="shared" si="678"/>
        <v>4.2881171564470008E-2</v>
      </c>
      <c r="EG144" s="308">
        <f t="shared" si="678"/>
        <v>4.3437422437979073E-2</v>
      </c>
      <c r="EH144" s="308">
        <f t="shared" si="678"/>
        <v>4.3669588425057727E-2</v>
      </c>
      <c r="EI144" s="308">
        <f t="shared" si="678"/>
        <v>4.4075450313223415E-2</v>
      </c>
      <c r="EJ144" s="308">
        <f t="shared" si="678"/>
        <v>4.4613686847656812E-2</v>
      </c>
      <c r="EK144" s="308">
        <f t="shared" si="678"/>
        <v>4.4792957739006878E-2</v>
      </c>
      <c r="EL144" s="308">
        <f t="shared" si="678"/>
        <v>4.5083300130498792E-2</v>
      </c>
      <c r="EM144" s="308">
        <f t="shared" si="678"/>
        <v>4.5559774830239493E-2</v>
      </c>
      <c r="EN144" s="308">
        <f t="shared" si="678"/>
        <v>4.574533434144757E-2</v>
      </c>
      <c r="EO144" s="308">
        <f t="shared" si="678"/>
        <v>4.6234731021366243E-2</v>
      </c>
      <c r="EP144" s="308">
        <f t="shared" si="678"/>
        <v>4.6743991455233933E-2</v>
      </c>
      <c r="EQ144" s="308">
        <f t="shared" ref="EQ144:FB144" si="679">EQ138/EQ$135</f>
        <v>4.9521209260449374E-2</v>
      </c>
      <c r="ER144" s="308">
        <f t="shared" si="679"/>
        <v>5.5245095759894731E-2</v>
      </c>
      <c r="ES144" s="308">
        <f t="shared" si="679"/>
        <v>6.5888036458453328E-2</v>
      </c>
      <c r="ET144" s="308">
        <f t="shared" si="679"/>
        <v>7.0348281176281127E-2</v>
      </c>
      <c r="EU144" s="308">
        <f t="shared" si="679"/>
        <v>7.8171436830672167E-2</v>
      </c>
      <c r="EV144" s="308">
        <f t="shared" si="679"/>
        <v>8.8597207061543629E-2</v>
      </c>
      <c r="EW144" s="308">
        <f t="shared" si="679"/>
        <v>9.2082640988914069E-2</v>
      </c>
      <c r="EX144" s="308">
        <f t="shared" si="679"/>
        <v>9.7741570491022861E-2</v>
      </c>
      <c r="EY144" s="308">
        <f t="shared" si="679"/>
        <v>0.10706567601746506</v>
      </c>
      <c r="EZ144" s="308">
        <f t="shared" si="679"/>
        <v>0.11070937336290849</v>
      </c>
      <c r="FA144" s="308">
        <f t="shared" si="679"/>
        <v>0.12035354780931763</v>
      </c>
      <c r="FB144" s="308">
        <f t="shared" si="679"/>
        <v>0.13044210728414435</v>
      </c>
    </row>
    <row r="145" spans="1:158" x14ac:dyDescent="0.25">
      <c r="A145" s="334">
        <v>0.02</v>
      </c>
      <c r="C145" s="2" t="s">
        <v>300</v>
      </c>
      <c r="D145" s="308">
        <f t="shared" si="658"/>
        <v>7.5714806587397479E-3</v>
      </c>
      <c r="E145" s="308">
        <f t="shared" si="658"/>
        <v>2.550331568961822E-3</v>
      </c>
      <c r="F145" s="308">
        <f t="shared" si="658"/>
        <v>-5.4887665988959642E-4</v>
      </c>
      <c r="G145" s="308">
        <f t="shared" si="658"/>
        <v>-2.9425288285593669E-4</v>
      </c>
      <c r="H145" s="308">
        <f t="shared" si="658"/>
        <v>-1.7517691055999452E-4</v>
      </c>
      <c r="I145" s="308">
        <f t="shared" si="658"/>
        <v>-1.0652034023594345E-4</v>
      </c>
      <c r="J145" s="308">
        <f t="shared" si="658"/>
        <v>-6.6166575627992269E-5</v>
      </c>
      <c r="K145" s="308">
        <f t="shared" si="658"/>
        <v>-4.2005101128051383E-5</v>
      </c>
      <c r="L145" s="308">
        <f t="shared" si="659"/>
        <v>1.8236980921398735E-2</v>
      </c>
      <c r="M145" s="244"/>
      <c r="N145" s="308">
        <f t="shared" ref="N145:AW145" si="680">N139/N$135</f>
        <v>1.6555219869711223E-2</v>
      </c>
      <c r="O145" s="308">
        <f t="shared" si="680"/>
        <v>1.3418924364992774E-2</v>
      </c>
      <c r="P145" s="308">
        <f t="shared" si="680"/>
        <v>1.0474679308173069E-2</v>
      </c>
      <c r="Q145" s="308">
        <f t="shared" si="680"/>
        <v>7.5714806587397479E-3</v>
      </c>
      <c r="R145" s="308">
        <f t="shared" si="680"/>
        <v>5.8292215610030035E-3</v>
      </c>
      <c r="S145" s="308">
        <f t="shared" si="680"/>
        <v>4.4884355907310542E-3</v>
      </c>
      <c r="T145" s="308">
        <f t="shared" si="680"/>
        <v>3.6016521254755521E-3</v>
      </c>
      <c r="U145" s="308">
        <f t="shared" si="680"/>
        <v>2.5503315689618215E-3</v>
      </c>
      <c r="V145" s="308">
        <f t="shared" si="680"/>
        <v>1.5809216890780376E-3</v>
      </c>
      <c r="W145" s="308">
        <f t="shared" si="680"/>
        <v>7.8730187408511529E-4</v>
      </c>
      <c r="X145" s="308">
        <f t="shared" si="680"/>
        <v>1.322407604300937E-4</v>
      </c>
      <c r="Y145" s="308">
        <f t="shared" si="680"/>
        <v>-5.4887665988959642E-4</v>
      </c>
      <c r="Z145" s="308">
        <f t="shared" si="680"/>
        <v>-4.8394399111801364E-4</v>
      </c>
      <c r="AA145" s="308">
        <f t="shared" si="680"/>
        <v>-4.1075956537455605E-4</v>
      </c>
      <c r="AB145" s="308">
        <f t="shared" si="680"/>
        <v>-3.5317017981988607E-4</v>
      </c>
      <c r="AC145" s="308">
        <f t="shared" si="680"/>
        <v>-2.9425288285593663E-4</v>
      </c>
      <c r="AD145" s="308">
        <f t="shared" si="680"/>
        <v>-2.6564836517538386E-4</v>
      </c>
      <c r="AE145" s="308">
        <f t="shared" si="680"/>
        <v>-2.3374391825855195E-4</v>
      </c>
      <c r="AF145" s="308">
        <f t="shared" si="680"/>
        <v>-2.0771324473264598E-4</v>
      </c>
      <c r="AG145" s="308">
        <f t="shared" si="680"/>
        <v>-1.7517691055999452E-4</v>
      </c>
      <c r="AH145" s="308">
        <f t="shared" si="680"/>
        <v>-1.5866871356373042E-4</v>
      </c>
      <c r="AI145" s="308">
        <f t="shared" si="680"/>
        <v>-1.397252950864415E-4</v>
      </c>
      <c r="AJ145" s="308">
        <f t="shared" si="680"/>
        <v>-1.2480703137558407E-4</v>
      </c>
      <c r="AK145" s="308">
        <f t="shared" si="680"/>
        <v>-1.0652034023594344E-4</v>
      </c>
      <c r="AL145" s="308">
        <f t="shared" si="680"/>
        <v>-9.697239429730041E-5</v>
      </c>
      <c r="AM145" s="308">
        <f t="shared" si="680"/>
        <v>-8.5896308150545898E-5</v>
      </c>
      <c r="AN145" s="308">
        <f t="shared" si="680"/>
        <v>-7.7082269664043203E-5</v>
      </c>
      <c r="AO145" s="308">
        <f t="shared" si="680"/>
        <v>-6.6166575627992256E-5</v>
      </c>
      <c r="AP145" s="308">
        <f t="shared" si="680"/>
        <v>-6.0543854133837341E-5</v>
      </c>
      <c r="AQ145" s="308">
        <f t="shared" si="680"/>
        <v>-5.3948959169686174E-5</v>
      </c>
      <c r="AR145" s="308">
        <f t="shared" si="680"/>
        <v>-4.8644581326878044E-5</v>
      </c>
      <c r="AS145" s="308">
        <f t="shared" si="680"/>
        <v>-4.2005101128051376E-5</v>
      </c>
      <c r="AT145" s="308">
        <f t="shared" si="680"/>
        <v>4.138898227015921E-3</v>
      </c>
      <c r="AU145" s="308">
        <f t="shared" si="680"/>
        <v>9.0983959161345402E-3</v>
      </c>
      <c r="AV145" s="308">
        <f t="shared" si="680"/>
        <v>1.3131758944196298E-2</v>
      </c>
      <c r="AW145" s="308">
        <f t="shared" si="680"/>
        <v>1.8236980921398738E-2</v>
      </c>
      <c r="AY145" s="308">
        <f t="shared" ref="AY145:CD145" si="681">AY139/AY$135</f>
        <v>2.1052631578947368E-2</v>
      </c>
      <c r="AZ145" s="308">
        <f t="shared" si="681"/>
        <v>1.8798708955121684E-2</v>
      </c>
      <c r="BA145" s="308">
        <f t="shared" si="681"/>
        <v>1.6555219869711223E-2</v>
      </c>
      <c r="BB145" s="308">
        <f t="shared" si="681"/>
        <v>1.5867411973901246E-2</v>
      </c>
      <c r="BC145" s="308">
        <f t="shared" si="681"/>
        <v>1.4808268434414587E-2</v>
      </c>
      <c r="BD145" s="308">
        <f t="shared" si="681"/>
        <v>1.3418924364992774E-2</v>
      </c>
      <c r="BE145" s="308">
        <f t="shared" si="681"/>
        <v>1.2718779305196225E-2</v>
      </c>
      <c r="BF145" s="308">
        <f t="shared" si="681"/>
        <v>1.1719284934658179E-2</v>
      </c>
      <c r="BG145" s="308">
        <f t="shared" si="681"/>
        <v>1.0474679308173069E-2</v>
      </c>
      <c r="BH145" s="308">
        <f t="shared" si="681"/>
        <v>9.8059805621763859E-3</v>
      </c>
      <c r="BI145" s="308">
        <f t="shared" si="681"/>
        <v>8.6502604129241774E-3</v>
      </c>
      <c r="BJ145" s="308">
        <f t="shared" si="681"/>
        <v>7.5714806587397479E-3</v>
      </c>
      <c r="BK145" s="308">
        <f t="shared" si="681"/>
        <v>7.267958323853527E-3</v>
      </c>
      <c r="BL145" s="308">
        <f t="shared" si="681"/>
        <v>6.6886053903669387E-3</v>
      </c>
      <c r="BM145" s="308">
        <f t="shared" si="681"/>
        <v>5.8292215610030026E-3</v>
      </c>
      <c r="BN145" s="308">
        <f t="shared" si="681"/>
        <v>5.4141907673327626E-3</v>
      </c>
      <c r="BO145" s="308">
        <f t="shared" si="681"/>
        <v>4.9872029834666237E-3</v>
      </c>
      <c r="BP145" s="308">
        <f t="shared" si="681"/>
        <v>4.4884355907310533E-3</v>
      </c>
      <c r="BQ145" s="308">
        <f t="shared" si="681"/>
        <v>4.2235311313692583E-3</v>
      </c>
      <c r="BR145" s="308">
        <f t="shared" si="681"/>
        <v>4.0490914502338167E-3</v>
      </c>
      <c r="BS145" s="308">
        <f t="shared" si="681"/>
        <v>3.6016521254755521E-3</v>
      </c>
      <c r="BT145" s="308">
        <f t="shared" si="681"/>
        <v>3.4341887136942599E-3</v>
      </c>
      <c r="BU145" s="308">
        <f t="shared" si="681"/>
        <v>3.0965468398689408E-3</v>
      </c>
      <c r="BV145" s="308">
        <f t="shared" si="681"/>
        <v>2.550331568961822E-3</v>
      </c>
      <c r="BW145" s="308">
        <f t="shared" si="681"/>
        <v>2.2427247900325799E-3</v>
      </c>
      <c r="BX145" s="308">
        <f t="shared" si="681"/>
        <v>1.9266495522520049E-3</v>
      </c>
      <c r="BY145" s="308">
        <f t="shared" si="681"/>
        <v>1.5809216890780376E-3</v>
      </c>
      <c r="BZ145" s="308">
        <f t="shared" si="681"/>
        <v>1.301422588745085E-3</v>
      </c>
      <c r="CA145" s="308">
        <f t="shared" si="681"/>
        <v>1.0459001747343195E-3</v>
      </c>
      <c r="CB145" s="308">
        <f t="shared" si="681"/>
        <v>7.8730187408511529E-4</v>
      </c>
      <c r="CC145" s="308">
        <f t="shared" si="681"/>
        <v>5.6615301047307457E-4</v>
      </c>
      <c r="CD145" s="308">
        <f t="shared" si="681"/>
        <v>3.8432012462686531E-4</v>
      </c>
      <c r="CE145" s="308">
        <f t="shared" ref="CE145:DJ145" si="682">CE139/CE$135</f>
        <v>1.3224076043009373E-4</v>
      </c>
      <c r="CF145" s="308">
        <f t="shared" si="682"/>
        <v>-4.7931671646294244E-5</v>
      </c>
      <c r="CG145" s="308">
        <f t="shared" si="682"/>
        <v>-3.346046672688733E-4</v>
      </c>
      <c r="CH145" s="308">
        <f t="shared" si="682"/>
        <v>-5.4887665988959642E-4</v>
      </c>
      <c r="CI145" s="308">
        <f t="shared" si="682"/>
        <v>-5.3496477493530968E-4</v>
      </c>
      <c r="CJ145" s="308">
        <f t="shared" si="682"/>
        <v>-5.1668779137016107E-4</v>
      </c>
      <c r="CK145" s="308">
        <f t="shared" si="682"/>
        <v>-4.8394399111801364E-4</v>
      </c>
      <c r="CL145" s="308">
        <f t="shared" si="682"/>
        <v>-4.6934811835646782E-4</v>
      </c>
      <c r="CM145" s="308">
        <f t="shared" si="682"/>
        <v>-4.4494943682956626E-4</v>
      </c>
      <c r="CN145" s="308">
        <f t="shared" si="682"/>
        <v>-4.1075956537455605E-4</v>
      </c>
      <c r="CO145" s="308">
        <f t="shared" si="682"/>
        <v>-4.0111526704058058E-4</v>
      </c>
      <c r="CP145" s="308">
        <f t="shared" si="682"/>
        <v>-3.8041416064552057E-4</v>
      </c>
      <c r="CQ145" s="308">
        <f t="shared" si="682"/>
        <v>-3.5317017981988607E-4</v>
      </c>
      <c r="CR145" s="308">
        <f t="shared" si="682"/>
        <v>-3.4606633897804997E-4</v>
      </c>
      <c r="CS145" s="308">
        <f t="shared" si="682"/>
        <v>-3.215573610816748E-4</v>
      </c>
      <c r="CT145" s="308">
        <f t="shared" si="682"/>
        <v>-2.9425288285593669E-4</v>
      </c>
      <c r="CU145" s="308">
        <f t="shared" si="682"/>
        <v>-2.902081937686253E-4</v>
      </c>
      <c r="CV145" s="308">
        <f t="shared" si="682"/>
        <v>-2.8160993762978913E-4</v>
      </c>
      <c r="CW145" s="308">
        <f t="shared" si="682"/>
        <v>-2.6564836517538386E-4</v>
      </c>
      <c r="CX145" s="308">
        <f t="shared" si="682"/>
        <v>-2.595368922487851E-4</v>
      </c>
      <c r="CY145" s="308">
        <f t="shared" si="682"/>
        <v>-2.4844838766234099E-4</v>
      </c>
      <c r="CZ145" s="308">
        <f t="shared" si="682"/>
        <v>-2.3374391825855189E-4</v>
      </c>
      <c r="DA145" s="308">
        <f t="shared" si="682"/>
        <v>-2.2877268510231656E-4</v>
      </c>
      <c r="DB145" s="308">
        <f t="shared" si="682"/>
        <v>-2.2073360496872375E-4</v>
      </c>
      <c r="DC145" s="308">
        <f t="shared" si="682"/>
        <v>-2.0771324473264598E-4</v>
      </c>
      <c r="DD145" s="308">
        <f t="shared" si="682"/>
        <v>-2.0221261321146547E-4</v>
      </c>
      <c r="DE145" s="308">
        <f t="shared" si="682"/>
        <v>-1.8879687473027451E-4</v>
      </c>
      <c r="DF145" s="308">
        <f t="shared" si="682"/>
        <v>-1.7517691055999452E-4</v>
      </c>
      <c r="DG145" s="308">
        <f t="shared" si="682"/>
        <v>-1.7275056235689992E-4</v>
      </c>
      <c r="DH145" s="308">
        <f t="shared" si="682"/>
        <v>-1.6778384046253406E-4</v>
      </c>
      <c r="DI145" s="308">
        <f t="shared" si="682"/>
        <v>-1.5866871356373045E-4</v>
      </c>
      <c r="DJ145" s="308">
        <f t="shared" si="682"/>
        <v>-1.5489423207659035E-4</v>
      </c>
      <c r="DK145" s="308">
        <f t="shared" ref="DK145:EP145" si="683">DK139/DK$135</f>
        <v>-1.4833819224219989E-4</v>
      </c>
      <c r="DL145" s="308">
        <f t="shared" si="683"/>
        <v>-1.397252950864415E-4</v>
      </c>
      <c r="DM145" s="308">
        <f t="shared" si="683"/>
        <v>-1.3687673402343033E-4</v>
      </c>
      <c r="DN145" s="308">
        <f t="shared" si="683"/>
        <v>-1.3228516774118959E-4</v>
      </c>
      <c r="DO145" s="308">
        <f t="shared" si="683"/>
        <v>-1.2480703137558407E-4</v>
      </c>
      <c r="DP145" s="308">
        <f t="shared" si="683"/>
        <v>-1.2191333346551649E-4</v>
      </c>
      <c r="DQ145" s="308">
        <f t="shared" si="683"/>
        <v>-1.1433222521706389E-4</v>
      </c>
      <c r="DR145" s="308">
        <f t="shared" si="683"/>
        <v>-1.0652034023594345E-4</v>
      </c>
      <c r="DS145" s="308">
        <f t="shared" si="683"/>
        <v>-1.0512302269777877E-4</v>
      </c>
      <c r="DT145" s="308">
        <f t="shared" si="683"/>
        <v>-1.0225626604064023E-4</v>
      </c>
      <c r="DU145" s="308">
        <f t="shared" si="683"/>
        <v>-9.697239429730041E-5</v>
      </c>
      <c r="DV145" s="308">
        <f t="shared" si="683"/>
        <v>-9.4775788558907042E-5</v>
      </c>
      <c r="DW145" s="308">
        <f t="shared" si="683"/>
        <v>-9.0948206094269089E-5</v>
      </c>
      <c r="DX145" s="308">
        <f t="shared" si="683"/>
        <v>-8.5896308150545898E-5</v>
      </c>
      <c r="DY145" s="308">
        <f t="shared" si="683"/>
        <v>-8.4219671305311796E-5</v>
      </c>
      <c r="DZ145" s="308">
        <f t="shared" si="683"/>
        <v>-8.1510742851499264E-5</v>
      </c>
      <c r="EA145" s="308">
        <f t="shared" si="683"/>
        <v>-7.7082269664043203E-5</v>
      </c>
      <c r="EB145" s="308">
        <f t="shared" si="683"/>
        <v>-7.5363263811053233E-5</v>
      </c>
      <c r="EC145" s="308">
        <f t="shared" si="683"/>
        <v>-7.0844899745479064E-5</v>
      </c>
      <c r="ED145" s="308">
        <f t="shared" si="683"/>
        <v>-6.6166575627992269E-5</v>
      </c>
      <c r="EE145" s="308">
        <f t="shared" si="683"/>
        <v>-6.5347269538022594E-5</v>
      </c>
      <c r="EF145" s="308">
        <f t="shared" si="683"/>
        <v>-6.3662554363418006E-5</v>
      </c>
      <c r="EG145" s="308">
        <f t="shared" si="683"/>
        <v>-6.0543854133837341E-5</v>
      </c>
      <c r="EH145" s="308">
        <f t="shared" si="683"/>
        <v>-5.9242182259354859E-5</v>
      </c>
      <c r="EI145" s="308">
        <f t="shared" si="683"/>
        <v>-5.6966659425897679E-5</v>
      </c>
      <c r="EJ145" s="308">
        <f t="shared" si="683"/>
        <v>-5.3948959169686181E-5</v>
      </c>
      <c r="EK145" s="308">
        <f t="shared" si="683"/>
        <v>-5.2943851228940692E-5</v>
      </c>
      <c r="EL145" s="308">
        <f t="shared" si="683"/>
        <v>-5.1316005006802395E-5</v>
      </c>
      <c r="EM145" s="308">
        <f t="shared" si="683"/>
        <v>-4.8644581326878037E-5</v>
      </c>
      <c r="EN145" s="308">
        <f t="shared" si="683"/>
        <v>-4.7604215337778933E-5</v>
      </c>
      <c r="EO145" s="308">
        <f t="shared" si="683"/>
        <v>-4.4860342724348271E-5</v>
      </c>
      <c r="EP145" s="308">
        <f t="shared" si="683"/>
        <v>-4.2005101128051383E-5</v>
      </c>
      <c r="EQ145" s="308">
        <f t="shared" ref="EQ145:FB145" si="684">EQ139/EQ$135</f>
        <v>5.6451662209466792E-4</v>
      </c>
      <c r="ER145" s="308">
        <f t="shared" si="684"/>
        <v>1.8145667609981767E-3</v>
      </c>
      <c r="ES145" s="308">
        <f t="shared" si="684"/>
        <v>4.1388982270159193E-3</v>
      </c>
      <c r="ET145" s="308">
        <f t="shared" si="684"/>
        <v>5.1129793045503122E-3</v>
      </c>
      <c r="EU145" s="308">
        <f t="shared" si="684"/>
        <v>6.8214927094514925E-3</v>
      </c>
      <c r="EV145" s="308">
        <f t="shared" si="684"/>
        <v>9.0983959161345402E-3</v>
      </c>
      <c r="EW145" s="308">
        <f t="shared" si="684"/>
        <v>9.8595862656410543E-3</v>
      </c>
      <c r="EX145" s="308">
        <f t="shared" si="684"/>
        <v>1.1095450325985667E-2</v>
      </c>
      <c r="EY145" s="308">
        <f t="shared" si="684"/>
        <v>1.3131758944196298E-2</v>
      </c>
      <c r="EZ145" s="308">
        <f t="shared" si="684"/>
        <v>1.3927512733729908E-2</v>
      </c>
      <c r="FA145" s="308">
        <f t="shared" si="684"/>
        <v>1.603372179421907E-2</v>
      </c>
      <c r="FB145" s="308">
        <f t="shared" si="684"/>
        <v>1.8236980921398735E-2</v>
      </c>
    </row>
    <row r="147" spans="1:158" x14ac:dyDescent="0.25">
      <c r="C147" s="3" t="s">
        <v>649</v>
      </c>
      <c r="D147" s="327"/>
      <c r="E147" s="327"/>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4"/>
      <c r="BQ147" s="4"/>
      <c r="BR147" s="4"/>
      <c r="BS147" s="4"/>
      <c r="BT147" s="4"/>
      <c r="BU147" s="4"/>
      <c r="BV147" s="4"/>
      <c r="BW147" s="4"/>
      <c r="BX147" s="4"/>
      <c r="BY147" s="4"/>
      <c r="BZ147" s="4"/>
      <c r="CA147" s="4"/>
      <c r="CB147" s="4"/>
      <c r="CC147" s="4"/>
      <c r="CD147" s="4"/>
      <c r="CE147" s="4"/>
      <c r="CF147" s="4"/>
      <c r="CG147" s="4"/>
      <c r="CH147" s="4"/>
      <c r="CI147" s="4"/>
      <c r="CJ147" s="4"/>
      <c r="CK147" s="4"/>
      <c r="CL147" s="4"/>
      <c r="CM147" s="4"/>
      <c r="CN147" s="4"/>
      <c r="CO147" s="4"/>
      <c r="CP147" s="4"/>
      <c r="CQ147" s="4"/>
      <c r="CR147" s="4"/>
      <c r="CS147" s="4"/>
      <c r="CT147" s="4"/>
      <c r="CU147" s="4"/>
      <c r="CV147" s="4"/>
      <c r="CW147" s="4"/>
      <c r="CX147" s="4"/>
      <c r="CY147" s="4"/>
      <c r="CZ147" s="4"/>
      <c r="DA147" s="4"/>
      <c r="DB147" s="4"/>
      <c r="DC147" s="4"/>
      <c r="DD147" s="4"/>
      <c r="DE147" s="4"/>
      <c r="DF147" s="4"/>
      <c r="DG147" s="4"/>
      <c r="DH147" s="4"/>
      <c r="DI147" s="4"/>
      <c r="DJ147" s="4"/>
      <c r="DK147" s="4"/>
      <c r="DL147" s="4"/>
      <c r="DM147" s="4"/>
      <c r="DN147" s="4"/>
      <c r="DO147" s="4"/>
      <c r="DP147" s="4"/>
      <c r="DQ147" s="4"/>
      <c r="DR147" s="4"/>
      <c r="DS147" s="4"/>
      <c r="DT147" s="4"/>
      <c r="DU147" s="4"/>
      <c r="DV147" s="4"/>
      <c r="DW147" s="4"/>
      <c r="DX147" s="4"/>
      <c r="DY147" s="4"/>
      <c r="DZ147" s="4"/>
      <c r="EA147" s="4"/>
      <c r="EB147" s="4"/>
      <c r="EC147" s="4"/>
      <c r="ED147" s="4"/>
      <c r="EE147" s="4"/>
      <c r="EF147" s="4"/>
      <c r="EG147" s="4"/>
      <c r="EH147" s="4"/>
      <c r="EI147" s="4"/>
      <c r="EJ147" s="4"/>
      <c r="EK147" s="4"/>
      <c r="EL147" s="4"/>
      <c r="EM147" s="4"/>
      <c r="EN147" s="4"/>
      <c r="EO147" s="4"/>
      <c r="EP147" s="4"/>
      <c r="EQ147" s="4"/>
      <c r="ER147" s="4"/>
      <c r="ES147" s="4"/>
      <c r="ET147" s="4"/>
      <c r="EU147" s="4"/>
      <c r="EV147" s="4"/>
      <c r="EW147" s="4"/>
      <c r="EX147" s="4"/>
      <c r="EY147" s="4"/>
      <c r="EZ147" s="4"/>
      <c r="FA147" s="4"/>
      <c r="FB147" s="4"/>
    </row>
    <row r="149" spans="1:158" x14ac:dyDescent="0.25">
      <c r="C149" s="304" t="s">
        <v>640</v>
      </c>
    </row>
    <row r="150" spans="1:158" x14ac:dyDescent="0.25">
      <c r="C150" s="2" t="s">
        <v>346</v>
      </c>
      <c r="D150" s="349">
        <f t="shared" ref="D150" si="685">1-SUM(D151:D153)</f>
        <v>0.95</v>
      </c>
      <c r="E150" s="349">
        <f t="shared" ref="E150" si="686">1-SUM(E151:E153)</f>
        <v>0.95</v>
      </c>
      <c r="F150" s="349">
        <f t="shared" ref="F150" si="687">1-SUM(F151:F153)</f>
        <v>0.95</v>
      </c>
      <c r="G150" s="349">
        <f t="shared" ref="G150" si="688">1-SUM(G151:G153)</f>
        <v>0.87328862344486369</v>
      </c>
      <c r="H150" s="349">
        <f t="shared" ref="H150" si="689">1-SUM(H151:H153)</f>
        <v>0.81291937919900004</v>
      </c>
      <c r="I150" s="349">
        <f>1-SUM(I151:I153)</f>
        <v>0.57291937919900005</v>
      </c>
      <c r="J150" s="349">
        <f t="shared" ref="J150" si="690">1-SUM(J151:J153)</f>
        <v>0.52291937919900011</v>
      </c>
      <c r="K150" s="349">
        <f t="shared" ref="K150" si="691">1-SUM(K151:K153)</f>
        <v>0.52291937919900011</v>
      </c>
      <c r="L150" s="349">
        <f t="shared" ref="L150" si="692">1-SUM(L151:L153)</f>
        <v>0.49791937919900009</v>
      </c>
      <c r="N150" s="260">
        <f>N174/N$173</f>
        <v>0.95</v>
      </c>
      <c r="O150" s="260">
        <f t="shared" ref="O150:AW150" si="693">O174/O$99</f>
        <v>1.1782402966115553</v>
      </c>
      <c r="P150" s="260">
        <f t="shared" si="693"/>
        <v>0.6220686109379725</v>
      </c>
      <c r="Q150" s="260">
        <f t="shared" si="693"/>
        <v>0.44962140586784127</v>
      </c>
      <c r="R150" s="260">
        <f t="shared" si="693"/>
        <v>0.63371914014754183</v>
      </c>
      <c r="S150" s="260">
        <f t="shared" si="693"/>
        <v>0.55126266637103805</v>
      </c>
      <c r="T150" s="260">
        <f t="shared" si="693"/>
        <v>1.0937645486901648</v>
      </c>
      <c r="U150" s="260">
        <f t="shared" si="693"/>
        <v>0.91853248162641921</v>
      </c>
      <c r="V150" s="260">
        <f t="shared" si="693"/>
        <v>1.2509614824567705</v>
      </c>
      <c r="W150" s="260">
        <f t="shared" si="693"/>
        <v>0.61323154503683019</v>
      </c>
      <c r="X150" s="260">
        <f t="shared" si="693"/>
        <v>0.54254877387778422</v>
      </c>
      <c r="Y150" s="260">
        <f t="shared" si="693"/>
        <v>0.64915932330044512</v>
      </c>
      <c r="Z150" s="260">
        <f t="shared" si="693"/>
        <v>0.4361852439751901</v>
      </c>
      <c r="AA150" s="260">
        <f t="shared" si="693"/>
        <v>0.46624588130639677</v>
      </c>
      <c r="AB150" s="260">
        <f t="shared" si="693"/>
        <v>0.55252843119592321</v>
      </c>
      <c r="AC150" s="260">
        <f t="shared" si="693"/>
        <v>0.61923551539953003</v>
      </c>
      <c r="AD150" s="260">
        <f t="shared" si="693"/>
        <v>0.54134512564712989</v>
      </c>
      <c r="AE150" s="260">
        <f t="shared" si="693"/>
        <v>0.54134512564712978</v>
      </c>
      <c r="AF150" s="260">
        <f t="shared" si="693"/>
        <v>0.54134512564712989</v>
      </c>
      <c r="AG150" s="260">
        <f t="shared" si="693"/>
        <v>0.54134512564712967</v>
      </c>
      <c r="AH150" s="260">
        <f t="shared" si="693"/>
        <v>0.39082338963694974</v>
      </c>
      <c r="AI150" s="260">
        <f t="shared" si="693"/>
        <v>0.39082338963694979</v>
      </c>
      <c r="AJ150" s="260">
        <f t="shared" si="693"/>
        <v>0.39082338963694963</v>
      </c>
      <c r="AK150" s="260">
        <f t="shared" si="693"/>
        <v>0.39082338963694979</v>
      </c>
      <c r="AL150" s="260">
        <f t="shared" si="693"/>
        <v>0.34542531805997295</v>
      </c>
      <c r="AM150" s="260">
        <f t="shared" si="693"/>
        <v>0.34542531805997301</v>
      </c>
      <c r="AN150" s="260">
        <f t="shared" si="693"/>
        <v>0.34542531805997295</v>
      </c>
      <c r="AO150" s="260">
        <f t="shared" si="693"/>
        <v>0.34542531805997306</v>
      </c>
      <c r="AP150" s="260">
        <f t="shared" si="693"/>
        <v>0.33357965791670452</v>
      </c>
      <c r="AQ150" s="260">
        <f t="shared" si="693"/>
        <v>0.33357965791670458</v>
      </c>
      <c r="AR150" s="260">
        <f t="shared" si="693"/>
        <v>0.33357965791670463</v>
      </c>
      <c r="AS150" s="260">
        <f t="shared" si="693"/>
        <v>0.33357965791670458</v>
      </c>
      <c r="AT150" s="260">
        <f t="shared" si="693"/>
        <v>0.30580111639434165</v>
      </c>
      <c r="AU150" s="260">
        <f t="shared" si="693"/>
        <v>0.30580111639434165</v>
      </c>
      <c r="AV150" s="260">
        <f t="shared" si="693"/>
        <v>0.30580111639434171</v>
      </c>
      <c r="AW150" s="260">
        <f t="shared" si="693"/>
        <v>0.30580111639434171</v>
      </c>
      <c r="AY150" s="260">
        <f t="shared" ref="AY150:DJ150" si="694">1-SUM(AY151:AY153)</f>
        <v>0.95</v>
      </c>
      <c r="AZ150" s="260">
        <f t="shared" si="694"/>
        <v>0.95</v>
      </c>
      <c r="BA150" s="260">
        <f t="shared" si="694"/>
        <v>0.95</v>
      </c>
      <c r="BB150" s="260">
        <f t="shared" si="694"/>
        <v>0.95</v>
      </c>
      <c r="BC150" s="260">
        <f t="shared" si="694"/>
        <v>0.95</v>
      </c>
      <c r="BD150" s="260">
        <f t="shared" si="694"/>
        <v>0.95</v>
      </c>
      <c r="BE150" s="260">
        <f t="shared" si="694"/>
        <v>0.95</v>
      </c>
      <c r="BF150" s="260">
        <f t="shared" si="694"/>
        <v>0.95</v>
      </c>
      <c r="BG150" s="260">
        <f t="shared" si="694"/>
        <v>0.95</v>
      </c>
      <c r="BH150" s="260">
        <f t="shared" si="694"/>
        <v>0.95</v>
      </c>
      <c r="BI150" s="260">
        <f t="shared" si="694"/>
        <v>0.95</v>
      </c>
      <c r="BJ150" s="260">
        <f t="shared" si="694"/>
        <v>0.95</v>
      </c>
      <c r="BK150" s="260">
        <f t="shared" si="694"/>
        <v>0.95</v>
      </c>
      <c r="BL150" s="260">
        <f t="shared" si="694"/>
        <v>0.95</v>
      </c>
      <c r="BM150" s="260">
        <f t="shared" si="694"/>
        <v>0.95</v>
      </c>
      <c r="BN150" s="260">
        <f t="shared" si="694"/>
        <v>0.95</v>
      </c>
      <c r="BO150" s="260">
        <f t="shared" si="694"/>
        <v>0.95</v>
      </c>
      <c r="BP150" s="260">
        <f t="shared" si="694"/>
        <v>0.95</v>
      </c>
      <c r="BQ150" s="260">
        <f t="shared" si="694"/>
        <v>0.95</v>
      </c>
      <c r="BR150" s="260">
        <f t="shared" si="694"/>
        <v>0.95</v>
      </c>
      <c r="BS150" s="260">
        <f t="shared" si="694"/>
        <v>0.95</v>
      </c>
      <c r="BT150" s="260">
        <f t="shared" si="694"/>
        <v>0.95</v>
      </c>
      <c r="BU150" s="260">
        <f t="shared" si="694"/>
        <v>0.95</v>
      </c>
      <c r="BV150" s="260">
        <f t="shared" si="694"/>
        <v>0.95</v>
      </c>
      <c r="BW150" s="260">
        <f t="shared" si="694"/>
        <v>0.95</v>
      </c>
      <c r="BX150" s="260">
        <f t="shared" si="694"/>
        <v>0.95</v>
      </c>
      <c r="BY150" s="260">
        <f t="shared" si="694"/>
        <v>0.95</v>
      </c>
      <c r="BZ150" s="260">
        <f t="shared" si="694"/>
        <v>0.95</v>
      </c>
      <c r="CA150" s="260">
        <f t="shared" si="694"/>
        <v>0.95</v>
      </c>
      <c r="CB150" s="260">
        <f t="shared" si="694"/>
        <v>0.95</v>
      </c>
      <c r="CC150" s="260">
        <f t="shared" si="694"/>
        <v>0.95</v>
      </c>
      <c r="CD150" s="260">
        <f t="shared" si="694"/>
        <v>0.95</v>
      </c>
      <c r="CE150" s="260">
        <f t="shared" si="694"/>
        <v>0.95</v>
      </c>
      <c r="CF150" s="260">
        <f t="shared" si="694"/>
        <v>0.95</v>
      </c>
      <c r="CG150" s="260">
        <f t="shared" si="694"/>
        <v>0.95</v>
      </c>
      <c r="CH150" s="260">
        <f t="shared" si="694"/>
        <v>0.95</v>
      </c>
      <c r="CI150" s="260">
        <f t="shared" si="694"/>
        <v>0.87328862344486369</v>
      </c>
      <c r="CJ150" s="260">
        <f t="shared" si="694"/>
        <v>0.87328862344486369</v>
      </c>
      <c r="CK150" s="260">
        <f t="shared" si="694"/>
        <v>0.87328862344486369</v>
      </c>
      <c r="CL150" s="260">
        <f t="shared" si="694"/>
        <v>0.87328862344486369</v>
      </c>
      <c r="CM150" s="260">
        <f t="shared" si="694"/>
        <v>0.87328862344486369</v>
      </c>
      <c r="CN150" s="260">
        <f t="shared" si="694"/>
        <v>0.87328862344486369</v>
      </c>
      <c r="CO150" s="260">
        <f t="shared" si="694"/>
        <v>0.87328862344486369</v>
      </c>
      <c r="CP150" s="260">
        <f t="shared" si="694"/>
        <v>0.87328862344486369</v>
      </c>
      <c r="CQ150" s="260">
        <f t="shared" si="694"/>
        <v>0.87328862344486369</v>
      </c>
      <c r="CR150" s="260">
        <f t="shared" si="694"/>
        <v>0.87328862344486369</v>
      </c>
      <c r="CS150" s="260">
        <f t="shared" si="694"/>
        <v>0.87328862344486369</v>
      </c>
      <c r="CT150" s="260">
        <f t="shared" si="694"/>
        <v>0.87328862344486369</v>
      </c>
      <c r="CU150" s="260">
        <f t="shared" si="694"/>
        <v>0.81291937919900004</v>
      </c>
      <c r="CV150" s="260">
        <f t="shared" si="694"/>
        <v>0.81291937919900004</v>
      </c>
      <c r="CW150" s="260">
        <f t="shared" si="694"/>
        <v>0.81291937919900004</v>
      </c>
      <c r="CX150" s="260">
        <f t="shared" si="694"/>
        <v>0.81291937919900004</v>
      </c>
      <c r="CY150" s="260">
        <f t="shared" si="694"/>
        <v>0.81291937919900004</v>
      </c>
      <c r="CZ150" s="260">
        <f t="shared" si="694"/>
        <v>0.81291937919900004</v>
      </c>
      <c r="DA150" s="260">
        <f t="shared" si="694"/>
        <v>0.81291937919900004</v>
      </c>
      <c r="DB150" s="260">
        <f t="shared" si="694"/>
        <v>0.81291937919900004</v>
      </c>
      <c r="DC150" s="260">
        <f t="shared" si="694"/>
        <v>0.81291937919900004</v>
      </c>
      <c r="DD150" s="260">
        <f t="shared" si="694"/>
        <v>0.81291937919900004</v>
      </c>
      <c r="DE150" s="260">
        <f t="shared" si="694"/>
        <v>0.81291937919900004</v>
      </c>
      <c r="DF150" s="260">
        <f t="shared" si="694"/>
        <v>0.81291937919900004</v>
      </c>
      <c r="DG150" s="260">
        <f t="shared" si="694"/>
        <v>0.57291937919900005</v>
      </c>
      <c r="DH150" s="260">
        <f t="shared" si="694"/>
        <v>0.57291937919900005</v>
      </c>
      <c r="DI150" s="260">
        <f t="shared" si="694"/>
        <v>0.57291937919900005</v>
      </c>
      <c r="DJ150" s="260">
        <f t="shared" si="694"/>
        <v>0.57291937919900005</v>
      </c>
      <c r="DK150" s="260">
        <f t="shared" ref="DK150:FB150" si="695">1-SUM(DK151:DK153)</f>
        <v>0.57291937919900005</v>
      </c>
      <c r="DL150" s="260">
        <f t="shared" si="695"/>
        <v>0.57291937919900005</v>
      </c>
      <c r="DM150" s="260">
        <f t="shared" si="695"/>
        <v>0.57291937919900005</v>
      </c>
      <c r="DN150" s="260">
        <f t="shared" si="695"/>
        <v>0.57291937919900005</v>
      </c>
      <c r="DO150" s="260">
        <f t="shared" si="695"/>
        <v>0.57291937919900005</v>
      </c>
      <c r="DP150" s="260">
        <f t="shared" si="695"/>
        <v>0.57291937919900005</v>
      </c>
      <c r="DQ150" s="260">
        <f t="shared" si="695"/>
        <v>0.57291937919900005</v>
      </c>
      <c r="DR150" s="260">
        <f t="shared" si="695"/>
        <v>0.57291937919900005</v>
      </c>
      <c r="DS150" s="260">
        <f t="shared" si="695"/>
        <v>0.52291937919900011</v>
      </c>
      <c r="DT150" s="260">
        <f t="shared" si="695"/>
        <v>0.52291937919900011</v>
      </c>
      <c r="DU150" s="260">
        <f t="shared" si="695"/>
        <v>0.52291937919900011</v>
      </c>
      <c r="DV150" s="260">
        <f t="shared" si="695"/>
        <v>0.52291937919900011</v>
      </c>
      <c r="DW150" s="260">
        <f t="shared" si="695"/>
        <v>0.52291937919900011</v>
      </c>
      <c r="DX150" s="260">
        <f t="shared" si="695"/>
        <v>0.52291937919900011</v>
      </c>
      <c r="DY150" s="260">
        <f t="shared" si="695"/>
        <v>0.52291937919900011</v>
      </c>
      <c r="DZ150" s="260">
        <f t="shared" si="695"/>
        <v>0.52291937919900011</v>
      </c>
      <c r="EA150" s="260">
        <f t="shared" si="695"/>
        <v>0.52291937919900011</v>
      </c>
      <c r="EB150" s="260">
        <f t="shared" si="695"/>
        <v>0.52291937919900011</v>
      </c>
      <c r="EC150" s="260">
        <f t="shared" si="695"/>
        <v>0.52291937919900011</v>
      </c>
      <c r="ED150" s="260">
        <f t="shared" si="695"/>
        <v>0.52291937919900011</v>
      </c>
      <c r="EE150" s="260">
        <f t="shared" si="695"/>
        <v>0.52291937919900011</v>
      </c>
      <c r="EF150" s="260">
        <f t="shared" si="695"/>
        <v>0.52291937919900011</v>
      </c>
      <c r="EG150" s="260">
        <f t="shared" si="695"/>
        <v>0.52291937919900011</v>
      </c>
      <c r="EH150" s="260">
        <f t="shared" si="695"/>
        <v>0.52291937919900011</v>
      </c>
      <c r="EI150" s="260">
        <f t="shared" si="695"/>
        <v>0.52291937919900011</v>
      </c>
      <c r="EJ150" s="260">
        <f t="shared" si="695"/>
        <v>0.52291937919900011</v>
      </c>
      <c r="EK150" s="260">
        <f t="shared" si="695"/>
        <v>0.52291937919900011</v>
      </c>
      <c r="EL150" s="260">
        <f t="shared" si="695"/>
        <v>0.52291937919900011</v>
      </c>
      <c r="EM150" s="260">
        <f t="shared" si="695"/>
        <v>0.52291937919900011</v>
      </c>
      <c r="EN150" s="260">
        <f t="shared" si="695"/>
        <v>0.52291937919900011</v>
      </c>
      <c r="EO150" s="260">
        <f t="shared" si="695"/>
        <v>0.52291937919900011</v>
      </c>
      <c r="EP150" s="260">
        <f t="shared" si="695"/>
        <v>0.52291937919900011</v>
      </c>
      <c r="EQ150" s="260">
        <f t="shared" si="695"/>
        <v>0.49791937919900009</v>
      </c>
      <c r="ER150" s="260">
        <f t="shared" si="695"/>
        <v>0.49791937919900009</v>
      </c>
      <c r="ES150" s="260">
        <f t="shared" si="695"/>
        <v>0.49791937919900009</v>
      </c>
      <c r="ET150" s="260">
        <f t="shared" si="695"/>
        <v>0.49791937919900009</v>
      </c>
      <c r="EU150" s="260">
        <f t="shared" si="695"/>
        <v>0.49791937919900009</v>
      </c>
      <c r="EV150" s="260">
        <f t="shared" si="695"/>
        <v>0.49791937919900009</v>
      </c>
      <c r="EW150" s="260">
        <f t="shared" si="695"/>
        <v>0.49791937919900009</v>
      </c>
      <c r="EX150" s="260">
        <f t="shared" si="695"/>
        <v>0.49791937919900009</v>
      </c>
      <c r="EY150" s="260">
        <f t="shared" si="695"/>
        <v>0.49791937919900009</v>
      </c>
      <c r="EZ150" s="260">
        <f t="shared" si="695"/>
        <v>0.49791937919900009</v>
      </c>
      <c r="FA150" s="260">
        <f t="shared" si="695"/>
        <v>0.49791937919900009</v>
      </c>
      <c r="FB150" s="260">
        <f t="shared" si="695"/>
        <v>0.49791937919900009</v>
      </c>
    </row>
    <row r="151" spans="1:158" x14ac:dyDescent="0.25">
      <c r="C151" s="2" t="s">
        <v>298</v>
      </c>
      <c r="D151" s="330">
        <v>0.02</v>
      </c>
      <c r="E151" s="330">
        <v>0.02</v>
      </c>
      <c r="F151" s="330">
        <v>0.02</v>
      </c>
      <c r="G151" s="169">
        <v>0.03</v>
      </c>
      <c r="H151" s="169">
        <v>4.4999999999999998E-2</v>
      </c>
      <c r="I151" s="169">
        <v>0.125</v>
      </c>
      <c r="J151" s="169">
        <v>0.125</v>
      </c>
      <c r="K151" s="169">
        <v>0.125</v>
      </c>
      <c r="L151" s="169">
        <v>0.15</v>
      </c>
      <c r="N151" s="260">
        <f>N175/N$99</f>
        <v>1.8212734025666508E-2</v>
      </c>
      <c r="O151" s="260">
        <f t="shared" ref="O151:AW151" si="696">O175/O$99</f>
        <v>2.4805058876032744E-2</v>
      </c>
      <c r="P151" s="260">
        <f t="shared" si="696"/>
        <v>1.3096181282904682E-2</v>
      </c>
      <c r="Q151" s="260">
        <f t="shared" si="696"/>
        <v>9.465713807744025E-3</v>
      </c>
      <c r="R151" s="260">
        <f t="shared" si="696"/>
        <v>1.3341455582053513E-2</v>
      </c>
      <c r="S151" s="260">
        <f t="shared" si="696"/>
        <v>1.1605529818337644E-2</v>
      </c>
      <c r="T151" s="260">
        <f t="shared" si="696"/>
        <v>2.3026622077687686E-2</v>
      </c>
      <c r="U151" s="260">
        <f t="shared" si="696"/>
        <v>1.9337525928977251E-2</v>
      </c>
      <c r="V151" s="260">
        <f t="shared" si="696"/>
        <v>2.6336031209616223E-2</v>
      </c>
      <c r="W151" s="260">
        <f t="shared" si="696"/>
        <v>1.2910137790249054E-2</v>
      </c>
      <c r="X151" s="260">
        <f t="shared" si="696"/>
        <v>1.1422079450058615E-2</v>
      </c>
      <c r="Y151" s="260">
        <f t="shared" si="696"/>
        <v>1.366651206948306E-2</v>
      </c>
      <c r="Z151" s="260">
        <f t="shared" si="696"/>
        <v>1.4984229689878557E-2</v>
      </c>
      <c r="AA151" s="260">
        <f t="shared" si="696"/>
        <v>1.6016899869845856E-2</v>
      </c>
      <c r="AB151" s="260">
        <f t="shared" si="696"/>
        <v>1.8980955998820742E-2</v>
      </c>
      <c r="AC151" s="260">
        <f t="shared" si="696"/>
        <v>2.1272538039834882E-2</v>
      </c>
      <c r="AD151" s="260">
        <f t="shared" si="696"/>
        <v>2.996672397959585E-2</v>
      </c>
      <c r="AE151" s="260">
        <f t="shared" si="696"/>
        <v>2.9966723979595846E-2</v>
      </c>
      <c r="AF151" s="260">
        <f t="shared" si="696"/>
        <v>2.996672397959585E-2</v>
      </c>
      <c r="AG151" s="260">
        <f t="shared" si="696"/>
        <v>2.9966723979595843E-2</v>
      </c>
      <c r="AH151" s="260">
        <f t="shared" si="696"/>
        <v>8.5270154018738387E-2</v>
      </c>
      <c r="AI151" s="260">
        <f t="shared" si="696"/>
        <v>8.5270154018738387E-2</v>
      </c>
      <c r="AJ151" s="260">
        <f t="shared" si="696"/>
        <v>8.5270154018738387E-2</v>
      </c>
      <c r="AK151" s="260">
        <f t="shared" si="696"/>
        <v>8.5270154018738387E-2</v>
      </c>
      <c r="AL151" s="260">
        <f t="shared" si="696"/>
        <v>8.2571360854203329E-2</v>
      </c>
      <c r="AM151" s="260">
        <f t="shared" si="696"/>
        <v>8.2571360854203329E-2</v>
      </c>
      <c r="AN151" s="260">
        <f t="shared" si="696"/>
        <v>8.2571360854203329E-2</v>
      </c>
      <c r="AO151" s="260">
        <f t="shared" si="696"/>
        <v>8.2571360854203343E-2</v>
      </c>
      <c r="AP151" s="260">
        <f t="shared" si="696"/>
        <v>7.9739743635930255E-2</v>
      </c>
      <c r="AQ151" s="260">
        <f t="shared" si="696"/>
        <v>7.9739743635930269E-2</v>
      </c>
      <c r="AR151" s="260">
        <f t="shared" si="696"/>
        <v>7.9739743635930269E-2</v>
      </c>
      <c r="AS151" s="260">
        <f t="shared" si="696"/>
        <v>7.9739743635930255E-2</v>
      </c>
      <c r="AT151" s="260">
        <f t="shared" si="696"/>
        <v>9.2123683823960231E-2</v>
      </c>
      <c r="AU151" s="260">
        <f t="shared" si="696"/>
        <v>9.2123683823960231E-2</v>
      </c>
      <c r="AV151" s="260">
        <f t="shared" si="696"/>
        <v>9.2123683823960259E-2</v>
      </c>
      <c r="AW151" s="260">
        <f t="shared" si="696"/>
        <v>9.2123683823960231E-2</v>
      </c>
      <c r="AY151" s="262">
        <f t="shared" ref="AY151:BH152" si="697">INDEX($D151:$L151,1,MATCH(AY$2,$D$2:$L$2,))</f>
        <v>0.02</v>
      </c>
      <c r="AZ151" s="262">
        <f t="shared" si="697"/>
        <v>0.02</v>
      </c>
      <c r="BA151" s="262">
        <f t="shared" si="697"/>
        <v>0.02</v>
      </c>
      <c r="BB151" s="262">
        <f t="shared" si="697"/>
        <v>0.02</v>
      </c>
      <c r="BC151" s="262">
        <f t="shared" si="697"/>
        <v>0.02</v>
      </c>
      <c r="BD151" s="262">
        <f t="shared" si="697"/>
        <v>0.02</v>
      </c>
      <c r="BE151" s="262">
        <f t="shared" si="697"/>
        <v>0.02</v>
      </c>
      <c r="BF151" s="262">
        <f t="shared" si="697"/>
        <v>0.02</v>
      </c>
      <c r="BG151" s="262">
        <f t="shared" si="697"/>
        <v>0.02</v>
      </c>
      <c r="BH151" s="262">
        <f t="shared" si="697"/>
        <v>0.02</v>
      </c>
      <c r="BI151" s="262">
        <f t="shared" ref="BI151:BR152" si="698">INDEX($D151:$L151,1,MATCH(BI$2,$D$2:$L$2,))</f>
        <v>0.02</v>
      </c>
      <c r="BJ151" s="262">
        <f t="shared" si="698"/>
        <v>0.02</v>
      </c>
      <c r="BK151" s="262">
        <f t="shared" si="698"/>
        <v>0.02</v>
      </c>
      <c r="BL151" s="262">
        <f t="shared" si="698"/>
        <v>0.02</v>
      </c>
      <c r="BM151" s="262">
        <f t="shared" si="698"/>
        <v>0.02</v>
      </c>
      <c r="BN151" s="262">
        <f t="shared" si="698"/>
        <v>0.02</v>
      </c>
      <c r="BO151" s="262">
        <f t="shared" si="698"/>
        <v>0.02</v>
      </c>
      <c r="BP151" s="262">
        <f t="shared" si="698"/>
        <v>0.02</v>
      </c>
      <c r="BQ151" s="262">
        <f t="shared" si="698"/>
        <v>0.02</v>
      </c>
      <c r="BR151" s="262">
        <f t="shared" si="698"/>
        <v>0.02</v>
      </c>
      <c r="BS151" s="262">
        <f t="shared" ref="BS151:CB152" si="699">INDEX($D151:$L151,1,MATCH(BS$2,$D$2:$L$2,))</f>
        <v>0.02</v>
      </c>
      <c r="BT151" s="262">
        <f t="shared" si="699"/>
        <v>0.02</v>
      </c>
      <c r="BU151" s="262">
        <f t="shared" si="699"/>
        <v>0.02</v>
      </c>
      <c r="BV151" s="262">
        <f t="shared" si="699"/>
        <v>0.02</v>
      </c>
      <c r="BW151" s="262">
        <f t="shared" si="699"/>
        <v>0.02</v>
      </c>
      <c r="BX151" s="262">
        <f t="shared" si="699"/>
        <v>0.02</v>
      </c>
      <c r="BY151" s="262">
        <f t="shared" si="699"/>
        <v>0.02</v>
      </c>
      <c r="BZ151" s="262">
        <f t="shared" si="699"/>
        <v>0.02</v>
      </c>
      <c r="CA151" s="262">
        <f t="shared" si="699"/>
        <v>0.02</v>
      </c>
      <c r="CB151" s="262">
        <f t="shared" si="699"/>
        <v>0.02</v>
      </c>
      <c r="CC151" s="262">
        <f t="shared" ref="CC151:CL152" si="700">INDEX($D151:$L151,1,MATCH(CC$2,$D$2:$L$2,))</f>
        <v>0.02</v>
      </c>
      <c r="CD151" s="262">
        <f t="shared" si="700"/>
        <v>0.02</v>
      </c>
      <c r="CE151" s="262">
        <f t="shared" si="700"/>
        <v>0.02</v>
      </c>
      <c r="CF151" s="262">
        <f t="shared" si="700"/>
        <v>0.02</v>
      </c>
      <c r="CG151" s="262">
        <f t="shared" si="700"/>
        <v>0.02</v>
      </c>
      <c r="CH151" s="262">
        <f t="shared" si="700"/>
        <v>0.02</v>
      </c>
      <c r="CI151" s="262">
        <f t="shared" si="700"/>
        <v>0.03</v>
      </c>
      <c r="CJ151" s="262">
        <f t="shared" si="700"/>
        <v>0.03</v>
      </c>
      <c r="CK151" s="262">
        <f t="shared" si="700"/>
        <v>0.03</v>
      </c>
      <c r="CL151" s="262">
        <f t="shared" si="700"/>
        <v>0.03</v>
      </c>
      <c r="CM151" s="262">
        <f t="shared" ref="CM151:CT152" si="701">INDEX($D151:$L151,1,MATCH(CM$2,$D$2:$L$2,))</f>
        <v>0.03</v>
      </c>
      <c r="CN151" s="262">
        <f t="shared" si="701"/>
        <v>0.03</v>
      </c>
      <c r="CO151" s="262">
        <f t="shared" si="701"/>
        <v>0.03</v>
      </c>
      <c r="CP151" s="262">
        <f t="shared" si="701"/>
        <v>0.03</v>
      </c>
      <c r="CQ151" s="262">
        <f t="shared" si="701"/>
        <v>0.03</v>
      </c>
      <c r="CR151" s="262">
        <f t="shared" si="701"/>
        <v>0.03</v>
      </c>
      <c r="CS151" s="262">
        <f t="shared" si="701"/>
        <v>0.03</v>
      </c>
      <c r="CT151" s="262">
        <f t="shared" si="701"/>
        <v>0.03</v>
      </c>
      <c r="CU151" s="262">
        <f t="shared" ref="AY151:DJ153" si="702">INDEX($D151:$L151,1,MATCH(CU$2,$D$2:$L$2,))</f>
        <v>4.4999999999999998E-2</v>
      </c>
      <c r="CV151" s="262">
        <f t="shared" si="702"/>
        <v>4.4999999999999998E-2</v>
      </c>
      <c r="CW151" s="262">
        <f t="shared" si="702"/>
        <v>4.4999999999999998E-2</v>
      </c>
      <c r="CX151" s="262">
        <f t="shared" si="702"/>
        <v>4.4999999999999998E-2</v>
      </c>
      <c r="CY151" s="262">
        <f t="shared" si="702"/>
        <v>4.4999999999999998E-2</v>
      </c>
      <c r="CZ151" s="262">
        <f t="shared" si="702"/>
        <v>4.4999999999999998E-2</v>
      </c>
      <c r="DA151" s="262">
        <f t="shared" si="702"/>
        <v>4.4999999999999998E-2</v>
      </c>
      <c r="DB151" s="262">
        <f t="shared" si="702"/>
        <v>4.4999999999999998E-2</v>
      </c>
      <c r="DC151" s="262">
        <f t="shared" si="702"/>
        <v>4.4999999999999998E-2</v>
      </c>
      <c r="DD151" s="262">
        <f t="shared" si="702"/>
        <v>4.4999999999999998E-2</v>
      </c>
      <c r="DE151" s="262">
        <f t="shared" si="702"/>
        <v>4.4999999999999998E-2</v>
      </c>
      <c r="DF151" s="262">
        <f t="shared" si="702"/>
        <v>4.4999999999999998E-2</v>
      </c>
      <c r="DG151" s="262">
        <f t="shared" si="702"/>
        <v>0.125</v>
      </c>
      <c r="DH151" s="262">
        <f t="shared" si="702"/>
        <v>0.125</v>
      </c>
      <c r="DI151" s="262">
        <f t="shared" si="702"/>
        <v>0.125</v>
      </c>
      <c r="DJ151" s="262">
        <f t="shared" si="702"/>
        <v>0.125</v>
      </c>
      <c r="DK151" s="262">
        <f t="shared" ref="DK151:DT153" si="703">INDEX($D151:$L151,1,MATCH(DK$2,$D$2:$L$2,))</f>
        <v>0.125</v>
      </c>
      <c r="DL151" s="262">
        <f t="shared" si="703"/>
        <v>0.125</v>
      </c>
      <c r="DM151" s="262">
        <f t="shared" si="703"/>
        <v>0.125</v>
      </c>
      <c r="DN151" s="262">
        <f t="shared" si="703"/>
        <v>0.125</v>
      </c>
      <c r="DO151" s="262">
        <f t="shared" si="703"/>
        <v>0.125</v>
      </c>
      <c r="DP151" s="262">
        <f t="shared" si="703"/>
        <v>0.125</v>
      </c>
      <c r="DQ151" s="262">
        <f t="shared" si="703"/>
        <v>0.125</v>
      </c>
      <c r="DR151" s="262">
        <f t="shared" si="703"/>
        <v>0.125</v>
      </c>
      <c r="DS151" s="262">
        <f t="shared" si="703"/>
        <v>0.125</v>
      </c>
      <c r="DT151" s="262">
        <f t="shared" si="703"/>
        <v>0.125</v>
      </c>
      <c r="DU151" s="262">
        <f t="shared" ref="DU151:ED153" si="704">INDEX($D151:$L151,1,MATCH(DU$2,$D$2:$L$2,))</f>
        <v>0.125</v>
      </c>
      <c r="DV151" s="262">
        <f t="shared" si="704"/>
        <v>0.125</v>
      </c>
      <c r="DW151" s="262">
        <f t="shared" si="704"/>
        <v>0.125</v>
      </c>
      <c r="DX151" s="262">
        <f t="shared" si="704"/>
        <v>0.125</v>
      </c>
      <c r="DY151" s="262">
        <f t="shared" si="704"/>
        <v>0.125</v>
      </c>
      <c r="DZ151" s="262">
        <f t="shared" si="704"/>
        <v>0.125</v>
      </c>
      <c r="EA151" s="262">
        <f t="shared" si="704"/>
        <v>0.125</v>
      </c>
      <c r="EB151" s="262">
        <f t="shared" si="704"/>
        <v>0.125</v>
      </c>
      <c r="EC151" s="262">
        <f t="shared" si="704"/>
        <v>0.125</v>
      </c>
      <c r="ED151" s="262">
        <f t="shared" si="704"/>
        <v>0.125</v>
      </c>
      <c r="EE151" s="262">
        <f t="shared" ref="EE151:EN153" si="705">INDEX($D151:$L151,1,MATCH(EE$2,$D$2:$L$2,))</f>
        <v>0.125</v>
      </c>
      <c r="EF151" s="262">
        <f t="shared" si="705"/>
        <v>0.125</v>
      </c>
      <c r="EG151" s="262">
        <f t="shared" si="705"/>
        <v>0.125</v>
      </c>
      <c r="EH151" s="262">
        <f t="shared" si="705"/>
        <v>0.125</v>
      </c>
      <c r="EI151" s="262">
        <f t="shared" si="705"/>
        <v>0.125</v>
      </c>
      <c r="EJ151" s="262">
        <f t="shared" si="705"/>
        <v>0.125</v>
      </c>
      <c r="EK151" s="262">
        <f t="shared" si="705"/>
        <v>0.125</v>
      </c>
      <c r="EL151" s="262">
        <f t="shared" si="705"/>
        <v>0.125</v>
      </c>
      <c r="EM151" s="262">
        <f t="shared" si="705"/>
        <v>0.125</v>
      </c>
      <c r="EN151" s="262">
        <f t="shared" si="705"/>
        <v>0.125</v>
      </c>
      <c r="EO151" s="262">
        <f t="shared" ref="EO151:FB153" si="706">INDEX($D151:$L151,1,MATCH(EO$2,$D$2:$L$2,))</f>
        <v>0.125</v>
      </c>
      <c r="EP151" s="262">
        <f t="shared" si="706"/>
        <v>0.125</v>
      </c>
      <c r="EQ151" s="262">
        <f t="shared" si="706"/>
        <v>0.15</v>
      </c>
      <c r="ER151" s="262">
        <f t="shared" si="706"/>
        <v>0.15</v>
      </c>
      <c r="ES151" s="262">
        <f t="shared" si="706"/>
        <v>0.15</v>
      </c>
      <c r="ET151" s="262">
        <f t="shared" si="706"/>
        <v>0.15</v>
      </c>
      <c r="EU151" s="262">
        <f t="shared" si="706"/>
        <v>0.15</v>
      </c>
      <c r="EV151" s="262">
        <f t="shared" si="706"/>
        <v>0.15</v>
      </c>
      <c r="EW151" s="262">
        <f t="shared" si="706"/>
        <v>0.15</v>
      </c>
      <c r="EX151" s="262">
        <f t="shared" si="706"/>
        <v>0.15</v>
      </c>
      <c r="EY151" s="262">
        <f t="shared" si="706"/>
        <v>0.15</v>
      </c>
      <c r="EZ151" s="262">
        <f t="shared" si="706"/>
        <v>0.15</v>
      </c>
      <c r="FA151" s="262">
        <f t="shared" si="706"/>
        <v>0.15</v>
      </c>
      <c r="FB151" s="262">
        <f t="shared" si="706"/>
        <v>0.15</v>
      </c>
    </row>
    <row r="152" spans="1:158" x14ac:dyDescent="0.25">
      <c r="C152" s="2" t="s">
        <v>299</v>
      </c>
      <c r="D152" s="330">
        <v>0.01</v>
      </c>
      <c r="E152" s="330">
        <v>0.01</v>
      </c>
      <c r="F152" s="330">
        <v>0.01</v>
      </c>
      <c r="G152" s="169">
        <v>4.2000000000000003E-2</v>
      </c>
      <c r="H152" s="169">
        <v>0.09</v>
      </c>
      <c r="I152" s="169">
        <v>0.25</v>
      </c>
      <c r="J152" s="169">
        <v>0.3</v>
      </c>
      <c r="K152" s="169">
        <v>0.3</v>
      </c>
      <c r="L152" s="169">
        <v>0.3</v>
      </c>
      <c r="N152" s="260">
        <f>N176/N$99</f>
        <v>9.1063670128332542E-3</v>
      </c>
      <c r="O152" s="260">
        <f t="shared" ref="O152:AW152" si="707">O176/O$99</f>
        <v>1.2402529438016372E-2</v>
      </c>
      <c r="P152" s="260">
        <f t="shared" si="707"/>
        <v>6.5480906414523412E-3</v>
      </c>
      <c r="Q152" s="260">
        <f t="shared" si="707"/>
        <v>4.7328569038720125E-3</v>
      </c>
      <c r="R152" s="260">
        <f t="shared" si="707"/>
        <v>6.6707277910267567E-3</v>
      </c>
      <c r="S152" s="260">
        <f t="shared" si="707"/>
        <v>5.802764909168822E-3</v>
      </c>
      <c r="T152" s="260">
        <f t="shared" si="707"/>
        <v>1.1513311038843843E-2</v>
      </c>
      <c r="U152" s="260">
        <f t="shared" si="707"/>
        <v>9.6687629644886253E-3</v>
      </c>
      <c r="V152" s="260">
        <f t="shared" si="707"/>
        <v>1.3168015604808112E-2</v>
      </c>
      <c r="W152" s="260">
        <f t="shared" si="707"/>
        <v>6.455068895124527E-3</v>
      </c>
      <c r="X152" s="260">
        <f t="shared" si="707"/>
        <v>5.7110397250293076E-3</v>
      </c>
      <c r="Y152" s="260">
        <f t="shared" si="707"/>
        <v>6.8332560347415302E-3</v>
      </c>
      <c r="Z152" s="260">
        <f t="shared" si="707"/>
        <v>2.0977921565829984E-2</v>
      </c>
      <c r="AA152" s="260">
        <f t="shared" si="707"/>
        <v>2.2423659817784197E-2</v>
      </c>
      <c r="AB152" s="260">
        <f t="shared" si="707"/>
        <v>2.6573338398349043E-2</v>
      </c>
      <c r="AC152" s="260">
        <f t="shared" si="707"/>
        <v>2.9781553255768839E-2</v>
      </c>
      <c r="AD152" s="260">
        <f t="shared" si="707"/>
        <v>5.9933447959191699E-2</v>
      </c>
      <c r="AE152" s="260">
        <f t="shared" si="707"/>
        <v>5.9933447959191692E-2</v>
      </c>
      <c r="AF152" s="260">
        <f t="shared" si="707"/>
        <v>5.9933447959191699E-2</v>
      </c>
      <c r="AG152" s="260">
        <f t="shared" si="707"/>
        <v>5.9933447959191685E-2</v>
      </c>
      <c r="AH152" s="260">
        <f t="shared" si="707"/>
        <v>0.17054030803747677</v>
      </c>
      <c r="AI152" s="260">
        <f t="shared" si="707"/>
        <v>0.17054030803747677</v>
      </c>
      <c r="AJ152" s="260">
        <f t="shared" si="707"/>
        <v>0.17054030803747677</v>
      </c>
      <c r="AK152" s="260">
        <f t="shared" si="707"/>
        <v>0.17054030803747677</v>
      </c>
      <c r="AL152" s="260">
        <f t="shared" si="707"/>
        <v>0.19817126605008795</v>
      </c>
      <c r="AM152" s="260">
        <f t="shared" si="707"/>
        <v>0.19817126605008797</v>
      </c>
      <c r="AN152" s="260">
        <f t="shared" si="707"/>
        <v>0.19817126605008795</v>
      </c>
      <c r="AO152" s="260">
        <f t="shared" si="707"/>
        <v>0.19817126605008803</v>
      </c>
      <c r="AP152" s="260">
        <f t="shared" si="707"/>
        <v>0.19137538472623258</v>
      </c>
      <c r="AQ152" s="260">
        <f t="shared" si="707"/>
        <v>0.19137538472623261</v>
      </c>
      <c r="AR152" s="260">
        <f t="shared" si="707"/>
        <v>0.19137538472623264</v>
      </c>
      <c r="AS152" s="260">
        <f t="shared" si="707"/>
        <v>0.19137538472623264</v>
      </c>
      <c r="AT152" s="260">
        <f t="shared" si="707"/>
        <v>0.18424736764792046</v>
      </c>
      <c r="AU152" s="260">
        <f t="shared" si="707"/>
        <v>0.18424736764792046</v>
      </c>
      <c r="AV152" s="260">
        <f t="shared" si="707"/>
        <v>0.18424736764792052</v>
      </c>
      <c r="AW152" s="260">
        <f t="shared" si="707"/>
        <v>0.18424736764792046</v>
      </c>
      <c r="AY152" s="262">
        <f t="shared" si="697"/>
        <v>0.01</v>
      </c>
      <c r="AZ152" s="262">
        <f t="shared" si="697"/>
        <v>0.01</v>
      </c>
      <c r="BA152" s="262">
        <f t="shared" si="697"/>
        <v>0.01</v>
      </c>
      <c r="BB152" s="262">
        <f t="shared" si="697"/>
        <v>0.01</v>
      </c>
      <c r="BC152" s="262">
        <f t="shared" si="697"/>
        <v>0.01</v>
      </c>
      <c r="BD152" s="262">
        <f t="shared" si="697"/>
        <v>0.01</v>
      </c>
      <c r="BE152" s="262">
        <f t="shared" si="697"/>
        <v>0.01</v>
      </c>
      <c r="BF152" s="262">
        <f t="shared" si="697"/>
        <v>0.01</v>
      </c>
      <c r="BG152" s="262">
        <f t="shared" si="697"/>
        <v>0.01</v>
      </c>
      <c r="BH152" s="262">
        <f t="shared" si="697"/>
        <v>0.01</v>
      </c>
      <c r="BI152" s="262">
        <f t="shared" si="698"/>
        <v>0.01</v>
      </c>
      <c r="BJ152" s="262">
        <f t="shared" si="698"/>
        <v>0.01</v>
      </c>
      <c r="BK152" s="262">
        <f t="shared" si="698"/>
        <v>0.01</v>
      </c>
      <c r="BL152" s="262">
        <f t="shared" si="698"/>
        <v>0.01</v>
      </c>
      <c r="BM152" s="262">
        <f t="shared" si="698"/>
        <v>0.01</v>
      </c>
      <c r="BN152" s="262">
        <f t="shared" si="698"/>
        <v>0.01</v>
      </c>
      <c r="BO152" s="262">
        <f t="shared" si="698"/>
        <v>0.01</v>
      </c>
      <c r="BP152" s="262">
        <f t="shared" si="698"/>
        <v>0.01</v>
      </c>
      <c r="BQ152" s="262">
        <f t="shared" si="698"/>
        <v>0.01</v>
      </c>
      <c r="BR152" s="262">
        <f t="shared" si="698"/>
        <v>0.01</v>
      </c>
      <c r="BS152" s="262">
        <f t="shared" si="699"/>
        <v>0.01</v>
      </c>
      <c r="BT152" s="262">
        <f t="shared" si="699"/>
        <v>0.01</v>
      </c>
      <c r="BU152" s="262">
        <f t="shared" si="699"/>
        <v>0.01</v>
      </c>
      <c r="BV152" s="262">
        <f t="shared" si="699"/>
        <v>0.01</v>
      </c>
      <c r="BW152" s="262">
        <f t="shared" si="699"/>
        <v>0.01</v>
      </c>
      <c r="BX152" s="262">
        <f t="shared" si="699"/>
        <v>0.01</v>
      </c>
      <c r="BY152" s="262">
        <f t="shared" si="699"/>
        <v>0.01</v>
      </c>
      <c r="BZ152" s="262">
        <f t="shared" si="699"/>
        <v>0.01</v>
      </c>
      <c r="CA152" s="262">
        <f t="shared" si="699"/>
        <v>0.01</v>
      </c>
      <c r="CB152" s="262">
        <f t="shared" si="699"/>
        <v>0.01</v>
      </c>
      <c r="CC152" s="262">
        <f t="shared" si="700"/>
        <v>0.01</v>
      </c>
      <c r="CD152" s="262">
        <f t="shared" si="700"/>
        <v>0.01</v>
      </c>
      <c r="CE152" s="262">
        <f t="shared" si="700"/>
        <v>0.01</v>
      </c>
      <c r="CF152" s="262">
        <f t="shared" si="700"/>
        <v>0.01</v>
      </c>
      <c r="CG152" s="262">
        <f t="shared" si="700"/>
        <v>0.01</v>
      </c>
      <c r="CH152" s="262">
        <f t="shared" si="700"/>
        <v>0.01</v>
      </c>
      <c r="CI152" s="262">
        <f t="shared" si="700"/>
        <v>4.2000000000000003E-2</v>
      </c>
      <c r="CJ152" s="262">
        <f t="shared" si="700"/>
        <v>4.2000000000000003E-2</v>
      </c>
      <c r="CK152" s="262">
        <f t="shared" si="700"/>
        <v>4.2000000000000003E-2</v>
      </c>
      <c r="CL152" s="262">
        <f t="shared" si="700"/>
        <v>4.2000000000000003E-2</v>
      </c>
      <c r="CM152" s="262">
        <f t="shared" si="701"/>
        <v>4.2000000000000003E-2</v>
      </c>
      <c r="CN152" s="262">
        <f t="shared" si="701"/>
        <v>4.2000000000000003E-2</v>
      </c>
      <c r="CO152" s="262">
        <f t="shared" si="701"/>
        <v>4.2000000000000003E-2</v>
      </c>
      <c r="CP152" s="262">
        <f t="shared" si="701"/>
        <v>4.2000000000000003E-2</v>
      </c>
      <c r="CQ152" s="262">
        <f t="shared" si="701"/>
        <v>4.2000000000000003E-2</v>
      </c>
      <c r="CR152" s="262">
        <f t="shared" si="701"/>
        <v>4.2000000000000003E-2</v>
      </c>
      <c r="CS152" s="262">
        <f t="shared" si="701"/>
        <v>4.2000000000000003E-2</v>
      </c>
      <c r="CT152" s="262">
        <f t="shared" si="701"/>
        <v>4.2000000000000003E-2</v>
      </c>
      <c r="CU152" s="262">
        <f t="shared" si="702"/>
        <v>0.09</v>
      </c>
      <c r="CV152" s="262">
        <f t="shared" si="702"/>
        <v>0.09</v>
      </c>
      <c r="CW152" s="262">
        <f t="shared" si="702"/>
        <v>0.09</v>
      </c>
      <c r="CX152" s="262">
        <f t="shared" si="702"/>
        <v>0.09</v>
      </c>
      <c r="CY152" s="262">
        <f t="shared" si="702"/>
        <v>0.09</v>
      </c>
      <c r="CZ152" s="262">
        <f t="shared" si="702"/>
        <v>0.09</v>
      </c>
      <c r="DA152" s="262">
        <f t="shared" si="702"/>
        <v>0.09</v>
      </c>
      <c r="DB152" s="262">
        <f t="shared" si="702"/>
        <v>0.09</v>
      </c>
      <c r="DC152" s="262">
        <f t="shared" si="702"/>
        <v>0.09</v>
      </c>
      <c r="DD152" s="262">
        <f t="shared" si="702"/>
        <v>0.09</v>
      </c>
      <c r="DE152" s="262">
        <f t="shared" si="702"/>
        <v>0.09</v>
      </c>
      <c r="DF152" s="262">
        <f t="shared" si="702"/>
        <v>0.09</v>
      </c>
      <c r="DG152" s="262">
        <f t="shared" si="702"/>
        <v>0.25</v>
      </c>
      <c r="DH152" s="262">
        <f t="shared" si="702"/>
        <v>0.25</v>
      </c>
      <c r="DI152" s="262">
        <f t="shared" si="702"/>
        <v>0.25</v>
      </c>
      <c r="DJ152" s="262">
        <f t="shared" si="702"/>
        <v>0.25</v>
      </c>
      <c r="DK152" s="262">
        <f t="shared" si="703"/>
        <v>0.25</v>
      </c>
      <c r="DL152" s="262">
        <f t="shared" si="703"/>
        <v>0.25</v>
      </c>
      <c r="DM152" s="262">
        <f t="shared" si="703"/>
        <v>0.25</v>
      </c>
      <c r="DN152" s="262">
        <f t="shared" si="703"/>
        <v>0.25</v>
      </c>
      <c r="DO152" s="262">
        <f t="shared" si="703"/>
        <v>0.25</v>
      </c>
      <c r="DP152" s="262">
        <f t="shared" si="703"/>
        <v>0.25</v>
      </c>
      <c r="DQ152" s="262">
        <f t="shared" si="703"/>
        <v>0.25</v>
      </c>
      <c r="DR152" s="262">
        <f t="shared" si="703"/>
        <v>0.25</v>
      </c>
      <c r="DS152" s="262">
        <f t="shared" si="703"/>
        <v>0.3</v>
      </c>
      <c r="DT152" s="262">
        <f t="shared" si="703"/>
        <v>0.3</v>
      </c>
      <c r="DU152" s="262">
        <f t="shared" si="704"/>
        <v>0.3</v>
      </c>
      <c r="DV152" s="262">
        <f t="shared" si="704"/>
        <v>0.3</v>
      </c>
      <c r="DW152" s="262">
        <f t="shared" si="704"/>
        <v>0.3</v>
      </c>
      <c r="DX152" s="262">
        <f t="shared" si="704"/>
        <v>0.3</v>
      </c>
      <c r="DY152" s="262">
        <f t="shared" si="704"/>
        <v>0.3</v>
      </c>
      <c r="DZ152" s="262">
        <f t="shared" si="704"/>
        <v>0.3</v>
      </c>
      <c r="EA152" s="262">
        <f t="shared" si="704"/>
        <v>0.3</v>
      </c>
      <c r="EB152" s="262">
        <f t="shared" si="704"/>
        <v>0.3</v>
      </c>
      <c r="EC152" s="262">
        <f t="shared" si="704"/>
        <v>0.3</v>
      </c>
      <c r="ED152" s="262">
        <f t="shared" si="704"/>
        <v>0.3</v>
      </c>
      <c r="EE152" s="262">
        <f t="shared" si="705"/>
        <v>0.3</v>
      </c>
      <c r="EF152" s="262">
        <f t="shared" si="705"/>
        <v>0.3</v>
      </c>
      <c r="EG152" s="262">
        <f t="shared" si="705"/>
        <v>0.3</v>
      </c>
      <c r="EH152" s="262">
        <f t="shared" si="705"/>
        <v>0.3</v>
      </c>
      <c r="EI152" s="262">
        <f t="shared" si="705"/>
        <v>0.3</v>
      </c>
      <c r="EJ152" s="262">
        <f t="shared" si="705"/>
        <v>0.3</v>
      </c>
      <c r="EK152" s="262">
        <f t="shared" si="705"/>
        <v>0.3</v>
      </c>
      <c r="EL152" s="262">
        <f t="shared" si="705"/>
        <v>0.3</v>
      </c>
      <c r="EM152" s="262">
        <f t="shared" si="705"/>
        <v>0.3</v>
      </c>
      <c r="EN152" s="262">
        <f t="shared" si="705"/>
        <v>0.3</v>
      </c>
      <c r="EO152" s="262">
        <f t="shared" si="706"/>
        <v>0.3</v>
      </c>
      <c r="EP152" s="262">
        <f t="shared" si="706"/>
        <v>0.3</v>
      </c>
      <c r="EQ152" s="262">
        <f t="shared" si="706"/>
        <v>0.3</v>
      </c>
      <c r="ER152" s="262">
        <f t="shared" si="706"/>
        <v>0.3</v>
      </c>
      <c r="ES152" s="262">
        <f t="shared" si="706"/>
        <v>0.3</v>
      </c>
      <c r="ET152" s="262">
        <f t="shared" si="706"/>
        <v>0.3</v>
      </c>
      <c r="EU152" s="262">
        <f t="shared" si="706"/>
        <v>0.3</v>
      </c>
      <c r="EV152" s="262">
        <f t="shared" si="706"/>
        <v>0.3</v>
      </c>
      <c r="EW152" s="262">
        <f t="shared" si="706"/>
        <v>0.3</v>
      </c>
      <c r="EX152" s="262">
        <f t="shared" si="706"/>
        <v>0.3</v>
      </c>
      <c r="EY152" s="262">
        <f t="shared" si="706"/>
        <v>0.3</v>
      </c>
      <c r="EZ152" s="262">
        <f t="shared" si="706"/>
        <v>0.3</v>
      </c>
      <c r="FA152" s="262">
        <f t="shared" si="706"/>
        <v>0.3</v>
      </c>
      <c r="FB152" s="262">
        <f t="shared" si="706"/>
        <v>0.3</v>
      </c>
    </row>
    <row r="153" spans="1:158" x14ac:dyDescent="0.25">
      <c r="C153" s="2" t="s">
        <v>300</v>
      </c>
      <c r="D153" s="330">
        <v>0.02</v>
      </c>
      <c r="E153" s="330">
        <v>0.02</v>
      </c>
      <c r="F153" s="330">
        <v>0.02</v>
      </c>
      <c r="G153" s="169">
        <v>5.4711376555136311E-2</v>
      </c>
      <c r="H153" s="169">
        <v>5.2080620800999948E-2</v>
      </c>
      <c r="I153" s="169">
        <v>5.2080620800999948E-2</v>
      </c>
      <c r="J153" s="169">
        <v>5.2080620800999948E-2</v>
      </c>
      <c r="K153" s="169">
        <v>5.2080620800999948E-2</v>
      </c>
      <c r="L153" s="169">
        <v>5.2080620800999948E-2</v>
      </c>
      <c r="N153" s="260">
        <f>N177/N$99</f>
        <v>1.8212734025666508E-2</v>
      </c>
      <c r="O153" s="260">
        <f t="shared" ref="O153:AW153" si="708">O177/O$99</f>
        <v>2.4805058876032744E-2</v>
      </c>
      <c r="P153" s="260">
        <f t="shared" si="708"/>
        <v>1.3096181282904682E-2</v>
      </c>
      <c r="Q153" s="260">
        <f t="shared" si="708"/>
        <v>9.465713807744025E-3</v>
      </c>
      <c r="R153" s="260">
        <f t="shared" si="708"/>
        <v>1.3341455582053513E-2</v>
      </c>
      <c r="S153" s="260">
        <f t="shared" si="708"/>
        <v>1.1605529818337644E-2</v>
      </c>
      <c r="T153" s="260">
        <f t="shared" si="708"/>
        <v>2.3026622077687686E-2</v>
      </c>
      <c r="U153" s="260">
        <f t="shared" si="708"/>
        <v>1.9337525928977251E-2</v>
      </c>
      <c r="V153" s="260">
        <f t="shared" si="708"/>
        <v>2.6336031209616223E-2</v>
      </c>
      <c r="W153" s="260">
        <f t="shared" si="708"/>
        <v>1.2910137790249054E-2</v>
      </c>
      <c r="X153" s="260">
        <f t="shared" si="708"/>
        <v>1.1422079450058615E-2</v>
      </c>
      <c r="Y153" s="260">
        <f t="shared" si="708"/>
        <v>1.366651206948306E-2</v>
      </c>
      <c r="Z153" s="260">
        <f t="shared" si="708"/>
        <v>2.7326927765053306E-2</v>
      </c>
      <c r="AA153" s="260">
        <f t="shared" si="708"/>
        <v>2.9210221334168347E-2</v>
      </c>
      <c r="AB153" s="260">
        <f t="shared" si="708"/>
        <v>3.4615807700931846E-2</v>
      </c>
      <c r="AC153" s="260">
        <f t="shared" si="708"/>
        <v>3.8794994632695583E-2</v>
      </c>
      <c r="AD153" s="260">
        <f t="shared" si="708"/>
        <v>3.4681901960656965E-2</v>
      </c>
      <c r="AE153" s="260">
        <f t="shared" si="708"/>
        <v>3.4681901960656965E-2</v>
      </c>
      <c r="AF153" s="260">
        <f t="shared" si="708"/>
        <v>3.4681901960656972E-2</v>
      </c>
      <c r="AG153" s="260">
        <f t="shared" si="708"/>
        <v>3.4681901960656958E-2</v>
      </c>
      <c r="AH153" s="260">
        <f t="shared" si="708"/>
        <v>3.5527380456742204E-2</v>
      </c>
      <c r="AI153" s="260">
        <f t="shared" si="708"/>
        <v>3.5527380456742204E-2</v>
      </c>
      <c r="AJ153" s="260">
        <f t="shared" si="708"/>
        <v>3.5527380456742204E-2</v>
      </c>
      <c r="AK153" s="260">
        <f t="shared" si="708"/>
        <v>3.5527380456742211E-2</v>
      </c>
      <c r="AL153" s="260">
        <f t="shared" si="708"/>
        <v>3.4402941869362352E-2</v>
      </c>
      <c r="AM153" s="260">
        <f t="shared" si="708"/>
        <v>3.4402941869362359E-2</v>
      </c>
      <c r="AN153" s="260">
        <f t="shared" si="708"/>
        <v>3.4402941869362359E-2</v>
      </c>
      <c r="AO153" s="260">
        <f t="shared" si="708"/>
        <v>3.4402941869362366E-2</v>
      </c>
      <c r="AP153" s="260">
        <f t="shared" si="708"/>
        <v>3.3223162808574659E-2</v>
      </c>
      <c r="AQ153" s="260">
        <f t="shared" si="708"/>
        <v>3.3223162808574666E-2</v>
      </c>
      <c r="AR153" s="260">
        <f t="shared" si="708"/>
        <v>3.3223162808574666E-2</v>
      </c>
      <c r="AS153" s="260">
        <f t="shared" si="708"/>
        <v>3.3223162808574666E-2</v>
      </c>
      <c r="AT153" s="260">
        <f t="shared" si="708"/>
        <v>3.1985724293512575E-2</v>
      </c>
      <c r="AU153" s="260">
        <f t="shared" si="708"/>
        <v>3.1985724293512575E-2</v>
      </c>
      <c r="AV153" s="260">
        <f t="shared" si="708"/>
        <v>3.1985724293512582E-2</v>
      </c>
      <c r="AW153" s="260">
        <f t="shared" si="708"/>
        <v>3.1985724293512575E-2</v>
      </c>
      <c r="AY153" s="262">
        <f t="shared" si="702"/>
        <v>0.02</v>
      </c>
      <c r="AZ153" s="262">
        <f t="shared" si="702"/>
        <v>0.02</v>
      </c>
      <c r="BA153" s="262">
        <f t="shared" si="702"/>
        <v>0.02</v>
      </c>
      <c r="BB153" s="262">
        <f t="shared" si="702"/>
        <v>0.02</v>
      </c>
      <c r="BC153" s="262">
        <f t="shared" si="702"/>
        <v>0.02</v>
      </c>
      <c r="BD153" s="262">
        <f t="shared" si="702"/>
        <v>0.02</v>
      </c>
      <c r="BE153" s="262">
        <f t="shared" si="702"/>
        <v>0.02</v>
      </c>
      <c r="BF153" s="262">
        <f t="shared" si="702"/>
        <v>0.02</v>
      </c>
      <c r="BG153" s="262">
        <f t="shared" si="702"/>
        <v>0.02</v>
      </c>
      <c r="BH153" s="262">
        <f t="shared" si="702"/>
        <v>0.02</v>
      </c>
      <c r="BI153" s="262">
        <f t="shared" si="702"/>
        <v>0.02</v>
      </c>
      <c r="BJ153" s="262">
        <f t="shared" si="702"/>
        <v>0.02</v>
      </c>
      <c r="BK153" s="262">
        <f t="shared" si="702"/>
        <v>0.02</v>
      </c>
      <c r="BL153" s="262">
        <f t="shared" si="702"/>
        <v>0.02</v>
      </c>
      <c r="BM153" s="262">
        <f t="shared" si="702"/>
        <v>0.02</v>
      </c>
      <c r="BN153" s="262">
        <f t="shared" si="702"/>
        <v>0.02</v>
      </c>
      <c r="BO153" s="262">
        <f t="shared" si="702"/>
        <v>0.02</v>
      </c>
      <c r="BP153" s="262">
        <f t="shared" si="702"/>
        <v>0.02</v>
      </c>
      <c r="BQ153" s="262">
        <f t="shared" si="702"/>
        <v>0.02</v>
      </c>
      <c r="BR153" s="262">
        <f t="shared" si="702"/>
        <v>0.02</v>
      </c>
      <c r="BS153" s="262">
        <f t="shared" si="702"/>
        <v>0.02</v>
      </c>
      <c r="BT153" s="262">
        <f t="shared" si="702"/>
        <v>0.02</v>
      </c>
      <c r="BU153" s="262">
        <f t="shared" si="702"/>
        <v>0.02</v>
      </c>
      <c r="BV153" s="262">
        <f t="shared" si="702"/>
        <v>0.02</v>
      </c>
      <c r="BW153" s="262">
        <f t="shared" si="702"/>
        <v>0.02</v>
      </c>
      <c r="BX153" s="262">
        <f t="shared" si="702"/>
        <v>0.02</v>
      </c>
      <c r="BY153" s="262">
        <f t="shared" si="702"/>
        <v>0.02</v>
      </c>
      <c r="BZ153" s="262">
        <f t="shared" si="702"/>
        <v>0.02</v>
      </c>
      <c r="CA153" s="262">
        <f t="shared" si="702"/>
        <v>0.02</v>
      </c>
      <c r="CB153" s="262">
        <f t="shared" si="702"/>
        <v>0.02</v>
      </c>
      <c r="CC153" s="262">
        <f t="shared" si="702"/>
        <v>0.02</v>
      </c>
      <c r="CD153" s="262">
        <f t="shared" si="702"/>
        <v>0.02</v>
      </c>
      <c r="CE153" s="262">
        <f t="shared" si="702"/>
        <v>0.02</v>
      </c>
      <c r="CF153" s="262">
        <f t="shared" si="702"/>
        <v>0.02</v>
      </c>
      <c r="CG153" s="262">
        <f t="shared" si="702"/>
        <v>0.02</v>
      </c>
      <c r="CH153" s="262">
        <f t="shared" si="702"/>
        <v>0.02</v>
      </c>
      <c r="CI153" s="262">
        <f t="shared" si="702"/>
        <v>5.4711376555136311E-2</v>
      </c>
      <c r="CJ153" s="262">
        <f t="shared" si="702"/>
        <v>5.4711376555136311E-2</v>
      </c>
      <c r="CK153" s="262">
        <f t="shared" si="702"/>
        <v>5.4711376555136311E-2</v>
      </c>
      <c r="CL153" s="262">
        <f t="shared" si="702"/>
        <v>5.4711376555136311E-2</v>
      </c>
      <c r="CM153" s="262">
        <f t="shared" si="702"/>
        <v>5.4711376555136311E-2</v>
      </c>
      <c r="CN153" s="262">
        <f t="shared" si="702"/>
        <v>5.4711376555136311E-2</v>
      </c>
      <c r="CO153" s="262">
        <f t="shared" si="702"/>
        <v>5.4711376555136311E-2</v>
      </c>
      <c r="CP153" s="262">
        <f t="shared" si="702"/>
        <v>5.4711376555136311E-2</v>
      </c>
      <c r="CQ153" s="262">
        <f t="shared" si="702"/>
        <v>5.4711376555136311E-2</v>
      </c>
      <c r="CR153" s="262">
        <f t="shared" si="702"/>
        <v>5.4711376555136311E-2</v>
      </c>
      <c r="CS153" s="262">
        <f t="shared" si="702"/>
        <v>5.4711376555136311E-2</v>
      </c>
      <c r="CT153" s="262">
        <f t="shared" si="702"/>
        <v>5.4711376555136311E-2</v>
      </c>
      <c r="CU153" s="262">
        <f t="shared" si="702"/>
        <v>5.2080620800999948E-2</v>
      </c>
      <c r="CV153" s="262">
        <f t="shared" si="702"/>
        <v>5.2080620800999948E-2</v>
      </c>
      <c r="CW153" s="262">
        <f t="shared" si="702"/>
        <v>5.2080620800999948E-2</v>
      </c>
      <c r="CX153" s="262">
        <f t="shared" si="702"/>
        <v>5.2080620800999948E-2</v>
      </c>
      <c r="CY153" s="262">
        <f t="shared" si="702"/>
        <v>5.2080620800999948E-2</v>
      </c>
      <c r="CZ153" s="262">
        <f t="shared" si="702"/>
        <v>5.2080620800999948E-2</v>
      </c>
      <c r="DA153" s="262">
        <f t="shared" si="702"/>
        <v>5.2080620800999948E-2</v>
      </c>
      <c r="DB153" s="262">
        <f t="shared" si="702"/>
        <v>5.2080620800999948E-2</v>
      </c>
      <c r="DC153" s="262">
        <f t="shared" si="702"/>
        <v>5.2080620800999948E-2</v>
      </c>
      <c r="DD153" s="262">
        <f t="shared" si="702"/>
        <v>5.2080620800999948E-2</v>
      </c>
      <c r="DE153" s="262">
        <f t="shared" si="702"/>
        <v>5.2080620800999948E-2</v>
      </c>
      <c r="DF153" s="262">
        <f t="shared" si="702"/>
        <v>5.2080620800999948E-2</v>
      </c>
      <c r="DG153" s="262">
        <f t="shared" si="702"/>
        <v>5.2080620800999948E-2</v>
      </c>
      <c r="DH153" s="262">
        <f t="shared" si="702"/>
        <v>5.2080620800999948E-2</v>
      </c>
      <c r="DI153" s="262">
        <f t="shared" si="702"/>
        <v>5.2080620800999948E-2</v>
      </c>
      <c r="DJ153" s="262">
        <f t="shared" si="702"/>
        <v>5.2080620800999948E-2</v>
      </c>
      <c r="DK153" s="262">
        <f t="shared" si="703"/>
        <v>5.2080620800999948E-2</v>
      </c>
      <c r="DL153" s="262">
        <f t="shared" si="703"/>
        <v>5.2080620800999948E-2</v>
      </c>
      <c r="DM153" s="262">
        <f t="shared" si="703"/>
        <v>5.2080620800999948E-2</v>
      </c>
      <c r="DN153" s="262">
        <f t="shared" si="703"/>
        <v>5.2080620800999948E-2</v>
      </c>
      <c r="DO153" s="262">
        <f t="shared" si="703"/>
        <v>5.2080620800999948E-2</v>
      </c>
      <c r="DP153" s="262">
        <f t="shared" si="703"/>
        <v>5.2080620800999948E-2</v>
      </c>
      <c r="DQ153" s="262">
        <f t="shared" si="703"/>
        <v>5.2080620800999948E-2</v>
      </c>
      <c r="DR153" s="262">
        <f t="shared" si="703"/>
        <v>5.2080620800999948E-2</v>
      </c>
      <c r="DS153" s="262">
        <f t="shared" si="703"/>
        <v>5.2080620800999948E-2</v>
      </c>
      <c r="DT153" s="262">
        <f t="shared" si="703"/>
        <v>5.2080620800999948E-2</v>
      </c>
      <c r="DU153" s="262">
        <f t="shared" si="704"/>
        <v>5.2080620800999948E-2</v>
      </c>
      <c r="DV153" s="262">
        <f t="shared" si="704"/>
        <v>5.2080620800999948E-2</v>
      </c>
      <c r="DW153" s="262">
        <f t="shared" si="704"/>
        <v>5.2080620800999948E-2</v>
      </c>
      <c r="DX153" s="262">
        <f t="shared" si="704"/>
        <v>5.2080620800999948E-2</v>
      </c>
      <c r="DY153" s="262">
        <f t="shared" si="704"/>
        <v>5.2080620800999948E-2</v>
      </c>
      <c r="DZ153" s="262">
        <f t="shared" si="704"/>
        <v>5.2080620800999948E-2</v>
      </c>
      <c r="EA153" s="262">
        <f t="shared" si="704"/>
        <v>5.2080620800999948E-2</v>
      </c>
      <c r="EB153" s="262">
        <f t="shared" si="704"/>
        <v>5.2080620800999948E-2</v>
      </c>
      <c r="EC153" s="262">
        <f t="shared" si="704"/>
        <v>5.2080620800999948E-2</v>
      </c>
      <c r="ED153" s="262">
        <f t="shared" si="704"/>
        <v>5.2080620800999948E-2</v>
      </c>
      <c r="EE153" s="262">
        <f t="shared" si="705"/>
        <v>5.2080620800999948E-2</v>
      </c>
      <c r="EF153" s="262">
        <f t="shared" si="705"/>
        <v>5.2080620800999948E-2</v>
      </c>
      <c r="EG153" s="262">
        <f t="shared" si="705"/>
        <v>5.2080620800999948E-2</v>
      </c>
      <c r="EH153" s="262">
        <f t="shared" si="705"/>
        <v>5.2080620800999948E-2</v>
      </c>
      <c r="EI153" s="262">
        <f t="shared" si="705"/>
        <v>5.2080620800999948E-2</v>
      </c>
      <c r="EJ153" s="262">
        <f t="shared" si="705"/>
        <v>5.2080620800999948E-2</v>
      </c>
      <c r="EK153" s="262">
        <f t="shared" si="705"/>
        <v>5.2080620800999948E-2</v>
      </c>
      <c r="EL153" s="262">
        <f t="shared" si="705"/>
        <v>5.2080620800999948E-2</v>
      </c>
      <c r="EM153" s="262">
        <f t="shared" si="705"/>
        <v>5.2080620800999948E-2</v>
      </c>
      <c r="EN153" s="262">
        <f t="shared" si="705"/>
        <v>5.2080620800999948E-2</v>
      </c>
      <c r="EO153" s="262">
        <f t="shared" si="706"/>
        <v>5.2080620800999948E-2</v>
      </c>
      <c r="EP153" s="262">
        <f t="shared" si="706"/>
        <v>5.2080620800999948E-2</v>
      </c>
      <c r="EQ153" s="262">
        <f t="shared" si="706"/>
        <v>5.2080620800999948E-2</v>
      </c>
      <c r="ER153" s="262">
        <f t="shared" si="706"/>
        <v>5.2080620800999948E-2</v>
      </c>
      <c r="ES153" s="262">
        <f t="shared" si="706"/>
        <v>5.2080620800999948E-2</v>
      </c>
      <c r="ET153" s="262">
        <f t="shared" si="706"/>
        <v>5.2080620800999948E-2</v>
      </c>
      <c r="EU153" s="262">
        <f t="shared" si="706"/>
        <v>5.2080620800999948E-2</v>
      </c>
      <c r="EV153" s="262">
        <f t="shared" si="706"/>
        <v>5.2080620800999948E-2</v>
      </c>
      <c r="EW153" s="262">
        <f t="shared" si="706"/>
        <v>5.2080620800999948E-2</v>
      </c>
      <c r="EX153" s="262">
        <f t="shared" si="706"/>
        <v>5.2080620800999948E-2</v>
      </c>
      <c r="EY153" s="262">
        <f t="shared" si="706"/>
        <v>5.2080620800999948E-2</v>
      </c>
      <c r="EZ153" s="262">
        <f t="shared" si="706"/>
        <v>5.2080620800999948E-2</v>
      </c>
      <c r="FA153" s="262">
        <f t="shared" si="706"/>
        <v>5.2080620800999948E-2</v>
      </c>
      <c r="FB153" s="262">
        <f t="shared" si="706"/>
        <v>5.2080620800999948E-2</v>
      </c>
    </row>
    <row r="154" spans="1:158" x14ac:dyDescent="0.25">
      <c r="D154" s="331"/>
      <c r="E154" s="331"/>
      <c r="F154" s="331"/>
      <c r="G154" s="15"/>
      <c r="H154" s="15"/>
      <c r="I154" s="15"/>
      <c r="J154" s="15"/>
      <c r="K154" s="15"/>
      <c r="L154" s="328"/>
    </row>
    <row r="155" spans="1:158" x14ac:dyDescent="0.25">
      <c r="C155" s="304" t="s">
        <v>641</v>
      </c>
      <c r="D155" s="331"/>
      <c r="E155" s="331"/>
      <c r="F155" s="331"/>
    </row>
    <row r="156" spans="1:158" x14ac:dyDescent="0.25">
      <c r="C156" s="2" t="s">
        <v>346</v>
      </c>
      <c r="D156" s="349">
        <f t="shared" ref="D156:H156" si="709">1-SUM(D157:D159)</f>
        <v>0.95</v>
      </c>
      <c r="E156" s="349">
        <f t="shared" si="709"/>
        <v>0.95</v>
      </c>
      <c r="F156" s="349">
        <f t="shared" si="709"/>
        <v>0.95</v>
      </c>
      <c r="G156" s="349">
        <f t="shared" si="709"/>
        <v>0.87328862344486369</v>
      </c>
      <c r="H156" s="349">
        <f t="shared" si="709"/>
        <v>0.81291937919900004</v>
      </c>
      <c r="I156" s="349">
        <f>1-SUM(I157:I159)</f>
        <v>0.57291937919900005</v>
      </c>
      <c r="J156" s="349">
        <f t="shared" ref="J156:L156" si="710">1-SUM(J157:J159)</f>
        <v>0.52291937919900011</v>
      </c>
      <c r="K156" s="349">
        <f t="shared" si="710"/>
        <v>0.52291937919900011</v>
      </c>
      <c r="L156" s="349">
        <f t="shared" si="710"/>
        <v>0.49791937919900009</v>
      </c>
      <c r="N156" s="260">
        <f t="shared" ref="N156:AW156" si="711">N180/N$105</f>
        <v>2.2880183930973699</v>
      </c>
      <c r="O156" s="260">
        <f t="shared" si="711"/>
        <v>3.4515924484545417</v>
      </c>
      <c r="P156" s="260">
        <f t="shared" si="711"/>
        <v>2.1597341533402115</v>
      </c>
      <c r="Q156" s="260">
        <f t="shared" si="711"/>
        <v>25.165209737220451</v>
      </c>
      <c r="R156" s="260">
        <f t="shared" si="711"/>
        <v>2.6034764456001436</v>
      </c>
      <c r="S156" s="260">
        <f t="shared" si="711"/>
        <v>2.0701482029868501</v>
      </c>
      <c r="T156" s="260">
        <f t="shared" si="711"/>
        <v>1.372247366138633</v>
      </c>
      <c r="U156" s="260">
        <f t="shared" si="711"/>
        <v>1.7136237082862331</v>
      </c>
      <c r="V156" s="260">
        <f t="shared" si="711"/>
        <v>2.0685412535676901</v>
      </c>
      <c r="W156" s="260">
        <f t="shared" si="711"/>
        <v>2.3951899706359154</v>
      </c>
      <c r="X156" s="260">
        <f t="shared" si="711"/>
        <v>2.3568497650390161</v>
      </c>
      <c r="Y156" s="260">
        <f t="shared" si="711"/>
        <v>2.2676159725575626</v>
      </c>
      <c r="Z156" s="260">
        <f t="shared" si="711"/>
        <v>1.8639593957454803</v>
      </c>
      <c r="AA156" s="260">
        <f t="shared" si="711"/>
        <v>1.7652884427116624</v>
      </c>
      <c r="AB156" s="260">
        <f t="shared" si="711"/>
        <v>15.145889016083594</v>
      </c>
      <c r="AC156" s="260">
        <f t="shared" si="711"/>
        <v>17.916500434027828</v>
      </c>
      <c r="AD156" s="260">
        <f t="shared" si="711"/>
        <v>2.4377132224224649</v>
      </c>
      <c r="AE156" s="260">
        <f t="shared" si="711"/>
        <v>2.4377132224224654</v>
      </c>
      <c r="AF156" s="260">
        <f t="shared" si="711"/>
        <v>2.4377132224224645</v>
      </c>
      <c r="AG156" s="260">
        <f t="shared" si="711"/>
        <v>2.4377132224224649</v>
      </c>
      <c r="AH156" s="260">
        <f t="shared" si="711"/>
        <v>1.6191254713530778</v>
      </c>
      <c r="AI156" s="260">
        <f t="shared" si="711"/>
        <v>1.6191254713530778</v>
      </c>
      <c r="AJ156" s="260">
        <f t="shared" si="711"/>
        <v>1.6191254713530778</v>
      </c>
      <c r="AK156" s="260">
        <f t="shared" si="711"/>
        <v>1.6191254713530774</v>
      </c>
      <c r="AL156" s="260">
        <f t="shared" si="711"/>
        <v>1.4607587286999617</v>
      </c>
      <c r="AM156" s="260">
        <f t="shared" si="711"/>
        <v>1.4607587286999622</v>
      </c>
      <c r="AN156" s="260">
        <f t="shared" si="711"/>
        <v>1.4607587286999617</v>
      </c>
      <c r="AO156" s="260">
        <f t="shared" si="711"/>
        <v>1.4607587286999617</v>
      </c>
      <c r="AP156" s="260">
        <f t="shared" si="711"/>
        <v>1.4519022658750054</v>
      </c>
      <c r="AQ156" s="260">
        <f t="shared" si="711"/>
        <v>1.4519022658750051</v>
      </c>
      <c r="AR156" s="260">
        <f t="shared" si="711"/>
        <v>1.4519022658750051</v>
      </c>
      <c r="AS156" s="260">
        <f t="shared" si="711"/>
        <v>1.4519022658750051</v>
      </c>
      <c r="AT156" s="260">
        <f t="shared" si="711"/>
        <v>1.3819340773128461</v>
      </c>
      <c r="AU156" s="260">
        <f t="shared" si="711"/>
        <v>1.3819340773128461</v>
      </c>
      <c r="AV156" s="260">
        <f t="shared" si="711"/>
        <v>1.3819340773128461</v>
      </c>
      <c r="AW156" s="260">
        <f t="shared" si="711"/>
        <v>1.3819340773128461</v>
      </c>
      <c r="AY156" s="260">
        <f t="shared" ref="AY156:DJ156" si="712">1-SUM(AY157:AY159)</f>
        <v>0.95</v>
      </c>
      <c r="AZ156" s="260">
        <f t="shared" si="712"/>
        <v>0.95</v>
      </c>
      <c r="BA156" s="260">
        <f t="shared" si="712"/>
        <v>0.95</v>
      </c>
      <c r="BB156" s="260">
        <f t="shared" si="712"/>
        <v>0.95</v>
      </c>
      <c r="BC156" s="260">
        <f t="shared" si="712"/>
        <v>0.95</v>
      </c>
      <c r="BD156" s="260">
        <f t="shared" si="712"/>
        <v>0.95</v>
      </c>
      <c r="BE156" s="260">
        <f t="shared" si="712"/>
        <v>0.95</v>
      </c>
      <c r="BF156" s="260">
        <f t="shared" si="712"/>
        <v>0.95</v>
      </c>
      <c r="BG156" s="260">
        <f t="shared" si="712"/>
        <v>0.95</v>
      </c>
      <c r="BH156" s="260">
        <f t="shared" si="712"/>
        <v>0.95</v>
      </c>
      <c r="BI156" s="260">
        <f t="shared" si="712"/>
        <v>0.95</v>
      </c>
      <c r="BJ156" s="260">
        <f t="shared" si="712"/>
        <v>0.95</v>
      </c>
      <c r="BK156" s="260">
        <f t="shared" si="712"/>
        <v>0.95</v>
      </c>
      <c r="BL156" s="260">
        <f t="shared" si="712"/>
        <v>0.95</v>
      </c>
      <c r="BM156" s="260">
        <f t="shared" si="712"/>
        <v>0.95</v>
      </c>
      <c r="BN156" s="260">
        <f t="shared" si="712"/>
        <v>0.95</v>
      </c>
      <c r="BO156" s="260">
        <f t="shared" si="712"/>
        <v>0.95</v>
      </c>
      <c r="BP156" s="260">
        <f t="shared" si="712"/>
        <v>0.95</v>
      </c>
      <c r="BQ156" s="260">
        <f t="shared" si="712"/>
        <v>0.95</v>
      </c>
      <c r="BR156" s="260">
        <f t="shared" si="712"/>
        <v>0.95</v>
      </c>
      <c r="BS156" s="260">
        <f t="shared" si="712"/>
        <v>0.95</v>
      </c>
      <c r="BT156" s="260">
        <f t="shared" si="712"/>
        <v>0.95</v>
      </c>
      <c r="BU156" s="260">
        <f t="shared" si="712"/>
        <v>0.95</v>
      </c>
      <c r="BV156" s="260">
        <f t="shared" si="712"/>
        <v>0.95</v>
      </c>
      <c r="BW156" s="260">
        <f t="shared" si="712"/>
        <v>0.95</v>
      </c>
      <c r="BX156" s="260">
        <f t="shared" si="712"/>
        <v>0.95</v>
      </c>
      <c r="BY156" s="260">
        <f t="shared" si="712"/>
        <v>0.95</v>
      </c>
      <c r="BZ156" s="260">
        <f t="shared" si="712"/>
        <v>0.95</v>
      </c>
      <c r="CA156" s="260">
        <f t="shared" si="712"/>
        <v>0.95</v>
      </c>
      <c r="CB156" s="260">
        <f t="shared" si="712"/>
        <v>0.95</v>
      </c>
      <c r="CC156" s="260">
        <f t="shared" si="712"/>
        <v>0.95</v>
      </c>
      <c r="CD156" s="260">
        <f t="shared" si="712"/>
        <v>0.95</v>
      </c>
      <c r="CE156" s="260">
        <f t="shared" si="712"/>
        <v>0.95</v>
      </c>
      <c r="CF156" s="260">
        <f t="shared" si="712"/>
        <v>0.95</v>
      </c>
      <c r="CG156" s="260">
        <f t="shared" si="712"/>
        <v>0.95</v>
      </c>
      <c r="CH156" s="260">
        <f t="shared" si="712"/>
        <v>0.95</v>
      </c>
      <c r="CI156" s="260">
        <f t="shared" si="712"/>
        <v>0.87328862344486369</v>
      </c>
      <c r="CJ156" s="260">
        <f t="shared" si="712"/>
        <v>0.87328862344486369</v>
      </c>
      <c r="CK156" s="260">
        <f t="shared" si="712"/>
        <v>0.87328862344486369</v>
      </c>
      <c r="CL156" s="260">
        <f t="shared" si="712"/>
        <v>0.87328862344486369</v>
      </c>
      <c r="CM156" s="260">
        <f t="shared" si="712"/>
        <v>0.87328862344486369</v>
      </c>
      <c r="CN156" s="260">
        <f t="shared" si="712"/>
        <v>0.87328862344486369</v>
      </c>
      <c r="CO156" s="260">
        <f t="shared" si="712"/>
        <v>0.87328862344486369</v>
      </c>
      <c r="CP156" s="260">
        <f t="shared" si="712"/>
        <v>0.87328862344486369</v>
      </c>
      <c r="CQ156" s="260">
        <f t="shared" si="712"/>
        <v>0.87328862344486369</v>
      </c>
      <c r="CR156" s="260">
        <f t="shared" si="712"/>
        <v>0.87328862344486369</v>
      </c>
      <c r="CS156" s="260">
        <f t="shared" si="712"/>
        <v>0.87328862344486369</v>
      </c>
      <c r="CT156" s="260">
        <f t="shared" si="712"/>
        <v>0.87328862344486369</v>
      </c>
      <c r="CU156" s="260">
        <f t="shared" si="712"/>
        <v>0.81291937919900004</v>
      </c>
      <c r="CV156" s="260">
        <f t="shared" si="712"/>
        <v>0.81291937919900004</v>
      </c>
      <c r="CW156" s="260">
        <f t="shared" si="712"/>
        <v>0.81291937919900004</v>
      </c>
      <c r="CX156" s="260">
        <f t="shared" si="712"/>
        <v>0.81291937919900004</v>
      </c>
      <c r="CY156" s="260">
        <f t="shared" si="712"/>
        <v>0.81291937919900004</v>
      </c>
      <c r="CZ156" s="260">
        <f t="shared" si="712"/>
        <v>0.81291937919900004</v>
      </c>
      <c r="DA156" s="260">
        <f t="shared" si="712"/>
        <v>0.81291937919900004</v>
      </c>
      <c r="DB156" s="260">
        <f t="shared" si="712"/>
        <v>0.81291937919900004</v>
      </c>
      <c r="DC156" s="260">
        <f t="shared" si="712"/>
        <v>0.81291937919900004</v>
      </c>
      <c r="DD156" s="260">
        <f t="shared" si="712"/>
        <v>0.81291937919900004</v>
      </c>
      <c r="DE156" s="260">
        <f t="shared" si="712"/>
        <v>0.81291937919900004</v>
      </c>
      <c r="DF156" s="260">
        <f t="shared" si="712"/>
        <v>0.81291937919900004</v>
      </c>
      <c r="DG156" s="260">
        <f t="shared" si="712"/>
        <v>0.57291937919900005</v>
      </c>
      <c r="DH156" s="260">
        <f t="shared" si="712"/>
        <v>0.57291937919900005</v>
      </c>
      <c r="DI156" s="260">
        <f t="shared" si="712"/>
        <v>0.57291937919900005</v>
      </c>
      <c r="DJ156" s="260">
        <f t="shared" si="712"/>
        <v>0.57291937919900005</v>
      </c>
      <c r="DK156" s="260">
        <f t="shared" ref="DK156:FB156" si="713">1-SUM(DK157:DK159)</f>
        <v>0.57291937919900005</v>
      </c>
      <c r="DL156" s="260">
        <f t="shared" si="713"/>
        <v>0.57291937919900005</v>
      </c>
      <c r="DM156" s="260">
        <f t="shared" si="713"/>
        <v>0.57291937919900005</v>
      </c>
      <c r="DN156" s="260">
        <f t="shared" si="713"/>
        <v>0.57291937919900005</v>
      </c>
      <c r="DO156" s="260">
        <f t="shared" si="713"/>
        <v>0.57291937919900005</v>
      </c>
      <c r="DP156" s="260">
        <f t="shared" si="713"/>
        <v>0.57291937919900005</v>
      </c>
      <c r="DQ156" s="260">
        <f t="shared" si="713"/>
        <v>0.57291937919900005</v>
      </c>
      <c r="DR156" s="260">
        <f t="shared" si="713"/>
        <v>0.57291937919900005</v>
      </c>
      <c r="DS156" s="260">
        <f t="shared" si="713"/>
        <v>0.52291937919900011</v>
      </c>
      <c r="DT156" s="260">
        <f t="shared" si="713"/>
        <v>0.52291937919900011</v>
      </c>
      <c r="DU156" s="260">
        <f t="shared" si="713"/>
        <v>0.52291937919900011</v>
      </c>
      <c r="DV156" s="260">
        <f t="shared" si="713"/>
        <v>0.52291937919900011</v>
      </c>
      <c r="DW156" s="260">
        <f t="shared" si="713"/>
        <v>0.52291937919900011</v>
      </c>
      <c r="DX156" s="260">
        <f t="shared" si="713"/>
        <v>0.52291937919900011</v>
      </c>
      <c r="DY156" s="260">
        <f t="shared" si="713"/>
        <v>0.52291937919900011</v>
      </c>
      <c r="DZ156" s="260">
        <f t="shared" si="713"/>
        <v>0.52291937919900011</v>
      </c>
      <c r="EA156" s="260">
        <f t="shared" si="713"/>
        <v>0.52291937919900011</v>
      </c>
      <c r="EB156" s="260">
        <f t="shared" si="713"/>
        <v>0.52291937919900011</v>
      </c>
      <c r="EC156" s="260">
        <f t="shared" si="713"/>
        <v>0.52291937919900011</v>
      </c>
      <c r="ED156" s="260">
        <f t="shared" si="713"/>
        <v>0.52291937919900011</v>
      </c>
      <c r="EE156" s="260">
        <f t="shared" si="713"/>
        <v>0.52291937919900011</v>
      </c>
      <c r="EF156" s="260">
        <f t="shared" si="713"/>
        <v>0.52291937919900011</v>
      </c>
      <c r="EG156" s="260">
        <f t="shared" si="713"/>
        <v>0.52291937919900011</v>
      </c>
      <c r="EH156" s="260">
        <f t="shared" si="713"/>
        <v>0.52291937919900011</v>
      </c>
      <c r="EI156" s="260">
        <f t="shared" si="713"/>
        <v>0.52291937919900011</v>
      </c>
      <c r="EJ156" s="260">
        <f t="shared" si="713"/>
        <v>0.52291937919900011</v>
      </c>
      <c r="EK156" s="260">
        <f t="shared" si="713"/>
        <v>0.52291937919900011</v>
      </c>
      <c r="EL156" s="260">
        <f t="shared" si="713"/>
        <v>0.52291937919900011</v>
      </c>
      <c r="EM156" s="260">
        <f t="shared" si="713"/>
        <v>0.52291937919900011</v>
      </c>
      <c r="EN156" s="260">
        <f t="shared" si="713"/>
        <v>0.52291937919900011</v>
      </c>
      <c r="EO156" s="260">
        <f t="shared" si="713"/>
        <v>0.52291937919900011</v>
      </c>
      <c r="EP156" s="260">
        <f t="shared" si="713"/>
        <v>0.52291937919900011</v>
      </c>
      <c r="EQ156" s="260">
        <f t="shared" si="713"/>
        <v>0.49791937919900009</v>
      </c>
      <c r="ER156" s="260">
        <f t="shared" si="713"/>
        <v>0.49791937919900009</v>
      </c>
      <c r="ES156" s="260">
        <f t="shared" si="713"/>
        <v>0.49791937919900009</v>
      </c>
      <c r="ET156" s="260">
        <f t="shared" si="713"/>
        <v>0.49791937919900009</v>
      </c>
      <c r="EU156" s="260">
        <f t="shared" si="713"/>
        <v>0.49791937919900009</v>
      </c>
      <c r="EV156" s="260">
        <f t="shared" si="713"/>
        <v>0.49791937919900009</v>
      </c>
      <c r="EW156" s="260">
        <f t="shared" si="713"/>
        <v>0.49791937919900009</v>
      </c>
      <c r="EX156" s="260">
        <f t="shared" si="713"/>
        <v>0.49791937919900009</v>
      </c>
      <c r="EY156" s="260">
        <f t="shared" si="713"/>
        <v>0.49791937919900009</v>
      </c>
      <c r="EZ156" s="260">
        <f t="shared" si="713"/>
        <v>0.49791937919900009</v>
      </c>
      <c r="FA156" s="260">
        <f t="shared" si="713"/>
        <v>0.49791937919900009</v>
      </c>
      <c r="FB156" s="260">
        <f t="shared" si="713"/>
        <v>0.49791937919900009</v>
      </c>
    </row>
    <row r="157" spans="1:158" x14ac:dyDescent="0.25">
      <c r="C157" s="2" t="s">
        <v>298</v>
      </c>
      <c r="D157" s="330">
        <v>0.02</v>
      </c>
      <c r="E157" s="330">
        <v>0.02</v>
      </c>
      <c r="F157" s="330">
        <v>0.02</v>
      </c>
      <c r="G157" s="169">
        <v>0.03</v>
      </c>
      <c r="H157" s="169">
        <v>4.4999999999999998E-2</v>
      </c>
      <c r="I157" s="169">
        <f>I151</f>
        <v>0.125</v>
      </c>
      <c r="J157" s="169">
        <f>J151</f>
        <v>0.125</v>
      </c>
      <c r="K157" s="169">
        <f>K151</f>
        <v>0.125</v>
      </c>
      <c r="L157" s="169">
        <v>0.15</v>
      </c>
      <c r="N157" s="260">
        <f t="shared" ref="N157:AW157" si="714">N181/N$105</f>
        <v>4.8168808275734103E-2</v>
      </c>
      <c r="O157" s="260">
        <f t="shared" si="714"/>
        <v>7.2665104177990367E-2</v>
      </c>
      <c r="P157" s="260">
        <f t="shared" si="714"/>
        <v>4.5468087438741298E-2</v>
      </c>
      <c r="Q157" s="260">
        <f t="shared" si="714"/>
        <v>0.5297938892046411</v>
      </c>
      <c r="R157" s="260">
        <f t="shared" si="714"/>
        <v>5.4810030433687235E-2</v>
      </c>
      <c r="S157" s="260">
        <f t="shared" si="714"/>
        <v>4.3582067431302107E-2</v>
      </c>
      <c r="T157" s="260">
        <f t="shared" si="714"/>
        <v>2.8889418234497543E-2</v>
      </c>
      <c r="U157" s="260">
        <f t="shared" si="714"/>
        <v>3.6076288595499641E-2</v>
      </c>
      <c r="V157" s="260">
        <f t="shared" si="714"/>
        <v>4.3548236917214524E-2</v>
      </c>
      <c r="W157" s="260">
        <f t="shared" si="714"/>
        <v>5.0425052013387713E-2</v>
      </c>
      <c r="X157" s="260">
        <f t="shared" si="714"/>
        <v>4.9617889790295085E-2</v>
      </c>
      <c r="Y157" s="260">
        <f t="shared" si="714"/>
        <v>4.7739283632790785E-2</v>
      </c>
      <c r="Z157" s="260">
        <f t="shared" si="714"/>
        <v>6.4032417657957627E-2</v>
      </c>
      <c r="AA157" s="260">
        <f t="shared" si="714"/>
        <v>6.0642783908536169E-2</v>
      </c>
      <c r="AB157" s="260">
        <f t="shared" si="714"/>
        <v>0.52030526710645453</v>
      </c>
      <c r="AC157" s="260">
        <f t="shared" si="714"/>
        <v>0.61548381438953936</v>
      </c>
      <c r="AD157" s="260">
        <f t="shared" si="714"/>
        <v>0.13494215763080905</v>
      </c>
      <c r="AE157" s="260">
        <f t="shared" si="714"/>
        <v>0.13494215763080911</v>
      </c>
      <c r="AF157" s="260">
        <f t="shared" si="714"/>
        <v>0.13494215763080905</v>
      </c>
      <c r="AG157" s="260">
        <f t="shared" si="714"/>
        <v>0.13494215763080908</v>
      </c>
      <c r="AH157" s="260">
        <f t="shared" si="714"/>
        <v>0.35326206664905913</v>
      </c>
      <c r="AI157" s="260">
        <f t="shared" si="714"/>
        <v>0.35326206664905913</v>
      </c>
      <c r="AJ157" s="260">
        <f t="shared" si="714"/>
        <v>0.35326206664905913</v>
      </c>
      <c r="AK157" s="260">
        <f t="shared" si="714"/>
        <v>0.35326206664905901</v>
      </c>
      <c r="AL157" s="260">
        <f t="shared" si="714"/>
        <v>0.34918354214982661</v>
      </c>
      <c r="AM157" s="260">
        <f t="shared" si="714"/>
        <v>0.34918354214982661</v>
      </c>
      <c r="AN157" s="260">
        <f t="shared" si="714"/>
        <v>0.34918354214982661</v>
      </c>
      <c r="AO157" s="260">
        <f t="shared" si="714"/>
        <v>0.34918354214982666</v>
      </c>
      <c r="AP157" s="260">
        <f t="shared" si="714"/>
        <v>0.34706647038473859</v>
      </c>
      <c r="AQ157" s="260">
        <f t="shared" si="714"/>
        <v>0.34706647038473853</v>
      </c>
      <c r="AR157" s="260">
        <f t="shared" si="714"/>
        <v>0.34706647038473859</v>
      </c>
      <c r="AS157" s="260">
        <f t="shared" si="714"/>
        <v>0.34706647038473853</v>
      </c>
      <c r="AT157" s="260">
        <f t="shared" si="714"/>
        <v>0.41631260050651825</v>
      </c>
      <c r="AU157" s="260">
        <f t="shared" si="714"/>
        <v>0.41631260050651825</v>
      </c>
      <c r="AV157" s="260">
        <f t="shared" si="714"/>
        <v>0.41631260050651819</v>
      </c>
      <c r="AW157" s="260">
        <f t="shared" si="714"/>
        <v>0.41631260050651836</v>
      </c>
      <c r="AY157" s="262">
        <f t="shared" ref="AY157:BH158" si="715">INDEX($D157:$L157,1,MATCH(AY$2,$D$2:$L$2,))</f>
        <v>0.02</v>
      </c>
      <c r="AZ157" s="262">
        <f t="shared" si="715"/>
        <v>0.02</v>
      </c>
      <c r="BA157" s="262">
        <f t="shared" si="715"/>
        <v>0.02</v>
      </c>
      <c r="BB157" s="262">
        <f t="shared" si="715"/>
        <v>0.02</v>
      </c>
      <c r="BC157" s="262">
        <f t="shared" si="715"/>
        <v>0.02</v>
      </c>
      <c r="BD157" s="262">
        <f t="shared" si="715"/>
        <v>0.02</v>
      </c>
      <c r="BE157" s="262">
        <f t="shared" si="715"/>
        <v>0.02</v>
      </c>
      <c r="BF157" s="262">
        <f t="shared" si="715"/>
        <v>0.02</v>
      </c>
      <c r="BG157" s="262">
        <f t="shared" si="715"/>
        <v>0.02</v>
      </c>
      <c r="BH157" s="262">
        <f t="shared" si="715"/>
        <v>0.02</v>
      </c>
      <c r="BI157" s="262">
        <f t="shared" ref="BI157:BR158" si="716">INDEX($D157:$L157,1,MATCH(BI$2,$D$2:$L$2,))</f>
        <v>0.02</v>
      </c>
      <c r="BJ157" s="262">
        <f t="shared" si="716"/>
        <v>0.02</v>
      </c>
      <c r="BK157" s="262">
        <f t="shared" si="716"/>
        <v>0.02</v>
      </c>
      <c r="BL157" s="262">
        <f t="shared" si="716"/>
        <v>0.02</v>
      </c>
      <c r="BM157" s="262">
        <f t="shared" si="716"/>
        <v>0.02</v>
      </c>
      <c r="BN157" s="262">
        <f t="shared" si="716"/>
        <v>0.02</v>
      </c>
      <c r="BO157" s="262">
        <f t="shared" si="716"/>
        <v>0.02</v>
      </c>
      <c r="BP157" s="262">
        <f t="shared" si="716"/>
        <v>0.02</v>
      </c>
      <c r="BQ157" s="262">
        <f t="shared" si="716"/>
        <v>0.02</v>
      </c>
      <c r="BR157" s="262">
        <f t="shared" si="716"/>
        <v>0.02</v>
      </c>
      <c r="BS157" s="262">
        <f t="shared" ref="BS157:CB158" si="717">INDEX($D157:$L157,1,MATCH(BS$2,$D$2:$L$2,))</f>
        <v>0.02</v>
      </c>
      <c r="BT157" s="262">
        <f t="shared" si="717"/>
        <v>0.02</v>
      </c>
      <c r="BU157" s="262">
        <f t="shared" si="717"/>
        <v>0.02</v>
      </c>
      <c r="BV157" s="262">
        <f t="shared" si="717"/>
        <v>0.02</v>
      </c>
      <c r="BW157" s="262">
        <f t="shared" si="717"/>
        <v>0.02</v>
      </c>
      <c r="BX157" s="262">
        <f t="shared" si="717"/>
        <v>0.02</v>
      </c>
      <c r="BY157" s="262">
        <f t="shared" si="717"/>
        <v>0.02</v>
      </c>
      <c r="BZ157" s="262">
        <f t="shared" si="717"/>
        <v>0.02</v>
      </c>
      <c r="CA157" s="262">
        <f t="shared" si="717"/>
        <v>0.02</v>
      </c>
      <c r="CB157" s="262">
        <f t="shared" si="717"/>
        <v>0.02</v>
      </c>
      <c r="CC157" s="262">
        <f t="shared" ref="CC157:CL158" si="718">INDEX($D157:$L157,1,MATCH(CC$2,$D$2:$L$2,))</f>
        <v>0.02</v>
      </c>
      <c r="CD157" s="262">
        <f t="shared" si="718"/>
        <v>0.02</v>
      </c>
      <c r="CE157" s="262">
        <f t="shared" si="718"/>
        <v>0.02</v>
      </c>
      <c r="CF157" s="262">
        <f t="shared" si="718"/>
        <v>0.02</v>
      </c>
      <c r="CG157" s="262">
        <f t="shared" si="718"/>
        <v>0.02</v>
      </c>
      <c r="CH157" s="262">
        <f t="shared" si="718"/>
        <v>0.02</v>
      </c>
      <c r="CI157" s="262">
        <f t="shared" si="718"/>
        <v>0.03</v>
      </c>
      <c r="CJ157" s="262">
        <f t="shared" si="718"/>
        <v>0.03</v>
      </c>
      <c r="CK157" s="262">
        <f t="shared" si="718"/>
        <v>0.03</v>
      </c>
      <c r="CL157" s="262">
        <f t="shared" si="718"/>
        <v>0.03</v>
      </c>
      <c r="CM157" s="262">
        <f t="shared" ref="CM157:CT158" si="719">INDEX($D157:$L157,1,MATCH(CM$2,$D$2:$L$2,))</f>
        <v>0.03</v>
      </c>
      <c r="CN157" s="262">
        <f t="shared" si="719"/>
        <v>0.03</v>
      </c>
      <c r="CO157" s="262">
        <f t="shared" si="719"/>
        <v>0.03</v>
      </c>
      <c r="CP157" s="262">
        <f t="shared" si="719"/>
        <v>0.03</v>
      </c>
      <c r="CQ157" s="262">
        <f t="shared" si="719"/>
        <v>0.03</v>
      </c>
      <c r="CR157" s="262">
        <f t="shared" si="719"/>
        <v>0.03</v>
      </c>
      <c r="CS157" s="262">
        <f t="shared" si="719"/>
        <v>0.03</v>
      </c>
      <c r="CT157" s="262">
        <f t="shared" si="719"/>
        <v>0.03</v>
      </c>
      <c r="CU157" s="262">
        <f t="shared" ref="AY157:DJ159" si="720">INDEX($D157:$L157,1,MATCH(CU$2,$D$2:$L$2,))</f>
        <v>4.4999999999999998E-2</v>
      </c>
      <c r="CV157" s="262">
        <f t="shared" si="720"/>
        <v>4.4999999999999998E-2</v>
      </c>
      <c r="CW157" s="262">
        <f t="shared" si="720"/>
        <v>4.4999999999999998E-2</v>
      </c>
      <c r="CX157" s="262">
        <f t="shared" si="720"/>
        <v>4.4999999999999998E-2</v>
      </c>
      <c r="CY157" s="262">
        <f t="shared" si="720"/>
        <v>4.4999999999999998E-2</v>
      </c>
      <c r="CZ157" s="262">
        <f t="shared" si="720"/>
        <v>4.4999999999999998E-2</v>
      </c>
      <c r="DA157" s="262">
        <f t="shared" si="720"/>
        <v>4.4999999999999998E-2</v>
      </c>
      <c r="DB157" s="262">
        <f t="shared" si="720"/>
        <v>4.4999999999999998E-2</v>
      </c>
      <c r="DC157" s="262">
        <f t="shared" si="720"/>
        <v>4.4999999999999998E-2</v>
      </c>
      <c r="DD157" s="262">
        <f t="shared" si="720"/>
        <v>4.4999999999999998E-2</v>
      </c>
      <c r="DE157" s="262">
        <f t="shared" si="720"/>
        <v>4.4999999999999998E-2</v>
      </c>
      <c r="DF157" s="262">
        <f t="shared" si="720"/>
        <v>4.4999999999999998E-2</v>
      </c>
      <c r="DG157" s="262">
        <f t="shared" si="720"/>
        <v>0.125</v>
      </c>
      <c r="DH157" s="262">
        <f t="shared" si="720"/>
        <v>0.125</v>
      </c>
      <c r="DI157" s="262">
        <f t="shared" si="720"/>
        <v>0.125</v>
      </c>
      <c r="DJ157" s="262">
        <f t="shared" si="720"/>
        <v>0.125</v>
      </c>
      <c r="DK157" s="262">
        <f t="shared" ref="DK157:DT159" si="721">INDEX($D157:$L157,1,MATCH(DK$2,$D$2:$L$2,))</f>
        <v>0.125</v>
      </c>
      <c r="DL157" s="262">
        <f t="shared" si="721"/>
        <v>0.125</v>
      </c>
      <c r="DM157" s="262">
        <f t="shared" si="721"/>
        <v>0.125</v>
      </c>
      <c r="DN157" s="262">
        <f t="shared" si="721"/>
        <v>0.125</v>
      </c>
      <c r="DO157" s="262">
        <f t="shared" si="721"/>
        <v>0.125</v>
      </c>
      <c r="DP157" s="262">
        <f t="shared" si="721"/>
        <v>0.125</v>
      </c>
      <c r="DQ157" s="262">
        <f t="shared" si="721"/>
        <v>0.125</v>
      </c>
      <c r="DR157" s="262">
        <f t="shared" si="721"/>
        <v>0.125</v>
      </c>
      <c r="DS157" s="262">
        <f t="shared" si="721"/>
        <v>0.125</v>
      </c>
      <c r="DT157" s="262">
        <f t="shared" si="721"/>
        <v>0.125</v>
      </c>
      <c r="DU157" s="262">
        <f t="shared" ref="DU157:ED159" si="722">INDEX($D157:$L157,1,MATCH(DU$2,$D$2:$L$2,))</f>
        <v>0.125</v>
      </c>
      <c r="DV157" s="262">
        <f t="shared" si="722"/>
        <v>0.125</v>
      </c>
      <c r="DW157" s="262">
        <f t="shared" si="722"/>
        <v>0.125</v>
      </c>
      <c r="DX157" s="262">
        <f t="shared" si="722"/>
        <v>0.125</v>
      </c>
      <c r="DY157" s="262">
        <f t="shared" si="722"/>
        <v>0.125</v>
      </c>
      <c r="DZ157" s="262">
        <f t="shared" si="722"/>
        <v>0.125</v>
      </c>
      <c r="EA157" s="262">
        <f t="shared" si="722"/>
        <v>0.125</v>
      </c>
      <c r="EB157" s="262">
        <f t="shared" si="722"/>
        <v>0.125</v>
      </c>
      <c r="EC157" s="262">
        <f t="shared" si="722"/>
        <v>0.125</v>
      </c>
      <c r="ED157" s="262">
        <f t="shared" si="722"/>
        <v>0.125</v>
      </c>
      <c r="EE157" s="262">
        <f t="shared" ref="EE157:EN159" si="723">INDEX($D157:$L157,1,MATCH(EE$2,$D$2:$L$2,))</f>
        <v>0.125</v>
      </c>
      <c r="EF157" s="262">
        <f t="shared" si="723"/>
        <v>0.125</v>
      </c>
      <c r="EG157" s="262">
        <f t="shared" si="723"/>
        <v>0.125</v>
      </c>
      <c r="EH157" s="262">
        <f t="shared" si="723"/>
        <v>0.125</v>
      </c>
      <c r="EI157" s="262">
        <f t="shared" si="723"/>
        <v>0.125</v>
      </c>
      <c r="EJ157" s="262">
        <f t="shared" si="723"/>
        <v>0.125</v>
      </c>
      <c r="EK157" s="262">
        <f t="shared" si="723"/>
        <v>0.125</v>
      </c>
      <c r="EL157" s="262">
        <f t="shared" si="723"/>
        <v>0.125</v>
      </c>
      <c r="EM157" s="262">
        <f t="shared" si="723"/>
        <v>0.125</v>
      </c>
      <c r="EN157" s="262">
        <f t="shared" si="723"/>
        <v>0.125</v>
      </c>
      <c r="EO157" s="262">
        <f t="shared" ref="EO157:FB159" si="724">INDEX($D157:$L157,1,MATCH(EO$2,$D$2:$L$2,))</f>
        <v>0.125</v>
      </c>
      <c r="EP157" s="262">
        <f t="shared" si="724"/>
        <v>0.125</v>
      </c>
      <c r="EQ157" s="262">
        <f t="shared" si="724"/>
        <v>0.15</v>
      </c>
      <c r="ER157" s="262">
        <f t="shared" si="724"/>
        <v>0.15</v>
      </c>
      <c r="ES157" s="262">
        <f t="shared" si="724"/>
        <v>0.15</v>
      </c>
      <c r="ET157" s="262">
        <f t="shared" si="724"/>
        <v>0.15</v>
      </c>
      <c r="EU157" s="262">
        <f t="shared" si="724"/>
        <v>0.15</v>
      </c>
      <c r="EV157" s="262">
        <f t="shared" si="724"/>
        <v>0.15</v>
      </c>
      <c r="EW157" s="262">
        <f t="shared" si="724"/>
        <v>0.15</v>
      </c>
      <c r="EX157" s="262">
        <f t="shared" si="724"/>
        <v>0.15</v>
      </c>
      <c r="EY157" s="262">
        <f t="shared" si="724"/>
        <v>0.15</v>
      </c>
      <c r="EZ157" s="262">
        <f t="shared" si="724"/>
        <v>0.15</v>
      </c>
      <c r="FA157" s="262">
        <f t="shared" si="724"/>
        <v>0.15</v>
      </c>
      <c r="FB157" s="262">
        <f t="shared" si="724"/>
        <v>0.15</v>
      </c>
    </row>
    <row r="158" spans="1:158" x14ac:dyDescent="0.25">
      <c r="C158" s="2" t="s">
        <v>299</v>
      </c>
      <c r="D158" s="330">
        <v>0.01</v>
      </c>
      <c r="E158" s="330">
        <v>0.01</v>
      </c>
      <c r="F158" s="330">
        <v>0.01</v>
      </c>
      <c r="G158" s="169">
        <v>4.2000000000000003E-2</v>
      </c>
      <c r="H158" s="169">
        <f>H152</f>
        <v>0.09</v>
      </c>
      <c r="I158" s="169">
        <f>I152</f>
        <v>0.25</v>
      </c>
      <c r="J158" s="169">
        <v>0.3</v>
      </c>
      <c r="K158" s="169">
        <v>0.3</v>
      </c>
      <c r="L158" s="169">
        <v>0.3</v>
      </c>
      <c r="N158" s="260">
        <f t="shared" ref="N158:AW158" si="725">N182/N$105</f>
        <v>2.4084404137867051E-2</v>
      </c>
      <c r="O158" s="260">
        <f t="shared" si="725"/>
        <v>3.6332552088995183E-2</v>
      </c>
      <c r="P158" s="260">
        <f t="shared" si="725"/>
        <v>2.2734043719370649E-2</v>
      </c>
      <c r="Q158" s="260">
        <f t="shared" si="725"/>
        <v>0.26489694460232055</v>
      </c>
      <c r="R158" s="260">
        <f t="shared" si="725"/>
        <v>2.7405015216843617E-2</v>
      </c>
      <c r="S158" s="260">
        <f t="shared" si="725"/>
        <v>2.1791033715651054E-2</v>
      </c>
      <c r="T158" s="260">
        <f t="shared" si="725"/>
        <v>1.4444709117248771E-2</v>
      </c>
      <c r="U158" s="260">
        <f t="shared" si="725"/>
        <v>1.803814429774982E-2</v>
      </c>
      <c r="V158" s="260">
        <f t="shared" si="725"/>
        <v>2.1774118458607262E-2</v>
      </c>
      <c r="W158" s="260">
        <f t="shared" si="725"/>
        <v>2.5212526006693856E-2</v>
      </c>
      <c r="X158" s="260">
        <f t="shared" si="725"/>
        <v>2.4808944895147542E-2</v>
      </c>
      <c r="Y158" s="260">
        <f t="shared" si="725"/>
        <v>2.3869641816395393E-2</v>
      </c>
      <c r="Z158" s="260">
        <f t="shared" si="725"/>
        <v>8.9645384721140711E-2</v>
      </c>
      <c r="AA158" s="260">
        <f t="shared" si="725"/>
        <v>8.4899897471950619E-2</v>
      </c>
      <c r="AB158" s="260">
        <f t="shared" si="725"/>
        <v>0.72842737394903645</v>
      </c>
      <c r="AC158" s="260">
        <f t="shared" si="725"/>
        <v>0.86167734014535513</v>
      </c>
      <c r="AD158" s="260">
        <f t="shared" si="725"/>
        <v>0.2698843152616181</v>
      </c>
      <c r="AE158" s="260">
        <f t="shared" si="725"/>
        <v>0.26988431526161821</v>
      </c>
      <c r="AF158" s="260">
        <f t="shared" si="725"/>
        <v>0.2698843152616181</v>
      </c>
      <c r="AG158" s="260">
        <f t="shared" si="725"/>
        <v>0.26988431526161816</v>
      </c>
      <c r="AH158" s="260">
        <f t="shared" si="725"/>
        <v>0.70652413329811825</v>
      </c>
      <c r="AI158" s="260">
        <f t="shared" si="725"/>
        <v>0.70652413329811825</v>
      </c>
      <c r="AJ158" s="260">
        <f t="shared" si="725"/>
        <v>0.70652413329811825</v>
      </c>
      <c r="AK158" s="260">
        <f t="shared" si="725"/>
        <v>0.70652413329811803</v>
      </c>
      <c r="AL158" s="260">
        <f t="shared" si="725"/>
        <v>0.83804050115958384</v>
      </c>
      <c r="AM158" s="260">
        <f t="shared" si="725"/>
        <v>0.83804050115958395</v>
      </c>
      <c r="AN158" s="260">
        <f t="shared" si="725"/>
        <v>0.83804050115958384</v>
      </c>
      <c r="AO158" s="260">
        <f t="shared" si="725"/>
        <v>0.83804050115958384</v>
      </c>
      <c r="AP158" s="260">
        <f t="shared" si="725"/>
        <v>0.83295952892337255</v>
      </c>
      <c r="AQ158" s="260">
        <f t="shared" si="725"/>
        <v>0.83295952892337244</v>
      </c>
      <c r="AR158" s="260">
        <f t="shared" si="725"/>
        <v>0.83295952892337255</v>
      </c>
      <c r="AS158" s="260">
        <f t="shared" si="725"/>
        <v>0.83295952892337255</v>
      </c>
      <c r="AT158" s="260">
        <f t="shared" si="725"/>
        <v>0.8326252010130365</v>
      </c>
      <c r="AU158" s="260">
        <f t="shared" si="725"/>
        <v>0.8326252010130365</v>
      </c>
      <c r="AV158" s="260">
        <f t="shared" si="725"/>
        <v>0.83262520101303639</v>
      </c>
      <c r="AW158" s="260">
        <f t="shared" si="725"/>
        <v>0.83262520101303672</v>
      </c>
      <c r="AY158" s="262">
        <f t="shared" si="715"/>
        <v>0.01</v>
      </c>
      <c r="AZ158" s="262">
        <f t="shared" si="715"/>
        <v>0.01</v>
      </c>
      <c r="BA158" s="262">
        <f t="shared" si="715"/>
        <v>0.01</v>
      </c>
      <c r="BB158" s="262">
        <f t="shared" si="715"/>
        <v>0.01</v>
      </c>
      <c r="BC158" s="262">
        <f t="shared" si="715"/>
        <v>0.01</v>
      </c>
      <c r="BD158" s="262">
        <f t="shared" si="715"/>
        <v>0.01</v>
      </c>
      <c r="BE158" s="262">
        <f t="shared" si="715"/>
        <v>0.01</v>
      </c>
      <c r="BF158" s="262">
        <f t="shared" si="715"/>
        <v>0.01</v>
      </c>
      <c r="BG158" s="262">
        <f t="shared" si="715"/>
        <v>0.01</v>
      </c>
      <c r="BH158" s="262">
        <f t="shared" si="715"/>
        <v>0.01</v>
      </c>
      <c r="BI158" s="262">
        <f t="shared" si="716"/>
        <v>0.01</v>
      </c>
      <c r="BJ158" s="262">
        <f t="shared" si="716"/>
        <v>0.01</v>
      </c>
      <c r="BK158" s="262">
        <f t="shared" si="716"/>
        <v>0.01</v>
      </c>
      <c r="BL158" s="262">
        <f t="shared" si="716"/>
        <v>0.01</v>
      </c>
      <c r="BM158" s="262">
        <f t="shared" si="716"/>
        <v>0.01</v>
      </c>
      <c r="BN158" s="262">
        <f t="shared" si="716"/>
        <v>0.01</v>
      </c>
      <c r="BO158" s="262">
        <f t="shared" si="716"/>
        <v>0.01</v>
      </c>
      <c r="BP158" s="262">
        <f t="shared" si="716"/>
        <v>0.01</v>
      </c>
      <c r="BQ158" s="262">
        <f t="shared" si="716"/>
        <v>0.01</v>
      </c>
      <c r="BR158" s="262">
        <f t="shared" si="716"/>
        <v>0.01</v>
      </c>
      <c r="BS158" s="262">
        <f t="shared" si="717"/>
        <v>0.01</v>
      </c>
      <c r="BT158" s="262">
        <f t="shared" si="717"/>
        <v>0.01</v>
      </c>
      <c r="BU158" s="262">
        <f t="shared" si="717"/>
        <v>0.01</v>
      </c>
      <c r="BV158" s="262">
        <f t="shared" si="717"/>
        <v>0.01</v>
      </c>
      <c r="BW158" s="262">
        <f t="shared" si="717"/>
        <v>0.01</v>
      </c>
      <c r="BX158" s="262">
        <f t="shared" si="717"/>
        <v>0.01</v>
      </c>
      <c r="BY158" s="262">
        <f t="shared" si="717"/>
        <v>0.01</v>
      </c>
      <c r="BZ158" s="262">
        <f t="shared" si="717"/>
        <v>0.01</v>
      </c>
      <c r="CA158" s="262">
        <f t="shared" si="717"/>
        <v>0.01</v>
      </c>
      <c r="CB158" s="262">
        <f t="shared" si="717"/>
        <v>0.01</v>
      </c>
      <c r="CC158" s="262">
        <f t="shared" si="718"/>
        <v>0.01</v>
      </c>
      <c r="CD158" s="262">
        <f t="shared" si="718"/>
        <v>0.01</v>
      </c>
      <c r="CE158" s="262">
        <f t="shared" si="718"/>
        <v>0.01</v>
      </c>
      <c r="CF158" s="262">
        <f t="shared" si="718"/>
        <v>0.01</v>
      </c>
      <c r="CG158" s="262">
        <f t="shared" si="718"/>
        <v>0.01</v>
      </c>
      <c r="CH158" s="262">
        <f t="shared" si="718"/>
        <v>0.01</v>
      </c>
      <c r="CI158" s="262">
        <f t="shared" si="718"/>
        <v>4.2000000000000003E-2</v>
      </c>
      <c r="CJ158" s="262">
        <f t="shared" si="718"/>
        <v>4.2000000000000003E-2</v>
      </c>
      <c r="CK158" s="262">
        <f t="shared" si="718"/>
        <v>4.2000000000000003E-2</v>
      </c>
      <c r="CL158" s="262">
        <f t="shared" si="718"/>
        <v>4.2000000000000003E-2</v>
      </c>
      <c r="CM158" s="262">
        <f t="shared" si="719"/>
        <v>4.2000000000000003E-2</v>
      </c>
      <c r="CN158" s="262">
        <f t="shared" si="719"/>
        <v>4.2000000000000003E-2</v>
      </c>
      <c r="CO158" s="262">
        <f t="shared" si="719"/>
        <v>4.2000000000000003E-2</v>
      </c>
      <c r="CP158" s="262">
        <f t="shared" si="719"/>
        <v>4.2000000000000003E-2</v>
      </c>
      <c r="CQ158" s="262">
        <f t="shared" si="719"/>
        <v>4.2000000000000003E-2</v>
      </c>
      <c r="CR158" s="262">
        <f t="shared" si="719"/>
        <v>4.2000000000000003E-2</v>
      </c>
      <c r="CS158" s="262">
        <f t="shared" si="719"/>
        <v>4.2000000000000003E-2</v>
      </c>
      <c r="CT158" s="262">
        <f t="shared" si="719"/>
        <v>4.2000000000000003E-2</v>
      </c>
      <c r="CU158" s="262">
        <f t="shared" si="720"/>
        <v>0.09</v>
      </c>
      <c r="CV158" s="262">
        <f t="shared" si="720"/>
        <v>0.09</v>
      </c>
      <c r="CW158" s="262">
        <f t="shared" si="720"/>
        <v>0.09</v>
      </c>
      <c r="CX158" s="262">
        <f t="shared" si="720"/>
        <v>0.09</v>
      </c>
      <c r="CY158" s="262">
        <f t="shared" si="720"/>
        <v>0.09</v>
      </c>
      <c r="CZ158" s="262">
        <f t="shared" si="720"/>
        <v>0.09</v>
      </c>
      <c r="DA158" s="262">
        <f t="shared" si="720"/>
        <v>0.09</v>
      </c>
      <c r="DB158" s="262">
        <f t="shared" si="720"/>
        <v>0.09</v>
      </c>
      <c r="DC158" s="262">
        <f t="shared" si="720"/>
        <v>0.09</v>
      </c>
      <c r="DD158" s="262">
        <f t="shared" si="720"/>
        <v>0.09</v>
      </c>
      <c r="DE158" s="262">
        <f t="shared" si="720"/>
        <v>0.09</v>
      </c>
      <c r="DF158" s="262">
        <f t="shared" si="720"/>
        <v>0.09</v>
      </c>
      <c r="DG158" s="262">
        <f t="shared" si="720"/>
        <v>0.25</v>
      </c>
      <c r="DH158" s="262">
        <f t="shared" si="720"/>
        <v>0.25</v>
      </c>
      <c r="DI158" s="262">
        <f t="shared" si="720"/>
        <v>0.25</v>
      </c>
      <c r="DJ158" s="262">
        <f t="shared" si="720"/>
        <v>0.25</v>
      </c>
      <c r="DK158" s="262">
        <f t="shared" si="721"/>
        <v>0.25</v>
      </c>
      <c r="DL158" s="262">
        <f t="shared" si="721"/>
        <v>0.25</v>
      </c>
      <c r="DM158" s="262">
        <f t="shared" si="721"/>
        <v>0.25</v>
      </c>
      <c r="DN158" s="262">
        <f t="shared" si="721"/>
        <v>0.25</v>
      </c>
      <c r="DO158" s="262">
        <f t="shared" si="721"/>
        <v>0.25</v>
      </c>
      <c r="DP158" s="262">
        <f t="shared" si="721"/>
        <v>0.25</v>
      </c>
      <c r="DQ158" s="262">
        <f t="shared" si="721"/>
        <v>0.25</v>
      </c>
      <c r="DR158" s="262">
        <f t="shared" si="721"/>
        <v>0.25</v>
      </c>
      <c r="DS158" s="262">
        <f t="shared" si="721"/>
        <v>0.3</v>
      </c>
      <c r="DT158" s="262">
        <f t="shared" si="721"/>
        <v>0.3</v>
      </c>
      <c r="DU158" s="262">
        <f t="shared" si="722"/>
        <v>0.3</v>
      </c>
      <c r="DV158" s="262">
        <f t="shared" si="722"/>
        <v>0.3</v>
      </c>
      <c r="DW158" s="262">
        <f t="shared" si="722"/>
        <v>0.3</v>
      </c>
      <c r="DX158" s="262">
        <f t="shared" si="722"/>
        <v>0.3</v>
      </c>
      <c r="DY158" s="262">
        <f t="shared" si="722"/>
        <v>0.3</v>
      </c>
      <c r="DZ158" s="262">
        <f t="shared" si="722"/>
        <v>0.3</v>
      </c>
      <c r="EA158" s="262">
        <f t="shared" si="722"/>
        <v>0.3</v>
      </c>
      <c r="EB158" s="262">
        <f t="shared" si="722"/>
        <v>0.3</v>
      </c>
      <c r="EC158" s="262">
        <f t="shared" si="722"/>
        <v>0.3</v>
      </c>
      <c r="ED158" s="262">
        <f t="shared" si="722"/>
        <v>0.3</v>
      </c>
      <c r="EE158" s="262">
        <f t="shared" si="723"/>
        <v>0.3</v>
      </c>
      <c r="EF158" s="262">
        <f t="shared" si="723"/>
        <v>0.3</v>
      </c>
      <c r="EG158" s="262">
        <f t="shared" si="723"/>
        <v>0.3</v>
      </c>
      <c r="EH158" s="262">
        <f t="shared" si="723"/>
        <v>0.3</v>
      </c>
      <c r="EI158" s="262">
        <f t="shared" si="723"/>
        <v>0.3</v>
      </c>
      <c r="EJ158" s="262">
        <f t="shared" si="723"/>
        <v>0.3</v>
      </c>
      <c r="EK158" s="262">
        <f t="shared" si="723"/>
        <v>0.3</v>
      </c>
      <c r="EL158" s="262">
        <f t="shared" si="723"/>
        <v>0.3</v>
      </c>
      <c r="EM158" s="262">
        <f t="shared" si="723"/>
        <v>0.3</v>
      </c>
      <c r="EN158" s="262">
        <f t="shared" si="723"/>
        <v>0.3</v>
      </c>
      <c r="EO158" s="262">
        <f t="shared" si="724"/>
        <v>0.3</v>
      </c>
      <c r="EP158" s="262">
        <f t="shared" si="724"/>
        <v>0.3</v>
      </c>
      <c r="EQ158" s="262">
        <f t="shared" si="724"/>
        <v>0.3</v>
      </c>
      <c r="ER158" s="262">
        <f t="shared" si="724"/>
        <v>0.3</v>
      </c>
      <c r="ES158" s="262">
        <f t="shared" si="724"/>
        <v>0.3</v>
      </c>
      <c r="ET158" s="262">
        <f t="shared" si="724"/>
        <v>0.3</v>
      </c>
      <c r="EU158" s="262">
        <f t="shared" si="724"/>
        <v>0.3</v>
      </c>
      <c r="EV158" s="262">
        <f t="shared" si="724"/>
        <v>0.3</v>
      </c>
      <c r="EW158" s="262">
        <f t="shared" si="724"/>
        <v>0.3</v>
      </c>
      <c r="EX158" s="262">
        <f t="shared" si="724"/>
        <v>0.3</v>
      </c>
      <c r="EY158" s="262">
        <f t="shared" si="724"/>
        <v>0.3</v>
      </c>
      <c r="EZ158" s="262">
        <f t="shared" si="724"/>
        <v>0.3</v>
      </c>
      <c r="FA158" s="262">
        <f t="shared" si="724"/>
        <v>0.3</v>
      </c>
      <c r="FB158" s="262">
        <f t="shared" si="724"/>
        <v>0.3</v>
      </c>
    </row>
    <row r="159" spans="1:158" x14ac:dyDescent="0.25">
      <c r="C159" s="2" t="s">
        <v>300</v>
      </c>
      <c r="D159" s="330">
        <v>0.02</v>
      </c>
      <c r="E159" s="330">
        <v>0.02</v>
      </c>
      <c r="F159" s="330">
        <v>0.02</v>
      </c>
      <c r="G159" s="169">
        <f>G153</f>
        <v>5.4711376555136311E-2</v>
      </c>
      <c r="H159" s="169">
        <f>H153</f>
        <v>5.2080620800999948E-2</v>
      </c>
      <c r="I159" s="169">
        <f>I153</f>
        <v>5.2080620800999948E-2</v>
      </c>
      <c r="J159" s="169">
        <f>J153</f>
        <v>5.2080620800999948E-2</v>
      </c>
      <c r="K159" s="169">
        <f>K153</f>
        <v>5.2080620800999948E-2</v>
      </c>
      <c r="L159" s="169">
        <v>5.2080620800999948E-2</v>
      </c>
      <c r="N159" s="260">
        <f t="shared" ref="N159:AW159" si="726">N183/N$105</f>
        <v>4.8168808275734103E-2</v>
      </c>
      <c r="O159" s="260">
        <f t="shared" si="726"/>
        <v>7.2665104177990367E-2</v>
      </c>
      <c r="P159" s="260">
        <f t="shared" si="726"/>
        <v>4.5468087438741298E-2</v>
      </c>
      <c r="Q159" s="260">
        <f t="shared" si="726"/>
        <v>0.5297938892046411</v>
      </c>
      <c r="R159" s="260">
        <f t="shared" si="726"/>
        <v>5.4810030433687235E-2</v>
      </c>
      <c r="S159" s="260">
        <f t="shared" si="726"/>
        <v>4.3582067431302107E-2</v>
      </c>
      <c r="T159" s="260">
        <f t="shared" si="726"/>
        <v>2.8889418234497543E-2</v>
      </c>
      <c r="U159" s="260">
        <f t="shared" si="726"/>
        <v>3.6076288595499641E-2</v>
      </c>
      <c r="V159" s="260">
        <f t="shared" si="726"/>
        <v>4.3548236917214524E-2</v>
      </c>
      <c r="W159" s="260">
        <f t="shared" si="726"/>
        <v>5.0425052013387713E-2</v>
      </c>
      <c r="X159" s="260">
        <f t="shared" si="726"/>
        <v>4.9617889790295085E-2</v>
      </c>
      <c r="Y159" s="260">
        <f t="shared" si="726"/>
        <v>4.7739283632790785E-2</v>
      </c>
      <c r="Z159" s="260">
        <f t="shared" si="726"/>
        <v>0.11677672380734268</v>
      </c>
      <c r="AA159" s="260">
        <f t="shared" si="726"/>
        <v>0.11059500619238943</v>
      </c>
      <c r="AB159" s="260">
        <f t="shared" si="726"/>
        <v>0.94888724640940059</v>
      </c>
      <c r="AC159" s="260">
        <f t="shared" si="726"/>
        <v>1.1224655577552571</v>
      </c>
      <c r="AD159" s="260">
        <f t="shared" si="726"/>
        <v>0.15617491870308733</v>
      </c>
      <c r="AE159" s="260">
        <f t="shared" si="726"/>
        <v>0.15617491870308736</v>
      </c>
      <c r="AF159" s="260">
        <f t="shared" si="726"/>
        <v>0.15617491870308728</v>
      </c>
      <c r="AG159" s="260">
        <f t="shared" si="726"/>
        <v>0.15617491870308733</v>
      </c>
      <c r="AH159" s="260">
        <f t="shared" si="726"/>
        <v>0.14718486189221774</v>
      </c>
      <c r="AI159" s="260">
        <f t="shared" si="726"/>
        <v>0.14718486189221774</v>
      </c>
      <c r="AJ159" s="260">
        <f t="shared" si="726"/>
        <v>0.14718486189221774</v>
      </c>
      <c r="AK159" s="260">
        <f t="shared" si="726"/>
        <v>0.14718486189221772</v>
      </c>
      <c r="AL159" s="260">
        <f t="shared" si="726"/>
        <v>0.1454855651892408</v>
      </c>
      <c r="AM159" s="260">
        <f t="shared" si="726"/>
        <v>0.14548556518924083</v>
      </c>
      <c r="AN159" s="260">
        <f t="shared" si="726"/>
        <v>0.1454855651892408</v>
      </c>
      <c r="AO159" s="260">
        <f t="shared" si="726"/>
        <v>0.14548556518924083</v>
      </c>
      <c r="AP159" s="260">
        <f t="shared" si="726"/>
        <v>0.14460349789479238</v>
      </c>
      <c r="AQ159" s="260">
        <f t="shared" si="726"/>
        <v>0.14460349789479238</v>
      </c>
      <c r="AR159" s="260">
        <f t="shared" si="726"/>
        <v>0.1446034978947924</v>
      </c>
      <c r="AS159" s="260">
        <f t="shared" si="726"/>
        <v>0.14460349789479238</v>
      </c>
      <c r="AT159" s="260">
        <f t="shared" si="726"/>
        <v>0.14454545787772105</v>
      </c>
      <c r="AU159" s="260">
        <f t="shared" si="726"/>
        <v>0.14454545787772105</v>
      </c>
      <c r="AV159" s="260">
        <f t="shared" si="726"/>
        <v>0.14454545787772105</v>
      </c>
      <c r="AW159" s="260">
        <f t="shared" si="726"/>
        <v>0.14454545787772105</v>
      </c>
      <c r="AY159" s="262">
        <f t="shared" si="720"/>
        <v>0.02</v>
      </c>
      <c r="AZ159" s="262">
        <f t="shared" si="720"/>
        <v>0.02</v>
      </c>
      <c r="BA159" s="262">
        <f t="shared" si="720"/>
        <v>0.02</v>
      </c>
      <c r="BB159" s="262">
        <f t="shared" si="720"/>
        <v>0.02</v>
      </c>
      <c r="BC159" s="262">
        <f t="shared" si="720"/>
        <v>0.02</v>
      </c>
      <c r="BD159" s="262">
        <f t="shared" si="720"/>
        <v>0.02</v>
      </c>
      <c r="BE159" s="262">
        <f t="shared" si="720"/>
        <v>0.02</v>
      </c>
      <c r="BF159" s="262">
        <f t="shared" si="720"/>
        <v>0.02</v>
      </c>
      <c r="BG159" s="262">
        <f t="shared" si="720"/>
        <v>0.02</v>
      </c>
      <c r="BH159" s="262">
        <f t="shared" si="720"/>
        <v>0.02</v>
      </c>
      <c r="BI159" s="262">
        <f t="shared" si="720"/>
        <v>0.02</v>
      </c>
      <c r="BJ159" s="262">
        <f t="shared" si="720"/>
        <v>0.02</v>
      </c>
      <c r="BK159" s="262">
        <f t="shared" si="720"/>
        <v>0.02</v>
      </c>
      <c r="BL159" s="262">
        <f t="shared" si="720"/>
        <v>0.02</v>
      </c>
      <c r="BM159" s="262">
        <f t="shared" si="720"/>
        <v>0.02</v>
      </c>
      <c r="BN159" s="262">
        <f t="shared" si="720"/>
        <v>0.02</v>
      </c>
      <c r="BO159" s="262">
        <f t="shared" si="720"/>
        <v>0.02</v>
      </c>
      <c r="BP159" s="262">
        <f t="shared" si="720"/>
        <v>0.02</v>
      </c>
      <c r="BQ159" s="262">
        <f t="shared" si="720"/>
        <v>0.02</v>
      </c>
      <c r="BR159" s="262">
        <f t="shared" si="720"/>
        <v>0.02</v>
      </c>
      <c r="BS159" s="262">
        <f t="shared" si="720"/>
        <v>0.02</v>
      </c>
      <c r="BT159" s="262">
        <f t="shared" si="720"/>
        <v>0.02</v>
      </c>
      <c r="BU159" s="262">
        <f t="shared" si="720"/>
        <v>0.02</v>
      </c>
      <c r="BV159" s="262">
        <f t="shared" si="720"/>
        <v>0.02</v>
      </c>
      <c r="BW159" s="262">
        <f t="shared" si="720"/>
        <v>0.02</v>
      </c>
      <c r="BX159" s="262">
        <f t="shared" si="720"/>
        <v>0.02</v>
      </c>
      <c r="BY159" s="262">
        <f t="shared" si="720"/>
        <v>0.02</v>
      </c>
      <c r="BZ159" s="262">
        <f t="shared" si="720"/>
        <v>0.02</v>
      </c>
      <c r="CA159" s="262">
        <f t="shared" si="720"/>
        <v>0.02</v>
      </c>
      <c r="CB159" s="262">
        <f t="shared" si="720"/>
        <v>0.02</v>
      </c>
      <c r="CC159" s="262">
        <f t="shared" si="720"/>
        <v>0.02</v>
      </c>
      <c r="CD159" s="262">
        <f t="shared" si="720"/>
        <v>0.02</v>
      </c>
      <c r="CE159" s="262">
        <f t="shared" si="720"/>
        <v>0.02</v>
      </c>
      <c r="CF159" s="262">
        <f t="shared" si="720"/>
        <v>0.02</v>
      </c>
      <c r="CG159" s="262">
        <f t="shared" si="720"/>
        <v>0.02</v>
      </c>
      <c r="CH159" s="262">
        <f t="shared" si="720"/>
        <v>0.02</v>
      </c>
      <c r="CI159" s="262">
        <f t="shared" si="720"/>
        <v>5.4711376555136311E-2</v>
      </c>
      <c r="CJ159" s="262">
        <f t="shared" si="720"/>
        <v>5.4711376555136311E-2</v>
      </c>
      <c r="CK159" s="262">
        <f t="shared" si="720"/>
        <v>5.4711376555136311E-2</v>
      </c>
      <c r="CL159" s="262">
        <f t="shared" si="720"/>
        <v>5.4711376555136311E-2</v>
      </c>
      <c r="CM159" s="262">
        <f t="shared" si="720"/>
        <v>5.4711376555136311E-2</v>
      </c>
      <c r="CN159" s="262">
        <f t="shared" si="720"/>
        <v>5.4711376555136311E-2</v>
      </c>
      <c r="CO159" s="262">
        <f t="shared" si="720"/>
        <v>5.4711376555136311E-2</v>
      </c>
      <c r="CP159" s="262">
        <f t="shared" si="720"/>
        <v>5.4711376555136311E-2</v>
      </c>
      <c r="CQ159" s="262">
        <f t="shared" si="720"/>
        <v>5.4711376555136311E-2</v>
      </c>
      <c r="CR159" s="262">
        <f t="shared" si="720"/>
        <v>5.4711376555136311E-2</v>
      </c>
      <c r="CS159" s="262">
        <f t="shared" si="720"/>
        <v>5.4711376555136311E-2</v>
      </c>
      <c r="CT159" s="262">
        <f t="shared" si="720"/>
        <v>5.4711376555136311E-2</v>
      </c>
      <c r="CU159" s="262">
        <f t="shared" si="720"/>
        <v>5.2080620800999948E-2</v>
      </c>
      <c r="CV159" s="262">
        <f t="shared" si="720"/>
        <v>5.2080620800999948E-2</v>
      </c>
      <c r="CW159" s="262">
        <f t="shared" si="720"/>
        <v>5.2080620800999948E-2</v>
      </c>
      <c r="CX159" s="262">
        <f t="shared" si="720"/>
        <v>5.2080620800999948E-2</v>
      </c>
      <c r="CY159" s="262">
        <f t="shared" si="720"/>
        <v>5.2080620800999948E-2</v>
      </c>
      <c r="CZ159" s="262">
        <f t="shared" si="720"/>
        <v>5.2080620800999948E-2</v>
      </c>
      <c r="DA159" s="262">
        <f t="shared" si="720"/>
        <v>5.2080620800999948E-2</v>
      </c>
      <c r="DB159" s="262">
        <f t="shared" si="720"/>
        <v>5.2080620800999948E-2</v>
      </c>
      <c r="DC159" s="262">
        <f t="shared" si="720"/>
        <v>5.2080620800999948E-2</v>
      </c>
      <c r="DD159" s="262">
        <f t="shared" si="720"/>
        <v>5.2080620800999948E-2</v>
      </c>
      <c r="DE159" s="262">
        <f t="shared" si="720"/>
        <v>5.2080620800999948E-2</v>
      </c>
      <c r="DF159" s="262">
        <f t="shared" si="720"/>
        <v>5.2080620800999948E-2</v>
      </c>
      <c r="DG159" s="262">
        <f t="shared" si="720"/>
        <v>5.2080620800999948E-2</v>
      </c>
      <c r="DH159" s="262">
        <f t="shared" si="720"/>
        <v>5.2080620800999948E-2</v>
      </c>
      <c r="DI159" s="262">
        <f t="shared" si="720"/>
        <v>5.2080620800999948E-2</v>
      </c>
      <c r="DJ159" s="262">
        <f t="shared" si="720"/>
        <v>5.2080620800999948E-2</v>
      </c>
      <c r="DK159" s="262">
        <f t="shared" si="721"/>
        <v>5.2080620800999948E-2</v>
      </c>
      <c r="DL159" s="262">
        <f t="shared" si="721"/>
        <v>5.2080620800999948E-2</v>
      </c>
      <c r="DM159" s="262">
        <f t="shared" si="721"/>
        <v>5.2080620800999948E-2</v>
      </c>
      <c r="DN159" s="262">
        <f t="shared" si="721"/>
        <v>5.2080620800999948E-2</v>
      </c>
      <c r="DO159" s="262">
        <f t="shared" si="721"/>
        <v>5.2080620800999948E-2</v>
      </c>
      <c r="DP159" s="262">
        <f t="shared" si="721"/>
        <v>5.2080620800999948E-2</v>
      </c>
      <c r="DQ159" s="262">
        <f t="shared" si="721"/>
        <v>5.2080620800999948E-2</v>
      </c>
      <c r="DR159" s="262">
        <f t="shared" si="721"/>
        <v>5.2080620800999948E-2</v>
      </c>
      <c r="DS159" s="262">
        <f t="shared" si="721"/>
        <v>5.2080620800999948E-2</v>
      </c>
      <c r="DT159" s="262">
        <f t="shared" si="721"/>
        <v>5.2080620800999948E-2</v>
      </c>
      <c r="DU159" s="262">
        <f t="shared" si="722"/>
        <v>5.2080620800999948E-2</v>
      </c>
      <c r="DV159" s="262">
        <f t="shared" si="722"/>
        <v>5.2080620800999948E-2</v>
      </c>
      <c r="DW159" s="262">
        <f t="shared" si="722"/>
        <v>5.2080620800999948E-2</v>
      </c>
      <c r="DX159" s="262">
        <f t="shared" si="722"/>
        <v>5.2080620800999948E-2</v>
      </c>
      <c r="DY159" s="262">
        <f t="shared" si="722"/>
        <v>5.2080620800999948E-2</v>
      </c>
      <c r="DZ159" s="262">
        <f t="shared" si="722"/>
        <v>5.2080620800999948E-2</v>
      </c>
      <c r="EA159" s="262">
        <f t="shared" si="722"/>
        <v>5.2080620800999948E-2</v>
      </c>
      <c r="EB159" s="262">
        <f t="shared" si="722"/>
        <v>5.2080620800999948E-2</v>
      </c>
      <c r="EC159" s="262">
        <f t="shared" si="722"/>
        <v>5.2080620800999948E-2</v>
      </c>
      <c r="ED159" s="262">
        <f t="shared" si="722"/>
        <v>5.2080620800999948E-2</v>
      </c>
      <c r="EE159" s="262">
        <f t="shared" si="723"/>
        <v>5.2080620800999948E-2</v>
      </c>
      <c r="EF159" s="262">
        <f t="shared" si="723"/>
        <v>5.2080620800999948E-2</v>
      </c>
      <c r="EG159" s="262">
        <f t="shared" si="723"/>
        <v>5.2080620800999948E-2</v>
      </c>
      <c r="EH159" s="262">
        <f t="shared" si="723"/>
        <v>5.2080620800999948E-2</v>
      </c>
      <c r="EI159" s="262">
        <f t="shared" si="723"/>
        <v>5.2080620800999948E-2</v>
      </c>
      <c r="EJ159" s="262">
        <f t="shared" si="723"/>
        <v>5.2080620800999948E-2</v>
      </c>
      <c r="EK159" s="262">
        <f t="shared" si="723"/>
        <v>5.2080620800999948E-2</v>
      </c>
      <c r="EL159" s="262">
        <f t="shared" si="723"/>
        <v>5.2080620800999948E-2</v>
      </c>
      <c r="EM159" s="262">
        <f t="shared" si="723"/>
        <v>5.2080620800999948E-2</v>
      </c>
      <c r="EN159" s="262">
        <f t="shared" si="723"/>
        <v>5.2080620800999948E-2</v>
      </c>
      <c r="EO159" s="262">
        <f t="shared" si="724"/>
        <v>5.2080620800999948E-2</v>
      </c>
      <c r="EP159" s="262">
        <f t="shared" si="724"/>
        <v>5.2080620800999948E-2</v>
      </c>
      <c r="EQ159" s="262">
        <f t="shared" si="724"/>
        <v>5.2080620800999948E-2</v>
      </c>
      <c r="ER159" s="262">
        <f t="shared" si="724"/>
        <v>5.2080620800999948E-2</v>
      </c>
      <c r="ES159" s="262">
        <f t="shared" si="724"/>
        <v>5.2080620800999948E-2</v>
      </c>
      <c r="ET159" s="262">
        <f t="shared" si="724"/>
        <v>5.2080620800999948E-2</v>
      </c>
      <c r="EU159" s="262">
        <f t="shared" si="724"/>
        <v>5.2080620800999948E-2</v>
      </c>
      <c r="EV159" s="262">
        <f t="shared" si="724"/>
        <v>5.2080620800999948E-2</v>
      </c>
      <c r="EW159" s="262">
        <f t="shared" si="724"/>
        <v>5.2080620800999948E-2</v>
      </c>
      <c r="EX159" s="262">
        <f t="shared" si="724"/>
        <v>5.2080620800999948E-2</v>
      </c>
      <c r="EY159" s="262">
        <f t="shared" si="724"/>
        <v>5.2080620800999948E-2</v>
      </c>
      <c r="EZ159" s="262">
        <f t="shared" si="724"/>
        <v>5.2080620800999948E-2</v>
      </c>
      <c r="FA159" s="262">
        <f t="shared" si="724"/>
        <v>5.2080620800999948E-2</v>
      </c>
      <c r="FB159" s="262">
        <f t="shared" si="724"/>
        <v>5.2080620800999948E-2</v>
      </c>
    </row>
    <row r="160" spans="1:158" x14ac:dyDescent="0.25">
      <c r="D160" s="331"/>
      <c r="E160" s="331"/>
      <c r="F160" s="331"/>
    </row>
    <row r="161" spans="3:158" x14ac:dyDescent="0.25">
      <c r="C161" s="304" t="s">
        <v>642</v>
      </c>
      <c r="D161" s="331"/>
      <c r="E161" s="331"/>
      <c r="F161" s="331"/>
    </row>
    <row r="162" spans="3:158" x14ac:dyDescent="0.25">
      <c r="C162" s="2" t="s">
        <v>346</v>
      </c>
      <c r="D162" s="349">
        <f t="shared" ref="D162" si="727">1-SUM(D163:D165)</f>
        <v>0.95</v>
      </c>
      <c r="E162" s="349">
        <f t="shared" ref="E162" si="728">1-SUM(E163:E165)</f>
        <v>0.95</v>
      </c>
      <c r="F162" s="349">
        <f t="shared" ref="F162" si="729">1-SUM(F163:F165)</f>
        <v>0.95</v>
      </c>
      <c r="G162" s="349">
        <f t="shared" ref="G162" si="730">1-SUM(G163:G165)</f>
        <v>0.9495569339377592</v>
      </c>
      <c r="H162" s="349">
        <f t="shared" ref="H162" si="731">1-SUM(H163:H165)</f>
        <v>0.91432750198654777</v>
      </c>
      <c r="I162" s="349">
        <f>1-SUM(I163:I165)</f>
        <v>0.87450896989848259</v>
      </c>
      <c r="J162" s="349">
        <f t="shared" ref="J162" si="732">1-SUM(J163:J165)</f>
        <v>0.76274102241679831</v>
      </c>
      <c r="K162" s="349">
        <f t="shared" ref="K162" si="733">1-SUM(K163:K165)</f>
        <v>0.67835760174860782</v>
      </c>
      <c r="L162" s="349">
        <f t="shared" ref="L162" si="734">1-SUM(L163:L165)</f>
        <v>0.62633171319051772</v>
      </c>
      <c r="N162" s="260">
        <f t="shared" ref="N162:AW162" si="735">N186/N$111</f>
        <v>1.19194853374695</v>
      </c>
      <c r="O162" s="260">
        <f t="shared" si="735"/>
        <v>1.8136363636363637</v>
      </c>
      <c r="P162" s="260">
        <f t="shared" si="735"/>
        <v>2.753841279898622</v>
      </c>
      <c r="Q162" s="260">
        <f t="shared" si="735"/>
        <v>0.11632650687214145</v>
      </c>
      <c r="R162" s="260">
        <f t="shared" si="735"/>
        <v>0.23570785666527061</v>
      </c>
      <c r="S162" s="260">
        <f t="shared" si="735"/>
        <v>1.7025187397685171</v>
      </c>
      <c r="T162" s="260">
        <f t="shared" si="735"/>
        <v>5.6925696984988013E-2</v>
      </c>
      <c r="U162" s="260">
        <f t="shared" si="735"/>
        <v>1.039997413402884</v>
      </c>
      <c r="V162" s="260">
        <f t="shared" si="735"/>
        <v>0.78382341043065928</v>
      </c>
      <c r="W162" s="260">
        <f t="shared" si="735"/>
        <v>0.81780457432447107</v>
      </c>
      <c r="X162" s="260">
        <f t="shared" si="735"/>
        <v>1.6373260844053206</v>
      </c>
      <c r="Y162" s="260">
        <f t="shared" si="735"/>
        <v>0.35804418561580376</v>
      </c>
      <c r="Z162" s="260">
        <f t="shared" si="735"/>
        <v>0.70871758054920353</v>
      </c>
      <c r="AA162" s="260">
        <f t="shared" si="735"/>
        <v>2.2998535111294203</v>
      </c>
      <c r="AB162" s="260">
        <f t="shared" si="735"/>
        <v>0.98276063044612594</v>
      </c>
      <c r="AC162" s="260">
        <f t="shared" si="735"/>
        <v>0.99527660560075293</v>
      </c>
      <c r="AD162" s="260">
        <f t="shared" si="735"/>
        <v>1.1435396525431394</v>
      </c>
      <c r="AE162" s="260">
        <f t="shared" si="735"/>
        <v>1.1435396525431394</v>
      </c>
      <c r="AF162" s="260">
        <f t="shared" si="735"/>
        <v>1.1435396525431396</v>
      </c>
      <c r="AG162" s="260">
        <f t="shared" si="735"/>
        <v>1.1435396525431394</v>
      </c>
      <c r="AH162" s="260">
        <f t="shared" si="735"/>
        <v>1.0102912209036274</v>
      </c>
      <c r="AI162" s="260">
        <f t="shared" si="735"/>
        <v>1.0102912209036272</v>
      </c>
      <c r="AJ162" s="260">
        <f t="shared" si="735"/>
        <v>1.0102912209036274</v>
      </c>
      <c r="AK162" s="260">
        <f t="shared" si="735"/>
        <v>1.0102912209036274</v>
      </c>
      <c r="AL162" s="260">
        <f t="shared" si="735"/>
        <v>0.89146527502017514</v>
      </c>
      <c r="AM162" s="260">
        <f t="shared" si="735"/>
        <v>0.89146527502017503</v>
      </c>
      <c r="AN162" s="260">
        <f t="shared" si="735"/>
        <v>0.89146527502017503</v>
      </c>
      <c r="AO162" s="260">
        <f t="shared" si="735"/>
        <v>0.89146527502017514</v>
      </c>
      <c r="AP162" s="260">
        <f t="shared" si="735"/>
        <v>0.79680014875163585</v>
      </c>
      <c r="AQ162" s="260">
        <f t="shared" si="735"/>
        <v>0.79680014875163563</v>
      </c>
      <c r="AR162" s="260">
        <f t="shared" si="735"/>
        <v>0.79680014875163585</v>
      </c>
      <c r="AS162" s="260">
        <f t="shared" si="735"/>
        <v>0.79680014875163585</v>
      </c>
      <c r="AT162" s="260">
        <f t="shared" si="735"/>
        <v>0.73713881230106648</v>
      </c>
      <c r="AU162" s="260">
        <f t="shared" si="735"/>
        <v>0.73713881230106648</v>
      </c>
      <c r="AV162" s="260">
        <f t="shared" si="735"/>
        <v>0.73713881230106648</v>
      </c>
      <c r="AW162" s="260">
        <f t="shared" si="735"/>
        <v>0.73713881230106637</v>
      </c>
      <c r="AY162" s="260">
        <f t="shared" ref="AY162:DJ162" si="736">1-SUM(AY163:AY165)</f>
        <v>0.95</v>
      </c>
      <c r="AZ162" s="260">
        <f t="shared" si="736"/>
        <v>0.95</v>
      </c>
      <c r="BA162" s="260">
        <f t="shared" si="736"/>
        <v>0.95</v>
      </c>
      <c r="BB162" s="260">
        <f t="shared" si="736"/>
        <v>0.95</v>
      </c>
      <c r="BC162" s="260">
        <f t="shared" si="736"/>
        <v>0.95</v>
      </c>
      <c r="BD162" s="260">
        <f t="shared" si="736"/>
        <v>0.95</v>
      </c>
      <c r="BE162" s="260">
        <f t="shared" si="736"/>
        <v>0.95</v>
      </c>
      <c r="BF162" s="260">
        <f t="shared" si="736"/>
        <v>0.95</v>
      </c>
      <c r="BG162" s="260">
        <f t="shared" si="736"/>
        <v>0.95</v>
      </c>
      <c r="BH162" s="260">
        <f t="shared" si="736"/>
        <v>0.95</v>
      </c>
      <c r="BI162" s="260">
        <f t="shared" si="736"/>
        <v>0.95</v>
      </c>
      <c r="BJ162" s="260">
        <f t="shared" si="736"/>
        <v>0.95</v>
      </c>
      <c r="BK162" s="260">
        <f t="shared" si="736"/>
        <v>0.95</v>
      </c>
      <c r="BL162" s="260">
        <f t="shared" si="736"/>
        <v>0.95</v>
      </c>
      <c r="BM162" s="260">
        <f t="shared" si="736"/>
        <v>0.95</v>
      </c>
      <c r="BN162" s="260">
        <f t="shared" si="736"/>
        <v>0.95</v>
      </c>
      <c r="BO162" s="260">
        <f t="shared" si="736"/>
        <v>0.95</v>
      </c>
      <c r="BP162" s="260">
        <f t="shared" si="736"/>
        <v>0.95</v>
      </c>
      <c r="BQ162" s="260">
        <f t="shared" si="736"/>
        <v>0.95</v>
      </c>
      <c r="BR162" s="260">
        <f t="shared" si="736"/>
        <v>0.95</v>
      </c>
      <c r="BS162" s="260">
        <f t="shared" si="736"/>
        <v>0.95</v>
      </c>
      <c r="BT162" s="260">
        <f t="shared" si="736"/>
        <v>0.95</v>
      </c>
      <c r="BU162" s="260">
        <f t="shared" si="736"/>
        <v>0.95</v>
      </c>
      <c r="BV162" s="260">
        <f t="shared" si="736"/>
        <v>0.95</v>
      </c>
      <c r="BW162" s="260">
        <f t="shared" si="736"/>
        <v>0.95</v>
      </c>
      <c r="BX162" s="260">
        <f t="shared" si="736"/>
        <v>0.95</v>
      </c>
      <c r="BY162" s="260">
        <f t="shared" si="736"/>
        <v>0.95</v>
      </c>
      <c r="BZ162" s="260">
        <f t="shared" si="736"/>
        <v>0.95</v>
      </c>
      <c r="CA162" s="260">
        <f t="shared" si="736"/>
        <v>0.95</v>
      </c>
      <c r="CB162" s="260">
        <f t="shared" si="736"/>
        <v>0.95</v>
      </c>
      <c r="CC162" s="260">
        <f t="shared" si="736"/>
        <v>0.95</v>
      </c>
      <c r="CD162" s="260">
        <f t="shared" si="736"/>
        <v>0.95</v>
      </c>
      <c r="CE162" s="260">
        <f t="shared" si="736"/>
        <v>0.95</v>
      </c>
      <c r="CF162" s="260">
        <f t="shared" si="736"/>
        <v>0.95</v>
      </c>
      <c r="CG162" s="260">
        <f t="shared" si="736"/>
        <v>0.95</v>
      </c>
      <c r="CH162" s="260">
        <f t="shared" si="736"/>
        <v>0.95</v>
      </c>
      <c r="CI162" s="260">
        <f t="shared" si="736"/>
        <v>0.9495569339377592</v>
      </c>
      <c r="CJ162" s="260">
        <f t="shared" si="736"/>
        <v>0.9495569339377592</v>
      </c>
      <c r="CK162" s="260">
        <f t="shared" si="736"/>
        <v>0.9495569339377592</v>
      </c>
      <c r="CL162" s="260">
        <f t="shared" si="736"/>
        <v>0.9495569339377592</v>
      </c>
      <c r="CM162" s="260">
        <f t="shared" si="736"/>
        <v>0.9495569339377592</v>
      </c>
      <c r="CN162" s="260">
        <f t="shared" si="736"/>
        <v>0.9495569339377592</v>
      </c>
      <c r="CO162" s="260">
        <f t="shared" si="736"/>
        <v>0.9495569339377592</v>
      </c>
      <c r="CP162" s="260">
        <f t="shared" si="736"/>
        <v>0.9495569339377592</v>
      </c>
      <c r="CQ162" s="260">
        <f t="shared" si="736"/>
        <v>0.9495569339377592</v>
      </c>
      <c r="CR162" s="260">
        <f t="shared" si="736"/>
        <v>0.9495569339377592</v>
      </c>
      <c r="CS162" s="260">
        <f t="shared" si="736"/>
        <v>0.9495569339377592</v>
      </c>
      <c r="CT162" s="260">
        <f t="shared" si="736"/>
        <v>0.9495569339377592</v>
      </c>
      <c r="CU162" s="260">
        <f t="shared" si="736"/>
        <v>0.91432750198654777</v>
      </c>
      <c r="CV162" s="260">
        <f t="shared" si="736"/>
        <v>0.91432750198654777</v>
      </c>
      <c r="CW162" s="260">
        <f t="shared" si="736"/>
        <v>0.91432750198654777</v>
      </c>
      <c r="CX162" s="260">
        <f t="shared" si="736"/>
        <v>0.91432750198654777</v>
      </c>
      <c r="CY162" s="260">
        <f t="shared" si="736"/>
        <v>0.91432750198654777</v>
      </c>
      <c r="CZ162" s="260">
        <f t="shared" si="736"/>
        <v>0.91432750198654777</v>
      </c>
      <c r="DA162" s="260">
        <f t="shared" si="736"/>
        <v>0.91432750198654777</v>
      </c>
      <c r="DB162" s="260">
        <f t="shared" si="736"/>
        <v>0.91432750198654777</v>
      </c>
      <c r="DC162" s="260">
        <f t="shared" si="736"/>
        <v>0.91432750198654777</v>
      </c>
      <c r="DD162" s="260">
        <f t="shared" si="736"/>
        <v>0.91432750198654777</v>
      </c>
      <c r="DE162" s="260">
        <f t="shared" si="736"/>
        <v>0.91432750198654777</v>
      </c>
      <c r="DF162" s="260">
        <f t="shared" si="736"/>
        <v>0.91432750198654777</v>
      </c>
      <c r="DG162" s="260">
        <f t="shared" si="736"/>
        <v>0.87450896989848259</v>
      </c>
      <c r="DH162" s="260">
        <f t="shared" si="736"/>
        <v>0.87450896989848259</v>
      </c>
      <c r="DI162" s="260">
        <f t="shared" si="736"/>
        <v>0.87450896989848259</v>
      </c>
      <c r="DJ162" s="260">
        <f t="shared" si="736"/>
        <v>0.87450896989848259</v>
      </c>
      <c r="DK162" s="260">
        <f t="shared" ref="DK162:FB162" si="737">1-SUM(DK163:DK165)</f>
        <v>0.87450896989848259</v>
      </c>
      <c r="DL162" s="260">
        <f t="shared" si="737"/>
        <v>0.87450896989848259</v>
      </c>
      <c r="DM162" s="260">
        <f t="shared" si="737"/>
        <v>0.87450896989848259</v>
      </c>
      <c r="DN162" s="260">
        <f t="shared" si="737"/>
        <v>0.87450896989848259</v>
      </c>
      <c r="DO162" s="260">
        <f t="shared" si="737"/>
        <v>0.87450896989848259</v>
      </c>
      <c r="DP162" s="260">
        <f t="shared" si="737"/>
        <v>0.87450896989848259</v>
      </c>
      <c r="DQ162" s="260">
        <f t="shared" si="737"/>
        <v>0.87450896989848259</v>
      </c>
      <c r="DR162" s="260">
        <f t="shared" si="737"/>
        <v>0.87450896989848259</v>
      </c>
      <c r="DS162" s="260">
        <f t="shared" si="737"/>
        <v>0.76274102241679831</v>
      </c>
      <c r="DT162" s="260">
        <f t="shared" si="737"/>
        <v>0.76274102241679831</v>
      </c>
      <c r="DU162" s="260">
        <f t="shared" si="737"/>
        <v>0.76274102241679831</v>
      </c>
      <c r="DV162" s="260">
        <f t="shared" si="737"/>
        <v>0.76274102241679831</v>
      </c>
      <c r="DW162" s="260">
        <f t="shared" si="737"/>
        <v>0.76274102241679831</v>
      </c>
      <c r="DX162" s="260">
        <f t="shared" si="737"/>
        <v>0.76274102241679831</v>
      </c>
      <c r="DY162" s="260">
        <f t="shared" si="737"/>
        <v>0.76274102241679831</v>
      </c>
      <c r="DZ162" s="260">
        <f t="shared" si="737"/>
        <v>0.76274102241679831</v>
      </c>
      <c r="EA162" s="260">
        <f t="shared" si="737"/>
        <v>0.76274102241679831</v>
      </c>
      <c r="EB162" s="260">
        <f t="shared" si="737"/>
        <v>0.76274102241679831</v>
      </c>
      <c r="EC162" s="260">
        <f t="shared" si="737"/>
        <v>0.76274102241679831</v>
      </c>
      <c r="ED162" s="260">
        <f t="shared" si="737"/>
        <v>0.76274102241679831</v>
      </c>
      <c r="EE162" s="260">
        <f t="shared" si="737"/>
        <v>0.67835760174860782</v>
      </c>
      <c r="EF162" s="260">
        <f t="shared" si="737"/>
        <v>0.67835760174860782</v>
      </c>
      <c r="EG162" s="260">
        <f t="shared" si="737"/>
        <v>0.67835760174860782</v>
      </c>
      <c r="EH162" s="260">
        <f t="shared" si="737"/>
        <v>0.67835760174860782</v>
      </c>
      <c r="EI162" s="260">
        <f t="shared" si="737"/>
        <v>0.67835760174860782</v>
      </c>
      <c r="EJ162" s="260">
        <f t="shared" si="737"/>
        <v>0.67835760174860782</v>
      </c>
      <c r="EK162" s="260">
        <f t="shared" si="737"/>
        <v>0.67835760174860782</v>
      </c>
      <c r="EL162" s="260">
        <f t="shared" si="737"/>
        <v>0.67835760174860782</v>
      </c>
      <c r="EM162" s="260">
        <f t="shared" si="737"/>
        <v>0.67835760174860782</v>
      </c>
      <c r="EN162" s="260">
        <f t="shared" si="737"/>
        <v>0.67835760174860782</v>
      </c>
      <c r="EO162" s="260">
        <f t="shared" si="737"/>
        <v>0.67835760174860782</v>
      </c>
      <c r="EP162" s="260">
        <f t="shared" si="737"/>
        <v>0.67835760174860782</v>
      </c>
      <c r="EQ162" s="260">
        <f t="shared" si="737"/>
        <v>0.62633171319051772</v>
      </c>
      <c r="ER162" s="260">
        <f t="shared" si="737"/>
        <v>0.62633171319051772</v>
      </c>
      <c r="ES162" s="260">
        <f t="shared" si="737"/>
        <v>0.62633171319051772</v>
      </c>
      <c r="ET162" s="260">
        <f t="shared" si="737"/>
        <v>0.62633171319051772</v>
      </c>
      <c r="EU162" s="260">
        <f t="shared" si="737"/>
        <v>0.62633171319051772</v>
      </c>
      <c r="EV162" s="260">
        <f t="shared" si="737"/>
        <v>0.62633171319051772</v>
      </c>
      <c r="EW162" s="260">
        <f t="shared" si="737"/>
        <v>0.62633171319051772</v>
      </c>
      <c r="EX162" s="260">
        <f t="shared" si="737"/>
        <v>0.62633171319051772</v>
      </c>
      <c r="EY162" s="260">
        <f t="shared" si="737"/>
        <v>0.62633171319051772</v>
      </c>
      <c r="EZ162" s="260">
        <f t="shared" si="737"/>
        <v>0.62633171319051772</v>
      </c>
      <c r="FA162" s="260">
        <f t="shared" si="737"/>
        <v>0.62633171319051772</v>
      </c>
      <c r="FB162" s="260">
        <f t="shared" si="737"/>
        <v>0.62633171319051772</v>
      </c>
    </row>
    <row r="163" spans="3:158" x14ac:dyDescent="0.25">
      <c r="C163" s="2" t="s">
        <v>298</v>
      </c>
      <c r="D163" s="330">
        <v>0.02</v>
      </c>
      <c r="E163" s="330">
        <v>0.02</v>
      </c>
      <c r="F163" s="330">
        <v>0.02</v>
      </c>
      <c r="G163" s="351">
        <f t="shared" ref="G163" si="738">F217</f>
        <v>2.0177226424896343E-2</v>
      </c>
      <c r="H163" s="351">
        <f t="shared" ref="H163:L165" si="739">G217</f>
        <v>2.4714507125096281E-2</v>
      </c>
      <c r="I163" s="351">
        <f t="shared" si="739"/>
        <v>3.2679732461668193E-2</v>
      </c>
      <c r="J163" s="351">
        <f t="shared" si="739"/>
        <v>6.6893270103294142E-2</v>
      </c>
      <c r="K163" s="351">
        <f t="shared" si="739"/>
        <v>8.7338650122951875E-2</v>
      </c>
      <c r="L163" s="351">
        <f t="shared" si="739"/>
        <v>9.994407727923077E-2</v>
      </c>
      <c r="N163" s="260">
        <f t="shared" ref="N163:AW163" si="740">N187/N$111</f>
        <v>2.5093653342041056E-2</v>
      </c>
      <c r="O163" s="260">
        <f t="shared" si="740"/>
        <v>3.8181818181818185E-2</v>
      </c>
      <c r="P163" s="260">
        <f t="shared" si="740"/>
        <v>5.7975605892602568E-2</v>
      </c>
      <c r="Q163" s="260">
        <f t="shared" si="740"/>
        <v>2.4489790920450834E-3</v>
      </c>
      <c r="R163" s="260">
        <f t="shared" si="740"/>
        <v>4.962270666637277E-3</v>
      </c>
      <c r="S163" s="260">
        <f t="shared" si="740"/>
        <v>3.5842499784600364E-2</v>
      </c>
      <c r="T163" s="260">
        <f t="shared" si="740"/>
        <v>1.1984357259997476E-3</v>
      </c>
      <c r="U163" s="260">
        <f t="shared" si="740"/>
        <v>2.1894682387429139E-2</v>
      </c>
      <c r="V163" s="260">
        <f t="shared" si="740"/>
        <v>1.6501545482750721E-2</v>
      </c>
      <c r="W163" s="260">
        <f t="shared" si="740"/>
        <v>1.7216938406830969E-2</v>
      </c>
      <c r="X163" s="260">
        <f t="shared" si="740"/>
        <v>3.4470022829585695E-2</v>
      </c>
      <c r="Y163" s="260">
        <f t="shared" si="740"/>
        <v>7.5377723287537645E-3</v>
      </c>
      <c r="Z163" s="260">
        <f t="shared" si="740"/>
        <v>1.5059607889697445E-2</v>
      </c>
      <c r="AA163" s="260">
        <f t="shared" si="740"/>
        <v>4.8869807991095006E-2</v>
      </c>
      <c r="AB163" s="260">
        <f t="shared" si="740"/>
        <v>2.0882774958794752E-2</v>
      </c>
      <c r="AC163" s="260">
        <f t="shared" si="740"/>
        <v>2.1148728116101526E-2</v>
      </c>
      <c r="AD163" s="260">
        <f t="shared" si="740"/>
        <v>3.0910170403059097E-2</v>
      </c>
      <c r="AE163" s="260">
        <f t="shared" si="740"/>
        <v>3.0910170403059094E-2</v>
      </c>
      <c r="AF163" s="260">
        <f t="shared" si="740"/>
        <v>3.0910170403059097E-2</v>
      </c>
      <c r="AG163" s="260">
        <f t="shared" si="740"/>
        <v>3.091017040305909E-2</v>
      </c>
      <c r="AH163" s="260">
        <f t="shared" si="740"/>
        <v>3.7753811503311779E-2</v>
      </c>
      <c r="AI163" s="260">
        <f t="shared" si="740"/>
        <v>3.7753811503311779E-2</v>
      </c>
      <c r="AJ163" s="260">
        <f t="shared" si="740"/>
        <v>3.7753811503311779E-2</v>
      </c>
      <c r="AK163" s="260">
        <f t="shared" si="740"/>
        <v>3.7753811503311779E-2</v>
      </c>
      <c r="AL163" s="260">
        <f t="shared" si="740"/>
        <v>7.8182535981453499E-2</v>
      </c>
      <c r="AM163" s="260">
        <f t="shared" si="740"/>
        <v>7.8182535981453499E-2</v>
      </c>
      <c r="AN163" s="260">
        <f t="shared" si="740"/>
        <v>7.8182535981453499E-2</v>
      </c>
      <c r="AO163" s="260">
        <f t="shared" si="740"/>
        <v>7.8182535981453499E-2</v>
      </c>
      <c r="AP163" s="260">
        <f t="shared" si="740"/>
        <v>0.10258814706336113</v>
      </c>
      <c r="AQ163" s="260">
        <f t="shared" si="740"/>
        <v>0.10258814706336111</v>
      </c>
      <c r="AR163" s="260">
        <f t="shared" si="740"/>
        <v>0.10258814706336114</v>
      </c>
      <c r="AS163" s="260">
        <f t="shared" si="740"/>
        <v>0.10258814706336111</v>
      </c>
      <c r="AT163" s="260">
        <f t="shared" si="740"/>
        <v>0.11762562372397134</v>
      </c>
      <c r="AU163" s="260">
        <f t="shared" si="740"/>
        <v>0.11762562372397133</v>
      </c>
      <c r="AV163" s="260">
        <f t="shared" si="740"/>
        <v>0.11762562372397134</v>
      </c>
      <c r="AW163" s="260">
        <f t="shared" si="740"/>
        <v>0.11762562372397133</v>
      </c>
      <c r="AY163" s="262">
        <f t="shared" ref="AY163:DJ164" si="741">INDEX($D163:$L163,1,MATCH(AY$2,$D$2:$L$2,))</f>
        <v>0.02</v>
      </c>
      <c r="AZ163" s="262">
        <f t="shared" si="741"/>
        <v>0.02</v>
      </c>
      <c r="BA163" s="262">
        <f t="shared" si="741"/>
        <v>0.02</v>
      </c>
      <c r="BB163" s="262">
        <f t="shared" si="741"/>
        <v>0.02</v>
      </c>
      <c r="BC163" s="262">
        <f t="shared" si="741"/>
        <v>0.02</v>
      </c>
      <c r="BD163" s="262">
        <f t="shared" si="741"/>
        <v>0.02</v>
      </c>
      <c r="BE163" s="262">
        <f t="shared" si="741"/>
        <v>0.02</v>
      </c>
      <c r="BF163" s="262">
        <f t="shared" si="741"/>
        <v>0.02</v>
      </c>
      <c r="BG163" s="262">
        <f t="shared" si="741"/>
        <v>0.02</v>
      </c>
      <c r="BH163" s="262">
        <f t="shared" si="741"/>
        <v>0.02</v>
      </c>
      <c r="BI163" s="262">
        <f t="shared" si="741"/>
        <v>0.02</v>
      </c>
      <c r="BJ163" s="262">
        <f t="shared" si="741"/>
        <v>0.02</v>
      </c>
      <c r="BK163" s="262">
        <f t="shared" si="741"/>
        <v>0.02</v>
      </c>
      <c r="BL163" s="262">
        <f t="shared" si="741"/>
        <v>0.02</v>
      </c>
      <c r="BM163" s="262">
        <f t="shared" si="741"/>
        <v>0.02</v>
      </c>
      <c r="BN163" s="262">
        <f t="shared" si="741"/>
        <v>0.02</v>
      </c>
      <c r="BO163" s="262">
        <f t="shared" si="741"/>
        <v>0.02</v>
      </c>
      <c r="BP163" s="262">
        <f t="shared" si="741"/>
        <v>0.02</v>
      </c>
      <c r="BQ163" s="262">
        <f t="shared" si="741"/>
        <v>0.02</v>
      </c>
      <c r="BR163" s="262">
        <f t="shared" si="741"/>
        <v>0.02</v>
      </c>
      <c r="BS163" s="262">
        <f t="shared" si="741"/>
        <v>0.02</v>
      </c>
      <c r="BT163" s="262">
        <f t="shared" si="741"/>
        <v>0.02</v>
      </c>
      <c r="BU163" s="262">
        <f t="shared" si="741"/>
        <v>0.02</v>
      </c>
      <c r="BV163" s="262">
        <f t="shared" si="741"/>
        <v>0.02</v>
      </c>
      <c r="BW163" s="262">
        <f t="shared" si="741"/>
        <v>0.02</v>
      </c>
      <c r="BX163" s="262">
        <f t="shared" si="741"/>
        <v>0.02</v>
      </c>
      <c r="BY163" s="262">
        <f t="shared" si="741"/>
        <v>0.02</v>
      </c>
      <c r="BZ163" s="262">
        <f t="shared" si="741"/>
        <v>0.02</v>
      </c>
      <c r="CA163" s="262">
        <f t="shared" si="741"/>
        <v>0.02</v>
      </c>
      <c r="CB163" s="262">
        <f t="shared" si="741"/>
        <v>0.02</v>
      </c>
      <c r="CC163" s="262">
        <f t="shared" si="741"/>
        <v>0.02</v>
      </c>
      <c r="CD163" s="262">
        <f t="shared" si="741"/>
        <v>0.02</v>
      </c>
      <c r="CE163" s="262">
        <f t="shared" si="741"/>
        <v>0.02</v>
      </c>
      <c r="CF163" s="262">
        <f t="shared" si="741"/>
        <v>0.02</v>
      </c>
      <c r="CG163" s="262">
        <f t="shared" si="741"/>
        <v>0.02</v>
      </c>
      <c r="CH163" s="262">
        <f t="shared" si="741"/>
        <v>0.02</v>
      </c>
      <c r="CI163" s="262">
        <f t="shared" si="741"/>
        <v>2.0177226424896343E-2</v>
      </c>
      <c r="CJ163" s="262">
        <f t="shared" si="741"/>
        <v>2.0177226424896343E-2</v>
      </c>
      <c r="CK163" s="262">
        <f t="shared" si="741"/>
        <v>2.0177226424896343E-2</v>
      </c>
      <c r="CL163" s="262">
        <f t="shared" si="741"/>
        <v>2.0177226424896343E-2</v>
      </c>
      <c r="CM163" s="262">
        <f t="shared" si="741"/>
        <v>2.0177226424896343E-2</v>
      </c>
      <c r="CN163" s="262">
        <f t="shared" si="741"/>
        <v>2.0177226424896343E-2</v>
      </c>
      <c r="CO163" s="262">
        <f t="shared" si="741"/>
        <v>2.0177226424896343E-2</v>
      </c>
      <c r="CP163" s="262">
        <f t="shared" si="741"/>
        <v>2.0177226424896343E-2</v>
      </c>
      <c r="CQ163" s="262">
        <f t="shared" si="741"/>
        <v>2.0177226424896343E-2</v>
      </c>
      <c r="CR163" s="262">
        <f t="shared" si="741"/>
        <v>2.0177226424896343E-2</v>
      </c>
      <c r="CS163" s="262">
        <f t="shared" si="741"/>
        <v>2.0177226424896343E-2</v>
      </c>
      <c r="CT163" s="262">
        <f t="shared" si="741"/>
        <v>2.0177226424896343E-2</v>
      </c>
      <c r="CU163" s="262">
        <f t="shared" si="741"/>
        <v>2.4714507125096281E-2</v>
      </c>
      <c r="CV163" s="262">
        <f t="shared" si="741"/>
        <v>2.4714507125096281E-2</v>
      </c>
      <c r="CW163" s="262">
        <f t="shared" si="741"/>
        <v>2.4714507125096281E-2</v>
      </c>
      <c r="CX163" s="262">
        <f t="shared" si="741"/>
        <v>2.4714507125096281E-2</v>
      </c>
      <c r="CY163" s="262">
        <f t="shared" si="741"/>
        <v>2.4714507125096281E-2</v>
      </c>
      <c r="CZ163" s="262">
        <f t="shared" si="741"/>
        <v>2.4714507125096281E-2</v>
      </c>
      <c r="DA163" s="262">
        <f t="shared" si="741"/>
        <v>2.4714507125096281E-2</v>
      </c>
      <c r="DB163" s="262">
        <f t="shared" si="741"/>
        <v>2.4714507125096281E-2</v>
      </c>
      <c r="DC163" s="262">
        <f t="shared" si="741"/>
        <v>2.4714507125096281E-2</v>
      </c>
      <c r="DD163" s="262">
        <f t="shared" si="741"/>
        <v>2.4714507125096281E-2</v>
      </c>
      <c r="DE163" s="262">
        <f t="shared" si="741"/>
        <v>2.4714507125096281E-2</v>
      </c>
      <c r="DF163" s="262">
        <f t="shared" si="741"/>
        <v>2.4714507125096281E-2</v>
      </c>
      <c r="DG163" s="262">
        <f t="shared" si="741"/>
        <v>3.2679732461668193E-2</v>
      </c>
      <c r="DH163" s="262">
        <f t="shared" si="741"/>
        <v>3.2679732461668193E-2</v>
      </c>
      <c r="DI163" s="262">
        <f t="shared" si="741"/>
        <v>3.2679732461668193E-2</v>
      </c>
      <c r="DJ163" s="262">
        <f t="shared" si="741"/>
        <v>3.2679732461668193E-2</v>
      </c>
      <c r="DK163" s="262">
        <f t="shared" ref="DK163:FB165" si="742">INDEX($D163:$L163,1,MATCH(DK$2,$D$2:$L$2,))</f>
        <v>3.2679732461668193E-2</v>
      </c>
      <c r="DL163" s="262">
        <f t="shared" si="742"/>
        <v>3.2679732461668193E-2</v>
      </c>
      <c r="DM163" s="262">
        <f t="shared" si="742"/>
        <v>3.2679732461668193E-2</v>
      </c>
      <c r="DN163" s="262">
        <f t="shared" si="742"/>
        <v>3.2679732461668193E-2</v>
      </c>
      <c r="DO163" s="262">
        <f t="shared" si="742"/>
        <v>3.2679732461668193E-2</v>
      </c>
      <c r="DP163" s="262">
        <f t="shared" si="742"/>
        <v>3.2679732461668193E-2</v>
      </c>
      <c r="DQ163" s="262">
        <f t="shared" si="742"/>
        <v>3.2679732461668193E-2</v>
      </c>
      <c r="DR163" s="262">
        <f t="shared" si="742"/>
        <v>3.2679732461668193E-2</v>
      </c>
      <c r="DS163" s="262">
        <f t="shared" si="742"/>
        <v>6.6893270103294142E-2</v>
      </c>
      <c r="DT163" s="262">
        <f t="shared" si="742"/>
        <v>6.6893270103294142E-2</v>
      </c>
      <c r="DU163" s="262">
        <f t="shared" si="742"/>
        <v>6.6893270103294142E-2</v>
      </c>
      <c r="DV163" s="262">
        <f t="shared" si="742"/>
        <v>6.6893270103294142E-2</v>
      </c>
      <c r="DW163" s="262">
        <f t="shared" si="742"/>
        <v>6.6893270103294142E-2</v>
      </c>
      <c r="DX163" s="262">
        <f t="shared" si="742"/>
        <v>6.6893270103294142E-2</v>
      </c>
      <c r="DY163" s="262">
        <f t="shared" si="742"/>
        <v>6.6893270103294142E-2</v>
      </c>
      <c r="DZ163" s="262">
        <f t="shared" si="742"/>
        <v>6.6893270103294142E-2</v>
      </c>
      <c r="EA163" s="262">
        <f t="shared" si="742"/>
        <v>6.6893270103294142E-2</v>
      </c>
      <c r="EB163" s="262">
        <f t="shared" si="742"/>
        <v>6.6893270103294142E-2</v>
      </c>
      <c r="EC163" s="262">
        <f t="shared" si="742"/>
        <v>6.6893270103294142E-2</v>
      </c>
      <c r="ED163" s="262">
        <f t="shared" si="742"/>
        <v>6.6893270103294142E-2</v>
      </c>
      <c r="EE163" s="262">
        <f t="shared" si="742"/>
        <v>8.7338650122951875E-2</v>
      </c>
      <c r="EF163" s="262">
        <f t="shared" si="742"/>
        <v>8.7338650122951875E-2</v>
      </c>
      <c r="EG163" s="262">
        <f t="shared" si="742"/>
        <v>8.7338650122951875E-2</v>
      </c>
      <c r="EH163" s="262">
        <f t="shared" si="742"/>
        <v>8.7338650122951875E-2</v>
      </c>
      <c r="EI163" s="262">
        <f t="shared" si="742"/>
        <v>8.7338650122951875E-2</v>
      </c>
      <c r="EJ163" s="262">
        <f t="shared" si="742"/>
        <v>8.7338650122951875E-2</v>
      </c>
      <c r="EK163" s="262">
        <f t="shared" si="742"/>
        <v>8.7338650122951875E-2</v>
      </c>
      <c r="EL163" s="262">
        <f t="shared" si="742"/>
        <v>8.7338650122951875E-2</v>
      </c>
      <c r="EM163" s="262">
        <f t="shared" si="742"/>
        <v>8.7338650122951875E-2</v>
      </c>
      <c r="EN163" s="262">
        <f t="shared" si="742"/>
        <v>8.7338650122951875E-2</v>
      </c>
      <c r="EO163" s="262">
        <f t="shared" si="742"/>
        <v>8.7338650122951875E-2</v>
      </c>
      <c r="EP163" s="262">
        <f t="shared" si="742"/>
        <v>8.7338650122951875E-2</v>
      </c>
      <c r="EQ163" s="262">
        <f t="shared" si="742"/>
        <v>9.994407727923077E-2</v>
      </c>
      <c r="ER163" s="262">
        <f t="shared" si="742"/>
        <v>9.994407727923077E-2</v>
      </c>
      <c r="ES163" s="262">
        <f t="shared" si="742"/>
        <v>9.994407727923077E-2</v>
      </c>
      <c r="ET163" s="262">
        <f t="shared" si="742"/>
        <v>9.994407727923077E-2</v>
      </c>
      <c r="EU163" s="262">
        <f t="shared" si="742"/>
        <v>9.994407727923077E-2</v>
      </c>
      <c r="EV163" s="262">
        <f t="shared" si="742"/>
        <v>9.994407727923077E-2</v>
      </c>
      <c r="EW163" s="262">
        <f t="shared" si="742"/>
        <v>9.994407727923077E-2</v>
      </c>
      <c r="EX163" s="262">
        <f t="shared" si="742"/>
        <v>9.994407727923077E-2</v>
      </c>
      <c r="EY163" s="262">
        <f t="shared" si="742"/>
        <v>9.994407727923077E-2</v>
      </c>
      <c r="EZ163" s="262">
        <f t="shared" si="742"/>
        <v>9.994407727923077E-2</v>
      </c>
      <c r="FA163" s="262">
        <f t="shared" si="742"/>
        <v>9.994407727923077E-2</v>
      </c>
      <c r="FB163" s="262">
        <f t="shared" si="742"/>
        <v>9.994407727923077E-2</v>
      </c>
    </row>
    <row r="164" spans="3:158" x14ac:dyDescent="0.25">
      <c r="C164" s="2" t="s">
        <v>299</v>
      </c>
      <c r="D164" s="330">
        <v>0.01</v>
      </c>
      <c r="E164" s="330">
        <v>0.01</v>
      </c>
      <c r="F164" s="330">
        <v>0.01</v>
      </c>
      <c r="G164" s="351">
        <f t="shared" ref="G164" si="743">F218</f>
        <v>1.0088613212448172E-2</v>
      </c>
      <c r="H164" s="351">
        <f t="shared" si="739"/>
        <v>2.482894274165107E-2</v>
      </c>
      <c r="I164" s="351">
        <f t="shared" si="739"/>
        <v>5.0418764970106236E-2</v>
      </c>
      <c r="J164" s="351">
        <f t="shared" si="739"/>
        <v>0.12438280644585574</v>
      </c>
      <c r="K164" s="351">
        <f t="shared" si="739"/>
        <v>0.18617530907994073</v>
      </c>
      <c r="L164" s="351">
        <f t="shared" si="739"/>
        <v>0.22427295705758737</v>
      </c>
      <c r="N164" s="260">
        <f t="shared" ref="N164:AW164" si="744">N188/N$111</f>
        <v>1.2546826671020528E-2</v>
      </c>
      <c r="O164" s="260">
        <f t="shared" si="744"/>
        <v>1.9090909090909092E-2</v>
      </c>
      <c r="P164" s="260">
        <f t="shared" si="744"/>
        <v>2.8987802946301284E-2</v>
      </c>
      <c r="Q164" s="260">
        <f t="shared" si="744"/>
        <v>1.2244895460225417E-3</v>
      </c>
      <c r="R164" s="260">
        <f t="shared" si="744"/>
        <v>2.4811353333186385E-3</v>
      </c>
      <c r="S164" s="260">
        <f t="shared" si="744"/>
        <v>1.7921249892300182E-2</v>
      </c>
      <c r="T164" s="260">
        <f t="shared" si="744"/>
        <v>5.992178629998738E-4</v>
      </c>
      <c r="U164" s="260">
        <f t="shared" si="744"/>
        <v>1.094734119371457E-2</v>
      </c>
      <c r="V164" s="260">
        <f t="shared" si="744"/>
        <v>8.2507727413753604E-3</v>
      </c>
      <c r="W164" s="260">
        <f t="shared" si="744"/>
        <v>8.6084692034154846E-3</v>
      </c>
      <c r="X164" s="260">
        <f t="shared" si="744"/>
        <v>1.7235011414792847E-2</v>
      </c>
      <c r="Y164" s="260">
        <f t="shared" si="744"/>
        <v>3.7688861643768823E-3</v>
      </c>
      <c r="Z164" s="260">
        <f t="shared" si="744"/>
        <v>7.5298039448487225E-3</v>
      </c>
      <c r="AA164" s="260">
        <f t="shared" si="744"/>
        <v>2.4434903995547503E-2</v>
      </c>
      <c r="AB164" s="260">
        <f t="shared" si="744"/>
        <v>1.0441387479397376E-2</v>
      </c>
      <c r="AC164" s="260">
        <f t="shared" si="744"/>
        <v>1.0574364058050763E-2</v>
      </c>
      <c r="AD164" s="260">
        <f t="shared" si="744"/>
        <v>3.105329380786679E-2</v>
      </c>
      <c r="AE164" s="260">
        <f t="shared" si="744"/>
        <v>3.1053293807866783E-2</v>
      </c>
      <c r="AF164" s="260">
        <f t="shared" si="744"/>
        <v>3.1053293807866793E-2</v>
      </c>
      <c r="AG164" s="260">
        <f t="shared" si="744"/>
        <v>3.1053293807866783E-2</v>
      </c>
      <c r="AH164" s="260">
        <f t="shared" si="744"/>
        <v>5.8247127669845133E-2</v>
      </c>
      <c r="AI164" s="260">
        <f t="shared" si="744"/>
        <v>5.8247127669845127E-2</v>
      </c>
      <c r="AJ164" s="260">
        <f t="shared" si="744"/>
        <v>5.8247127669845147E-2</v>
      </c>
      <c r="AK164" s="260">
        <f t="shared" si="744"/>
        <v>5.824712766984514E-2</v>
      </c>
      <c r="AL164" s="260">
        <f t="shared" si="744"/>
        <v>0.14537431381977542</v>
      </c>
      <c r="AM164" s="260">
        <f t="shared" si="744"/>
        <v>0.14537431381977539</v>
      </c>
      <c r="AN164" s="260">
        <f t="shared" si="744"/>
        <v>0.14537431381977542</v>
      </c>
      <c r="AO164" s="260">
        <f t="shared" si="744"/>
        <v>0.14537431381977542</v>
      </c>
      <c r="AP164" s="260">
        <f t="shared" si="744"/>
        <v>0.21868187750294199</v>
      </c>
      <c r="AQ164" s="260">
        <f t="shared" si="744"/>
        <v>0.21868187750294196</v>
      </c>
      <c r="AR164" s="260">
        <f t="shared" si="744"/>
        <v>0.21868187750294202</v>
      </c>
      <c r="AS164" s="260">
        <f t="shared" si="744"/>
        <v>0.21868187750294196</v>
      </c>
      <c r="AT164" s="260">
        <f t="shared" si="744"/>
        <v>0.26395007264527715</v>
      </c>
      <c r="AU164" s="260">
        <f t="shared" si="744"/>
        <v>0.26395007264527715</v>
      </c>
      <c r="AV164" s="260">
        <f t="shared" si="744"/>
        <v>0.26395007264527709</v>
      </c>
      <c r="AW164" s="260">
        <f t="shared" si="744"/>
        <v>0.26395007264527709</v>
      </c>
      <c r="AY164" s="262">
        <f t="shared" si="741"/>
        <v>0.01</v>
      </c>
      <c r="AZ164" s="262">
        <f t="shared" si="741"/>
        <v>0.01</v>
      </c>
      <c r="BA164" s="262">
        <f t="shared" si="741"/>
        <v>0.01</v>
      </c>
      <c r="BB164" s="262">
        <f t="shared" si="741"/>
        <v>0.01</v>
      </c>
      <c r="BC164" s="262">
        <f t="shared" si="741"/>
        <v>0.01</v>
      </c>
      <c r="BD164" s="262">
        <f t="shared" si="741"/>
        <v>0.01</v>
      </c>
      <c r="BE164" s="262">
        <f t="shared" si="741"/>
        <v>0.01</v>
      </c>
      <c r="BF164" s="262">
        <f t="shared" si="741"/>
        <v>0.01</v>
      </c>
      <c r="BG164" s="262">
        <f t="shared" si="741"/>
        <v>0.01</v>
      </c>
      <c r="BH164" s="262">
        <f t="shared" si="741"/>
        <v>0.01</v>
      </c>
      <c r="BI164" s="262">
        <f t="shared" si="741"/>
        <v>0.01</v>
      </c>
      <c r="BJ164" s="262">
        <f t="shared" si="741"/>
        <v>0.01</v>
      </c>
      <c r="BK164" s="262">
        <f t="shared" si="741"/>
        <v>0.01</v>
      </c>
      <c r="BL164" s="262">
        <f t="shared" si="741"/>
        <v>0.01</v>
      </c>
      <c r="BM164" s="262">
        <f t="shared" si="741"/>
        <v>0.01</v>
      </c>
      <c r="BN164" s="262">
        <f t="shared" si="741"/>
        <v>0.01</v>
      </c>
      <c r="BO164" s="262">
        <f t="shared" si="741"/>
        <v>0.01</v>
      </c>
      <c r="BP164" s="262">
        <f t="shared" si="741"/>
        <v>0.01</v>
      </c>
      <c r="BQ164" s="262">
        <f t="shared" si="741"/>
        <v>0.01</v>
      </c>
      <c r="BR164" s="262">
        <f t="shared" si="741"/>
        <v>0.01</v>
      </c>
      <c r="BS164" s="262">
        <f t="shared" si="741"/>
        <v>0.01</v>
      </c>
      <c r="BT164" s="262">
        <f t="shared" si="741"/>
        <v>0.01</v>
      </c>
      <c r="BU164" s="262">
        <f t="shared" si="741"/>
        <v>0.01</v>
      </c>
      <c r="BV164" s="262">
        <f t="shared" si="741"/>
        <v>0.01</v>
      </c>
      <c r="BW164" s="262">
        <f t="shared" si="741"/>
        <v>0.01</v>
      </c>
      <c r="BX164" s="262">
        <f t="shared" si="741"/>
        <v>0.01</v>
      </c>
      <c r="BY164" s="262">
        <f t="shared" si="741"/>
        <v>0.01</v>
      </c>
      <c r="BZ164" s="262">
        <f t="shared" si="741"/>
        <v>0.01</v>
      </c>
      <c r="CA164" s="262">
        <f t="shared" si="741"/>
        <v>0.01</v>
      </c>
      <c r="CB164" s="262">
        <f t="shared" si="741"/>
        <v>0.01</v>
      </c>
      <c r="CC164" s="262">
        <f t="shared" si="741"/>
        <v>0.01</v>
      </c>
      <c r="CD164" s="262">
        <f t="shared" si="741"/>
        <v>0.01</v>
      </c>
      <c r="CE164" s="262">
        <f t="shared" si="741"/>
        <v>0.01</v>
      </c>
      <c r="CF164" s="262">
        <f t="shared" si="741"/>
        <v>0.01</v>
      </c>
      <c r="CG164" s="262">
        <f t="shared" si="741"/>
        <v>0.01</v>
      </c>
      <c r="CH164" s="262">
        <f t="shared" si="741"/>
        <v>0.01</v>
      </c>
      <c r="CI164" s="262">
        <f t="shared" si="741"/>
        <v>1.0088613212448172E-2</v>
      </c>
      <c r="CJ164" s="262">
        <f t="shared" si="741"/>
        <v>1.0088613212448172E-2</v>
      </c>
      <c r="CK164" s="262">
        <f t="shared" si="741"/>
        <v>1.0088613212448172E-2</v>
      </c>
      <c r="CL164" s="262">
        <f t="shared" si="741"/>
        <v>1.0088613212448172E-2</v>
      </c>
      <c r="CM164" s="262">
        <f t="shared" si="741"/>
        <v>1.0088613212448172E-2</v>
      </c>
      <c r="CN164" s="262">
        <f t="shared" si="741"/>
        <v>1.0088613212448172E-2</v>
      </c>
      <c r="CO164" s="262">
        <f t="shared" si="741"/>
        <v>1.0088613212448172E-2</v>
      </c>
      <c r="CP164" s="262">
        <f t="shared" si="741"/>
        <v>1.0088613212448172E-2</v>
      </c>
      <c r="CQ164" s="262">
        <f t="shared" si="741"/>
        <v>1.0088613212448172E-2</v>
      </c>
      <c r="CR164" s="262">
        <f t="shared" si="741"/>
        <v>1.0088613212448172E-2</v>
      </c>
      <c r="CS164" s="262">
        <f t="shared" si="741"/>
        <v>1.0088613212448172E-2</v>
      </c>
      <c r="CT164" s="262">
        <f t="shared" si="741"/>
        <v>1.0088613212448172E-2</v>
      </c>
      <c r="CU164" s="262">
        <f t="shared" si="741"/>
        <v>2.482894274165107E-2</v>
      </c>
      <c r="CV164" s="262">
        <f t="shared" si="741"/>
        <v>2.482894274165107E-2</v>
      </c>
      <c r="CW164" s="262">
        <f t="shared" si="741"/>
        <v>2.482894274165107E-2</v>
      </c>
      <c r="CX164" s="262">
        <f t="shared" si="741"/>
        <v>2.482894274165107E-2</v>
      </c>
      <c r="CY164" s="262">
        <f t="shared" si="741"/>
        <v>2.482894274165107E-2</v>
      </c>
      <c r="CZ164" s="262">
        <f t="shared" si="741"/>
        <v>2.482894274165107E-2</v>
      </c>
      <c r="DA164" s="262">
        <f t="shared" si="741"/>
        <v>2.482894274165107E-2</v>
      </c>
      <c r="DB164" s="262">
        <f t="shared" si="741"/>
        <v>2.482894274165107E-2</v>
      </c>
      <c r="DC164" s="262">
        <f t="shared" si="741"/>
        <v>2.482894274165107E-2</v>
      </c>
      <c r="DD164" s="262">
        <f t="shared" si="741"/>
        <v>2.482894274165107E-2</v>
      </c>
      <c r="DE164" s="262">
        <f t="shared" si="741"/>
        <v>2.482894274165107E-2</v>
      </c>
      <c r="DF164" s="262">
        <f t="shared" si="741"/>
        <v>2.482894274165107E-2</v>
      </c>
      <c r="DG164" s="262">
        <f t="shared" si="741"/>
        <v>5.0418764970106236E-2</v>
      </c>
      <c r="DH164" s="262">
        <f t="shared" si="741"/>
        <v>5.0418764970106236E-2</v>
      </c>
      <c r="DI164" s="262">
        <f t="shared" si="741"/>
        <v>5.0418764970106236E-2</v>
      </c>
      <c r="DJ164" s="262">
        <f t="shared" ref="DJ164" si="745">INDEX($D164:$L164,1,MATCH(DJ$2,$D$2:$L$2,))</f>
        <v>5.0418764970106236E-2</v>
      </c>
      <c r="DK164" s="262">
        <f t="shared" si="742"/>
        <v>5.0418764970106236E-2</v>
      </c>
      <c r="DL164" s="262">
        <f t="shared" si="742"/>
        <v>5.0418764970106236E-2</v>
      </c>
      <c r="DM164" s="262">
        <f t="shared" si="742"/>
        <v>5.0418764970106236E-2</v>
      </c>
      <c r="DN164" s="262">
        <f t="shared" si="742"/>
        <v>5.0418764970106236E-2</v>
      </c>
      <c r="DO164" s="262">
        <f t="shared" si="742"/>
        <v>5.0418764970106236E-2</v>
      </c>
      <c r="DP164" s="262">
        <f t="shared" si="742"/>
        <v>5.0418764970106236E-2</v>
      </c>
      <c r="DQ164" s="262">
        <f t="shared" si="742"/>
        <v>5.0418764970106236E-2</v>
      </c>
      <c r="DR164" s="262">
        <f t="shared" si="742"/>
        <v>5.0418764970106236E-2</v>
      </c>
      <c r="DS164" s="262">
        <f t="shared" si="742"/>
        <v>0.12438280644585574</v>
      </c>
      <c r="DT164" s="262">
        <f t="shared" si="742"/>
        <v>0.12438280644585574</v>
      </c>
      <c r="DU164" s="262">
        <f t="shared" si="742"/>
        <v>0.12438280644585574</v>
      </c>
      <c r="DV164" s="262">
        <f t="shared" si="742"/>
        <v>0.12438280644585574</v>
      </c>
      <c r="DW164" s="262">
        <f t="shared" si="742"/>
        <v>0.12438280644585574</v>
      </c>
      <c r="DX164" s="262">
        <f t="shared" si="742"/>
        <v>0.12438280644585574</v>
      </c>
      <c r="DY164" s="262">
        <f t="shared" si="742"/>
        <v>0.12438280644585574</v>
      </c>
      <c r="DZ164" s="262">
        <f t="shared" si="742"/>
        <v>0.12438280644585574</v>
      </c>
      <c r="EA164" s="262">
        <f t="shared" si="742"/>
        <v>0.12438280644585574</v>
      </c>
      <c r="EB164" s="262">
        <f t="shared" si="742"/>
        <v>0.12438280644585574</v>
      </c>
      <c r="EC164" s="262">
        <f t="shared" si="742"/>
        <v>0.12438280644585574</v>
      </c>
      <c r="ED164" s="262">
        <f t="shared" si="742"/>
        <v>0.12438280644585574</v>
      </c>
      <c r="EE164" s="262">
        <f t="shared" si="742"/>
        <v>0.18617530907994073</v>
      </c>
      <c r="EF164" s="262">
        <f t="shared" si="742"/>
        <v>0.18617530907994073</v>
      </c>
      <c r="EG164" s="262">
        <f t="shared" si="742"/>
        <v>0.18617530907994073</v>
      </c>
      <c r="EH164" s="262">
        <f t="shared" si="742"/>
        <v>0.18617530907994073</v>
      </c>
      <c r="EI164" s="262">
        <f t="shared" si="742"/>
        <v>0.18617530907994073</v>
      </c>
      <c r="EJ164" s="262">
        <f t="shared" si="742"/>
        <v>0.18617530907994073</v>
      </c>
      <c r="EK164" s="262">
        <f t="shared" si="742"/>
        <v>0.18617530907994073</v>
      </c>
      <c r="EL164" s="262">
        <f t="shared" si="742"/>
        <v>0.18617530907994073</v>
      </c>
      <c r="EM164" s="262">
        <f t="shared" si="742"/>
        <v>0.18617530907994073</v>
      </c>
      <c r="EN164" s="262">
        <f t="shared" si="742"/>
        <v>0.18617530907994073</v>
      </c>
      <c r="EO164" s="262">
        <f t="shared" si="742"/>
        <v>0.18617530907994073</v>
      </c>
      <c r="EP164" s="262">
        <f t="shared" si="742"/>
        <v>0.18617530907994073</v>
      </c>
      <c r="EQ164" s="262">
        <f t="shared" si="742"/>
        <v>0.22427295705758737</v>
      </c>
      <c r="ER164" s="262">
        <f t="shared" si="742"/>
        <v>0.22427295705758737</v>
      </c>
      <c r="ES164" s="262">
        <f t="shared" si="742"/>
        <v>0.22427295705758737</v>
      </c>
      <c r="ET164" s="262">
        <f t="shared" si="742"/>
        <v>0.22427295705758737</v>
      </c>
      <c r="EU164" s="262">
        <f t="shared" si="742"/>
        <v>0.22427295705758737</v>
      </c>
      <c r="EV164" s="262">
        <f t="shared" si="742"/>
        <v>0.22427295705758737</v>
      </c>
      <c r="EW164" s="262">
        <f t="shared" si="742"/>
        <v>0.22427295705758737</v>
      </c>
      <c r="EX164" s="262">
        <f t="shared" si="742"/>
        <v>0.22427295705758737</v>
      </c>
      <c r="EY164" s="262">
        <f t="shared" si="742"/>
        <v>0.22427295705758737</v>
      </c>
      <c r="EZ164" s="262">
        <f t="shared" si="742"/>
        <v>0.22427295705758737</v>
      </c>
      <c r="FA164" s="262">
        <f t="shared" si="742"/>
        <v>0.22427295705758737</v>
      </c>
      <c r="FB164" s="262">
        <f t="shared" si="742"/>
        <v>0.22427295705758737</v>
      </c>
    </row>
    <row r="165" spans="3:158" x14ac:dyDescent="0.25">
      <c r="C165" s="2" t="s">
        <v>300</v>
      </c>
      <c r="D165" s="330">
        <v>0.02</v>
      </c>
      <c r="E165" s="330">
        <v>0.02</v>
      </c>
      <c r="F165" s="330">
        <v>0.02</v>
      </c>
      <c r="G165" s="351">
        <f t="shared" ref="G165" si="746">F219</f>
        <v>2.0177226424896343E-2</v>
      </c>
      <c r="H165" s="351">
        <f t="shared" si="739"/>
        <v>3.612904814670486E-2</v>
      </c>
      <c r="I165" s="351">
        <f t="shared" si="739"/>
        <v>4.2392532669742966E-2</v>
      </c>
      <c r="J165" s="351">
        <f t="shared" si="739"/>
        <v>4.5982901034051761E-2</v>
      </c>
      <c r="K165" s="351">
        <f t="shared" si="739"/>
        <v>4.8128439048499588E-2</v>
      </c>
      <c r="L165" s="351">
        <f t="shared" si="739"/>
        <v>4.9451252472664159E-2</v>
      </c>
      <c r="N165" s="260">
        <f t="shared" ref="N165:AW165" si="747">N189/N$111</f>
        <v>2.5093653342041056E-2</v>
      </c>
      <c r="O165" s="260">
        <f t="shared" si="747"/>
        <v>3.8181818181818185E-2</v>
      </c>
      <c r="P165" s="260">
        <f t="shared" si="747"/>
        <v>5.7975605892602568E-2</v>
      </c>
      <c r="Q165" s="260">
        <f t="shared" si="747"/>
        <v>2.4489790920450834E-3</v>
      </c>
      <c r="R165" s="260">
        <f t="shared" si="747"/>
        <v>4.962270666637277E-3</v>
      </c>
      <c r="S165" s="260">
        <f t="shared" si="747"/>
        <v>3.5842499784600364E-2</v>
      </c>
      <c r="T165" s="260">
        <f t="shared" si="747"/>
        <v>1.1984357259997476E-3</v>
      </c>
      <c r="U165" s="260">
        <f t="shared" si="747"/>
        <v>2.1894682387429139E-2</v>
      </c>
      <c r="V165" s="260">
        <f t="shared" si="747"/>
        <v>1.6501545482750721E-2</v>
      </c>
      <c r="W165" s="260">
        <f t="shared" si="747"/>
        <v>1.7216938406830969E-2</v>
      </c>
      <c r="X165" s="260">
        <f t="shared" si="747"/>
        <v>3.4470022829585695E-2</v>
      </c>
      <c r="Y165" s="260">
        <f t="shared" si="747"/>
        <v>7.5377723287537645E-3</v>
      </c>
      <c r="Z165" s="260">
        <f t="shared" si="747"/>
        <v>1.5059607889697445E-2</v>
      </c>
      <c r="AA165" s="260">
        <f t="shared" si="747"/>
        <v>4.8869807991095006E-2</v>
      </c>
      <c r="AB165" s="260">
        <f t="shared" si="747"/>
        <v>2.0882774958794752E-2</v>
      </c>
      <c r="AC165" s="260">
        <f t="shared" si="747"/>
        <v>2.1148728116101526E-2</v>
      </c>
      <c r="AD165" s="260">
        <f t="shared" si="747"/>
        <v>4.5186215086643097E-2</v>
      </c>
      <c r="AE165" s="260">
        <f t="shared" si="747"/>
        <v>4.5186215086643083E-2</v>
      </c>
      <c r="AF165" s="260">
        <f t="shared" si="747"/>
        <v>4.518621508664309E-2</v>
      </c>
      <c r="AG165" s="260">
        <f t="shared" si="747"/>
        <v>4.5186215086643083E-2</v>
      </c>
      <c r="AH165" s="260">
        <f t="shared" si="747"/>
        <v>4.8974687581630323E-2</v>
      </c>
      <c r="AI165" s="260">
        <f t="shared" si="747"/>
        <v>4.8974687581630309E-2</v>
      </c>
      <c r="AJ165" s="260">
        <f t="shared" si="747"/>
        <v>4.8974687581630316E-2</v>
      </c>
      <c r="AK165" s="260">
        <f t="shared" si="747"/>
        <v>4.8974687581630323E-2</v>
      </c>
      <c r="AL165" s="260">
        <f t="shared" si="747"/>
        <v>5.3743221239969392E-2</v>
      </c>
      <c r="AM165" s="260">
        <f t="shared" si="747"/>
        <v>5.3743221239969392E-2</v>
      </c>
      <c r="AN165" s="260">
        <f t="shared" si="747"/>
        <v>5.3743221239969392E-2</v>
      </c>
      <c r="AO165" s="260">
        <f t="shared" si="747"/>
        <v>5.3743221239969392E-2</v>
      </c>
      <c r="AP165" s="260">
        <f t="shared" si="747"/>
        <v>5.6531757430264867E-2</v>
      </c>
      <c r="AQ165" s="260">
        <f t="shared" si="747"/>
        <v>5.6531757430264847E-2</v>
      </c>
      <c r="AR165" s="260">
        <f t="shared" si="747"/>
        <v>5.6531757430264867E-2</v>
      </c>
      <c r="AS165" s="260">
        <f t="shared" si="747"/>
        <v>5.6531757430264853E-2</v>
      </c>
      <c r="AT165" s="260">
        <f t="shared" si="747"/>
        <v>5.8199891122887662E-2</v>
      </c>
      <c r="AU165" s="260">
        <f t="shared" si="747"/>
        <v>5.8199891122887655E-2</v>
      </c>
      <c r="AV165" s="260">
        <f t="shared" si="747"/>
        <v>5.8199891122887662E-2</v>
      </c>
      <c r="AW165" s="260">
        <f t="shared" si="747"/>
        <v>5.8199891122887662E-2</v>
      </c>
      <c r="AY165" s="262">
        <f t="shared" ref="AY165:DJ165" si="748">INDEX($D165:$L165,1,MATCH(AY$2,$D$2:$L$2,))</f>
        <v>0.02</v>
      </c>
      <c r="AZ165" s="262">
        <f t="shared" si="748"/>
        <v>0.02</v>
      </c>
      <c r="BA165" s="262">
        <f t="shared" si="748"/>
        <v>0.02</v>
      </c>
      <c r="BB165" s="262">
        <f t="shared" si="748"/>
        <v>0.02</v>
      </c>
      <c r="BC165" s="262">
        <f t="shared" si="748"/>
        <v>0.02</v>
      </c>
      <c r="BD165" s="262">
        <f t="shared" si="748"/>
        <v>0.02</v>
      </c>
      <c r="BE165" s="262">
        <f t="shared" si="748"/>
        <v>0.02</v>
      </c>
      <c r="BF165" s="262">
        <f t="shared" si="748"/>
        <v>0.02</v>
      </c>
      <c r="BG165" s="262">
        <f t="shared" si="748"/>
        <v>0.02</v>
      </c>
      <c r="BH165" s="262">
        <f t="shared" si="748"/>
        <v>0.02</v>
      </c>
      <c r="BI165" s="262">
        <f t="shared" si="748"/>
        <v>0.02</v>
      </c>
      <c r="BJ165" s="262">
        <f t="shared" si="748"/>
        <v>0.02</v>
      </c>
      <c r="BK165" s="262">
        <f t="shared" si="748"/>
        <v>0.02</v>
      </c>
      <c r="BL165" s="262">
        <f t="shared" si="748"/>
        <v>0.02</v>
      </c>
      <c r="BM165" s="262">
        <f t="shared" si="748"/>
        <v>0.02</v>
      </c>
      <c r="BN165" s="262">
        <f t="shared" si="748"/>
        <v>0.02</v>
      </c>
      <c r="BO165" s="262">
        <f t="shared" si="748"/>
        <v>0.02</v>
      </c>
      <c r="BP165" s="262">
        <f t="shared" si="748"/>
        <v>0.02</v>
      </c>
      <c r="BQ165" s="262">
        <f t="shared" si="748"/>
        <v>0.02</v>
      </c>
      <c r="BR165" s="262">
        <f t="shared" si="748"/>
        <v>0.02</v>
      </c>
      <c r="BS165" s="262">
        <f t="shared" si="748"/>
        <v>0.02</v>
      </c>
      <c r="BT165" s="262">
        <f t="shared" si="748"/>
        <v>0.02</v>
      </c>
      <c r="BU165" s="262">
        <f t="shared" si="748"/>
        <v>0.02</v>
      </c>
      <c r="BV165" s="262">
        <f t="shared" si="748"/>
        <v>0.02</v>
      </c>
      <c r="BW165" s="262">
        <f t="shared" si="748"/>
        <v>0.02</v>
      </c>
      <c r="BX165" s="262">
        <f t="shared" si="748"/>
        <v>0.02</v>
      </c>
      <c r="BY165" s="262">
        <f t="shared" si="748"/>
        <v>0.02</v>
      </c>
      <c r="BZ165" s="262">
        <f t="shared" si="748"/>
        <v>0.02</v>
      </c>
      <c r="CA165" s="262">
        <f t="shared" si="748"/>
        <v>0.02</v>
      </c>
      <c r="CB165" s="262">
        <f t="shared" si="748"/>
        <v>0.02</v>
      </c>
      <c r="CC165" s="262">
        <f t="shared" si="748"/>
        <v>0.02</v>
      </c>
      <c r="CD165" s="262">
        <f t="shared" si="748"/>
        <v>0.02</v>
      </c>
      <c r="CE165" s="262">
        <f t="shared" si="748"/>
        <v>0.02</v>
      </c>
      <c r="CF165" s="262">
        <f t="shared" si="748"/>
        <v>0.02</v>
      </c>
      <c r="CG165" s="262">
        <f t="shared" si="748"/>
        <v>0.02</v>
      </c>
      <c r="CH165" s="262">
        <f t="shared" si="748"/>
        <v>0.02</v>
      </c>
      <c r="CI165" s="262">
        <f t="shared" si="748"/>
        <v>2.0177226424896343E-2</v>
      </c>
      <c r="CJ165" s="262">
        <f t="shared" si="748"/>
        <v>2.0177226424896343E-2</v>
      </c>
      <c r="CK165" s="262">
        <f t="shared" si="748"/>
        <v>2.0177226424896343E-2</v>
      </c>
      <c r="CL165" s="262">
        <f t="shared" si="748"/>
        <v>2.0177226424896343E-2</v>
      </c>
      <c r="CM165" s="262">
        <f t="shared" si="748"/>
        <v>2.0177226424896343E-2</v>
      </c>
      <c r="CN165" s="262">
        <f t="shared" si="748"/>
        <v>2.0177226424896343E-2</v>
      </c>
      <c r="CO165" s="262">
        <f t="shared" si="748"/>
        <v>2.0177226424896343E-2</v>
      </c>
      <c r="CP165" s="262">
        <f t="shared" si="748"/>
        <v>2.0177226424896343E-2</v>
      </c>
      <c r="CQ165" s="262">
        <f t="shared" si="748"/>
        <v>2.0177226424896343E-2</v>
      </c>
      <c r="CR165" s="262">
        <f t="shared" si="748"/>
        <v>2.0177226424896343E-2</v>
      </c>
      <c r="CS165" s="262">
        <f t="shared" si="748"/>
        <v>2.0177226424896343E-2</v>
      </c>
      <c r="CT165" s="262">
        <f t="shared" si="748"/>
        <v>2.0177226424896343E-2</v>
      </c>
      <c r="CU165" s="262">
        <f t="shared" si="748"/>
        <v>3.612904814670486E-2</v>
      </c>
      <c r="CV165" s="262">
        <f t="shared" si="748"/>
        <v>3.612904814670486E-2</v>
      </c>
      <c r="CW165" s="262">
        <f t="shared" si="748"/>
        <v>3.612904814670486E-2</v>
      </c>
      <c r="CX165" s="262">
        <f t="shared" si="748"/>
        <v>3.612904814670486E-2</v>
      </c>
      <c r="CY165" s="262">
        <f t="shared" si="748"/>
        <v>3.612904814670486E-2</v>
      </c>
      <c r="CZ165" s="262">
        <f t="shared" si="748"/>
        <v>3.612904814670486E-2</v>
      </c>
      <c r="DA165" s="262">
        <f t="shared" si="748"/>
        <v>3.612904814670486E-2</v>
      </c>
      <c r="DB165" s="262">
        <f t="shared" si="748"/>
        <v>3.612904814670486E-2</v>
      </c>
      <c r="DC165" s="262">
        <f t="shared" si="748"/>
        <v>3.612904814670486E-2</v>
      </c>
      <c r="DD165" s="262">
        <f t="shared" si="748"/>
        <v>3.612904814670486E-2</v>
      </c>
      <c r="DE165" s="262">
        <f t="shared" si="748"/>
        <v>3.612904814670486E-2</v>
      </c>
      <c r="DF165" s="262">
        <f t="shared" si="748"/>
        <v>3.612904814670486E-2</v>
      </c>
      <c r="DG165" s="262">
        <f t="shared" si="748"/>
        <v>4.2392532669742966E-2</v>
      </c>
      <c r="DH165" s="262">
        <f t="shared" si="748"/>
        <v>4.2392532669742966E-2</v>
      </c>
      <c r="DI165" s="262">
        <f t="shared" si="748"/>
        <v>4.2392532669742966E-2</v>
      </c>
      <c r="DJ165" s="262">
        <f t="shared" si="748"/>
        <v>4.2392532669742966E-2</v>
      </c>
      <c r="DK165" s="262">
        <f t="shared" si="742"/>
        <v>4.2392532669742966E-2</v>
      </c>
      <c r="DL165" s="262">
        <f t="shared" si="742"/>
        <v>4.2392532669742966E-2</v>
      </c>
      <c r="DM165" s="262">
        <f t="shared" si="742"/>
        <v>4.2392532669742966E-2</v>
      </c>
      <c r="DN165" s="262">
        <f t="shared" si="742"/>
        <v>4.2392532669742966E-2</v>
      </c>
      <c r="DO165" s="262">
        <f t="shared" si="742"/>
        <v>4.2392532669742966E-2</v>
      </c>
      <c r="DP165" s="262">
        <f t="shared" si="742"/>
        <v>4.2392532669742966E-2</v>
      </c>
      <c r="DQ165" s="262">
        <f t="shared" si="742"/>
        <v>4.2392532669742966E-2</v>
      </c>
      <c r="DR165" s="262">
        <f t="shared" si="742"/>
        <v>4.2392532669742966E-2</v>
      </c>
      <c r="DS165" s="262">
        <f t="shared" si="742"/>
        <v>4.5982901034051761E-2</v>
      </c>
      <c r="DT165" s="262">
        <f t="shared" si="742"/>
        <v>4.5982901034051761E-2</v>
      </c>
      <c r="DU165" s="262">
        <f t="shared" si="742"/>
        <v>4.5982901034051761E-2</v>
      </c>
      <c r="DV165" s="262">
        <f t="shared" si="742"/>
        <v>4.5982901034051761E-2</v>
      </c>
      <c r="DW165" s="262">
        <f t="shared" si="742"/>
        <v>4.5982901034051761E-2</v>
      </c>
      <c r="DX165" s="262">
        <f t="shared" si="742"/>
        <v>4.5982901034051761E-2</v>
      </c>
      <c r="DY165" s="262">
        <f t="shared" si="742"/>
        <v>4.5982901034051761E-2</v>
      </c>
      <c r="DZ165" s="262">
        <f t="shared" si="742"/>
        <v>4.5982901034051761E-2</v>
      </c>
      <c r="EA165" s="262">
        <f t="shared" si="742"/>
        <v>4.5982901034051761E-2</v>
      </c>
      <c r="EB165" s="262">
        <f t="shared" si="742"/>
        <v>4.5982901034051761E-2</v>
      </c>
      <c r="EC165" s="262">
        <f t="shared" si="742"/>
        <v>4.5982901034051761E-2</v>
      </c>
      <c r="ED165" s="262">
        <f t="shared" si="742"/>
        <v>4.5982901034051761E-2</v>
      </c>
      <c r="EE165" s="262">
        <f t="shared" si="742"/>
        <v>4.8128439048499588E-2</v>
      </c>
      <c r="EF165" s="262">
        <f t="shared" si="742"/>
        <v>4.8128439048499588E-2</v>
      </c>
      <c r="EG165" s="262">
        <f t="shared" si="742"/>
        <v>4.8128439048499588E-2</v>
      </c>
      <c r="EH165" s="262">
        <f t="shared" si="742"/>
        <v>4.8128439048499588E-2</v>
      </c>
      <c r="EI165" s="262">
        <f t="shared" si="742"/>
        <v>4.8128439048499588E-2</v>
      </c>
      <c r="EJ165" s="262">
        <f t="shared" si="742"/>
        <v>4.8128439048499588E-2</v>
      </c>
      <c r="EK165" s="262">
        <f t="shared" si="742"/>
        <v>4.8128439048499588E-2</v>
      </c>
      <c r="EL165" s="262">
        <f t="shared" si="742"/>
        <v>4.8128439048499588E-2</v>
      </c>
      <c r="EM165" s="262">
        <f t="shared" si="742"/>
        <v>4.8128439048499588E-2</v>
      </c>
      <c r="EN165" s="262">
        <f t="shared" si="742"/>
        <v>4.8128439048499588E-2</v>
      </c>
      <c r="EO165" s="262">
        <f t="shared" si="742"/>
        <v>4.8128439048499588E-2</v>
      </c>
      <c r="EP165" s="262">
        <f t="shared" si="742"/>
        <v>4.8128439048499588E-2</v>
      </c>
      <c r="EQ165" s="262">
        <f t="shared" si="742"/>
        <v>4.9451252472664159E-2</v>
      </c>
      <c r="ER165" s="262">
        <f t="shared" si="742"/>
        <v>4.9451252472664159E-2</v>
      </c>
      <c r="ES165" s="262">
        <f t="shared" si="742"/>
        <v>4.9451252472664159E-2</v>
      </c>
      <c r="ET165" s="262">
        <f t="shared" si="742"/>
        <v>4.9451252472664159E-2</v>
      </c>
      <c r="EU165" s="262">
        <f t="shared" si="742"/>
        <v>4.9451252472664159E-2</v>
      </c>
      <c r="EV165" s="262">
        <f t="shared" si="742"/>
        <v>4.9451252472664159E-2</v>
      </c>
      <c r="EW165" s="262">
        <f t="shared" si="742"/>
        <v>4.9451252472664159E-2</v>
      </c>
      <c r="EX165" s="262">
        <f t="shared" si="742"/>
        <v>4.9451252472664159E-2</v>
      </c>
      <c r="EY165" s="262">
        <f t="shared" si="742"/>
        <v>4.9451252472664159E-2</v>
      </c>
      <c r="EZ165" s="262">
        <f t="shared" si="742"/>
        <v>4.9451252472664159E-2</v>
      </c>
      <c r="FA165" s="262">
        <f t="shared" si="742"/>
        <v>4.9451252472664159E-2</v>
      </c>
      <c r="FB165" s="262">
        <f t="shared" si="742"/>
        <v>4.9451252472664159E-2</v>
      </c>
    </row>
    <row r="166" spans="3:158" x14ac:dyDescent="0.25">
      <c r="D166" s="331"/>
      <c r="E166" s="331"/>
      <c r="F166" s="331"/>
      <c r="G166" s="350"/>
      <c r="H166" s="350"/>
      <c r="I166" s="350"/>
      <c r="J166" s="350"/>
      <c r="K166" s="350"/>
    </row>
    <row r="167" spans="3:158" x14ac:dyDescent="0.25">
      <c r="C167" s="304" t="s">
        <v>643</v>
      </c>
      <c r="D167" s="331"/>
      <c r="E167" s="331"/>
      <c r="F167" s="331"/>
      <c r="G167" s="350"/>
      <c r="H167" s="350"/>
      <c r="I167" s="350"/>
      <c r="J167" s="350"/>
      <c r="K167" s="350"/>
    </row>
    <row r="168" spans="3:158" x14ac:dyDescent="0.25">
      <c r="C168" s="2" t="s">
        <v>346</v>
      </c>
      <c r="D168" s="349">
        <f t="shared" ref="D168" si="749">1-SUM(D169:D171)</f>
        <v>0.95</v>
      </c>
      <c r="E168" s="349">
        <f t="shared" ref="E168" si="750">1-SUM(E169:E171)</f>
        <v>0.95</v>
      </c>
      <c r="F168" s="349">
        <f t="shared" ref="F168" si="751">1-SUM(F169:F171)</f>
        <v>0.95</v>
      </c>
      <c r="G168" s="349">
        <f t="shared" ref="G168" si="752">1-SUM(G169:G171)</f>
        <v>0.9495569339377592</v>
      </c>
      <c r="H168" s="349">
        <f t="shared" ref="H168" si="753">1-SUM(H169:H171)</f>
        <v>0.91432750198654777</v>
      </c>
      <c r="I168" s="349">
        <f>1-SUM(I169:I171)</f>
        <v>0.87450896989848259</v>
      </c>
      <c r="J168" s="349">
        <f t="shared" ref="J168" si="754">1-SUM(J169:J171)</f>
        <v>0.76274102241679831</v>
      </c>
      <c r="K168" s="349">
        <f t="shared" ref="K168" si="755">1-SUM(K169:K171)</f>
        <v>0.67835760174860782</v>
      </c>
      <c r="L168" s="349">
        <f t="shared" ref="L168" si="756">1-SUM(L169:L171)</f>
        <v>0.62633171319051772</v>
      </c>
      <c r="N168" s="260">
        <f t="shared" ref="N168:AW168" si="757">N192/N$117</f>
        <v>0.18892940006629103</v>
      </c>
      <c r="O168" s="260">
        <f t="shared" si="757"/>
        <v>0.25956127080181546</v>
      </c>
      <c r="P168" s="260">
        <f t="shared" si="757"/>
        <v>1.0097213220998056</v>
      </c>
      <c r="Q168" s="260">
        <f t="shared" si="757"/>
        <v>1.1360032671525508</v>
      </c>
      <c r="R168" s="260">
        <f t="shared" si="757"/>
        <v>1.4599764530332682</v>
      </c>
      <c r="S168" s="260">
        <f t="shared" si="757"/>
        <v>0.60632572305531551</v>
      </c>
      <c r="T168" s="260">
        <f t="shared" si="757"/>
        <v>1.0511540623656623</v>
      </c>
      <c r="U168" s="260">
        <f t="shared" si="757"/>
        <v>0.37566575393882051</v>
      </c>
      <c r="V168" s="260">
        <f t="shared" si="757"/>
        <v>0.23643091301641109</v>
      </c>
      <c r="W168" s="260">
        <f t="shared" si="757"/>
        <v>0.36606944279537151</v>
      </c>
      <c r="X168" s="260">
        <f t="shared" si="757"/>
        <v>0.72952294915528437</v>
      </c>
      <c r="Y168" s="260">
        <f t="shared" si="757"/>
        <v>0.39932641824186893</v>
      </c>
      <c r="Z168" s="260">
        <f t="shared" si="757"/>
        <v>0.50016441497342301</v>
      </c>
      <c r="AA168" s="260">
        <f t="shared" si="757"/>
        <v>0.49494243654677084</v>
      </c>
      <c r="AB168" s="260">
        <f t="shared" si="757"/>
        <v>0.54836224013938617</v>
      </c>
      <c r="AC168" s="260">
        <f t="shared" si="757"/>
        <v>0.55534592259541271</v>
      </c>
      <c r="AD168" s="260">
        <f t="shared" si="757"/>
        <v>0.53505221366451172</v>
      </c>
      <c r="AE168" s="260">
        <f t="shared" si="757"/>
        <v>0.53505221366451161</v>
      </c>
      <c r="AF168" s="260">
        <f t="shared" si="757"/>
        <v>0.53505221366451161</v>
      </c>
      <c r="AG168" s="260">
        <f t="shared" si="757"/>
        <v>0.53505221366451172</v>
      </c>
      <c r="AH168" s="260">
        <f t="shared" si="757"/>
        <v>0.47270643653514738</v>
      </c>
      <c r="AI168" s="260">
        <f t="shared" si="757"/>
        <v>0.47270643653514738</v>
      </c>
      <c r="AJ168" s="260">
        <f t="shared" si="757"/>
        <v>0.47270643653514732</v>
      </c>
      <c r="AK168" s="260">
        <f t="shared" si="757"/>
        <v>0.47270643653514738</v>
      </c>
      <c r="AL168" s="260">
        <f t="shared" si="757"/>
        <v>0.41710881449875531</v>
      </c>
      <c r="AM168" s="260">
        <f t="shared" si="757"/>
        <v>0.4171088144987552</v>
      </c>
      <c r="AN168" s="260">
        <f t="shared" si="757"/>
        <v>0.41710881449875525</v>
      </c>
      <c r="AO168" s="260">
        <f t="shared" si="757"/>
        <v>0.41710881449875525</v>
      </c>
      <c r="AP168" s="260">
        <f t="shared" si="757"/>
        <v>0.37281582889552828</v>
      </c>
      <c r="AQ168" s="260">
        <f t="shared" si="757"/>
        <v>0.37281582889552828</v>
      </c>
      <c r="AR168" s="260">
        <f t="shared" si="757"/>
        <v>0.37281582889552828</v>
      </c>
      <c r="AS168" s="260">
        <f t="shared" si="757"/>
        <v>0.37281582889552828</v>
      </c>
      <c r="AT168" s="260">
        <f t="shared" si="757"/>
        <v>0.34490081076120421</v>
      </c>
      <c r="AU168" s="260">
        <f t="shared" si="757"/>
        <v>0.34490081076120416</v>
      </c>
      <c r="AV168" s="260">
        <f t="shared" si="757"/>
        <v>0.34490081076120421</v>
      </c>
      <c r="AW168" s="260">
        <f t="shared" si="757"/>
        <v>0.34490081076120421</v>
      </c>
      <c r="AY168" s="260">
        <f t="shared" ref="AY168:DJ168" si="758">1-SUM(AY169:AY171)</f>
        <v>0.95</v>
      </c>
      <c r="AZ168" s="260">
        <f t="shared" si="758"/>
        <v>0.95</v>
      </c>
      <c r="BA168" s="260">
        <f t="shared" si="758"/>
        <v>0.95</v>
      </c>
      <c r="BB168" s="260">
        <f t="shared" si="758"/>
        <v>0.95</v>
      </c>
      <c r="BC168" s="260">
        <f t="shared" si="758"/>
        <v>0.95</v>
      </c>
      <c r="BD168" s="260">
        <f t="shared" si="758"/>
        <v>0.95</v>
      </c>
      <c r="BE168" s="260">
        <f t="shared" si="758"/>
        <v>0.95</v>
      </c>
      <c r="BF168" s="260">
        <f t="shared" si="758"/>
        <v>0.95</v>
      </c>
      <c r="BG168" s="260">
        <f t="shared" si="758"/>
        <v>0.95</v>
      </c>
      <c r="BH168" s="260">
        <f t="shared" si="758"/>
        <v>0.95</v>
      </c>
      <c r="BI168" s="260">
        <f t="shared" si="758"/>
        <v>0.95</v>
      </c>
      <c r="BJ168" s="260">
        <f t="shared" si="758"/>
        <v>0.95</v>
      </c>
      <c r="BK168" s="260">
        <f t="shared" si="758"/>
        <v>0.95</v>
      </c>
      <c r="BL168" s="260">
        <f t="shared" si="758"/>
        <v>0.95</v>
      </c>
      <c r="BM168" s="260">
        <f t="shared" si="758"/>
        <v>0.95</v>
      </c>
      <c r="BN168" s="260">
        <f t="shared" si="758"/>
        <v>0.95</v>
      </c>
      <c r="BO168" s="260">
        <f t="shared" si="758"/>
        <v>0.95</v>
      </c>
      <c r="BP168" s="260">
        <f t="shared" si="758"/>
        <v>0.95</v>
      </c>
      <c r="BQ168" s="260">
        <f t="shared" si="758"/>
        <v>0.95</v>
      </c>
      <c r="BR168" s="260">
        <f t="shared" si="758"/>
        <v>0.95</v>
      </c>
      <c r="BS168" s="260">
        <f t="shared" si="758"/>
        <v>0.95</v>
      </c>
      <c r="BT168" s="260">
        <f t="shared" si="758"/>
        <v>0.95</v>
      </c>
      <c r="BU168" s="260">
        <f t="shared" si="758"/>
        <v>0.95</v>
      </c>
      <c r="BV168" s="260">
        <f t="shared" si="758"/>
        <v>0.95</v>
      </c>
      <c r="BW168" s="260">
        <f t="shared" si="758"/>
        <v>0.95</v>
      </c>
      <c r="BX168" s="260">
        <f t="shared" si="758"/>
        <v>0.95</v>
      </c>
      <c r="BY168" s="260">
        <f t="shared" si="758"/>
        <v>0.95</v>
      </c>
      <c r="BZ168" s="260">
        <f t="shared" si="758"/>
        <v>0.95</v>
      </c>
      <c r="CA168" s="260">
        <f t="shared" si="758"/>
        <v>0.95</v>
      </c>
      <c r="CB168" s="260">
        <f t="shared" si="758"/>
        <v>0.95</v>
      </c>
      <c r="CC168" s="260">
        <f t="shared" si="758"/>
        <v>0.95</v>
      </c>
      <c r="CD168" s="260">
        <f t="shared" si="758"/>
        <v>0.95</v>
      </c>
      <c r="CE168" s="260">
        <f t="shared" si="758"/>
        <v>0.95</v>
      </c>
      <c r="CF168" s="260">
        <f t="shared" si="758"/>
        <v>0.95</v>
      </c>
      <c r="CG168" s="260">
        <f t="shared" si="758"/>
        <v>0.95</v>
      </c>
      <c r="CH168" s="260">
        <f t="shared" si="758"/>
        <v>0.95</v>
      </c>
      <c r="CI168" s="260">
        <f t="shared" si="758"/>
        <v>0.9495569339377592</v>
      </c>
      <c r="CJ168" s="260">
        <f t="shared" si="758"/>
        <v>0.9495569339377592</v>
      </c>
      <c r="CK168" s="260">
        <f t="shared" si="758"/>
        <v>0.9495569339377592</v>
      </c>
      <c r="CL168" s="260">
        <f t="shared" si="758"/>
        <v>0.9495569339377592</v>
      </c>
      <c r="CM168" s="260">
        <f t="shared" si="758"/>
        <v>0.9495569339377592</v>
      </c>
      <c r="CN168" s="260">
        <f t="shared" si="758"/>
        <v>0.9495569339377592</v>
      </c>
      <c r="CO168" s="260">
        <f t="shared" si="758"/>
        <v>0.9495569339377592</v>
      </c>
      <c r="CP168" s="260">
        <f t="shared" si="758"/>
        <v>0.9495569339377592</v>
      </c>
      <c r="CQ168" s="260">
        <f t="shared" si="758"/>
        <v>0.9495569339377592</v>
      </c>
      <c r="CR168" s="260">
        <f t="shared" si="758"/>
        <v>0.9495569339377592</v>
      </c>
      <c r="CS168" s="260">
        <f t="shared" si="758"/>
        <v>0.9495569339377592</v>
      </c>
      <c r="CT168" s="260">
        <f t="shared" si="758"/>
        <v>0.9495569339377592</v>
      </c>
      <c r="CU168" s="260">
        <f t="shared" si="758"/>
        <v>0.91432750198654777</v>
      </c>
      <c r="CV168" s="260">
        <f t="shared" si="758"/>
        <v>0.91432750198654777</v>
      </c>
      <c r="CW168" s="260">
        <f t="shared" si="758"/>
        <v>0.91432750198654777</v>
      </c>
      <c r="CX168" s="260">
        <f t="shared" si="758"/>
        <v>0.91432750198654777</v>
      </c>
      <c r="CY168" s="260">
        <f t="shared" si="758"/>
        <v>0.91432750198654777</v>
      </c>
      <c r="CZ168" s="260">
        <f t="shared" si="758"/>
        <v>0.91432750198654777</v>
      </c>
      <c r="DA168" s="260">
        <f t="shared" si="758"/>
        <v>0.91432750198654777</v>
      </c>
      <c r="DB168" s="260">
        <f t="shared" si="758"/>
        <v>0.91432750198654777</v>
      </c>
      <c r="DC168" s="260">
        <f t="shared" si="758"/>
        <v>0.91432750198654777</v>
      </c>
      <c r="DD168" s="260">
        <f t="shared" si="758"/>
        <v>0.91432750198654777</v>
      </c>
      <c r="DE168" s="260">
        <f t="shared" si="758"/>
        <v>0.91432750198654777</v>
      </c>
      <c r="DF168" s="260">
        <f t="shared" si="758"/>
        <v>0.91432750198654777</v>
      </c>
      <c r="DG168" s="260">
        <f t="shared" si="758"/>
        <v>0.87450896989848259</v>
      </c>
      <c r="DH168" s="260">
        <f t="shared" si="758"/>
        <v>0.87450896989848259</v>
      </c>
      <c r="DI168" s="260">
        <f t="shared" si="758"/>
        <v>0.87450896989848259</v>
      </c>
      <c r="DJ168" s="260">
        <f t="shared" si="758"/>
        <v>0.87450896989848259</v>
      </c>
      <c r="DK168" s="260">
        <f t="shared" ref="DK168:FB168" si="759">1-SUM(DK169:DK171)</f>
        <v>0.87450896989848259</v>
      </c>
      <c r="DL168" s="260">
        <f t="shared" si="759"/>
        <v>0.87450896989848259</v>
      </c>
      <c r="DM168" s="260">
        <f t="shared" si="759"/>
        <v>0.87450896989848259</v>
      </c>
      <c r="DN168" s="260">
        <f t="shared" si="759"/>
        <v>0.87450896989848259</v>
      </c>
      <c r="DO168" s="260">
        <f t="shared" si="759"/>
        <v>0.87450896989848259</v>
      </c>
      <c r="DP168" s="260">
        <f t="shared" si="759"/>
        <v>0.87450896989848259</v>
      </c>
      <c r="DQ168" s="260">
        <f t="shared" si="759"/>
        <v>0.87450896989848259</v>
      </c>
      <c r="DR168" s="260">
        <f t="shared" si="759"/>
        <v>0.87450896989848259</v>
      </c>
      <c r="DS168" s="260">
        <f t="shared" si="759"/>
        <v>0.76274102241679831</v>
      </c>
      <c r="DT168" s="260">
        <f t="shared" si="759"/>
        <v>0.76274102241679831</v>
      </c>
      <c r="DU168" s="260">
        <f t="shared" si="759"/>
        <v>0.76274102241679831</v>
      </c>
      <c r="DV168" s="260">
        <f t="shared" si="759"/>
        <v>0.76274102241679831</v>
      </c>
      <c r="DW168" s="260">
        <f t="shared" si="759"/>
        <v>0.76274102241679831</v>
      </c>
      <c r="DX168" s="260">
        <f t="shared" si="759"/>
        <v>0.76274102241679831</v>
      </c>
      <c r="DY168" s="260">
        <f t="shared" si="759"/>
        <v>0.76274102241679831</v>
      </c>
      <c r="DZ168" s="260">
        <f t="shared" si="759"/>
        <v>0.76274102241679831</v>
      </c>
      <c r="EA168" s="260">
        <f t="shared" si="759"/>
        <v>0.76274102241679831</v>
      </c>
      <c r="EB168" s="260">
        <f t="shared" si="759"/>
        <v>0.76274102241679831</v>
      </c>
      <c r="EC168" s="260">
        <f t="shared" si="759"/>
        <v>0.76274102241679831</v>
      </c>
      <c r="ED168" s="260">
        <f t="shared" si="759"/>
        <v>0.76274102241679831</v>
      </c>
      <c r="EE168" s="260">
        <f t="shared" si="759"/>
        <v>0.67835760174860782</v>
      </c>
      <c r="EF168" s="260">
        <f t="shared" si="759"/>
        <v>0.67835760174860782</v>
      </c>
      <c r="EG168" s="260">
        <f t="shared" si="759"/>
        <v>0.67835760174860782</v>
      </c>
      <c r="EH168" s="260">
        <f t="shared" si="759"/>
        <v>0.67835760174860782</v>
      </c>
      <c r="EI168" s="260">
        <f t="shared" si="759"/>
        <v>0.67835760174860782</v>
      </c>
      <c r="EJ168" s="260">
        <f t="shared" si="759"/>
        <v>0.67835760174860782</v>
      </c>
      <c r="EK168" s="260">
        <f t="shared" si="759"/>
        <v>0.67835760174860782</v>
      </c>
      <c r="EL168" s="260">
        <f t="shared" si="759"/>
        <v>0.67835760174860782</v>
      </c>
      <c r="EM168" s="260">
        <f t="shared" si="759"/>
        <v>0.67835760174860782</v>
      </c>
      <c r="EN168" s="260">
        <f t="shared" si="759"/>
        <v>0.67835760174860782</v>
      </c>
      <c r="EO168" s="260">
        <f t="shared" si="759"/>
        <v>0.67835760174860782</v>
      </c>
      <c r="EP168" s="260">
        <f t="shared" si="759"/>
        <v>0.67835760174860782</v>
      </c>
      <c r="EQ168" s="260">
        <f t="shared" si="759"/>
        <v>0.62633171319051772</v>
      </c>
      <c r="ER168" s="260">
        <f t="shared" si="759"/>
        <v>0.62633171319051772</v>
      </c>
      <c r="ES168" s="260">
        <f t="shared" si="759"/>
        <v>0.62633171319051772</v>
      </c>
      <c r="ET168" s="260">
        <f t="shared" si="759"/>
        <v>0.62633171319051772</v>
      </c>
      <c r="EU168" s="260">
        <f t="shared" si="759"/>
        <v>0.62633171319051772</v>
      </c>
      <c r="EV168" s="260">
        <f t="shared" si="759"/>
        <v>0.62633171319051772</v>
      </c>
      <c r="EW168" s="260">
        <f t="shared" si="759"/>
        <v>0.62633171319051772</v>
      </c>
      <c r="EX168" s="260">
        <f t="shared" si="759"/>
        <v>0.62633171319051772</v>
      </c>
      <c r="EY168" s="260">
        <f t="shared" si="759"/>
        <v>0.62633171319051772</v>
      </c>
      <c r="EZ168" s="260">
        <f t="shared" si="759"/>
        <v>0.62633171319051772</v>
      </c>
      <c r="FA168" s="260">
        <f t="shared" si="759"/>
        <v>0.62633171319051772</v>
      </c>
      <c r="FB168" s="260">
        <f t="shared" si="759"/>
        <v>0.62633171319051772</v>
      </c>
    </row>
    <row r="169" spans="3:158" x14ac:dyDescent="0.25">
      <c r="C169" s="2" t="s">
        <v>298</v>
      </c>
      <c r="D169" s="330">
        <v>0.02</v>
      </c>
      <c r="E169" s="330">
        <v>0.02</v>
      </c>
      <c r="F169" s="330">
        <v>0.02</v>
      </c>
      <c r="G169" s="351">
        <f>G163</f>
        <v>2.0177226424896343E-2</v>
      </c>
      <c r="H169" s="351">
        <f t="shared" ref="H169:L169" si="760">H163</f>
        <v>2.4714507125096281E-2</v>
      </c>
      <c r="I169" s="351">
        <f t="shared" si="760"/>
        <v>3.2679732461668193E-2</v>
      </c>
      <c r="J169" s="351">
        <f t="shared" si="760"/>
        <v>6.6893270103294142E-2</v>
      </c>
      <c r="K169" s="351">
        <f t="shared" si="760"/>
        <v>8.7338650122951875E-2</v>
      </c>
      <c r="L169" s="351">
        <f t="shared" si="760"/>
        <v>9.994407727923077E-2</v>
      </c>
      <c r="N169" s="260">
        <f t="shared" ref="N169:AW169" si="761">N193/N$117</f>
        <v>3.9774610540271793E-3</v>
      </c>
      <c r="O169" s="260">
        <f t="shared" si="761"/>
        <v>5.4644478063540086E-3</v>
      </c>
      <c r="P169" s="260">
        <f t="shared" si="761"/>
        <v>2.1257290991574855E-2</v>
      </c>
      <c r="Q169" s="260">
        <f t="shared" si="761"/>
        <v>2.3915858255843175E-2</v>
      </c>
      <c r="R169" s="260">
        <f t="shared" si="761"/>
        <v>3.0736346379647752E-2</v>
      </c>
      <c r="S169" s="260">
        <f t="shared" si="761"/>
        <v>1.2764752064322434E-2</v>
      </c>
      <c r="T169" s="260">
        <f t="shared" si="761"/>
        <v>2.2129559207698157E-2</v>
      </c>
      <c r="U169" s="260">
        <f t="shared" si="761"/>
        <v>7.9087527145014856E-3</v>
      </c>
      <c r="V169" s="260">
        <f t="shared" si="761"/>
        <v>4.9774929056086541E-3</v>
      </c>
      <c r="W169" s="260">
        <f t="shared" si="761"/>
        <v>7.7067251114815048E-3</v>
      </c>
      <c r="X169" s="260">
        <f t="shared" si="761"/>
        <v>1.5358377876953355E-2</v>
      </c>
      <c r="Y169" s="260">
        <f t="shared" si="761"/>
        <v>8.4068719629867145E-3</v>
      </c>
      <c r="Z169" s="260">
        <f t="shared" si="761"/>
        <v>1.0628041658064569E-2</v>
      </c>
      <c r="AA169" s="260">
        <f t="shared" si="761"/>
        <v>1.0517079337286666E-2</v>
      </c>
      <c r="AB169" s="260">
        <f t="shared" si="761"/>
        <v>1.1652201870900157E-2</v>
      </c>
      <c r="AC169" s="260">
        <f t="shared" si="761"/>
        <v>1.1800598809681359E-2</v>
      </c>
      <c r="AD169" s="260">
        <f t="shared" si="761"/>
        <v>1.4462598705802321E-2</v>
      </c>
      <c r="AE169" s="260">
        <f t="shared" si="761"/>
        <v>1.4462598705802314E-2</v>
      </c>
      <c r="AF169" s="260">
        <f t="shared" si="761"/>
        <v>1.4462598705802316E-2</v>
      </c>
      <c r="AG169" s="260">
        <f t="shared" si="761"/>
        <v>1.4462598705802316E-2</v>
      </c>
      <c r="AH169" s="260">
        <f t="shared" si="761"/>
        <v>1.7664678591770674E-2</v>
      </c>
      <c r="AI169" s="260">
        <f t="shared" si="761"/>
        <v>1.7664678591770674E-2</v>
      </c>
      <c r="AJ169" s="260">
        <f t="shared" si="761"/>
        <v>1.7664678591770674E-2</v>
      </c>
      <c r="AK169" s="260">
        <f t="shared" si="761"/>
        <v>1.7664678591770674E-2</v>
      </c>
      <c r="AL169" s="260">
        <f t="shared" si="761"/>
        <v>3.6580925596897004E-2</v>
      </c>
      <c r="AM169" s="260">
        <f t="shared" si="761"/>
        <v>3.658092559689699E-2</v>
      </c>
      <c r="AN169" s="260">
        <f t="shared" si="761"/>
        <v>3.6580925596896997E-2</v>
      </c>
      <c r="AO169" s="260">
        <f t="shared" si="761"/>
        <v>3.6580925596897004E-2</v>
      </c>
      <c r="AP169" s="260">
        <f t="shared" si="761"/>
        <v>4.8000097819013883E-2</v>
      </c>
      <c r="AQ169" s="260">
        <f t="shared" si="761"/>
        <v>4.8000097819013883E-2</v>
      </c>
      <c r="AR169" s="260">
        <f t="shared" si="761"/>
        <v>4.8000097819013883E-2</v>
      </c>
      <c r="AS169" s="260">
        <f t="shared" si="761"/>
        <v>4.8000097819013883E-2</v>
      </c>
      <c r="AT169" s="260">
        <f t="shared" si="761"/>
        <v>5.5036001783773332E-2</v>
      </c>
      <c r="AU169" s="260">
        <f t="shared" si="761"/>
        <v>5.5036001783773332E-2</v>
      </c>
      <c r="AV169" s="260">
        <f t="shared" si="761"/>
        <v>5.5036001783773332E-2</v>
      </c>
      <c r="AW169" s="260">
        <f t="shared" si="761"/>
        <v>5.5036001783773325E-2</v>
      </c>
      <c r="AY169" s="262">
        <f t="shared" ref="AY169:DJ170" si="762">INDEX($D169:$L169,1,MATCH(AY$2,$D$2:$L$2,))</f>
        <v>0.02</v>
      </c>
      <c r="AZ169" s="262">
        <f t="shared" si="762"/>
        <v>0.02</v>
      </c>
      <c r="BA169" s="262">
        <f t="shared" si="762"/>
        <v>0.02</v>
      </c>
      <c r="BB169" s="262">
        <f t="shared" si="762"/>
        <v>0.02</v>
      </c>
      <c r="BC169" s="262">
        <f t="shared" si="762"/>
        <v>0.02</v>
      </c>
      <c r="BD169" s="262">
        <f t="shared" si="762"/>
        <v>0.02</v>
      </c>
      <c r="BE169" s="262">
        <f t="shared" si="762"/>
        <v>0.02</v>
      </c>
      <c r="BF169" s="262">
        <f t="shared" si="762"/>
        <v>0.02</v>
      </c>
      <c r="BG169" s="262">
        <f t="shared" si="762"/>
        <v>0.02</v>
      </c>
      <c r="BH169" s="262">
        <f t="shared" si="762"/>
        <v>0.02</v>
      </c>
      <c r="BI169" s="262">
        <f t="shared" si="762"/>
        <v>0.02</v>
      </c>
      <c r="BJ169" s="262">
        <f t="shared" si="762"/>
        <v>0.02</v>
      </c>
      <c r="BK169" s="262">
        <f t="shared" si="762"/>
        <v>0.02</v>
      </c>
      <c r="BL169" s="262">
        <f t="shared" si="762"/>
        <v>0.02</v>
      </c>
      <c r="BM169" s="262">
        <f t="shared" si="762"/>
        <v>0.02</v>
      </c>
      <c r="BN169" s="262">
        <f t="shared" si="762"/>
        <v>0.02</v>
      </c>
      <c r="BO169" s="262">
        <f t="shared" si="762"/>
        <v>0.02</v>
      </c>
      <c r="BP169" s="262">
        <f t="shared" si="762"/>
        <v>0.02</v>
      </c>
      <c r="BQ169" s="262">
        <f t="shared" si="762"/>
        <v>0.02</v>
      </c>
      <c r="BR169" s="262">
        <f t="shared" si="762"/>
        <v>0.02</v>
      </c>
      <c r="BS169" s="262">
        <f t="shared" si="762"/>
        <v>0.02</v>
      </c>
      <c r="BT169" s="262">
        <f t="shared" si="762"/>
        <v>0.02</v>
      </c>
      <c r="BU169" s="262">
        <f t="shared" si="762"/>
        <v>0.02</v>
      </c>
      <c r="BV169" s="262">
        <f t="shared" si="762"/>
        <v>0.02</v>
      </c>
      <c r="BW169" s="262">
        <f t="shared" si="762"/>
        <v>0.02</v>
      </c>
      <c r="BX169" s="262">
        <f t="shared" si="762"/>
        <v>0.02</v>
      </c>
      <c r="BY169" s="262">
        <f t="shared" si="762"/>
        <v>0.02</v>
      </c>
      <c r="BZ169" s="262">
        <f t="shared" si="762"/>
        <v>0.02</v>
      </c>
      <c r="CA169" s="262">
        <f t="shared" si="762"/>
        <v>0.02</v>
      </c>
      <c r="CB169" s="262">
        <f t="shared" si="762"/>
        <v>0.02</v>
      </c>
      <c r="CC169" s="262">
        <f t="shared" si="762"/>
        <v>0.02</v>
      </c>
      <c r="CD169" s="262">
        <f t="shared" si="762"/>
        <v>0.02</v>
      </c>
      <c r="CE169" s="262">
        <f t="shared" si="762"/>
        <v>0.02</v>
      </c>
      <c r="CF169" s="262">
        <f t="shared" si="762"/>
        <v>0.02</v>
      </c>
      <c r="CG169" s="262">
        <f t="shared" si="762"/>
        <v>0.02</v>
      </c>
      <c r="CH169" s="262">
        <f t="shared" si="762"/>
        <v>0.02</v>
      </c>
      <c r="CI169" s="262">
        <f t="shared" si="762"/>
        <v>2.0177226424896343E-2</v>
      </c>
      <c r="CJ169" s="262">
        <f t="shared" si="762"/>
        <v>2.0177226424896343E-2</v>
      </c>
      <c r="CK169" s="262">
        <f t="shared" si="762"/>
        <v>2.0177226424896343E-2</v>
      </c>
      <c r="CL169" s="262">
        <f t="shared" si="762"/>
        <v>2.0177226424896343E-2</v>
      </c>
      <c r="CM169" s="262">
        <f t="shared" si="762"/>
        <v>2.0177226424896343E-2</v>
      </c>
      <c r="CN169" s="262">
        <f t="shared" si="762"/>
        <v>2.0177226424896343E-2</v>
      </c>
      <c r="CO169" s="262">
        <f t="shared" si="762"/>
        <v>2.0177226424896343E-2</v>
      </c>
      <c r="CP169" s="262">
        <f t="shared" si="762"/>
        <v>2.0177226424896343E-2</v>
      </c>
      <c r="CQ169" s="262">
        <f t="shared" si="762"/>
        <v>2.0177226424896343E-2</v>
      </c>
      <c r="CR169" s="262">
        <f t="shared" si="762"/>
        <v>2.0177226424896343E-2</v>
      </c>
      <c r="CS169" s="262">
        <f t="shared" si="762"/>
        <v>2.0177226424896343E-2</v>
      </c>
      <c r="CT169" s="262">
        <f t="shared" si="762"/>
        <v>2.0177226424896343E-2</v>
      </c>
      <c r="CU169" s="262">
        <f t="shared" si="762"/>
        <v>2.4714507125096281E-2</v>
      </c>
      <c r="CV169" s="262">
        <f t="shared" si="762"/>
        <v>2.4714507125096281E-2</v>
      </c>
      <c r="CW169" s="262">
        <f t="shared" si="762"/>
        <v>2.4714507125096281E-2</v>
      </c>
      <c r="CX169" s="262">
        <f t="shared" si="762"/>
        <v>2.4714507125096281E-2</v>
      </c>
      <c r="CY169" s="262">
        <f t="shared" si="762"/>
        <v>2.4714507125096281E-2</v>
      </c>
      <c r="CZ169" s="262">
        <f t="shared" si="762"/>
        <v>2.4714507125096281E-2</v>
      </c>
      <c r="DA169" s="262">
        <f t="shared" si="762"/>
        <v>2.4714507125096281E-2</v>
      </c>
      <c r="DB169" s="262">
        <f t="shared" si="762"/>
        <v>2.4714507125096281E-2</v>
      </c>
      <c r="DC169" s="262">
        <f t="shared" si="762"/>
        <v>2.4714507125096281E-2</v>
      </c>
      <c r="DD169" s="262">
        <f t="shared" si="762"/>
        <v>2.4714507125096281E-2</v>
      </c>
      <c r="DE169" s="262">
        <f t="shared" si="762"/>
        <v>2.4714507125096281E-2</v>
      </c>
      <c r="DF169" s="262">
        <f t="shared" si="762"/>
        <v>2.4714507125096281E-2</v>
      </c>
      <c r="DG169" s="262">
        <f t="shared" si="762"/>
        <v>3.2679732461668193E-2</v>
      </c>
      <c r="DH169" s="262">
        <f t="shared" si="762"/>
        <v>3.2679732461668193E-2</v>
      </c>
      <c r="DI169" s="262">
        <f t="shared" si="762"/>
        <v>3.2679732461668193E-2</v>
      </c>
      <c r="DJ169" s="262">
        <f t="shared" si="762"/>
        <v>3.2679732461668193E-2</v>
      </c>
      <c r="DK169" s="262">
        <f t="shared" ref="DK169:FB171" si="763">INDEX($D169:$L169,1,MATCH(DK$2,$D$2:$L$2,))</f>
        <v>3.2679732461668193E-2</v>
      </c>
      <c r="DL169" s="262">
        <f t="shared" si="763"/>
        <v>3.2679732461668193E-2</v>
      </c>
      <c r="DM169" s="262">
        <f t="shared" si="763"/>
        <v>3.2679732461668193E-2</v>
      </c>
      <c r="DN169" s="262">
        <f t="shared" si="763"/>
        <v>3.2679732461668193E-2</v>
      </c>
      <c r="DO169" s="262">
        <f t="shared" si="763"/>
        <v>3.2679732461668193E-2</v>
      </c>
      <c r="DP169" s="262">
        <f t="shared" si="763"/>
        <v>3.2679732461668193E-2</v>
      </c>
      <c r="DQ169" s="262">
        <f t="shared" si="763"/>
        <v>3.2679732461668193E-2</v>
      </c>
      <c r="DR169" s="262">
        <f t="shared" si="763"/>
        <v>3.2679732461668193E-2</v>
      </c>
      <c r="DS169" s="262">
        <f t="shared" si="763"/>
        <v>6.6893270103294142E-2</v>
      </c>
      <c r="DT169" s="262">
        <f t="shared" si="763"/>
        <v>6.6893270103294142E-2</v>
      </c>
      <c r="DU169" s="262">
        <f t="shared" si="763"/>
        <v>6.6893270103294142E-2</v>
      </c>
      <c r="DV169" s="262">
        <f t="shared" si="763"/>
        <v>6.6893270103294142E-2</v>
      </c>
      <c r="DW169" s="262">
        <f t="shared" si="763"/>
        <v>6.6893270103294142E-2</v>
      </c>
      <c r="DX169" s="262">
        <f t="shared" si="763"/>
        <v>6.6893270103294142E-2</v>
      </c>
      <c r="DY169" s="262">
        <f t="shared" si="763"/>
        <v>6.6893270103294142E-2</v>
      </c>
      <c r="DZ169" s="262">
        <f t="shared" si="763"/>
        <v>6.6893270103294142E-2</v>
      </c>
      <c r="EA169" s="262">
        <f t="shared" si="763"/>
        <v>6.6893270103294142E-2</v>
      </c>
      <c r="EB169" s="262">
        <f t="shared" si="763"/>
        <v>6.6893270103294142E-2</v>
      </c>
      <c r="EC169" s="262">
        <f t="shared" si="763"/>
        <v>6.6893270103294142E-2</v>
      </c>
      <c r="ED169" s="262">
        <f t="shared" si="763"/>
        <v>6.6893270103294142E-2</v>
      </c>
      <c r="EE169" s="262">
        <f t="shared" si="763"/>
        <v>8.7338650122951875E-2</v>
      </c>
      <c r="EF169" s="262">
        <f t="shared" si="763"/>
        <v>8.7338650122951875E-2</v>
      </c>
      <c r="EG169" s="262">
        <f t="shared" si="763"/>
        <v>8.7338650122951875E-2</v>
      </c>
      <c r="EH169" s="262">
        <f t="shared" si="763"/>
        <v>8.7338650122951875E-2</v>
      </c>
      <c r="EI169" s="262">
        <f t="shared" si="763"/>
        <v>8.7338650122951875E-2</v>
      </c>
      <c r="EJ169" s="262">
        <f t="shared" si="763"/>
        <v>8.7338650122951875E-2</v>
      </c>
      <c r="EK169" s="262">
        <f t="shared" si="763"/>
        <v>8.7338650122951875E-2</v>
      </c>
      <c r="EL169" s="262">
        <f t="shared" si="763"/>
        <v>8.7338650122951875E-2</v>
      </c>
      <c r="EM169" s="262">
        <f t="shared" si="763"/>
        <v>8.7338650122951875E-2</v>
      </c>
      <c r="EN169" s="262">
        <f t="shared" si="763"/>
        <v>8.7338650122951875E-2</v>
      </c>
      <c r="EO169" s="262">
        <f t="shared" si="763"/>
        <v>8.7338650122951875E-2</v>
      </c>
      <c r="EP169" s="262">
        <f t="shared" si="763"/>
        <v>8.7338650122951875E-2</v>
      </c>
      <c r="EQ169" s="262">
        <f t="shared" si="763"/>
        <v>9.994407727923077E-2</v>
      </c>
      <c r="ER169" s="262">
        <f t="shared" si="763"/>
        <v>9.994407727923077E-2</v>
      </c>
      <c r="ES169" s="262">
        <f t="shared" si="763"/>
        <v>9.994407727923077E-2</v>
      </c>
      <c r="ET169" s="262">
        <f t="shared" si="763"/>
        <v>9.994407727923077E-2</v>
      </c>
      <c r="EU169" s="262">
        <f t="shared" si="763"/>
        <v>9.994407727923077E-2</v>
      </c>
      <c r="EV169" s="262">
        <f t="shared" si="763"/>
        <v>9.994407727923077E-2</v>
      </c>
      <c r="EW169" s="262">
        <f t="shared" si="763"/>
        <v>9.994407727923077E-2</v>
      </c>
      <c r="EX169" s="262">
        <f t="shared" si="763"/>
        <v>9.994407727923077E-2</v>
      </c>
      <c r="EY169" s="262">
        <f t="shared" si="763"/>
        <v>9.994407727923077E-2</v>
      </c>
      <c r="EZ169" s="262">
        <f t="shared" si="763"/>
        <v>9.994407727923077E-2</v>
      </c>
      <c r="FA169" s="262">
        <f t="shared" si="763"/>
        <v>9.994407727923077E-2</v>
      </c>
      <c r="FB169" s="262">
        <f t="shared" si="763"/>
        <v>9.994407727923077E-2</v>
      </c>
    </row>
    <row r="170" spans="3:158" x14ac:dyDescent="0.25">
      <c r="C170" s="2" t="s">
        <v>299</v>
      </c>
      <c r="D170" s="330">
        <v>0.01</v>
      </c>
      <c r="E170" s="330">
        <v>0.01</v>
      </c>
      <c r="F170" s="330">
        <v>0.01</v>
      </c>
      <c r="G170" s="351">
        <f>G164</f>
        <v>1.0088613212448172E-2</v>
      </c>
      <c r="H170" s="351">
        <f t="shared" ref="H170:L170" si="764">H164</f>
        <v>2.482894274165107E-2</v>
      </c>
      <c r="I170" s="351">
        <f t="shared" si="764"/>
        <v>5.0418764970106236E-2</v>
      </c>
      <c r="J170" s="351">
        <f t="shared" si="764"/>
        <v>0.12438280644585574</v>
      </c>
      <c r="K170" s="351">
        <f t="shared" si="764"/>
        <v>0.18617530907994073</v>
      </c>
      <c r="L170" s="351">
        <f t="shared" si="764"/>
        <v>0.22427295705758737</v>
      </c>
      <c r="N170" s="260">
        <f t="shared" ref="N170:AW170" si="765">N194/N$117</f>
        <v>1.9887305270135896E-3</v>
      </c>
      <c r="O170" s="260">
        <f t="shared" si="765"/>
        <v>2.7322239031770043E-3</v>
      </c>
      <c r="P170" s="260">
        <f t="shared" si="765"/>
        <v>1.0628645495787428E-2</v>
      </c>
      <c r="Q170" s="260">
        <f t="shared" si="765"/>
        <v>1.1957929127921587E-2</v>
      </c>
      <c r="R170" s="260">
        <f t="shared" si="765"/>
        <v>1.5368173189823876E-2</v>
      </c>
      <c r="S170" s="260">
        <f t="shared" si="765"/>
        <v>6.3823760321612168E-3</v>
      </c>
      <c r="T170" s="260">
        <f t="shared" si="765"/>
        <v>1.1064779603849079E-2</v>
      </c>
      <c r="U170" s="260">
        <f t="shared" si="765"/>
        <v>3.9543763572507428E-3</v>
      </c>
      <c r="V170" s="260">
        <f t="shared" si="765"/>
        <v>2.488746452804327E-3</v>
      </c>
      <c r="W170" s="260">
        <f t="shared" si="765"/>
        <v>3.8533625557407524E-3</v>
      </c>
      <c r="X170" s="260">
        <f t="shared" si="765"/>
        <v>7.6791889384766774E-3</v>
      </c>
      <c r="Y170" s="260">
        <f t="shared" si="765"/>
        <v>4.2034359814933572E-3</v>
      </c>
      <c r="Z170" s="260">
        <f t="shared" si="765"/>
        <v>5.3140208290322847E-3</v>
      </c>
      <c r="AA170" s="260">
        <f t="shared" si="765"/>
        <v>5.258539668643333E-3</v>
      </c>
      <c r="AB170" s="260">
        <f t="shared" si="765"/>
        <v>5.8261009354500784E-3</v>
      </c>
      <c r="AC170" s="260">
        <f t="shared" si="765"/>
        <v>5.9002994048406796E-3</v>
      </c>
      <c r="AD170" s="260">
        <f t="shared" si="765"/>
        <v>1.4529564896611053E-2</v>
      </c>
      <c r="AE170" s="260">
        <f t="shared" si="765"/>
        <v>1.4529564896611048E-2</v>
      </c>
      <c r="AF170" s="260">
        <f t="shared" si="765"/>
        <v>1.4529564896611049E-2</v>
      </c>
      <c r="AG170" s="260">
        <f t="shared" si="765"/>
        <v>1.4529564896611048E-2</v>
      </c>
      <c r="AH170" s="260">
        <f t="shared" si="765"/>
        <v>2.7253322200101297E-2</v>
      </c>
      <c r="AI170" s="260">
        <f t="shared" si="765"/>
        <v>2.72533222001013E-2</v>
      </c>
      <c r="AJ170" s="260">
        <f t="shared" si="765"/>
        <v>2.7253322200101297E-2</v>
      </c>
      <c r="AK170" s="260">
        <f t="shared" si="765"/>
        <v>2.72533222001013E-2</v>
      </c>
      <c r="AL170" s="260">
        <f t="shared" si="765"/>
        <v>6.801937147194459E-2</v>
      </c>
      <c r="AM170" s="260">
        <f t="shared" si="765"/>
        <v>6.8019371471944576E-2</v>
      </c>
      <c r="AN170" s="260">
        <f t="shared" si="765"/>
        <v>6.801937147194459E-2</v>
      </c>
      <c r="AO170" s="260">
        <f t="shared" si="765"/>
        <v>6.801937147194459E-2</v>
      </c>
      <c r="AP170" s="260">
        <f t="shared" si="765"/>
        <v>0.10231934011737007</v>
      </c>
      <c r="AQ170" s="260">
        <f t="shared" si="765"/>
        <v>0.10231934011737007</v>
      </c>
      <c r="AR170" s="260">
        <f t="shared" si="765"/>
        <v>0.10231934011737007</v>
      </c>
      <c r="AS170" s="260">
        <f t="shared" si="765"/>
        <v>0.10231934011737009</v>
      </c>
      <c r="AT170" s="260">
        <f t="shared" si="765"/>
        <v>0.12349993316951155</v>
      </c>
      <c r="AU170" s="260">
        <f t="shared" si="765"/>
        <v>0.12349993316951154</v>
      </c>
      <c r="AV170" s="260">
        <f t="shared" si="765"/>
        <v>0.12349993316951158</v>
      </c>
      <c r="AW170" s="260">
        <f t="shared" si="765"/>
        <v>0.12349993316951156</v>
      </c>
      <c r="AY170" s="262">
        <f t="shared" si="762"/>
        <v>0.01</v>
      </c>
      <c r="AZ170" s="262">
        <f t="shared" si="762"/>
        <v>0.01</v>
      </c>
      <c r="BA170" s="262">
        <f t="shared" si="762"/>
        <v>0.01</v>
      </c>
      <c r="BB170" s="262">
        <f t="shared" si="762"/>
        <v>0.01</v>
      </c>
      <c r="BC170" s="262">
        <f t="shared" si="762"/>
        <v>0.01</v>
      </c>
      <c r="BD170" s="262">
        <f t="shared" si="762"/>
        <v>0.01</v>
      </c>
      <c r="BE170" s="262">
        <f t="shared" si="762"/>
        <v>0.01</v>
      </c>
      <c r="BF170" s="262">
        <f t="shared" si="762"/>
        <v>0.01</v>
      </c>
      <c r="BG170" s="262">
        <f t="shared" si="762"/>
        <v>0.01</v>
      </c>
      <c r="BH170" s="262">
        <f t="shared" si="762"/>
        <v>0.01</v>
      </c>
      <c r="BI170" s="262">
        <f t="shared" si="762"/>
        <v>0.01</v>
      </c>
      <c r="BJ170" s="262">
        <f t="shared" si="762"/>
        <v>0.01</v>
      </c>
      <c r="BK170" s="262">
        <f t="shared" si="762"/>
        <v>0.01</v>
      </c>
      <c r="BL170" s="262">
        <f t="shared" si="762"/>
        <v>0.01</v>
      </c>
      <c r="BM170" s="262">
        <f t="shared" si="762"/>
        <v>0.01</v>
      </c>
      <c r="BN170" s="262">
        <f t="shared" si="762"/>
        <v>0.01</v>
      </c>
      <c r="BO170" s="262">
        <f t="shared" si="762"/>
        <v>0.01</v>
      </c>
      <c r="BP170" s="262">
        <f t="shared" si="762"/>
        <v>0.01</v>
      </c>
      <c r="BQ170" s="262">
        <f t="shared" si="762"/>
        <v>0.01</v>
      </c>
      <c r="BR170" s="262">
        <f t="shared" si="762"/>
        <v>0.01</v>
      </c>
      <c r="BS170" s="262">
        <f t="shared" si="762"/>
        <v>0.01</v>
      </c>
      <c r="BT170" s="262">
        <f t="shared" si="762"/>
        <v>0.01</v>
      </c>
      <c r="BU170" s="262">
        <f t="shared" si="762"/>
        <v>0.01</v>
      </c>
      <c r="BV170" s="262">
        <f t="shared" si="762"/>
        <v>0.01</v>
      </c>
      <c r="BW170" s="262">
        <f t="shared" si="762"/>
        <v>0.01</v>
      </c>
      <c r="BX170" s="262">
        <f t="shared" si="762"/>
        <v>0.01</v>
      </c>
      <c r="BY170" s="262">
        <f t="shared" si="762"/>
        <v>0.01</v>
      </c>
      <c r="BZ170" s="262">
        <f t="shared" si="762"/>
        <v>0.01</v>
      </c>
      <c r="CA170" s="262">
        <f t="shared" si="762"/>
        <v>0.01</v>
      </c>
      <c r="CB170" s="262">
        <f t="shared" si="762"/>
        <v>0.01</v>
      </c>
      <c r="CC170" s="262">
        <f t="shared" si="762"/>
        <v>0.01</v>
      </c>
      <c r="CD170" s="262">
        <f t="shared" si="762"/>
        <v>0.01</v>
      </c>
      <c r="CE170" s="262">
        <f t="shared" si="762"/>
        <v>0.01</v>
      </c>
      <c r="CF170" s="262">
        <f t="shared" si="762"/>
        <v>0.01</v>
      </c>
      <c r="CG170" s="262">
        <f t="shared" si="762"/>
        <v>0.01</v>
      </c>
      <c r="CH170" s="262">
        <f t="shared" si="762"/>
        <v>0.01</v>
      </c>
      <c r="CI170" s="262">
        <f t="shared" si="762"/>
        <v>1.0088613212448172E-2</v>
      </c>
      <c r="CJ170" s="262">
        <f t="shared" si="762"/>
        <v>1.0088613212448172E-2</v>
      </c>
      <c r="CK170" s="262">
        <f t="shared" si="762"/>
        <v>1.0088613212448172E-2</v>
      </c>
      <c r="CL170" s="262">
        <f t="shared" si="762"/>
        <v>1.0088613212448172E-2</v>
      </c>
      <c r="CM170" s="262">
        <f t="shared" si="762"/>
        <v>1.0088613212448172E-2</v>
      </c>
      <c r="CN170" s="262">
        <f t="shared" si="762"/>
        <v>1.0088613212448172E-2</v>
      </c>
      <c r="CO170" s="262">
        <f t="shared" si="762"/>
        <v>1.0088613212448172E-2</v>
      </c>
      <c r="CP170" s="262">
        <f t="shared" si="762"/>
        <v>1.0088613212448172E-2</v>
      </c>
      <c r="CQ170" s="262">
        <f t="shared" si="762"/>
        <v>1.0088613212448172E-2</v>
      </c>
      <c r="CR170" s="262">
        <f t="shared" si="762"/>
        <v>1.0088613212448172E-2</v>
      </c>
      <c r="CS170" s="262">
        <f t="shared" si="762"/>
        <v>1.0088613212448172E-2</v>
      </c>
      <c r="CT170" s="262">
        <f t="shared" si="762"/>
        <v>1.0088613212448172E-2</v>
      </c>
      <c r="CU170" s="262">
        <f t="shared" si="762"/>
        <v>2.482894274165107E-2</v>
      </c>
      <c r="CV170" s="262">
        <f t="shared" si="762"/>
        <v>2.482894274165107E-2</v>
      </c>
      <c r="CW170" s="262">
        <f t="shared" si="762"/>
        <v>2.482894274165107E-2</v>
      </c>
      <c r="CX170" s="262">
        <f t="shared" si="762"/>
        <v>2.482894274165107E-2</v>
      </c>
      <c r="CY170" s="262">
        <f t="shared" si="762"/>
        <v>2.482894274165107E-2</v>
      </c>
      <c r="CZ170" s="262">
        <f t="shared" si="762"/>
        <v>2.482894274165107E-2</v>
      </c>
      <c r="DA170" s="262">
        <f t="shared" si="762"/>
        <v>2.482894274165107E-2</v>
      </c>
      <c r="DB170" s="262">
        <f t="shared" si="762"/>
        <v>2.482894274165107E-2</v>
      </c>
      <c r="DC170" s="262">
        <f t="shared" si="762"/>
        <v>2.482894274165107E-2</v>
      </c>
      <c r="DD170" s="262">
        <f t="shared" si="762"/>
        <v>2.482894274165107E-2</v>
      </c>
      <c r="DE170" s="262">
        <f t="shared" si="762"/>
        <v>2.482894274165107E-2</v>
      </c>
      <c r="DF170" s="262">
        <f t="shared" si="762"/>
        <v>2.482894274165107E-2</v>
      </c>
      <c r="DG170" s="262">
        <f t="shared" si="762"/>
        <v>5.0418764970106236E-2</v>
      </c>
      <c r="DH170" s="262">
        <f t="shared" si="762"/>
        <v>5.0418764970106236E-2</v>
      </c>
      <c r="DI170" s="262">
        <f t="shared" si="762"/>
        <v>5.0418764970106236E-2</v>
      </c>
      <c r="DJ170" s="262">
        <f t="shared" ref="DJ170" si="766">INDEX($D170:$L170,1,MATCH(DJ$2,$D$2:$L$2,))</f>
        <v>5.0418764970106236E-2</v>
      </c>
      <c r="DK170" s="262">
        <f t="shared" si="763"/>
        <v>5.0418764970106236E-2</v>
      </c>
      <c r="DL170" s="262">
        <f t="shared" si="763"/>
        <v>5.0418764970106236E-2</v>
      </c>
      <c r="DM170" s="262">
        <f t="shared" si="763"/>
        <v>5.0418764970106236E-2</v>
      </c>
      <c r="DN170" s="262">
        <f t="shared" si="763"/>
        <v>5.0418764970106236E-2</v>
      </c>
      <c r="DO170" s="262">
        <f t="shared" si="763"/>
        <v>5.0418764970106236E-2</v>
      </c>
      <c r="DP170" s="262">
        <f t="shared" si="763"/>
        <v>5.0418764970106236E-2</v>
      </c>
      <c r="DQ170" s="262">
        <f t="shared" si="763"/>
        <v>5.0418764970106236E-2</v>
      </c>
      <c r="DR170" s="262">
        <f t="shared" si="763"/>
        <v>5.0418764970106236E-2</v>
      </c>
      <c r="DS170" s="262">
        <f t="shared" si="763"/>
        <v>0.12438280644585574</v>
      </c>
      <c r="DT170" s="262">
        <f t="shared" si="763"/>
        <v>0.12438280644585574</v>
      </c>
      <c r="DU170" s="262">
        <f t="shared" si="763"/>
        <v>0.12438280644585574</v>
      </c>
      <c r="DV170" s="262">
        <f t="shared" si="763"/>
        <v>0.12438280644585574</v>
      </c>
      <c r="DW170" s="262">
        <f t="shared" si="763"/>
        <v>0.12438280644585574</v>
      </c>
      <c r="DX170" s="262">
        <f t="shared" si="763"/>
        <v>0.12438280644585574</v>
      </c>
      <c r="DY170" s="262">
        <f t="shared" si="763"/>
        <v>0.12438280644585574</v>
      </c>
      <c r="DZ170" s="262">
        <f t="shared" si="763"/>
        <v>0.12438280644585574</v>
      </c>
      <c r="EA170" s="262">
        <f t="shared" si="763"/>
        <v>0.12438280644585574</v>
      </c>
      <c r="EB170" s="262">
        <f t="shared" si="763"/>
        <v>0.12438280644585574</v>
      </c>
      <c r="EC170" s="262">
        <f t="shared" si="763"/>
        <v>0.12438280644585574</v>
      </c>
      <c r="ED170" s="262">
        <f t="shared" si="763"/>
        <v>0.12438280644585574</v>
      </c>
      <c r="EE170" s="262">
        <f t="shared" si="763"/>
        <v>0.18617530907994073</v>
      </c>
      <c r="EF170" s="262">
        <f t="shared" si="763"/>
        <v>0.18617530907994073</v>
      </c>
      <c r="EG170" s="262">
        <f t="shared" si="763"/>
        <v>0.18617530907994073</v>
      </c>
      <c r="EH170" s="262">
        <f t="shared" si="763"/>
        <v>0.18617530907994073</v>
      </c>
      <c r="EI170" s="262">
        <f t="shared" si="763"/>
        <v>0.18617530907994073</v>
      </c>
      <c r="EJ170" s="262">
        <f t="shared" si="763"/>
        <v>0.18617530907994073</v>
      </c>
      <c r="EK170" s="262">
        <f t="shared" si="763"/>
        <v>0.18617530907994073</v>
      </c>
      <c r="EL170" s="262">
        <f t="shared" si="763"/>
        <v>0.18617530907994073</v>
      </c>
      <c r="EM170" s="262">
        <f t="shared" si="763"/>
        <v>0.18617530907994073</v>
      </c>
      <c r="EN170" s="262">
        <f t="shared" si="763"/>
        <v>0.18617530907994073</v>
      </c>
      <c r="EO170" s="262">
        <f t="shared" si="763"/>
        <v>0.18617530907994073</v>
      </c>
      <c r="EP170" s="262">
        <f t="shared" si="763"/>
        <v>0.18617530907994073</v>
      </c>
      <c r="EQ170" s="262">
        <f t="shared" si="763"/>
        <v>0.22427295705758737</v>
      </c>
      <c r="ER170" s="262">
        <f t="shared" si="763"/>
        <v>0.22427295705758737</v>
      </c>
      <c r="ES170" s="262">
        <f t="shared" si="763"/>
        <v>0.22427295705758737</v>
      </c>
      <c r="ET170" s="262">
        <f t="shared" si="763"/>
        <v>0.22427295705758737</v>
      </c>
      <c r="EU170" s="262">
        <f t="shared" si="763"/>
        <v>0.22427295705758737</v>
      </c>
      <c r="EV170" s="262">
        <f t="shared" si="763"/>
        <v>0.22427295705758737</v>
      </c>
      <c r="EW170" s="262">
        <f t="shared" si="763"/>
        <v>0.22427295705758737</v>
      </c>
      <c r="EX170" s="262">
        <f t="shared" si="763"/>
        <v>0.22427295705758737</v>
      </c>
      <c r="EY170" s="262">
        <f t="shared" si="763"/>
        <v>0.22427295705758737</v>
      </c>
      <c r="EZ170" s="262">
        <f t="shared" si="763"/>
        <v>0.22427295705758737</v>
      </c>
      <c r="FA170" s="262">
        <f t="shared" si="763"/>
        <v>0.22427295705758737</v>
      </c>
      <c r="FB170" s="262">
        <f t="shared" si="763"/>
        <v>0.22427295705758737</v>
      </c>
    </row>
    <row r="171" spans="3:158" x14ac:dyDescent="0.25">
      <c r="C171" s="2" t="s">
        <v>300</v>
      </c>
      <c r="D171" s="330">
        <v>0.02</v>
      </c>
      <c r="E171" s="330">
        <v>0.02</v>
      </c>
      <c r="F171" s="330">
        <v>0.02</v>
      </c>
      <c r="G171" s="351">
        <f>G165</f>
        <v>2.0177226424896343E-2</v>
      </c>
      <c r="H171" s="351">
        <f t="shared" ref="H171:L171" si="767">H165</f>
        <v>3.612904814670486E-2</v>
      </c>
      <c r="I171" s="351">
        <f t="shared" si="767"/>
        <v>4.2392532669742966E-2</v>
      </c>
      <c r="J171" s="351">
        <f t="shared" si="767"/>
        <v>4.5982901034051761E-2</v>
      </c>
      <c r="K171" s="351">
        <f t="shared" si="767"/>
        <v>4.8128439048499588E-2</v>
      </c>
      <c r="L171" s="351">
        <f t="shared" si="767"/>
        <v>4.9451252472664159E-2</v>
      </c>
      <c r="N171" s="260">
        <f>N195/N$117</f>
        <v>3.9774610540271793E-3</v>
      </c>
      <c r="AY171" s="262">
        <f t="shared" ref="AY171:DJ171" si="768">INDEX($D171:$L171,1,MATCH(AY$2,$D$2:$L$2,))</f>
        <v>0.02</v>
      </c>
      <c r="AZ171" s="262">
        <f t="shared" si="768"/>
        <v>0.02</v>
      </c>
      <c r="BA171" s="262">
        <f t="shared" si="768"/>
        <v>0.02</v>
      </c>
      <c r="BB171" s="262">
        <f t="shared" si="768"/>
        <v>0.02</v>
      </c>
      <c r="BC171" s="262">
        <f t="shared" si="768"/>
        <v>0.02</v>
      </c>
      <c r="BD171" s="262">
        <f t="shared" si="768"/>
        <v>0.02</v>
      </c>
      <c r="BE171" s="262">
        <f t="shared" si="768"/>
        <v>0.02</v>
      </c>
      <c r="BF171" s="262">
        <f t="shared" si="768"/>
        <v>0.02</v>
      </c>
      <c r="BG171" s="262">
        <f t="shared" si="768"/>
        <v>0.02</v>
      </c>
      <c r="BH171" s="262">
        <f t="shared" si="768"/>
        <v>0.02</v>
      </c>
      <c r="BI171" s="262">
        <f t="shared" si="768"/>
        <v>0.02</v>
      </c>
      <c r="BJ171" s="262">
        <f t="shared" si="768"/>
        <v>0.02</v>
      </c>
      <c r="BK171" s="262">
        <f t="shared" si="768"/>
        <v>0.02</v>
      </c>
      <c r="BL171" s="262">
        <f t="shared" si="768"/>
        <v>0.02</v>
      </c>
      <c r="BM171" s="262">
        <f t="shared" si="768"/>
        <v>0.02</v>
      </c>
      <c r="BN171" s="262">
        <f t="shared" si="768"/>
        <v>0.02</v>
      </c>
      <c r="BO171" s="262">
        <f t="shared" si="768"/>
        <v>0.02</v>
      </c>
      <c r="BP171" s="262">
        <f t="shared" si="768"/>
        <v>0.02</v>
      </c>
      <c r="BQ171" s="262">
        <f t="shared" si="768"/>
        <v>0.02</v>
      </c>
      <c r="BR171" s="262">
        <f t="shared" si="768"/>
        <v>0.02</v>
      </c>
      <c r="BS171" s="262">
        <f t="shared" si="768"/>
        <v>0.02</v>
      </c>
      <c r="BT171" s="262">
        <f t="shared" si="768"/>
        <v>0.02</v>
      </c>
      <c r="BU171" s="262">
        <f t="shared" si="768"/>
        <v>0.02</v>
      </c>
      <c r="BV171" s="262">
        <f t="shared" si="768"/>
        <v>0.02</v>
      </c>
      <c r="BW171" s="262">
        <f t="shared" si="768"/>
        <v>0.02</v>
      </c>
      <c r="BX171" s="262">
        <f t="shared" si="768"/>
        <v>0.02</v>
      </c>
      <c r="BY171" s="262">
        <f t="shared" si="768"/>
        <v>0.02</v>
      </c>
      <c r="BZ171" s="262">
        <f t="shared" si="768"/>
        <v>0.02</v>
      </c>
      <c r="CA171" s="262">
        <f t="shared" si="768"/>
        <v>0.02</v>
      </c>
      <c r="CB171" s="262">
        <f t="shared" si="768"/>
        <v>0.02</v>
      </c>
      <c r="CC171" s="262">
        <f t="shared" si="768"/>
        <v>0.02</v>
      </c>
      <c r="CD171" s="262">
        <f t="shared" si="768"/>
        <v>0.02</v>
      </c>
      <c r="CE171" s="262">
        <f t="shared" si="768"/>
        <v>0.02</v>
      </c>
      <c r="CF171" s="262">
        <f t="shared" si="768"/>
        <v>0.02</v>
      </c>
      <c r="CG171" s="262">
        <f t="shared" si="768"/>
        <v>0.02</v>
      </c>
      <c r="CH171" s="262">
        <f t="shared" si="768"/>
        <v>0.02</v>
      </c>
      <c r="CI171" s="262">
        <f t="shared" si="768"/>
        <v>2.0177226424896343E-2</v>
      </c>
      <c r="CJ171" s="262">
        <f t="shared" si="768"/>
        <v>2.0177226424896343E-2</v>
      </c>
      <c r="CK171" s="262">
        <f t="shared" si="768"/>
        <v>2.0177226424896343E-2</v>
      </c>
      <c r="CL171" s="262">
        <f t="shared" si="768"/>
        <v>2.0177226424896343E-2</v>
      </c>
      <c r="CM171" s="262">
        <f t="shared" si="768"/>
        <v>2.0177226424896343E-2</v>
      </c>
      <c r="CN171" s="262">
        <f t="shared" si="768"/>
        <v>2.0177226424896343E-2</v>
      </c>
      <c r="CO171" s="262">
        <f t="shared" si="768"/>
        <v>2.0177226424896343E-2</v>
      </c>
      <c r="CP171" s="262">
        <f t="shared" si="768"/>
        <v>2.0177226424896343E-2</v>
      </c>
      <c r="CQ171" s="262">
        <f t="shared" si="768"/>
        <v>2.0177226424896343E-2</v>
      </c>
      <c r="CR171" s="262">
        <f t="shared" si="768"/>
        <v>2.0177226424896343E-2</v>
      </c>
      <c r="CS171" s="262">
        <f t="shared" si="768"/>
        <v>2.0177226424896343E-2</v>
      </c>
      <c r="CT171" s="262">
        <f t="shared" si="768"/>
        <v>2.0177226424896343E-2</v>
      </c>
      <c r="CU171" s="262">
        <f t="shared" si="768"/>
        <v>3.612904814670486E-2</v>
      </c>
      <c r="CV171" s="262">
        <f t="shared" si="768"/>
        <v>3.612904814670486E-2</v>
      </c>
      <c r="CW171" s="262">
        <f t="shared" si="768"/>
        <v>3.612904814670486E-2</v>
      </c>
      <c r="CX171" s="262">
        <f t="shared" si="768"/>
        <v>3.612904814670486E-2</v>
      </c>
      <c r="CY171" s="262">
        <f t="shared" si="768"/>
        <v>3.612904814670486E-2</v>
      </c>
      <c r="CZ171" s="262">
        <f t="shared" si="768"/>
        <v>3.612904814670486E-2</v>
      </c>
      <c r="DA171" s="262">
        <f t="shared" si="768"/>
        <v>3.612904814670486E-2</v>
      </c>
      <c r="DB171" s="262">
        <f t="shared" si="768"/>
        <v>3.612904814670486E-2</v>
      </c>
      <c r="DC171" s="262">
        <f t="shared" si="768"/>
        <v>3.612904814670486E-2</v>
      </c>
      <c r="DD171" s="262">
        <f t="shared" si="768"/>
        <v>3.612904814670486E-2</v>
      </c>
      <c r="DE171" s="262">
        <f t="shared" si="768"/>
        <v>3.612904814670486E-2</v>
      </c>
      <c r="DF171" s="262">
        <f t="shared" si="768"/>
        <v>3.612904814670486E-2</v>
      </c>
      <c r="DG171" s="262">
        <f t="shared" si="768"/>
        <v>4.2392532669742966E-2</v>
      </c>
      <c r="DH171" s="262">
        <f t="shared" si="768"/>
        <v>4.2392532669742966E-2</v>
      </c>
      <c r="DI171" s="262">
        <f t="shared" si="768"/>
        <v>4.2392532669742966E-2</v>
      </c>
      <c r="DJ171" s="262">
        <f t="shared" si="768"/>
        <v>4.2392532669742966E-2</v>
      </c>
      <c r="DK171" s="262">
        <f t="shared" si="763"/>
        <v>4.2392532669742966E-2</v>
      </c>
      <c r="DL171" s="262">
        <f t="shared" si="763"/>
        <v>4.2392532669742966E-2</v>
      </c>
      <c r="DM171" s="262">
        <f t="shared" si="763"/>
        <v>4.2392532669742966E-2</v>
      </c>
      <c r="DN171" s="262">
        <f t="shared" si="763"/>
        <v>4.2392532669742966E-2</v>
      </c>
      <c r="DO171" s="262">
        <f t="shared" si="763"/>
        <v>4.2392532669742966E-2</v>
      </c>
      <c r="DP171" s="262">
        <f t="shared" si="763"/>
        <v>4.2392532669742966E-2</v>
      </c>
      <c r="DQ171" s="262">
        <f t="shared" si="763"/>
        <v>4.2392532669742966E-2</v>
      </c>
      <c r="DR171" s="262">
        <f t="shared" si="763"/>
        <v>4.2392532669742966E-2</v>
      </c>
      <c r="DS171" s="262">
        <f t="shared" si="763"/>
        <v>4.5982901034051761E-2</v>
      </c>
      <c r="DT171" s="262">
        <f t="shared" si="763"/>
        <v>4.5982901034051761E-2</v>
      </c>
      <c r="DU171" s="262">
        <f t="shared" si="763"/>
        <v>4.5982901034051761E-2</v>
      </c>
      <c r="DV171" s="262">
        <f t="shared" si="763"/>
        <v>4.5982901034051761E-2</v>
      </c>
      <c r="DW171" s="262">
        <f t="shared" si="763"/>
        <v>4.5982901034051761E-2</v>
      </c>
      <c r="DX171" s="262">
        <f t="shared" si="763"/>
        <v>4.5982901034051761E-2</v>
      </c>
      <c r="DY171" s="262">
        <f t="shared" si="763"/>
        <v>4.5982901034051761E-2</v>
      </c>
      <c r="DZ171" s="262">
        <f t="shared" si="763"/>
        <v>4.5982901034051761E-2</v>
      </c>
      <c r="EA171" s="262">
        <f t="shared" si="763"/>
        <v>4.5982901034051761E-2</v>
      </c>
      <c r="EB171" s="262">
        <f t="shared" si="763"/>
        <v>4.5982901034051761E-2</v>
      </c>
      <c r="EC171" s="262">
        <f t="shared" si="763"/>
        <v>4.5982901034051761E-2</v>
      </c>
      <c r="ED171" s="262">
        <f t="shared" si="763"/>
        <v>4.5982901034051761E-2</v>
      </c>
      <c r="EE171" s="262">
        <f t="shared" si="763"/>
        <v>4.8128439048499588E-2</v>
      </c>
      <c r="EF171" s="262">
        <f t="shared" si="763"/>
        <v>4.8128439048499588E-2</v>
      </c>
      <c r="EG171" s="262">
        <f t="shared" si="763"/>
        <v>4.8128439048499588E-2</v>
      </c>
      <c r="EH171" s="262">
        <f t="shared" si="763"/>
        <v>4.8128439048499588E-2</v>
      </c>
      <c r="EI171" s="262">
        <f t="shared" si="763"/>
        <v>4.8128439048499588E-2</v>
      </c>
      <c r="EJ171" s="262">
        <f t="shared" si="763"/>
        <v>4.8128439048499588E-2</v>
      </c>
      <c r="EK171" s="262">
        <f t="shared" si="763"/>
        <v>4.8128439048499588E-2</v>
      </c>
      <c r="EL171" s="262">
        <f t="shared" si="763"/>
        <v>4.8128439048499588E-2</v>
      </c>
      <c r="EM171" s="262">
        <f t="shared" si="763"/>
        <v>4.8128439048499588E-2</v>
      </c>
      <c r="EN171" s="262">
        <f t="shared" si="763"/>
        <v>4.8128439048499588E-2</v>
      </c>
      <c r="EO171" s="262">
        <f t="shared" si="763"/>
        <v>4.8128439048499588E-2</v>
      </c>
      <c r="EP171" s="262">
        <f t="shared" si="763"/>
        <v>4.8128439048499588E-2</v>
      </c>
      <c r="EQ171" s="262">
        <f t="shared" si="763"/>
        <v>4.9451252472664159E-2</v>
      </c>
      <c r="ER171" s="262">
        <f t="shared" si="763"/>
        <v>4.9451252472664159E-2</v>
      </c>
      <c r="ES171" s="262">
        <f t="shared" si="763"/>
        <v>4.9451252472664159E-2</v>
      </c>
      <c r="ET171" s="262">
        <f t="shared" si="763"/>
        <v>4.9451252472664159E-2</v>
      </c>
      <c r="EU171" s="262">
        <f t="shared" si="763"/>
        <v>4.9451252472664159E-2</v>
      </c>
      <c r="EV171" s="262">
        <f t="shared" si="763"/>
        <v>4.9451252472664159E-2</v>
      </c>
      <c r="EW171" s="262">
        <f t="shared" si="763"/>
        <v>4.9451252472664159E-2</v>
      </c>
      <c r="EX171" s="262">
        <f t="shared" si="763"/>
        <v>4.9451252472664159E-2</v>
      </c>
      <c r="EY171" s="262">
        <f t="shared" si="763"/>
        <v>4.9451252472664159E-2</v>
      </c>
      <c r="EZ171" s="262">
        <f t="shared" si="763"/>
        <v>4.9451252472664159E-2</v>
      </c>
      <c r="FA171" s="262">
        <f t="shared" si="763"/>
        <v>4.9451252472664159E-2</v>
      </c>
      <c r="FB171" s="262">
        <f t="shared" si="763"/>
        <v>4.9451252472664159E-2</v>
      </c>
    </row>
    <row r="173" spans="3:158" s="1" customFormat="1" x14ac:dyDescent="0.25">
      <c r="C173" s="304" t="s">
        <v>644</v>
      </c>
      <c r="D173" s="22">
        <f t="shared" ref="D173:L195" si="769">SUMIF($AY$2:$FB$2,D$2,$AY173:$FB173)</f>
        <v>4135547.4499999997</v>
      </c>
      <c r="E173" s="22">
        <f t="shared" si="769"/>
        <v>6446601.9000000004</v>
      </c>
      <c r="F173" s="22">
        <f t="shared" si="769"/>
        <v>6373032.4761190014</v>
      </c>
      <c r="G173" s="22">
        <f t="shared" si="769"/>
        <v>10348857.147820331</v>
      </c>
      <c r="H173" s="22">
        <f t="shared" si="769"/>
        <v>12486617.328824773</v>
      </c>
      <c r="I173" s="22">
        <f t="shared" si="769"/>
        <v>17056083.393466983</v>
      </c>
      <c r="J173" s="22">
        <f t="shared" si="769"/>
        <v>21505101.122632332</v>
      </c>
      <c r="K173" s="22">
        <f t="shared" si="769"/>
        <v>26367416.356500991</v>
      </c>
      <c r="L173" s="22">
        <f t="shared" si="769"/>
        <v>31374103.714801259</v>
      </c>
      <c r="N173" s="22">
        <f t="shared" ref="N173:N177" si="770">SUM(AY173:BA173)</f>
        <v>942678</v>
      </c>
      <c r="O173" s="22">
        <f t="shared" ref="O173:O177" si="771">SUM(BB173:BD173)</f>
        <v>1175560.1099999999</v>
      </c>
      <c r="P173" s="22">
        <f t="shared" ref="P173:P177" si="772">SUM(BE173:BG173)</f>
        <v>899799</v>
      </c>
      <c r="Q173" s="22">
        <f t="shared" ref="Q173:Q177" si="773">SUM(BH173:BJ173)</f>
        <v>1117510.3399999999</v>
      </c>
      <c r="R173" s="22">
        <f t="shared" ref="R173:R177" si="774">SUM(BK173:BM173)</f>
        <v>1312061.26</v>
      </c>
      <c r="S173" s="22">
        <f t="shared" ref="S173:S177" si="775">SUM(BN173:BP173)</f>
        <v>1241153.3400000001</v>
      </c>
      <c r="T173" s="22">
        <f t="shared" ref="T173:T177" si="776">SUM(BQ173:BS173)</f>
        <v>1826211.1400000001</v>
      </c>
      <c r="U173" s="22">
        <f t="shared" ref="U173:U177" si="777">SUM(BT173:BV173)</f>
        <v>2067176.1600000001</v>
      </c>
      <c r="V173" s="22">
        <f t="shared" ref="V173:V177" si="778">SUM(BW173:BY173)</f>
        <v>1563850.5114290002</v>
      </c>
      <c r="W173" s="22">
        <f t="shared" ref="W173:W177" si="779">SUM(BZ173:CB173)</f>
        <v>1611306.3739199999</v>
      </c>
      <c r="X173" s="22">
        <f t="shared" ref="X173:X177" si="780">SUM(CC173:CE173)</f>
        <v>1023480.697692</v>
      </c>
      <c r="Y173" s="22">
        <f t="shared" ref="Y173:Y177" si="781">SUM(CF173:CH173)</f>
        <v>2174394.8930780003</v>
      </c>
      <c r="Z173" s="22">
        <f t="shared" ref="Z173:Z177" si="782">SUM(CI173:CK173)</f>
        <v>1237977.660779</v>
      </c>
      <c r="AA173" s="22">
        <f t="shared" ref="AA173:AA177" si="783">SUM(CL173:CN173)</f>
        <v>1920331.1687080001</v>
      </c>
      <c r="AB173" s="22">
        <f t="shared" ref="AB173:AB177" si="784">SUM(CO173:CQ173)</f>
        <v>2897690.6083333329</v>
      </c>
      <c r="AC173" s="22">
        <f t="shared" ref="AC173:AC177" si="785">SUM(CR173:CT173)</f>
        <v>4292857.709999999</v>
      </c>
      <c r="AD173" s="22">
        <f t="shared" ref="AD173:AD177" si="786">SUM(CU173:CW173)</f>
        <v>2209808.2788187577</v>
      </c>
      <c r="AE173" s="22">
        <f t="shared" ref="AE173:AE177" si="787">SUM(CX173:CZ173)</f>
        <v>2940162.8655328783</v>
      </c>
      <c r="AF173" s="22">
        <f t="shared" ref="AF173:AF177" si="788">SUM(DA173:DC173)</f>
        <v>2898655.3041038038</v>
      </c>
      <c r="AG173" s="22">
        <f t="shared" ref="AG173:AG177" si="789">SUM(DD173:DF173)</f>
        <v>4437990.8803693345</v>
      </c>
      <c r="AH173" s="22">
        <f t="shared" ref="AH173:AH177" si="790">SUM(DG173:DI173)</f>
        <v>3110588.4252849882</v>
      </c>
      <c r="AI173" s="22">
        <f t="shared" ref="AI173:AI177" si="791">SUM(DJ173:DL173)</f>
        <v>4220785.7480178699</v>
      </c>
      <c r="AJ173" s="22">
        <f t="shared" ref="AJ173:AJ177" si="792">SUM(DM173:DO173)</f>
        <v>3959415.5321458131</v>
      </c>
      <c r="AK173" s="22">
        <f t="shared" ref="AK173:AK177" si="793">SUM(DP173:DR173)</f>
        <v>5765293.6880183127</v>
      </c>
      <c r="AL173" s="22">
        <f t="shared" ref="AL173:AL177" si="794">SUM(DS173:DU173)</f>
        <v>3921974.1773932497</v>
      </c>
      <c r="AM173" s="22">
        <f t="shared" ref="AM173:AM177" si="795">SUM(DV173:DX173)</f>
        <v>5321762.4605926126</v>
      </c>
      <c r="AN173" s="22">
        <f t="shared" ref="AN173:AN177" si="796">SUM(DY173:EA173)</f>
        <v>4992214.7682469143</v>
      </c>
      <c r="AO173" s="22">
        <f t="shared" ref="AO173:AO177" si="797">SUM(EB173:ED173)</f>
        <v>7269149.7163995579</v>
      </c>
      <c r="AP173" s="22">
        <f t="shared" ref="AP173:AP177" si="798">SUM(EE173:EG173)</f>
        <v>4808734.703690391</v>
      </c>
      <c r="AQ173" s="22">
        <f t="shared" ref="AQ173:AQ177" si="799">SUM(EH173:EJ173)</f>
        <v>6525015.8903538603</v>
      </c>
      <c r="AR173" s="22">
        <f t="shared" ref="AR173:AR177" si="800">SUM(EK173:EM173)</f>
        <v>6120957.2828703402</v>
      </c>
      <c r="AS173" s="22">
        <f t="shared" ref="AS173:AS177" si="801">SUM(EN173:EP173)</f>
        <v>8912708.4795864001</v>
      </c>
      <c r="AT173" s="22">
        <f t="shared" ref="AT173:AT177" si="802">SUM(EQ173:ES173)</f>
        <v>5721824.9710441921</v>
      </c>
      <c r="AU173" s="22">
        <f t="shared" ref="AU173:AU177" si="803">SUM(ET173:EV173)</f>
        <v>7763996.3854181198</v>
      </c>
      <c r="AV173" s="22">
        <f t="shared" ref="AV173:AV177" si="804">SUM(EW173:EY173)</f>
        <v>7283214.4807124436</v>
      </c>
      <c r="AW173" s="22">
        <f t="shared" ref="AW173:AW177" si="805">SUM(EZ173:FB173)</f>
        <v>10605067.877626508</v>
      </c>
      <c r="AY173" s="49">
        <f t="shared" ref="AY173:CD173" si="806">AY51</f>
        <v>65700</v>
      </c>
      <c r="AZ173" s="49">
        <f t="shared" si="806"/>
        <v>228500</v>
      </c>
      <c r="BA173" s="49">
        <f t="shared" si="806"/>
        <v>648478</v>
      </c>
      <c r="BB173" s="49">
        <f t="shared" si="806"/>
        <v>161613.43</v>
      </c>
      <c r="BC173" s="49">
        <f t="shared" si="806"/>
        <v>475946.68</v>
      </c>
      <c r="BD173" s="49">
        <f t="shared" si="806"/>
        <v>538000</v>
      </c>
      <c r="BE173" s="49">
        <f t="shared" si="806"/>
        <v>65000</v>
      </c>
      <c r="BF173" s="49">
        <f t="shared" si="806"/>
        <v>319499</v>
      </c>
      <c r="BG173" s="49">
        <f t="shared" si="806"/>
        <v>515300</v>
      </c>
      <c r="BH173" s="49">
        <f t="shared" si="806"/>
        <v>242494.67</v>
      </c>
      <c r="BI173" s="49">
        <f t="shared" si="806"/>
        <v>390866.67</v>
      </c>
      <c r="BJ173" s="49">
        <f t="shared" si="806"/>
        <v>484149</v>
      </c>
      <c r="BK173" s="49">
        <f t="shared" si="806"/>
        <v>111600</v>
      </c>
      <c r="BL173" s="49">
        <f t="shared" si="806"/>
        <v>142500</v>
      </c>
      <c r="BM173" s="49">
        <f t="shared" si="806"/>
        <v>1057961.26</v>
      </c>
      <c r="BN173" s="49">
        <f t="shared" si="806"/>
        <v>289100</v>
      </c>
      <c r="BO173" s="49">
        <f t="shared" si="806"/>
        <v>395523.34</v>
      </c>
      <c r="BP173" s="49">
        <f t="shared" si="806"/>
        <v>556530</v>
      </c>
      <c r="BQ173" s="49">
        <f t="shared" si="806"/>
        <v>187750</v>
      </c>
      <c r="BR173" s="49">
        <f t="shared" si="806"/>
        <v>565973.67000000004</v>
      </c>
      <c r="BS173" s="49">
        <f t="shared" si="806"/>
        <v>1072487.47</v>
      </c>
      <c r="BT173" s="49">
        <f t="shared" si="806"/>
        <v>125000</v>
      </c>
      <c r="BU173" s="49">
        <f t="shared" si="806"/>
        <v>950419.49</v>
      </c>
      <c r="BV173" s="49">
        <f t="shared" si="806"/>
        <v>991756.67</v>
      </c>
      <c r="BW173" s="49">
        <f t="shared" si="806"/>
        <v>159540</v>
      </c>
      <c r="BX173" s="49">
        <f t="shared" si="806"/>
        <v>585490.86307700002</v>
      </c>
      <c r="BY173" s="49">
        <f t="shared" si="806"/>
        <v>818819.64835200005</v>
      </c>
      <c r="BZ173" s="49">
        <f t="shared" si="806"/>
        <v>319848.90109900001</v>
      </c>
      <c r="CA173" s="49">
        <f t="shared" si="806"/>
        <v>445334.56</v>
      </c>
      <c r="CB173" s="49">
        <f t="shared" si="806"/>
        <v>846122.91282099998</v>
      </c>
      <c r="CC173" s="49">
        <f t="shared" si="806"/>
        <v>236328.37</v>
      </c>
      <c r="CD173" s="49">
        <f t="shared" si="806"/>
        <v>539332.34769199998</v>
      </c>
      <c r="CE173" s="49">
        <f t="shared" ref="CE173:DJ173" si="807">CE51</f>
        <v>247819.98</v>
      </c>
      <c r="CF173" s="49">
        <f t="shared" si="807"/>
        <v>131927.69</v>
      </c>
      <c r="CG173" s="49">
        <f t="shared" si="807"/>
        <v>931908.91362699994</v>
      </c>
      <c r="CH173" s="49">
        <f t="shared" si="807"/>
        <v>1110558.289451</v>
      </c>
      <c r="CI173" s="49">
        <f t="shared" si="807"/>
        <v>145344.536234</v>
      </c>
      <c r="CJ173" s="49">
        <f t="shared" si="807"/>
        <v>373766.72</v>
      </c>
      <c r="CK173" s="49">
        <f t="shared" si="807"/>
        <v>718866.40454500006</v>
      </c>
      <c r="CL173" s="49">
        <f t="shared" si="807"/>
        <v>438762.17</v>
      </c>
      <c r="CM173" s="49">
        <f t="shared" si="807"/>
        <v>621217.30753200001</v>
      </c>
      <c r="CN173" s="49">
        <f t="shared" si="807"/>
        <v>860351.69117600005</v>
      </c>
      <c r="CO173" s="49">
        <f t="shared" si="807"/>
        <v>434653.59124999994</v>
      </c>
      <c r="CP173" s="49">
        <f t="shared" si="807"/>
        <v>1014191.7129166665</v>
      </c>
      <c r="CQ173" s="49">
        <f t="shared" si="807"/>
        <v>1448845.3041666665</v>
      </c>
      <c r="CR173" s="49">
        <f t="shared" si="807"/>
        <v>429285.77099999995</v>
      </c>
      <c r="CS173" s="49">
        <f t="shared" si="807"/>
        <v>1717143.0839999998</v>
      </c>
      <c r="CT173" s="49">
        <f t="shared" si="807"/>
        <v>2146428.8549999995</v>
      </c>
      <c r="CU173" s="49">
        <f t="shared" si="807"/>
        <v>292114.71724206436</v>
      </c>
      <c r="CV173" s="49">
        <f t="shared" si="807"/>
        <v>642006.02683606674</v>
      </c>
      <c r="CW173" s="49">
        <f t="shared" si="807"/>
        <v>1275687.5347406266</v>
      </c>
      <c r="CX173" s="49">
        <f t="shared" si="807"/>
        <v>510070.37260479829</v>
      </c>
      <c r="CY173" s="49">
        <f t="shared" si="807"/>
        <v>1000434.6125824797</v>
      </c>
      <c r="CZ173" s="49">
        <f t="shared" si="807"/>
        <v>1429657.8803456002</v>
      </c>
      <c r="DA173" s="49">
        <f t="shared" si="807"/>
        <v>489785.70920829108</v>
      </c>
      <c r="DB173" s="49">
        <f t="shared" si="807"/>
        <v>873336.42780781328</v>
      </c>
      <c r="DC173" s="49">
        <f t="shared" si="807"/>
        <v>1535533.1670876993</v>
      </c>
      <c r="DD173" s="49">
        <f t="shared" si="807"/>
        <v>659360.57987791731</v>
      </c>
      <c r="DE173" s="49">
        <f t="shared" si="807"/>
        <v>1758797.4848826837</v>
      </c>
      <c r="DF173" s="49">
        <f t="shared" si="807"/>
        <v>2019832.8156087331</v>
      </c>
      <c r="DG173" s="49">
        <f t="shared" si="807"/>
        <v>429714.77799565368</v>
      </c>
      <c r="DH173" s="49">
        <f t="shared" si="807"/>
        <v>907648.48877802445</v>
      </c>
      <c r="DI173" s="49">
        <f t="shared" si="807"/>
        <v>1773225.1585113101</v>
      </c>
      <c r="DJ173" s="49">
        <f t="shared" si="807"/>
        <v>764954.48735227576</v>
      </c>
      <c r="DK173" s="49">
        <f t="shared" ref="DK173:EP173" si="808">DK51</f>
        <v>1434767.0674916699</v>
      </c>
      <c r="DL173" s="49">
        <f t="shared" si="808"/>
        <v>2021064.1931739242</v>
      </c>
      <c r="DM173" s="49">
        <f t="shared" si="808"/>
        <v>669022.3365699345</v>
      </c>
      <c r="DN173" s="49">
        <f t="shared" si="808"/>
        <v>1192933.0859572829</v>
      </c>
      <c r="DO173" s="49">
        <f t="shared" si="808"/>
        <v>2097460.1096185958</v>
      </c>
      <c r="DP173" s="49">
        <f t="shared" si="808"/>
        <v>801727.69066678802</v>
      </c>
      <c r="DQ173" s="49">
        <f t="shared" si="808"/>
        <v>2303502.5143676968</v>
      </c>
      <c r="DR173" s="49">
        <f t="shared" si="808"/>
        <v>2660063.4829838281</v>
      </c>
      <c r="DS173" s="49">
        <f t="shared" si="808"/>
        <v>541804.32526647078</v>
      </c>
      <c r="DT173" s="49">
        <f t="shared" si="808"/>
        <v>1144405.3177209634</v>
      </c>
      <c r="DU173" s="49">
        <f t="shared" si="808"/>
        <v>2235764.5344058154</v>
      </c>
      <c r="DV173" s="49">
        <f t="shared" si="808"/>
        <v>964490.10158000863</v>
      </c>
      <c r="DW173" s="49">
        <f t="shared" si="808"/>
        <v>1809020.8732005483</v>
      </c>
      <c r="DX173" s="49">
        <f t="shared" si="808"/>
        <v>2548251.4858120554</v>
      </c>
      <c r="DY173" s="49">
        <f t="shared" si="808"/>
        <v>843534.39587115461</v>
      </c>
      <c r="DZ173" s="49">
        <f t="shared" si="808"/>
        <v>1504105.3713346384</v>
      </c>
      <c r="EA173" s="49">
        <f t="shared" si="808"/>
        <v>2644575.0010411213</v>
      </c>
      <c r="EB173" s="49">
        <f t="shared" si="808"/>
        <v>1010855.4621166843</v>
      </c>
      <c r="EC173" s="49">
        <f t="shared" si="808"/>
        <v>2904362.8226330909</v>
      </c>
      <c r="ED173" s="49">
        <f t="shared" si="808"/>
        <v>3353931.4316497822</v>
      </c>
      <c r="EE173" s="49">
        <f t="shared" si="808"/>
        <v>664306.58226569858</v>
      </c>
      <c r="EF173" s="49">
        <f t="shared" si="808"/>
        <v>1403155.9917282022</v>
      </c>
      <c r="EG173" s="49">
        <f t="shared" si="808"/>
        <v>2741272.1296964898</v>
      </c>
      <c r="EH173" s="49">
        <f t="shared" si="808"/>
        <v>1182561.8459110563</v>
      </c>
      <c r="EI173" s="49">
        <f t="shared" si="808"/>
        <v>2218041.4911455768</v>
      </c>
      <c r="EJ173" s="49">
        <f t="shared" si="808"/>
        <v>3124412.5532972268</v>
      </c>
      <c r="EK173" s="49">
        <f t="shared" si="808"/>
        <v>1034257.9883782361</v>
      </c>
      <c r="EL173" s="49">
        <f t="shared" si="808"/>
        <v>1844184.426005407</v>
      </c>
      <c r="EM173" s="49">
        <f t="shared" si="808"/>
        <v>3242514.8684866969</v>
      </c>
      <c r="EN173" s="49">
        <f t="shared" si="808"/>
        <v>1239410.4400570837</v>
      </c>
      <c r="EO173" s="49">
        <f t="shared" si="808"/>
        <v>3561040.8599341335</v>
      </c>
      <c r="EP173" s="49">
        <f t="shared" si="808"/>
        <v>4112257.1795951831</v>
      </c>
      <c r="EQ173" s="49">
        <f t="shared" ref="EQ173:FB173" si="809">EQ51</f>
        <v>790446.18284303392</v>
      </c>
      <c r="ER173" s="49">
        <f t="shared" si="809"/>
        <v>1669589.5046111129</v>
      </c>
      <c r="ES173" s="49">
        <f t="shared" si="809"/>
        <v>3261789.2835900453</v>
      </c>
      <c r="ET173" s="49">
        <f t="shared" si="809"/>
        <v>1407108.5881583809</v>
      </c>
      <c r="EU173" s="49">
        <f t="shared" si="809"/>
        <v>2639206.7711926699</v>
      </c>
      <c r="EV173" s="49">
        <f t="shared" si="809"/>
        <v>3717681.0260670688</v>
      </c>
      <c r="EW173" s="49">
        <f t="shared" si="809"/>
        <v>1230644.5560124093</v>
      </c>
      <c r="EX173" s="49">
        <f t="shared" si="809"/>
        <v>2194361.1261878284</v>
      </c>
      <c r="EY173" s="49">
        <f t="shared" si="809"/>
        <v>3858208.7985122064</v>
      </c>
      <c r="EZ173" s="49">
        <f t="shared" si="809"/>
        <v>1474751.684647748</v>
      </c>
      <c r="FA173" s="49">
        <f t="shared" si="809"/>
        <v>4237217.0167014673</v>
      </c>
      <c r="FB173" s="49">
        <f t="shared" si="809"/>
        <v>4893099.176277292</v>
      </c>
    </row>
    <row r="174" spans="3:158" x14ac:dyDescent="0.25">
      <c r="C174" s="2" t="s">
        <v>346</v>
      </c>
      <c r="D174" s="244">
        <f t="shared" si="769"/>
        <v>3928770.0774999997</v>
      </c>
      <c r="E174" s="244">
        <f t="shared" si="769"/>
        <v>6124271.8049999997</v>
      </c>
      <c r="F174" s="244">
        <f t="shared" si="769"/>
        <v>6054380.8523130491</v>
      </c>
      <c r="G174" s="244">
        <f t="shared" si="769"/>
        <v>9037539.2128475569</v>
      </c>
      <c r="H174" s="244">
        <f t="shared" si="769"/>
        <v>10150613.207243713</v>
      </c>
      <c r="I174" s="244">
        <f t="shared" si="769"/>
        <v>9771760.7093514781</v>
      </c>
      <c r="J174" s="244">
        <f t="shared" si="769"/>
        <v>11245434.128658621</v>
      </c>
      <c r="K174" s="244">
        <f t="shared" si="769"/>
        <v>13788032.992223062</v>
      </c>
      <c r="L174" s="244">
        <f t="shared" si="769"/>
        <v>15621774.244598886</v>
      </c>
      <c r="N174" s="244">
        <f t="shared" si="770"/>
        <v>895544.1</v>
      </c>
      <c r="O174" s="244">
        <f t="shared" si="771"/>
        <v>1116782.1044999999</v>
      </c>
      <c r="P174" s="244">
        <f t="shared" si="772"/>
        <v>854809.05</v>
      </c>
      <c r="Q174" s="244">
        <f t="shared" si="773"/>
        <v>1061634.8230000001</v>
      </c>
      <c r="R174" s="244">
        <f t="shared" si="774"/>
        <v>1246458.1969999999</v>
      </c>
      <c r="S174" s="244">
        <f t="shared" si="775"/>
        <v>1179095.673</v>
      </c>
      <c r="T174" s="244">
        <f t="shared" si="776"/>
        <v>1734900.5829999999</v>
      </c>
      <c r="U174" s="244">
        <f t="shared" si="777"/>
        <v>1963817.352</v>
      </c>
      <c r="V174" s="244">
        <f t="shared" si="778"/>
        <v>1485657.9858575501</v>
      </c>
      <c r="W174" s="244">
        <f t="shared" si="779"/>
        <v>1530741.055224</v>
      </c>
      <c r="X174" s="244">
        <f t="shared" si="780"/>
        <v>972306.66280739999</v>
      </c>
      <c r="Y174" s="244">
        <f t="shared" si="781"/>
        <v>2065675.1484240997</v>
      </c>
      <c r="Z174" s="244">
        <f t="shared" si="782"/>
        <v>1081111.8072371853</v>
      </c>
      <c r="AA174" s="244">
        <f t="shared" si="783"/>
        <v>1677003.3628792756</v>
      </c>
      <c r="AB174" s="244">
        <f t="shared" si="784"/>
        <v>2530520.2425205261</v>
      </c>
      <c r="AC174" s="244">
        <f t="shared" si="785"/>
        <v>3748903.8002105691</v>
      </c>
      <c r="AD174" s="244">
        <f t="shared" si="786"/>
        <v>1796395.9741661553</v>
      </c>
      <c r="AE174" s="244">
        <f t="shared" si="787"/>
        <v>2390115.3713929402</v>
      </c>
      <c r="AF174" s="244">
        <f t="shared" si="788"/>
        <v>2356373.0703239525</v>
      </c>
      <c r="AG174" s="244">
        <f t="shared" si="789"/>
        <v>3607728.7913606623</v>
      </c>
      <c r="AH174" s="244">
        <f t="shared" si="790"/>
        <v>1782116.3895578706</v>
      </c>
      <c r="AI174" s="244">
        <f t="shared" si="791"/>
        <v>2418169.9504863853</v>
      </c>
      <c r="AJ174" s="244">
        <f t="shared" si="792"/>
        <v>2268425.8886678573</v>
      </c>
      <c r="AK174" s="244">
        <f t="shared" si="793"/>
        <v>3303048.4806393655</v>
      </c>
      <c r="AL174" s="244">
        <f t="shared" si="794"/>
        <v>2050876.3020769872</v>
      </c>
      <c r="AM174" s="244">
        <f t="shared" si="795"/>
        <v>2782852.7221376323</v>
      </c>
      <c r="AN174" s="244">
        <f t="shared" si="796"/>
        <v>2610525.8474397566</v>
      </c>
      <c r="AO174" s="244">
        <f t="shared" si="797"/>
        <v>3801179.2570042443</v>
      </c>
      <c r="AP174" s="244">
        <f t="shared" si="798"/>
        <v>2514580.5659864666</v>
      </c>
      <c r="AQ174" s="244">
        <f t="shared" si="799"/>
        <v>3412057.2586474512</v>
      </c>
      <c r="AR174" s="244">
        <f t="shared" si="800"/>
        <v>3200767.1824621568</v>
      </c>
      <c r="AS174" s="244">
        <f t="shared" si="801"/>
        <v>4660627.9851269843</v>
      </c>
      <c r="AT174" s="244">
        <f t="shared" si="802"/>
        <v>2849007.5374676608</v>
      </c>
      <c r="AU174" s="244">
        <f t="shared" si="803"/>
        <v>3865844.2603306705</v>
      </c>
      <c r="AV174" s="244">
        <f t="shared" si="804"/>
        <v>3626453.6328095081</v>
      </c>
      <c r="AW174" s="244">
        <f t="shared" si="805"/>
        <v>5280468.8139910484</v>
      </c>
      <c r="AY174" s="20">
        <f t="shared" ref="AY174:CD174" si="810">AY$173*AY150</f>
        <v>62415</v>
      </c>
      <c r="AZ174" s="20">
        <f t="shared" si="810"/>
        <v>217075</v>
      </c>
      <c r="BA174" s="20">
        <f t="shared" si="810"/>
        <v>616054.1</v>
      </c>
      <c r="BB174" s="20">
        <f t="shared" si="810"/>
        <v>153532.7585</v>
      </c>
      <c r="BC174" s="20">
        <f t="shared" si="810"/>
        <v>452149.34599999996</v>
      </c>
      <c r="BD174" s="20">
        <f t="shared" si="810"/>
        <v>511100</v>
      </c>
      <c r="BE174" s="20">
        <f t="shared" si="810"/>
        <v>61750</v>
      </c>
      <c r="BF174" s="20">
        <f t="shared" si="810"/>
        <v>303524.05</v>
      </c>
      <c r="BG174" s="20">
        <f t="shared" si="810"/>
        <v>489535</v>
      </c>
      <c r="BH174" s="20">
        <f t="shared" si="810"/>
        <v>230369.93650000001</v>
      </c>
      <c r="BI174" s="20">
        <f t="shared" si="810"/>
        <v>371323.33649999998</v>
      </c>
      <c r="BJ174" s="20">
        <f t="shared" si="810"/>
        <v>459941.55</v>
      </c>
      <c r="BK174" s="20">
        <f t="shared" si="810"/>
        <v>106020</v>
      </c>
      <c r="BL174" s="20">
        <f t="shared" si="810"/>
        <v>135375</v>
      </c>
      <c r="BM174" s="20">
        <f t="shared" si="810"/>
        <v>1005063.1969999999</v>
      </c>
      <c r="BN174" s="20">
        <f t="shared" si="810"/>
        <v>274645</v>
      </c>
      <c r="BO174" s="20">
        <f t="shared" si="810"/>
        <v>375747.17300000001</v>
      </c>
      <c r="BP174" s="20">
        <f t="shared" si="810"/>
        <v>528703.5</v>
      </c>
      <c r="BQ174" s="20">
        <f t="shared" si="810"/>
        <v>178362.5</v>
      </c>
      <c r="BR174" s="20">
        <f t="shared" si="810"/>
        <v>537674.9865</v>
      </c>
      <c r="BS174" s="20">
        <f t="shared" si="810"/>
        <v>1018863.0964999999</v>
      </c>
      <c r="BT174" s="20">
        <f t="shared" si="810"/>
        <v>118750</v>
      </c>
      <c r="BU174" s="20">
        <f t="shared" si="810"/>
        <v>902898.51549999998</v>
      </c>
      <c r="BV174" s="20">
        <f t="shared" si="810"/>
        <v>942168.83649999998</v>
      </c>
      <c r="BW174" s="20">
        <f t="shared" si="810"/>
        <v>151563</v>
      </c>
      <c r="BX174" s="20">
        <f t="shared" si="810"/>
        <v>556216.31992315</v>
      </c>
      <c r="BY174" s="20">
        <f t="shared" si="810"/>
        <v>777878.66593440005</v>
      </c>
      <c r="BZ174" s="20">
        <f t="shared" si="810"/>
        <v>303856.45604404999</v>
      </c>
      <c r="CA174" s="20">
        <f t="shared" si="810"/>
        <v>423067.83199999999</v>
      </c>
      <c r="CB174" s="20">
        <f t="shared" si="810"/>
        <v>803816.76717994991</v>
      </c>
      <c r="CC174" s="20">
        <f t="shared" si="810"/>
        <v>224511.9515</v>
      </c>
      <c r="CD174" s="20">
        <f t="shared" si="810"/>
        <v>512365.73030739994</v>
      </c>
      <c r="CE174" s="20">
        <f t="shared" ref="CE174:DJ174" si="811">CE$173*CE150</f>
        <v>235428.981</v>
      </c>
      <c r="CF174" s="20">
        <f t="shared" si="811"/>
        <v>125331.3055</v>
      </c>
      <c r="CG174" s="20">
        <f t="shared" si="811"/>
        <v>885313.46794564987</v>
      </c>
      <c r="CH174" s="20">
        <f t="shared" si="811"/>
        <v>1055030.3749784499</v>
      </c>
      <c r="CI174" s="20">
        <f t="shared" si="811"/>
        <v>126927.72997302197</v>
      </c>
      <c r="CJ174" s="20">
        <f t="shared" si="811"/>
        <v>326406.2243983018</v>
      </c>
      <c r="CK174" s="20">
        <f t="shared" si="811"/>
        <v>627777.85286586161</v>
      </c>
      <c r="CL174" s="20">
        <f t="shared" si="811"/>
        <v>383166.01145898126</v>
      </c>
      <c r="CM174" s="20">
        <f t="shared" si="811"/>
        <v>542502.00735474483</v>
      </c>
      <c r="CN174" s="20">
        <f t="shared" si="811"/>
        <v>751335.34406554955</v>
      </c>
      <c r="CO174" s="20">
        <f t="shared" si="811"/>
        <v>379578.03637807892</v>
      </c>
      <c r="CP174" s="20">
        <f t="shared" si="811"/>
        <v>885682.08488218405</v>
      </c>
      <c r="CQ174" s="20">
        <f t="shared" si="811"/>
        <v>1265260.121260263</v>
      </c>
      <c r="CR174" s="20">
        <f t="shared" si="811"/>
        <v>374890.38002105692</v>
      </c>
      <c r="CS174" s="20">
        <f t="shared" si="811"/>
        <v>1499561.5200842277</v>
      </c>
      <c r="CT174" s="20">
        <f t="shared" si="811"/>
        <v>1874451.9001052845</v>
      </c>
      <c r="CU174" s="20">
        <f t="shared" si="811"/>
        <v>237465.71459531039</v>
      </c>
      <c r="CV174" s="20">
        <f t="shared" si="811"/>
        <v>521899.14077759191</v>
      </c>
      <c r="CW174" s="20">
        <f t="shared" si="811"/>
        <v>1037031.118793253</v>
      </c>
      <c r="CX174" s="20">
        <f t="shared" si="811"/>
        <v>414646.09064569528</v>
      </c>
      <c r="CY174" s="20">
        <f t="shared" si="811"/>
        <v>813272.6841897415</v>
      </c>
      <c r="CZ174" s="20">
        <f t="shared" si="811"/>
        <v>1162196.5965575036</v>
      </c>
      <c r="DA174" s="20">
        <f t="shared" si="811"/>
        <v>398156.29467014596</v>
      </c>
      <c r="DB174" s="20">
        <f t="shared" si="811"/>
        <v>709952.10672539985</v>
      </c>
      <c r="DC174" s="20">
        <f t="shared" si="811"/>
        <v>1248264.6689284069</v>
      </c>
      <c r="DD174" s="20">
        <f t="shared" si="811"/>
        <v>536006.99326264916</v>
      </c>
      <c r="DE174" s="20">
        <f t="shared" si="811"/>
        <v>1429760.5595475938</v>
      </c>
      <c r="DF174" s="20">
        <f t="shared" si="811"/>
        <v>1641961.2385504197</v>
      </c>
      <c r="DG174" s="20">
        <f t="shared" si="811"/>
        <v>246191.92384190604</v>
      </c>
      <c r="DH174" s="20">
        <f t="shared" si="811"/>
        <v>520009.40872161632</v>
      </c>
      <c r="DI174" s="20">
        <f t="shared" si="811"/>
        <v>1015915.0569943483</v>
      </c>
      <c r="DJ174" s="20">
        <f t="shared" si="811"/>
        <v>438257.25000935514</v>
      </c>
      <c r="DK174" s="20">
        <f t="shared" ref="DK174:EP174" si="812">DK$173*DK150</f>
        <v>822005.85760249733</v>
      </c>
      <c r="DL174" s="20">
        <f t="shared" si="812"/>
        <v>1157906.8428745326</v>
      </c>
      <c r="DM174" s="20">
        <f t="shared" si="812"/>
        <v>383295.86173791136</v>
      </c>
      <c r="DN174" s="20">
        <f t="shared" si="812"/>
        <v>683454.48303259385</v>
      </c>
      <c r="DO174" s="20">
        <f t="shared" si="812"/>
        <v>1201675.5438973524</v>
      </c>
      <c r="DP174" s="20">
        <f t="shared" si="812"/>
        <v>459325.33082346414</v>
      </c>
      <c r="DQ174" s="20">
        <f t="shared" si="812"/>
        <v>1319721.2305148765</v>
      </c>
      <c r="DR174" s="20">
        <f t="shared" si="812"/>
        <v>1524001.9193010246</v>
      </c>
      <c r="DS174" s="20">
        <f t="shared" si="812"/>
        <v>283319.98141567601</v>
      </c>
      <c r="DT174" s="20">
        <f t="shared" si="812"/>
        <v>598431.7182946807</v>
      </c>
      <c r="DU174" s="20">
        <f t="shared" si="812"/>
        <v>1169124.6023666305</v>
      </c>
      <c r="DV174" s="20">
        <f t="shared" si="812"/>
        <v>504350.56516179867</v>
      </c>
      <c r="DW174" s="20">
        <f t="shared" si="812"/>
        <v>945972.07197206386</v>
      </c>
      <c r="DX174" s="20">
        <f t="shared" si="812"/>
        <v>1332530.0850037697</v>
      </c>
      <c r="DY174" s="20">
        <f t="shared" si="812"/>
        <v>441100.48262194777</v>
      </c>
      <c r="DZ174" s="20">
        <f t="shared" si="812"/>
        <v>786525.84702819062</v>
      </c>
      <c r="EA174" s="20">
        <f t="shared" si="812"/>
        <v>1382899.5177896183</v>
      </c>
      <c r="EB174" s="20">
        <f t="shared" si="812"/>
        <v>528595.91070997494</v>
      </c>
      <c r="EC174" s="20">
        <f t="shared" si="812"/>
        <v>1518747.6041799516</v>
      </c>
      <c r="ED174" s="20">
        <f t="shared" si="812"/>
        <v>1753835.7421143178</v>
      </c>
      <c r="EE174" s="20">
        <f t="shared" si="812"/>
        <v>347378.78559618862</v>
      </c>
      <c r="EF174" s="20">
        <f t="shared" si="812"/>
        <v>733737.46011386882</v>
      </c>
      <c r="EG174" s="20">
        <f t="shared" si="812"/>
        <v>1433464.3202764094</v>
      </c>
      <c r="EH174" s="20">
        <f t="shared" si="812"/>
        <v>618384.50632823317</v>
      </c>
      <c r="EI174" s="20">
        <f t="shared" si="812"/>
        <v>1159856.8795874696</v>
      </c>
      <c r="EJ174" s="20">
        <f t="shared" si="812"/>
        <v>1633815.8727317487</v>
      </c>
      <c r="EK174" s="20">
        <f t="shared" si="812"/>
        <v>540833.54521435383</v>
      </c>
      <c r="EL174" s="20">
        <f t="shared" si="812"/>
        <v>964359.77517521183</v>
      </c>
      <c r="EM174" s="20">
        <f t="shared" si="812"/>
        <v>1695573.862072591</v>
      </c>
      <c r="EN174" s="20">
        <f t="shared" si="812"/>
        <v>648111.73788740975</v>
      </c>
      <c r="EO174" s="20">
        <f t="shared" si="812"/>
        <v>1862137.2757790305</v>
      </c>
      <c r="EP174" s="20">
        <f t="shared" si="812"/>
        <v>2150378.971460544</v>
      </c>
      <c r="EQ174" s="20">
        <f t="shared" ref="EQ174:FB174" si="813">EQ$173*EQ150</f>
        <v>393578.47265142278</v>
      </c>
      <c r="ER174" s="20">
        <f t="shared" si="813"/>
        <v>831320.96965313144</v>
      </c>
      <c r="ES174" s="20">
        <f t="shared" si="813"/>
        <v>1624108.0951631067</v>
      </c>
      <c r="ET174" s="20">
        <f t="shared" si="813"/>
        <v>700626.63468140247</v>
      </c>
      <c r="EU174" s="20">
        <f t="shared" si="813"/>
        <v>1314112.1970900516</v>
      </c>
      <c r="EV174" s="20">
        <f t="shared" si="813"/>
        <v>1851105.4285592167</v>
      </c>
      <c r="EW174" s="20">
        <f t="shared" si="813"/>
        <v>612761.77334432793</v>
      </c>
      <c r="EX174" s="20">
        <f t="shared" si="813"/>
        <v>1092614.9296898623</v>
      </c>
      <c r="EY174" s="20">
        <f t="shared" si="813"/>
        <v>1921076.9297753179</v>
      </c>
      <c r="EZ174" s="20">
        <f t="shared" si="813"/>
        <v>734307.44329248625</v>
      </c>
      <c r="FA174" s="20">
        <f t="shared" si="813"/>
        <v>2109792.4664874338</v>
      </c>
      <c r="FB174" s="20">
        <f t="shared" si="813"/>
        <v>2436368.9042111281</v>
      </c>
    </row>
    <row r="175" spans="3:158" x14ac:dyDescent="0.25">
      <c r="C175" s="2" t="s">
        <v>298</v>
      </c>
      <c r="D175" s="244">
        <f t="shared" si="769"/>
        <v>82710.948999999993</v>
      </c>
      <c r="E175" s="244">
        <f t="shared" si="769"/>
        <v>128932.03800000002</v>
      </c>
      <c r="F175" s="244">
        <f t="shared" si="769"/>
        <v>127460.64952238</v>
      </c>
      <c r="G175" s="244">
        <f t="shared" si="769"/>
        <v>310465.71443460998</v>
      </c>
      <c r="H175" s="244">
        <f t="shared" si="769"/>
        <v>561897.7797971149</v>
      </c>
      <c r="I175" s="244">
        <f t="shared" si="769"/>
        <v>2132010.4241833729</v>
      </c>
      <c r="J175" s="244">
        <f t="shared" si="769"/>
        <v>2688137.6403290415</v>
      </c>
      <c r="K175" s="244">
        <f t="shared" si="769"/>
        <v>3295927.0445626238</v>
      </c>
      <c r="L175" s="244">
        <f t="shared" si="769"/>
        <v>4706115.5572201889</v>
      </c>
      <c r="N175" s="244">
        <f t="shared" si="770"/>
        <v>18853.559999999998</v>
      </c>
      <c r="O175" s="244">
        <f t="shared" si="771"/>
        <v>23511.2022</v>
      </c>
      <c r="P175" s="244">
        <f t="shared" si="772"/>
        <v>17995.98</v>
      </c>
      <c r="Q175" s="244">
        <f t="shared" si="773"/>
        <v>22350.2068</v>
      </c>
      <c r="R175" s="244">
        <f t="shared" si="774"/>
        <v>26241.225200000001</v>
      </c>
      <c r="S175" s="244">
        <f t="shared" si="775"/>
        <v>24823.066800000001</v>
      </c>
      <c r="T175" s="244">
        <f t="shared" si="776"/>
        <v>36524.222800000003</v>
      </c>
      <c r="U175" s="244">
        <f t="shared" si="777"/>
        <v>41343.523200000003</v>
      </c>
      <c r="V175" s="244">
        <f t="shared" si="778"/>
        <v>31277.010228580002</v>
      </c>
      <c r="W175" s="244">
        <f t="shared" si="779"/>
        <v>32226.127478399998</v>
      </c>
      <c r="X175" s="244">
        <f t="shared" si="780"/>
        <v>20469.613953840002</v>
      </c>
      <c r="Y175" s="244">
        <f t="shared" si="781"/>
        <v>43487.897861560006</v>
      </c>
      <c r="Z175" s="244">
        <f t="shared" si="782"/>
        <v>37139.329823369997</v>
      </c>
      <c r="AA175" s="244">
        <f t="shared" si="783"/>
        <v>57609.935061240001</v>
      </c>
      <c r="AB175" s="244">
        <f t="shared" si="784"/>
        <v>86930.718249999976</v>
      </c>
      <c r="AC175" s="244">
        <f t="shared" si="785"/>
        <v>128785.73129999998</v>
      </c>
      <c r="AD175" s="244">
        <f t="shared" si="786"/>
        <v>99441.372546844097</v>
      </c>
      <c r="AE175" s="244">
        <f t="shared" si="787"/>
        <v>132307.32894897953</v>
      </c>
      <c r="AF175" s="244">
        <f t="shared" si="788"/>
        <v>130439.48868467116</v>
      </c>
      <c r="AG175" s="244">
        <f t="shared" si="789"/>
        <v>199709.58961662004</v>
      </c>
      <c r="AH175" s="244">
        <f t="shared" si="790"/>
        <v>388823.55316062353</v>
      </c>
      <c r="AI175" s="244">
        <f t="shared" si="791"/>
        <v>527598.21850223374</v>
      </c>
      <c r="AJ175" s="244">
        <f t="shared" si="792"/>
        <v>494926.94151822664</v>
      </c>
      <c r="AK175" s="244">
        <f t="shared" si="793"/>
        <v>720661.71100228908</v>
      </c>
      <c r="AL175" s="244">
        <f t="shared" si="794"/>
        <v>490246.77217415621</v>
      </c>
      <c r="AM175" s="244">
        <f t="shared" si="795"/>
        <v>665220.30757407658</v>
      </c>
      <c r="AN175" s="244">
        <f t="shared" si="796"/>
        <v>624026.84603086428</v>
      </c>
      <c r="AO175" s="244">
        <f t="shared" si="797"/>
        <v>908643.71454994474</v>
      </c>
      <c r="AP175" s="244">
        <f t="shared" si="798"/>
        <v>601091.83796129888</v>
      </c>
      <c r="AQ175" s="244">
        <f t="shared" si="799"/>
        <v>815626.98629423254</v>
      </c>
      <c r="AR175" s="244">
        <f t="shared" si="800"/>
        <v>765119.66035879252</v>
      </c>
      <c r="AS175" s="244">
        <f t="shared" si="801"/>
        <v>1114088.5599483</v>
      </c>
      <c r="AT175" s="244">
        <f t="shared" si="802"/>
        <v>858273.74565662874</v>
      </c>
      <c r="AU175" s="244">
        <f t="shared" si="803"/>
        <v>1164599.4578127179</v>
      </c>
      <c r="AV175" s="244">
        <f t="shared" si="804"/>
        <v>1092482.1721068667</v>
      </c>
      <c r="AW175" s="244">
        <f t="shared" si="805"/>
        <v>1590760.1816439759</v>
      </c>
      <c r="AY175" s="20">
        <f t="shared" ref="AY175:CD175" si="814">AY$173*AY151</f>
        <v>1314</v>
      </c>
      <c r="AZ175" s="20">
        <f t="shared" si="814"/>
        <v>4570</v>
      </c>
      <c r="BA175" s="20">
        <f t="shared" si="814"/>
        <v>12969.56</v>
      </c>
      <c r="BB175" s="20">
        <f t="shared" si="814"/>
        <v>3232.2685999999999</v>
      </c>
      <c r="BC175" s="20">
        <f t="shared" si="814"/>
        <v>9518.9336000000003</v>
      </c>
      <c r="BD175" s="20">
        <f t="shared" si="814"/>
        <v>10760</v>
      </c>
      <c r="BE175" s="20">
        <f t="shared" si="814"/>
        <v>1300</v>
      </c>
      <c r="BF175" s="20">
        <f t="shared" si="814"/>
        <v>6389.9800000000005</v>
      </c>
      <c r="BG175" s="20">
        <f t="shared" si="814"/>
        <v>10306</v>
      </c>
      <c r="BH175" s="20">
        <f t="shared" si="814"/>
        <v>4849.8933999999999</v>
      </c>
      <c r="BI175" s="20">
        <f t="shared" si="814"/>
        <v>7817.3333999999995</v>
      </c>
      <c r="BJ175" s="20">
        <f t="shared" si="814"/>
        <v>9682.98</v>
      </c>
      <c r="BK175" s="20">
        <f t="shared" si="814"/>
        <v>2232</v>
      </c>
      <c r="BL175" s="20">
        <f t="shared" si="814"/>
        <v>2850</v>
      </c>
      <c r="BM175" s="20">
        <f t="shared" si="814"/>
        <v>21159.225200000001</v>
      </c>
      <c r="BN175" s="20">
        <f t="shared" si="814"/>
        <v>5782</v>
      </c>
      <c r="BO175" s="20">
        <f t="shared" si="814"/>
        <v>7910.4668000000011</v>
      </c>
      <c r="BP175" s="20">
        <f t="shared" si="814"/>
        <v>11130.6</v>
      </c>
      <c r="BQ175" s="20">
        <f t="shared" si="814"/>
        <v>3755</v>
      </c>
      <c r="BR175" s="20">
        <f t="shared" si="814"/>
        <v>11319.473400000001</v>
      </c>
      <c r="BS175" s="20">
        <f t="shared" si="814"/>
        <v>21449.749400000001</v>
      </c>
      <c r="BT175" s="20">
        <f t="shared" si="814"/>
        <v>2500</v>
      </c>
      <c r="BU175" s="20">
        <f t="shared" si="814"/>
        <v>19008.389800000001</v>
      </c>
      <c r="BV175" s="20">
        <f t="shared" si="814"/>
        <v>19835.133400000002</v>
      </c>
      <c r="BW175" s="20">
        <f t="shared" si="814"/>
        <v>3190.8</v>
      </c>
      <c r="BX175" s="20">
        <f t="shared" si="814"/>
        <v>11709.81726154</v>
      </c>
      <c r="BY175" s="20">
        <f t="shared" si="814"/>
        <v>16376.392967040001</v>
      </c>
      <c r="BZ175" s="20">
        <f t="shared" si="814"/>
        <v>6396.9780219800004</v>
      </c>
      <c r="CA175" s="20">
        <f t="shared" si="814"/>
        <v>8906.6911999999993</v>
      </c>
      <c r="CB175" s="20">
        <f t="shared" si="814"/>
        <v>16922.458256419999</v>
      </c>
      <c r="CC175" s="20">
        <f t="shared" si="814"/>
        <v>4726.5673999999999</v>
      </c>
      <c r="CD175" s="20">
        <f t="shared" si="814"/>
        <v>10786.64695384</v>
      </c>
      <c r="CE175" s="20">
        <f t="shared" ref="CE175:DJ175" si="815">CE$173*CE151</f>
        <v>4956.3996000000006</v>
      </c>
      <c r="CF175" s="20">
        <f t="shared" si="815"/>
        <v>2638.5538000000001</v>
      </c>
      <c r="CG175" s="20">
        <f t="shared" si="815"/>
        <v>18638.178272540001</v>
      </c>
      <c r="CH175" s="20">
        <f t="shared" si="815"/>
        <v>22211.16578902</v>
      </c>
      <c r="CI175" s="20">
        <f t="shared" si="815"/>
        <v>4360.3360870199995</v>
      </c>
      <c r="CJ175" s="20">
        <f t="shared" si="815"/>
        <v>11213.0016</v>
      </c>
      <c r="CK175" s="20">
        <f t="shared" si="815"/>
        <v>21565.99213635</v>
      </c>
      <c r="CL175" s="20">
        <f t="shared" si="815"/>
        <v>13162.865099999999</v>
      </c>
      <c r="CM175" s="20">
        <f t="shared" si="815"/>
        <v>18636.519225960001</v>
      </c>
      <c r="CN175" s="20">
        <f t="shared" si="815"/>
        <v>25810.550735280001</v>
      </c>
      <c r="CO175" s="20">
        <f t="shared" si="815"/>
        <v>13039.607737499997</v>
      </c>
      <c r="CP175" s="20">
        <f t="shared" si="815"/>
        <v>30425.751387499993</v>
      </c>
      <c r="CQ175" s="20">
        <f t="shared" si="815"/>
        <v>43465.359124999995</v>
      </c>
      <c r="CR175" s="20">
        <f t="shared" si="815"/>
        <v>12878.573129999999</v>
      </c>
      <c r="CS175" s="20">
        <f t="shared" si="815"/>
        <v>51514.292519999995</v>
      </c>
      <c r="CT175" s="20">
        <f t="shared" si="815"/>
        <v>64392.865649999985</v>
      </c>
      <c r="CU175" s="20">
        <f t="shared" si="815"/>
        <v>13145.162275892895</v>
      </c>
      <c r="CV175" s="20">
        <f t="shared" si="815"/>
        <v>28890.271207623002</v>
      </c>
      <c r="CW175" s="20">
        <f t="shared" si="815"/>
        <v>57405.939063328195</v>
      </c>
      <c r="CX175" s="20">
        <f t="shared" si="815"/>
        <v>22953.166767215924</v>
      </c>
      <c r="CY175" s="20">
        <f t="shared" si="815"/>
        <v>45019.557566211588</v>
      </c>
      <c r="CZ175" s="20">
        <f t="shared" si="815"/>
        <v>64334.604615552009</v>
      </c>
      <c r="DA175" s="20">
        <f t="shared" si="815"/>
        <v>22040.356914373097</v>
      </c>
      <c r="DB175" s="20">
        <f t="shared" si="815"/>
        <v>39300.139251351597</v>
      </c>
      <c r="DC175" s="20">
        <f t="shared" si="815"/>
        <v>69098.99251894647</v>
      </c>
      <c r="DD175" s="20">
        <f t="shared" si="815"/>
        <v>29671.226094506277</v>
      </c>
      <c r="DE175" s="20">
        <f t="shared" si="815"/>
        <v>79145.886819720763</v>
      </c>
      <c r="DF175" s="20">
        <f t="shared" si="815"/>
        <v>90892.476702392989</v>
      </c>
      <c r="DG175" s="20">
        <f t="shared" si="815"/>
        <v>53714.34724945671</v>
      </c>
      <c r="DH175" s="20">
        <f t="shared" si="815"/>
        <v>113456.06109725306</v>
      </c>
      <c r="DI175" s="20">
        <f t="shared" si="815"/>
        <v>221653.14481391376</v>
      </c>
      <c r="DJ175" s="20">
        <f t="shared" si="815"/>
        <v>95619.310919034469</v>
      </c>
      <c r="DK175" s="20">
        <f t="shared" ref="DK175:EP175" si="816">DK$173*DK151</f>
        <v>179345.88343645874</v>
      </c>
      <c r="DL175" s="20">
        <f t="shared" si="816"/>
        <v>252633.02414674053</v>
      </c>
      <c r="DM175" s="20">
        <f t="shared" si="816"/>
        <v>83627.792071241813</v>
      </c>
      <c r="DN175" s="20">
        <f t="shared" si="816"/>
        <v>149116.63574466037</v>
      </c>
      <c r="DO175" s="20">
        <f t="shared" si="816"/>
        <v>262182.51370232448</v>
      </c>
      <c r="DP175" s="20">
        <f t="shared" si="816"/>
        <v>100215.9613333485</v>
      </c>
      <c r="DQ175" s="20">
        <f t="shared" si="816"/>
        <v>287937.8142959621</v>
      </c>
      <c r="DR175" s="20">
        <f t="shared" si="816"/>
        <v>332507.93537297851</v>
      </c>
      <c r="DS175" s="20">
        <f t="shared" si="816"/>
        <v>67725.540658308848</v>
      </c>
      <c r="DT175" s="20">
        <f t="shared" si="816"/>
        <v>143050.66471512042</v>
      </c>
      <c r="DU175" s="20">
        <f t="shared" si="816"/>
        <v>279470.56680072693</v>
      </c>
      <c r="DV175" s="20">
        <f t="shared" si="816"/>
        <v>120561.26269750108</v>
      </c>
      <c r="DW175" s="20">
        <f t="shared" si="816"/>
        <v>226127.60915006854</v>
      </c>
      <c r="DX175" s="20">
        <f t="shared" si="816"/>
        <v>318531.43572650693</v>
      </c>
      <c r="DY175" s="20">
        <f t="shared" si="816"/>
        <v>105441.79948389433</v>
      </c>
      <c r="DZ175" s="20">
        <f t="shared" si="816"/>
        <v>188013.17141682981</v>
      </c>
      <c r="EA175" s="20">
        <f t="shared" si="816"/>
        <v>330571.87513014016</v>
      </c>
      <c r="EB175" s="20">
        <f t="shared" si="816"/>
        <v>126356.93276458554</v>
      </c>
      <c r="EC175" s="20">
        <f t="shared" si="816"/>
        <v>363045.35282913636</v>
      </c>
      <c r="ED175" s="20">
        <f t="shared" si="816"/>
        <v>419241.42895622278</v>
      </c>
      <c r="EE175" s="20">
        <f t="shared" si="816"/>
        <v>83038.322783212323</v>
      </c>
      <c r="EF175" s="20">
        <f t="shared" si="816"/>
        <v>175394.49896602528</v>
      </c>
      <c r="EG175" s="20">
        <f t="shared" si="816"/>
        <v>342659.01621206122</v>
      </c>
      <c r="EH175" s="20">
        <f t="shared" si="816"/>
        <v>147820.23073888203</v>
      </c>
      <c r="EI175" s="20">
        <f t="shared" si="816"/>
        <v>277255.1863931971</v>
      </c>
      <c r="EJ175" s="20">
        <f t="shared" si="816"/>
        <v>390551.56916215335</v>
      </c>
      <c r="EK175" s="20">
        <f t="shared" si="816"/>
        <v>129282.24854727951</v>
      </c>
      <c r="EL175" s="20">
        <f t="shared" si="816"/>
        <v>230523.05325067588</v>
      </c>
      <c r="EM175" s="20">
        <f t="shared" si="816"/>
        <v>405314.35856083711</v>
      </c>
      <c r="EN175" s="20">
        <f t="shared" si="816"/>
        <v>154926.30500713547</v>
      </c>
      <c r="EO175" s="20">
        <f t="shared" si="816"/>
        <v>445130.10749176668</v>
      </c>
      <c r="EP175" s="20">
        <f t="shared" si="816"/>
        <v>514032.14744939789</v>
      </c>
      <c r="EQ175" s="20">
        <f t="shared" ref="EQ175:FB175" si="817">EQ$173*EQ151</f>
        <v>118566.92742645508</v>
      </c>
      <c r="ER175" s="20">
        <f t="shared" si="817"/>
        <v>250438.42569166693</v>
      </c>
      <c r="ES175" s="20">
        <f t="shared" si="817"/>
        <v>489268.39253850677</v>
      </c>
      <c r="ET175" s="20">
        <f t="shared" si="817"/>
        <v>211066.28822375715</v>
      </c>
      <c r="EU175" s="20">
        <f t="shared" si="817"/>
        <v>395881.01567890047</v>
      </c>
      <c r="EV175" s="20">
        <f t="shared" si="817"/>
        <v>557652.1539100603</v>
      </c>
      <c r="EW175" s="20">
        <f t="shared" si="817"/>
        <v>184596.68340186137</v>
      </c>
      <c r="EX175" s="20">
        <f t="shared" si="817"/>
        <v>329154.16892817424</v>
      </c>
      <c r="EY175" s="20">
        <f t="shared" si="817"/>
        <v>578731.31977683096</v>
      </c>
      <c r="EZ175" s="20">
        <f t="shared" si="817"/>
        <v>221212.75269716218</v>
      </c>
      <c r="FA175" s="20">
        <f t="shared" si="817"/>
        <v>635582.55250522005</v>
      </c>
      <c r="FB175" s="20">
        <f t="shared" si="817"/>
        <v>733964.87644159375</v>
      </c>
    </row>
    <row r="176" spans="3:158" x14ac:dyDescent="0.25">
      <c r="C176" s="2" t="s">
        <v>299</v>
      </c>
      <c r="D176" s="244">
        <f t="shared" si="769"/>
        <v>41355.474499999997</v>
      </c>
      <c r="E176" s="244">
        <f t="shared" si="769"/>
        <v>64466.019000000008</v>
      </c>
      <c r="F176" s="244">
        <f t="shared" si="769"/>
        <v>63730.324761190001</v>
      </c>
      <c r="G176" s="244">
        <f t="shared" si="769"/>
        <v>434652.00020845397</v>
      </c>
      <c r="H176" s="244">
        <f t="shared" si="769"/>
        <v>1123795.5595942298</v>
      </c>
      <c r="I176" s="244">
        <f t="shared" si="769"/>
        <v>4264020.8483667457</v>
      </c>
      <c r="J176" s="244">
        <f t="shared" si="769"/>
        <v>6451530.3367896993</v>
      </c>
      <c r="K176" s="244">
        <f t="shared" si="769"/>
        <v>7910224.9069502968</v>
      </c>
      <c r="L176" s="244">
        <f t="shared" si="769"/>
        <v>9412231.1144403778</v>
      </c>
      <c r="N176" s="244">
        <f t="shared" si="770"/>
        <v>9426.7799999999988</v>
      </c>
      <c r="O176" s="244">
        <f t="shared" si="771"/>
        <v>11755.6011</v>
      </c>
      <c r="P176" s="244">
        <f t="shared" si="772"/>
        <v>8997.99</v>
      </c>
      <c r="Q176" s="244">
        <f t="shared" si="773"/>
        <v>11175.1034</v>
      </c>
      <c r="R176" s="244">
        <f t="shared" si="774"/>
        <v>13120.6126</v>
      </c>
      <c r="S176" s="244">
        <f t="shared" si="775"/>
        <v>12411.5334</v>
      </c>
      <c r="T176" s="244">
        <f t="shared" si="776"/>
        <v>18262.111400000002</v>
      </c>
      <c r="U176" s="244">
        <f t="shared" si="777"/>
        <v>20671.761600000002</v>
      </c>
      <c r="V176" s="244">
        <f t="shared" si="778"/>
        <v>15638.505114290001</v>
      </c>
      <c r="W176" s="244">
        <f t="shared" si="779"/>
        <v>16113.063739199999</v>
      </c>
      <c r="X176" s="244">
        <f t="shared" si="780"/>
        <v>10234.806976920001</v>
      </c>
      <c r="Y176" s="244">
        <f t="shared" si="781"/>
        <v>21743.948930780003</v>
      </c>
      <c r="Z176" s="244">
        <f t="shared" si="782"/>
        <v>51995.061752718007</v>
      </c>
      <c r="AA176" s="244">
        <f t="shared" si="783"/>
        <v>80653.909085735999</v>
      </c>
      <c r="AB176" s="244">
        <f t="shared" si="784"/>
        <v>121703.00554999999</v>
      </c>
      <c r="AC176" s="244">
        <f t="shared" si="785"/>
        <v>180300.02382</v>
      </c>
      <c r="AD176" s="244">
        <f t="shared" si="786"/>
        <v>198882.74509368819</v>
      </c>
      <c r="AE176" s="244">
        <f t="shared" si="787"/>
        <v>264614.65789795906</v>
      </c>
      <c r="AF176" s="244">
        <f t="shared" si="788"/>
        <v>260878.97736934232</v>
      </c>
      <c r="AG176" s="244">
        <f t="shared" si="789"/>
        <v>399419.17923324008</v>
      </c>
      <c r="AH176" s="244">
        <f t="shared" si="790"/>
        <v>777647.10632124706</v>
      </c>
      <c r="AI176" s="244">
        <f t="shared" si="791"/>
        <v>1055196.4370044675</v>
      </c>
      <c r="AJ176" s="244">
        <f t="shared" si="792"/>
        <v>989853.88303645328</v>
      </c>
      <c r="AK176" s="244">
        <f t="shared" si="793"/>
        <v>1441323.4220045782</v>
      </c>
      <c r="AL176" s="244">
        <f t="shared" si="794"/>
        <v>1176592.2532179747</v>
      </c>
      <c r="AM176" s="244">
        <f t="shared" si="795"/>
        <v>1596528.7381777838</v>
      </c>
      <c r="AN176" s="244">
        <f t="shared" si="796"/>
        <v>1497664.4304740741</v>
      </c>
      <c r="AO176" s="244">
        <f t="shared" si="797"/>
        <v>2180744.9149198672</v>
      </c>
      <c r="AP176" s="244">
        <f t="shared" si="798"/>
        <v>1442620.4111071171</v>
      </c>
      <c r="AQ176" s="244">
        <f t="shared" si="799"/>
        <v>1957504.7671061577</v>
      </c>
      <c r="AR176" s="244">
        <f t="shared" si="800"/>
        <v>1836287.1848611019</v>
      </c>
      <c r="AS176" s="244">
        <f t="shared" si="801"/>
        <v>2673812.5438759201</v>
      </c>
      <c r="AT176" s="244">
        <f t="shared" si="802"/>
        <v>1716547.4913132575</v>
      </c>
      <c r="AU176" s="244">
        <f t="shared" si="803"/>
        <v>2329198.9156254358</v>
      </c>
      <c r="AV176" s="244">
        <f t="shared" si="804"/>
        <v>2184964.3442137334</v>
      </c>
      <c r="AW176" s="244">
        <f t="shared" si="805"/>
        <v>3181520.3632879518</v>
      </c>
      <c r="AY176" s="20">
        <f t="shared" ref="AY176:CD176" si="818">AY$173*AY152</f>
        <v>657</v>
      </c>
      <c r="AZ176" s="20">
        <f t="shared" si="818"/>
        <v>2285</v>
      </c>
      <c r="BA176" s="20">
        <f t="shared" si="818"/>
        <v>6484.78</v>
      </c>
      <c r="BB176" s="20">
        <f t="shared" si="818"/>
        <v>1616.1342999999999</v>
      </c>
      <c r="BC176" s="20">
        <f t="shared" si="818"/>
        <v>4759.4668000000001</v>
      </c>
      <c r="BD176" s="20">
        <f t="shared" si="818"/>
        <v>5380</v>
      </c>
      <c r="BE176" s="20">
        <f t="shared" si="818"/>
        <v>650</v>
      </c>
      <c r="BF176" s="20">
        <f t="shared" si="818"/>
        <v>3194.9900000000002</v>
      </c>
      <c r="BG176" s="20">
        <f t="shared" si="818"/>
        <v>5153</v>
      </c>
      <c r="BH176" s="20">
        <f t="shared" si="818"/>
        <v>2424.9467</v>
      </c>
      <c r="BI176" s="20">
        <f t="shared" si="818"/>
        <v>3908.6666999999998</v>
      </c>
      <c r="BJ176" s="20">
        <f t="shared" si="818"/>
        <v>4841.49</v>
      </c>
      <c r="BK176" s="20">
        <f t="shared" si="818"/>
        <v>1116</v>
      </c>
      <c r="BL176" s="20">
        <f t="shared" si="818"/>
        <v>1425</v>
      </c>
      <c r="BM176" s="20">
        <f t="shared" si="818"/>
        <v>10579.6126</v>
      </c>
      <c r="BN176" s="20">
        <f t="shared" si="818"/>
        <v>2891</v>
      </c>
      <c r="BO176" s="20">
        <f t="shared" si="818"/>
        <v>3955.2334000000005</v>
      </c>
      <c r="BP176" s="20">
        <f t="shared" si="818"/>
        <v>5565.3</v>
      </c>
      <c r="BQ176" s="20">
        <f t="shared" si="818"/>
        <v>1877.5</v>
      </c>
      <c r="BR176" s="20">
        <f t="shared" si="818"/>
        <v>5659.7367000000004</v>
      </c>
      <c r="BS176" s="20">
        <f t="shared" si="818"/>
        <v>10724.8747</v>
      </c>
      <c r="BT176" s="20">
        <f t="shared" si="818"/>
        <v>1250</v>
      </c>
      <c r="BU176" s="20">
        <f t="shared" si="818"/>
        <v>9504.1949000000004</v>
      </c>
      <c r="BV176" s="20">
        <f t="shared" si="818"/>
        <v>9917.5667000000012</v>
      </c>
      <c r="BW176" s="20">
        <f t="shared" si="818"/>
        <v>1595.4</v>
      </c>
      <c r="BX176" s="20">
        <f t="shared" si="818"/>
        <v>5854.9086307699999</v>
      </c>
      <c r="BY176" s="20">
        <f t="shared" si="818"/>
        <v>8188.1964835200006</v>
      </c>
      <c r="BZ176" s="20">
        <f t="shared" si="818"/>
        <v>3198.4890109900002</v>
      </c>
      <c r="CA176" s="20">
        <f t="shared" si="818"/>
        <v>4453.3455999999996</v>
      </c>
      <c r="CB176" s="20">
        <f t="shared" si="818"/>
        <v>8461.2291282099995</v>
      </c>
      <c r="CC176" s="20">
        <f t="shared" si="818"/>
        <v>2363.2837</v>
      </c>
      <c r="CD176" s="20">
        <f t="shared" si="818"/>
        <v>5393.3234769199998</v>
      </c>
      <c r="CE176" s="20">
        <f t="shared" ref="CE176:DJ176" si="819">CE$173*CE152</f>
        <v>2478.1998000000003</v>
      </c>
      <c r="CF176" s="20">
        <f t="shared" si="819"/>
        <v>1319.2769000000001</v>
      </c>
      <c r="CG176" s="20">
        <f t="shared" si="819"/>
        <v>9319.0891362700004</v>
      </c>
      <c r="CH176" s="20">
        <f t="shared" si="819"/>
        <v>11105.58289451</v>
      </c>
      <c r="CI176" s="20">
        <f t="shared" si="819"/>
        <v>6104.4705218280005</v>
      </c>
      <c r="CJ176" s="20">
        <f t="shared" si="819"/>
        <v>15698.202240000001</v>
      </c>
      <c r="CK176" s="20">
        <f t="shared" si="819"/>
        <v>30192.388990890006</v>
      </c>
      <c r="CL176" s="20">
        <f t="shared" si="819"/>
        <v>18428.011139999999</v>
      </c>
      <c r="CM176" s="20">
        <f t="shared" si="819"/>
        <v>26091.126916344001</v>
      </c>
      <c r="CN176" s="20">
        <f t="shared" si="819"/>
        <v>36134.771029392003</v>
      </c>
      <c r="CO176" s="20">
        <f t="shared" si="819"/>
        <v>18255.450832499999</v>
      </c>
      <c r="CP176" s="20">
        <f t="shared" si="819"/>
        <v>42596.051942499995</v>
      </c>
      <c r="CQ176" s="20">
        <f t="shared" si="819"/>
        <v>60851.502774999994</v>
      </c>
      <c r="CR176" s="20">
        <f t="shared" si="819"/>
        <v>18030.002381999999</v>
      </c>
      <c r="CS176" s="20">
        <f t="shared" si="819"/>
        <v>72120.009527999995</v>
      </c>
      <c r="CT176" s="20">
        <f t="shared" si="819"/>
        <v>90150.011909999987</v>
      </c>
      <c r="CU176" s="20">
        <f t="shared" si="819"/>
        <v>26290.32455178579</v>
      </c>
      <c r="CV176" s="20">
        <f t="shared" si="819"/>
        <v>57780.542415246004</v>
      </c>
      <c r="CW176" s="20">
        <f t="shared" si="819"/>
        <v>114811.87812665639</v>
      </c>
      <c r="CX176" s="20">
        <f t="shared" si="819"/>
        <v>45906.333534431848</v>
      </c>
      <c r="CY176" s="20">
        <f t="shared" si="819"/>
        <v>90039.115132423176</v>
      </c>
      <c r="CZ176" s="20">
        <f t="shared" si="819"/>
        <v>128669.20923110402</v>
      </c>
      <c r="DA176" s="20">
        <f t="shared" si="819"/>
        <v>44080.713828746193</v>
      </c>
      <c r="DB176" s="20">
        <f t="shared" si="819"/>
        <v>78600.278502703193</v>
      </c>
      <c r="DC176" s="20">
        <f t="shared" si="819"/>
        <v>138197.98503789294</v>
      </c>
      <c r="DD176" s="20">
        <f t="shared" si="819"/>
        <v>59342.452189012554</v>
      </c>
      <c r="DE176" s="20">
        <f t="shared" si="819"/>
        <v>158291.77363944153</v>
      </c>
      <c r="DF176" s="20">
        <f t="shared" si="819"/>
        <v>181784.95340478598</v>
      </c>
      <c r="DG176" s="20">
        <f t="shared" si="819"/>
        <v>107428.69449891342</v>
      </c>
      <c r="DH176" s="20">
        <f t="shared" si="819"/>
        <v>226912.12219450611</v>
      </c>
      <c r="DI176" s="20">
        <f t="shared" si="819"/>
        <v>443306.28962782753</v>
      </c>
      <c r="DJ176" s="20">
        <f t="shared" si="819"/>
        <v>191238.62183806894</v>
      </c>
      <c r="DK176" s="20">
        <f t="shared" ref="DK176:EP176" si="820">DK$173*DK152</f>
        <v>358691.76687291748</v>
      </c>
      <c r="DL176" s="20">
        <f t="shared" si="820"/>
        <v>505266.04829348106</v>
      </c>
      <c r="DM176" s="20">
        <f t="shared" si="820"/>
        <v>167255.58414248363</v>
      </c>
      <c r="DN176" s="20">
        <f t="shared" si="820"/>
        <v>298233.27148932073</v>
      </c>
      <c r="DO176" s="20">
        <f t="shared" si="820"/>
        <v>524365.02740464895</v>
      </c>
      <c r="DP176" s="20">
        <f t="shared" si="820"/>
        <v>200431.92266669701</v>
      </c>
      <c r="DQ176" s="20">
        <f t="shared" si="820"/>
        <v>575875.62859192421</v>
      </c>
      <c r="DR176" s="20">
        <f t="shared" si="820"/>
        <v>665015.87074595701</v>
      </c>
      <c r="DS176" s="20">
        <f t="shared" si="820"/>
        <v>162541.29757994122</v>
      </c>
      <c r="DT176" s="20">
        <f t="shared" si="820"/>
        <v>343321.59531628899</v>
      </c>
      <c r="DU176" s="20">
        <f t="shared" si="820"/>
        <v>670729.36032174458</v>
      </c>
      <c r="DV176" s="20">
        <f t="shared" si="820"/>
        <v>289347.03047400259</v>
      </c>
      <c r="DW176" s="20">
        <f t="shared" si="820"/>
        <v>542706.26196016453</v>
      </c>
      <c r="DX176" s="20">
        <f t="shared" si="820"/>
        <v>764475.44574361655</v>
      </c>
      <c r="DY176" s="20">
        <f t="shared" si="820"/>
        <v>253060.31876134637</v>
      </c>
      <c r="DZ176" s="20">
        <f t="shared" si="820"/>
        <v>451231.6114003915</v>
      </c>
      <c r="EA176" s="20">
        <f t="shared" si="820"/>
        <v>793372.50031233637</v>
      </c>
      <c r="EB176" s="20">
        <f t="shared" si="820"/>
        <v>303256.63863500528</v>
      </c>
      <c r="EC176" s="20">
        <f t="shared" si="820"/>
        <v>871308.84678992722</v>
      </c>
      <c r="ED176" s="20">
        <f t="shared" si="820"/>
        <v>1006179.4294949346</v>
      </c>
      <c r="EE176" s="20">
        <f t="shared" si="820"/>
        <v>199291.97467970956</v>
      </c>
      <c r="EF176" s="20">
        <f t="shared" si="820"/>
        <v>420946.79751846066</v>
      </c>
      <c r="EG176" s="20">
        <f t="shared" si="820"/>
        <v>822381.63890894689</v>
      </c>
      <c r="EH176" s="20">
        <f t="shared" si="820"/>
        <v>354768.55377331685</v>
      </c>
      <c r="EI176" s="20">
        <f t="shared" si="820"/>
        <v>665412.44734367297</v>
      </c>
      <c r="EJ176" s="20">
        <f t="shared" si="820"/>
        <v>937323.76598916797</v>
      </c>
      <c r="EK176" s="20">
        <f t="shared" si="820"/>
        <v>310277.3965134708</v>
      </c>
      <c r="EL176" s="20">
        <f t="shared" si="820"/>
        <v>553255.3278016221</v>
      </c>
      <c r="EM176" s="20">
        <f t="shared" si="820"/>
        <v>972754.46054600901</v>
      </c>
      <c r="EN176" s="20">
        <f t="shared" si="820"/>
        <v>371823.13201712508</v>
      </c>
      <c r="EO176" s="20">
        <f t="shared" si="820"/>
        <v>1068312.25798024</v>
      </c>
      <c r="EP176" s="20">
        <f t="shared" si="820"/>
        <v>1233677.1538785549</v>
      </c>
      <c r="EQ176" s="20">
        <f t="shared" ref="EQ176:FB176" si="821">EQ$173*EQ152</f>
        <v>237133.85485291015</v>
      </c>
      <c r="ER176" s="20">
        <f t="shared" si="821"/>
        <v>500876.85138333385</v>
      </c>
      <c r="ES176" s="20">
        <f t="shared" si="821"/>
        <v>978536.78507701354</v>
      </c>
      <c r="ET176" s="20">
        <f t="shared" si="821"/>
        <v>422132.57644751429</v>
      </c>
      <c r="EU176" s="20">
        <f t="shared" si="821"/>
        <v>791762.03135780094</v>
      </c>
      <c r="EV176" s="20">
        <f t="shared" si="821"/>
        <v>1115304.3078201206</v>
      </c>
      <c r="EW176" s="20">
        <f t="shared" si="821"/>
        <v>369193.36680372275</v>
      </c>
      <c r="EX176" s="20">
        <f t="shared" si="821"/>
        <v>658308.33785634849</v>
      </c>
      <c r="EY176" s="20">
        <f t="shared" si="821"/>
        <v>1157462.6395536619</v>
      </c>
      <c r="EZ176" s="20">
        <f t="shared" si="821"/>
        <v>442425.50539432437</v>
      </c>
      <c r="FA176" s="20">
        <f t="shared" si="821"/>
        <v>1271165.1050104401</v>
      </c>
      <c r="FB176" s="20">
        <f t="shared" si="821"/>
        <v>1467929.7528831875</v>
      </c>
    </row>
    <row r="177" spans="3:158" x14ac:dyDescent="0.25">
      <c r="C177" s="2" t="s">
        <v>300</v>
      </c>
      <c r="D177" s="244">
        <f t="shared" si="769"/>
        <v>82710.948999999993</v>
      </c>
      <c r="E177" s="244">
        <f t="shared" si="769"/>
        <v>128932.03800000002</v>
      </c>
      <c r="F177" s="244">
        <f t="shared" si="769"/>
        <v>127460.64952238</v>
      </c>
      <c r="G177" s="244">
        <f t="shared" si="769"/>
        <v>566200.22032971215</v>
      </c>
      <c r="H177" s="244">
        <f t="shared" si="769"/>
        <v>650310.78218971798</v>
      </c>
      <c r="I177" s="244">
        <f t="shared" si="769"/>
        <v>888291.41156538646</v>
      </c>
      <c r="J177" s="244">
        <f t="shared" si="769"/>
        <v>1119999.016854973</v>
      </c>
      <c r="K177" s="244">
        <f t="shared" si="769"/>
        <v>1373231.4127650119</v>
      </c>
      <c r="L177" s="244">
        <f t="shared" si="769"/>
        <v>1633982.7985418083</v>
      </c>
      <c r="N177" s="244">
        <f t="shared" si="770"/>
        <v>18853.559999999998</v>
      </c>
      <c r="O177" s="244">
        <f t="shared" si="771"/>
        <v>23511.2022</v>
      </c>
      <c r="P177" s="244">
        <f t="shared" si="772"/>
        <v>17995.98</v>
      </c>
      <c r="Q177" s="244">
        <f t="shared" si="773"/>
        <v>22350.2068</v>
      </c>
      <c r="R177" s="244">
        <f t="shared" si="774"/>
        <v>26241.225200000001</v>
      </c>
      <c r="S177" s="244">
        <f t="shared" si="775"/>
        <v>24823.066800000001</v>
      </c>
      <c r="T177" s="244">
        <f t="shared" si="776"/>
        <v>36524.222800000003</v>
      </c>
      <c r="U177" s="244">
        <f t="shared" si="777"/>
        <v>41343.523200000003</v>
      </c>
      <c r="V177" s="244">
        <f t="shared" si="778"/>
        <v>31277.010228580002</v>
      </c>
      <c r="W177" s="244">
        <f t="shared" si="779"/>
        <v>32226.127478399998</v>
      </c>
      <c r="X177" s="244">
        <f t="shared" si="780"/>
        <v>20469.613953840002</v>
      </c>
      <c r="Y177" s="244">
        <f t="shared" si="781"/>
        <v>43487.897861560006</v>
      </c>
      <c r="Z177" s="244">
        <f t="shared" si="782"/>
        <v>67731.461965726674</v>
      </c>
      <c r="AA177" s="244">
        <f t="shared" si="783"/>
        <v>105063.96168174839</v>
      </c>
      <c r="AB177" s="244">
        <f t="shared" si="784"/>
        <v>158536.64201280699</v>
      </c>
      <c r="AC177" s="244">
        <f t="shared" si="785"/>
        <v>234868.15466943011</v>
      </c>
      <c r="AD177" s="244">
        <f t="shared" si="786"/>
        <v>115088.18701207009</v>
      </c>
      <c r="AE177" s="244">
        <f t="shared" si="787"/>
        <v>153125.50729299925</v>
      </c>
      <c r="AF177" s="244">
        <f t="shared" si="788"/>
        <v>150963.76772583739</v>
      </c>
      <c r="AG177" s="244">
        <f t="shared" si="789"/>
        <v>231133.32015881123</v>
      </c>
      <c r="AH177" s="244">
        <f t="shared" si="790"/>
        <v>162001.37624524703</v>
      </c>
      <c r="AI177" s="244">
        <f t="shared" si="791"/>
        <v>219821.14202478359</v>
      </c>
      <c r="AJ177" s="244">
        <f t="shared" si="792"/>
        <v>206208.81892327551</v>
      </c>
      <c r="AK177" s="244">
        <f t="shared" si="793"/>
        <v>300260.07437208027</v>
      </c>
      <c r="AL177" s="244">
        <f t="shared" si="794"/>
        <v>204258.84992413153</v>
      </c>
      <c r="AM177" s="244">
        <f t="shared" si="795"/>
        <v>277160.69270312029</v>
      </c>
      <c r="AN177" s="244">
        <f t="shared" si="796"/>
        <v>259997.64430221939</v>
      </c>
      <c r="AO177" s="244">
        <f t="shared" si="797"/>
        <v>378581.82992550172</v>
      </c>
      <c r="AP177" s="244">
        <f t="shared" si="798"/>
        <v>250441.88863550808</v>
      </c>
      <c r="AQ177" s="244">
        <f t="shared" si="799"/>
        <v>339826.87830601842</v>
      </c>
      <c r="AR177" s="244">
        <f t="shared" si="800"/>
        <v>318783.25518828916</v>
      </c>
      <c r="AS177" s="244">
        <f t="shared" si="801"/>
        <v>464179.39063519612</v>
      </c>
      <c r="AT177" s="244">
        <f t="shared" si="802"/>
        <v>297996.19660664507</v>
      </c>
      <c r="AU177" s="244">
        <f t="shared" si="803"/>
        <v>404353.75164929533</v>
      </c>
      <c r="AV177" s="244">
        <f t="shared" si="804"/>
        <v>379314.33158233657</v>
      </c>
      <c r="AW177" s="244">
        <f t="shared" si="805"/>
        <v>552318.51870353147</v>
      </c>
      <c r="AY177" s="20">
        <f t="shared" ref="AY177:CD177" si="822">AY$173*AY153</f>
        <v>1314</v>
      </c>
      <c r="AZ177" s="20">
        <f t="shared" si="822"/>
        <v>4570</v>
      </c>
      <c r="BA177" s="20">
        <f t="shared" si="822"/>
        <v>12969.56</v>
      </c>
      <c r="BB177" s="20">
        <f t="shared" si="822"/>
        <v>3232.2685999999999</v>
      </c>
      <c r="BC177" s="20">
        <f t="shared" si="822"/>
        <v>9518.9336000000003</v>
      </c>
      <c r="BD177" s="20">
        <f t="shared" si="822"/>
        <v>10760</v>
      </c>
      <c r="BE177" s="20">
        <f t="shared" si="822"/>
        <v>1300</v>
      </c>
      <c r="BF177" s="20">
        <f t="shared" si="822"/>
        <v>6389.9800000000005</v>
      </c>
      <c r="BG177" s="20">
        <f t="shared" si="822"/>
        <v>10306</v>
      </c>
      <c r="BH177" s="20">
        <f t="shared" si="822"/>
        <v>4849.8933999999999</v>
      </c>
      <c r="BI177" s="20">
        <f t="shared" si="822"/>
        <v>7817.3333999999995</v>
      </c>
      <c r="BJ177" s="20">
        <f t="shared" si="822"/>
        <v>9682.98</v>
      </c>
      <c r="BK177" s="20">
        <f t="shared" si="822"/>
        <v>2232</v>
      </c>
      <c r="BL177" s="20">
        <f t="shared" si="822"/>
        <v>2850</v>
      </c>
      <c r="BM177" s="20">
        <f t="shared" si="822"/>
        <v>21159.225200000001</v>
      </c>
      <c r="BN177" s="20">
        <f t="shared" si="822"/>
        <v>5782</v>
      </c>
      <c r="BO177" s="20">
        <f t="shared" si="822"/>
        <v>7910.4668000000011</v>
      </c>
      <c r="BP177" s="20">
        <f t="shared" si="822"/>
        <v>11130.6</v>
      </c>
      <c r="BQ177" s="20">
        <f t="shared" si="822"/>
        <v>3755</v>
      </c>
      <c r="BR177" s="20">
        <f t="shared" si="822"/>
        <v>11319.473400000001</v>
      </c>
      <c r="BS177" s="20">
        <f t="shared" si="822"/>
        <v>21449.749400000001</v>
      </c>
      <c r="BT177" s="20">
        <f t="shared" si="822"/>
        <v>2500</v>
      </c>
      <c r="BU177" s="20">
        <f t="shared" si="822"/>
        <v>19008.389800000001</v>
      </c>
      <c r="BV177" s="20">
        <f t="shared" si="822"/>
        <v>19835.133400000002</v>
      </c>
      <c r="BW177" s="20">
        <f t="shared" si="822"/>
        <v>3190.8</v>
      </c>
      <c r="BX177" s="20">
        <f t="shared" si="822"/>
        <v>11709.81726154</v>
      </c>
      <c r="BY177" s="20">
        <f t="shared" si="822"/>
        <v>16376.392967040001</v>
      </c>
      <c r="BZ177" s="20">
        <f t="shared" si="822"/>
        <v>6396.9780219800004</v>
      </c>
      <c r="CA177" s="20">
        <f t="shared" si="822"/>
        <v>8906.6911999999993</v>
      </c>
      <c r="CB177" s="20">
        <f t="shared" si="822"/>
        <v>16922.458256419999</v>
      </c>
      <c r="CC177" s="20">
        <f t="shared" si="822"/>
        <v>4726.5673999999999</v>
      </c>
      <c r="CD177" s="20">
        <f t="shared" si="822"/>
        <v>10786.64695384</v>
      </c>
      <c r="CE177" s="20">
        <f t="shared" ref="CE177:DJ177" si="823">CE$173*CE153</f>
        <v>4956.3996000000006</v>
      </c>
      <c r="CF177" s="20">
        <f t="shared" si="823"/>
        <v>2638.5538000000001</v>
      </c>
      <c r="CG177" s="20">
        <f t="shared" si="823"/>
        <v>18638.178272540001</v>
      </c>
      <c r="CH177" s="20">
        <f t="shared" si="823"/>
        <v>22211.16578902</v>
      </c>
      <c r="CI177" s="20">
        <f t="shared" si="823"/>
        <v>7951.9996521300272</v>
      </c>
      <c r="CJ177" s="20">
        <f t="shared" si="823"/>
        <v>20449.291761698198</v>
      </c>
      <c r="CK177" s="20">
        <f t="shared" si="823"/>
        <v>39330.170551898453</v>
      </c>
      <c r="CL177" s="20">
        <f t="shared" si="823"/>
        <v>24005.282301018731</v>
      </c>
      <c r="CM177" s="20">
        <f t="shared" si="823"/>
        <v>33987.654034951171</v>
      </c>
      <c r="CN177" s="20">
        <f t="shared" si="823"/>
        <v>47071.025345778486</v>
      </c>
      <c r="CO177" s="20">
        <f t="shared" si="823"/>
        <v>23780.496301921048</v>
      </c>
      <c r="CP177" s="20">
        <f t="shared" si="823"/>
        <v>55487.824704482446</v>
      </c>
      <c r="CQ177" s="20">
        <f t="shared" si="823"/>
        <v>79268.321006403494</v>
      </c>
      <c r="CR177" s="20">
        <f t="shared" si="823"/>
        <v>23486.815466943011</v>
      </c>
      <c r="CS177" s="20">
        <f t="shared" si="823"/>
        <v>93947.261867772046</v>
      </c>
      <c r="CT177" s="20">
        <f t="shared" si="823"/>
        <v>117434.07733471505</v>
      </c>
      <c r="CU177" s="20">
        <f t="shared" si="823"/>
        <v>15213.515819075275</v>
      </c>
      <c r="CV177" s="20">
        <f t="shared" si="823"/>
        <v>33436.072435605791</v>
      </c>
      <c r="CW177" s="20">
        <f t="shared" si="823"/>
        <v>66438.598757389016</v>
      </c>
      <c r="CX177" s="20">
        <f t="shared" si="823"/>
        <v>26564.781657455253</v>
      </c>
      <c r="CY177" s="20">
        <f t="shared" si="823"/>
        <v>52103.25569410342</v>
      </c>
      <c r="CZ177" s="20">
        <f t="shared" si="823"/>
        <v>74457.469941440562</v>
      </c>
      <c r="DA177" s="20">
        <f t="shared" si="823"/>
        <v>25508.343795025838</v>
      </c>
      <c r="DB177" s="20">
        <f t="shared" si="823"/>
        <v>45483.903328358589</v>
      </c>
      <c r="DC177" s="20">
        <f t="shared" si="823"/>
        <v>79971.520602452962</v>
      </c>
      <c r="DD177" s="20">
        <f t="shared" si="823"/>
        <v>34339.908331749248</v>
      </c>
      <c r="DE177" s="20">
        <f t="shared" si="823"/>
        <v>91599.264875927489</v>
      </c>
      <c r="DF177" s="20">
        <f t="shared" si="823"/>
        <v>105194.14695113448</v>
      </c>
      <c r="DG177" s="20">
        <f t="shared" si="823"/>
        <v>22379.812405377517</v>
      </c>
      <c r="DH177" s="20">
        <f t="shared" si="823"/>
        <v>47270.896764648947</v>
      </c>
      <c r="DI177" s="20">
        <f t="shared" si="823"/>
        <v>92350.667075220568</v>
      </c>
      <c r="DJ177" s="20">
        <f t="shared" si="823"/>
        <v>39839.304585817183</v>
      </c>
      <c r="DK177" s="20">
        <f t="shared" ref="DK177:EP177" si="824">DK$173*DK153</f>
        <v>74723.559579796362</v>
      </c>
      <c r="DL177" s="20">
        <f t="shared" si="824"/>
        <v>105258.27785917005</v>
      </c>
      <c r="DM177" s="20">
        <f t="shared" si="824"/>
        <v>34843.098618297721</v>
      </c>
      <c r="DN177" s="20">
        <f t="shared" si="824"/>
        <v>62128.695690707929</v>
      </c>
      <c r="DO177" s="20">
        <f t="shared" si="824"/>
        <v>109237.02461426987</v>
      </c>
      <c r="DP177" s="20">
        <f t="shared" si="824"/>
        <v>41754.475843278371</v>
      </c>
      <c r="DQ177" s="20">
        <f t="shared" si="824"/>
        <v>119967.84096493396</v>
      </c>
      <c r="DR177" s="20">
        <f t="shared" si="824"/>
        <v>138537.75756386793</v>
      </c>
      <c r="DS177" s="20">
        <f t="shared" si="824"/>
        <v>28217.505612544701</v>
      </c>
      <c r="DT177" s="20">
        <f t="shared" si="824"/>
        <v>59601.339394873357</v>
      </c>
      <c r="DU177" s="20">
        <f t="shared" si="824"/>
        <v>116440.00491671347</v>
      </c>
      <c r="DV177" s="20">
        <f t="shared" si="824"/>
        <v>50231.243246706348</v>
      </c>
      <c r="DW177" s="20">
        <f t="shared" si="824"/>
        <v>94214.930118251563</v>
      </c>
      <c r="DX177" s="20">
        <f t="shared" si="824"/>
        <v>132714.51933816235</v>
      </c>
      <c r="DY177" s="20">
        <f t="shared" si="824"/>
        <v>43931.795003966181</v>
      </c>
      <c r="DZ177" s="20">
        <f t="shared" si="824"/>
        <v>78334.741489226522</v>
      </c>
      <c r="EA177" s="20">
        <f t="shared" si="824"/>
        <v>137731.10780902667</v>
      </c>
      <c r="EB177" s="20">
        <f t="shared" si="824"/>
        <v>52645.980007118604</v>
      </c>
      <c r="EC177" s="20">
        <f t="shared" si="824"/>
        <v>151261.01883407589</v>
      </c>
      <c r="ED177" s="20">
        <f t="shared" si="824"/>
        <v>174674.8310843072</v>
      </c>
      <c r="EE177" s="20">
        <f t="shared" si="824"/>
        <v>34597.499206588123</v>
      </c>
      <c r="EF177" s="20">
        <f t="shared" si="824"/>
        <v>73077.235129847526</v>
      </c>
      <c r="EG177" s="20">
        <f t="shared" si="824"/>
        <v>142767.15429907243</v>
      </c>
      <c r="EH177" s="20">
        <f t="shared" si="824"/>
        <v>61588.55507062425</v>
      </c>
      <c r="EI177" s="20">
        <f t="shared" si="824"/>
        <v>115516.97782123728</v>
      </c>
      <c r="EJ177" s="20">
        <f t="shared" si="824"/>
        <v>162721.34541415691</v>
      </c>
      <c r="EK177" s="20">
        <f t="shared" si="824"/>
        <v>53864.798103131921</v>
      </c>
      <c r="EL177" s="20">
        <f t="shared" si="824"/>
        <v>96046.269777897352</v>
      </c>
      <c r="EM177" s="20">
        <f t="shared" si="824"/>
        <v>168872.18730725988</v>
      </c>
      <c r="EN177" s="20">
        <f t="shared" si="824"/>
        <v>64549.265145413454</v>
      </c>
      <c r="EO177" s="20">
        <f t="shared" si="824"/>
        <v>185461.21868309638</v>
      </c>
      <c r="EP177" s="20">
        <f t="shared" si="824"/>
        <v>214168.90680668628</v>
      </c>
      <c r="EQ177" s="20">
        <f t="shared" ref="EQ177:FB177" si="825">EQ$173*EQ153</f>
        <v>41166.927912245919</v>
      </c>
      <c r="ER177" s="20">
        <f t="shared" si="825"/>
        <v>86953.257882980717</v>
      </c>
      <c r="ES177" s="20">
        <f t="shared" si="825"/>
        <v>169876.01081141844</v>
      </c>
      <c r="ET177" s="20">
        <f t="shared" si="825"/>
        <v>73283.088805707041</v>
      </c>
      <c r="EU177" s="20">
        <f t="shared" si="825"/>
        <v>137451.52706591686</v>
      </c>
      <c r="EV177" s="20">
        <f t="shared" si="825"/>
        <v>193619.13577767141</v>
      </c>
      <c r="EW177" s="20">
        <f t="shared" si="825"/>
        <v>64092.732462497232</v>
      </c>
      <c r="EX177" s="20">
        <f t="shared" si="825"/>
        <v>114283.68971344348</v>
      </c>
      <c r="EY177" s="20">
        <f t="shared" si="825"/>
        <v>200937.90940639583</v>
      </c>
      <c r="EZ177" s="20">
        <f t="shared" si="825"/>
        <v>76805.983263775226</v>
      </c>
      <c r="FA177" s="20">
        <f t="shared" si="825"/>
        <v>220676.89269837338</v>
      </c>
      <c r="FB177" s="20">
        <f t="shared" si="825"/>
        <v>254835.64274138285</v>
      </c>
    </row>
    <row r="179" spans="3:158" s="1" customFormat="1" x14ac:dyDescent="0.25">
      <c r="C179" s="304" t="s">
        <v>645</v>
      </c>
      <c r="D179" s="22">
        <f t="shared" si="769"/>
        <v>1895049.81</v>
      </c>
      <c r="E179" s="22">
        <f t="shared" si="769"/>
        <v>2734060.3200000003</v>
      </c>
      <c r="F179" s="22">
        <f t="shared" si="769"/>
        <v>5291309.6112820003</v>
      </c>
      <c r="G179" s="22">
        <f t="shared" si="769"/>
        <v>12324815.001792001</v>
      </c>
      <c r="H179" s="22">
        <f t="shared" si="769"/>
        <v>16795397.834156636</v>
      </c>
      <c r="I179" s="22">
        <f t="shared" si="769"/>
        <v>23553638.971930597</v>
      </c>
      <c r="J179" s="22">
        <f t="shared" si="769"/>
        <v>33636183.807194166</v>
      </c>
      <c r="K179" s="22">
        <f t="shared" si="769"/>
        <v>46875406.856001765</v>
      </c>
      <c r="L179" s="22">
        <f t="shared" si="769"/>
        <v>63698937.84520258</v>
      </c>
      <c r="N179" s="22">
        <f t="shared" ref="N179:N183" si="826">SUM(AY179:BA179)</f>
        <v>207675</v>
      </c>
      <c r="O179" s="22">
        <f t="shared" ref="O179:O183" si="827">SUM(BB179:BD179)</f>
        <v>501334.72</v>
      </c>
      <c r="P179" s="22">
        <f t="shared" ref="P179:P183" si="828">SUM(BE179:BG179)</f>
        <v>423071.46</v>
      </c>
      <c r="Q179" s="22">
        <f t="shared" ref="Q179:Q183" si="829">SUM(BH179:BJ179)</f>
        <v>762968.63</v>
      </c>
      <c r="R179" s="22">
        <f t="shared" ref="R179:R183" si="830">SUM(BK179:BM179)</f>
        <v>523982</v>
      </c>
      <c r="S179" s="22">
        <f t="shared" ref="S179:S183" si="831">SUM(BN179:BP179)</f>
        <v>538121.82000000007</v>
      </c>
      <c r="T179" s="22">
        <f t="shared" ref="T179:T183" si="832">SUM(BQ179:BS179)</f>
        <v>629803.82000000007</v>
      </c>
      <c r="U179" s="22">
        <f t="shared" ref="U179:U183" si="833">SUM(BT179:BV179)</f>
        <v>1042152.6799999999</v>
      </c>
      <c r="V179" s="22">
        <f t="shared" ref="V179:V183" si="834">SUM(BW179:BY179)</f>
        <v>658975.99</v>
      </c>
      <c r="W179" s="22">
        <f t="shared" ref="W179:W183" si="835">SUM(BZ179:CB179)</f>
        <v>1169172.2</v>
      </c>
      <c r="X179" s="22">
        <f t="shared" ref="X179:X183" si="836">SUM(CC179:CE179)</f>
        <v>1491143.536667</v>
      </c>
      <c r="Y179" s="22">
        <f t="shared" ref="Y179:Y183" si="837">SUM(CF179:CH179)</f>
        <v>1972017.8846149999</v>
      </c>
      <c r="Z179" s="22">
        <f t="shared" ref="Z179:Z183" si="838">SUM(CI179:CK179)</f>
        <v>1723067.898847</v>
      </c>
      <c r="AA179" s="22">
        <f t="shared" ref="AA179:AA183" si="839">SUM(CL179:CN179)</f>
        <v>2260209.5879450003</v>
      </c>
      <c r="AB179" s="22">
        <f t="shared" ref="AB179:AB183" si="840">SUM(CO179:CQ179)</f>
        <v>3352066.6833333336</v>
      </c>
      <c r="AC179" s="22">
        <f t="shared" ref="AC179:AC183" si="841">SUM(CR179:CT179)</f>
        <v>4989470.831666667</v>
      </c>
      <c r="AD179" s="22">
        <f t="shared" ref="AD179:AD183" si="842">SUM(CU179:CW179)</f>
        <v>2972350.974054168</v>
      </c>
      <c r="AE179" s="22">
        <f t="shared" ref="AE179:AE183" si="843">SUM(CX179:CZ179)</f>
        <v>3954730.3904192261</v>
      </c>
      <c r="AF179" s="22">
        <f t="shared" ref="AF179:AF183" si="844">SUM(DA179:DC179)</f>
        <v>3898899.7367707239</v>
      </c>
      <c r="AG179" s="22">
        <f t="shared" ref="AG179:AG183" si="845">SUM(DD179:DF179)</f>
        <v>5969416.7329125181</v>
      </c>
      <c r="AH179" s="22">
        <f t="shared" ref="AH179:AH183" si="846">SUM(DG179:DI179)</f>
        <v>4295574.4920602217</v>
      </c>
      <c r="AI179" s="22">
        <f t="shared" ref="AI179:AI183" si="847">SUM(DJ179:DL179)</f>
        <v>5828704.1282151546</v>
      </c>
      <c r="AJ179" s="22">
        <f t="shared" ref="AJ179:AJ183" si="848">SUM(DM179:DO179)</f>
        <v>5467764.3062966</v>
      </c>
      <c r="AK179" s="22">
        <f t="shared" ref="AK179:AK183" si="849">SUM(DP179:DR179)</f>
        <v>7961596.0453586224</v>
      </c>
      <c r="AL179" s="22">
        <f t="shared" ref="AL179:AL183" si="850">SUM(DS179:DU179)</f>
        <v>6134369.8672048263</v>
      </c>
      <c r="AM179" s="22">
        <f t="shared" ref="AM179:AM183" si="851">SUM(DV179:DX179)</f>
        <v>8323782.3101576753</v>
      </c>
      <c r="AN179" s="22">
        <f t="shared" ref="AN179:AN183" si="852">SUM(DY179:EA179)</f>
        <v>7808335.919565686</v>
      </c>
      <c r="AO179" s="22">
        <f t="shared" ref="AO179:AO183" si="853">SUM(EB179:ED179)</f>
        <v>11369695.710265975</v>
      </c>
      <c r="AP179" s="22">
        <f t="shared" ref="AP179:AP183" si="854">SUM(EE179:EG179)</f>
        <v>8548861.6954495832</v>
      </c>
      <c r="AQ179" s="22">
        <f t="shared" ref="AQ179:AQ183" si="855">SUM(EH179:EJ179)</f>
        <v>11600028.249517974</v>
      </c>
      <c r="AR179" s="22">
        <f t="shared" ref="AR179:AR183" si="856">SUM(EK179:EM179)</f>
        <v>10881701.836213939</v>
      </c>
      <c r="AS179" s="22">
        <f t="shared" ref="AS179:AS183" si="857">SUM(EN179:EP179)</f>
        <v>15844815.074820267</v>
      </c>
      <c r="AT179" s="22">
        <f t="shared" ref="AT179:AT183" si="858">SUM(EQ179:ES179)</f>
        <v>11617038.577574573</v>
      </c>
      <c r="AU179" s="22">
        <f t="shared" ref="AU179:AU183" si="859">SUM(ET179:EV179)</f>
        <v>15763265.388576185</v>
      </c>
      <c r="AV179" s="22">
        <f t="shared" ref="AV179:AV183" si="860">SUM(EW179:EY179)</f>
        <v>14787132.430537388</v>
      </c>
      <c r="AW179" s="22">
        <f t="shared" ref="AW179:AW183" si="861">SUM(EZ179:FB179)</f>
        <v>21531501.448514428</v>
      </c>
      <c r="AY179" s="49">
        <f t="shared" ref="AY179:CD179" si="862">AY52</f>
        <v>78575</v>
      </c>
      <c r="AZ179" s="49">
        <f t="shared" si="862"/>
        <v>43500</v>
      </c>
      <c r="BA179" s="49">
        <f t="shared" si="862"/>
        <v>85600</v>
      </c>
      <c r="BB179" s="49">
        <f t="shared" si="862"/>
        <v>22383</v>
      </c>
      <c r="BC179" s="49">
        <f t="shared" si="862"/>
        <v>142000</v>
      </c>
      <c r="BD179" s="49">
        <f t="shared" si="862"/>
        <v>336951.72</v>
      </c>
      <c r="BE179" s="49">
        <f t="shared" si="862"/>
        <v>9800</v>
      </c>
      <c r="BF179" s="49">
        <f t="shared" si="862"/>
        <v>91054.46</v>
      </c>
      <c r="BG179" s="49">
        <f t="shared" si="862"/>
        <v>322217</v>
      </c>
      <c r="BH179" s="49">
        <f t="shared" si="862"/>
        <v>49500</v>
      </c>
      <c r="BI179" s="49">
        <f t="shared" si="862"/>
        <v>388700</v>
      </c>
      <c r="BJ179" s="49">
        <f t="shared" si="862"/>
        <v>324768.63</v>
      </c>
      <c r="BK179" s="49">
        <f t="shared" si="862"/>
        <v>138930</v>
      </c>
      <c r="BL179" s="49">
        <f t="shared" si="862"/>
        <v>88410</v>
      </c>
      <c r="BM179" s="49">
        <f t="shared" si="862"/>
        <v>296642</v>
      </c>
      <c r="BN179" s="49">
        <f t="shared" si="862"/>
        <v>24541</v>
      </c>
      <c r="BO179" s="49">
        <f t="shared" si="862"/>
        <v>223059.99</v>
      </c>
      <c r="BP179" s="49">
        <f t="shared" si="862"/>
        <v>290520.83</v>
      </c>
      <c r="BQ179" s="49">
        <f t="shared" si="862"/>
        <v>88420</v>
      </c>
      <c r="BR179" s="49">
        <f t="shared" si="862"/>
        <v>109137</v>
      </c>
      <c r="BS179" s="49">
        <f t="shared" si="862"/>
        <v>432246.82</v>
      </c>
      <c r="BT179" s="49">
        <f t="shared" si="862"/>
        <v>104050.86</v>
      </c>
      <c r="BU179" s="49">
        <f t="shared" si="862"/>
        <v>461873.48</v>
      </c>
      <c r="BV179" s="49">
        <f t="shared" si="862"/>
        <v>476228.34</v>
      </c>
      <c r="BW179" s="49">
        <f t="shared" si="862"/>
        <v>170270</v>
      </c>
      <c r="BX179" s="49">
        <f t="shared" si="862"/>
        <v>44780.99</v>
      </c>
      <c r="BY179" s="49">
        <f t="shared" si="862"/>
        <v>443925</v>
      </c>
      <c r="BZ179" s="49">
        <f t="shared" si="862"/>
        <v>177768.19</v>
      </c>
      <c r="CA179" s="49">
        <f t="shared" si="862"/>
        <v>381232.76</v>
      </c>
      <c r="CB179" s="49">
        <f t="shared" si="862"/>
        <v>610171.25</v>
      </c>
      <c r="CC179" s="49">
        <f t="shared" si="862"/>
        <v>223501.43</v>
      </c>
      <c r="CD179" s="49">
        <f t="shared" si="862"/>
        <v>464866.641282</v>
      </c>
      <c r="CE179" s="49">
        <f t="shared" ref="CE179:DJ179" si="863">CE52</f>
        <v>802775.46538499999</v>
      </c>
      <c r="CF179" s="49">
        <f t="shared" si="863"/>
        <v>359811.6</v>
      </c>
      <c r="CG179" s="49">
        <f t="shared" si="863"/>
        <v>549005.24</v>
      </c>
      <c r="CH179" s="49">
        <f t="shared" si="863"/>
        <v>1063201.044615</v>
      </c>
      <c r="CI179" s="49">
        <f t="shared" si="863"/>
        <v>140380.89470599999</v>
      </c>
      <c r="CJ179" s="49">
        <f t="shared" si="863"/>
        <v>487191.07</v>
      </c>
      <c r="CK179" s="49">
        <f t="shared" si="863"/>
        <v>1095495.934141</v>
      </c>
      <c r="CL179" s="49">
        <f t="shared" si="863"/>
        <v>597982.89088700002</v>
      </c>
      <c r="CM179" s="49">
        <f t="shared" si="863"/>
        <v>844329.451764</v>
      </c>
      <c r="CN179" s="49">
        <f t="shared" si="863"/>
        <v>817897.24529400002</v>
      </c>
      <c r="CO179" s="49">
        <f t="shared" si="863"/>
        <v>502810.0025</v>
      </c>
      <c r="CP179" s="49">
        <f t="shared" si="863"/>
        <v>1173223.3391666668</v>
      </c>
      <c r="CQ179" s="49">
        <f t="shared" si="863"/>
        <v>1676033.3416666668</v>
      </c>
      <c r="CR179" s="49">
        <f t="shared" si="863"/>
        <v>498947.08316666668</v>
      </c>
      <c r="CS179" s="49">
        <f t="shared" si="863"/>
        <v>1995788.3326666667</v>
      </c>
      <c r="CT179" s="49">
        <f t="shared" si="863"/>
        <v>2494735.4158333335</v>
      </c>
      <c r="CU179" s="49">
        <f t="shared" si="863"/>
        <v>392915.29163522547</v>
      </c>
      <c r="CV179" s="49">
        <f t="shared" si="863"/>
        <v>863544.25291359867</v>
      </c>
      <c r="CW179" s="49">
        <f t="shared" si="863"/>
        <v>1715891.4295053438</v>
      </c>
      <c r="CX179" s="49">
        <f t="shared" si="863"/>
        <v>686081.3145557011</v>
      </c>
      <c r="CY179" s="49">
        <f t="shared" si="863"/>
        <v>1345656.4642687393</v>
      </c>
      <c r="CZ179" s="49">
        <f t="shared" si="863"/>
        <v>1922992.6115947859</v>
      </c>
      <c r="DA179" s="49">
        <f t="shared" si="863"/>
        <v>658796.98424393381</v>
      </c>
      <c r="DB179" s="49">
        <f t="shared" si="863"/>
        <v>1174700.2700429501</v>
      </c>
      <c r="DC179" s="49">
        <f t="shared" si="863"/>
        <v>2065402.4824838401</v>
      </c>
      <c r="DD179" s="49">
        <f t="shared" si="863"/>
        <v>886887.37418464071</v>
      </c>
      <c r="DE179" s="49">
        <f t="shared" si="863"/>
        <v>2365709.0379576012</v>
      </c>
      <c r="DF179" s="49">
        <f t="shared" si="863"/>
        <v>2716820.3207702767</v>
      </c>
      <c r="DG179" s="49">
        <f t="shared" si="863"/>
        <v>593415.64580352174</v>
      </c>
      <c r="DH179" s="49">
        <f t="shared" si="863"/>
        <v>1253419.3416458433</v>
      </c>
      <c r="DI179" s="49">
        <f t="shared" si="863"/>
        <v>2448739.504610857</v>
      </c>
      <c r="DJ179" s="49">
        <f t="shared" si="863"/>
        <v>1056365.7206293333</v>
      </c>
      <c r="DK179" s="49">
        <f t="shared" ref="DK179:EP179" si="864">DK52</f>
        <v>1981344.9979646874</v>
      </c>
      <c r="DL179" s="49">
        <f t="shared" si="864"/>
        <v>2790993.4096211335</v>
      </c>
      <c r="DM179" s="49">
        <f t="shared" si="864"/>
        <v>923887.98859657615</v>
      </c>
      <c r="DN179" s="49">
        <f t="shared" si="864"/>
        <v>1647383.7853695813</v>
      </c>
      <c r="DO179" s="49">
        <f t="shared" si="864"/>
        <v>2896492.5323304422</v>
      </c>
      <c r="DP179" s="49">
        <f t="shared" si="864"/>
        <v>1107147.7633017551</v>
      </c>
      <c r="DQ179" s="49">
        <f t="shared" si="864"/>
        <v>3181027.2817458669</v>
      </c>
      <c r="DR179" s="49">
        <f t="shared" si="864"/>
        <v>3673421.0003110007</v>
      </c>
      <c r="DS179" s="49">
        <f t="shared" si="864"/>
        <v>847437.5343911465</v>
      </c>
      <c r="DT179" s="49">
        <f t="shared" si="864"/>
        <v>1789967.2918199685</v>
      </c>
      <c r="DU179" s="49">
        <f t="shared" si="864"/>
        <v>3496965.040993711</v>
      </c>
      <c r="DV179" s="49">
        <f t="shared" si="864"/>
        <v>1508561.4409328338</v>
      </c>
      <c r="DW179" s="49">
        <f t="shared" si="864"/>
        <v>2829494.1862880369</v>
      </c>
      <c r="DX179" s="49">
        <f t="shared" si="864"/>
        <v>3985726.6829368048</v>
      </c>
      <c r="DY179" s="49">
        <f t="shared" si="864"/>
        <v>1319374.3114907802</v>
      </c>
      <c r="DZ179" s="49">
        <f t="shared" si="864"/>
        <v>2352575.067984947</v>
      </c>
      <c r="EA179" s="49">
        <f t="shared" si="864"/>
        <v>4136386.5400899588</v>
      </c>
      <c r="EB179" s="49">
        <f t="shared" si="864"/>
        <v>1581081.6202337882</v>
      </c>
      <c r="EC179" s="49">
        <f t="shared" si="864"/>
        <v>4542721.3379645776</v>
      </c>
      <c r="ED179" s="49">
        <f t="shared" si="864"/>
        <v>5245892.7520676088</v>
      </c>
      <c r="EE179" s="49">
        <f t="shared" si="864"/>
        <v>1180989.4795834641</v>
      </c>
      <c r="EF179" s="49">
        <f t="shared" si="864"/>
        <v>2494499.5408501374</v>
      </c>
      <c r="EG179" s="49">
        <f t="shared" si="864"/>
        <v>4873372.6750159822</v>
      </c>
      <c r="EH179" s="49">
        <f t="shared" si="864"/>
        <v>2102332.1705085444</v>
      </c>
      <c r="EI179" s="49">
        <f t="shared" si="864"/>
        <v>3943184.8731476921</v>
      </c>
      <c r="EJ179" s="49">
        <f t="shared" si="864"/>
        <v>5554511.2058617361</v>
      </c>
      <c r="EK179" s="49">
        <f t="shared" si="864"/>
        <v>1838680.8682279754</v>
      </c>
      <c r="EL179" s="49">
        <f t="shared" si="864"/>
        <v>3278550.0906762788</v>
      </c>
      <c r="EM179" s="49">
        <f t="shared" si="864"/>
        <v>5764470.8773096837</v>
      </c>
      <c r="EN179" s="49">
        <f t="shared" si="864"/>
        <v>2203396.3378792601</v>
      </c>
      <c r="EO179" s="49">
        <f t="shared" si="864"/>
        <v>6330739.3065495705</v>
      </c>
      <c r="EP179" s="49">
        <f t="shared" si="864"/>
        <v>7310679.4303914364</v>
      </c>
      <c r="EQ179" s="49">
        <f t="shared" ref="EQ179:FB179" si="865">EQ52</f>
        <v>1604845.2803176751</v>
      </c>
      <c r="ER179" s="49">
        <f t="shared" si="865"/>
        <v>3389772.6305740783</v>
      </c>
      <c r="ES179" s="49">
        <f t="shared" si="865"/>
        <v>6622420.6666828208</v>
      </c>
      <c r="ET179" s="49">
        <f t="shared" si="865"/>
        <v>2856856.8305033799</v>
      </c>
      <c r="EU179" s="49">
        <f t="shared" si="865"/>
        <v>5358389.5051487554</v>
      </c>
      <c r="EV179" s="49">
        <f t="shared" si="865"/>
        <v>7548019.05292405</v>
      </c>
      <c r="EW179" s="49">
        <f t="shared" si="865"/>
        <v>2498581.371297922</v>
      </c>
      <c r="EX179" s="49">
        <f t="shared" si="865"/>
        <v>4455218.0440783184</v>
      </c>
      <c r="EY179" s="49">
        <f t="shared" si="865"/>
        <v>7833333.0151611483</v>
      </c>
      <c r="EZ179" s="49">
        <f t="shared" si="865"/>
        <v>2994192.814284822</v>
      </c>
      <c r="FA179" s="49">
        <f t="shared" si="865"/>
        <v>8602834.5490605552</v>
      </c>
      <c r="FB179" s="49">
        <f t="shared" si="865"/>
        <v>9934474.0851690508</v>
      </c>
    </row>
    <row r="180" spans="3:158" x14ac:dyDescent="0.25">
      <c r="C180" s="2" t="s">
        <v>346</v>
      </c>
      <c r="D180" s="244">
        <f t="shared" si="769"/>
        <v>1800297.3194999998</v>
      </c>
      <c r="E180" s="244">
        <f t="shared" si="769"/>
        <v>2597357.304</v>
      </c>
      <c r="F180" s="244">
        <f t="shared" si="769"/>
        <v>5026744.1307178997</v>
      </c>
      <c r="G180" s="244">
        <f t="shared" si="769"/>
        <v>10763120.727127541</v>
      </c>
      <c r="H180" s="244">
        <f t="shared" si="769"/>
        <v>13653304.380742844</v>
      </c>
      <c r="I180" s="244">
        <f t="shared" si="769"/>
        <v>13494336.21767585</v>
      </c>
      <c r="J180" s="244">
        <f t="shared" si="769"/>
        <v>17589012.355081432</v>
      </c>
      <c r="K180" s="244">
        <f t="shared" si="769"/>
        <v>24512058.652840994</v>
      </c>
      <c r="L180" s="244">
        <f t="shared" si="769"/>
        <v>31716935.587518957</v>
      </c>
      <c r="N180" s="244">
        <f t="shared" si="826"/>
        <v>197291.25</v>
      </c>
      <c r="O180" s="244">
        <f t="shared" si="827"/>
        <v>476267.98399999994</v>
      </c>
      <c r="P180" s="244">
        <f t="shared" si="828"/>
        <v>401917.88699999999</v>
      </c>
      <c r="Q180" s="244">
        <f t="shared" si="829"/>
        <v>724820.19849999994</v>
      </c>
      <c r="R180" s="244">
        <f t="shared" si="830"/>
        <v>497782.89999999997</v>
      </c>
      <c r="S180" s="244">
        <f t="shared" si="831"/>
        <v>511215.72900000005</v>
      </c>
      <c r="T180" s="244">
        <f t="shared" si="832"/>
        <v>598313.62899999996</v>
      </c>
      <c r="U180" s="244">
        <f t="shared" si="833"/>
        <v>990045.04600000009</v>
      </c>
      <c r="V180" s="244">
        <f t="shared" si="834"/>
        <v>626027.19050000003</v>
      </c>
      <c r="W180" s="244">
        <f t="shared" si="835"/>
        <v>1110713.5899999999</v>
      </c>
      <c r="X180" s="244">
        <f t="shared" si="836"/>
        <v>1416586.3598336498</v>
      </c>
      <c r="Y180" s="244">
        <f t="shared" si="837"/>
        <v>1873416.9903842499</v>
      </c>
      <c r="Z180" s="244">
        <f t="shared" si="838"/>
        <v>1504735.5934861302</v>
      </c>
      <c r="AA180" s="244">
        <f t="shared" si="839"/>
        <v>1973815.3197533716</v>
      </c>
      <c r="AB180" s="244">
        <f t="shared" si="840"/>
        <v>2927321.6995835565</v>
      </c>
      <c r="AC180" s="244">
        <f t="shared" si="841"/>
        <v>4357248.1143044829</v>
      </c>
      <c r="AD180" s="244">
        <f t="shared" si="842"/>
        <v>2416281.7085896572</v>
      </c>
      <c r="AE180" s="244">
        <f t="shared" si="843"/>
        <v>3214876.9738790165</v>
      </c>
      <c r="AF180" s="244">
        <f t="shared" si="844"/>
        <v>3169491.1535748015</v>
      </c>
      <c r="AG180" s="244">
        <f t="shared" si="845"/>
        <v>4852654.5446993671</v>
      </c>
      <c r="AH180" s="244">
        <f t="shared" si="846"/>
        <v>2461017.8712942023</v>
      </c>
      <c r="AI180" s="244">
        <f t="shared" si="847"/>
        <v>3339377.5506716748</v>
      </c>
      <c r="AJ180" s="244">
        <f t="shared" si="848"/>
        <v>3132588.1319698989</v>
      </c>
      <c r="AK180" s="244">
        <f t="shared" si="849"/>
        <v>4561352.6637400761</v>
      </c>
      <c r="AL180" s="244">
        <f t="shared" si="850"/>
        <v>3207780.8827358005</v>
      </c>
      <c r="AM180" s="244">
        <f t="shared" si="851"/>
        <v>4352667.0782152712</v>
      </c>
      <c r="AN180" s="244">
        <f t="shared" si="852"/>
        <v>4083130.1716365423</v>
      </c>
      <c r="AO180" s="244">
        <f t="shared" si="853"/>
        <v>5945434.222493818</v>
      </c>
      <c r="AP180" s="244">
        <f t="shared" si="854"/>
        <v>4470365.4506426081</v>
      </c>
      <c r="AQ180" s="244">
        <f t="shared" si="855"/>
        <v>6065879.5709288027</v>
      </c>
      <c r="AR180" s="244">
        <f t="shared" si="856"/>
        <v>5690252.768821612</v>
      </c>
      <c r="AS180" s="244">
        <f t="shared" si="857"/>
        <v>8285560.8624479724</v>
      </c>
      <c r="AT180" s="244">
        <f t="shared" si="858"/>
        <v>5784348.6366767669</v>
      </c>
      <c r="AU180" s="244">
        <f t="shared" si="859"/>
        <v>7848835.3164289389</v>
      </c>
      <c r="AV180" s="244">
        <f t="shared" si="860"/>
        <v>7362799.7999465782</v>
      </c>
      <c r="AW180" s="244">
        <f t="shared" si="861"/>
        <v>10720951.834466675</v>
      </c>
      <c r="AY180" s="20">
        <f t="shared" ref="AY180:CD180" si="866">AY$179*AY156</f>
        <v>74646.25</v>
      </c>
      <c r="AZ180" s="20">
        <f t="shared" si="866"/>
        <v>41325</v>
      </c>
      <c r="BA180" s="20">
        <f t="shared" si="866"/>
        <v>81320</v>
      </c>
      <c r="BB180" s="20">
        <f t="shared" si="866"/>
        <v>21263.85</v>
      </c>
      <c r="BC180" s="20">
        <f t="shared" si="866"/>
        <v>134900</v>
      </c>
      <c r="BD180" s="20">
        <f t="shared" si="866"/>
        <v>320104.13399999996</v>
      </c>
      <c r="BE180" s="20">
        <f t="shared" si="866"/>
        <v>9310</v>
      </c>
      <c r="BF180" s="20">
        <f t="shared" si="866"/>
        <v>86501.737000000008</v>
      </c>
      <c r="BG180" s="20">
        <f t="shared" si="866"/>
        <v>306106.14999999997</v>
      </c>
      <c r="BH180" s="20">
        <f t="shared" si="866"/>
        <v>47025</v>
      </c>
      <c r="BI180" s="20">
        <f t="shared" si="866"/>
        <v>369265</v>
      </c>
      <c r="BJ180" s="20">
        <f t="shared" si="866"/>
        <v>308530.1985</v>
      </c>
      <c r="BK180" s="20">
        <f t="shared" si="866"/>
        <v>131983.5</v>
      </c>
      <c r="BL180" s="20">
        <f t="shared" si="866"/>
        <v>83989.5</v>
      </c>
      <c r="BM180" s="20">
        <f t="shared" si="866"/>
        <v>281809.89999999997</v>
      </c>
      <c r="BN180" s="20">
        <f t="shared" si="866"/>
        <v>23313.95</v>
      </c>
      <c r="BO180" s="20">
        <f t="shared" si="866"/>
        <v>211906.99049999999</v>
      </c>
      <c r="BP180" s="20">
        <f t="shared" si="866"/>
        <v>275994.78850000002</v>
      </c>
      <c r="BQ180" s="20">
        <f t="shared" si="866"/>
        <v>83999</v>
      </c>
      <c r="BR180" s="20">
        <f t="shared" si="866"/>
        <v>103680.15</v>
      </c>
      <c r="BS180" s="20">
        <f t="shared" si="866"/>
        <v>410634.47899999999</v>
      </c>
      <c r="BT180" s="20">
        <f t="shared" si="866"/>
        <v>98848.316999999995</v>
      </c>
      <c r="BU180" s="20">
        <f t="shared" si="866"/>
        <v>438779.80599999998</v>
      </c>
      <c r="BV180" s="20">
        <f t="shared" si="866"/>
        <v>452416.92300000001</v>
      </c>
      <c r="BW180" s="20">
        <f t="shared" si="866"/>
        <v>161756.5</v>
      </c>
      <c r="BX180" s="20">
        <f t="shared" si="866"/>
        <v>42541.940499999997</v>
      </c>
      <c r="BY180" s="20">
        <f t="shared" si="866"/>
        <v>421728.75</v>
      </c>
      <c r="BZ180" s="20">
        <f t="shared" si="866"/>
        <v>168879.78049999999</v>
      </c>
      <c r="CA180" s="20">
        <f t="shared" si="866"/>
        <v>362171.12199999997</v>
      </c>
      <c r="CB180" s="20">
        <f t="shared" si="866"/>
        <v>579662.6875</v>
      </c>
      <c r="CC180" s="20">
        <f t="shared" si="866"/>
        <v>212326.35849999997</v>
      </c>
      <c r="CD180" s="20">
        <f t="shared" si="866"/>
        <v>441623.30921789998</v>
      </c>
      <c r="CE180" s="20">
        <f t="shared" ref="CE180:DJ180" si="867">CE$179*CE156</f>
        <v>762636.69211574993</v>
      </c>
      <c r="CF180" s="20">
        <f t="shared" si="867"/>
        <v>341821.01999999996</v>
      </c>
      <c r="CG180" s="20">
        <f t="shared" si="867"/>
        <v>521554.97799999994</v>
      </c>
      <c r="CH180" s="20">
        <f t="shared" si="867"/>
        <v>1010040.9923842499</v>
      </c>
      <c r="CI180" s="20">
        <f t="shared" si="867"/>
        <v>122593.03829576109</v>
      </c>
      <c r="CJ180" s="20">
        <f t="shared" si="867"/>
        <v>425458.41887493024</v>
      </c>
      <c r="CK180" s="20">
        <f t="shared" si="867"/>
        <v>956684.13631543901</v>
      </c>
      <c r="CL180" s="20">
        <f t="shared" si="867"/>
        <v>522211.65562628838</v>
      </c>
      <c r="CM180" s="20">
        <f t="shared" si="867"/>
        <v>737343.30466493999</v>
      </c>
      <c r="CN180" s="20">
        <f t="shared" si="867"/>
        <v>714260.35946214327</v>
      </c>
      <c r="CO180" s="20">
        <f t="shared" si="867"/>
        <v>439098.25493753346</v>
      </c>
      <c r="CP180" s="20">
        <f t="shared" si="867"/>
        <v>1024562.594854245</v>
      </c>
      <c r="CQ180" s="20">
        <f t="shared" si="867"/>
        <v>1463660.8497917783</v>
      </c>
      <c r="CR180" s="20">
        <f t="shared" si="867"/>
        <v>435724.81143044826</v>
      </c>
      <c r="CS180" s="20">
        <f t="shared" si="867"/>
        <v>1742899.245721793</v>
      </c>
      <c r="CT180" s="20">
        <f t="shared" si="867"/>
        <v>2178624.0571522415</v>
      </c>
      <c r="CU180" s="20">
        <f t="shared" si="867"/>
        <v>319408.45495390153</v>
      </c>
      <c r="CV180" s="20">
        <f t="shared" si="867"/>
        <v>701991.85798938689</v>
      </c>
      <c r="CW180" s="20">
        <f t="shared" si="867"/>
        <v>1394881.3956463689</v>
      </c>
      <c r="CX180" s="20">
        <f t="shared" si="867"/>
        <v>557728.79630865436</v>
      </c>
      <c r="CY180" s="20">
        <f t="shared" si="867"/>
        <v>1093910.2175484649</v>
      </c>
      <c r="CZ180" s="20">
        <f t="shared" si="867"/>
        <v>1563237.9600218972</v>
      </c>
      <c r="DA180" s="20">
        <f t="shared" si="867"/>
        <v>535548.83544975205</v>
      </c>
      <c r="DB180" s="20">
        <f t="shared" si="867"/>
        <v>954936.6142682127</v>
      </c>
      <c r="DC180" s="20">
        <f t="shared" si="867"/>
        <v>1679005.7038568368</v>
      </c>
      <c r="DD180" s="20">
        <f t="shared" si="867"/>
        <v>720967.93364160939</v>
      </c>
      <c r="DE180" s="20">
        <f t="shared" si="867"/>
        <v>1923130.7225019569</v>
      </c>
      <c r="DF180" s="20">
        <f t="shared" si="867"/>
        <v>2208555.8885558015</v>
      </c>
      <c r="DG180" s="20">
        <f t="shared" si="867"/>
        <v>339979.32340072736</v>
      </c>
      <c r="DH180" s="20">
        <f t="shared" si="867"/>
        <v>718108.23109175591</v>
      </c>
      <c r="DI180" s="20">
        <f t="shared" si="867"/>
        <v>1402930.3168017191</v>
      </c>
      <c r="DJ180" s="20">
        <f t="shared" si="867"/>
        <v>605212.39287006191</v>
      </c>
      <c r="DK180" s="20">
        <f t="shared" ref="DK180:EP180" si="868">DK$179*DK156</f>
        <v>1135150.9462129727</v>
      </c>
      <c r="DL180" s="20">
        <f t="shared" si="868"/>
        <v>1599014.2115886402</v>
      </c>
      <c r="DM180" s="20">
        <f t="shared" si="868"/>
        <v>529313.33287616319</v>
      </c>
      <c r="DN180" s="20">
        <f t="shared" si="868"/>
        <v>943818.09561643924</v>
      </c>
      <c r="DO180" s="20">
        <f t="shared" si="868"/>
        <v>1659456.7034772965</v>
      </c>
      <c r="DP180" s="20">
        <f t="shared" si="868"/>
        <v>634306.40923240292</v>
      </c>
      <c r="DQ180" s="20">
        <f t="shared" si="868"/>
        <v>1822472.1754729247</v>
      </c>
      <c r="DR180" s="20">
        <f t="shared" si="868"/>
        <v>2104574.0790347485</v>
      </c>
      <c r="DS180" s="20">
        <f t="shared" si="868"/>
        <v>443141.50939374964</v>
      </c>
      <c r="DT180" s="20">
        <f t="shared" si="868"/>
        <v>936008.58502501342</v>
      </c>
      <c r="DU180" s="20">
        <f t="shared" si="868"/>
        <v>1828630.7883170373</v>
      </c>
      <c r="DV180" s="20">
        <f t="shared" si="868"/>
        <v>788856.0121761465</v>
      </c>
      <c r="DW180" s="20">
        <f t="shared" si="868"/>
        <v>1479597.3433409203</v>
      </c>
      <c r="DX180" s="20">
        <f t="shared" si="868"/>
        <v>2084213.722698204</v>
      </c>
      <c r="DY180" s="20">
        <f t="shared" si="868"/>
        <v>689926.39589586703</v>
      </c>
      <c r="DZ180" s="20">
        <f t="shared" si="868"/>
        <v>1230207.094069734</v>
      </c>
      <c r="EA180" s="20">
        <f t="shared" si="868"/>
        <v>2162996.6816709414</v>
      </c>
      <c r="EB180" s="20">
        <f t="shared" si="868"/>
        <v>826778.21931560175</v>
      </c>
      <c r="EC180" s="20">
        <f t="shared" si="868"/>
        <v>2375477.0219224882</v>
      </c>
      <c r="ED180" s="20">
        <f t="shared" si="868"/>
        <v>2743178.9812557283</v>
      </c>
      <c r="EE180" s="20">
        <f t="shared" si="868"/>
        <v>617562.2855043353</v>
      </c>
      <c r="EF180" s="20">
        <f t="shared" si="868"/>
        <v>1304422.1513135447</v>
      </c>
      <c r="EG180" s="20">
        <f t="shared" si="868"/>
        <v>2548381.0138247279</v>
      </c>
      <c r="EH180" s="20">
        <f t="shared" si="868"/>
        <v>1099350.2334724145</v>
      </c>
      <c r="EI180" s="20">
        <f t="shared" si="868"/>
        <v>2061967.7859332792</v>
      </c>
      <c r="EJ180" s="20">
        <f t="shared" si="868"/>
        <v>2904561.5515231085</v>
      </c>
      <c r="EK180" s="20">
        <f t="shared" si="868"/>
        <v>961481.85815885139</v>
      </c>
      <c r="EL180" s="20">
        <f t="shared" si="868"/>
        <v>1714417.3780892652</v>
      </c>
      <c r="EM180" s="20">
        <f t="shared" si="868"/>
        <v>3014353.5325734955</v>
      </c>
      <c r="EN180" s="20">
        <f t="shared" si="868"/>
        <v>1152198.6451331729</v>
      </c>
      <c r="EO180" s="20">
        <f t="shared" si="868"/>
        <v>3310466.2680516099</v>
      </c>
      <c r="EP180" s="20">
        <f t="shared" si="868"/>
        <v>3822895.9492631899</v>
      </c>
      <c r="EQ180" s="20">
        <f t="shared" ref="EQ180:FB180" si="869">EQ$179*EQ156</f>
        <v>799083.56568622205</v>
      </c>
      <c r="ER180" s="20">
        <f t="shared" si="869"/>
        <v>1687833.4838412066</v>
      </c>
      <c r="ES180" s="20">
        <f t="shared" si="869"/>
        <v>3297431.5871493383</v>
      </c>
      <c r="ET180" s="20">
        <f t="shared" si="869"/>
        <v>1422484.379504666</v>
      </c>
      <c r="EU180" s="20">
        <f t="shared" si="869"/>
        <v>2668045.9759101057</v>
      </c>
      <c r="EV180" s="20">
        <f t="shared" si="869"/>
        <v>3758304.9610141674</v>
      </c>
      <c r="EW180" s="20">
        <f t="shared" si="869"/>
        <v>1244092.0852748477</v>
      </c>
      <c r="EX180" s="20">
        <f t="shared" si="869"/>
        <v>2218339.4027036596</v>
      </c>
      <c r="EY180" s="20">
        <f t="shared" si="869"/>
        <v>3900368.3119680705</v>
      </c>
      <c r="EZ180" s="20">
        <f t="shared" si="869"/>
        <v>1490866.6272908056</v>
      </c>
      <c r="FA180" s="20">
        <f t="shared" si="869"/>
        <v>4283518.0380199412</v>
      </c>
      <c r="FB180" s="20">
        <f t="shared" si="869"/>
        <v>4946567.1691559283</v>
      </c>
    </row>
    <row r="181" spans="3:158" x14ac:dyDescent="0.25">
      <c r="C181" s="2" t="s">
        <v>298</v>
      </c>
      <c r="D181" s="244">
        <f t="shared" si="769"/>
        <v>37900.996200000001</v>
      </c>
      <c r="E181" s="244">
        <f t="shared" si="769"/>
        <v>54681.20640000001</v>
      </c>
      <c r="F181" s="244">
        <f t="shared" si="769"/>
        <v>105826.19222564001</v>
      </c>
      <c r="G181" s="244">
        <f t="shared" si="769"/>
        <v>369744.45005376003</v>
      </c>
      <c r="H181" s="244">
        <f t="shared" si="769"/>
        <v>755792.90253704868</v>
      </c>
      <c r="I181" s="244">
        <f t="shared" si="769"/>
        <v>2944204.8714913246</v>
      </c>
      <c r="J181" s="244">
        <f t="shared" si="769"/>
        <v>4204522.9758992707</v>
      </c>
      <c r="K181" s="244">
        <f t="shared" si="769"/>
        <v>5859425.8570002206</v>
      </c>
      <c r="L181" s="244">
        <f t="shared" si="769"/>
        <v>9554840.6767803878</v>
      </c>
      <c r="N181" s="244">
        <f t="shared" si="826"/>
        <v>4153.5</v>
      </c>
      <c r="O181" s="244">
        <f t="shared" si="827"/>
        <v>10026.6944</v>
      </c>
      <c r="P181" s="244">
        <f t="shared" si="828"/>
        <v>8461.4292000000005</v>
      </c>
      <c r="Q181" s="244">
        <f t="shared" si="829"/>
        <v>15259.372600000001</v>
      </c>
      <c r="R181" s="244">
        <f t="shared" si="830"/>
        <v>10479.64</v>
      </c>
      <c r="S181" s="244">
        <f t="shared" si="831"/>
        <v>10762.436400000001</v>
      </c>
      <c r="T181" s="244">
        <f t="shared" si="832"/>
        <v>12596.076400000002</v>
      </c>
      <c r="U181" s="244">
        <f t="shared" si="833"/>
        <v>20843.053599999999</v>
      </c>
      <c r="V181" s="244">
        <f t="shared" si="834"/>
        <v>13179.5198</v>
      </c>
      <c r="W181" s="244">
        <f t="shared" si="835"/>
        <v>23383.444000000003</v>
      </c>
      <c r="X181" s="244">
        <f t="shared" si="836"/>
        <v>29822.870733340002</v>
      </c>
      <c r="Y181" s="244">
        <f t="shared" si="837"/>
        <v>39440.357692299993</v>
      </c>
      <c r="Z181" s="244">
        <f t="shared" si="838"/>
        <v>51692.036965409992</v>
      </c>
      <c r="AA181" s="244">
        <f t="shared" si="839"/>
        <v>67806.287638350012</v>
      </c>
      <c r="AB181" s="244">
        <f t="shared" si="840"/>
        <v>100562.00050000001</v>
      </c>
      <c r="AC181" s="244">
        <f t="shared" si="841"/>
        <v>149684.12495</v>
      </c>
      <c r="AD181" s="244">
        <f t="shared" si="842"/>
        <v>133755.79383243754</v>
      </c>
      <c r="AE181" s="244">
        <f t="shared" si="843"/>
        <v>177962.86756886519</v>
      </c>
      <c r="AF181" s="244">
        <f t="shared" si="844"/>
        <v>175450.48815468256</v>
      </c>
      <c r="AG181" s="244">
        <f t="shared" si="845"/>
        <v>268623.75298106333</v>
      </c>
      <c r="AH181" s="244">
        <f t="shared" si="846"/>
        <v>536946.81150752772</v>
      </c>
      <c r="AI181" s="244">
        <f t="shared" si="847"/>
        <v>728588.01602689433</v>
      </c>
      <c r="AJ181" s="244">
        <f t="shared" si="848"/>
        <v>683470.538287075</v>
      </c>
      <c r="AK181" s="244">
        <f t="shared" si="849"/>
        <v>995199.50566982781</v>
      </c>
      <c r="AL181" s="244">
        <f t="shared" si="850"/>
        <v>766796.23340060329</v>
      </c>
      <c r="AM181" s="244">
        <f t="shared" si="851"/>
        <v>1040472.7887697094</v>
      </c>
      <c r="AN181" s="244">
        <f t="shared" si="852"/>
        <v>976041.98994571075</v>
      </c>
      <c r="AO181" s="244">
        <f t="shared" si="853"/>
        <v>1421211.9637832469</v>
      </c>
      <c r="AP181" s="244">
        <f t="shared" si="854"/>
        <v>1068607.7119311979</v>
      </c>
      <c r="AQ181" s="244">
        <f t="shared" si="855"/>
        <v>1450003.5311897467</v>
      </c>
      <c r="AR181" s="244">
        <f t="shared" si="856"/>
        <v>1360212.7295267424</v>
      </c>
      <c r="AS181" s="244">
        <f t="shared" si="857"/>
        <v>1980601.8843525334</v>
      </c>
      <c r="AT181" s="244">
        <f t="shared" si="858"/>
        <v>1742555.7866361858</v>
      </c>
      <c r="AU181" s="244">
        <f t="shared" si="859"/>
        <v>2364489.8082864275</v>
      </c>
      <c r="AV181" s="244">
        <f t="shared" si="860"/>
        <v>2218069.864580608</v>
      </c>
      <c r="AW181" s="244">
        <f t="shared" si="861"/>
        <v>3229725.2172771646</v>
      </c>
      <c r="AY181" s="20">
        <f t="shared" ref="AY181:CD181" si="870">AY$179*AY157</f>
        <v>1571.5</v>
      </c>
      <c r="AZ181" s="20">
        <f t="shared" si="870"/>
        <v>870</v>
      </c>
      <c r="BA181" s="20">
        <f t="shared" si="870"/>
        <v>1712</v>
      </c>
      <c r="BB181" s="20">
        <f t="shared" si="870"/>
        <v>447.66</v>
      </c>
      <c r="BC181" s="20">
        <f t="shared" si="870"/>
        <v>2840</v>
      </c>
      <c r="BD181" s="20">
        <f t="shared" si="870"/>
        <v>6739.0343999999996</v>
      </c>
      <c r="BE181" s="20">
        <f t="shared" si="870"/>
        <v>196</v>
      </c>
      <c r="BF181" s="20">
        <f t="shared" si="870"/>
        <v>1821.0892000000001</v>
      </c>
      <c r="BG181" s="20">
        <f t="shared" si="870"/>
        <v>6444.34</v>
      </c>
      <c r="BH181" s="20">
        <f t="shared" si="870"/>
        <v>990</v>
      </c>
      <c r="BI181" s="20">
        <f t="shared" si="870"/>
        <v>7774</v>
      </c>
      <c r="BJ181" s="20">
        <f t="shared" si="870"/>
        <v>6495.3726000000006</v>
      </c>
      <c r="BK181" s="20">
        <f t="shared" si="870"/>
        <v>2778.6</v>
      </c>
      <c r="BL181" s="20">
        <f t="shared" si="870"/>
        <v>1768.2</v>
      </c>
      <c r="BM181" s="20">
        <f t="shared" si="870"/>
        <v>5932.84</v>
      </c>
      <c r="BN181" s="20">
        <f t="shared" si="870"/>
        <v>490.82</v>
      </c>
      <c r="BO181" s="20">
        <f t="shared" si="870"/>
        <v>4461.1998000000003</v>
      </c>
      <c r="BP181" s="20">
        <f t="shared" si="870"/>
        <v>5810.4166000000005</v>
      </c>
      <c r="BQ181" s="20">
        <f t="shared" si="870"/>
        <v>1768.4</v>
      </c>
      <c r="BR181" s="20">
        <f t="shared" si="870"/>
        <v>2182.7400000000002</v>
      </c>
      <c r="BS181" s="20">
        <f t="shared" si="870"/>
        <v>8644.9364000000005</v>
      </c>
      <c r="BT181" s="20">
        <f t="shared" si="870"/>
        <v>2081.0172000000002</v>
      </c>
      <c r="BU181" s="20">
        <f t="shared" si="870"/>
        <v>9237.4696000000004</v>
      </c>
      <c r="BV181" s="20">
        <f t="shared" si="870"/>
        <v>9524.5668000000005</v>
      </c>
      <c r="BW181" s="20">
        <f t="shared" si="870"/>
        <v>3405.4</v>
      </c>
      <c r="BX181" s="20">
        <f t="shared" si="870"/>
        <v>895.61979999999994</v>
      </c>
      <c r="BY181" s="20">
        <f t="shared" si="870"/>
        <v>8878.5</v>
      </c>
      <c r="BZ181" s="20">
        <f t="shared" si="870"/>
        <v>3555.3638000000001</v>
      </c>
      <c r="CA181" s="20">
        <f t="shared" si="870"/>
        <v>7624.6552000000001</v>
      </c>
      <c r="CB181" s="20">
        <f t="shared" si="870"/>
        <v>12203.425000000001</v>
      </c>
      <c r="CC181" s="20">
        <f t="shared" si="870"/>
        <v>4470.0285999999996</v>
      </c>
      <c r="CD181" s="20">
        <f t="shared" si="870"/>
        <v>9297.33282564</v>
      </c>
      <c r="CE181" s="20">
        <f t="shared" ref="CE181:DJ181" si="871">CE$179*CE157</f>
        <v>16055.5093077</v>
      </c>
      <c r="CF181" s="20">
        <f t="shared" si="871"/>
        <v>7196.232</v>
      </c>
      <c r="CG181" s="20">
        <f t="shared" si="871"/>
        <v>10980.104799999999</v>
      </c>
      <c r="CH181" s="20">
        <f t="shared" si="871"/>
        <v>21264.020892299999</v>
      </c>
      <c r="CI181" s="20">
        <f t="shared" si="871"/>
        <v>4211.4268411799994</v>
      </c>
      <c r="CJ181" s="20">
        <f t="shared" si="871"/>
        <v>14615.732099999999</v>
      </c>
      <c r="CK181" s="20">
        <f t="shared" si="871"/>
        <v>32864.878024229998</v>
      </c>
      <c r="CL181" s="20">
        <f t="shared" si="871"/>
        <v>17939.486726610001</v>
      </c>
      <c r="CM181" s="20">
        <f t="shared" si="871"/>
        <v>25329.883552920001</v>
      </c>
      <c r="CN181" s="20">
        <f t="shared" si="871"/>
        <v>24536.917358819999</v>
      </c>
      <c r="CO181" s="20">
        <f t="shared" si="871"/>
        <v>15084.300074999999</v>
      </c>
      <c r="CP181" s="20">
        <f t="shared" si="871"/>
        <v>35196.700175000005</v>
      </c>
      <c r="CQ181" s="20">
        <f t="shared" si="871"/>
        <v>50281.000250000005</v>
      </c>
      <c r="CR181" s="20">
        <f t="shared" si="871"/>
        <v>14968.412495</v>
      </c>
      <c r="CS181" s="20">
        <f t="shared" si="871"/>
        <v>59873.649980000002</v>
      </c>
      <c r="CT181" s="20">
        <f t="shared" si="871"/>
        <v>74842.062474999999</v>
      </c>
      <c r="CU181" s="20">
        <f t="shared" si="871"/>
        <v>17681.188123585147</v>
      </c>
      <c r="CV181" s="20">
        <f t="shared" si="871"/>
        <v>38859.49138111194</v>
      </c>
      <c r="CW181" s="20">
        <f t="shared" si="871"/>
        <v>77215.114327740463</v>
      </c>
      <c r="CX181" s="20">
        <f t="shared" si="871"/>
        <v>30873.65915500655</v>
      </c>
      <c r="CY181" s="20">
        <f t="shared" si="871"/>
        <v>60554.540892093268</v>
      </c>
      <c r="CZ181" s="20">
        <f t="shared" si="871"/>
        <v>86534.667521765368</v>
      </c>
      <c r="DA181" s="20">
        <f t="shared" si="871"/>
        <v>29645.864290977021</v>
      </c>
      <c r="DB181" s="20">
        <f t="shared" si="871"/>
        <v>52861.512151932751</v>
      </c>
      <c r="DC181" s="20">
        <f t="shared" si="871"/>
        <v>92943.111711772799</v>
      </c>
      <c r="DD181" s="20">
        <f t="shared" si="871"/>
        <v>39909.931838308832</v>
      </c>
      <c r="DE181" s="20">
        <f t="shared" si="871"/>
        <v>106456.90670809205</v>
      </c>
      <c r="DF181" s="20">
        <f t="shared" si="871"/>
        <v>122256.91443466245</v>
      </c>
      <c r="DG181" s="20">
        <f t="shared" si="871"/>
        <v>74176.955725440217</v>
      </c>
      <c r="DH181" s="20">
        <f t="shared" si="871"/>
        <v>156677.41770573042</v>
      </c>
      <c r="DI181" s="20">
        <f t="shared" si="871"/>
        <v>306092.43807635712</v>
      </c>
      <c r="DJ181" s="20">
        <f t="shared" si="871"/>
        <v>132045.71507866666</v>
      </c>
      <c r="DK181" s="20">
        <f t="shared" ref="DK181:EP181" si="872">DK$179*DK157</f>
        <v>247668.12474558593</v>
      </c>
      <c r="DL181" s="20">
        <f t="shared" si="872"/>
        <v>348874.17620264168</v>
      </c>
      <c r="DM181" s="20">
        <f t="shared" si="872"/>
        <v>115485.99857457202</v>
      </c>
      <c r="DN181" s="20">
        <f t="shared" si="872"/>
        <v>205922.97317119766</v>
      </c>
      <c r="DO181" s="20">
        <f t="shared" si="872"/>
        <v>362061.56654130528</v>
      </c>
      <c r="DP181" s="20">
        <f t="shared" si="872"/>
        <v>138393.47041271938</v>
      </c>
      <c r="DQ181" s="20">
        <f t="shared" si="872"/>
        <v>397628.41021823336</v>
      </c>
      <c r="DR181" s="20">
        <f t="shared" si="872"/>
        <v>459177.62503887509</v>
      </c>
      <c r="DS181" s="20">
        <f t="shared" si="872"/>
        <v>105929.69179889331</v>
      </c>
      <c r="DT181" s="20">
        <f t="shared" si="872"/>
        <v>223745.91147749606</v>
      </c>
      <c r="DU181" s="20">
        <f t="shared" si="872"/>
        <v>437120.63012421387</v>
      </c>
      <c r="DV181" s="20">
        <f t="shared" si="872"/>
        <v>188570.18011660423</v>
      </c>
      <c r="DW181" s="20">
        <f t="shared" si="872"/>
        <v>353686.77328600461</v>
      </c>
      <c r="DX181" s="20">
        <f t="shared" si="872"/>
        <v>498215.8353671006</v>
      </c>
      <c r="DY181" s="20">
        <f t="shared" si="872"/>
        <v>164921.78893634753</v>
      </c>
      <c r="DZ181" s="20">
        <f t="shared" si="872"/>
        <v>294071.88349811838</v>
      </c>
      <c r="EA181" s="20">
        <f t="shared" si="872"/>
        <v>517048.31751124485</v>
      </c>
      <c r="EB181" s="20">
        <f t="shared" si="872"/>
        <v>197635.20252922352</v>
      </c>
      <c r="EC181" s="20">
        <f t="shared" si="872"/>
        <v>567840.1672455722</v>
      </c>
      <c r="ED181" s="20">
        <f t="shared" si="872"/>
        <v>655736.59400845109</v>
      </c>
      <c r="EE181" s="20">
        <f t="shared" si="872"/>
        <v>147623.68494793301</v>
      </c>
      <c r="EF181" s="20">
        <f t="shared" si="872"/>
        <v>311812.44260626717</v>
      </c>
      <c r="EG181" s="20">
        <f t="shared" si="872"/>
        <v>609171.58437699778</v>
      </c>
      <c r="EH181" s="20">
        <f t="shared" si="872"/>
        <v>262791.52131356805</v>
      </c>
      <c r="EI181" s="20">
        <f t="shared" si="872"/>
        <v>492898.10914346151</v>
      </c>
      <c r="EJ181" s="20">
        <f t="shared" si="872"/>
        <v>694313.90073271701</v>
      </c>
      <c r="EK181" s="20">
        <f t="shared" si="872"/>
        <v>229835.10852849693</v>
      </c>
      <c r="EL181" s="20">
        <f t="shared" si="872"/>
        <v>409818.76133453485</v>
      </c>
      <c r="EM181" s="20">
        <f t="shared" si="872"/>
        <v>720558.85966371046</v>
      </c>
      <c r="EN181" s="20">
        <f t="shared" si="872"/>
        <v>275424.54223490751</v>
      </c>
      <c r="EO181" s="20">
        <f t="shared" si="872"/>
        <v>791342.41331869632</v>
      </c>
      <c r="EP181" s="20">
        <f t="shared" si="872"/>
        <v>913834.92879892956</v>
      </c>
      <c r="EQ181" s="20">
        <f t="shared" ref="EQ181:FB181" si="873">EQ$179*EQ157</f>
        <v>240726.79204765125</v>
      </c>
      <c r="ER181" s="20">
        <f t="shared" si="873"/>
        <v>508465.89458611171</v>
      </c>
      <c r="ES181" s="20">
        <f t="shared" si="873"/>
        <v>993363.10000242305</v>
      </c>
      <c r="ET181" s="20">
        <f t="shared" si="873"/>
        <v>428528.52457550698</v>
      </c>
      <c r="EU181" s="20">
        <f t="shared" si="873"/>
        <v>803758.42577231326</v>
      </c>
      <c r="EV181" s="20">
        <f t="shared" si="873"/>
        <v>1132202.8579386075</v>
      </c>
      <c r="EW181" s="20">
        <f t="shared" si="873"/>
        <v>374787.20569468831</v>
      </c>
      <c r="EX181" s="20">
        <f t="shared" si="873"/>
        <v>668282.70661174774</v>
      </c>
      <c r="EY181" s="20">
        <f t="shared" si="873"/>
        <v>1174999.9522741721</v>
      </c>
      <c r="EZ181" s="20">
        <f t="shared" si="873"/>
        <v>449128.92214272328</v>
      </c>
      <c r="FA181" s="20">
        <f t="shared" si="873"/>
        <v>1290425.1823590833</v>
      </c>
      <c r="FB181" s="20">
        <f t="shared" si="873"/>
        <v>1490171.1127753577</v>
      </c>
    </row>
    <row r="182" spans="3:158" x14ac:dyDescent="0.25">
      <c r="C182" s="2" t="s">
        <v>299</v>
      </c>
      <c r="D182" s="244">
        <f t="shared" si="769"/>
        <v>18950.498100000001</v>
      </c>
      <c r="E182" s="244">
        <f t="shared" si="769"/>
        <v>27340.603200000005</v>
      </c>
      <c r="F182" s="244">
        <f t="shared" si="769"/>
        <v>52913.096112820007</v>
      </c>
      <c r="G182" s="244">
        <f t="shared" si="769"/>
        <v>517642.23007526412</v>
      </c>
      <c r="H182" s="244">
        <f t="shared" si="769"/>
        <v>1511585.8050740974</v>
      </c>
      <c r="I182" s="244">
        <f t="shared" si="769"/>
        <v>5888409.7429826492</v>
      </c>
      <c r="J182" s="244">
        <f t="shared" si="769"/>
        <v>10090855.142158248</v>
      </c>
      <c r="K182" s="244">
        <f t="shared" si="769"/>
        <v>14062622.056800529</v>
      </c>
      <c r="L182" s="244">
        <f t="shared" si="769"/>
        <v>19109681.353560776</v>
      </c>
      <c r="N182" s="244">
        <f t="shared" si="826"/>
        <v>2076.75</v>
      </c>
      <c r="O182" s="244">
        <f t="shared" si="827"/>
        <v>5013.3472000000002</v>
      </c>
      <c r="P182" s="244">
        <f t="shared" si="828"/>
        <v>4230.7146000000002</v>
      </c>
      <c r="Q182" s="244">
        <f t="shared" si="829"/>
        <v>7629.6863000000003</v>
      </c>
      <c r="R182" s="244">
        <f t="shared" si="830"/>
        <v>5239.82</v>
      </c>
      <c r="S182" s="244">
        <f t="shared" si="831"/>
        <v>5381.2182000000003</v>
      </c>
      <c r="T182" s="244">
        <f t="shared" si="832"/>
        <v>6298.0382000000009</v>
      </c>
      <c r="U182" s="244">
        <f t="shared" si="833"/>
        <v>10421.5268</v>
      </c>
      <c r="V182" s="244">
        <f t="shared" si="834"/>
        <v>6589.7599</v>
      </c>
      <c r="W182" s="244">
        <f t="shared" si="835"/>
        <v>11691.722000000002</v>
      </c>
      <c r="X182" s="244">
        <f t="shared" si="836"/>
        <v>14911.435366670001</v>
      </c>
      <c r="Y182" s="244">
        <f t="shared" si="837"/>
        <v>19720.178846149996</v>
      </c>
      <c r="Z182" s="244">
        <f t="shared" si="838"/>
        <v>72368.85175157401</v>
      </c>
      <c r="AA182" s="244">
        <f t="shared" si="839"/>
        <v>94928.802693689999</v>
      </c>
      <c r="AB182" s="244">
        <f t="shared" si="840"/>
        <v>140786.80070000002</v>
      </c>
      <c r="AC182" s="244">
        <f t="shared" si="841"/>
        <v>209557.77493000001</v>
      </c>
      <c r="AD182" s="244">
        <f t="shared" si="842"/>
        <v>267511.58766487509</v>
      </c>
      <c r="AE182" s="244">
        <f t="shared" si="843"/>
        <v>355925.73513773037</v>
      </c>
      <c r="AF182" s="244">
        <f t="shared" si="844"/>
        <v>350900.97630936513</v>
      </c>
      <c r="AG182" s="244">
        <f t="shared" si="845"/>
        <v>537247.50596212666</v>
      </c>
      <c r="AH182" s="244">
        <f t="shared" si="846"/>
        <v>1073893.6230150554</v>
      </c>
      <c r="AI182" s="244">
        <f t="shared" si="847"/>
        <v>1457176.0320537887</v>
      </c>
      <c r="AJ182" s="244">
        <f t="shared" si="848"/>
        <v>1366941.07657415</v>
      </c>
      <c r="AK182" s="244">
        <f t="shared" si="849"/>
        <v>1990399.0113396556</v>
      </c>
      <c r="AL182" s="244">
        <f t="shared" si="850"/>
        <v>1840310.9601614478</v>
      </c>
      <c r="AM182" s="244">
        <f t="shared" si="851"/>
        <v>2497134.6930473028</v>
      </c>
      <c r="AN182" s="244">
        <f t="shared" si="852"/>
        <v>2342500.7758697057</v>
      </c>
      <c r="AO182" s="244">
        <f t="shared" si="853"/>
        <v>3410908.7130797924</v>
      </c>
      <c r="AP182" s="244">
        <f t="shared" si="854"/>
        <v>2564658.5086348751</v>
      </c>
      <c r="AQ182" s="244">
        <f t="shared" si="855"/>
        <v>3480008.4748553918</v>
      </c>
      <c r="AR182" s="244">
        <f t="shared" si="856"/>
        <v>3264510.5508641815</v>
      </c>
      <c r="AS182" s="244">
        <f t="shared" si="857"/>
        <v>4753444.5224460801</v>
      </c>
      <c r="AT182" s="244">
        <f t="shared" si="858"/>
        <v>3485111.5732723717</v>
      </c>
      <c r="AU182" s="244">
        <f t="shared" si="859"/>
        <v>4728979.616572855</v>
      </c>
      <c r="AV182" s="244">
        <f t="shared" si="860"/>
        <v>4436139.7291612159</v>
      </c>
      <c r="AW182" s="244">
        <f t="shared" si="861"/>
        <v>6459450.4345543291</v>
      </c>
      <c r="AY182" s="20">
        <f t="shared" ref="AY182:CD182" si="874">AY$179*AY158</f>
        <v>785.75</v>
      </c>
      <c r="AZ182" s="20">
        <f t="shared" si="874"/>
        <v>435</v>
      </c>
      <c r="BA182" s="20">
        <f t="shared" si="874"/>
        <v>856</v>
      </c>
      <c r="BB182" s="20">
        <f t="shared" si="874"/>
        <v>223.83</v>
      </c>
      <c r="BC182" s="20">
        <f t="shared" si="874"/>
        <v>1420</v>
      </c>
      <c r="BD182" s="20">
        <f t="shared" si="874"/>
        <v>3369.5171999999998</v>
      </c>
      <c r="BE182" s="20">
        <f t="shared" si="874"/>
        <v>98</v>
      </c>
      <c r="BF182" s="20">
        <f t="shared" si="874"/>
        <v>910.54460000000006</v>
      </c>
      <c r="BG182" s="20">
        <f t="shared" si="874"/>
        <v>3222.17</v>
      </c>
      <c r="BH182" s="20">
        <f t="shared" si="874"/>
        <v>495</v>
      </c>
      <c r="BI182" s="20">
        <f t="shared" si="874"/>
        <v>3887</v>
      </c>
      <c r="BJ182" s="20">
        <f t="shared" si="874"/>
        <v>3247.6863000000003</v>
      </c>
      <c r="BK182" s="20">
        <f t="shared" si="874"/>
        <v>1389.3</v>
      </c>
      <c r="BL182" s="20">
        <f t="shared" si="874"/>
        <v>884.1</v>
      </c>
      <c r="BM182" s="20">
        <f t="shared" si="874"/>
        <v>2966.42</v>
      </c>
      <c r="BN182" s="20">
        <f t="shared" si="874"/>
        <v>245.41</v>
      </c>
      <c r="BO182" s="20">
        <f t="shared" si="874"/>
        <v>2230.5999000000002</v>
      </c>
      <c r="BP182" s="20">
        <f t="shared" si="874"/>
        <v>2905.2083000000002</v>
      </c>
      <c r="BQ182" s="20">
        <f t="shared" si="874"/>
        <v>884.2</v>
      </c>
      <c r="BR182" s="20">
        <f t="shared" si="874"/>
        <v>1091.3700000000001</v>
      </c>
      <c r="BS182" s="20">
        <f t="shared" si="874"/>
        <v>4322.4682000000003</v>
      </c>
      <c r="BT182" s="20">
        <f t="shared" si="874"/>
        <v>1040.5086000000001</v>
      </c>
      <c r="BU182" s="20">
        <f t="shared" si="874"/>
        <v>4618.7348000000002</v>
      </c>
      <c r="BV182" s="20">
        <f t="shared" si="874"/>
        <v>4762.2834000000003</v>
      </c>
      <c r="BW182" s="20">
        <f t="shared" si="874"/>
        <v>1702.7</v>
      </c>
      <c r="BX182" s="20">
        <f t="shared" si="874"/>
        <v>447.80989999999997</v>
      </c>
      <c r="BY182" s="20">
        <f t="shared" si="874"/>
        <v>4439.25</v>
      </c>
      <c r="BZ182" s="20">
        <f t="shared" si="874"/>
        <v>1777.6819</v>
      </c>
      <c r="CA182" s="20">
        <f t="shared" si="874"/>
        <v>3812.3276000000001</v>
      </c>
      <c r="CB182" s="20">
        <f t="shared" si="874"/>
        <v>6101.7125000000005</v>
      </c>
      <c r="CC182" s="20">
        <f t="shared" si="874"/>
        <v>2235.0142999999998</v>
      </c>
      <c r="CD182" s="20">
        <f t="shared" si="874"/>
        <v>4648.66641282</v>
      </c>
      <c r="CE182" s="20">
        <f t="shared" ref="CE182:DJ182" si="875">CE$179*CE158</f>
        <v>8027.7546538500001</v>
      </c>
      <c r="CF182" s="20">
        <f t="shared" si="875"/>
        <v>3598.116</v>
      </c>
      <c r="CG182" s="20">
        <f t="shared" si="875"/>
        <v>5490.0523999999996</v>
      </c>
      <c r="CH182" s="20">
        <f t="shared" si="875"/>
        <v>10632.01044615</v>
      </c>
      <c r="CI182" s="20">
        <f t="shared" si="875"/>
        <v>5895.9975776520005</v>
      </c>
      <c r="CJ182" s="20">
        <f t="shared" si="875"/>
        <v>20462.024940000003</v>
      </c>
      <c r="CK182" s="20">
        <f t="shared" si="875"/>
        <v>46010.829233922006</v>
      </c>
      <c r="CL182" s="20">
        <f t="shared" si="875"/>
        <v>25115.281417254002</v>
      </c>
      <c r="CM182" s="20">
        <f t="shared" si="875"/>
        <v>35461.836974088001</v>
      </c>
      <c r="CN182" s="20">
        <f t="shared" si="875"/>
        <v>34351.684302348003</v>
      </c>
      <c r="CO182" s="20">
        <f t="shared" si="875"/>
        <v>21118.020105</v>
      </c>
      <c r="CP182" s="20">
        <f t="shared" si="875"/>
        <v>49275.380245000008</v>
      </c>
      <c r="CQ182" s="20">
        <f t="shared" si="875"/>
        <v>70393.400350000011</v>
      </c>
      <c r="CR182" s="20">
        <f t="shared" si="875"/>
        <v>20955.777493000001</v>
      </c>
      <c r="CS182" s="20">
        <f t="shared" si="875"/>
        <v>83823.109972000006</v>
      </c>
      <c r="CT182" s="20">
        <f t="shared" si="875"/>
        <v>104778.88746500001</v>
      </c>
      <c r="CU182" s="20">
        <f t="shared" si="875"/>
        <v>35362.376247170294</v>
      </c>
      <c r="CV182" s="20">
        <f t="shared" si="875"/>
        <v>77718.982762223881</v>
      </c>
      <c r="CW182" s="20">
        <f t="shared" si="875"/>
        <v>154430.22865548093</v>
      </c>
      <c r="CX182" s="20">
        <f t="shared" si="875"/>
        <v>61747.318310013099</v>
      </c>
      <c r="CY182" s="20">
        <f t="shared" si="875"/>
        <v>121109.08178418654</v>
      </c>
      <c r="CZ182" s="20">
        <f t="shared" si="875"/>
        <v>173069.33504353074</v>
      </c>
      <c r="DA182" s="20">
        <f t="shared" si="875"/>
        <v>59291.728581954041</v>
      </c>
      <c r="DB182" s="20">
        <f t="shared" si="875"/>
        <v>105723.0243038655</v>
      </c>
      <c r="DC182" s="20">
        <f t="shared" si="875"/>
        <v>185886.2234235456</v>
      </c>
      <c r="DD182" s="20">
        <f t="shared" si="875"/>
        <v>79819.863676617664</v>
      </c>
      <c r="DE182" s="20">
        <f t="shared" si="875"/>
        <v>212913.8134161841</v>
      </c>
      <c r="DF182" s="20">
        <f t="shared" si="875"/>
        <v>244513.82886932491</v>
      </c>
      <c r="DG182" s="20">
        <f t="shared" si="875"/>
        <v>148353.91145088043</v>
      </c>
      <c r="DH182" s="20">
        <f t="shared" si="875"/>
        <v>313354.83541146084</v>
      </c>
      <c r="DI182" s="20">
        <f t="shared" si="875"/>
        <v>612184.87615271425</v>
      </c>
      <c r="DJ182" s="20">
        <f t="shared" si="875"/>
        <v>264091.43015733332</v>
      </c>
      <c r="DK182" s="20">
        <f t="shared" ref="DK182:EP182" si="876">DK$179*DK158</f>
        <v>495336.24949117185</v>
      </c>
      <c r="DL182" s="20">
        <f t="shared" si="876"/>
        <v>697748.35240528337</v>
      </c>
      <c r="DM182" s="20">
        <f t="shared" si="876"/>
        <v>230971.99714914404</v>
      </c>
      <c r="DN182" s="20">
        <f t="shared" si="876"/>
        <v>411845.94634239533</v>
      </c>
      <c r="DO182" s="20">
        <f t="shared" si="876"/>
        <v>724123.13308261055</v>
      </c>
      <c r="DP182" s="20">
        <f t="shared" si="876"/>
        <v>276786.94082543877</v>
      </c>
      <c r="DQ182" s="20">
        <f t="shared" si="876"/>
        <v>795256.82043646672</v>
      </c>
      <c r="DR182" s="20">
        <f t="shared" si="876"/>
        <v>918355.25007775018</v>
      </c>
      <c r="DS182" s="20">
        <f t="shared" si="876"/>
        <v>254231.26031734393</v>
      </c>
      <c r="DT182" s="20">
        <f t="shared" si="876"/>
        <v>536990.18754599057</v>
      </c>
      <c r="DU182" s="20">
        <f t="shared" si="876"/>
        <v>1049089.5122981132</v>
      </c>
      <c r="DV182" s="20">
        <f t="shared" si="876"/>
        <v>452568.43227985012</v>
      </c>
      <c r="DW182" s="20">
        <f t="shared" si="876"/>
        <v>848848.25588641106</v>
      </c>
      <c r="DX182" s="20">
        <f t="shared" si="876"/>
        <v>1195718.0048810414</v>
      </c>
      <c r="DY182" s="20">
        <f t="shared" si="876"/>
        <v>395812.29344723403</v>
      </c>
      <c r="DZ182" s="20">
        <f t="shared" si="876"/>
        <v>705772.52039548405</v>
      </c>
      <c r="EA182" s="20">
        <f t="shared" si="876"/>
        <v>1240915.9620269877</v>
      </c>
      <c r="EB182" s="20">
        <f t="shared" si="876"/>
        <v>474324.48607013642</v>
      </c>
      <c r="EC182" s="20">
        <f t="shared" si="876"/>
        <v>1362816.4013893732</v>
      </c>
      <c r="ED182" s="20">
        <f t="shared" si="876"/>
        <v>1573767.8256202827</v>
      </c>
      <c r="EE182" s="20">
        <f t="shared" si="876"/>
        <v>354296.84387503919</v>
      </c>
      <c r="EF182" s="20">
        <f t="shared" si="876"/>
        <v>748349.86225504114</v>
      </c>
      <c r="EG182" s="20">
        <f t="shared" si="876"/>
        <v>1462011.8025047947</v>
      </c>
      <c r="EH182" s="20">
        <f t="shared" si="876"/>
        <v>630699.65115256328</v>
      </c>
      <c r="EI182" s="20">
        <f t="shared" si="876"/>
        <v>1182955.4619443077</v>
      </c>
      <c r="EJ182" s="20">
        <f t="shared" si="876"/>
        <v>1666353.3617585208</v>
      </c>
      <c r="EK182" s="20">
        <f t="shared" si="876"/>
        <v>551604.26046839263</v>
      </c>
      <c r="EL182" s="20">
        <f t="shared" si="876"/>
        <v>983565.02720288362</v>
      </c>
      <c r="EM182" s="20">
        <f t="shared" si="876"/>
        <v>1729341.2631929051</v>
      </c>
      <c r="EN182" s="20">
        <f t="shared" si="876"/>
        <v>661018.90136377804</v>
      </c>
      <c r="EO182" s="20">
        <f t="shared" si="876"/>
        <v>1899221.7919648711</v>
      </c>
      <c r="EP182" s="20">
        <f t="shared" si="876"/>
        <v>2193203.8291174308</v>
      </c>
      <c r="EQ182" s="20">
        <f t="shared" ref="EQ182:FB182" si="877">EQ$179*EQ158</f>
        <v>481453.5840953025</v>
      </c>
      <c r="ER182" s="20">
        <f t="shared" si="877"/>
        <v>1016931.7891722234</v>
      </c>
      <c r="ES182" s="20">
        <f t="shared" si="877"/>
        <v>1986726.2000048461</v>
      </c>
      <c r="ET182" s="20">
        <f t="shared" si="877"/>
        <v>857057.04915101395</v>
      </c>
      <c r="EU182" s="20">
        <f t="shared" si="877"/>
        <v>1607516.8515446265</v>
      </c>
      <c r="EV182" s="20">
        <f t="shared" si="877"/>
        <v>2264405.7158772149</v>
      </c>
      <c r="EW182" s="20">
        <f t="shared" si="877"/>
        <v>749574.41138937662</v>
      </c>
      <c r="EX182" s="20">
        <f t="shared" si="877"/>
        <v>1336565.4132234955</v>
      </c>
      <c r="EY182" s="20">
        <f t="shared" si="877"/>
        <v>2349999.9045483442</v>
      </c>
      <c r="EZ182" s="20">
        <f t="shared" si="877"/>
        <v>898257.84428544657</v>
      </c>
      <c r="FA182" s="20">
        <f t="shared" si="877"/>
        <v>2580850.3647181666</v>
      </c>
      <c r="FB182" s="20">
        <f t="shared" si="877"/>
        <v>2980342.2255507153</v>
      </c>
    </row>
    <row r="183" spans="3:158" x14ac:dyDescent="0.25">
      <c r="C183" s="2" t="s">
        <v>300</v>
      </c>
      <c r="D183" s="244">
        <f t="shared" si="769"/>
        <v>37900.996200000001</v>
      </c>
      <c r="E183" s="244">
        <f t="shared" si="769"/>
        <v>54681.20640000001</v>
      </c>
      <c r="F183" s="244">
        <f t="shared" si="769"/>
        <v>105826.19222564001</v>
      </c>
      <c r="G183" s="244">
        <f t="shared" si="769"/>
        <v>674307.59453543508</v>
      </c>
      <c r="H183" s="244">
        <f t="shared" si="769"/>
        <v>874714.74580264767</v>
      </c>
      <c r="I183" s="244">
        <f t="shared" si="769"/>
        <v>1226688.1397807717</v>
      </c>
      <c r="J183" s="244">
        <f t="shared" si="769"/>
        <v>1751793.3340552137</v>
      </c>
      <c r="K183" s="244">
        <f t="shared" si="769"/>
        <v>2441300.2893600208</v>
      </c>
      <c r="L183" s="244">
        <f t="shared" si="769"/>
        <v>3317480.2273424603</v>
      </c>
      <c r="N183" s="244">
        <f t="shared" si="826"/>
        <v>4153.5</v>
      </c>
      <c r="O183" s="244">
        <f t="shared" si="827"/>
        <v>10026.6944</v>
      </c>
      <c r="P183" s="244">
        <f t="shared" si="828"/>
        <v>8461.4292000000005</v>
      </c>
      <c r="Q183" s="244">
        <f t="shared" si="829"/>
        <v>15259.372600000001</v>
      </c>
      <c r="R183" s="244">
        <f t="shared" si="830"/>
        <v>10479.64</v>
      </c>
      <c r="S183" s="244">
        <f t="shared" si="831"/>
        <v>10762.436400000001</v>
      </c>
      <c r="T183" s="244">
        <f t="shared" si="832"/>
        <v>12596.076400000002</v>
      </c>
      <c r="U183" s="244">
        <f t="shared" si="833"/>
        <v>20843.053599999999</v>
      </c>
      <c r="V183" s="244">
        <f t="shared" si="834"/>
        <v>13179.5198</v>
      </c>
      <c r="W183" s="244">
        <f t="shared" si="835"/>
        <v>23383.444000000003</v>
      </c>
      <c r="X183" s="244">
        <f t="shared" si="836"/>
        <v>29822.870733340002</v>
      </c>
      <c r="Y183" s="244">
        <f t="shared" si="837"/>
        <v>39440.357692299993</v>
      </c>
      <c r="Z183" s="244">
        <f t="shared" si="838"/>
        <v>94271.41664388575</v>
      </c>
      <c r="AA183" s="244">
        <f t="shared" si="839"/>
        <v>123659.17785958838</v>
      </c>
      <c r="AB183" s="244">
        <f t="shared" si="840"/>
        <v>183396.18254977689</v>
      </c>
      <c r="AC183" s="244">
        <f t="shared" si="841"/>
        <v>272980.81748218415</v>
      </c>
      <c r="AD183" s="244">
        <f t="shared" si="842"/>
        <v>154801.88396719797</v>
      </c>
      <c r="AE183" s="244">
        <f t="shared" si="843"/>
        <v>205964.81383361423</v>
      </c>
      <c r="AF183" s="244">
        <f t="shared" si="844"/>
        <v>203057.11873187457</v>
      </c>
      <c r="AG183" s="244">
        <f t="shared" si="845"/>
        <v>310890.92926996085</v>
      </c>
      <c r="AH183" s="244">
        <f t="shared" si="846"/>
        <v>223716.18624343639</v>
      </c>
      <c r="AI183" s="244">
        <f t="shared" si="847"/>
        <v>303562.5294627964</v>
      </c>
      <c r="AJ183" s="244">
        <f t="shared" si="848"/>
        <v>284764.55946547573</v>
      </c>
      <c r="AK183" s="244">
        <f t="shared" si="849"/>
        <v>414644.8646090632</v>
      </c>
      <c r="AL183" s="244">
        <f t="shared" si="850"/>
        <v>319481.79090697493</v>
      </c>
      <c r="AM183" s="244">
        <f t="shared" si="851"/>
        <v>433507.75012539327</v>
      </c>
      <c r="AN183" s="244">
        <f t="shared" si="852"/>
        <v>406662.98211372772</v>
      </c>
      <c r="AO183" s="244">
        <f t="shared" si="853"/>
        <v>592140.81090911804</v>
      </c>
      <c r="AP183" s="244">
        <f t="shared" si="854"/>
        <v>445230.02424090327</v>
      </c>
      <c r="AQ183" s="244">
        <f t="shared" si="855"/>
        <v>604136.6725440328</v>
      </c>
      <c r="AR183" s="244">
        <f t="shared" si="856"/>
        <v>566725.78700140305</v>
      </c>
      <c r="AS183" s="244">
        <f t="shared" si="857"/>
        <v>825207.80557368195</v>
      </c>
      <c r="AT183" s="244">
        <f t="shared" si="858"/>
        <v>605022.58098924917</v>
      </c>
      <c r="AU183" s="244">
        <f t="shared" si="859"/>
        <v>820960.64728796342</v>
      </c>
      <c r="AV183" s="244">
        <f t="shared" si="860"/>
        <v>770123.03684898652</v>
      </c>
      <c r="AW183" s="244">
        <f t="shared" si="861"/>
        <v>1121373.9622162611</v>
      </c>
      <c r="AY183" s="20">
        <f t="shared" ref="AY183:CD183" si="878">AY$179*AY159</f>
        <v>1571.5</v>
      </c>
      <c r="AZ183" s="20">
        <f t="shared" si="878"/>
        <v>870</v>
      </c>
      <c r="BA183" s="20">
        <f t="shared" si="878"/>
        <v>1712</v>
      </c>
      <c r="BB183" s="20">
        <f t="shared" si="878"/>
        <v>447.66</v>
      </c>
      <c r="BC183" s="20">
        <f t="shared" si="878"/>
        <v>2840</v>
      </c>
      <c r="BD183" s="20">
        <f t="shared" si="878"/>
        <v>6739.0343999999996</v>
      </c>
      <c r="BE183" s="20">
        <f t="shared" si="878"/>
        <v>196</v>
      </c>
      <c r="BF183" s="20">
        <f t="shared" si="878"/>
        <v>1821.0892000000001</v>
      </c>
      <c r="BG183" s="20">
        <f t="shared" si="878"/>
        <v>6444.34</v>
      </c>
      <c r="BH183" s="20">
        <f t="shared" si="878"/>
        <v>990</v>
      </c>
      <c r="BI183" s="20">
        <f t="shared" si="878"/>
        <v>7774</v>
      </c>
      <c r="BJ183" s="20">
        <f t="shared" si="878"/>
        <v>6495.3726000000006</v>
      </c>
      <c r="BK183" s="20">
        <f t="shared" si="878"/>
        <v>2778.6</v>
      </c>
      <c r="BL183" s="20">
        <f t="shared" si="878"/>
        <v>1768.2</v>
      </c>
      <c r="BM183" s="20">
        <f t="shared" si="878"/>
        <v>5932.84</v>
      </c>
      <c r="BN183" s="20">
        <f t="shared" si="878"/>
        <v>490.82</v>
      </c>
      <c r="BO183" s="20">
        <f t="shared" si="878"/>
        <v>4461.1998000000003</v>
      </c>
      <c r="BP183" s="20">
        <f t="shared" si="878"/>
        <v>5810.4166000000005</v>
      </c>
      <c r="BQ183" s="20">
        <f t="shared" si="878"/>
        <v>1768.4</v>
      </c>
      <c r="BR183" s="20">
        <f t="shared" si="878"/>
        <v>2182.7400000000002</v>
      </c>
      <c r="BS183" s="20">
        <f t="shared" si="878"/>
        <v>8644.9364000000005</v>
      </c>
      <c r="BT183" s="20">
        <f t="shared" si="878"/>
        <v>2081.0172000000002</v>
      </c>
      <c r="BU183" s="20">
        <f t="shared" si="878"/>
        <v>9237.4696000000004</v>
      </c>
      <c r="BV183" s="20">
        <f t="shared" si="878"/>
        <v>9524.5668000000005</v>
      </c>
      <c r="BW183" s="20">
        <f t="shared" si="878"/>
        <v>3405.4</v>
      </c>
      <c r="BX183" s="20">
        <f t="shared" si="878"/>
        <v>895.61979999999994</v>
      </c>
      <c r="BY183" s="20">
        <f t="shared" si="878"/>
        <v>8878.5</v>
      </c>
      <c r="BZ183" s="20">
        <f t="shared" si="878"/>
        <v>3555.3638000000001</v>
      </c>
      <c r="CA183" s="20">
        <f t="shared" si="878"/>
        <v>7624.6552000000001</v>
      </c>
      <c r="CB183" s="20">
        <f t="shared" si="878"/>
        <v>12203.425000000001</v>
      </c>
      <c r="CC183" s="20">
        <f t="shared" si="878"/>
        <v>4470.0285999999996</v>
      </c>
      <c r="CD183" s="20">
        <f t="shared" si="878"/>
        <v>9297.33282564</v>
      </c>
      <c r="CE183" s="20">
        <f t="shared" ref="CE183:DJ183" si="879">CE$179*CE159</f>
        <v>16055.5093077</v>
      </c>
      <c r="CF183" s="20">
        <f t="shared" si="879"/>
        <v>7196.232</v>
      </c>
      <c r="CG183" s="20">
        <f t="shared" si="879"/>
        <v>10980.104799999999</v>
      </c>
      <c r="CH183" s="20">
        <f t="shared" si="879"/>
        <v>21264.020892299999</v>
      </c>
      <c r="CI183" s="20">
        <f t="shared" si="879"/>
        <v>7680.4319914069074</v>
      </c>
      <c r="CJ183" s="20">
        <f t="shared" si="879"/>
        <v>26654.894085069773</v>
      </c>
      <c r="CK183" s="20">
        <f t="shared" si="879"/>
        <v>59936.090567409061</v>
      </c>
      <c r="CL183" s="20">
        <f t="shared" si="879"/>
        <v>32716.467116847649</v>
      </c>
      <c r="CM183" s="20">
        <f t="shared" si="879"/>
        <v>46194.426572052005</v>
      </c>
      <c r="CN183" s="20">
        <f t="shared" si="879"/>
        <v>44748.284170688727</v>
      </c>
      <c r="CO183" s="20">
        <f t="shared" si="879"/>
        <v>27509.427382466529</v>
      </c>
      <c r="CP183" s="20">
        <f t="shared" si="879"/>
        <v>64188.663892421915</v>
      </c>
      <c r="CQ183" s="20">
        <f t="shared" si="879"/>
        <v>91698.091274888444</v>
      </c>
      <c r="CR183" s="20">
        <f t="shared" si="879"/>
        <v>27298.081748218414</v>
      </c>
      <c r="CS183" s="20">
        <f t="shared" si="879"/>
        <v>109192.32699287366</v>
      </c>
      <c r="CT183" s="20">
        <f t="shared" si="879"/>
        <v>136490.40874109208</v>
      </c>
      <c r="CU183" s="20">
        <f t="shared" si="879"/>
        <v>20463.272310568485</v>
      </c>
      <c r="CV183" s="20">
        <f t="shared" si="879"/>
        <v>44973.920780875924</v>
      </c>
      <c r="CW183" s="20">
        <f t="shared" si="879"/>
        <v>89364.690875753542</v>
      </c>
      <c r="CX183" s="20">
        <f t="shared" si="879"/>
        <v>35731.540782027034</v>
      </c>
      <c r="CY183" s="20">
        <f t="shared" si="879"/>
        <v>70082.624043994554</v>
      </c>
      <c r="CZ183" s="20">
        <f t="shared" si="879"/>
        <v>100150.64900759263</v>
      </c>
      <c r="DA183" s="20">
        <f t="shared" si="879"/>
        <v>34310.555921250656</v>
      </c>
      <c r="DB183" s="20">
        <f t="shared" si="879"/>
        <v>61179.11931893912</v>
      </c>
      <c r="DC183" s="20">
        <f t="shared" si="879"/>
        <v>107567.44349168481</v>
      </c>
      <c r="DD183" s="20">
        <f t="shared" si="879"/>
        <v>46189.645028104824</v>
      </c>
      <c r="DE183" s="20">
        <f t="shared" si="879"/>
        <v>123207.59533136823</v>
      </c>
      <c r="DF183" s="20">
        <f t="shared" si="879"/>
        <v>141493.68891048784</v>
      </c>
      <c r="DG183" s="20">
        <f t="shared" si="879"/>
        <v>30905.45522647371</v>
      </c>
      <c r="DH183" s="20">
        <f t="shared" si="879"/>
        <v>65278.857436896171</v>
      </c>
      <c r="DI183" s="20">
        <f t="shared" si="879"/>
        <v>127531.8735800665</v>
      </c>
      <c r="DJ183" s="20">
        <f t="shared" si="879"/>
        <v>55016.182523271353</v>
      </c>
      <c r="DK183" s="20">
        <f t="shared" ref="DK183:EP183" si="880">DK$179*DK159</f>
        <v>103189.6775149569</v>
      </c>
      <c r="DL183" s="20">
        <f t="shared" si="880"/>
        <v>145356.66942456819</v>
      </c>
      <c r="DM183" s="20">
        <f t="shared" si="880"/>
        <v>48116.65999669685</v>
      </c>
      <c r="DN183" s="20">
        <f t="shared" si="880"/>
        <v>85796.770239549049</v>
      </c>
      <c r="DO183" s="20">
        <f t="shared" si="880"/>
        <v>150851.12922922985</v>
      </c>
      <c r="DP183" s="20">
        <f t="shared" si="880"/>
        <v>57660.942831193955</v>
      </c>
      <c r="DQ183" s="20">
        <f t="shared" si="880"/>
        <v>165669.87561824211</v>
      </c>
      <c r="DR183" s="20">
        <f t="shared" si="880"/>
        <v>191314.04615962715</v>
      </c>
      <c r="DS183" s="20">
        <f t="shared" si="880"/>
        <v>44135.072881159656</v>
      </c>
      <c r="DT183" s="20">
        <f t="shared" si="880"/>
        <v>93222.607771468596</v>
      </c>
      <c r="DU183" s="20">
        <f t="shared" si="880"/>
        <v>182124.11025434671</v>
      </c>
      <c r="DV183" s="20">
        <f t="shared" si="880"/>
        <v>78566.816360233002</v>
      </c>
      <c r="DW183" s="20">
        <f t="shared" si="880"/>
        <v>147361.81377470115</v>
      </c>
      <c r="DX183" s="20">
        <f t="shared" si="880"/>
        <v>207579.11999045909</v>
      </c>
      <c r="DY183" s="20">
        <f t="shared" si="880"/>
        <v>68713.833211331716</v>
      </c>
      <c r="DZ183" s="20">
        <f t="shared" si="880"/>
        <v>122523.57002161069</v>
      </c>
      <c r="EA183" s="20">
        <f t="shared" si="880"/>
        <v>215425.57888078532</v>
      </c>
      <c r="EB183" s="20">
        <f t="shared" si="880"/>
        <v>82343.712318826525</v>
      </c>
      <c r="EC183" s="20">
        <f t="shared" si="880"/>
        <v>236587.74740714428</v>
      </c>
      <c r="ED183" s="20">
        <f t="shared" si="880"/>
        <v>273209.35118314717</v>
      </c>
      <c r="EE183" s="20">
        <f t="shared" si="880"/>
        <v>61506.665256156666</v>
      </c>
      <c r="EF183" s="20">
        <f t="shared" si="880"/>
        <v>129915.08467528448</v>
      </c>
      <c r="EG183" s="20">
        <f t="shared" si="880"/>
        <v>253808.27430946211</v>
      </c>
      <c r="EH183" s="20">
        <f t="shared" si="880"/>
        <v>109490.76456999868</v>
      </c>
      <c r="EI183" s="20">
        <f t="shared" si="880"/>
        <v>205363.51612664404</v>
      </c>
      <c r="EJ183" s="20">
        <f t="shared" si="880"/>
        <v>289282.39184739004</v>
      </c>
      <c r="EK183" s="20">
        <f t="shared" si="880"/>
        <v>95759.641072234546</v>
      </c>
      <c r="EL183" s="20">
        <f t="shared" si="880"/>
        <v>170748.92404959528</v>
      </c>
      <c r="EM183" s="20">
        <f t="shared" si="880"/>
        <v>300217.22187957313</v>
      </c>
      <c r="EN183" s="20">
        <f t="shared" si="880"/>
        <v>114754.2491474017</v>
      </c>
      <c r="EO183" s="20">
        <f t="shared" si="880"/>
        <v>329708.83321439353</v>
      </c>
      <c r="EP183" s="20">
        <f t="shared" si="880"/>
        <v>380744.72321188671</v>
      </c>
      <c r="EQ183" s="20">
        <f t="shared" ref="EQ183:FB183" si="881">EQ$179*EQ159</f>
        <v>83581.338488499299</v>
      </c>
      <c r="ER183" s="20">
        <f t="shared" si="881"/>
        <v>176541.46297453664</v>
      </c>
      <c r="ES183" s="20">
        <f t="shared" si="881"/>
        <v>344899.77952621324</v>
      </c>
      <c r="ET183" s="20">
        <f t="shared" si="881"/>
        <v>148786.87727219312</v>
      </c>
      <c r="EU183" s="20">
        <f t="shared" si="881"/>
        <v>279068.25192171009</v>
      </c>
      <c r="EV183" s="20">
        <f t="shared" si="881"/>
        <v>393105.51809406019</v>
      </c>
      <c r="EW183" s="20">
        <f t="shared" si="881"/>
        <v>130127.66893900953</v>
      </c>
      <c r="EX183" s="20">
        <f t="shared" si="881"/>
        <v>232030.52153941558</v>
      </c>
      <c r="EY183" s="20">
        <f t="shared" si="881"/>
        <v>407964.84637056134</v>
      </c>
      <c r="EZ183" s="20">
        <f t="shared" si="881"/>
        <v>155939.42056584667</v>
      </c>
      <c r="FA183" s="20">
        <f t="shared" si="881"/>
        <v>448040.96396336413</v>
      </c>
      <c r="FB183" s="20">
        <f t="shared" si="881"/>
        <v>517393.57768705022</v>
      </c>
    </row>
    <row r="185" spans="3:158" s="1" customFormat="1" x14ac:dyDescent="0.25">
      <c r="C185" s="304" t="s">
        <v>646</v>
      </c>
      <c r="D185" s="22">
        <f t="shared" si="769"/>
        <v>-91265</v>
      </c>
      <c r="E185" s="22">
        <f t="shared" si="769"/>
        <v>-132447.25</v>
      </c>
      <c r="F185" s="22">
        <f t="shared" si="769"/>
        <v>-374225.74000000005</v>
      </c>
      <c r="G185" s="22">
        <f t="shared" si="769"/>
        <v>-771029.74174830795</v>
      </c>
      <c r="H185" s="22">
        <f t="shared" si="769"/>
        <v>-1316911.2003414431</v>
      </c>
      <c r="I185" s="22">
        <f t="shared" si="769"/>
        <v>-1945251.5247633921</v>
      </c>
      <c r="J185" s="22">
        <f t="shared" si="769"/>
        <v>-2779016.1975932093</v>
      </c>
      <c r="K185" s="22">
        <f t="shared" si="769"/>
        <v>-3862661.0734715476</v>
      </c>
      <c r="L185" s="22">
        <f t="shared" si="769"/>
        <v>-5239081.5963725559</v>
      </c>
      <c r="N185" s="22">
        <f t="shared" ref="N185:N189" si="882">SUM(AY185:BA185)</f>
        <v>-27665</v>
      </c>
      <c r="O185" s="22">
        <f t="shared" ref="O185:O189" si="883">SUM(BB185:BD185)</f>
        <v>-21000</v>
      </c>
      <c r="P185" s="22">
        <f t="shared" ref="P185:P189" si="884">SUM(BE185:BG185)</f>
        <v>-36600</v>
      </c>
      <c r="Q185" s="22">
        <f t="shared" ref="Q185:Q189" si="885">SUM(BH185:BJ185)</f>
        <v>-6000</v>
      </c>
      <c r="R185" s="22">
        <f t="shared" ref="R185:R189" si="886">SUM(BK185:BM185)</f>
        <v>-16884.25</v>
      </c>
      <c r="S185" s="22">
        <f t="shared" ref="S185:S189" si="887">SUM(BN185:BP185)</f>
        <v>-62400</v>
      </c>
      <c r="T185" s="22">
        <f t="shared" ref="T185:T189" si="888">SUM(BQ185:BS185)</f>
        <v>-2375</v>
      </c>
      <c r="U185" s="22">
        <f t="shared" ref="U185:U189" si="889">SUM(BT185:BV185)</f>
        <v>-50788</v>
      </c>
      <c r="V185" s="22">
        <f t="shared" ref="V185:V189" si="890">SUM(BW185:BY185)</f>
        <v>-84540</v>
      </c>
      <c r="W185" s="22">
        <f t="shared" ref="W185:W189" si="891">SUM(BZ185:CB185)</f>
        <v>-79712.179999999993</v>
      </c>
      <c r="X185" s="22">
        <f t="shared" ref="X185:X189" si="892">SUM(CC185:CE185)</f>
        <v>-116608.33</v>
      </c>
      <c r="Y185" s="22">
        <f t="shared" ref="Y185:Y189" si="893">SUM(CF185:CH185)</f>
        <v>-93365.23000000001</v>
      </c>
      <c r="Z185" s="22">
        <f t="shared" ref="Z185:Z189" si="894">SUM(CI185:CK185)</f>
        <v>-139240.1</v>
      </c>
      <c r="AA185" s="22">
        <f t="shared" ref="AA185:AA189" si="895">SUM(CL185:CN185)</f>
        <v>-260784.03</v>
      </c>
      <c r="AB185" s="22">
        <f t="shared" ref="AB185:AB189" si="896">SUM(CO185:CQ185)</f>
        <v>-155839.7432855806</v>
      </c>
      <c r="AC185" s="22">
        <f t="shared" ref="AC185:AC189" si="897">SUM(CR185:CT185)</f>
        <v>-215165.86846272729</v>
      </c>
      <c r="AD185" s="22">
        <f t="shared" ref="AD185:AD189" si="898">SUM(CU185:CW185)</f>
        <v>-270966.15680271084</v>
      </c>
      <c r="AE185" s="22">
        <f t="shared" ref="AE185:AE189" si="899">SUM(CX185:CZ185)</f>
        <v>-305207.40092287911</v>
      </c>
      <c r="AF185" s="22">
        <f t="shared" ref="AF185:AF189" si="900">SUM(DA185:DC185)</f>
        <v>-279730.38003425475</v>
      </c>
      <c r="AG185" s="22">
        <f t="shared" ref="AG185:AG189" si="901">SUM(DD185:DF185)</f>
        <v>-461007.26258159842</v>
      </c>
      <c r="AH185" s="22">
        <f t="shared" ref="AH185:AH189" si="902">SUM(DG185:DI185)</f>
        <v>-400252.75018018374</v>
      </c>
      <c r="AI185" s="22">
        <f t="shared" ref="AI185:AI189" si="903">SUM(DJ185:DL185)</f>
        <v>-450831.58367881528</v>
      </c>
      <c r="AJ185" s="22">
        <f t="shared" ref="AJ185:AJ189" si="904">SUM(DM185:DO185)</f>
        <v>-413198.66376957938</v>
      </c>
      <c r="AK185" s="22">
        <f t="shared" ref="AK185:AK189" si="905">SUM(DP185:DR185)</f>
        <v>-680968.52713481337</v>
      </c>
      <c r="AL185" s="22">
        <f t="shared" ref="AL185:AL189" si="906">SUM(DS185:DU185)</f>
        <v>-571807.22478408203</v>
      </c>
      <c r="AM185" s="22">
        <f t="shared" ref="AM185:AM189" si="907">SUM(DV185:DX185)</f>
        <v>-644064.92295767111</v>
      </c>
      <c r="AN185" s="22">
        <f t="shared" ref="AN185:AN189" si="908">SUM(DY185:EA185)</f>
        <v>-590301.95572225633</v>
      </c>
      <c r="AO185" s="22">
        <f t="shared" ref="AO185:AO189" si="909">SUM(EB185:ED185)</f>
        <v>-972842.09412919986</v>
      </c>
      <c r="AP185" s="22">
        <f t="shared" ref="AP185:AP189" si="910">SUM(EE185:EG185)</f>
        <v>-794776.76690626354</v>
      </c>
      <c r="AQ185" s="22">
        <f t="shared" ref="AQ185:AQ189" si="911">SUM(EH185:EJ185)</f>
        <v>-895210.50969462923</v>
      </c>
      <c r="AR185" s="22">
        <f t="shared" ref="AR185:AR189" si="912">SUM(EK185:EM185)</f>
        <v>-820483.30194592476</v>
      </c>
      <c r="AS185" s="22">
        <f t="shared" ref="AS185:AS189" si="913">SUM(EN185:EP185)</f>
        <v>-1352190.4949247304</v>
      </c>
      <c r="AT185" s="22">
        <f t="shared" ref="AT185:AT189" si="914">SUM(EQ185:ES185)</f>
        <v>-1077987.494507459</v>
      </c>
      <c r="AU185" s="22">
        <f t="shared" ref="AU185:AU189" si="915">SUM(ET185:EV185)</f>
        <v>-1214209.7939763688</v>
      </c>
      <c r="AV185" s="22">
        <f t="shared" ref="AV185:AV189" si="916">SUM(EW185:EY185)</f>
        <v>-1112854.2954177842</v>
      </c>
      <c r="AW185" s="22">
        <f t="shared" ref="AW185:AW189" si="917">SUM(EZ185:FB185)</f>
        <v>-1834030.0124709439</v>
      </c>
      <c r="AY185" s="49">
        <f t="shared" ref="AY185:CD185" si="918">AY53</f>
        <v>-27665</v>
      </c>
      <c r="AZ185" s="49">
        <f t="shared" si="918"/>
        <v>0</v>
      </c>
      <c r="BA185" s="49">
        <f t="shared" si="918"/>
        <v>0</v>
      </c>
      <c r="BB185" s="49">
        <f t="shared" si="918"/>
        <v>-21000</v>
      </c>
      <c r="BC185" s="49">
        <f t="shared" si="918"/>
        <v>0</v>
      </c>
      <c r="BD185" s="49">
        <f t="shared" si="918"/>
        <v>0</v>
      </c>
      <c r="BE185" s="49">
        <f t="shared" si="918"/>
        <v>-2250</v>
      </c>
      <c r="BF185" s="49">
        <f t="shared" si="918"/>
        <v>-3000</v>
      </c>
      <c r="BG185" s="49">
        <f t="shared" si="918"/>
        <v>-31350</v>
      </c>
      <c r="BH185" s="49">
        <f t="shared" si="918"/>
        <v>0</v>
      </c>
      <c r="BI185" s="49">
        <f t="shared" si="918"/>
        <v>-6000</v>
      </c>
      <c r="BJ185" s="49">
        <f t="shared" si="918"/>
        <v>0</v>
      </c>
      <c r="BK185" s="49">
        <f t="shared" si="918"/>
        <v>0</v>
      </c>
      <c r="BL185" s="49">
        <f t="shared" si="918"/>
        <v>-16884.25</v>
      </c>
      <c r="BM185" s="49">
        <f t="shared" si="918"/>
        <v>0</v>
      </c>
      <c r="BN185" s="49">
        <f t="shared" si="918"/>
        <v>-20000</v>
      </c>
      <c r="BO185" s="49">
        <f t="shared" si="918"/>
        <v>-29500</v>
      </c>
      <c r="BP185" s="49">
        <f t="shared" si="918"/>
        <v>-12900</v>
      </c>
      <c r="BQ185" s="49">
        <f t="shared" si="918"/>
        <v>0</v>
      </c>
      <c r="BR185" s="49">
        <f t="shared" si="918"/>
        <v>-2375</v>
      </c>
      <c r="BS185" s="49">
        <f t="shared" si="918"/>
        <v>0</v>
      </c>
      <c r="BT185" s="49">
        <f t="shared" si="918"/>
        <v>0</v>
      </c>
      <c r="BU185" s="49">
        <f t="shared" si="918"/>
        <v>-33000</v>
      </c>
      <c r="BV185" s="49">
        <f t="shared" si="918"/>
        <v>-17788</v>
      </c>
      <c r="BW185" s="49">
        <f t="shared" si="918"/>
        <v>-9900</v>
      </c>
      <c r="BX185" s="49">
        <f t="shared" si="918"/>
        <v>-17000</v>
      </c>
      <c r="BY185" s="49">
        <f t="shared" si="918"/>
        <v>-57640</v>
      </c>
      <c r="BZ185" s="49">
        <f t="shared" si="918"/>
        <v>-46000</v>
      </c>
      <c r="CA185" s="49">
        <f t="shared" si="918"/>
        <v>-2700</v>
      </c>
      <c r="CB185" s="49">
        <f t="shared" si="918"/>
        <v>-31012.18</v>
      </c>
      <c r="CC185" s="49">
        <f t="shared" si="918"/>
        <v>-26490</v>
      </c>
      <c r="CD185" s="49">
        <f t="shared" si="918"/>
        <v>-10118.33</v>
      </c>
      <c r="CE185" s="49">
        <f t="shared" ref="CE185:DJ185" si="919">CE53</f>
        <v>-80000</v>
      </c>
      <c r="CF185" s="49">
        <f t="shared" si="919"/>
        <v>0</v>
      </c>
      <c r="CG185" s="49">
        <f t="shared" si="919"/>
        <v>-54862.83</v>
      </c>
      <c r="CH185" s="49">
        <f t="shared" si="919"/>
        <v>-38502.400000000001</v>
      </c>
      <c r="CI185" s="49">
        <f t="shared" si="919"/>
        <v>-65940.100000000006</v>
      </c>
      <c r="CJ185" s="49">
        <f t="shared" si="919"/>
        <v>-34050</v>
      </c>
      <c r="CK185" s="49">
        <f t="shared" si="919"/>
        <v>-39250</v>
      </c>
      <c r="CL185" s="49">
        <f t="shared" si="919"/>
        <v>-30500</v>
      </c>
      <c r="CM185" s="49">
        <f t="shared" si="919"/>
        <v>-124510</v>
      </c>
      <c r="CN185" s="49">
        <f t="shared" si="919"/>
        <v>-105774.03</v>
      </c>
      <c r="CO185" s="49">
        <f t="shared" si="919"/>
        <v>-24107.032246215145</v>
      </c>
      <c r="CP185" s="49">
        <f t="shared" si="919"/>
        <v>-45719.858515981781</v>
      </c>
      <c r="CQ185" s="49">
        <f t="shared" si="919"/>
        <v>-86012.852523383684</v>
      </c>
      <c r="CR185" s="49">
        <f t="shared" si="919"/>
        <v>-19358.258659691426</v>
      </c>
      <c r="CS185" s="49">
        <f t="shared" si="919"/>
        <v>-90645.593961045932</v>
      </c>
      <c r="CT185" s="49">
        <f t="shared" si="919"/>
        <v>-105162.01584198991</v>
      </c>
      <c r="CU185" s="49">
        <f t="shared" si="919"/>
        <v>-58649.422836056547</v>
      </c>
      <c r="CV185" s="49">
        <f t="shared" si="919"/>
        <v>-74178.574320525033</v>
      </c>
      <c r="CW185" s="49">
        <f t="shared" si="919"/>
        <v>-138138.15964612926</v>
      </c>
      <c r="CX185" s="49">
        <f t="shared" si="919"/>
        <v>-91594.586719278814</v>
      </c>
      <c r="CY185" s="49">
        <f t="shared" si="919"/>
        <v>-75040.880469182142</v>
      </c>
      <c r="CZ185" s="49">
        <f t="shared" si="919"/>
        <v>-138571.93373441815</v>
      </c>
      <c r="DA185" s="49">
        <f t="shared" si="919"/>
        <v>-92379.569472832009</v>
      </c>
      <c r="DB185" s="49">
        <f t="shared" si="919"/>
        <v>-72466.58733544765</v>
      </c>
      <c r="DC185" s="49">
        <f t="shared" si="919"/>
        <v>-114884.2232259751</v>
      </c>
      <c r="DD185" s="49">
        <f t="shared" si="919"/>
        <v>-90817.42621257338</v>
      </c>
      <c r="DE185" s="49">
        <f t="shared" si="919"/>
        <v>-190876.986293792</v>
      </c>
      <c r="DF185" s="49">
        <f t="shared" si="919"/>
        <v>-179312.85007523303</v>
      </c>
      <c r="DG185" s="49">
        <f t="shared" si="919"/>
        <v>-86632.932553654085</v>
      </c>
      <c r="DH185" s="49">
        <f t="shared" si="919"/>
        <v>-109571.53737044946</v>
      </c>
      <c r="DI185" s="49">
        <f t="shared" si="919"/>
        <v>-204048.28025608021</v>
      </c>
      <c r="DJ185" s="49">
        <f t="shared" si="919"/>
        <v>-135297.28460776515</v>
      </c>
      <c r="DK185" s="49">
        <f t="shared" ref="DK185:EP185" si="920">DK53</f>
        <v>-110845.27727793387</v>
      </c>
      <c r="DL185" s="49">
        <f t="shared" si="920"/>
        <v>-204689.02179311629</v>
      </c>
      <c r="DM185" s="49">
        <f t="shared" si="920"/>
        <v>-136456.80766282487</v>
      </c>
      <c r="DN185" s="49">
        <f t="shared" si="920"/>
        <v>-107042.70680675357</v>
      </c>
      <c r="DO185" s="49">
        <f t="shared" si="920"/>
        <v>-169699.14930000089</v>
      </c>
      <c r="DP185" s="49">
        <f t="shared" si="920"/>
        <v>-134149.31604294264</v>
      </c>
      <c r="DQ185" s="49">
        <f t="shared" si="920"/>
        <v>-281950.48271589604</v>
      </c>
      <c r="DR185" s="49">
        <f t="shared" si="920"/>
        <v>-264868.72837597475</v>
      </c>
      <c r="DS185" s="49">
        <f t="shared" si="920"/>
        <v>-123765.13769389724</v>
      </c>
      <c r="DT185" s="49">
        <f t="shared" si="920"/>
        <v>-156535.58075720121</v>
      </c>
      <c r="DU185" s="49">
        <f t="shared" si="920"/>
        <v>-291506.50633298355</v>
      </c>
      <c r="DV185" s="49">
        <f t="shared" si="920"/>
        <v>-193287.77827900235</v>
      </c>
      <c r="DW185" s="49">
        <f t="shared" si="920"/>
        <v>-158355.26514729601</v>
      </c>
      <c r="DX185" s="49">
        <f t="shared" si="920"/>
        <v>-292421.87953137269</v>
      </c>
      <c r="DY185" s="49">
        <f t="shared" si="920"/>
        <v>-194944.29071992473</v>
      </c>
      <c r="DZ185" s="49">
        <f t="shared" si="920"/>
        <v>-152922.85458373919</v>
      </c>
      <c r="EA185" s="49">
        <f t="shared" si="920"/>
        <v>-242434.81041859245</v>
      </c>
      <c r="EB185" s="49">
        <f t="shared" si="920"/>
        <v>-191647.77276025194</v>
      </c>
      <c r="EC185" s="49">
        <f t="shared" si="920"/>
        <v>-402798.78895455675</v>
      </c>
      <c r="ED185" s="49">
        <f t="shared" si="920"/>
        <v>-378395.53241439123</v>
      </c>
      <c r="EE185" s="49">
        <f t="shared" si="920"/>
        <v>-172025.90615955868</v>
      </c>
      <c r="EF185" s="49">
        <f t="shared" si="920"/>
        <v>-217574.80036559701</v>
      </c>
      <c r="EG185" s="49">
        <f t="shared" si="920"/>
        <v>-405176.06038110785</v>
      </c>
      <c r="EH185" s="49">
        <f t="shared" si="920"/>
        <v>-268658.08762925008</v>
      </c>
      <c r="EI185" s="49">
        <f t="shared" si="920"/>
        <v>-220104.04940909319</v>
      </c>
      <c r="EJ185" s="49">
        <f t="shared" si="920"/>
        <v>-406448.372656286</v>
      </c>
      <c r="EK185" s="49">
        <f t="shared" si="920"/>
        <v>-270960.53772968985</v>
      </c>
      <c r="EL185" s="49">
        <f t="shared" si="920"/>
        <v>-212553.33385833836</v>
      </c>
      <c r="EM185" s="49">
        <f t="shared" si="920"/>
        <v>-336969.43035789661</v>
      </c>
      <c r="EN185" s="49">
        <f t="shared" si="920"/>
        <v>-266378.58113229554</v>
      </c>
      <c r="EO185" s="49">
        <f t="shared" si="920"/>
        <v>-559865.4674570543</v>
      </c>
      <c r="EP185" s="49">
        <f t="shared" si="920"/>
        <v>-525946.44633538055</v>
      </c>
      <c r="EQ185" s="49">
        <f t="shared" ref="EQ185:FB185" si="921">EQ53</f>
        <v>-233325.6120371584</v>
      </c>
      <c r="ER185" s="49">
        <f t="shared" si="921"/>
        <v>-295105.39774212171</v>
      </c>
      <c r="ES185" s="49">
        <f t="shared" si="921"/>
        <v>-549556.48472817882</v>
      </c>
      <c r="ET185" s="49">
        <f t="shared" si="921"/>
        <v>-364391.70194915554</v>
      </c>
      <c r="EU185" s="49">
        <f t="shared" si="921"/>
        <v>-298535.91930856986</v>
      </c>
      <c r="EV185" s="49">
        <f t="shared" si="921"/>
        <v>-551282.17271864333</v>
      </c>
      <c r="EW185" s="49">
        <f t="shared" si="921"/>
        <v>-367514.60704446037</v>
      </c>
      <c r="EX185" s="49">
        <f t="shared" si="921"/>
        <v>-288294.58202089259</v>
      </c>
      <c r="EY185" s="49">
        <f t="shared" si="921"/>
        <v>-457045.10635243118</v>
      </c>
      <c r="EZ185" s="49">
        <f t="shared" si="921"/>
        <v>-361299.91618026514</v>
      </c>
      <c r="FA185" s="49">
        <f t="shared" si="921"/>
        <v>-759367.91015489982</v>
      </c>
      <c r="FB185" s="49">
        <f t="shared" si="921"/>
        <v>-713362.18613577902</v>
      </c>
    </row>
    <row r="186" spans="3:158" x14ac:dyDescent="0.25">
      <c r="C186" s="2" t="s">
        <v>346</v>
      </c>
      <c r="D186" s="244">
        <f t="shared" si="769"/>
        <v>-86701.75</v>
      </c>
      <c r="E186" s="244">
        <f t="shared" si="769"/>
        <v>-125824.88750000001</v>
      </c>
      <c r="F186" s="244">
        <f t="shared" si="769"/>
        <v>-355514.45299999998</v>
      </c>
      <c r="G186" s="244">
        <f t="shared" si="769"/>
        <v>-732136.63754934538</v>
      </c>
      <c r="H186" s="244">
        <f t="shared" si="769"/>
        <v>-1204088.128146298</v>
      </c>
      <c r="I186" s="244">
        <f t="shared" si="769"/>
        <v>-1701139.9071142864</v>
      </c>
      <c r="J186" s="244">
        <f t="shared" si="769"/>
        <v>-2119669.6558650876</v>
      </c>
      <c r="K186" s="244">
        <f t="shared" si="769"/>
        <v>-2620265.5021678619</v>
      </c>
      <c r="L186" s="244">
        <f t="shared" si="769"/>
        <v>-3281402.951800935</v>
      </c>
      <c r="N186" s="244">
        <f t="shared" si="882"/>
        <v>-26281.75</v>
      </c>
      <c r="O186" s="244">
        <f t="shared" si="883"/>
        <v>-19950</v>
      </c>
      <c r="P186" s="244">
        <f t="shared" si="884"/>
        <v>-34770</v>
      </c>
      <c r="Q186" s="244">
        <f t="shared" si="885"/>
        <v>-5700</v>
      </c>
      <c r="R186" s="244">
        <f t="shared" si="886"/>
        <v>-16040.037499999999</v>
      </c>
      <c r="S186" s="244">
        <f t="shared" si="887"/>
        <v>-59280</v>
      </c>
      <c r="T186" s="244">
        <f t="shared" si="888"/>
        <v>-2256.25</v>
      </c>
      <c r="U186" s="244">
        <f t="shared" si="889"/>
        <v>-48248.6</v>
      </c>
      <c r="V186" s="244">
        <f t="shared" si="890"/>
        <v>-80313</v>
      </c>
      <c r="W186" s="244">
        <f t="shared" si="891"/>
        <v>-75726.570999999996</v>
      </c>
      <c r="X186" s="244">
        <f t="shared" si="892"/>
        <v>-110777.9135</v>
      </c>
      <c r="Y186" s="244">
        <f t="shared" si="893"/>
        <v>-88696.968499999988</v>
      </c>
      <c r="Z186" s="244">
        <f t="shared" si="894"/>
        <v>-132216.40243718697</v>
      </c>
      <c r="AA186" s="244">
        <f t="shared" si="895"/>
        <v>-247629.28394673258</v>
      </c>
      <c r="AB186" s="244">
        <f t="shared" si="896"/>
        <v>-147978.70881990343</v>
      </c>
      <c r="AC186" s="244">
        <f t="shared" si="897"/>
        <v>-204312.24234552251</v>
      </c>
      <c r="AD186" s="244">
        <f t="shared" si="898"/>
        <v>-247751.8092723178</v>
      </c>
      <c r="AE186" s="244">
        <f t="shared" si="899"/>
        <v>-279059.52047362283</v>
      </c>
      <c r="AF186" s="244">
        <f t="shared" si="900"/>
        <v>-255765.17960646783</v>
      </c>
      <c r="AG186" s="244">
        <f t="shared" si="901"/>
        <v>-421511.61879388936</v>
      </c>
      <c r="AH186" s="244">
        <f t="shared" si="902"/>
        <v>-350024.62025910721</v>
      </c>
      <c r="AI186" s="244">
        <f t="shared" si="903"/>
        <v>-394256.26384066232</v>
      </c>
      <c r="AJ186" s="244">
        <f t="shared" si="904"/>
        <v>-361345.93781656428</v>
      </c>
      <c r="AK186" s="244">
        <f t="shared" si="905"/>
        <v>-595513.08519795258</v>
      </c>
      <c r="AL186" s="244">
        <f t="shared" si="906"/>
        <v>-436140.82725712273</v>
      </c>
      <c r="AM186" s="244">
        <f t="shared" si="907"/>
        <v>-491254.73783953045</v>
      </c>
      <c r="AN186" s="244">
        <f t="shared" si="908"/>
        <v>-450247.51724222943</v>
      </c>
      <c r="AO186" s="244">
        <f t="shared" si="909"/>
        <v>-742026.57352620515</v>
      </c>
      <c r="AP186" s="244">
        <f t="shared" si="910"/>
        <v>-539142.86152404523</v>
      </c>
      <c r="AQ186" s="244">
        <f t="shared" si="911"/>
        <v>-607272.8544165974</v>
      </c>
      <c r="AR186" s="244">
        <f t="shared" si="912"/>
        <v>-556581.08498281636</v>
      </c>
      <c r="AS186" s="244">
        <f t="shared" si="913"/>
        <v>-917268.70124440314</v>
      </c>
      <c r="AT186" s="244">
        <f t="shared" si="914"/>
        <v>-675177.75423281058</v>
      </c>
      <c r="AU186" s="244">
        <f t="shared" si="915"/>
        <v>-760498.10043392458</v>
      </c>
      <c r="AV186" s="244">
        <f t="shared" si="916"/>
        <v>-697015.93738044729</v>
      </c>
      <c r="AW186" s="244">
        <f t="shared" si="917"/>
        <v>-1148711.1597537529</v>
      </c>
      <c r="AY186" s="20">
        <f t="shared" ref="AY186:CD186" si="922">AY$185*AY162</f>
        <v>-26281.75</v>
      </c>
      <c r="AZ186" s="20">
        <f t="shared" si="922"/>
        <v>0</v>
      </c>
      <c r="BA186" s="20">
        <f t="shared" si="922"/>
        <v>0</v>
      </c>
      <c r="BB186" s="20">
        <f t="shared" si="922"/>
        <v>-19950</v>
      </c>
      <c r="BC186" s="20">
        <f t="shared" si="922"/>
        <v>0</v>
      </c>
      <c r="BD186" s="20">
        <f t="shared" si="922"/>
        <v>0</v>
      </c>
      <c r="BE186" s="20">
        <f t="shared" si="922"/>
        <v>-2137.5</v>
      </c>
      <c r="BF186" s="20">
        <f t="shared" si="922"/>
        <v>-2850</v>
      </c>
      <c r="BG186" s="20">
        <f t="shared" si="922"/>
        <v>-29782.5</v>
      </c>
      <c r="BH186" s="20">
        <f t="shared" si="922"/>
        <v>0</v>
      </c>
      <c r="BI186" s="20">
        <f t="shared" si="922"/>
        <v>-5700</v>
      </c>
      <c r="BJ186" s="20">
        <f t="shared" si="922"/>
        <v>0</v>
      </c>
      <c r="BK186" s="20">
        <f t="shared" si="922"/>
        <v>0</v>
      </c>
      <c r="BL186" s="20">
        <f t="shared" si="922"/>
        <v>-16040.037499999999</v>
      </c>
      <c r="BM186" s="20">
        <f t="shared" si="922"/>
        <v>0</v>
      </c>
      <c r="BN186" s="20">
        <f t="shared" si="922"/>
        <v>-19000</v>
      </c>
      <c r="BO186" s="20">
        <f t="shared" si="922"/>
        <v>-28025</v>
      </c>
      <c r="BP186" s="20">
        <f t="shared" si="922"/>
        <v>-12255</v>
      </c>
      <c r="BQ186" s="20">
        <f t="shared" si="922"/>
        <v>0</v>
      </c>
      <c r="BR186" s="20">
        <f t="shared" si="922"/>
        <v>-2256.25</v>
      </c>
      <c r="BS186" s="20">
        <f t="shared" si="922"/>
        <v>0</v>
      </c>
      <c r="BT186" s="20">
        <f t="shared" si="922"/>
        <v>0</v>
      </c>
      <c r="BU186" s="20">
        <f t="shared" si="922"/>
        <v>-31350</v>
      </c>
      <c r="BV186" s="20">
        <f t="shared" si="922"/>
        <v>-16898.599999999999</v>
      </c>
      <c r="BW186" s="20">
        <f t="shared" si="922"/>
        <v>-9405</v>
      </c>
      <c r="BX186" s="20">
        <f t="shared" si="922"/>
        <v>-16150</v>
      </c>
      <c r="BY186" s="20">
        <f t="shared" si="922"/>
        <v>-54758</v>
      </c>
      <c r="BZ186" s="20">
        <f t="shared" si="922"/>
        <v>-43700</v>
      </c>
      <c r="CA186" s="20">
        <f t="shared" si="922"/>
        <v>-2565</v>
      </c>
      <c r="CB186" s="20">
        <f t="shared" si="922"/>
        <v>-29461.571</v>
      </c>
      <c r="CC186" s="20">
        <f t="shared" si="922"/>
        <v>-25165.5</v>
      </c>
      <c r="CD186" s="20">
        <f t="shared" si="922"/>
        <v>-9612.4134999999987</v>
      </c>
      <c r="CE186" s="20">
        <f t="shared" ref="CE186:DJ186" si="923">CE$185*CE162</f>
        <v>-76000</v>
      </c>
      <c r="CF186" s="20">
        <f t="shared" si="923"/>
        <v>0</v>
      </c>
      <c r="CG186" s="20">
        <f t="shared" si="923"/>
        <v>-52119.688499999997</v>
      </c>
      <c r="CH186" s="20">
        <f t="shared" si="923"/>
        <v>-36577.279999999999</v>
      </c>
      <c r="CI186" s="20">
        <f t="shared" si="923"/>
        <v>-62613.879179549243</v>
      </c>
      <c r="CJ186" s="20">
        <f t="shared" si="923"/>
        <v>-32332.413600580701</v>
      </c>
      <c r="CK186" s="20">
        <f t="shared" si="923"/>
        <v>-37270.109657057052</v>
      </c>
      <c r="CL186" s="20">
        <f t="shared" si="923"/>
        <v>-28961.486485101654</v>
      </c>
      <c r="CM186" s="20">
        <f t="shared" si="923"/>
        <v>-118229.33384459039</v>
      </c>
      <c r="CN186" s="20">
        <f t="shared" si="923"/>
        <v>-100438.46361704056</v>
      </c>
      <c r="CO186" s="20">
        <f t="shared" si="923"/>
        <v>-22890.999626054745</v>
      </c>
      <c r="CP186" s="20">
        <f t="shared" si="923"/>
        <v>-43413.608672503811</v>
      </c>
      <c r="CQ186" s="20">
        <f t="shared" si="923"/>
        <v>-81674.100521344866</v>
      </c>
      <c r="CR186" s="20">
        <f t="shared" si="923"/>
        <v>-18381.768739270665</v>
      </c>
      <c r="CS186" s="20">
        <f t="shared" si="923"/>
        <v>-86073.152276617839</v>
      </c>
      <c r="CT186" s="20">
        <f t="shared" si="923"/>
        <v>-99857.321329633996</v>
      </c>
      <c r="CU186" s="20">
        <f t="shared" si="923"/>
        <v>-53624.78027464437</v>
      </c>
      <c r="CV186" s="20">
        <f t="shared" si="923"/>
        <v>-67823.510559409129</v>
      </c>
      <c r="CW186" s="20">
        <f t="shared" si="923"/>
        <v>-126303.51843826431</v>
      </c>
      <c r="CX186" s="20">
        <f t="shared" si="923"/>
        <v>-83747.449670528425</v>
      </c>
      <c r="CY186" s="20">
        <f t="shared" si="923"/>
        <v>-68611.940786258434</v>
      </c>
      <c r="CZ186" s="20">
        <f t="shared" si="923"/>
        <v>-126700.13001683599</v>
      </c>
      <c r="DA186" s="20">
        <f t="shared" si="923"/>
        <v>-84465.180990687237</v>
      </c>
      <c r="DB186" s="20">
        <f t="shared" si="923"/>
        <v>-66258.193775909851</v>
      </c>
      <c r="DC186" s="20">
        <f t="shared" si="923"/>
        <v>-105041.80483987075</v>
      </c>
      <c r="DD186" s="20">
        <f t="shared" si="923"/>
        <v>-83036.870445789842</v>
      </c>
      <c r="DE186" s="20">
        <f t="shared" si="923"/>
        <v>-174524.07806472335</v>
      </c>
      <c r="DF186" s="20">
        <f t="shared" si="923"/>
        <v>-163950.67028337618</v>
      </c>
      <c r="DG186" s="20">
        <f t="shared" si="923"/>
        <v>-75761.276606780753</v>
      </c>
      <c r="DH186" s="20">
        <f t="shared" si="923"/>
        <v>-95821.292276024848</v>
      </c>
      <c r="DI186" s="20">
        <f t="shared" si="923"/>
        <v>-178442.05137630159</v>
      </c>
      <c r="DJ186" s="20">
        <f t="shared" si="923"/>
        <v>-118318.68899239853</v>
      </c>
      <c r="DK186" s="20">
        <f t="shared" ref="DK186:EP186" si="924">DK$185*DK162</f>
        <v>-96935.18925043763</v>
      </c>
      <c r="DL186" s="20">
        <f t="shared" si="924"/>
        <v>-179002.38559782619</v>
      </c>
      <c r="DM186" s="20">
        <f t="shared" si="924"/>
        <v>-119332.70230485234</v>
      </c>
      <c r="DN186" s="20">
        <f t="shared" si="924"/>
        <v>-93609.807264719362</v>
      </c>
      <c r="DO186" s="20">
        <f t="shared" si="924"/>
        <v>-148403.42824699258</v>
      </c>
      <c r="DP186" s="20">
        <f t="shared" si="924"/>
        <v>-117314.78018529975</v>
      </c>
      <c r="DQ186" s="20">
        <f t="shared" si="924"/>
        <v>-246568.22620225817</v>
      </c>
      <c r="DR186" s="20">
        <f t="shared" si="924"/>
        <v>-231630.07881039465</v>
      </c>
      <c r="DS186" s="20">
        <f t="shared" si="924"/>
        <v>-94400.747664199007</v>
      </c>
      <c r="DT186" s="20">
        <f t="shared" si="924"/>
        <v>-119396.10891135495</v>
      </c>
      <c r="DU186" s="20">
        <f t="shared" si="924"/>
        <v>-222343.97068156875</v>
      </c>
      <c r="DV186" s="20">
        <f t="shared" si="924"/>
        <v>-147428.51762519768</v>
      </c>
      <c r="DW186" s="20">
        <f t="shared" si="924"/>
        <v>-120784.05684353175</v>
      </c>
      <c r="DX186" s="20">
        <f t="shared" si="924"/>
        <v>-223042.16337080102</v>
      </c>
      <c r="DY186" s="20">
        <f t="shared" si="924"/>
        <v>-148692.00761803295</v>
      </c>
      <c r="DZ186" s="20">
        <f t="shared" si="924"/>
        <v>-116640.5344560966</v>
      </c>
      <c r="EA186" s="20">
        <f t="shared" si="924"/>
        <v>-184914.97516809986</v>
      </c>
      <c r="EB186" s="20">
        <f t="shared" si="924"/>
        <v>-146177.61813905681</v>
      </c>
      <c r="EC186" s="20">
        <f t="shared" si="924"/>
        <v>-307231.16011544678</v>
      </c>
      <c r="ED186" s="20">
        <f t="shared" si="924"/>
        <v>-288617.79527170153</v>
      </c>
      <c r="EE186" s="20">
        <f t="shared" si="924"/>
        <v>-116695.0811410293</v>
      </c>
      <c r="EF186" s="20">
        <f t="shared" si="924"/>
        <v>-147593.51977693851</v>
      </c>
      <c r="EG186" s="20">
        <f t="shared" si="924"/>
        <v>-274854.26060607744</v>
      </c>
      <c r="EH186" s="20">
        <f t="shared" si="924"/>
        <v>-182246.25601454539</v>
      </c>
      <c r="EI186" s="20">
        <f t="shared" si="924"/>
        <v>-149309.25509230953</v>
      </c>
      <c r="EJ186" s="20">
        <f t="shared" si="924"/>
        <v>-275717.34330974257</v>
      </c>
      <c r="EK186" s="20">
        <f t="shared" si="924"/>
        <v>-183808.14054282557</v>
      </c>
      <c r="EL186" s="20">
        <f t="shared" si="924"/>
        <v>-144187.16979981356</v>
      </c>
      <c r="EM186" s="20">
        <f t="shared" si="924"/>
        <v>-228585.77464017726</v>
      </c>
      <c r="EN186" s="20">
        <f t="shared" si="924"/>
        <v>-180699.93545410095</v>
      </c>
      <c r="EO186" s="20">
        <f t="shared" si="924"/>
        <v>-379788.99580603058</v>
      </c>
      <c r="EP186" s="20">
        <f t="shared" si="924"/>
        <v>-356779.76998427161</v>
      </c>
      <c r="EQ186" s="20">
        <f t="shared" ref="EQ186:FB186" si="925">EQ$185*EQ162</f>
        <v>-146139.23031845951</v>
      </c>
      <c r="ER186" s="20">
        <f t="shared" si="925"/>
        <v>-184833.86933959223</v>
      </c>
      <c r="ES186" s="20">
        <f t="shared" si="925"/>
        <v>-344204.65457475884</v>
      </c>
      <c r="ET186" s="20">
        <f t="shared" si="925"/>
        <v>-228230.07895422311</v>
      </c>
      <c r="EU186" s="20">
        <f t="shared" si="925"/>
        <v>-186982.51378944272</v>
      </c>
      <c r="EV186" s="20">
        <f t="shared" si="925"/>
        <v>-345285.50769025879</v>
      </c>
      <c r="EW186" s="20">
        <f t="shared" si="925"/>
        <v>-230186.05345269677</v>
      </c>
      <c r="EX186" s="20">
        <f t="shared" si="925"/>
        <v>-180568.03946068988</v>
      </c>
      <c r="EY186" s="20">
        <f t="shared" si="925"/>
        <v>-286261.84446706058</v>
      </c>
      <c r="EZ186" s="20">
        <f t="shared" si="925"/>
        <v>-226293.59547677592</v>
      </c>
      <c r="FA186" s="20">
        <f t="shared" si="925"/>
        <v>-475616.20410922152</v>
      </c>
      <c r="FB186" s="20">
        <f t="shared" si="925"/>
        <v>-446801.36016775545</v>
      </c>
    </row>
    <row r="187" spans="3:158" x14ac:dyDescent="0.25">
      <c r="C187" s="2" t="s">
        <v>298</v>
      </c>
      <c r="D187" s="244">
        <f t="shared" si="769"/>
        <v>-1825.3000000000002</v>
      </c>
      <c r="E187" s="244">
        <f t="shared" si="769"/>
        <v>-2648.9449999999997</v>
      </c>
      <c r="F187" s="244">
        <f t="shared" si="769"/>
        <v>-7484.5147999999999</v>
      </c>
      <c r="G187" s="244">
        <f t="shared" si="769"/>
        <v>-15557.24167958496</v>
      </c>
      <c r="H187" s="244">
        <f t="shared" si="769"/>
        <v>-32546.811243957691</v>
      </c>
      <c r="I187" s="244">
        <f t="shared" si="769"/>
        <v>-63570.299399919764</v>
      </c>
      <c r="J187" s="244">
        <f t="shared" si="769"/>
        <v>-185897.48112703196</v>
      </c>
      <c r="K187" s="244">
        <f t="shared" si="769"/>
        <v>-337359.60403947724</v>
      </c>
      <c r="L187" s="244">
        <f t="shared" si="769"/>
        <v>-523615.17594005441</v>
      </c>
      <c r="N187" s="244">
        <f t="shared" si="882"/>
        <v>-553.30000000000007</v>
      </c>
      <c r="O187" s="244">
        <f t="shared" si="883"/>
        <v>-420</v>
      </c>
      <c r="P187" s="244">
        <f t="shared" si="884"/>
        <v>-732</v>
      </c>
      <c r="Q187" s="244">
        <f t="shared" si="885"/>
        <v>-120</v>
      </c>
      <c r="R187" s="244">
        <f t="shared" si="886"/>
        <v>-337.685</v>
      </c>
      <c r="S187" s="244">
        <f t="shared" si="887"/>
        <v>-1248</v>
      </c>
      <c r="T187" s="244">
        <f t="shared" si="888"/>
        <v>-47.5</v>
      </c>
      <c r="U187" s="244">
        <f t="shared" si="889"/>
        <v>-1015.76</v>
      </c>
      <c r="V187" s="244">
        <f t="shared" si="890"/>
        <v>-1690.8</v>
      </c>
      <c r="W187" s="244">
        <f t="shared" si="891"/>
        <v>-1594.2436</v>
      </c>
      <c r="X187" s="244">
        <f t="shared" si="892"/>
        <v>-2332.1666</v>
      </c>
      <c r="Y187" s="244">
        <f t="shared" si="893"/>
        <v>-1867.3046000000002</v>
      </c>
      <c r="Z187" s="244">
        <f t="shared" si="894"/>
        <v>-2809.4790251252093</v>
      </c>
      <c r="AA187" s="244">
        <f t="shared" si="895"/>
        <v>-5261.8984213069607</v>
      </c>
      <c r="AB187" s="244">
        <f t="shared" si="896"/>
        <v>-3144.4137862708794</v>
      </c>
      <c r="AC187" s="244">
        <f t="shared" si="897"/>
        <v>-4341.4504468819114</v>
      </c>
      <c r="AD187" s="244">
        <f t="shared" si="898"/>
        <v>-6696.7950129605533</v>
      </c>
      <c r="AE187" s="244">
        <f t="shared" si="899"/>
        <v>-7543.0504847406128</v>
      </c>
      <c r="AF187" s="244">
        <f t="shared" si="900"/>
        <v>-6913.3984704624791</v>
      </c>
      <c r="AG187" s="244">
        <f t="shared" si="901"/>
        <v>-11393.567275794045</v>
      </c>
      <c r="AH187" s="244">
        <f t="shared" si="902"/>
        <v>-13080.152792935321</v>
      </c>
      <c r="AI187" s="244">
        <f t="shared" si="903"/>
        <v>-14733.055539893863</v>
      </c>
      <c r="AJ187" s="244">
        <f t="shared" si="904"/>
        <v>-13503.221785508644</v>
      </c>
      <c r="AK187" s="244">
        <f t="shared" si="905"/>
        <v>-22253.869281581938</v>
      </c>
      <c r="AL187" s="244">
        <f t="shared" si="906"/>
        <v>-38250.055134496622</v>
      </c>
      <c r="AM187" s="244">
        <f t="shared" si="907"/>
        <v>-43083.608855464823</v>
      </c>
      <c r="AN187" s="244">
        <f t="shared" si="908"/>
        <v>-39487.228166631678</v>
      </c>
      <c r="AO187" s="244">
        <f t="shared" si="909"/>
        <v>-65076.588970438876</v>
      </c>
      <c r="AP187" s="244">
        <f t="shared" si="910"/>
        <v>-69414.729970677028</v>
      </c>
      <c r="AQ187" s="244">
        <f t="shared" si="911"/>
        <v>-78186.477492608639</v>
      </c>
      <c r="AR187" s="244">
        <f t="shared" si="912"/>
        <v>-71659.904040379421</v>
      </c>
      <c r="AS187" s="244">
        <f t="shared" si="913"/>
        <v>-118098.49253581215</v>
      </c>
      <c r="AT187" s="244">
        <f t="shared" si="914"/>
        <v>-107738.46545709783</v>
      </c>
      <c r="AU187" s="244">
        <f t="shared" si="915"/>
        <v>-121353.07748237306</v>
      </c>
      <c r="AV187" s="244">
        <f t="shared" si="916"/>
        <v>-111223.19570175893</v>
      </c>
      <c r="AW187" s="244">
        <f t="shared" si="917"/>
        <v>-183300.4372988246</v>
      </c>
      <c r="AY187" s="20">
        <f t="shared" ref="AY187:CD187" si="926">AY$185*AY163</f>
        <v>-553.30000000000007</v>
      </c>
      <c r="AZ187" s="20">
        <f t="shared" si="926"/>
        <v>0</v>
      </c>
      <c r="BA187" s="20">
        <f t="shared" si="926"/>
        <v>0</v>
      </c>
      <c r="BB187" s="20">
        <f t="shared" si="926"/>
        <v>-420</v>
      </c>
      <c r="BC187" s="20">
        <f t="shared" si="926"/>
        <v>0</v>
      </c>
      <c r="BD187" s="20">
        <f t="shared" si="926"/>
        <v>0</v>
      </c>
      <c r="BE187" s="20">
        <f t="shared" si="926"/>
        <v>-45</v>
      </c>
      <c r="BF187" s="20">
        <f t="shared" si="926"/>
        <v>-60</v>
      </c>
      <c r="BG187" s="20">
        <f t="shared" si="926"/>
        <v>-627</v>
      </c>
      <c r="BH187" s="20">
        <f t="shared" si="926"/>
        <v>0</v>
      </c>
      <c r="BI187" s="20">
        <f t="shared" si="926"/>
        <v>-120</v>
      </c>
      <c r="BJ187" s="20">
        <f t="shared" si="926"/>
        <v>0</v>
      </c>
      <c r="BK187" s="20">
        <f t="shared" si="926"/>
        <v>0</v>
      </c>
      <c r="BL187" s="20">
        <f t="shared" si="926"/>
        <v>-337.685</v>
      </c>
      <c r="BM187" s="20">
        <f t="shared" si="926"/>
        <v>0</v>
      </c>
      <c r="BN187" s="20">
        <f t="shared" si="926"/>
        <v>-400</v>
      </c>
      <c r="BO187" s="20">
        <f t="shared" si="926"/>
        <v>-590</v>
      </c>
      <c r="BP187" s="20">
        <f t="shared" si="926"/>
        <v>-258</v>
      </c>
      <c r="BQ187" s="20">
        <f t="shared" si="926"/>
        <v>0</v>
      </c>
      <c r="BR187" s="20">
        <f t="shared" si="926"/>
        <v>-47.5</v>
      </c>
      <c r="BS187" s="20">
        <f t="shared" si="926"/>
        <v>0</v>
      </c>
      <c r="BT187" s="20">
        <f t="shared" si="926"/>
        <v>0</v>
      </c>
      <c r="BU187" s="20">
        <f t="shared" si="926"/>
        <v>-660</v>
      </c>
      <c r="BV187" s="20">
        <f t="shared" si="926"/>
        <v>-355.76</v>
      </c>
      <c r="BW187" s="20">
        <f t="shared" si="926"/>
        <v>-198</v>
      </c>
      <c r="BX187" s="20">
        <f t="shared" si="926"/>
        <v>-340</v>
      </c>
      <c r="BY187" s="20">
        <f t="shared" si="926"/>
        <v>-1152.8</v>
      </c>
      <c r="BZ187" s="20">
        <f t="shared" si="926"/>
        <v>-920</v>
      </c>
      <c r="CA187" s="20">
        <f t="shared" si="926"/>
        <v>-54</v>
      </c>
      <c r="CB187" s="20">
        <f t="shared" si="926"/>
        <v>-620.24360000000001</v>
      </c>
      <c r="CC187" s="20">
        <f t="shared" si="926"/>
        <v>-529.79999999999995</v>
      </c>
      <c r="CD187" s="20">
        <f t="shared" si="926"/>
        <v>-202.36660000000001</v>
      </c>
      <c r="CE187" s="20">
        <f t="shared" ref="CE187:DJ187" si="927">CE$185*CE163</f>
        <v>-1600</v>
      </c>
      <c r="CF187" s="20">
        <f t="shared" si="927"/>
        <v>0</v>
      </c>
      <c r="CG187" s="20">
        <f t="shared" si="927"/>
        <v>-1097.2566000000002</v>
      </c>
      <c r="CH187" s="20">
        <f t="shared" si="927"/>
        <v>-770.048</v>
      </c>
      <c r="CI187" s="20">
        <f t="shared" si="927"/>
        <v>-1330.4883281803075</v>
      </c>
      <c r="CJ187" s="20">
        <f t="shared" si="927"/>
        <v>-687.03455976772045</v>
      </c>
      <c r="CK187" s="20">
        <f t="shared" si="927"/>
        <v>-791.95613717718152</v>
      </c>
      <c r="CL187" s="20">
        <f t="shared" si="927"/>
        <v>-615.40540595933851</v>
      </c>
      <c r="CM187" s="20">
        <f t="shared" si="927"/>
        <v>-2512.2664621638437</v>
      </c>
      <c r="CN187" s="20">
        <f t="shared" si="927"/>
        <v>-2134.2265531837784</v>
      </c>
      <c r="CO187" s="20">
        <f t="shared" si="927"/>
        <v>-486.41304806416048</v>
      </c>
      <c r="CP187" s="20">
        <f t="shared" si="927"/>
        <v>-922.49993739118975</v>
      </c>
      <c r="CQ187" s="20">
        <f t="shared" si="927"/>
        <v>-1735.5008008155294</v>
      </c>
      <c r="CR187" s="20">
        <f t="shared" si="927"/>
        <v>-390.5959681683043</v>
      </c>
      <c r="CS187" s="20">
        <f t="shared" si="927"/>
        <v>-1828.9766737712405</v>
      </c>
      <c r="CT187" s="20">
        <f t="shared" si="927"/>
        <v>-2121.8778049423668</v>
      </c>
      <c r="CU187" s="20">
        <f t="shared" si="927"/>
        <v>-1449.4915785645039</v>
      </c>
      <c r="CV187" s="20">
        <f t="shared" si="927"/>
        <v>-1833.2869035740998</v>
      </c>
      <c r="CW187" s="20">
        <f t="shared" si="927"/>
        <v>-3414.0165308219493</v>
      </c>
      <c r="CX187" s="20">
        <f t="shared" si="927"/>
        <v>-2263.7150660938655</v>
      </c>
      <c r="CY187" s="20">
        <f t="shared" si="927"/>
        <v>-1854.5983750291005</v>
      </c>
      <c r="CZ187" s="20">
        <f t="shared" si="927"/>
        <v>-3424.737043617647</v>
      </c>
      <c r="DA187" s="20">
        <f t="shared" si="927"/>
        <v>-2283.1155279496334</v>
      </c>
      <c r="DB187" s="20">
        <f t="shared" si="927"/>
        <v>-1790.9759890333328</v>
      </c>
      <c r="DC187" s="20">
        <f t="shared" si="927"/>
        <v>-2839.3069534795131</v>
      </c>
      <c r="DD187" s="20">
        <f t="shared" si="927"/>
        <v>-2244.5079272135504</v>
      </c>
      <c r="DE187" s="20">
        <f t="shared" si="927"/>
        <v>-4717.4306377748271</v>
      </c>
      <c r="DF187" s="20">
        <f t="shared" si="927"/>
        <v>-4431.6287108056677</v>
      </c>
      <c r="DG187" s="20">
        <f t="shared" si="927"/>
        <v>-2831.1410582231606</v>
      </c>
      <c r="DH187" s="20">
        <f t="shared" si="927"/>
        <v>-3580.7685266799667</v>
      </c>
      <c r="DI187" s="20">
        <f t="shared" si="927"/>
        <v>-6668.2432080321933</v>
      </c>
      <c r="DJ187" s="20">
        <f t="shared" si="927"/>
        <v>-4421.4790637719434</v>
      </c>
      <c r="DK187" s="20">
        <f t="shared" ref="DK187:EP187" si="928">DK$185*DK163</f>
        <v>-3622.3940060823074</v>
      </c>
      <c r="DL187" s="20">
        <f t="shared" si="928"/>
        <v>-6689.182470039611</v>
      </c>
      <c r="DM187" s="20">
        <f t="shared" si="928"/>
        <v>-4459.3719669944312</v>
      </c>
      <c r="DN187" s="20">
        <f t="shared" si="928"/>
        <v>-3498.1270204174957</v>
      </c>
      <c r="DO187" s="20">
        <f t="shared" si="928"/>
        <v>-5545.7227980967164</v>
      </c>
      <c r="DP187" s="20">
        <f t="shared" si="928"/>
        <v>-4383.9637581991383</v>
      </c>
      <c r="DQ187" s="20">
        <f t="shared" si="928"/>
        <v>-9214.0663425936837</v>
      </c>
      <c r="DR187" s="20">
        <f t="shared" si="928"/>
        <v>-8655.8391807891167</v>
      </c>
      <c r="DS187" s="20">
        <f t="shared" si="928"/>
        <v>-8279.0547851292595</v>
      </c>
      <c r="DT187" s="20">
        <f t="shared" si="928"/>
        <v>-10471.176884367474</v>
      </c>
      <c r="DU187" s="20">
        <f t="shared" si="928"/>
        <v>-19499.823464999892</v>
      </c>
      <c r="DV187" s="20">
        <f t="shared" si="928"/>
        <v>-12929.651560082935</v>
      </c>
      <c r="DW187" s="20">
        <f t="shared" si="928"/>
        <v>-10592.901523776833</v>
      </c>
      <c r="DX187" s="20">
        <f t="shared" si="928"/>
        <v>-19561.055771605053</v>
      </c>
      <c r="DY187" s="20">
        <f t="shared" si="928"/>
        <v>-13040.461094223023</v>
      </c>
      <c r="DZ187" s="20">
        <f t="shared" si="928"/>
        <v>-10229.509816636839</v>
      </c>
      <c r="EA187" s="20">
        <f t="shared" si="928"/>
        <v>-16217.257255771814</v>
      </c>
      <c r="EB187" s="20">
        <f t="shared" si="928"/>
        <v>-12819.946227946271</v>
      </c>
      <c r="EC187" s="20">
        <f t="shared" si="928"/>
        <v>-26944.528186816937</v>
      </c>
      <c r="ED187" s="20">
        <f t="shared" si="928"/>
        <v>-25312.114555675667</v>
      </c>
      <c r="EE187" s="20">
        <f t="shared" si="928"/>
        <v>-15024.510430153448</v>
      </c>
      <c r="EF187" s="20">
        <f t="shared" si="928"/>
        <v>-19002.689364701979</v>
      </c>
      <c r="EG187" s="20">
        <f t="shared" si="928"/>
        <v>-35387.530175821601</v>
      </c>
      <c r="EH187" s="20">
        <f t="shared" si="928"/>
        <v>-23464.234718152416</v>
      </c>
      <c r="EI187" s="20">
        <f t="shared" si="928"/>
        <v>-19223.590561985704</v>
      </c>
      <c r="EJ187" s="20">
        <f t="shared" si="928"/>
        <v>-35498.652212470522</v>
      </c>
      <c r="EK187" s="20">
        <f t="shared" si="928"/>
        <v>-23665.327601900284</v>
      </c>
      <c r="EL187" s="20">
        <f t="shared" si="928"/>
        <v>-18564.121258320396</v>
      </c>
      <c r="EM187" s="20">
        <f t="shared" si="928"/>
        <v>-29430.455180158729</v>
      </c>
      <c r="EN187" s="20">
        <f t="shared" si="928"/>
        <v>-23265.145697761909</v>
      </c>
      <c r="EO187" s="20">
        <f t="shared" si="928"/>
        <v>-48897.894178154565</v>
      </c>
      <c r="EP187" s="20">
        <f t="shared" si="928"/>
        <v>-45935.452659895687</v>
      </c>
      <c r="EQ187" s="20">
        <f t="shared" ref="EQ187:FB187" si="929">EQ$185*EQ163</f>
        <v>-23319.513000665575</v>
      </c>
      <c r="ER187" s="20">
        <f t="shared" si="929"/>
        <v>-29494.036677456745</v>
      </c>
      <c r="ES187" s="20">
        <f t="shared" si="929"/>
        <v>-54924.915778975512</v>
      </c>
      <c r="ET187" s="20">
        <f t="shared" si="929"/>
        <v>-36418.792419516823</v>
      </c>
      <c r="EU187" s="20">
        <f t="shared" si="929"/>
        <v>-29836.896990001907</v>
      </c>
      <c r="EV187" s="20">
        <f t="shared" si="929"/>
        <v>-55097.38807285433</v>
      </c>
      <c r="EW187" s="20">
        <f t="shared" si="929"/>
        <v>-36730.908287697675</v>
      </c>
      <c r="EX187" s="20">
        <f t="shared" si="929"/>
        <v>-28813.335984679623</v>
      </c>
      <c r="EY187" s="20">
        <f t="shared" si="929"/>
        <v>-45678.951429381625</v>
      </c>
      <c r="EZ187" s="20">
        <f t="shared" si="929"/>
        <v>-36109.786743700017</v>
      </c>
      <c r="FA187" s="20">
        <f t="shared" si="929"/>
        <v>-75894.325095889275</v>
      </c>
      <c r="FB187" s="20">
        <f t="shared" si="929"/>
        <v>-71296.325459235304</v>
      </c>
    </row>
    <row r="188" spans="3:158" x14ac:dyDescent="0.25">
      <c r="C188" s="2" t="s">
        <v>299</v>
      </c>
      <c r="D188" s="244">
        <f t="shared" si="769"/>
        <v>-912.65000000000009</v>
      </c>
      <c r="E188" s="244">
        <f t="shared" si="769"/>
        <v>-1324.4724999999999</v>
      </c>
      <c r="F188" s="244">
        <f t="shared" si="769"/>
        <v>-3742.2574</v>
      </c>
      <c r="G188" s="244">
        <f t="shared" si="769"/>
        <v>-7778.6208397924802</v>
      </c>
      <c r="H188" s="244">
        <f t="shared" si="769"/>
        <v>-32697.512789116678</v>
      </c>
      <c r="I188" s="244">
        <f t="shared" si="769"/>
        <v>-98077.179434786245</v>
      </c>
      <c r="J188" s="244">
        <f t="shared" si="769"/>
        <v>-345661.83381513413</v>
      </c>
      <c r="K188" s="244">
        <f t="shared" si="769"/>
        <v>-719132.1192246211</v>
      </c>
      <c r="L188" s="244">
        <f t="shared" si="769"/>
        <v>-1174984.3218844584</v>
      </c>
      <c r="N188" s="244">
        <f t="shared" si="882"/>
        <v>-276.65000000000003</v>
      </c>
      <c r="O188" s="244">
        <f t="shared" si="883"/>
        <v>-210</v>
      </c>
      <c r="P188" s="244">
        <f t="shared" si="884"/>
        <v>-366</v>
      </c>
      <c r="Q188" s="244">
        <f t="shared" si="885"/>
        <v>-60</v>
      </c>
      <c r="R188" s="244">
        <f t="shared" si="886"/>
        <v>-168.8425</v>
      </c>
      <c r="S188" s="244">
        <f t="shared" si="887"/>
        <v>-624</v>
      </c>
      <c r="T188" s="244">
        <f t="shared" si="888"/>
        <v>-23.75</v>
      </c>
      <c r="U188" s="244">
        <f t="shared" si="889"/>
        <v>-507.88</v>
      </c>
      <c r="V188" s="244">
        <f t="shared" si="890"/>
        <v>-845.4</v>
      </c>
      <c r="W188" s="244">
        <f t="shared" si="891"/>
        <v>-797.12180000000001</v>
      </c>
      <c r="X188" s="244">
        <f t="shared" si="892"/>
        <v>-1166.0833</v>
      </c>
      <c r="Y188" s="244">
        <f t="shared" si="893"/>
        <v>-933.65230000000008</v>
      </c>
      <c r="Z188" s="244">
        <f t="shared" si="894"/>
        <v>-1404.7395125626047</v>
      </c>
      <c r="AA188" s="244">
        <f t="shared" si="895"/>
        <v>-2630.9492106534803</v>
      </c>
      <c r="AB188" s="244">
        <f t="shared" si="896"/>
        <v>-1572.2068931354397</v>
      </c>
      <c r="AC188" s="244">
        <f t="shared" si="897"/>
        <v>-2170.7252234409557</v>
      </c>
      <c r="AD188" s="244">
        <f t="shared" si="898"/>
        <v>-6727.8031921797538</v>
      </c>
      <c r="AE188" s="244">
        <f t="shared" si="899"/>
        <v>-7577.9770818423076</v>
      </c>
      <c r="AF188" s="244">
        <f t="shared" si="900"/>
        <v>-6945.409588970806</v>
      </c>
      <c r="AG188" s="244">
        <f t="shared" si="901"/>
        <v>-11446.322926123807</v>
      </c>
      <c r="AH188" s="244">
        <f t="shared" si="902"/>
        <v>-20180.249339973328</v>
      </c>
      <c r="AI188" s="244">
        <f t="shared" si="903"/>
        <v>-22730.37165860297</v>
      </c>
      <c r="AJ188" s="244">
        <f t="shared" si="904"/>
        <v>-20832.966314560374</v>
      </c>
      <c r="AK188" s="244">
        <f t="shared" si="905"/>
        <v>-34333.59212164957</v>
      </c>
      <c r="AL188" s="244">
        <f t="shared" si="906"/>
        <v>-71122.987364660396</v>
      </c>
      <c r="AM188" s="244">
        <f t="shared" si="907"/>
        <v>-80110.602650808985</v>
      </c>
      <c r="AN188" s="244">
        <f t="shared" si="908"/>
        <v>-73423.41390321152</v>
      </c>
      <c r="AO188" s="244">
        <f t="shared" si="909"/>
        <v>-121004.82989645324</v>
      </c>
      <c r="AP188" s="244">
        <f t="shared" si="910"/>
        <v>-147967.81022832962</v>
      </c>
      <c r="AQ188" s="244">
        <f t="shared" si="911"/>
        <v>-166666.09333400888</v>
      </c>
      <c r="AR188" s="244">
        <f t="shared" si="912"/>
        <v>-152753.7323347129</v>
      </c>
      <c r="AS188" s="244">
        <f t="shared" si="913"/>
        <v>-251744.4833275697</v>
      </c>
      <c r="AT188" s="244">
        <f t="shared" si="914"/>
        <v>-241763.44306428754</v>
      </c>
      <c r="AU188" s="244">
        <f t="shared" si="915"/>
        <v>-272314.42098336417</v>
      </c>
      <c r="AV188" s="244">
        <f t="shared" si="916"/>
        <v>-249583.12360758433</v>
      </c>
      <c r="AW188" s="244">
        <f t="shared" si="917"/>
        <v>-411323.33422922244</v>
      </c>
      <c r="AY188" s="20">
        <f t="shared" ref="AY188:CD188" si="930">AY$185*AY164</f>
        <v>-276.65000000000003</v>
      </c>
      <c r="AZ188" s="20">
        <f t="shared" si="930"/>
        <v>0</v>
      </c>
      <c r="BA188" s="20">
        <f t="shared" si="930"/>
        <v>0</v>
      </c>
      <c r="BB188" s="20">
        <f t="shared" si="930"/>
        <v>-210</v>
      </c>
      <c r="BC188" s="20">
        <f t="shared" si="930"/>
        <v>0</v>
      </c>
      <c r="BD188" s="20">
        <f t="shared" si="930"/>
        <v>0</v>
      </c>
      <c r="BE188" s="20">
        <f t="shared" si="930"/>
        <v>-22.5</v>
      </c>
      <c r="BF188" s="20">
        <f t="shared" si="930"/>
        <v>-30</v>
      </c>
      <c r="BG188" s="20">
        <f t="shared" si="930"/>
        <v>-313.5</v>
      </c>
      <c r="BH188" s="20">
        <f t="shared" si="930"/>
        <v>0</v>
      </c>
      <c r="BI188" s="20">
        <f t="shared" si="930"/>
        <v>-60</v>
      </c>
      <c r="BJ188" s="20">
        <f t="shared" si="930"/>
        <v>0</v>
      </c>
      <c r="BK188" s="20">
        <f t="shared" si="930"/>
        <v>0</v>
      </c>
      <c r="BL188" s="20">
        <f t="shared" si="930"/>
        <v>-168.8425</v>
      </c>
      <c r="BM188" s="20">
        <f t="shared" si="930"/>
        <v>0</v>
      </c>
      <c r="BN188" s="20">
        <f t="shared" si="930"/>
        <v>-200</v>
      </c>
      <c r="BO188" s="20">
        <f t="shared" si="930"/>
        <v>-295</v>
      </c>
      <c r="BP188" s="20">
        <f t="shared" si="930"/>
        <v>-129</v>
      </c>
      <c r="BQ188" s="20">
        <f t="shared" si="930"/>
        <v>0</v>
      </c>
      <c r="BR188" s="20">
        <f t="shared" si="930"/>
        <v>-23.75</v>
      </c>
      <c r="BS188" s="20">
        <f t="shared" si="930"/>
        <v>0</v>
      </c>
      <c r="BT188" s="20">
        <f t="shared" si="930"/>
        <v>0</v>
      </c>
      <c r="BU188" s="20">
        <f t="shared" si="930"/>
        <v>-330</v>
      </c>
      <c r="BV188" s="20">
        <f t="shared" si="930"/>
        <v>-177.88</v>
      </c>
      <c r="BW188" s="20">
        <f t="shared" si="930"/>
        <v>-99</v>
      </c>
      <c r="BX188" s="20">
        <f t="shared" si="930"/>
        <v>-170</v>
      </c>
      <c r="BY188" s="20">
        <f t="shared" si="930"/>
        <v>-576.4</v>
      </c>
      <c r="BZ188" s="20">
        <f t="shared" si="930"/>
        <v>-460</v>
      </c>
      <c r="CA188" s="20">
        <f t="shared" si="930"/>
        <v>-27</v>
      </c>
      <c r="CB188" s="20">
        <f t="shared" si="930"/>
        <v>-310.12180000000001</v>
      </c>
      <c r="CC188" s="20">
        <f t="shared" si="930"/>
        <v>-264.89999999999998</v>
      </c>
      <c r="CD188" s="20">
        <f t="shared" si="930"/>
        <v>-101.1833</v>
      </c>
      <c r="CE188" s="20">
        <f t="shared" ref="CE188:DJ188" si="931">CE$185*CE164</f>
        <v>-800</v>
      </c>
      <c r="CF188" s="20">
        <f t="shared" si="931"/>
        <v>0</v>
      </c>
      <c r="CG188" s="20">
        <f t="shared" si="931"/>
        <v>-548.62830000000008</v>
      </c>
      <c r="CH188" s="20">
        <f t="shared" si="931"/>
        <v>-385.024</v>
      </c>
      <c r="CI188" s="20">
        <f t="shared" si="931"/>
        <v>-665.24416409015373</v>
      </c>
      <c r="CJ188" s="20">
        <f t="shared" si="931"/>
        <v>-343.51727988386023</v>
      </c>
      <c r="CK188" s="20">
        <f t="shared" si="931"/>
        <v>-395.97806858859076</v>
      </c>
      <c r="CL188" s="20">
        <f t="shared" si="931"/>
        <v>-307.70270297966925</v>
      </c>
      <c r="CM188" s="20">
        <f t="shared" si="931"/>
        <v>-1256.1332310819218</v>
      </c>
      <c r="CN188" s="20">
        <f t="shared" si="931"/>
        <v>-1067.1132765918892</v>
      </c>
      <c r="CO188" s="20">
        <f t="shared" si="931"/>
        <v>-243.20652403208024</v>
      </c>
      <c r="CP188" s="20">
        <f t="shared" si="931"/>
        <v>-461.24996869559487</v>
      </c>
      <c r="CQ188" s="20">
        <f t="shared" si="931"/>
        <v>-867.75040040776469</v>
      </c>
      <c r="CR188" s="20">
        <f t="shared" si="931"/>
        <v>-195.29798408415215</v>
      </c>
      <c r="CS188" s="20">
        <f t="shared" si="931"/>
        <v>-914.48833688562024</v>
      </c>
      <c r="CT188" s="20">
        <f t="shared" si="931"/>
        <v>-1060.9389024711834</v>
      </c>
      <c r="CU188" s="20">
        <f t="shared" si="931"/>
        <v>-1456.2031614273308</v>
      </c>
      <c r="CV188" s="20">
        <f t="shared" si="931"/>
        <v>-1841.7755744616245</v>
      </c>
      <c r="CW188" s="20">
        <f t="shared" si="931"/>
        <v>-3429.824456290798</v>
      </c>
      <c r="CX188" s="20">
        <f t="shared" si="931"/>
        <v>-2274.1967490981674</v>
      </c>
      <c r="CY188" s="20">
        <f t="shared" si="931"/>
        <v>-1863.1857244524056</v>
      </c>
      <c r="CZ188" s="20">
        <f t="shared" si="931"/>
        <v>-3440.5946082917349</v>
      </c>
      <c r="DA188" s="20">
        <f t="shared" si="931"/>
        <v>-2293.6870409393232</v>
      </c>
      <c r="DB188" s="20">
        <f t="shared" si="931"/>
        <v>-1799.2687476346862</v>
      </c>
      <c r="DC188" s="20">
        <f t="shared" si="931"/>
        <v>-2852.4538003967959</v>
      </c>
      <c r="DD188" s="20">
        <f t="shared" si="931"/>
        <v>-2254.9006753761055</v>
      </c>
      <c r="DE188" s="20">
        <f t="shared" si="931"/>
        <v>-4739.2737633874776</v>
      </c>
      <c r="DF188" s="20">
        <f t="shared" si="931"/>
        <v>-4452.148487360224</v>
      </c>
      <c r="DG188" s="20">
        <f t="shared" si="931"/>
        <v>-4367.925465093751</v>
      </c>
      <c r="DH188" s="20">
        <f t="shared" si="931"/>
        <v>-5524.4615900939034</v>
      </c>
      <c r="DI188" s="20">
        <f t="shared" si="931"/>
        <v>-10287.862284785677</v>
      </c>
      <c r="DJ188" s="20">
        <f t="shared" si="931"/>
        <v>-6821.5219937324828</v>
      </c>
      <c r="DK188" s="20">
        <f t="shared" ref="DK188:EP188" si="932">DK$185*DK164</f>
        <v>-5588.6819831224047</v>
      </c>
      <c r="DL188" s="20">
        <f t="shared" si="932"/>
        <v>-10320.167681748084</v>
      </c>
      <c r="DM188" s="20">
        <f t="shared" si="932"/>
        <v>-6879.9837141229591</v>
      </c>
      <c r="DN188" s="20">
        <f t="shared" si="932"/>
        <v>-5396.9610762536995</v>
      </c>
      <c r="DO188" s="20">
        <f t="shared" si="932"/>
        <v>-8556.0215241837141</v>
      </c>
      <c r="DP188" s="20">
        <f t="shared" si="932"/>
        <v>-6763.6428364696267</v>
      </c>
      <c r="DQ188" s="20">
        <f t="shared" si="932"/>
        <v>-14215.595121260763</v>
      </c>
      <c r="DR188" s="20">
        <f t="shared" si="932"/>
        <v>-13354.354163919179</v>
      </c>
      <c r="DS188" s="20">
        <f t="shared" si="932"/>
        <v>-15394.255166524705</v>
      </c>
      <c r="DT188" s="20">
        <f t="shared" si="932"/>
        <v>-19470.334843212579</v>
      </c>
      <c r="DU188" s="20">
        <f t="shared" si="932"/>
        <v>-36258.397354923116</v>
      </c>
      <c r="DV188" s="20">
        <f t="shared" si="932"/>
        <v>-24041.676314026627</v>
      </c>
      <c r="DW188" s="20">
        <f t="shared" si="932"/>
        <v>-19696.672294498287</v>
      </c>
      <c r="DX188" s="20">
        <f t="shared" si="932"/>
        <v>-36372.254042284076</v>
      </c>
      <c r="DY188" s="20">
        <f t="shared" si="932"/>
        <v>-24247.717980341029</v>
      </c>
      <c r="DZ188" s="20">
        <f t="shared" si="932"/>
        <v>-19020.973822836975</v>
      </c>
      <c r="EA188" s="20">
        <f t="shared" si="932"/>
        <v>-30154.722100033516</v>
      </c>
      <c r="EB188" s="20">
        <f t="shared" si="932"/>
        <v>-23837.687825017761</v>
      </c>
      <c r="EC188" s="20">
        <f t="shared" si="932"/>
        <v>-50101.243803159727</v>
      </c>
      <c r="ED188" s="20">
        <f t="shared" si="932"/>
        <v>-47065.898268275756</v>
      </c>
      <c r="EE188" s="20">
        <f t="shared" si="932"/>
        <v>-32026.976249012718</v>
      </c>
      <c r="EF188" s="20">
        <f t="shared" si="932"/>
        <v>-40507.055706071427</v>
      </c>
      <c r="EG188" s="20">
        <f t="shared" si="932"/>
        <v>-75433.77827324548</v>
      </c>
      <c r="EH188" s="20">
        <f t="shared" si="932"/>
        <v>-50017.502501201438</v>
      </c>
      <c r="EI188" s="20">
        <f t="shared" si="932"/>
        <v>-40977.939428484467</v>
      </c>
      <c r="EJ188" s="20">
        <f t="shared" si="932"/>
        <v>-75670.651404322984</v>
      </c>
      <c r="EK188" s="20">
        <f t="shared" si="932"/>
        <v>-50446.161860291948</v>
      </c>
      <c r="EL188" s="20">
        <f t="shared" si="932"/>
        <v>-39572.182627047972</v>
      </c>
      <c r="EM188" s="20">
        <f t="shared" si="932"/>
        <v>-62735.387847372964</v>
      </c>
      <c r="EN188" s="20">
        <f t="shared" si="932"/>
        <v>-49593.114674581193</v>
      </c>
      <c r="EO188" s="20">
        <f t="shared" si="932"/>
        <v>-104233.12644700258</v>
      </c>
      <c r="EP188" s="20">
        <f t="shared" si="932"/>
        <v>-97918.242205985938</v>
      </c>
      <c r="EQ188" s="20">
        <f t="shared" ref="EQ188:FB188" si="933">EQ$185*EQ164</f>
        <v>-52328.624968844917</v>
      </c>
      <c r="ER188" s="20">
        <f t="shared" si="933"/>
        <v>-66184.160195281103</v>
      </c>
      <c r="ES188" s="20">
        <f t="shared" si="933"/>
        <v>-123250.65790016152</v>
      </c>
      <c r="ET188" s="20">
        <f t="shared" si="933"/>
        <v>-81723.204523384135</v>
      </c>
      <c r="EU188" s="20">
        <f t="shared" si="933"/>
        <v>-66953.533411238255</v>
      </c>
      <c r="EV188" s="20">
        <f t="shared" si="933"/>
        <v>-123637.68304874176</v>
      </c>
      <c r="EW188" s="20">
        <f t="shared" si="933"/>
        <v>-82423.58768371836</v>
      </c>
      <c r="EX188" s="20">
        <f t="shared" si="933"/>
        <v>-64656.678413506743</v>
      </c>
      <c r="EY188" s="20">
        <f t="shared" si="933"/>
        <v>-102502.85751035924</v>
      </c>
      <c r="EZ188" s="20">
        <f t="shared" si="933"/>
        <v>-81029.80058640652</v>
      </c>
      <c r="FA188" s="20">
        <f t="shared" si="933"/>
        <v>-170305.68670507972</v>
      </c>
      <c r="FB188" s="20">
        <f t="shared" si="933"/>
        <v>-159987.84693773621</v>
      </c>
    </row>
    <row r="189" spans="3:158" x14ac:dyDescent="0.25">
      <c r="C189" s="2" t="s">
        <v>300</v>
      </c>
      <c r="D189" s="244">
        <f t="shared" si="769"/>
        <v>-1825.3000000000002</v>
      </c>
      <c r="E189" s="244">
        <f t="shared" si="769"/>
        <v>-2648.9449999999997</v>
      </c>
      <c r="F189" s="244">
        <f t="shared" si="769"/>
        <v>-7484.5147999999999</v>
      </c>
      <c r="G189" s="244">
        <f t="shared" si="769"/>
        <v>-15557.24167958496</v>
      </c>
      <c r="H189" s="244">
        <f t="shared" si="769"/>
        <v>-47578.748162070893</v>
      </c>
      <c r="I189" s="244">
        <f t="shared" si="769"/>
        <v>-82464.138814399397</v>
      </c>
      <c r="J189" s="244">
        <f t="shared" si="769"/>
        <v>-127787.22678595537</v>
      </c>
      <c r="K189" s="244">
        <f t="shared" si="769"/>
        <v>-185903.84803958741</v>
      </c>
      <c r="L189" s="244">
        <f t="shared" si="769"/>
        <v>-259079.14674710762</v>
      </c>
      <c r="N189" s="244">
        <f t="shared" si="882"/>
        <v>-553.30000000000007</v>
      </c>
      <c r="O189" s="244">
        <f t="shared" si="883"/>
        <v>-420</v>
      </c>
      <c r="P189" s="244">
        <f t="shared" si="884"/>
        <v>-732</v>
      </c>
      <c r="Q189" s="244">
        <f t="shared" si="885"/>
        <v>-120</v>
      </c>
      <c r="R189" s="244">
        <f t="shared" si="886"/>
        <v>-337.685</v>
      </c>
      <c r="S189" s="244">
        <f t="shared" si="887"/>
        <v>-1248</v>
      </c>
      <c r="T189" s="244">
        <f t="shared" si="888"/>
        <v>-47.5</v>
      </c>
      <c r="U189" s="244">
        <f t="shared" si="889"/>
        <v>-1015.76</v>
      </c>
      <c r="V189" s="244">
        <f t="shared" si="890"/>
        <v>-1690.8</v>
      </c>
      <c r="W189" s="244">
        <f t="shared" si="891"/>
        <v>-1594.2436</v>
      </c>
      <c r="X189" s="244">
        <f t="shared" si="892"/>
        <v>-2332.1666</v>
      </c>
      <c r="Y189" s="244">
        <f t="shared" si="893"/>
        <v>-1867.3046000000002</v>
      </c>
      <c r="Z189" s="244">
        <f t="shared" si="894"/>
        <v>-2809.4790251252093</v>
      </c>
      <c r="AA189" s="244">
        <f t="shared" si="895"/>
        <v>-5261.8984213069607</v>
      </c>
      <c r="AB189" s="244">
        <f t="shared" si="896"/>
        <v>-3144.4137862708794</v>
      </c>
      <c r="AC189" s="244">
        <f t="shared" si="897"/>
        <v>-4341.4504468819114</v>
      </c>
      <c r="AD189" s="244">
        <f t="shared" si="898"/>
        <v>-9789.7493252527202</v>
      </c>
      <c r="AE189" s="244">
        <f t="shared" si="899"/>
        <v>-11026.852882673353</v>
      </c>
      <c r="AF189" s="244">
        <f t="shared" si="900"/>
        <v>-10106.392368353638</v>
      </c>
      <c r="AG189" s="244">
        <f t="shared" si="901"/>
        <v>-16655.753585791179</v>
      </c>
      <c r="AH189" s="244">
        <f t="shared" si="902"/>
        <v>-16967.727788167911</v>
      </c>
      <c r="AI189" s="244">
        <f t="shared" si="903"/>
        <v>-19111.892639656136</v>
      </c>
      <c r="AJ189" s="244">
        <f t="shared" si="904"/>
        <v>-17516.537852946032</v>
      </c>
      <c r="AK189" s="244">
        <f t="shared" si="905"/>
        <v>-28867.980533629328</v>
      </c>
      <c r="AL189" s="244">
        <f t="shared" si="906"/>
        <v>-26293.35502780223</v>
      </c>
      <c r="AM189" s="244">
        <f t="shared" si="907"/>
        <v>-29615.973611866761</v>
      </c>
      <c r="AN189" s="244">
        <f t="shared" si="908"/>
        <v>-27143.796410183721</v>
      </c>
      <c r="AO189" s="244">
        <f t="shared" si="909"/>
        <v>-44734.101736102668</v>
      </c>
      <c r="AP189" s="244">
        <f t="shared" si="910"/>
        <v>-38251.365183211674</v>
      </c>
      <c r="AQ189" s="244">
        <f t="shared" si="911"/>
        <v>-43085.084451414208</v>
      </c>
      <c r="AR189" s="244">
        <f t="shared" si="912"/>
        <v>-39488.580588016128</v>
      </c>
      <c r="AS189" s="244">
        <f t="shared" si="913"/>
        <v>-65078.817816945375</v>
      </c>
      <c r="AT189" s="244">
        <f t="shared" si="914"/>
        <v>-53307.831753263017</v>
      </c>
      <c r="AU189" s="244">
        <f t="shared" si="915"/>
        <v>-60044.195076706936</v>
      </c>
      <c r="AV189" s="244">
        <f t="shared" si="916"/>
        <v>-55032.038727993626</v>
      </c>
      <c r="AW189" s="244">
        <f t="shared" si="917"/>
        <v>-90695.081189144053</v>
      </c>
      <c r="AY189" s="20">
        <f t="shared" ref="AY189:CD189" si="934">AY$185*AY165</f>
        <v>-553.30000000000007</v>
      </c>
      <c r="AZ189" s="20">
        <f t="shared" si="934"/>
        <v>0</v>
      </c>
      <c r="BA189" s="20">
        <f t="shared" si="934"/>
        <v>0</v>
      </c>
      <c r="BB189" s="20">
        <f t="shared" si="934"/>
        <v>-420</v>
      </c>
      <c r="BC189" s="20">
        <f t="shared" si="934"/>
        <v>0</v>
      </c>
      <c r="BD189" s="20">
        <f t="shared" si="934"/>
        <v>0</v>
      </c>
      <c r="BE189" s="20">
        <f t="shared" si="934"/>
        <v>-45</v>
      </c>
      <c r="BF189" s="20">
        <f t="shared" si="934"/>
        <v>-60</v>
      </c>
      <c r="BG189" s="20">
        <f t="shared" si="934"/>
        <v>-627</v>
      </c>
      <c r="BH189" s="20">
        <f t="shared" si="934"/>
        <v>0</v>
      </c>
      <c r="BI189" s="20">
        <f t="shared" si="934"/>
        <v>-120</v>
      </c>
      <c r="BJ189" s="20">
        <f t="shared" si="934"/>
        <v>0</v>
      </c>
      <c r="BK189" s="20">
        <f t="shared" si="934"/>
        <v>0</v>
      </c>
      <c r="BL189" s="20">
        <f t="shared" si="934"/>
        <v>-337.685</v>
      </c>
      <c r="BM189" s="20">
        <f t="shared" si="934"/>
        <v>0</v>
      </c>
      <c r="BN189" s="20">
        <f t="shared" si="934"/>
        <v>-400</v>
      </c>
      <c r="BO189" s="20">
        <f t="shared" si="934"/>
        <v>-590</v>
      </c>
      <c r="BP189" s="20">
        <f t="shared" si="934"/>
        <v>-258</v>
      </c>
      <c r="BQ189" s="20">
        <f t="shared" si="934"/>
        <v>0</v>
      </c>
      <c r="BR189" s="20">
        <f t="shared" si="934"/>
        <v>-47.5</v>
      </c>
      <c r="BS189" s="20">
        <f t="shared" si="934"/>
        <v>0</v>
      </c>
      <c r="BT189" s="20">
        <f t="shared" si="934"/>
        <v>0</v>
      </c>
      <c r="BU189" s="20">
        <f t="shared" si="934"/>
        <v>-660</v>
      </c>
      <c r="BV189" s="20">
        <f t="shared" si="934"/>
        <v>-355.76</v>
      </c>
      <c r="BW189" s="20">
        <f t="shared" si="934"/>
        <v>-198</v>
      </c>
      <c r="BX189" s="20">
        <f t="shared" si="934"/>
        <v>-340</v>
      </c>
      <c r="BY189" s="20">
        <f t="shared" si="934"/>
        <v>-1152.8</v>
      </c>
      <c r="BZ189" s="20">
        <f t="shared" si="934"/>
        <v>-920</v>
      </c>
      <c r="CA189" s="20">
        <f t="shared" si="934"/>
        <v>-54</v>
      </c>
      <c r="CB189" s="20">
        <f t="shared" si="934"/>
        <v>-620.24360000000001</v>
      </c>
      <c r="CC189" s="20">
        <f t="shared" si="934"/>
        <v>-529.79999999999995</v>
      </c>
      <c r="CD189" s="20">
        <f t="shared" si="934"/>
        <v>-202.36660000000001</v>
      </c>
      <c r="CE189" s="20">
        <f t="shared" ref="CE189:DJ189" si="935">CE$185*CE165</f>
        <v>-1600</v>
      </c>
      <c r="CF189" s="20">
        <f t="shared" si="935"/>
        <v>0</v>
      </c>
      <c r="CG189" s="20">
        <f t="shared" si="935"/>
        <v>-1097.2566000000002</v>
      </c>
      <c r="CH189" s="20">
        <f t="shared" si="935"/>
        <v>-770.048</v>
      </c>
      <c r="CI189" s="20">
        <f t="shared" si="935"/>
        <v>-1330.4883281803075</v>
      </c>
      <c r="CJ189" s="20">
        <f t="shared" si="935"/>
        <v>-687.03455976772045</v>
      </c>
      <c r="CK189" s="20">
        <f t="shared" si="935"/>
        <v>-791.95613717718152</v>
      </c>
      <c r="CL189" s="20">
        <f t="shared" si="935"/>
        <v>-615.40540595933851</v>
      </c>
      <c r="CM189" s="20">
        <f t="shared" si="935"/>
        <v>-2512.2664621638437</v>
      </c>
      <c r="CN189" s="20">
        <f t="shared" si="935"/>
        <v>-2134.2265531837784</v>
      </c>
      <c r="CO189" s="20">
        <f t="shared" si="935"/>
        <v>-486.41304806416048</v>
      </c>
      <c r="CP189" s="20">
        <f t="shared" si="935"/>
        <v>-922.49993739118975</v>
      </c>
      <c r="CQ189" s="20">
        <f t="shared" si="935"/>
        <v>-1735.5008008155294</v>
      </c>
      <c r="CR189" s="20">
        <f t="shared" si="935"/>
        <v>-390.5959681683043</v>
      </c>
      <c r="CS189" s="20">
        <f t="shared" si="935"/>
        <v>-1828.9766737712405</v>
      </c>
      <c r="CT189" s="20">
        <f t="shared" si="935"/>
        <v>-2121.8778049423668</v>
      </c>
      <c r="CU189" s="20">
        <f t="shared" si="935"/>
        <v>-2118.9478214203386</v>
      </c>
      <c r="CV189" s="20">
        <f t="shared" si="935"/>
        <v>-2680.0012830801738</v>
      </c>
      <c r="CW189" s="20">
        <f t="shared" si="935"/>
        <v>-4990.8002207522068</v>
      </c>
      <c r="CX189" s="20">
        <f t="shared" si="935"/>
        <v>-3309.225233558358</v>
      </c>
      <c r="CY189" s="20">
        <f t="shared" si="935"/>
        <v>-2711.1555834422061</v>
      </c>
      <c r="CZ189" s="20">
        <f t="shared" si="935"/>
        <v>-5006.4720656727886</v>
      </c>
      <c r="DA189" s="20">
        <f t="shared" si="935"/>
        <v>-3337.5859132558144</v>
      </c>
      <c r="DB189" s="20">
        <f t="shared" si="935"/>
        <v>-2618.1488228697808</v>
      </c>
      <c r="DC189" s="20">
        <f t="shared" si="935"/>
        <v>-4150.6576322280434</v>
      </c>
      <c r="DD189" s="20">
        <f t="shared" si="935"/>
        <v>-3281.1471641938797</v>
      </c>
      <c r="DE189" s="20">
        <f t="shared" si="935"/>
        <v>-6896.2038279063345</v>
      </c>
      <c r="DF189" s="20">
        <f t="shared" si="935"/>
        <v>-6478.4025936909647</v>
      </c>
      <c r="DG189" s="20">
        <f t="shared" si="935"/>
        <v>-3672.5894235564197</v>
      </c>
      <c r="DH189" s="20">
        <f t="shared" si="935"/>
        <v>-4645.0149776507405</v>
      </c>
      <c r="DI189" s="20">
        <f t="shared" si="935"/>
        <v>-8650.1233869607495</v>
      </c>
      <c r="DJ189" s="20">
        <f t="shared" si="935"/>
        <v>-5735.5945578621959</v>
      </c>
      <c r="DK189" s="20">
        <f t="shared" ref="DK189:EP189" si="936">DK$185*DK165</f>
        <v>-4699.0120382915293</v>
      </c>
      <c r="DL189" s="20">
        <f t="shared" si="936"/>
        <v>-8677.2860435024122</v>
      </c>
      <c r="DM189" s="20">
        <f t="shared" si="936"/>
        <v>-5784.7496768551355</v>
      </c>
      <c r="DN189" s="20">
        <f t="shared" si="936"/>
        <v>-4537.8114453630187</v>
      </c>
      <c r="DO189" s="20">
        <f t="shared" si="936"/>
        <v>-7193.9767307278771</v>
      </c>
      <c r="DP189" s="20">
        <f t="shared" si="936"/>
        <v>-5686.9292629741194</v>
      </c>
      <c r="DQ189" s="20">
        <f t="shared" si="936"/>
        <v>-11952.595049783422</v>
      </c>
      <c r="DR189" s="20">
        <f t="shared" si="936"/>
        <v>-11228.456220871785</v>
      </c>
      <c r="DS189" s="20">
        <f t="shared" si="936"/>
        <v>-5691.080078044266</v>
      </c>
      <c r="DT189" s="20">
        <f t="shared" si="936"/>
        <v>-7197.9601182662009</v>
      </c>
      <c r="DU189" s="20">
        <f t="shared" si="936"/>
        <v>-13404.314831491765</v>
      </c>
      <c r="DV189" s="20">
        <f t="shared" si="936"/>
        <v>-8887.9327796951038</v>
      </c>
      <c r="DW189" s="20">
        <f t="shared" si="936"/>
        <v>-7281.6344854891386</v>
      </c>
      <c r="DX189" s="20">
        <f t="shared" si="936"/>
        <v>-13446.406346682517</v>
      </c>
      <c r="DY189" s="20">
        <f t="shared" si="936"/>
        <v>-8964.104027327714</v>
      </c>
      <c r="DZ189" s="20">
        <f t="shared" si="936"/>
        <v>-7031.8364881687676</v>
      </c>
      <c r="EA189" s="20">
        <f t="shared" si="936"/>
        <v>-11147.855894687238</v>
      </c>
      <c r="EB189" s="20">
        <f t="shared" si="936"/>
        <v>-8812.5205682311062</v>
      </c>
      <c r="EC189" s="20">
        <f t="shared" si="936"/>
        <v>-18521.856849133284</v>
      </c>
      <c r="ED189" s="20">
        <f t="shared" si="936"/>
        <v>-17399.724318738277</v>
      </c>
      <c r="EE189" s="20">
        <f t="shared" si="936"/>
        <v>-8279.3383393632303</v>
      </c>
      <c r="EF189" s="20">
        <f t="shared" si="936"/>
        <v>-10471.535517885102</v>
      </c>
      <c r="EG189" s="20">
        <f t="shared" si="936"/>
        <v>-19500.491325963339</v>
      </c>
      <c r="EH189" s="20">
        <f t="shared" si="936"/>
        <v>-12930.094395350823</v>
      </c>
      <c r="EI189" s="20">
        <f t="shared" si="936"/>
        <v>-10593.264326313483</v>
      </c>
      <c r="EJ189" s="20">
        <f t="shared" si="936"/>
        <v>-19561.725729749905</v>
      </c>
      <c r="EK189" s="20">
        <f t="shared" si="936"/>
        <v>-13040.907724672052</v>
      </c>
      <c r="EL189" s="20">
        <f t="shared" si="936"/>
        <v>-10229.860173156421</v>
      </c>
      <c r="EM189" s="20">
        <f t="shared" si="936"/>
        <v>-16217.812690187653</v>
      </c>
      <c r="EN189" s="20">
        <f t="shared" si="936"/>
        <v>-12820.385305851489</v>
      </c>
      <c r="EO189" s="20">
        <f t="shared" si="936"/>
        <v>-26945.451025866569</v>
      </c>
      <c r="EP189" s="20">
        <f t="shared" si="936"/>
        <v>-25312.981485227323</v>
      </c>
      <c r="EQ189" s="20">
        <f t="shared" ref="EQ189:FB189" si="937">EQ$185*EQ165</f>
        <v>-11538.243749188407</v>
      </c>
      <c r="ER189" s="20">
        <f t="shared" si="937"/>
        <v>-14593.331529791636</v>
      </c>
      <c r="ES189" s="20">
        <f t="shared" si="937"/>
        <v>-27176.256474282975</v>
      </c>
      <c r="ET189" s="20">
        <f t="shared" si="937"/>
        <v>-18019.626052031479</v>
      </c>
      <c r="EU189" s="20">
        <f t="shared" si="937"/>
        <v>-14762.975117886983</v>
      </c>
      <c r="EV189" s="20">
        <f t="shared" si="937"/>
        <v>-27261.593906788479</v>
      </c>
      <c r="EW189" s="20">
        <f t="shared" si="937"/>
        <v>-18174.057620347568</v>
      </c>
      <c r="EX189" s="20">
        <f t="shared" si="937"/>
        <v>-14256.528162016344</v>
      </c>
      <c r="EY189" s="20">
        <f t="shared" si="937"/>
        <v>-22601.452945629717</v>
      </c>
      <c r="EZ189" s="20">
        <f t="shared" si="937"/>
        <v>-17866.733373382689</v>
      </c>
      <c r="FA189" s="20">
        <f t="shared" si="937"/>
        <v>-37551.694244709302</v>
      </c>
      <c r="FB189" s="20">
        <f t="shared" si="937"/>
        <v>-35276.653571052055</v>
      </c>
    </row>
    <row r="191" spans="3:158" s="1" customFormat="1" x14ac:dyDescent="0.25">
      <c r="C191" s="304" t="s">
        <v>647</v>
      </c>
      <c r="D191" s="22">
        <f t="shared" si="769"/>
        <v>-352563</v>
      </c>
      <c r="E191" s="22">
        <f t="shared" si="769"/>
        <v>-929477.46</v>
      </c>
      <c r="F191" s="22">
        <f t="shared" si="769"/>
        <v>-1076743.5999999999</v>
      </c>
      <c r="G191" s="22">
        <f t="shared" si="769"/>
        <v>-1450379.8382962472</v>
      </c>
      <c r="H191" s="22">
        <f t="shared" si="769"/>
        <v>-2477234.4701914745</v>
      </c>
      <c r="I191" s="22">
        <f t="shared" si="769"/>
        <v>-3659202.0244698268</v>
      </c>
      <c r="J191" s="22">
        <f t="shared" si="769"/>
        <v>-5227592.1991653005</v>
      </c>
      <c r="K191" s="22">
        <f t="shared" si="769"/>
        <v>-7266030.6597662671</v>
      </c>
      <c r="L191" s="22">
        <f t="shared" si="769"/>
        <v>-9855207.7917743269</v>
      </c>
      <c r="N191" s="22">
        <f t="shared" ref="N191:N195" si="938">SUM(AY191:BA191)</f>
        <v>-22800</v>
      </c>
      <c r="O191" s="22">
        <f t="shared" ref="O191:O195" si="939">SUM(BB191:BD191)</f>
        <v>-18060</v>
      </c>
      <c r="P191" s="22">
        <f t="shared" ref="P191:P195" si="940">SUM(BE191:BG191)</f>
        <v>-73800</v>
      </c>
      <c r="Q191" s="22">
        <f t="shared" ref="Q191:Q195" si="941">SUM(BH191:BJ191)</f>
        <v>-237903</v>
      </c>
      <c r="R191" s="22">
        <f t="shared" ref="R191:R195" si="942">SUM(BK191:BM191)</f>
        <v>-314125.45999999996</v>
      </c>
      <c r="S191" s="22">
        <f t="shared" ref="S191:S195" si="943">SUM(BN191:BP191)</f>
        <v>-161776</v>
      </c>
      <c r="T191" s="22">
        <f t="shared" ref="T191:T195" si="944">SUM(BQ191:BS191)</f>
        <v>-267688</v>
      </c>
      <c r="U191" s="22">
        <f t="shared" ref="U191:U195" si="945">SUM(BT191:BV191)</f>
        <v>-185888</v>
      </c>
      <c r="V191" s="22">
        <f t="shared" ref="V191:V195" si="946">SUM(BW191:BY191)</f>
        <v>-170049.99</v>
      </c>
      <c r="W191" s="22">
        <f t="shared" ref="W191:W195" si="947">SUM(BZ191:CB191)</f>
        <v>-205108.94</v>
      </c>
      <c r="X191" s="22">
        <f t="shared" ref="X191:X195" si="948">SUM(CC191:CE191)</f>
        <v>-452300</v>
      </c>
      <c r="Y191" s="22">
        <f t="shared" ref="Y191:Y195" si="949">SUM(CF191:CH191)</f>
        <v>-249284.66999999998</v>
      </c>
      <c r="Z191" s="22">
        <f t="shared" ref="Z191:Z195" si="950">SUM(CI191:CK191)</f>
        <v>-330338.44</v>
      </c>
      <c r="AA191" s="22">
        <f t="shared" ref="AA191:AA195" si="951">SUM(CL191:CN191)</f>
        <v>-306190</v>
      </c>
      <c r="AB191" s="22">
        <f t="shared" ref="AB191:AB195" si="952">SUM(CO191:CQ191)</f>
        <v>-341855.72661671857</v>
      </c>
      <c r="AC191" s="22">
        <f t="shared" ref="AC191:AC195" si="953">SUM(CR191:CT191)</f>
        <v>-471995.67167952855</v>
      </c>
      <c r="AD191" s="22">
        <f t="shared" ref="AD191:AD195" si="954">SUM(CU191:CW191)</f>
        <v>-509712.95840824</v>
      </c>
      <c r="AE191" s="22">
        <f t="shared" ref="AE191:AE195" si="955">SUM(CX191:CZ191)</f>
        <v>-574123.97580617026</v>
      </c>
      <c r="AF191" s="22">
        <f t="shared" ref="AF191:AF195" si="956">SUM(DA191:DC191)</f>
        <v>-526199.29088684928</v>
      </c>
      <c r="AG191" s="22">
        <f t="shared" ref="AG191:AG195" si="957">SUM(DD191:DF191)</f>
        <v>-867198.245090215</v>
      </c>
      <c r="AH191" s="22">
        <f t="shared" ref="AH191:AH195" si="958">SUM(DG191:DI191)</f>
        <v>-752913.26345938211</v>
      </c>
      <c r="AI191" s="22">
        <f t="shared" ref="AI191:AI195" si="959">SUM(DJ191:DL191)</f>
        <v>-848056.83105330891</v>
      </c>
      <c r="AJ191" s="22">
        <f t="shared" ref="AJ191:AJ195" si="960">SUM(DM191:DO191)</f>
        <v>-777265.75084308418</v>
      </c>
      <c r="AK191" s="22">
        <f t="shared" ref="AK191:AK195" si="961">SUM(DP191:DR191)</f>
        <v>-1280966.1791140519</v>
      </c>
      <c r="AL191" s="22">
        <f t="shared" ref="AL191:AL195" si="962">SUM(DS191:DU191)</f>
        <v>-1075623.4491531311</v>
      </c>
      <c r="AM191" s="22">
        <f t="shared" ref="AM191:AM195" si="963">SUM(DV191:DX191)</f>
        <v>-1211547.0107462711</v>
      </c>
      <c r="AN191" s="22">
        <f t="shared" ref="AN191:AN195" si="964">SUM(DY191:EA191)</f>
        <v>-1110413.7865616693</v>
      </c>
      <c r="AO191" s="22">
        <f t="shared" ref="AO191:AO195" si="965">SUM(EB191:ED191)</f>
        <v>-1830007.9527042292</v>
      </c>
      <c r="AP191" s="22">
        <f t="shared" ref="AP191:AP195" si="966">SUM(EE191:EG191)</f>
        <v>-1495050.2376903289</v>
      </c>
      <c r="AQ191" s="22">
        <f t="shared" ref="AQ191:AQ195" si="967">SUM(EH191:EJ191)</f>
        <v>-1683975.6030005917</v>
      </c>
      <c r="AR191" s="22">
        <f t="shared" ref="AR191:AR195" si="968">SUM(EK191:EM191)</f>
        <v>-1543406.6604262907</v>
      </c>
      <c r="AS191" s="22">
        <f t="shared" ref="AS191:AS195" si="969">SUM(EN191:EP191)</f>
        <v>-2543598.1586490558</v>
      </c>
      <c r="AT191" s="22">
        <f t="shared" ref="AT191:AT195" si="970">SUM(EQ191:ES191)</f>
        <v>-2027796.3913867869</v>
      </c>
      <c r="AU191" s="22">
        <f t="shared" ref="AU191:AU195" si="971">SUM(ET191:EV191)</f>
        <v>-2284043.4153058142</v>
      </c>
      <c r="AV191" s="22">
        <f t="shared" ref="AV191:AV195" si="972">SUM(EW191:EY191)</f>
        <v>-2093384.1402478842</v>
      </c>
      <c r="AW191" s="22">
        <f t="shared" ref="AW191:AW195" si="973">SUM(EZ191:FB191)</f>
        <v>-3449983.844833842</v>
      </c>
      <c r="AY191" s="49">
        <f t="shared" ref="AY191:CD191" si="974">AY54</f>
        <v>-10800</v>
      </c>
      <c r="AZ191" s="49">
        <f t="shared" si="974"/>
        <v>0</v>
      </c>
      <c r="BA191" s="49">
        <f t="shared" si="974"/>
        <v>-12000</v>
      </c>
      <c r="BB191" s="49">
        <f t="shared" si="974"/>
        <v>0</v>
      </c>
      <c r="BC191" s="49">
        <f t="shared" si="974"/>
        <v>0</v>
      </c>
      <c r="BD191" s="49">
        <f t="shared" si="974"/>
        <v>-18060</v>
      </c>
      <c r="BE191" s="49">
        <f t="shared" si="974"/>
        <v>0</v>
      </c>
      <c r="BF191" s="49">
        <f t="shared" si="974"/>
        <v>0</v>
      </c>
      <c r="BG191" s="49">
        <f t="shared" si="974"/>
        <v>-73800</v>
      </c>
      <c r="BH191" s="49">
        <f t="shared" si="974"/>
        <v>-13500</v>
      </c>
      <c r="BI191" s="49">
        <f t="shared" si="974"/>
        <v>-194203</v>
      </c>
      <c r="BJ191" s="49">
        <f t="shared" si="974"/>
        <v>-30200</v>
      </c>
      <c r="BK191" s="49">
        <f t="shared" si="974"/>
        <v>-32000</v>
      </c>
      <c r="BL191" s="49">
        <f t="shared" si="974"/>
        <v>-41125.46</v>
      </c>
      <c r="BM191" s="49">
        <f t="shared" si="974"/>
        <v>-241000</v>
      </c>
      <c r="BN191" s="49">
        <f t="shared" si="974"/>
        <v>-83088</v>
      </c>
      <c r="BO191" s="49">
        <f t="shared" si="974"/>
        <v>-60688</v>
      </c>
      <c r="BP191" s="49">
        <f t="shared" si="974"/>
        <v>-18000</v>
      </c>
      <c r="BQ191" s="49">
        <f t="shared" si="974"/>
        <v>-12924</v>
      </c>
      <c r="BR191" s="49">
        <f t="shared" si="974"/>
        <v>-137764</v>
      </c>
      <c r="BS191" s="49">
        <f t="shared" si="974"/>
        <v>-117000</v>
      </c>
      <c r="BT191" s="49">
        <f t="shared" si="974"/>
        <v>-83499</v>
      </c>
      <c r="BU191" s="49">
        <f t="shared" si="974"/>
        <v>-82050</v>
      </c>
      <c r="BV191" s="49">
        <f t="shared" si="974"/>
        <v>-20339</v>
      </c>
      <c r="BW191" s="49">
        <f t="shared" si="974"/>
        <v>-32580</v>
      </c>
      <c r="BX191" s="49">
        <f t="shared" si="974"/>
        <v>-27920</v>
      </c>
      <c r="BY191" s="49">
        <f t="shared" si="974"/>
        <v>-109549.99</v>
      </c>
      <c r="BZ191" s="49">
        <f t="shared" si="974"/>
        <v>-98508</v>
      </c>
      <c r="CA191" s="49">
        <f t="shared" si="974"/>
        <v>-34988</v>
      </c>
      <c r="CB191" s="49">
        <f t="shared" si="974"/>
        <v>-71612.94</v>
      </c>
      <c r="CC191" s="49">
        <f t="shared" si="974"/>
        <v>-308500</v>
      </c>
      <c r="CD191" s="49">
        <f t="shared" si="974"/>
        <v>-92300</v>
      </c>
      <c r="CE191" s="49">
        <f t="shared" ref="CE191:DJ191" si="975">CE54</f>
        <v>-51500</v>
      </c>
      <c r="CF191" s="49">
        <f t="shared" si="975"/>
        <v>-85088</v>
      </c>
      <c r="CG191" s="49">
        <f t="shared" si="975"/>
        <v>-49730</v>
      </c>
      <c r="CH191" s="49">
        <f t="shared" si="975"/>
        <v>-114466.67</v>
      </c>
      <c r="CI191" s="49">
        <f t="shared" si="975"/>
        <v>-135671.43</v>
      </c>
      <c r="CJ191" s="49">
        <f t="shared" si="975"/>
        <v>-70200.009999999995</v>
      </c>
      <c r="CK191" s="49">
        <f t="shared" si="975"/>
        <v>-124467</v>
      </c>
      <c r="CL191" s="49">
        <f t="shared" si="975"/>
        <v>-196750</v>
      </c>
      <c r="CM191" s="49">
        <f t="shared" si="975"/>
        <v>-95000</v>
      </c>
      <c r="CN191" s="49">
        <f t="shared" si="975"/>
        <v>-14440</v>
      </c>
      <c r="CO191" s="49">
        <f t="shared" si="975"/>
        <v>-52882.062376093971</v>
      </c>
      <c r="CP191" s="49">
        <f t="shared" si="975"/>
        <v>-100292.74384232562</v>
      </c>
      <c r="CQ191" s="49">
        <f t="shared" si="975"/>
        <v>-188680.920398299</v>
      </c>
      <c r="CR191" s="49">
        <f t="shared" si="975"/>
        <v>-42464.979989193263</v>
      </c>
      <c r="CS191" s="49">
        <f t="shared" si="975"/>
        <v>-198843.4704449657</v>
      </c>
      <c r="CT191" s="49">
        <f t="shared" si="975"/>
        <v>-230687.22124536958</v>
      </c>
      <c r="CU191" s="49">
        <f t="shared" si="975"/>
        <v>-110325.10914072608</v>
      </c>
      <c r="CV191" s="49">
        <f t="shared" si="975"/>
        <v>-139536.91122743947</v>
      </c>
      <c r="CW191" s="49">
        <f t="shared" si="975"/>
        <v>-259850.93804007446</v>
      </c>
      <c r="CX191" s="49">
        <f t="shared" si="975"/>
        <v>-172298.07707999577</v>
      </c>
      <c r="CY191" s="49">
        <f t="shared" si="975"/>
        <v>-141158.99061651115</v>
      </c>
      <c r="CZ191" s="49">
        <f t="shared" si="975"/>
        <v>-260666.90810966337</v>
      </c>
      <c r="DA191" s="49">
        <f t="shared" si="975"/>
        <v>-173774.70385263133</v>
      </c>
      <c r="DB191" s="49">
        <f t="shared" si="975"/>
        <v>-136316.50185522571</v>
      </c>
      <c r="DC191" s="49">
        <f t="shared" si="975"/>
        <v>-216108.08517899225</v>
      </c>
      <c r="DD191" s="49">
        <f t="shared" si="975"/>
        <v>-170836.16469320538</v>
      </c>
      <c r="DE191" s="49">
        <f t="shared" si="975"/>
        <v>-359057.65695564693</v>
      </c>
      <c r="DF191" s="49">
        <f t="shared" si="975"/>
        <v>-337304.42344136263</v>
      </c>
      <c r="DG191" s="49">
        <f t="shared" si="975"/>
        <v>-162964.73651377694</v>
      </c>
      <c r="DH191" s="49">
        <f t="shared" si="975"/>
        <v>-206114.42081711686</v>
      </c>
      <c r="DI191" s="49">
        <f t="shared" si="975"/>
        <v>-383834.10612848832</v>
      </c>
      <c r="DJ191" s="49">
        <f t="shared" si="975"/>
        <v>-254506.98351321073</v>
      </c>
      <c r="DK191" s="49">
        <f t="shared" ref="DK191:EP191" si="976">DK54</f>
        <v>-208510.44600397898</v>
      </c>
      <c r="DL191" s="49">
        <f t="shared" si="976"/>
        <v>-385039.40153611923</v>
      </c>
      <c r="DM191" s="49">
        <f t="shared" si="976"/>
        <v>-256688.15600246511</v>
      </c>
      <c r="DN191" s="49">
        <f t="shared" si="976"/>
        <v>-201357.45144815947</v>
      </c>
      <c r="DO191" s="49">
        <f t="shared" si="976"/>
        <v>-319220.14339245961</v>
      </c>
      <c r="DP191" s="49">
        <f t="shared" si="976"/>
        <v>-252347.54611246783</v>
      </c>
      <c r="DQ191" s="49">
        <f t="shared" si="976"/>
        <v>-530375.51392216119</v>
      </c>
      <c r="DR191" s="49">
        <f t="shared" si="976"/>
        <v>-498243.11907942285</v>
      </c>
      <c r="DS191" s="49">
        <f t="shared" si="976"/>
        <v>-232813.92490535713</v>
      </c>
      <c r="DT191" s="49">
        <f t="shared" si="976"/>
        <v>-294458.22646404663</v>
      </c>
      <c r="DU191" s="49">
        <f t="shared" si="976"/>
        <v>-548351.29778372729</v>
      </c>
      <c r="DV191" s="49">
        <f t="shared" si="976"/>
        <v>-363592.58459896565</v>
      </c>
      <c r="DW191" s="49">
        <f t="shared" si="976"/>
        <v>-297881.22483693878</v>
      </c>
      <c r="DX191" s="49">
        <f t="shared" si="976"/>
        <v>-550073.20131036662</v>
      </c>
      <c r="DY191" s="49">
        <f t="shared" si="976"/>
        <v>-366708.64110899461</v>
      </c>
      <c r="DZ191" s="49">
        <f t="shared" si="976"/>
        <v>-287662.3469803406</v>
      </c>
      <c r="EA191" s="49">
        <f t="shared" si="976"/>
        <v>-456042.79847233417</v>
      </c>
      <c r="EB191" s="49">
        <f t="shared" si="976"/>
        <v>-360507.57917012629</v>
      </c>
      <c r="EC191" s="49">
        <f t="shared" si="976"/>
        <v>-757702.60309950798</v>
      </c>
      <c r="ED191" s="49">
        <f t="shared" si="976"/>
        <v>-711797.77043459495</v>
      </c>
      <c r="EE191" s="49">
        <f t="shared" si="976"/>
        <v>-323596.99301964534</v>
      </c>
      <c r="EF191" s="49">
        <f t="shared" si="976"/>
        <v>-409278.76926776848</v>
      </c>
      <c r="EG191" s="49">
        <f t="shared" si="976"/>
        <v>-762174.47540291504</v>
      </c>
      <c r="EH191" s="49">
        <f t="shared" si="976"/>
        <v>-505371.2620853589</v>
      </c>
      <c r="EI191" s="49">
        <f t="shared" si="976"/>
        <v>-414036.52583679382</v>
      </c>
      <c r="EJ191" s="49">
        <f t="shared" si="976"/>
        <v>-764567.81507843896</v>
      </c>
      <c r="EK191" s="49">
        <f t="shared" si="976"/>
        <v>-509702.38840065361</v>
      </c>
      <c r="EL191" s="49">
        <f t="shared" si="976"/>
        <v>-399832.91603220644</v>
      </c>
      <c r="EM191" s="49">
        <f t="shared" si="976"/>
        <v>-633871.3559934306</v>
      </c>
      <c r="EN191" s="49">
        <f t="shared" si="976"/>
        <v>-501083.29485733539</v>
      </c>
      <c r="EO191" s="49">
        <f t="shared" si="976"/>
        <v>-1053159.8746330687</v>
      </c>
      <c r="EP191" s="49">
        <f t="shared" si="976"/>
        <v>-989354.98915865168</v>
      </c>
      <c r="EQ191" s="49">
        <f t="shared" ref="EQ191:FB191" si="977">EQ54</f>
        <v>-438907.53512242105</v>
      </c>
      <c r="ER191" s="49">
        <f t="shared" si="977"/>
        <v>-555121.15276778489</v>
      </c>
      <c r="ES191" s="49">
        <f t="shared" si="977"/>
        <v>-1033767.7034965808</v>
      </c>
      <c r="ET191" s="49">
        <f t="shared" si="977"/>
        <v>-685455.24139071943</v>
      </c>
      <c r="EU191" s="49">
        <f t="shared" si="977"/>
        <v>-561574.28815985785</v>
      </c>
      <c r="EV191" s="49">
        <f t="shared" si="977"/>
        <v>-1037013.8857552371</v>
      </c>
      <c r="EW191" s="49">
        <f t="shared" si="977"/>
        <v>-691329.72111814527</v>
      </c>
      <c r="EX191" s="49">
        <f t="shared" si="977"/>
        <v>-542309.36449354421</v>
      </c>
      <c r="EY191" s="49">
        <f t="shared" si="977"/>
        <v>-859745.05463619484</v>
      </c>
      <c r="EZ191" s="49">
        <f t="shared" si="977"/>
        <v>-679639.30005833728</v>
      </c>
      <c r="FA191" s="49">
        <f t="shared" si="977"/>
        <v>-1428442.8305456347</v>
      </c>
      <c r="FB191" s="49">
        <f t="shared" si="977"/>
        <v>-1341901.7142298701</v>
      </c>
    </row>
    <row r="192" spans="3:158" x14ac:dyDescent="0.25">
      <c r="C192" s="2" t="s">
        <v>346</v>
      </c>
      <c r="D192" s="244">
        <f t="shared" si="769"/>
        <v>-334934.84999999998</v>
      </c>
      <c r="E192" s="244">
        <f t="shared" si="769"/>
        <v>-883003.58700000006</v>
      </c>
      <c r="F192" s="244">
        <f t="shared" si="769"/>
        <v>-1022906.4199999999</v>
      </c>
      <c r="G192" s="244">
        <f t="shared" si="769"/>
        <v>-1377218.2322977274</v>
      </c>
      <c r="H192" s="244">
        <f t="shared" si="769"/>
        <v>-2265003.6049651401</v>
      </c>
      <c r="I192" s="244">
        <f t="shared" si="769"/>
        <v>-3200004.9930695505</v>
      </c>
      <c r="J192" s="244">
        <f t="shared" si="769"/>
        <v>-3987299.0187694207</v>
      </c>
      <c r="K192" s="244">
        <f t="shared" si="769"/>
        <v>-4928967.1325909002</v>
      </c>
      <c r="L192" s="244">
        <f t="shared" si="769"/>
        <v>-6172629.1800705539</v>
      </c>
      <c r="N192" s="244">
        <f t="shared" si="938"/>
        <v>-21660</v>
      </c>
      <c r="O192" s="244">
        <f t="shared" si="939"/>
        <v>-17157</v>
      </c>
      <c r="P192" s="244">
        <f t="shared" si="940"/>
        <v>-70110</v>
      </c>
      <c r="Q192" s="244">
        <f t="shared" si="941"/>
        <v>-226007.85</v>
      </c>
      <c r="R192" s="244">
        <f t="shared" si="942"/>
        <v>-298419.18700000003</v>
      </c>
      <c r="S192" s="244">
        <f t="shared" si="943"/>
        <v>-153687.19999999998</v>
      </c>
      <c r="T192" s="244">
        <f t="shared" si="944"/>
        <v>-254303.59999999998</v>
      </c>
      <c r="U192" s="244">
        <f t="shared" si="945"/>
        <v>-176593.59999999998</v>
      </c>
      <c r="V192" s="244">
        <f t="shared" si="946"/>
        <v>-161547.49050000001</v>
      </c>
      <c r="W192" s="244">
        <f t="shared" si="947"/>
        <v>-194853.49299999999</v>
      </c>
      <c r="X192" s="244">
        <f t="shared" si="948"/>
        <v>-429685</v>
      </c>
      <c r="Y192" s="244">
        <f t="shared" si="949"/>
        <v>-236820.43649999998</v>
      </c>
      <c r="Z192" s="244">
        <f t="shared" si="950"/>
        <v>-313675.15624818241</v>
      </c>
      <c r="AA192" s="244">
        <f t="shared" si="951"/>
        <v>-290744.83760240249</v>
      </c>
      <c r="AB192" s="244">
        <f t="shared" si="952"/>
        <v>-324611.47561523615</v>
      </c>
      <c r="AC192" s="244">
        <f t="shared" si="953"/>
        <v>-448186.76283190638</v>
      </c>
      <c r="AD192" s="244">
        <f t="shared" si="954"/>
        <v>-466044.57599157922</v>
      </c>
      <c r="AE192" s="244">
        <f t="shared" si="955"/>
        <v>-524937.34062944085</v>
      </c>
      <c r="AF192" s="244">
        <f t="shared" si="956"/>
        <v>-481118.48318366572</v>
      </c>
      <c r="AG192" s="244">
        <f t="shared" si="957"/>
        <v>-792903.20516045438</v>
      </c>
      <c r="AH192" s="244">
        <f t="shared" si="958"/>
        <v>-658429.40245076909</v>
      </c>
      <c r="AI192" s="244">
        <f t="shared" si="959"/>
        <v>-741633.30573980068</v>
      </c>
      <c r="AJ192" s="244">
        <f t="shared" si="960"/>
        <v>-679725.87110715616</v>
      </c>
      <c r="AK192" s="244">
        <f t="shared" si="961"/>
        <v>-1120216.4137718247</v>
      </c>
      <c r="AL192" s="244">
        <f t="shared" si="962"/>
        <v>-820422.12934254226</v>
      </c>
      <c r="AM192" s="244">
        <f t="shared" si="963"/>
        <v>-924096.6056826266</v>
      </c>
      <c r="AN192" s="244">
        <f t="shared" si="964"/>
        <v>-846958.14686775627</v>
      </c>
      <c r="AO192" s="244">
        <f t="shared" si="965"/>
        <v>-1395822.1368764956</v>
      </c>
      <c r="AP192" s="244">
        <f t="shared" si="966"/>
        <v>-1014178.6937332975</v>
      </c>
      <c r="AQ192" s="244">
        <f t="shared" si="967"/>
        <v>-1142337.6514546471</v>
      </c>
      <c r="AR192" s="244">
        <f t="shared" si="968"/>
        <v>-1046981.6406896064</v>
      </c>
      <c r="AS192" s="244">
        <f t="shared" si="969"/>
        <v>-1725469.1467133481</v>
      </c>
      <c r="AT192" s="244">
        <f t="shared" si="970"/>
        <v>-1270073.1878188357</v>
      </c>
      <c r="AU192" s="244">
        <f t="shared" si="971"/>
        <v>-1430568.8253100119</v>
      </c>
      <c r="AV192" s="244">
        <f t="shared" si="972"/>
        <v>-1311152.8749273163</v>
      </c>
      <c r="AW192" s="244">
        <f t="shared" si="973"/>
        <v>-2160834.2920143898</v>
      </c>
      <c r="AY192" s="20">
        <f t="shared" ref="AY192:CD192" si="978">AY$191*AY168</f>
        <v>-10260</v>
      </c>
      <c r="AZ192" s="20">
        <f t="shared" si="978"/>
        <v>0</v>
      </c>
      <c r="BA192" s="20">
        <f t="shared" si="978"/>
        <v>-11400</v>
      </c>
      <c r="BB192" s="20">
        <f t="shared" si="978"/>
        <v>0</v>
      </c>
      <c r="BC192" s="20">
        <f t="shared" si="978"/>
        <v>0</v>
      </c>
      <c r="BD192" s="20">
        <f t="shared" si="978"/>
        <v>-17157</v>
      </c>
      <c r="BE192" s="20">
        <f t="shared" si="978"/>
        <v>0</v>
      </c>
      <c r="BF192" s="20">
        <f t="shared" si="978"/>
        <v>0</v>
      </c>
      <c r="BG192" s="20">
        <f t="shared" si="978"/>
        <v>-70110</v>
      </c>
      <c r="BH192" s="20">
        <f t="shared" si="978"/>
        <v>-12825</v>
      </c>
      <c r="BI192" s="20">
        <f t="shared" si="978"/>
        <v>-184492.85</v>
      </c>
      <c r="BJ192" s="20">
        <f t="shared" si="978"/>
        <v>-28690</v>
      </c>
      <c r="BK192" s="20">
        <f t="shared" si="978"/>
        <v>-30400</v>
      </c>
      <c r="BL192" s="20">
        <f t="shared" si="978"/>
        <v>-39069.186999999998</v>
      </c>
      <c r="BM192" s="20">
        <f t="shared" si="978"/>
        <v>-228950</v>
      </c>
      <c r="BN192" s="20">
        <f t="shared" si="978"/>
        <v>-78933.599999999991</v>
      </c>
      <c r="BO192" s="20">
        <f t="shared" si="978"/>
        <v>-57653.599999999999</v>
      </c>
      <c r="BP192" s="20">
        <f t="shared" si="978"/>
        <v>-17100</v>
      </c>
      <c r="BQ192" s="20">
        <f t="shared" si="978"/>
        <v>-12277.8</v>
      </c>
      <c r="BR192" s="20">
        <f t="shared" si="978"/>
        <v>-130875.79999999999</v>
      </c>
      <c r="BS192" s="20">
        <f t="shared" si="978"/>
        <v>-111150</v>
      </c>
      <c r="BT192" s="20">
        <f t="shared" si="978"/>
        <v>-79324.05</v>
      </c>
      <c r="BU192" s="20">
        <f t="shared" si="978"/>
        <v>-77947.5</v>
      </c>
      <c r="BV192" s="20">
        <f t="shared" si="978"/>
        <v>-19322.05</v>
      </c>
      <c r="BW192" s="20">
        <f t="shared" si="978"/>
        <v>-30951</v>
      </c>
      <c r="BX192" s="20">
        <f t="shared" si="978"/>
        <v>-26524</v>
      </c>
      <c r="BY192" s="20">
        <f t="shared" si="978"/>
        <v>-104072.4905</v>
      </c>
      <c r="BZ192" s="20">
        <f t="shared" si="978"/>
        <v>-93582.599999999991</v>
      </c>
      <c r="CA192" s="20">
        <f t="shared" si="978"/>
        <v>-33238.6</v>
      </c>
      <c r="CB192" s="20">
        <f t="shared" si="978"/>
        <v>-68032.293000000005</v>
      </c>
      <c r="CC192" s="20">
        <f t="shared" si="978"/>
        <v>-293075</v>
      </c>
      <c r="CD192" s="20">
        <f t="shared" si="978"/>
        <v>-87685</v>
      </c>
      <c r="CE192" s="20">
        <f t="shared" ref="CE192:DJ192" si="979">CE$191*CE168</f>
        <v>-48925</v>
      </c>
      <c r="CF192" s="20">
        <f t="shared" si="979"/>
        <v>-80833.599999999991</v>
      </c>
      <c r="CG192" s="20">
        <f t="shared" si="979"/>
        <v>-47243.5</v>
      </c>
      <c r="CH192" s="20">
        <f t="shared" si="979"/>
        <v>-108743.33649999999</v>
      </c>
      <c r="CI192" s="20">
        <f t="shared" si="979"/>
        <v>-128827.74709375131</v>
      </c>
      <c r="CJ192" s="20">
        <f t="shared" si="979"/>
        <v>-66658.906258000032</v>
      </c>
      <c r="CK192" s="20">
        <f t="shared" si="979"/>
        <v>-118188.50289643108</v>
      </c>
      <c r="CL192" s="20">
        <f t="shared" si="979"/>
        <v>-186825.32675225413</v>
      </c>
      <c r="CM192" s="20">
        <f t="shared" si="979"/>
        <v>-90207.90872408713</v>
      </c>
      <c r="CN192" s="20">
        <f t="shared" si="979"/>
        <v>-13711.602126061243</v>
      </c>
      <c r="CO192" s="20">
        <f t="shared" si="979"/>
        <v>-50214.529010149126</v>
      </c>
      <c r="CP192" s="20">
        <f t="shared" si="979"/>
        <v>-95233.670339123797</v>
      </c>
      <c r="CQ192" s="20">
        <f t="shared" si="979"/>
        <v>-179163.27626596321</v>
      </c>
      <c r="CR192" s="20">
        <f t="shared" si="979"/>
        <v>-40322.916198266656</v>
      </c>
      <c r="CS192" s="20">
        <f t="shared" si="979"/>
        <v>-188813.19612926507</v>
      </c>
      <c r="CT192" s="20">
        <f t="shared" si="979"/>
        <v>-219050.65050437464</v>
      </c>
      <c r="CU192" s="20">
        <f t="shared" si="979"/>
        <v>-100873.28144703333</v>
      </c>
      <c r="CV192" s="20">
        <f t="shared" si="979"/>
        <v>-127582.4354775034</v>
      </c>
      <c r="CW192" s="20">
        <f t="shared" si="979"/>
        <v>-237588.85906704247</v>
      </c>
      <c r="CX192" s="20">
        <f t="shared" si="979"/>
        <v>-157536.87041363819</v>
      </c>
      <c r="CY192" s="20">
        <f t="shared" si="979"/>
        <v>-129065.54727333717</v>
      </c>
      <c r="CZ192" s="20">
        <f t="shared" si="979"/>
        <v>-238334.92294246549</v>
      </c>
      <c r="DA192" s="20">
        <f t="shared" si="979"/>
        <v>-158886.99088202853</v>
      </c>
      <c r="DB192" s="20">
        <f t="shared" si="979"/>
        <v>-124637.92662083312</v>
      </c>
      <c r="DC192" s="20">
        <f t="shared" si="979"/>
        <v>-197593.56568080408</v>
      </c>
      <c r="DD192" s="20">
        <f t="shared" si="979"/>
        <v>-156200.20371290095</v>
      </c>
      <c r="DE192" s="20">
        <f t="shared" si="979"/>
        <v>-328296.29055339948</v>
      </c>
      <c r="DF192" s="20">
        <f t="shared" si="979"/>
        <v>-308406.71089415386</v>
      </c>
      <c r="DG192" s="20">
        <f t="shared" si="979"/>
        <v>-142514.1238584407</v>
      </c>
      <c r="DH192" s="20">
        <f t="shared" si="979"/>
        <v>-180248.90982999923</v>
      </c>
      <c r="DI192" s="20">
        <f t="shared" si="979"/>
        <v>-335666.36876232916</v>
      </c>
      <c r="DJ192" s="20">
        <f t="shared" si="979"/>
        <v>-222568.63998410801</v>
      </c>
      <c r="DK192" s="20">
        <f t="shared" ref="DK192:EP192" si="980">DK$191*DK168</f>
        <v>-182344.25534801284</v>
      </c>
      <c r="DL192" s="20">
        <f t="shared" si="980"/>
        <v>-336720.41040767985</v>
      </c>
      <c r="DM192" s="20">
        <f t="shared" si="980"/>
        <v>-224476.09489085677</v>
      </c>
      <c r="DN192" s="20">
        <f t="shared" si="980"/>
        <v>-176088.89744731365</v>
      </c>
      <c r="DO192" s="20">
        <f t="shared" si="980"/>
        <v>-279160.87876898574</v>
      </c>
      <c r="DP192" s="20">
        <f t="shared" si="980"/>
        <v>-220680.19260722407</v>
      </c>
      <c r="DQ192" s="20">
        <f t="shared" si="980"/>
        <v>-463818.14433944749</v>
      </c>
      <c r="DR192" s="20">
        <f t="shared" si="980"/>
        <v>-435718.07682515308</v>
      </c>
      <c r="DS192" s="20">
        <f t="shared" si="980"/>
        <v>-177576.73111517981</v>
      </c>
      <c r="DT192" s="20">
        <f t="shared" si="980"/>
        <v>-224595.36871222407</v>
      </c>
      <c r="DU192" s="20">
        <f t="shared" si="980"/>
        <v>-418250.02951513836</v>
      </c>
      <c r="DV192" s="20">
        <f t="shared" si="980"/>
        <v>-277326.97972018132</v>
      </c>
      <c r="DW192" s="20">
        <f t="shared" si="980"/>
        <v>-227206.22999089485</v>
      </c>
      <c r="DX192" s="20">
        <f t="shared" si="980"/>
        <v>-419563.39597155037</v>
      </c>
      <c r="DY192" s="20">
        <f t="shared" si="980"/>
        <v>-279703.7238485493</v>
      </c>
      <c r="DZ192" s="20">
        <f t="shared" si="980"/>
        <v>-219411.87264660079</v>
      </c>
      <c r="EA192" s="20">
        <f t="shared" si="980"/>
        <v>-347842.55037260609</v>
      </c>
      <c r="EB192" s="20">
        <f t="shared" si="980"/>
        <v>-274973.91952522699</v>
      </c>
      <c r="EC192" s="20">
        <f t="shared" si="980"/>
        <v>-577930.85817598819</v>
      </c>
      <c r="ED192" s="20">
        <f t="shared" si="980"/>
        <v>-542917.35917528044</v>
      </c>
      <c r="EE192" s="20">
        <f t="shared" si="980"/>
        <v>-219514.48011786758</v>
      </c>
      <c r="EF192" s="20">
        <f t="shared" si="980"/>
        <v>-277637.36436710524</v>
      </c>
      <c r="EG192" s="20">
        <f t="shared" si="980"/>
        <v>-517026.8492483247</v>
      </c>
      <c r="EH192" s="20">
        <f t="shared" si="980"/>
        <v>-342822.43734089122</v>
      </c>
      <c r="EI192" s="20">
        <f t="shared" si="980"/>
        <v>-280864.82470297295</v>
      </c>
      <c r="EJ192" s="20">
        <f t="shared" si="980"/>
        <v>-518650.3894107829</v>
      </c>
      <c r="EK192" s="20">
        <f t="shared" si="980"/>
        <v>-345760.48980100482</v>
      </c>
      <c r="EL192" s="20">
        <f t="shared" si="980"/>
        <v>-271229.69801976002</v>
      </c>
      <c r="EM192" s="20">
        <f t="shared" si="980"/>
        <v>-429991.45286884159</v>
      </c>
      <c r="EN192" s="20">
        <f t="shared" si="980"/>
        <v>-339913.66217571252</v>
      </c>
      <c r="EO192" s="20">
        <f t="shared" si="980"/>
        <v>-714419.00681395293</v>
      </c>
      <c r="EP192" s="20">
        <f t="shared" si="980"/>
        <v>-671136.47772368288</v>
      </c>
      <c r="EQ192" s="20">
        <f t="shared" ref="EQ192:FB192" si="981">EQ$191*EQ168</f>
        <v>-274901.7084054533</v>
      </c>
      <c r="ER192" s="20">
        <f t="shared" si="981"/>
        <v>-347689.9826413418</v>
      </c>
      <c r="ES192" s="20">
        <f t="shared" si="981"/>
        <v>-647481.49677204061</v>
      </c>
      <c r="ET192" s="20">
        <f t="shared" si="981"/>
        <v>-429322.35565566918</v>
      </c>
      <c r="EU192" s="20">
        <f t="shared" si="981"/>
        <v>-351731.78598690924</v>
      </c>
      <c r="EV192" s="20">
        <f t="shared" si="981"/>
        <v>-649514.68366743345</v>
      </c>
      <c r="EW192" s="20">
        <f t="shared" si="981"/>
        <v>-433001.72860745079</v>
      </c>
      <c r="EX192" s="20">
        <f t="shared" si="981"/>
        <v>-339665.55334250245</v>
      </c>
      <c r="EY192" s="20">
        <f t="shared" si="981"/>
        <v>-538485.59297736315</v>
      </c>
      <c r="EZ192" s="20">
        <f t="shared" si="981"/>
        <v>-425679.6471571427</v>
      </c>
      <c r="FA192" s="20">
        <f t="shared" si="981"/>
        <v>-894679.04525035981</v>
      </c>
      <c r="FB192" s="20">
        <f t="shared" si="981"/>
        <v>-840475.59960688709</v>
      </c>
    </row>
    <row r="193" spans="3:158" x14ac:dyDescent="0.25">
      <c r="C193" s="2" t="s">
        <v>298</v>
      </c>
      <c r="D193" s="244">
        <f t="shared" si="769"/>
        <v>-7051.26</v>
      </c>
      <c r="E193" s="244">
        <f t="shared" si="769"/>
        <v>-18589.549200000001</v>
      </c>
      <c r="F193" s="244">
        <f t="shared" si="769"/>
        <v>-21534.871999999996</v>
      </c>
      <c r="G193" s="244">
        <f t="shared" si="769"/>
        <v>-29264.642399407923</v>
      </c>
      <c r="H193" s="244">
        <f t="shared" si="769"/>
        <v>-61223.628964081305</v>
      </c>
      <c r="I193" s="244">
        <f t="shared" si="769"/>
        <v>-119581.74318286855</v>
      </c>
      <c r="J193" s="244">
        <f t="shared" si="769"/>
        <v>-349690.73696863791</v>
      </c>
      <c r="K193" s="244">
        <f t="shared" si="769"/>
        <v>-634605.30957596726</v>
      </c>
      <c r="L193" s="244">
        <f t="shared" si="769"/>
        <v>-984969.64914397057</v>
      </c>
      <c r="N193" s="244">
        <f t="shared" si="938"/>
        <v>-456</v>
      </c>
      <c r="O193" s="244">
        <f t="shared" si="939"/>
        <v>-361.2</v>
      </c>
      <c r="P193" s="244">
        <f t="shared" si="940"/>
        <v>-1476</v>
      </c>
      <c r="Q193" s="244">
        <f t="shared" si="941"/>
        <v>-4758.0599999999995</v>
      </c>
      <c r="R193" s="244">
        <f t="shared" si="942"/>
        <v>-6282.5092000000004</v>
      </c>
      <c r="S193" s="244">
        <f t="shared" si="943"/>
        <v>-3235.52</v>
      </c>
      <c r="T193" s="244">
        <f t="shared" si="944"/>
        <v>-5353.76</v>
      </c>
      <c r="U193" s="244">
        <f t="shared" si="945"/>
        <v>-3717.76</v>
      </c>
      <c r="V193" s="244">
        <f t="shared" si="946"/>
        <v>-3400.9998000000001</v>
      </c>
      <c r="W193" s="244">
        <f t="shared" si="947"/>
        <v>-4102.1787999999997</v>
      </c>
      <c r="X193" s="244">
        <f t="shared" si="948"/>
        <v>-9046</v>
      </c>
      <c r="Y193" s="244">
        <f t="shared" si="949"/>
        <v>-4985.6934000000001</v>
      </c>
      <c r="Z193" s="244">
        <f t="shared" si="950"/>
        <v>-6665.3135007270357</v>
      </c>
      <c r="AA193" s="244">
        <f t="shared" si="951"/>
        <v>-6178.0649590390121</v>
      </c>
      <c r="AB193" s="244">
        <f t="shared" si="952"/>
        <v>-6897.7004005929939</v>
      </c>
      <c r="AC193" s="244">
        <f t="shared" si="953"/>
        <v>-9523.5635390488824</v>
      </c>
      <c r="AD193" s="244">
        <f t="shared" si="954"/>
        <v>-12597.304542334354</v>
      </c>
      <c r="AE193" s="244">
        <f t="shared" si="955"/>
        <v>-14189.191090750199</v>
      </c>
      <c r="AF193" s="244">
        <f t="shared" si="956"/>
        <v>-13004.756123843646</v>
      </c>
      <c r="AG193" s="244">
        <f t="shared" si="957"/>
        <v>-21432.377207153109</v>
      </c>
      <c r="AH193" s="244">
        <f t="shared" si="958"/>
        <v>-24605.004016694103</v>
      </c>
      <c r="AI193" s="244">
        <f t="shared" si="959"/>
        <v>-27714.270351112278</v>
      </c>
      <c r="AJ193" s="244">
        <f t="shared" si="960"/>
        <v>-25400.83678916964</v>
      </c>
      <c r="AK193" s="244">
        <f t="shared" si="961"/>
        <v>-41861.632025892555</v>
      </c>
      <c r="AL193" s="244">
        <f t="shared" si="962"/>
        <v>-71951.969913637266</v>
      </c>
      <c r="AM193" s="244">
        <f t="shared" si="963"/>
        <v>-81044.341432688918</v>
      </c>
      <c r="AN193" s="244">
        <f t="shared" si="964"/>
        <v>-74279.209350891353</v>
      </c>
      <c r="AO193" s="244">
        <f t="shared" si="965"/>
        <v>-122415.21627142033</v>
      </c>
      <c r="AP193" s="244">
        <f t="shared" si="966"/>
        <v>-130575.66962587167</v>
      </c>
      <c r="AQ193" s="244">
        <f t="shared" si="967"/>
        <v>-147076.15600605559</v>
      </c>
      <c r="AR193" s="244">
        <f t="shared" si="968"/>
        <v>-134799.05431240541</v>
      </c>
      <c r="AS193" s="244">
        <f t="shared" si="969"/>
        <v>-222154.4296316345</v>
      </c>
      <c r="AT193" s="244">
        <f t="shared" si="970"/>
        <v>-202666.23924730631</v>
      </c>
      <c r="AU193" s="244">
        <f t="shared" si="971"/>
        <v>-228276.6116084425</v>
      </c>
      <c r="AV193" s="244">
        <f t="shared" si="972"/>
        <v>-209221.34628805058</v>
      </c>
      <c r="AW193" s="244">
        <f t="shared" si="973"/>
        <v>-344805.45200017118</v>
      </c>
      <c r="AY193" s="20">
        <f t="shared" ref="AY193:CD193" si="982">AY$191*AY169</f>
        <v>-216</v>
      </c>
      <c r="AZ193" s="20">
        <f t="shared" si="982"/>
        <v>0</v>
      </c>
      <c r="BA193" s="20">
        <f t="shared" si="982"/>
        <v>-240</v>
      </c>
      <c r="BB193" s="20">
        <f t="shared" si="982"/>
        <v>0</v>
      </c>
      <c r="BC193" s="20">
        <f t="shared" si="982"/>
        <v>0</v>
      </c>
      <c r="BD193" s="20">
        <f t="shared" si="982"/>
        <v>-361.2</v>
      </c>
      <c r="BE193" s="20">
        <f t="shared" si="982"/>
        <v>0</v>
      </c>
      <c r="BF193" s="20">
        <f t="shared" si="982"/>
        <v>0</v>
      </c>
      <c r="BG193" s="20">
        <f t="shared" si="982"/>
        <v>-1476</v>
      </c>
      <c r="BH193" s="20">
        <f t="shared" si="982"/>
        <v>-270</v>
      </c>
      <c r="BI193" s="20">
        <f t="shared" si="982"/>
        <v>-3884.06</v>
      </c>
      <c r="BJ193" s="20">
        <f t="shared" si="982"/>
        <v>-604</v>
      </c>
      <c r="BK193" s="20">
        <f t="shared" si="982"/>
        <v>-640</v>
      </c>
      <c r="BL193" s="20">
        <f t="shared" si="982"/>
        <v>-822.50919999999996</v>
      </c>
      <c r="BM193" s="20">
        <f t="shared" si="982"/>
        <v>-4820</v>
      </c>
      <c r="BN193" s="20">
        <f t="shared" si="982"/>
        <v>-1661.76</v>
      </c>
      <c r="BO193" s="20">
        <f t="shared" si="982"/>
        <v>-1213.76</v>
      </c>
      <c r="BP193" s="20">
        <f t="shared" si="982"/>
        <v>-360</v>
      </c>
      <c r="BQ193" s="20">
        <f t="shared" si="982"/>
        <v>-258.48</v>
      </c>
      <c r="BR193" s="20">
        <f t="shared" si="982"/>
        <v>-2755.28</v>
      </c>
      <c r="BS193" s="20">
        <f t="shared" si="982"/>
        <v>-2340</v>
      </c>
      <c r="BT193" s="20">
        <f t="shared" si="982"/>
        <v>-1669.98</v>
      </c>
      <c r="BU193" s="20">
        <f t="shared" si="982"/>
        <v>-1641</v>
      </c>
      <c r="BV193" s="20">
        <f t="shared" si="982"/>
        <v>-406.78000000000003</v>
      </c>
      <c r="BW193" s="20">
        <f t="shared" si="982"/>
        <v>-651.6</v>
      </c>
      <c r="BX193" s="20">
        <f t="shared" si="982"/>
        <v>-558.4</v>
      </c>
      <c r="BY193" s="20">
        <f t="shared" si="982"/>
        <v>-2190.9998000000001</v>
      </c>
      <c r="BZ193" s="20">
        <f t="shared" si="982"/>
        <v>-1970.16</v>
      </c>
      <c r="CA193" s="20">
        <f t="shared" si="982"/>
        <v>-699.76</v>
      </c>
      <c r="CB193" s="20">
        <f t="shared" si="982"/>
        <v>-1432.2588000000001</v>
      </c>
      <c r="CC193" s="20">
        <f t="shared" si="982"/>
        <v>-6170</v>
      </c>
      <c r="CD193" s="20">
        <f t="shared" si="982"/>
        <v>-1846</v>
      </c>
      <c r="CE193" s="20">
        <f t="shared" ref="CE193:DJ193" si="983">CE$191*CE169</f>
        <v>-1030</v>
      </c>
      <c r="CF193" s="20">
        <f t="shared" si="983"/>
        <v>-1701.76</v>
      </c>
      <c r="CG193" s="20">
        <f t="shared" si="983"/>
        <v>-994.6</v>
      </c>
      <c r="CH193" s="20">
        <f t="shared" si="983"/>
        <v>-2289.3334</v>
      </c>
      <c r="CI193" s="20">
        <f t="shared" si="983"/>
        <v>-2737.4731624994743</v>
      </c>
      <c r="CJ193" s="20">
        <f t="shared" si="983"/>
        <v>-1416.4414967999874</v>
      </c>
      <c r="CK193" s="20">
        <f t="shared" si="983"/>
        <v>-2511.3988414275732</v>
      </c>
      <c r="CL193" s="20">
        <f t="shared" si="983"/>
        <v>-3969.8692990983554</v>
      </c>
      <c r="CM193" s="20">
        <f t="shared" si="983"/>
        <v>-1916.8365103651527</v>
      </c>
      <c r="CN193" s="20">
        <f t="shared" si="983"/>
        <v>-291.35914957550318</v>
      </c>
      <c r="CO193" s="20">
        <f t="shared" si="983"/>
        <v>-1067.01334637794</v>
      </c>
      <c r="CP193" s="20">
        <f t="shared" si="983"/>
        <v>-2023.6294012807325</v>
      </c>
      <c r="CQ193" s="20">
        <f t="shared" si="983"/>
        <v>-3807.057652934322</v>
      </c>
      <c r="CR193" s="20">
        <f t="shared" si="983"/>
        <v>-856.82551637064478</v>
      </c>
      <c r="CS193" s="20">
        <f t="shared" si="983"/>
        <v>-4012.1097262802568</v>
      </c>
      <c r="CT193" s="20">
        <f t="shared" si="983"/>
        <v>-4654.6282963979802</v>
      </c>
      <c r="CU193" s="20">
        <f t="shared" si="983"/>
        <v>-2726.6306959354997</v>
      </c>
      <c r="CV193" s="20">
        <f t="shared" si="983"/>
        <v>-3448.5859867444801</v>
      </c>
      <c r="CW193" s="20">
        <f t="shared" si="983"/>
        <v>-6422.0878596543726</v>
      </c>
      <c r="CX193" s="20">
        <f t="shared" si="983"/>
        <v>-4258.2620536339437</v>
      </c>
      <c r="CY193" s="20">
        <f t="shared" si="983"/>
        <v>-3488.6748793631637</v>
      </c>
      <c r="CZ193" s="20">
        <f t="shared" si="983"/>
        <v>-6442.2541577530928</v>
      </c>
      <c r="DA193" s="20">
        <f t="shared" si="983"/>
        <v>-4294.7561565273527</v>
      </c>
      <c r="DB193" s="20">
        <f t="shared" si="983"/>
        <v>-3368.9951563691761</v>
      </c>
      <c r="DC193" s="20">
        <f t="shared" si="983"/>
        <v>-5341.0048109471181</v>
      </c>
      <c r="DD193" s="20">
        <f t="shared" si="983"/>
        <v>-4222.1316095343464</v>
      </c>
      <c r="DE193" s="20">
        <f t="shared" si="983"/>
        <v>-8873.9330211507131</v>
      </c>
      <c r="DF193" s="20">
        <f t="shared" si="983"/>
        <v>-8336.3125764680499</v>
      </c>
      <c r="DG193" s="20">
        <f t="shared" si="983"/>
        <v>-5325.6439899564803</v>
      </c>
      <c r="DH193" s="20">
        <f t="shared" si="983"/>
        <v>-6735.7641287950719</v>
      </c>
      <c r="DI193" s="20">
        <f t="shared" si="983"/>
        <v>-12543.595897942554</v>
      </c>
      <c r="DJ193" s="20">
        <f t="shared" si="983"/>
        <v>-8317.2201308379244</v>
      </c>
      <c r="DK193" s="20">
        <f t="shared" ref="DK193:EP193" si="984">DK$191*DK169</f>
        <v>-6814.0655908731451</v>
      </c>
      <c r="DL193" s="20">
        <f t="shared" si="984"/>
        <v>-12582.98462940121</v>
      </c>
      <c r="DM193" s="20">
        <f t="shared" si="984"/>
        <v>-8388.5002642395084</v>
      </c>
      <c r="DN193" s="20">
        <f t="shared" si="984"/>
        <v>-6580.3076424891942</v>
      </c>
      <c r="DO193" s="20">
        <f t="shared" si="984"/>
        <v>-10432.028882440938</v>
      </c>
      <c r="DP193" s="20">
        <f t="shared" si="984"/>
        <v>-8246.6502943139258</v>
      </c>
      <c r="DQ193" s="20">
        <f t="shared" si="984"/>
        <v>-17332.529899196001</v>
      </c>
      <c r="DR193" s="20">
        <f t="shared" si="984"/>
        <v>-16282.451832382625</v>
      </c>
      <c r="DS193" s="20">
        <f t="shared" si="984"/>
        <v>-15573.684762502093</v>
      </c>
      <c r="DT193" s="20">
        <f t="shared" si="984"/>
        <v>-19697.273676996425</v>
      </c>
      <c r="DU193" s="20">
        <f t="shared" si="984"/>
        <v>-36681.011474138752</v>
      </c>
      <c r="DV193" s="20">
        <f t="shared" si="984"/>
        <v>-24321.896969133435</v>
      </c>
      <c r="DW193" s="20">
        <f t="shared" si="984"/>
        <v>-19926.249231717436</v>
      </c>
      <c r="DX193" s="20">
        <f t="shared" si="984"/>
        <v>-36796.19523183805</v>
      </c>
      <c r="DY193" s="20">
        <f t="shared" si="984"/>
        <v>-24530.340178915929</v>
      </c>
      <c r="DZ193" s="20">
        <f t="shared" si="984"/>
        <v>-19242.675075103445</v>
      </c>
      <c r="EA193" s="20">
        <f t="shared" si="984"/>
        <v>-30506.194096871986</v>
      </c>
      <c r="EB193" s="20">
        <f t="shared" si="984"/>
        <v>-24115.530867711954</v>
      </c>
      <c r="EC193" s="20">
        <f t="shared" si="984"/>
        <v>-50685.204887104461</v>
      </c>
      <c r="ED193" s="20">
        <f t="shared" si="984"/>
        <v>-47614.480516603915</v>
      </c>
      <c r="EE193" s="20">
        <f t="shared" si="984"/>
        <v>-28262.524554182102</v>
      </c>
      <c r="EF193" s="20">
        <f t="shared" si="984"/>
        <v>-35745.855231829977</v>
      </c>
      <c r="EG193" s="20">
        <f t="shared" si="984"/>
        <v>-66567.289839859586</v>
      </c>
      <c r="EH193" s="20">
        <f t="shared" si="984"/>
        <v>-44138.443841467779</v>
      </c>
      <c r="EI193" s="20">
        <f t="shared" si="984"/>
        <v>-36161.391268182262</v>
      </c>
      <c r="EJ193" s="20">
        <f t="shared" si="984"/>
        <v>-66776.320896405552</v>
      </c>
      <c r="EK193" s="20">
        <f t="shared" si="984"/>
        <v>-44516.71856735761</v>
      </c>
      <c r="EL193" s="20">
        <f t="shared" si="984"/>
        <v>-34920.867160976471</v>
      </c>
      <c r="EM193" s="20">
        <f t="shared" si="984"/>
        <v>-55361.468584071306</v>
      </c>
      <c r="EN193" s="20">
        <f t="shared" si="984"/>
        <v>-43763.938572000749</v>
      </c>
      <c r="EO193" s="20">
        <f t="shared" si="984"/>
        <v>-91981.561814109446</v>
      </c>
      <c r="EP193" s="20">
        <f t="shared" si="984"/>
        <v>-86408.929245524327</v>
      </c>
      <c r="EQ193" s="20">
        <f t="shared" ref="EQ193:FB193" si="985">EQ$191*EQ169</f>
        <v>-43866.208608711939</v>
      </c>
      <c r="ER193" s="20">
        <f t="shared" si="985"/>
        <v>-55481.071391559162</v>
      </c>
      <c r="ES193" s="20">
        <f t="shared" si="985"/>
        <v>-103318.95924703519</v>
      </c>
      <c r="ET193" s="20">
        <f t="shared" si="985"/>
        <v>-68507.191617007848</v>
      </c>
      <c r="EU193" s="20">
        <f t="shared" si="985"/>
        <v>-56126.024053877845</v>
      </c>
      <c r="EV193" s="20">
        <f t="shared" si="985"/>
        <v>-103643.39593755681</v>
      </c>
      <c r="EW193" s="20">
        <f t="shared" si="985"/>
        <v>-69094.311072860961</v>
      </c>
      <c r="EX193" s="20">
        <f t="shared" si="985"/>
        <v>-54200.609034193309</v>
      </c>
      <c r="EY193" s="20">
        <f t="shared" si="985"/>
        <v>-85926.426180996335</v>
      </c>
      <c r="EZ193" s="20">
        <f t="shared" si="985"/>
        <v>-67925.922727032768</v>
      </c>
      <c r="FA193" s="20">
        <f t="shared" si="985"/>
        <v>-142764.40064501605</v>
      </c>
      <c r="FB193" s="20">
        <f t="shared" si="985"/>
        <v>-134115.12862812239</v>
      </c>
    </row>
    <row r="194" spans="3:158" x14ac:dyDescent="0.25">
      <c r="C194" s="2" t="s">
        <v>299</v>
      </c>
      <c r="D194" s="244">
        <f t="shared" si="769"/>
        <v>-3525.63</v>
      </c>
      <c r="E194" s="244">
        <f t="shared" si="769"/>
        <v>-9294.7746000000006</v>
      </c>
      <c r="F194" s="244">
        <f t="shared" si="769"/>
        <v>-10767.435999999998</v>
      </c>
      <c r="G194" s="244">
        <f t="shared" si="769"/>
        <v>-14632.321199703962</v>
      </c>
      <c r="H194" s="244">
        <f t="shared" si="769"/>
        <v>-61507.112818028436</v>
      </c>
      <c r="I194" s="244">
        <f t="shared" si="769"/>
        <v>-184492.44684988115</v>
      </c>
      <c r="J194" s="244">
        <f t="shared" si="769"/>
        <v>-650222.58868664305</v>
      </c>
      <c r="K194" s="244">
        <f t="shared" si="769"/>
        <v>-1352755.5038663105</v>
      </c>
      <c r="L194" s="244">
        <f t="shared" si="769"/>
        <v>-2210256.593878204</v>
      </c>
      <c r="N194" s="244">
        <f t="shared" si="938"/>
        <v>-228</v>
      </c>
      <c r="O194" s="244">
        <f t="shared" si="939"/>
        <v>-180.6</v>
      </c>
      <c r="P194" s="244">
        <f t="shared" si="940"/>
        <v>-738</v>
      </c>
      <c r="Q194" s="244">
        <f t="shared" si="941"/>
        <v>-2379.0299999999997</v>
      </c>
      <c r="R194" s="244">
        <f t="shared" si="942"/>
        <v>-3141.2546000000002</v>
      </c>
      <c r="S194" s="244">
        <f t="shared" si="943"/>
        <v>-1617.76</v>
      </c>
      <c r="T194" s="244">
        <f t="shared" si="944"/>
        <v>-2676.88</v>
      </c>
      <c r="U194" s="244">
        <f t="shared" si="945"/>
        <v>-1858.88</v>
      </c>
      <c r="V194" s="244">
        <f t="shared" si="946"/>
        <v>-1700.4999</v>
      </c>
      <c r="W194" s="244">
        <f t="shared" si="947"/>
        <v>-2051.0893999999998</v>
      </c>
      <c r="X194" s="244">
        <f t="shared" si="948"/>
        <v>-4523</v>
      </c>
      <c r="Y194" s="244">
        <f t="shared" si="949"/>
        <v>-2492.8467000000001</v>
      </c>
      <c r="Z194" s="244">
        <f t="shared" si="950"/>
        <v>-3332.6567503635179</v>
      </c>
      <c r="AA194" s="244">
        <f t="shared" si="951"/>
        <v>-3089.0324795195061</v>
      </c>
      <c r="AB194" s="244">
        <f t="shared" si="952"/>
        <v>-3448.850200296497</v>
      </c>
      <c r="AC194" s="244">
        <f t="shared" si="953"/>
        <v>-4761.7817695244412</v>
      </c>
      <c r="AD194" s="244">
        <f t="shared" si="954"/>
        <v>-12655.633858995765</v>
      </c>
      <c r="AE194" s="244">
        <f t="shared" si="955"/>
        <v>-14254.891321900466</v>
      </c>
      <c r="AF194" s="244">
        <f t="shared" si="956"/>
        <v>-13064.972064126976</v>
      </c>
      <c r="AG194" s="244">
        <f t="shared" si="957"/>
        <v>-21531.615573005238</v>
      </c>
      <c r="AH194" s="244">
        <f t="shared" si="958"/>
        <v>-37960.95687323426</v>
      </c>
      <c r="AI194" s="244">
        <f t="shared" si="959"/>
        <v>-42757.978046169876</v>
      </c>
      <c r="AJ194" s="244">
        <f t="shared" si="960"/>
        <v>-39188.779211070614</v>
      </c>
      <c r="AK194" s="244">
        <f t="shared" si="961"/>
        <v>-64584.732719406391</v>
      </c>
      <c r="AL194" s="244">
        <f t="shared" si="962"/>
        <v>-133789.06328463764</v>
      </c>
      <c r="AM194" s="244">
        <f t="shared" si="963"/>
        <v>-150695.61733770854</v>
      </c>
      <c r="AN194" s="244">
        <f t="shared" si="964"/>
        <v>-138116.3830887099</v>
      </c>
      <c r="AO194" s="244">
        <f t="shared" si="965"/>
        <v>-227621.52497558686</v>
      </c>
      <c r="AP194" s="244">
        <f t="shared" si="966"/>
        <v>-278341.4400920358</v>
      </c>
      <c r="AQ194" s="244">
        <f t="shared" si="967"/>
        <v>-313514.67837171472</v>
      </c>
      <c r="AR194" s="244">
        <f t="shared" si="968"/>
        <v>-287344.2120409038</v>
      </c>
      <c r="AS194" s="244">
        <f t="shared" si="969"/>
        <v>-473555.17336165614</v>
      </c>
      <c r="AT194" s="244">
        <f t="shared" si="970"/>
        <v>-454779.89300701942</v>
      </c>
      <c r="AU194" s="244">
        <f t="shared" si="971"/>
        <v>-512249.17079854605</v>
      </c>
      <c r="AV194" s="244">
        <f t="shared" si="972"/>
        <v>-469489.45139084826</v>
      </c>
      <c r="AW194" s="244">
        <f t="shared" si="973"/>
        <v>-773738.0786817905</v>
      </c>
      <c r="AY194" s="20">
        <f t="shared" ref="AY194:CD194" si="986">AY$191*AY170</f>
        <v>-108</v>
      </c>
      <c r="AZ194" s="20">
        <f t="shared" si="986"/>
        <v>0</v>
      </c>
      <c r="BA194" s="20">
        <f t="shared" si="986"/>
        <v>-120</v>
      </c>
      <c r="BB194" s="20">
        <f t="shared" si="986"/>
        <v>0</v>
      </c>
      <c r="BC194" s="20">
        <f t="shared" si="986"/>
        <v>0</v>
      </c>
      <c r="BD194" s="20">
        <f t="shared" si="986"/>
        <v>-180.6</v>
      </c>
      <c r="BE194" s="20">
        <f t="shared" si="986"/>
        <v>0</v>
      </c>
      <c r="BF194" s="20">
        <f t="shared" si="986"/>
        <v>0</v>
      </c>
      <c r="BG194" s="20">
        <f t="shared" si="986"/>
        <v>-738</v>
      </c>
      <c r="BH194" s="20">
        <f t="shared" si="986"/>
        <v>-135</v>
      </c>
      <c r="BI194" s="20">
        <f t="shared" si="986"/>
        <v>-1942.03</v>
      </c>
      <c r="BJ194" s="20">
        <f t="shared" si="986"/>
        <v>-302</v>
      </c>
      <c r="BK194" s="20">
        <f t="shared" si="986"/>
        <v>-320</v>
      </c>
      <c r="BL194" s="20">
        <f t="shared" si="986"/>
        <v>-411.25459999999998</v>
      </c>
      <c r="BM194" s="20">
        <f t="shared" si="986"/>
        <v>-2410</v>
      </c>
      <c r="BN194" s="20">
        <f t="shared" si="986"/>
        <v>-830.88</v>
      </c>
      <c r="BO194" s="20">
        <f t="shared" si="986"/>
        <v>-606.88</v>
      </c>
      <c r="BP194" s="20">
        <f t="shared" si="986"/>
        <v>-180</v>
      </c>
      <c r="BQ194" s="20">
        <f t="shared" si="986"/>
        <v>-129.24</v>
      </c>
      <c r="BR194" s="20">
        <f t="shared" si="986"/>
        <v>-1377.64</v>
      </c>
      <c r="BS194" s="20">
        <f t="shared" si="986"/>
        <v>-1170</v>
      </c>
      <c r="BT194" s="20">
        <f t="shared" si="986"/>
        <v>-834.99</v>
      </c>
      <c r="BU194" s="20">
        <f t="shared" si="986"/>
        <v>-820.5</v>
      </c>
      <c r="BV194" s="20">
        <f t="shared" si="986"/>
        <v>-203.39000000000001</v>
      </c>
      <c r="BW194" s="20">
        <f t="shared" si="986"/>
        <v>-325.8</v>
      </c>
      <c r="BX194" s="20">
        <f t="shared" si="986"/>
        <v>-279.2</v>
      </c>
      <c r="BY194" s="20">
        <f t="shared" si="986"/>
        <v>-1095.4999</v>
      </c>
      <c r="BZ194" s="20">
        <f t="shared" si="986"/>
        <v>-985.08</v>
      </c>
      <c r="CA194" s="20">
        <f t="shared" si="986"/>
        <v>-349.88</v>
      </c>
      <c r="CB194" s="20">
        <f t="shared" si="986"/>
        <v>-716.12940000000003</v>
      </c>
      <c r="CC194" s="20">
        <f t="shared" si="986"/>
        <v>-3085</v>
      </c>
      <c r="CD194" s="20">
        <f t="shared" si="986"/>
        <v>-923</v>
      </c>
      <c r="CE194" s="20">
        <f t="shared" ref="CE194:DJ194" si="987">CE$191*CE170</f>
        <v>-515</v>
      </c>
      <c r="CF194" s="20">
        <f t="shared" si="987"/>
        <v>-850.88</v>
      </c>
      <c r="CG194" s="20">
        <f t="shared" si="987"/>
        <v>-497.3</v>
      </c>
      <c r="CH194" s="20">
        <f t="shared" si="987"/>
        <v>-1144.6667</v>
      </c>
      <c r="CI194" s="20">
        <f t="shared" si="987"/>
        <v>-1368.7365812497371</v>
      </c>
      <c r="CJ194" s="20">
        <f t="shared" si="987"/>
        <v>-708.22074839999368</v>
      </c>
      <c r="CK194" s="20">
        <f t="shared" si="987"/>
        <v>-1255.6994207137866</v>
      </c>
      <c r="CL194" s="20">
        <f t="shared" si="987"/>
        <v>-1984.9346495491777</v>
      </c>
      <c r="CM194" s="20">
        <f t="shared" si="987"/>
        <v>-958.41825518257633</v>
      </c>
      <c r="CN194" s="20">
        <f t="shared" si="987"/>
        <v>-145.67957478775159</v>
      </c>
      <c r="CO194" s="20">
        <f t="shared" si="987"/>
        <v>-533.50667318897001</v>
      </c>
      <c r="CP194" s="20">
        <f t="shared" si="987"/>
        <v>-1011.8147006403663</v>
      </c>
      <c r="CQ194" s="20">
        <f t="shared" si="987"/>
        <v>-1903.528826467161</v>
      </c>
      <c r="CR194" s="20">
        <f t="shared" si="987"/>
        <v>-428.41275818532239</v>
      </c>
      <c r="CS194" s="20">
        <f t="shared" si="987"/>
        <v>-2006.0548631401284</v>
      </c>
      <c r="CT194" s="20">
        <f t="shared" si="987"/>
        <v>-2327.3141481989901</v>
      </c>
      <c r="CU194" s="20">
        <f t="shared" si="987"/>
        <v>-2739.2558178214931</v>
      </c>
      <c r="CV194" s="20">
        <f t="shared" si="987"/>
        <v>-3464.553979212943</v>
      </c>
      <c r="CW194" s="20">
        <f t="shared" si="987"/>
        <v>-6451.8240619613289</v>
      </c>
      <c r="CX194" s="20">
        <f t="shared" si="987"/>
        <v>-4277.9790903157973</v>
      </c>
      <c r="CY194" s="20">
        <f t="shared" si="987"/>
        <v>-3504.8284954866158</v>
      </c>
      <c r="CZ194" s="20">
        <f t="shared" si="987"/>
        <v>-6472.0837360980531</v>
      </c>
      <c r="DA194" s="20">
        <f t="shared" si="987"/>
        <v>-4314.6421719043547</v>
      </c>
      <c r="DB194" s="20">
        <f t="shared" si="987"/>
        <v>-3384.5946193055711</v>
      </c>
      <c r="DC194" s="20">
        <f t="shared" si="987"/>
        <v>-5365.7352729170507</v>
      </c>
      <c r="DD194" s="20">
        <f t="shared" si="987"/>
        <v>-4241.6813513708685</v>
      </c>
      <c r="DE194" s="20">
        <f t="shared" si="987"/>
        <v>-8915.0220055031496</v>
      </c>
      <c r="DF194" s="20">
        <f t="shared" si="987"/>
        <v>-8374.9122161312189</v>
      </c>
      <c r="DG194" s="20">
        <f t="shared" si="987"/>
        <v>-8216.4807487034086</v>
      </c>
      <c r="DH194" s="20">
        <f t="shared" si="987"/>
        <v>-10392.034540127786</v>
      </c>
      <c r="DI194" s="20">
        <f t="shared" si="987"/>
        <v>-19352.441584403066</v>
      </c>
      <c r="DJ194" s="20">
        <f t="shared" si="987"/>
        <v>-12831.927785003274</v>
      </c>
      <c r="DK194" s="20">
        <f t="shared" ref="DK194:EP194" si="988">DK$191*DK170</f>
        <v>-10512.839170886644</v>
      </c>
      <c r="DL194" s="20">
        <f t="shared" si="988"/>
        <v>-19413.211090279958</v>
      </c>
      <c r="DM194" s="20">
        <f t="shared" si="988"/>
        <v>-12941.899808098253</v>
      </c>
      <c r="DN194" s="20">
        <f t="shared" si="988"/>
        <v>-10152.194019544329</v>
      </c>
      <c r="DO194" s="20">
        <f t="shared" si="988"/>
        <v>-16094.685383428032</v>
      </c>
      <c r="DP194" s="20">
        <f t="shared" si="988"/>
        <v>-12723.051618227561</v>
      </c>
      <c r="DQ194" s="20">
        <f t="shared" si="988"/>
        <v>-26740.878382340754</v>
      </c>
      <c r="DR194" s="20">
        <f t="shared" si="988"/>
        <v>-25120.802718838073</v>
      </c>
      <c r="DS194" s="20">
        <f t="shared" si="988"/>
        <v>-28958.049359403027</v>
      </c>
      <c r="DT194" s="20">
        <f t="shared" si="988"/>
        <v>-36625.540588667471</v>
      </c>
      <c r="DU194" s="20">
        <f t="shared" si="988"/>
        <v>-68205.473336567156</v>
      </c>
      <c r="DV194" s="20">
        <f t="shared" si="988"/>
        <v>-45224.666075321576</v>
      </c>
      <c r="DW194" s="20">
        <f t="shared" si="988"/>
        <v>-37051.30273274739</v>
      </c>
      <c r="DX194" s="20">
        <f t="shared" si="988"/>
        <v>-68419.648529639569</v>
      </c>
      <c r="DY194" s="20">
        <f t="shared" si="988"/>
        <v>-45612.249929082856</v>
      </c>
      <c r="DZ194" s="20">
        <f t="shared" si="988"/>
        <v>-35780.250026216301</v>
      </c>
      <c r="EA194" s="20">
        <f t="shared" si="988"/>
        <v>-56723.883133410738</v>
      </c>
      <c r="EB194" s="20">
        <f t="shared" si="988"/>
        <v>-44840.944442181833</v>
      </c>
      <c r="EC194" s="20">
        <f t="shared" si="988"/>
        <v>-94245.17622484715</v>
      </c>
      <c r="ED194" s="20">
        <f t="shared" si="988"/>
        <v>-88535.404308557874</v>
      </c>
      <c r="EE194" s="20">
        <f t="shared" si="988"/>
        <v>-60245.770192771895</v>
      </c>
      <c r="EF194" s="20">
        <f t="shared" si="988"/>
        <v>-76197.601368284551</v>
      </c>
      <c r="EG194" s="20">
        <f t="shared" si="988"/>
        <v>-141898.06853097939</v>
      </c>
      <c r="EH194" s="20">
        <f t="shared" si="988"/>
        <v>-94087.650918861429</v>
      </c>
      <c r="EI194" s="20">
        <f t="shared" si="988"/>
        <v>-77083.378168049952</v>
      </c>
      <c r="EJ194" s="20">
        <f t="shared" si="988"/>
        <v>-142343.64928480334</v>
      </c>
      <c r="EK194" s="20">
        <f t="shared" si="988"/>
        <v>-94893.999699275679</v>
      </c>
      <c r="EL194" s="20">
        <f t="shared" si="988"/>
        <v>-74439.016722630025</v>
      </c>
      <c r="EM194" s="20">
        <f t="shared" si="988"/>
        <v>-118011.19561899808</v>
      </c>
      <c r="EN194" s="20">
        <f t="shared" si="988"/>
        <v>-93289.337294859492</v>
      </c>
      <c r="EO194" s="20">
        <f t="shared" si="988"/>
        <v>-196072.36517040321</v>
      </c>
      <c r="EP194" s="20">
        <f t="shared" si="988"/>
        <v>-184193.47089639338</v>
      </c>
      <c r="EQ194" s="20">
        <f t="shared" ref="EQ194:FB194" si="989">EQ$191*EQ170</f>
        <v>-98435.090776762256</v>
      </c>
      <c r="ER194" s="20">
        <f t="shared" si="989"/>
        <v>-124498.66245644783</v>
      </c>
      <c r="ES194" s="20">
        <f t="shared" si="989"/>
        <v>-231846.13977380938</v>
      </c>
      <c r="ET194" s="20">
        <f t="shared" si="989"/>
        <v>-153729.07391731901</v>
      </c>
      <c r="EU194" s="20">
        <f t="shared" si="989"/>
        <v>-125945.926213121</v>
      </c>
      <c r="EV194" s="20">
        <f t="shared" si="989"/>
        <v>-232574.17066810609</v>
      </c>
      <c r="EW194" s="20">
        <f t="shared" si="989"/>
        <v>-155046.56085696365</v>
      </c>
      <c r="EX194" s="20">
        <f t="shared" si="989"/>
        <v>-121625.32481498814</v>
      </c>
      <c r="EY194" s="20">
        <f t="shared" si="989"/>
        <v>-192817.56571889643</v>
      </c>
      <c r="EZ194" s="20">
        <f t="shared" si="989"/>
        <v>-152424.7155566322</v>
      </c>
      <c r="FA194" s="20">
        <f t="shared" si="989"/>
        <v>-320361.09759417968</v>
      </c>
      <c r="FB194" s="20">
        <f t="shared" si="989"/>
        <v>-300952.26553097856</v>
      </c>
    </row>
    <row r="195" spans="3:158" x14ac:dyDescent="0.25">
      <c r="C195" s="2" t="s">
        <v>300</v>
      </c>
      <c r="D195" s="244">
        <f t="shared" si="769"/>
        <v>-7051.26</v>
      </c>
      <c r="E195" s="244">
        <f t="shared" si="769"/>
        <v>-18589.549200000001</v>
      </c>
      <c r="F195" s="244">
        <f t="shared" si="769"/>
        <v>-21534.871999999996</v>
      </c>
      <c r="G195" s="244">
        <f t="shared" si="769"/>
        <v>-29264.642399407923</v>
      </c>
      <c r="H195" s="244">
        <f t="shared" si="769"/>
        <v>-89500.123444224693</v>
      </c>
      <c r="I195" s="244">
        <f t="shared" si="769"/>
        <v>-155122.84136752674</v>
      </c>
      <c r="J195" s="244">
        <f t="shared" si="769"/>
        <v>-240379.854740599</v>
      </c>
      <c r="K195" s="244">
        <f t="shared" si="769"/>
        <v>-349702.71373309003</v>
      </c>
      <c r="L195" s="244">
        <f t="shared" si="769"/>
        <v>-487352.36868159927</v>
      </c>
      <c r="N195" s="244">
        <f t="shared" si="938"/>
        <v>-456</v>
      </c>
      <c r="O195" s="244">
        <f t="shared" si="939"/>
        <v>-361.2</v>
      </c>
      <c r="P195" s="244">
        <f t="shared" si="940"/>
        <v>-1476</v>
      </c>
      <c r="Q195" s="244">
        <f t="shared" si="941"/>
        <v>-4758.0599999999995</v>
      </c>
      <c r="R195" s="244">
        <f t="shared" si="942"/>
        <v>-6282.5092000000004</v>
      </c>
      <c r="S195" s="244">
        <f t="shared" si="943"/>
        <v>-3235.52</v>
      </c>
      <c r="T195" s="244">
        <f t="shared" si="944"/>
        <v>-5353.76</v>
      </c>
      <c r="U195" s="244">
        <f t="shared" si="945"/>
        <v>-3717.76</v>
      </c>
      <c r="V195" s="244">
        <f t="shared" si="946"/>
        <v>-3400.9998000000001</v>
      </c>
      <c r="W195" s="244">
        <f t="shared" si="947"/>
        <v>-4102.1787999999997</v>
      </c>
      <c r="X195" s="244">
        <f t="shared" si="948"/>
        <v>-9046</v>
      </c>
      <c r="Y195" s="244">
        <f t="shared" si="949"/>
        <v>-4985.6934000000001</v>
      </c>
      <c r="Z195" s="244">
        <f t="shared" si="950"/>
        <v>-6665.3135007270357</v>
      </c>
      <c r="AA195" s="244">
        <f t="shared" si="951"/>
        <v>-6178.0649590390121</v>
      </c>
      <c r="AB195" s="244">
        <f t="shared" si="952"/>
        <v>-6897.7004005929939</v>
      </c>
      <c r="AC195" s="244">
        <f t="shared" si="953"/>
        <v>-9523.5635390488824</v>
      </c>
      <c r="AD195" s="244">
        <f t="shared" si="954"/>
        <v>-18415.444015330679</v>
      </c>
      <c r="AE195" s="244">
        <f t="shared" si="955"/>
        <v>-20742.552764078744</v>
      </c>
      <c r="AF195" s="244">
        <f t="shared" si="956"/>
        <v>-19011.079515212936</v>
      </c>
      <c r="AG195" s="244">
        <f t="shared" si="957"/>
        <v>-31331.047149602338</v>
      </c>
      <c r="AH195" s="244">
        <f t="shared" si="958"/>
        <v>-31917.900118684647</v>
      </c>
      <c r="AI195" s="244">
        <f t="shared" si="959"/>
        <v>-35951.276916226096</v>
      </c>
      <c r="AJ195" s="244">
        <f t="shared" si="960"/>
        <v>-32950.263735687746</v>
      </c>
      <c r="AK195" s="244">
        <f t="shared" si="961"/>
        <v>-54303.400596928259</v>
      </c>
      <c r="AL195" s="244">
        <f t="shared" si="962"/>
        <v>-49460.28661231383</v>
      </c>
      <c r="AM195" s="244">
        <f t="shared" si="963"/>
        <v>-55710.446293247034</v>
      </c>
      <c r="AN195" s="244">
        <f t="shared" si="964"/>
        <v>-51060.047254311918</v>
      </c>
      <c r="AO195" s="244">
        <f t="shared" si="965"/>
        <v>-84149.074580726243</v>
      </c>
      <c r="AP195" s="244">
        <f t="shared" si="966"/>
        <v>-71954.434239123817</v>
      </c>
      <c r="AQ195" s="244">
        <f t="shared" si="967"/>
        <v>-81047.117168174329</v>
      </c>
      <c r="AR195" s="244">
        <f t="shared" si="968"/>
        <v>-74281.753383375035</v>
      </c>
      <c r="AS195" s="244">
        <f t="shared" si="969"/>
        <v>-122419.40894241686</v>
      </c>
      <c r="AT195" s="244">
        <f t="shared" si="970"/>
        <v>-100277.07131362529</v>
      </c>
      <c r="AU195" s="244">
        <f t="shared" si="971"/>
        <v>-112948.80758881394</v>
      </c>
      <c r="AV195" s="244">
        <f t="shared" si="972"/>
        <v>-103520.46764166912</v>
      </c>
      <c r="AW195" s="244">
        <f t="shared" si="973"/>
        <v>-170606.02213749095</v>
      </c>
      <c r="AY195" s="20">
        <f t="shared" ref="AY195:CD195" si="990">AY$191*AY171</f>
        <v>-216</v>
      </c>
      <c r="AZ195" s="20">
        <f t="shared" si="990"/>
        <v>0</v>
      </c>
      <c r="BA195" s="20">
        <f t="shared" si="990"/>
        <v>-240</v>
      </c>
      <c r="BB195" s="20">
        <f t="shared" si="990"/>
        <v>0</v>
      </c>
      <c r="BC195" s="20">
        <f t="shared" si="990"/>
        <v>0</v>
      </c>
      <c r="BD195" s="20">
        <f t="shared" si="990"/>
        <v>-361.2</v>
      </c>
      <c r="BE195" s="20">
        <f t="shared" si="990"/>
        <v>0</v>
      </c>
      <c r="BF195" s="20">
        <f t="shared" si="990"/>
        <v>0</v>
      </c>
      <c r="BG195" s="20">
        <f t="shared" si="990"/>
        <v>-1476</v>
      </c>
      <c r="BH195" s="20">
        <f t="shared" si="990"/>
        <v>-270</v>
      </c>
      <c r="BI195" s="20">
        <f t="shared" si="990"/>
        <v>-3884.06</v>
      </c>
      <c r="BJ195" s="20">
        <f t="shared" si="990"/>
        <v>-604</v>
      </c>
      <c r="BK195" s="20">
        <f t="shared" si="990"/>
        <v>-640</v>
      </c>
      <c r="BL195" s="20">
        <f t="shared" si="990"/>
        <v>-822.50919999999996</v>
      </c>
      <c r="BM195" s="20">
        <f t="shared" si="990"/>
        <v>-4820</v>
      </c>
      <c r="BN195" s="20">
        <f t="shared" si="990"/>
        <v>-1661.76</v>
      </c>
      <c r="BO195" s="20">
        <f t="shared" si="990"/>
        <v>-1213.76</v>
      </c>
      <c r="BP195" s="20">
        <f t="shared" si="990"/>
        <v>-360</v>
      </c>
      <c r="BQ195" s="20">
        <f t="shared" si="990"/>
        <v>-258.48</v>
      </c>
      <c r="BR195" s="20">
        <f t="shared" si="990"/>
        <v>-2755.28</v>
      </c>
      <c r="BS195" s="20">
        <f t="shared" si="990"/>
        <v>-2340</v>
      </c>
      <c r="BT195" s="20">
        <f t="shared" si="990"/>
        <v>-1669.98</v>
      </c>
      <c r="BU195" s="20">
        <f t="shared" si="990"/>
        <v>-1641</v>
      </c>
      <c r="BV195" s="20">
        <f t="shared" si="990"/>
        <v>-406.78000000000003</v>
      </c>
      <c r="BW195" s="20">
        <f t="shared" si="990"/>
        <v>-651.6</v>
      </c>
      <c r="BX195" s="20">
        <f t="shared" si="990"/>
        <v>-558.4</v>
      </c>
      <c r="BY195" s="20">
        <f t="shared" si="990"/>
        <v>-2190.9998000000001</v>
      </c>
      <c r="BZ195" s="20">
        <f t="shared" si="990"/>
        <v>-1970.16</v>
      </c>
      <c r="CA195" s="20">
        <f t="shared" si="990"/>
        <v>-699.76</v>
      </c>
      <c r="CB195" s="20">
        <f t="shared" si="990"/>
        <v>-1432.2588000000001</v>
      </c>
      <c r="CC195" s="20">
        <f t="shared" si="990"/>
        <v>-6170</v>
      </c>
      <c r="CD195" s="20">
        <f t="shared" si="990"/>
        <v>-1846</v>
      </c>
      <c r="CE195" s="20">
        <f t="shared" ref="CE195:DJ195" si="991">CE$191*CE171</f>
        <v>-1030</v>
      </c>
      <c r="CF195" s="20">
        <f t="shared" si="991"/>
        <v>-1701.76</v>
      </c>
      <c r="CG195" s="20">
        <f t="shared" si="991"/>
        <v>-994.6</v>
      </c>
      <c r="CH195" s="20">
        <f t="shared" si="991"/>
        <v>-2289.3334</v>
      </c>
      <c r="CI195" s="20">
        <f t="shared" si="991"/>
        <v>-2737.4731624994743</v>
      </c>
      <c r="CJ195" s="20">
        <f t="shared" si="991"/>
        <v>-1416.4414967999874</v>
      </c>
      <c r="CK195" s="20">
        <f t="shared" si="991"/>
        <v>-2511.3988414275732</v>
      </c>
      <c r="CL195" s="20">
        <f t="shared" si="991"/>
        <v>-3969.8692990983554</v>
      </c>
      <c r="CM195" s="20">
        <f t="shared" si="991"/>
        <v>-1916.8365103651527</v>
      </c>
      <c r="CN195" s="20">
        <f t="shared" si="991"/>
        <v>-291.35914957550318</v>
      </c>
      <c r="CO195" s="20">
        <f t="shared" si="991"/>
        <v>-1067.01334637794</v>
      </c>
      <c r="CP195" s="20">
        <f t="shared" si="991"/>
        <v>-2023.6294012807325</v>
      </c>
      <c r="CQ195" s="20">
        <f t="shared" si="991"/>
        <v>-3807.057652934322</v>
      </c>
      <c r="CR195" s="20">
        <f t="shared" si="991"/>
        <v>-856.82551637064478</v>
      </c>
      <c r="CS195" s="20">
        <f t="shared" si="991"/>
        <v>-4012.1097262802568</v>
      </c>
      <c r="CT195" s="20">
        <f t="shared" si="991"/>
        <v>-4654.6282963979802</v>
      </c>
      <c r="CU195" s="20">
        <f t="shared" si="991"/>
        <v>-3985.9411799357613</v>
      </c>
      <c r="CV195" s="20">
        <f t="shared" si="991"/>
        <v>-5041.3357839786431</v>
      </c>
      <c r="CW195" s="20">
        <f t="shared" si="991"/>
        <v>-9388.1670514162724</v>
      </c>
      <c r="CX195" s="20">
        <f t="shared" si="991"/>
        <v>-6224.9655224078324</v>
      </c>
      <c r="CY195" s="20">
        <f t="shared" si="991"/>
        <v>-5099.9399683241909</v>
      </c>
      <c r="CZ195" s="20">
        <f t="shared" si="991"/>
        <v>-9417.6472733467199</v>
      </c>
      <c r="DA195" s="20">
        <f t="shared" si="991"/>
        <v>-6278.3146421710962</v>
      </c>
      <c r="DB195" s="20">
        <f t="shared" si="991"/>
        <v>-4924.9854587178324</v>
      </c>
      <c r="DC195" s="20">
        <f t="shared" si="991"/>
        <v>-7807.7794143240062</v>
      </c>
      <c r="DD195" s="20">
        <f t="shared" si="991"/>
        <v>-6172.1480193992184</v>
      </c>
      <c r="DE195" s="20">
        <f t="shared" si="991"/>
        <v>-12972.411375593605</v>
      </c>
      <c r="DF195" s="20">
        <f t="shared" si="991"/>
        <v>-12186.487754609514</v>
      </c>
      <c r="DG195" s="20">
        <f t="shared" si="991"/>
        <v>-6908.487916676343</v>
      </c>
      <c r="DH195" s="20">
        <f t="shared" si="991"/>
        <v>-8737.7123181947754</v>
      </c>
      <c r="DI195" s="20">
        <f t="shared" si="991"/>
        <v>-16271.69988381353</v>
      </c>
      <c r="DJ195" s="20">
        <f t="shared" si="991"/>
        <v>-10789.19561326152</v>
      </c>
      <c r="DK195" s="20">
        <f t="shared" ref="DK195:EP195" si="992">DK$191*DK171</f>
        <v>-8839.2858942063558</v>
      </c>
      <c r="DL195" s="20">
        <f t="shared" si="992"/>
        <v>-16322.795408758215</v>
      </c>
      <c r="DM195" s="20">
        <f t="shared" si="992"/>
        <v>-10881.661039270581</v>
      </c>
      <c r="DN195" s="20">
        <f t="shared" si="992"/>
        <v>-8536.0523388122838</v>
      </c>
      <c r="DO195" s="20">
        <f t="shared" si="992"/>
        <v>-13532.550357604878</v>
      </c>
      <c r="DP195" s="20">
        <f t="shared" si="992"/>
        <v>-10697.651592702261</v>
      </c>
      <c r="DQ195" s="20">
        <f t="shared" si="992"/>
        <v>-22483.961301176932</v>
      </c>
      <c r="DR195" s="20">
        <f t="shared" si="992"/>
        <v>-21121.787703049067</v>
      </c>
      <c r="DS195" s="20">
        <f t="shared" si="992"/>
        <v>-10705.459668272195</v>
      </c>
      <c r="DT195" s="20">
        <f t="shared" si="992"/>
        <v>-13540.043486158658</v>
      </c>
      <c r="DU195" s="20">
        <f t="shared" si="992"/>
        <v>-25214.783457882979</v>
      </c>
      <c r="DV195" s="20">
        <f t="shared" si="992"/>
        <v>-16719.041834329331</v>
      </c>
      <c r="DW195" s="20">
        <f t="shared" si="992"/>
        <v>-13697.442881579078</v>
      </c>
      <c r="DX195" s="20">
        <f t="shared" si="992"/>
        <v>-25293.961577338621</v>
      </c>
      <c r="DY195" s="20">
        <f t="shared" si="992"/>
        <v>-16862.327152446505</v>
      </c>
      <c r="DZ195" s="20">
        <f t="shared" si="992"/>
        <v>-13227.54923242006</v>
      </c>
      <c r="EA195" s="20">
        <f t="shared" si="992"/>
        <v>-20970.170869445352</v>
      </c>
      <c r="EB195" s="20">
        <f t="shared" si="992"/>
        <v>-16577.184335005499</v>
      </c>
      <c r="EC195" s="20">
        <f t="shared" si="992"/>
        <v>-34841.363811568073</v>
      </c>
      <c r="ED195" s="20">
        <f t="shared" si="992"/>
        <v>-32730.526434152674</v>
      </c>
      <c r="EE195" s="20">
        <f t="shared" si="992"/>
        <v>-15574.218154823748</v>
      </c>
      <c r="EF195" s="20">
        <f t="shared" si="992"/>
        <v>-19697.948300548724</v>
      </c>
      <c r="EG195" s="20">
        <f t="shared" si="992"/>
        <v>-36682.267783751347</v>
      </c>
      <c r="EH195" s="20">
        <f t="shared" si="992"/>
        <v>-24322.729984138507</v>
      </c>
      <c r="EI195" s="20">
        <f t="shared" si="992"/>
        <v>-19926.931697588658</v>
      </c>
      <c r="EJ195" s="20">
        <f t="shared" si="992"/>
        <v>-36797.455486447157</v>
      </c>
      <c r="EK195" s="20">
        <f t="shared" si="992"/>
        <v>-24531.18033301552</v>
      </c>
      <c r="EL195" s="20">
        <f t="shared" si="992"/>
        <v>-19243.334128839902</v>
      </c>
      <c r="EM195" s="20">
        <f t="shared" si="992"/>
        <v>-30507.238921519609</v>
      </c>
      <c r="EN195" s="20">
        <f t="shared" si="992"/>
        <v>-24116.356814762614</v>
      </c>
      <c r="EO195" s="20">
        <f t="shared" si="992"/>
        <v>-50686.940834603112</v>
      </c>
      <c r="EP195" s="20">
        <f t="shared" si="992"/>
        <v>-47616.111293051137</v>
      </c>
      <c r="EQ195" s="20">
        <f t="shared" ref="EQ195:FB195" si="993">EQ$191*EQ171</f>
        <v>-21704.527331493555</v>
      </c>
      <c r="ER195" s="20">
        <f t="shared" si="993"/>
        <v>-27451.4362784361</v>
      </c>
      <c r="ES195" s="20">
        <f t="shared" si="993"/>
        <v>-51121.107703695641</v>
      </c>
      <c r="ET195" s="20">
        <f t="shared" si="993"/>
        <v>-33896.620200723424</v>
      </c>
      <c r="EU195" s="20">
        <f t="shared" si="993"/>
        <v>-27770.551905949786</v>
      </c>
      <c r="EV195" s="20">
        <f t="shared" si="993"/>
        <v>-51281.635482140737</v>
      </c>
      <c r="EW195" s="20">
        <f t="shared" si="993"/>
        <v>-34187.120580869901</v>
      </c>
      <c r="EX195" s="20">
        <f t="shared" si="993"/>
        <v>-26817.877301860306</v>
      </c>
      <c r="EY195" s="20">
        <f t="shared" si="993"/>
        <v>-42515.469758938911</v>
      </c>
      <c r="EZ195" s="20">
        <f t="shared" si="993"/>
        <v>-33609.014617529589</v>
      </c>
      <c r="FA195" s="20">
        <f t="shared" si="993"/>
        <v>-70638.287056079207</v>
      </c>
      <c r="FB195" s="20">
        <f t="shared" si="993"/>
        <v>-66358.720463882142</v>
      </c>
    </row>
    <row r="197" spans="3:158" x14ac:dyDescent="0.25">
      <c r="C197" s="304" t="s">
        <v>342</v>
      </c>
      <c r="D197" s="22">
        <f>AY197</f>
        <v>4715163.6449999968</v>
      </c>
      <c r="E197" s="22">
        <f t="shared" ref="E197:E201" si="994">BK197</f>
        <v>10301932.904999996</v>
      </c>
      <c r="F197" s="22">
        <f t="shared" ref="F197:F201" si="995">BW197</f>
        <v>18420670.414999995</v>
      </c>
      <c r="G197" s="22">
        <f t="shared" ref="G197:G201" si="996">CI197</f>
        <v>28634043.162400994</v>
      </c>
      <c r="H197" s="22">
        <f t="shared" ref="H197:H201" si="997">CU197</f>
        <v>49086305.731968775</v>
      </c>
      <c r="I197" s="22">
        <f t="shared" ref="I197:I201" si="998">DG197</f>
        <v>74574175.224417254</v>
      </c>
      <c r="J197" s="22">
        <f t="shared" ref="J197:J201" si="999">DS197</f>
        <v>109579444.0405816</v>
      </c>
      <c r="K197" s="22">
        <f t="shared" ref="K197:K201" si="1000">EE197</f>
        <v>156714120.57364959</v>
      </c>
      <c r="L197" s="22">
        <f t="shared" ref="L197:L201" si="1001">EQ197</f>
        <v>218828252.05291453</v>
      </c>
      <c r="N197" s="22">
        <f>AY197</f>
        <v>4715163.6449999968</v>
      </c>
      <c r="O197" s="22">
        <f>BB197</f>
        <v>5815051.6449999968</v>
      </c>
      <c r="P197" s="22">
        <f>BE197</f>
        <v>7452886.4749999959</v>
      </c>
      <c r="Q197" s="22">
        <f>BH197</f>
        <v>8665356.9349999949</v>
      </c>
      <c r="R197" s="22">
        <f>BK197</f>
        <v>10301932.904999996</v>
      </c>
      <c r="S197" s="22">
        <f>BN197</f>
        <v>11806966.454999994</v>
      </c>
      <c r="T197" s="22">
        <f>BQ197</f>
        <v>13362065.614999995</v>
      </c>
      <c r="U197" s="22">
        <f>BT197</f>
        <v>15548017.574999996</v>
      </c>
      <c r="V197" s="22">
        <f>BW197</f>
        <v>18420670.414999995</v>
      </c>
      <c r="W197" s="22">
        <f>BZ197</f>
        <v>20388906.926428992</v>
      </c>
      <c r="X197" s="22">
        <f>CC197</f>
        <v>22884564.380348995</v>
      </c>
      <c r="Y197" s="22">
        <f>CF197</f>
        <v>24830280.284707997</v>
      </c>
      <c r="Z197" s="22">
        <f>CI197</f>
        <v>28634043.162400994</v>
      </c>
      <c r="AA197" s="22">
        <f>CL197</f>
        <v>31125510.182026997</v>
      </c>
      <c r="AB197" s="22">
        <f>CO197</f>
        <v>34739076.908679999</v>
      </c>
      <c r="AC197" s="22">
        <f>CR197</f>
        <v>40491138.730444364</v>
      </c>
      <c r="AD197" s="22">
        <f>CU197</f>
        <v>49086305.731968775</v>
      </c>
      <c r="AE197" s="22">
        <f>CX197</f>
        <v>53487785.869630754</v>
      </c>
      <c r="AF197" s="22">
        <f>DA197</f>
        <v>59503347.74885381</v>
      </c>
      <c r="AG197" s="22">
        <f>DD197</f>
        <v>65494973.118807226</v>
      </c>
      <c r="AH197" s="22">
        <f>DG197</f>
        <v>74574175.224417254</v>
      </c>
      <c r="AI197" s="22">
        <f>DJ197</f>
        <v>80827172.128122896</v>
      </c>
      <c r="AJ197" s="22">
        <f>DM197</f>
        <v>89577773.589623779</v>
      </c>
      <c r="AK197" s="22">
        <f>DP197</f>
        <v>97814489.013453528</v>
      </c>
      <c r="AL197" s="22">
        <f>DS197</f>
        <v>109579444.0405816</v>
      </c>
      <c r="AM197" s="22">
        <f>DV197</f>
        <v>117988357.41124247</v>
      </c>
      <c r="AN197" s="22">
        <f>DY197</f>
        <v>129778290.24828881</v>
      </c>
      <c r="AO197" s="22">
        <f>EB197</f>
        <v>140878125.1938175</v>
      </c>
      <c r="AP197" s="22">
        <f>EE197</f>
        <v>156714120.57364959</v>
      </c>
      <c r="AQ197" s="22">
        <f>EH197</f>
        <v>167781889.96819296</v>
      </c>
      <c r="AR197" s="22">
        <f>EK197</f>
        <v>183327747.99536958</v>
      </c>
      <c r="AS197" s="22">
        <f>EN197</f>
        <v>197966517.15208164</v>
      </c>
      <c r="AT197" s="22">
        <f>EQ197</f>
        <v>218828252.05291453</v>
      </c>
      <c r="AU197" s="22">
        <f>ET197</f>
        <v>233061331.71563902</v>
      </c>
      <c r="AV197" s="22">
        <f>EW197</f>
        <v>253090340.28035113</v>
      </c>
      <c r="AW197" s="22">
        <f>EZ197</f>
        <v>271954448.75593531</v>
      </c>
      <c r="AY197" s="332">
        <f>AY209-AY203</f>
        <v>4715163.6449999968</v>
      </c>
      <c r="AZ197" s="49">
        <f>AY209</f>
        <v>4820973.6449999968</v>
      </c>
      <c r="BA197" s="49">
        <f t="shared" ref="BA197:DL197" si="1002">AZ209</f>
        <v>5092973.6449999968</v>
      </c>
      <c r="BB197" s="49">
        <f t="shared" si="1002"/>
        <v>5815051.6449999968</v>
      </c>
      <c r="BC197" s="49">
        <f t="shared" si="1002"/>
        <v>5978048.0749999965</v>
      </c>
      <c r="BD197" s="49">
        <f t="shared" si="1002"/>
        <v>6595994.7549999962</v>
      </c>
      <c r="BE197" s="49">
        <f t="shared" si="1002"/>
        <v>7452886.4749999959</v>
      </c>
      <c r="BF197" s="49">
        <f t="shared" si="1002"/>
        <v>7525436.4749999959</v>
      </c>
      <c r="BG197" s="49">
        <f t="shared" si="1002"/>
        <v>7932989.9349999959</v>
      </c>
      <c r="BH197" s="49">
        <f t="shared" si="1002"/>
        <v>8665356.9349999949</v>
      </c>
      <c r="BI197" s="49">
        <f t="shared" si="1002"/>
        <v>8943851.6049999949</v>
      </c>
      <c r="BJ197" s="49">
        <f t="shared" si="1002"/>
        <v>9523215.2749999948</v>
      </c>
      <c r="BK197" s="49">
        <f t="shared" si="1002"/>
        <v>10301932.904999996</v>
      </c>
      <c r="BL197" s="49">
        <f t="shared" si="1002"/>
        <v>10520462.904999996</v>
      </c>
      <c r="BM197" s="49">
        <f t="shared" si="1002"/>
        <v>10693363.194999995</v>
      </c>
      <c r="BN197" s="49">
        <f t="shared" si="1002"/>
        <v>11806966.454999994</v>
      </c>
      <c r="BO197" s="49">
        <f t="shared" si="1002"/>
        <v>12017519.454999994</v>
      </c>
      <c r="BP197" s="49">
        <f t="shared" si="1002"/>
        <v>12545914.784999995</v>
      </c>
      <c r="BQ197" s="49">
        <f t="shared" si="1002"/>
        <v>13362065.614999995</v>
      </c>
      <c r="BR197" s="49">
        <f t="shared" si="1002"/>
        <v>13625311.614999995</v>
      </c>
      <c r="BS197" s="49">
        <f t="shared" si="1002"/>
        <v>14160283.284999995</v>
      </c>
      <c r="BT197" s="49">
        <f t="shared" si="1002"/>
        <v>15548017.574999996</v>
      </c>
      <c r="BU197" s="49">
        <f t="shared" si="1002"/>
        <v>15693569.434999995</v>
      </c>
      <c r="BV197" s="49">
        <f t="shared" si="1002"/>
        <v>16990812.404999994</v>
      </c>
      <c r="BW197" s="49">
        <f t="shared" si="1002"/>
        <v>18420670.414999995</v>
      </c>
      <c r="BX197" s="49">
        <f t="shared" si="1002"/>
        <v>18708000.414999995</v>
      </c>
      <c r="BY197" s="49">
        <f t="shared" si="1002"/>
        <v>19293352.268076994</v>
      </c>
      <c r="BZ197" s="49">
        <f t="shared" si="1002"/>
        <v>20388906.926428992</v>
      </c>
      <c r="CA197" s="49">
        <f t="shared" si="1002"/>
        <v>20742016.017527994</v>
      </c>
      <c r="CB197" s="49">
        <f t="shared" si="1002"/>
        <v>21530895.337527994</v>
      </c>
      <c r="CC197" s="49">
        <f t="shared" si="1002"/>
        <v>22884564.380348995</v>
      </c>
      <c r="CD197" s="49">
        <f t="shared" si="1002"/>
        <v>23009404.180348996</v>
      </c>
      <c r="CE197" s="49">
        <f t="shared" si="1002"/>
        <v>23911184.839322995</v>
      </c>
      <c r="CF197" s="49">
        <f t="shared" si="1002"/>
        <v>24830280.284707997</v>
      </c>
      <c r="CG197" s="49">
        <f t="shared" si="1002"/>
        <v>25236931.574707996</v>
      </c>
      <c r="CH197" s="49">
        <f t="shared" si="1002"/>
        <v>26613252.898334995</v>
      </c>
      <c r="CI197" s="49">
        <f t="shared" si="1002"/>
        <v>28634043.162400994</v>
      </c>
      <c r="CJ197" s="49">
        <f t="shared" si="1002"/>
        <v>28718157.063340995</v>
      </c>
      <c r="CK197" s="49">
        <f t="shared" si="1002"/>
        <v>29474864.843340997</v>
      </c>
      <c r="CL197" s="49">
        <f t="shared" si="1002"/>
        <v>31125510.182026997</v>
      </c>
      <c r="CM197" s="49">
        <f t="shared" si="1002"/>
        <v>31935005.242913999</v>
      </c>
      <c r="CN197" s="49">
        <f t="shared" si="1002"/>
        <v>33181042.002209999</v>
      </c>
      <c r="CO197" s="49">
        <f t="shared" si="1002"/>
        <v>34739076.908679999</v>
      </c>
      <c r="CP197" s="49">
        <f t="shared" si="1002"/>
        <v>35599551.407807693</v>
      </c>
      <c r="CQ197" s="49">
        <f t="shared" si="1002"/>
        <v>37640953.857532717</v>
      </c>
      <c r="CR197" s="49">
        <f t="shared" si="1002"/>
        <v>40491138.730444364</v>
      </c>
      <c r="CS197" s="49">
        <f t="shared" si="1002"/>
        <v>41357548.345962144</v>
      </c>
      <c r="CT197" s="49">
        <f t="shared" si="1002"/>
        <v>44780990.698222801</v>
      </c>
      <c r="CU197" s="49">
        <f t="shared" si="1002"/>
        <v>49086305.731968775</v>
      </c>
      <c r="CV197" s="49">
        <f t="shared" si="1002"/>
        <v>49602361.208869286</v>
      </c>
      <c r="CW197" s="49">
        <f t="shared" si="1002"/>
        <v>50894196.003070988</v>
      </c>
      <c r="CX197" s="49">
        <f t="shared" si="1002"/>
        <v>53487785.869630754</v>
      </c>
      <c r="CY197" s="49">
        <f t="shared" si="1002"/>
        <v>54420044.892991982</v>
      </c>
      <c r="CZ197" s="49">
        <f t="shared" si="1002"/>
        <v>56549936.098757505</v>
      </c>
      <c r="DA197" s="49">
        <f t="shared" si="1002"/>
        <v>59503347.74885381</v>
      </c>
      <c r="DB197" s="49">
        <f t="shared" si="1002"/>
        <v>60385776.168980569</v>
      </c>
      <c r="DC197" s="49">
        <f t="shared" si="1002"/>
        <v>62225029.777640656</v>
      </c>
      <c r="DD197" s="49">
        <f t="shared" si="1002"/>
        <v>65494973.118807226</v>
      </c>
      <c r="DE197" s="49">
        <f t="shared" si="1002"/>
        <v>66779567.481964007</v>
      </c>
      <c r="DF197" s="49">
        <f t="shared" si="1002"/>
        <v>70354139.361554846</v>
      </c>
      <c r="DG197" s="49">
        <f t="shared" si="1002"/>
        <v>74574175.224417254</v>
      </c>
      <c r="DH197" s="49">
        <f t="shared" si="1002"/>
        <v>75347707.979148999</v>
      </c>
      <c r="DI197" s="49">
        <f t="shared" si="1002"/>
        <v>77193089.851385295</v>
      </c>
      <c r="DJ197" s="49">
        <f t="shared" si="1002"/>
        <v>80827172.128122896</v>
      </c>
      <c r="DK197" s="49">
        <f t="shared" si="1002"/>
        <v>82258688.067983523</v>
      </c>
      <c r="DL197" s="49">
        <f t="shared" si="1002"/>
        <v>85355444.410157964</v>
      </c>
      <c r="DM197" s="49">
        <f t="shared" ref="DM197:FB197" si="1003">DL209</f>
        <v>89577773.589623779</v>
      </c>
      <c r="DN197" s="49">
        <f t="shared" si="1003"/>
        <v>90777538.951124996</v>
      </c>
      <c r="DO197" s="49">
        <f t="shared" si="1003"/>
        <v>93309455.664196953</v>
      </c>
      <c r="DP197" s="49">
        <f t="shared" si="1003"/>
        <v>97814489.013453528</v>
      </c>
      <c r="DQ197" s="49">
        <f t="shared" si="1003"/>
        <v>99336867.60526666</v>
      </c>
      <c r="DR197" s="49">
        <f t="shared" si="1003"/>
        <v>104009071.40474217</v>
      </c>
      <c r="DS197" s="49">
        <f t="shared" si="1003"/>
        <v>109579444.0405816</v>
      </c>
      <c r="DT197" s="49">
        <f t="shared" si="1003"/>
        <v>110612106.83763996</v>
      </c>
      <c r="DU197" s="49">
        <f t="shared" si="1003"/>
        <v>113095485.63995965</v>
      </c>
      <c r="DV197" s="49">
        <f t="shared" si="1003"/>
        <v>117988357.41124247</v>
      </c>
      <c r="DW197" s="49">
        <f t="shared" si="1003"/>
        <v>119904528.59087734</v>
      </c>
      <c r="DX197" s="49">
        <f t="shared" si="1003"/>
        <v>124086807.16038169</v>
      </c>
      <c r="DY197" s="49">
        <f t="shared" si="1003"/>
        <v>129778290.24828881</v>
      </c>
      <c r="DZ197" s="49">
        <f t="shared" si="1003"/>
        <v>131379546.02382183</v>
      </c>
      <c r="EA197" s="49">
        <f t="shared" si="1003"/>
        <v>134795641.26157734</v>
      </c>
      <c r="EB197" s="49">
        <f t="shared" si="1003"/>
        <v>140878125.1938175</v>
      </c>
      <c r="EC197" s="49">
        <f t="shared" si="1003"/>
        <v>142917906.92423758</v>
      </c>
      <c r="ED197" s="49">
        <f t="shared" si="1003"/>
        <v>149204489.69278118</v>
      </c>
      <c r="EE197" s="49">
        <f t="shared" si="1003"/>
        <v>156714120.57364959</v>
      </c>
      <c r="EF197" s="49">
        <f t="shared" si="1003"/>
        <v>158063793.73631954</v>
      </c>
      <c r="EG197" s="49">
        <f t="shared" si="1003"/>
        <v>161334595.69926453</v>
      </c>
      <c r="EH197" s="49">
        <f t="shared" si="1003"/>
        <v>167781889.96819296</v>
      </c>
      <c r="EI197" s="49">
        <f t="shared" si="1003"/>
        <v>170292754.63489795</v>
      </c>
      <c r="EJ197" s="49">
        <f t="shared" si="1003"/>
        <v>175819840.42394534</v>
      </c>
      <c r="EK197" s="49">
        <f t="shared" si="1003"/>
        <v>183327747.99536958</v>
      </c>
      <c r="EL197" s="49">
        <f t="shared" si="1003"/>
        <v>185420023.92584544</v>
      </c>
      <c r="EM197" s="49">
        <f t="shared" si="1003"/>
        <v>189930372.19263658</v>
      </c>
      <c r="EN197" s="49">
        <f t="shared" si="1003"/>
        <v>197966517.15208164</v>
      </c>
      <c r="EO197" s="49">
        <f t="shared" si="1003"/>
        <v>200641862.05402836</v>
      </c>
      <c r="EP197" s="49">
        <f t="shared" si="1003"/>
        <v>208920616.87842193</v>
      </c>
      <c r="EQ197" s="49">
        <f t="shared" si="1003"/>
        <v>218828252.05291453</v>
      </c>
      <c r="ER197" s="49">
        <f t="shared" si="1003"/>
        <v>220551310.36891565</v>
      </c>
      <c r="ES197" s="49">
        <f t="shared" si="1003"/>
        <v>224760445.95359093</v>
      </c>
      <c r="ET197" s="49">
        <f t="shared" si="1003"/>
        <v>233061331.71563902</v>
      </c>
      <c r="EU197" s="49">
        <f t="shared" si="1003"/>
        <v>236275450.19096091</v>
      </c>
      <c r="EV197" s="49">
        <f t="shared" si="1003"/>
        <v>243412936.2598339</v>
      </c>
      <c r="EW197" s="49">
        <f t="shared" si="1003"/>
        <v>253090340.28035113</v>
      </c>
      <c r="EX197" s="49">
        <f t="shared" si="1003"/>
        <v>255760721.87949887</v>
      </c>
      <c r="EY197" s="49">
        <f t="shared" si="1003"/>
        <v>261579697.10325059</v>
      </c>
      <c r="EZ197" s="49">
        <f t="shared" si="1003"/>
        <v>271954448.75593531</v>
      </c>
      <c r="FA197" s="49">
        <f t="shared" si="1003"/>
        <v>275382454.03862929</v>
      </c>
      <c r="FB197" s="49">
        <f t="shared" si="1003"/>
        <v>286034694.86369079</v>
      </c>
    </row>
    <row r="198" spans="3:158" x14ac:dyDescent="0.25">
      <c r="C198" s="2" t="s">
        <v>346</v>
      </c>
      <c r="D198" s="244">
        <f t="shared" ref="D198:D201" si="1004">AY198</f>
        <v>4466718.6899999967</v>
      </c>
      <c r="E198" s="244">
        <f t="shared" si="994"/>
        <v>9774149.4869999979</v>
      </c>
      <c r="F198" s="244">
        <f t="shared" si="995"/>
        <v>17486950.121499993</v>
      </c>
      <c r="G198" s="244">
        <f t="shared" si="996"/>
        <v>27189654.231530935</v>
      </c>
      <c r="H198" s="244">
        <f t="shared" si="997"/>
        <v>44880959.301658958</v>
      </c>
      <c r="I198" s="244">
        <f t="shared" si="998"/>
        <v>65215785.156534076</v>
      </c>
      <c r="J198" s="244">
        <f t="shared" si="999"/>
        <v>83580737.183377549</v>
      </c>
      <c r="K198" s="244">
        <f t="shared" si="1000"/>
        <v>106308214.99248308</v>
      </c>
      <c r="L198" s="244">
        <f t="shared" si="1001"/>
        <v>137059074.00278836</v>
      </c>
      <c r="N198" s="244">
        <f t="shared" ref="N198:N201" si="1005">AY198</f>
        <v>4466718.6899999967</v>
      </c>
      <c r="O198" s="244">
        <f t="shared" ref="O198:O201" si="1006">BB198</f>
        <v>5511612.2899999963</v>
      </c>
      <c r="P198" s="244">
        <f t="shared" ref="P198:P201" si="1007">BE198</f>
        <v>7067555.3784999959</v>
      </c>
      <c r="Q198" s="244">
        <f t="shared" ref="Q198:Q201" si="1008">BH198</f>
        <v>8219402.3154999968</v>
      </c>
      <c r="R198" s="244">
        <f t="shared" ref="R198:R201" si="1009">BK198</f>
        <v>9774149.4869999979</v>
      </c>
      <c r="S198" s="244">
        <f t="shared" ref="S198:S201" si="1010">BN198</f>
        <v>11203931.359499997</v>
      </c>
      <c r="T198" s="244">
        <f t="shared" ref="T198:T201" si="1011">BQ198</f>
        <v>12681275.561499996</v>
      </c>
      <c r="U198" s="244">
        <f t="shared" ref="U198:U201" si="1012">BT198</f>
        <v>14757929.923499996</v>
      </c>
      <c r="V198" s="244">
        <f t="shared" ref="V198:V201" si="1013">BW198</f>
        <v>17486950.121499993</v>
      </c>
      <c r="W198" s="244">
        <f t="shared" ref="W198:W201" si="1014">BZ198</f>
        <v>19356774.807357542</v>
      </c>
      <c r="X198" s="244">
        <f t="shared" ref="X198:X201" si="1015">CC198</f>
        <v>21727649.38858154</v>
      </c>
      <c r="Y198" s="244">
        <f t="shared" ref="Y198:Y201" si="1016">CF198</f>
        <v>23576079.497722588</v>
      </c>
      <c r="Z198" s="244">
        <f t="shared" ref="Z198:Z201" si="1017">CI198</f>
        <v>27189654.231530935</v>
      </c>
      <c r="AA198" s="244">
        <f t="shared" ref="AA198:AA201" si="1018">CL198</f>
        <v>29329610.073568881</v>
      </c>
      <c r="AB198" s="244">
        <f t="shared" ref="AB198:AB201" si="1019">CO198</f>
        <v>32442054.634652391</v>
      </c>
      <c r="AC198" s="244">
        <f t="shared" ref="AC198:AC201" si="1020">CR198</f>
        <v>37427306.392321333</v>
      </c>
      <c r="AD198" s="244">
        <f t="shared" ref="AD198:AD201" si="1021">CU198</f>
        <v>44880959.301658958</v>
      </c>
      <c r="AE198" s="244">
        <f t="shared" ref="AE198:AE201" si="1022">CX198</f>
        <v>48379840.599150881</v>
      </c>
      <c r="AF198" s="244">
        <f t="shared" ref="AF198:AF201" si="1023">DA198</f>
        <v>53180836.083319768</v>
      </c>
      <c r="AG198" s="244">
        <f t="shared" ref="AG198:AG201" si="1024">DD198</f>
        <v>57969816.644428387</v>
      </c>
      <c r="AH198" s="244">
        <f t="shared" ref="AH198:AH201" si="1025">DG198</f>
        <v>65215785.156534076</v>
      </c>
      <c r="AI198" s="244">
        <f t="shared" ref="AI198:AI201" si="1026">DJ198</f>
        <v>68450465.394676268</v>
      </c>
      <c r="AJ198" s="244">
        <f t="shared" ref="AJ198:AJ201" si="1027">DM198</f>
        <v>73072123.326253861</v>
      </c>
      <c r="AK198" s="244">
        <f t="shared" ref="AK198:AK201" si="1028">DP198</f>
        <v>77432065.537967891</v>
      </c>
      <c r="AL198" s="244">
        <f t="shared" ref="AL198:AL201" si="1029">DS198</f>
        <v>83580737.183377549</v>
      </c>
      <c r="AM198" s="244">
        <f t="shared" ref="AM198:AM201" si="1030">DV198</f>
        <v>87582831.411590666</v>
      </c>
      <c r="AN198" s="244">
        <f t="shared" ref="AN198:AN201" si="1031">DY198</f>
        <v>93302999.868421406</v>
      </c>
      <c r="AO198" s="244">
        <f t="shared" ref="AO198:AO201" si="1032">EB198</f>
        <v>98699450.223387718</v>
      </c>
      <c r="AP198" s="244">
        <f t="shared" ref="AP198:AP201" si="1033">EE198</f>
        <v>106308214.99248308</v>
      </c>
      <c r="AQ198" s="244">
        <f t="shared" ref="AQ198:AQ201" si="1034">EH198</f>
        <v>111739839.45385481</v>
      </c>
      <c r="AR198" s="244">
        <f t="shared" ref="AR198:AR201" si="1035">EK198</f>
        <v>119468165.77755982</v>
      </c>
      <c r="AS198" s="244">
        <f t="shared" ref="AS198:AS201" si="1036">EN198</f>
        <v>126755623.00317116</v>
      </c>
      <c r="AT198" s="244">
        <f t="shared" ref="AT198:AT201" si="1037">EQ198</f>
        <v>137059074.00278836</v>
      </c>
      <c r="AU198" s="244">
        <f t="shared" ref="AU198:AU201" si="1038">ET198</f>
        <v>143747179.23488116</v>
      </c>
      <c r="AV198" s="244">
        <f t="shared" ref="AV198:AV201" si="1039">EW198</f>
        <v>153270791.88589683</v>
      </c>
      <c r="AW198" s="244">
        <f t="shared" ref="AW198:AW201" si="1040">EZ198</f>
        <v>162251876.50634515</v>
      </c>
      <c r="AY198" s="333">
        <f>AY210-AY204</f>
        <v>4466718.6899999967</v>
      </c>
      <c r="AZ198" s="296">
        <f>AY210</f>
        <v>4567238.1899999967</v>
      </c>
      <c r="BA198" s="296">
        <f t="shared" ref="BA198:CF198" si="1041">AZ210</f>
        <v>4825638.1899999967</v>
      </c>
      <c r="BB198" s="296">
        <f t="shared" si="1041"/>
        <v>5511612.2899999963</v>
      </c>
      <c r="BC198" s="296">
        <f t="shared" si="1041"/>
        <v>5666458.8984999964</v>
      </c>
      <c r="BD198" s="296">
        <f t="shared" si="1041"/>
        <v>6253508.2444999963</v>
      </c>
      <c r="BE198" s="296">
        <f t="shared" si="1041"/>
        <v>7067555.3784999959</v>
      </c>
      <c r="BF198" s="296">
        <f t="shared" si="1041"/>
        <v>7136477.8784999959</v>
      </c>
      <c r="BG198" s="296">
        <f t="shared" si="1041"/>
        <v>7523653.6654999964</v>
      </c>
      <c r="BH198" s="296">
        <f t="shared" si="1041"/>
        <v>8219402.3154999968</v>
      </c>
      <c r="BI198" s="296">
        <f t="shared" si="1041"/>
        <v>8483972.2519999966</v>
      </c>
      <c r="BJ198" s="296">
        <f t="shared" si="1041"/>
        <v>9034367.7384999972</v>
      </c>
      <c r="BK198" s="296">
        <f t="shared" si="1041"/>
        <v>9774149.4869999979</v>
      </c>
      <c r="BL198" s="296">
        <f t="shared" si="1041"/>
        <v>9981752.9869999979</v>
      </c>
      <c r="BM198" s="296">
        <f t="shared" si="1041"/>
        <v>10146008.262499997</v>
      </c>
      <c r="BN198" s="296">
        <f t="shared" si="1041"/>
        <v>11203931.359499997</v>
      </c>
      <c r="BO198" s="296">
        <f t="shared" si="1041"/>
        <v>11403956.709499996</v>
      </c>
      <c r="BP198" s="296">
        <f t="shared" si="1041"/>
        <v>11905932.272999996</v>
      </c>
      <c r="BQ198" s="296">
        <f t="shared" si="1041"/>
        <v>12681275.561499996</v>
      </c>
      <c r="BR198" s="296">
        <f t="shared" si="1041"/>
        <v>12931359.261499995</v>
      </c>
      <c r="BS198" s="296">
        <f t="shared" si="1041"/>
        <v>13439582.347999996</v>
      </c>
      <c r="BT198" s="296">
        <f t="shared" si="1041"/>
        <v>14757929.923499996</v>
      </c>
      <c r="BU198" s="296">
        <f t="shared" si="1041"/>
        <v>14896204.190499995</v>
      </c>
      <c r="BV198" s="296">
        <f t="shared" si="1041"/>
        <v>16128585.011999995</v>
      </c>
      <c r="BW198" s="296">
        <f t="shared" si="1041"/>
        <v>17486950.121499993</v>
      </c>
      <c r="BX198" s="296">
        <f t="shared" si="1041"/>
        <v>17759913.621499993</v>
      </c>
      <c r="BY198" s="296">
        <f t="shared" si="1041"/>
        <v>18315997.881923143</v>
      </c>
      <c r="BZ198" s="296">
        <f t="shared" si="1041"/>
        <v>19356774.807357542</v>
      </c>
      <c r="CA198" s="296">
        <f t="shared" si="1041"/>
        <v>19692228.443901591</v>
      </c>
      <c r="CB198" s="296">
        <f t="shared" si="1041"/>
        <v>20441663.797901589</v>
      </c>
      <c r="CC198" s="296">
        <f t="shared" si="1041"/>
        <v>21727649.38858154</v>
      </c>
      <c r="CD198" s="296">
        <f t="shared" si="1041"/>
        <v>21846247.198581539</v>
      </c>
      <c r="CE198" s="296">
        <f t="shared" si="1041"/>
        <v>22702938.82460684</v>
      </c>
      <c r="CF198" s="296">
        <f t="shared" si="1041"/>
        <v>23576079.497722588</v>
      </c>
      <c r="CG198" s="296">
        <f t="shared" ref="CG198:DL198" si="1042">CF210</f>
        <v>23962398.223222587</v>
      </c>
      <c r="CH198" s="296">
        <f t="shared" si="1042"/>
        <v>25269903.480668236</v>
      </c>
      <c r="CI198" s="296">
        <f t="shared" si="1042"/>
        <v>27189654.231530935</v>
      </c>
      <c r="CJ198" s="296">
        <f t="shared" si="1042"/>
        <v>27247733.373526417</v>
      </c>
      <c r="CK198" s="296">
        <f t="shared" si="1042"/>
        <v>27900606.696941067</v>
      </c>
      <c r="CL198" s="296">
        <f t="shared" si="1042"/>
        <v>29329610.073568881</v>
      </c>
      <c r="CM198" s="296">
        <f t="shared" si="1042"/>
        <v>30019200.927416794</v>
      </c>
      <c r="CN198" s="296">
        <f t="shared" si="1042"/>
        <v>31090608.996867802</v>
      </c>
      <c r="CO198" s="296">
        <f t="shared" si="1042"/>
        <v>32442054.634652391</v>
      </c>
      <c r="CP198" s="296">
        <f t="shared" si="1042"/>
        <v>33187625.3973318</v>
      </c>
      <c r="CQ198" s="296">
        <f t="shared" si="1042"/>
        <v>34959222.798056602</v>
      </c>
      <c r="CR198" s="296">
        <f t="shared" si="1042"/>
        <v>37427306.392321333</v>
      </c>
      <c r="CS198" s="296">
        <f t="shared" si="1042"/>
        <v>38179216.898835301</v>
      </c>
      <c r="CT198" s="296">
        <f t="shared" si="1042"/>
        <v>41146791.316235438</v>
      </c>
      <c r="CU198" s="296">
        <f t="shared" si="1042"/>
        <v>44880959.301658958</v>
      </c>
      <c r="CV198" s="296">
        <f t="shared" si="1042"/>
        <v>45283335.409486495</v>
      </c>
      <c r="CW198" s="296">
        <f t="shared" si="1042"/>
        <v>46311820.462216564</v>
      </c>
      <c r="CX198" s="296">
        <f t="shared" si="1042"/>
        <v>48379840.599150881</v>
      </c>
      <c r="CY198" s="296">
        <f t="shared" si="1042"/>
        <v>49110931.166021064</v>
      </c>
      <c r="CZ198" s="296">
        <f t="shared" si="1042"/>
        <v>50820436.579699673</v>
      </c>
      <c r="DA198" s="296">
        <f t="shared" si="1042"/>
        <v>53180836.083319768</v>
      </c>
      <c r="DB198" s="296">
        <f t="shared" si="1042"/>
        <v>53871189.041566953</v>
      </c>
      <c r="DC198" s="296">
        <f t="shared" si="1042"/>
        <v>55345181.642163821</v>
      </c>
      <c r="DD198" s="296">
        <f t="shared" si="1042"/>
        <v>57969816.644428387</v>
      </c>
      <c r="DE198" s="296">
        <f t="shared" si="1042"/>
        <v>58987554.497173958</v>
      </c>
      <c r="DF198" s="296">
        <f t="shared" si="1042"/>
        <v>61837625.410605386</v>
      </c>
      <c r="DG198" s="296">
        <f t="shared" si="1042"/>
        <v>65215785.156534076</v>
      </c>
      <c r="DH198" s="296">
        <f t="shared" si="1042"/>
        <v>65583681.003311485</v>
      </c>
      <c r="DI198" s="296">
        <f t="shared" si="1042"/>
        <v>66545728.441018835</v>
      </c>
      <c r="DJ198" s="296">
        <f t="shared" si="1042"/>
        <v>68450465.394676268</v>
      </c>
      <c r="DK198" s="296">
        <f t="shared" si="1042"/>
        <v>69153047.708579183</v>
      </c>
      <c r="DL198" s="296">
        <f t="shared" si="1042"/>
        <v>70830925.067796201</v>
      </c>
      <c r="DM198" s="296">
        <f t="shared" ref="DM198:ER198" si="1043">DL210</f>
        <v>73072123.326253861</v>
      </c>
      <c r="DN198" s="296">
        <f t="shared" si="1043"/>
        <v>73640923.723672226</v>
      </c>
      <c r="DO198" s="296">
        <f t="shared" si="1043"/>
        <v>74998497.597609222</v>
      </c>
      <c r="DP198" s="296">
        <f t="shared" si="1043"/>
        <v>77432065.537967891</v>
      </c>
      <c r="DQ198" s="296">
        <f t="shared" si="1043"/>
        <v>78187702.305231228</v>
      </c>
      <c r="DR198" s="296">
        <f t="shared" si="1043"/>
        <v>80619509.340677321</v>
      </c>
      <c r="DS198" s="296">
        <f t="shared" si="1043"/>
        <v>83580737.183377549</v>
      </c>
      <c r="DT198" s="296">
        <f t="shared" si="1043"/>
        <v>84035221.195407599</v>
      </c>
      <c r="DU198" s="296">
        <f t="shared" si="1043"/>
        <v>85225670.02110371</v>
      </c>
      <c r="DV198" s="296">
        <f t="shared" si="1043"/>
        <v>87582831.411590666</v>
      </c>
      <c r="DW198" s="296">
        <f t="shared" si="1043"/>
        <v>88451282.491583228</v>
      </c>
      <c r="DX198" s="296">
        <f t="shared" si="1043"/>
        <v>90528861.620061785</v>
      </c>
      <c r="DY198" s="296">
        <f t="shared" si="1043"/>
        <v>93302999.868421406</v>
      </c>
      <c r="DZ198" s="296">
        <f t="shared" si="1043"/>
        <v>94005631.015472636</v>
      </c>
      <c r="EA198" s="296">
        <f t="shared" si="1043"/>
        <v>95686311.549467862</v>
      </c>
      <c r="EB198" s="296">
        <f t="shared" si="1043"/>
        <v>98699450.223387718</v>
      </c>
      <c r="EC198" s="296">
        <f t="shared" si="1043"/>
        <v>99633672.815749004</v>
      </c>
      <c r="ED198" s="296">
        <f t="shared" si="1043"/>
        <v>102642735.42356001</v>
      </c>
      <c r="EE198" s="296">
        <f t="shared" si="1043"/>
        <v>106308214.99248308</v>
      </c>
      <c r="EF198" s="296">
        <f t="shared" si="1043"/>
        <v>106936946.5023247</v>
      </c>
      <c r="EG198" s="296">
        <f t="shared" si="1043"/>
        <v>108549875.22960807</v>
      </c>
      <c r="EH198" s="296">
        <f t="shared" si="1043"/>
        <v>111739839.45385481</v>
      </c>
      <c r="EI198" s="296">
        <f t="shared" si="1043"/>
        <v>112932505.50030002</v>
      </c>
      <c r="EJ198" s="296">
        <f t="shared" si="1043"/>
        <v>115724156.08602549</v>
      </c>
      <c r="EK198" s="296">
        <f t="shared" si="1043"/>
        <v>119468165.77755982</v>
      </c>
      <c r="EL198" s="296">
        <f t="shared" si="1043"/>
        <v>120440912.55058919</v>
      </c>
      <c r="EM198" s="296">
        <f t="shared" si="1043"/>
        <v>122704272.83603409</v>
      </c>
      <c r="EN198" s="296">
        <f t="shared" si="1043"/>
        <v>126755623.00317116</v>
      </c>
      <c r="EO198" s="296">
        <f t="shared" si="1043"/>
        <v>128035319.78856193</v>
      </c>
      <c r="EP198" s="296">
        <f t="shared" si="1043"/>
        <v>132113715.32977258</v>
      </c>
      <c r="EQ198" s="296">
        <f t="shared" si="1043"/>
        <v>137059074.00278836</v>
      </c>
      <c r="ER198" s="296">
        <f t="shared" si="1043"/>
        <v>137830695.10240209</v>
      </c>
      <c r="ES198" s="296">
        <f t="shared" ref="ES198:FB198" si="1044">ER210</f>
        <v>139817325.70391551</v>
      </c>
      <c r="ET198" s="296">
        <f t="shared" si="1044"/>
        <v>143747179.23488116</v>
      </c>
      <c r="EU198" s="296">
        <f t="shared" si="1044"/>
        <v>145212737.81445733</v>
      </c>
      <c r="EV198" s="296">
        <f t="shared" si="1044"/>
        <v>148656181.68768114</v>
      </c>
      <c r="EW198" s="296">
        <f t="shared" si="1044"/>
        <v>153270791.88589683</v>
      </c>
      <c r="EX198" s="296">
        <f t="shared" si="1044"/>
        <v>154464457.96245587</v>
      </c>
      <c r="EY198" s="296">
        <f t="shared" si="1044"/>
        <v>157255178.70204619</v>
      </c>
      <c r="EZ198" s="296">
        <f t="shared" si="1044"/>
        <v>162251876.50634515</v>
      </c>
      <c r="FA198" s="296">
        <f t="shared" si="1044"/>
        <v>163825077.33429453</v>
      </c>
      <c r="FB198" s="296">
        <f t="shared" si="1044"/>
        <v>168848092.58944231</v>
      </c>
    </row>
    <row r="199" spans="3:158" x14ac:dyDescent="0.25">
      <c r="C199" s="2" t="s">
        <v>298</v>
      </c>
      <c r="D199" s="244">
        <f t="shared" si="1004"/>
        <v>99377.981999999916</v>
      </c>
      <c r="E199" s="244">
        <f t="shared" si="994"/>
        <v>211113.36719999992</v>
      </c>
      <c r="F199" s="244">
        <f t="shared" si="995"/>
        <v>373488.11739999993</v>
      </c>
      <c r="G199" s="244">
        <f t="shared" si="996"/>
        <v>577755.57234801981</v>
      </c>
      <c r="H199" s="244">
        <f t="shared" si="997"/>
        <v>1213143.8527573966</v>
      </c>
      <c r="I199" s="244">
        <f t="shared" si="998"/>
        <v>2437064.0948835206</v>
      </c>
      <c r="J199" s="244">
        <f t="shared" si="999"/>
        <v>7330127.347975431</v>
      </c>
      <c r="K199" s="244">
        <f t="shared" si="1000"/>
        <v>13687199.746108076</v>
      </c>
      <c r="L199" s="244">
        <f t="shared" si="1001"/>
        <v>21870587.734055478</v>
      </c>
      <c r="N199" s="244">
        <f t="shared" si="1005"/>
        <v>99377.981999999916</v>
      </c>
      <c r="O199" s="244">
        <f t="shared" si="1006"/>
        <v>121375.74199999991</v>
      </c>
      <c r="P199" s="244">
        <f t="shared" si="1007"/>
        <v>154132.43859999991</v>
      </c>
      <c r="Q199" s="244">
        <f t="shared" si="1008"/>
        <v>178381.8477999999</v>
      </c>
      <c r="R199" s="244">
        <f t="shared" si="1009"/>
        <v>211113.36719999992</v>
      </c>
      <c r="S199" s="244">
        <f t="shared" si="1010"/>
        <v>241214.03819999995</v>
      </c>
      <c r="T199" s="244">
        <f t="shared" si="1011"/>
        <v>272316.02139999997</v>
      </c>
      <c r="U199" s="244">
        <f t="shared" si="1012"/>
        <v>316035.06059999991</v>
      </c>
      <c r="V199" s="244">
        <f t="shared" si="1013"/>
        <v>373488.11739999993</v>
      </c>
      <c r="W199" s="244">
        <f t="shared" si="1014"/>
        <v>412852.84762857994</v>
      </c>
      <c r="X199" s="244">
        <f t="shared" si="1015"/>
        <v>462765.99670697987</v>
      </c>
      <c r="Y199" s="244">
        <f t="shared" si="1016"/>
        <v>501680.31479415984</v>
      </c>
      <c r="Z199" s="244">
        <f t="shared" si="1017"/>
        <v>577755.57234801981</v>
      </c>
      <c r="AA199" s="244">
        <f t="shared" si="1018"/>
        <v>657112.14661094744</v>
      </c>
      <c r="AB199" s="244">
        <f t="shared" si="1019"/>
        <v>771088.40593019139</v>
      </c>
      <c r="AC199" s="244">
        <f t="shared" si="1020"/>
        <v>948539.01049332751</v>
      </c>
      <c r="AD199" s="244">
        <f t="shared" si="1021"/>
        <v>1213143.8527573966</v>
      </c>
      <c r="AE199" s="244">
        <f t="shared" si="1022"/>
        <v>1427046.9195813835</v>
      </c>
      <c r="AF199" s="244">
        <f t="shared" si="1023"/>
        <v>1715584.8745237372</v>
      </c>
      <c r="AG199" s="244">
        <f t="shared" si="1024"/>
        <v>2001556.6967687847</v>
      </c>
      <c r="AH199" s="244">
        <f t="shared" si="1025"/>
        <v>2437064.0948835206</v>
      </c>
      <c r="AI199" s="244">
        <f t="shared" si="1026"/>
        <v>3325149.3027420426</v>
      </c>
      <c r="AJ199" s="244">
        <f t="shared" si="1027"/>
        <v>4538888.2113801651</v>
      </c>
      <c r="AK199" s="244">
        <f t="shared" si="1028"/>
        <v>5678381.6326107886</v>
      </c>
      <c r="AL199" s="244">
        <f t="shared" si="1029"/>
        <v>7330127.347975431</v>
      </c>
      <c r="AM199" s="244">
        <f t="shared" si="1030"/>
        <v>8476968.3285020571</v>
      </c>
      <c r="AN199" s="244">
        <f t="shared" si="1031"/>
        <v>10058533.47455769</v>
      </c>
      <c r="AO199" s="244">
        <f t="shared" si="1032"/>
        <v>11544835.873016743</v>
      </c>
      <c r="AP199" s="244">
        <f t="shared" si="1033"/>
        <v>13687199.746108076</v>
      </c>
      <c r="AQ199" s="244">
        <f t="shared" si="1034"/>
        <v>15156908.896404024</v>
      </c>
      <c r="AR199" s="244">
        <f t="shared" si="1035"/>
        <v>17197276.780389339</v>
      </c>
      <c r="AS199" s="244">
        <f t="shared" si="1036"/>
        <v>19116150.211922091</v>
      </c>
      <c r="AT199" s="244">
        <f t="shared" si="1037"/>
        <v>21870587.734055478</v>
      </c>
      <c r="AU199" s="244">
        <f t="shared" si="1038"/>
        <v>24161012.561643887</v>
      </c>
      <c r="AV199" s="244">
        <f t="shared" si="1039"/>
        <v>27340472.138652217</v>
      </c>
      <c r="AW199" s="244">
        <f t="shared" si="1040"/>
        <v>30330579.633349881</v>
      </c>
      <c r="AY199" s="333">
        <f>AY211-AY205</f>
        <v>99377.981999999916</v>
      </c>
      <c r="AZ199" s="296">
        <f t="shared" ref="AZ199" si="1045">AY211</f>
        <v>101494.18199999991</v>
      </c>
      <c r="BA199" s="296">
        <f t="shared" ref="BA199:CF199" si="1046">AZ211</f>
        <v>106934.18199999991</v>
      </c>
      <c r="BB199" s="296">
        <f t="shared" si="1046"/>
        <v>121375.74199999991</v>
      </c>
      <c r="BC199" s="296">
        <f t="shared" si="1046"/>
        <v>124635.67059999991</v>
      </c>
      <c r="BD199" s="296">
        <f t="shared" si="1046"/>
        <v>136994.60419999991</v>
      </c>
      <c r="BE199" s="296">
        <f t="shared" si="1046"/>
        <v>154132.43859999991</v>
      </c>
      <c r="BF199" s="296">
        <f t="shared" si="1046"/>
        <v>155583.43859999991</v>
      </c>
      <c r="BG199" s="296">
        <f t="shared" si="1046"/>
        <v>163734.5077999999</v>
      </c>
      <c r="BH199" s="296">
        <f t="shared" si="1046"/>
        <v>178381.8477999999</v>
      </c>
      <c r="BI199" s="296">
        <f t="shared" si="1046"/>
        <v>183951.7411999999</v>
      </c>
      <c r="BJ199" s="296">
        <f t="shared" si="1046"/>
        <v>195539.01459999991</v>
      </c>
      <c r="BK199" s="296">
        <f t="shared" si="1046"/>
        <v>211113.36719999992</v>
      </c>
      <c r="BL199" s="296">
        <f t="shared" si="1046"/>
        <v>215483.96719999993</v>
      </c>
      <c r="BM199" s="296">
        <f t="shared" si="1046"/>
        <v>218941.97299999994</v>
      </c>
      <c r="BN199" s="296">
        <f t="shared" si="1046"/>
        <v>241214.03819999995</v>
      </c>
      <c r="BO199" s="296">
        <f t="shared" si="1046"/>
        <v>245425.09819999995</v>
      </c>
      <c r="BP199" s="296">
        <f t="shared" si="1046"/>
        <v>255993.00479999994</v>
      </c>
      <c r="BQ199" s="296">
        <f t="shared" si="1046"/>
        <v>272316.02139999997</v>
      </c>
      <c r="BR199" s="296">
        <f t="shared" si="1046"/>
        <v>277580.94139999995</v>
      </c>
      <c r="BS199" s="296">
        <f t="shared" si="1046"/>
        <v>288280.37479999993</v>
      </c>
      <c r="BT199" s="296">
        <f t="shared" si="1046"/>
        <v>316035.06059999991</v>
      </c>
      <c r="BU199" s="296">
        <f t="shared" si="1046"/>
        <v>318946.09779999993</v>
      </c>
      <c r="BV199" s="296">
        <f t="shared" si="1046"/>
        <v>344890.95719999995</v>
      </c>
      <c r="BW199" s="296">
        <f t="shared" si="1046"/>
        <v>373488.11739999993</v>
      </c>
      <c r="BX199" s="296">
        <f t="shared" si="1046"/>
        <v>379234.71739999991</v>
      </c>
      <c r="BY199" s="296">
        <f t="shared" si="1046"/>
        <v>390941.75446153991</v>
      </c>
      <c r="BZ199" s="296">
        <f t="shared" si="1046"/>
        <v>412852.84762857994</v>
      </c>
      <c r="CA199" s="296">
        <f t="shared" si="1046"/>
        <v>419915.02945055993</v>
      </c>
      <c r="CB199" s="296">
        <f t="shared" si="1046"/>
        <v>435692.6158505599</v>
      </c>
      <c r="CC199" s="296">
        <f t="shared" si="1046"/>
        <v>462765.99670697987</v>
      </c>
      <c r="CD199" s="296">
        <f t="shared" si="1046"/>
        <v>465262.79270697985</v>
      </c>
      <c r="CE199" s="296">
        <f t="shared" si="1046"/>
        <v>483298.40588645986</v>
      </c>
      <c r="CF199" s="296">
        <f t="shared" si="1046"/>
        <v>501680.31479415984</v>
      </c>
      <c r="CG199" s="296">
        <f t="shared" ref="CG199:DL199" si="1047">CF211</f>
        <v>509813.34059415985</v>
      </c>
      <c r="CH199" s="296">
        <f t="shared" si="1047"/>
        <v>537339.7670666998</v>
      </c>
      <c r="CI199" s="296">
        <f t="shared" si="1047"/>
        <v>577755.57234801981</v>
      </c>
      <c r="CJ199" s="296">
        <f t="shared" si="1047"/>
        <v>582259.37378554</v>
      </c>
      <c r="CK199" s="296">
        <f t="shared" si="1047"/>
        <v>605984.63142897224</v>
      </c>
      <c r="CL199" s="296">
        <f t="shared" si="1047"/>
        <v>657112.14661094744</v>
      </c>
      <c r="CM199" s="296">
        <f t="shared" si="1047"/>
        <v>683629.22373249975</v>
      </c>
      <c r="CN199" s="296">
        <f t="shared" si="1047"/>
        <v>723166.52353885071</v>
      </c>
      <c r="CO199" s="296">
        <f t="shared" si="1047"/>
        <v>771088.40593019139</v>
      </c>
      <c r="CP199" s="296">
        <f t="shared" si="1047"/>
        <v>797658.88734824932</v>
      </c>
      <c r="CQ199" s="296">
        <f t="shared" si="1047"/>
        <v>860335.20957207738</v>
      </c>
      <c r="CR199" s="296">
        <f t="shared" si="1047"/>
        <v>948539.01049332751</v>
      </c>
      <c r="CS199" s="296">
        <f t="shared" si="1047"/>
        <v>975138.57463378855</v>
      </c>
      <c r="CT199" s="296">
        <f t="shared" si="1047"/>
        <v>1080685.4307337371</v>
      </c>
      <c r="CU199" s="296">
        <f t="shared" si="1047"/>
        <v>1213143.8527573966</v>
      </c>
      <c r="CV199" s="296">
        <f t="shared" si="1047"/>
        <v>1239794.0808823747</v>
      </c>
      <c r="CW199" s="296">
        <f t="shared" si="1047"/>
        <v>1302261.9705807911</v>
      </c>
      <c r="CX199" s="296">
        <f t="shared" si="1047"/>
        <v>1427046.9195813835</v>
      </c>
      <c r="CY199" s="296">
        <f t="shared" si="1047"/>
        <v>1474351.7683838781</v>
      </c>
      <c r="CZ199" s="296">
        <f t="shared" si="1047"/>
        <v>1574582.5935877906</v>
      </c>
      <c r="DA199" s="296">
        <f t="shared" si="1047"/>
        <v>1715584.8745237372</v>
      </c>
      <c r="DB199" s="296">
        <f t="shared" si="1047"/>
        <v>1760693.2240446103</v>
      </c>
      <c r="DC199" s="296">
        <f t="shared" si="1047"/>
        <v>1847694.904302492</v>
      </c>
      <c r="DD199" s="296">
        <f t="shared" si="1047"/>
        <v>2001556.6967687847</v>
      </c>
      <c r="DE199" s="296">
        <f t="shared" si="1047"/>
        <v>2064671.2151648519</v>
      </c>
      <c r="DF199" s="296">
        <f t="shared" si="1047"/>
        <v>2236682.645033739</v>
      </c>
      <c r="DG199" s="296">
        <f t="shared" si="1047"/>
        <v>2437064.0948835206</v>
      </c>
      <c r="DH199" s="296">
        <f t="shared" si="1047"/>
        <v>2556798.6128102378</v>
      </c>
      <c r="DI199" s="296">
        <f t="shared" si="1047"/>
        <v>2816615.5589577463</v>
      </c>
      <c r="DJ199" s="296">
        <f t="shared" si="1047"/>
        <v>3325149.3027420426</v>
      </c>
      <c r="DK199" s="296">
        <f t="shared" si="1047"/>
        <v>3540075.629545134</v>
      </c>
      <c r="DL199" s="296">
        <f t="shared" si="1047"/>
        <v>3956653.1781302234</v>
      </c>
      <c r="DM199" s="296">
        <f t="shared" ref="DM199:ER199" si="1048">DL211</f>
        <v>4538888.2113801651</v>
      </c>
      <c r="DN199" s="296">
        <f t="shared" si="1048"/>
        <v>4725154.1297947448</v>
      </c>
      <c r="DO199" s="296">
        <f t="shared" si="1048"/>
        <v>5070115.3040476963</v>
      </c>
      <c r="DP199" s="296">
        <f t="shared" si="1048"/>
        <v>5678381.6326107886</v>
      </c>
      <c r="DQ199" s="296">
        <f t="shared" si="1048"/>
        <v>5904360.4503043434</v>
      </c>
      <c r="DR199" s="296">
        <f t="shared" si="1048"/>
        <v>6563380.0785767492</v>
      </c>
      <c r="DS199" s="296">
        <f t="shared" si="1048"/>
        <v>7330127.347975431</v>
      </c>
      <c r="DT199" s="296">
        <f t="shared" si="1048"/>
        <v>7479929.8408850022</v>
      </c>
      <c r="DU199" s="296">
        <f t="shared" si="1048"/>
        <v>7816557.9665162545</v>
      </c>
      <c r="DV199" s="296">
        <f t="shared" si="1048"/>
        <v>8476968.3285020571</v>
      </c>
      <c r="DW199" s="296">
        <f t="shared" si="1048"/>
        <v>8748848.2227869462</v>
      </c>
      <c r="DX199" s="296">
        <f t="shared" si="1048"/>
        <v>9298143.4544675257</v>
      </c>
      <c r="DY199" s="296">
        <f t="shared" si="1048"/>
        <v>10058533.47455769</v>
      </c>
      <c r="DZ199" s="296">
        <f t="shared" si="1048"/>
        <v>10291326.261704793</v>
      </c>
      <c r="EA199" s="296">
        <f t="shared" si="1048"/>
        <v>10743939.131728001</v>
      </c>
      <c r="EB199" s="296">
        <f t="shared" si="1048"/>
        <v>11544835.873016743</v>
      </c>
      <c r="EC199" s="296">
        <f t="shared" si="1048"/>
        <v>11831892.531214895</v>
      </c>
      <c r="ED199" s="296">
        <f t="shared" si="1048"/>
        <v>12685148.318215681</v>
      </c>
      <c r="EE199" s="296">
        <f t="shared" si="1048"/>
        <v>13687199.746108076</v>
      </c>
      <c r="EF199" s="296">
        <f t="shared" si="1048"/>
        <v>13874574.718854886</v>
      </c>
      <c r="EG199" s="296">
        <f t="shared" si="1048"/>
        <v>14307033.115830647</v>
      </c>
      <c r="EH199" s="296">
        <f t="shared" si="1048"/>
        <v>15156908.896404024</v>
      </c>
      <c r="EI199" s="296">
        <f t="shared" si="1048"/>
        <v>15499917.969896855</v>
      </c>
      <c r="EJ199" s="296">
        <f t="shared" si="1048"/>
        <v>16214686.283603346</v>
      </c>
      <c r="EK199" s="296">
        <f t="shared" si="1048"/>
        <v>17197276.780389339</v>
      </c>
      <c r="EL199" s="296">
        <f t="shared" si="1048"/>
        <v>17488212.091295857</v>
      </c>
      <c r="EM199" s="296">
        <f t="shared" si="1048"/>
        <v>18075068.917461772</v>
      </c>
      <c r="EN199" s="296">
        <f t="shared" si="1048"/>
        <v>19116150.211922091</v>
      </c>
      <c r="EO199" s="296">
        <f t="shared" si="1048"/>
        <v>19479471.974894371</v>
      </c>
      <c r="EP199" s="296">
        <f t="shared" si="1048"/>
        <v>20575065.039712571</v>
      </c>
      <c r="EQ199" s="296">
        <f t="shared" si="1048"/>
        <v>21870587.734055478</v>
      </c>
      <c r="ER199" s="296">
        <f t="shared" si="1048"/>
        <v>22162695.731920205</v>
      </c>
      <c r="ES199" s="296">
        <f t="shared" ref="ES199:FB199" si="1049">ER211</f>
        <v>22836624.944128968</v>
      </c>
      <c r="ET199" s="296">
        <f t="shared" si="1049"/>
        <v>24161012.561643887</v>
      </c>
      <c r="EU199" s="296">
        <f t="shared" si="1049"/>
        <v>24695681.390406627</v>
      </c>
      <c r="EV199" s="296">
        <f t="shared" si="1049"/>
        <v>25809357.910813961</v>
      </c>
      <c r="EW199" s="296">
        <f t="shared" si="1049"/>
        <v>27340472.138652217</v>
      </c>
      <c r="EX199" s="296">
        <f t="shared" si="1049"/>
        <v>27794030.808388207</v>
      </c>
      <c r="EY199" s="296">
        <f t="shared" si="1049"/>
        <v>28708453.738909256</v>
      </c>
      <c r="EZ199" s="296">
        <f t="shared" si="1049"/>
        <v>30330579.633349881</v>
      </c>
      <c r="FA199" s="296">
        <f t="shared" si="1049"/>
        <v>30896885.598719034</v>
      </c>
      <c r="FB199" s="296">
        <f t="shared" si="1049"/>
        <v>32604234.607842434</v>
      </c>
    </row>
    <row r="200" spans="3:158" x14ac:dyDescent="0.25">
      <c r="C200" s="2" t="s">
        <v>299</v>
      </c>
      <c r="D200" s="244">
        <f t="shared" si="1004"/>
        <v>49688.990999999958</v>
      </c>
      <c r="E200" s="244">
        <f t="shared" si="994"/>
        <v>105556.68359999996</v>
      </c>
      <c r="F200" s="244">
        <f t="shared" si="995"/>
        <v>186744.05869999997</v>
      </c>
      <c r="G200" s="244">
        <f t="shared" si="996"/>
        <v>288877.7861740099</v>
      </c>
      <c r="H200" s="244">
        <f t="shared" si="997"/>
        <v>1218761.0744182314</v>
      </c>
      <c r="I200" s="244">
        <f t="shared" si="998"/>
        <v>3759937.8134794128</v>
      </c>
      <c r="J200" s="244">
        <f t="shared" si="999"/>
        <v>13629798.778544141</v>
      </c>
      <c r="K200" s="244">
        <f t="shared" si="1000"/>
        <v>29176299.834990311</v>
      </c>
      <c r="L200" s="244">
        <f t="shared" si="1001"/>
        <v>49077259.175650209</v>
      </c>
      <c r="N200" s="244">
        <f t="shared" si="1005"/>
        <v>49688.990999999958</v>
      </c>
      <c r="O200" s="244">
        <f t="shared" si="1006"/>
        <v>60687.870999999956</v>
      </c>
      <c r="P200" s="244">
        <f t="shared" si="1007"/>
        <v>77066.219299999953</v>
      </c>
      <c r="Q200" s="244">
        <f t="shared" si="1008"/>
        <v>89190.923899999951</v>
      </c>
      <c r="R200" s="244">
        <f t="shared" si="1009"/>
        <v>105556.68359999996</v>
      </c>
      <c r="S200" s="244">
        <f t="shared" si="1010"/>
        <v>120607.01909999998</v>
      </c>
      <c r="T200" s="244">
        <f t="shared" si="1011"/>
        <v>136158.01069999998</v>
      </c>
      <c r="U200" s="244">
        <f t="shared" si="1012"/>
        <v>158017.53029999995</v>
      </c>
      <c r="V200" s="244">
        <f t="shared" si="1013"/>
        <v>186744.05869999997</v>
      </c>
      <c r="W200" s="244">
        <f t="shared" si="1014"/>
        <v>206426.42381428997</v>
      </c>
      <c r="X200" s="244">
        <f t="shared" si="1015"/>
        <v>231382.99835348994</v>
      </c>
      <c r="Y200" s="244">
        <f t="shared" si="1016"/>
        <v>250840.15739707992</v>
      </c>
      <c r="Z200" s="244">
        <f t="shared" si="1017"/>
        <v>288877.7861740099</v>
      </c>
      <c r="AA200" s="244">
        <f t="shared" si="1018"/>
        <v>408504.30341537576</v>
      </c>
      <c r="AB200" s="244">
        <f t="shared" si="1019"/>
        <v>578367.03350462881</v>
      </c>
      <c r="AC200" s="244">
        <f t="shared" si="1020"/>
        <v>835835.78266119689</v>
      </c>
      <c r="AD200" s="244">
        <f t="shared" si="1021"/>
        <v>1218761.0744182314</v>
      </c>
      <c r="AE200" s="244">
        <f t="shared" si="1022"/>
        <v>1665771.9701256191</v>
      </c>
      <c r="AF200" s="244">
        <f t="shared" si="1023"/>
        <v>2264479.4947575657</v>
      </c>
      <c r="AG200" s="244">
        <f t="shared" si="1024"/>
        <v>2856249.0667831753</v>
      </c>
      <c r="AH200" s="244">
        <f t="shared" si="1025"/>
        <v>3759937.8134794128</v>
      </c>
      <c r="AI200" s="244">
        <f t="shared" si="1026"/>
        <v>5553337.3366025072</v>
      </c>
      <c r="AJ200" s="244">
        <f t="shared" si="1027"/>
        <v>8000221.4559559906</v>
      </c>
      <c r="AK200" s="244">
        <f t="shared" si="1028"/>
        <v>10296994.670040963</v>
      </c>
      <c r="AL200" s="244">
        <f t="shared" si="1029"/>
        <v>13629798.778544141</v>
      </c>
      <c r="AM200" s="244">
        <f t="shared" si="1030"/>
        <v>16441789.941274265</v>
      </c>
      <c r="AN200" s="244">
        <f t="shared" si="1031"/>
        <v>20304647.152510833</v>
      </c>
      <c r="AO200" s="244">
        <f t="shared" si="1032"/>
        <v>23933272.561862692</v>
      </c>
      <c r="AP200" s="244">
        <f t="shared" si="1033"/>
        <v>29176299.834990311</v>
      </c>
      <c r="AQ200" s="244">
        <f t="shared" si="1034"/>
        <v>32757269.504411936</v>
      </c>
      <c r="AR200" s="244">
        <f t="shared" si="1035"/>
        <v>37714601.974667765</v>
      </c>
      <c r="AS200" s="244">
        <f t="shared" si="1036"/>
        <v>42375301.76601743</v>
      </c>
      <c r="AT200" s="244">
        <f t="shared" si="1037"/>
        <v>49077259.175650209</v>
      </c>
      <c r="AU200" s="244">
        <f t="shared" si="1038"/>
        <v>53582374.904164538</v>
      </c>
      <c r="AV200" s="244">
        <f t="shared" si="1039"/>
        <v>59855989.844580926</v>
      </c>
      <c r="AW200" s="244">
        <f t="shared" si="1040"/>
        <v>65758021.342957444</v>
      </c>
      <c r="AY200" s="333">
        <f>AY212-AY206</f>
        <v>49688.990999999958</v>
      </c>
      <c r="AZ200" s="296">
        <f t="shared" ref="AZ200" si="1050">AY212</f>
        <v>50747.090999999957</v>
      </c>
      <c r="BA200" s="296">
        <f t="shared" ref="BA200:CF200" si="1051">AZ212</f>
        <v>53467.090999999957</v>
      </c>
      <c r="BB200" s="296">
        <f t="shared" si="1051"/>
        <v>60687.870999999956</v>
      </c>
      <c r="BC200" s="296">
        <f t="shared" si="1051"/>
        <v>62317.835299999955</v>
      </c>
      <c r="BD200" s="296">
        <f t="shared" si="1051"/>
        <v>68497.302099999957</v>
      </c>
      <c r="BE200" s="296">
        <f t="shared" si="1051"/>
        <v>77066.219299999953</v>
      </c>
      <c r="BF200" s="296">
        <f t="shared" si="1051"/>
        <v>77791.719299999953</v>
      </c>
      <c r="BG200" s="296">
        <f t="shared" si="1051"/>
        <v>81867.253899999952</v>
      </c>
      <c r="BH200" s="296">
        <f t="shared" si="1051"/>
        <v>89190.923899999951</v>
      </c>
      <c r="BI200" s="296">
        <f t="shared" si="1051"/>
        <v>91975.870599999951</v>
      </c>
      <c r="BJ200" s="296">
        <f t="shared" si="1051"/>
        <v>97769.507299999954</v>
      </c>
      <c r="BK200" s="296">
        <f t="shared" si="1051"/>
        <v>105556.68359999996</v>
      </c>
      <c r="BL200" s="296">
        <f t="shared" si="1051"/>
        <v>107741.98359999996</v>
      </c>
      <c r="BM200" s="296">
        <f t="shared" si="1051"/>
        <v>109470.98649999997</v>
      </c>
      <c r="BN200" s="296">
        <f t="shared" si="1051"/>
        <v>120607.01909999998</v>
      </c>
      <c r="BO200" s="296">
        <f t="shared" si="1051"/>
        <v>122712.54909999997</v>
      </c>
      <c r="BP200" s="296">
        <f t="shared" si="1051"/>
        <v>127996.50239999997</v>
      </c>
      <c r="BQ200" s="296">
        <f t="shared" si="1051"/>
        <v>136158.01069999998</v>
      </c>
      <c r="BR200" s="296">
        <f t="shared" si="1051"/>
        <v>138790.47069999998</v>
      </c>
      <c r="BS200" s="296">
        <f t="shared" si="1051"/>
        <v>144140.18739999997</v>
      </c>
      <c r="BT200" s="296">
        <f t="shared" si="1051"/>
        <v>158017.53029999995</v>
      </c>
      <c r="BU200" s="296">
        <f t="shared" si="1051"/>
        <v>159473.04889999997</v>
      </c>
      <c r="BV200" s="296">
        <f t="shared" si="1051"/>
        <v>172445.47859999997</v>
      </c>
      <c r="BW200" s="296">
        <f t="shared" si="1051"/>
        <v>186744.05869999997</v>
      </c>
      <c r="BX200" s="296">
        <f t="shared" si="1051"/>
        <v>189617.35869999995</v>
      </c>
      <c r="BY200" s="296">
        <f t="shared" si="1051"/>
        <v>195470.87723076995</v>
      </c>
      <c r="BZ200" s="296">
        <f t="shared" si="1051"/>
        <v>206426.42381428997</v>
      </c>
      <c r="CA200" s="296">
        <f t="shared" si="1051"/>
        <v>209957.51472527997</v>
      </c>
      <c r="CB200" s="296">
        <f t="shared" si="1051"/>
        <v>217846.30792527995</v>
      </c>
      <c r="CC200" s="296">
        <f t="shared" si="1051"/>
        <v>231382.99835348994</v>
      </c>
      <c r="CD200" s="296">
        <f t="shared" si="1051"/>
        <v>232631.39635348992</v>
      </c>
      <c r="CE200" s="296">
        <f t="shared" si="1051"/>
        <v>241649.20294322993</v>
      </c>
      <c r="CF200" s="296">
        <f t="shared" si="1051"/>
        <v>250840.15739707992</v>
      </c>
      <c r="CG200" s="296">
        <f t="shared" ref="CG200:DL200" si="1052">CF212</f>
        <v>254906.67029707992</v>
      </c>
      <c r="CH200" s="296">
        <f t="shared" si="1052"/>
        <v>268669.8835333499</v>
      </c>
      <c r="CI200" s="296">
        <f t="shared" si="1052"/>
        <v>288877.7861740099</v>
      </c>
      <c r="CJ200" s="296">
        <f t="shared" si="1052"/>
        <v>298844.27352814999</v>
      </c>
      <c r="CK200" s="296">
        <f t="shared" si="1052"/>
        <v>333952.76267986617</v>
      </c>
      <c r="CL200" s="296">
        <f t="shared" si="1052"/>
        <v>408504.30341537576</v>
      </c>
      <c r="CM200" s="296">
        <f t="shared" si="1052"/>
        <v>449754.95862010092</v>
      </c>
      <c r="CN200" s="296">
        <f t="shared" si="1052"/>
        <v>509093.37102426845</v>
      </c>
      <c r="CO200" s="296">
        <f t="shared" si="1052"/>
        <v>578367.03350462881</v>
      </c>
      <c r="CP200" s="296">
        <f t="shared" si="1052"/>
        <v>616963.79124490777</v>
      </c>
      <c r="CQ200" s="296">
        <f t="shared" si="1052"/>
        <v>707362.15876307175</v>
      </c>
      <c r="CR200" s="296">
        <f t="shared" si="1052"/>
        <v>835835.78266119689</v>
      </c>
      <c r="CS200" s="296">
        <f t="shared" si="1052"/>
        <v>874197.85179392737</v>
      </c>
      <c r="CT200" s="296">
        <f t="shared" si="1052"/>
        <v>1027220.4280939016</v>
      </c>
      <c r="CU200" s="296">
        <f t="shared" si="1052"/>
        <v>1218761.0744182314</v>
      </c>
      <c r="CV200" s="296">
        <f t="shared" si="1052"/>
        <v>1276218.3162379386</v>
      </c>
      <c r="CW200" s="296">
        <f t="shared" si="1052"/>
        <v>1406411.5118617339</v>
      </c>
      <c r="CX200" s="296">
        <f t="shared" si="1052"/>
        <v>1665771.9701256191</v>
      </c>
      <c r="CY200" s="296">
        <f t="shared" si="1052"/>
        <v>1766873.4461306501</v>
      </c>
      <c r="CZ200" s="296">
        <f t="shared" si="1052"/>
        <v>1972653.6288273209</v>
      </c>
      <c r="DA200" s="296">
        <f t="shared" si="1052"/>
        <v>2264479.4947575657</v>
      </c>
      <c r="DB200" s="296">
        <f t="shared" si="1052"/>
        <v>2361243.6079554223</v>
      </c>
      <c r="DC200" s="296">
        <f t="shared" si="1052"/>
        <v>2540383.0473950505</v>
      </c>
      <c r="DD200" s="296">
        <f t="shared" si="1052"/>
        <v>2856249.0667831753</v>
      </c>
      <c r="DE200" s="296">
        <f t="shared" si="1052"/>
        <v>2988914.8006220586</v>
      </c>
      <c r="DF200" s="296">
        <f t="shared" si="1052"/>
        <v>3346466.0919087934</v>
      </c>
      <c r="DG200" s="296">
        <f t="shared" si="1052"/>
        <v>3759937.8134794128</v>
      </c>
      <c r="DH200" s="296">
        <f t="shared" si="1052"/>
        <v>4003136.0132154096</v>
      </c>
      <c r="DI200" s="296">
        <f t="shared" si="1052"/>
        <v>4527486.4746911544</v>
      </c>
      <c r="DJ200" s="296">
        <f t="shared" si="1052"/>
        <v>5553337.3366025072</v>
      </c>
      <c r="DK200" s="296">
        <f t="shared" si="1052"/>
        <v>5989013.9388191737</v>
      </c>
      <c r="DL200" s="296">
        <f t="shared" si="1052"/>
        <v>6826940.4340292541</v>
      </c>
      <c r="DM200" s="296">
        <f t="shared" ref="DM200:ER200" si="1053">DL212</f>
        <v>8000221.4559559906</v>
      </c>
      <c r="DN200" s="296">
        <f t="shared" si="1053"/>
        <v>8378627.1537253968</v>
      </c>
      <c r="DO200" s="296">
        <f t="shared" si="1053"/>
        <v>9073157.2164613158</v>
      </c>
      <c r="DP200" s="296">
        <f t="shared" si="1053"/>
        <v>10296994.670040963</v>
      </c>
      <c r="DQ200" s="296">
        <f t="shared" si="1053"/>
        <v>10754726.839078402</v>
      </c>
      <c r="DR200" s="296">
        <f t="shared" si="1053"/>
        <v>12084902.814603191</v>
      </c>
      <c r="DS200" s="296">
        <f t="shared" si="1053"/>
        <v>13629798.778544141</v>
      </c>
      <c r="DT200" s="296">
        <f t="shared" si="1053"/>
        <v>14002219.031915499</v>
      </c>
      <c r="DU200" s="296">
        <f t="shared" si="1053"/>
        <v>14826434.939345898</v>
      </c>
      <c r="DV200" s="296">
        <f t="shared" si="1053"/>
        <v>16441789.941274265</v>
      </c>
      <c r="DW200" s="296">
        <f t="shared" si="1053"/>
        <v>17114439.061638769</v>
      </c>
      <c r="DX200" s="296">
        <f t="shared" si="1053"/>
        <v>18449245.604458097</v>
      </c>
      <c r="DY200" s="296">
        <f t="shared" si="1053"/>
        <v>20304647.152510833</v>
      </c>
      <c r="DZ200" s="296">
        <f t="shared" si="1053"/>
        <v>20883659.79680999</v>
      </c>
      <c r="EA200" s="296">
        <f t="shared" si="1053"/>
        <v>21985862.704756811</v>
      </c>
      <c r="EB200" s="296">
        <f t="shared" si="1053"/>
        <v>23933272.561862692</v>
      </c>
      <c r="EC200" s="296">
        <f t="shared" si="1053"/>
        <v>24642175.054300636</v>
      </c>
      <c r="ED200" s="296">
        <f t="shared" si="1053"/>
        <v>26731953.882451929</v>
      </c>
      <c r="EE200" s="296">
        <f t="shared" si="1053"/>
        <v>29176299.834990311</v>
      </c>
      <c r="EF200" s="296">
        <f t="shared" si="1053"/>
        <v>29637615.907103274</v>
      </c>
      <c r="EG200" s="296">
        <f t="shared" si="1053"/>
        <v>30690207.909802418</v>
      </c>
      <c r="EH200" s="296">
        <f t="shared" si="1053"/>
        <v>32757269.504411936</v>
      </c>
      <c r="EI200" s="296">
        <f t="shared" si="1053"/>
        <v>33598632.555917755</v>
      </c>
      <c r="EJ200" s="296">
        <f t="shared" si="1053"/>
        <v>35328939.147609204</v>
      </c>
      <c r="EK200" s="296">
        <f t="shared" si="1053"/>
        <v>37714601.974667765</v>
      </c>
      <c r="EL200" s="296">
        <f t="shared" si="1053"/>
        <v>38431143.470090061</v>
      </c>
      <c r="EM200" s="296">
        <f t="shared" si="1053"/>
        <v>39853952.625744887</v>
      </c>
      <c r="EN200" s="296">
        <f t="shared" si="1053"/>
        <v>42375301.76601743</v>
      </c>
      <c r="EO200" s="296">
        <f t="shared" si="1053"/>
        <v>43265261.347428896</v>
      </c>
      <c r="EP200" s="296">
        <f t="shared" si="1053"/>
        <v>45932489.9057566</v>
      </c>
      <c r="EQ200" s="296">
        <f t="shared" si="1053"/>
        <v>49077259.175650209</v>
      </c>
      <c r="ER200" s="296">
        <f t="shared" si="1053"/>
        <v>49645082.898852818</v>
      </c>
      <c r="ES200" s="296">
        <f t="shared" ref="ES200:FB200" si="1054">ER212</f>
        <v>50972208.716756649</v>
      </c>
      <c r="ET200" s="296">
        <f t="shared" si="1054"/>
        <v>53582374.904164538</v>
      </c>
      <c r="EU200" s="296">
        <f t="shared" si="1054"/>
        <v>54626112.251322366</v>
      </c>
      <c r="EV200" s="296">
        <f t="shared" si="1054"/>
        <v>56832491.674600437</v>
      </c>
      <c r="EW200" s="296">
        <f t="shared" si="1054"/>
        <v>59855989.844580926</v>
      </c>
      <c r="EX200" s="296">
        <f t="shared" si="1054"/>
        <v>60737287.474233344</v>
      </c>
      <c r="EY200" s="296">
        <f t="shared" si="1054"/>
        <v>62545879.222084694</v>
      </c>
      <c r="EZ200" s="296">
        <f t="shared" si="1054"/>
        <v>65758021.342957444</v>
      </c>
      <c r="FA200" s="296">
        <f t="shared" si="1054"/>
        <v>66865250.176494174</v>
      </c>
      <c r="FB200" s="296">
        <f t="shared" si="1054"/>
        <v>70226598.861923516</v>
      </c>
    </row>
    <row r="201" spans="3:158" x14ac:dyDescent="0.25">
      <c r="C201" s="2" t="s">
        <v>300</v>
      </c>
      <c r="D201" s="244">
        <f t="shared" si="1004"/>
        <v>99377.981999999916</v>
      </c>
      <c r="E201" s="244">
        <f t="shared" si="994"/>
        <v>211113.36719999992</v>
      </c>
      <c r="F201" s="244">
        <f t="shared" si="995"/>
        <v>373488.11739999993</v>
      </c>
      <c r="G201" s="244">
        <f t="shared" si="996"/>
        <v>577755.57234801981</v>
      </c>
      <c r="H201" s="244">
        <f t="shared" si="997"/>
        <v>1773441.5031341745</v>
      </c>
      <c r="I201" s="244">
        <f t="shared" si="998"/>
        <v>3161388.1595202447</v>
      </c>
      <c r="J201" s="244">
        <f t="shared" si="999"/>
        <v>5038780.7306844769</v>
      </c>
      <c r="K201" s="244">
        <f t="shared" si="1000"/>
        <v>7542406.0000681095</v>
      </c>
      <c r="L201" s="244">
        <f t="shared" si="1001"/>
        <v>10821331.140420465</v>
      </c>
      <c r="N201" s="244">
        <f t="shared" si="1005"/>
        <v>99377.981999999916</v>
      </c>
      <c r="O201" s="244">
        <f t="shared" si="1006"/>
        <v>121375.74199999991</v>
      </c>
      <c r="P201" s="244">
        <f t="shared" si="1007"/>
        <v>154132.43859999991</v>
      </c>
      <c r="Q201" s="244">
        <f t="shared" si="1008"/>
        <v>178381.8477999999</v>
      </c>
      <c r="R201" s="244">
        <f t="shared" si="1009"/>
        <v>211113.36719999992</v>
      </c>
      <c r="S201" s="244">
        <f t="shared" si="1010"/>
        <v>241214.03819999995</v>
      </c>
      <c r="T201" s="244">
        <f t="shared" si="1011"/>
        <v>272316.02139999997</v>
      </c>
      <c r="U201" s="244">
        <f t="shared" si="1012"/>
        <v>316035.06059999991</v>
      </c>
      <c r="V201" s="244">
        <f t="shared" si="1013"/>
        <v>373488.11739999993</v>
      </c>
      <c r="W201" s="244">
        <f t="shared" si="1014"/>
        <v>412852.84762857994</v>
      </c>
      <c r="X201" s="244">
        <f t="shared" si="1015"/>
        <v>462765.99670697987</v>
      </c>
      <c r="Y201" s="244">
        <f t="shared" si="1016"/>
        <v>501680.31479415984</v>
      </c>
      <c r="Z201" s="244">
        <f t="shared" si="1017"/>
        <v>577755.57234801981</v>
      </c>
      <c r="AA201" s="244">
        <f t="shared" si="1018"/>
        <v>730283.65843177994</v>
      </c>
      <c r="AB201" s="244">
        <f t="shared" si="1019"/>
        <v>947566.83459277079</v>
      </c>
      <c r="AC201" s="244">
        <f t="shared" si="1020"/>
        <v>1279457.544968491</v>
      </c>
      <c r="AD201" s="244">
        <f t="shared" si="1021"/>
        <v>1773441.5031341745</v>
      </c>
      <c r="AE201" s="244">
        <f t="shared" si="1022"/>
        <v>2015126.3807728591</v>
      </c>
      <c r="AF201" s="244">
        <f t="shared" si="1023"/>
        <v>2342447.2962527205</v>
      </c>
      <c r="AG201" s="244">
        <f t="shared" si="1024"/>
        <v>2667350.7108268659</v>
      </c>
      <c r="AH201" s="244">
        <f t="shared" si="1025"/>
        <v>3161388.1595202447</v>
      </c>
      <c r="AI201" s="244">
        <f t="shared" si="1026"/>
        <v>3498220.0941020758</v>
      </c>
      <c r="AJ201" s="244">
        <f t="shared" si="1027"/>
        <v>3966540.5960337734</v>
      </c>
      <c r="AK201" s="244">
        <f t="shared" si="1028"/>
        <v>4407047.1728338907</v>
      </c>
      <c r="AL201" s="244">
        <f t="shared" si="1029"/>
        <v>5038780.7306844769</v>
      </c>
      <c r="AM201" s="244">
        <f t="shared" si="1030"/>
        <v>5486767.7298754677</v>
      </c>
      <c r="AN201" s="244">
        <f t="shared" si="1031"/>
        <v>6112109.7527988674</v>
      </c>
      <c r="AO201" s="244">
        <f t="shared" si="1032"/>
        <v>6700566.5355503196</v>
      </c>
      <c r="AP201" s="244">
        <f t="shared" si="1033"/>
        <v>7542406.0000681095</v>
      </c>
      <c r="AQ201" s="244">
        <f t="shared" si="1034"/>
        <v>8127872.113522185</v>
      </c>
      <c r="AR201" s="244">
        <f t="shared" si="1035"/>
        <v>8947703.4627526477</v>
      </c>
      <c r="AS201" s="244">
        <f t="shared" si="1036"/>
        <v>9719442.1709709484</v>
      </c>
      <c r="AT201" s="244">
        <f t="shared" si="1037"/>
        <v>10821331.140420465</v>
      </c>
      <c r="AU201" s="244">
        <f t="shared" si="1038"/>
        <v>11570765.014949471</v>
      </c>
      <c r="AV201" s="244">
        <f t="shared" si="1039"/>
        <v>12623086.411221208</v>
      </c>
      <c r="AW201" s="244">
        <f t="shared" si="1040"/>
        <v>13613971.273282869</v>
      </c>
      <c r="AY201" s="333">
        <f>AY213-AY207</f>
        <v>99377.981999999916</v>
      </c>
      <c r="AZ201" s="296">
        <f t="shared" ref="AZ201" si="1055">AY213</f>
        <v>101494.18199999991</v>
      </c>
      <c r="BA201" s="296">
        <f>AZ213</f>
        <v>106934.18199999991</v>
      </c>
      <c r="BB201" s="296">
        <f>BA213</f>
        <v>121375.74199999991</v>
      </c>
      <c r="BC201" s="296">
        <f t="shared" ref="BC201:DN201" si="1056">BB213</f>
        <v>124635.67059999991</v>
      </c>
      <c r="BD201" s="296">
        <f t="shared" si="1056"/>
        <v>136994.60419999991</v>
      </c>
      <c r="BE201" s="296">
        <f t="shared" si="1056"/>
        <v>154132.43859999991</v>
      </c>
      <c r="BF201" s="296">
        <f t="shared" si="1056"/>
        <v>155583.43859999991</v>
      </c>
      <c r="BG201" s="296">
        <f t="shared" si="1056"/>
        <v>163734.5077999999</v>
      </c>
      <c r="BH201" s="296">
        <f t="shared" si="1056"/>
        <v>178381.8477999999</v>
      </c>
      <c r="BI201" s="296">
        <f t="shared" si="1056"/>
        <v>183951.7411999999</v>
      </c>
      <c r="BJ201" s="296">
        <f t="shared" si="1056"/>
        <v>195539.01459999991</v>
      </c>
      <c r="BK201" s="296">
        <f t="shared" si="1056"/>
        <v>211113.36719999992</v>
      </c>
      <c r="BL201" s="296">
        <f t="shared" si="1056"/>
        <v>215483.96719999993</v>
      </c>
      <c r="BM201" s="296">
        <f t="shared" si="1056"/>
        <v>218941.97299999994</v>
      </c>
      <c r="BN201" s="296">
        <f t="shared" si="1056"/>
        <v>241214.03819999995</v>
      </c>
      <c r="BO201" s="296">
        <f t="shared" si="1056"/>
        <v>245425.09819999995</v>
      </c>
      <c r="BP201" s="296">
        <f t="shared" si="1056"/>
        <v>255993.00479999994</v>
      </c>
      <c r="BQ201" s="296">
        <f t="shared" si="1056"/>
        <v>272316.02139999997</v>
      </c>
      <c r="BR201" s="296">
        <f t="shared" si="1056"/>
        <v>277580.94139999995</v>
      </c>
      <c r="BS201" s="296">
        <f t="shared" si="1056"/>
        <v>288280.37479999993</v>
      </c>
      <c r="BT201" s="296">
        <f t="shared" si="1056"/>
        <v>316035.06059999991</v>
      </c>
      <c r="BU201" s="296">
        <f t="shared" si="1056"/>
        <v>318946.09779999993</v>
      </c>
      <c r="BV201" s="296">
        <f t="shared" si="1056"/>
        <v>344890.95719999995</v>
      </c>
      <c r="BW201" s="296">
        <f t="shared" si="1056"/>
        <v>373488.11739999993</v>
      </c>
      <c r="BX201" s="296">
        <f t="shared" si="1056"/>
        <v>379234.71739999991</v>
      </c>
      <c r="BY201" s="296">
        <f t="shared" si="1056"/>
        <v>390941.75446153991</v>
      </c>
      <c r="BZ201" s="296">
        <f t="shared" si="1056"/>
        <v>412852.84762857994</v>
      </c>
      <c r="CA201" s="296">
        <f t="shared" si="1056"/>
        <v>419915.02945055993</v>
      </c>
      <c r="CB201" s="296">
        <f t="shared" si="1056"/>
        <v>435692.6158505599</v>
      </c>
      <c r="CC201" s="296">
        <f t="shared" si="1056"/>
        <v>462765.99670697987</v>
      </c>
      <c r="CD201" s="296">
        <f t="shared" si="1056"/>
        <v>465262.79270697985</v>
      </c>
      <c r="CE201" s="296">
        <f t="shared" si="1056"/>
        <v>483298.40588645986</v>
      </c>
      <c r="CF201" s="296">
        <f t="shared" si="1056"/>
        <v>501680.31479415984</v>
      </c>
      <c r="CG201" s="296">
        <f t="shared" si="1056"/>
        <v>509813.34059415985</v>
      </c>
      <c r="CH201" s="296">
        <f t="shared" si="1056"/>
        <v>537339.7670666998</v>
      </c>
      <c r="CI201" s="296">
        <f t="shared" si="1056"/>
        <v>577755.57234801981</v>
      </c>
      <c r="CJ201" s="296">
        <f t="shared" si="1056"/>
        <v>589320.04250087694</v>
      </c>
      <c r="CK201" s="296">
        <f t="shared" si="1056"/>
        <v>634320.75229107717</v>
      </c>
      <c r="CL201" s="296">
        <f t="shared" si="1056"/>
        <v>730283.65843177994</v>
      </c>
      <c r="CM201" s="296">
        <f t="shared" si="1056"/>
        <v>782420.13314458868</v>
      </c>
      <c r="CN201" s="296">
        <f t="shared" si="1056"/>
        <v>858173.11077906284</v>
      </c>
      <c r="CO201" s="296">
        <f t="shared" si="1056"/>
        <v>947566.83459277079</v>
      </c>
      <c r="CP201" s="296">
        <f t="shared" si="1056"/>
        <v>997303.33188271627</v>
      </c>
      <c r="CQ201" s="296">
        <f t="shared" si="1056"/>
        <v>1114033.6911409488</v>
      </c>
      <c r="CR201" s="296">
        <f t="shared" si="1056"/>
        <v>1279457.544968491</v>
      </c>
      <c r="CS201" s="296">
        <f t="shared" si="1056"/>
        <v>1328995.0206991134</v>
      </c>
      <c r="CT201" s="296">
        <f t="shared" si="1056"/>
        <v>1526293.5231597077</v>
      </c>
      <c r="CU201" s="296">
        <f t="shared" si="1056"/>
        <v>1773441.5031341745</v>
      </c>
      <c r="CV201" s="296">
        <f t="shared" si="1056"/>
        <v>1803013.4022624621</v>
      </c>
      <c r="CW201" s="296">
        <f t="shared" si="1056"/>
        <v>1873702.0584118851</v>
      </c>
      <c r="CX201" s="296">
        <f t="shared" si="1056"/>
        <v>2015126.3807728591</v>
      </c>
      <c r="CY201" s="296">
        <f t="shared" si="1056"/>
        <v>2067888.5124563752</v>
      </c>
      <c r="CZ201" s="296">
        <f t="shared" si="1056"/>
        <v>2182263.2966427067</v>
      </c>
      <c r="DA201" s="296">
        <f t="shared" si="1056"/>
        <v>2342447.2962527205</v>
      </c>
      <c r="DB201" s="296">
        <f t="shared" si="1056"/>
        <v>2392650.29541357</v>
      </c>
      <c r="DC201" s="296">
        <f t="shared" si="1056"/>
        <v>2491770.1837792802</v>
      </c>
      <c r="DD201" s="296">
        <f t="shared" si="1056"/>
        <v>2667350.7108268659</v>
      </c>
      <c r="DE201" s="296">
        <f t="shared" si="1056"/>
        <v>2738426.969003127</v>
      </c>
      <c r="DF201" s="296">
        <f t="shared" si="1056"/>
        <v>2933365.2140069227</v>
      </c>
      <c r="DG201" s="296">
        <f t="shared" si="1056"/>
        <v>3161388.1595202447</v>
      </c>
      <c r="DH201" s="296">
        <f t="shared" si="1056"/>
        <v>3204092.3498118632</v>
      </c>
      <c r="DI201" s="296">
        <f t="shared" si="1056"/>
        <v>3303259.3767175628</v>
      </c>
      <c r="DJ201" s="296">
        <f t="shared" si="1056"/>
        <v>3498220.0941020758</v>
      </c>
      <c r="DK201" s="296">
        <f t="shared" si="1056"/>
        <v>3576550.7910400406</v>
      </c>
      <c r="DL201" s="296">
        <f t="shared" si="1056"/>
        <v>3740925.7302022958</v>
      </c>
      <c r="DM201" s="296">
        <f t="shared" si="1056"/>
        <v>3966540.5960337734</v>
      </c>
      <c r="DN201" s="296">
        <f t="shared" si="1056"/>
        <v>4032833.9439326422</v>
      </c>
      <c r="DO201" s="296">
        <f t="shared" ref="DO201:FB201" si="1057">DN213</f>
        <v>4167685.5460787239</v>
      </c>
      <c r="DP201" s="296">
        <f t="shared" si="1057"/>
        <v>4407047.1728338907</v>
      </c>
      <c r="DQ201" s="296">
        <f t="shared" si="1057"/>
        <v>4490078.0106526865</v>
      </c>
      <c r="DR201" s="296">
        <f t="shared" si="1057"/>
        <v>4741279.1708849026</v>
      </c>
      <c r="DS201" s="296">
        <f t="shared" si="1057"/>
        <v>5038780.7306844769</v>
      </c>
      <c r="DT201" s="296">
        <f t="shared" si="1057"/>
        <v>5094736.7694318648</v>
      </c>
      <c r="DU201" s="296">
        <f t="shared" si="1057"/>
        <v>5226822.712993782</v>
      </c>
      <c r="DV201" s="296">
        <f t="shared" si="1057"/>
        <v>5486767.7298754677</v>
      </c>
      <c r="DW201" s="296">
        <f t="shared" si="1057"/>
        <v>5589958.8148683822</v>
      </c>
      <c r="DX201" s="296">
        <f t="shared" si="1057"/>
        <v>5810556.4813942667</v>
      </c>
      <c r="DY201" s="296">
        <f t="shared" si="1057"/>
        <v>6112109.7527988674</v>
      </c>
      <c r="DZ201" s="296">
        <f t="shared" si="1057"/>
        <v>6198928.9498343915</v>
      </c>
      <c r="EA201" s="296">
        <f t="shared" si="1057"/>
        <v>6379527.8756246399</v>
      </c>
      <c r="EB201" s="296">
        <f t="shared" si="1057"/>
        <v>6700566.5355503196</v>
      </c>
      <c r="EC201" s="296">
        <f t="shared" si="1057"/>
        <v>6810166.522973028</v>
      </c>
      <c r="ED201" s="296">
        <f t="shared" si="1057"/>
        <v>7144652.0685535464</v>
      </c>
      <c r="EE201" s="296">
        <f t="shared" si="1057"/>
        <v>7542406.0000681095</v>
      </c>
      <c r="EF201" s="296">
        <f t="shared" si="1057"/>
        <v>7614656.6080366671</v>
      </c>
      <c r="EG201" s="296">
        <f t="shared" si="1057"/>
        <v>7787479.4440233652</v>
      </c>
      <c r="EH201" s="296">
        <f t="shared" si="1057"/>
        <v>8127872.113522185</v>
      </c>
      <c r="EI201" s="296">
        <f t="shared" si="1057"/>
        <v>8261698.6087833187</v>
      </c>
      <c r="EJ201" s="296">
        <f t="shared" si="1057"/>
        <v>8552058.906707298</v>
      </c>
      <c r="EK201" s="296">
        <f t="shared" si="1057"/>
        <v>8947703.4627526477</v>
      </c>
      <c r="EL201" s="296">
        <f t="shared" si="1057"/>
        <v>9059755.8138703257</v>
      </c>
      <c r="EM201" s="296">
        <f t="shared" si="1057"/>
        <v>9297077.8133958224</v>
      </c>
      <c r="EN201" s="296">
        <f t="shared" si="1057"/>
        <v>9719442.1709709484</v>
      </c>
      <c r="EO201" s="296">
        <f t="shared" si="1057"/>
        <v>9861808.9431431498</v>
      </c>
      <c r="EP201" s="296">
        <f t="shared" si="1057"/>
        <v>10299346.60318017</v>
      </c>
      <c r="EQ201" s="296">
        <f t="shared" si="1057"/>
        <v>10821331.140420465</v>
      </c>
      <c r="ER201" s="296">
        <f t="shared" si="1057"/>
        <v>10912836.635740528</v>
      </c>
      <c r="ES201" s="296">
        <f t="shared" si="1057"/>
        <v>11134286.588789817</v>
      </c>
      <c r="ET201" s="296">
        <f t="shared" si="1057"/>
        <v>11570765.014949471</v>
      </c>
      <c r="EU201" s="296">
        <f t="shared" si="1057"/>
        <v>11740918.734774616</v>
      </c>
      <c r="EV201" s="296">
        <f t="shared" si="1057"/>
        <v>12114904.986738406</v>
      </c>
      <c r="EW201" s="296">
        <f t="shared" si="1057"/>
        <v>12623086.411221208</v>
      </c>
      <c r="EX201" s="296">
        <f t="shared" si="1057"/>
        <v>12764945.634421498</v>
      </c>
      <c r="EY201" s="296">
        <f t="shared" si="1057"/>
        <v>13070185.44021048</v>
      </c>
      <c r="EZ201" s="296">
        <f t="shared" si="1057"/>
        <v>13613971.273282869</v>
      </c>
      <c r="FA201" s="296">
        <f t="shared" si="1057"/>
        <v>13795240.929121578</v>
      </c>
      <c r="FB201" s="296">
        <f t="shared" si="1057"/>
        <v>14355768.804482527</v>
      </c>
    </row>
    <row r="203" spans="3:158" x14ac:dyDescent="0.25">
      <c r="C203" s="304" t="s">
        <v>648</v>
      </c>
      <c r="D203" s="22">
        <f t="shared" ref="D203:L203" si="1058">SUM(D173,D179,D185,D191)</f>
        <v>5586769.2599999998</v>
      </c>
      <c r="E203" s="22">
        <f t="shared" si="1058"/>
        <v>8118737.5100000007</v>
      </c>
      <c r="F203" s="22">
        <f t="shared" si="1058"/>
        <v>10213372.747401003</v>
      </c>
      <c r="G203" s="22">
        <f t="shared" si="1058"/>
        <v>20452262.569567777</v>
      </c>
      <c r="H203" s="22">
        <f t="shared" si="1058"/>
        <v>25487869.49244849</v>
      </c>
      <c r="I203" s="22">
        <f t="shared" si="1058"/>
        <v>35005268.816164359</v>
      </c>
      <c r="J203" s="22">
        <f t="shared" si="1058"/>
        <v>47134676.533067986</v>
      </c>
      <c r="K203" s="22">
        <f t="shared" si="1058"/>
        <v>62114131.479264937</v>
      </c>
      <c r="L203" s="22">
        <f t="shared" si="1058"/>
        <v>79978752.171856955</v>
      </c>
      <c r="M203" s="22"/>
      <c r="N203" s="22">
        <f t="shared" ref="N203:AW203" si="1059">SUM(N173,N179,N185,N191)</f>
        <v>1099888</v>
      </c>
      <c r="O203" s="22">
        <f t="shared" si="1059"/>
        <v>1637834.8299999998</v>
      </c>
      <c r="P203" s="22">
        <f t="shared" si="1059"/>
        <v>1212470.46</v>
      </c>
      <c r="Q203" s="22">
        <f t="shared" si="1059"/>
        <v>1636575.9699999997</v>
      </c>
      <c r="R203" s="22">
        <f t="shared" si="1059"/>
        <v>1505033.55</v>
      </c>
      <c r="S203" s="22">
        <f t="shared" si="1059"/>
        <v>1555099.1600000001</v>
      </c>
      <c r="T203" s="22">
        <f t="shared" si="1059"/>
        <v>2185951.96</v>
      </c>
      <c r="U203" s="22">
        <f t="shared" si="1059"/>
        <v>2872652.84</v>
      </c>
      <c r="V203" s="22">
        <f t="shared" si="1059"/>
        <v>1968236.5114289999</v>
      </c>
      <c r="W203" s="22">
        <f t="shared" si="1059"/>
        <v>2495657.4539199998</v>
      </c>
      <c r="X203" s="22">
        <f t="shared" si="1059"/>
        <v>1945715.9043589998</v>
      </c>
      <c r="Y203" s="22">
        <f t="shared" si="1059"/>
        <v>3803762.8776930002</v>
      </c>
      <c r="Z203" s="22">
        <f t="shared" si="1059"/>
        <v>2491467.019626</v>
      </c>
      <c r="AA203" s="22">
        <f t="shared" si="1059"/>
        <v>3613566.7266530008</v>
      </c>
      <c r="AB203" s="22">
        <f t="shared" si="1059"/>
        <v>5752061.8217643667</v>
      </c>
      <c r="AC203" s="22">
        <f t="shared" si="1059"/>
        <v>8595167.0015244111</v>
      </c>
      <c r="AD203" s="22">
        <f t="shared" si="1059"/>
        <v>4401480.1376619739</v>
      </c>
      <c r="AE203" s="22">
        <f t="shared" si="1059"/>
        <v>6015561.8792230552</v>
      </c>
      <c r="AF203" s="22">
        <f t="shared" si="1059"/>
        <v>5991625.3699534237</v>
      </c>
      <c r="AG203" s="22">
        <f t="shared" si="1059"/>
        <v>9079202.1056100409</v>
      </c>
      <c r="AH203" s="22">
        <f t="shared" si="1059"/>
        <v>6252996.9037056435</v>
      </c>
      <c r="AI203" s="22">
        <f t="shared" si="1059"/>
        <v>8750601.4615008999</v>
      </c>
      <c r="AJ203" s="22">
        <f t="shared" si="1059"/>
        <v>8236715.4238297502</v>
      </c>
      <c r="AK203" s="22">
        <f t="shared" si="1059"/>
        <v>11764955.027128071</v>
      </c>
      <c r="AL203" s="22">
        <f t="shared" si="1059"/>
        <v>8408913.3706608638</v>
      </c>
      <c r="AM203" s="22">
        <f t="shared" si="1059"/>
        <v>11789932.837046346</v>
      </c>
      <c r="AN203" s="22">
        <f t="shared" si="1059"/>
        <v>11099834.945528675</v>
      </c>
      <c r="AO203" s="22">
        <f t="shared" si="1059"/>
        <v>15835995.379832104</v>
      </c>
      <c r="AP203" s="22">
        <f t="shared" si="1059"/>
        <v>11067769.394543381</v>
      </c>
      <c r="AQ203" s="22">
        <f t="shared" si="1059"/>
        <v>15545858.027176615</v>
      </c>
      <c r="AR203" s="22">
        <f t="shared" si="1059"/>
        <v>14638769.156712065</v>
      </c>
      <c r="AS203" s="22">
        <f t="shared" si="1059"/>
        <v>20861734.900832877</v>
      </c>
      <c r="AT203" s="22">
        <f t="shared" si="1059"/>
        <v>14233079.662724519</v>
      </c>
      <c r="AU203" s="22">
        <f t="shared" si="1059"/>
        <v>20029008.564712118</v>
      </c>
      <c r="AV203" s="22">
        <f t="shared" si="1059"/>
        <v>18864108.475584161</v>
      </c>
      <c r="AW203" s="22">
        <f t="shared" si="1059"/>
        <v>26852555.468836151</v>
      </c>
      <c r="AY203" s="49">
        <f t="shared" ref="AY203:CD203" si="1060">SUM(AY173,AY179,AY185,AY191)</f>
        <v>105810</v>
      </c>
      <c r="AZ203" s="49">
        <f t="shared" si="1060"/>
        <v>272000</v>
      </c>
      <c r="BA203" s="49">
        <f t="shared" si="1060"/>
        <v>722078</v>
      </c>
      <c r="BB203" s="49">
        <f t="shared" si="1060"/>
        <v>162996.43</v>
      </c>
      <c r="BC203" s="49">
        <f t="shared" si="1060"/>
        <v>617946.67999999993</v>
      </c>
      <c r="BD203" s="49">
        <f t="shared" si="1060"/>
        <v>856891.72</v>
      </c>
      <c r="BE203" s="49">
        <f t="shared" si="1060"/>
        <v>72550</v>
      </c>
      <c r="BF203" s="49">
        <f t="shared" si="1060"/>
        <v>407553.46</v>
      </c>
      <c r="BG203" s="49">
        <f t="shared" si="1060"/>
        <v>732367</v>
      </c>
      <c r="BH203" s="49">
        <f t="shared" si="1060"/>
        <v>278494.67000000004</v>
      </c>
      <c r="BI203" s="49">
        <f t="shared" si="1060"/>
        <v>579363.66999999993</v>
      </c>
      <c r="BJ203" s="49">
        <f t="shared" si="1060"/>
        <v>778717.63</v>
      </c>
      <c r="BK203" s="49">
        <f t="shared" si="1060"/>
        <v>218530</v>
      </c>
      <c r="BL203" s="49">
        <f t="shared" si="1060"/>
        <v>172900.29</v>
      </c>
      <c r="BM203" s="49">
        <f t="shared" si="1060"/>
        <v>1113603.26</v>
      </c>
      <c r="BN203" s="49">
        <f t="shared" si="1060"/>
        <v>210553</v>
      </c>
      <c r="BO203" s="49">
        <f t="shared" si="1060"/>
        <v>528395.33000000007</v>
      </c>
      <c r="BP203" s="49">
        <f t="shared" si="1060"/>
        <v>816150.83000000007</v>
      </c>
      <c r="BQ203" s="49">
        <f t="shared" si="1060"/>
        <v>263246</v>
      </c>
      <c r="BR203" s="49">
        <f t="shared" si="1060"/>
        <v>534971.67000000004</v>
      </c>
      <c r="BS203" s="49">
        <f t="shared" si="1060"/>
        <v>1387734.29</v>
      </c>
      <c r="BT203" s="49">
        <f t="shared" si="1060"/>
        <v>145551.85999999999</v>
      </c>
      <c r="BU203" s="49">
        <f t="shared" si="1060"/>
        <v>1297242.97</v>
      </c>
      <c r="BV203" s="49">
        <f t="shared" si="1060"/>
        <v>1429858.01</v>
      </c>
      <c r="BW203" s="49">
        <f t="shared" si="1060"/>
        <v>287330</v>
      </c>
      <c r="BX203" s="49">
        <f t="shared" si="1060"/>
        <v>585351.85307700001</v>
      </c>
      <c r="BY203" s="49">
        <f t="shared" si="1060"/>
        <v>1095554.6583519999</v>
      </c>
      <c r="BZ203" s="49">
        <f t="shared" si="1060"/>
        <v>353109.09109900001</v>
      </c>
      <c r="CA203" s="49">
        <f t="shared" si="1060"/>
        <v>788879.32000000007</v>
      </c>
      <c r="CB203" s="49">
        <f t="shared" si="1060"/>
        <v>1353669.0428210001</v>
      </c>
      <c r="CC203" s="49">
        <f t="shared" si="1060"/>
        <v>124839.79999999999</v>
      </c>
      <c r="CD203" s="49">
        <f t="shared" si="1060"/>
        <v>901780.65897400002</v>
      </c>
      <c r="CE203" s="49">
        <f t="shared" ref="CE203:DJ203" si="1061">SUM(CE173,CE179,CE185,CE191)</f>
        <v>919095.44538499997</v>
      </c>
      <c r="CF203" s="49">
        <f t="shared" si="1061"/>
        <v>406651.29</v>
      </c>
      <c r="CG203" s="49">
        <f t="shared" si="1061"/>
        <v>1376321.3236269997</v>
      </c>
      <c r="CH203" s="49">
        <f t="shared" si="1061"/>
        <v>2020790.264066</v>
      </c>
      <c r="CI203" s="49">
        <f t="shared" si="1061"/>
        <v>84113.900939999992</v>
      </c>
      <c r="CJ203" s="49">
        <f t="shared" si="1061"/>
        <v>756707.78</v>
      </c>
      <c r="CK203" s="49">
        <f t="shared" si="1061"/>
        <v>1650645.3386860001</v>
      </c>
      <c r="CL203" s="49">
        <f t="shared" si="1061"/>
        <v>809495.06088700006</v>
      </c>
      <c r="CM203" s="49">
        <f t="shared" si="1061"/>
        <v>1246036.759296</v>
      </c>
      <c r="CN203" s="49">
        <f t="shared" si="1061"/>
        <v>1558034.90647</v>
      </c>
      <c r="CO203" s="49">
        <f t="shared" si="1061"/>
        <v>860474.49912769091</v>
      </c>
      <c r="CP203" s="49">
        <f t="shared" si="1061"/>
        <v>2041402.4497250263</v>
      </c>
      <c r="CQ203" s="49">
        <f t="shared" si="1061"/>
        <v>2850184.8729116502</v>
      </c>
      <c r="CR203" s="49">
        <f t="shared" si="1061"/>
        <v>866409.61551778193</v>
      </c>
      <c r="CS203" s="49">
        <f t="shared" si="1061"/>
        <v>3423442.3522606548</v>
      </c>
      <c r="CT203" s="49">
        <f t="shared" si="1061"/>
        <v>4305315.0337459734</v>
      </c>
      <c r="CU203" s="49">
        <f t="shared" si="1061"/>
        <v>516055.47690050717</v>
      </c>
      <c r="CV203" s="49">
        <f t="shared" si="1061"/>
        <v>1291834.7942017009</v>
      </c>
      <c r="CW203" s="49">
        <f t="shared" si="1061"/>
        <v>2593589.8665597667</v>
      </c>
      <c r="CX203" s="49">
        <f t="shared" si="1061"/>
        <v>932259.02336122491</v>
      </c>
      <c r="CY203" s="49">
        <f t="shared" si="1061"/>
        <v>2129891.2057655258</v>
      </c>
      <c r="CZ203" s="49">
        <f t="shared" si="1061"/>
        <v>2953411.6500963042</v>
      </c>
      <c r="DA203" s="49">
        <f t="shared" si="1061"/>
        <v>882428.42012676154</v>
      </c>
      <c r="DB203" s="49">
        <f t="shared" si="1061"/>
        <v>1839253.60866009</v>
      </c>
      <c r="DC203" s="49">
        <f t="shared" si="1061"/>
        <v>3269943.3411665722</v>
      </c>
      <c r="DD203" s="49">
        <f t="shared" si="1061"/>
        <v>1284594.3631567792</v>
      </c>
      <c r="DE203" s="49">
        <f t="shared" si="1061"/>
        <v>3574571.8795908461</v>
      </c>
      <c r="DF203" s="49">
        <f t="shared" si="1061"/>
        <v>4220035.8628624147</v>
      </c>
      <c r="DG203" s="49">
        <f t="shared" si="1061"/>
        <v>773532.75473174441</v>
      </c>
      <c r="DH203" s="49">
        <f t="shared" si="1061"/>
        <v>1845381.8722363017</v>
      </c>
      <c r="DI203" s="49">
        <f t="shared" si="1061"/>
        <v>3634082.2767375982</v>
      </c>
      <c r="DJ203" s="49">
        <f t="shared" si="1061"/>
        <v>1431515.9398606333</v>
      </c>
      <c r="DK203" s="49">
        <f t="shared" ref="DK203:EP203" si="1062">SUM(DK173,DK179,DK185,DK191)</f>
        <v>3096756.3421744443</v>
      </c>
      <c r="DL203" s="49">
        <f t="shared" si="1062"/>
        <v>4222329.1794658229</v>
      </c>
      <c r="DM203" s="49">
        <f t="shared" si="1062"/>
        <v>1199765.3615012206</v>
      </c>
      <c r="DN203" s="49">
        <f t="shared" si="1062"/>
        <v>2531916.7130719512</v>
      </c>
      <c r="DO203" s="49">
        <f t="shared" si="1062"/>
        <v>4505033.3492565779</v>
      </c>
      <c r="DP203" s="49">
        <f t="shared" si="1062"/>
        <v>1522378.5918131326</v>
      </c>
      <c r="DQ203" s="49">
        <f t="shared" si="1062"/>
        <v>4672203.7994755059</v>
      </c>
      <c r="DR203" s="49">
        <f t="shared" si="1062"/>
        <v>5570372.6358394306</v>
      </c>
      <c r="DS203" s="49">
        <f t="shared" si="1062"/>
        <v>1032662.7970583627</v>
      </c>
      <c r="DT203" s="49">
        <f t="shared" si="1062"/>
        <v>2483378.8023196841</v>
      </c>
      <c r="DU203" s="49">
        <f t="shared" si="1062"/>
        <v>4892871.7712828163</v>
      </c>
      <c r="DV203" s="49">
        <f t="shared" si="1062"/>
        <v>1916171.1796348745</v>
      </c>
      <c r="DW203" s="49">
        <f t="shared" si="1062"/>
        <v>4182278.5695043504</v>
      </c>
      <c r="DX203" s="49">
        <f t="shared" si="1062"/>
        <v>5691483.0879071215</v>
      </c>
      <c r="DY203" s="49">
        <f t="shared" si="1062"/>
        <v>1601255.7755330154</v>
      </c>
      <c r="DZ203" s="49">
        <f t="shared" si="1062"/>
        <v>3416095.2377555054</v>
      </c>
      <c r="EA203" s="49">
        <f t="shared" si="1062"/>
        <v>6082483.9322401527</v>
      </c>
      <c r="EB203" s="49">
        <f t="shared" si="1062"/>
        <v>2039781.7304200942</v>
      </c>
      <c r="EC203" s="49">
        <f t="shared" si="1062"/>
        <v>6286582.7685436038</v>
      </c>
      <c r="ED203" s="49">
        <f t="shared" si="1062"/>
        <v>7509630.8808684042</v>
      </c>
      <c r="EE203" s="49">
        <f t="shared" si="1062"/>
        <v>1349673.1626699588</v>
      </c>
      <c r="EF203" s="49">
        <f t="shared" si="1062"/>
        <v>3270801.9629449742</v>
      </c>
      <c r="EG203" s="49">
        <f t="shared" si="1062"/>
        <v>6447294.2689284496</v>
      </c>
      <c r="EH203" s="49">
        <f t="shared" si="1062"/>
        <v>2510864.6667049914</v>
      </c>
      <c r="EI203" s="49">
        <f t="shared" si="1062"/>
        <v>5527085.7890473818</v>
      </c>
      <c r="EJ203" s="49">
        <f t="shared" si="1062"/>
        <v>7507907.5714242384</v>
      </c>
      <c r="EK203" s="49">
        <f t="shared" si="1062"/>
        <v>2092275.9304758681</v>
      </c>
      <c r="EL203" s="49">
        <f t="shared" si="1062"/>
        <v>4510348.2667911416</v>
      </c>
      <c r="EM203" s="49">
        <f t="shared" si="1062"/>
        <v>8036144.9594450537</v>
      </c>
      <c r="EN203" s="49">
        <f t="shared" si="1062"/>
        <v>2675344.9019467132</v>
      </c>
      <c r="EO203" s="49">
        <f t="shared" si="1062"/>
        <v>8278754.8243935816</v>
      </c>
      <c r="EP203" s="49">
        <f t="shared" si="1062"/>
        <v>9907635.1744925883</v>
      </c>
      <c r="EQ203" s="49">
        <f t="shared" ref="EQ203:FB203" si="1063">SUM(EQ173,EQ179,EQ185,EQ191)</f>
        <v>1723058.3160011293</v>
      </c>
      <c r="ER203" s="49">
        <f t="shared" si="1063"/>
        <v>4209135.584675285</v>
      </c>
      <c r="ES203" s="49">
        <f t="shared" si="1063"/>
        <v>8300885.7620481066</v>
      </c>
      <c r="ET203" s="49">
        <f t="shared" si="1063"/>
        <v>3214118.4753218861</v>
      </c>
      <c r="EU203" s="49">
        <f t="shared" si="1063"/>
        <v>7137486.0688729975</v>
      </c>
      <c r="EV203" s="49">
        <f t="shared" si="1063"/>
        <v>9677404.0205172375</v>
      </c>
      <c r="EW203" s="49">
        <f t="shared" si="1063"/>
        <v>2670381.5991477259</v>
      </c>
      <c r="EX203" s="49">
        <f t="shared" si="1063"/>
        <v>5818975.2237517098</v>
      </c>
      <c r="EY203" s="49">
        <f t="shared" si="1063"/>
        <v>10374751.652684728</v>
      </c>
      <c r="EZ203" s="49">
        <f t="shared" si="1063"/>
        <v>3428005.2826939677</v>
      </c>
      <c r="FA203" s="49">
        <f t="shared" si="1063"/>
        <v>10652240.825061489</v>
      </c>
      <c r="FB203" s="49">
        <f t="shared" si="1063"/>
        <v>12772309.361080693</v>
      </c>
    </row>
    <row r="204" spans="3:158" x14ac:dyDescent="0.25">
      <c r="C204" s="2" t="s">
        <v>346</v>
      </c>
      <c r="D204" s="244">
        <f t="shared" ref="D204:L204" si="1064">SUM(D174,D180,D186,D192)</f>
        <v>5307430.7970000003</v>
      </c>
      <c r="E204" s="244">
        <f t="shared" si="1064"/>
        <v>7712800.6344999997</v>
      </c>
      <c r="F204" s="244">
        <f t="shared" si="1064"/>
        <v>9702704.1100309491</v>
      </c>
      <c r="G204" s="244">
        <f t="shared" si="1064"/>
        <v>17691305.070128027</v>
      </c>
      <c r="H204" s="244">
        <f t="shared" si="1064"/>
        <v>20334825.854875121</v>
      </c>
      <c r="I204" s="244">
        <f t="shared" si="1064"/>
        <v>18364952.026843492</v>
      </c>
      <c r="J204" s="244">
        <f t="shared" si="1064"/>
        <v>22727477.809105545</v>
      </c>
      <c r="K204" s="244">
        <f t="shared" si="1064"/>
        <v>30750859.010305289</v>
      </c>
      <c r="L204" s="244">
        <f t="shared" si="1064"/>
        <v>37884677.700246349</v>
      </c>
      <c r="M204" s="244"/>
      <c r="N204" s="244">
        <f t="shared" ref="N204:AW204" si="1065">SUM(N174,N180,N186,N192)</f>
        <v>1044893.6000000001</v>
      </c>
      <c r="O204" s="244">
        <f t="shared" si="1065"/>
        <v>1555943.0884999998</v>
      </c>
      <c r="P204" s="244">
        <f t="shared" si="1065"/>
        <v>1151846.9369999999</v>
      </c>
      <c r="Q204" s="244">
        <f t="shared" si="1065"/>
        <v>1554747.1714999999</v>
      </c>
      <c r="R204" s="244">
        <f t="shared" si="1065"/>
        <v>1429781.8724999996</v>
      </c>
      <c r="S204" s="244">
        <f t="shared" si="1065"/>
        <v>1477344.202</v>
      </c>
      <c r="T204" s="244">
        <f t="shared" si="1065"/>
        <v>2076654.3619999997</v>
      </c>
      <c r="U204" s="244">
        <f t="shared" si="1065"/>
        <v>2729020.1979999999</v>
      </c>
      <c r="V204" s="244">
        <f t="shared" si="1065"/>
        <v>1869824.68585755</v>
      </c>
      <c r="W204" s="244">
        <f t="shared" si="1065"/>
        <v>2370874.5812240001</v>
      </c>
      <c r="X204" s="244">
        <f t="shared" si="1065"/>
        <v>1848430.1091410499</v>
      </c>
      <c r="Y204" s="244">
        <f t="shared" si="1065"/>
        <v>3613574.7338083498</v>
      </c>
      <c r="Z204" s="244">
        <f t="shared" si="1065"/>
        <v>2139955.8420379465</v>
      </c>
      <c r="AA204" s="244">
        <f t="shared" si="1065"/>
        <v>3112444.5610835124</v>
      </c>
      <c r="AB204" s="244">
        <f t="shared" si="1065"/>
        <v>4985251.7576689431</v>
      </c>
      <c r="AC204" s="244">
        <f t="shared" si="1065"/>
        <v>7453652.909337623</v>
      </c>
      <c r="AD204" s="244">
        <f t="shared" si="1065"/>
        <v>3498881.297491916</v>
      </c>
      <c r="AE204" s="244">
        <f t="shared" si="1065"/>
        <v>4800995.4841688927</v>
      </c>
      <c r="AF204" s="244">
        <f t="shared" si="1065"/>
        <v>4788980.5611086199</v>
      </c>
      <c r="AG204" s="244">
        <f t="shared" si="1065"/>
        <v>7245968.5121056847</v>
      </c>
      <c r="AH204" s="244">
        <f t="shared" si="1065"/>
        <v>3234680.2381421961</v>
      </c>
      <c r="AI204" s="244">
        <f t="shared" si="1065"/>
        <v>4621657.9315775977</v>
      </c>
      <c r="AJ204" s="244">
        <f t="shared" si="1065"/>
        <v>4359942.2117140358</v>
      </c>
      <c r="AK204" s="244">
        <f t="shared" si="1065"/>
        <v>6148671.6454096641</v>
      </c>
      <c r="AL204" s="244">
        <f t="shared" si="1065"/>
        <v>4002094.228213123</v>
      </c>
      <c r="AM204" s="244">
        <f t="shared" si="1065"/>
        <v>5720168.4568307465</v>
      </c>
      <c r="AN204" s="244">
        <f t="shared" si="1065"/>
        <v>5396450.3549663126</v>
      </c>
      <c r="AO204" s="244">
        <f t="shared" si="1065"/>
        <v>7608764.7690953612</v>
      </c>
      <c r="AP204" s="244">
        <f t="shared" si="1065"/>
        <v>5431624.4613717319</v>
      </c>
      <c r="AQ204" s="244">
        <f t="shared" si="1065"/>
        <v>7728326.3237050092</v>
      </c>
      <c r="AR204" s="244">
        <f t="shared" si="1065"/>
        <v>7287457.2256113449</v>
      </c>
      <c r="AS204" s="244">
        <f t="shared" si="1065"/>
        <v>10303450.999617206</v>
      </c>
      <c r="AT204" s="244">
        <f t="shared" si="1065"/>
        <v>6688105.2320927819</v>
      </c>
      <c r="AU204" s="244">
        <f t="shared" si="1065"/>
        <v>9523612.6510156728</v>
      </c>
      <c r="AV204" s="244">
        <f t="shared" si="1065"/>
        <v>8981084.620448323</v>
      </c>
      <c r="AW204" s="244">
        <f t="shared" si="1065"/>
        <v>12691875.196689581</v>
      </c>
      <c r="AY204" s="296">
        <f t="shared" ref="AY204:CD204" si="1066">SUM(AY174,AY180,AY186,AY192)</f>
        <v>100519.5</v>
      </c>
      <c r="AZ204" s="296">
        <f t="shared" si="1066"/>
        <v>258400</v>
      </c>
      <c r="BA204" s="296">
        <f t="shared" si="1066"/>
        <v>685974.1</v>
      </c>
      <c r="BB204" s="296">
        <f t="shared" si="1066"/>
        <v>154846.6085</v>
      </c>
      <c r="BC204" s="296">
        <f t="shared" si="1066"/>
        <v>587049.3459999999</v>
      </c>
      <c r="BD204" s="296">
        <f t="shared" si="1066"/>
        <v>814047.13399999996</v>
      </c>
      <c r="BE204" s="296">
        <f t="shared" si="1066"/>
        <v>68922.5</v>
      </c>
      <c r="BF204" s="296">
        <f t="shared" si="1066"/>
        <v>387175.78700000001</v>
      </c>
      <c r="BG204" s="296">
        <f t="shared" si="1066"/>
        <v>695748.64999999991</v>
      </c>
      <c r="BH204" s="296">
        <f t="shared" si="1066"/>
        <v>264569.93650000001</v>
      </c>
      <c r="BI204" s="296">
        <f t="shared" si="1066"/>
        <v>550395.4865</v>
      </c>
      <c r="BJ204" s="296">
        <f t="shared" si="1066"/>
        <v>739781.74849999999</v>
      </c>
      <c r="BK204" s="296">
        <f t="shared" si="1066"/>
        <v>207603.5</v>
      </c>
      <c r="BL204" s="296">
        <f t="shared" si="1066"/>
        <v>164255.27549999999</v>
      </c>
      <c r="BM204" s="296">
        <f t="shared" si="1066"/>
        <v>1057923.0969999998</v>
      </c>
      <c r="BN204" s="296">
        <f t="shared" si="1066"/>
        <v>200025.35000000003</v>
      </c>
      <c r="BO204" s="296">
        <f t="shared" si="1066"/>
        <v>501975.56350000005</v>
      </c>
      <c r="BP204" s="296">
        <f t="shared" si="1066"/>
        <v>775343.28850000002</v>
      </c>
      <c r="BQ204" s="296">
        <f t="shared" si="1066"/>
        <v>250083.7</v>
      </c>
      <c r="BR204" s="296">
        <f t="shared" si="1066"/>
        <v>508223.08650000003</v>
      </c>
      <c r="BS204" s="296">
        <f t="shared" si="1066"/>
        <v>1318347.5754999998</v>
      </c>
      <c r="BT204" s="296">
        <f t="shared" si="1066"/>
        <v>138274.26699999999</v>
      </c>
      <c r="BU204" s="296">
        <f t="shared" si="1066"/>
        <v>1232380.8215000001</v>
      </c>
      <c r="BV204" s="296">
        <f t="shared" si="1066"/>
        <v>1358365.1094999998</v>
      </c>
      <c r="BW204" s="296">
        <f t="shared" si="1066"/>
        <v>272963.5</v>
      </c>
      <c r="BX204" s="296">
        <f t="shared" si="1066"/>
        <v>556084.26042315003</v>
      </c>
      <c r="BY204" s="296">
        <f t="shared" si="1066"/>
        <v>1040776.9254344002</v>
      </c>
      <c r="BZ204" s="296">
        <f t="shared" si="1066"/>
        <v>335453.63654405001</v>
      </c>
      <c r="CA204" s="296">
        <f t="shared" si="1066"/>
        <v>749435.35399999993</v>
      </c>
      <c r="CB204" s="296">
        <f t="shared" si="1066"/>
        <v>1285985.5906799498</v>
      </c>
      <c r="CC204" s="296">
        <f t="shared" si="1066"/>
        <v>118597.80999999994</v>
      </c>
      <c r="CD204" s="296">
        <f t="shared" si="1066"/>
        <v>856691.62602529989</v>
      </c>
      <c r="CE204" s="296">
        <f t="shared" ref="CE204:DJ204" si="1067">SUM(CE174,CE180,CE186,CE192)</f>
        <v>873140.67311574996</v>
      </c>
      <c r="CF204" s="296">
        <f t="shared" si="1067"/>
        <v>386318.7255</v>
      </c>
      <c r="CG204" s="296">
        <f t="shared" si="1067"/>
        <v>1307505.2574456499</v>
      </c>
      <c r="CH204" s="296">
        <f t="shared" si="1067"/>
        <v>1919750.7508626999</v>
      </c>
      <c r="CI204" s="296">
        <f t="shared" si="1067"/>
        <v>58079.141995482511</v>
      </c>
      <c r="CJ204" s="296">
        <f t="shared" si="1067"/>
        <v>652873.32341465133</v>
      </c>
      <c r="CK204" s="296">
        <f t="shared" si="1067"/>
        <v>1429003.3766278124</v>
      </c>
      <c r="CL204" s="296">
        <f t="shared" si="1067"/>
        <v>689590.85384791391</v>
      </c>
      <c r="CM204" s="296">
        <f t="shared" si="1067"/>
        <v>1071408.0694510073</v>
      </c>
      <c r="CN204" s="296">
        <f t="shared" si="1067"/>
        <v>1351445.6377845909</v>
      </c>
      <c r="CO204" s="296">
        <f t="shared" si="1067"/>
        <v>745570.76267940854</v>
      </c>
      <c r="CP204" s="296">
        <f t="shared" si="1067"/>
        <v>1771597.4007248012</v>
      </c>
      <c r="CQ204" s="296">
        <f t="shared" si="1067"/>
        <v>2468083.5942647336</v>
      </c>
      <c r="CR204" s="296">
        <f t="shared" si="1067"/>
        <v>751910.50651396788</v>
      </c>
      <c r="CS204" s="296">
        <f t="shared" si="1067"/>
        <v>2967574.4174001375</v>
      </c>
      <c r="CT204" s="296">
        <f t="shared" si="1067"/>
        <v>3734167.9854235174</v>
      </c>
      <c r="CU204" s="296">
        <f t="shared" si="1067"/>
        <v>402376.10782753414</v>
      </c>
      <c r="CV204" s="296">
        <f t="shared" si="1067"/>
        <v>1028485.0527300662</v>
      </c>
      <c r="CW204" s="296">
        <f t="shared" si="1067"/>
        <v>2068020.1369343153</v>
      </c>
      <c r="CX204" s="296">
        <f t="shared" si="1067"/>
        <v>731090.5668701831</v>
      </c>
      <c r="CY204" s="296">
        <f t="shared" si="1067"/>
        <v>1709505.4136786109</v>
      </c>
      <c r="CZ204" s="296">
        <f t="shared" si="1067"/>
        <v>2360399.5036200993</v>
      </c>
      <c r="DA204" s="296">
        <f t="shared" si="1067"/>
        <v>690352.95824718219</v>
      </c>
      <c r="DB204" s="296">
        <f t="shared" si="1067"/>
        <v>1473992.6005968694</v>
      </c>
      <c r="DC204" s="296">
        <f t="shared" si="1067"/>
        <v>2624635.0022645686</v>
      </c>
      <c r="DD204" s="296">
        <f t="shared" si="1067"/>
        <v>1017737.8527455678</v>
      </c>
      <c r="DE204" s="296">
        <f t="shared" si="1067"/>
        <v>2850070.9134314279</v>
      </c>
      <c r="DF204" s="296">
        <f t="shared" si="1067"/>
        <v>3378159.7459286912</v>
      </c>
      <c r="DG204" s="296">
        <f t="shared" si="1067"/>
        <v>367895.84677741188</v>
      </c>
      <c r="DH204" s="296">
        <f t="shared" si="1067"/>
        <v>962047.43770734814</v>
      </c>
      <c r="DI204" s="296">
        <f t="shared" si="1067"/>
        <v>1904736.9536574362</v>
      </c>
      <c r="DJ204" s="296">
        <f t="shared" si="1067"/>
        <v>702582.31390291045</v>
      </c>
      <c r="DK204" s="296">
        <f t="shared" ref="DK204:EP204" si="1068">SUM(DK174,DK180,DK186,DK192)</f>
        <v>1677877.3592170198</v>
      </c>
      <c r="DL204" s="296">
        <f t="shared" si="1068"/>
        <v>2241198.2584576672</v>
      </c>
      <c r="DM204" s="296">
        <f t="shared" si="1068"/>
        <v>568800.39741836546</v>
      </c>
      <c r="DN204" s="296">
        <f t="shared" si="1068"/>
        <v>1357573.8739370001</v>
      </c>
      <c r="DO204" s="296">
        <f t="shared" si="1068"/>
        <v>2433567.9403586709</v>
      </c>
      <c r="DP204" s="296">
        <f t="shared" si="1068"/>
        <v>755636.76726334321</v>
      </c>
      <c r="DQ204" s="296">
        <f t="shared" si="1068"/>
        <v>2431807.0354460953</v>
      </c>
      <c r="DR204" s="296">
        <f t="shared" si="1068"/>
        <v>2961227.8427002253</v>
      </c>
      <c r="DS204" s="296">
        <f t="shared" si="1068"/>
        <v>454484.0120300469</v>
      </c>
      <c r="DT204" s="296">
        <f t="shared" si="1068"/>
        <v>1190448.8256961149</v>
      </c>
      <c r="DU204" s="296">
        <f t="shared" si="1068"/>
        <v>2357161.3904869608</v>
      </c>
      <c r="DV204" s="296">
        <f t="shared" si="1068"/>
        <v>868451.07999256602</v>
      </c>
      <c r="DW204" s="296">
        <f t="shared" si="1068"/>
        <v>2077579.1284785573</v>
      </c>
      <c r="DX204" s="296">
        <f t="shared" si="1068"/>
        <v>2774138.2483596224</v>
      </c>
      <c r="DY204" s="296">
        <f t="shared" si="1068"/>
        <v>702631.14705123263</v>
      </c>
      <c r="DZ204" s="296">
        <f t="shared" si="1068"/>
        <v>1680680.5339952272</v>
      </c>
      <c r="EA204" s="296">
        <f t="shared" si="1068"/>
        <v>3013138.6739198538</v>
      </c>
      <c r="EB204" s="296">
        <f t="shared" si="1068"/>
        <v>934222.59236129303</v>
      </c>
      <c r="EC204" s="296">
        <f t="shared" si="1068"/>
        <v>3009062.6078110049</v>
      </c>
      <c r="ED204" s="296">
        <f t="shared" si="1068"/>
        <v>3665479.5689230645</v>
      </c>
      <c r="EE204" s="296">
        <f t="shared" si="1068"/>
        <v>628731.50984162709</v>
      </c>
      <c r="EF204" s="296">
        <f t="shared" si="1068"/>
        <v>1612928.7272833697</v>
      </c>
      <c r="EG204" s="296">
        <f t="shared" si="1068"/>
        <v>3189964.2242467352</v>
      </c>
      <c r="EH204" s="296">
        <f t="shared" si="1068"/>
        <v>1192666.0464452112</v>
      </c>
      <c r="EI204" s="296">
        <f t="shared" si="1068"/>
        <v>2791650.5857254667</v>
      </c>
      <c r="EJ204" s="296">
        <f t="shared" si="1068"/>
        <v>3744009.6915343315</v>
      </c>
      <c r="EK204" s="296">
        <f t="shared" si="1068"/>
        <v>972746.77302937466</v>
      </c>
      <c r="EL204" s="296">
        <f t="shared" si="1068"/>
        <v>2263360.2854449032</v>
      </c>
      <c r="EM204" s="296">
        <f t="shared" si="1068"/>
        <v>4051350.1671370678</v>
      </c>
      <c r="EN204" s="296">
        <f t="shared" si="1068"/>
        <v>1279696.7853907691</v>
      </c>
      <c r="EO204" s="296">
        <f t="shared" si="1068"/>
        <v>4078395.541210657</v>
      </c>
      <c r="EP204" s="296">
        <f t="shared" si="1068"/>
        <v>4945358.6730157798</v>
      </c>
      <c r="EQ204" s="296">
        <f t="shared" ref="EQ204:FB204" si="1069">SUM(EQ174,EQ180,EQ186,EQ192)</f>
        <v>771621.09961373219</v>
      </c>
      <c r="ER204" s="296">
        <f t="shared" si="1069"/>
        <v>1986630.6015134042</v>
      </c>
      <c r="ES204" s="296">
        <f t="shared" si="1069"/>
        <v>3929853.5309656458</v>
      </c>
      <c r="ET204" s="296">
        <f t="shared" si="1069"/>
        <v>1465558.5795761761</v>
      </c>
      <c r="EU204" s="296">
        <f t="shared" si="1069"/>
        <v>3443443.8732238053</v>
      </c>
      <c r="EV204" s="296">
        <f t="shared" si="1069"/>
        <v>4614610.1982156923</v>
      </c>
      <c r="EW204" s="296">
        <f t="shared" si="1069"/>
        <v>1193666.0765590279</v>
      </c>
      <c r="EX204" s="296">
        <f t="shared" si="1069"/>
        <v>2790720.7395903296</v>
      </c>
      <c r="EY204" s="296">
        <f t="shared" si="1069"/>
        <v>4996697.8042989653</v>
      </c>
      <c r="EZ204" s="296">
        <f t="shared" si="1069"/>
        <v>1573200.8279493733</v>
      </c>
      <c r="FA204" s="296">
        <f t="shared" si="1069"/>
        <v>5023015.2551477933</v>
      </c>
      <c r="FB204" s="296">
        <f t="shared" si="1069"/>
        <v>6095659.1135924133</v>
      </c>
    </row>
    <row r="205" spans="3:158" x14ac:dyDescent="0.25">
      <c r="C205" s="2" t="s">
        <v>298</v>
      </c>
      <c r="D205" s="244">
        <f t="shared" ref="D205:L205" si="1070">SUM(D175,D181,D187,D193)</f>
        <v>111735.38519999999</v>
      </c>
      <c r="E205" s="244">
        <f t="shared" si="1070"/>
        <v>162374.75020000001</v>
      </c>
      <c r="F205" s="244">
        <f t="shared" si="1070"/>
        <v>204267.45494802002</v>
      </c>
      <c r="G205" s="244">
        <f t="shared" si="1070"/>
        <v>635388.28040937718</v>
      </c>
      <c r="H205" s="244">
        <f t="shared" si="1070"/>
        <v>1223920.2421261247</v>
      </c>
      <c r="I205" s="244">
        <f t="shared" si="1070"/>
        <v>4893063.253091909</v>
      </c>
      <c r="J205" s="244">
        <f t="shared" si="1070"/>
        <v>6357072.3981326427</v>
      </c>
      <c r="K205" s="244">
        <f t="shared" si="1070"/>
        <v>8183387.9879473988</v>
      </c>
      <c r="L205" s="244">
        <f t="shared" si="1070"/>
        <v>12752371.408916552</v>
      </c>
      <c r="M205" s="244"/>
      <c r="N205" s="244">
        <f t="shared" ref="N205:AW205" si="1071">SUM(N175,N181,N187,N193)</f>
        <v>21997.759999999998</v>
      </c>
      <c r="O205" s="244">
        <f t="shared" si="1071"/>
        <v>32756.696599999999</v>
      </c>
      <c r="P205" s="244">
        <f t="shared" si="1071"/>
        <v>24249.409200000002</v>
      </c>
      <c r="Q205" s="244">
        <f t="shared" si="1071"/>
        <v>32731.519400000005</v>
      </c>
      <c r="R205" s="244">
        <f t="shared" si="1071"/>
        <v>30100.671000000002</v>
      </c>
      <c r="S205" s="244">
        <f t="shared" si="1071"/>
        <v>31101.983199999999</v>
      </c>
      <c r="T205" s="244">
        <f t="shared" si="1071"/>
        <v>43719.039200000007</v>
      </c>
      <c r="U205" s="244">
        <f t="shared" si="1071"/>
        <v>57453.056799999998</v>
      </c>
      <c r="V205" s="244">
        <f t="shared" si="1071"/>
        <v>39364.730228580003</v>
      </c>
      <c r="W205" s="244">
        <f t="shared" si="1071"/>
        <v>49913.149078399998</v>
      </c>
      <c r="X205" s="244">
        <f t="shared" si="1071"/>
        <v>38914.318087180007</v>
      </c>
      <c r="Y205" s="244">
        <f t="shared" si="1071"/>
        <v>76075.257553859992</v>
      </c>
      <c r="Z205" s="244">
        <f t="shared" si="1071"/>
        <v>79356.574262927752</v>
      </c>
      <c r="AA205" s="244">
        <f t="shared" si="1071"/>
        <v>113976.25931924404</v>
      </c>
      <c r="AB205" s="244">
        <f t="shared" si="1071"/>
        <v>177450.60456313612</v>
      </c>
      <c r="AC205" s="244">
        <f t="shared" si="1071"/>
        <v>264604.84226406913</v>
      </c>
      <c r="AD205" s="244">
        <f t="shared" si="1071"/>
        <v>213903.06682398674</v>
      </c>
      <c r="AE205" s="244">
        <f t="shared" si="1071"/>
        <v>288537.95494235383</v>
      </c>
      <c r="AF205" s="244">
        <f t="shared" si="1071"/>
        <v>285971.8222450476</v>
      </c>
      <c r="AG205" s="244">
        <f t="shared" si="1071"/>
        <v>435507.39811473619</v>
      </c>
      <c r="AH205" s="244">
        <f t="shared" si="1071"/>
        <v>888085.20785852172</v>
      </c>
      <c r="AI205" s="244">
        <f t="shared" si="1071"/>
        <v>1213738.9086381218</v>
      </c>
      <c r="AJ205" s="244">
        <f t="shared" si="1071"/>
        <v>1139493.4212306235</v>
      </c>
      <c r="AK205" s="244">
        <f t="shared" si="1071"/>
        <v>1651745.7153646424</v>
      </c>
      <c r="AL205" s="244">
        <f t="shared" si="1071"/>
        <v>1146840.9805266256</v>
      </c>
      <c r="AM205" s="244">
        <f t="shared" si="1071"/>
        <v>1581565.1460556323</v>
      </c>
      <c r="AN205" s="244">
        <f t="shared" si="1071"/>
        <v>1486302.398459052</v>
      </c>
      <c r="AO205" s="244">
        <f t="shared" si="1071"/>
        <v>2142363.8730913321</v>
      </c>
      <c r="AP205" s="244">
        <f t="shared" si="1071"/>
        <v>1469709.1502959481</v>
      </c>
      <c r="AQ205" s="244">
        <f t="shared" si="1071"/>
        <v>2040367.8839853152</v>
      </c>
      <c r="AR205" s="244">
        <f t="shared" si="1071"/>
        <v>1918873.4315327501</v>
      </c>
      <c r="AS205" s="244">
        <f t="shared" si="1071"/>
        <v>2754437.5221333862</v>
      </c>
      <c r="AT205" s="244">
        <f t="shared" si="1071"/>
        <v>2290424.8275884106</v>
      </c>
      <c r="AU205" s="244">
        <f t="shared" si="1071"/>
        <v>3179459.5770083303</v>
      </c>
      <c r="AV205" s="244">
        <f t="shared" si="1071"/>
        <v>2990107.4946976653</v>
      </c>
      <c r="AW205" s="244">
        <f t="shared" si="1071"/>
        <v>4292379.5096221445</v>
      </c>
      <c r="AY205" s="296">
        <f t="shared" ref="AY205:CD205" si="1072">SUM(AY175,AY181,AY187,AY193)</f>
        <v>2116.1999999999998</v>
      </c>
      <c r="AZ205" s="296">
        <f t="shared" si="1072"/>
        <v>5440</v>
      </c>
      <c r="BA205" s="296">
        <f t="shared" si="1072"/>
        <v>14441.56</v>
      </c>
      <c r="BB205" s="296">
        <f t="shared" si="1072"/>
        <v>3259.9285999999997</v>
      </c>
      <c r="BC205" s="296">
        <f t="shared" si="1072"/>
        <v>12358.9336</v>
      </c>
      <c r="BD205" s="296">
        <f t="shared" si="1072"/>
        <v>17137.8344</v>
      </c>
      <c r="BE205" s="296">
        <f t="shared" si="1072"/>
        <v>1451</v>
      </c>
      <c r="BF205" s="296">
        <f t="shared" si="1072"/>
        <v>8151.0691999999999</v>
      </c>
      <c r="BG205" s="296">
        <f t="shared" si="1072"/>
        <v>14647.34</v>
      </c>
      <c r="BH205" s="296">
        <f t="shared" si="1072"/>
        <v>5569.8933999999999</v>
      </c>
      <c r="BI205" s="296">
        <f t="shared" si="1072"/>
        <v>11587.2734</v>
      </c>
      <c r="BJ205" s="296">
        <f t="shared" si="1072"/>
        <v>15574.3526</v>
      </c>
      <c r="BK205" s="296">
        <f t="shared" si="1072"/>
        <v>4370.6000000000004</v>
      </c>
      <c r="BL205" s="296">
        <f t="shared" si="1072"/>
        <v>3458.0057999999995</v>
      </c>
      <c r="BM205" s="296">
        <f t="shared" si="1072"/>
        <v>22272.065200000001</v>
      </c>
      <c r="BN205" s="296">
        <f t="shared" si="1072"/>
        <v>4211.0599999999995</v>
      </c>
      <c r="BO205" s="296">
        <f t="shared" si="1072"/>
        <v>10567.9066</v>
      </c>
      <c r="BP205" s="296">
        <f t="shared" si="1072"/>
        <v>16323.016600000003</v>
      </c>
      <c r="BQ205" s="296">
        <f t="shared" si="1072"/>
        <v>5264.92</v>
      </c>
      <c r="BR205" s="296">
        <f t="shared" si="1072"/>
        <v>10699.4334</v>
      </c>
      <c r="BS205" s="296">
        <f t="shared" si="1072"/>
        <v>27754.685799999999</v>
      </c>
      <c r="BT205" s="296">
        <f t="shared" si="1072"/>
        <v>2911.0372000000002</v>
      </c>
      <c r="BU205" s="296">
        <f t="shared" si="1072"/>
        <v>25944.859400000001</v>
      </c>
      <c r="BV205" s="296">
        <f t="shared" si="1072"/>
        <v>28597.160200000006</v>
      </c>
      <c r="BW205" s="296">
        <f t="shared" si="1072"/>
        <v>5746.6</v>
      </c>
      <c r="BX205" s="296">
        <f t="shared" si="1072"/>
        <v>11707.037061540001</v>
      </c>
      <c r="BY205" s="296">
        <f t="shared" si="1072"/>
        <v>21911.093167040002</v>
      </c>
      <c r="BZ205" s="296">
        <f t="shared" si="1072"/>
        <v>7062.1818219800007</v>
      </c>
      <c r="CA205" s="296">
        <f t="shared" si="1072"/>
        <v>15777.586399999998</v>
      </c>
      <c r="CB205" s="296">
        <f t="shared" si="1072"/>
        <v>27073.380856419997</v>
      </c>
      <c r="CC205" s="296">
        <f t="shared" si="1072"/>
        <v>2496.7960000000003</v>
      </c>
      <c r="CD205" s="296">
        <f t="shared" si="1072"/>
        <v>18035.613179479999</v>
      </c>
      <c r="CE205" s="296">
        <f t="shared" ref="CE205:DJ205" si="1073">SUM(CE175,CE181,CE187,CE193)</f>
        <v>18381.908907700003</v>
      </c>
      <c r="CF205" s="296">
        <f t="shared" si="1073"/>
        <v>8133.0257999999994</v>
      </c>
      <c r="CG205" s="296">
        <f t="shared" si="1073"/>
        <v>27526.426472539999</v>
      </c>
      <c r="CH205" s="296">
        <f t="shared" si="1073"/>
        <v>40415.805281319997</v>
      </c>
      <c r="CI205" s="296">
        <f t="shared" si="1073"/>
        <v>4503.8014375202165</v>
      </c>
      <c r="CJ205" s="296">
        <f t="shared" si="1073"/>
        <v>23725.257643432291</v>
      </c>
      <c r="CK205" s="296">
        <f t="shared" si="1073"/>
        <v>51127.515181975243</v>
      </c>
      <c r="CL205" s="296">
        <f t="shared" si="1073"/>
        <v>26517.077121552305</v>
      </c>
      <c r="CM205" s="296">
        <f t="shared" si="1073"/>
        <v>39537.299806351002</v>
      </c>
      <c r="CN205" s="296">
        <f t="shared" si="1073"/>
        <v>47921.882391340718</v>
      </c>
      <c r="CO205" s="296">
        <f t="shared" si="1073"/>
        <v>26570.481418057894</v>
      </c>
      <c r="CP205" s="296">
        <f t="shared" si="1073"/>
        <v>62676.32222382808</v>
      </c>
      <c r="CQ205" s="296">
        <f t="shared" si="1073"/>
        <v>88203.800921250149</v>
      </c>
      <c r="CR205" s="296">
        <f t="shared" si="1073"/>
        <v>26599.564140461051</v>
      </c>
      <c r="CS205" s="296">
        <f t="shared" si="1073"/>
        <v>105546.85609994852</v>
      </c>
      <c r="CT205" s="296">
        <f t="shared" si="1073"/>
        <v>132458.42202365963</v>
      </c>
      <c r="CU205" s="296">
        <f t="shared" si="1073"/>
        <v>26650.228124978039</v>
      </c>
      <c r="CV205" s="296">
        <f t="shared" si="1073"/>
        <v>62467.889698416358</v>
      </c>
      <c r="CW205" s="296">
        <f t="shared" si="1073"/>
        <v>124784.94900059233</v>
      </c>
      <c r="CX205" s="296">
        <f t="shared" si="1073"/>
        <v>47304.848802494664</v>
      </c>
      <c r="CY205" s="296">
        <f t="shared" si="1073"/>
        <v>100230.82520391258</v>
      </c>
      <c r="CZ205" s="296">
        <f t="shared" si="1073"/>
        <v>141002.28093594665</v>
      </c>
      <c r="DA205" s="296">
        <f t="shared" si="1073"/>
        <v>45108.349520873133</v>
      </c>
      <c r="DB205" s="296">
        <f t="shared" si="1073"/>
        <v>87001.680257881831</v>
      </c>
      <c r="DC205" s="296">
        <f t="shared" si="1073"/>
        <v>153861.79246629265</v>
      </c>
      <c r="DD205" s="296">
        <f t="shared" si="1073"/>
        <v>63114.518396067215</v>
      </c>
      <c r="DE205" s="296">
        <f t="shared" si="1073"/>
        <v>172011.4298688873</v>
      </c>
      <c r="DF205" s="296">
        <f t="shared" si="1073"/>
        <v>200381.44984978173</v>
      </c>
      <c r="DG205" s="296">
        <f t="shared" si="1073"/>
        <v>119734.51792671728</v>
      </c>
      <c r="DH205" s="296">
        <f t="shared" si="1073"/>
        <v>259816.94614750845</v>
      </c>
      <c r="DI205" s="296">
        <f t="shared" si="1073"/>
        <v>508533.74378429609</v>
      </c>
      <c r="DJ205" s="296">
        <f t="shared" si="1073"/>
        <v>214926.32680309124</v>
      </c>
      <c r="DK205" s="296">
        <f t="shared" ref="DK205:EP205" si="1074">SUM(DK175,DK181,DK187,DK193)</f>
        <v>416577.54858508921</v>
      </c>
      <c r="DL205" s="296">
        <f t="shared" si="1074"/>
        <v>582235.03324994142</v>
      </c>
      <c r="DM205" s="296">
        <f t="shared" si="1074"/>
        <v>186265.91841457991</v>
      </c>
      <c r="DN205" s="296">
        <f t="shared" si="1074"/>
        <v>344961.17425295134</v>
      </c>
      <c r="DO205" s="296">
        <f t="shared" si="1074"/>
        <v>608266.32856309204</v>
      </c>
      <c r="DP205" s="296">
        <f t="shared" si="1074"/>
        <v>225978.81769355483</v>
      </c>
      <c r="DQ205" s="296">
        <f t="shared" si="1074"/>
        <v>659019.62827240583</v>
      </c>
      <c r="DR205" s="296">
        <f t="shared" si="1074"/>
        <v>766747.26939868194</v>
      </c>
      <c r="DS205" s="296">
        <f t="shared" si="1074"/>
        <v>149802.49290957081</v>
      </c>
      <c r="DT205" s="296">
        <f t="shared" si="1074"/>
        <v>336628.12563125259</v>
      </c>
      <c r="DU205" s="296">
        <f t="shared" si="1074"/>
        <v>660410.36198580218</v>
      </c>
      <c r="DV205" s="296">
        <f t="shared" si="1074"/>
        <v>271879.89428488899</v>
      </c>
      <c r="DW205" s="296">
        <f t="shared" si="1074"/>
        <v>549295.2316805789</v>
      </c>
      <c r="DX205" s="296">
        <f t="shared" si="1074"/>
        <v>760390.0200901645</v>
      </c>
      <c r="DY205" s="296">
        <f t="shared" si="1074"/>
        <v>232792.78714710288</v>
      </c>
      <c r="DZ205" s="296">
        <f t="shared" si="1074"/>
        <v>452612.87002320786</v>
      </c>
      <c r="EA205" s="296">
        <f t="shared" si="1074"/>
        <v>800896.74128874124</v>
      </c>
      <c r="EB205" s="296">
        <f t="shared" si="1074"/>
        <v>287056.65819815086</v>
      </c>
      <c r="EC205" s="296">
        <f t="shared" si="1074"/>
        <v>853255.78700078721</v>
      </c>
      <c r="ED205" s="296">
        <f t="shared" si="1074"/>
        <v>1002051.4278923941</v>
      </c>
      <c r="EE205" s="296">
        <f t="shared" si="1074"/>
        <v>187374.97274680977</v>
      </c>
      <c r="EF205" s="296">
        <f t="shared" si="1074"/>
        <v>432458.39697576052</v>
      </c>
      <c r="EG205" s="296">
        <f t="shared" si="1074"/>
        <v>849875.78057337785</v>
      </c>
      <c r="EH205" s="296">
        <f t="shared" si="1074"/>
        <v>343009.07349282986</v>
      </c>
      <c r="EI205" s="296">
        <f t="shared" si="1074"/>
        <v>714768.31370649056</v>
      </c>
      <c r="EJ205" s="296">
        <f t="shared" si="1074"/>
        <v>982590.49678599439</v>
      </c>
      <c r="EK205" s="296">
        <f t="shared" si="1074"/>
        <v>290935.31090651854</v>
      </c>
      <c r="EL205" s="296">
        <f t="shared" si="1074"/>
        <v>586856.82616591384</v>
      </c>
      <c r="EM205" s="296">
        <f t="shared" si="1074"/>
        <v>1041081.2944603175</v>
      </c>
      <c r="EN205" s="296">
        <f t="shared" si="1074"/>
        <v>363321.76297228032</v>
      </c>
      <c r="EO205" s="296">
        <f t="shared" si="1074"/>
        <v>1095593.0648181988</v>
      </c>
      <c r="EP205" s="296">
        <f t="shared" si="1074"/>
        <v>1295522.6943429075</v>
      </c>
      <c r="EQ205" s="296">
        <f t="shared" ref="EQ205:FB205" si="1075">SUM(EQ175,EQ181,EQ187,EQ193)</f>
        <v>292107.99786472879</v>
      </c>
      <c r="ER205" s="296">
        <f t="shared" si="1075"/>
        <v>673929.21220876276</v>
      </c>
      <c r="ES205" s="296">
        <f t="shared" si="1075"/>
        <v>1324387.6175149193</v>
      </c>
      <c r="ET205" s="296">
        <f t="shared" si="1075"/>
        <v>534668.82876273943</v>
      </c>
      <c r="EU205" s="296">
        <f t="shared" si="1075"/>
        <v>1113676.520407334</v>
      </c>
      <c r="EV205" s="296">
        <f t="shared" si="1075"/>
        <v>1531114.2278382564</v>
      </c>
      <c r="EW205" s="296">
        <f t="shared" si="1075"/>
        <v>453558.66973599105</v>
      </c>
      <c r="EX205" s="296">
        <f t="shared" si="1075"/>
        <v>914422.93052104895</v>
      </c>
      <c r="EY205" s="296">
        <f t="shared" si="1075"/>
        <v>1622125.8944406251</v>
      </c>
      <c r="EZ205" s="296">
        <f t="shared" si="1075"/>
        <v>566305.9653691526</v>
      </c>
      <c r="FA205" s="296">
        <f t="shared" si="1075"/>
        <v>1707349.0091233982</v>
      </c>
      <c r="FB205" s="296">
        <f t="shared" si="1075"/>
        <v>2018724.5351295939</v>
      </c>
    </row>
    <row r="206" spans="3:158" x14ac:dyDescent="0.25">
      <c r="C206" s="2" t="s">
        <v>299</v>
      </c>
      <c r="D206" s="244">
        <f t="shared" ref="D206:L206" si="1076">SUM(D176,D182,D188,D194)</f>
        <v>55867.692599999995</v>
      </c>
      <c r="E206" s="244">
        <f t="shared" si="1076"/>
        <v>81187.375100000005</v>
      </c>
      <c r="F206" s="244">
        <f t="shared" si="1076"/>
        <v>102133.72747401001</v>
      </c>
      <c r="G206" s="244">
        <f t="shared" si="1076"/>
        <v>929883.28824422159</v>
      </c>
      <c r="H206" s="244">
        <f t="shared" si="1076"/>
        <v>2541176.7390611824</v>
      </c>
      <c r="I206" s="244">
        <f t="shared" si="1076"/>
        <v>9869860.9650647286</v>
      </c>
      <c r="J206" s="244">
        <f t="shared" si="1076"/>
        <v>15546501.05644617</v>
      </c>
      <c r="K206" s="244">
        <f t="shared" si="1076"/>
        <v>19900959.34065989</v>
      </c>
      <c r="L206" s="244">
        <f t="shared" si="1076"/>
        <v>25136671.552238494</v>
      </c>
      <c r="M206" s="244"/>
      <c r="N206" s="244">
        <f t="shared" ref="N206:AW206" si="1077">SUM(N176,N182,N188,N194)</f>
        <v>10998.88</v>
      </c>
      <c r="O206" s="244">
        <f t="shared" si="1077"/>
        <v>16378.3483</v>
      </c>
      <c r="P206" s="244">
        <f t="shared" si="1077"/>
        <v>12124.704600000001</v>
      </c>
      <c r="Q206" s="244">
        <f t="shared" si="1077"/>
        <v>16365.759700000002</v>
      </c>
      <c r="R206" s="244">
        <f t="shared" si="1077"/>
        <v>15050.335500000001</v>
      </c>
      <c r="S206" s="244">
        <f t="shared" si="1077"/>
        <v>15550.991599999999</v>
      </c>
      <c r="T206" s="244">
        <f t="shared" si="1077"/>
        <v>21859.519600000003</v>
      </c>
      <c r="U206" s="244">
        <f t="shared" si="1077"/>
        <v>28726.528399999999</v>
      </c>
      <c r="V206" s="244">
        <f t="shared" si="1077"/>
        <v>19682.365114290002</v>
      </c>
      <c r="W206" s="244">
        <f t="shared" si="1077"/>
        <v>24956.574539199999</v>
      </c>
      <c r="X206" s="244">
        <f t="shared" si="1077"/>
        <v>19457.159043590003</v>
      </c>
      <c r="Y206" s="244">
        <f t="shared" si="1077"/>
        <v>38037.628776929996</v>
      </c>
      <c r="Z206" s="244">
        <f t="shared" si="1077"/>
        <v>119626.5172413659</v>
      </c>
      <c r="AA206" s="244">
        <f t="shared" si="1077"/>
        <v>169862.73008925299</v>
      </c>
      <c r="AB206" s="244">
        <f t="shared" si="1077"/>
        <v>257468.74915656808</v>
      </c>
      <c r="AC206" s="244">
        <f t="shared" si="1077"/>
        <v>382925.2917570346</v>
      </c>
      <c r="AD206" s="244">
        <f t="shared" si="1077"/>
        <v>447010.89570738777</v>
      </c>
      <c r="AE206" s="244">
        <f t="shared" si="1077"/>
        <v>598707.5246319467</v>
      </c>
      <c r="AF206" s="244">
        <f t="shared" si="1077"/>
        <v>591769.57202560967</v>
      </c>
      <c r="AG206" s="244">
        <f t="shared" si="1077"/>
        <v>903688.74669623759</v>
      </c>
      <c r="AH206" s="244">
        <f t="shared" si="1077"/>
        <v>1793399.5231230948</v>
      </c>
      <c r="AI206" s="244">
        <f t="shared" si="1077"/>
        <v>2446884.119353483</v>
      </c>
      <c r="AJ206" s="244">
        <f t="shared" si="1077"/>
        <v>2296773.2140849726</v>
      </c>
      <c r="AK206" s="244">
        <f t="shared" si="1077"/>
        <v>3332804.1085031778</v>
      </c>
      <c r="AL206" s="244">
        <f t="shared" si="1077"/>
        <v>2811991.1627301238</v>
      </c>
      <c r="AM206" s="244">
        <f t="shared" si="1077"/>
        <v>3862857.2112365691</v>
      </c>
      <c r="AN206" s="244">
        <f t="shared" si="1077"/>
        <v>3628625.4093518583</v>
      </c>
      <c r="AO206" s="244">
        <f t="shared" si="1077"/>
        <v>5243027.2731276201</v>
      </c>
      <c r="AP206" s="244">
        <f t="shared" si="1077"/>
        <v>3580969.6694216263</v>
      </c>
      <c r="AQ206" s="244">
        <f t="shared" si="1077"/>
        <v>4957332.4702558266</v>
      </c>
      <c r="AR206" s="244">
        <f t="shared" si="1077"/>
        <v>4660699.7913496671</v>
      </c>
      <c r="AS206" s="244">
        <f t="shared" si="1077"/>
        <v>6701957.409632775</v>
      </c>
      <c r="AT206" s="244">
        <f t="shared" si="1077"/>
        <v>4505115.7285143221</v>
      </c>
      <c r="AU206" s="244">
        <f t="shared" si="1077"/>
        <v>6273614.9404163817</v>
      </c>
      <c r="AV206" s="244">
        <f t="shared" si="1077"/>
        <v>5902031.4983765166</v>
      </c>
      <c r="AW206" s="244">
        <f t="shared" si="1077"/>
        <v>8455909.3849312682</v>
      </c>
      <c r="AY206" s="296">
        <f t="shared" ref="AY206:CD206" si="1078">SUM(AY176,AY182,AY188,AY194)</f>
        <v>1058.0999999999999</v>
      </c>
      <c r="AZ206" s="296">
        <f t="shared" si="1078"/>
        <v>2720</v>
      </c>
      <c r="BA206" s="296">
        <f t="shared" si="1078"/>
        <v>7220.78</v>
      </c>
      <c r="BB206" s="296">
        <f t="shared" si="1078"/>
        <v>1629.9642999999999</v>
      </c>
      <c r="BC206" s="296">
        <f t="shared" si="1078"/>
        <v>6179.4668000000001</v>
      </c>
      <c r="BD206" s="296">
        <f t="shared" si="1078"/>
        <v>8568.9171999999999</v>
      </c>
      <c r="BE206" s="296">
        <f t="shared" si="1078"/>
        <v>725.5</v>
      </c>
      <c r="BF206" s="296">
        <f t="shared" si="1078"/>
        <v>4075.5346</v>
      </c>
      <c r="BG206" s="296">
        <f t="shared" si="1078"/>
        <v>7323.67</v>
      </c>
      <c r="BH206" s="296">
        <f t="shared" si="1078"/>
        <v>2784.9467</v>
      </c>
      <c r="BI206" s="296">
        <f t="shared" si="1078"/>
        <v>5793.6367</v>
      </c>
      <c r="BJ206" s="296">
        <f t="shared" si="1078"/>
        <v>7787.1763000000001</v>
      </c>
      <c r="BK206" s="296">
        <f t="shared" si="1078"/>
        <v>2185.3000000000002</v>
      </c>
      <c r="BL206" s="296">
        <f t="shared" si="1078"/>
        <v>1729.0028999999997</v>
      </c>
      <c r="BM206" s="296">
        <f t="shared" si="1078"/>
        <v>11136.0326</v>
      </c>
      <c r="BN206" s="296">
        <f t="shared" si="1078"/>
        <v>2105.5299999999997</v>
      </c>
      <c r="BO206" s="296">
        <f t="shared" si="1078"/>
        <v>5283.9533000000001</v>
      </c>
      <c r="BP206" s="296">
        <f t="shared" si="1078"/>
        <v>8161.5083000000013</v>
      </c>
      <c r="BQ206" s="296">
        <f t="shared" si="1078"/>
        <v>2632.46</v>
      </c>
      <c r="BR206" s="296">
        <f t="shared" si="1078"/>
        <v>5349.7166999999999</v>
      </c>
      <c r="BS206" s="296">
        <f t="shared" si="1078"/>
        <v>13877.3429</v>
      </c>
      <c r="BT206" s="296">
        <f t="shared" si="1078"/>
        <v>1455.5186000000001</v>
      </c>
      <c r="BU206" s="296">
        <f t="shared" si="1078"/>
        <v>12972.429700000001</v>
      </c>
      <c r="BV206" s="296">
        <f t="shared" si="1078"/>
        <v>14298.580100000003</v>
      </c>
      <c r="BW206" s="296">
        <f t="shared" si="1078"/>
        <v>2873.3</v>
      </c>
      <c r="BX206" s="296">
        <f t="shared" si="1078"/>
        <v>5853.5185307700003</v>
      </c>
      <c r="BY206" s="296">
        <f t="shared" si="1078"/>
        <v>10955.546583520001</v>
      </c>
      <c r="BZ206" s="296">
        <f t="shared" si="1078"/>
        <v>3531.0909109900003</v>
      </c>
      <c r="CA206" s="296">
        <f t="shared" si="1078"/>
        <v>7888.7931999999992</v>
      </c>
      <c r="CB206" s="296">
        <f t="shared" si="1078"/>
        <v>13536.690428209999</v>
      </c>
      <c r="CC206" s="296">
        <f t="shared" si="1078"/>
        <v>1248.3980000000001</v>
      </c>
      <c r="CD206" s="296">
        <f t="shared" si="1078"/>
        <v>9017.8065897399993</v>
      </c>
      <c r="CE206" s="296">
        <f t="shared" ref="CE206:DJ206" si="1079">SUM(CE176,CE182,CE188,CE194)</f>
        <v>9190.9544538500013</v>
      </c>
      <c r="CF206" s="296">
        <f t="shared" si="1079"/>
        <v>4066.5128999999997</v>
      </c>
      <c r="CG206" s="296">
        <f t="shared" si="1079"/>
        <v>13763.213236269999</v>
      </c>
      <c r="CH206" s="296">
        <f t="shared" si="1079"/>
        <v>20207.902640659999</v>
      </c>
      <c r="CI206" s="296">
        <f t="shared" si="1079"/>
        <v>9966.4873541401084</v>
      </c>
      <c r="CJ206" s="296">
        <f t="shared" si="1079"/>
        <v>35108.489151716145</v>
      </c>
      <c r="CK206" s="296">
        <f t="shared" si="1079"/>
        <v>74551.540735509625</v>
      </c>
      <c r="CL206" s="296">
        <f t="shared" si="1079"/>
        <v>41250.655204725153</v>
      </c>
      <c r="CM206" s="296">
        <f t="shared" si="1079"/>
        <v>59338.412404167502</v>
      </c>
      <c r="CN206" s="296">
        <f t="shared" si="1079"/>
        <v>69273.662480360363</v>
      </c>
      <c r="CO206" s="296">
        <f t="shared" si="1079"/>
        <v>38596.757740278947</v>
      </c>
      <c r="CP206" s="296">
        <f t="shared" si="1079"/>
        <v>90398.367518164043</v>
      </c>
      <c r="CQ206" s="296">
        <f t="shared" si="1079"/>
        <v>128473.62389812509</v>
      </c>
      <c r="CR206" s="296">
        <f t="shared" si="1079"/>
        <v>38362.069132730525</v>
      </c>
      <c r="CS206" s="296">
        <f t="shared" si="1079"/>
        <v>153022.57629997426</v>
      </c>
      <c r="CT206" s="296">
        <f t="shared" si="1079"/>
        <v>191540.64632432981</v>
      </c>
      <c r="CU206" s="296">
        <f t="shared" si="1079"/>
        <v>57457.241819707255</v>
      </c>
      <c r="CV206" s="296">
        <f t="shared" si="1079"/>
        <v>130193.19562379533</v>
      </c>
      <c r="CW206" s="296">
        <f t="shared" si="1079"/>
        <v>259360.45826388517</v>
      </c>
      <c r="CX206" s="296">
        <f t="shared" si="1079"/>
        <v>101101.47600503099</v>
      </c>
      <c r="CY206" s="296">
        <f t="shared" si="1079"/>
        <v>205780.1826966707</v>
      </c>
      <c r="CZ206" s="296">
        <f t="shared" si="1079"/>
        <v>291825.86593024491</v>
      </c>
      <c r="DA206" s="296">
        <f t="shared" si="1079"/>
        <v>96764.113197856554</v>
      </c>
      <c r="DB206" s="296">
        <f t="shared" si="1079"/>
        <v>179139.43943962842</v>
      </c>
      <c r="DC206" s="296">
        <f t="shared" si="1079"/>
        <v>315866.0193881247</v>
      </c>
      <c r="DD206" s="296">
        <f t="shared" si="1079"/>
        <v>132665.73383888326</v>
      </c>
      <c r="DE206" s="296">
        <f t="shared" si="1079"/>
        <v>357551.29128673504</v>
      </c>
      <c r="DF206" s="296">
        <f t="shared" si="1079"/>
        <v>413471.72157061944</v>
      </c>
      <c r="DG206" s="296">
        <f t="shared" si="1079"/>
        <v>243198.19973599669</v>
      </c>
      <c r="DH206" s="296">
        <f t="shared" si="1079"/>
        <v>524350.46147574531</v>
      </c>
      <c r="DI206" s="296">
        <f t="shared" si="1079"/>
        <v>1025850.861911353</v>
      </c>
      <c r="DJ206" s="296">
        <f t="shared" si="1079"/>
        <v>435676.60221666651</v>
      </c>
      <c r="DK206" s="296">
        <f t="shared" ref="DK206:EP206" si="1080">SUM(DK176,DK182,DK188,DK194)</f>
        <v>837926.49521008029</v>
      </c>
      <c r="DL206" s="296">
        <f t="shared" si="1080"/>
        <v>1173281.0219267365</v>
      </c>
      <c r="DM206" s="296">
        <f t="shared" si="1080"/>
        <v>378405.69776940643</v>
      </c>
      <c r="DN206" s="296">
        <f t="shared" si="1080"/>
        <v>694530.06273591809</v>
      </c>
      <c r="DO206" s="296">
        <f t="shared" si="1080"/>
        <v>1223837.4535796477</v>
      </c>
      <c r="DP206" s="296">
        <f t="shared" si="1080"/>
        <v>457732.16903743858</v>
      </c>
      <c r="DQ206" s="296">
        <f t="shared" si="1080"/>
        <v>1330175.9755247894</v>
      </c>
      <c r="DR206" s="296">
        <f t="shared" si="1080"/>
        <v>1544895.9639409501</v>
      </c>
      <c r="DS206" s="296">
        <f t="shared" si="1080"/>
        <v>372420.25337135739</v>
      </c>
      <c r="DT206" s="296">
        <f t="shared" si="1080"/>
        <v>824215.90743039944</v>
      </c>
      <c r="DU206" s="296">
        <f t="shared" si="1080"/>
        <v>1615355.0019283674</v>
      </c>
      <c r="DV206" s="296">
        <f t="shared" si="1080"/>
        <v>672649.12036450452</v>
      </c>
      <c r="DW206" s="296">
        <f t="shared" si="1080"/>
        <v>1334806.54281933</v>
      </c>
      <c r="DX206" s="296">
        <f t="shared" si="1080"/>
        <v>1855401.5480527342</v>
      </c>
      <c r="DY206" s="296">
        <f t="shared" si="1080"/>
        <v>579012.6442991565</v>
      </c>
      <c r="DZ206" s="296">
        <f t="shared" si="1080"/>
        <v>1102202.9079468222</v>
      </c>
      <c r="EA206" s="296">
        <f t="shared" si="1080"/>
        <v>1947409.8571058798</v>
      </c>
      <c r="EB206" s="296">
        <f t="shared" si="1080"/>
        <v>708902.49243794207</v>
      </c>
      <c r="EC206" s="296">
        <f t="shared" si="1080"/>
        <v>2089778.8281512938</v>
      </c>
      <c r="ED206" s="296">
        <f t="shared" si="1080"/>
        <v>2444345.9525383837</v>
      </c>
      <c r="EE206" s="296">
        <f t="shared" si="1080"/>
        <v>461316.07211296412</v>
      </c>
      <c r="EF206" s="296">
        <f t="shared" si="1080"/>
        <v>1052592.0026991458</v>
      </c>
      <c r="EG206" s="296">
        <f t="shared" si="1080"/>
        <v>2067061.5946095169</v>
      </c>
      <c r="EH206" s="296">
        <f t="shared" si="1080"/>
        <v>841363.05150581722</v>
      </c>
      <c r="EI206" s="296">
        <f t="shared" si="1080"/>
        <v>1730306.5916914463</v>
      </c>
      <c r="EJ206" s="296">
        <f t="shared" si="1080"/>
        <v>2385662.8270585625</v>
      </c>
      <c r="EK206" s="296">
        <f t="shared" si="1080"/>
        <v>716541.49542229576</v>
      </c>
      <c r="EL206" s="296">
        <f t="shared" si="1080"/>
        <v>1422809.1556548278</v>
      </c>
      <c r="EM206" s="296">
        <f t="shared" si="1080"/>
        <v>2521349.1402725433</v>
      </c>
      <c r="EN206" s="296">
        <f t="shared" si="1080"/>
        <v>889959.58141146239</v>
      </c>
      <c r="EO206" s="296">
        <f t="shared" si="1080"/>
        <v>2667228.5583277056</v>
      </c>
      <c r="EP206" s="296">
        <f t="shared" si="1080"/>
        <v>3144769.2698936067</v>
      </c>
      <c r="EQ206" s="296">
        <f t="shared" ref="EQ206:FB206" si="1081">SUM(EQ176,EQ182,EQ188,EQ194)</f>
        <v>567823.7232026055</v>
      </c>
      <c r="ER206" s="296">
        <f t="shared" si="1081"/>
        <v>1327125.8179038286</v>
      </c>
      <c r="ES206" s="296">
        <f t="shared" si="1081"/>
        <v>2610166.1874078889</v>
      </c>
      <c r="ET206" s="296">
        <f t="shared" si="1081"/>
        <v>1043737.347157825</v>
      </c>
      <c r="EU206" s="296">
        <f t="shared" si="1081"/>
        <v>2206379.4232780682</v>
      </c>
      <c r="EV206" s="296">
        <f t="shared" si="1081"/>
        <v>3023498.1699804873</v>
      </c>
      <c r="EW206" s="296">
        <f t="shared" si="1081"/>
        <v>881297.62965241738</v>
      </c>
      <c r="EX206" s="296">
        <f t="shared" si="1081"/>
        <v>1808591.7478513489</v>
      </c>
      <c r="EY206" s="296">
        <f t="shared" si="1081"/>
        <v>3212142.1208727509</v>
      </c>
      <c r="EZ206" s="296">
        <f t="shared" si="1081"/>
        <v>1107228.833536732</v>
      </c>
      <c r="FA206" s="296">
        <f t="shared" si="1081"/>
        <v>3361348.6854293472</v>
      </c>
      <c r="FB206" s="296">
        <f t="shared" si="1081"/>
        <v>3987331.8659651885</v>
      </c>
    </row>
    <row r="207" spans="3:158" x14ac:dyDescent="0.25">
      <c r="C207" s="2" t="s">
        <v>300</v>
      </c>
      <c r="D207" s="244">
        <f t="shared" ref="D207:L207" si="1082">SUM(D177,D183,D189,D195)</f>
        <v>111735.38519999999</v>
      </c>
      <c r="E207" s="244">
        <f t="shared" si="1082"/>
        <v>162374.75020000001</v>
      </c>
      <c r="F207" s="244">
        <f t="shared" si="1082"/>
        <v>204267.45494802002</v>
      </c>
      <c r="G207" s="244">
        <f t="shared" si="1082"/>
        <v>1195685.9307861542</v>
      </c>
      <c r="H207" s="244">
        <f t="shared" si="1082"/>
        <v>1387946.65638607</v>
      </c>
      <c r="I207" s="244">
        <f t="shared" si="1082"/>
        <v>1877392.571164232</v>
      </c>
      <c r="J207" s="244">
        <f t="shared" si="1082"/>
        <v>2503625.2693836321</v>
      </c>
      <c r="K207" s="244">
        <f t="shared" si="1082"/>
        <v>3278925.1403523549</v>
      </c>
      <c r="L207" s="244">
        <f t="shared" si="1082"/>
        <v>4205031.5104555618</v>
      </c>
      <c r="M207" s="244"/>
      <c r="N207" s="244">
        <f t="shared" ref="N207:AW207" si="1083">SUM(N177,N183,N189,N195)</f>
        <v>21997.759999999998</v>
      </c>
      <c r="O207" s="244">
        <f t="shared" si="1083"/>
        <v>32756.696599999999</v>
      </c>
      <c r="P207" s="244">
        <f t="shared" si="1083"/>
        <v>24249.409200000002</v>
      </c>
      <c r="Q207" s="244">
        <f t="shared" si="1083"/>
        <v>32731.519400000005</v>
      </c>
      <c r="R207" s="244">
        <f t="shared" si="1083"/>
        <v>30100.671000000002</v>
      </c>
      <c r="S207" s="244">
        <f t="shared" si="1083"/>
        <v>31101.983199999999</v>
      </c>
      <c r="T207" s="244">
        <f t="shared" si="1083"/>
        <v>43719.039200000007</v>
      </c>
      <c r="U207" s="244">
        <f t="shared" si="1083"/>
        <v>57453.056799999998</v>
      </c>
      <c r="V207" s="244">
        <f t="shared" si="1083"/>
        <v>39364.730228580003</v>
      </c>
      <c r="W207" s="244">
        <f t="shared" si="1083"/>
        <v>49913.149078399998</v>
      </c>
      <c r="X207" s="244">
        <f t="shared" si="1083"/>
        <v>38914.318087180007</v>
      </c>
      <c r="Y207" s="244">
        <f t="shared" si="1083"/>
        <v>76075.257553859992</v>
      </c>
      <c r="Z207" s="244">
        <f t="shared" si="1083"/>
        <v>152528.08608376016</v>
      </c>
      <c r="AA207" s="244">
        <f t="shared" si="1083"/>
        <v>217283.17616099081</v>
      </c>
      <c r="AB207" s="244">
        <f t="shared" si="1083"/>
        <v>331890.71037571999</v>
      </c>
      <c r="AC207" s="244">
        <f t="shared" si="1083"/>
        <v>493983.95816568343</v>
      </c>
      <c r="AD207" s="244">
        <f t="shared" si="1083"/>
        <v>241684.87763868464</v>
      </c>
      <c r="AE207" s="244">
        <f t="shared" si="1083"/>
        <v>327320.91547986143</v>
      </c>
      <c r="AF207" s="244">
        <f t="shared" si="1083"/>
        <v>324903.4145741454</v>
      </c>
      <c r="AG207" s="244">
        <f t="shared" si="1083"/>
        <v>494037.4486933786</v>
      </c>
      <c r="AH207" s="244">
        <f t="shared" si="1083"/>
        <v>336831.93458183086</v>
      </c>
      <c r="AI207" s="244">
        <f t="shared" si="1083"/>
        <v>468320.50193169777</v>
      </c>
      <c r="AJ207" s="244">
        <f t="shared" si="1083"/>
        <v>440506.57680011744</v>
      </c>
      <c r="AK207" s="244">
        <f t="shared" si="1083"/>
        <v>631733.55785058602</v>
      </c>
      <c r="AL207" s="244">
        <f t="shared" si="1083"/>
        <v>447986.99919099041</v>
      </c>
      <c r="AM207" s="244">
        <f t="shared" si="1083"/>
        <v>625342.02292339981</v>
      </c>
      <c r="AN207" s="244">
        <f t="shared" si="1083"/>
        <v>588456.78275145136</v>
      </c>
      <c r="AO207" s="244">
        <f t="shared" si="1083"/>
        <v>841839.46451779082</v>
      </c>
      <c r="AP207" s="244">
        <f t="shared" si="1083"/>
        <v>585466.11345407588</v>
      </c>
      <c r="AQ207" s="244">
        <f t="shared" si="1083"/>
        <v>819831.34923046269</v>
      </c>
      <c r="AR207" s="244">
        <f t="shared" si="1083"/>
        <v>771738.70821830106</v>
      </c>
      <c r="AS207" s="244">
        <f t="shared" si="1083"/>
        <v>1101888.9694495159</v>
      </c>
      <c r="AT207" s="244">
        <f t="shared" si="1083"/>
        <v>749433.87452900584</v>
      </c>
      <c r="AU207" s="244">
        <f t="shared" si="1083"/>
        <v>1052321.3962717382</v>
      </c>
      <c r="AV207" s="244">
        <f t="shared" si="1083"/>
        <v>990884.8620616605</v>
      </c>
      <c r="AW207" s="244">
        <f t="shared" si="1083"/>
        <v>1412391.3775931573</v>
      </c>
      <c r="AY207" s="296">
        <f t="shared" ref="AY207:CD207" si="1084">SUM(AY177,AY183,AY189,AY195)</f>
        <v>2116.1999999999998</v>
      </c>
      <c r="AZ207" s="296">
        <f t="shared" si="1084"/>
        <v>5440</v>
      </c>
      <c r="BA207" s="296">
        <f t="shared" si="1084"/>
        <v>14441.56</v>
      </c>
      <c r="BB207" s="296">
        <f t="shared" si="1084"/>
        <v>3259.9285999999997</v>
      </c>
      <c r="BC207" s="296">
        <f t="shared" si="1084"/>
        <v>12358.9336</v>
      </c>
      <c r="BD207" s="296">
        <f t="shared" si="1084"/>
        <v>17137.8344</v>
      </c>
      <c r="BE207" s="296">
        <f t="shared" si="1084"/>
        <v>1451</v>
      </c>
      <c r="BF207" s="296">
        <f t="shared" si="1084"/>
        <v>8151.0691999999999</v>
      </c>
      <c r="BG207" s="296">
        <f t="shared" si="1084"/>
        <v>14647.34</v>
      </c>
      <c r="BH207" s="296">
        <f t="shared" si="1084"/>
        <v>5569.8933999999999</v>
      </c>
      <c r="BI207" s="296">
        <f t="shared" si="1084"/>
        <v>11587.2734</v>
      </c>
      <c r="BJ207" s="296">
        <f t="shared" si="1084"/>
        <v>15574.3526</v>
      </c>
      <c r="BK207" s="296">
        <f t="shared" si="1084"/>
        <v>4370.6000000000004</v>
      </c>
      <c r="BL207" s="296">
        <f t="shared" si="1084"/>
        <v>3458.0057999999995</v>
      </c>
      <c r="BM207" s="296">
        <f t="shared" si="1084"/>
        <v>22272.065200000001</v>
      </c>
      <c r="BN207" s="296">
        <f t="shared" si="1084"/>
        <v>4211.0599999999995</v>
      </c>
      <c r="BO207" s="296">
        <f t="shared" si="1084"/>
        <v>10567.9066</v>
      </c>
      <c r="BP207" s="296">
        <f t="shared" si="1084"/>
        <v>16323.016600000003</v>
      </c>
      <c r="BQ207" s="296">
        <f t="shared" si="1084"/>
        <v>5264.92</v>
      </c>
      <c r="BR207" s="296">
        <f t="shared" si="1084"/>
        <v>10699.4334</v>
      </c>
      <c r="BS207" s="296">
        <f t="shared" si="1084"/>
        <v>27754.685799999999</v>
      </c>
      <c r="BT207" s="296">
        <f t="shared" si="1084"/>
        <v>2911.0372000000002</v>
      </c>
      <c r="BU207" s="296">
        <f t="shared" si="1084"/>
        <v>25944.859400000001</v>
      </c>
      <c r="BV207" s="296">
        <f t="shared" si="1084"/>
        <v>28597.160200000006</v>
      </c>
      <c r="BW207" s="296">
        <f t="shared" si="1084"/>
        <v>5746.6</v>
      </c>
      <c r="BX207" s="296">
        <f t="shared" si="1084"/>
        <v>11707.037061540001</v>
      </c>
      <c r="BY207" s="296">
        <f t="shared" si="1084"/>
        <v>21911.093167040002</v>
      </c>
      <c r="BZ207" s="296">
        <f t="shared" si="1084"/>
        <v>7062.1818219800007</v>
      </c>
      <c r="CA207" s="296">
        <f t="shared" si="1084"/>
        <v>15777.586399999998</v>
      </c>
      <c r="CB207" s="296">
        <f t="shared" si="1084"/>
        <v>27073.380856419997</v>
      </c>
      <c r="CC207" s="296">
        <f t="shared" si="1084"/>
        <v>2496.7960000000003</v>
      </c>
      <c r="CD207" s="296">
        <f t="shared" si="1084"/>
        <v>18035.613179479999</v>
      </c>
      <c r="CE207" s="296">
        <f t="shared" ref="CE207:DJ207" si="1085">SUM(CE177,CE183,CE189,CE195)</f>
        <v>18381.908907700003</v>
      </c>
      <c r="CF207" s="296">
        <f t="shared" si="1085"/>
        <v>8133.0257999999994</v>
      </c>
      <c r="CG207" s="296">
        <f t="shared" si="1085"/>
        <v>27526.426472539999</v>
      </c>
      <c r="CH207" s="296">
        <f t="shared" si="1085"/>
        <v>40415.805281319997</v>
      </c>
      <c r="CI207" s="296">
        <f t="shared" si="1085"/>
        <v>11564.470152857153</v>
      </c>
      <c r="CJ207" s="296">
        <f t="shared" si="1085"/>
        <v>45000.709790200257</v>
      </c>
      <c r="CK207" s="296">
        <f t="shared" si="1085"/>
        <v>95962.906140702762</v>
      </c>
      <c r="CL207" s="296">
        <f t="shared" si="1085"/>
        <v>52136.474712808682</v>
      </c>
      <c r="CM207" s="296">
        <f t="shared" si="1085"/>
        <v>75752.977634474184</v>
      </c>
      <c r="CN207" s="296">
        <f t="shared" si="1085"/>
        <v>89393.723813707926</v>
      </c>
      <c r="CO207" s="296">
        <f t="shared" si="1085"/>
        <v>49736.497289945473</v>
      </c>
      <c r="CP207" s="296">
        <f t="shared" si="1085"/>
        <v>116730.35925823243</v>
      </c>
      <c r="CQ207" s="296">
        <f t="shared" si="1085"/>
        <v>165423.8538275421</v>
      </c>
      <c r="CR207" s="296">
        <f t="shared" si="1085"/>
        <v>49537.475730622486</v>
      </c>
      <c r="CS207" s="296">
        <f t="shared" si="1085"/>
        <v>197298.5024605942</v>
      </c>
      <c r="CT207" s="296">
        <f t="shared" si="1085"/>
        <v>247147.97997446678</v>
      </c>
      <c r="CU207" s="296">
        <f t="shared" si="1085"/>
        <v>29571.89912828766</v>
      </c>
      <c r="CV207" s="296">
        <f t="shared" si="1085"/>
        <v>70688.656149422895</v>
      </c>
      <c r="CW207" s="296">
        <f t="shared" si="1085"/>
        <v>141424.3223609741</v>
      </c>
      <c r="CX207" s="296">
        <f t="shared" si="1085"/>
        <v>52762.131683516098</v>
      </c>
      <c r="CY207" s="296">
        <f t="shared" si="1085"/>
        <v>114374.78418633158</v>
      </c>
      <c r="CZ207" s="296">
        <f t="shared" si="1085"/>
        <v>160183.99961001368</v>
      </c>
      <c r="DA207" s="296">
        <f t="shared" si="1085"/>
        <v>50202.999160849577</v>
      </c>
      <c r="DB207" s="296">
        <f t="shared" si="1085"/>
        <v>99119.888365710096</v>
      </c>
      <c r="DC207" s="296">
        <f t="shared" si="1085"/>
        <v>175580.52704758573</v>
      </c>
      <c r="DD207" s="296">
        <f t="shared" si="1085"/>
        <v>71076.258176260963</v>
      </c>
      <c r="DE207" s="296">
        <f t="shared" si="1085"/>
        <v>194938.24500379578</v>
      </c>
      <c r="DF207" s="296">
        <f t="shared" si="1085"/>
        <v>228022.94551332181</v>
      </c>
      <c r="DG207" s="296">
        <f t="shared" si="1085"/>
        <v>42704.190291618463</v>
      </c>
      <c r="DH207" s="296">
        <f t="shared" si="1085"/>
        <v>99167.026905699604</v>
      </c>
      <c r="DI207" s="296">
        <f t="shared" si="1085"/>
        <v>194960.7173845128</v>
      </c>
      <c r="DJ207" s="296">
        <f t="shared" si="1085"/>
        <v>78330.696937964836</v>
      </c>
      <c r="DK207" s="296">
        <f t="shared" ref="DK207:EP207" si="1086">SUM(DK177,DK183,DK189,DK195)</f>
        <v>164374.93916225538</v>
      </c>
      <c r="DL207" s="296">
        <f t="shared" si="1086"/>
        <v>225614.8658314776</v>
      </c>
      <c r="DM207" s="296">
        <f t="shared" si="1086"/>
        <v>66293.347898868858</v>
      </c>
      <c r="DN207" s="296">
        <f t="shared" si="1086"/>
        <v>134851.60214608168</v>
      </c>
      <c r="DO207" s="296">
        <f t="shared" si="1086"/>
        <v>239361.62675516697</v>
      </c>
      <c r="DP207" s="296">
        <f t="shared" si="1086"/>
        <v>83030.837818795946</v>
      </c>
      <c r="DQ207" s="296">
        <f t="shared" si="1086"/>
        <v>251201.16023221571</v>
      </c>
      <c r="DR207" s="296">
        <f t="shared" si="1086"/>
        <v>297501.55979957426</v>
      </c>
      <c r="DS207" s="296">
        <f t="shared" si="1086"/>
        <v>55956.038747387887</v>
      </c>
      <c r="DT207" s="296">
        <f t="shared" si="1086"/>
        <v>132085.94356191708</v>
      </c>
      <c r="DU207" s="296">
        <f t="shared" si="1086"/>
        <v>259945.01688168541</v>
      </c>
      <c r="DV207" s="296">
        <f t="shared" si="1086"/>
        <v>103191.08499291491</v>
      </c>
      <c r="DW207" s="296">
        <f t="shared" si="1086"/>
        <v>220597.6665258845</v>
      </c>
      <c r="DX207" s="296">
        <f t="shared" si="1086"/>
        <v>301553.27140460029</v>
      </c>
      <c r="DY207" s="296">
        <f t="shared" si="1086"/>
        <v>86819.19703552367</v>
      </c>
      <c r="DZ207" s="296">
        <f t="shared" si="1086"/>
        <v>180598.92579024838</v>
      </c>
      <c r="EA207" s="296">
        <f t="shared" si="1086"/>
        <v>321038.65992567939</v>
      </c>
      <c r="EB207" s="296">
        <f t="shared" si="1086"/>
        <v>109599.98742270852</v>
      </c>
      <c r="EC207" s="296">
        <f t="shared" si="1086"/>
        <v>334485.54558051884</v>
      </c>
      <c r="ED207" s="296">
        <f t="shared" si="1086"/>
        <v>397753.93151456339</v>
      </c>
      <c r="EE207" s="296">
        <f t="shared" si="1086"/>
        <v>72250.607968557815</v>
      </c>
      <c r="EF207" s="296">
        <f t="shared" si="1086"/>
        <v>172822.83598669816</v>
      </c>
      <c r="EG207" s="296">
        <f t="shared" si="1086"/>
        <v>340392.6694988198</v>
      </c>
      <c r="EH207" s="296">
        <f t="shared" si="1086"/>
        <v>133826.49526113362</v>
      </c>
      <c r="EI207" s="296">
        <f t="shared" si="1086"/>
        <v>290360.29792397917</v>
      </c>
      <c r="EJ207" s="296">
        <f t="shared" si="1086"/>
        <v>395644.55604534992</v>
      </c>
      <c r="EK207" s="296">
        <f t="shared" si="1086"/>
        <v>112052.3511176789</v>
      </c>
      <c r="EL207" s="296">
        <f t="shared" si="1086"/>
        <v>237321.99952549633</v>
      </c>
      <c r="EM207" s="296">
        <f t="shared" si="1086"/>
        <v>422364.35757512576</v>
      </c>
      <c r="EN207" s="296">
        <f t="shared" si="1086"/>
        <v>142366.77217220105</v>
      </c>
      <c r="EO207" s="296">
        <f t="shared" si="1086"/>
        <v>437537.66003702028</v>
      </c>
      <c r="EP207" s="296">
        <f t="shared" si="1086"/>
        <v>521984.53724029451</v>
      </c>
      <c r="EQ207" s="296">
        <f t="shared" ref="EQ207:FB207" si="1087">SUM(EQ177,EQ183,EQ189,EQ195)</f>
        <v>91505.495320063259</v>
      </c>
      <c r="ER207" s="296">
        <f t="shared" si="1087"/>
        <v>221449.95304928959</v>
      </c>
      <c r="ES207" s="296">
        <f t="shared" si="1087"/>
        <v>436478.42615965306</v>
      </c>
      <c r="ET207" s="296">
        <f t="shared" si="1087"/>
        <v>170153.71982514526</v>
      </c>
      <c r="EU207" s="296">
        <f t="shared" si="1087"/>
        <v>373986.25196379022</v>
      </c>
      <c r="EV207" s="296">
        <f t="shared" si="1087"/>
        <v>508181.42448280234</v>
      </c>
      <c r="EW207" s="296">
        <f t="shared" si="1087"/>
        <v>141859.2232002893</v>
      </c>
      <c r="EX207" s="296">
        <f t="shared" si="1087"/>
        <v>305239.80578898243</v>
      </c>
      <c r="EY207" s="296">
        <f t="shared" si="1087"/>
        <v>543785.83307238854</v>
      </c>
      <c r="EZ207" s="296">
        <f t="shared" si="1087"/>
        <v>181269.65583870964</v>
      </c>
      <c r="FA207" s="296">
        <f t="shared" si="1087"/>
        <v>560527.87536094896</v>
      </c>
      <c r="FB207" s="296">
        <f t="shared" si="1087"/>
        <v>670593.84639349882</v>
      </c>
    </row>
    <row r="209" spans="1:158" x14ac:dyDescent="0.25">
      <c r="A209" s="329">
        <v>43132</v>
      </c>
      <c r="C209" s="304" t="s">
        <v>344</v>
      </c>
      <c r="D209" s="22">
        <f t="shared" ref="D209:D213" si="1088">BJ209</f>
        <v>10301932.904999996</v>
      </c>
      <c r="E209" s="22">
        <f t="shared" ref="E209:E213" si="1089">BV209</f>
        <v>18420670.414999995</v>
      </c>
      <c r="F209" s="22">
        <f t="shared" ref="F209:F213" si="1090">CH209</f>
        <v>28634043.162400994</v>
      </c>
      <c r="G209" s="22">
        <f t="shared" ref="G209:G213" si="1091">CT209</f>
        <v>49086305.731968775</v>
      </c>
      <c r="H209" s="22">
        <f t="shared" ref="H209:H213" si="1092">DF209</f>
        <v>74574175.224417254</v>
      </c>
      <c r="I209" s="22">
        <f t="shared" ref="I209:I213" si="1093">DR209</f>
        <v>109579444.0405816</v>
      </c>
      <c r="J209" s="22">
        <f t="shared" ref="J209:J213" si="1094">ED209</f>
        <v>156714120.57364959</v>
      </c>
      <c r="K209" s="22">
        <f t="shared" ref="K209:K213" si="1095">EP209</f>
        <v>218828252.05291453</v>
      </c>
      <c r="L209" s="22">
        <f t="shared" ref="L209:L213" si="1096">FB209</f>
        <v>298807004.2247715</v>
      </c>
      <c r="M209" s="22"/>
      <c r="N209" s="22">
        <f t="shared" ref="N209:AW209" si="1097">SUM(N197,N203)</f>
        <v>5815051.6449999968</v>
      </c>
      <c r="O209" s="22">
        <f t="shared" si="1097"/>
        <v>7452886.4749999968</v>
      </c>
      <c r="P209" s="22">
        <f t="shared" si="1097"/>
        <v>8665356.9349999949</v>
      </c>
      <c r="Q209" s="22">
        <f t="shared" si="1097"/>
        <v>10301932.904999994</v>
      </c>
      <c r="R209" s="22">
        <f t="shared" si="1097"/>
        <v>11806966.454999996</v>
      </c>
      <c r="S209" s="22">
        <f t="shared" si="1097"/>
        <v>13362065.614999995</v>
      </c>
      <c r="T209" s="22">
        <f t="shared" si="1097"/>
        <v>15548017.574999996</v>
      </c>
      <c r="U209" s="22">
        <f t="shared" si="1097"/>
        <v>18420670.414999995</v>
      </c>
      <c r="V209" s="22">
        <f t="shared" si="1097"/>
        <v>20388906.926428996</v>
      </c>
      <c r="W209" s="22">
        <f t="shared" si="1097"/>
        <v>22884564.380348992</v>
      </c>
      <c r="X209" s="22">
        <f t="shared" si="1097"/>
        <v>24830280.284707993</v>
      </c>
      <c r="Y209" s="22">
        <f t="shared" si="1097"/>
        <v>28634043.162400998</v>
      </c>
      <c r="Z209" s="22">
        <f t="shared" si="1097"/>
        <v>31125510.182026993</v>
      </c>
      <c r="AA209" s="22">
        <f t="shared" si="1097"/>
        <v>34739076.908679999</v>
      </c>
      <c r="AB209" s="22">
        <f t="shared" si="1097"/>
        <v>40491138.730444364</v>
      </c>
      <c r="AC209" s="22">
        <f t="shared" si="1097"/>
        <v>49086305.731968775</v>
      </c>
      <c r="AD209" s="22">
        <f t="shared" si="1097"/>
        <v>53487785.869630747</v>
      </c>
      <c r="AE209" s="22">
        <f t="shared" si="1097"/>
        <v>59503347.74885381</v>
      </c>
      <c r="AF209" s="22">
        <f t="shared" si="1097"/>
        <v>65494973.118807234</v>
      </c>
      <c r="AG209" s="22">
        <f t="shared" si="1097"/>
        <v>74574175.224417269</v>
      </c>
      <c r="AH209" s="22">
        <f t="shared" si="1097"/>
        <v>80827172.128122896</v>
      </c>
      <c r="AI209" s="22">
        <f t="shared" si="1097"/>
        <v>89577773.589623794</v>
      </c>
      <c r="AJ209" s="22">
        <f t="shared" si="1097"/>
        <v>97814489.013453528</v>
      </c>
      <c r="AK209" s="22">
        <f t="shared" si="1097"/>
        <v>109579444.0405816</v>
      </c>
      <c r="AL209" s="22">
        <f t="shared" si="1097"/>
        <v>117988357.41124246</v>
      </c>
      <c r="AM209" s="22">
        <f t="shared" si="1097"/>
        <v>129778290.24828881</v>
      </c>
      <c r="AN209" s="22">
        <f t="shared" si="1097"/>
        <v>140878125.1938175</v>
      </c>
      <c r="AO209" s="22">
        <f t="shared" si="1097"/>
        <v>156714120.57364959</v>
      </c>
      <c r="AP209" s="22">
        <f t="shared" si="1097"/>
        <v>167781889.96819296</v>
      </c>
      <c r="AQ209" s="22">
        <f t="shared" si="1097"/>
        <v>183327747.99536958</v>
      </c>
      <c r="AR209" s="22">
        <f t="shared" si="1097"/>
        <v>197966517.15208164</v>
      </c>
      <c r="AS209" s="22">
        <f t="shared" si="1097"/>
        <v>218828252.0529145</v>
      </c>
      <c r="AT209" s="22">
        <f t="shared" si="1097"/>
        <v>233061331.71563905</v>
      </c>
      <c r="AU209" s="22">
        <f t="shared" si="1097"/>
        <v>253090340.28035113</v>
      </c>
      <c r="AV209" s="22">
        <f t="shared" si="1097"/>
        <v>271954448.75593531</v>
      </c>
      <c r="AW209" s="22">
        <f t="shared" si="1097"/>
        <v>298807004.22477144</v>
      </c>
      <c r="AY209" s="49">
        <f>SUM(AY210:AY213)</f>
        <v>4820973.6449999968</v>
      </c>
      <c r="AZ209" s="49">
        <f t="shared" ref="AZ209:CE209" si="1098">AZ197+AZ203</f>
        <v>5092973.6449999968</v>
      </c>
      <c r="BA209" s="49">
        <f t="shared" si="1098"/>
        <v>5815051.6449999968</v>
      </c>
      <c r="BB209" s="49">
        <f t="shared" si="1098"/>
        <v>5978048.0749999965</v>
      </c>
      <c r="BC209" s="49">
        <f t="shared" si="1098"/>
        <v>6595994.7549999962</v>
      </c>
      <c r="BD209" s="49">
        <f t="shared" si="1098"/>
        <v>7452886.4749999959</v>
      </c>
      <c r="BE209" s="49">
        <f t="shared" si="1098"/>
        <v>7525436.4749999959</v>
      </c>
      <c r="BF209" s="49">
        <f t="shared" si="1098"/>
        <v>7932989.9349999959</v>
      </c>
      <c r="BG209" s="49">
        <f t="shared" si="1098"/>
        <v>8665356.9349999949</v>
      </c>
      <c r="BH209" s="49">
        <f t="shared" si="1098"/>
        <v>8943851.6049999949</v>
      </c>
      <c r="BI209" s="49">
        <f t="shared" si="1098"/>
        <v>9523215.2749999948</v>
      </c>
      <c r="BJ209" s="49">
        <f t="shared" si="1098"/>
        <v>10301932.904999996</v>
      </c>
      <c r="BK209" s="49">
        <f t="shared" si="1098"/>
        <v>10520462.904999996</v>
      </c>
      <c r="BL209" s="49">
        <f t="shared" si="1098"/>
        <v>10693363.194999995</v>
      </c>
      <c r="BM209" s="49">
        <f t="shared" si="1098"/>
        <v>11806966.454999994</v>
      </c>
      <c r="BN209" s="49">
        <f t="shared" si="1098"/>
        <v>12017519.454999994</v>
      </c>
      <c r="BO209" s="49">
        <f t="shared" si="1098"/>
        <v>12545914.784999995</v>
      </c>
      <c r="BP209" s="49">
        <f t="shared" si="1098"/>
        <v>13362065.614999995</v>
      </c>
      <c r="BQ209" s="49">
        <f t="shared" si="1098"/>
        <v>13625311.614999995</v>
      </c>
      <c r="BR209" s="49">
        <f t="shared" si="1098"/>
        <v>14160283.284999995</v>
      </c>
      <c r="BS209" s="49">
        <f t="shared" si="1098"/>
        <v>15548017.574999996</v>
      </c>
      <c r="BT209" s="49">
        <f t="shared" si="1098"/>
        <v>15693569.434999995</v>
      </c>
      <c r="BU209" s="49">
        <f t="shared" si="1098"/>
        <v>16990812.404999994</v>
      </c>
      <c r="BV209" s="49">
        <f t="shared" si="1098"/>
        <v>18420670.414999995</v>
      </c>
      <c r="BW209" s="49">
        <f t="shared" si="1098"/>
        <v>18708000.414999995</v>
      </c>
      <c r="BX209" s="49">
        <f t="shared" si="1098"/>
        <v>19293352.268076994</v>
      </c>
      <c r="BY209" s="49">
        <f t="shared" si="1098"/>
        <v>20388906.926428992</v>
      </c>
      <c r="BZ209" s="49">
        <f t="shared" si="1098"/>
        <v>20742016.017527994</v>
      </c>
      <c r="CA209" s="49">
        <f t="shared" si="1098"/>
        <v>21530895.337527994</v>
      </c>
      <c r="CB209" s="49">
        <f t="shared" si="1098"/>
        <v>22884564.380348995</v>
      </c>
      <c r="CC209" s="49">
        <f t="shared" si="1098"/>
        <v>23009404.180348996</v>
      </c>
      <c r="CD209" s="49">
        <f t="shared" si="1098"/>
        <v>23911184.839322995</v>
      </c>
      <c r="CE209" s="49">
        <f t="shared" si="1098"/>
        <v>24830280.284707997</v>
      </c>
      <c r="CF209" s="49">
        <f t="shared" ref="CF209:DK209" si="1099">CF197+CF203</f>
        <v>25236931.574707996</v>
      </c>
      <c r="CG209" s="49">
        <f t="shared" si="1099"/>
        <v>26613252.898334995</v>
      </c>
      <c r="CH209" s="49">
        <f t="shared" si="1099"/>
        <v>28634043.162400994</v>
      </c>
      <c r="CI209" s="49">
        <f t="shared" si="1099"/>
        <v>28718157.063340995</v>
      </c>
      <c r="CJ209" s="49">
        <f t="shared" si="1099"/>
        <v>29474864.843340997</v>
      </c>
      <c r="CK209" s="49">
        <f t="shared" si="1099"/>
        <v>31125510.182026997</v>
      </c>
      <c r="CL209" s="49">
        <f t="shared" si="1099"/>
        <v>31935005.242913999</v>
      </c>
      <c r="CM209" s="49">
        <f t="shared" si="1099"/>
        <v>33181042.002209999</v>
      </c>
      <c r="CN209" s="49">
        <f t="shared" si="1099"/>
        <v>34739076.908679999</v>
      </c>
      <c r="CO209" s="49">
        <f t="shared" si="1099"/>
        <v>35599551.407807693</v>
      </c>
      <c r="CP209" s="49">
        <f t="shared" si="1099"/>
        <v>37640953.857532717</v>
      </c>
      <c r="CQ209" s="49">
        <f t="shared" si="1099"/>
        <v>40491138.730444364</v>
      </c>
      <c r="CR209" s="49">
        <f t="shared" si="1099"/>
        <v>41357548.345962144</v>
      </c>
      <c r="CS209" s="49">
        <f t="shared" si="1099"/>
        <v>44780990.698222801</v>
      </c>
      <c r="CT209" s="49">
        <f t="shared" si="1099"/>
        <v>49086305.731968775</v>
      </c>
      <c r="CU209" s="49">
        <f t="shared" si="1099"/>
        <v>49602361.208869286</v>
      </c>
      <c r="CV209" s="49">
        <f t="shared" si="1099"/>
        <v>50894196.003070988</v>
      </c>
      <c r="CW209" s="49">
        <f t="shared" si="1099"/>
        <v>53487785.869630754</v>
      </c>
      <c r="CX209" s="49">
        <f t="shared" si="1099"/>
        <v>54420044.892991982</v>
      </c>
      <c r="CY209" s="49">
        <f t="shared" si="1099"/>
        <v>56549936.098757505</v>
      </c>
      <c r="CZ209" s="49">
        <f t="shared" si="1099"/>
        <v>59503347.74885381</v>
      </c>
      <c r="DA209" s="49">
        <f t="shared" si="1099"/>
        <v>60385776.168980569</v>
      </c>
      <c r="DB209" s="49">
        <f t="shared" si="1099"/>
        <v>62225029.777640656</v>
      </c>
      <c r="DC209" s="49">
        <f t="shared" si="1099"/>
        <v>65494973.118807226</v>
      </c>
      <c r="DD209" s="49">
        <f t="shared" si="1099"/>
        <v>66779567.481964007</v>
      </c>
      <c r="DE209" s="49">
        <f t="shared" si="1099"/>
        <v>70354139.361554846</v>
      </c>
      <c r="DF209" s="49">
        <f t="shared" si="1099"/>
        <v>74574175.224417254</v>
      </c>
      <c r="DG209" s="49">
        <f t="shared" si="1099"/>
        <v>75347707.979148999</v>
      </c>
      <c r="DH209" s="49">
        <f t="shared" si="1099"/>
        <v>77193089.851385295</v>
      </c>
      <c r="DI209" s="49">
        <f t="shared" si="1099"/>
        <v>80827172.128122896</v>
      </c>
      <c r="DJ209" s="49">
        <f t="shared" si="1099"/>
        <v>82258688.067983523</v>
      </c>
      <c r="DK209" s="49">
        <f t="shared" si="1099"/>
        <v>85355444.410157964</v>
      </c>
      <c r="DL209" s="49">
        <f t="shared" ref="DL209:EQ209" si="1100">DL197+DL203</f>
        <v>89577773.589623779</v>
      </c>
      <c r="DM209" s="49">
        <f t="shared" si="1100"/>
        <v>90777538.951124996</v>
      </c>
      <c r="DN209" s="49">
        <f t="shared" si="1100"/>
        <v>93309455.664196953</v>
      </c>
      <c r="DO209" s="49">
        <f t="shared" si="1100"/>
        <v>97814489.013453528</v>
      </c>
      <c r="DP209" s="49">
        <f t="shared" si="1100"/>
        <v>99336867.60526666</v>
      </c>
      <c r="DQ209" s="49">
        <f t="shared" si="1100"/>
        <v>104009071.40474217</v>
      </c>
      <c r="DR209" s="49">
        <f t="shared" si="1100"/>
        <v>109579444.0405816</v>
      </c>
      <c r="DS209" s="49">
        <f t="shared" si="1100"/>
        <v>110612106.83763996</v>
      </c>
      <c r="DT209" s="49">
        <f t="shared" si="1100"/>
        <v>113095485.63995965</v>
      </c>
      <c r="DU209" s="49">
        <f t="shared" si="1100"/>
        <v>117988357.41124247</v>
      </c>
      <c r="DV209" s="49">
        <f t="shared" si="1100"/>
        <v>119904528.59087734</v>
      </c>
      <c r="DW209" s="49">
        <f t="shared" si="1100"/>
        <v>124086807.16038169</v>
      </c>
      <c r="DX209" s="49">
        <f t="shared" si="1100"/>
        <v>129778290.24828881</v>
      </c>
      <c r="DY209" s="49">
        <f t="shared" si="1100"/>
        <v>131379546.02382183</v>
      </c>
      <c r="DZ209" s="49">
        <f t="shared" si="1100"/>
        <v>134795641.26157734</v>
      </c>
      <c r="EA209" s="49">
        <f t="shared" si="1100"/>
        <v>140878125.1938175</v>
      </c>
      <c r="EB209" s="49">
        <f t="shared" si="1100"/>
        <v>142917906.92423758</v>
      </c>
      <c r="EC209" s="49">
        <f t="shared" si="1100"/>
        <v>149204489.69278118</v>
      </c>
      <c r="ED209" s="49">
        <f t="shared" si="1100"/>
        <v>156714120.57364959</v>
      </c>
      <c r="EE209" s="49">
        <f t="shared" si="1100"/>
        <v>158063793.73631954</v>
      </c>
      <c r="EF209" s="49">
        <f t="shared" si="1100"/>
        <v>161334595.69926453</v>
      </c>
      <c r="EG209" s="49">
        <f t="shared" si="1100"/>
        <v>167781889.96819296</v>
      </c>
      <c r="EH209" s="49">
        <f t="shared" si="1100"/>
        <v>170292754.63489795</v>
      </c>
      <c r="EI209" s="49">
        <f t="shared" si="1100"/>
        <v>175819840.42394534</v>
      </c>
      <c r="EJ209" s="49">
        <f t="shared" si="1100"/>
        <v>183327747.99536958</v>
      </c>
      <c r="EK209" s="49">
        <f t="shared" si="1100"/>
        <v>185420023.92584544</v>
      </c>
      <c r="EL209" s="49">
        <f t="shared" si="1100"/>
        <v>189930372.19263658</v>
      </c>
      <c r="EM209" s="49">
        <f t="shared" si="1100"/>
        <v>197966517.15208164</v>
      </c>
      <c r="EN209" s="49">
        <f t="shared" si="1100"/>
        <v>200641862.05402836</v>
      </c>
      <c r="EO209" s="49">
        <f t="shared" si="1100"/>
        <v>208920616.87842193</v>
      </c>
      <c r="EP209" s="49">
        <f t="shared" si="1100"/>
        <v>218828252.05291453</v>
      </c>
      <c r="EQ209" s="49">
        <f t="shared" si="1100"/>
        <v>220551310.36891565</v>
      </c>
      <c r="ER209" s="49">
        <f t="shared" ref="ER209:FB209" si="1101">ER197+ER203</f>
        <v>224760445.95359093</v>
      </c>
      <c r="ES209" s="49">
        <f t="shared" si="1101"/>
        <v>233061331.71563902</v>
      </c>
      <c r="ET209" s="49">
        <f t="shared" si="1101"/>
        <v>236275450.19096091</v>
      </c>
      <c r="EU209" s="49">
        <f t="shared" si="1101"/>
        <v>243412936.2598339</v>
      </c>
      <c r="EV209" s="49">
        <f t="shared" si="1101"/>
        <v>253090340.28035113</v>
      </c>
      <c r="EW209" s="49">
        <f t="shared" si="1101"/>
        <v>255760721.87949887</v>
      </c>
      <c r="EX209" s="49">
        <f t="shared" si="1101"/>
        <v>261579697.10325059</v>
      </c>
      <c r="EY209" s="49">
        <f t="shared" si="1101"/>
        <v>271954448.75593531</v>
      </c>
      <c r="EZ209" s="49">
        <f t="shared" si="1101"/>
        <v>275382454.03862929</v>
      </c>
      <c r="FA209" s="49">
        <f t="shared" si="1101"/>
        <v>286034694.86369079</v>
      </c>
      <c r="FB209" s="49">
        <f t="shared" si="1101"/>
        <v>298807004.2247715</v>
      </c>
    </row>
    <row r="210" spans="1:158" x14ac:dyDescent="0.25">
      <c r="A210" s="334">
        <v>0.9</v>
      </c>
      <c r="C210" s="2" t="s">
        <v>346</v>
      </c>
      <c r="D210" s="244">
        <f t="shared" si="1088"/>
        <v>9774149.4869999979</v>
      </c>
      <c r="E210" s="244">
        <f t="shared" si="1089"/>
        <v>17486950.121499993</v>
      </c>
      <c r="F210" s="244">
        <f t="shared" si="1090"/>
        <v>27189654.231530935</v>
      </c>
      <c r="G210" s="244">
        <f t="shared" si="1091"/>
        <v>44880959.301658958</v>
      </c>
      <c r="H210" s="244">
        <f t="shared" si="1092"/>
        <v>65215785.156534076</v>
      </c>
      <c r="I210" s="244">
        <f t="shared" si="1093"/>
        <v>83580737.183377549</v>
      </c>
      <c r="J210" s="244">
        <f t="shared" si="1094"/>
        <v>106308214.99248308</v>
      </c>
      <c r="K210" s="244">
        <f t="shared" si="1095"/>
        <v>137059074.00278836</v>
      </c>
      <c r="L210" s="244">
        <f t="shared" si="1096"/>
        <v>174943751.70303473</v>
      </c>
      <c r="M210" s="244"/>
      <c r="N210" s="244">
        <f t="shared" ref="N210:AW210" si="1102">SUM(N198,N204)</f>
        <v>5511612.2899999972</v>
      </c>
      <c r="O210" s="244">
        <f t="shared" si="1102"/>
        <v>7067555.3784999959</v>
      </c>
      <c r="P210" s="244">
        <f t="shared" si="1102"/>
        <v>8219402.3154999958</v>
      </c>
      <c r="Q210" s="244">
        <f t="shared" si="1102"/>
        <v>9774149.486999996</v>
      </c>
      <c r="R210" s="244">
        <f t="shared" si="1102"/>
        <v>11203931.359499998</v>
      </c>
      <c r="S210" s="244">
        <f t="shared" si="1102"/>
        <v>12681275.561499996</v>
      </c>
      <c r="T210" s="244">
        <f t="shared" si="1102"/>
        <v>14757929.923499996</v>
      </c>
      <c r="U210" s="244">
        <f t="shared" si="1102"/>
        <v>17486950.121499997</v>
      </c>
      <c r="V210" s="244">
        <f t="shared" si="1102"/>
        <v>19356774.807357542</v>
      </c>
      <c r="W210" s="244">
        <f t="shared" si="1102"/>
        <v>21727649.388581544</v>
      </c>
      <c r="X210" s="244">
        <f t="shared" si="1102"/>
        <v>23576079.497722588</v>
      </c>
      <c r="Y210" s="244">
        <f t="shared" si="1102"/>
        <v>27189654.231530938</v>
      </c>
      <c r="Z210" s="244">
        <f t="shared" si="1102"/>
        <v>29329610.073568881</v>
      </c>
      <c r="AA210" s="244">
        <f t="shared" si="1102"/>
        <v>32442054.634652391</v>
      </c>
      <c r="AB210" s="244">
        <f t="shared" si="1102"/>
        <v>37427306.392321333</v>
      </c>
      <c r="AC210" s="244">
        <f t="shared" si="1102"/>
        <v>44880959.301658958</v>
      </c>
      <c r="AD210" s="244">
        <f t="shared" si="1102"/>
        <v>48379840.599150874</v>
      </c>
      <c r="AE210" s="244">
        <f t="shared" si="1102"/>
        <v>53180836.083319776</v>
      </c>
      <c r="AF210" s="244">
        <f t="shared" si="1102"/>
        <v>57969816.644428387</v>
      </c>
      <c r="AG210" s="244">
        <f t="shared" si="1102"/>
        <v>65215785.156534076</v>
      </c>
      <c r="AH210" s="244">
        <f t="shared" si="1102"/>
        <v>68450465.394676268</v>
      </c>
      <c r="AI210" s="244">
        <f t="shared" si="1102"/>
        <v>73072123.326253861</v>
      </c>
      <c r="AJ210" s="244">
        <f t="shared" si="1102"/>
        <v>77432065.537967891</v>
      </c>
      <c r="AK210" s="244">
        <f t="shared" si="1102"/>
        <v>83580737.183377549</v>
      </c>
      <c r="AL210" s="244">
        <f t="shared" si="1102"/>
        <v>87582831.411590666</v>
      </c>
      <c r="AM210" s="244">
        <f t="shared" si="1102"/>
        <v>93302999.868421406</v>
      </c>
      <c r="AN210" s="244">
        <f t="shared" si="1102"/>
        <v>98699450.223387718</v>
      </c>
      <c r="AO210" s="244">
        <f t="shared" si="1102"/>
        <v>106308214.99248308</v>
      </c>
      <c r="AP210" s="244">
        <f t="shared" si="1102"/>
        <v>111739839.45385481</v>
      </c>
      <c r="AQ210" s="244">
        <f t="shared" si="1102"/>
        <v>119468165.77755982</v>
      </c>
      <c r="AR210" s="244">
        <f t="shared" si="1102"/>
        <v>126755623.00317116</v>
      </c>
      <c r="AS210" s="244">
        <f t="shared" si="1102"/>
        <v>137059074.00278836</v>
      </c>
      <c r="AT210" s="244">
        <f t="shared" si="1102"/>
        <v>143747179.23488113</v>
      </c>
      <c r="AU210" s="244">
        <f t="shared" si="1102"/>
        <v>153270791.88589683</v>
      </c>
      <c r="AV210" s="244">
        <f t="shared" si="1102"/>
        <v>162251876.50634515</v>
      </c>
      <c r="AW210" s="244">
        <f t="shared" si="1102"/>
        <v>174943751.70303473</v>
      </c>
      <c r="AY210" s="244">
        <f>AY$55*$A210</f>
        <v>4567238.1899999967</v>
      </c>
      <c r="AZ210" s="20">
        <f t="shared" ref="AZ210:CE210" si="1103">AZ198+AZ204</f>
        <v>4825638.1899999967</v>
      </c>
      <c r="BA210" s="20">
        <f t="shared" si="1103"/>
        <v>5511612.2899999963</v>
      </c>
      <c r="BB210" s="20">
        <f t="shared" si="1103"/>
        <v>5666458.8984999964</v>
      </c>
      <c r="BC210" s="20">
        <f t="shared" si="1103"/>
        <v>6253508.2444999963</v>
      </c>
      <c r="BD210" s="20">
        <f t="shared" si="1103"/>
        <v>7067555.3784999959</v>
      </c>
      <c r="BE210" s="20">
        <f t="shared" si="1103"/>
        <v>7136477.8784999959</v>
      </c>
      <c r="BF210" s="20">
        <f t="shared" si="1103"/>
        <v>7523653.6654999964</v>
      </c>
      <c r="BG210" s="20">
        <f t="shared" si="1103"/>
        <v>8219402.3154999968</v>
      </c>
      <c r="BH210" s="20">
        <f t="shared" si="1103"/>
        <v>8483972.2519999966</v>
      </c>
      <c r="BI210" s="20">
        <f t="shared" si="1103"/>
        <v>9034367.7384999972</v>
      </c>
      <c r="BJ210" s="20">
        <f t="shared" si="1103"/>
        <v>9774149.4869999979</v>
      </c>
      <c r="BK210" s="20">
        <f t="shared" si="1103"/>
        <v>9981752.9869999979</v>
      </c>
      <c r="BL210" s="20">
        <f t="shared" si="1103"/>
        <v>10146008.262499997</v>
      </c>
      <c r="BM210" s="20">
        <f t="shared" si="1103"/>
        <v>11203931.359499997</v>
      </c>
      <c r="BN210" s="20">
        <f t="shared" si="1103"/>
        <v>11403956.709499996</v>
      </c>
      <c r="BO210" s="20">
        <f t="shared" si="1103"/>
        <v>11905932.272999996</v>
      </c>
      <c r="BP210" s="20">
        <f t="shared" si="1103"/>
        <v>12681275.561499996</v>
      </c>
      <c r="BQ210" s="20">
        <f t="shared" si="1103"/>
        <v>12931359.261499995</v>
      </c>
      <c r="BR210" s="20">
        <f t="shared" si="1103"/>
        <v>13439582.347999996</v>
      </c>
      <c r="BS210" s="20">
        <f t="shared" si="1103"/>
        <v>14757929.923499996</v>
      </c>
      <c r="BT210" s="20">
        <f t="shared" si="1103"/>
        <v>14896204.190499995</v>
      </c>
      <c r="BU210" s="20">
        <f t="shared" si="1103"/>
        <v>16128585.011999995</v>
      </c>
      <c r="BV210" s="20">
        <f t="shared" si="1103"/>
        <v>17486950.121499993</v>
      </c>
      <c r="BW210" s="20">
        <f t="shared" si="1103"/>
        <v>17759913.621499993</v>
      </c>
      <c r="BX210" s="20">
        <f t="shared" si="1103"/>
        <v>18315997.881923143</v>
      </c>
      <c r="BY210" s="20">
        <f t="shared" si="1103"/>
        <v>19356774.807357542</v>
      </c>
      <c r="BZ210" s="20">
        <f t="shared" si="1103"/>
        <v>19692228.443901591</v>
      </c>
      <c r="CA210" s="20">
        <f t="shared" si="1103"/>
        <v>20441663.797901589</v>
      </c>
      <c r="CB210" s="20">
        <f t="shared" si="1103"/>
        <v>21727649.38858154</v>
      </c>
      <c r="CC210" s="20">
        <f t="shared" si="1103"/>
        <v>21846247.198581539</v>
      </c>
      <c r="CD210" s="20">
        <f t="shared" si="1103"/>
        <v>22702938.82460684</v>
      </c>
      <c r="CE210" s="20">
        <f t="shared" si="1103"/>
        <v>23576079.497722588</v>
      </c>
      <c r="CF210" s="20">
        <f t="shared" ref="CF210:DK210" si="1104">CF198+CF204</f>
        <v>23962398.223222587</v>
      </c>
      <c r="CG210" s="20">
        <f t="shared" si="1104"/>
        <v>25269903.480668236</v>
      </c>
      <c r="CH210" s="20">
        <f t="shared" si="1104"/>
        <v>27189654.231530935</v>
      </c>
      <c r="CI210" s="20">
        <f t="shared" si="1104"/>
        <v>27247733.373526417</v>
      </c>
      <c r="CJ210" s="20">
        <f t="shared" si="1104"/>
        <v>27900606.696941067</v>
      </c>
      <c r="CK210" s="20">
        <f t="shared" si="1104"/>
        <v>29329610.073568881</v>
      </c>
      <c r="CL210" s="20">
        <f t="shared" si="1104"/>
        <v>30019200.927416794</v>
      </c>
      <c r="CM210" s="20">
        <f t="shared" si="1104"/>
        <v>31090608.996867802</v>
      </c>
      <c r="CN210" s="20">
        <f t="shared" si="1104"/>
        <v>32442054.634652391</v>
      </c>
      <c r="CO210" s="20">
        <f t="shared" si="1104"/>
        <v>33187625.3973318</v>
      </c>
      <c r="CP210" s="20">
        <f t="shared" si="1104"/>
        <v>34959222.798056602</v>
      </c>
      <c r="CQ210" s="20">
        <f t="shared" si="1104"/>
        <v>37427306.392321333</v>
      </c>
      <c r="CR210" s="20">
        <f t="shared" si="1104"/>
        <v>38179216.898835301</v>
      </c>
      <c r="CS210" s="20">
        <f t="shared" si="1104"/>
        <v>41146791.316235438</v>
      </c>
      <c r="CT210" s="20">
        <f t="shared" si="1104"/>
        <v>44880959.301658958</v>
      </c>
      <c r="CU210" s="20">
        <f t="shared" si="1104"/>
        <v>45283335.409486495</v>
      </c>
      <c r="CV210" s="20">
        <f t="shared" si="1104"/>
        <v>46311820.462216564</v>
      </c>
      <c r="CW210" s="20">
        <f t="shared" si="1104"/>
        <v>48379840.599150881</v>
      </c>
      <c r="CX210" s="20">
        <f t="shared" si="1104"/>
        <v>49110931.166021064</v>
      </c>
      <c r="CY210" s="20">
        <f t="shared" si="1104"/>
        <v>50820436.579699673</v>
      </c>
      <c r="CZ210" s="20">
        <f t="shared" si="1104"/>
        <v>53180836.083319768</v>
      </c>
      <c r="DA210" s="20">
        <f t="shared" si="1104"/>
        <v>53871189.041566953</v>
      </c>
      <c r="DB210" s="20">
        <f t="shared" si="1104"/>
        <v>55345181.642163821</v>
      </c>
      <c r="DC210" s="20">
        <f t="shared" si="1104"/>
        <v>57969816.644428387</v>
      </c>
      <c r="DD210" s="20">
        <f t="shared" si="1104"/>
        <v>58987554.497173958</v>
      </c>
      <c r="DE210" s="20">
        <f t="shared" si="1104"/>
        <v>61837625.410605386</v>
      </c>
      <c r="DF210" s="20">
        <f t="shared" si="1104"/>
        <v>65215785.156534076</v>
      </c>
      <c r="DG210" s="20">
        <f t="shared" si="1104"/>
        <v>65583681.003311485</v>
      </c>
      <c r="DH210" s="20">
        <f t="shared" si="1104"/>
        <v>66545728.441018835</v>
      </c>
      <c r="DI210" s="20">
        <f t="shared" si="1104"/>
        <v>68450465.394676268</v>
      </c>
      <c r="DJ210" s="20">
        <f t="shared" si="1104"/>
        <v>69153047.708579183</v>
      </c>
      <c r="DK210" s="20">
        <f t="shared" si="1104"/>
        <v>70830925.067796201</v>
      </c>
      <c r="DL210" s="20">
        <f t="shared" ref="DL210:EQ210" si="1105">DL198+DL204</f>
        <v>73072123.326253861</v>
      </c>
      <c r="DM210" s="20">
        <f t="shared" si="1105"/>
        <v>73640923.723672226</v>
      </c>
      <c r="DN210" s="20">
        <f t="shared" si="1105"/>
        <v>74998497.597609222</v>
      </c>
      <c r="DO210" s="20">
        <f t="shared" si="1105"/>
        <v>77432065.537967891</v>
      </c>
      <c r="DP210" s="20">
        <f t="shared" si="1105"/>
        <v>78187702.305231228</v>
      </c>
      <c r="DQ210" s="20">
        <f t="shared" si="1105"/>
        <v>80619509.340677321</v>
      </c>
      <c r="DR210" s="20">
        <f t="shared" si="1105"/>
        <v>83580737.183377549</v>
      </c>
      <c r="DS210" s="20">
        <f t="shared" si="1105"/>
        <v>84035221.195407599</v>
      </c>
      <c r="DT210" s="20">
        <f t="shared" si="1105"/>
        <v>85225670.02110371</v>
      </c>
      <c r="DU210" s="20">
        <f t="shared" si="1105"/>
        <v>87582831.411590666</v>
      </c>
      <c r="DV210" s="20">
        <f t="shared" si="1105"/>
        <v>88451282.491583228</v>
      </c>
      <c r="DW210" s="20">
        <f t="shared" si="1105"/>
        <v>90528861.620061785</v>
      </c>
      <c r="DX210" s="20">
        <f t="shared" si="1105"/>
        <v>93302999.868421406</v>
      </c>
      <c r="DY210" s="20">
        <f t="shared" si="1105"/>
        <v>94005631.015472636</v>
      </c>
      <c r="DZ210" s="20">
        <f t="shared" si="1105"/>
        <v>95686311.549467862</v>
      </c>
      <c r="EA210" s="20">
        <f t="shared" si="1105"/>
        <v>98699450.223387718</v>
      </c>
      <c r="EB210" s="20">
        <f t="shared" si="1105"/>
        <v>99633672.815749004</v>
      </c>
      <c r="EC210" s="20">
        <f t="shared" si="1105"/>
        <v>102642735.42356001</v>
      </c>
      <c r="ED210" s="20">
        <f t="shared" si="1105"/>
        <v>106308214.99248308</v>
      </c>
      <c r="EE210" s="20">
        <f t="shared" si="1105"/>
        <v>106936946.5023247</v>
      </c>
      <c r="EF210" s="20">
        <f t="shared" si="1105"/>
        <v>108549875.22960807</v>
      </c>
      <c r="EG210" s="20">
        <f t="shared" si="1105"/>
        <v>111739839.45385481</v>
      </c>
      <c r="EH210" s="20">
        <f t="shared" si="1105"/>
        <v>112932505.50030002</v>
      </c>
      <c r="EI210" s="20">
        <f t="shared" si="1105"/>
        <v>115724156.08602549</v>
      </c>
      <c r="EJ210" s="20">
        <f t="shared" si="1105"/>
        <v>119468165.77755982</v>
      </c>
      <c r="EK210" s="20">
        <f t="shared" si="1105"/>
        <v>120440912.55058919</v>
      </c>
      <c r="EL210" s="20">
        <f t="shared" si="1105"/>
        <v>122704272.83603409</v>
      </c>
      <c r="EM210" s="20">
        <f t="shared" si="1105"/>
        <v>126755623.00317116</v>
      </c>
      <c r="EN210" s="20">
        <f t="shared" si="1105"/>
        <v>128035319.78856193</v>
      </c>
      <c r="EO210" s="20">
        <f t="shared" si="1105"/>
        <v>132113715.32977258</v>
      </c>
      <c r="EP210" s="20">
        <f t="shared" si="1105"/>
        <v>137059074.00278836</v>
      </c>
      <c r="EQ210" s="20">
        <f t="shared" si="1105"/>
        <v>137830695.10240209</v>
      </c>
      <c r="ER210" s="20">
        <f t="shared" ref="ER210:FB210" si="1106">ER198+ER204</f>
        <v>139817325.70391551</v>
      </c>
      <c r="ES210" s="20">
        <f t="shared" si="1106"/>
        <v>143747179.23488116</v>
      </c>
      <c r="ET210" s="20">
        <f t="shared" si="1106"/>
        <v>145212737.81445733</v>
      </c>
      <c r="EU210" s="20">
        <f t="shared" si="1106"/>
        <v>148656181.68768114</v>
      </c>
      <c r="EV210" s="20">
        <f t="shared" si="1106"/>
        <v>153270791.88589683</v>
      </c>
      <c r="EW210" s="20">
        <f t="shared" si="1106"/>
        <v>154464457.96245587</v>
      </c>
      <c r="EX210" s="20">
        <f t="shared" si="1106"/>
        <v>157255178.70204619</v>
      </c>
      <c r="EY210" s="20">
        <f t="shared" si="1106"/>
        <v>162251876.50634515</v>
      </c>
      <c r="EZ210" s="20">
        <f t="shared" si="1106"/>
        <v>163825077.33429453</v>
      </c>
      <c r="FA210" s="20">
        <f t="shared" si="1106"/>
        <v>168848092.58944231</v>
      </c>
      <c r="FB210" s="20">
        <f t="shared" si="1106"/>
        <v>174943751.70303473</v>
      </c>
    </row>
    <row r="211" spans="1:158" x14ac:dyDescent="0.25">
      <c r="A211" s="334">
        <v>0.02</v>
      </c>
      <c r="C211" s="2" t="s">
        <v>298</v>
      </c>
      <c r="D211" s="244">
        <f t="shared" si="1088"/>
        <v>211113.36719999992</v>
      </c>
      <c r="E211" s="244">
        <f t="shared" si="1089"/>
        <v>373488.11739999993</v>
      </c>
      <c r="F211" s="244">
        <f t="shared" si="1090"/>
        <v>577755.57234801981</v>
      </c>
      <c r="G211" s="244">
        <f t="shared" si="1091"/>
        <v>1213143.8527573966</v>
      </c>
      <c r="H211" s="244">
        <f t="shared" si="1092"/>
        <v>2437064.0948835206</v>
      </c>
      <c r="I211" s="244">
        <f t="shared" si="1093"/>
        <v>7330127.347975431</v>
      </c>
      <c r="J211" s="244">
        <f t="shared" si="1094"/>
        <v>13687199.746108076</v>
      </c>
      <c r="K211" s="244">
        <f t="shared" si="1095"/>
        <v>21870587.734055478</v>
      </c>
      <c r="L211" s="244">
        <f t="shared" si="1096"/>
        <v>34622959.14297203</v>
      </c>
      <c r="M211" s="244"/>
      <c r="N211" s="244">
        <f t="shared" ref="N211:AW211" si="1107">SUM(N199,N205)</f>
        <v>121375.74199999991</v>
      </c>
      <c r="O211" s="244">
        <f t="shared" si="1107"/>
        <v>154132.43859999991</v>
      </c>
      <c r="P211" s="244">
        <f t="shared" si="1107"/>
        <v>178381.8477999999</v>
      </c>
      <c r="Q211" s="244">
        <f t="shared" si="1107"/>
        <v>211113.36719999992</v>
      </c>
      <c r="R211" s="244">
        <f t="shared" si="1107"/>
        <v>241214.03819999992</v>
      </c>
      <c r="S211" s="244">
        <f t="shared" si="1107"/>
        <v>272316.02139999997</v>
      </c>
      <c r="T211" s="244">
        <f t="shared" si="1107"/>
        <v>316035.06059999997</v>
      </c>
      <c r="U211" s="244">
        <f t="shared" si="1107"/>
        <v>373488.11739999993</v>
      </c>
      <c r="V211" s="244">
        <f t="shared" si="1107"/>
        <v>412852.84762857994</v>
      </c>
      <c r="W211" s="244">
        <f t="shared" si="1107"/>
        <v>462765.99670697993</v>
      </c>
      <c r="X211" s="244">
        <f t="shared" si="1107"/>
        <v>501680.3147941599</v>
      </c>
      <c r="Y211" s="244">
        <f t="shared" si="1107"/>
        <v>577755.57234801981</v>
      </c>
      <c r="Z211" s="244">
        <f t="shared" si="1107"/>
        <v>657112.14661094756</v>
      </c>
      <c r="AA211" s="244">
        <f t="shared" si="1107"/>
        <v>771088.40593019151</v>
      </c>
      <c r="AB211" s="244">
        <f t="shared" si="1107"/>
        <v>948539.01049332751</v>
      </c>
      <c r="AC211" s="244">
        <f t="shared" si="1107"/>
        <v>1213143.8527573966</v>
      </c>
      <c r="AD211" s="244">
        <f t="shared" si="1107"/>
        <v>1427046.9195813835</v>
      </c>
      <c r="AE211" s="244">
        <f t="shared" si="1107"/>
        <v>1715584.8745237372</v>
      </c>
      <c r="AF211" s="244">
        <f t="shared" si="1107"/>
        <v>2001556.6967687849</v>
      </c>
      <c r="AG211" s="244">
        <f t="shared" si="1107"/>
        <v>2437064.0948835211</v>
      </c>
      <c r="AH211" s="244">
        <f t="shared" si="1107"/>
        <v>3325149.3027420426</v>
      </c>
      <c r="AI211" s="244">
        <f t="shared" si="1107"/>
        <v>4538888.2113801641</v>
      </c>
      <c r="AJ211" s="244">
        <f t="shared" si="1107"/>
        <v>5678381.6326107886</v>
      </c>
      <c r="AK211" s="244">
        <f t="shared" si="1107"/>
        <v>7330127.347975431</v>
      </c>
      <c r="AL211" s="244">
        <f t="shared" si="1107"/>
        <v>8476968.3285020571</v>
      </c>
      <c r="AM211" s="244">
        <f t="shared" si="1107"/>
        <v>10058533.47455769</v>
      </c>
      <c r="AN211" s="244">
        <f t="shared" si="1107"/>
        <v>11544835.873016743</v>
      </c>
      <c r="AO211" s="244">
        <f t="shared" si="1107"/>
        <v>13687199.746108076</v>
      </c>
      <c r="AP211" s="244">
        <f t="shared" si="1107"/>
        <v>15156908.896404024</v>
      </c>
      <c r="AQ211" s="244">
        <f t="shared" si="1107"/>
        <v>17197276.780389339</v>
      </c>
      <c r="AR211" s="244">
        <f t="shared" si="1107"/>
        <v>19116150.211922091</v>
      </c>
      <c r="AS211" s="244">
        <f t="shared" si="1107"/>
        <v>21870587.734055478</v>
      </c>
      <c r="AT211" s="244">
        <f t="shared" si="1107"/>
        <v>24161012.561643887</v>
      </c>
      <c r="AU211" s="244">
        <f t="shared" si="1107"/>
        <v>27340472.138652217</v>
      </c>
      <c r="AV211" s="244">
        <f t="shared" si="1107"/>
        <v>30330579.633349881</v>
      </c>
      <c r="AW211" s="244">
        <f t="shared" si="1107"/>
        <v>34622959.142972022</v>
      </c>
      <c r="AY211" s="244">
        <f>AY$55*$A211</f>
        <v>101494.18199999991</v>
      </c>
      <c r="AZ211" s="20">
        <f t="shared" ref="AZ211:CE211" si="1108">AZ199+AZ205</f>
        <v>106934.18199999991</v>
      </c>
      <c r="BA211" s="20">
        <f t="shared" si="1108"/>
        <v>121375.74199999991</v>
      </c>
      <c r="BB211" s="20">
        <f t="shared" si="1108"/>
        <v>124635.67059999991</v>
      </c>
      <c r="BC211" s="20">
        <f t="shared" si="1108"/>
        <v>136994.60419999991</v>
      </c>
      <c r="BD211" s="20">
        <f t="shared" si="1108"/>
        <v>154132.43859999991</v>
      </c>
      <c r="BE211" s="20">
        <f t="shared" si="1108"/>
        <v>155583.43859999991</v>
      </c>
      <c r="BF211" s="20">
        <f t="shared" si="1108"/>
        <v>163734.5077999999</v>
      </c>
      <c r="BG211" s="20">
        <f t="shared" si="1108"/>
        <v>178381.8477999999</v>
      </c>
      <c r="BH211" s="20">
        <f t="shared" si="1108"/>
        <v>183951.7411999999</v>
      </c>
      <c r="BI211" s="20">
        <f t="shared" si="1108"/>
        <v>195539.01459999991</v>
      </c>
      <c r="BJ211" s="20">
        <f t="shared" si="1108"/>
        <v>211113.36719999992</v>
      </c>
      <c r="BK211" s="20">
        <f t="shared" si="1108"/>
        <v>215483.96719999993</v>
      </c>
      <c r="BL211" s="20">
        <f t="shared" si="1108"/>
        <v>218941.97299999994</v>
      </c>
      <c r="BM211" s="20">
        <f t="shared" si="1108"/>
        <v>241214.03819999995</v>
      </c>
      <c r="BN211" s="20">
        <f t="shared" si="1108"/>
        <v>245425.09819999995</v>
      </c>
      <c r="BO211" s="20">
        <f t="shared" si="1108"/>
        <v>255993.00479999994</v>
      </c>
      <c r="BP211" s="20">
        <f t="shared" si="1108"/>
        <v>272316.02139999997</v>
      </c>
      <c r="BQ211" s="20">
        <f t="shared" si="1108"/>
        <v>277580.94139999995</v>
      </c>
      <c r="BR211" s="20">
        <f t="shared" si="1108"/>
        <v>288280.37479999993</v>
      </c>
      <c r="BS211" s="20">
        <f t="shared" si="1108"/>
        <v>316035.06059999991</v>
      </c>
      <c r="BT211" s="20">
        <f t="shared" si="1108"/>
        <v>318946.09779999993</v>
      </c>
      <c r="BU211" s="20">
        <f t="shared" si="1108"/>
        <v>344890.95719999995</v>
      </c>
      <c r="BV211" s="20">
        <f t="shared" si="1108"/>
        <v>373488.11739999993</v>
      </c>
      <c r="BW211" s="20">
        <f t="shared" si="1108"/>
        <v>379234.71739999991</v>
      </c>
      <c r="BX211" s="20">
        <f t="shared" si="1108"/>
        <v>390941.75446153991</v>
      </c>
      <c r="BY211" s="20">
        <f t="shared" si="1108"/>
        <v>412852.84762857994</v>
      </c>
      <c r="BZ211" s="20">
        <f t="shared" si="1108"/>
        <v>419915.02945055993</v>
      </c>
      <c r="CA211" s="20">
        <f t="shared" si="1108"/>
        <v>435692.6158505599</v>
      </c>
      <c r="CB211" s="20">
        <f t="shared" si="1108"/>
        <v>462765.99670697987</v>
      </c>
      <c r="CC211" s="20">
        <f t="shared" si="1108"/>
        <v>465262.79270697985</v>
      </c>
      <c r="CD211" s="20">
        <f t="shared" si="1108"/>
        <v>483298.40588645986</v>
      </c>
      <c r="CE211" s="20">
        <f t="shared" si="1108"/>
        <v>501680.31479415984</v>
      </c>
      <c r="CF211" s="20">
        <f t="shared" ref="CF211:DK211" si="1109">CF199+CF205</f>
        <v>509813.34059415985</v>
      </c>
      <c r="CG211" s="20">
        <f t="shared" si="1109"/>
        <v>537339.7670666998</v>
      </c>
      <c r="CH211" s="20">
        <f t="shared" si="1109"/>
        <v>577755.57234801981</v>
      </c>
      <c r="CI211" s="20">
        <f t="shared" si="1109"/>
        <v>582259.37378554</v>
      </c>
      <c r="CJ211" s="20">
        <f t="shared" si="1109"/>
        <v>605984.63142897224</v>
      </c>
      <c r="CK211" s="20">
        <f t="shared" si="1109"/>
        <v>657112.14661094744</v>
      </c>
      <c r="CL211" s="20">
        <f t="shared" si="1109"/>
        <v>683629.22373249975</v>
      </c>
      <c r="CM211" s="20">
        <f t="shared" si="1109"/>
        <v>723166.52353885071</v>
      </c>
      <c r="CN211" s="20">
        <f t="shared" si="1109"/>
        <v>771088.40593019139</v>
      </c>
      <c r="CO211" s="20">
        <f t="shared" si="1109"/>
        <v>797658.88734824932</v>
      </c>
      <c r="CP211" s="20">
        <f t="shared" si="1109"/>
        <v>860335.20957207738</v>
      </c>
      <c r="CQ211" s="20">
        <f t="shared" si="1109"/>
        <v>948539.01049332751</v>
      </c>
      <c r="CR211" s="20">
        <f t="shared" si="1109"/>
        <v>975138.57463378855</v>
      </c>
      <c r="CS211" s="20">
        <f t="shared" si="1109"/>
        <v>1080685.4307337371</v>
      </c>
      <c r="CT211" s="20">
        <f t="shared" si="1109"/>
        <v>1213143.8527573966</v>
      </c>
      <c r="CU211" s="20">
        <f t="shared" si="1109"/>
        <v>1239794.0808823747</v>
      </c>
      <c r="CV211" s="20">
        <f t="shared" si="1109"/>
        <v>1302261.9705807911</v>
      </c>
      <c r="CW211" s="20">
        <f t="shared" si="1109"/>
        <v>1427046.9195813835</v>
      </c>
      <c r="CX211" s="20">
        <f t="shared" si="1109"/>
        <v>1474351.7683838781</v>
      </c>
      <c r="CY211" s="20">
        <f t="shared" si="1109"/>
        <v>1574582.5935877906</v>
      </c>
      <c r="CZ211" s="20">
        <f t="shared" si="1109"/>
        <v>1715584.8745237372</v>
      </c>
      <c r="DA211" s="20">
        <f t="shared" si="1109"/>
        <v>1760693.2240446103</v>
      </c>
      <c r="DB211" s="20">
        <f t="shared" si="1109"/>
        <v>1847694.904302492</v>
      </c>
      <c r="DC211" s="20">
        <f t="shared" si="1109"/>
        <v>2001556.6967687847</v>
      </c>
      <c r="DD211" s="20">
        <f t="shared" si="1109"/>
        <v>2064671.2151648519</v>
      </c>
      <c r="DE211" s="20">
        <f t="shared" si="1109"/>
        <v>2236682.645033739</v>
      </c>
      <c r="DF211" s="20">
        <f t="shared" si="1109"/>
        <v>2437064.0948835206</v>
      </c>
      <c r="DG211" s="20">
        <f t="shared" si="1109"/>
        <v>2556798.6128102378</v>
      </c>
      <c r="DH211" s="20">
        <f t="shared" si="1109"/>
        <v>2816615.5589577463</v>
      </c>
      <c r="DI211" s="20">
        <f t="shared" si="1109"/>
        <v>3325149.3027420426</v>
      </c>
      <c r="DJ211" s="20">
        <f t="shared" si="1109"/>
        <v>3540075.629545134</v>
      </c>
      <c r="DK211" s="20">
        <f t="shared" si="1109"/>
        <v>3956653.1781302234</v>
      </c>
      <c r="DL211" s="20">
        <f t="shared" ref="DL211:EQ211" si="1110">DL199+DL205</f>
        <v>4538888.2113801651</v>
      </c>
      <c r="DM211" s="20">
        <f t="shared" si="1110"/>
        <v>4725154.1297947448</v>
      </c>
      <c r="DN211" s="20">
        <f t="shared" si="1110"/>
        <v>5070115.3040476963</v>
      </c>
      <c r="DO211" s="20">
        <f t="shared" si="1110"/>
        <v>5678381.6326107886</v>
      </c>
      <c r="DP211" s="20">
        <f t="shared" si="1110"/>
        <v>5904360.4503043434</v>
      </c>
      <c r="DQ211" s="20">
        <f t="shared" si="1110"/>
        <v>6563380.0785767492</v>
      </c>
      <c r="DR211" s="20">
        <f t="shared" si="1110"/>
        <v>7330127.347975431</v>
      </c>
      <c r="DS211" s="20">
        <f t="shared" si="1110"/>
        <v>7479929.8408850022</v>
      </c>
      <c r="DT211" s="20">
        <f t="shared" si="1110"/>
        <v>7816557.9665162545</v>
      </c>
      <c r="DU211" s="20">
        <f t="shared" si="1110"/>
        <v>8476968.3285020571</v>
      </c>
      <c r="DV211" s="20">
        <f t="shared" si="1110"/>
        <v>8748848.2227869462</v>
      </c>
      <c r="DW211" s="20">
        <f t="shared" si="1110"/>
        <v>9298143.4544675257</v>
      </c>
      <c r="DX211" s="20">
        <f t="shared" si="1110"/>
        <v>10058533.47455769</v>
      </c>
      <c r="DY211" s="20">
        <f t="shared" si="1110"/>
        <v>10291326.261704793</v>
      </c>
      <c r="DZ211" s="20">
        <f t="shared" si="1110"/>
        <v>10743939.131728001</v>
      </c>
      <c r="EA211" s="20">
        <f t="shared" si="1110"/>
        <v>11544835.873016743</v>
      </c>
      <c r="EB211" s="20">
        <f t="shared" si="1110"/>
        <v>11831892.531214895</v>
      </c>
      <c r="EC211" s="20">
        <f t="shared" si="1110"/>
        <v>12685148.318215681</v>
      </c>
      <c r="ED211" s="20">
        <f t="shared" si="1110"/>
        <v>13687199.746108076</v>
      </c>
      <c r="EE211" s="20">
        <f t="shared" si="1110"/>
        <v>13874574.718854886</v>
      </c>
      <c r="EF211" s="20">
        <f t="shared" si="1110"/>
        <v>14307033.115830647</v>
      </c>
      <c r="EG211" s="20">
        <f t="shared" si="1110"/>
        <v>15156908.896404024</v>
      </c>
      <c r="EH211" s="20">
        <f t="shared" si="1110"/>
        <v>15499917.969896855</v>
      </c>
      <c r="EI211" s="20">
        <f t="shared" si="1110"/>
        <v>16214686.283603346</v>
      </c>
      <c r="EJ211" s="20">
        <f t="shared" si="1110"/>
        <v>17197276.780389339</v>
      </c>
      <c r="EK211" s="20">
        <f t="shared" si="1110"/>
        <v>17488212.091295857</v>
      </c>
      <c r="EL211" s="20">
        <f t="shared" si="1110"/>
        <v>18075068.917461772</v>
      </c>
      <c r="EM211" s="20">
        <f t="shared" si="1110"/>
        <v>19116150.211922091</v>
      </c>
      <c r="EN211" s="20">
        <f t="shared" si="1110"/>
        <v>19479471.974894371</v>
      </c>
      <c r="EO211" s="20">
        <f t="shared" si="1110"/>
        <v>20575065.039712571</v>
      </c>
      <c r="EP211" s="20">
        <f t="shared" si="1110"/>
        <v>21870587.734055478</v>
      </c>
      <c r="EQ211" s="20">
        <f t="shared" si="1110"/>
        <v>22162695.731920205</v>
      </c>
      <c r="ER211" s="20">
        <f t="shared" ref="ER211:FB211" si="1111">ER199+ER205</f>
        <v>22836624.944128968</v>
      </c>
      <c r="ES211" s="20">
        <f t="shared" si="1111"/>
        <v>24161012.561643887</v>
      </c>
      <c r="ET211" s="20">
        <f t="shared" si="1111"/>
        <v>24695681.390406627</v>
      </c>
      <c r="EU211" s="20">
        <f t="shared" si="1111"/>
        <v>25809357.910813961</v>
      </c>
      <c r="EV211" s="20">
        <f t="shared" si="1111"/>
        <v>27340472.138652217</v>
      </c>
      <c r="EW211" s="20">
        <f t="shared" si="1111"/>
        <v>27794030.808388207</v>
      </c>
      <c r="EX211" s="20">
        <f t="shared" si="1111"/>
        <v>28708453.738909256</v>
      </c>
      <c r="EY211" s="20">
        <f t="shared" si="1111"/>
        <v>30330579.633349881</v>
      </c>
      <c r="EZ211" s="20">
        <f t="shared" si="1111"/>
        <v>30896885.598719034</v>
      </c>
      <c r="FA211" s="20">
        <f t="shared" si="1111"/>
        <v>32604234.607842434</v>
      </c>
      <c r="FB211" s="20">
        <f t="shared" si="1111"/>
        <v>34622959.14297203</v>
      </c>
    </row>
    <row r="212" spans="1:158" x14ac:dyDescent="0.25">
      <c r="A212" s="334">
        <v>0.01</v>
      </c>
      <c r="C212" s="2" t="s">
        <v>299</v>
      </c>
      <c r="D212" s="244">
        <f t="shared" si="1088"/>
        <v>105556.68359999996</v>
      </c>
      <c r="E212" s="244">
        <f t="shared" si="1089"/>
        <v>186744.05869999997</v>
      </c>
      <c r="F212" s="244">
        <f t="shared" si="1090"/>
        <v>288877.7861740099</v>
      </c>
      <c r="G212" s="244">
        <f t="shared" si="1091"/>
        <v>1218761.0744182314</v>
      </c>
      <c r="H212" s="244">
        <f t="shared" si="1092"/>
        <v>3759937.8134794128</v>
      </c>
      <c r="I212" s="244">
        <f t="shared" si="1093"/>
        <v>13629798.778544141</v>
      </c>
      <c r="J212" s="244">
        <f t="shared" si="1094"/>
        <v>29176299.834990311</v>
      </c>
      <c r="K212" s="244">
        <f t="shared" si="1095"/>
        <v>49077259.175650209</v>
      </c>
      <c r="L212" s="244">
        <f t="shared" si="1096"/>
        <v>74213930.727888703</v>
      </c>
      <c r="M212" s="244"/>
      <c r="N212" s="244">
        <f t="shared" ref="N212:AW212" si="1112">SUM(N200,N206)</f>
        <v>60687.870999999956</v>
      </c>
      <c r="O212" s="244">
        <f t="shared" si="1112"/>
        <v>77066.219299999953</v>
      </c>
      <c r="P212" s="244">
        <f t="shared" si="1112"/>
        <v>89190.923899999951</v>
      </c>
      <c r="Q212" s="244">
        <f t="shared" si="1112"/>
        <v>105556.68359999996</v>
      </c>
      <c r="R212" s="244">
        <f t="shared" si="1112"/>
        <v>120607.01909999996</v>
      </c>
      <c r="S212" s="244">
        <f t="shared" si="1112"/>
        <v>136158.01069999998</v>
      </c>
      <c r="T212" s="244">
        <f t="shared" si="1112"/>
        <v>158017.53029999998</v>
      </c>
      <c r="U212" s="244">
        <f t="shared" si="1112"/>
        <v>186744.05869999997</v>
      </c>
      <c r="V212" s="244">
        <f t="shared" si="1112"/>
        <v>206426.42381428997</v>
      </c>
      <c r="W212" s="244">
        <f t="shared" si="1112"/>
        <v>231382.99835348997</v>
      </c>
      <c r="X212" s="244">
        <f t="shared" si="1112"/>
        <v>250840.15739707995</v>
      </c>
      <c r="Y212" s="244">
        <f t="shared" si="1112"/>
        <v>288877.7861740099</v>
      </c>
      <c r="Z212" s="244">
        <f t="shared" si="1112"/>
        <v>408504.30341537582</v>
      </c>
      <c r="AA212" s="244">
        <f t="shared" si="1112"/>
        <v>578367.03350462881</v>
      </c>
      <c r="AB212" s="244">
        <f t="shared" si="1112"/>
        <v>835835.78266119689</v>
      </c>
      <c r="AC212" s="244">
        <f t="shared" si="1112"/>
        <v>1218761.0744182314</v>
      </c>
      <c r="AD212" s="244">
        <f t="shared" si="1112"/>
        <v>1665771.9701256191</v>
      </c>
      <c r="AE212" s="244">
        <f t="shared" si="1112"/>
        <v>2264479.4947575657</v>
      </c>
      <c r="AF212" s="244">
        <f t="shared" si="1112"/>
        <v>2856249.0667831753</v>
      </c>
      <c r="AG212" s="244">
        <f t="shared" si="1112"/>
        <v>3759937.8134794128</v>
      </c>
      <c r="AH212" s="244">
        <f t="shared" si="1112"/>
        <v>5553337.3366025072</v>
      </c>
      <c r="AI212" s="244">
        <f t="shared" si="1112"/>
        <v>8000221.4559559897</v>
      </c>
      <c r="AJ212" s="244">
        <f t="shared" si="1112"/>
        <v>10296994.670040963</v>
      </c>
      <c r="AK212" s="244">
        <f t="shared" si="1112"/>
        <v>13629798.778544141</v>
      </c>
      <c r="AL212" s="244">
        <f t="shared" si="1112"/>
        <v>16441789.941274265</v>
      </c>
      <c r="AM212" s="244">
        <f t="shared" si="1112"/>
        <v>20304647.152510833</v>
      </c>
      <c r="AN212" s="244">
        <f t="shared" si="1112"/>
        <v>23933272.561862692</v>
      </c>
      <c r="AO212" s="244">
        <f t="shared" si="1112"/>
        <v>29176299.834990311</v>
      </c>
      <c r="AP212" s="244">
        <f t="shared" si="1112"/>
        <v>32757269.504411936</v>
      </c>
      <c r="AQ212" s="244">
        <f t="shared" si="1112"/>
        <v>37714601.974667765</v>
      </c>
      <c r="AR212" s="244">
        <f t="shared" si="1112"/>
        <v>42375301.76601743</v>
      </c>
      <c r="AS212" s="244">
        <f t="shared" si="1112"/>
        <v>49077259.175650202</v>
      </c>
      <c r="AT212" s="244">
        <f t="shared" si="1112"/>
        <v>53582374.90416453</v>
      </c>
      <c r="AU212" s="244">
        <f t="shared" si="1112"/>
        <v>59855989.844580919</v>
      </c>
      <c r="AV212" s="244">
        <f t="shared" si="1112"/>
        <v>65758021.342957444</v>
      </c>
      <c r="AW212" s="244">
        <f t="shared" si="1112"/>
        <v>74213930.727888718</v>
      </c>
      <c r="AY212" s="244">
        <f>AY$55*$A212</f>
        <v>50747.090999999957</v>
      </c>
      <c r="AZ212" s="20">
        <f t="shared" ref="AZ212:CE212" si="1113">AZ200+AZ206</f>
        <v>53467.090999999957</v>
      </c>
      <c r="BA212" s="20">
        <f t="shared" si="1113"/>
        <v>60687.870999999956</v>
      </c>
      <c r="BB212" s="20">
        <f t="shared" si="1113"/>
        <v>62317.835299999955</v>
      </c>
      <c r="BC212" s="20">
        <f t="shared" si="1113"/>
        <v>68497.302099999957</v>
      </c>
      <c r="BD212" s="20">
        <f t="shared" si="1113"/>
        <v>77066.219299999953</v>
      </c>
      <c r="BE212" s="20">
        <f t="shared" si="1113"/>
        <v>77791.719299999953</v>
      </c>
      <c r="BF212" s="20">
        <f t="shared" si="1113"/>
        <v>81867.253899999952</v>
      </c>
      <c r="BG212" s="20">
        <f t="shared" si="1113"/>
        <v>89190.923899999951</v>
      </c>
      <c r="BH212" s="20">
        <f t="shared" si="1113"/>
        <v>91975.870599999951</v>
      </c>
      <c r="BI212" s="20">
        <f t="shared" si="1113"/>
        <v>97769.507299999954</v>
      </c>
      <c r="BJ212" s="20">
        <f t="shared" si="1113"/>
        <v>105556.68359999996</v>
      </c>
      <c r="BK212" s="20">
        <f t="shared" si="1113"/>
        <v>107741.98359999996</v>
      </c>
      <c r="BL212" s="20">
        <f t="shared" si="1113"/>
        <v>109470.98649999997</v>
      </c>
      <c r="BM212" s="20">
        <f t="shared" si="1113"/>
        <v>120607.01909999998</v>
      </c>
      <c r="BN212" s="20">
        <f t="shared" si="1113"/>
        <v>122712.54909999997</v>
      </c>
      <c r="BO212" s="20">
        <f t="shared" si="1113"/>
        <v>127996.50239999997</v>
      </c>
      <c r="BP212" s="20">
        <f t="shared" si="1113"/>
        <v>136158.01069999998</v>
      </c>
      <c r="BQ212" s="20">
        <f t="shared" si="1113"/>
        <v>138790.47069999998</v>
      </c>
      <c r="BR212" s="20">
        <f t="shared" si="1113"/>
        <v>144140.18739999997</v>
      </c>
      <c r="BS212" s="20">
        <f t="shared" si="1113"/>
        <v>158017.53029999995</v>
      </c>
      <c r="BT212" s="20">
        <f t="shared" si="1113"/>
        <v>159473.04889999997</v>
      </c>
      <c r="BU212" s="20">
        <f t="shared" si="1113"/>
        <v>172445.47859999997</v>
      </c>
      <c r="BV212" s="20">
        <f t="shared" si="1113"/>
        <v>186744.05869999997</v>
      </c>
      <c r="BW212" s="20">
        <f t="shared" si="1113"/>
        <v>189617.35869999995</v>
      </c>
      <c r="BX212" s="20">
        <f t="shared" si="1113"/>
        <v>195470.87723076995</v>
      </c>
      <c r="BY212" s="20">
        <f t="shared" si="1113"/>
        <v>206426.42381428997</v>
      </c>
      <c r="BZ212" s="20">
        <f t="shared" si="1113"/>
        <v>209957.51472527997</v>
      </c>
      <c r="CA212" s="20">
        <f t="shared" si="1113"/>
        <v>217846.30792527995</v>
      </c>
      <c r="CB212" s="20">
        <f t="shared" si="1113"/>
        <v>231382.99835348994</v>
      </c>
      <c r="CC212" s="20">
        <f t="shared" si="1113"/>
        <v>232631.39635348992</v>
      </c>
      <c r="CD212" s="20">
        <f t="shared" si="1113"/>
        <v>241649.20294322993</v>
      </c>
      <c r="CE212" s="20">
        <f t="shared" si="1113"/>
        <v>250840.15739707992</v>
      </c>
      <c r="CF212" s="20">
        <f t="shared" ref="CF212:DK212" si="1114">CF200+CF206</f>
        <v>254906.67029707992</v>
      </c>
      <c r="CG212" s="20">
        <f t="shared" si="1114"/>
        <v>268669.8835333499</v>
      </c>
      <c r="CH212" s="20">
        <f t="shared" si="1114"/>
        <v>288877.7861740099</v>
      </c>
      <c r="CI212" s="20">
        <f t="shared" si="1114"/>
        <v>298844.27352814999</v>
      </c>
      <c r="CJ212" s="20">
        <f t="shared" si="1114"/>
        <v>333952.76267986617</v>
      </c>
      <c r="CK212" s="20">
        <f t="shared" si="1114"/>
        <v>408504.30341537576</v>
      </c>
      <c r="CL212" s="20">
        <f t="shared" si="1114"/>
        <v>449754.95862010092</v>
      </c>
      <c r="CM212" s="20">
        <f t="shared" si="1114"/>
        <v>509093.37102426845</v>
      </c>
      <c r="CN212" s="20">
        <f t="shared" si="1114"/>
        <v>578367.03350462881</v>
      </c>
      <c r="CO212" s="20">
        <f t="shared" si="1114"/>
        <v>616963.79124490777</v>
      </c>
      <c r="CP212" s="20">
        <f t="shared" si="1114"/>
        <v>707362.15876307175</v>
      </c>
      <c r="CQ212" s="20">
        <f t="shared" si="1114"/>
        <v>835835.78266119689</v>
      </c>
      <c r="CR212" s="20">
        <f t="shared" si="1114"/>
        <v>874197.85179392737</v>
      </c>
      <c r="CS212" s="20">
        <f t="shared" si="1114"/>
        <v>1027220.4280939016</v>
      </c>
      <c r="CT212" s="20">
        <f t="shared" si="1114"/>
        <v>1218761.0744182314</v>
      </c>
      <c r="CU212" s="20">
        <f t="shared" si="1114"/>
        <v>1276218.3162379386</v>
      </c>
      <c r="CV212" s="20">
        <f t="shared" si="1114"/>
        <v>1406411.5118617339</v>
      </c>
      <c r="CW212" s="20">
        <f t="shared" si="1114"/>
        <v>1665771.9701256191</v>
      </c>
      <c r="CX212" s="20">
        <f t="shared" si="1114"/>
        <v>1766873.4461306501</v>
      </c>
      <c r="CY212" s="20">
        <f t="shared" si="1114"/>
        <v>1972653.6288273209</v>
      </c>
      <c r="CZ212" s="20">
        <f t="shared" si="1114"/>
        <v>2264479.4947575657</v>
      </c>
      <c r="DA212" s="20">
        <f t="shared" si="1114"/>
        <v>2361243.6079554223</v>
      </c>
      <c r="DB212" s="20">
        <f t="shared" si="1114"/>
        <v>2540383.0473950505</v>
      </c>
      <c r="DC212" s="20">
        <f t="shared" si="1114"/>
        <v>2856249.0667831753</v>
      </c>
      <c r="DD212" s="20">
        <f t="shared" si="1114"/>
        <v>2988914.8006220586</v>
      </c>
      <c r="DE212" s="20">
        <f t="shared" si="1114"/>
        <v>3346466.0919087934</v>
      </c>
      <c r="DF212" s="20">
        <f t="shared" si="1114"/>
        <v>3759937.8134794128</v>
      </c>
      <c r="DG212" s="20">
        <f t="shared" si="1114"/>
        <v>4003136.0132154096</v>
      </c>
      <c r="DH212" s="20">
        <f t="shared" si="1114"/>
        <v>4527486.4746911544</v>
      </c>
      <c r="DI212" s="20">
        <f t="shared" si="1114"/>
        <v>5553337.3366025072</v>
      </c>
      <c r="DJ212" s="20">
        <f t="shared" si="1114"/>
        <v>5989013.9388191737</v>
      </c>
      <c r="DK212" s="20">
        <f t="shared" si="1114"/>
        <v>6826940.4340292541</v>
      </c>
      <c r="DL212" s="20">
        <f t="shared" ref="DL212:EQ212" si="1115">DL200+DL206</f>
        <v>8000221.4559559906</v>
      </c>
      <c r="DM212" s="20">
        <f t="shared" si="1115"/>
        <v>8378627.1537253968</v>
      </c>
      <c r="DN212" s="20">
        <f t="shared" si="1115"/>
        <v>9073157.2164613158</v>
      </c>
      <c r="DO212" s="20">
        <f t="shared" si="1115"/>
        <v>10296994.670040963</v>
      </c>
      <c r="DP212" s="20">
        <f t="shared" si="1115"/>
        <v>10754726.839078402</v>
      </c>
      <c r="DQ212" s="20">
        <f t="shared" si="1115"/>
        <v>12084902.814603191</v>
      </c>
      <c r="DR212" s="20">
        <f t="shared" si="1115"/>
        <v>13629798.778544141</v>
      </c>
      <c r="DS212" s="20">
        <f t="shared" si="1115"/>
        <v>14002219.031915499</v>
      </c>
      <c r="DT212" s="20">
        <f t="shared" si="1115"/>
        <v>14826434.939345898</v>
      </c>
      <c r="DU212" s="20">
        <f t="shared" si="1115"/>
        <v>16441789.941274265</v>
      </c>
      <c r="DV212" s="20">
        <f t="shared" si="1115"/>
        <v>17114439.061638769</v>
      </c>
      <c r="DW212" s="20">
        <f t="shared" si="1115"/>
        <v>18449245.604458097</v>
      </c>
      <c r="DX212" s="20">
        <f t="shared" si="1115"/>
        <v>20304647.152510833</v>
      </c>
      <c r="DY212" s="20">
        <f t="shared" si="1115"/>
        <v>20883659.79680999</v>
      </c>
      <c r="DZ212" s="20">
        <f t="shared" si="1115"/>
        <v>21985862.704756811</v>
      </c>
      <c r="EA212" s="20">
        <f t="shared" si="1115"/>
        <v>23933272.561862692</v>
      </c>
      <c r="EB212" s="20">
        <f t="shared" si="1115"/>
        <v>24642175.054300636</v>
      </c>
      <c r="EC212" s="20">
        <f t="shared" si="1115"/>
        <v>26731953.882451929</v>
      </c>
      <c r="ED212" s="20">
        <f t="shared" si="1115"/>
        <v>29176299.834990311</v>
      </c>
      <c r="EE212" s="20">
        <f t="shared" si="1115"/>
        <v>29637615.907103274</v>
      </c>
      <c r="EF212" s="20">
        <f t="shared" si="1115"/>
        <v>30690207.909802418</v>
      </c>
      <c r="EG212" s="20">
        <f t="shared" si="1115"/>
        <v>32757269.504411936</v>
      </c>
      <c r="EH212" s="20">
        <f t="shared" si="1115"/>
        <v>33598632.555917755</v>
      </c>
      <c r="EI212" s="20">
        <f t="shared" si="1115"/>
        <v>35328939.147609204</v>
      </c>
      <c r="EJ212" s="20">
        <f t="shared" si="1115"/>
        <v>37714601.974667765</v>
      </c>
      <c r="EK212" s="20">
        <f t="shared" si="1115"/>
        <v>38431143.470090061</v>
      </c>
      <c r="EL212" s="20">
        <f t="shared" si="1115"/>
        <v>39853952.625744887</v>
      </c>
      <c r="EM212" s="20">
        <f t="shared" si="1115"/>
        <v>42375301.76601743</v>
      </c>
      <c r="EN212" s="20">
        <f t="shared" si="1115"/>
        <v>43265261.347428896</v>
      </c>
      <c r="EO212" s="20">
        <f t="shared" si="1115"/>
        <v>45932489.9057566</v>
      </c>
      <c r="EP212" s="20">
        <f t="shared" si="1115"/>
        <v>49077259.175650209</v>
      </c>
      <c r="EQ212" s="20">
        <f t="shared" si="1115"/>
        <v>49645082.898852818</v>
      </c>
      <c r="ER212" s="20">
        <f t="shared" ref="ER212:FB212" si="1116">ER200+ER206</f>
        <v>50972208.716756649</v>
      </c>
      <c r="ES212" s="20">
        <f t="shared" si="1116"/>
        <v>53582374.904164538</v>
      </c>
      <c r="ET212" s="20">
        <f t="shared" si="1116"/>
        <v>54626112.251322366</v>
      </c>
      <c r="EU212" s="20">
        <f t="shared" si="1116"/>
        <v>56832491.674600437</v>
      </c>
      <c r="EV212" s="20">
        <f t="shared" si="1116"/>
        <v>59855989.844580926</v>
      </c>
      <c r="EW212" s="20">
        <f t="shared" si="1116"/>
        <v>60737287.474233344</v>
      </c>
      <c r="EX212" s="20">
        <f t="shared" si="1116"/>
        <v>62545879.222084694</v>
      </c>
      <c r="EY212" s="20">
        <f t="shared" si="1116"/>
        <v>65758021.342957444</v>
      </c>
      <c r="EZ212" s="20">
        <f t="shared" si="1116"/>
        <v>66865250.176494174</v>
      </c>
      <c r="FA212" s="20">
        <f t="shared" si="1116"/>
        <v>70226598.861923516</v>
      </c>
      <c r="FB212" s="20">
        <f t="shared" si="1116"/>
        <v>74213930.727888703</v>
      </c>
    </row>
    <row r="213" spans="1:158" x14ac:dyDescent="0.25">
      <c r="A213" s="334">
        <v>0.02</v>
      </c>
      <c r="C213" s="2" t="s">
        <v>300</v>
      </c>
      <c r="D213" s="244">
        <f t="shared" si="1088"/>
        <v>211113.36719999992</v>
      </c>
      <c r="E213" s="244">
        <f t="shared" si="1089"/>
        <v>373488.11739999993</v>
      </c>
      <c r="F213" s="244">
        <f t="shared" si="1090"/>
        <v>577755.57234801981</v>
      </c>
      <c r="G213" s="244">
        <f t="shared" si="1091"/>
        <v>1773441.5031341745</v>
      </c>
      <c r="H213" s="244">
        <f t="shared" si="1092"/>
        <v>3161388.1595202447</v>
      </c>
      <c r="I213" s="244">
        <f t="shared" si="1093"/>
        <v>5038780.7306844769</v>
      </c>
      <c r="J213" s="244">
        <f t="shared" si="1094"/>
        <v>7542406.0000681095</v>
      </c>
      <c r="K213" s="244">
        <f t="shared" si="1095"/>
        <v>10821331.140420465</v>
      </c>
      <c r="L213" s="244">
        <f t="shared" si="1096"/>
        <v>15026362.650876027</v>
      </c>
      <c r="M213" s="244"/>
      <c r="N213" s="244">
        <f t="shared" ref="N213:AW213" si="1117">SUM(N201,N207)</f>
        <v>121375.74199999991</v>
      </c>
      <c r="O213" s="244">
        <f t="shared" si="1117"/>
        <v>154132.43859999991</v>
      </c>
      <c r="P213" s="244">
        <f t="shared" si="1117"/>
        <v>178381.8477999999</v>
      </c>
      <c r="Q213" s="244">
        <f t="shared" si="1117"/>
        <v>211113.36719999992</v>
      </c>
      <c r="R213" s="244">
        <f t="shared" si="1117"/>
        <v>241214.03819999992</v>
      </c>
      <c r="S213" s="244">
        <f t="shared" si="1117"/>
        <v>272316.02139999997</v>
      </c>
      <c r="T213" s="244">
        <f t="shared" si="1117"/>
        <v>316035.06059999997</v>
      </c>
      <c r="U213" s="244">
        <f t="shared" si="1117"/>
        <v>373488.11739999993</v>
      </c>
      <c r="V213" s="244">
        <f t="shared" si="1117"/>
        <v>412852.84762857994</v>
      </c>
      <c r="W213" s="244">
        <f t="shared" si="1117"/>
        <v>462765.99670697993</v>
      </c>
      <c r="X213" s="244">
        <f t="shared" si="1117"/>
        <v>501680.3147941599</v>
      </c>
      <c r="Y213" s="244">
        <f t="shared" si="1117"/>
        <v>577755.57234801981</v>
      </c>
      <c r="Z213" s="244">
        <f t="shared" si="1117"/>
        <v>730283.65843177994</v>
      </c>
      <c r="AA213" s="244">
        <f t="shared" si="1117"/>
        <v>947566.83459277079</v>
      </c>
      <c r="AB213" s="244">
        <f t="shared" si="1117"/>
        <v>1279457.5449684907</v>
      </c>
      <c r="AC213" s="244">
        <f t="shared" si="1117"/>
        <v>1773441.5031341743</v>
      </c>
      <c r="AD213" s="244">
        <f t="shared" si="1117"/>
        <v>2015126.3807728591</v>
      </c>
      <c r="AE213" s="244">
        <f t="shared" si="1117"/>
        <v>2342447.2962527205</v>
      </c>
      <c r="AF213" s="244">
        <f t="shared" si="1117"/>
        <v>2667350.7108268659</v>
      </c>
      <c r="AG213" s="244">
        <f t="shared" si="1117"/>
        <v>3161388.1595202442</v>
      </c>
      <c r="AH213" s="244">
        <f t="shared" si="1117"/>
        <v>3498220.0941020753</v>
      </c>
      <c r="AI213" s="244">
        <f t="shared" si="1117"/>
        <v>3966540.5960337734</v>
      </c>
      <c r="AJ213" s="244">
        <f t="shared" si="1117"/>
        <v>4407047.1728338907</v>
      </c>
      <c r="AK213" s="244">
        <f t="shared" si="1117"/>
        <v>5038780.7306844769</v>
      </c>
      <c r="AL213" s="244">
        <f t="shared" si="1117"/>
        <v>5486767.7298754677</v>
      </c>
      <c r="AM213" s="244">
        <f t="shared" si="1117"/>
        <v>6112109.7527988674</v>
      </c>
      <c r="AN213" s="244">
        <f t="shared" si="1117"/>
        <v>6700566.5355503187</v>
      </c>
      <c r="AO213" s="244">
        <f t="shared" si="1117"/>
        <v>7542406.0000681104</v>
      </c>
      <c r="AP213" s="244">
        <f t="shared" si="1117"/>
        <v>8127872.113522185</v>
      </c>
      <c r="AQ213" s="244">
        <f t="shared" si="1117"/>
        <v>8947703.4627526477</v>
      </c>
      <c r="AR213" s="244">
        <f t="shared" si="1117"/>
        <v>9719442.1709709484</v>
      </c>
      <c r="AS213" s="244">
        <f t="shared" si="1117"/>
        <v>10821331.140420465</v>
      </c>
      <c r="AT213" s="244">
        <f t="shared" si="1117"/>
        <v>11570765.014949471</v>
      </c>
      <c r="AU213" s="244">
        <f t="shared" si="1117"/>
        <v>12623086.41122121</v>
      </c>
      <c r="AV213" s="244">
        <f t="shared" si="1117"/>
        <v>13613971.273282869</v>
      </c>
      <c r="AW213" s="244">
        <f t="shared" si="1117"/>
        <v>15026362.650876027</v>
      </c>
      <c r="AY213" s="244">
        <f>AY$55*$A213</f>
        <v>101494.18199999991</v>
      </c>
      <c r="AZ213" s="20">
        <f t="shared" ref="AZ213:CE213" si="1118">AZ201+AZ207</f>
        <v>106934.18199999991</v>
      </c>
      <c r="BA213" s="20">
        <f t="shared" si="1118"/>
        <v>121375.74199999991</v>
      </c>
      <c r="BB213" s="20">
        <f t="shared" si="1118"/>
        <v>124635.67059999991</v>
      </c>
      <c r="BC213" s="20">
        <f t="shared" si="1118"/>
        <v>136994.60419999991</v>
      </c>
      <c r="BD213" s="20">
        <f t="shared" si="1118"/>
        <v>154132.43859999991</v>
      </c>
      <c r="BE213" s="20">
        <f t="shared" si="1118"/>
        <v>155583.43859999991</v>
      </c>
      <c r="BF213" s="20">
        <f t="shared" si="1118"/>
        <v>163734.5077999999</v>
      </c>
      <c r="BG213" s="20">
        <f t="shared" si="1118"/>
        <v>178381.8477999999</v>
      </c>
      <c r="BH213" s="20">
        <f t="shared" si="1118"/>
        <v>183951.7411999999</v>
      </c>
      <c r="BI213" s="20">
        <f t="shared" si="1118"/>
        <v>195539.01459999991</v>
      </c>
      <c r="BJ213" s="20">
        <f t="shared" si="1118"/>
        <v>211113.36719999992</v>
      </c>
      <c r="BK213" s="20">
        <f t="shared" si="1118"/>
        <v>215483.96719999993</v>
      </c>
      <c r="BL213" s="20">
        <f t="shared" si="1118"/>
        <v>218941.97299999994</v>
      </c>
      <c r="BM213" s="20">
        <f t="shared" si="1118"/>
        <v>241214.03819999995</v>
      </c>
      <c r="BN213" s="20">
        <f t="shared" si="1118"/>
        <v>245425.09819999995</v>
      </c>
      <c r="BO213" s="20">
        <f t="shared" si="1118"/>
        <v>255993.00479999994</v>
      </c>
      <c r="BP213" s="20">
        <f t="shared" si="1118"/>
        <v>272316.02139999997</v>
      </c>
      <c r="BQ213" s="20">
        <f t="shared" si="1118"/>
        <v>277580.94139999995</v>
      </c>
      <c r="BR213" s="20">
        <f t="shared" si="1118"/>
        <v>288280.37479999993</v>
      </c>
      <c r="BS213" s="20">
        <f t="shared" si="1118"/>
        <v>316035.06059999991</v>
      </c>
      <c r="BT213" s="20">
        <f t="shared" si="1118"/>
        <v>318946.09779999993</v>
      </c>
      <c r="BU213" s="20">
        <f t="shared" si="1118"/>
        <v>344890.95719999995</v>
      </c>
      <c r="BV213" s="20">
        <f t="shared" si="1118"/>
        <v>373488.11739999993</v>
      </c>
      <c r="BW213" s="20">
        <f t="shared" si="1118"/>
        <v>379234.71739999991</v>
      </c>
      <c r="BX213" s="20">
        <f t="shared" si="1118"/>
        <v>390941.75446153991</v>
      </c>
      <c r="BY213" s="20">
        <f t="shared" si="1118"/>
        <v>412852.84762857994</v>
      </c>
      <c r="BZ213" s="20">
        <f t="shared" si="1118"/>
        <v>419915.02945055993</v>
      </c>
      <c r="CA213" s="20">
        <f t="shared" si="1118"/>
        <v>435692.6158505599</v>
      </c>
      <c r="CB213" s="20">
        <f t="shared" si="1118"/>
        <v>462765.99670697987</v>
      </c>
      <c r="CC213" s="20">
        <f t="shared" si="1118"/>
        <v>465262.79270697985</v>
      </c>
      <c r="CD213" s="20">
        <f t="shared" si="1118"/>
        <v>483298.40588645986</v>
      </c>
      <c r="CE213" s="20">
        <f t="shared" si="1118"/>
        <v>501680.31479415984</v>
      </c>
      <c r="CF213" s="20">
        <f t="shared" ref="CF213:DK213" si="1119">CF201+CF207</f>
        <v>509813.34059415985</v>
      </c>
      <c r="CG213" s="20">
        <f t="shared" si="1119"/>
        <v>537339.7670666998</v>
      </c>
      <c r="CH213" s="20">
        <f t="shared" si="1119"/>
        <v>577755.57234801981</v>
      </c>
      <c r="CI213" s="20">
        <f t="shared" si="1119"/>
        <v>589320.04250087694</v>
      </c>
      <c r="CJ213" s="20">
        <f t="shared" si="1119"/>
        <v>634320.75229107717</v>
      </c>
      <c r="CK213" s="20">
        <f t="shared" si="1119"/>
        <v>730283.65843177994</v>
      </c>
      <c r="CL213" s="20">
        <f t="shared" si="1119"/>
        <v>782420.13314458868</v>
      </c>
      <c r="CM213" s="20">
        <f t="shared" si="1119"/>
        <v>858173.11077906284</v>
      </c>
      <c r="CN213" s="20">
        <f t="shared" si="1119"/>
        <v>947566.83459277079</v>
      </c>
      <c r="CO213" s="20">
        <f t="shared" si="1119"/>
        <v>997303.33188271627</v>
      </c>
      <c r="CP213" s="20">
        <f t="shared" si="1119"/>
        <v>1114033.6911409488</v>
      </c>
      <c r="CQ213" s="20">
        <f t="shared" si="1119"/>
        <v>1279457.544968491</v>
      </c>
      <c r="CR213" s="20">
        <f t="shared" si="1119"/>
        <v>1328995.0206991134</v>
      </c>
      <c r="CS213" s="20">
        <f t="shared" si="1119"/>
        <v>1526293.5231597077</v>
      </c>
      <c r="CT213" s="20">
        <f t="shared" si="1119"/>
        <v>1773441.5031341745</v>
      </c>
      <c r="CU213" s="20">
        <f t="shared" si="1119"/>
        <v>1803013.4022624621</v>
      </c>
      <c r="CV213" s="20">
        <f t="shared" si="1119"/>
        <v>1873702.0584118851</v>
      </c>
      <c r="CW213" s="20">
        <f t="shared" si="1119"/>
        <v>2015126.3807728591</v>
      </c>
      <c r="CX213" s="20">
        <f t="shared" si="1119"/>
        <v>2067888.5124563752</v>
      </c>
      <c r="CY213" s="20">
        <f t="shared" si="1119"/>
        <v>2182263.2966427067</v>
      </c>
      <c r="CZ213" s="20">
        <f t="shared" si="1119"/>
        <v>2342447.2962527205</v>
      </c>
      <c r="DA213" s="20">
        <f t="shared" si="1119"/>
        <v>2392650.29541357</v>
      </c>
      <c r="DB213" s="20">
        <f t="shared" si="1119"/>
        <v>2491770.1837792802</v>
      </c>
      <c r="DC213" s="20">
        <f t="shared" si="1119"/>
        <v>2667350.7108268659</v>
      </c>
      <c r="DD213" s="20">
        <f t="shared" si="1119"/>
        <v>2738426.969003127</v>
      </c>
      <c r="DE213" s="20">
        <f t="shared" si="1119"/>
        <v>2933365.2140069227</v>
      </c>
      <c r="DF213" s="20">
        <f t="shared" si="1119"/>
        <v>3161388.1595202447</v>
      </c>
      <c r="DG213" s="20">
        <f t="shared" si="1119"/>
        <v>3204092.3498118632</v>
      </c>
      <c r="DH213" s="20">
        <f t="shared" si="1119"/>
        <v>3303259.3767175628</v>
      </c>
      <c r="DI213" s="20">
        <f t="shared" si="1119"/>
        <v>3498220.0941020758</v>
      </c>
      <c r="DJ213" s="20">
        <f t="shared" si="1119"/>
        <v>3576550.7910400406</v>
      </c>
      <c r="DK213" s="20">
        <f t="shared" si="1119"/>
        <v>3740925.7302022958</v>
      </c>
      <c r="DL213" s="20">
        <f t="shared" ref="DL213:EQ213" si="1120">DL201+DL207</f>
        <v>3966540.5960337734</v>
      </c>
      <c r="DM213" s="20">
        <f t="shared" si="1120"/>
        <v>4032833.9439326422</v>
      </c>
      <c r="DN213" s="20">
        <f t="shared" si="1120"/>
        <v>4167685.5460787239</v>
      </c>
      <c r="DO213" s="20">
        <f t="shared" si="1120"/>
        <v>4407047.1728338907</v>
      </c>
      <c r="DP213" s="20">
        <f t="shared" si="1120"/>
        <v>4490078.0106526865</v>
      </c>
      <c r="DQ213" s="20">
        <f t="shared" si="1120"/>
        <v>4741279.1708849026</v>
      </c>
      <c r="DR213" s="20">
        <f t="shared" si="1120"/>
        <v>5038780.7306844769</v>
      </c>
      <c r="DS213" s="20">
        <f t="shared" si="1120"/>
        <v>5094736.7694318648</v>
      </c>
      <c r="DT213" s="20">
        <f t="shared" si="1120"/>
        <v>5226822.712993782</v>
      </c>
      <c r="DU213" s="20">
        <f t="shared" si="1120"/>
        <v>5486767.7298754677</v>
      </c>
      <c r="DV213" s="20">
        <f t="shared" si="1120"/>
        <v>5589958.8148683822</v>
      </c>
      <c r="DW213" s="20">
        <f t="shared" si="1120"/>
        <v>5810556.4813942667</v>
      </c>
      <c r="DX213" s="20">
        <f t="shared" si="1120"/>
        <v>6112109.7527988674</v>
      </c>
      <c r="DY213" s="20">
        <f t="shared" si="1120"/>
        <v>6198928.9498343915</v>
      </c>
      <c r="DZ213" s="20">
        <f t="shared" si="1120"/>
        <v>6379527.8756246399</v>
      </c>
      <c r="EA213" s="20">
        <f t="shared" si="1120"/>
        <v>6700566.5355503196</v>
      </c>
      <c r="EB213" s="20">
        <f t="shared" si="1120"/>
        <v>6810166.522973028</v>
      </c>
      <c r="EC213" s="20">
        <f t="shared" si="1120"/>
        <v>7144652.0685535464</v>
      </c>
      <c r="ED213" s="20">
        <f t="shared" si="1120"/>
        <v>7542406.0000681095</v>
      </c>
      <c r="EE213" s="20">
        <f t="shared" si="1120"/>
        <v>7614656.6080366671</v>
      </c>
      <c r="EF213" s="20">
        <f t="shared" si="1120"/>
        <v>7787479.4440233652</v>
      </c>
      <c r="EG213" s="20">
        <f t="shared" si="1120"/>
        <v>8127872.113522185</v>
      </c>
      <c r="EH213" s="20">
        <f t="shared" si="1120"/>
        <v>8261698.6087833187</v>
      </c>
      <c r="EI213" s="20">
        <f t="shared" si="1120"/>
        <v>8552058.906707298</v>
      </c>
      <c r="EJ213" s="20">
        <f t="shared" si="1120"/>
        <v>8947703.4627526477</v>
      </c>
      <c r="EK213" s="20">
        <f t="shared" si="1120"/>
        <v>9059755.8138703257</v>
      </c>
      <c r="EL213" s="20">
        <f t="shared" si="1120"/>
        <v>9297077.8133958224</v>
      </c>
      <c r="EM213" s="20">
        <f t="shared" si="1120"/>
        <v>9719442.1709709484</v>
      </c>
      <c r="EN213" s="20">
        <f t="shared" si="1120"/>
        <v>9861808.9431431498</v>
      </c>
      <c r="EO213" s="20">
        <f t="shared" si="1120"/>
        <v>10299346.60318017</v>
      </c>
      <c r="EP213" s="20">
        <f t="shared" si="1120"/>
        <v>10821331.140420465</v>
      </c>
      <c r="EQ213" s="20">
        <f t="shared" si="1120"/>
        <v>10912836.635740528</v>
      </c>
      <c r="ER213" s="20">
        <f t="shared" ref="ER213:FB213" si="1121">ER201+ER207</f>
        <v>11134286.588789817</v>
      </c>
      <c r="ES213" s="20">
        <f t="shared" si="1121"/>
        <v>11570765.014949471</v>
      </c>
      <c r="ET213" s="20">
        <f t="shared" si="1121"/>
        <v>11740918.734774616</v>
      </c>
      <c r="EU213" s="20">
        <f t="shared" si="1121"/>
        <v>12114904.986738406</v>
      </c>
      <c r="EV213" s="20">
        <f t="shared" si="1121"/>
        <v>12623086.411221208</v>
      </c>
      <c r="EW213" s="20">
        <f t="shared" si="1121"/>
        <v>12764945.634421498</v>
      </c>
      <c r="EX213" s="20">
        <f t="shared" si="1121"/>
        <v>13070185.44021048</v>
      </c>
      <c r="EY213" s="20">
        <f t="shared" si="1121"/>
        <v>13613971.273282869</v>
      </c>
      <c r="EZ213" s="20">
        <f t="shared" si="1121"/>
        <v>13795240.929121578</v>
      </c>
      <c r="FA213" s="20">
        <f t="shared" si="1121"/>
        <v>14355768.804482527</v>
      </c>
      <c r="FB213" s="20">
        <f t="shared" si="1121"/>
        <v>15026362.650876027</v>
      </c>
    </row>
    <row r="215" spans="1:158" x14ac:dyDescent="0.25">
      <c r="A215" s="329">
        <v>43132</v>
      </c>
      <c r="C215" s="304" t="s">
        <v>345</v>
      </c>
      <c r="D215" s="335">
        <f t="shared" ref="D215:K219" si="1122">D209/D$209</f>
        <v>1</v>
      </c>
      <c r="E215" s="335">
        <f t="shared" si="1122"/>
        <v>1</v>
      </c>
      <c r="F215" s="335">
        <f t="shared" si="1122"/>
        <v>1</v>
      </c>
      <c r="G215" s="335">
        <f t="shared" si="1122"/>
        <v>1</v>
      </c>
      <c r="H215" s="335">
        <f t="shared" si="1122"/>
        <v>1</v>
      </c>
      <c r="I215" s="335">
        <f t="shared" si="1122"/>
        <v>1</v>
      </c>
      <c r="J215" s="335">
        <f t="shared" si="1122"/>
        <v>1</v>
      </c>
      <c r="K215" s="335">
        <f t="shared" si="1122"/>
        <v>1</v>
      </c>
      <c r="L215" s="335">
        <f t="shared" ref="L215:L219" si="1123">FB215</f>
        <v>1</v>
      </c>
      <c r="M215" s="22"/>
      <c r="N215" s="335">
        <f t="shared" ref="N215:AW215" si="1124">N209/N$209</f>
        <v>1</v>
      </c>
      <c r="O215" s="335">
        <f t="shared" si="1124"/>
        <v>1</v>
      </c>
      <c r="P215" s="335">
        <f t="shared" si="1124"/>
        <v>1</v>
      </c>
      <c r="Q215" s="335">
        <f t="shared" si="1124"/>
        <v>1</v>
      </c>
      <c r="R215" s="335">
        <f t="shared" si="1124"/>
        <v>1</v>
      </c>
      <c r="S215" s="335">
        <f t="shared" si="1124"/>
        <v>1</v>
      </c>
      <c r="T215" s="335">
        <f t="shared" si="1124"/>
        <v>1</v>
      </c>
      <c r="U215" s="335">
        <f t="shared" si="1124"/>
        <v>1</v>
      </c>
      <c r="V215" s="335">
        <f t="shared" si="1124"/>
        <v>1</v>
      </c>
      <c r="W215" s="335">
        <f t="shared" si="1124"/>
        <v>1</v>
      </c>
      <c r="X215" s="335">
        <f t="shared" si="1124"/>
        <v>1</v>
      </c>
      <c r="Y215" s="335">
        <f t="shared" si="1124"/>
        <v>1</v>
      </c>
      <c r="Z215" s="335">
        <f t="shared" si="1124"/>
        <v>1</v>
      </c>
      <c r="AA215" s="335">
        <f t="shared" si="1124"/>
        <v>1</v>
      </c>
      <c r="AB215" s="335">
        <f t="shared" si="1124"/>
        <v>1</v>
      </c>
      <c r="AC215" s="335">
        <f t="shared" si="1124"/>
        <v>1</v>
      </c>
      <c r="AD215" s="335">
        <f t="shared" si="1124"/>
        <v>1</v>
      </c>
      <c r="AE215" s="335">
        <f t="shared" si="1124"/>
        <v>1</v>
      </c>
      <c r="AF215" s="335">
        <f t="shared" si="1124"/>
        <v>1</v>
      </c>
      <c r="AG215" s="335">
        <f t="shared" si="1124"/>
        <v>1</v>
      </c>
      <c r="AH215" s="335">
        <f t="shared" si="1124"/>
        <v>1</v>
      </c>
      <c r="AI215" s="335">
        <f t="shared" si="1124"/>
        <v>1</v>
      </c>
      <c r="AJ215" s="335">
        <f t="shared" si="1124"/>
        <v>1</v>
      </c>
      <c r="AK215" s="335">
        <f t="shared" si="1124"/>
        <v>1</v>
      </c>
      <c r="AL215" s="335">
        <f t="shared" si="1124"/>
        <v>1</v>
      </c>
      <c r="AM215" s="335">
        <f t="shared" si="1124"/>
        <v>1</v>
      </c>
      <c r="AN215" s="335">
        <f t="shared" si="1124"/>
        <v>1</v>
      </c>
      <c r="AO215" s="335">
        <f t="shared" si="1124"/>
        <v>1</v>
      </c>
      <c r="AP215" s="335">
        <f t="shared" si="1124"/>
        <v>1</v>
      </c>
      <c r="AQ215" s="335">
        <f t="shared" si="1124"/>
        <v>1</v>
      </c>
      <c r="AR215" s="335">
        <f t="shared" si="1124"/>
        <v>1</v>
      </c>
      <c r="AS215" s="335">
        <f t="shared" si="1124"/>
        <v>1</v>
      </c>
      <c r="AT215" s="335">
        <f t="shared" si="1124"/>
        <v>1</v>
      </c>
      <c r="AU215" s="335">
        <f t="shared" si="1124"/>
        <v>1</v>
      </c>
      <c r="AV215" s="335">
        <f t="shared" si="1124"/>
        <v>1</v>
      </c>
      <c r="AW215" s="335">
        <f t="shared" si="1124"/>
        <v>1</v>
      </c>
      <c r="AY215" s="335">
        <f t="shared" ref="AY215:CD215" si="1125">AY209/AY$209</f>
        <v>1</v>
      </c>
      <c r="AZ215" s="335">
        <f t="shared" si="1125"/>
        <v>1</v>
      </c>
      <c r="BA215" s="335">
        <f t="shared" si="1125"/>
        <v>1</v>
      </c>
      <c r="BB215" s="335">
        <f t="shared" si="1125"/>
        <v>1</v>
      </c>
      <c r="BC215" s="335">
        <f t="shared" si="1125"/>
        <v>1</v>
      </c>
      <c r="BD215" s="335">
        <f t="shared" si="1125"/>
        <v>1</v>
      </c>
      <c r="BE215" s="335">
        <f t="shared" si="1125"/>
        <v>1</v>
      </c>
      <c r="BF215" s="335">
        <f t="shared" si="1125"/>
        <v>1</v>
      </c>
      <c r="BG215" s="335">
        <f t="shared" si="1125"/>
        <v>1</v>
      </c>
      <c r="BH215" s="335">
        <f t="shared" si="1125"/>
        <v>1</v>
      </c>
      <c r="BI215" s="335">
        <f t="shared" si="1125"/>
        <v>1</v>
      </c>
      <c r="BJ215" s="335">
        <f t="shared" si="1125"/>
        <v>1</v>
      </c>
      <c r="BK215" s="335">
        <f t="shared" si="1125"/>
        <v>1</v>
      </c>
      <c r="BL215" s="335">
        <f t="shared" si="1125"/>
        <v>1</v>
      </c>
      <c r="BM215" s="335">
        <f t="shared" si="1125"/>
        <v>1</v>
      </c>
      <c r="BN215" s="335">
        <f t="shared" si="1125"/>
        <v>1</v>
      </c>
      <c r="BO215" s="335">
        <f t="shared" si="1125"/>
        <v>1</v>
      </c>
      <c r="BP215" s="335">
        <f t="shared" si="1125"/>
        <v>1</v>
      </c>
      <c r="BQ215" s="335">
        <f t="shared" si="1125"/>
        <v>1</v>
      </c>
      <c r="BR215" s="335">
        <f t="shared" si="1125"/>
        <v>1</v>
      </c>
      <c r="BS215" s="335">
        <f t="shared" si="1125"/>
        <v>1</v>
      </c>
      <c r="BT215" s="335">
        <f t="shared" si="1125"/>
        <v>1</v>
      </c>
      <c r="BU215" s="335">
        <f t="shared" si="1125"/>
        <v>1</v>
      </c>
      <c r="BV215" s="335">
        <f t="shared" si="1125"/>
        <v>1</v>
      </c>
      <c r="BW215" s="335">
        <f t="shared" si="1125"/>
        <v>1</v>
      </c>
      <c r="BX215" s="335">
        <f t="shared" si="1125"/>
        <v>1</v>
      </c>
      <c r="BY215" s="335">
        <f t="shared" si="1125"/>
        <v>1</v>
      </c>
      <c r="BZ215" s="335">
        <f t="shared" si="1125"/>
        <v>1</v>
      </c>
      <c r="CA215" s="335">
        <f t="shared" si="1125"/>
        <v>1</v>
      </c>
      <c r="CB215" s="335">
        <f t="shared" si="1125"/>
        <v>1</v>
      </c>
      <c r="CC215" s="335">
        <f t="shared" si="1125"/>
        <v>1</v>
      </c>
      <c r="CD215" s="335">
        <f t="shared" si="1125"/>
        <v>1</v>
      </c>
      <c r="CE215" s="335">
        <f t="shared" ref="CE215:DJ215" si="1126">CE209/CE$209</f>
        <v>1</v>
      </c>
      <c r="CF215" s="335">
        <f t="shared" si="1126"/>
        <v>1</v>
      </c>
      <c r="CG215" s="335">
        <f t="shared" si="1126"/>
        <v>1</v>
      </c>
      <c r="CH215" s="335">
        <f t="shared" si="1126"/>
        <v>1</v>
      </c>
      <c r="CI215" s="335">
        <f t="shared" si="1126"/>
        <v>1</v>
      </c>
      <c r="CJ215" s="335">
        <f t="shared" si="1126"/>
        <v>1</v>
      </c>
      <c r="CK215" s="335">
        <f t="shared" si="1126"/>
        <v>1</v>
      </c>
      <c r="CL215" s="335">
        <f t="shared" si="1126"/>
        <v>1</v>
      </c>
      <c r="CM215" s="335">
        <f t="shared" si="1126"/>
        <v>1</v>
      </c>
      <c r="CN215" s="335">
        <f t="shared" si="1126"/>
        <v>1</v>
      </c>
      <c r="CO215" s="335">
        <f t="shared" si="1126"/>
        <v>1</v>
      </c>
      <c r="CP215" s="335">
        <f t="shared" si="1126"/>
        <v>1</v>
      </c>
      <c r="CQ215" s="335">
        <f t="shared" si="1126"/>
        <v>1</v>
      </c>
      <c r="CR215" s="335">
        <f t="shared" si="1126"/>
        <v>1</v>
      </c>
      <c r="CS215" s="335">
        <f t="shared" si="1126"/>
        <v>1</v>
      </c>
      <c r="CT215" s="335">
        <f t="shared" si="1126"/>
        <v>1</v>
      </c>
      <c r="CU215" s="335">
        <f t="shared" si="1126"/>
        <v>1</v>
      </c>
      <c r="CV215" s="335">
        <f t="shared" si="1126"/>
        <v>1</v>
      </c>
      <c r="CW215" s="335">
        <f t="shared" si="1126"/>
        <v>1</v>
      </c>
      <c r="CX215" s="335">
        <f t="shared" si="1126"/>
        <v>1</v>
      </c>
      <c r="CY215" s="335">
        <f t="shared" si="1126"/>
        <v>1</v>
      </c>
      <c r="CZ215" s="335">
        <f t="shared" si="1126"/>
        <v>1</v>
      </c>
      <c r="DA215" s="335">
        <f t="shared" si="1126"/>
        <v>1</v>
      </c>
      <c r="DB215" s="335">
        <f t="shared" si="1126"/>
        <v>1</v>
      </c>
      <c r="DC215" s="335">
        <f t="shared" si="1126"/>
        <v>1</v>
      </c>
      <c r="DD215" s="335">
        <f t="shared" si="1126"/>
        <v>1</v>
      </c>
      <c r="DE215" s="335">
        <f t="shared" si="1126"/>
        <v>1</v>
      </c>
      <c r="DF215" s="335">
        <f t="shared" si="1126"/>
        <v>1</v>
      </c>
      <c r="DG215" s="335">
        <f t="shared" si="1126"/>
        <v>1</v>
      </c>
      <c r="DH215" s="335">
        <f t="shared" si="1126"/>
        <v>1</v>
      </c>
      <c r="DI215" s="335">
        <f t="shared" si="1126"/>
        <v>1</v>
      </c>
      <c r="DJ215" s="335">
        <f t="shared" si="1126"/>
        <v>1</v>
      </c>
      <c r="DK215" s="335">
        <f t="shared" ref="DK215:EP215" si="1127">DK209/DK$209</f>
        <v>1</v>
      </c>
      <c r="DL215" s="335">
        <f t="shared" si="1127"/>
        <v>1</v>
      </c>
      <c r="DM215" s="335">
        <f t="shared" si="1127"/>
        <v>1</v>
      </c>
      <c r="DN215" s="335">
        <f t="shared" si="1127"/>
        <v>1</v>
      </c>
      <c r="DO215" s="335">
        <f t="shared" si="1127"/>
        <v>1</v>
      </c>
      <c r="DP215" s="335">
        <f t="shared" si="1127"/>
        <v>1</v>
      </c>
      <c r="DQ215" s="335">
        <f t="shared" si="1127"/>
        <v>1</v>
      </c>
      <c r="DR215" s="335">
        <f t="shared" si="1127"/>
        <v>1</v>
      </c>
      <c r="DS215" s="335">
        <f t="shared" si="1127"/>
        <v>1</v>
      </c>
      <c r="DT215" s="335">
        <f t="shared" si="1127"/>
        <v>1</v>
      </c>
      <c r="DU215" s="335">
        <f t="shared" si="1127"/>
        <v>1</v>
      </c>
      <c r="DV215" s="335">
        <f t="shared" si="1127"/>
        <v>1</v>
      </c>
      <c r="DW215" s="335">
        <f t="shared" si="1127"/>
        <v>1</v>
      </c>
      <c r="DX215" s="335">
        <f t="shared" si="1127"/>
        <v>1</v>
      </c>
      <c r="DY215" s="335">
        <f t="shared" si="1127"/>
        <v>1</v>
      </c>
      <c r="DZ215" s="335">
        <f t="shared" si="1127"/>
        <v>1</v>
      </c>
      <c r="EA215" s="335">
        <f t="shared" si="1127"/>
        <v>1</v>
      </c>
      <c r="EB215" s="335">
        <f t="shared" si="1127"/>
        <v>1</v>
      </c>
      <c r="EC215" s="335">
        <f t="shared" si="1127"/>
        <v>1</v>
      </c>
      <c r="ED215" s="335">
        <f t="shared" si="1127"/>
        <v>1</v>
      </c>
      <c r="EE215" s="335">
        <f t="shared" si="1127"/>
        <v>1</v>
      </c>
      <c r="EF215" s="335">
        <f t="shared" si="1127"/>
        <v>1</v>
      </c>
      <c r="EG215" s="335">
        <f t="shared" si="1127"/>
        <v>1</v>
      </c>
      <c r="EH215" s="335">
        <f t="shared" si="1127"/>
        <v>1</v>
      </c>
      <c r="EI215" s="335">
        <f t="shared" si="1127"/>
        <v>1</v>
      </c>
      <c r="EJ215" s="335">
        <f t="shared" si="1127"/>
        <v>1</v>
      </c>
      <c r="EK215" s="335">
        <f t="shared" si="1127"/>
        <v>1</v>
      </c>
      <c r="EL215" s="335">
        <f t="shared" si="1127"/>
        <v>1</v>
      </c>
      <c r="EM215" s="335">
        <f t="shared" si="1127"/>
        <v>1</v>
      </c>
      <c r="EN215" s="335">
        <f t="shared" si="1127"/>
        <v>1</v>
      </c>
      <c r="EO215" s="335">
        <f t="shared" si="1127"/>
        <v>1</v>
      </c>
      <c r="EP215" s="335">
        <f t="shared" si="1127"/>
        <v>1</v>
      </c>
      <c r="EQ215" s="335">
        <f t="shared" ref="EQ215:FB215" si="1128">EQ209/EQ$209</f>
        <v>1</v>
      </c>
      <c r="ER215" s="335">
        <f t="shared" si="1128"/>
        <v>1</v>
      </c>
      <c r="ES215" s="335">
        <f t="shared" si="1128"/>
        <v>1</v>
      </c>
      <c r="ET215" s="335">
        <f t="shared" si="1128"/>
        <v>1</v>
      </c>
      <c r="EU215" s="335">
        <f t="shared" si="1128"/>
        <v>1</v>
      </c>
      <c r="EV215" s="335">
        <f t="shared" si="1128"/>
        <v>1</v>
      </c>
      <c r="EW215" s="335">
        <f t="shared" si="1128"/>
        <v>1</v>
      </c>
      <c r="EX215" s="335">
        <f t="shared" si="1128"/>
        <v>1</v>
      </c>
      <c r="EY215" s="335">
        <f t="shared" si="1128"/>
        <v>1</v>
      </c>
      <c r="EZ215" s="335">
        <f t="shared" si="1128"/>
        <v>1</v>
      </c>
      <c r="FA215" s="335">
        <f t="shared" si="1128"/>
        <v>1</v>
      </c>
      <c r="FB215" s="335">
        <f t="shared" si="1128"/>
        <v>1</v>
      </c>
    </row>
    <row r="216" spans="1:158" x14ac:dyDescent="0.25">
      <c r="A216" s="334">
        <v>0.9</v>
      </c>
      <c r="C216" s="2" t="s">
        <v>346</v>
      </c>
      <c r="D216" s="308">
        <f t="shared" si="1122"/>
        <v>0.94876850559336878</v>
      </c>
      <c r="E216" s="308">
        <f t="shared" si="1122"/>
        <v>0.94931127518900338</v>
      </c>
      <c r="F216" s="308">
        <f t="shared" si="1122"/>
        <v>0.94955693393775875</v>
      </c>
      <c r="G216" s="308">
        <f t="shared" si="1122"/>
        <v>0.91432750198654744</v>
      </c>
      <c r="H216" s="308">
        <f t="shared" si="1122"/>
        <v>0.87450896989848259</v>
      </c>
      <c r="I216" s="308">
        <f t="shared" si="1122"/>
        <v>0.76274102241679831</v>
      </c>
      <c r="J216" s="308">
        <f t="shared" si="1122"/>
        <v>0.67835760174860771</v>
      </c>
      <c r="K216" s="308">
        <f t="shared" si="1122"/>
        <v>0.62633171319051761</v>
      </c>
      <c r="L216" s="308">
        <f t="shared" si="1123"/>
        <v>0.58547406596746587</v>
      </c>
      <c r="M216" s="244"/>
      <c r="N216" s="308">
        <f t="shared" ref="N216:AW216" si="1129">N210/N$209</f>
        <v>0.94781828717533256</v>
      </c>
      <c r="O216" s="308">
        <f t="shared" si="1129"/>
        <v>0.94829773701872988</v>
      </c>
      <c r="P216" s="308">
        <f t="shared" si="1129"/>
        <v>0.94853592034982925</v>
      </c>
      <c r="Q216" s="308">
        <f t="shared" si="1129"/>
        <v>0.94876850559336878</v>
      </c>
      <c r="R216" s="308">
        <f t="shared" si="1129"/>
        <v>0.94892548413698374</v>
      </c>
      <c r="S216" s="308">
        <f t="shared" si="1129"/>
        <v>0.94905053805934336</v>
      </c>
      <c r="T216" s="308">
        <f t="shared" si="1129"/>
        <v>0.94918402634362853</v>
      </c>
      <c r="U216" s="308">
        <f t="shared" si="1129"/>
        <v>0.94931127518900349</v>
      </c>
      <c r="V216" s="308">
        <f t="shared" si="1129"/>
        <v>0.94937776101505678</v>
      </c>
      <c r="W216" s="308">
        <f t="shared" si="1129"/>
        <v>0.94944561877870426</v>
      </c>
      <c r="X216" s="308">
        <f t="shared" si="1129"/>
        <v>0.94948906042926073</v>
      </c>
      <c r="Y216" s="308">
        <f t="shared" si="1129"/>
        <v>0.94955693393775875</v>
      </c>
      <c r="Z216" s="308">
        <f t="shared" si="1129"/>
        <v>0.94230134388302711</v>
      </c>
      <c r="AA216" s="308">
        <f t="shared" si="1129"/>
        <v>0.93387785518694455</v>
      </c>
      <c r="AB216" s="308">
        <f t="shared" si="1129"/>
        <v>0.92433326317347042</v>
      </c>
      <c r="AC216" s="308">
        <f t="shared" si="1129"/>
        <v>0.91432750198654744</v>
      </c>
      <c r="AD216" s="308">
        <f t="shared" si="1129"/>
        <v>0.90450258526442284</v>
      </c>
      <c r="AE216" s="308">
        <f t="shared" si="1129"/>
        <v>0.89374527812755167</v>
      </c>
      <c r="AF216" s="308">
        <f t="shared" si="1129"/>
        <v>0.88510329700069823</v>
      </c>
      <c r="AG216" s="308">
        <f t="shared" si="1129"/>
        <v>0.87450896989848248</v>
      </c>
      <c r="AH216" s="308">
        <f t="shared" si="1129"/>
        <v>0.84687443086802872</v>
      </c>
      <c r="AI216" s="308">
        <f t="shared" si="1129"/>
        <v>0.81573944515537888</v>
      </c>
      <c r="AJ216" s="308">
        <f t="shared" si="1129"/>
        <v>0.79162163314391787</v>
      </c>
      <c r="AK216" s="308">
        <f t="shared" si="1129"/>
        <v>0.76274102241679831</v>
      </c>
      <c r="AL216" s="308">
        <f t="shared" si="1129"/>
        <v>0.74230062468218905</v>
      </c>
      <c r="AM216" s="308">
        <f t="shared" si="1129"/>
        <v>0.71894150932267853</v>
      </c>
      <c r="AN216" s="308">
        <f t="shared" si="1129"/>
        <v>0.70060167316678057</v>
      </c>
      <c r="AO216" s="308">
        <f t="shared" si="1129"/>
        <v>0.67835760174860771</v>
      </c>
      <c r="AP216" s="308">
        <f t="shared" si="1129"/>
        <v>0.66598272003633852</v>
      </c>
      <c r="AQ216" s="308">
        <f t="shared" si="1129"/>
        <v>0.65166439387330111</v>
      </c>
      <c r="AR216" s="308">
        <f t="shared" si="1129"/>
        <v>0.64028819027914241</v>
      </c>
      <c r="AS216" s="308">
        <f t="shared" si="1129"/>
        <v>0.62633171319051772</v>
      </c>
      <c r="AT216" s="308">
        <f t="shared" si="1129"/>
        <v>0.61677833116593017</v>
      </c>
      <c r="AU216" s="308">
        <f t="shared" si="1129"/>
        <v>0.60559716232597804</v>
      </c>
      <c r="AV216" s="308">
        <f t="shared" si="1129"/>
        <v>0.59661416552871915</v>
      </c>
      <c r="AW216" s="308">
        <f t="shared" si="1129"/>
        <v>0.58547406596746598</v>
      </c>
      <c r="AY216" s="308">
        <f t="shared" ref="AY216:CD216" si="1130">AY210/AY$209</f>
        <v>0.94736842105263153</v>
      </c>
      <c r="AZ216" s="308">
        <f t="shared" si="1130"/>
        <v>0.94750896556033515</v>
      </c>
      <c r="BA216" s="308">
        <f t="shared" si="1130"/>
        <v>0.94781828717533245</v>
      </c>
      <c r="BB216" s="308">
        <f t="shared" si="1130"/>
        <v>0.94787777338174051</v>
      </c>
      <c r="BC216" s="308">
        <f t="shared" si="1130"/>
        <v>0.94807659447570314</v>
      </c>
      <c r="BD216" s="308">
        <f t="shared" si="1130"/>
        <v>0.94829773701872999</v>
      </c>
      <c r="BE216" s="308">
        <f t="shared" si="1130"/>
        <v>0.94831414791791191</v>
      </c>
      <c r="BF216" s="308">
        <f t="shared" si="1130"/>
        <v>0.94840075774027821</v>
      </c>
      <c r="BG216" s="308">
        <f t="shared" si="1130"/>
        <v>0.94853592034982936</v>
      </c>
      <c r="BH216" s="308">
        <f t="shared" si="1130"/>
        <v>0.94858150902873817</v>
      </c>
      <c r="BI216" s="308">
        <f t="shared" si="1130"/>
        <v>0.94866780573749054</v>
      </c>
      <c r="BJ216" s="308">
        <f t="shared" si="1130"/>
        <v>0.94876850559336878</v>
      </c>
      <c r="BK216" s="308">
        <f t="shared" si="1130"/>
        <v>0.94879408607163396</v>
      </c>
      <c r="BL216" s="308">
        <f t="shared" si="1130"/>
        <v>0.94881358441505759</v>
      </c>
      <c r="BM216" s="308">
        <f t="shared" si="1130"/>
        <v>0.94892548413698374</v>
      </c>
      <c r="BN216" s="308">
        <f t="shared" si="1130"/>
        <v>0.94894431019666703</v>
      </c>
      <c r="BO216" s="308">
        <f t="shared" si="1130"/>
        <v>0.94898877260308134</v>
      </c>
      <c r="BP216" s="308">
        <f t="shared" si="1130"/>
        <v>0.94905053805934336</v>
      </c>
      <c r="BQ216" s="308">
        <f t="shared" si="1130"/>
        <v>0.94906888201103357</v>
      </c>
      <c r="BR216" s="308">
        <f t="shared" si="1130"/>
        <v>0.94910405939664788</v>
      </c>
      <c r="BS216" s="308">
        <f t="shared" si="1130"/>
        <v>0.94918402634362853</v>
      </c>
      <c r="BT216" s="308">
        <f t="shared" si="1130"/>
        <v>0.94919159418750798</v>
      </c>
      <c r="BU216" s="308">
        <f t="shared" si="1130"/>
        <v>0.94925331570688953</v>
      </c>
      <c r="BV216" s="308">
        <f t="shared" si="1130"/>
        <v>0.94931127518900338</v>
      </c>
      <c r="BW216" s="308">
        <f t="shared" si="1130"/>
        <v>0.94932185308592199</v>
      </c>
      <c r="BX216" s="308">
        <f t="shared" si="1130"/>
        <v>0.94934242776611755</v>
      </c>
      <c r="BY216" s="308">
        <f t="shared" si="1130"/>
        <v>0.94937776101505689</v>
      </c>
      <c r="BZ216" s="308">
        <f t="shared" si="1130"/>
        <v>0.94938835392185206</v>
      </c>
      <c r="CA216" s="308">
        <f t="shared" si="1130"/>
        <v>0.94941076427379723</v>
      </c>
      <c r="CB216" s="308">
        <f t="shared" si="1130"/>
        <v>0.94944561877870404</v>
      </c>
      <c r="CC216" s="308">
        <f t="shared" si="1130"/>
        <v>0.94944862662889629</v>
      </c>
      <c r="CD216" s="308">
        <f t="shared" si="1130"/>
        <v>0.94946942099125331</v>
      </c>
      <c r="CE216" s="308">
        <f t="shared" ref="CE216:DJ216" si="1131">CE210/CE$209</f>
        <v>0.94948906042926051</v>
      </c>
      <c r="CF216" s="308">
        <f t="shared" si="1131"/>
        <v>0.94949729337291056</v>
      </c>
      <c r="CG216" s="308">
        <f t="shared" si="1131"/>
        <v>0.94952329116630452</v>
      </c>
      <c r="CH216" s="308">
        <f t="shared" si="1131"/>
        <v>0.94955693393775875</v>
      </c>
      <c r="CI216" s="308">
        <f t="shared" si="1131"/>
        <v>0.94879811797910985</v>
      </c>
      <c r="CJ216" s="308">
        <f t="shared" si="1131"/>
        <v>0.94658980949472993</v>
      </c>
      <c r="CK216" s="308">
        <f t="shared" si="1131"/>
        <v>0.942301343883027</v>
      </c>
      <c r="CL216" s="308">
        <f t="shared" si="1131"/>
        <v>0.94000926879690117</v>
      </c>
      <c r="CM216" s="308">
        <f t="shared" si="1131"/>
        <v>0.93699917545678746</v>
      </c>
      <c r="CN216" s="308">
        <f t="shared" si="1131"/>
        <v>0.93387785518694455</v>
      </c>
      <c r="CO216" s="308">
        <f t="shared" si="1131"/>
        <v>0.93224841563742544</v>
      </c>
      <c r="CP216" s="308">
        <f t="shared" si="1131"/>
        <v>0.92875496541277347</v>
      </c>
      <c r="CQ216" s="308">
        <f t="shared" si="1131"/>
        <v>0.92433326317347042</v>
      </c>
      <c r="CR216" s="308">
        <f t="shared" si="1131"/>
        <v>0.92314990674641495</v>
      </c>
      <c r="CS216" s="308">
        <f t="shared" si="1131"/>
        <v>0.91884504283350765</v>
      </c>
      <c r="CT216" s="308">
        <f t="shared" si="1131"/>
        <v>0.91432750198654744</v>
      </c>
      <c r="CU216" s="308">
        <f t="shared" si="1131"/>
        <v>0.91292701205904458</v>
      </c>
      <c r="CV216" s="308">
        <f t="shared" si="1131"/>
        <v>0.90996270889949959</v>
      </c>
      <c r="CW216" s="308">
        <f t="shared" si="1131"/>
        <v>0.90450258526442284</v>
      </c>
      <c r="CX216" s="308">
        <f t="shared" si="1131"/>
        <v>0.90244194510661624</v>
      </c>
      <c r="CY216" s="308">
        <f t="shared" si="1131"/>
        <v>0.89868247580241356</v>
      </c>
      <c r="CZ216" s="308">
        <f t="shared" si="1131"/>
        <v>0.89374527812755156</v>
      </c>
      <c r="DA216" s="308">
        <f t="shared" si="1131"/>
        <v>0.89211719148589697</v>
      </c>
      <c r="DB216" s="308">
        <f t="shared" si="1131"/>
        <v>0.88943600091375175</v>
      </c>
      <c r="DC216" s="308">
        <f t="shared" si="1131"/>
        <v>0.88510329700069834</v>
      </c>
      <c r="DD216" s="308">
        <f t="shared" si="1131"/>
        <v>0.8833174086236103</v>
      </c>
      <c r="DE216" s="308">
        <f t="shared" si="1131"/>
        <v>0.87894793357953682</v>
      </c>
      <c r="DF216" s="308">
        <f t="shared" si="1131"/>
        <v>0.87450896989848259</v>
      </c>
      <c r="DG216" s="308">
        <f t="shared" si="1131"/>
        <v>0.87041374930025051</v>
      </c>
      <c r="DH216" s="308">
        <f t="shared" si="1131"/>
        <v>0.86206846453659114</v>
      </c>
      <c r="DI216" s="308">
        <f t="shared" si="1131"/>
        <v>0.84687443086802872</v>
      </c>
      <c r="DJ216" s="308">
        <f t="shared" si="1131"/>
        <v>0.84067773669605517</v>
      </c>
      <c r="DK216" s="308">
        <f t="shared" ref="DK216:EP216" si="1132">DK210/DK$209</f>
        <v>0.82983488115219473</v>
      </c>
      <c r="DL216" s="308">
        <f t="shared" si="1132"/>
        <v>0.81573944515537899</v>
      </c>
      <c r="DM216" s="308">
        <f t="shared" si="1132"/>
        <v>0.81122406020855897</v>
      </c>
      <c r="DN216" s="308">
        <f t="shared" si="1132"/>
        <v>0.80376095931279035</v>
      </c>
      <c r="DO216" s="308">
        <f t="shared" si="1132"/>
        <v>0.79162163314391787</v>
      </c>
      <c r="DP216" s="308">
        <f t="shared" si="1132"/>
        <v>0.78709651502123523</v>
      </c>
      <c r="DQ216" s="308">
        <f t="shared" si="1132"/>
        <v>0.77511997993861115</v>
      </c>
      <c r="DR216" s="308">
        <f t="shared" si="1132"/>
        <v>0.76274102241679831</v>
      </c>
      <c r="DS216" s="308">
        <f t="shared" si="1132"/>
        <v>0.75972896275049917</v>
      </c>
      <c r="DT216" s="308">
        <f t="shared" si="1132"/>
        <v>0.75357269601741916</v>
      </c>
      <c r="DU216" s="308">
        <f t="shared" si="1132"/>
        <v>0.74230062468218894</v>
      </c>
      <c r="DV216" s="308">
        <f t="shared" si="1132"/>
        <v>0.73768091606769259</v>
      </c>
      <c r="DW216" s="308">
        <f t="shared" si="1132"/>
        <v>0.7295607300383965</v>
      </c>
      <c r="DX216" s="308">
        <f t="shared" si="1132"/>
        <v>0.71894150932267853</v>
      </c>
      <c r="DY216" s="308">
        <f t="shared" si="1132"/>
        <v>0.71552714148081675</v>
      </c>
      <c r="DZ216" s="308">
        <f t="shared" si="1132"/>
        <v>0.70986205973666483</v>
      </c>
      <c r="EA216" s="308">
        <f t="shared" si="1132"/>
        <v>0.70060167316678057</v>
      </c>
      <c r="EB216" s="308">
        <f t="shared" si="1132"/>
        <v>0.69713918262577101</v>
      </c>
      <c r="EC216" s="308">
        <f t="shared" si="1132"/>
        <v>0.6879332896409891</v>
      </c>
      <c r="ED216" s="308">
        <f t="shared" si="1132"/>
        <v>0.67835760174860771</v>
      </c>
      <c r="EE216" s="308">
        <f t="shared" si="1132"/>
        <v>0.67654295759037553</v>
      </c>
      <c r="EF216" s="308">
        <f t="shared" si="1132"/>
        <v>0.67282454057126273</v>
      </c>
      <c r="EG216" s="308">
        <f t="shared" si="1132"/>
        <v>0.66598272003633852</v>
      </c>
      <c r="EH216" s="308">
        <f t="shared" si="1132"/>
        <v>0.66316682552010853</v>
      </c>
      <c r="EI216" s="308">
        <f t="shared" si="1132"/>
        <v>0.65819736729930922</v>
      </c>
      <c r="EJ216" s="308">
        <f t="shared" si="1132"/>
        <v>0.65166439387330111</v>
      </c>
      <c r="EK216" s="308">
        <f t="shared" si="1132"/>
        <v>0.64955720531433436</v>
      </c>
      <c r="EL216" s="308">
        <f t="shared" si="1132"/>
        <v>0.64604871469204239</v>
      </c>
      <c r="EM216" s="308">
        <f t="shared" si="1132"/>
        <v>0.64028819027914241</v>
      </c>
      <c r="EN216" s="308">
        <f t="shared" si="1132"/>
        <v>0.63812864612512854</v>
      </c>
      <c r="EO216" s="308">
        <f t="shared" si="1132"/>
        <v>0.6323632262997485</v>
      </c>
      <c r="EP216" s="308">
        <f t="shared" si="1132"/>
        <v>0.62633171319051761</v>
      </c>
      <c r="EQ216" s="308">
        <f t="shared" ref="EQ216:FB216" si="1133">EQ210/EQ$209</f>
        <v>0.62493709455569779</v>
      </c>
      <c r="ER216" s="308">
        <f t="shared" si="1133"/>
        <v>0.62207264766143644</v>
      </c>
      <c r="ES216" s="308">
        <f t="shared" si="1133"/>
        <v>0.61677833116593039</v>
      </c>
      <c r="ET216" s="308">
        <f t="shared" si="1133"/>
        <v>0.61459088405966211</v>
      </c>
      <c r="EU216" s="308">
        <f t="shared" si="1133"/>
        <v>0.61071602837491101</v>
      </c>
      <c r="EV216" s="308">
        <f t="shared" si="1133"/>
        <v>0.60559716232597804</v>
      </c>
      <c r="EW216" s="308">
        <f t="shared" si="1133"/>
        <v>0.6039412808477741</v>
      </c>
      <c r="EX216" s="308">
        <f t="shared" si="1133"/>
        <v>0.60117501642329108</v>
      </c>
      <c r="EY216" s="308">
        <f t="shared" si="1133"/>
        <v>0.59661416552871915</v>
      </c>
      <c r="EZ216" s="308">
        <f t="shared" si="1133"/>
        <v>0.59490020127177001</v>
      </c>
      <c r="FA216" s="308">
        <f t="shared" si="1133"/>
        <v>0.59030633563493584</v>
      </c>
      <c r="FB216" s="308">
        <f t="shared" si="1133"/>
        <v>0.58547406596746587</v>
      </c>
    </row>
    <row r="217" spans="1:158" x14ac:dyDescent="0.25">
      <c r="A217" s="334">
        <v>0.02</v>
      </c>
      <c r="C217" s="2" t="s">
        <v>298</v>
      </c>
      <c r="D217" s="308">
        <f t="shared" si="1122"/>
        <v>2.0492597762652581E-2</v>
      </c>
      <c r="E217" s="308">
        <f t="shared" si="1122"/>
        <v>2.0275489924398607E-2</v>
      </c>
      <c r="F217" s="308">
        <f t="shared" si="1122"/>
        <v>2.0177226424896343E-2</v>
      </c>
      <c r="G217" s="308">
        <f t="shared" si="1122"/>
        <v>2.4714507125096281E-2</v>
      </c>
      <c r="H217" s="308">
        <f t="shared" si="1122"/>
        <v>3.2679732461668193E-2</v>
      </c>
      <c r="I217" s="308">
        <f t="shared" si="1122"/>
        <v>6.6893270103294142E-2</v>
      </c>
      <c r="J217" s="308">
        <f t="shared" si="1122"/>
        <v>8.7338650122951875E-2</v>
      </c>
      <c r="K217" s="308">
        <f t="shared" si="1122"/>
        <v>9.994407727923077E-2</v>
      </c>
      <c r="L217" s="308">
        <f t="shared" si="1123"/>
        <v>0.11587064109423489</v>
      </c>
      <c r="M217" s="244"/>
      <c r="N217" s="308">
        <f t="shared" ref="N217:AW217" si="1134">N211/N$209</f>
        <v>2.0872685129866973E-2</v>
      </c>
      <c r="O217" s="308">
        <f t="shared" si="1134"/>
        <v>2.0680905192507978E-2</v>
      </c>
      <c r="P217" s="308">
        <f t="shared" si="1134"/>
        <v>2.0585631860068326E-2</v>
      </c>
      <c r="Q217" s="308">
        <f t="shared" si="1134"/>
        <v>2.0492597762652585E-2</v>
      </c>
      <c r="R217" s="308">
        <f t="shared" si="1134"/>
        <v>2.042980634520656E-2</v>
      </c>
      <c r="S217" s="308">
        <f t="shared" si="1134"/>
        <v>2.0379784776262684E-2</v>
      </c>
      <c r="T217" s="308">
        <f t="shared" si="1134"/>
        <v>2.0326389462548576E-2</v>
      </c>
      <c r="U217" s="308">
        <f t="shared" si="1134"/>
        <v>2.0275489924398607E-2</v>
      </c>
      <c r="V217" s="308">
        <f t="shared" si="1134"/>
        <v>2.0248895593977231E-2</v>
      </c>
      <c r="W217" s="308">
        <f t="shared" si="1134"/>
        <v>2.0221752488518319E-2</v>
      </c>
      <c r="X217" s="308">
        <f t="shared" si="1134"/>
        <v>2.0204375828295637E-2</v>
      </c>
      <c r="Y217" s="308">
        <f t="shared" si="1134"/>
        <v>2.017722642489634E-2</v>
      </c>
      <c r="Z217" s="308">
        <f t="shared" si="1134"/>
        <v>2.1111690788939683E-2</v>
      </c>
      <c r="AA217" s="308">
        <f t="shared" si="1134"/>
        <v>2.2196571542680378E-2</v>
      </c>
      <c r="AB217" s="308">
        <f t="shared" si="1134"/>
        <v>2.3425841807213552E-2</v>
      </c>
      <c r="AC217" s="308">
        <f t="shared" si="1134"/>
        <v>2.4714507125096281E-2</v>
      </c>
      <c r="AD217" s="308">
        <f t="shared" si="1134"/>
        <v>2.6679865251098962E-2</v>
      </c>
      <c r="AE217" s="308">
        <f t="shared" si="1134"/>
        <v>2.8831737027044564E-2</v>
      </c>
      <c r="AF217" s="308">
        <f t="shared" si="1134"/>
        <v>3.0560462909695083E-2</v>
      </c>
      <c r="AG217" s="308">
        <f t="shared" si="1134"/>
        <v>3.2679732461668193E-2</v>
      </c>
      <c r="AH217" s="308">
        <f t="shared" si="1134"/>
        <v>4.1139003322684532E-2</v>
      </c>
      <c r="AI217" s="308">
        <f t="shared" si="1134"/>
        <v>5.0669803786080304E-2</v>
      </c>
      <c r="AJ217" s="308">
        <f t="shared" si="1134"/>
        <v>5.8052561434224499E-2</v>
      </c>
      <c r="AK217" s="308">
        <f t="shared" si="1134"/>
        <v>6.6893270103294142E-2</v>
      </c>
      <c r="AL217" s="308">
        <f t="shared" si="1134"/>
        <v>7.1845803386820728E-2</v>
      </c>
      <c r="AM217" s="308">
        <f t="shared" si="1134"/>
        <v>7.7505516949822176E-2</v>
      </c>
      <c r="AN217" s="308">
        <f t="shared" si="1134"/>
        <v>8.1949102155736198E-2</v>
      </c>
      <c r="AO217" s="308">
        <f t="shared" si="1134"/>
        <v>8.7338650122951875E-2</v>
      </c>
      <c r="AP217" s="308">
        <f t="shared" si="1134"/>
        <v>9.0336977961551004E-2</v>
      </c>
      <c r="AQ217" s="308">
        <f t="shared" si="1134"/>
        <v>9.3806185743489853E-2</v>
      </c>
      <c r="AR217" s="308">
        <f t="shared" si="1134"/>
        <v>9.6562542428509271E-2</v>
      </c>
      <c r="AS217" s="308">
        <f t="shared" si="1134"/>
        <v>9.9944077279230784E-2</v>
      </c>
      <c r="AT217" s="308">
        <f t="shared" si="1134"/>
        <v>0.10366804473220392</v>
      </c>
      <c r="AU217" s="308">
        <f t="shared" si="1134"/>
        <v>0.10802653356254868</v>
      </c>
      <c r="AV217" s="308">
        <f t="shared" si="1134"/>
        <v>0.11152816132296467</v>
      </c>
      <c r="AW217" s="308">
        <f t="shared" si="1134"/>
        <v>0.11587064109423489</v>
      </c>
      <c r="AY217" s="308">
        <f t="shared" ref="AY217:CD217" si="1135">AY211/AY$209</f>
        <v>2.1052631578947364E-2</v>
      </c>
      <c r="AZ217" s="308">
        <f t="shared" si="1135"/>
        <v>2.0996413775865905E-2</v>
      </c>
      <c r="BA217" s="308">
        <f t="shared" si="1135"/>
        <v>2.0872685129866973E-2</v>
      </c>
      <c r="BB217" s="308">
        <f t="shared" si="1135"/>
        <v>2.0848890647303799E-2</v>
      </c>
      <c r="BC217" s="308">
        <f t="shared" si="1135"/>
        <v>2.0769362209718735E-2</v>
      </c>
      <c r="BD217" s="308">
        <f t="shared" si="1135"/>
        <v>2.0680905192507978E-2</v>
      </c>
      <c r="BE217" s="308">
        <f t="shared" si="1135"/>
        <v>2.0674340832835213E-2</v>
      </c>
      <c r="BF217" s="308">
        <f t="shared" si="1135"/>
        <v>2.0639696903888734E-2</v>
      </c>
      <c r="BG217" s="308">
        <f t="shared" si="1135"/>
        <v>2.0585631860068326E-2</v>
      </c>
      <c r="BH217" s="308">
        <f t="shared" si="1135"/>
        <v>2.0567396388504817E-2</v>
      </c>
      <c r="BI217" s="308">
        <f t="shared" si="1135"/>
        <v>2.0532877705003894E-2</v>
      </c>
      <c r="BJ217" s="308">
        <f t="shared" si="1135"/>
        <v>2.0492597762652581E-2</v>
      </c>
      <c r="BK217" s="308">
        <f t="shared" si="1135"/>
        <v>2.0482365571346504E-2</v>
      </c>
      <c r="BL217" s="308">
        <f t="shared" si="1135"/>
        <v>2.047456623397706E-2</v>
      </c>
      <c r="BM217" s="308">
        <f t="shared" si="1135"/>
        <v>2.0429806345206566E-2</v>
      </c>
      <c r="BN217" s="308">
        <f t="shared" si="1135"/>
        <v>2.0422275921333225E-2</v>
      </c>
      <c r="BO217" s="308">
        <f t="shared" si="1135"/>
        <v>2.0404490958767504E-2</v>
      </c>
      <c r="BP217" s="308">
        <f t="shared" si="1135"/>
        <v>2.0379784776262684E-2</v>
      </c>
      <c r="BQ217" s="308">
        <f t="shared" si="1135"/>
        <v>2.0372447195586584E-2</v>
      </c>
      <c r="BR217" s="308">
        <f t="shared" si="1135"/>
        <v>2.0358376241340854E-2</v>
      </c>
      <c r="BS217" s="308">
        <f t="shared" si="1135"/>
        <v>2.0326389462548573E-2</v>
      </c>
      <c r="BT217" s="308">
        <f t="shared" si="1135"/>
        <v>2.0323362324996781E-2</v>
      </c>
      <c r="BU217" s="308">
        <f t="shared" si="1135"/>
        <v>2.0298673717244191E-2</v>
      </c>
      <c r="BV217" s="308">
        <f t="shared" si="1135"/>
        <v>2.0275489924398607E-2</v>
      </c>
      <c r="BW217" s="308">
        <f t="shared" si="1135"/>
        <v>2.0271258765631153E-2</v>
      </c>
      <c r="BX217" s="308">
        <f t="shared" si="1135"/>
        <v>2.0263028893552974E-2</v>
      </c>
      <c r="BY217" s="308">
        <f t="shared" si="1135"/>
        <v>2.0248895593977235E-2</v>
      </c>
      <c r="BZ217" s="308">
        <f t="shared" si="1135"/>
        <v>2.0244658431259124E-2</v>
      </c>
      <c r="CA217" s="308">
        <f t="shared" si="1135"/>
        <v>2.0235694290481034E-2</v>
      </c>
      <c r="CB217" s="308">
        <f t="shared" si="1135"/>
        <v>2.0221752488518315E-2</v>
      </c>
      <c r="CC217" s="308">
        <f t="shared" si="1135"/>
        <v>2.0220549348441363E-2</v>
      </c>
      <c r="CD217" s="308">
        <f t="shared" si="1135"/>
        <v>2.0212231603498561E-2</v>
      </c>
      <c r="CE217" s="308">
        <f t="shared" ref="CE217:DJ217" si="1136">CE211/CE$209</f>
        <v>2.0204375828295634E-2</v>
      </c>
      <c r="CF217" s="308">
        <f t="shared" si="1136"/>
        <v>2.0201082650835638E-2</v>
      </c>
      <c r="CG217" s="308">
        <f t="shared" si="1136"/>
        <v>2.0190683533478065E-2</v>
      </c>
      <c r="CH217" s="308">
        <f t="shared" si="1136"/>
        <v>2.0177226424896343E-2</v>
      </c>
      <c r="CI217" s="308">
        <f t="shared" si="1136"/>
        <v>2.0274956101859327E-2</v>
      </c>
      <c r="CJ217" s="308">
        <f t="shared" si="1136"/>
        <v>2.0559369301599264E-2</v>
      </c>
      <c r="CK217" s="308">
        <f t="shared" si="1136"/>
        <v>2.1111690788939676E-2</v>
      </c>
      <c r="CL217" s="308">
        <f t="shared" si="1136"/>
        <v>2.1406892484672098E-2</v>
      </c>
      <c r="CM217" s="308">
        <f t="shared" si="1136"/>
        <v>2.1794569425839152E-2</v>
      </c>
      <c r="CN217" s="308">
        <f t="shared" si="1136"/>
        <v>2.2196571542680375E-2</v>
      </c>
      <c r="CO217" s="308">
        <f t="shared" si="1136"/>
        <v>2.2406430862308754E-2</v>
      </c>
      <c r="CP217" s="308">
        <f t="shared" si="1136"/>
        <v>2.2856360463880936E-2</v>
      </c>
      <c r="CQ217" s="308">
        <f t="shared" si="1136"/>
        <v>2.3425841807213552E-2</v>
      </c>
      <c r="CR217" s="308">
        <f t="shared" si="1136"/>
        <v>2.3578249041181235E-2</v>
      </c>
      <c r="CS217" s="308">
        <f t="shared" si="1136"/>
        <v>2.413268250397653E-2</v>
      </c>
      <c r="CT217" s="308">
        <f t="shared" si="1136"/>
        <v>2.4714507125096281E-2</v>
      </c>
      <c r="CU217" s="308">
        <f t="shared" si="1136"/>
        <v>2.4994658533729033E-2</v>
      </c>
      <c r="CV217" s="308">
        <f t="shared" si="1136"/>
        <v>2.5587632242038204E-2</v>
      </c>
      <c r="CW217" s="308">
        <f t="shared" si="1136"/>
        <v>2.6679865251098958E-2</v>
      </c>
      <c r="CX217" s="308">
        <f t="shared" si="1136"/>
        <v>2.7092071887903565E-2</v>
      </c>
      <c r="CY217" s="308">
        <f t="shared" si="1136"/>
        <v>2.7844109157576694E-2</v>
      </c>
      <c r="CZ217" s="308">
        <f t="shared" si="1136"/>
        <v>2.8831737027044564E-2</v>
      </c>
      <c r="DA217" s="308">
        <f t="shared" si="1136"/>
        <v>2.9157416460418983E-2</v>
      </c>
      <c r="DB217" s="308">
        <f t="shared" si="1136"/>
        <v>2.9693756851626691E-2</v>
      </c>
      <c r="DC217" s="308">
        <f t="shared" si="1136"/>
        <v>3.0560462909695083E-2</v>
      </c>
      <c r="DD217" s="308">
        <f t="shared" si="1136"/>
        <v>3.0917708709666075E-2</v>
      </c>
      <c r="DE217" s="308">
        <f t="shared" si="1136"/>
        <v>3.1791770396611213E-2</v>
      </c>
      <c r="DF217" s="308">
        <f t="shared" si="1136"/>
        <v>3.2679732461668193E-2</v>
      </c>
      <c r="DG217" s="308">
        <f t="shared" si="1136"/>
        <v>3.3933329644450255E-2</v>
      </c>
      <c r="DH217" s="308">
        <f t="shared" si="1136"/>
        <v>3.6487923522434303E-2</v>
      </c>
      <c r="DI217" s="308">
        <f t="shared" si="1136"/>
        <v>4.1139003322684532E-2</v>
      </c>
      <c r="DJ217" s="308">
        <f t="shared" si="1136"/>
        <v>4.3035887304930062E-2</v>
      </c>
      <c r="DK217" s="308">
        <f t="shared" ref="DK217:EP217" si="1137">DK211/DK$209</f>
        <v>4.6355018188615406E-2</v>
      </c>
      <c r="DL217" s="308">
        <f t="shared" si="1137"/>
        <v>5.0669803786080325E-2</v>
      </c>
      <c r="DM217" s="308">
        <f t="shared" si="1137"/>
        <v>5.2052018422076712E-2</v>
      </c>
      <c r="DN217" s="308">
        <f t="shared" si="1137"/>
        <v>5.4336565013240246E-2</v>
      </c>
      <c r="DO217" s="308">
        <f t="shared" si="1137"/>
        <v>5.8052561434224499E-2</v>
      </c>
      <c r="DP217" s="308">
        <f t="shared" si="1137"/>
        <v>5.9437755514562901E-2</v>
      </c>
      <c r="DQ217" s="308">
        <f t="shared" si="1137"/>
        <v>6.3103919590205088E-2</v>
      </c>
      <c r="DR217" s="308">
        <f t="shared" si="1137"/>
        <v>6.6893270103294142E-2</v>
      </c>
      <c r="DS217" s="308">
        <f t="shared" si="1137"/>
        <v>6.7623066359854128E-2</v>
      </c>
      <c r="DT217" s="308">
        <f t="shared" si="1137"/>
        <v>6.9114677056167625E-2</v>
      </c>
      <c r="DU217" s="308">
        <f t="shared" si="1137"/>
        <v>7.1845803386820714E-2</v>
      </c>
      <c r="DV217" s="308">
        <f t="shared" si="1137"/>
        <v>7.2965119212791626E-2</v>
      </c>
      <c r="DW217" s="308">
        <f t="shared" si="1137"/>
        <v>7.4932570732114276E-2</v>
      </c>
      <c r="DX217" s="308">
        <f t="shared" si="1137"/>
        <v>7.7505516949822176E-2</v>
      </c>
      <c r="DY217" s="308">
        <f t="shared" si="1137"/>
        <v>7.8332789031245117E-2</v>
      </c>
      <c r="DZ217" s="308">
        <f t="shared" si="1137"/>
        <v>7.9705389812114752E-2</v>
      </c>
      <c r="EA217" s="308">
        <f t="shared" si="1137"/>
        <v>8.1949102155736198E-2</v>
      </c>
      <c r="EB217" s="308">
        <f t="shared" si="1137"/>
        <v>8.2788033954955112E-2</v>
      </c>
      <c r="EC217" s="308">
        <f t="shared" si="1137"/>
        <v>8.5018542969685279E-2</v>
      </c>
      <c r="ED217" s="308">
        <f t="shared" si="1137"/>
        <v>8.7338650122951875E-2</v>
      </c>
      <c r="EE217" s="308">
        <f t="shared" si="1137"/>
        <v>8.77783228586827E-2</v>
      </c>
      <c r="EF217" s="308">
        <f t="shared" si="1137"/>
        <v>8.867926345134089E-2</v>
      </c>
      <c r="EG217" s="308">
        <f t="shared" si="1137"/>
        <v>9.0336977961551004E-2</v>
      </c>
      <c r="EH217" s="308">
        <f t="shared" si="1137"/>
        <v>9.1019245082553088E-2</v>
      </c>
      <c r="EI217" s="308">
        <f t="shared" si="1137"/>
        <v>9.2223302242259497E-2</v>
      </c>
      <c r="EJ217" s="308">
        <f t="shared" si="1137"/>
        <v>9.3806185743489853E-2</v>
      </c>
      <c r="EK217" s="308">
        <f t="shared" si="1137"/>
        <v>9.4316739481653145E-2</v>
      </c>
      <c r="EL217" s="308">
        <f t="shared" si="1137"/>
        <v>9.5166816706541077E-2</v>
      </c>
      <c r="EM217" s="308">
        <f t="shared" si="1137"/>
        <v>9.6562542428509271E-2</v>
      </c>
      <c r="EN217" s="308">
        <f t="shared" si="1137"/>
        <v>9.7085781478886912E-2</v>
      </c>
      <c r="EO217" s="308">
        <f t="shared" si="1137"/>
        <v>9.8482693317366116E-2</v>
      </c>
      <c r="EP217" s="308">
        <f t="shared" si="1137"/>
        <v>9.994407727923077E-2</v>
      </c>
      <c r="EQ217" s="308">
        <f t="shared" ref="EQ217:FB217" si="1138">EQ211/EQ$209</f>
        <v>0.10048770825640853</v>
      </c>
      <c r="ER217" s="308">
        <f t="shared" si="1138"/>
        <v>0.10160428738802346</v>
      </c>
      <c r="ES217" s="308">
        <f t="shared" si="1138"/>
        <v>0.10366804473220394</v>
      </c>
      <c r="ET217" s="308">
        <f t="shared" si="1138"/>
        <v>0.10452072515552188</v>
      </c>
      <c r="EU217" s="308">
        <f t="shared" si="1138"/>
        <v>0.10603116788856065</v>
      </c>
      <c r="EV217" s="308">
        <f t="shared" si="1138"/>
        <v>0.10802653356254868</v>
      </c>
      <c r="EW217" s="308">
        <f t="shared" si="1138"/>
        <v>0.10867200641341365</v>
      </c>
      <c r="EX217" s="308">
        <f t="shared" si="1138"/>
        <v>0.10975031341051469</v>
      </c>
      <c r="EY217" s="308">
        <f t="shared" si="1138"/>
        <v>0.11152816132296467</v>
      </c>
      <c r="EZ217" s="308">
        <f t="shared" si="1138"/>
        <v>0.11219627520054336</v>
      </c>
      <c r="FA217" s="308">
        <f t="shared" si="1138"/>
        <v>0.11398699246390341</v>
      </c>
      <c r="FB217" s="308">
        <f t="shared" si="1138"/>
        <v>0.11587064109423489</v>
      </c>
    </row>
    <row r="218" spans="1:158" x14ac:dyDescent="0.25">
      <c r="A218" s="334">
        <v>0.01</v>
      </c>
      <c r="C218" s="2" t="s">
        <v>299</v>
      </c>
      <c r="D218" s="308">
        <f t="shared" si="1122"/>
        <v>1.0246298881326291E-2</v>
      </c>
      <c r="E218" s="308">
        <f t="shared" si="1122"/>
        <v>1.0137744962199303E-2</v>
      </c>
      <c r="F218" s="308">
        <f t="shared" si="1122"/>
        <v>1.0088613212448172E-2</v>
      </c>
      <c r="G218" s="308">
        <f t="shared" si="1122"/>
        <v>2.482894274165107E-2</v>
      </c>
      <c r="H218" s="308">
        <f t="shared" si="1122"/>
        <v>5.0418764970106236E-2</v>
      </c>
      <c r="I218" s="308">
        <f t="shared" si="1122"/>
        <v>0.12438280644585574</v>
      </c>
      <c r="J218" s="308">
        <f t="shared" si="1122"/>
        <v>0.18617530907994073</v>
      </c>
      <c r="K218" s="308">
        <f t="shared" si="1122"/>
        <v>0.22427295705758737</v>
      </c>
      <c r="L218" s="308">
        <f t="shared" si="1123"/>
        <v>0.24836744011550271</v>
      </c>
      <c r="M218" s="244"/>
      <c r="N218" s="308">
        <f t="shared" ref="N218:AW218" si="1139">N212/N$209</f>
        <v>1.0436342564933487E-2</v>
      </c>
      <c r="O218" s="308">
        <f t="shared" si="1139"/>
        <v>1.0340452596253989E-2</v>
      </c>
      <c r="P218" s="308">
        <f t="shared" si="1139"/>
        <v>1.0292815930034163E-2</v>
      </c>
      <c r="Q218" s="308">
        <f t="shared" si="1139"/>
        <v>1.0246298881326292E-2</v>
      </c>
      <c r="R218" s="308">
        <f t="shared" si="1139"/>
        <v>1.021490317260328E-2</v>
      </c>
      <c r="S218" s="308">
        <f t="shared" si="1139"/>
        <v>1.0189892388131342E-2</v>
      </c>
      <c r="T218" s="308">
        <f t="shared" si="1139"/>
        <v>1.0163194731274288E-2</v>
      </c>
      <c r="U218" s="308">
        <f t="shared" si="1139"/>
        <v>1.0137744962199303E-2</v>
      </c>
      <c r="V218" s="308">
        <f t="shared" si="1139"/>
        <v>1.0124447796988616E-2</v>
      </c>
      <c r="W218" s="308">
        <f t="shared" si="1139"/>
        <v>1.0110876244259159E-2</v>
      </c>
      <c r="X218" s="308">
        <f t="shared" si="1139"/>
        <v>1.0102187914147819E-2</v>
      </c>
      <c r="Y218" s="308">
        <f t="shared" si="1139"/>
        <v>1.008861321244817E-2</v>
      </c>
      <c r="Z218" s="308">
        <f t="shared" si="1139"/>
        <v>1.3124421126798465E-2</v>
      </c>
      <c r="AA218" s="308">
        <f t="shared" si="1139"/>
        <v>1.6648888945005803E-2</v>
      </c>
      <c r="AB218" s="308">
        <f t="shared" si="1139"/>
        <v>2.0642437058277913E-2</v>
      </c>
      <c r="AC218" s="308">
        <f t="shared" si="1139"/>
        <v>2.482894274165107E-2</v>
      </c>
      <c r="AD218" s="308">
        <f t="shared" si="1139"/>
        <v>3.1143034676845913E-2</v>
      </c>
      <c r="AE218" s="308">
        <f t="shared" si="1139"/>
        <v>3.8056337675575327E-2</v>
      </c>
      <c r="AF218" s="308">
        <f t="shared" si="1139"/>
        <v>4.3610202902167279E-2</v>
      </c>
      <c r="AG218" s="308">
        <f t="shared" si="1139"/>
        <v>5.0418764970106222E-2</v>
      </c>
      <c r="AH218" s="308">
        <f t="shared" si="1139"/>
        <v>6.8706317323580915E-2</v>
      </c>
      <c r="AI218" s="308">
        <f t="shared" si="1139"/>
        <v>8.9310340449036255E-2</v>
      </c>
      <c r="AJ218" s="308">
        <f t="shared" si="1139"/>
        <v>0.10527064828427107</v>
      </c>
      <c r="AK218" s="308">
        <f t="shared" si="1139"/>
        <v>0.12438280644585574</v>
      </c>
      <c r="AL218" s="308">
        <f t="shared" si="1139"/>
        <v>0.13935095209408871</v>
      </c>
      <c r="AM218" s="308">
        <f t="shared" si="1139"/>
        <v>0.15645642359492065</v>
      </c>
      <c r="AN218" s="308">
        <f t="shared" si="1139"/>
        <v>0.1698863647492167</v>
      </c>
      <c r="AO218" s="308">
        <f t="shared" si="1139"/>
        <v>0.18617530907994073</v>
      </c>
      <c r="AP218" s="308">
        <f t="shared" si="1139"/>
        <v>0.19523721845439845</v>
      </c>
      <c r="AQ218" s="308">
        <f t="shared" si="1139"/>
        <v>0.20572227819882644</v>
      </c>
      <c r="AR218" s="308">
        <f t="shared" si="1139"/>
        <v>0.21405287305965948</v>
      </c>
      <c r="AS218" s="308">
        <f t="shared" si="1139"/>
        <v>0.22427295705758737</v>
      </c>
      <c r="AT218" s="308">
        <f t="shared" si="1139"/>
        <v>0.22990675677396813</v>
      </c>
      <c r="AU218" s="308">
        <f t="shared" si="1139"/>
        <v>0.23650049139875404</v>
      </c>
      <c r="AV218" s="308">
        <f t="shared" si="1139"/>
        <v>0.2417979247766297</v>
      </c>
      <c r="AW218" s="308">
        <f t="shared" si="1139"/>
        <v>0.24836744011550282</v>
      </c>
      <c r="AY218" s="308">
        <f t="shared" ref="AY218:CD218" si="1140">AY212/AY$209</f>
        <v>1.0526315789473682E-2</v>
      </c>
      <c r="AZ218" s="308">
        <f t="shared" si="1140"/>
        <v>1.0498206887932952E-2</v>
      </c>
      <c r="BA218" s="308">
        <f t="shared" si="1140"/>
        <v>1.0436342564933487E-2</v>
      </c>
      <c r="BB218" s="308">
        <f t="shared" si="1140"/>
        <v>1.04244453236519E-2</v>
      </c>
      <c r="BC218" s="308">
        <f t="shared" si="1140"/>
        <v>1.0384681104859367E-2</v>
      </c>
      <c r="BD218" s="308">
        <f t="shared" si="1140"/>
        <v>1.0340452596253989E-2</v>
      </c>
      <c r="BE218" s="308">
        <f t="shared" si="1140"/>
        <v>1.0337170416417607E-2</v>
      </c>
      <c r="BF218" s="308">
        <f t="shared" si="1140"/>
        <v>1.0319848451944367E-2</v>
      </c>
      <c r="BG218" s="308">
        <f t="shared" si="1140"/>
        <v>1.0292815930034163E-2</v>
      </c>
      <c r="BH218" s="308">
        <f t="shared" si="1140"/>
        <v>1.0283698194252408E-2</v>
      </c>
      <c r="BI218" s="308">
        <f t="shared" si="1140"/>
        <v>1.0266438852501947E-2</v>
      </c>
      <c r="BJ218" s="308">
        <f t="shared" si="1140"/>
        <v>1.0246298881326291E-2</v>
      </c>
      <c r="BK218" s="308">
        <f t="shared" si="1140"/>
        <v>1.0241182785673252E-2</v>
      </c>
      <c r="BL218" s="308">
        <f t="shared" si="1140"/>
        <v>1.023728311698853E-2</v>
      </c>
      <c r="BM218" s="308">
        <f t="shared" si="1140"/>
        <v>1.0214903172603283E-2</v>
      </c>
      <c r="BN218" s="308">
        <f t="shared" si="1140"/>
        <v>1.0211137960666613E-2</v>
      </c>
      <c r="BO218" s="308">
        <f t="shared" si="1140"/>
        <v>1.0202245479383752E-2</v>
      </c>
      <c r="BP218" s="308">
        <f t="shared" si="1140"/>
        <v>1.0189892388131342E-2</v>
      </c>
      <c r="BQ218" s="308">
        <f t="shared" si="1140"/>
        <v>1.0186223597793292E-2</v>
      </c>
      <c r="BR218" s="308">
        <f t="shared" si="1140"/>
        <v>1.0179188120670427E-2</v>
      </c>
      <c r="BS218" s="308">
        <f t="shared" si="1140"/>
        <v>1.0163194731274286E-2</v>
      </c>
      <c r="BT218" s="308">
        <f t="shared" si="1140"/>
        <v>1.016168116249839E-2</v>
      </c>
      <c r="BU218" s="308">
        <f t="shared" si="1140"/>
        <v>1.0149336858622095E-2</v>
      </c>
      <c r="BV218" s="308">
        <f t="shared" si="1140"/>
        <v>1.0137744962199303E-2</v>
      </c>
      <c r="BW218" s="308">
        <f t="shared" si="1140"/>
        <v>1.0135629382815576E-2</v>
      </c>
      <c r="BX218" s="308">
        <f t="shared" si="1140"/>
        <v>1.0131514446776487E-2</v>
      </c>
      <c r="BY218" s="308">
        <f t="shared" si="1140"/>
        <v>1.0124447796988617E-2</v>
      </c>
      <c r="BZ218" s="308">
        <f t="shared" si="1140"/>
        <v>1.0122329215629562E-2</v>
      </c>
      <c r="CA218" s="308">
        <f t="shared" si="1140"/>
        <v>1.0117847145240517E-2</v>
      </c>
      <c r="CB218" s="308">
        <f t="shared" si="1140"/>
        <v>1.0110876244259158E-2</v>
      </c>
      <c r="CC218" s="308">
        <f t="shared" si="1140"/>
        <v>1.0110274674220682E-2</v>
      </c>
      <c r="CD218" s="308">
        <f t="shared" si="1140"/>
        <v>1.010611580174928E-2</v>
      </c>
      <c r="CE218" s="308">
        <f t="shared" ref="CE218:DJ218" si="1141">CE212/CE$209</f>
        <v>1.0102187914147817E-2</v>
      </c>
      <c r="CF218" s="308">
        <f t="shared" si="1141"/>
        <v>1.0100541325417819E-2</v>
      </c>
      <c r="CG218" s="308">
        <f t="shared" si="1141"/>
        <v>1.0095341766739032E-2</v>
      </c>
      <c r="CH218" s="308">
        <f t="shared" si="1141"/>
        <v>1.0088613212448172E-2</v>
      </c>
      <c r="CI218" s="308">
        <f t="shared" si="1141"/>
        <v>1.0406109029525004E-2</v>
      </c>
      <c r="CJ218" s="308">
        <f t="shared" si="1141"/>
        <v>1.1330086310991626E-2</v>
      </c>
      <c r="CK218" s="308">
        <f t="shared" si="1141"/>
        <v>1.3124421126798461E-2</v>
      </c>
      <c r="CL218" s="308">
        <f t="shared" si="1141"/>
        <v>1.4083447151457608E-2</v>
      </c>
      <c r="CM218" s="308">
        <f t="shared" si="1141"/>
        <v>1.5342898845381668E-2</v>
      </c>
      <c r="CN218" s="308">
        <f t="shared" si="1141"/>
        <v>1.6648888945005803E-2</v>
      </c>
      <c r="CO218" s="308">
        <f t="shared" si="1141"/>
        <v>1.7330661956307551E-2</v>
      </c>
      <c r="CP218" s="308">
        <f t="shared" si="1141"/>
        <v>1.8792354769764003E-2</v>
      </c>
      <c r="CQ218" s="308">
        <f t="shared" si="1141"/>
        <v>2.0642437058277913E-2</v>
      </c>
      <c r="CR218" s="308">
        <f t="shared" si="1141"/>
        <v>2.1137564646751549E-2</v>
      </c>
      <c r="CS218" s="308">
        <f t="shared" si="1141"/>
        <v>2.2938760667808727E-2</v>
      </c>
      <c r="CT218" s="308">
        <f t="shared" si="1141"/>
        <v>2.482894274165107E-2</v>
      </c>
      <c r="CU218" s="308">
        <f t="shared" si="1141"/>
        <v>2.5728983159973861E-2</v>
      </c>
      <c r="CV218" s="308">
        <f t="shared" si="1141"/>
        <v>2.7634025533616251E-2</v>
      </c>
      <c r="CW218" s="308">
        <f t="shared" si="1141"/>
        <v>3.1143034676845906E-2</v>
      </c>
      <c r="CX218" s="308">
        <f t="shared" si="1141"/>
        <v>3.2467327978227774E-2</v>
      </c>
      <c r="CY218" s="308">
        <f t="shared" si="1141"/>
        <v>3.4883392712987758E-2</v>
      </c>
      <c r="CZ218" s="308">
        <f t="shared" si="1141"/>
        <v>3.8056337675575327E-2</v>
      </c>
      <c r="DA218" s="308">
        <f t="shared" si="1141"/>
        <v>3.9102645651979948E-2</v>
      </c>
      <c r="DB218" s="308">
        <f t="shared" si="1141"/>
        <v>4.0825742574540115E-2</v>
      </c>
      <c r="DC218" s="308">
        <f t="shared" si="1141"/>
        <v>4.3610202902167286E-2</v>
      </c>
      <c r="DD218" s="308">
        <f t="shared" si="1141"/>
        <v>4.4757923917810818E-2</v>
      </c>
      <c r="DE218" s="308">
        <f t="shared" si="1141"/>
        <v>4.7566015621498405E-2</v>
      </c>
      <c r="DF218" s="308">
        <f t="shared" si="1141"/>
        <v>5.0418764970106236E-2</v>
      </c>
      <c r="DG218" s="308">
        <f t="shared" si="1141"/>
        <v>5.3128835907300581E-2</v>
      </c>
      <c r="DH218" s="308">
        <f t="shared" si="1141"/>
        <v>5.8651447732013605E-2</v>
      </c>
      <c r="DI218" s="308">
        <f t="shared" si="1141"/>
        <v>6.8706317323580915E-2</v>
      </c>
      <c r="DJ218" s="308">
        <f t="shared" si="1141"/>
        <v>7.2807068523503465E-2</v>
      </c>
      <c r="DK218" s="308">
        <f t="shared" ref="DK218:EP218" si="1142">DK212/DK$209</f>
        <v>7.9982483615500866E-2</v>
      </c>
      <c r="DL218" s="308">
        <f t="shared" si="1142"/>
        <v>8.9310340449036282E-2</v>
      </c>
      <c r="DM218" s="308">
        <f t="shared" si="1142"/>
        <v>9.2298461167100873E-2</v>
      </c>
      <c r="DN218" s="308">
        <f t="shared" si="1142"/>
        <v>9.7237275170845378E-2</v>
      </c>
      <c r="DO218" s="308">
        <f t="shared" si="1142"/>
        <v>0.10527064828427107</v>
      </c>
      <c r="DP218" s="308">
        <f t="shared" si="1142"/>
        <v>0.10826521007099087</v>
      </c>
      <c r="DQ218" s="308">
        <f t="shared" si="1142"/>
        <v>0.1161908538494287</v>
      </c>
      <c r="DR218" s="308">
        <f t="shared" si="1142"/>
        <v>0.12438280644585574</v>
      </c>
      <c r="DS218" s="308">
        <f t="shared" si="1142"/>
        <v>0.12658848504231468</v>
      </c>
      <c r="DT218" s="308">
        <f t="shared" si="1142"/>
        <v>0.13109661146463414</v>
      </c>
      <c r="DU218" s="308">
        <f t="shared" si="1142"/>
        <v>0.13935095209408871</v>
      </c>
      <c r="DV218" s="308">
        <f t="shared" si="1142"/>
        <v>0.14273388388885991</v>
      </c>
      <c r="DW218" s="308">
        <f t="shared" si="1142"/>
        <v>0.14868015405225571</v>
      </c>
      <c r="DX218" s="308">
        <f t="shared" si="1142"/>
        <v>0.15645642359492065</v>
      </c>
      <c r="DY218" s="308">
        <f t="shared" si="1142"/>
        <v>0.15895670542980375</v>
      </c>
      <c r="DZ218" s="308">
        <f t="shared" si="1142"/>
        <v>0.16310514567820633</v>
      </c>
      <c r="EA218" s="308">
        <f t="shared" si="1142"/>
        <v>0.1698863647492167</v>
      </c>
      <c r="EB218" s="308">
        <f t="shared" si="1142"/>
        <v>0.17242188599476016</v>
      </c>
      <c r="EC218" s="308">
        <f t="shared" si="1142"/>
        <v>0.17916320036678679</v>
      </c>
      <c r="ED218" s="308">
        <f t="shared" si="1142"/>
        <v>0.18617530907994073</v>
      </c>
      <c r="EE218" s="308">
        <f t="shared" si="1142"/>
        <v>0.18750414124909878</v>
      </c>
      <c r="EF218" s="308">
        <f t="shared" si="1142"/>
        <v>0.19022707297702254</v>
      </c>
      <c r="EG218" s="308">
        <f t="shared" si="1142"/>
        <v>0.19523721845439845</v>
      </c>
      <c r="EH218" s="308">
        <f t="shared" si="1142"/>
        <v>0.1972992487434484</v>
      </c>
      <c r="EI218" s="308">
        <f t="shared" si="1142"/>
        <v>0.20093829605590785</v>
      </c>
      <c r="EJ218" s="308">
        <f t="shared" si="1142"/>
        <v>0.20572227819882644</v>
      </c>
      <c r="EK218" s="308">
        <f t="shared" si="1142"/>
        <v>0.20726533551446272</v>
      </c>
      <c r="EL218" s="308">
        <f t="shared" si="1142"/>
        <v>0.20983454181473976</v>
      </c>
      <c r="EM218" s="308">
        <f t="shared" si="1142"/>
        <v>0.21405287305965948</v>
      </c>
      <c r="EN218" s="308">
        <f t="shared" si="1142"/>
        <v>0.21563426946156694</v>
      </c>
      <c r="EO218" s="308">
        <f t="shared" si="1142"/>
        <v>0.21985618553139871</v>
      </c>
      <c r="EP218" s="308">
        <f t="shared" si="1142"/>
        <v>0.22427295705758737</v>
      </c>
      <c r="EQ218" s="308">
        <f t="shared" ref="EQ218:FB218" si="1143">EQ212/EQ$209</f>
        <v>0.22509538853254424</v>
      </c>
      <c r="ER218" s="308">
        <f t="shared" si="1143"/>
        <v>0.22678460393908237</v>
      </c>
      <c r="ES218" s="308">
        <f t="shared" si="1143"/>
        <v>0.22990675677396818</v>
      </c>
      <c r="ET218" s="308">
        <f t="shared" si="1143"/>
        <v>0.23119673333464322</v>
      </c>
      <c r="EU218" s="308">
        <f t="shared" si="1143"/>
        <v>0.23348180482048805</v>
      </c>
      <c r="EV218" s="308">
        <f t="shared" si="1143"/>
        <v>0.23650049139875409</v>
      </c>
      <c r="EW218" s="308">
        <f t="shared" si="1143"/>
        <v>0.23747699423076227</v>
      </c>
      <c r="EX218" s="308">
        <f t="shared" si="1143"/>
        <v>0.23910830968428187</v>
      </c>
      <c r="EY218" s="308">
        <f t="shared" si="1143"/>
        <v>0.2417979247766297</v>
      </c>
      <c r="EZ218" s="308">
        <f t="shared" si="1143"/>
        <v>0.24280868005887785</v>
      </c>
      <c r="FA218" s="308">
        <f t="shared" si="1143"/>
        <v>0.24551776453338939</v>
      </c>
      <c r="FB218" s="308">
        <f t="shared" si="1143"/>
        <v>0.24836744011550271</v>
      </c>
    </row>
    <row r="219" spans="1:158" x14ac:dyDescent="0.25">
      <c r="A219" s="334">
        <v>0.02</v>
      </c>
      <c r="C219" s="2" t="s">
        <v>300</v>
      </c>
      <c r="D219" s="308">
        <f t="shared" si="1122"/>
        <v>2.0492597762652581E-2</v>
      </c>
      <c r="E219" s="308">
        <f t="shared" si="1122"/>
        <v>2.0275489924398607E-2</v>
      </c>
      <c r="F219" s="308">
        <f t="shared" si="1122"/>
        <v>2.0177226424896343E-2</v>
      </c>
      <c r="G219" s="308">
        <f t="shared" si="1122"/>
        <v>3.612904814670486E-2</v>
      </c>
      <c r="H219" s="308">
        <f t="shared" si="1122"/>
        <v>4.2392532669742966E-2</v>
      </c>
      <c r="I219" s="308">
        <f t="shared" si="1122"/>
        <v>4.5982901034051761E-2</v>
      </c>
      <c r="J219" s="308">
        <f t="shared" si="1122"/>
        <v>4.8128439048499588E-2</v>
      </c>
      <c r="K219" s="308">
        <f t="shared" si="1122"/>
        <v>4.9451252472664159E-2</v>
      </c>
      <c r="L219" s="308">
        <f t="shared" si="1123"/>
        <v>5.028785282279645E-2</v>
      </c>
      <c r="M219" s="244"/>
      <c r="N219" s="308">
        <f t="shared" ref="N219:AW219" si="1144">N213/N$209</f>
        <v>2.0872685129866973E-2</v>
      </c>
      <c r="O219" s="308">
        <f t="shared" si="1144"/>
        <v>2.0680905192507978E-2</v>
      </c>
      <c r="P219" s="308">
        <f t="shared" si="1144"/>
        <v>2.0585631860068326E-2</v>
      </c>
      <c r="Q219" s="308">
        <f t="shared" si="1144"/>
        <v>2.0492597762652585E-2</v>
      </c>
      <c r="R219" s="308">
        <f t="shared" si="1144"/>
        <v>2.042980634520656E-2</v>
      </c>
      <c r="S219" s="308">
        <f t="shared" si="1144"/>
        <v>2.0379784776262684E-2</v>
      </c>
      <c r="T219" s="308">
        <f t="shared" si="1144"/>
        <v>2.0326389462548576E-2</v>
      </c>
      <c r="U219" s="308">
        <f t="shared" si="1144"/>
        <v>2.0275489924398607E-2</v>
      </c>
      <c r="V219" s="308">
        <f t="shared" si="1144"/>
        <v>2.0248895593977231E-2</v>
      </c>
      <c r="W219" s="308">
        <f t="shared" si="1144"/>
        <v>2.0221752488518319E-2</v>
      </c>
      <c r="X219" s="308">
        <f t="shared" si="1144"/>
        <v>2.0204375828295637E-2</v>
      </c>
      <c r="Y219" s="308">
        <f t="shared" si="1144"/>
        <v>2.017722642489634E-2</v>
      </c>
      <c r="Z219" s="308">
        <f t="shared" si="1144"/>
        <v>2.3462544201234406E-2</v>
      </c>
      <c r="AA219" s="308">
        <f t="shared" si="1144"/>
        <v>2.7276684325368738E-2</v>
      </c>
      <c r="AB219" s="308">
        <f t="shared" si="1144"/>
        <v>3.1598457961037676E-2</v>
      </c>
      <c r="AC219" s="308">
        <f t="shared" si="1144"/>
        <v>3.6129048146704854E-2</v>
      </c>
      <c r="AD219" s="308">
        <f t="shared" si="1144"/>
        <v>3.7674514807632113E-2</v>
      </c>
      <c r="AE219" s="308">
        <f t="shared" si="1144"/>
        <v>3.9366647169828226E-2</v>
      </c>
      <c r="AF219" s="308">
        <f t="shared" si="1144"/>
        <v>4.0726037187439071E-2</v>
      </c>
      <c r="AG219" s="308">
        <f t="shared" si="1144"/>
        <v>4.2392532669742945E-2</v>
      </c>
      <c r="AH219" s="308">
        <f t="shared" si="1144"/>
        <v>4.328024848570583E-2</v>
      </c>
      <c r="AI219" s="308">
        <f t="shared" si="1144"/>
        <v>4.4280410609504543E-2</v>
      </c>
      <c r="AJ219" s="308">
        <f t="shared" si="1144"/>
        <v>4.5055157137586642E-2</v>
      </c>
      <c r="AK219" s="308">
        <f t="shared" si="1144"/>
        <v>4.5982901034051761E-2</v>
      </c>
      <c r="AL219" s="308">
        <f t="shared" si="1144"/>
        <v>4.6502619836901501E-2</v>
      </c>
      <c r="AM219" s="308">
        <f t="shared" si="1144"/>
        <v>4.7096550132578574E-2</v>
      </c>
      <c r="AN219" s="308">
        <f t="shared" si="1144"/>
        <v>4.7562859928266393E-2</v>
      </c>
      <c r="AO219" s="308">
        <f t="shared" si="1144"/>
        <v>4.8128439048499595E-2</v>
      </c>
      <c r="AP219" s="308">
        <f t="shared" si="1144"/>
        <v>4.844308354771195E-2</v>
      </c>
      <c r="AQ219" s="308">
        <f t="shared" si="1144"/>
        <v>4.88071421843825E-2</v>
      </c>
      <c r="AR219" s="308">
        <f t="shared" si="1144"/>
        <v>4.9096394232688793E-2</v>
      </c>
      <c r="AS219" s="308">
        <f t="shared" si="1144"/>
        <v>4.9451252472664166E-2</v>
      </c>
      <c r="AT219" s="308">
        <f t="shared" si="1144"/>
        <v>4.9646867327897623E-2</v>
      </c>
      <c r="AU219" s="308">
        <f t="shared" si="1144"/>
        <v>4.9875812712719375E-2</v>
      </c>
      <c r="AV219" s="308">
        <f t="shared" si="1144"/>
        <v>5.0059748371686634E-2</v>
      </c>
      <c r="AW219" s="308">
        <f t="shared" si="1144"/>
        <v>5.0287852822796464E-2</v>
      </c>
      <c r="AY219" s="308">
        <f t="shared" ref="AY219:CD219" si="1145">AY213/AY$209</f>
        <v>2.1052631578947364E-2</v>
      </c>
      <c r="AZ219" s="308">
        <f t="shared" si="1145"/>
        <v>2.0996413775865905E-2</v>
      </c>
      <c r="BA219" s="308">
        <f t="shared" si="1145"/>
        <v>2.0872685129866973E-2</v>
      </c>
      <c r="BB219" s="308">
        <f t="shared" si="1145"/>
        <v>2.0848890647303799E-2</v>
      </c>
      <c r="BC219" s="308">
        <f t="shared" si="1145"/>
        <v>2.0769362209718735E-2</v>
      </c>
      <c r="BD219" s="308">
        <f t="shared" si="1145"/>
        <v>2.0680905192507978E-2</v>
      </c>
      <c r="BE219" s="308">
        <f t="shared" si="1145"/>
        <v>2.0674340832835213E-2</v>
      </c>
      <c r="BF219" s="308">
        <f t="shared" si="1145"/>
        <v>2.0639696903888734E-2</v>
      </c>
      <c r="BG219" s="308">
        <f t="shared" si="1145"/>
        <v>2.0585631860068326E-2</v>
      </c>
      <c r="BH219" s="308">
        <f t="shared" si="1145"/>
        <v>2.0567396388504817E-2</v>
      </c>
      <c r="BI219" s="308">
        <f t="shared" si="1145"/>
        <v>2.0532877705003894E-2</v>
      </c>
      <c r="BJ219" s="308">
        <f t="shared" si="1145"/>
        <v>2.0492597762652581E-2</v>
      </c>
      <c r="BK219" s="308">
        <f t="shared" si="1145"/>
        <v>2.0482365571346504E-2</v>
      </c>
      <c r="BL219" s="308">
        <f t="shared" si="1145"/>
        <v>2.047456623397706E-2</v>
      </c>
      <c r="BM219" s="308">
        <f t="shared" si="1145"/>
        <v>2.0429806345206566E-2</v>
      </c>
      <c r="BN219" s="308">
        <f t="shared" si="1145"/>
        <v>2.0422275921333225E-2</v>
      </c>
      <c r="BO219" s="308">
        <f t="shared" si="1145"/>
        <v>2.0404490958767504E-2</v>
      </c>
      <c r="BP219" s="308">
        <f t="shared" si="1145"/>
        <v>2.0379784776262684E-2</v>
      </c>
      <c r="BQ219" s="308">
        <f t="shared" si="1145"/>
        <v>2.0372447195586584E-2</v>
      </c>
      <c r="BR219" s="308">
        <f t="shared" si="1145"/>
        <v>2.0358376241340854E-2</v>
      </c>
      <c r="BS219" s="308">
        <f t="shared" si="1145"/>
        <v>2.0326389462548573E-2</v>
      </c>
      <c r="BT219" s="308">
        <f t="shared" si="1145"/>
        <v>2.0323362324996781E-2</v>
      </c>
      <c r="BU219" s="308">
        <f t="shared" si="1145"/>
        <v>2.0298673717244191E-2</v>
      </c>
      <c r="BV219" s="308">
        <f t="shared" si="1145"/>
        <v>2.0275489924398607E-2</v>
      </c>
      <c r="BW219" s="308">
        <f t="shared" si="1145"/>
        <v>2.0271258765631153E-2</v>
      </c>
      <c r="BX219" s="308">
        <f t="shared" si="1145"/>
        <v>2.0263028893552974E-2</v>
      </c>
      <c r="BY219" s="308">
        <f t="shared" si="1145"/>
        <v>2.0248895593977235E-2</v>
      </c>
      <c r="BZ219" s="308">
        <f t="shared" si="1145"/>
        <v>2.0244658431259124E-2</v>
      </c>
      <c r="CA219" s="308">
        <f t="shared" si="1145"/>
        <v>2.0235694290481034E-2</v>
      </c>
      <c r="CB219" s="308">
        <f t="shared" si="1145"/>
        <v>2.0221752488518315E-2</v>
      </c>
      <c r="CC219" s="308">
        <f t="shared" si="1145"/>
        <v>2.0220549348441363E-2</v>
      </c>
      <c r="CD219" s="308">
        <f t="shared" si="1145"/>
        <v>2.0212231603498561E-2</v>
      </c>
      <c r="CE219" s="308">
        <f t="shared" ref="CE219:DJ219" si="1146">CE213/CE$209</f>
        <v>2.0204375828295634E-2</v>
      </c>
      <c r="CF219" s="308">
        <f t="shared" si="1146"/>
        <v>2.0201082650835638E-2</v>
      </c>
      <c r="CG219" s="308">
        <f t="shared" si="1146"/>
        <v>2.0190683533478065E-2</v>
      </c>
      <c r="CH219" s="308">
        <f t="shared" si="1146"/>
        <v>2.0177226424896343E-2</v>
      </c>
      <c r="CI219" s="308">
        <f t="shared" si="1146"/>
        <v>2.0520816889505408E-2</v>
      </c>
      <c r="CJ219" s="308">
        <f t="shared" si="1146"/>
        <v>2.1520734892678695E-2</v>
      </c>
      <c r="CK219" s="308">
        <f t="shared" si="1146"/>
        <v>2.3462544201234406E-2</v>
      </c>
      <c r="CL219" s="308">
        <f t="shared" si="1146"/>
        <v>2.4500391566968618E-2</v>
      </c>
      <c r="CM219" s="308">
        <f t="shared" si="1146"/>
        <v>2.5863356271991243E-2</v>
      </c>
      <c r="CN219" s="308">
        <f t="shared" si="1146"/>
        <v>2.7276684325368738E-2</v>
      </c>
      <c r="CO219" s="308">
        <f t="shared" si="1146"/>
        <v>2.8014491543957708E-2</v>
      </c>
      <c r="CP219" s="308">
        <f t="shared" si="1146"/>
        <v>2.9596319353581101E-2</v>
      </c>
      <c r="CQ219" s="308">
        <f t="shared" si="1146"/>
        <v>3.1598457961037683E-2</v>
      </c>
      <c r="CR219" s="308">
        <f t="shared" si="1146"/>
        <v>3.2134279565651937E-2</v>
      </c>
      <c r="CS219" s="308">
        <f t="shared" si="1146"/>
        <v>3.4083513994706709E-2</v>
      </c>
      <c r="CT219" s="308">
        <f t="shared" si="1146"/>
        <v>3.612904814670486E-2</v>
      </c>
      <c r="CU219" s="308">
        <f t="shared" si="1146"/>
        <v>3.6349346247252223E-2</v>
      </c>
      <c r="CV219" s="308">
        <f t="shared" si="1146"/>
        <v>3.6815633324845623E-2</v>
      </c>
      <c r="CW219" s="308">
        <f t="shared" si="1146"/>
        <v>3.7674514807632106E-2</v>
      </c>
      <c r="CX219" s="308">
        <f t="shared" si="1146"/>
        <v>3.799865502725211E-2</v>
      </c>
      <c r="CY219" s="308">
        <f t="shared" si="1146"/>
        <v>3.8590022327021772E-2</v>
      </c>
      <c r="CZ219" s="308">
        <f t="shared" si="1146"/>
        <v>3.9366647169828226E-2</v>
      </c>
      <c r="DA219" s="308">
        <f t="shared" si="1146"/>
        <v>3.9622746401703865E-2</v>
      </c>
      <c r="DB219" s="308">
        <f t="shared" si="1146"/>
        <v>4.0044499660081299E-2</v>
      </c>
      <c r="DC219" s="308">
        <f t="shared" si="1146"/>
        <v>4.0726037187439078E-2</v>
      </c>
      <c r="DD219" s="308">
        <f t="shared" si="1146"/>
        <v>4.1006958748912657E-2</v>
      </c>
      <c r="DE219" s="308">
        <f t="shared" si="1146"/>
        <v>4.1694280402353491E-2</v>
      </c>
      <c r="DF219" s="308">
        <f t="shared" si="1146"/>
        <v>4.2392532669742966E-2</v>
      </c>
      <c r="DG219" s="308">
        <f t="shared" si="1146"/>
        <v>4.2524085147998568E-2</v>
      </c>
      <c r="DH219" s="308">
        <f t="shared" si="1146"/>
        <v>4.279216420896103E-2</v>
      </c>
      <c r="DI219" s="308">
        <f t="shared" si="1146"/>
        <v>4.3280248485705837E-2</v>
      </c>
      <c r="DJ219" s="308">
        <f t="shared" si="1146"/>
        <v>4.3479307475511451E-2</v>
      </c>
      <c r="DK219" s="308">
        <f t="shared" ref="DK219:EP219" si="1147">DK213/DK$209</f>
        <v>4.3827617043689093E-2</v>
      </c>
      <c r="DL219" s="308">
        <f t="shared" si="1147"/>
        <v>4.428041060950455E-2</v>
      </c>
      <c r="DM219" s="308">
        <f t="shared" si="1147"/>
        <v>4.4425460202263657E-2</v>
      </c>
      <c r="DN219" s="308">
        <f t="shared" si="1147"/>
        <v>4.4665200503124079E-2</v>
      </c>
      <c r="DO219" s="308">
        <f t="shared" si="1147"/>
        <v>4.5055157137586642E-2</v>
      </c>
      <c r="DP219" s="308">
        <f t="shared" si="1147"/>
        <v>4.5200519393210972E-2</v>
      </c>
      <c r="DQ219" s="308">
        <f t="shared" si="1147"/>
        <v>4.5585246621755053E-2</v>
      </c>
      <c r="DR219" s="308">
        <f t="shared" si="1147"/>
        <v>4.5982901034051761E-2</v>
      </c>
      <c r="DS219" s="308">
        <f t="shared" si="1147"/>
        <v>4.6059485847332111E-2</v>
      </c>
      <c r="DT219" s="308">
        <f t="shared" si="1147"/>
        <v>4.6216015461779017E-2</v>
      </c>
      <c r="DU219" s="308">
        <f t="shared" si="1147"/>
        <v>4.6502619836901495E-2</v>
      </c>
      <c r="DV219" s="308">
        <f t="shared" si="1147"/>
        <v>4.6620080830655809E-2</v>
      </c>
      <c r="DW219" s="308">
        <f t="shared" si="1147"/>
        <v>4.6826545177233433E-2</v>
      </c>
      <c r="DX219" s="308">
        <f t="shared" si="1147"/>
        <v>4.7096550132578574E-2</v>
      </c>
      <c r="DY219" s="308">
        <f t="shared" si="1147"/>
        <v>4.7183364058134267E-2</v>
      </c>
      <c r="DZ219" s="308">
        <f t="shared" si="1147"/>
        <v>4.7327404773013865E-2</v>
      </c>
      <c r="EA219" s="308">
        <f t="shared" si="1147"/>
        <v>4.75628599282664E-2</v>
      </c>
      <c r="EB219" s="308">
        <f t="shared" si="1147"/>
        <v>4.7650897424513609E-2</v>
      </c>
      <c r="EC219" s="308">
        <f t="shared" si="1147"/>
        <v>4.7884967022538728E-2</v>
      </c>
      <c r="ED219" s="308">
        <f t="shared" si="1147"/>
        <v>4.8128439048499588E-2</v>
      </c>
      <c r="EE219" s="308">
        <f t="shared" si="1147"/>
        <v>4.8174578301842873E-2</v>
      </c>
      <c r="EF219" s="308">
        <f t="shared" si="1147"/>
        <v>4.8269123000373726E-2</v>
      </c>
      <c r="EG219" s="308">
        <f t="shared" si="1147"/>
        <v>4.844308354771195E-2</v>
      </c>
      <c r="EH219" s="308">
        <f t="shared" si="1147"/>
        <v>4.8514680653889988E-2</v>
      </c>
      <c r="EI219" s="308">
        <f t="shared" si="1147"/>
        <v>4.8641034402523389E-2</v>
      </c>
      <c r="EJ219" s="308">
        <f t="shared" si="1147"/>
        <v>4.88071421843825E-2</v>
      </c>
      <c r="EK219" s="308">
        <f t="shared" si="1147"/>
        <v>4.8860719689549657E-2</v>
      </c>
      <c r="EL219" s="308">
        <f t="shared" si="1147"/>
        <v>4.8949926786676728E-2</v>
      </c>
      <c r="EM219" s="308">
        <f t="shared" si="1147"/>
        <v>4.9096394232688793E-2</v>
      </c>
      <c r="EN219" s="308">
        <f t="shared" si="1147"/>
        <v>4.9151302934417475E-2</v>
      </c>
      <c r="EO219" s="308">
        <f t="shared" si="1147"/>
        <v>4.929789485148664E-2</v>
      </c>
      <c r="EP219" s="308">
        <f t="shared" si="1147"/>
        <v>4.9451252472664159E-2</v>
      </c>
      <c r="EQ219" s="308">
        <f t="shared" ref="EQ219:FB219" si="1148">EQ213/EQ$209</f>
        <v>4.9479808655349414E-2</v>
      </c>
      <c r="ER219" s="308">
        <f t="shared" si="1148"/>
        <v>4.953846101145773E-2</v>
      </c>
      <c r="ES219" s="308">
        <f t="shared" si="1148"/>
        <v>4.964686732789763E-2</v>
      </c>
      <c r="ET219" s="308">
        <f t="shared" si="1148"/>
        <v>4.9691657450172885E-2</v>
      </c>
      <c r="EU219" s="308">
        <f t="shared" si="1148"/>
        <v>4.9770998916040407E-2</v>
      </c>
      <c r="EV219" s="308">
        <f t="shared" si="1148"/>
        <v>4.9875812712719368E-2</v>
      </c>
      <c r="EW219" s="308">
        <f t="shared" si="1148"/>
        <v>4.990971850805017E-2</v>
      </c>
      <c r="EX219" s="308">
        <f t="shared" si="1148"/>
        <v>4.9966360481912414E-2</v>
      </c>
      <c r="EY219" s="308">
        <f t="shared" si="1148"/>
        <v>5.0059748371686634E-2</v>
      </c>
      <c r="EZ219" s="308">
        <f t="shared" si="1148"/>
        <v>5.0094843468808839E-2</v>
      </c>
      <c r="FA219" s="308">
        <f t="shared" si="1148"/>
        <v>5.0188907367771374E-2</v>
      </c>
      <c r="FB219" s="308">
        <f t="shared" si="1148"/>
        <v>5.028785282279645E-2</v>
      </c>
    </row>
    <row r="221" spans="1:158" x14ac:dyDescent="0.25">
      <c r="C221" s="3" t="s">
        <v>650</v>
      </c>
      <c r="D221" s="327"/>
      <c r="E221" s="327"/>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c r="BE221" s="4"/>
      <c r="BF221" s="4"/>
      <c r="BG221" s="4"/>
      <c r="BH221" s="4"/>
      <c r="BI221" s="4"/>
      <c r="BJ221" s="4"/>
      <c r="BK221" s="4"/>
      <c r="BL221" s="4"/>
      <c r="BM221" s="4"/>
      <c r="BN221" s="4"/>
      <c r="BO221" s="4"/>
      <c r="BP221" s="4"/>
      <c r="BQ221" s="4"/>
      <c r="BR221" s="4"/>
      <c r="BS221" s="4"/>
      <c r="BT221" s="4"/>
      <c r="BU221" s="4"/>
      <c r="BV221" s="4"/>
      <c r="BW221" s="4"/>
      <c r="BX221" s="4"/>
      <c r="BY221" s="4"/>
      <c r="BZ221" s="4"/>
      <c r="CA221" s="4"/>
      <c r="CB221" s="4"/>
      <c r="CC221" s="4"/>
      <c r="CD221" s="4"/>
      <c r="CE221" s="4"/>
      <c r="CF221" s="4"/>
      <c r="CG221" s="4"/>
      <c r="CH221" s="4"/>
      <c r="CI221" s="4"/>
      <c r="CJ221" s="4"/>
      <c r="CK221" s="4"/>
      <c r="CL221" s="4"/>
      <c r="CM221" s="4"/>
      <c r="CN221" s="4"/>
      <c r="CO221" s="4"/>
      <c r="CP221" s="4"/>
      <c r="CQ221" s="4"/>
      <c r="CR221" s="4"/>
      <c r="CS221" s="4"/>
      <c r="CT221" s="4"/>
      <c r="CU221" s="4"/>
      <c r="CV221" s="4"/>
      <c r="CW221" s="4"/>
      <c r="CX221" s="4"/>
      <c r="CY221" s="4"/>
      <c r="CZ221" s="4"/>
      <c r="DA221" s="4"/>
      <c r="DB221" s="4"/>
      <c r="DC221" s="4"/>
      <c r="DD221" s="4"/>
      <c r="DE221" s="4"/>
      <c r="DF221" s="4"/>
      <c r="DG221" s="4"/>
      <c r="DH221" s="4"/>
      <c r="DI221" s="4"/>
      <c r="DJ221" s="4"/>
      <c r="DK221" s="4"/>
      <c r="DL221" s="4"/>
      <c r="DM221" s="4"/>
      <c r="DN221" s="4"/>
      <c r="DO221" s="4"/>
      <c r="DP221" s="4"/>
      <c r="DQ221" s="4"/>
      <c r="DR221" s="4"/>
      <c r="DS221" s="4"/>
      <c r="DT221" s="4"/>
      <c r="DU221" s="4"/>
      <c r="DV221" s="4"/>
      <c r="DW221" s="4"/>
      <c r="DX221" s="4"/>
      <c r="DY221" s="4"/>
      <c r="DZ221" s="4"/>
      <c r="EA221" s="4"/>
      <c r="EB221" s="4"/>
      <c r="EC221" s="4"/>
      <c r="ED221" s="4"/>
      <c r="EE221" s="4"/>
      <c r="EF221" s="4"/>
      <c r="EG221" s="4"/>
      <c r="EH221" s="4"/>
      <c r="EI221" s="4"/>
      <c r="EJ221" s="4"/>
      <c r="EK221" s="4"/>
      <c r="EL221" s="4"/>
      <c r="EM221" s="4"/>
      <c r="EN221" s="4"/>
      <c r="EO221" s="4"/>
      <c r="EP221" s="4"/>
      <c r="EQ221" s="4"/>
      <c r="ER221" s="4"/>
      <c r="ES221" s="4"/>
      <c r="ET221" s="4"/>
      <c r="EU221" s="4"/>
      <c r="EV221" s="4"/>
      <c r="EW221" s="4"/>
      <c r="EX221" s="4"/>
      <c r="EY221" s="4"/>
      <c r="EZ221" s="4"/>
      <c r="FA221" s="4"/>
      <c r="FB221" s="4"/>
    </row>
    <row r="223" spans="1:158" x14ac:dyDescent="0.25">
      <c r="C223" s="304" t="s">
        <v>640</v>
      </c>
    </row>
    <row r="224" spans="1:158" x14ac:dyDescent="0.25">
      <c r="C224" s="2" t="s">
        <v>346</v>
      </c>
      <c r="D224" s="349">
        <f t="shared" ref="D224" si="1149">1-SUM(D225:D227)</f>
        <v>0.95</v>
      </c>
      <c r="E224" s="349">
        <f t="shared" ref="E224" si="1150">1-SUM(E225:E227)</f>
        <v>0.95</v>
      </c>
      <c r="F224" s="349">
        <f t="shared" ref="F224" si="1151">1-SUM(F225:F227)</f>
        <v>0.95</v>
      </c>
      <c r="G224" s="349">
        <f t="shared" ref="G224" si="1152">1-SUM(G225:G227)</f>
        <v>0.87028862344486368</v>
      </c>
      <c r="H224" s="349">
        <f t="shared" ref="H224" si="1153">1-SUM(H225:H227)</f>
        <v>0.81291937919900004</v>
      </c>
      <c r="I224" s="349">
        <f>1-SUM(I225:I227)</f>
        <v>0.52291937919900011</v>
      </c>
      <c r="J224" s="349">
        <f t="shared" ref="J224" si="1154">1-SUM(J225:J227)</f>
        <v>0.32291937919900005</v>
      </c>
      <c r="K224" s="349">
        <f t="shared" ref="K224" si="1155">1-SUM(K225:K227)</f>
        <v>0.22291937919900007</v>
      </c>
      <c r="L224" s="349">
        <f t="shared" ref="L224" si="1156">1-SUM(L225:L227)</f>
        <v>0.51250976511640023</v>
      </c>
      <c r="N224" s="260">
        <f>N248/N$247</f>
        <v>0.95000000000000018</v>
      </c>
      <c r="O224" s="260">
        <f t="shared" ref="O224:AW224" si="1157">O248/O$99</f>
        <v>0.79342149510623639</v>
      </c>
      <c r="P224" s="260">
        <f t="shared" si="1157"/>
        <v>0.39015871387148104</v>
      </c>
      <c r="Q224" s="260">
        <f t="shared" si="1157"/>
        <v>0.53806631232331359</v>
      </c>
      <c r="R224" s="260">
        <f t="shared" si="1157"/>
        <v>0.29588375522394778</v>
      </c>
      <c r="S224" s="260">
        <f t="shared" si="1157"/>
        <v>0.37954679548541009</v>
      </c>
      <c r="T224" s="260">
        <f t="shared" si="1157"/>
        <v>0.37393114828557367</v>
      </c>
      <c r="U224" s="260">
        <f t="shared" si="1157"/>
        <v>0.29270406837649565</v>
      </c>
      <c r="V224" s="260">
        <f t="shared" si="1157"/>
        <v>0.20942009080389737</v>
      </c>
      <c r="W224" s="260">
        <f t="shared" si="1157"/>
        <v>0.22615636451357049</v>
      </c>
      <c r="X224" s="260">
        <f t="shared" si="1157"/>
        <v>0.52454701184615715</v>
      </c>
      <c r="Y224" s="260">
        <f t="shared" si="1157"/>
        <v>0.15139981887250403</v>
      </c>
      <c r="Z224" s="260">
        <f t="shared" si="1157"/>
        <v>0.47192563092060713</v>
      </c>
      <c r="AA224" s="260">
        <f t="shared" si="1157"/>
        <v>0.30614714314168762</v>
      </c>
      <c r="AB224" s="260">
        <f t="shared" si="1157"/>
        <v>0.26383106591983674</v>
      </c>
      <c r="AC224" s="260">
        <f t="shared" si="1157"/>
        <v>0.25733301925501584</v>
      </c>
      <c r="AD224" s="260">
        <f t="shared" si="1157"/>
        <v>0.29364890872942412</v>
      </c>
      <c r="AE224" s="260">
        <f t="shared" si="1157"/>
        <v>0.29364890872942417</v>
      </c>
      <c r="AF224" s="260">
        <f t="shared" si="1157"/>
        <v>0.29364890872942417</v>
      </c>
      <c r="AG224" s="260">
        <f t="shared" si="1157"/>
        <v>0.29364890872942417</v>
      </c>
      <c r="AH224" s="260">
        <f t="shared" si="1157"/>
        <v>0.20748570670454164</v>
      </c>
      <c r="AI224" s="260">
        <f t="shared" si="1157"/>
        <v>0.20748570670454164</v>
      </c>
      <c r="AJ224" s="260">
        <f t="shared" si="1157"/>
        <v>0.20748570670454161</v>
      </c>
      <c r="AK224" s="260">
        <f t="shared" si="1157"/>
        <v>0.20748570670454164</v>
      </c>
      <c r="AL224" s="260">
        <f t="shared" si="1157"/>
        <v>0.13871338849864362</v>
      </c>
      <c r="AM224" s="260">
        <f t="shared" si="1157"/>
        <v>0.13871338849864362</v>
      </c>
      <c r="AN224" s="260">
        <f t="shared" si="1157"/>
        <v>0.13871338849864362</v>
      </c>
      <c r="AO224" s="260">
        <f t="shared" si="1157"/>
        <v>0.13871338849864365</v>
      </c>
      <c r="AP224" s="260">
        <f t="shared" si="1157"/>
        <v>0.10938691032492698</v>
      </c>
      <c r="AQ224" s="260">
        <f t="shared" si="1157"/>
        <v>0.10938691032492696</v>
      </c>
      <c r="AR224" s="260">
        <f t="shared" si="1157"/>
        <v>0.10938691032492698</v>
      </c>
      <c r="AS224" s="260">
        <f t="shared" si="1157"/>
        <v>0.10938691032492696</v>
      </c>
      <c r="AT224" s="260">
        <f t="shared" si="1157"/>
        <v>0.3073517952682232</v>
      </c>
      <c r="AU224" s="260">
        <f t="shared" si="1157"/>
        <v>0.3073517952682232</v>
      </c>
      <c r="AV224" s="260">
        <f t="shared" si="1157"/>
        <v>0.30735179526822326</v>
      </c>
      <c r="AW224" s="260">
        <f t="shared" si="1157"/>
        <v>0.30735179526822326</v>
      </c>
      <c r="AY224" s="260">
        <f t="shared" ref="AY224:DJ224" si="1158">1-SUM(AY225:AY227)</f>
        <v>0.95</v>
      </c>
      <c r="AZ224" s="260">
        <f t="shared" si="1158"/>
        <v>0.95</v>
      </c>
      <c r="BA224" s="260">
        <f t="shared" si="1158"/>
        <v>0.95</v>
      </c>
      <c r="BB224" s="260">
        <f t="shared" si="1158"/>
        <v>0.95</v>
      </c>
      <c r="BC224" s="260">
        <f t="shared" si="1158"/>
        <v>0.95</v>
      </c>
      <c r="BD224" s="260">
        <f t="shared" si="1158"/>
        <v>0.95</v>
      </c>
      <c r="BE224" s="260">
        <f t="shared" si="1158"/>
        <v>0.95</v>
      </c>
      <c r="BF224" s="260">
        <f t="shared" si="1158"/>
        <v>0.95</v>
      </c>
      <c r="BG224" s="260">
        <f t="shared" si="1158"/>
        <v>0.95</v>
      </c>
      <c r="BH224" s="260">
        <f t="shared" si="1158"/>
        <v>0.95</v>
      </c>
      <c r="BI224" s="260">
        <f t="shared" si="1158"/>
        <v>0.95</v>
      </c>
      <c r="BJ224" s="260">
        <f t="shared" si="1158"/>
        <v>0.95</v>
      </c>
      <c r="BK224" s="260">
        <f t="shared" si="1158"/>
        <v>0.95</v>
      </c>
      <c r="BL224" s="260">
        <f t="shared" si="1158"/>
        <v>0.95</v>
      </c>
      <c r="BM224" s="260">
        <f t="shared" si="1158"/>
        <v>0.95</v>
      </c>
      <c r="BN224" s="260">
        <f t="shared" si="1158"/>
        <v>0.95</v>
      </c>
      <c r="BO224" s="260">
        <f t="shared" si="1158"/>
        <v>0.95</v>
      </c>
      <c r="BP224" s="260">
        <f t="shared" si="1158"/>
        <v>0.95</v>
      </c>
      <c r="BQ224" s="260">
        <f t="shared" si="1158"/>
        <v>0.95</v>
      </c>
      <c r="BR224" s="260">
        <f t="shared" si="1158"/>
        <v>0.95</v>
      </c>
      <c r="BS224" s="260">
        <f t="shared" si="1158"/>
        <v>0.95</v>
      </c>
      <c r="BT224" s="260">
        <f t="shared" si="1158"/>
        <v>0.95</v>
      </c>
      <c r="BU224" s="260">
        <f t="shared" si="1158"/>
        <v>0.95</v>
      </c>
      <c r="BV224" s="260">
        <f t="shared" si="1158"/>
        <v>0.95</v>
      </c>
      <c r="BW224" s="260">
        <f t="shared" si="1158"/>
        <v>0.95</v>
      </c>
      <c r="BX224" s="260">
        <f t="shared" si="1158"/>
        <v>0.95</v>
      </c>
      <c r="BY224" s="260">
        <f t="shared" si="1158"/>
        <v>0.95</v>
      </c>
      <c r="BZ224" s="260">
        <f t="shared" si="1158"/>
        <v>0.95</v>
      </c>
      <c r="CA224" s="260">
        <f t="shared" si="1158"/>
        <v>0.95</v>
      </c>
      <c r="CB224" s="260">
        <f t="shared" si="1158"/>
        <v>0.95</v>
      </c>
      <c r="CC224" s="260">
        <f t="shared" si="1158"/>
        <v>0.95</v>
      </c>
      <c r="CD224" s="260">
        <f t="shared" si="1158"/>
        <v>0.95</v>
      </c>
      <c r="CE224" s="260">
        <f t="shared" si="1158"/>
        <v>0.95</v>
      </c>
      <c r="CF224" s="260">
        <f t="shared" si="1158"/>
        <v>0.95</v>
      </c>
      <c r="CG224" s="260">
        <f t="shared" si="1158"/>
        <v>0.95</v>
      </c>
      <c r="CH224" s="260">
        <f t="shared" si="1158"/>
        <v>0.95</v>
      </c>
      <c r="CI224" s="260">
        <f t="shared" si="1158"/>
        <v>0.87028862344486368</v>
      </c>
      <c r="CJ224" s="260">
        <f t="shared" si="1158"/>
        <v>0.87028862344486368</v>
      </c>
      <c r="CK224" s="260">
        <f t="shared" si="1158"/>
        <v>0.87028862344486368</v>
      </c>
      <c r="CL224" s="260">
        <f t="shared" si="1158"/>
        <v>0.87028862344486368</v>
      </c>
      <c r="CM224" s="260">
        <f t="shared" si="1158"/>
        <v>0.87028862344486368</v>
      </c>
      <c r="CN224" s="260">
        <f t="shared" si="1158"/>
        <v>0.87028862344486368</v>
      </c>
      <c r="CO224" s="260">
        <f t="shared" si="1158"/>
        <v>0.87028862344486368</v>
      </c>
      <c r="CP224" s="260">
        <f t="shared" si="1158"/>
        <v>0.87028862344486368</v>
      </c>
      <c r="CQ224" s="260">
        <f t="shared" si="1158"/>
        <v>0.87028862344486368</v>
      </c>
      <c r="CR224" s="260">
        <f t="shared" si="1158"/>
        <v>0.87028862344486368</v>
      </c>
      <c r="CS224" s="260">
        <f t="shared" si="1158"/>
        <v>0.87028862344486368</v>
      </c>
      <c r="CT224" s="260">
        <f t="shared" si="1158"/>
        <v>0.87028862344486368</v>
      </c>
      <c r="CU224" s="260">
        <f t="shared" si="1158"/>
        <v>0.81291937919900004</v>
      </c>
      <c r="CV224" s="260">
        <f t="shared" si="1158"/>
        <v>0.81291937919900004</v>
      </c>
      <c r="CW224" s="260">
        <f t="shared" si="1158"/>
        <v>0.81291937919900004</v>
      </c>
      <c r="CX224" s="260">
        <f t="shared" si="1158"/>
        <v>0.81291937919900004</v>
      </c>
      <c r="CY224" s="260">
        <f t="shared" si="1158"/>
        <v>0.81291937919900004</v>
      </c>
      <c r="CZ224" s="260">
        <f t="shared" si="1158"/>
        <v>0.81291937919900004</v>
      </c>
      <c r="DA224" s="260">
        <f t="shared" si="1158"/>
        <v>0.81291937919900004</v>
      </c>
      <c r="DB224" s="260">
        <f t="shared" si="1158"/>
        <v>0.81291937919900004</v>
      </c>
      <c r="DC224" s="260">
        <f t="shared" si="1158"/>
        <v>0.81291937919900004</v>
      </c>
      <c r="DD224" s="260">
        <f t="shared" si="1158"/>
        <v>0.81291937919900004</v>
      </c>
      <c r="DE224" s="260">
        <f t="shared" si="1158"/>
        <v>0.81291937919900004</v>
      </c>
      <c r="DF224" s="260">
        <f t="shared" si="1158"/>
        <v>0.81291937919900004</v>
      </c>
      <c r="DG224" s="260">
        <f t="shared" si="1158"/>
        <v>0.52291937919900011</v>
      </c>
      <c r="DH224" s="260">
        <f t="shared" si="1158"/>
        <v>0.52291937919900011</v>
      </c>
      <c r="DI224" s="260">
        <f t="shared" si="1158"/>
        <v>0.52291937919900011</v>
      </c>
      <c r="DJ224" s="260">
        <f t="shared" si="1158"/>
        <v>0.52291937919900011</v>
      </c>
      <c r="DK224" s="260">
        <f t="shared" ref="DK224:FB224" si="1159">1-SUM(DK225:DK227)</f>
        <v>0.52291937919900011</v>
      </c>
      <c r="DL224" s="260">
        <f t="shared" si="1159"/>
        <v>0.52291937919900011</v>
      </c>
      <c r="DM224" s="260">
        <f t="shared" si="1159"/>
        <v>0.52291937919900011</v>
      </c>
      <c r="DN224" s="260">
        <f t="shared" si="1159"/>
        <v>0.52291937919900011</v>
      </c>
      <c r="DO224" s="260">
        <f t="shared" si="1159"/>
        <v>0.52291937919900011</v>
      </c>
      <c r="DP224" s="260">
        <f t="shared" si="1159"/>
        <v>0.52291937919900011</v>
      </c>
      <c r="DQ224" s="260">
        <f t="shared" si="1159"/>
        <v>0.52291937919900011</v>
      </c>
      <c r="DR224" s="260">
        <f t="shared" si="1159"/>
        <v>0.52291937919900011</v>
      </c>
      <c r="DS224" s="260">
        <f t="shared" si="1159"/>
        <v>0.32291937919900005</v>
      </c>
      <c r="DT224" s="260">
        <f t="shared" si="1159"/>
        <v>0.32291937919900005</v>
      </c>
      <c r="DU224" s="260">
        <f t="shared" si="1159"/>
        <v>0.32291937919900005</v>
      </c>
      <c r="DV224" s="260">
        <f t="shared" si="1159"/>
        <v>0.32291937919900005</v>
      </c>
      <c r="DW224" s="260">
        <f t="shared" si="1159"/>
        <v>0.32291937919900005</v>
      </c>
      <c r="DX224" s="260">
        <f t="shared" si="1159"/>
        <v>0.32291937919900005</v>
      </c>
      <c r="DY224" s="260">
        <f t="shared" si="1159"/>
        <v>0.32291937919900005</v>
      </c>
      <c r="DZ224" s="260">
        <f t="shared" si="1159"/>
        <v>0.32291937919900005</v>
      </c>
      <c r="EA224" s="260">
        <f t="shared" si="1159"/>
        <v>0.32291937919900005</v>
      </c>
      <c r="EB224" s="260">
        <f t="shared" si="1159"/>
        <v>0.32291937919900005</v>
      </c>
      <c r="EC224" s="260">
        <f t="shared" si="1159"/>
        <v>0.32291937919900005</v>
      </c>
      <c r="ED224" s="260">
        <f t="shared" si="1159"/>
        <v>0.32291937919900005</v>
      </c>
      <c r="EE224" s="260">
        <f t="shared" si="1159"/>
        <v>0.22291937919900007</v>
      </c>
      <c r="EF224" s="260">
        <f t="shared" si="1159"/>
        <v>0.22291937919900007</v>
      </c>
      <c r="EG224" s="260">
        <f t="shared" si="1159"/>
        <v>0.22291937919900007</v>
      </c>
      <c r="EH224" s="260">
        <f t="shared" si="1159"/>
        <v>0.22291937919900007</v>
      </c>
      <c r="EI224" s="260">
        <f t="shared" si="1159"/>
        <v>0.22291937919900007</v>
      </c>
      <c r="EJ224" s="260">
        <f t="shared" si="1159"/>
        <v>0.22291937919900007</v>
      </c>
      <c r="EK224" s="260">
        <f t="shared" si="1159"/>
        <v>0.22291937919900007</v>
      </c>
      <c r="EL224" s="260">
        <f t="shared" si="1159"/>
        <v>0.22291937919900007</v>
      </c>
      <c r="EM224" s="260">
        <f t="shared" si="1159"/>
        <v>0.22291937919900007</v>
      </c>
      <c r="EN224" s="260">
        <f t="shared" si="1159"/>
        <v>0.22291937919900007</v>
      </c>
      <c r="EO224" s="260">
        <f t="shared" si="1159"/>
        <v>0.22291937919900007</v>
      </c>
      <c r="EP224" s="260">
        <f t="shared" si="1159"/>
        <v>0.22291937919900007</v>
      </c>
      <c r="EQ224" s="260">
        <f t="shared" si="1159"/>
        <v>0.51250976511640023</v>
      </c>
      <c r="ER224" s="260">
        <f t="shared" si="1159"/>
        <v>0.51250976511640023</v>
      </c>
      <c r="ES224" s="260">
        <f t="shared" si="1159"/>
        <v>0.51250976511640023</v>
      </c>
      <c r="ET224" s="260">
        <f t="shared" si="1159"/>
        <v>0.51250976511640023</v>
      </c>
      <c r="EU224" s="260">
        <f t="shared" si="1159"/>
        <v>0.51250976511640023</v>
      </c>
      <c r="EV224" s="260">
        <f t="shared" si="1159"/>
        <v>0.51250976511640023</v>
      </c>
      <c r="EW224" s="260">
        <f t="shared" si="1159"/>
        <v>0.51250976511640023</v>
      </c>
      <c r="EX224" s="260">
        <f t="shared" si="1159"/>
        <v>0.51250976511640023</v>
      </c>
      <c r="EY224" s="260">
        <f t="shared" si="1159"/>
        <v>0.51250976511640023</v>
      </c>
      <c r="EZ224" s="260">
        <f t="shared" si="1159"/>
        <v>0.51250976511640023</v>
      </c>
      <c r="FA224" s="260">
        <f t="shared" si="1159"/>
        <v>0.51250976511640023</v>
      </c>
      <c r="FB224" s="260">
        <f t="shared" si="1159"/>
        <v>0.51250976511640023</v>
      </c>
    </row>
    <row r="225" spans="3:158" x14ac:dyDescent="0.25">
      <c r="C225" s="2" t="s">
        <v>298</v>
      </c>
      <c r="D225" s="330">
        <v>0.02</v>
      </c>
      <c r="E225" s="330">
        <v>0.02</v>
      </c>
      <c r="F225" s="330">
        <v>0.02</v>
      </c>
      <c r="G225" s="169">
        <v>0.03</v>
      </c>
      <c r="H225" s="169">
        <v>4.4999999999999998E-2</v>
      </c>
      <c r="I225" s="169">
        <v>0.125</v>
      </c>
      <c r="J225" s="169">
        <v>0.125</v>
      </c>
      <c r="K225" s="169">
        <v>0.125</v>
      </c>
      <c r="L225" s="169">
        <v>0.15</v>
      </c>
      <c r="N225" s="260">
        <f>N249/N$99</f>
        <v>7.0341652743237549E-3</v>
      </c>
      <c r="O225" s="260">
        <f t="shared" ref="O225:AW225" si="1160">O249/O$99</f>
        <v>1.6703610423289186E-2</v>
      </c>
      <c r="P225" s="260">
        <f t="shared" si="1160"/>
        <v>8.2138676604522325E-3</v>
      </c>
      <c r="Q225" s="260">
        <f t="shared" si="1160"/>
        <v>1.1327711838385549E-2</v>
      </c>
      <c r="R225" s="260">
        <f t="shared" si="1160"/>
        <v>6.2291316889252161E-3</v>
      </c>
      <c r="S225" s="260">
        <f t="shared" si="1160"/>
        <v>7.9904588523244235E-3</v>
      </c>
      <c r="T225" s="260">
        <f t="shared" si="1160"/>
        <v>7.8722347007489195E-3</v>
      </c>
      <c r="U225" s="260">
        <f t="shared" si="1160"/>
        <v>6.1621909131893823E-3</v>
      </c>
      <c r="V225" s="260">
        <f t="shared" si="1160"/>
        <v>4.4088440169241551E-3</v>
      </c>
      <c r="W225" s="260">
        <f t="shared" si="1160"/>
        <v>4.7611866213383269E-3</v>
      </c>
      <c r="X225" s="260">
        <f t="shared" si="1160"/>
        <v>1.1043094986234887E-2</v>
      </c>
      <c r="Y225" s="260">
        <f t="shared" si="1160"/>
        <v>3.1873646078421896E-3</v>
      </c>
      <c r="Z225" s="260">
        <f t="shared" si="1160"/>
        <v>1.6267900724218951E-2</v>
      </c>
      <c r="AA225" s="260">
        <f t="shared" si="1160"/>
        <v>1.0553296971636789E-2</v>
      </c>
      <c r="AB225" s="260">
        <f t="shared" si="1160"/>
        <v>9.0946058173958684E-3</v>
      </c>
      <c r="AC225" s="260">
        <f t="shared" si="1160"/>
        <v>8.8706095537506094E-3</v>
      </c>
      <c r="AD225" s="260">
        <f t="shared" si="1160"/>
        <v>1.6255241578623129E-2</v>
      </c>
      <c r="AE225" s="260">
        <f t="shared" si="1160"/>
        <v>1.6255241578623129E-2</v>
      </c>
      <c r="AF225" s="260">
        <f t="shared" si="1160"/>
        <v>1.6255241578623129E-2</v>
      </c>
      <c r="AG225" s="260">
        <f t="shared" si="1160"/>
        <v>1.6255241578623125E-2</v>
      </c>
      <c r="AH225" s="260">
        <f t="shared" si="1160"/>
        <v>4.9597919621559315E-2</v>
      </c>
      <c r="AI225" s="260">
        <f t="shared" si="1160"/>
        <v>4.9597919621559322E-2</v>
      </c>
      <c r="AJ225" s="260">
        <f t="shared" si="1160"/>
        <v>4.9597919621559315E-2</v>
      </c>
      <c r="AK225" s="260">
        <f t="shared" si="1160"/>
        <v>4.9597919621559322E-2</v>
      </c>
      <c r="AL225" s="260">
        <f t="shared" si="1160"/>
        <v>5.3695054181449833E-2</v>
      </c>
      <c r="AM225" s="260">
        <f t="shared" si="1160"/>
        <v>5.3695054181449833E-2</v>
      </c>
      <c r="AN225" s="260">
        <f t="shared" si="1160"/>
        <v>5.369505418144984E-2</v>
      </c>
      <c r="AO225" s="260">
        <f t="shared" si="1160"/>
        <v>5.369505418144984E-2</v>
      </c>
      <c r="AP225" s="260">
        <f t="shared" si="1160"/>
        <v>6.1337708007923632E-2</v>
      </c>
      <c r="AQ225" s="260">
        <f t="shared" si="1160"/>
        <v>6.1337708007923639E-2</v>
      </c>
      <c r="AR225" s="260">
        <f t="shared" si="1160"/>
        <v>6.1337708007923625E-2</v>
      </c>
      <c r="AS225" s="260">
        <f t="shared" si="1160"/>
        <v>6.1337708007923632E-2</v>
      </c>
      <c r="AT225" s="260">
        <f t="shared" si="1160"/>
        <v>8.99549090147828E-2</v>
      </c>
      <c r="AU225" s="260">
        <f t="shared" si="1160"/>
        <v>8.9954909014782786E-2</v>
      </c>
      <c r="AV225" s="260">
        <f t="shared" si="1160"/>
        <v>8.9954909014782813E-2</v>
      </c>
      <c r="AW225" s="260">
        <f t="shared" si="1160"/>
        <v>8.99549090147828E-2</v>
      </c>
      <c r="AY225" s="262">
        <f t="shared" ref="AY225:BH226" si="1161">INDEX($D225:$L225,1,MATCH(AY$2,$D$2:$L$2,))</f>
        <v>0.02</v>
      </c>
      <c r="AZ225" s="262">
        <f t="shared" si="1161"/>
        <v>0.02</v>
      </c>
      <c r="BA225" s="262">
        <f t="shared" si="1161"/>
        <v>0.02</v>
      </c>
      <c r="BB225" s="262">
        <f t="shared" si="1161"/>
        <v>0.02</v>
      </c>
      <c r="BC225" s="262">
        <f t="shared" si="1161"/>
        <v>0.02</v>
      </c>
      <c r="BD225" s="262">
        <f t="shared" si="1161"/>
        <v>0.02</v>
      </c>
      <c r="BE225" s="262">
        <f t="shared" si="1161"/>
        <v>0.02</v>
      </c>
      <c r="BF225" s="262">
        <f t="shared" si="1161"/>
        <v>0.02</v>
      </c>
      <c r="BG225" s="262">
        <f t="shared" si="1161"/>
        <v>0.02</v>
      </c>
      <c r="BH225" s="262">
        <f t="shared" si="1161"/>
        <v>0.02</v>
      </c>
      <c r="BI225" s="262">
        <f t="shared" ref="BI225:BR226" si="1162">INDEX($D225:$L225,1,MATCH(BI$2,$D$2:$L$2,))</f>
        <v>0.02</v>
      </c>
      <c r="BJ225" s="262">
        <f t="shared" si="1162"/>
        <v>0.02</v>
      </c>
      <c r="BK225" s="262">
        <f t="shared" si="1162"/>
        <v>0.02</v>
      </c>
      <c r="BL225" s="262">
        <f t="shared" si="1162"/>
        <v>0.02</v>
      </c>
      <c r="BM225" s="262">
        <f t="shared" si="1162"/>
        <v>0.02</v>
      </c>
      <c r="BN225" s="262">
        <f t="shared" si="1162"/>
        <v>0.02</v>
      </c>
      <c r="BO225" s="262">
        <f t="shared" si="1162"/>
        <v>0.02</v>
      </c>
      <c r="BP225" s="262">
        <f t="shared" si="1162"/>
        <v>0.02</v>
      </c>
      <c r="BQ225" s="262">
        <f t="shared" si="1162"/>
        <v>0.02</v>
      </c>
      <c r="BR225" s="262">
        <f t="shared" si="1162"/>
        <v>0.02</v>
      </c>
      <c r="BS225" s="262">
        <f t="shared" ref="BS225:CB226" si="1163">INDEX($D225:$L225,1,MATCH(BS$2,$D$2:$L$2,))</f>
        <v>0.02</v>
      </c>
      <c r="BT225" s="262">
        <f t="shared" si="1163"/>
        <v>0.02</v>
      </c>
      <c r="BU225" s="262">
        <f t="shared" si="1163"/>
        <v>0.02</v>
      </c>
      <c r="BV225" s="262">
        <f t="shared" si="1163"/>
        <v>0.02</v>
      </c>
      <c r="BW225" s="262">
        <f t="shared" si="1163"/>
        <v>0.02</v>
      </c>
      <c r="BX225" s="262">
        <f t="shared" si="1163"/>
        <v>0.02</v>
      </c>
      <c r="BY225" s="262">
        <f t="shared" si="1163"/>
        <v>0.02</v>
      </c>
      <c r="BZ225" s="262">
        <f t="shared" si="1163"/>
        <v>0.02</v>
      </c>
      <c r="CA225" s="262">
        <f t="shared" si="1163"/>
        <v>0.02</v>
      </c>
      <c r="CB225" s="262">
        <f t="shared" si="1163"/>
        <v>0.02</v>
      </c>
      <c r="CC225" s="262">
        <f t="shared" ref="CC225:CL226" si="1164">INDEX($D225:$L225,1,MATCH(CC$2,$D$2:$L$2,))</f>
        <v>0.02</v>
      </c>
      <c r="CD225" s="262">
        <f t="shared" si="1164"/>
        <v>0.02</v>
      </c>
      <c r="CE225" s="262">
        <f t="shared" si="1164"/>
        <v>0.02</v>
      </c>
      <c r="CF225" s="262">
        <f t="shared" si="1164"/>
        <v>0.02</v>
      </c>
      <c r="CG225" s="262">
        <f t="shared" si="1164"/>
        <v>0.02</v>
      </c>
      <c r="CH225" s="262">
        <f t="shared" si="1164"/>
        <v>0.02</v>
      </c>
      <c r="CI225" s="262">
        <f t="shared" si="1164"/>
        <v>0.03</v>
      </c>
      <c r="CJ225" s="262">
        <f t="shared" si="1164"/>
        <v>0.03</v>
      </c>
      <c r="CK225" s="262">
        <f t="shared" si="1164"/>
        <v>0.03</v>
      </c>
      <c r="CL225" s="262">
        <f t="shared" si="1164"/>
        <v>0.03</v>
      </c>
      <c r="CM225" s="262">
        <f t="shared" ref="CM225:CT226" si="1165">INDEX($D225:$L225,1,MATCH(CM$2,$D$2:$L$2,))</f>
        <v>0.03</v>
      </c>
      <c r="CN225" s="262">
        <f t="shared" si="1165"/>
        <v>0.03</v>
      </c>
      <c r="CO225" s="262">
        <f t="shared" si="1165"/>
        <v>0.03</v>
      </c>
      <c r="CP225" s="262">
        <f t="shared" si="1165"/>
        <v>0.03</v>
      </c>
      <c r="CQ225" s="262">
        <f t="shared" si="1165"/>
        <v>0.03</v>
      </c>
      <c r="CR225" s="262">
        <f t="shared" si="1165"/>
        <v>0.03</v>
      </c>
      <c r="CS225" s="262">
        <f t="shared" si="1165"/>
        <v>0.03</v>
      </c>
      <c r="CT225" s="262">
        <f t="shared" si="1165"/>
        <v>0.03</v>
      </c>
      <c r="CU225" s="262">
        <f t="shared" ref="AY225:DJ227" si="1166">INDEX($D225:$L225,1,MATCH(CU$2,$D$2:$L$2,))</f>
        <v>4.4999999999999998E-2</v>
      </c>
      <c r="CV225" s="262">
        <f t="shared" si="1166"/>
        <v>4.4999999999999998E-2</v>
      </c>
      <c r="CW225" s="262">
        <f t="shared" si="1166"/>
        <v>4.4999999999999998E-2</v>
      </c>
      <c r="CX225" s="262">
        <f t="shared" si="1166"/>
        <v>4.4999999999999998E-2</v>
      </c>
      <c r="CY225" s="262">
        <f t="shared" si="1166"/>
        <v>4.4999999999999998E-2</v>
      </c>
      <c r="CZ225" s="262">
        <f t="shared" si="1166"/>
        <v>4.4999999999999998E-2</v>
      </c>
      <c r="DA225" s="262">
        <f t="shared" si="1166"/>
        <v>4.4999999999999998E-2</v>
      </c>
      <c r="DB225" s="262">
        <f t="shared" si="1166"/>
        <v>4.4999999999999998E-2</v>
      </c>
      <c r="DC225" s="262">
        <f t="shared" si="1166"/>
        <v>4.4999999999999998E-2</v>
      </c>
      <c r="DD225" s="262">
        <f t="shared" si="1166"/>
        <v>4.4999999999999998E-2</v>
      </c>
      <c r="DE225" s="262">
        <f t="shared" si="1166"/>
        <v>4.4999999999999998E-2</v>
      </c>
      <c r="DF225" s="262">
        <f t="shared" si="1166"/>
        <v>4.4999999999999998E-2</v>
      </c>
      <c r="DG225" s="262">
        <f t="shared" si="1166"/>
        <v>0.125</v>
      </c>
      <c r="DH225" s="262">
        <f t="shared" si="1166"/>
        <v>0.125</v>
      </c>
      <c r="DI225" s="262">
        <f t="shared" si="1166"/>
        <v>0.125</v>
      </c>
      <c r="DJ225" s="262">
        <f t="shared" si="1166"/>
        <v>0.125</v>
      </c>
      <c r="DK225" s="262">
        <f t="shared" ref="DK225:DT227" si="1167">INDEX($D225:$L225,1,MATCH(DK$2,$D$2:$L$2,))</f>
        <v>0.125</v>
      </c>
      <c r="DL225" s="262">
        <f t="shared" si="1167"/>
        <v>0.125</v>
      </c>
      <c r="DM225" s="262">
        <f t="shared" si="1167"/>
        <v>0.125</v>
      </c>
      <c r="DN225" s="262">
        <f t="shared" si="1167"/>
        <v>0.125</v>
      </c>
      <c r="DO225" s="262">
        <f t="shared" si="1167"/>
        <v>0.125</v>
      </c>
      <c r="DP225" s="262">
        <f t="shared" si="1167"/>
        <v>0.125</v>
      </c>
      <c r="DQ225" s="262">
        <f t="shared" si="1167"/>
        <v>0.125</v>
      </c>
      <c r="DR225" s="262">
        <f t="shared" si="1167"/>
        <v>0.125</v>
      </c>
      <c r="DS225" s="262">
        <f t="shared" si="1167"/>
        <v>0.125</v>
      </c>
      <c r="DT225" s="262">
        <f t="shared" si="1167"/>
        <v>0.125</v>
      </c>
      <c r="DU225" s="262">
        <f t="shared" ref="DU225:ED227" si="1168">INDEX($D225:$L225,1,MATCH(DU$2,$D$2:$L$2,))</f>
        <v>0.125</v>
      </c>
      <c r="DV225" s="262">
        <f t="shared" si="1168"/>
        <v>0.125</v>
      </c>
      <c r="DW225" s="262">
        <f t="shared" si="1168"/>
        <v>0.125</v>
      </c>
      <c r="DX225" s="262">
        <f t="shared" si="1168"/>
        <v>0.125</v>
      </c>
      <c r="DY225" s="262">
        <f t="shared" si="1168"/>
        <v>0.125</v>
      </c>
      <c r="DZ225" s="262">
        <f t="shared" si="1168"/>
        <v>0.125</v>
      </c>
      <c r="EA225" s="262">
        <f t="shared" si="1168"/>
        <v>0.125</v>
      </c>
      <c r="EB225" s="262">
        <f t="shared" si="1168"/>
        <v>0.125</v>
      </c>
      <c r="EC225" s="262">
        <f t="shared" si="1168"/>
        <v>0.125</v>
      </c>
      <c r="ED225" s="262">
        <f t="shared" si="1168"/>
        <v>0.125</v>
      </c>
      <c r="EE225" s="262">
        <f t="shared" ref="EE225:EN227" si="1169">INDEX($D225:$L225,1,MATCH(EE$2,$D$2:$L$2,))</f>
        <v>0.125</v>
      </c>
      <c r="EF225" s="262">
        <f t="shared" si="1169"/>
        <v>0.125</v>
      </c>
      <c r="EG225" s="262">
        <f t="shared" si="1169"/>
        <v>0.125</v>
      </c>
      <c r="EH225" s="262">
        <f t="shared" si="1169"/>
        <v>0.125</v>
      </c>
      <c r="EI225" s="262">
        <f t="shared" si="1169"/>
        <v>0.125</v>
      </c>
      <c r="EJ225" s="262">
        <f t="shared" si="1169"/>
        <v>0.125</v>
      </c>
      <c r="EK225" s="262">
        <f t="shared" si="1169"/>
        <v>0.125</v>
      </c>
      <c r="EL225" s="262">
        <f t="shared" si="1169"/>
        <v>0.125</v>
      </c>
      <c r="EM225" s="262">
        <f t="shared" si="1169"/>
        <v>0.125</v>
      </c>
      <c r="EN225" s="262">
        <f t="shared" si="1169"/>
        <v>0.125</v>
      </c>
      <c r="EO225" s="262">
        <f t="shared" ref="EO225:FB227" si="1170">INDEX($D225:$L225,1,MATCH(EO$2,$D$2:$L$2,))</f>
        <v>0.125</v>
      </c>
      <c r="EP225" s="262">
        <f t="shared" si="1170"/>
        <v>0.125</v>
      </c>
      <c r="EQ225" s="262">
        <f t="shared" si="1170"/>
        <v>0.15</v>
      </c>
      <c r="ER225" s="262">
        <f t="shared" si="1170"/>
        <v>0.15</v>
      </c>
      <c r="ES225" s="262">
        <f t="shared" si="1170"/>
        <v>0.15</v>
      </c>
      <c r="ET225" s="262">
        <f t="shared" si="1170"/>
        <v>0.15</v>
      </c>
      <c r="EU225" s="262">
        <f t="shared" si="1170"/>
        <v>0.15</v>
      </c>
      <c r="EV225" s="262">
        <f t="shared" si="1170"/>
        <v>0.15</v>
      </c>
      <c r="EW225" s="262">
        <f t="shared" si="1170"/>
        <v>0.15</v>
      </c>
      <c r="EX225" s="262">
        <f t="shared" si="1170"/>
        <v>0.15</v>
      </c>
      <c r="EY225" s="262">
        <f t="shared" si="1170"/>
        <v>0.15</v>
      </c>
      <c r="EZ225" s="262">
        <f t="shared" si="1170"/>
        <v>0.15</v>
      </c>
      <c r="FA225" s="262">
        <f t="shared" si="1170"/>
        <v>0.15</v>
      </c>
      <c r="FB225" s="262">
        <f t="shared" si="1170"/>
        <v>0.15</v>
      </c>
    </row>
    <row r="226" spans="3:158" x14ac:dyDescent="0.25">
      <c r="C226" s="2" t="s">
        <v>299</v>
      </c>
      <c r="D226" s="330">
        <v>0.01</v>
      </c>
      <c r="E226" s="330">
        <v>0.01</v>
      </c>
      <c r="F226" s="330">
        <v>0.01</v>
      </c>
      <c r="G226" s="169">
        <v>4.4999999999999998E-2</v>
      </c>
      <c r="H226" s="169">
        <v>0.09</v>
      </c>
      <c r="I226" s="169">
        <v>0.3</v>
      </c>
      <c r="J226" s="169">
        <v>0.5</v>
      </c>
      <c r="K226" s="169">
        <v>0.6</v>
      </c>
      <c r="L226" s="169">
        <v>0.28540961408259985</v>
      </c>
      <c r="N226" s="260">
        <f>N250/N$99</f>
        <v>3.5170826371618774E-3</v>
      </c>
      <c r="O226" s="260">
        <f t="shared" ref="O226:AW226" si="1171">O250/O$99</f>
        <v>8.3518052116445928E-3</v>
      </c>
      <c r="P226" s="260">
        <f t="shared" si="1171"/>
        <v>4.1069338302261163E-3</v>
      </c>
      <c r="Q226" s="260">
        <f t="shared" si="1171"/>
        <v>5.6638559191927746E-3</v>
      </c>
      <c r="R226" s="260">
        <f t="shared" si="1171"/>
        <v>3.114565844462608E-3</v>
      </c>
      <c r="S226" s="260">
        <f t="shared" si="1171"/>
        <v>3.9952294261622117E-3</v>
      </c>
      <c r="T226" s="260">
        <f t="shared" si="1171"/>
        <v>3.9361173503744597E-3</v>
      </c>
      <c r="U226" s="260">
        <f t="shared" si="1171"/>
        <v>3.0810954565946912E-3</v>
      </c>
      <c r="V226" s="260">
        <f t="shared" si="1171"/>
        <v>2.2044220084620775E-3</v>
      </c>
      <c r="W226" s="260">
        <f t="shared" si="1171"/>
        <v>2.3805933106691634E-3</v>
      </c>
      <c r="X226" s="260">
        <f t="shared" si="1171"/>
        <v>5.5215474931174435E-3</v>
      </c>
      <c r="Y226" s="260">
        <f t="shared" si="1171"/>
        <v>1.5936823039210948E-3</v>
      </c>
      <c r="Z226" s="260">
        <f t="shared" si="1171"/>
        <v>2.4401851086328426E-2</v>
      </c>
      <c r="AA226" s="260">
        <f t="shared" si="1171"/>
        <v>1.5829945457455186E-2</v>
      </c>
      <c r="AB226" s="260">
        <f t="shared" si="1171"/>
        <v>1.3641908726093804E-2</v>
      </c>
      <c r="AC226" s="260">
        <f t="shared" si="1171"/>
        <v>1.3305914330625914E-2</v>
      </c>
      <c r="AD226" s="260">
        <f t="shared" si="1171"/>
        <v>3.2510483157246257E-2</v>
      </c>
      <c r="AE226" s="260">
        <f t="shared" si="1171"/>
        <v>3.2510483157246257E-2</v>
      </c>
      <c r="AF226" s="260">
        <f t="shared" si="1171"/>
        <v>3.2510483157246257E-2</v>
      </c>
      <c r="AG226" s="260">
        <f t="shared" si="1171"/>
        <v>3.251048315724625E-2</v>
      </c>
      <c r="AH226" s="260">
        <f t="shared" si="1171"/>
        <v>0.11903500709174235</v>
      </c>
      <c r="AI226" s="260">
        <f t="shared" si="1171"/>
        <v>0.11903500709174235</v>
      </c>
      <c r="AJ226" s="260">
        <f t="shared" si="1171"/>
        <v>0.11903500709174235</v>
      </c>
      <c r="AK226" s="260">
        <f t="shared" si="1171"/>
        <v>0.11903500709174238</v>
      </c>
      <c r="AL226" s="260">
        <f t="shared" si="1171"/>
        <v>0.21478021672579933</v>
      </c>
      <c r="AM226" s="260">
        <f t="shared" si="1171"/>
        <v>0.21478021672579933</v>
      </c>
      <c r="AN226" s="260">
        <f t="shared" si="1171"/>
        <v>0.21478021672579936</v>
      </c>
      <c r="AO226" s="260">
        <f t="shared" si="1171"/>
        <v>0.21478021672579936</v>
      </c>
      <c r="AP226" s="260">
        <f t="shared" si="1171"/>
        <v>0.29442099843803343</v>
      </c>
      <c r="AQ226" s="260">
        <f t="shared" si="1171"/>
        <v>0.29442099843803343</v>
      </c>
      <c r="AR226" s="260">
        <f t="shared" si="1171"/>
        <v>0.29442099843803343</v>
      </c>
      <c r="AS226" s="260">
        <f t="shared" si="1171"/>
        <v>0.29442099843803343</v>
      </c>
      <c r="AT226" s="260">
        <f t="shared" si="1171"/>
        <v>0.17115997244496359</v>
      </c>
      <c r="AU226" s="260">
        <f t="shared" si="1171"/>
        <v>0.17115997244496359</v>
      </c>
      <c r="AV226" s="260">
        <f t="shared" si="1171"/>
        <v>0.17115997244496364</v>
      </c>
      <c r="AW226" s="260">
        <f t="shared" si="1171"/>
        <v>0.17115997244496359</v>
      </c>
      <c r="AY226" s="262">
        <f t="shared" si="1161"/>
        <v>0.01</v>
      </c>
      <c r="AZ226" s="262">
        <f t="shared" si="1161"/>
        <v>0.01</v>
      </c>
      <c r="BA226" s="262">
        <f t="shared" si="1161"/>
        <v>0.01</v>
      </c>
      <c r="BB226" s="262">
        <f t="shared" si="1161"/>
        <v>0.01</v>
      </c>
      <c r="BC226" s="262">
        <f t="shared" si="1161"/>
        <v>0.01</v>
      </c>
      <c r="BD226" s="262">
        <f t="shared" si="1161"/>
        <v>0.01</v>
      </c>
      <c r="BE226" s="262">
        <f t="shared" si="1161"/>
        <v>0.01</v>
      </c>
      <c r="BF226" s="262">
        <f t="shared" si="1161"/>
        <v>0.01</v>
      </c>
      <c r="BG226" s="262">
        <f t="shared" si="1161"/>
        <v>0.01</v>
      </c>
      <c r="BH226" s="262">
        <f t="shared" si="1161"/>
        <v>0.01</v>
      </c>
      <c r="BI226" s="262">
        <f t="shared" si="1162"/>
        <v>0.01</v>
      </c>
      <c r="BJ226" s="262">
        <f t="shared" si="1162"/>
        <v>0.01</v>
      </c>
      <c r="BK226" s="262">
        <f t="shared" si="1162"/>
        <v>0.01</v>
      </c>
      <c r="BL226" s="262">
        <f t="shared" si="1162"/>
        <v>0.01</v>
      </c>
      <c r="BM226" s="262">
        <f t="shared" si="1162"/>
        <v>0.01</v>
      </c>
      <c r="BN226" s="262">
        <f t="shared" si="1162"/>
        <v>0.01</v>
      </c>
      <c r="BO226" s="262">
        <f t="shared" si="1162"/>
        <v>0.01</v>
      </c>
      <c r="BP226" s="262">
        <f t="shared" si="1162"/>
        <v>0.01</v>
      </c>
      <c r="BQ226" s="262">
        <f t="shared" si="1162"/>
        <v>0.01</v>
      </c>
      <c r="BR226" s="262">
        <f t="shared" si="1162"/>
        <v>0.01</v>
      </c>
      <c r="BS226" s="262">
        <f t="shared" si="1163"/>
        <v>0.01</v>
      </c>
      <c r="BT226" s="262">
        <f t="shared" si="1163"/>
        <v>0.01</v>
      </c>
      <c r="BU226" s="262">
        <f t="shared" si="1163"/>
        <v>0.01</v>
      </c>
      <c r="BV226" s="262">
        <f t="shared" si="1163"/>
        <v>0.01</v>
      </c>
      <c r="BW226" s="262">
        <f t="shared" si="1163"/>
        <v>0.01</v>
      </c>
      <c r="BX226" s="262">
        <f t="shared" si="1163"/>
        <v>0.01</v>
      </c>
      <c r="BY226" s="262">
        <f t="shared" si="1163"/>
        <v>0.01</v>
      </c>
      <c r="BZ226" s="262">
        <f t="shared" si="1163"/>
        <v>0.01</v>
      </c>
      <c r="CA226" s="262">
        <f t="shared" si="1163"/>
        <v>0.01</v>
      </c>
      <c r="CB226" s="262">
        <f t="shared" si="1163"/>
        <v>0.01</v>
      </c>
      <c r="CC226" s="262">
        <f t="shared" si="1164"/>
        <v>0.01</v>
      </c>
      <c r="CD226" s="262">
        <f t="shared" si="1164"/>
        <v>0.01</v>
      </c>
      <c r="CE226" s="262">
        <f t="shared" si="1164"/>
        <v>0.01</v>
      </c>
      <c r="CF226" s="262">
        <f t="shared" si="1164"/>
        <v>0.01</v>
      </c>
      <c r="CG226" s="262">
        <f t="shared" si="1164"/>
        <v>0.01</v>
      </c>
      <c r="CH226" s="262">
        <f t="shared" si="1164"/>
        <v>0.01</v>
      </c>
      <c r="CI226" s="262">
        <f t="shared" si="1164"/>
        <v>4.4999999999999998E-2</v>
      </c>
      <c r="CJ226" s="262">
        <f t="shared" si="1164"/>
        <v>4.4999999999999998E-2</v>
      </c>
      <c r="CK226" s="262">
        <f t="shared" si="1164"/>
        <v>4.4999999999999998E-2</v>
      </c>
      <c r="CL226" s="262">
        <f t="shared" si="1164"/>
        <v>4.4999999999999998E-2</v>
      </c>
      <c r="CM226" s="262">
        <f t="shared" si="1165"/>
        <v>4.4999999999999998E-2</v>
      </c>
      <c r="CN226" s="262">
        <f t="shared" si="1165"/>
        <v>4.4999999999999998E-2</v>
      </c>
      <c r="CO226" s="262">
        <f t="shared" si="1165"/>
        <v>4.4999999999999998E-2</v>
      </c>
      <c r="CP226" s="262">
        <f t="shared" si="1165"/>
        <v>4.4999999999999998E-2</v>
      </c>
      <c r="CQ226" s="262">
        <f t="shared" si="1165"/>
        <v>4.4999999999999998E-2</v>
      </c>
      <c r="CR226" s="262">
        <f t="shared" si="1165"/>
        <v>4.4999999999999998E-2</v>
      </c>
      <c r="CS226" s="262">
        <f t="shared" si="1165"/>
        <v>4.4999999999999998E-2</v>
      </c>
      <c r="CT226" s="262">
        <f t="shared" si="1165"/>
        <v>4.4999999999999998E-2</v>
      </c>
      <c r="CU226" s="262">
        <f t="shared" si="1166"/>
        <v>0.09</v>
      </c>
      <c r="CV226" s="262">
        <f t="shared" si="1166"/>
        <v>0.09</v>
      </c>
      <c r="CW226" s="262">
        <f t="shared" si="1166"/>
        <v>0.09</v>
      </c>
      <c r="CX226" s="262">
        <f t="shared" si="1166"/>
        <v>0.09</v>
      </c>
      <c r="CY226" s="262">
        <f t="shared" si="1166"/>
        <v>0.09</v>
      </c>
      <c r="CZ226" s="262">
        <f t="shared" si="1166"/>
        <v>0.09</v>
      </c>
      <c r="DA226" s="262">
        <f t="shared" si="1166"/>
        <v>0.09</v>
      </c>
      <c r="DB226" s="262">
        <f t="shared" si="1166"/>
        <v>0.09</v>
      </c>
      <c r="DC226" s="262">
        <f t="shared" si="1166"/>
        <v>0.09</v>
      </c>
      <c r="DD226" s="262">
        <f t="shared" si="1166"/>
        <v>0.09</v>
      </c>
      <c r="DE226" s="262">
        <f t="shared" si="1166"/>
        <v>0.09</v>
      </c>
      <c r="DF226" s="262">
        <f t="shared" si="1166"/>
        <v>0.09</v>
      </c>
      <c r="DG226" s="262">
        <f t="shared" si="1166"/>
        <v>0.3</v>
      </c>
      <c r="DH226" s="262">
        <f t="shared" si="1166"/>
        <v>0.3</v>
      </c>
      <c r="DI226" s="262">
        <f t="shared" si="1166"/>
        <v>0.3</v>
      </c>
      <c r="DJ226" s="262">
        <f t="shared" si="1166"/>
        <v>0.3</v>
      </c>
      <c r="DK226" s="262">
        <f t="shared" si="1167"/>
        <v>0.3</v>
      </c>
      <c r="DL226" s="262">
        <f t="shared" si="1167"/>
        <v>0.3</v>
      </c>
      <c r="DM226" s="262">
        <f t="shared" si="1167"/>
        <v>0.3</v>
      </c>
      <c r="DN226" s="262">
        <f t="shared" si="1167"/>
        <v>0.3</v>
      </c>
      <c r="DO226" s="262">
        <f t="shared" si="1167"/>
        <v>0.3</v>
      </c>
      <c r="DP226" s="262">
        <f t="shared" si="1167"/>
        <v>0.3</v>
      </c>
      <c r="DQ226" s="262">
        <f t="shared" si="1167"/>
        <v>0.3</v>
      </c>
      <c r="DR226" s="262">
        <f t="shared" si="1167"/>
        <v>0.3</v>
      </c>
      <c r="DS226" s="262">
        <f t="shared" si="1167"/>
        <v>0.5</v>
      </c>
      <c r="DT226" s="262">
        <f t="shared" si="1167"/>
        <v>0.5</v>
      </c>
      <c r="DU226" s="262">
        <f t="shared" si="1168"/>
        <v>0.5</v>
      </c>
      <c r="DV226" s="262">
        <f t="shared" si="1168"/>
        <v>0.5</v>
      </c>
      <c r="DW226" s="262">
        <f t="shared" si="1168"/>
        <v>0.5</v>
      </c>
      <c r="DX226" s="262">
        <f t="shared" si="1168"/>
        <v>0.5</v>
      </c>
      <c r="DY226" s="262">
        <f t="shared" si="1168"/>
        <v>0.5</v>
      </c>
      <c r="DZ226" s="262">
        <f t="shared" si="1168"/>
        <v>0.5</v>
      </c>
      <c r="EA226" s="262">
        <f t="shared" si="1168"/>
        <v>0.5</v>
      </c>
      <c r="EB226" s="262">
        <f t="shared" si="1168"/>
        <v>0.5</v>
      </c>
      <c r="EC226" s="262">
        <f t="shared" si="1168"/>
        <v>0.5</v>
      </c>
      <c r="ED226" s="262">
        <f t="shared" si="1168"/>
        <v>0.5</v>
      </c>
      <c r="EE226" s="262">
        <f t="shared" si="1169"/>
        <v>0.6</v>
      </c>
      <c r="EF226" s="262">
        <f t="shared" si="1169"/>
        <v>0.6</v>
      </c>
      <c r="EG226" s="262">
        <f t="shared" si="1169"/>
        <v>0.6</v>
      </c>
      <c r="EH226" s="262">
        <f t="shared" si="1169"/>
        <v>0.6</v>
      </c>
      <c r="EI226" s="262">
        <f t="shared" si="1169"/>
        <v>0.6</v>
      </c>
      <c r="EJ226" s="262">
        <f t="shared" si="1169"/>
        <v>0.6</v>
      </c>
      <c r="EK226" s="262">
        <f t="shared" si="1169"/>
        <v>0.6</v>
      </c>
      <c r="EL226" s="262">
        <f t="shared" si="1169"/>
        <v>0.6</v>
      </c>
      <c r="EM226" s="262">
        <f t="shared" si="1169"/>
        <v>0.6</v>
      </c>
      <c r="EN226" s="262">
        <f t="shared" si="1169"/>
        <v>0.6</v>
      </c>
      <c r="EO226" s="262">
        <f t="shared" si="1170"/>
        <v>0.6</v>
      </c>
      <c r="EP226" s="262">
        <f t="shared" si="1170"/>
        <v>0.6</v>
      </c>
      <c r="EQ226" s="262">
        <f t="shared" si="1170"/>
        <v>0.28540961408259985</v>
      </c>
      <c r="ER226" s="262">
        <f t="shared" si="1170"/>
        <v>0.28540961408259985</v>
      </c>
      <c r="ES226" s="262">
        <f t="shared" si="1170"/>
        <v>0.28540961408259985</v>
      </c>
      <c r="ET226" s="262">
        <f t="shared" si="1170"/>
        <v>0.28540961408259985</v>
      </c>
      <c r="EU226" s="262">
        <f t="shared" si="1170"/>
        <v>0.28540961408259985</v>
      </c>
      <c r="EV226" s="262">
        <f t="shared" si="1170"/>
        <v>0.28540961408259985</v>
      </c>
      <c r="EW226" s="262">
        <f t="shared" si="1170"/>
        <v>0.28540961408259985</v>
      </c>
      <c r="EX226" s="262">
        <f t="shared" si="1170"/>
        <v>0.28540961408259985</v>
      </c>
      <c r="EY226" s="262">
        <f t="shared" si="1170"/>
        <v>0.28540961408259985</v>
      </c>
      <c r="EZ226" s="262">
        <f t="shared" si="1170"/>
        <v>0.28540961408259985</v>
      </c>
      <c r="FA226" s="262">
        <f t="shared" si="1170"/>
        <v>0.28540961408259985</v>
      </c>
      <c r="FB226" s="262">
        <f t="shared" si="1170"/>
        <v>0.28540961408259985</v>
      </c>
    </row>
    <row r="227" spans="3:158" x14ac:dyDescent="0.25">
      <c r="C227" s="2" t="s">
        <v>300</v>
      </c>
      <c r="D227" s="330">
        <v>0.02</v>
      </c>
      <c r="E227" s="330">
        <v>0.02</v>
      </c>
      <c r="F227" s="330">
        <v>0.02</v>
      </c>
      <c r="G227" s="169">
        <v>5.4711376555136311E-2</v>
      </c>
      <c r="H227" s="169">
        <v>5.2080620800999948E-2</v>
      </c>
      <c r="I227" s="169">
        <v>5.2080620800999948E-2</v>
      </c>
      <c r="J227" s="169">
        <v>5.2080620800999948E-2</v>
      </c>
      <c r="K227" s="169">
        <v>5.2080620800999948E-2</v>
      </c>
      <c r="L227" s="169">
        <v>5.2080620800999948E-2</v>
      </c>
      <c r="N227" s="260">
        <f>N251/N$99</f>
        <v>7.0341652743237549E-3</v>
      </c>
      <c r="O227" s="260">
        <f t="shared" ref="O227:AW227" si="1172">O251/O$99</f>
        <v>1.6703610423289186E-2</v>
      </c>
      <c r="P227" s="260">
        <f t="shared" si="1172"/>
        <v>8.2138676604522325E-3</v>
      </c>
      <c r="Q227" s="260">
        <f t="shared" si="1172"/>
        <v>1.1327711838385549E-2</v>
      </c>
      <c r="R227" s="260">
        <f t="shared" si="1172"/>
        <v>6.2291316889252161E-3</v>
      </c>
      <c r="S227" s="260">
        <f t="shared" si="1172"/>
        <v>7.9904588523244235E-3</v>
      </c>
      <c r="T227" s="260">
        <f t="shared" si="1172"/>
        <v>7.8722347007489195E-3</v>
      </c>
      <c r="U227" s="260">
        <f t="shared" si="1172"/>
        <v>6.1621909131893823E-3</v>
      </c>
      <c r="V227" s="260">
        <f t="shared" si="1172"/>
        <v>4.4088440169241551E-3</v>
      </c>
      <c r="W227" s="260">
        <f t="shared" si="1172"/>
        <v>4.7611866213383269E-3</v>
      </c>
      <c r="X227" s="260">
        <f t="shared" si="1172"/>
        <v>1.1043094986234887E-2</v>
      </c>
      <c r="Y227" s="260">
        <f t="shared" si="1172"/>
        <v>3.1873646078421896E-3</v>
      </c>
      <c r="Z227" s="260">
        <f t="shared" si="1172"/>
        <v>2.9667974742810591E-2</v>
      </c>
      <c r="AA227" s="260">
        <f t="shared" si="1172"/>
        <v>1.9246180150446667E-2</v>
      </c>
      <c r="AB227" s="260">
        <f t="shared" si="1172"/>
        <v>1.6585946783202622E-2</v>
      </c>
      <c r="AC227" s="260">
        <f t="shared" si="1172"/>
        <v>1.6177441985627979E-2</v>
      </c>
      <c r="AD227" s="260">
        <f t="shared" si="1172"/>
        <v>1.8812957170775978E-2</v>
      </c>
      <c r="AE227" s="260">
        <f t="shared" si="1172"/>
        <v>1.8812957170775975E-2</v>
      </c>
      <c r="AF227" s="260">
        <f t="shared" si="1172"/>
        <v>1.8812957170775978E-2</v>
      </c>
      <c r="AG227" s="260">
        <f t="shared" si="1172"/>
        <v>1.8812957170775975E-2</v>
      </c>
      <c r="AH227" s="260">
        <f t="shared" si="1172"/>
        <v>2.0664723554631247E-2</v>
      </c>
      <c r="AI227" s="260">
        <f t="shared" si="1172"/>
        <v>2.0664723554631243E-2</v>
      </c>
      <c r="AJ227" s="260">
        <f t="shared" si="1172"/>
        <v>2.0664723554631243E-2</v>
      </c>
      <c r="AK227" s="260">
        <f t="shared" si="1172"/>
        <v>2.0664723554631247E-2</v>
      </c>
      <c r="AL227" s="260">
        <f t="shared" si="1172"/>
        <v>2.2371774045705881E-2</v>
      </c>
      <c r="AM227" s="260">
        <f t="shared" si="1172"/>
        <v>2.2371774045705884E-2</v>
      </c>
      <c r="AN227" s="260">
        <f t="shared" si="1172"/>
        <v>2.2371774045705888E-2</v>
      </c>
      <c r="AO227" s="260">
        <f t="shared" si="1172"/>
        <v>2.2371774045705891E-2</v>
      </c>
      <c r="AP227" s="260">
        <f t="shared" si="1172"/>
        <v>2.5556047292505029E-2</v>
      </c>
      <c r="AQ227" s="260">
        <f t="shared" si="1172"/>
        <v>2.5556047292505029E-2</v>
      </c>
      <c r="AR227" s="260">
        <f t="shared" si="1172"/>
        <v>2.5556047292505029E-2</v>
      </c>
      <c r="AS227" s="260">
        <f t="shared" si="1172"/>
        <v>2.5556047292505026E-2</v>
      </c>
      <c r="AT227" s="260">
        <f t="shared" si="1172"/>
        <v>3.1232716703915697E-2</v>
      </c>
      <c r="AU227" s="260">
        <f t="shared" si="1172"/>
        <v>3.1232716703915701E-2</v>
      </c>
      <c r="AV227" s="260">
        <f t="shared" si="1172"/>
        <v>3.1232716703915704E-2</v>
      </c>
      <c r="AW227" s="260">
        <f t="shared" si="1172"/>
        <v>3.1232716703915701E-2</v>
      </c>
      <c r="AY227" s="262">
        <f t="shared" si="1166"/>
        <v>0.02</v>
      </c>
      <c r="AZ227" s="262">
        <f t="shared" si="1166"/>
        <v>0.02</v>
      </c>
      <c r="BA227" s="262">
        <f t="shared" si="1166"/>
        <v>0.02</v>
      </c>
      <c r="BB227" s="262">
        <f t="shared" si="1166"/>
        <v>0.02</v>
      </c>
      <c r="BC227" s="262">
        <f t="shared" si="1166"/>
        <v>0.02</v>
      </c>
      <c r="BD227" s="262">
        <f t="shared" si="1166"/>
        <v>0.02</v>
      </c>
      <c r="BE227" s="262">
        <f t="shared" si="1166"/>
        <v>0.02</v>
      </c>
      <c r="BF227" s="262">
        <f t="shared" si="1166"/>
        <v>0.02</v>
      </c>
      <c r="BG227" s="262">
        <f t="shared" si="1166"/>
        <v>0.02</v>
      </c>
      <c r="BH227" s="262">
        <f t="shared" si="1166"/>
        <v>0.02</v>
      </c>
      <c r="BI227" s="262">
        <f t="shared" si="1166"/>
        <v>0.02</v>
      </c>
      <c r="BJ227" s="262">
        <f t="shared" si="1166"/>
        <v>0.02</v>
      </c>
      <c r="BK227" s="262">
        <f t="shared" si="1166"/>
        <v>0.02</v>
      </c>
      <c r="BL227" s="262">
        <f t="shared" si="1166"/>
        <v>0.02</v>
      </c>
      <c r="BM227" s="262">
        <f t="shared" si="1166"/>
        <v>0.02</v>
      </c>
      <c r="BN227" s="262">
        <f t="shared" si="1166"/>
        <v>0.02</v>
      </c>
      <c r="BO227" s="262">
        <f t="shared" si="1166"/>
        <v>0.02</v>
      </c>
      <c r="BP227" s="262">
        <f t="shared" si="1166"/>
        <v>0.02</v>
      </c>
      <c r="BQ227" s="262">
        <f t="shared" si="1166"/>
        <v>0.02</v>
      </c>
      <c r="BR227" s="262">
        <f t="shared" si="1166"/>
        <v>0.02</v>
      </c>
      <c r="BS227" s="262">
        <f t="shared" si="1166"/>
        <v>0.02</v>
      </c>
      <c r="BT227" s="262">
        <f t="shared" si="1166"/>
        <v>0.02</v>
      </c>
      <c r="BU227" s="262">
        <f t="shared" si="1166"/>
        <v>0.02</v>
      </c>
      <c r="BV227" s="262">
        <f t="shared" si="1166"/>
        <v>0.02</v>
      </c>
      <c r="BW227" s="262">
        <f t="shared" si="1166"/>
        <v>0.02</v>
      </c>
      <c r="BX227" s="262">
        <f t="shared" si="1166"/>
        <v>0.02</v>
      </c>
      <c r="BY227" s="262">
        <f t="shared" si="1166"/>
        <v>0.02</v>
      </c>
      <c r="BZ227" s="262">
        <f t="shared" si="1166"/>
        <v>0.02</v>
      </c>
      <c r="CA227" s="262">
        <f t="shared" si="1166"/>
        <v>0.02</v>
      </c>
      <c r="CB227" s="262">
        <f t="shared" si="1166"/>
        <v>0.02</v>
      </c>
      <c r="CC227" s="262">
        <f t="shared" si="1166"/>
        <v>0.02</v>
      </c>
      <c r="CD227" s="262">
        <f t="shared" si="1166"/>
        <v>0.02</v>
      </c>
      <c r="CE227" s="262">
        <f t="shared" si="1166"/>
        <v>0.02</v>
      </c>
      <c r="CF227" s="262">
        <f t="shared" si="1166"/>
        <v>0.02</v>
      </c>
      <c r="CG227" s="262">
        <f t="shared" si="1166"/>
        <v>0.02</v>
      </c>
      <c r="CH227" s="262">
        <f t="shared" si="1166"/>
        <v>0.02</v>
      </c>
      <c r="CI227" s="262">
        <f t="shared" si="1166"/>
        <v>5.4711376555136311E-2</v>
      </c>
      <c r="CJ227" s="262">
        <f t="shared" si="1166"/>
        <v>5.4711376555136311E-2</v>
      </c>
      <c r="CK227" s="262">
        <f t="shared" si="1166"/>
        <v>5.4711376555136311E-2</v>
      </c>
      <c r="CL227" s="262">
        <f t="shared" si="1166"/>
        <v>5.4711376555136311E-2</v>
      </c>
      <c r="CM227" s="262">
        <f t="shared" si="1166"/>
        <v>5.4711376555136311E-2</v>
      </c>
      <c r="CN227" s="262">
        <f t="shared" si="1166"/>
        <v>5.4711376555136311E-2</v>
      </c>
      <c r="CO227" s="262">
        <f t="shared" si="1166"/>
        <v>5.4711376555136311E-2</v>
      </c>
      <c r="CP227" s="262">
        <f t="shared" si="1166"/>
        <v>5.4711376555136311E-2</v>
      </c>
      <c r="CQ227" s="262">
        <f t="shared" si="1166"/>
        <v>5.4711376555136311E-2</v>
      </c>
      <c r="CR227" s="262">
        <f t="shared" si="1166"/>
        <v>5.4711376555136311E-2</v>
      </c>
      <c r="CS227" s="262">
        <f t="shared" si="1166"/>
        <v>5.4711376555136311E-2</v>
      </c>
      <c r="CT227" s="262">
        <f t="shared" si="1166"/>
        <v>5.4711376555136311E-2</v>
      </c>
      <c r="CU227" s="262">
        <f t="shared" si="1166"/>
        <v>5.2080620800999948E-2</v>
      </c>
      <c r="CV227" s="262">
        <f t="shared" si="1166"/>
        <v>5.2080620800999948E-2</v>
      </c>
      <c r="CW227" s="262">
        <f t="shared" si="1166"/>
        <v>5.2080620800999948E-2</v>
      </c>
      <c r="CX227" s="262">
        <f t="shared" si="1166"/>
        <v>5.2080620800999948E-2</v>
      </c>
      <c r="CY227" s="262">
        <f t="shared" si="1166"/>
        <v>5.2080620800999948E-2</v>
      </c>
      <c r="CZ227" s="262">
        <f t="shared" si="1166"/>
        <v>5.2080620800999948E-2</v>
      </c>
      <c r="DA227" s="262">
        <f t="shared" si="1166"/>
        <v>5.2080620800999948E-2</v>
      </c>
      <c r="DB227" s="262">
        <f t="shared" si="1166"/>
        <v>5.2080620800999948E-2</v>
      </c>
      <c r="DC227" s="262">
        <f t="shared" si="1166"/>
        <v>5.2080620800999948E-2</v>
      </c>
      <c r="DD227" s="262">
        <f t="shared" si="1166"/>
        <v>5.2080620800999948E-2</v>
      </c>
      <c r="DE227" s="262">
        <f t="shared" si="1166"/>
        <v>5.2080620800999948E-2</v>
      </c>
      <c r="DF227" s="262">
        <f t="shared" si="1166"/>
        <v>5.2080620800999948E-2</v>
      </c>
      <c r="DG227" s="262">
        <f t="shared" si="1166"/>
        <v>5.2080620800999948E-2</v>
      </c>
      <c r="DH227" s="262">
        <f t="shared" si="1166"/>
        <v>5.2080620800999948E-2</v>
      </c>
      <c r="DI227" s="262">
        <f t="shared" si="1166"/>
        <v>5.2080620800999948E-2</v>
      </c>
      <c r="DJ227" s="262">
        <f t="shared" si="1166"/>
        <v>5.2080620800999948E-2</v>
      </c>
      <c r="DK227" s="262">
        <f t="shared" si="1167"/>
        <v>5.2080620800999948E-2</v>
      </c>
      <c r="DL227" s="262">
        <f t="shared" si="1167"/>
        <v>5.2080620800999948E-2</v>
      </c>
      <c r="DM227" s="262">
        <f t="shared" si="1167"/>
        <v>5.2080620800999948E-2</v>
      </c>
      <c r="DN227" s="262">
        <f t="shared" si="1167"/>
        <v>5.2080620800999948E-2</v>
      </c>
      <c r="DO227" s="262">
        <f t="shared" si="1167"/>
        <v>5.2080620800999948E-2</v>
      </c>
      <c r="DP227" s="262">
        <f t="shared" si="1167"/>
        <v>5.2080620800999948E-2</v>
      </c>
      <c r="DQ227" s="262">
        <f t="shared" si="1167"/>
        <v>5.2080620800999948E-2</v>
      </c>
      <c r="DR227" s="262">
        <f t="shared" si="1167"/>
        <v>5.2080620800999948E-2</v>
      </c>
      <c r="DS227" s="262">
        <f t="shared" si="1167"/>
        <v>5.2080620800999948E-2</v>
      </c>
      <c r="DT227" s="262">
        <f t="shared" si="1167"/>
        <v>5.2080620800999948E-2</v>
      </c>
      <c r="DU227" s="262">
        <f t="shared" si="1168"/>
        <v>5.2080620800999948E-2</v>
      </c>
      <c r="DV227" s="262">
        <f t="shared" si="1168"/>
        <v>5.2080620800999948E-2</v>
      </c>
      <c r="DW227" s="262">
        <f t="shared" si="1168"/>
        <v>5.2080620800999948E-2</v>
      </c>
      <c r="DX227" s="262">
        <f t="shared" si="1168"/>
        <v>5.2080620800999948E-2</v>
      </c>
      <c r="DY227" s="262">
        <f t="shared" si="1168"/>
        <v>5.2080620800999948E-2</v>
      </c>
      <c r="DZ227" s="262">
        <f t="shared" si="1168"/>
        <v>5.2080620800999948E-2</v>
      </c>
      <c r="EA227" s="262">
        <f t="shared" si="1168"/>
        <v>5.2080620800999948E-2</v>
      </c>
      <c r="EB227" s="262">
        <f t="shared" si="1168"/>
        <v>5.2080620800999948E-2</v>
      </c>
      <c r="EC227" s="262">
        <f t="shared" si="1168"/>
        <v>5.2080620800999948E-2</v>
      </c>
      <c r="ED227" s="262">
        <f t="shared" si="1168"/>
        <v>5.2080620800999948E-2</v>
      </c>
      <c r="EE227" s="262">
        <f t="shared" si="1169"/>
        <v>5.2080620800999948E-2</v>
      </c>
      <c r="EF227" s="262">
        <f t="shared" si="1169"/>
        <v>5.2080620800999948E-2</v>
      </c>
      <c r="EG227" s="262">
        <f t="shared" si="1169"/>
        <v>5.2080620800999948E-2</v>
      </c>
      <c r="EH227" s="262">
        <f t="shared" si="1169"/>
        <v>5.2080620800999948E-2</v>
      </c>
      <c r="EI227" s="262">
        <f t="shared" si="1169"/>
        <v>5.2080620800999948E-2</v>
      </c>
      <c r="EJ227" s="262">
        <f t="shared" si="1169"/>
        <v>5.2080620800999948E-2</v>
      </c>
      <c r="EK227" s="262">
        <f t="shared" si="1169"/>
        <v>5.2080620800999948E-2</v>
      </c>
      <c r="EL227" s="262">
        <f t="shared" si="1169"/>
        <v>5.2080620800999948E-2</v>
      </c>
      <c r="EM227" s="262">
        <f t="shared" si="1169"/>
        <v>5.2080620800999948E-2</v>
      </c>
      <c r="EN227" s="262">
        <f t="shared" si="1169"/>
        <v>5.2080620800999948E-2</v>
      </c>
      <c r="EO227" s="262">
        <f t="shared" si="1170"/>
        <v>5.2080620800999948E-2</v>
      </c>
      <c r="EP227" s="262">
        <f t="shared" si="1170"/>
        <v>5.2080620800999948E-2</v>
      </c>
      <c r="EQ227" s="262">
        <f t="shared" si="1170"/>
        <v>5.2080620800999948E-2</v>
      </c>
      <c r="ER227" s="262">
        <f t="shared" si="1170"/>
        <v>5.2080620800999948E-2</v>
      </c>
      <c r="ES227" s="262">
        <f t="shared" si="1170"/>
        <v>5.2080620800999948E-2</v>
      </c>
      <c r="ET227" s="262">
        <f t="shared" si="1170"/>
        <v>5.2080620800999948E-2</v>
      </c>
      <c r="EU227" s="262">
        <f t="shared" si="1170"/>
        <v>5.2080620800999948E-2</v>
      </c>
      <c r="EV227" s="262">
        <f t="shared" si="1170"/>
        <v>5.2080620800999948E-2</v>
      </c>
      <c r="EW227" s="262">
        <f t="shared" si="1170"/>
        <v>5.2080620800999948E-2</v>
      </c>
      <c r="EX227" s="262">
        <f t="shared" si="1170"/>
        <v>5.2080620800999948E-2</v>
      </c>
      <c r="EY227" s="262">
        <f t="shared" si="1170"/>
        <v>5.2080620800999948E-2</v>
      </c>
      <c r="EZ227" s="262">
        <f t="shared" si="1170"/>
        <v>5.2080620800999948E-2</v>
      </c>
      <c r="FA227" s="262">
        <f t="shared" si="1170"/>
        <v>5.2080620800999948E-2</v>
      </c>
      <c r="FB227" s="262">
        <f t="shared" si="1170"/>
        <v>5.2080620800999948E-2</v>
      </c>
    </row>
    <row r="228" spans="3:158" x14ac:dyDescent="0.25">
      <c r="D228" s="331"/>
      <c r="E228" s="331"/>
      <c r="F228" s="331"/>
      <c r="G228" s="15"/>
      <c r="H228" s="15"/>
      <c r="I228" s="15"/>
      <c r="J228" s="15"/>
      <c r="K228" s="15"/>
      <c r="L228" s="328"/>
    </row>
    <row r="229" spans="3:158" x14ac:dyDescent="0.25">
      <c r="C229" s="304" t="s">
        <v>641</v>
      </c>
      <c r="D229" s="331"/>
      <c r="E229" s="331"/>
      <c r="F229" s="331"/>
    </row>
    <row r="230" spans="3:158" x14ac:dyDescent="0.25">
      <c r="C230" s="2" t="s">
        <v>346</v>
      </c>
      <c r="D230" s="349">
        <f t="shared" ref="D230" si="1173">1-SUM(D231:D233)</f>
        <v>0.95</v>
      </c>
      <c r="E230" s="349">
        <f t="shared" ref="E230" si="1174">1-SUM(E231:E233)</f>
        <v>0.95</v>
      </c>
      <c r="F230" s="349">
        <f t="shared" ref="F230" si="1175">1-SUM(F231:F233)</f>
        <v>0.95</v>
      </c>
      <c r="G230" s="349">
        <f t="shared" ref="G230" si="1176">1-SUM(G231:G233)</f>
        <v>0.87028862344486368</v>
      </c>
      <c r="H230" s="349">
        <f t="shared" ref="H230" si="1177">1-SUM(H231:H233)</f>
        <v>0.81291937919900004</v>
      </c>
      <c r="I230" s="349">
        <f>1-SUM(I231:I233)</f>
        <v>0.52291937919900011</v>
      </c>
      <c r="J230" s="349">
        <f t="shared" ref="J230" si="1178">1-SUM(J231:J233)</f>
        <v>0.32291937919900005</v>
      </c>
      <c r="K230" s="349">
        <f t="shared" ref="K230" si="1179">1-SUM(K231:K233)</f>
        <v>0.22291937919900007</v>
      </c>
      <c r="L230" s="349">
        <f t="shared" ref="L230" si="1180">1-SUM(L231:L233)</f>
        <v>0.51250976511640023</v>
      </c>
      <c r="N230" s="260">
        <f t="shared" ref="N230:AW230" si="1181">N254/N$105</f>
        <v>8.557780088834253</v>
      </c>
      <c r="O230" s="260">
        <f t="shared" si="1181"/>
        <v>4.3074329456100298</v>
      </c>
      <c r="P230" s="260">
        <f t="shared" si="1181"/>
        <v>4.3677992810162491</v>
      </c>
      <c r="Q230" s="260">
        <f t="shared" si="1181"/>
        <v>46.390326940710288</v>
      </c>
      <c r="R230" s="260">
        <f t="shared" si="1181"/>
        <v>5.3740084103859997</v>
      </c>
      <c r="S230" s="260">
        <f t="shared" si="1181"/>
        <v>9.5593295574538342</v>
      </c>
      <c r="T230" s="260">
        <f t="shared" si="1181"/>
        <v>1.9840663531509501</v>
      </c>
      <c r="U230" s="260">
        <f t="shared" si="1181"/>
        <v>3.3658864773245925</v>
      </c>
      <c r="V230" s="260">
        <f t="shared" si="1181"/>
        <v>3.9260768000582016</v>
      </c>
      <c r="W230" s="260">
        <f t="shared" si="1181"/>
        <v>3.6389066728091066</v>
      </c>
      <c r="X230" s="260">
        <f t="shared" si="1181"/>
        <v>3.5646003854273669</v>
      </c>
      <c r="Y230" s="260">
        <f t="shared" si="1181"/>
        <v>2.5195401311859968</v>
      </c>
      <c r="Z230" s="260">
        <f t="shared" si="1181"/>
        <v>1.5930643275153007</v>
      </c>
      <c r="AA230" s="260">
        <f t="shared" si="1181"/>
        <v>3.1338871920849045</v>
      </c>
      <c r="AB230" s="260">
        <f t="shared" si="1181"/>
        <v>22.007083318645609</v>
      </c>
      <c r="AC230" s="260">
        <f t="shared" si="1181"/>
        <v>21.500013191058432</v>
      </c>
      <c r="AD230" s="260">
        <f t="shared" si="1181"/>
        <v>3.9323419082027233</v>
      </c>
      <c r="AE230" s="260">
        <f t="shared" si="1181"/>
        <v>3.9323419082027242</v>
      </c>
      <c r="AF230" s="260">
        <f t="shared" si="1181"/>
        <v>3.9323419082027224</v>
      </c>
      <c r="AG230" s="260">
        <f t="shared" si="1181"/>
        <v>3.9323419082027251</v>
      </c>
      <c r="AH230" s="260">
        <f t="shared" si="1181"/>
        <v>2.8356379916287366</v>
      </c>
      <c r="AI230" s="260">
        <f t="shared" si="1181"/>
        <v>2.8356379916287366</v>
      </c>
      <c r="AJ230" s="260">
        <f t="shared" si="1181"/>
        <v>2.8356379916287362</v>
      </c>
      <c r="AK230" s="260">
        <f t="shared" si="1181"/>
        <v>2.8356379916287358</v>
      </c>
      <c r="AL230" s="260">
        <f t="shared" si="1181"/>
        <v>1.9689594867446361</v>
      </c>
      <c r="AM230" s="260">
        <f t="shared" si="1181"/>
        <v>1.9689594867446363</v>
      </c>
      <c r="AN230" s="260">
        <f t="shared" si="1181"/>
        <v>1.9689594867446358</v>
      </c>
      <c r="AO230" s="260">
        <f t="shared" si="1181"/>
        <v>1.9689594867446358</v>
      </c>
      <c r="AP230" s="260">
        <f t="shared" si="1181"/>
        <v>1.5175862156573203</v>
      </c>
      <c r="AQ230" s="260">
        <f t="shared" si="1181"/>
        <v>1.5175862156573199</v>
      </c>
      <c r="AR230" s="260">
        <f t="shared" si="1181"/>
        <v>1.5175862156573199</v>
      </c>
      <c r="AS230" s="260">
        <f t="shared" si="1181"/>
        <v>1.5175862156573199</v>
      </c>
      <c r="AT230" s="260">
        <f t="shared" si="1181"/>
        <v>3.8765984499959765</v>
      </c>
      <c r="AU230" s="260">
        <f t="shared" si="1181"/>
        <v>3.8765984499959765</v>
      </c>
      <c r="AV230" s="260">
        <f t="shared" si="1181"/>
        <v>3.8765984499959756</v>
      </c>
      <c r="AW230" s="260">
        <f t="shared" si="1181"/>
        <v>3.8765984499959756</v>
      </c>
      <c r="AY230" s="260">
        <f t="shared" ref="AY230:DJ230" si="1182">1-SUM(AY231:AY233)</f>
        <v>0.95</v>
      </c>
      <c r="AZ230" s="260">
        <f t="shared" si="1182"/>
        <v>0.95</v>
      </c>
      <c r="BA230" s="260">
        <f t="shared" si="1182"/>
        <v>0.95</v>
      </c>
      <c r="BB230" s="260">
        <f t="shared" si="1182"/>
        <v>0.95</v>
      </c>
      <c r="BC230" s="260">
        <f t="shared" si="1182"/>
        <v>0.95</v>
      </c>
      <c r="BD230" s="260">
        <f t="shared" si="1182"/>
        <v>0.95</v>
      </c>
      <c r="BE230" s="260">
        <f t="shared" si="1182"/>
        <v>0.95</v>
      </c>
      <c r="BF230" s="260">
        <f t="shared" si="1182"/>
        <v>0.95</v>
      </c>
      <c r="BG230" s="260">
        <f t="shared" si="1182"/>
        <v>0.95</v>
      </c>
      <c r="BH230" s="260">
        <f t="shared" si="1182"/>
        <v>0.95</v>
      </c>
      <c r="BI230" s="260">
        <f t="shared" si="1182"/>
        <v>0.95</v>
      </c>
      <c r="BJ230" s="260">
        <f t="shared" si="1182"/>
        <v>0.95</v>
      </c>
      <c r="BK230" s="260">
        <f t="shared" si="1182"/>
        <v>0.95</v>
      </c>
      <c r="BL230" s="260">
        <f t="shared" si="1182"/>
        <v>0.95</v>
      </c>
      <c r="BM230" s="260">
        <f t="shared" si="1182"/>
        <v>0.95</v>
      </c>
      <c r="BN230" s="260">
        <f t="shared" si="1182"/>
        <v>0.95</v>
      </c>
      <c r="BO230" s="260">
        <f t="shared" si="1182"/>
        <v>0.95</v>
      </c>
      <c r="BP230" s="260">
        <f t="shared" si="1182"/>
        <v>0.95</v>
      </c>
      <c r="BQ230" s="260">
        <f t="shared" si="1182"/>
        <v>0.95</v>
      </c>
      <c r="BR230" s="260">
        <f t="shared" si="1182"/>
        <v>0.95</v>
      </c>
      <c r="BS230" s="260">
        <f t="shared" si="1182"/>
        <v>0.95</v>
      </c>
      <c r="BT230" s="260">
        <f t="shared" si="1182"/>
        <v>0.95</v>
      </c>
      <c r="BU230" s="260">
        <f t="shared" si="1182"/>
        <v>0.95</v>
      </c>
      <c r="BV230" s="260">
        <f t="shared" si="1182"/>
        <v>0.95</v>
      </c>
      <c r="BW230" s="260">
        <f t="shared" si="1182"/>
        <v>0.95</v>
      </c>
      <c r="BX230" s="260">
        <f t="shared" si="1182"/>
        <v>0.95</v>
      </c>
      <c r="BY230" s="260">
        <f t="shared" si="1182"/>
        <v>0.95</v>
      </c>
      <c r="BZ230" s="260">
        <f t="shared" si="1182"/>
        <v>0.95</v>
      </c>
      <c r="CA230" s="260">
        <f t="shared" si="1182"/>
        <v>0.95</v>
      </c>
      <c r="CB230" s="260">
        <f t="shared" si="1182"/>
        <v>0.95</v>
      </c>
      <c r="CC230" s="260">
        <f t="shared" si="1182"/>
        <v>0.95</v>
      </c>
      <c r="CD230" s="260">
        <f t="shared" si="1182"/>
        <v>0.95</v>
      </c>
      <c r="CE230" s="260">
        <f t="shared" si="1182"/>
        <v>0.95</v>
      </c>
      <c r="CF230" s="260">
        <f t="shared" si="1182"/>
        <v>0.95</v>
      </c>
      <c r="CG230" s="260">
        <f t="shared" si="1182"/>
        <v>0.95</v>
      </c>
      <c r="CH230" s="260">
        <f t="shared" si="1182"/>
        <v>0.95</v>
      </c>
      <c r="CI230" s="260">
        <f t="shared" si="1182"/>
        <v>0.87028862344486368</v>
      </c>
      <c r="CJ230" s="260">
        <f t="shared" si="1182"/>
        <v>0.87028862344486368</v>
      </c>
      <c r="CK230" s="260">
        <f t="shared" si="1182"/>
        <v>0.87028862344486368</v>
      </c>
      <c r="CL230" s="260">
        <f t="shared" si="1182"/>
        <v>0.87028862344486368</v>
      </c>
      <c r="CM230" s="260">
        <f t="shared" si="1182"/>
        <v>0.87028862344486368</v>
      </c>
      <c r="CN230" s="260">
        <f t="shared" si="1182"/>
        <v>0.87028862344486368</v>
      </c>
      <c r="CO230" s="260">
        <f t="shared" si="1182"/>
        <v>0.87028862344486368</v>
      </c>
      <c r="CP230" s="260">
        <f t="shared" si="1182"/>
        <v>0.87028862344486368</v>
      </c>
      <c r="CQ230" s="260">
        <f t="shared" si="1182"/>
        <v>0.87028862344486368</v>
      </c>
      <c r="CR230" s="260">
        <f t="shared" si="1182"/>
        <v>0.87028862344486368</v>
      </c>
      <c r="CS230" s="260">
        <f t="shared" si="1182"/>
        <v>0.87028862344486368</v>
      </c>
      <c r="CT230" s="260">
        <f t="shared" si="1182"/>
        <v>0.87028862344486368</v>
      </c>
      <c r="CU230" s="260">
        <f t="shared" si="1182"/>
        <v>0.81291937919900004</v>
      </c>
      <c r="CV230" s="260">
        <f t="shared" si="1182"/>
        <v>0.81291937919900004</v>
      </c>
      <c r="CW230" s="260">
        <f t="shared" si="1182"/>
        <v>0.81291937919900004</v>
      </c>
      <c r="CX230" s="260">
        <f t="shared" si="1182"/>
        <v>0.81291937919900004</v>
      </c>
      <c r="CY230" s="260">
        <f t="shared" si="1182"/>
        <v>0.81291937919900004</v>
      </c>
      <c r="CZ230" s="260">
        <f t="shared" si="1182"/>
        <v>0.81291937919900004</v>
      </c>
      <c r="DA230" s="260">
        <f t="shared" si="1182"/>
        <v>0.81291937919900004</v>
      </c>
      <c r="DB230" s="260">
        <f t="shared" si="1182"/>
        <v>0.81291937919900004</v>
      </c>
      <c r="DC230" s="260">
        <f t="shared" si="1182"/>
        <v>0.81291937919900004</v>
      </c>
      <c r="DD230" s="260">
        <f t="shared" si="1182"/>
        <v>0.81291937919900004</v>
      </c>
      <c r="DE230" s="260">
        <f t="shared" si="1182"/>
        <v>0.81291937919900004</v>
      </c>
      <c r="DF230" s="260">
        <f t="shared" si="1182"/>
        <v>0.81291937919900004</v>
      </c>
      <c r="DG230" s="260">
        <f t="shared" si="1182"/>
        <v>0.52291937919900011</v>
      </c>
      <c r="DH230" s="260">
        <f t="shared" si="1182"/>
        <v>0.52291937919900011</v>
      </c>
      <c r="DI230" s="260">
        <f t="shared" si="1182"/>
        <v>0.52291937919900011</v>
      </c>
      <c r="DJ230" s="260">
        <f t="shared" si="1182"/>
        <v>0.52291937919900011</v>
      </c>
      <c r="DK230" s="260">
        <f t="shared" ref="DK230:FB230" si="1183">1-SUM(DK231:DK233)</f>
        <v>0.52291937919900011</v>
      </c>
      <c r="DL230" s="260">
        <f t="shared" si="1183"/>
        <v>0.52291937919900011</v>
      </c>
      <c r="DM230" s="260">
        <f t="shared" si="1183"/>
        <v>0.52291937919900011</v>
      </c>
      <c r="DN230" s="260">
        <f t="shared" si="1183"/>
        <v>0.52291937919900011</v>
      </c>
      <c r="DO230" s="260">
        <f t="shared" si="1183"/>
        <v>0.52291937919900011</v>
      </c>
      <c r="DP230" s="260">
        <f t="shared" si="1183"/>
        <v>0.52291937919900011</v>
      </c>
      <c r="DQ230" s="260">
        <f t="shared" si="1183"/>
        <v>0.52291937919900011</v>
      </c>
      <c r="DR230" s="260">
        <f t="shared" si="1183"/>
        <v>0.52291937919900011</v>
      </c>
      <c r="DS230" s="260">
        <f t="shared" si="1183"/>
        <v>0.32291937919900005</v>
      </c>
      <c r="DT230" s="260">
        <f t="shared" si="1183"/>
        <v>0.32291937919900005</v>
      </c>
      <c r="DU230" s="260">
        <f t="shared" si="1183"/>
        <v>0.32291937919900005</v>
      </c>
      <c r="DV230" s="260">
        <f t="shared" si="1183"/>
        <v>0.32291937919900005</v>
      </c>
      <c r="DW230" s="260">
        <f t="shared" si="1183"/>
        <v>0.32291937919900005</v>
      </c>
      <c r="DX230" s="260">
        <f t="shared" si="1183"/>
        <v>0.32291937919900005</v>
      </c>
      <c r="DY230" s="260">
        <f t="shared" si="1183"/>
        <v>0.32291937919900005</v>
      </c>
      <c r="DZ230" s="260">
        <f t="shared" si="1183"/>
        <v>0.32291937919900005</v>
      </c>
      <c r="EA230" s="260">
        <f t="shared" si="1183"/>
        <v>0.32291937919900005</v>
      </c>
      <c r="EB230" s="260">
        <f t="shared" si="1183"/>
        <v>0.32291937919900005</v>
      </c>
      <c r="EC230" s="260">
        <f t="shared" si="1183"/>
        <v>0.32291937919900005</v>
      </c>
      <c r="ED230" s="260">
        <f t="shared" si="1183"/>
        <v>0.32291937919900005</v>
      </c>
      <c r="EE230" s="260">
        <f t="shared" si="1183"/>
        <v>0.22291937919900007</v>
      </c>
      <c r="EF230" s="260">
        <f t="shared" si="1183"/>
        <v>0.22291937919900007</v>
      </c>
      <c r="EG230" s="260">
        <f t="shared" si="1183"/>
        <v>0.22291937919900007</v>
      </c>
      <c r="EH230" s="260">
        <f t="shared" si="1183"/>
        <v>0.22291937919900007</v>
      </c>
      <c r="EI230" s="260">
        <f t="shared" si="1183"/>
        <v>0.22291937919900007</v>
      </c>
      <c r="EJ230" s="260">
        <f t="shared" si="1183"/>
        <v>0.22291937919900007</v>
      </c>
      <c r="EK230" s="260">
        <f t="shared" si="1183"/>
        <v>0.22291937919900007</v>
      </c>
      <c r="EL230" s="260">
        <f t="shared" si="1183"/>
        <v>0.22291937919900007</v>
      </c>
      <c r="EM230" s="260">
        <f t="shared" si="1183"/>
        <v>0.22291937919900007</v>
      </c>
      <c r="EN230" s="260">
        <f t="shared" si="1183"/>
        <v>0.22291937919900007</v>
      </c>
      <c r="EO230" s="260">
        <f t="shared" si="1183"/>
        <v>0.22291937919900007</v>
      </c>
      <c r="EP230" s="260">
        <f t="shared" si="1183"/>
        <v>0.22291937919900007</v>
      </c>
      <c r="EQ230" s="260">
        <f t="shared" si="1183"/>
        <v>0.51250976511640023</v>
      </c>
      <c r="ER230" s="260">
        <f t="shared" si="1183"/>
        <v>0.51250976511640023</v>
      </c>
      <c r="ES230" s="260">
        <f t="shared" si="1183"/>
        <v>0.51250976511640023</v>
      </c>
      <c r="ET230" s="260">
        <f t="shared" si="1183"/>
        <v>0.51250976511640023</v>
      </c>
      <c r="EU230" s="260">
        <f t="shared" si="1183"/>
        <v>0.51250976511640023</v>
      </c>
      <c r="EV230" s="260">
        <f t="shared" si="1183"/>
        <v>0.51250976511640023</v>
      </c>
      <c r="EW230" s="260">
        <f t="shared" si="1183"/>
        <v>0.51250976511640023</v>
      </c>
      <c r="EX230" s="260">
        <f t="shared" si="1183"/>
        <v>0.51250976511640023</v>
      </c>
      <c r="EY230" s="260">
        <f t="shared" si="1183"/>
        <v>0.51250976511640023</v>
      </c>
      <c r="EZ230" s="260">
        <f t="shared" si="1183"/>
        <v>0.51250976511640023</v>
      </c>
      <c r="FA230" s="260">
        <f t="shared" si="1183"/>
        <v>0.51250976511640023</v>
      </c>
      <c r="FB230" s="260">
        <f t="shared" si="1183"/>
        <v>0.51250976511640023</v>
      </c>
    </row>
    <row r="231" spans="3:158" x14ac:dyDescent="0.25">
      <c r="C231" s="2" t="s">
        <v>298</v>
      </c>
      <c r="D231" s="330">
        <v>0.02</v>
      </c>
      <c r="E231" s="330">
        <v>0.02</v>
      </c>
      <c r="F231" s="330">
        <v>0.02</v>
      </c>
      <c r="G231" s="169">
        <v>0.03</v>
      </c>
      <c r="H231" s="169">
        <v>4.4999999999999998E-2</v>
      </c>
      <c r="I231" s="169">
        <f t="shared" ref="G231:K233" si="1184">I225</f>
        <v>0.125</v>
      </c>
      <c r="J231" s="169">
        <f t="shared" si="1184"/>
        <v>0.125</v>
      </c>
      <c r="K231" s="169">
        <f t="shared" si="1184"/>
        <v>0.125</v>
      </c>
      <c r="L231" s="169">
        <v>0.15</v>
      </c>
      <c r="N231" s="260">
        <f t="shared" ref="N231:AW231" si="1185">N255/N$105</f>
        <v>0.18016379134387903</v>
      </c>
      <c r="O231" s="260">
        <f t="shared" si="1185"/>
        <v>9.0682798854947996E-2</v>
      </c>
      <c r="P231" s="260">
        <f t="shared" si="1185"/>
        <v>9.1953669074026301E-2</v>
      </c>
      <c r="Q231" s="260">
        <f t="shared" si="1185"/>
        <v>0.97663846190969028</v>
      </c>
      <c r="R231" s="260">
        <f t="shared" si="1185"/>
        <v>0.11313701916602105</v>
      </c>
      <c r="S231" s="260">
        <f t="shared" si="1185"/>
        <v>0.2012490433148176</v>
      </c>
      <c r="T231" s="260">
        <f t="shared" si="1185"/>
        <v>4.1769817961072646E-2</v>
      </c>
      <c r="U231" s="260">
        <f t="shared" si="1185"/>
        <v>7.0860767943675643E-2</v>
      </c>
      <c r="V231" s="260">
        <f t="shared" si="1185"/>
        <v>8.2654248422277948E-2</v>
      </c>
      <c r="W231" s="260">
        <f t="shared" si="1185"/>
        <v>7.6608561532823305E-2</v>
      </c>
      <c r="X231" s="260">
        <f t="shared" si="1185"/>
        <v>7.5044218640576157E-2</v>
      </c>
      <c r="Y231" s="260">
        <f t="shared" si="1185"/>
        <v>5.3042950130231512E-2</v>
      </c>
      <c r="Z231" s="260">
        <f t="shared" si="1185"/>
        <v>5.4915034550588764E-2</v>
      </c>
      <c r="AA231" s="260">
        <f t="shared" si="1185"/>
        <v>0.10802923677251017</v>
      </c>
      <c r="AB231" s="260">
        <f t="shared" si="1185"/>
        <v>0.75861327124563438</v>
      </c>
      <c r="AC231" s="260">
        <f t="shared" si="1185"/>
        <v>0.74113389323492218</v>
      </c>
      <c r="AD231" s="260">
        <f t="shared" si="1185"/>
        <v>0.21767888722677928</v>
      </c>
      <c r="AE231" s="260">
        <f t="shared" si="1185"/>
        <v>0.21767888722677936</v>
      </c>
      <c r="AF231" s="260">
        <f t="shared" si="1185"/>
        <v>0.21767888722677922</v>
      </c>
      <c r="AG231" s="260">
        <f t="shared" si="1185"/>
        <v>0.21767888722677936</v>
      </c>
      <c r="AH231" s="260">
        <f t="shared" si="1185"/>
        <v>0.67783823482797745</v>
      </c>
      <c r="AI231" s="260">
        <f t="shared" si="1185"/>
        <v>0.67783823482797756</v>
      </c>
      <c r="AJ231" s="260">
        <f t="shared" si="1185"/>
        <v>0.67783823482797745</v>
      </c>
      <c r="AK231" s="260">
        <f t="shared" si="1185"/>
        <v>0.67783823482797734</v>
      </c>
      <c r="AL231" s="260">
        <f t="shared" si="1185"/>
        <v>0.76217146352002407</v>
      </c>
      <c r="AM231" s="260">
        <f t="shared" si="1185"/>
        <v>0.76217146352002396</v>
      </c>
      <c r="AN231" s="260">
        <f t="shared" si="1185"/>
        <v>0.76217146352002407</v>
      </c>
      <c r="AO231" s="260">
        <f t="shared" si="1185"/>
        <v>0.76217146352002407</v>
      </c>
      <c r="AP231" s="260">
        <f t="shared" si="1185"/>
        <v>0.85097256971912438</v>
      </c>
      <c r="AQ231" s="260">
        <f t="shared" si="1185"/>
        <v>0.85097256971912427</v>
      </c>
      <c r="AR231" s="260">
        <f t="shared" si="1185"/>
        <v>0.85097256971912416</v>
      </c>
      <c r="AS231" s="260">
        <f t="shared" si="1185"/>
        <v>0.85097256971912438</v>
      </c>
      <c r="AT231" s="260">
        <f t="shared" si="1185"/>
        <v>1.1345925620896797</v>
      </c>
      <c r="AU231" s="260">
        <f t="shared" si="1185"/>
        <v>1.1345925620896795</v>
      </c>
      <c r="AV231" s="260">
        <f t="shared" si="1185"/>
        <v>1.1345925620896795</v>
      </c>
      <c r="AW231" s="260">
        <f t="shared" si="1185"/>
        <v>1.1345925620896795</v>
      </c>
      <c r="AY231" s="262">
        <f t="shared" ref="AY231:BH232" si="1186">INDEX($D231:$L231,1,MATCH(AY$2,$D$2:$L$2,))</f>
        <v>0.02</v>
      </c>
      <c r="AZ231" s="262">
        <f t="shared" si="1186"/>
        <v>0.02</v>
      </c>
      <c r="BA231" s="262">
        <f t="shared" si="1186"/>
        <v>0.02</v>
      </c>
      <c r="BB231" s="262">
        <f t="shared" si="1186"/>
        <v>0.02</v>
      </c>
      <c r="BC231" s="262">
        <f t="shared" si="1186"/>
        <v>0.02</v>
      </c>
      <c r="BD231" s="262">
        <f t="shared" si="1186"/>
        <v>0.02</v>
      </c>
      <c r="BE231" s="262">
        <f t="shared" si="1186"/>
        <v>0.02</v>
      </c>
      <c r="BF231" s="262">
        <f t="shared" si="1186"/>
        <v>0.02</v>
      </c>
      <c r="BG231" s="262">
        <f t="shared" si="1186"/>
        <v>0.02</v>
      </c>
      <c r="BH231" s="262">
        <f t="shared" si="1186"/>
        <v>0.02</v>
      </c>
      <c r="BI231" s="262">
        <f t="shared" ref="BI231:BR232" si="1187">INDEX($D231:$L231,1,MATCH(BI$2,$D$2:$L$2,))</f>
        <v>0.02</v>
      </c>
      <c r="BJ231" s="262">
        <f t="shared" si="1187"/>
        <v>0.02</v>
      </c>
      <c r="BK231" s="262">
        <f t="shared" si="1187"/>
        <v>0.02</v>
      </c>
      <c r="BL231" s="262">
        <f t="shared" si="1187"/>
        <v>0.02</v>
      </c>
      <c r="BM231" s="262">
        <f t="shared" si="1187"/>
        <v>0.02</v>
      </c>
      <c r="BN231" s="262">
        <f t="shared" si="1187"/>
        <v>0.02</v>
      </c>
      <c r="BO231" s="262">
        <f t="shared" si="1187"/>
        <v>0.02</v>
      </c>
      <c r="BP231" s="262">
        <f t="shared" si="1187"/>
        <v>0.02</v>
      </c>
      <c r="BQ231" s="262">
        <f t="shared" si="1187"/>
        <v>0.02</v>
      </c>
      <c r="BR231" s="262">
        <f t="shared" si="1187"/>
        <v>0.02</v>
      </c>
      <c r="BS231" s="262">
        <f t="shared" ref="BS231:CB232" si="1188">INDEX($D231:$L231,1,MATCH(BS$2,$D$2:$L$2,))</f>
        <v>0.02</v>
      </c>
      <c r="BT231" s="262">
        <f t="shared" si="1188"/>
        <v>0.02</v>
      </c>
      <c r="BU231" s="262">
        <f t="shared" si="1188"/>
        <v>0.02</v>
      </c>
      <c r="BV231" s="262">
        <f t="shared" si="1188"/>
        <v>0.02</v>
      </c>
      <c r="BW231" s="262">
        <f t="shared" si="1188"/>
        <v>0.02</v>
      </c>
      <c r="BX231" s="262">
        <f t="shared" si="1188"/>
        <v>0.02</v>
      </c>
      <c r="BY231" s="262">
        <f t="shared" si="1188"/>
        <v>0.02</v>
      </c>
      <c r="BZ231" s="262">
        <f t="shared" si="1188"/>
        <v>0.02</v>
      </c>
      <c r="CA231" s="262">
        <f t="shared" si="1188"/>
        <v>0.02</v>
      </c>
      <c r="CB231" s="262">
        <f t="shared" si="1188"/>
        <v>0.02</v>
      </c>
      <c r="CC231" s="262">
        <f t="shared" ref="CC231:CL232" si="1189">INDEX($D231:$L231,1,MATCH(CC$2,$D$2:$L$2,))</f>
        <v>0.02</v>
      </c>
      <c r="CD231" s="262">
        <f t="shared" si="1189"/>
        <v>0.02</v>
      </c>
      <c r="CE231" s="262">
        <f t="shared" si="1189"/>
        <v>0.02</v>
      </c>
      <c r="CF231" s="262">
        <f t="shared" si="1189"/>
        <v>0.02</v>
      </c>
      <c r="CG231" s="262">
        <f t="shared" si="1189"/>
        <v>0.02</v>
      </c>
      <c r="CH231" s="262">
        <f t="shared" si="1189"/>
        <v>0.02</v>
      </c>
      <c r="CI231" s="262">
        <f t="shared" si="1189"/>
        <v>0.03</v>
      </c>
      <c r="CJ231" s="262">
        <f t="shared" si="1189"/>
        <v>0.03</v>
      </c>
      <c r="CK231" s="262">
        <f t="shared" si="1189"/>
        <v>0.03</v>
      </c>
      <c r="CL231" s="262">
        <f t="shared" si="1189"/>
        <v>0.03</v>
      </c>
      <c r="CM231" s="262">
        <f t="shared" ref="CM231:CT232" si="1190">INDEX($D231:$L231,1,MATCH(CM$2,$D$2:$L$2,))</f>
        <v>0.03</v>
      </c>
      <c r="CN231" s="262">
        <f t="shared" si="1190"/>
        <v>0.03</v>
      </c>
      <c r="CO231" s="262">
        <f t="shared" si="1190"/>
        <v>0.03</v>
      </c>
      <c r="CP231" s="262">
        <f t="shared" si="1190"/>
        <v>0.03</v>
      </c>
      <c r="CQ231" s="262">
        <f t="shared" si="1190"/>
        <v>0.03</v>
      </c>
      <c r="CR231" s="262">
        <f t="shared" si="1190"/>
        <v>0.03</v>
      </c>
      <c r="CS231" s="262">
        <f t="shared" si="1190"/>
        <v>0.03</v>
      </c>
      <c r="CT231" s="262">
        <f t="shared" si="1190"/>
        <v>0.03</v>
      </c>
      <c r="CU231" s="262">
        <f t="shared" ref="AY231:DJ233" si="1191">INDEX($D231:$L231,1,MATCH(CU$2,$D$2:$L$2,))</f>
        <v>4.4999999999999998E-2</v>
      </c>
      <c r="CV231" s="262">
        <f t="shared" si="1191"/>
        <v>4.4999999999999998E-2</v>
      </c>
      <c r="CW231" s="262">
        <f t="shared" si="1191"/>
        <v>4.4999999999999998E-2</v>
      </c>
      <c r="CX231" s="262">
        <f t="shared" si="1191"/>
        <v>4.4999999999999998E-2</v>
      </c>
      <c r="CY231" s="262">
        <f t="shared" si="1191"/>
        <v>4.4999999999999998E-2</v>
      </c>
      <c r="CZ231" s="262">
        <f t="shared" si="1191"/>
        <v>4.4999999999999998E-2</v>
      </c>
      <c r="DA231" s="262">
        <f t="shared" si="1191"/>
        <v>4.4999999999999998E-2</v>
      </c>
      <c r="DB231" s="262">
        <f t="shared" si="1191"/>
        <v>4.4999999999999998E-2</v>
      </c>
      <c r="DC231" s="262">
        <f t="shared" si="1191"/>
        <v>4.4999999999999998E-2</v>
      </c>
      <c r="DD231" s="262">
        <f t="shared" si="1191"/>
        <v>4.4999999999999998E-2</v>
      </c>
      <c r="DE231" s="262">
        <f t="shared" si="1191"/>
        <v>4.4999999999999998E-2</v>
      </c>
      <c r="DF231" s="262">
        <f t="shared" si="1191"/>
        <v>4.4999999999999998E-2</v>
      </c>
      <c r="DG231" s="262">
        <f t="shared" si="1191"/>
        <v>0.125</v>
      </c>
      <c r="DH231" s="262">
        <f t="shared" si="1191"/>
        <v>0.125</v>
      </c>
      <c r="DI231" s="262">
        <f t="shared" si="1191"/>
        <v>0.125</v>
      </c>
      <c r="DJ231" s="262">
        <f t="shared" si="1191"/>
        <v>0.125</v>
      </c>
      <c r="DK231" s="262">
        <f t="shared" ref="DK231:DT233" si="1192">INDEX($D231:$L231,1,MATCH(DK$2,$D$2:$L$2,))</f>
        <v>0.125</v>
      </c>
      <c r="DL231" s="262">
        <f t="shared" si="1192"/>
        <v>0.125</v>
      </c>
      <c r="DM231" s="262">
        <f t="shared" si="1192"/>
        <v>0.125</v>
      </c>
      <c r="DN231" s="262">
        <f t="shared" si="1192"/>
        <v>0.125</v>
      </c>
      <c r="DO231" s="262">
        <f t="shared" si="1192"/>
        <v>0.125</v>
      </c>
      <c r="DP231" s="262">
        <f t="shared" si="1192"/>
        <v>0.125</v>
      </c>
      <c r="DQ231" s="262">
        <f t="shared" si="1192"/>
        <v>0.125</v>
      </c>
      <c r="DR231" s="262">
        <f t="shared" si="1192"/>
        <v>0.125</v>
      </c>
      <c r="DS231" s="262">
        <f t="shared" si="1192"/>
        <v>0.125</v>
      </c>
      <c r="DT231" s="262">
        <f t="shared" si="1192"/>
        <v>0.125</v>
      </c>
      <c r="DU231" s="262">
        <f t="shared" ref="DU231:ED233" si="1193">INDEX($D231:$L231,1,MATCH(DU$2,$D$2:$L$2,))</f>
        <v>0.125</v>
      </c>
      <c r="DV231" s="262">
        <f t="shared" si="1193"/>
        <v>0.125</v>
      </c>
      <c r="DW231" s="262">
        <f t="shared" si="1193"/>
        <v>0.125</v>
      </c>
      <c r="DX231" s="262">
        <f t="shared" si="1193"/>
        <v>0.125</v>
      </c>
      <c r="DY231" s="262">
        <f t="shared" si="1193"/>
        <v>0.125</v>
      </c>
      <c r="DZ231" s="262">
        <f t="shared" si="1193"/>
        <v>0.125</v>
      </c>
      <c r="EA231" s="262">
        <f t="shared" si="1193"/>
        <v>0.125</v>
      </c>
      <c r="EB231" s="262">
        <f t="shared" si="1193"/>
        <v>0.125</v>
      </c>
      <c r="EC231" s="262">
        <f t="shared" si="1193"/>
        <v>0.125</v>
      </c>
      <c r="ED231" s="262">
        <f t="shared" si="1193"/>
        <v>0.125</v>
      </c>
      <c r="EE231" s="262">
        <f t="shared" ref="EE231:EN233" si="1194">INDEX($D231:$L231,1,MATCH(EE$2,$D$2:$L$2,))</f>
        <v>0.125</v>
      </c>
      <c r="EF231" s="262">
        <f t="shared" si="1194"/>
        <v>0.125</v>
      </c>
      <c r="EG231" s="262">
        <f t="shared" si="1194"/>
        <v>0.125</v>
      </c>
      <c r="EH231" s="262">
        <f t="shared" si="1194"/>
        <v>0.125</v>
      </c>
      <c r="EI231" s="262">
        <f t="shared" si="1194"/>
        <v>0.125</v>
      </c>
      <c r="EJ231" s="262">
        <f t="shared" si="1194"/>
        <v>0.125</v>
      </c>
      <c r="EK231" s="262">
        <f t="shared" si="1194"/>
        <v>0.125</v>
      </c>
      <c r="EL231" s="262">
        <f t="shared" si="1194"/>
        <v>0.125</v>
      </c>
      <c r="EM231" s="262">
        <f t="shared" si="1194"/>
        <v>0.125</v>
      </c>
      <c r="EN231" s="262">
        <f t="shared" si="1194"/>
        <v>0.125</v>
      </c>
      <c r="EO231" s="262">
        <f t="shared" ref="EO231:FB233" si="1195">INDEX($D231:$L231,1,MATCH(EO$2,$D$2:$L$2,))</f>
        <v>0.125</v>
      </c>
      <c r="EP231" s="262">
        <f t="shared" si="1195"/>
        <v>0.125</v>
      </c>
      <c r="EQ231" s="262">
        <f t="shared" si="1195"/>
        <v>0.15</v>
      </c>
      <c r="ER231" s="262">
        <f t="shared" si="1195"/>
        <v>0.15</v>
      </c>
      <c r="ES231" s="262">
        <f t="shared" si="1195"/>
        <v>0.15</v>
      </c>
      <c r="ET231" s="262">
        <f t="shared" si="1195"/>
        <v>0.15</v>
      </c>
      <c r="EU231" s="262">
        <f t="shared" si="1195"/>
        <v>0.15</v>
      </c>
      <c r="EV231" s="262">
        <f t="shared" si="1195"/>
        <v>0.15</v>
      </c>
      <c r="EW231" s="262">
        <f t="shared" si="1195"/>
        <v>0.15</v>
      </c>
      <c r="EX231" s="262">
        <f t="shared" si="1195"/>
        <v>0.15</v>
      </c>
      <c r="EY231" s="262">
        <f t="shared" si="1195"/>
        <v>0.15</v>
      </c>
      <c r="EZ231" s="262">
        <f t="shared" si="1195"/>
        <v>0.15</v>
      </c>
      <c r="FA231" s="262">
        <f t="shared" si="1195"/>
        <v>0.15</v>
      </c>
      <c r="FB231" s="262">
        <f t="shared" si="1195"/>
        <v>0.15</v>
      </c>
    </row>
    <row r="232" spans="3:158" x14ac:dyDescent="0.25">
      <c r="C232" s="2" t="s">
        <v>299</v>
      </c>
      <c r="D232" s="330">
        <v>0.01</v>
      </c>
      <c r="E232" s="330">
        <v>0.01</v>
      </c>
      <c r="F232" s="330">
        <v>0.01</v>
      </c>
      <c r="G232" s="169">
        <v>4.4999999999999998E-2</v>
      </c>
      <c r="H232" s="169">
        <f t="shared" si="1184"/>
        <v>0.09</v>
      </c>
      <c r="I232" s="169">
        <f t="shared" si="1184"/>
        <v>0.3</v>
      </c>
      <c r="J232" s="169">
        <f t="shared" si="1184"/>
        <v>0.5</v>
      </c>
      <c r="K232" s="169">
        <f t="shared" si="1184"/>
        <v>0.6</v>
      </c>
      <c r="L232" s="169">
        <v>0.28540961408259985</v>
      </c>
      <c r="N232" s="260">
        <f t="shared" ref="N232:AW232" si="1196">N256/N$105</f>
        <v>9.0081895671939513E-2</v>
      </c>
      <c r="O232" s="260">
        <f t="shared" si="1196"/>
        <v>4.5341399427473998E-2</v>
      </c>
      <c r="P232" s="260">
        <f t="shared" si="1196"/>
        <v>4.597683453701315E-2</v>
      </c>
      <c r="Q232" s="260">
        <f t="shared" si="1196"/>
        <v>0.48831923095484514</v>
      </c>
      <c r="R232" s="260">
        <f t="shared" si="1196"/>
        <v>5.6568509583010525E-2</v>
      </c>
      <c r="S232" s="260">
        <f t="shared" si="1196"/>
        <v>0.1006245216574088</v>
      </c>
      <c r="T232" s="260">
        <f t="shared" si="1196"/>
        <v>2.0884908980536323E-2</v>
      </c>
      <c r="U232" s="260">
        <f t="shared" si="1196"/>
        <v>3.5430383971837821E-2</v>
      </c>
      <c r="V232" s="260">
        <f t="shared" si="1196"/>
        <v>4.1327124211138974E-2</v>
      </c>
      <c r="W232" s="260">
        <f t="shared" si="1196"/>
        <v>3.8304280766411652E-2</v>
      </c>
      <c r="X232" s="260">
        <f t="shared" si="1196"/>
        <v>3.7522109320288079E-2</v>
      </c>
      <c r="Y232" s="260">
        <f t="shared" si="1196"/>
        <v>2.6521475065115756E-2</v>
      </c>
      <c r="Z232" s="260">
        <f t="shared" si="1196"/>
        <v>8.2372551825883156E-2</v>
      </c>
      <c r="AA232" s="260">
        <f t="shared" si="1196"/>
        <v>0.16204385515876527</v>
      </c>
      <c r="AB232" s="260">
        <f t="shared" si="1196"/>
        <v>1.1379199068684518</v>
      </c>
      <c r="AC232" s="260">
        <f t="shared" si="1196"/>
        <v>1.1117008398523833</v>
      </c>
      <c r="AD232" s="260">
        <f t="shared" si="1196"/>
        <v>0.43535777445355855</v>
      </c>
      <c r="AE232" s="260">
        <f t="shared" si="1196"/>
        <v>0.43535777445355872</v>
      </c>
      <c r="AF232" s="260">
        <f t="shared" si="1196"/>
        <v>0.43535777445355844</v>
      </c>
      <c r="AG232" s="260">
        <f t="shared" si="1196"/>
        <v>0.43535777445355872</v>
      </c>
      <c r="AH232" s="260">
        <f t="shared" si="1196"/>
        <v>1.626811763587146</v>
      </c>
      <c r="AI232" s="260">
        <f t="shared" si="1196"/>
        <v>1.626811763587146</v>
      </c>
      <c r="AJ232" s="260">
        <f t="shared" si="1196"/>
        <v>1.6268117635871462</v>
      </c>
      <c r="AK232" s="260">
        <f t="shared" si="1196"/>
        <v>1.6268117635871455</v>
      </c>
      <c r="AL232" s="260">
        <f t="shared" si="1196"/>
        <v>3.0486858540800963</v>
      </c>
      <c r="AM232" s="260">
        <f t="shared" si="1196"/>
        <v>3.0486858540800958</v>
      </c>
      <c r="AN232" s="260">
        <f t="shared" si="1196"/>
        <v>3.0486858540800963</v>
      </c>
      <c r="AO232" s="260">
        <f t="shared" si="1196"/>
        <v>3.0486858540800963</v>
      </c>
      <c r="AP232" s="260">
        <f t="shared" si="1196"/>
        <v>4.0846683346517976</v>
      </c>
      <c r="AQ232" s="260">
        <f t="shared" si="1196"/>
        <v>4.0846683346517958</v>
      </c>
      <c r="AR232" s="260">
        <f t="shared" si="1196"/>
        <v>4.0846683346517958</v>
      </c>
      <c r="AS232" s="260">
        <f t="shared" si="1196"/>
        <v>4.0846683346517967</v>
      </c>
      <c r="AT232" s="260">
        <f t="shared" si="1196"/>
        <v>2.1588241685800247</v>
      </c>
      <c r="AU232" s="260">
        <f t="shared" si="1196"/>
        <v>2.1588241685800242</v>
      </c>
      <c r="AV232" s="260">
        <f t="shared" si="1196"/>
        <v>2.1588241685800247</v>
      </c>
      <c r="AW232" s="260">
        <f t="shared" si="1196"/>
        <v>2.1588241685800242</v>
      </c>
      <c r="AY232" s="262">
        <f t="shared" si="1186"/>
        <v>0.01</v>
      </c>
      <c r="AZ232" s="262">
        <f t="shared" si="1186"/>
        <v>0.01</v>
      </c>
      <c r="BA232" s="262">
        <f t="shared" si="1186"/>
        <v>0.01</v>
      </c>
      <c r="BB232" s="262">
        <f t="shared" si="1186"/>
        <v>0.01</v>
      </c>
      <c r="BC232" s="262">
        <f t="shared" si="1186"/>
        <v>0.01</v>
      </c>
      <c r="BD232" s="262">
        <f t="shared" si="1186"/>
        <v>0.01</v>
      </c>
      <c r="BE232" s="262">
        <f t="shared" si="1186"/>
        <v>0.01</v>
      </c>
      <c r="BF232" s="262">
        <f t="shared" si="1186"/>
        <v>0.01</v>
      </c>
      <c r="BG232" s="262">
        <f t="shared" si="1186"/>
        <v>0.01</v>
      </c>
      <c r="BH232" s="262">
        <f t="shared" si="1186"/>
        <v>0.01</v>
      </c>
      <c r="BI232" s="262">
        <f t="shared" si="1187"/>
        <v>0.01</v>
      </c>
      <c r="BJ232" s="262">
        <f t="shared" si="1187"/>
        <v>0.01</v>
      </c>
      <c r="BK232" s="262">
        <f t="shared" si="1187"/>
        <v>0.01</v>
      </c>
      <c r="BL232" s="262">
        <f t="shared" si="1187"/>
        <v>0.01</v>
      </c>
      <c r="BM232" s="262">
        <f t="shared" si="1187"/>
        <v>0.01</v>
      </c>
      <c r="BN232" s="262">
        <f t="shared" si="1187"/>
        <v>0.01</v>
      </c>
      <c r="BO232" s="262">
        <f t="shared" si="1187"/>
        <v>0.01</v>
      </c>
      <c r="BP232" s="262">
        <f t="shared" si="1187"/>
        <v>0.01</v>
      </c>
      <c r="BQ232" s="262">
        <f t="shared" si="1187"/>
        <v>0.01</v>
      </c>
      <c r="BR232" s="262">
        <f t="shared" si="1187"/>
        <v>0.01</v>
      </c>
      <c r="BS232" s="262">
        <f t="shared" si="1188"/>
        <v>0.01</v>
      </c>
      <c r="BT232" s="262">
        <f t="shared" si="1188"/>
        <v>0.01</v>
      </c>
      <c r="BU232" s="262">
        <f t="shared" si="1188"/>
        <v>0.01</v>
      </c>
      <c r="BV232" s="262">
        <f t="shared" si="1188"/>
        <v>0.01</v>
      </c>
      <c r="BW232" s="262">
        <f t="shared" si="1188"/>
        <v>0.01</v>
      </c>
      <c r="BX232" s="262">
        <f t="shared" si="1188"/>
        <v>0.01</v>
      </c>
      <c r="BY232" s="262">
        <f t="shared" si="1188"/>
        <v>0.01</v>
      </c>
      <c r="BZ232" s="262">
        <f t="shared" si="1188"/>
        <v>0.01</v>
      </c>
      <c r="CA232" s="262">
        <f t="shared" si="1188"/>
        <v>0.01</v>
      </c>
      <c r="CB232" s="262">
        <f t="shared" si="1188"/>
        <v>0.01</v>
      </c>
      <c r="CC232" s="262">
        <f t="shared" si="1189"/>
        <v>0.01</v>
      </c>
      <c r="CD232" s="262">
        <f t="shared" si="1189"/>
        <v>0.01</v>
      </c>
      <c r="CE232" s="262">
        <f t="shared" si="1189"/>
        <v>0.01</v>
      </c>
      <c r="CF232" s="262">
        <f t="shared" si="1189"/>
        <v>0.01</v>
      </c>
      <c r="CG232" s="262">
        <f t="shared" si="1189"/>
        <v>0.01</v>
      </c>
      <c r="CH232" s="262">
        <f t="shared" si="1189"/>
        <v>0.01</v>
      </c>
      <c r="CI232" s="262">
        <f t="shared" si="1189"/>
        <v>4.4999999999999998E-2</v>
      </c>
      <c r="CJ232" s="262">
        <f t="shared" si="1189"/>
        <v>4.4999999999999998E-2</v>
      </c>
      <c r="CK232" s="262">
        <f t="shared" si="1189"/>
        <v>4.4999999999999998E-2</v>
      </c>
      <c r="CL232" s="262">
        <f t="shared" si="1189"/>
        <v>4.4999999999999998E-2</v>
      </c>
      <c r="CM232" s="262">
        <f t="shared" si="1190"/>
        <v>4.4999999999999998E-2</v>
      </c>
      <c r="CN232" s="262">
        <f t="shared" si="1190"/>
        <v>4.4999999999999998E-2</v>
      </c>
      <c r="CO232" s="262">
        <f t="shared" si="1190"/>
        <v>4.4999999999999998E-2</v>
      </c>
      <c r="CP232" s="262">
        <f t="shared" si="1190"/>
        <v>4.4999999999999998E-2</v>
      </c>
      <c r="CQ232" s="262">
        <f t="shared" si="1190"/>
        <v>4.4999999999999998E-2</v>
      </c>
      <c r="CR232" s="262">
        <f t="shared" si="1190"/>
        <v>4.4999999999999998E-2</v>
      </c>
      <c r="CS232" s="262">
        <f t="shared" si="1190"/>
        <v>4.4999999999999998E-2</v>
      </c>
      <c r="CT232" s="262">
        <f t="shared" si="1190"/>
        <v>4.4999999999999998E-2</v>
      </c>
      <c r="CU232" s="262">
        <f t="shared" si="1191"/>
        <v>0.09</v>
      </c>
      <c r="CV232" s="262">
        <f t="shared" si="1191"/>
        <v>0.09</v>
      </c>
      <c r="CW232" s="262">
        <f t="shared" si="1191"/>
        <v>0.09</v>
      </c>
      <c r="CX232" s="262">
        <f t="shared" si="1191"/>
        <v>0.09</v>
      </c>
      <c r="CY232" s="262">
        <f t="shared" si="1191"/>
        <v>0.09</v>
      </c>
      <c r="CZ232" s="262">
        <f t="shared" si="1191"/>
        <v>0.09</v>
      </c>
      <c r="DA232" s="262">
        <f t="shared" si="1191"/>
        <v>0.09</v>
      </c>
      <c r="DB232" s="262">
        <f t="shared" si="1191"/>
        <v>0.09</v>
      </c>
      <c r="DC232" s="262">
        <f t="shared" si="1191"/>
        <v>0.09</v>
      </c>
      <c r="DD232" s="262">
        <f t="shared" si="1191"/>
        <v>0.09</v>
      </c>
      <c r="DE232" s="262">
        <f t="shared" si="1191"/>
        <v>0.09</v>
      </c>
      <c r="DF232" s="262">
        <f t="shared" si="1191"/>
        <v>0.09</v>
      </c>
      <c r="DG232" s="262">
        <f t="shared" si="1191"/>
        <v>0.3</v>
      </c>
      <c r="DH232" s="262">
        <f t="shared" si="1191"/>
        <v>0.3</v>
      </c>
      <c r="DI232" s="262">
        <f t="shared" si="1191"/>
        <v>0.3</v>
      </c>
      <c r="DJ232" s="262">
        <f t="shared" si="1191"/>
        <v>0.3</v>
      </c>
      <c r="DK232" s="262">
        <f t="shared" si="1192"/>
        <v>0.3</v>
      </c>
      <c r="DL232" s="262">
        <f t="shared" si="1192"/>
        <v>0.3</v>
      </c>
      <c r="DM232" s="262">
        <f t="shared" si="1192"/>
        <v>0.3</v>
      </c>
      <c r="DN232" s="262">
        <f t="shared" si="1192"/>
        <v>0.3</v>
      </c>
      <c r="DO232" s="262">
        <f t="shared" si="1192"/>
        <v>0.3</v>
      </c>
      <c r="DP232" s="262">
        <f t="shared" si="1192"/>
        <v>0.3</v>
      </c>
      <c r="DQ232" s="262">
        <f t="shared" si="1192"/>
        <v>0.3</v>
      </c>
      <c r="DR232" s="262">
        <f t="shared" si="1192"/>
        <v>0.3</v>
      </c>
      <c r="DS232" s="262">
        <f t="shared" si="1192"/>
        <v>0.5</v>
      </c>
      <c r="DT232" s="262">
        <f t="shared" si="1192"/>
        <v>0.5</v>
      </c>
      <c r="DU232" s="262">
        <f t="shared" si="1193"/>
        <v>0.5</v>
      </c>
      <c r="DV232" s="262">
        <f t="shared" si="1193"/>
        <v>0.5</v>
      </c>
      <c r="DW232" s="262">
        <f t="shared" si="1193"/>
        <v>0.5</v>
      </c>
      <c r="DX232" s="262">
        <f t="shared" si="1193"/>
        <v>0.5</v>
      </c>
      <c r="DY232" s="262">
        <f t="shared" si="1193"/>
        <v>0.5</v>
      </c>
      <c r="DZ232" s="262">
        <f t="shared" si="1193"/>
        <v>0.5</v>
      </c>
      <c r="EA232" s="262">
        <f t="shared" si="1193"/>
        <v>0.5</v>
      </c>
      <c r="EB232" s="262">
        <f t="shared" si="1193"/>
        <v>0.5</v>
      </c>
      <c r="EC232" s="262">
        <f t="shared" si="1193"/>
        <v>0.5</v>
      </c>
      <c r="ED232" s="262">
        <f t="shared" si="1193"/>
        <v>0.5</v>
      </c>
      <c r="EE232" s="262">
        <f t="shared" si="1194"/>
        <v>0.6</v>
      </c>
      <c r="EF232" s="262">
        <f t="shared" si="1194"/>
        <v>0.6</v>
      </c>
      <c r="EG232" s="262">
        <f t="shared" si="1194"/>
        <v>0.6</v>
      </c>
      <c r="EH232" s="262">
        <f t="shared" si="1194"/>
        <v>0.6</v>
      </c>
      <c r="EI232" s="262">
        <f t="shared" si="1194"/>
        <v>0.6</v>
      </c>
      <c r="EJ232" s="262">
        <f t="shared" si="1194"/>
        <v>0.6</v>
      </c>
      <c r="EK232" s="262">
        <f t="shared" si="1194"/>
        <v>0.6</v>
      </c>
      <c r="EL232" s="262">
        <f t="shared" si="1194"/>
        <v>0.6</v>
      </c>
      <c r="EM232" s="262">
        <f t="shared" si="1194"/>
        <v>0.6</v>
      </c>
      <c r="EN232" s="262">
        <f t="shared" si="1194"/>
        <v>0.6</v>
      </c>
      <c r="EO232" s="262">
        <f t="shared" si="1195"/>
        <v>0.6</v>
      </c>
      <c r="EP232" s="262">
        <f t="shared" si="1195"/>
        <v>0.6</v>
      </c>
      <c r="EQ232" s="262">
        <f t="shared" si="1195"/>
        <v>0.28540961408259985</v>
      </c>
      <c r="ER232" s="262">
        <f t="shared" si="1195"/>
        <v>0.28540961408259985</v>
      </c>
      <c r="ES232" s="262">
        <f t="shared" si="1195"/>
        <v>0.28540961408259985</v>
      </c>
      <c r="ET232" s="262">
        <f t="shared" si="1195"/>
        <v>0.28540961408259985</v>
      </c>
      <c r="EU232" s="262">
        <f t="shared" si="1195"/>
        <v>0.28540961408259985</v>
      </c>
      <c r="EV232" s="262">
        <f t="shared" si="1195"/>
        <v>0.28540961408259985</v>
      </c>
      <c r="EW232" s="262">
        <f t="shared" si="1195"/>
        <v>0.28540961408259985</v>
      </c>
      <c r="EX232" s="262">
        <f t="shared" si="1195"/>
        <v>0.28540961408259985</v>
      </c>
      <c r="EY232" s="262">
        <f t="shared" si="1195"/>
        <v>0.28540961408259985</v>
      </c>
      <c r="EZ232" s="262">
        <f t="shared" si="1195"/>
        <v>0.28540961408259985</v>
      </c>
      <c r="FA232" s="262">
        <f t="shared" si="1195"/>
        <v>0.28540961408259985</v>
      </c>
      <c r="FB232" s="262">
        <f t="shared" si="1195"/>
        <v>0.28540961408259985</v>
      </c>
    </row>
    <row r="233" spans="3:158" x14ac:dyDescent="0.25">
      <c r="C233" s="2" t="s">
        <v>300</v>
      </c>
      <c r="D233" s="330">
        <v>0.02</v>
      </c>
      <c r="E233" s="330">
        <v>0.02</v>
      </c>
      <c r="F233" s="330">
        <v>0.02</v>
      </c>
      <c r="G233" s="169">
        <f t="shared" si="1184"/>
        <v>5.4711376555136311E-2</v>
      </c>
      <c r="H233" s="169">
        <f t="shared" si="1184"/>
        <v>5.2080620800999948E-2</v>
      </c>
      <c r="I233" s="169">
        <f t="shared" si="1184"/>
        <v>5.2080620800999948E-2</v>
      </c>
      <c r="J233" s="169">
        <f t="shared" si="1184"/>
        <v>5.2080620800999948E-2</v>
      </c>
      <c r="K233" s="169">
        <f t="shared" si="1184"/>
        <v>5.2080620800999948E-2</v>
      </c>
      <c r="L233" s="169">
        <v>5.2080620800999948E-2</v>
      </c>
      <c r="N233" s="260">
        <f t="shared" ref="N233:AW233" si="1197">N257/N$105</f>
        <v>0.18016379134387903</v>
      </c>
      <c r="O233" s="260">
        <f t="shared" si="1197"/>
        <v>9.0682798854947996E-2</v>
      </c>
      <c r="P233" s="260">
        <f t="shared" si="1197"/>
        <v>9.1953669074026301E-2</v>
      </c>
      <c r="Q233" s="260">
        <f t="shared" si="1197"/>
        <v>0.97663846190969028</v>
      </c>
      <c r="R233" s="260">
        <f t="shared" si="1197"/>
        <v>0.11313701916602105</v>
      </c>
      <c r="S233" s="260">
        <f t="shared" si="1197"/>
        <v>0.2012490433148176</v>
      </c>
      <c r="T233" s="260">
        <f t="shared" si="1197"/>
        <v>4.1769817961072646E-2</v>
      </c>
      <c r="U233" s="260">
        <f t="shared" si="1197"/>
        <v>7.0860767943675643E-2</v>
      </c>
      <c r="V233" s="260">
        <f t="shared" si="1197"/>
        <v>8.2654248422277948E-2</v>
      </c>
      <c r="W233" s="260">
        <f t="shared" si="1197"/>
        <v>7.6608561532823305E-2</v>
      </c>
      <c r="X233" s="260">
        <f t="shared" si="1197"/>
        <v>7.5044218640576157E-2</v>
      </c>
      <c r="Y233" s="260">
        <f t="shared" si="1197"/>
        <v>5.3042950130231512E-2</v>
      </c>
      <c r="Z233" s="260">
        <f t="shared" si="1197"/>
        <v>0.10014923779451942</v>
      </c>
      <c r="AA233" s="260">
        <f t="shared" si="1197"/>
        <v>0.19701427506749278</v>
      </c>
      <c r="AB233" s="260">
        <f t="shared" si="1197"/>
        <v>1.3834925447614557</v>
      </c>
      <c r="AC233" s="260">
        <f t="shared" si="1197"/>
        <v>1.3516151836850008</v>
      </c>
      <c r="AD233" s="260">
        <f t="shared" si="1197"/>
        <v>0.25193003515647833</v>
      </c>
      <c r="AE233" s="260">
        <f t="shared" si="1197"/>
        <v>0.25193003515647833</v>
      </c>
      <c r="AF233" s="260">
        <f t="shared" si="1197"/>
        <v>0.25193003515647827</v>
      </c>
      <c r="AG233" s="260">
        <f t="shared" si="1197"/>
        <v>0.25193003515647838</v>
      </c>
      <c r="AH233" s="260">
        <f t="shared" si="1197"/>
        <v>0.28241788857996042</v>
      </c>
      <c r="AI233" s="260">
        <f t="shared" si="1197"/>
        <v>0.28241788857996042</v>
      </c>
      <c r="AJ233" s="260">
        <f t="shared" si="1197"/>
        <v>0.28241788857996042</v>
      </c>
      <c r="AK233" s="260">
        <f t="shared" si="1197"/>
        <v>0.28241788857996042</v>
      </c>
      <c r="AL233" s="260">
        <f t="shared" si="1197"/>
        <v>0.31755490381543627</v>
      </c>
      <c r="AM233" s="260">
        <f t="shared" si="1197"/>
        <v>0.31755490381543633</v>
      </c>
      <c r="AN233" s="260">
        <f t="shared" si="1197"/>
        <v>0.31755490381543633</v>
      </c>
      <c r="AO233" s="260">
        <f t="shared" si="1197"/>
        <v>0.31755490381543627</v>
      </c>
      <c r="AP233" s="260">
        <f t="shared" si="1197"/>
        <v>0.35455343772475373</v>
      </c>
      <c r="AQ233" s="260">
        <f t="shared" si="1197"/>
        <v>0.35455343772475362</v>
      </c>
      <c r="AR233" s="260">
        <f t="shared" si="1197"/>
        <v>0.35455343772475362</v>
      </c>
      <c r="AS233" s="260">
        <f t="shared" si="1197"/>
        <v>0.35455343772475362</v>
      </c>
      <c r="AT233" s="260">
        <f t="shared" si="1197"/>
        <v>0.39393523326551733</v>
      </c>
      <c r="AU233" s="260">
        <f t="shared" si="1197"/>
        <v>0.39393523326551727</v>
      </c>
      <c r="AV233" s="260">
        <f t="shared" si="1197"/>
        <v>0.39393523326551733</v>
      </c>
      <c r="AW233" s="260">
        <f t="shared" si="1197"/>
        <v>0.39393523326551727</v>
      </c>
      <c r="AY233" s="262">
        <f t="shared" si="1191"/>
        <v>0.02</v>
      </c>
      <c r="AZ233" s="262">
        <f t="shared" si="1191"/>
        <v>0.02</v>
      </c>
      <c r="BA233" s="262">
        <f t="shared" si="1191"/>
        <v>0.02</v>
      </c>
      <c r="BB233" s="262">
        <f t="shared" si="1191"/>
        <v>0.02</v>
      </c>
      <c r="BC233" s="262">
        <f t="shared" si="1191"/>
        <v>0.02</v>
      </c>
      <c r="BD233" s="262">
        <f t="shared" si="1191"/>
        <v>0.02</v>
      </c>
      <c r="BE233" s="262">
        <f t="shared" si="1191"/>
        <v>0.02</v>
      </c>
      <c r="BF233" s="262">
        <f t="shared" si="1191"/>
        <v>0.02</v>
      </c>
      <c r="BG233" s="262">
        <f t="shared" si="1191"/>
        <v>0.02</v>
      </c>
      <c r="BH233" s="262">
        <f t="shared" si="1191"/>
        <v>0.02</v>
      </c>
      <c r="BI233" s="262">
        <f t="shared" si="1191"/>
        <v>0.02</v>
      </c>
      <c r="BJ233" s="262">
        <f t="shared" si="1191"/>
        <v>0.02</v>
      </c>
      <c r="BK233" s="262">
        <f t="shared" si="1191"/>
        <v>0.02</v>
      </c>
      <c r="BL233" s="262">
        <f t="shared" si="1191"/>
        <v>0.02</v>
      </c>
      <c r="BM233" s="262">
        <f t="shared" si="1191"/>
        <v>0.02</v>
      </c>
      <c r="BN233" s="262">
        <f t="shared" si="1191"/>
        <v>0.02</v>
      </c>
      <c r="BO233" s="262">
        <f t="shared" si="1191"/>
        <v>0.02</v>
      </c>
      <c r="BP233" s="262">
        <f t="shared" si="1191"/>
        <v>0.02</v>
      </c>
      <c r="BQ233" s="262">
        <f t="shared" si="1191"/>
        <v>0.02</v>
      </c>
      <c r="BR233" s="262">
        <f t="shared" si="1191"/>
        <v>0.02</v>
      </c>
      <c r="BS233" s="262">
        <f t="shared" si="1191"/>
        <v>0.02</v>
      </c>
      <c r="BT233" s="262">
        <f t="shared" si="1191"/>
        <v>0.02</v>
      </c>
      <c r="BU233" s="262">
        <f t="shared" si="1191"/>
        <v>0.02</v>
      </c>
      <c r="BV233" s="262">
        <f t="shared" si="1191"/>
        <v>0.02</v>
      </c>
      <c r="BW233" s="262">
        <f t="shared" si="1191"/>
        <v>0.02</v>
      </c>
      <c r="BX233" s="262">
        <f t="shared" si="1191"/>
        <v>0.02</v>
      </c>
      <c r="BY233" s="262">
        <f t="shared" si="1191"/>
        <v>0.02</v>
      </c>
      <c r="BZ233" s="262">
        <f t="shared" si="1191"/>
        <v>0.02</v>
      </c>
      <c r="CA233" s="262">
        <f t="shared" si="1191"/>
        <v>0.02</v>
      </c>
      <c r="CB233" s="262">
        <f t="shared" si="1191"/>
        <v>0.02</v>
      </c>
      <c r="CC233" s="262">
        <f t="shared" si="1191"/>
        <v>0.02</v>
      </c>
      <c r="CD233" s="262">
        <f t="shared" si="1191"/>
        <v>0.02</v>
      </c>
      <c r="CE233" s="262">
        <f t="shared" si="1191"/>
        <v>0.02</v>
      </c>
      <c r="CF233" s="262">
        <f t="shared" si="1191"/>
        <v>0.02</v>
      </c>
      <c r="CG233" s="262">
        <f t="shared" si="1191"/>
        <v>0.02</v>
      </c>
      <c r="CH233" s="262">
        <f t="shared" si="1191"/>
        <v>0.02</v>
      </c>
      <c r="CI233" s="262">
        <f t="shared" si="1191"/>
        <v>5.4711376555136311E-2</v>
      </c>
      <c r="CJ233" s="262">
        <f t="shared" si="1191"/>
        <v>5.4711376555136311E-2</v>
      </c>
      <c r="CK233" s="262">
        <f t="shared" si="1191"/>
        <v>5.4711376555136311E-2</v>
      </c>
      <c r="CL233" s="262">
        <f t="shared" si="1191"/>
        <v>5.4711376555136311E-2</v>
      </c>
      <c r="CM233" s="262">
        <f t="shared" si="1191"/>
        <v>5.4711376555136311E-2</v>
      </c>
      <c r="CN233" s="262">
        <f t="shared" si="1191"/>
        <v>5.4711376555136311E-2</v>
      </c>
      <c r="CO233" s="262">
        <f t="shared" si="1191"/>
        <v>5.4711376555136311E-2</v>
      </c>
      <c r="CP233" s="262">
        <f t="shared" si="1191"/>
        <v>5.4711376555136311E-2</v>
      </c>
      <c r="CQ233" s="262">
        <f t="shared" si="1191"/>
        <v>5.4711376555136311E-2</v>
      </c>
      <c r="CR233" s="262">
        <f t="shared" si="1191"/>
        <v>5.4711376555136311E-2</v>
      </c>
      <c r="CS233" s="262">
        <f t="shared" si="1191"/>
        <v>5.4711376555136311E-2</v>
      </c>
      <c r="CT233" s="262">
        <f t="shared" si="1191"/>
        <v>5.4711376555136311E-2</v>
      </c>
      <c r="CU233" s="262">
        <f t="shared" si="1191"/>
        <v>5.2080620800999948E-2</v>
      </c>
      <c r="CV233" s="262">
        <f t="shared" si="1191"/>
        <v>5.2080620800999948E-2</v>
      </c>
      <c r="CW233" s="262">
        <f t="shared" si="1191"/>
        <v>5.2080620800999948E-2</v>
      </c>
      <c r="CX233" s="262">
        <f t="shared" si="1191"/>
        <v>5.2080620800999948E-2</v>
      </c>
      <c r="CY233" s="262">
        <f t="shared" si="1191"/>
        <v>5.2080620800999948E-2</v>
      </c>
      <c r="CZ233" s="262">
        <f t="shared" si="1191"/>
        <v>5.2080620800999948E-2</v>
      </c>
      <c r="DA233" s="262">
        <f t="shared" si="1191"/>
        <v>5.2080620800999948E-2</v>
      </c>
      <c r="DB233" s="262">
        <f t="shared" si="1191"/>
        <v>5.2080620800999948E-2</v>
      </c>
      <c r="DC233" s="262">
        <f t="shared" si="1191"/>
        <v>5.2080620800999948E-2</v>
      </c>
      <c r="DD233" s="262">
        <f t="shared" si="1191"/>
        <v>5.2080620800999948E-2</v>
      </c>
      <c r="DE233" s="262">
        <f t="shared" si="1191"/>
        <v>5.2080620800999948E-2</v>
      </c>
      <c r="DF233" s="262">
        <f t="shared" si="1191"/>
        <v>5.2080620800999948E-2</v>
      </c>
      <c r="DG233" s="262">
        <f t="shared" si="1191"/>
        <v>5.2080620800999948E-2</v>
      </c>
      <c r="DH233" s="262">
        <f t="shared" si="1191"/>
        <v>5.2080620800999948E-2</v>
      </c>
      <c r="DI233" s="262">
        <f t="shared" si="1191"/>
        <v>5.2080620800999948E-2</v>
      </c>
      <c r="DJ233" s="262">
        <f t="shared" si="1191"/>
        <v>5.2080620800999948E-2</v>
      </c>
      <c r="DK233" s="262">
        <f t="shared" si="1192"/>
        <v>5.2080620800999948E-2</v>
      </c>
      <c r="DL233" s="262">
        <f t="shared" si="1192"/>
        <v>5.2080620800999948E-2</v>
      </c>
      <c r="DM233" s="262">
        <f t="shared" si="1192"/>
        <v>5.2080620800999948E-2</v>
      </c>
      <c r="DN233" s="262">
        <f t="shared" si="1192"/>
        <v>5.2080620800999948E-2</v>
      </c>
      <c r="DO233" s="262">
        <f t="shared" si="1192"/>
        <v>5.2080620800999948E-2</v>
      </c>
      <c r="DP233" s="262">
        <f t="shared" si="1192"/>
        <v>5.2080620800999948E-2</v>
      </c>
      <c r="DQ233" s="262">
        <f t="shared" si="1192"/>
        <v>5.2080620800999948E-2</v>
      </c>
      <c r="DR233" s="262">
        <f t="shared" si="1192"/>
        <v>5.2080620800999948E-2</v>
      </c>
      <c r="DS233" s="262">
        <f t="shared" si="1192"/>
        <v>5.2080620800999948E-2</v>
      </c>
      <c r="DT233" s="262">
        <f t="shared" si="1192"/>
        <v>5.2080620800999948E-2</v>
      </c>
      <c r="DU233" s="262">
        <f t="shared" si="1193"/>
        <v>5.2080620800999948E-2</v>
      </c>
      <c r="DV233" s="262">
        <f t="shared" si="1193"/>
        <v>5.2080620800999948E-2</v>
      </c>
      <c r="DW233" s="262">
        <f t="shared" si="1193"/>
        <v>5.2080620800999948E-2</v>
      </c>
      <c r="DX233" s="262">
        <f t="shared" si="1193"/>
        <v>5.2080620800999948E-2</v>
      </c>
      <c r="DY233" s="262">
        <f t="shared" si="1193"/>
        <v>5.2080620800999948E-2</v>
      </c>
      <c r="DZ233" s="262">
        <f t="shared" si="1193"/>
        <v>5.2080620800999948E-2</v>
      </c>
      <c r="EA233" s="262">
        <f t="shared" si="1193"/>
        <v>5.2080620800999948E-2</v>
      </c>
      <c r="EB233" s="262">
        <f t="shared" si="1193"/>
        <v>5.2080620800999948E-2</v>
      </c>
      <c r="EC233" s="262">
        <f t="shared" si="1193"/>
        <v>5.2080620800999948E-2</v>
      </c>
      <c r="ED233" s="262">
        <f t="shared" si="1193"/>
        <v>5.2080620800999948E-2</v>
      </c>
      <c r="EE233" s="262">
        <f t="shared" si="1194"/>
        <v>5.2080620800999948E-2</v>
      </c>
      <c r="EF233" s="262">
        <f t="shared" si="1194"/>
        <v>5.2080620800999948E-2</v>
      </c>
      <c r="EG233" s="262">
        <f t="shared" si="1194"/>
        <v>5.2080620800999948E-2</v>
      </c>
      <c r="EH233" s="262">
        <f t="shared" si="1194"/>
        <v>5.2080620800999948E-2</v>
      </c>
      <c r="EI233" s="262">
        <f t="shared" si="1194"/>
        <v>5.2080620800999948E-2</v>
      </c>
      <c r="EJ233" s="262">
        <f t="shared" si="1194"/>
        <v>5.2080620800999948E-2</v>
      </c>
      <c r="EK233" s="262">
        <f t="shared" si="1194"/>
        <v>5.2080620800999948E-2</v>
      </c>
      <c r="EL233" s="262">
        <f t="shared" si="1194"/>
        <v>5.2080620800999948E-2</v>
      </c>
      <c r="EM233" s="262">
        <f t="shared" si="1194"/>
        <v>5.2080620800999948E-2</v>
      </c>
      <c r="EN233" s="262">
        <f t="shared" si="1194"/>
        <v>5.2080620800999948E-2</v>
      </c>
      <c r="EO233" s="262">
        <f t="shared" si="1195"/>
        <v>5.2080620800999948E-2</v>
      </c>
      <c r="EP233" s="262">
        <f t="shared" si="1195"/>
        <v>5.2080620800999948E-2</v>
      </c>
      <c r="EQ233" s="262">
        <f t="shared" si="1195"/>
        <v>5.2080620800999948E-2</v>
      </c>
      <c r="ER233" s="262">
        <f t="shared" si="1195"/>
        <v>5.2080620800999948E-2</v>
      </c>
      <c r="ES233" s="262">
        <f t="shared" si="1195"/>
        <v>5.2080620800999948E-2</v>
      </c>
      <c r="ET233" s="262">
        <f t="shared" si="1195"/>
        <v>5.2080620800999948E-2</v>
      </c>
      <c r="EU233" s="262">
        <f t="shared" si="1195"/>
        <v>5.2080620800999948E-2</v>
      </c>
      <c r="EV233" s="262">
        <f t="shared" si="1195"/>
        <v>5.2080620800999948E-2</v>
      </c>
      <c r="EW233" s="262">
        <f t="shared" si="1195"/>
        <v>5.2080620800999948E-2</v>
      </c>
      <c r="EX233" s="262">
        <f t="shared" si="1195"/>
        <v>5.2080620800999948E-2</v>
      </c>
      <c r="EY233" s="262">
        <f t="shared" si="1195"/>
        <v>5.2080620800999948E-2</v>
      </c>
      <c r="EZ233" s="262">
        <f t="shared" si="1195"/>
        <v>5.2080620800999948E-2</v>
      </c>
      <c r="FA233" s="262">
        <f t="shared" si="1195"/>
        <v>5.2080620800999948E-2</v>
      </c>
      <c r="FB233" s="262">
        <f t="shared" si="1195"/>
        <v>5.2080620800999948E-2</v>
      </c>
    </row>
    <row r="234" spans="3:158" x14ac:dyDescent="0.25">
      <c r="D234" s="331"/>
      <c r="E234" s="331"/>
      <c r="F234" s="331"/>
    </row>
    <row r="235" spans="3:158" x14ac:dyDescent="0.25">
      <c r="C235" s="304" t="s">
        <v>642</v>
      </c>
      <c r="D235" s="331"/>
      <c r="E235" s="331"/>
      <c r="F235" s="331"/>
    </row>
    <row r="236" spans="3:158" x14ac:dyDescent="0.25">
      <c r="C236" s="2" t="s">
        <v>346</v>
      </c>
      <c r="D236" s="349">
        <f t="shared" ref="D236" si="1198">1-SUM(D237:D239)</f>
        <v>0.95</v>
      </c>
      <c r="E236" s="349">
        <f t="shared" ref="E236" si="1199">1-SUM(E237:E239)</f>
        <v>0.95</v>
      </c>
      <c r="F236" s="349">
        <f t="shared" ref="F236" si="1200">1-SUM(F237:F239)</f>
        <v>0.95</v>
      </c>
      <c r="G236" s="349">
        <f t="shared" ref="G236" si="1201">1-SUM(G237:G239)</f>
        <v>0.94958566620547968</v>
      </c>
      <c r="H236" s="349">
        <f t="shared" ref="H236" si="1202">1-SUM(H237:H239)</f>
        <v>0.91358221512762139</v>
      </c>
      <c r="I236" s="349">
        <f>1-SUM(I237:I239)</f>
        <v>0.8713233949884176</v>
      </c>
      <c r="J236" s="349">
        <f t="shared" ref="J236" si="1203">1-SUM(J237:J239)</f>
        <v>0.72636671848715517</v>
      </c>
      <c r="K236" s="349">
        <f t="shared" ref="K236" si="1204">1-SUM(K237:K239)</f>
        <v>0.56202282715857454</v>
      </c>
      <c r="L236" s="349">
        <f t="shared" ref="L236" si="1205">1-SUM(L237:L239)</f>
        <v>0.42771807616876534</v>
      </c>
      <c r="N236" s="260">
        <f t="shared" ref="N236:AW236" si="1206">N260/N$111</f>
        <v>1.1977650185492574</v>
      </c>
      <c r="O236" s="260">
        <f t="shared" si="1206"/>
        <v>0</v>
      </c>
      <c r="P236" s="260">
        <f t="shared" si="1206"/>
        <v>5.2350823697132896</v>
      </c>
      <c r="Q236" s="260">
        <f t="shared" si="1206"/>
        <v>2.9652402111754665</v>
      </c>
      <c r="R236" s="260">
        <f t="shared" si="1206"/>
        <v>1.4163449423589833</v>
      </c>
      <c r="S236" s="260">
        <f t="shared" si="1206"/>
        <v>3.6211263965076537</v>
      </c>
      <c r="T236" s="260">
        <f t="shared" si="1206"/>
        <v>0.48536646902989783</v>
      </c>
      <c r="U236" s="260">
        <f t="shared" si="1206"/>
        <v>1.7404271118487702</v>
      </c>
      <c r="V236" s="260">
        <f t="shared" si="1206"/>
        <v>0.29070261663878511</v>
      </c>
      <c r="W236" s="260">
        <f t="shared" si="1206"/>
        <v>2.2542229756994594</v>
      </c>
      <c r="X236" s="260">
        <f t="shared" si="1206"/>
        <v>1.007214140213208</v>
      </c>
      <c r="Y236" s="260">
        <f t="shared" si="1206"/>
        <v>0.55285057518312952</v>
      </c>
      <c r="Z236" s="260">
        <f t="shared" si="1206"/>
        <v>1.9902899972942842</v>
      </c>
      <c r="AA236" s="260">
        <f t="shared" si="1206"/>
        <v>0.89699177816834963</v>
      </c>
      <c r="AB236" s="260">
        <f t="shared" si="1206"/>
        <v>0.86388336480922401</v>
      </c>
      <c r="AC236" s="260">
        <f t="shared" si="1206"/>
        <v>0.73306665002035354</v>
      </c>
      <c r="AD236" s="260">
        <f t="shared" si="1206"/>
        <v>1.1952884348889621</v>
      </c>
      <c r="AE236" s="260">
        <f t="shared" si="1206"/>
        <v>1.1952884348889619</v>
      </c>
      <c r="AF236" s="260">
        <f t="shared" si="1206"/>
        <v>1.1952884348889621</v>
      </c>
      <c r="AG236" s="260">
        <f t="shared" si="1206"/>
        <v>1.1952884348889619</v>
      </c>
      <c r="AH236" s="260">
        <f t="shared" si="1206"/>
        <v>1.1466982034918274</v>
      </c>
      <c r="AI236" s="260">
        <f t="shared" si="1206"/>
        <v>1.1466982034918272</v>
      </c>
      <c r="AJ236" s="260">
        <f t="shared" si="1206"/>
        <v>1.1466982034918274</v>
      </c>
      <c r="AK236" s="260">
        <f t="shared" si="1206"/>
        <v>1.1466982034918274</v>
      </c>
      <c r="AL236" s="260">
        <f t="shared" si="1206"/>
        <v>1.0832871633295915</v>
      </c>
      <c r="AM236" s="260">
        <f t="shared" si="1206"/>
        <v>1.0832871633295913</v>
      </c>
      <c r="AN236" s="260">
        <f t="shared" si="1206"/>
        <v>1.0832871633295913</v>
      </c>
      <c r="AO236" s="260">
        <f t="shared" si="1206"/>
        <v>1.0832871633295915</v>
      </c>
      <c r="AP236" s="260">
        <f t="shared" si="1206"/>
        <v>0.95645804031047232</v>
      </c>
      <c r="AQ236" s="260">
        <f t="shared" si="1206"/>
        <v>0.95645804031047221</v>
      </c>
      <c r="AR236" s="260">
        <f t="shared" si="1206"/>
        <v>0.95645804031047232</v>
      </c>
      <c r="AS236" s="260">
        <f t="shared" si="1206"/>
        <v>0.95645804031047221</v>
      </c>
      <c r="AT236" s="260">
        <f t="shared" si="1206"/>
        <v>0.83331735639335358</v>
      </c>
      <c r="AU236" s="260">
        <f t="shared" si="1206"/>
        <v>0.83331735639335347</v>
      </c>
      <c r="AV236" s="260">
        <f t="shared" si="1206"/>
        <v>0.83331735639335347</v>
      </c>
      <c r="AW236" s="260">
        <f t="shared" si="1206"/>
        <v>0.83331735639335347</v>
      </c>
      <c r="AY236" s="260">
        <f t="shared" ref="AY236:DJ236" si="1207">1-SUM(AY237:AY239)</f>
        <v>0.95</v>
      </c>
      <c r="AZ236" s="260">
        <f t="shared" si="1207"/>
        <v>0.95</v>
      </c>
      <c r="BA236" s="260">
        <f t="shared" si="1207"/>
        <v>0.95</v>
      </c>
      <c r="BB236" s="260">
        <f t="shared" si="1207"/>
        <v>0.95</v>
      </c>
      <c r="BC236" s="260">
        <f t="shared" si="1207"/>
        <v>0.95</v>
      </c>
      <c r="BD236" s="260">
        <f t="shared" si="1207"/>
        <v>0.95</v>
      </c>
      <c r="BE236" s="260">
        <f t="shared" si="1207"/>
        <v>0.95</v>
      </c>
      <c r="BF236" s="260">
        <f t="shared" si="1207"/>
        <v>0.95</v>
      </c>
      <c r="BG236" s="260">
        <f t="shared" si="1207"/>
        <v>0.95</v>
      </c>
      <c r="BH236" s="260">
        <f t="shared" si="1207"/>
        <v>0.95</v>
      </c>
      <c r="BI236" s="260">
        <f t="shared" si="1207"/>
        <v>0.95</v>
      </c>
      <c r="BJ236" s="260">
        <f t="shared" si="1207"/>
        <v>0.95</v>
      </c>
      <c r="BK236" s="260">
        <f t="shared" si="1207"/>
        <v>0.95</v>
      </c>
      <c r="BL236" s="260">
        <f t="shared" si="1207"/>
        <v>0.95</v>
      </c>
      <c r="BM236" s="260">
        <f t="shared" si="1207"/>
        <v>0.95</v>
      </c>
      <c r="BN236" s="260">
        <f t="shared" si="1207"/>
        <v>0.95</v>
      </c>
      <c r="BO236" s="260">
        <f t="shared" si="1207"/>
        <v>0.95</v>
      </c>
      <c r="BP236" s="260">
        <f t="shared" si="1207"/>
        <v>0.95</v>
      </c>
      <c r="BQ236" s="260">
        <f t="shared" si="1207"/>
        <v>0.95</v>
      </c>
      <c r="BR236" s="260">
        <f t="shared" si="1207"/>
        <v>0.95</v>
      </c>
      <c r="BS236" s="260">
        <f t="shared" si="1207"/>
        <v>0.95</v>
      </c>
      <c r="BT236" s="260">
        <f t="shared" si="1207"/>
        <v>0.95</v>
      </c>
      <c r="BU236" s="260">
        <f t="shared" si="1207"/>
        <v>0.95</v>
      </c>
      <c r="BV236" s="260">
        <f t="shared" si="1207"/>
        <v>0.95</v>
      </c>
      <c r="BW236" s="260">
        <f t="shared" si="1207"/>
        <v>0.95</v>
      </c>
      <c r="BX236" s="260">
        <f t="shared" si="1207"/>
        <v>0.95</v>
      </c>
      <c r="BY236" s="260">
        <f t="shared" si="1207"/>
        <v>0.95</v>
      </c>
      <c r="BZ236" s="260">
        <f t="shared" si="1207"/>
        <v>0.95</v>
      </c>
      <c r="CA236" s="260">
        <f t="shared" si="1207"/>
        <v>0.95</v>
      </c>
      <c r="CB236" s="260">
        <f t="shared" si="1207"/>
        <v>0.95</v>
      </c>
      <c r="CC236" s="260">
        <f t="shared" si="1207"/>
        <v>0.95</v>
      </c>
      <c r="CD236" s="260">
        <f t="shared" si="1207"/>
        <v>0.95</v>
      </c>
      <c r="CE236" s="260">
        <f t="shared" si="1207"/>
        <v>0.95</v>
      </c>
      <c r="CF236" s="260">
        <f t="shared" si="1207"/>
        <v>0.95</v>
      </c>
      <c r="CG236" s="260">
        <f t="shared" si="1207"/>
        <v>0.95</v>
      </c>
      <c r="CH236" s="260">
        <f t="shared" si="1207"/>
        <v>0.95</v>
      </c>
      <c r="CI236" s="260">
        <f t="shared" si="1207"/>
        <v>0.94958566620547968</v>
      </c>
      <c r="CJ236" s="260">
        <f t="shared" si="1207"/>
        <v>0.94958566620547968</v>
      </c>
      <c r="CK236" s="260">
        <f t="shared" si="1207"/>
        <v>0.94958566620547968</v>
      </c>
      <c r="CL236" s="260">
        <f t="shared" si="1207"/>
        <v>0.94958566620547968</v>
      </c>
      <c r="CM236" s="260">
        <f t="shared" si="1207"/>
        <v>0.94958566620547968</v>
      </c>
      <c r="CN236" s="260">
        <f t="shared" si="1207"/>
        <v>0.94958566620547968</v>
      </c>
      <c r="CO236" s="260">
        <f t="shared" si="1207"/>
        <v>0.94958566620547968</v>
      </c>
      <c r="CP236" s="260">
        <f t="shared" si="1207"/>
        <v>0.94958566620547968</v>
      </c>
      <c r="CQ236" s="260">
        <f t="shared" si="1207"/>
        <v>0.94958566620547968</v>
      </c>
      <c r="CR236" s="260">
        <f t="shared" si="1207"/>
        <v>0.94958566620547968</v>
      </c>
      <c r="CS236" s="260">
        <f t="shared" si="1207"/>
        <v>0.94958566620547968</v>
      </c>
      <c r="CT236" s="260">
        <f t="shared" si="1207"/>
        <v>0.94958566620547968</v>
      </c>
      <c r="CU236" s="260">
        <f t="shared" si="1207"/>
        <v>0.91358221512762139</v>
      </c>
      <c r="CV236" s="260">
        <f t="shared" si="1207"/>
        <v>0.91358221512762139</v>
      </c>
      <c r="CW236" s="260">
        <f t="shared" si="1207"/>
        <v>0.91358221512762139</v>
      </c>
      <c r="CX236" s="260">
        <f t="shared" si="1207"/>
        <v>0.91358221512762139</v>
      </c>
      <c r="CY236" s="260">
        <f t="shared" si="1207"/>
        <v>0.91358221512762139</v>
      </c>
      <c r="CZ236" s="260">
        <f t="shared" si="1207"/>
        <v>0.91358221512762139</v>
      </c>
      <c r="DA236" s="260">
        <f t="shared" si="1207"/>
        <v>0.91358221512762139</v>
      </c>
      <c r="DB236" s="260">
        <f t="shared" si="1207"/>
        <v>0.91358221512762139</v>
      </c>
      <c r="DC236" s="260">
        <f t="shared" si="1207"/>
        <v>0.91358221512762139</v>
      </c>
      <c r="DD236" s="260">
        <f t="shared" si="1207"/>
        <v>0.91358221512762139</v>
      </c>
      <c r="DE236" s="260">
        <f t="shared" si="1207"/>
        <v>0.91358221512762139</v>
      </c>
      <c r="DF236" s="260">
        <f t="shared" si="1207"/>
        <v>0.91358221512762139</v>
      </c>
      <c r="DG236" s="260">
        <f t="shared" si="1207"/>
        <v>0.8713233949884176</v>
      </c>
      <c r="DH236" s="260">
        <f t="shared" si="1207"/>
        <v>0.8713233949884176</v>
      </c>
      <c r="DI236" s="260">
        <f t="shared" si="1207"/>
        <v>0.8713233949884176</v>
      </c>
      <c r="DJ236" s="260">
        <f t="shared" si="1207"/>
        <v>0.8713233949884176</v>
      </c>
      <c r="DK236" s="260">
        <f t="shared" ref="DK236:FB236" si="1208">1-SUM(DK237:DK239)</f>
        <v>0.8713233949884176</v>
      </c>
      <c r="DL236" s="260">
        <f t="shared" si="1208"/>
        <v>0.8713233949884176</v>
      </c>
      <c r="DM236" s="260">
        <f t="shared" si="1208"/>
        <v>0.8713233949884176</v>
      </c>
      <c r="DN236" s="260">
        <f t="shared" si="1208"/>
        <v>0.8713233949884176</v>
      </c>
      <c r="DO236" s="260">
        <f t="shared" si="1208"/>
        <v>0.8713233949884176</v>
      </c>
      <c r="DP236" s="260">
        <f t="shared" si="1208"/>
        <v>0.8713233949884176</v>
      </c>
      <c r="DQ236" s="260">
        <f t="shared" si="1208"/>
        <v>0.8713233949884176</v>
      </c>
      <c r="DR236" s="260">
        <f t="shared" si="1208"/>
        <v>0.8713233949884176</v>
      </c>
      <c r="DS236" s="260">
        <f t="shared" si="1208"/>
        <v>0.72636671848715517</v>
      </c>
      <c r="DT236" s="260">
        <f t="shared" si="1208"/>
        <v>0.72636671848715517</v>
      </c>
      <c r="DU236" s="260">
        <f t="shared" si="1208"/>
        <v>0.72636671848715517</v>
      </c>
      <c r="DV236" s="260">
        <f t="shared" si="1208"/>
        <v>0.72636671848715517</v>
      </c>
      <c r="DW236" s="260">
        <f t="shared" si="1208"/>
        <v>0.72636671848715517</v>
      </c>
      <c r="DX236" s="260">
        <f t="shared" si="1208"/>
        <v>0.72636671848715517</v>
      </c>
      <c r="DY236" s="260">
        <f t="shared" si="1208"/>
        <v>0.72636671848715517</v>
      </c>
      <c r="DZ236" s="260">
        <f t="shared" si="1208"/>
        <v>0.72636671848715517</v>
      </c>
      <c r="EA236" s="260">
        <f t="shared" si="1208"/>
        <v>0.72636671848715517</v>
      </c>
      <c r="EB236" s="260">
        <f t="shared" si="1208"/>
        <v>0.72636671848715517</v>
      </c>
      <c r="EC236" s="260">
        <f t="shared" si="1208"/>
        <v>0.72636671848715517</v>
      </c>
      <c r="ED236" s="260">
        <f t="shared" si="1208"/>
        <v>0.72636671848715517</v>
      </c>
      <c r="EE236" s="260">
        <f t="shared" si="1208"/>
        <v>0.56202282715857454</v>
      </c>
      <c r="EF236" s="260">
        <f t="shared" si="1208"/>
        <v>0.56202282715857454</v>
      </c>
      <c r="EG236" s="260">
        <f t="shared" si="1208"/>
        <v>0.56202282715857454</v>
      </c>
      <c r="EH236" s="260">
        <f t="shared" si="1208"/>
        <v>0.56202282715857454</v>
      </c>
      <c r="EI236" s="260">
        <f t="shared" si="1208"/>
        <v>0.56202282715857454</v>
      </c>
      <c r="EJ236" s="260">
        <f t="shared" si="1208"/>
        <v>0.56202282715857454</v>
      </c>
      <c r="EK236" s="260">
        <f t="shared" si="1208"/>
        <v>0.56202282715857454</v>
      </c>
      <c r="EL236" s="260">
        <f t="shared" si="1208"/>
        <v>0.56202282715857454</v>
      </c>
      <c r="EM236" s="260">
        <f t="shared" si="1208"/>
        <v>0.56202282715857454</v>
      </c>
      <c r="EN236" s="260">
        <f t="shared" si="1208"/>
        <v>0.56202282715857454</v>
      </c>
      <c r="EO236" s="260">
        <f t="shared" si="1208"/>
        <v>0.56202282715857454</v>
      </c>
      <c r="EP236" s="260">
        <f t="shared" si="1208"/>
        <v>0.56202282715857454</v>
      </c>
      <c r="EQ236" s="260">
        <f t="shared" si="1208"/>
        <v>0.42771807616876534</v>
      </c>
      <c r="ER236" s="260">
        <f t="shared" si="1208"/>
        <v>0.42771807616876534</v>
      </c>
      <c r="ES236" s="260">
        <f t="shared" si="1208"/>
        <v>0.42771807616876534</v>
      </c>
      <c r="ET236" s="260">
        <f t="shared" si="1208"/>
        <v>0.42771807616876534</v>
      </c>
      <c r="EU236" s="260">
        <f t="shared" si="1208"/>
        <v>0.42771807616876534</v>
      </c>
      <c r="EV236" s="260">
        <f t="shared" si="1208"/>
        <v>0.42771807616876534</v>
      </c>
      <c r="EW236" s="260">
        <f t="shared" si="1208"/>
        <v>0.42771807616876534</v>
      </c>
      <c r="EX236" s="260">
        <f t="shared" si="1208"/>
        <v>0.42771807616876534</v>
      </c>
      <c r="EY236" s="260">
        <f t="shared" si="1208"/>
        <v>0.42771807616876534</v>
      </c>
      <c r="EZ236" s="260">
        <f t="shared" si="1208"/>
        <v>0.42771807616876534</v>
      </c>
      <c r="FA236" s="260">
        <f t="shared" si="1208"/>
        <v>0.42771807616876534</v>
      </c>
      <c r="FB236" s="260">
        <f t="shared" si="1208"/>
        <v>0.42771807616876534</v>
      </c>
    </row>
    <row r="237" spans="3:158" x14ac:dyDescent="0.25">
      <c r="C237" s="2" t="s">
        <v>298</v>
      </c>
      <c r="D237" s="330">
        <v>0.02</v>
      </c>
      <c r="E237" s="330">
        <v>0.02</v>
      </c>
      <c r="F237" s="330">
        <v>0.02</v>
      </c>
      <c r="G237" s="351">
        <f t="shared" ref="G237:L237" si="1209">F291</f>
        <v>2.0165733517808128E-2</v>
      </c>
      <c r="H237" s="351">
        <f t="shared" si="1209"/>
        <v>2.4630812162002774E-2</v>
      </c>
      <c r="I237" s="351">
        <f t="shared" si="1209"/>
        <v>3.3181910859817622E-2</v>
      </c>
      <c r="J237" s="351">
        <f t="shared" si="1209"/>
        <v>7.1383666411631103E-2</v>
      </c>
      <c r="K237" s="351">
        <f t="shared" si="1209"/>
        <v>9.3224229088859106E-2</v>
      </c>
      <c r="L237" s="351">
        <f t="shared" si="1209"/>
        <v>0.10580928838391757</v>
      </c>
      <c r="N237" s="260">
        <f t="shared" ref="N237:AW237" si="1210">N261/N$111</f>
        <v>2.521610565366858E-2</v>
      </c>
      <c r="O237" s="260">
        <f t="shared" si="1210"/>
        <v>0</v>
      </c>
      <c r="P237" s="260">
        <f t="shared" si="1210"/>
        <v>0.11021226041501662</v>
      </c>
      <c r="Q237" s="260">
        <f t="shared" si="1210"/>
        <v>6.2426109708957199E-2</v>
      </c>
      <c r="R237" s="260">
        <f t="shared" si="1210"/>
        <v>2.9817788260189125E-2</v>
      </c>
      <c r="S237" s="260">
        <f t="shared" si="1210"/>
        <v>7.6234239926476932E-2</v>
      </c>
      <c r="T237" s="260">
        <f t="shared" si="1210"/>
        <v>1.0218241453261006E-2</v>
      </c>
      <c r="U237" s="260">
        <f t="shared" si="1210"/>
        <v>3.6640570775763583E-2</v>
      </c>
      <c r="V237" s="260">
        <f t="shared" si="1210"/>
        <v>6.120055087132318E-3</v>
      </c>
      <c r="W237" s="260">
        <f t="shared" si="1210"/>
        <v>4.7457325804199139E-2</v>
      </c>
      <c r="X237" s="260">
        <f t="shared" si="1210"/>
        <v>2.1204508215014906E-2</v>
      </c>
      <c r="Y237" s="260">
        <f t="shared" si="1210"/>
        <v>1.1638959477539569E-2</v>
      </c>
      <c r="Z237" s="260">
        <f t="shared" si="1210"/>
        <v>4.2266494890320611E-2</v>
      </c>
      <c r="AA237" s="260">
        <f t="shared" si="1210"/>
        <v>1.9048831306067392E-2</v>
      </c>
      <c r="AB237" s="260">
        <f t="shared" si="1210"/>
        <v>1.834572945358735E-2</v>
      </c>
      <c r="AC237" s="260">
        <f t="shared" si="1210"/>
        <v>1.5567659918640692E-2</v>
      </c>
      <c r="AD237" s="260">
        <f t="shared" si="1210"/>
        <v>3.2225807849216512E-2</v>
      </c>
      <c r="AE237" s="260">
        <f t="shared" si="1210"/>
        <v>3.2225807849216505E-2</v>
      </c>
      <c r="AF237" s="260">
        <f t="shared" si="1210"/>
        <v>3.2225807849216512E-2</v>
      </c>
      <c r="AG237" s="260">
        <f t="shared" si="1210"/>
        <v>3.2225807849216512E-2</v>
      </c>
      <c r="AH237" s="260">
        <f t="shared" si="1210"/>
        <v>4.3668789097398922E-2</v>
      </c>
      <c r="AI237" s="260">
        <f t="shared" si="1210"/>
        <v>4.3668789097398922E-2</v>
      </c>
      <c r="AJ237" s="260">
        <f t="shared" si="1210"/>
        <v>4.3668789097398922E-2</v>
      </c>
      <c r="AK237" s="260">
        <f t="shared" si="1210"/>
        <v>4.3668789097398922E-2</v>
      </c>
      <c r="AL237" s="260">
        <f t="shared" si="1210"/>
        <v>0.10646001190167298</v>
      </c>
      <c r="AM237" s="260">
        <f t="shared" si="1210"/>
        <v>0.10646001190167298</v>
      </c>
      <c r="AN237" s="260">
        <f t="shared" si="1210"/>
        <v>0.10646001190167297</v>
      </c>
      <c r="AO237" s="260">
        <f t="shared" si="1210"/>
        <v>0.10646001190167298</v>
      </c>
      <c r="AP237" s="260">
        <f t="shared" si="1210"/>
        <v>0.15865025254325982</v>
      </c>
      <c r="AQ237" s="260">
        <f t="shared" si="1210"/>
        <v>0.15865025254325982</v>
      </c>
      <c r="AR237" s="260">
        <f t="shared" si="1210"/>
        <v>0.15865025254325982</v>
      </c>
      <c r="AS237" s="260">
        <f t="shared" si="1210"/>
        <v>0.15865025254325982</v>
      </c>
      <c r="AT237" s="260">
        <f t="shared" si="1210"/>
        <v>0.20614680882263603</v>
      </c>
      <c r="AU237" s="260">
        <f t="shared" si="1210"/>
        <v>0.20614680882263603</v>
      </c>
      <c r="AV237" s="260">
        <f t="shared" si="1210"/>
        <v>0.20614680882263606</v>
      </c>
      <c r="AW237" s="260">
        <f t="shared" si="1210"/>
        <v>0.20614680882263603</v>
      </c>
      <c r="AY237" s="262">
        <f t="shared" ref="AY237:DJ238" si="1211">INDEX($D237:$L237,1,MATCH(AY$2,$D$2:$L$2,))</f>
        <v>0.02</v>
      </c>
      <c r="AZ237" s="262">
        <f t="shared" si="1211"/>
        <v>0.02</v>
      </c>
      <c r="BA237" s="262">
        <f t="shared" si="1211"/>
        <v>0.02</v>
      </c>
      <c r="BB237" s="262">
        <f t="shared" si="1211"/>
        <v>0.02</v>
      </c>
      <c r="BC237" s="262">
        <f t="shared" si="1211"/>
        <v>0.02</v>
      </c>
      <c r="BD237" s="262">
        <f t="shared" si="1211"/>
        <v>0.02</v>
      </c>
      <c r="BE237" s="262">
        <f t="shared" si="1211"/>
        <v>0.02</v>
      </c>
      <c r="BF237" s="262">
        <f t="shared" si="1211"/>
        <v>0.02</v>
      </c>
      <c r="BG237" s="262">
        <f t="shared" si="1211"/>
        <v>0.02</v>
      </c>
      <c r="BH237" s="262">
        <f t="shared" si="1211"/>
        <v>0.02</v>
      </c>
      <c r="BI237" s="262">
        <f t="shared" si="1211"/>
        <v>0.02</v>
      </c>
      <c r="BJ237" s="262">
        <f t="shared" si="1211"/>
        <v>0.02</v>
      </c>
      <c r="BK237" s="262">
        <f t="shared" si="1211"/>
        <v>0.02</v>
      </c>
      <c r="BL237" s="262">
        <f t="shared" si="1211"/>
        <v>0.02</v>
      </c>
      <c r="BM237" s="262">
        <f t="shared" si="1211"/>
        <v>0.02</v>
      </c>
      <c r="BN237" s="262">
        <f t="shared" si="1211"/>
        <v>0.02</v>
      </c>
      <c r="BO237" s="262">
        <f t="shared" si="1211"/>
        <v>0.02</v>
      </c>
      <c r="BP237" s="262">
        <f t="shared" si="1211"/>
        <v>0.02</v>
      </c>
      <c r="BQ237" s="262">
        <f t="shared" si="1211"/>
        <v>0.02</v>
      </c>
      <c r="BR237" s="262">
        <f t="shared" si="1211"/>
        <v>0.02</v>
      </c>
      <c r="BS237" s="262">
        <f t="shared" si="1211"/>
        <v>0.02</v>
      </c>
      <c r="BT237" s="262">
        <f t="shared" si="1211"/>
        <v>0.02</v>
      </c>
      <c r="BU237" s="262">
        <f t="shared" si="1211"/>
        <v>0.02</v>
      </c>
      <c r="BV237" s="262">
        <f t="shared" si="1211"/>
        <v>0.02</v>
      </c>
      <c r="BW237" s="262">
        <f t="shared" si="1211"/>
        <v>0.02</v>
      </c>
      <c r="BX237" s="262">
        <f t="shared" si="1211"/>
        <v>0.02</v>
      </c>
      <c r="BY237" s="262">
        <f t="shared" si="1211"/>
        <v>0.02</v>
      </c>
      <c r="BZ237" s="262">
        <f t="shared" si="1211"/>
        <v>0.02</v>
      </c>
      <c r="CA237" s="262">
        <f t="shared" si="1211"/>
        <v>0.02</v>
      </c>
      <c r="CB237" s="262">
        <f t="shared" si="1211"/>
        <v>0.02</v>
      </c>
      <c r="CC237" s="262">
        <f t="shared" si="1211"/>
        <v>0.02</v>
      </c>
      <c r="CD237" s="262">
        <f t="shared" si="1211"/>
        <v>0.02</v>
      </c>
      <c r="CE237" s="262">
        <f t="shared" si="1211"/>
        <v>0.02</v>
      </c>
      <c r="CF237" s="262">
        <f t="shared" si="1211"/>
        <v>0.02</v>
      </c>
      <c r="CG237" s="262">
        <f t="shared" si="1211"/>
        <v>0.02</v>
      </c>
      <c r="CH237" s="262">
        <f t="shared" si="1211"/>
        <v>0.02</v>
      </c>
      <c r="CI237" s="262">
        <f t="shared" si="1211"/>
        <v>2.0165733517808128E-2</v>
      </c>
      <c r="CJ237" s="262">
        <f t="shared" si="1211"/>
        <v>2.0165733517808128E-2</v>
      </c>
      <c r="CK237" s="262">
        <f t="shared" si="1211"/>
        <v>2.0165733517808128E-2</v>
      </c>
      <c r="CL237" s="262">
        <f t="shared" si="1211"/>
        <v>2.0165733517808128E-2</v>
      </c>
      <c r="CM237" s="262">
        <f t="shared" si="1211"/>
        <v>2.0165733517808128E-2</v>
      </c>
      <c r="CN237" s="262">
        <f t="shared" si="1211"/>
        <v>2.0165733517808128E-2</v>
      </c>
      <c r="CO237" s="262">
        <f t="shared" si="1211"/>
        <v>2.0165733517808128E-2</v>
      </c>
      <c r="CP237" s="262">
        <f t="shared" si="1211"/>
        <v>2.0165733517808128E-2</v>
      </c>
      <c r="CQ237" s="262">
        <f t="shared" si="1211"/>
        <v>2.0165733517808128E-2</v>
      </c>
      <c r="CR237" s="262">
        <f t="shared" si="1211"/>
        <v>2.0165733517808128E-2</v>
      </c>
      <c r="CS237" s="262">
        <f t="shared" si="1211"/>
        <v>2.0165733517808128E-2</v>
      </c>
      <c r="CT237" s="262">
        <f t="shared" si="1211"/>
        <v>2.0165733517808128E-2</v>
      </c>
      <c r="CU237" s="262">
        <f t="shared" si="1211"/>
        <v>2.4630812162002774E-2</v>
      </c>
      <c r="CV237" s="262">
        <f t="shared" si="1211"/>
        <v>2.4630812162002774E-2</v>
      </c>
      <c r="CW237" s="262">
        <f t="shared" si="1211"/>
        <v>2.4630812162002774E-2</v>
      </c>
      <c r="CX237" s="262">
        <f t="shared" si="1211"/>
        <v>2.4630812162002774E-2</v>
      </c>
      <c r="CY237" s="262">
        <f t="shared" si="1211"/>
        <v>2.4630812162002774E-2</v>
      </c>
      <c r="CZ237" s="262">
        <f t="shared" si="1211"/>
        <v>2.4630812162002774E-2</v>
      </c>
      <c r="DA237" s="262">
        <f t="shared" si="1211"/>
        <v>2.4630812162002774E-2</v>
      </c>
      <c r="DB237" s="262">
        <f t="shared" si="1211"/>
        <v>2.4630812162002774E-2</v>
      </c>
      <c r="DC237" s="262">
        <f t="shared" si="1211"/>
        <v>2.4630812162002774E-2</v>
      </c>
      <c r="DD237" s="262">
        <f t="shared" si="1211"/>
        <v>2.4630812162002774E-2</v>
      </c>
      <c r="DE237" s="262">
        <f t="shared" si="1211"/>
        <v>2.4630812162002774E-2</v>
      </c>
      <c r="DF237" s="262">
        <f t="shared" si="1211"/>
        <v>2.4630812162002774E-2</v>
      </c>
      <c r="DG237" s="262">
        <f t="shared" si="1211"/>
        <v>3.3181910859817622E-2</v>
      </c>
      <c r="DH237" s="262">
        <f t="shared" si="1211"/>
        <v>3.3181910859817622E-2</v>
      </c>
      <c r="DI237" s="262">
        <f t="shared" si="1211"/>
        <v>3.3181910859817622E-2</v>
      </c>
      <c r="DJ237" s="262">
        <f t="shared" si="1211"/>
        <v>3.3181910859817622E-2</v>
      </c>
      <c r="DK237" s="262">
        <f t="shared" ref="DK237:FB239" si="1212">INDEX($D237:$L237,1,MATCH(DK$2,$D$2:$L$2,))</f>
        <v>3.3181910859817622E-2</v>
      </c>
      <c r="DL237" s="262">
        <f t="shared" si="1212"/>
        <v>3.3181910859817622E-2</v>
      </c>
      <c r="DM237" s="262">
        <f t="shared" si="1212"/>
        <v>3.3181910859817622E-2</v>
      </c>
      <c r="DN237" s="262">
        <f t="shared" si="1212"/>
        <v>3.3181910859817622E-2</v>
      </c>
      <c r="DO237" s="262">
        <f t="shared" si="1212"/>
        <v>3.3181910859817622E-2</v>
      </c>
      <c r="DP237" s="262">
        <f t="shared" si="1212"/>
        <v>3.3181910859817622E-2</v>
      </c>
      <c r="DQ237" s="262">
        <f t="shared" si="1212"/>
        <v>3.3181910859817622E-2</v>
      </c>
      <c r="DR237" s="262">
        <f t="shared" si="1212"/>
        <v>3.3181910859817622E-2</v>
      </c>
      <c r="DS237" s="262">
        <f t="shared" si="1212"/>
        <v>7.1383666411631103E-2</v>
      </c>
      <c r="DT237" s="262">
        <f t="shared" si="1212"/>
        <v>7.1383666411631103E-2</v>
      </c>
      <c r="DU237" s="262">
        <f t="shared" si="1212"/>
        <v>7.1383666411631103E-2</v>
      </c>
      <c r="DV237" s="262">
        <f t="shared" si="1212"/>
        <v>7.1383666411631103E-2</v>
      </c>
      <c r="DW237" s="262">
        <f t="shared" si="1212"/>
        <v>7.1383666411631103E-2</v>
      </c>
      <c r="DX237" s="262">
        <f t="shared" si="1212"/>
        <v>7.1383666411631103E-2</v>
      </c>
      <c r="DY237" s="262">
        <f t="shared" si="1212"/>
        <v>7.1383666411631103E-2</v>
      </c>
      <c r="DZ237" s="262">
        <f t="shared" si="1212"/>
        <v>7.1383666411631103E-2</v>
      </c>
      <c r="EA237" s="262">
        <f t="shared" si="1212"/>
        <v>7.1383666411631103E-2</v>
      </c>
      <c r="EB237" s="262">
        <f t="shared" si="1212"/>
        <v>7.1383666411631103E-2</v>
      </c>
      <c r="EC237" s="262">
        <f t="shared" si="1212"/>
        <v>7.1383666411631103E-2</v>
      </c>
      <c r="ED237" s="262">
        <f t="shared" si="1212"/>
        <v>7.1383666411631103E-2</v>
      </c>
      <c r="EE237" s="262">
        <f t="shared" si="1212"/>
        <v>9.3224229088859106E-2</v>
      </c>
      <c r="EF237" s="262">
        <f t="shared" si="1212"/>
        <v>9.3224229088859106E-2</v>
      </c>
      <c r="EG237" s="262">
        <f t="shared" si="1212"/>
        <v>9.3224229088859106E-2</v>
      </c>
      <c r="EH237" s="262">
        <f t="shared" si="1212"/>
        <v>9.3224229088859106E-2</v>
      </c>
      <c r="EI237" s="262">
        <f t="shared" si="1212"/>
        <v>9.3224229088859106E-2</v>
      </c>
      <c r="EJ237" s="262">
        <f t="shared" si="1212"/>
        <v>9.3224229088859106E-2</v>
      </c>
      <c r="EK237" s="262">
        <f t="shared" si="1212"/>
        <v>9.3224229088859106E-2</v>
      </c>
      <c r="EL237" s="262">
        <f t="shared" si="1212"/>
        <v>9.3224229088859106E-2</v>
      </c>
      <c r="EM237" s="262">
        <f t="shared" si="1212"/>
        <v>9.3224229088859106E-2</v>
      </c>
      <c r="EN237" s="262">
        <f t="shared" si="1212"/>
        <v>9.3224229088859106E-2</v>
      </c>
      <c r="EO237" s="262">
        <f t="shared" si="1212"/>
        <v>9.3224229088859106E-2</v>
      </c>
      <c r="EP237" s="262">
        <f t="shared" si="1212"/>
        <v>9.3224229088859106E-2</v>
      </c>
      <c r="EQ237" s="262">
        <f t="shared" si="1212"/>
        <v>0.10580928838391757</v>
      </c>
      <c r="ER237" s="262">
        <f t="shared" si="1212"/>
        <v>0.10580928838391757</v>
      </c>
      <c r="ES237" s="262">
        <f t="shared" si="1212"/>
        <v>0.10580928838391757</v>
      </c>
      <c r="ET237" s="262">
        <f t="shared" si="1212"/>
        <v>0.10580928838391757</v>
      </c>
      <c r="EU237" s="262">
        <f t="shared" si="1212"/>
        <v>0.10580928838391757</v>
      </c>
      <c r="EV237" s="262">
        <f t="shared" si="1212"/>
        <v>0.10580928838391757</v>
      </c>
      <c r="EW237" s="262">
        <f t="shared" si="1212"/>
        <v>0.10580928838391757</v>
      </c>
      <c r="EX237" s="262">
        <f t="shared" si="1212"/>
        <v>0.10580928838391757</v>
      </c>
      <c r="EY237" s="262">
        <f t="shared" si="1212"/>
        <v>0.10580928838391757</v>
      </c>
      <c r="EZ237" s="262">
        <f t="shared" si="1212"/>
        <v>0.10580928838391757</v>
      </c>
      <c r="FA237" s="262">
        <f t="shared" si="1212"/>
        <v>0.10580928838391757</v>
      </c>
      <c r="FB237" s="262">
        <f t="shared" si="1212"/>
        <v>0.10580928838391757</v>
      </c>
    </row>
    <row r="238" spans="3:158" x14ac:dyDescent="0.25">
      <c r="C238" s="2" t="s">
        <v>299</v>
      </c>
      <c r="D238" s="330">
        <v>0.01</v>
      </c>
      <c r="E238" s="330">
        <v>0.01</v>
      </c>
      <c r="F238" s="330">
        <v>0.01</v>
      </c>
      <c r="G238" s="351">
        <f t="shared" ref="G238:L238" si="1213">F292</f>
        <v>1.0082866758904064E-2</v>
      </c>
      <c r="H238" s="351">
        <f t="shared" si="1213"/>
        <v>2.5936387327381436E-2</v>
      </c>
      <c r="I238" s="351">
        <f t="shared" si="1213"/>
        <v>5.2830649349956342E-2</v>
      </c>
      <c r="J238" s="351">
        <f t="shared" si="1213"/>
        <v>0.1556677177517774</v>
      </c>
      <c r="K238" s="351">
        <f t="shared" si="1213"/>
        <v>0.29593114661604952</v>
      </c>
      <c r="L238" s="351">
        <f t="shared" si="1213"/>
        <v>0.4163601539977636</v>
      </c>
      <c r="N238" s="260">
        <f t="shared" ref="N238:AW238" si="1214">N262/N$111</f>
        <v>1.260805282683429E-2</v>
      </c>
      <c r="O238" s="260">
        <f t="shared" si="1214"/>
        <v>0</v>
      </c>
      <c r="P238" s="260">
        <f t="shared" si="1214"/>
        <v>5.5106130207508312E-2</v>
      </c>
      <c r="Q238" s="260">
        <f t="shared" si="1214"/>
        <v>3.1213054854478599E-2</v>
      </c>
      <c r="R238" s="260">
        <f t="shared" si="1214"/>
        <v>1.4908894130094563E-2</v>
      </c>
      <c r="S238" s="260">
        <f t="shared" si="1214"/>
        <v>3.8117119963238466E-2</v>
      </c>
      <c r="T238" s="260">
        <f t="shared" si="1214"/>
        <v>5.1091207266305031E-3</v>
      </c>
      <c r="U238" s="260">
        <f t="shared" si="1214"/>
        <v>1.8320285387881791E-2</v>
      </c>
      <c r="V238" s="260">
        <f t="shared" si="1214"/>
        <v>3.060027543566159E-3</v>
      </c>
      <c r="W238" s="260">
        <f t="shared" si="1214"/>
        <v>2.372866290209957E-2</v>
      </c>
      <c r="X238" s="260">
        <f t="shared" si="1214"/>
        <v>1.0602254107507453E-2</v>
      </c>
      <c r="Y238" s="260">
        <f t="shared" si="1214"/>
        <v>5.8194797387697847E-3</v>
      </c>
      <c r="Z238" s="260">
        <f t="shared" si="1214"/>
        <v>2.1133247445160305E-2</v>
      </c>
      <c r="AA238" s="260">
        <f t="shared" si="1214"/>
        <v>9.5244156530336962E-3</v>
      </c>
      <c r="AB238" s="260">
        <f t="shared" si="1214"/>
        <v>9.1728647267936749E-3</v>
      </c>
      <c r="AC238" s="260">
        <f t="shared" si="1214"/>
        <v>7.7838299593203462E-3</v>
      </c>
      <c r="AD238" s="260">
        <f t="shared" si="1214"/>
        <v>3.3933961609452924E-2</v>
      </c>
      <c r="AE238" s="260">
        <f t="shared" si="1214"/>
        <v>3.3933961609452924E-2</v>
      </c>
      <c r="AF238" s="260">
        <f t="shared" si="1214"/>
        <v>3.3933961609452924E-2</v>
      </c>
      <c r="AG238" s="260">
        <f t="shared" si="1214"/>
        <v>3.3933961609452917E-2</v>
      </c>
      <c r="AH238" s="260">
        <f t="shared" si="1214"/>
        <v>6.952735465080323E-2</v>
      </c>
      <c r="AI238" s="260">
        <f t="shared" si="1214"/>
        <v>6.952735465080323E-2</v>
      </c>
      <c r="AJ238" s="260">
        <f t="shared" si="1214"/>
        <v>6.952735465080323E-2</v>
      </c>
      <c r="AK238" s="260">
        <f t="shared" si="1214"/>
        <v>6.952735465080323E-2</v>
      </c>
      <c r="AL238" s="260">
        <f t="shared" si="1214"/>
        <v>0.23215937087059213</v>
      </c>
      <c r="AM238" s="260">
        <f t="shared" si="1214"/>
        <v>0.23215937087059207</v>
      </c>
      <c r="AN238" s="260">
        <f t="shared" si="1214"/>
        <v>0.23215937087059207</v>
      </c>
      <c r="AO238" s="260">
        <f t="shared" si="1214"/>
        <v>0.2321593708705921</v>
      </c>
      <c r="AP238" s="260">
        <f t="shared" si="1214"/>
        <v>0.50361962340607302</v>
      </c>
      <c r="AQ238" s="260">
        <f t="shared" si="1214"/>
        <v>0.50361962340607291</v>
      </c>
      <c r="AR238" s="260">
        <f t="shared" si="1214"/>
        <v>0.50361962340607314</v>
      </c>
      <c r="AS238" s="260">
        <f t="shared" si="1214"/>
        <v>0.50361962340607314</v>
      </c>
      <c r="AT238" s="260">
        <f t="shared" si="1214"/>
        <v>0.81118886988551175</v>
      </c>
      <c r="AU238" s="260">
        <f t="shared" si="1214"/>
        <v>0.81118886988551153</v>
      </c>
      <c r="AV238" s="260">
        <f t="shared" si="1214"/>
        <v>0.81118886988551164</v>
      </c>
      <c r="AW238" s="260">
        <f t="shared" si="1214"/>
        <v>0.81118886988551142</v>
      </c>
      <c r="AY238" s="262">
        <f t="shared" si="1211"/>
        <v>0.01</v>
      </c>
      <c r="AZ238" s="262">
        <f t="shared" si="1211"/>
        <v>0.01</v>
      </c>
      <c r="BA238" s="262">
        <f t="shared" si="1211"/>
        <v>0.01</v>
      </c>
      <c r="BB238" s="262">
        <f t="shared" si="1211"/>
        <v>0.01</v>
      </c>
      <c r="BC238" s="262">
        <f t="shared" si="1211"/>
        <v>0.01</v>
      </c>
      <c r="BD238" s="262">
        <f t="shared" si="1211"/>
        <v>0.01</v>
      </c>
      <c r="BE238" s="262">
        <f t="shared" si="1211"/>
        <v>0.01</v>
      </c>
      <c r="BF238" s="262">
        <f t="shared" si="1211"/>
        <v>0.01</v>
      </c>
      <c r="BG238" s="262">
        <f t="shared" si="1211"/>
        <v>0.01</v>
      </c>
      <c r="BH238" s="262">
        <f t="shared" si="1211"/>
        <v>0.01</v>
      </c>
      <c r="BI238" s="262">
        <f t="shared" si="1211"/>
        <v>0.01</v>
      </c>
      <c r="BJ238" s="262">
        <f t="shared" si="1211"/>
        <v>0.01</v>
      </c>
      <c r="BK238" s="262">
        <f t="shared" si="1211"/>
        <v>0.01</v>
      </c>
      <c r="BL238" s="262">
        <f t="shared" si="1211"/>
        <v>0.01</v>
      </c>
      <c r="BM238" s="262">
        <f t="shared" si="1211"/>
        <v>0.01</v>
      </c>
      <c r="BN238" s="262">
        <f t="shared" si="1211"/>
        <v>0.01</v>
      </c>
      <c r="BO238" s="262">
        <f t="shared" si="1211"/>
        <v>0.01</v>
      </c>
      <c r="BP238" s="262">
        <f t="shared" si="1211"/>
        <v>0.01</v>
      </c>
      <c r="BQ238" s="262">
        <f t="shared" si="1211"/>
        <v>0.01</v>
      </c>
      <c r="BR238" s="262">
        <f t="shared" si="1211"/>
        <v>0.01</v>
      </c>
      <c r="BS238" s="262">
        <f t="shared" si="1211"/>
        <v>0.01</v>
      </c>
      <c r="BT238" s="262">
        <f t="shared" si="1211"/>
        <v>0.01</v>
      </c>
      <c r="BU238" s="262">
        <f t="shared" si="1211"/>
        <v>0.01</v>
      </c>
      <c r="BV238" s="262">
        <f t="shared" si="1211"/>
        <v>0.01</v>
      </c>
      <c r="BW238" s="262">
        <f t="shared" si="1211"/>
        <v>0.01</v>
      </c>
      <c r="BX238" s="262">
        <f t="shared" si="1211"/>
        <v>0.01</v>
      </c>
      <c r="BY238" s="262">
        <f t="shared" si="1211"/>
        <v>0.01</v>
      </c>
      <c r="BZ238" s="262">
        <f t="shared" si="1211"/>
        <v>0.01</v>
      </c>
      <c r="CA238" s="262">
        <f t="shared" si="1211"/>
        <v>0.01</v>
      </c>
      <c r="CB238" s="262">
        <f t="shared" si="1211"/>
        <v>0.01</v>
      </c>
      <c r="CC238" s="262">
        <f t="shared" si="1211"/>
        <v>0.01</v>
      </c>
      <c r="CD238" s="262">
        <f t="shared" si="1211"/>
        <v>0.01</v>
      </c>
      <c r="CE238" s="262">
        <f t="shared" si="1211"/>
        <v>0.01</v>
      </c>
      <c r="CF238" s="262">
        <f t="shared" si="1211"/>
        <v>0.01</v>
      </c>
      <c r="CG238" s="262">
        <f t="shared" si="1211"/>
        <v>0.01</v>
      </c>
      <c r="CH238" s="262">
        <f t="shared" si="1211"/>
        <v>0.01</v>
      </c>
      <c r="CI238" s="262">
        <f t="shared" si="1211"/>
        <v>1.0082866758904064E-2</v>
      </c>
      <c r="CJ238" s="262">
        <f t="shared" si="1211"/>
        <v>1.0082866758904064E-2</v>
      </c>
      <c r="CK238" s="262">
        <f t="shared" si="1211"/>
        <v>1.0082866758904064E-2</v>
      </c>
      <c r="CL238" s="262">
        <f t="shared" si="1211"/>
        <v>1.0082866758904064E-2</v>
      </c>
      <c r="CM238" s="262">
        <f t="shared" si="1211"/>
        <v>1.0082866758904064E-2</v>
      </c>
      <c r="CN238" s="262">
        <f t="shared" si="1211"/>
        <v>1.0082866758904064E-2</v>
      </c>
      <c r="CO238" s="262">
        <f t="shared" si="1211"/>
        <v>1.0082866758904064E-2</v>
      </c>
      <c r="CP238" s="262">
        <f t="shared" si="1211"/>
        <v>1.0082866758904064E-2</v>
      </c>
      <c r="CQ238" s="262">
        <f t="shared" si="1211"/>
        <v>1.0082866758904064E-2</v>
      </c>
      <c r="CR238" s="262">
        <f t="shared" si="1211"/>
        <v>1.0082866758904064E-2</v>
      </c>
      <c r="CS238" s="262">
        <f t="shared" si="1211"/>
        <v>1.0082866758904064E-2</v>
      </c>
      <c r="CT238" s="262">
        <f t="shared" si="1211"/>
        <v>1.0082866758904064E-2</v>
      </c>
      <c r="CU238" s="262">
        <f t="shared" si="1211"/>
        <v>2.5936387327381436E-2</v>
      </c>
      <c r="CV238" s="262">
        <f t="shared" si="1211"/>
        <v>2.5936387327381436E-2</v>
      </c>
      <c r="CW238" s="262">
        <f t="shared" si="1211"/>
        <v>2.5936387327381436E-2</v>
      </c>
      <c r="CX238" s="262">
        <f t="shared" si="1211"/>
        <v>2.5936387327381436E-2</v>
      </c>
      <c r="CY238" s="262">
        <f t="shared" si="1211"/>
        <v>2.5936387327381436E-2</v>
      </c>
      <c r="CZ238" s="262">
        <f t="shared" si="1211"/>
        <v>2.5936387327381436E-2</v>
      </c>
      <c r="DA238" s="262">
        <f t="shared" si="1211"/>
        <v>2.5936387327381436E-2</v>
      </c>
      <c r="DB238" s="262">
        <f t="shared" si="1211"/>
        <v>2.5936387327381436E-2</v>
      </c>
      <c r="DC238" s="262">
        <f t="shared" si="1211"/>
        <v>2.5936387327381436E-2</v>
      </c>
      <c r="DD238" s="262">
        <f t="shared" si="1211"/>
        <v>2.5936387327381436E-2</v>
      </c>
      <c r="DE238" s="262">
        <f t="shared" si="1211"/>
        <v>2.5936387327381436E-2</v>
      </c>
      <c r="DF238" s="262">
        <f t="shared" si="1211"/>
        <v>2.5936387327381436E-2</v>
      </c>
      <c r="DG238" s="262">
        <f t="shared" si="1211"/>
        <v>5.2830649349956342E-2</v>
      </c>
      <c r="DH238" s="262">
        <f t="shared" si="1211"/>
        <v>5.2830649349956342E-2</v>
      </c>
      <c r="DI238" s="262">
        <f t="shared" si="1211"/>
        <v>5.2830649349956342E-2</v>
      </c>
      <c r="DJ238" s="262">
        <f t="shared" ref="DJ238" si="1215">INDEX($D238:$L238,1,MATCH(DJ$2,$D$2:$L$2,))</f>
        <v>5.2830649349956342E-2</v>
      </c>
      <c r="DK238" s="262">
        <f t="shared" si="1212"/>
        <v>5.2830649349956342E-2</v>
      </c>
      <c r="DL238" s="262">
        <f t="shared" si="1212"/>
        <v>5.2830649349956342E-2</v>
      </c>
      <c r="DM238" s="262">
        <f t="shared" si="1212"/>
        <v>5.2830649349956342E-2</v>
      </c>
      <c r="DN238" s="262">
        <f t="shared" si="1212"/>
        <v>5.2830649349956342E-2</v>
      </c>
      <c r="DO238" s="262">
        <f t="shared" si="1212"/>
        <v>5.2830649349956342E-2</v>
      </c>
      <c r="DP238" s="262">
        <f t="shared" si="1212"/>
        <v>5.2830649349956342E-2</v>
      </c>
      <c r="DQ238" s="262">
        <f t="shared" si="1212"/>
        <v>5.2830649349956342E-2</v>
      </c>
      <c r="DR238" s="262">
        <f t="shared" si="1212"/>
        <v>5.2830649349956342E-2</v>
      </c>
      <c r="DS238" s="262">
        <f t="shared" si="1212"/>
        <v>0.1556677177517774</v>
      </c>
      <c r="DT238" s="262">
        <f t="shared" si="1212"/>
        <v>0.1556677177517774</v>
      </c>
      <c r="DU238" s="262">
        <f t="shared" si="1212"/>
        <v>0.1556677177517774</v>
      </c>
      <c r="DV238" s="262">
        <f t="shared" si="1212"/>
        <v>0.1556677177517774</v>
      </c>
      <c r="DW238" s="262">
        <f t="shared" si="1212"/>
        <v>0.1556677177517774</v>
      </c>
      <c r="DX238" s="262">
        <f t="shared" si="1212"/>
        <v>0.1556677177517774</v>
      </c>
      <c r="DY238" s="262">
        <f t="shared" si="1212"/>
        <v>0.1556677177517774</v>
      </c>
      <c r="DZ238" s="262">
        <f t="shared" si="1212"/>
        <v>0.1556677177517774</v>
      </c>
      <c r="EA238" s="262">
        <f t="shared" si="1212"/>
        <v>0.1556677177517774</v>
      </c>
      <c r="EB238" s="262">
        <f t="shared" si="1212"/>
        <v>0.1556677177517774</v>
      </c>
      <c r="EC238" s="262">
        <f t="shared" si="1212"/>
        <v>0.1556677177517774</v>
      </c>
      <c r="ED238" s="262">
        <f t="shared" si="1212"/>
        <v>0.1556677177517774</v>
      </c>
      <c r="EE238" s="262">
        <f t="shared" si="1212"/>
        <v>0.29593114661604952</v>
      </c>
      <c r="EF238" s="262">
        <f t="shared" si="1212"/>
        <v>0.29593114661604952</v>
      </c>
      <c r="EG238" s="262">
        <f t="shared" si="1212"/>
        <v>0.29593114661604952</v>
      </c>
      <c r="EH238" s="262">
        <f t="shared" si="1212"/>
        <v>0.29593114661604952</v>
      </c>
      <c r="EI238" s="262">
        <f t="shared" si="1212"/>
        <v>0.29593114661604952</v>
      </c>
      <c r="EJ238" s="262">
        <f t="shared" si="1212"/>
        <v>0.29593114661604952</v>
      </c>
      <c r="EK238" s="262">
        <f t="shared" si="1212"/>
        <v>0.29593114661604952</v>
      </c>
      <c r="EL238" s="262">
        <f t="shared" si="1212"/>
        <v>0.29593114661604952</v>
      </c>
      <c r="EM238" s="262">
        <f t="shared" si="1212"/>
        <v>0.29593114661604952</v>
      </c>
      <c r="EN238" s="262">
        <f t="shared" si="1212"/>
        <v>0.29593114661604952</v>
      </c>
      <c r="EO238" s="262">
        <f t="shared" si="1212"/>
        <v>0.29593114661604952</v>
      </c>
      <c r="EP238" s="262">
        <f t="shared" si="1212"/>
        <v>0.29593114661604952</v>
      </c>
      <c r="EQ238" s="262">
        <f t="shared" si="1212"/>
        <v>0.4163601539977636</v>
      </c>
      <c r="ER238" s="262">
        <f t="shared" si="1212"/>
        <v>0.4163601539977636</v>
      </c>
      <c r="ES238" s="262">
        <f t="shared" si="1212"/>
        <v>0.4163601539977636</v>
      </c>
      <c r="ET238" s="262">
        <f t="shared" si="1212"/>
        <v>0.4163601539977636</v>
      </c>
      <c r="EU238" s="262">
        <f t="shared" si="1212"/>
        <v>0.4163601539977636</v>
      </c>
      <c r="EV238" s="262">
        <f t="shared" si="1212"/>
        <v>0.4163601539977636</v>
      </c>
      <c r="EW238" s="262">
        <f t="shared" si="1212"/>
        <v>0.4163601539977636</v>
      </c>
      <c r="EX238" s="262">
        <f t="shared" si="1212"/>
        <v>0.4163601539977636</v>
      </c>
      <c r="EY238" s="262">
        <f t="shared" si="1212"/>
        <v>0.4163601539977636</v>
      </c>
      <c r="EZ238" s="262">
        <f t="shared" si="1212"/>
        <v>0.4163601539977636</v>
      </c>
      <c r="FA238" s="262">
        <f t="shared" si="1212"/>
        <v>0.4163601539977636</v>
      </c>
      <c r="FB238" s="262">
        <f t="shared" si="1212"/>
        <v>0.4163601539977636</v>
      </c>
    </row>
    <row r="239" spans="3:158" x14ac:dyDescent="0.25">
      <c r="C239" s="2" t="s">
        <v>300</v>
      </c>
      <c r="D239" s="330">
        <v>0.02</v>
      </c>
      <c r="E239" s="330">
        <v>0.02</v>
      </c>
      <c r="F239" s="330">
        <v>0.02</v>
      </c>
      <c r="G239" s="351">
        <f t="shared" ref="G239:L239" si="1216">F293</f>
        <v>2.0165733517808128E-2</v>
      </c>
      <c r="H239" s="351">
        <f t="shared" si="1216"/>
        <v>3.5850585382994349E-2</v>
      </c>
      <c r="I239" s="351">
        <f t="shared" si="1216"/>
        <v>4.2664044801808486E-2</v>
      </c>
      <c r="J239" s="351">
        <f t="shared" si="1216"/>
        <v>4.6581897349436359E-2</v>
      </c>
      <c r="K239" s="351">
        <f t="shared" si="1216"/>
        <v>4.8821797136516722E-2</v>
      </c>
      <c r="L239" s="351">
        <f t="shared" si="1216"/>
        <v>5.0112481449553541E-2</v>
      </c>
      <c r="N239" s="260">
        <f t="shared" ref="N239:AW239" si="1217">N263/N$111</f>
        <v>2.521610565366858E-2</v>
      </c>
      <c r="O239" s="260">
        <f t="shared" si="1217"/>
        <v>0</v>
      </c>
      <c r="P239" s="260">
        <f t="shared" si="1217"/>
        <v>0.11021226041501662</v>
      </c>
      <c r="Q239" s="260">
        <f t="shared" si="1217"/>
        <v>6.2426109708957199E-2</v>
      </c>
      <c r="R239" s="260">
        <f t="shared" si="1217"/>
        <v>2.9817788260189125E-2</v>
      </c>
      <c r="S239" s="260">
        <f t="shared" si="1217"/>
        <v>7.6234239926476932E-2</v>
      </c>
      <c r="T239" s="260">
        <f t="shared" si="1217"/>
        <v>1.0218241453261006E-2</v>
      </c>
      <c r="U239" s="260">
        <f t="shared" si="1217"/>
        <v>3.6640570775763583E-2</v>
      </c>
      <c r="V239" s="260">
        <f t="shared" si="1217"/>
        <v>6.120055087132318E-3</v>
      </c>
      <c r="W239" s="260">
        <f t="shared" si="1217"/>
        <v>4.7457325804199139E-2</v>
      </c>
      <c r="X239" s="260">
        <f t="shared" si="1217"/>
        <v>2.1204508215014906E-2</v>
      </c>
      <c r="Y239" s="260">
        <f t="shared" si="1217"/>
        <v>1.1638959477539569E-2</v>
      </c>
      <c r="Z239" s="260">
        <f t="shared" si="1217"/>
        <v>4.2266494890320611E-2</v>
      </c>
      <c r="AA239" s="260">
        <f t="shared" si="1217"/>
        <v>1.9048831306067392E-2</v>
      </c>
      <c r="AB239" s="260">
        <f t="shared" si="1217"/>
        <v>1.834572945358735E-2</v>
      </c>
      <c r="AC239" s="260">
        <f t="shared" si="1217"/>
        <v>1.5567659918640692E-2</v>
      </c>
      <c r="AD239" s="260">
        <f t="shared" si="1217"/>
        <v>4.6905236751249912E-2</v>
      </c>
      <c r="AE239" s="260">
        <f t="shared" si="1217"/>
        <v>4.6905236751249905E-2</v>
      </c>
      <c r="AF239" s="260">
        <f t="shared" si="1217"/>
        <v>4.6905236751249912E-2</v>
      </c>
      <c r="AG239" s="260">
        <f t="shared" si="1217"/>
        <v>4.6905236751249919E-2</v>
      </c>
      <c r="AH239" s="260">
        <f t="shared" si="1217"/>
        <v>5.6147675833470481E-2</v>
      </c>
      <c r="AI239" s="260">
        <f t="shared" si="1217"/>
        <v>5.6147675833470481E-2</v>
      </c>
      <c r="AJ239" s="260">
        <f t="shared" si="1217"/>
        <v>5.6147675833470481E-2</v>
      </c>
      <c r="AK239" s="260">
        <f t="shared" si="1217"/>
        <v>5.6147675833470488E-2</v>
      </c>
      <c r="AL239" s="260">
        <f t="shared" si="1217"/>
        <v>6.947120532625764E-2</v>
      </c>
      <c r="AM239" s="260">
        <f t="shared" si="1217"/>
        <v>6.9471205326257612E-2</v>
      </c>
      <c r="AN239" s="260">
        <f t="shared" si="1217"/>
        <v>6.9471205326257612E-2</v>
      </c>
      <c r="AO239" s="260">
        <f t="shared" si="1217"/>
        <v>6.9471205326257626E-2</v>
      </c>
      <c r="AP239" s="260">
        <f t="shared" si="1217"/>
        <v>8.3085593960141674E-2</v>
      </c>
      <c r="AQ239" s="260">
        <f t="shared" si="1217"/>
        <v>8.3085593960141674E-2</v>
      </c>
      <c r="AR239" s="260">
        <f t="shared" si="1217"/>
        <v>8.3085593960141674E-2</v>
      </c>
      <c r="AS239" s="260">
        <f t="shared" si="1217"/>
        <v>8.3085593960141688E-2</v>
      </c>
      <c r="AT239" s="260">
        <f t="shared" si="1217"/>
        <v>9.7633471416288184E-2</v>
      </c>
      <c r="AU239" s="260">
        <f t="shared" si="1217"/>
        <v>9.7633471416288184E-2</v>
      </c>
      <c r="AV239" s="260">
        <f t="shared" si="1217"/>
        <v>9.7633471416288184E-2</v>
      </c>
      <c r="AW239" s="260">
        <f t="shared" si="1217"/>
        <v>9.763347141628817E-2</v>
      </c>
      <c r="AY239" s="262">
        <f t="shared" ref="AY239:DJ239" si="1218">INDEX($D239:$L239,1,MATCH(AY$2,$D$2:$L$2,))</f>
        <v>0.02</v>
      </c>
      <c r="AZ239" s="262">
        <f t="shared" si="1218"/>
        <v>0.02</v>
      </c>
      <c r="BA239" s="262">
        <f t="shared" si="1218"/>
        <v>0.02</v>
      </c>
      <c r="BB239" s="262">
        <f t="shared" si="1218"/>
        <v>0.02</v>
      </c>
      <c r="BC239" s="262">
        <f t="shared" si="1218"/>
        <v>0.02</v>
      </c>
      <c r="BD239" s="262">
        <f t="shared" si="1218"/>
        <v>0.02</v>
      </c>
      <c r="BE239" s="262">
        <f t="shared" si="1218"/>
        <v>0.02</v>
      </c>
      <c r="BF239" s="262">
        <f t="shared" si="1218"/>
        <v>0.02</v>
      </c>
      <c r="BG239" s="262">
        <f t="shared" si="1218"/>
        <v>0.02</v>
      </c>
      <c r="BH239" s="262">
        <f t="shared" si="1218"/>
        <v>0.02</v>
      </c>
      <c r="BI239" s="262">
        <f t="shared" si="1218"/>
        <v>0.02</v>
      </c>
      <c r="BJ239" s="262">
        <f t="shared" si="1218"/>
        <v>0.02</v>
      </c>
      <c r="BK239" s="262">
        <f t="shared" si="1218"/>
        <v>0.02</v>
      </c>
      <c r="BL239" s="262">
        <f t="shared" si="1218"/>
        <v>0.02</v>
      </c>
      <c r="BM239" s="262">
        <f t="shared" si="1218"/>
        <v>0.02</v>
      </c>
      <c r="BN239" s="262">
        <f t="shared" si="1218"/>
        <v>0.02</v>
      </c>
      <c r="BO239" s="262">
        <f t="shared" si="1218"/>
        <v>0.02</v>
      </c>
      <c r="BP239" s="262">
        <f t="shared" si="1218"/>
        <v>0.02</v>
      </c>
      <c r="BQ239" s="262">
        <f t="shared" si="1218"/>
        <v>0.02</v>
      </c>
      <c r="BR239" s="262">
        <f t="shared" si="1218"/>
        <v>0.02</v>
      </c>
      <c r="BS239" s="262">
        <f t="shared" si="1218"/>
        <v>0.02</v>
      </c>
      <c r="BT239" s="262">
        <f t="shared" si="1218"/>
        <v>0.02</v>
      </c>
      <c r="BU239" s="262">
        <f t="shared" si="1218"/>
        <v>0.02</v>
      </c>
      <c r="BV239" s="262">
        <f t="shared" si="1218"/>
        <v>0.02</v>
      </c>
      <c r="BW239" s="262">
        <f t="shared" si="1218"/>
        <v>0.02</v>
      </c>
      <c r="BX239" s="262">
        <f t="shared" si="1218"/>
        <v>0.02</v>
      </c>
      <c r="BY239" s="262">
        <f t="shared" si="1218"/>
        <v>0.02</v>
      </c>
      <c r="BZ239" s="262">
        <f t="shared" si="1218"/>
        <v>0.02</v>
      </c>
      <c r="CA239" s="262">
        <f t="shared" si="1218"/>
        <v>0.02</v>
      </c>
      <c r="CB239" s="262">
        <f t="shared" si="1218"/>
        <v>0.02</v>
      </c>
      <c r="CC239" s="262">
        <f t="shared" si="1218"/>
        <v>0.02</v>
      </c>
      <c r="CD239" s="262">
        <f t="shared" si="1218"/>
        <v>0.02</v>
      </c>
      <c r="CE239" s="262">
        <f t="shared" si="1218"/>
        <v>0.02</v>
      </c>
      <c r="CF239" s="262">
        <f t="shared" si="1218"/>
        <v>0.02</v>
      </c>
      <c r="CG239" s="262">
        <f t="shared" si="1218"/>
        <v>0.02</v>
      </c>
      <c r="CH239" s="262">
        <f t="shared" si="1218"/>
        <v>0.02</v>
      </c>
      <c r="CI239" s="262">
        <f t="shared" si="1218"/>
        <v>2.0165733517808128E-2</v>
      </c>
      <c r="CJ239" s="262">
        <f t="shared" si="1218"/>
        <v>2.0165733517808128E-2</v>
      </c>
      <c r="CK239" s="262">
        <f t="shared" si="1218"/>
        <v>2.0165733517808128E-2</v>
      </c>
      <c r="CL239" s="262">
        <f t="shared" si="1218"/>
        <v>2.0165733517808128E-2</v>
      </c>
      <c r="CM239" s="262">
        <f t="shared" si="1218"/>
        <v>2.0165733517808128E-2</v>
      </c>
      <c r="CN239" s="262">
        <f t="shared" si="1218"/>
        <v>2.0165733517808128E-2</v>
      </c>
      <c r="CO239" s="262">
        <f t="shared" si="1218"/>
        <v>2.0165733517808128E-2</v>
      </c>
      <c r="CP239" s="262">
        <f t="shared" si="1218"/>
        <v>2.0165733517808128E-2</v>
      </c>
      <c r="CQ239" s="262">
        <f t="shared" si="1218"/>
        <v>2.0165733517808128E-2</v>
      </c>
      <c r="CR239" s="262">
        <f t="shared" si="1218"/>
        <v>2.0165733517808128E-2</v>
      </c>
      <c r="CS239" s="262">
        <f t="shared" si="1218"/>
        <v>2.0165733517808128E-2</v>
      </c>
      <c r="CT239" s="262">
        <f t="shared" si="1218"/>
        <v>2.0165733517808128E-2</v>
      </c>
      <c r="CU239" s="262">
        <f t="shared" si="1218"/>
        <v>3.5850585382994349E-2</v>
      </c>
      <c r="CV239" s="262">
        <f t="shared" si="1218"/>
        <v>3.5850585382994349E-2</v>
      </c>
      <c r="CW239" s="262">
        <f t="shared" si="1218"/>
        <v>3.5850585382994349E-2</v>
      </c>
      <c r="CX239" s="262">
        <f t="shared" si="1218"/>
        <v>3.5850585382994349E-2</v>
      </c>
      <c r="CY239" s="262">
        <f t="shared" si="1218"/>
        <v>3.5850585382994349E-2</v>
      </c>
      <c r="CZ239" s="262">
        <f t="shared" si="1218"/>
        <v>3.5850585382994349E-2</v>
      </c>
      <c r="DA239" s="262">
        <f t="shared" si="1218"/>
        <v>3.5850585382994349E-2</v>
      </c>
      <c r="DB239" s="262">
        <f t="shared" si="1218"/>
        <v>3.5850585382994349E-2</v>
      </c>
      <c r="DC239" s="262">
        <f t="shared" si="1218"/>
        <v>3.5850585382994349E-2</v>
      </c>
      <c r="DD239" s="262">
        <f t="shared" si="1218"/>
        <v>3.5850585382994349E-2</v>
      </c>
      <c r="DE239" s="262">
        <f t="shared" si="1218"/>
        <v>3.5850585382994349E-2</v>
      </c>
      <c r="DF239" s="262">
        <f t="shared" si="1218"/>
        <v>3.5850585382994349E-2</v>
      </c>
      <c r="DG239" s="262">
        <f t="shared" si="1218"/>
        <v>4.2664044801808486E-2</v>
      </c>
      <c r="DH239" s="262">
        <f t="shared" si="1218"/>
        <v>4.2664044801808486E-2</v>
      </c>
      <c r="DI239" s="262">
        <f t="shared" si="1218"/>
        <v>4.2664044801808486E-2</v>
      </c>
      <c r="DJ239" s="262">
        <f t="shared" si="1218"/>
        <v>4.2664044801808486E-2</v>
      </c>
      <c r="DK239" s="262">
        <f t="shared" si="1212"/>
        <v>4.2664044801808486E-2</v>
      </c>
      <c r="DL239" s="262">
        <f t="shared" si="1212"/>
        <v>4.2664044801808486E-2</v>
      </c>
      <c r="DM239" s="262">
        <f t="shared" si="1212"/>
        <v>4.2664044801808486E-2</v>
      </c>
      <c r="DN239" s="262">
        <f t="shared" si="1212"/>
        <v>4.2664044801808486E-2</v>
      </c>
      <c r="DO239" s="262">
        <f t="shared" si="1212"/>
        <v>4.2664044801808486E-2</v>
      </c>
      <c r="DP239" s="262">
        <f t="shared" si="1212"/>
        <v>4.2664044801808486E-2</v>
      </c>
      <c r="DQ239" s="262">
        <f t="shared" si="1212"/>
        <v>4.2664044801808486E-2</v>
      </c>
      <c r="DR239" s="262">
        <f t="shared" si="1212"/>
        <v>4.2664044801808486E-2</v>
      </c>
      <c r="DS239" s="262">
        <f t="shared" si="1212"/>
        <v>4.6581897349436359E-2</v>
      </c>
      <c r="DT239" s="262">
        <f t="shared" si="1212"/>
        <v>4.6581897349436359E-2</v>
      </c>
      <c r="DU239" s="262">
        <f t="shared" si="1212"/>
        <v>4.6581897349436359E-2</v>
      </c>
      <c r="DV239" s="262">
        <f t="shared" si="1212"/>
        <v>4.6581897349436359E-2</v>
      </c>
      <c r="DW239" s="262">
        <f t="shared" si="1212"/>
        <v>4.6581897349436359E-2</v>
      </c>
      <c r="DX239" s="262">
        <f t="shared" si="1212"/>
        <v>4.6581897349436359E-2</v>
      </c>
      <c r="DY239" s="262">
        <f t="shared" si="1212"/>
        <v>4.6581897349436359E-2</v>
      </c>
      <c r="DZ239" s="262">
        <f t="shared" si="1212"/>
        <v>4.6581897349436359E-2</v>
      </c>
      <c r="EA239" s="262">
        <f t="shared" si="1212"/>
        <v>4.6581897349436359E-2</v>
      </c>
      <c r="EB239" s="262">
        <f t="shared" si="1212"/>
        <v>4.6581897349436359E-2</v>
      </c>
      <c r="EC239" s="262">
        <f t="shared" si="1212"/>
        <v>4.6581897349436359E-2</v>
      </c>
      <c r="ED239" s="262">
        <f t="shared" si="1212"/>
        <v>4.6581897349436359E-2</v>
      </c>
      <c r="EE239" s="262">
        <f t="shared" si="1212"/>
        <v>4.8821797136516722E-2</v>
      </c>
      <c r="EF239" s="262">
        <f t="shared" si="1212"/>
        <v>4.8821797136516722E-2</v>
      </c>
      <c r="EG239" s="262">
        <f t="shared" si="1212"/>
        <v>4.8821797136516722E-2</v>
      </c>
      <c r="EH239" s="262">
        <f t="shared" si="1212"/>
        <v>4.8821797136516722E-2</v>
      </c>
      <c r="EI239" s="262">
        <f t="shared" si="1212"/>
        <v>4.8821797136516722E-2</v>
      </c>
      <c r="EJ239" s="262">
        <f t="shared" si="1212"/>
        <v>4.8821797136516722E-2</v>
      </c>
      <c r="EK239" s="262">
        <f t="shared" si="1212"/>
        <v>4.8821797136516722E-2</v>
      </c>
      <c r="EL239" s="262">
        <f t="shared" si="1212"/>
        <v>4.8821797136516722E-2</v>
      </c>
      <c r="EM239" s="262">
        <f t="shared" si="1212"/>
        <v>4.8821797136516722E-2</v>
      </c>
      <c r="EN239" s="262">
        <f t="shared" si="1212"/>
        <v>4.8821797136516722E-2</v>
      </c>
      <c r="EO239" s="262">
        <f t="shared" si="1212"/>
        <v>4.8821797136516722E-2</v>
      </c>
      <c r="EP239" s="262">
        <f t="shared" si="1212"/>
        <v>4.8821797136516722E-2</v>
      </c>
      <c r="EQ239" s="262">
        <f t="shared" si="1212"/>
        <v>5.0112481449553541E-2</v>
      </c>
      <c r="ER239" s="262">
        <f t="shared" si="1212"/>
        <v>5.0112481449553541E-2</v>
      </c>
      <c r="ES239" s="262">
        <f t="shared" si="1212"/>
        <v>5.0112481449553541E-2</v>
      </c>
      <c r="ET239" s="262">
        <f t="shared" si="1212"/>
        <v>5.0112481449553541E-2</v>
      </c>
      <c r="EU239" s="262">
        <f t="shared" si="1212"/>
        <v>5.0112481449553541E-2</v>
      </c>
      <c r="EV239" s="262">
        <f t="shared" si="1212"/>
        <v>5.0112481449553541E-2</v>
      </c>
      <c r="EW239" s="262">
        <f t="shared" si="1212"/>
        <v>5.0112481449553541E-2</v>
      </c>
      <c r="EX239" s="262">
        <f t="shared" si="1212"/>
        <v>5.0112481449553541E-2</v>
      </c>
      <c r="EY239" s="262">
        <f t="shared" si="1212"/>
        <v>5.0112481449553541E-2</v>
      </c>
      <c r="EZ239" s="262">
        <f t="shared" si="1212"/>
        <v>5.0112481449553541E-2</v>
      </c>
      <c r="FA239" s="262">
        <f t="shared" si="1212"/>
        <v>5.0112481449553541E-2</v>
      </c>
      <c r="FB239" s="262">
        <f t="shared" si="1212"/>
        <v>5.0112481449553541E-2</v>
      </c>
    </row>
    <row r="240" spans="3:158" x14ac:dyDescent="0.25">
      <c r="D240" s="331"/>
      <c r="E240" s="331"/>
      <c r="F240" s="331"/>
      <c r="G240" s="350"/>
      <c r="H240" s="350"/>
      <c r="I240" s="350"/>
      <c r="J240" s="350"/>
      <c r="K240" s="350"/>
    </row>
    <row r="241" spans="3:158" x14ac:dyDescent="0.25">
      <c r="C241" s="304" t="s">
        <v>643</v>
      </c>
      <c r="D241" s="331"/>
      <c r="E241" s="331"/>
      <c r="F241" s="331"/>
      <c r="G241" s="350"/>
      <c r="H241" s="350"/>
      <c r="I241" s="350"/>
      <c r="J241" s="350"/>
      <c r="K241" s="350"/>
    </row>
    <row r="242" spans="3:158" x14ac:dyDescent="0.25">
      <c r="C242" s="2" t="s">
        <v>346</v>
      </c>
      <c r="D242" s="349">
        <f t="shared" ref="D242" si="1219">1-SUM(D243:D245)</f>
        <v>0.95</v>
      </c>
      <c r="E242" s="349">
        <f t="shared" ref="E242" si="1220">1-SUM(E243:E245)</f>
        <v>0.95</v>
      </c>
      <c r="F242" s="349">
        <f t="shared" ref="F242" si="1221">1-SUM(F243:F245)</f>
        <v>0.95</v>
      </c>
      <c r="G242" s="349">
        <f t="shared" ref="G242" si="1222">1-SUM(G243:G245)</f>
        <v>0.94958566620547968</v>
      </c>
      <c r="H242" s="349">
        <f t="shared" ref="H242" si="1223">1-SUM(H243:H245)</f>
        <v>0.91358221512762139</v>
      </c>
      <c r="I242" s="349">
        <f>1-SUM(I243:I245)</f>
        <v>0.8713233949884176</v>
      </c>
      <c r="J242" s="349">
        <f t="shared" ref="J242" si="1224">1-SUM(J243:J245)</f>
        <v>0.72636671848715517</v>
      </c>
      <c r="K242" s="349">
        <f t="shared" ref="K242" si="1225">1-SUM(K243:K245)</f>
        <v>0.56202282715857454</v>
      </c>
      <c r="L242" s="349">
        <f t="shared" ref="L242" si="1226">1-SUM(L243:L245)</f>
        <v>0.42771807616876534</v>
      </c>
      <c r="N242" s="260">
        <f t="shared" ref="N242:AW242" si="1227">N266/N$117</f>
        <v>0.29912993039443153</v>
      </c>
      <c r="O242" s="260">
        <f t="shared" si="1227"/>
        <v>2.2951051437216337</v>
      </c>
      <c r="P242" s="260">
        <f t="shared" si="1227"/>
        <v>0</v>
      </c>
      <c r="Q242" s="260">
        <f t="shared" si="1227"/>
        <v>9.5501382256848455E-2</v>
      </c>
      <c r="R242" s="260">
        <f t="shared" si="1227"/>
        <v>5.577299412915851E-2</v>
      </c>
      <c r="S242" s="260">
        <f t="shared" si="1227"/>
        <v>0.35442335081053999</v>
      </c>
      <c r="T242" s="260">
        <f t="shared" si="1227"/>
        <v>0</v>
      </c>
      <c r="U242" s="260">
        <f t="shared" si="1227"/>
        <v>0.12590364343254282</v>
      </c>
      <c r="V242" s="260">
        <f t="shared" si="1227"/>
        <v>0.10066215294918959</v>
      </c>
      <c r="W242" s="260">
        <f t="shared" si="1227"/>
        <v>0.56933721295484985</v>
      </c>
      <c r="X242" s="260">
        <f t="shared" si="1227"/>
        <v>0.32484176266881215</v>
      </c>
      <c r="Y242" s="260">
        <f t="shared" si="1227"/>
        <v>0.4917607588273874</v>
      </c>
      <c r="Z242" s="260">
        <f t="shared" si="1227"/>
        <v>9.5390992349514536E-2</v>
      </c>
      <c r="AA242" s="260">
        <f t="shared" si="1227"/>
        <v>0.10305214104610211</v>
      </c>
      <c r="AB242" s="260">
        <f t="shared" si="1227"/>
        <v>0.19695395047273459</v>
      </c>
      <c r="AC242" s="260">
        <f t="shared" si="1227"/>
        <v>0.1671294743743636</v>
      </c>
      <c r="AD242" s="260">
        <f t="shared" si="1227"/>
        <v>0.14770328503527519</v>
      </c>
      <c r="AE242" s="260">
        <f t="shared" si="1227"/>
        <v>0.14770328503527516</v>
      </c>
      <c r="AF242" s="260">
        <f t="shared" si="1227"/>
        <v>0.14770328503527513</v>
      </c>
      <c r="AG242" s="260">
        <f t="shared" si="1227"/>
        <v>0.14770328503527513</v>
      </c>
      <c r="AH242" s="260">
        <f t="shared" si="1227"/>
        <v>0.14169892944335674</v>
      </c>
      <c r="AI242" s="260">
        <f t="shared" si="1227"/>
        <v>0.14169892944335671</v>
      </c>
      <c r="AJ242" s="260">
        <f t="shared" si="1227"/>
        <v>0.14169892944335671</v>
      </c>
      <c r="AK242" s="260">
        <f t="shared" si="1227"/>
        <v>0.14169892944335674</v>
      </c>
      <c r="AL242" s="260">
        <f t="shared" si="1227"/>
        <v>0.13386314799840693</v>
      </c>
      <c r="AM242" s="260">
        <f t="shared" si="1227"/>
        <v>0.13386314799840693</v>
      </c>
      <c r="AN242" s="260">
        <f t="shared" si="1227"/>
        <v>0.13386314799840693</v>
      </c>
      <c r="AO242" s="260">
        <f t="shared" si="1227"/>
        <v>0.13386314799840696</v>
      </c>
      <c r="AP242" s="260">
        <f t="shared" si="1227"/>
        <v>0.11819071483393215</v>
      </c>
      <c r="AQ242" s="260">
        <f t="shared" si="1227"/>
        <v>0.11819071483393218</v>
      </c>
      <c r="AR242" s="260">
        <f t="shared" si="1227"/>
        <v>0.11819071483393216</v>
      </c>
      <c r="AS242" s="260">
        <f t="shared" si="1227"/>
        <v>0.11819071483393213</v>
      </c>
      <c r="AT242" s="260">
        <f t="shared" si="1227"/>
        <v>0.10297406669683329</v>
      </c>
      <c r="AU242" s="260">
        <f t="shared" si="1227"/>
        <v>0.10297406669683329</v>
      </c>
      <c r="AV242" s="260">
        <f t="shared" si="1227"/>
        <v>0.1029740666968333</v>
      </c>
      <c r="AW242" s="260">
        <f t="shared" si="1227"/>
        <v>0.10297406669683329</v>
      </c>
      <c r="AY242" s="260">
        <f t="shared" ref="AY242:DJ242" si="1228">1-SUM(AY243:AY245)</f>
        <v>0.95</v>
      </c>
      <c r="AZ242" s="260">
        <f t="shared" si="1228"/>
        <v>0.95</v>
      </c>
      <c r="BA242" s="260">
        <f t="shared" si="1228"/>
        <v>0.95</v>
      </c>
      <c r="BB242" s="260">
        <f t="shared" si="1228"/>
        <v>0.95</v>
      </c>
      <c r="BC242" s="260">
        <f t="shared" si="1228"/>
        <v>0.95</v>
      </c>
      <c r="BD242" s="260">
        <f t="shared" si="1228"/>
        <v>0.95</v>
      </c>
      <c r="BE242" s="260">
        <f t="shared" si="1228"/>
        <v>0.95</v>
      </c>
      <c r="BF242" s="260">
        <f t="shared" si="1228"/>
        <v>0.95</v>
      </c>
      <c r="BG242" s="260">
        <f t="shared" si="1228"/>
        <v>0.95</v>
      </c>
      <c r="BH242" s="260">
        <f t="shared" si="1228"/>
        <v>0.95</v>
      </c>
      <c r="BI242" s="260">
        <f t="shared" si="1228"/>
        <v>0.95</v>
      </c>
      <c r="BJ242" s="260">
        <f t="shared" si="1228"/>
        <v>0.95</v>
      </c>
      <c r="BK242" s="260">
        <f t="shared" si="1228"/>
        <v>0.95</v>
      </c>
      <c r="BL242" s="260">
        <f t="shared" si="1228"/>
        <v>0.95</v>
      </c>
      <c r="BM242" s="260">
        <f t="shared" si="1228"/>
        <v>0.95</v>
      </c>
      <c r="BN242" s="260">
        <f t="shared" si="1228"/>
        <v>0.95</v>
      </c>
      <c r="BO242" s="260">
        <f t="shared" si="1228"/>
        <v>0.95</v>
      </c>
      <c r="BP242" s="260">
        <f t="shared" si="1228"/>
        <v>0.95</v>
      </c>
      <c r="BQ242" s="260">
        <f t="shared" si="1228"/>
        <v>0.95</v>
      </c>
      <c r="BR242" s="260">
        <f t="shared" si="1228"/>
        <v>0.95</v>
      </c>
      <c r="BS242" s="260">
        <f t="shared" si="1228"/>
        <v>0.95</v>
      </c>
      <c r="BT242" s="260">
        <f t="shared" si="1228"/>
        <v>0.95</v>
      </c>
      <c r="BU242" s="260">
        <f t="shared" si="1228"/>
        <v>0.95</v>
      </c>
      <c r="BV242" s="260">
        <f t="shared" si="1228"/>
        <v>0.95</v>
      </c>
      <c r="BW242" s="260">
        <f t="shared" si="1228"/>
        <v>0.95</v>
      </c>
      <c r="BX242" s="260">
        <f t="shared" si="1228"/>
        <v>0.95</v>
      </c>
      <c r="BY242" s="260">
        <f t="shared" si="1228"/>
        <v>0.95</v>
      </c>
      <c r="BZ242" s="260">
        <f t="shared" si="1228"/>
        <v>0.95</v>
      </c>
      <c r="CA242" s="260">
        <f t="shared" si="1228"/>
        <v>0.95</v>
      </c>
      <c r="CB242" s="260">
        <f t="shared" si="1228"/>
        <v>0.95</v>
      </c>
      <c r="CC242" s="260">
        <f t="shared" si="1228"/>
        <v>0.95</v>
      </c>
      <c r="CD242" s="260">
        <f t="shared" si="1228"/>
        <v>0.95</v>
      </c>
      <c r="CE242" s="260">
        <f t="shared" si="1228"/>
        <v>0.95</v>
      </c>
      <c r="CF242" s="260">
        <f t="shared" si="1228"/>
        <v>0.95</v>
      </c>
      <c r="CG242" s="260">
        <f t="shared" si="1228"/>
        <v>0.95</v>
      </c>
      <c r="CH242" s="260">
        <f t="shared" si="1228"/>
        <v>0.95</v>
      </c>
      <c r="CI242" s="260">
        <f t="shared" si="1228"/>
        <v>0.94958566620547968</v>
      </c>
      <c r="CJ242" s="260">
        <f t="shared" si="1228"/>
        <v>0.94958566620547968</v>
      </c>
      <c r="CK242" s="260">
        <f t="shared" si="1228"/>
        <v>0.94958566620547968</v>
      </c>
      <c r="CL242" s="260">
        <f t="shared" si="1228"/>
        <v>0.94958566620547968</v>
      </c>
      <c r="CM242" s="260">
        <f t="shared" si="1228"/>
        <v>0.94958566620547968</v>
      </c>
      <c r="CN242" s="260">
        <f t="shared" si="1228"/>
        <v>0.94958566620547968</v>
      </c>
      <c r="CO242" s="260">
        <f t="shared" si="1228"/>
        <v>0.94958566620547968</v>
      </c>
      <c r="CP242" s="260">
        <f t="shared" si="1228"/>
        <v>0.94958566620547968</v>
      </c>
      <c r="CQ242" s="260">
        <f t="shared" si="1228"/>
        <v>0.94958566620547968</v>
      </c>
      <c r="CR242" s="260">
        <f t="shared" si="1228"/>
        <v>0.94958566620547968</v>
      </c>
      <c r="CS242" s="260">
        <f t="shared" si="1228"/>
        <v>0.94958566620547968</v>
      </c>
      <c r="CT242" s="260">
        <f t="shared" si="1228"/>
        <v>0.94958566620547968</v>
      </c>
      <c r="CU242" s="260">
        <f t="shared" si="1228"/>
        <v>0.91358221512762139</v>
      </c>
      <c r="CV242" s="260">
        <f t="shared" si="1228"/>
        <v>0.91358221512762139</v>
      </c>
      <c r="CW242" s="260">
        <f t="shared" si="1228"/>
        <v>0.91358221512762139</v>
      </c>
      <c r="CX242" s="260">
        <f t="shared" si="1228"/>
        <v>0.91358221512762139</v>
      </c>
      <c r="CY242" s="260">
        <f t="shared" si="1228"/>
        <v>0.91358221512762139</v>
      </c>
      <c r="CZ242" s="260">
        <f t="shared" si="1228"/>
        <v>0.91358221512762139</v>
      </c>
      <c r="DA242" s="260">
        <f t="shared" si="1228"/>
        <v>0.91358221512762139</v>
      </c>
      <c r="DB242" s="260">
        <f t="shared" si="1228"/>
        <v>0.91358221512762139</v>
      </c>
      <c r="DC242" s="260">
        <f t="shared" si="1228"/>
        <v>0.91358221512762139</v>
      </c>
      <c r="DD242" s="260">
        <f t="shared" si="1228"/>
        <v>0.91358221512762139</v>
      </c>
      <c r="DE242" s="260">
        <f t="shared" si="1228"/>
        <v>0.91358221512762139</v>
      </c>
      <c r="DF242" s="260">
        <f t="shared" si="1228"/>
        <v>0.91358221512762139</v>
      </c>
      <c r="DG242" s="260">
        <f t="shared" si="1228"/>
        <v>0.8713233949884176</v>
      </c>
      <c r="DH242" s="260">
        <f t="shared" si="1228"/>
        <v>0.8713233949884176</v>
      </c>
      <c r="DI242" s="260">
        <f t="shared" si="1228"/>
        <v>0.8713233949884176</v>
      </c>
      <c r="DJ242" s="260">
        <f t="shared" si="1228"/>
        <v>0.8713233949884176</v>
      </c>
      <c r="DK242" s="260">
        <f t="shared" ref="DK242:FB242" si="1229">1-SUM(DK243:DK245)</f>
        <v>0.8713233949884176</v>
      </c>
      <c r="DL242" s="260">
        <f t="shared" si="1229"/>
        <v>0.8713233949884176</v>
      </c>
      <c r="DM242" s="260">
        <f t="shared" si="1229"/>
        <v>0.8713233949884176</v>
      </c>
      <c r="DN242" s="260">
        <f t="shared" si="1229"/>
        <v>0.8713233949884176</v>
      </c>
      <c r="DO242" s="260">
        <f t="shared" si="1229"/>
        <v>0.8713233949884176</v>
      </c>
      <c r="DP242" s="260">
        <f t="shared" si="1229"/>
        <v>0.8713233949884176</v>
      </c>
      <c r="DQ242" s="260">
        <f t="shared" si="1229"/>
        <v>0.8713233949884176</v>
      </c>
      <c r="DR242" s="260">
        <f t="shared" si="1229"/>
        <v>0.8713233949884176</v>
      </c>
      <c r="DS242" s="260">
        <f t="shared" si="1229"/>
        <v>0.72636671848715517</v>
      </c>
      <c r="DT242" s="260">
        <f t="shared" si="1229"/>
        <v>0.72636671848715517</v>
      </c>
      <c r="DU242" s="260">
        <f t="shared" si="1229"/>
        <v>0.72636671848715517</v>
      </c>
      <c r="DV242" s="260">
        <f t="shared" si="1229"/>
        <v>0.72636671848715517</v>
      </c>
      <c r="DW242" s="260">
        <f t="shared" si="1229"/>
        <v>0.72636671848715517</v>
      </c>
      <c r="DX242" s="260">
        <f t="shared" si="1229"/>
        <v>0.72636671848715517</v>
      </c>
      <c r="DY242" s="260">
        <f t="shared" si="1229"/>
        <v>0.72636671848715517</v>
      </c>
      <c r="DZ242" s="260">
        <f t="shared" si="1229"/>
        <v>0.72636671848715517</v>
      </c>
      <c r="EA242" s="260">
        <f t="shared" si="1229"/>
        <v>0.72636671848715517</v>
      </c>
      <c r="EB242" s="260">
        <f t="shared" si="1229"/>
        <v>0.72636671848715517</v>
      </c>
      <c r="EC242" s="260">
        <f t="shared" si="1229"/>
        <v>0.72636671848715517</v>
      </c>
      <c r="ED242" s="260">
        <f t="shared" si="1229"/>
        <v>0.72636671848715517</v>
      </c>
      <c r="EE242" s="260">
        <f t="shared" si="1229"/>
        <v>0.56202282715857454</v>
      </c>
      <c r="EF242" s="260">
        <f t="shared" si="1229"/>
        <v>0.56202282715857454</v>
      </c>
      <c r="EG242" s="260">
        <f t="shared" si="1229"/>
        <v>0.56202282715857454</v>
      </c>
      <c r="EH242" s="260">
        <f t="shared" si="1229"/>
        <v>0.56202282715857454</v>
      </c>
      <c r="EI242" s="260">
        <f t="shared" si="1229"/>
        <v>0.56202282715857454</v>
      </c>
      <c r="EJ242" s="260">
        <f t="shared" si="1229"/>
        <v>0.56202282715857454</v>
      </c>
      <c r="EK242" s="260">
        <f t="shared" si="1229"/>
        <v>0.56202282715857454</v>
      </c>
      <c r="EL242" s="260">
        <f t="shared" si="1229"/>
        <v>0.56202282715857454</v>
      </c>
      <c r="EM242" s="260">
        <f t="shared" si="1229"/>
        <v>0.56202282715857454</v>
      </c>
      <c r="EN242" s="260">
        <f t="shared" si="1229"/>
        <v>0.56202282715857454</v>
      </c>
      <c r="EO242" s="260">
        <f t="shared" si="1229"/>
        <v>0.56202282715857454</v>
      </c>
      <c r="EP242" s="260">
        <f t="shared" si="1229"/>
        <v>0.56202282715857454</v>
      </c>
      <c r="EQ242" s="260">
        <f t="shared" si="1229"/>
        <v>0.42771807616876534</v>
      </c>
      <c r="ER242" s="260">
        <f t="shared" si="1229"/>
        <v>0.42771807616876534</v>
      </c>
      <c r="ES242" s="260">
        <f t="shared" si="1229"/>
        <v>0.42771807616876534</v>
      </c>
      <c r="ET242" s="260">
        <f t="shared" si="1229"/>
        <v>0.42771807616876534</v>
      </c>
      <c r="EU242" s="260">
        <f t="shared" si="1229"/>
        <v>0.42771807616876534</v>
      </c>
      <c r="EV242" s="260">
        <f t="shared" si="1229"/>
        <v>0.42771807616876534</v>
      </c>
      <c r="EW242" s="260">
        <f t="shared" si="1229"/>
        <v>0.42771807616876534</v>
      </c>
      <c r="EX242" s="260">
        <f t="shared" si="1229"/>
        <v>0.42771807616876534</v>
      </c>
      <c r="EY242" s="260">
        <f t="shared" si="1229"/>
        <v>0.42771807616876534</v>
      </c>
      <c r="EZ242" s="260">
        <f t="shared" si="1229"/>
        <v>0.42771807616876534</v>
      </c>
      <c r="FA242" s="260">
        <f t="shared" si="1229"/>
        <v>0.42771807616876534</v>
      </c>
      <c r="FB242" s="260">
        <f t="shared" si="1229"/>
        <v>0.42771807616876534</v>
      </c>
    </row>
    <row r="243" spans="3:158" x14ac:dyDescent="0.25">
      <c r="C243" s="2" t="s">
        <v>298</v>
      </c>
      <c r="D243" s="330">
        <v>0.02</v>
      </c>
      <c r="E243" s="330">
        <v>0.02</v>
      </c>
      <c r="F243" s="330">
        <v>0.02</v>
      </c>
      <c r="G243" s="351">
        <f>G237</f>
        <v>2.0165733517808128E-2</v>
      </c>
      <c r="H243" s="351">
        <f t="shared" ref="H243:L243" si="1230">H237</f>
        <v>2.4630812162002774E-2</v>
      </c>
      <c r="I243" s="351">
        <f t="shared" si="1230"/>
        <v>3.3181910859817622E-2</v>
      </c>
      <c r="J243" s="351">
        <f t="shared" si="1230"/>
        <v>7.1383666411631103E-2</v>
      </c>
      <c r="K243" s="351">
        <f t="shared" si="1230"/>
        <v>9.3224229088859106E-2</v>
      </c>
      <c r="L243" s="351">
        <f t="shared" si="1230"/>
        <v>0.10580928838391757</v>
      </c>
      <c r="N243" s="260">
        <f t="shared" ref="N243:AW243" si="1231">N267/N$117</f>
        <v>6.2974722188301382E-3</v>
      </c>
      <c r="O243" s="260">
        <f t="shared" si="1231"/>
        <v>4.8318003025718613E-2</v>
      </c>
      <c r="P243" s="260">
        <f t="shared" si="1231"/>
        <v>0</v>
      </c>
      <c r="Q243" s="260">
        <f t="shared" si="1231"/>
        <v>2.0105554159336515E-3</v>
      </c>
      <c r="R243" s="260">
        <f t="shared" si="1231"/>
        <v>1.1741682974559687E-3</v>
      </c>
      <c r="S243" s="260">
        <f t="shared" si="1231"/>
        <v>7.4615442275903152E-3</v>
      </c>
      <c r="T243" s="260">
        <f t="shared" si="1231"/>
        <v>0</v>
      </c>
      <c r="U243" s="260">
        <f t="shared" si="1231"/>
        <v>2.6506030196324802E-3</v>
      </c>
      <c r="V243" s="260">
        <f t="shared" si="1231"/>
        <v>2.1192032199829386E-3</v>
      </c>
      <c r="W243" s="260">
        <f t="shared" si="1231"/>
        <v>1.1986046588523154E-2</v>
      </c>
      <c r="X243" s="260">
        <f t="shared" si="1231"/>
        <v>6.8387739509223628E-3</v>
      </c>
      <c r="Y243" s="260">
        <f t="shared" si="1231"/>
        <v>1.0352858080576578E-2</v>
      </c>
      <c r="Z243" s="260">
        <f t="shared" si="1231"/>
        <v>2.0257564958897898E-3</v>
      </c>
      <c r="AA243" s="260">
        <f t="shared" si="1231"/>
        <v>2.1884513306518151E-3</v>
      </c>
      <c r="AB243" s="260">
        <f t="shared" si="1231"/>
        <v>4.1825830168473813E-3</v>
      </c>
      <c r="AC243" s="260">
        <f t="shared" si="1231"/>
        <v>3.5492200052601322E-3</v>
      </c>
      <c r="AD243" s="260">
        <f t="shared" si="1231"/>
        <v>3.982183331914366E-3</v>
      </c>
      <c r="AE243" s="260">
        <f t="shared" si="1231"/>
        <v>3.9821833319143652E-3</v>
      </c>
      <c r="AF243" s="260">
        <f t="shared" si="1231"/>
        <v>3.9821833319143652E-3</v>
      </c>
      <c r="AG243" s="260">
        <f t="shared" si="1231"/>
        <v>3.9821833319143652E-3</v>
      </c>
      <c r="AH243" s="260">
        <f t="shared" si="1231"/>
        <v>5.3962068191495665E-3</v>
      </c>
      <c r="AI243" s="260">
        <f t="shared" si="1231"/>
        <v>5.3962068191495656E-3</v>
      </c>
      <c r="AJ243" s="260">
        <f t="shared" si="1231"/>
        <v>5.3962068191495656E-3</v>
      </c>
      <c r="AK243" s="260">
        <f t="shared" si="1231"/>
        <v>5.3962068191495665E-3</v>
      </c>
      <c r="AL243" s="260">
        <f t="shared" si="1231"/>
        <v>1.3155396658909644E-2</v>
      </c>
      <c r="AM243" s="260">
        <f t="shared" si="1231"/>
        <v>1.3155396658909645E-2</v>
      </c>
      <c r="AN243" s="260">
        <f t="shared" si="1231"/>
        <v>1.3155396658909645E-2</v>
      </c>
      <c r="AO243" s="260">
        <f t="shared" si="1231"/>
        <v>1.3155396658909645E-2</v>
      </c>
      <c r="AP243" s="260">
        <f t="shared" si="1231"/>
        <v>1.9604609890241549E-2</v>
      </c>
      <c r="AQ243" s="260">
        <f t="shared" si="1231"/>
        <v>1.9604609890241556E-2</v>
      </c>
      <c r="AR243" s="260">
        <f t="shared" si="1231"/>
        <v>1.9604609890241553E-2</v>
      </c>
      <c r="AS243" s="260">
        <f t="shared" si="1231"/>
        <v>1.9604609890241549E-2</v>
      </c>
      <c r="AT243" s="260">
        <f t="shared" si="1231"/>
        <v>2.5473818681656317E-2</v>
      </c>
      <c r="AU243" s="260">
        <f t="shared" si="1231"/>
        <v>2.5473818681656317E-2</v>
      </c>
      <c r="AV243" s="260">
        <f t="shared" si="1231"/>
        <v>2.547381868165632E-2</v>
      </c>
      <c r="AW243" s="260">
        <f t="shared" si="1231"/>
        <v>2.547381868165632E-2</v>
      </c>
      <c r="AY243" s="262">
        <f t="shared" ref="AY243:DJ244" si="1232">INDEX($D243:$L243,1,MATCH(AY$2,$D$2:$L$2,))</f>
        <v>0.02</v>
      </c>
      <c r="AZ243" s="262">
        <f t="shared" si="1232"/>
        <v>0.02</v>
      </c>
      <c r="BA243" s="262">
        <f t="shared" si="1232"/>
        <v>0.02</v>
      </c>
      <c r="BB243" s="262">
        <f t="shared" si="1232"/>
        <v>0.02</v>
      </c>
      <c r="BC243" s="262">
        <f t="shared" si="1232"/>
        <v>0.02</v>
      </c>
      <c r="BD243" s="262">
        <f t="shared" si="1232"/>
        <v>0.02</v>
      </c>
      <c r="BE243" s="262">
        <f t="shared" si="1232"/>
        <v>0.02</v>
      </c>
      <c r="BF243" s="262">
        <f t="shared" si="1232"/>
        <v>0.02</v>
      </c>
      <c r="BG243" s="262">
        <f t="shared" si="1232"/>
        <v>0.02</v>
      </c>
      <c r="BH243" s="262">
        <f t="shared" si="1232"/>
        <v>0.02</v>
      </c>
      <c r="BI243" s="262">
        <f t="shared" si="1232"/>
        <v>0.02</v>
      </c>
      <c r="BJ243" s="262">
        <f t="shared" si="1232"/>
        <v>0.02</v>
      </c>
      <c r="BK243" s="262">
        <f t="shared" si="1232"/>
        <v>0.02</v>
      </c>
      <c r="BL243" s="262">
        <f t="shared" si="1232"/>
        <v>0.02</v>
      </c>
      <c r="BM243" s="262">
        <f t="shared" si="1232"/>
        <v>0.02</v>
      </c>
      <c r="BN243" s="262">
        <f t="shared" si="1232"/>
        <v>0.02</v>
      </c>
      <c r="BO243" s="262">
        <f t="shared" si="1232"/>
        <v>0.02</v>
      </c>
      <c r="BP243" s="262">
        <f t="shared" si="1232"/>
        <v>0.02</v>
      </c>
      <c r="BQ243" s="262">
        <f t="shared" si="1232"/>
        <v>0.02</v>
      </c>
      <c r="BR243" s="262">
        <f t="shared" si="1232"/>
        <v>0.02</v>
      </c>
      <c r="BS243" s="262">
        <f t="shared" si="1232"/>
        <v>0.02</v>
      </c>
      <c r="BT243" s="262">
        <f t="shared" si="1232"/>
        <v>0.02</v>
      </c>
      <c r="BU243" s="262">
        <f t="shared" si="1232"/>
        <v>0.02</v>
      </c>
      <c r="BV243" s="262">
        <f t="shared" si="1232"/>
        <v>0.02</v>
      </c>
      <c r="BW243" s="262">
        <f t="shared" si="1232"/>
        <v>0.02</v>
      </c>
      <c r="BX243" s="262">
        <f t="shared" si="1232"/>
        <v>0.02</v>
      </c>
      <c r="BY243" s="262">
        <f t="shared" si="1232"/>
        <v>0.02</v>
      </c>
      <c r="BZ243" s="262">
        <f t="shared" si="1232"/>
        <v>0.02</v>
      </c>
      <c r="CA243" s="262">
        <f t="shared" si="1232"/>
        <v>0.02</v>
      </c>
      <c r="CB243" s="262">
        <f t="shared" si="1232"/>
        <v>0.02</v>
      </c>
      <c r="CC243" s="262">
        <f t="shared" si="1232"/>
        <v>0.02</v>
      </c>
      <c r="CD243" s="262">
        <f t="shared" si="1232"/>
        <v>0.02</v>
      </c>
      <c r="CE243" s="262">
        <f t="shared" si="1232"/>
        <v>0.02</v>
      </c>
      <c r="CF243" s="262">
        <f t="shared" si="1232"/>
        <v>0.02</v>
      </c>
      <c r="CG243" s="262">
        <f t="shared" si="1232"/>
        <v>0.02</v>
      </c>
      <c r="CH243" s="262">
        <f t="shared" si="1232"/>
        <v>0.02</v>
      </c>
      <c r="CI243" s="262">
        <f t="shared" si="1232"/>
        <v>2.0165733517808128E-2</v>
      </c>
      <c r="CJ243" s="262">
        <f t="shared" si="1232"/>
        <v>2.0165733517808128E-2</v>
      </c>
      <c r="CK243" s="262">
        <f t="shared" si="1232"/>
        <v>2.0165733517808128E-2</v>
      </c>
      <c r="CL243" s="262">
        <f t="shared" si="1232"/>
        <v>2.0165733517808128E-2</v>
      </c>
      <c r="CM243" s="262">
        <f t="shared" si="1232"/>
        <v>2.0165733517808128E-2</v>
      </c>
      <c r="CN243" s="262">
        <f t="shared" si="1232"/>
        <v>2.0165733517808128E-2</v>
      </c>
      <c r="CO243" s="262">
        <f t="shared" si="1232"/>
        <v>2.0165733517808128E-2</v>
      </c>
      <c r="CP243" s="262">
        <f t="shared" si="1232"/>
        <v>2.0165733517808128E-2</v>
      </c>
      <c r="CQ243" s="262">
        <f t="shared" si="1232"/>
        <v>2.0165733517808128E-2</v>
      </c>
      <c r="CR243" s="262">
        <f t="shared" si="1232"/>
        <v>2.0165733517808128E-2</v>
      </c>
      <c r="CS243" s="262">
        <f t="shared" si="1232"/>
        <v>2.0165733517808128E-2</v>
      </c>
      <c r="CT243" s="262">
        <f t="shared" si="1232"/>
        <v>2.0165733517808128E-2</v>
      </c>
      <c r="CU243" s="262">
        <f t="shared" si="1232"/>
        <v>2.4630812162002774E-2</v>
      </c>
      <c r="CV243" s="262">
        <f t="shared" si="1232"/>
        <v>2.4630812162002774E-2</v>
      </c>
      <c r="CW243" s="262">
        <f t="shared" si="1232"/>
        <v>2.4630812162002774E-2</v>
      </c>
      <c r="CX243" s="262">
        <f t="shared" si="1232"/>
        <v>2.4630812162002774E-2</v>
      </c>
      <c r="CY243" s="262">
        <f t="shared" si="1232"/>
        <v>2.4630812162002774E-2</v>
      </c>
      <c r="CZ243" s="262">
        <f t="shared" si="1232"/>
        <v>2.4630812162002774E-2</v>
      </c>
      <c r="DA243" s="262">
        <f t="shared" si="1232"/>
        <v>2.4630812162002774E-2</v>
      </c>
      <c r="DB243" s="262">
        <f t="shared" si="1232"/>
        <v>2.4630812162002774E-2</v>
      </c>
      <c r="DC243" s="262">
        <f t="shared" si="1232"/>
        <v>2.4630812162002774E-2</v>
      </c>
      <c r="DD243" s="262">
        <f t="shared" si="1232"/>
        <v>2.4630812162002774E-2</v>
      </c>
      <c r="DE243" s="262">
        <f t="shared" si="1232"/>
        <v>2.4630812162002774E-2</v>
      </c>
      <c r="DF243" s="262">
        <f t="shared" si="1232"/>
        <v>2.4630812162002774E-2</v>
      </c>
      <c r="DG243" s="262">
        <f t="shared" si="1232"/>
        <v>3.3181910859817622E-2</v>
      </c>
      <c r="DH243" s="262">
        <f t="shared" si="1232"/>
        <v>3.3181910859817622E-2</v>
      </c>
      <c r="DI243" s="262">
        <f t="shared" si="1232"/>
        <v>3.3181910859817622E-2</v>
      </c>
      <c r="DJ243" s="262">
        <f t="shared" si="1232"/>
        <v>3.3181910859817622E-2</v>
      </c>
      <c r="DK243" s="262">
        <f t="shared" ref="DK243:FB245" si="1233">INDEX($D243:$L243,1,MATCH(DK$2,$D$2:$L$2,))</f>
        <v>3.3181910859817622E-2</v>
      </c>
      <c r="DL243" s="262">
        <f t="shared" si="1233"/>
        <v>3.3181910859817622E-2</v>
      </c>
      <c r="DM243" s="262">
        <f t="shared" si="1233"/>
        <v>3.3181910859817622E-2</v>
      </c>
      <c r="DN243" s="262">
        <f t="shared" si="1233"/>
        <v>3.3181910859817622E-2</v>
      </c>
      <c r="DO243" s="262">
        <f t="shared" si="1233"/>
        <v>3.3181910859817622E-2</v>
      </c>
      <c r="DP243" s="262">
        <f t="shared" si="1233"/>
        <v>3.3181910859817622E-2</v>
      </c>
      <c r="DQ243" s="262">
        <f t="shared" si="1233"/>
        <v>3.3181910859817622E-2</v>
      </c>
      <c r="DR243" s="262">
        <f t="shared" si="1233"/>
        <v>3.3181910859817622E-2</v>
      </c>
      <c r="DS243" s="262">
        <f t="shared" si="1233"/>
        <v>7.1383666411631103E-2</v>
      </c>
      <c r="DT243" s="262">
        <f t="shared" si="1233"/>
        <v>7.1383666411631103E-2</v>
      </c>
      <c r="DU243" s="262">
        <f t="shared" si="1233"/>
        <v>7.1383666411631103E-2</v>
      </c>
      <c r="DV243" s="262">
        <f t="shared" si="1233"/>
        <v>7.1383666411631103E-2</v>
      </c>
      <c r="DW243" s="262">
        <f t="shared" si="1233"/>
        <v>7.1383666411631103E-2</v>
      </c>
      <c r="DX243" s="262">
        <f t="shared" si="1233"/>
        <v>7.1383666411631103E-2</v>
      </c>
      <c r="DY243" s="262">
        <f t="shared" si="1233"/>
        <v>7.1383666411631103E-2</v>
      </c>
      <c r="DZ243" s="262">
        <f t="shared" si="1233"/>
        <v>7.1383666411631103E-2</v>
      </c>
      <c r="EA243" s="262">
        <f t="shared" si="1233"/>
        <v>7.1383666411631103E-2</v>
      </c>
      <c r="EB243" s="262">
        <f t="shared" si="1233"/>
        <v>7.1383666411631103E-2</v>
      </c>
      <c r="EC243" s="262">
        <f t="shared" si="1233"/>
        <v>7.1383666411631103E-2</v>
      </c>
      <c r="ED243" s="262">
        <f t="shared" si="1233"/>
        <v>7.1383666411631103E-2</v>
      </c>
      <c r="EE243" s="262">
        <f t="shared" si="1233"/>
        <v>9.3224229088859106E-2</v>
      </c>
      <c r="EF243" s="262">
        <f t="shared" si="1233"/>
        <v>9.3224229088859106E-2</v>
      </c>
      <c r="EG243" s="262">
        <f t="shared" si="1233"/>
        <v>9.3224229088859106E-2</v>
      </c>
      <c r="EH243" s="262">
        <f t="shared" si="1233"/>
        <v>9.3224229088859106E-2</v>
      </c>
      <c r="EI243" s="262">
        <f t="shared" si="1233"/>
        <v>9.3224229088859106E-2</v>
      </c>
      <c r="EJ243" s="262">
        <f t="shared" si="1233"/>
        <v>9.3224229088859106E-2</v>
      </c>
      <c r="EK243" s="262">
        <f t="shared" si="1233"/>
        <v>9.3224229088859106E-2</v>
      </c>
      <c r="EL243" s="262">
        <f t="shared" si="1233"/>
        <v>9.3224229088859106E-2</v>
      </c>
      <c r="EM243" s="262">
        <f t="shared" si="1233"/>
        <v>9.3224229088859106E-2</v>
      </c>
      <c r="EN243" s="262">
        <f t="shared" si="1233"/>
        <v>9.3224229088859106E-2</v>
      </c>
      <c r="EO243" s="262">
        <f t="shared" si="1233"/>
        <v>9.3224229088859106E-2</v>
      </c>
      <c r="EP243" s="262">
        <f t="shared" si="1233"/>
        <v>9.3224229088859106E-2</v>
      </c>
      <c r="EQ243" s="262">
        <f t="shared" si="1233"/>
        <v>0.10580928838391757</v>
      </c>
      <c r="ER243" s="262">
        <f t="shared" si="1233"/>
        <v>0.10580928838391757</v>
      </c>
      <c r="ES243" s="262">
        <f t="shared" si="1233"/>
        <v>0.10580928838391757</v>
      </c>
      <c r="ET243" s="262">
        <f t="shared" si="1233"/>
        <v>0.10580928838391757</v>
      </c>
      <c r="EU243" s="262">
        <f t="shared" si="1233"/>
        <v>0.10580928838391757</v>
      </c>
      <c r="EV243" s="262">
        <f t="shared" si="1233"/>
        <v>0.10580928838391757</v>
      </c>
      <c r="EW243" s="262">
        <f t="shared" si="1233"/>
        <v>0.10580928838391757</v>
      </c>
      <c r="EX243" s="262">
        <f t="shared" si="1233"/>
        <v>0.10580928838391757</v>
      </c>
      <c r="EY243" s="262">
        <f t="shared" si="1233"/>
        <v>0.10580928838391757</v>
      </c>
      <c r="EZ243" s="262">
        <f t="shared" si="1233"/>
        <v>0.10580928838391757</v>
      </c>
      <c r="FA243" s="262">
        <f t="shared" si="1233"/>
        <v>0.10580928838391757</v>
      </c>
      <c r="FB243" s="262">
        <f t="shared" si="1233"/>
        <v>0.10580928838391757</v>
      </c>
    </row>
    <row r="244" spans="3:158" x14ac:dyDescent="0.25">
      <c r="C244" s="2" t="s">
        <v>299</v>
      </c>
      <c r="D244" s="330">
        <v>0.01</v>
      </c>
      <c r="E244" s="330">
        <v>0.01</v>
      </c>
      <c r="F244" s="330">
        <v>0.01</v>
      </c>
      <c r="G244" s="351">
        <f>G238</f>
        <v>1.0082866758904064E-2</v>
      </c>
      <c r="H244" s="351">
        <f t="shared" ref="H244:L244" si="1234">H238</f>
        <v>2.5936387327381436E-2</v>
      </c>
      <c r="I244" s="351">
        <f t="shared" si="1234"/>
        <v>5.2830649349956342E-2</v>
      </c>
      <c r="J244" s="351">
        <f t="shared" si="1234"/>
        <v>0.1556677177517774</v>
      </c>
      <c r="K244" s="351">
        <f t="shared" si="1234"/>
        <v>0.29593114661604952</v>
      </c>
      <c r="L244" s="351">
        <f t="shared" si="1234"/>
        <v>0.4163601539977636</v>
      </c>
      <c r="N244" s="260">
        <f t="shared" ref="N244:AW244" si="1235">N268/N$117</f>
        <v>3.1487361094150691E-3</v>
      </c>
      <c r="O244" s="260">
        <f t="shared" si="1235"/>
        <v>2.4159001512859306E-2</v>
      </c>
      <c r="P244" s="260">
        <f t="shared" si="1235"/>
        <v>0</v>
      </c>
      <c r="Q244" s="260">
        <f t="shared" si="1235"/>
        <v>1.0052777079668257E-3</v>
      </c>
      <c r="R244" s="260">
        <f t="shared" si="1235"/>
        <v>5.8708414872798433E-4</v>
      </c>
      <c r="S244" s="260">
        <f t="shared" si="1235"/>
        <v>3.7307721137951576E-3</v>
      </c>
      <c r="T244" s="260">
        <f t="shared" si="1235"/>
        <v>0</v>
      </c>
      <c r="U244" s="260">
        <f t="shared" si="1235"/>
        <v>1.3253015098162401E-3</v>
      </c>
      <c r="V244" s="260">
        <f t="shared" si="1235"/>
        <v>1.0596016099914693E-3</v>
      </c>
      <c r="W244" s="260">
        <f t="shared" si="1235"/>
        <v>5.993023294261577E-3</v>
      </c>
      <c r="X244" s="260">
        <f t="shared" si="1235"/>
        <v>3.4193869754611814E-3</v>
      </c>
      <c r="Y244" s="260">
        <f t="shared" si="1235"/>
        <v>5.176429040288289E-3</v>
      </c>
      <c r="Z244" s="260">
        <f t="shared" si="1235"/>
        <v>1.0128782479448949E-3</v>
      </c>
      <c r="AA244" s="260">
        <f t="shared" si="1235"/>
        <v>1.0942256653259075E-3</v>
      </c>
      <c r="AB244" s="260">
        <f t="shared" si="1235"/>
        <v>2.0912915084236906E-3</v>
      </c>
      <c r="AC244" s="260">
        <f t="shared" si="1235"/>
        <v>1.7746100026300661E-3</v>
      </c>
      <c r="AD244" s="260">
        <f t="shared" si="1235"/>
        <v>4.193262025866353E-3</v>
      </c>
      <c r="AE244" s="260">
        <f t="shared" si="1235"/>
        <v>4.1932620258663513E-3</v>
      </c>
      <c r="AF244" s="260">
        <f t="shared" si="1235"/>
        <v>4.1932620258663513E-3</v>
      </c>
      <c r="AG244" s="260">
        <f t="shared" si="1235"/>
        <v>4.1932620258663513E-3</v>
      </c>
      <c r="AH244" s="260">
        <f t="shared" si="1235"/>
        <v>8.5915820667086477E-3</v>
      </c>
      <c r="AI244" s="260">
        <f t="shared" si="1235"/>
        <v>8.5915820667086459E-3</v>
      </c>
      <c r="AJ244" s="260">
        <f t="shared" si="1235"/>
        <v>8.5915820667086477E-3</v>
      </c>
      <c r="AK244" s="260">
        <f t="shared" si="1235"/>
        <v>8.5915820667086477E-3</v>
      </c>
      <c r="AL244" s="260">
        <f t="shared" si="1235"/>
        <v>2.8688223468417227E-2</v>
      </c>
      <c r="AM244" s="260">
        <f t="shared" si="1235"/>
        <v>2.8688223468417231E-2</v>
      </c>
      <c r="AN244" s="260">
        <f t="shared" si="1235"/>
        <v>2.8688223468417227E-2</v>
      </c>
      <c r="AO244" s="260">
        <f t="shared" si="1235"/>
        <v>2.8688223468417227E-2</v>
      </c>
      <c r="AP244" s="260">
        <f t="shared" si="1235"/>
        <v>6.2232905978225547E-2</v>
      </c>
      <c r="AQ244" s="260">
        <f t="shared" si="1235"/>
        <v>6.2232905978225547E-2</v>
      </c>
      <c r="AR244" s="260">
        <f t="shared" si="1235"/>
        <v>6.2232905978225554E-2</v>
      </c>
      <c r="AS244" s="260">
        <f t="shared" si="1235"/>
        <v>6.2232905978225533E-2</v>
      </c>
      <c r="AT244" s="260">
        <f t="shared" si="1235"/>
        <v>0.1002396219764921</v>
      </c>
      <c r="AU244" s="260">
        <f t="shared" si="1235"/>
        <v>0.10023962197649208</v>
      </c>
      <c r="AV244" s="260">
        <f t="shared" si="1235"/>
        <v>0.10023962197649211</v>
      </c>
      <c r="AW244" s="260">
        <f t="shared" si="1235"/>
        <v>0.1002396219764921</v>
      </c>
      <c r="AY244" s="262">
        <f t="shared" si="1232"/>
        <v>0.01</v>
      </c>
      <c r="AZ244" s="262">
        <f t="shared" si="1232"/>
        <v>0.01</v>
      </c>
      <c r="BA244" s="262">
        <f t="shared" si="1232"/>
        <v>0.01</v>
      </c>
      <c r="BB244" s="262">
        <f t="shared" si="1232"/>
        <v>0.01</v>
      </c>
      <c r="BC244" s="262">
        <f t="shared" si="1232"/>
        <v>0.01</v>
      </c>
      <c r="BD244" s="262">
        <f t="shared" si="1232"/>
        <v>0.01</v>
      </c>
      <c r="BE244" s="262">
        <f t="shared" si="1232"/>
        <v>0.01</v>
      </c>
      <c r="BF244" s="262">
        <f t="shared" si="1232"/>
        <v>0.01</v>
      </c>
      <c r="BG244" s="262">
        <f t="shared" si="1232"/>
        <v>0.01</v>
      </c>
      <c r="BH244" s="262">
        <f t="shared" si="1232"/>
        <v>0.01</v>
      </c>
      <c r="BI244" s="262">
        <f t="shared" si="1232"/>
        <v>0.01</v>
      </c>
      <c r="BJ244" s="262">
        <f t="shared" si="1232"/>
        <v>0.01</v>
      </c>
      <c r="BK244" s="262">
        <f t="shared" si="1232"/>
        <v>0.01</v>
      </c>
      <c r="BL244" s="262">
        <f t="shared" si="1232"/>
        <v>0.01</v>
      </c>
      <c r="BM244" s="262">
        <f t="shared" si="1232"/>
        <v>0.01</v>
      </c>
      <c r="BN244" s="262">
        <f t="shared" si="1232"/>
        <v>0.01</v>
      </c>
      <c r="BO244" s="262">
        <f t="shared" si="1232"/>
        <v>0.01</v>
      </c>
      <c r="BP244" s="262">
        <f t="shared" si="1232"/>
        <v>0.01</v>
      </c>
      <c r="BQ244" s="262">
        <f t="shared" si="1232"/>
        <v>0.01</v>
      </c>
      <c r="BR244" s="262">
        <f t="shared" si="1232"/>
        <v>0.01</v>
      </c>
      <c r="BS244" s="262">
        <f t="shared" si="1232"/>
        <v>0.01</v>
      </c>
      <c r="BT244" s="262">
        <f t="shared" si="1232"/>
        <v>0.01</v>
      </c>
      <c r="BU244" s="262">
        <f t="shared" si="1232"/>
        <v>0.01</v>
      </c>
      <c r="BV244" s="262">
        <f t="shared" si="1232"/>
        <v>0.01</v>
      </c>
      <c r="BW244" s="262">
        <f t="shared" si="1232"/>
        <v>0.01</v>
      </c>
      <c r="BX244" s="262">
        <f t="shared" si="1232"/>
        <v>0.01</v>
      </c>
      <c r="BY244" s="262">
        <f t="shared" si="1232"/>
        <v>0.01</v>
      </c>
      <c r="BZ244" s="262">
        <f t="shared" si="1232"/>
        <v>0.01</v>
      </c>
      <c r="CA244" s="262">
        <f t="shared" si="1232"/>
        <v>0.01</v>
      </c>
      <c r="CB244" s="262">
        <f t="shared" si="1232"/>
        <v>0.01</v>
      </c>
      <c r="CC244" s="262">
        <f t="shared" si="1232"/>
        <v>0.01</v>
      </c>
      <c r="CD244" s="262">
        <f t="shared" si="1232"/>
        <v>0.01</v>
      </c>
      <c r="CE244" s="262">
        <f t="shared" si="1232"/>
        <v>0.01</v>
      </c>
      <c r="CF244" s="262">
        <f t="shared" si="1232"/>
        <v>0.01</v>
      </c>
      <c r="CG244" s="262">
        <f t="shared" si="1232"/>
        <v>0.01</v>
      </c>
      <c r="CH244" s="262">
        <f t="shared" si="1232"/>
        <v>0.01</v>
      </c>
      <c r="CI244" s="262">
        <f t="shared" si="1232"/>
        <v>1.0082866758904064E-2</v>
      </c>
      <c r="CJ244" s="262">
        <f t="shared" si="1232"/>
        <v>1.0082866758904064E-2</v>
      </c>
      <c r="CK244" s="262">
        <f t="shared" si="1232"/>
        <v>1.0082866758904064E-2</v>
      </c>
      <c r="CL244" s="262">
        <f t="shared" si="1232"/>
        <v>1.0082866758904064E-2</v>
      </c>
      <c r="CM244" s="262">
        <f t="shared" si="1232"/>
        <v>1.0082866758904064E-2</v>
      </c>
      <c r="CN244" s="262">
        <f t="shared" si="1232"/>
        <v>1.0082866758904064E-2</v>
      </c>
      <c r="CO244" s="262">
        <f t="shared" si="1232"/>
        <v>1.0082866758904064E-2</v>
      </c>
      <c r="CP244" s="262">
        <f t="shared" si="1232"/>
        <v>1.0082866758904064E-2</v>
      </c>
      <c r="CQ244" s="262">
        <f t="shared" si="1232"/>
        <v>1.0082866758904064E-2</v>
      </c>
      <c r="CR244" s="262">
        <f t="shared" si="1232"/>
        <v>1.0082866758904064E-2</v>
      </c>
      <c r="CS244" s="262">
        <f t="shared" si="1232"/>
        <v>1.0082866758904064E-2</v>
      </c>
      <c r="CT244" s="262">
        <f t="shared" si="1232"/>
        <v>1.0082866758904064E-2</v>
      </c>
      <c r="CU244" s="262">
        <f t="shared" si="1232"/>
        <v>2.5936387327381436E-2</v>
      </c>
      <c r="CV244" s="262">
        <f t="shared" si="1232"/>
        <v>2.5936387327381436E-2</v>
      </c>
      <c r="CW244" s="262">
        <f t="shared" si="1232"/>
        <v>2.5936387327381436E-2</v>
      </c>
      <c r="CX244" s="262">
        <f t="shared" si="1232"/>
        <v>2.5936387327381436E-2</v>
      </c>
      <c r="CY244" s="262">
        <f t="shared" si="1232"/>
        <v>2.5936387327381436E-2</v>
      </c>
      <c r="CZ244" s="262">
        <f t="shared" si="1232"/>
        <v>2.5936387327381436E-2</v>
      </c>
      <c r="DA244" s="262">
        <f t="shared" si="1232"/>
        <v>2.5936387327381436E-2</v>
      </c>
      <c r="DB244" s="262">
        <f t="shared" si="1232"/>
        <v>2.5936387327381436E-2</v>
      </c>
      <c r="DC244" s="262">
        <f t="shared" si="1232"/>
        <v>2.5936387327381436E-2</v>
      </c>
      <c r="DD244" s="262">
        <f t="shared" si="1232"/>
        <v>2.5936387327381436E-2</v>
      </c>
      <c r="DE244" s="262">
        <f t="shared" si="1232"/>
        <v>2.5936387327381436E-2</v>
      </c>
      <c r="DF244" s="262">
        <f t="shared" si="1232"/>
        <v>2.5936387327381436E-2</v>
      </c>
      <c r="DG244" s="262">
        <f t="shared" si="1232"/>
        <v>5.2830649349956342E-2</v>
      </c>
      <c r="DH244" s="262">
        <f t="shared" si="1232"/>
        <v>5.2830649349956342E-2</v>
      </c>
      <c r="DI244" s="262">
        <f t="shared" si="1232"/>
        <v>5.2830649349956342E-2</v>
      </c>
      <c r="DJ244" s="262">
        <f t="shared" ref="DJ244" si="1236">INDEX($D244:$L244,1,MATCH(DJ$2,$D$2:$L$2,))</f>
        <v>5.2830649349956342E-2</v>
      </c>
      <c r="DK244" s="262">
        <f t="shared" si="1233"/>
        <v>5.2830649349956342E-2</v>
      </c>
      <c r="DL244" s="262">
        <f t="shared" si="1233"/>
        <v>5.2830649349956342E-2</v>
      </c>
      <c r="DM244" s="262">
        <f t="shared" si="1233"/>
        <v>5.2830649349956342E-2</v>
      </c>
      <c r="DN244" s="262">
        <f t="shared" si="1233"/>
        <v>5.2830649349956342E-2</v>
      </c>
      <c r="DO244" s="262">
        <f t="shared" si="1233"/>
        <v>5.2830649349956342E-2</v>
      </c>
      <c r="DP244" s="262">
        <f t="shared" si="1233"/>
        <v>5.2830649349956342E-2</v>
      </c>
      <c r="DQ244" s="262">
        <f t="shared" si="1233"/>
        <v>5.2830649349956342E-2</v>
      </c>
      <c r="DR244" s="262">
        <f t="shared" si="1233"/>
        <v>5.2830649349956342E-2</v>
      </c>
      <c r="DS244" s="262">
        <f t="shared" si="1233"/>
        <v>0.1556677177517774</v>
      </c>
      <c r="DT244" s="262">
        <f t="shared" si="1233"/>
        <v>0.1556677177517774</v>
      </c>
      <c r="DU244" s="262">
        <f t="shared" si="1233"/>
        <v>0.1556677177517774</v>
      </c>
      <c r="DV244" s="262">
        <f t="shared" si="1233"/>
        <v>0.1556677177517774</v>
      </c>
      <c r="DW244" s="262">
        <f t="shared" si="1233"/>
        <v>0.1556677177517774</v>
      </c>
      <c r="DX244" s="262">
        <f t="shared" si="1233"/>
        <v>0.1556677177517774</v>
      </c>
      <c r="DY244" s="262">
        <f t="shared" si="1233"/>
        <v>0.1556677177517774</v>
      </c>
      <c r="DZ244" s="262">
        <f t="shared" si="1233"/>
        <v>0.1556677177517774</v>
      </c>
      <c r="EA244" s="262">
        <f t="shared" si="1233"/>
        <v>0.1556677177517774</v>
      </c>
      <c r="EB244" s="262">
        <f t="shared" si="1233"/>
        <v>0.1556677177517774</v>
      </c>
      <c r="EC244" s="262">
        <f t="shared" si="1233"/>
        <v>0.1556677177517774</v>
      </c>
      <c r="ED244" s="262">
        <f t="shared" si="1233"/>
        <v>0.1556677177517774</v>
      </c>
      <c r="EE244" s="262">
        <f t="shared" si="1233"/>
        <v>0.29593114661604952</v>
      </c>
      <c r="EF244" s="262">
        <f t="shared" si="1233"/>
        <v>0.29593114661604952</v>
      </c>
      <c r="EG244" s="262">
        <f t="shared" si="1233"/>
        <v>0.29593114661604952</v>
      </c>
      <c r="EH244" s="262">
        <f t="shared" si="1233"/>
        <v>0.29593114661604952</v>
      </c>
      <c r="EI244" s="262">
        <f t="shared" si="1233"/>
        <v>0.29593114661604952</v>
      </c>
      <c r="EJ244" s="262">
        <f t="shared" si="1233"/>
        <v>0.29593114661604952</v>
      </c>
      <c r="EK244" s="262">
        <f t="shared" si="1233"/>
        <v>0.29593114661604952</v>
      </c>
      <c r="EL244" s="262">
        <f t="shared" si="1233"/>
        <v>0.29593114661604952</v>
      </c>
      <c r="EM244" s="262">
        <f t="shared" si="1233"/>
        <v>0.29593114661604952</v>
      </c>
      <c r="EN244" s="262">
        <f t="shared" si="1233"/>
        <v>0.29593114661604952</v>
      </c>
      <c r="EO244" s="262">
        <f t="shared" si="1233"/>
        <v>0.29593114661604952</v>
      </c>
      <c r="EP244" s="262">
        <f t="shared" si="1233"/>
        <v>0.29593114661604952</v>
      </c>
      <c r="EQ244" s="262">
        <f t="shared" si="1233"/>
        <v>0.4163601539977636</v>
      </c>
      <c r="ER244" s="262">
        <f t="shared" si="1233"/>
        <v>0.4163601539977636</v>
      </c>
      <c r="ES244" s="262">
        <f t="shared" si="1233"/>
        <v>0.4163601539977636</v>
      </c>
      <c r="ET244" s="262">
        <f t="shared" si="1233"/>
        <v>0.4163601539977636</v>
      </c>
      <c r="EU244" s="262">
        <f t="shared" si="1233"/>
        <v>0.4163601539977636</v>
      </c>
      <c r="EV244" s="262">
        <f t="shared" si="1233"/>
        <v>0.4163601539977636</v>
      </c>
      <c r="EW244" s="262">
        <f t="shared" si="1233"/>
        <v>0.4163601539977636</v>
      </c>
      <c r="EX244" s="262">
        <f t="shared" si="1233"/>
        <v>0.4163601539977636</v>
      </c>
      <c r="EY244" s="262">
        <f t="shared" si="1233"/>
        <v>0.4163601539977636</v>
      </c>
      <c r="EZ244" s="262">
        <f t="shared" si="1233"/>
        <v>0.4163601539977636</v>
      </c>
      <c r="FA244" s="262">
        <f t="shared" si="1233"/>
        <v>0.4163601539977636</v>
      </c>
      <c r="FB244" s="262">
        <f t="shared" si="1233"/>
        <v>0.4163601539977636</v>
      </c>
    </row>
    <row r="245" spans="3:158" x14ac:dyDescent="0.25">
      <c r="C245" s="2" t="s">
        <v>300</v>
      </c>
      <c r="D245" s="330">
        <v>0.02</v>
      </c>
      <c r="E245" s="330">
        <v>0.02</v>
      </c>
      <c r="F245" s="330">
        <v>0.02</v>
      </c>
      <c r="G245" s="351">
        <f>G239</f>
        <v>2.0165733517808128E-2</v>
      </c>
      <c r="H245" s="351">
        <f t="shared" ref="H245:L245" si="1237">H239</f>
        <v>3.5850585382994349E-2</v>
      </c>
      <c r="I245" s="351">
        <f t="shared" si="1237"/>
        <v>4.2664044801808486E-2</v>
      </c>
      <c r="J245" s="351">
        <f t="shared" si="1237"/>
        <v>4.6581897349436359E-2</v>
      </c>
      <c r="K245" s="351">
        <f t="shared" si="1237"/>
        <v>4.8821797136516722E-2</v>
      </c>
      <c r="L245" s="351">
        <f t="shared" si="1237"/>
        <v>5.0112481449553541E-2</v>
      </c>
      <c r="N245" s="260">
        <f>N269/N$117</f>
        <v>6.2974722188301382E-3</v>
      </c>
      <c r="AY245" s="262">
        <f t="shared" ref="AY245:DJ245" si="1238">INDEX($D245:$L245,1,MATCH(AY$2,$D$2:$L$2,))</f>
        <v>0.02</v>
      </c>
      <c r="AZ245" s="262">
        <f t="shared" si="1238"/>
        <v>0.02</v>
      </c>
      <c r="BA245" s="262">
        <f t="shared" si="1238"/>
        <v>0.02</v>
      </c>
      <c r="BB245" s="262">
        <f t="shared" si="1238"/>
        <v>0.02</v>
      </c>
      <c r="BC245" s="262">
        <f t="shared" si="1238"/>
        <v>0.02</v>
      </c>
      <c r="BD245" s="262">
        <f t="shared" si="1238"/>
        <v>0.02</v>
      </c>
      <c r="BE245" s="262">
        <f t="shared" si="1238"/>
        <v>0.02</v>
      </c>
      <c r="BF245" s="262">
        <f t="shared" si="1238"/>
        <v>0.02</v>
      </c>
      <c r="BG245" s="262">
        <f t="shared" si="1238"/>
        <v>0.02</v>
      </c>
      <c r="BH245" s="262">
        <f t="shared" si="1238"/>
        <v>0.02</v>
      </c>
      <c r="BI245" s="262">
        <f t="shared" si="1238"/>
        <v>0.02</v>
      </c>
      <c r="BJ245" s="262">
        <f t="shared" si="1238"/>
        <v>0.02</v>
      </c>
      <c r="BK245" s="262">
        <f t="shared" si="1238"/>
        <v>0.02</v>
      </c>
      <c r="BL245" s="262">
        <f t="shared" si="1238"/>
        <v>0.02</v>
      </c>
      <c r="BM245" s="262">
        <f t="shared" si="1238"/>
        <v>0.02</v>
      </c>
      <c r="BN245" s="262">
        <f t="shared" si="1238"/>
        <v>0.02</v>
      </c>
      <c r="BO245" s="262">
        <f t="shared" si="1238"/>
        <v>0.02</v>
      </c>
      <c r="BP245" s="262">
        <f t="shared" si="1238"/>
        <v>0.02</v>
      </c>
      <c r="BQ245" s="262">
        <f t="shared" si="1238"/>
        <v>0.02</v>
      </c>
      <c r="BR245" s="262">
        <f t="shared" si="1238"/>
        <v>0.02</v>
      </c>
      <c r="BS245" s="262">
        <f t="shared" si="1238"/>
        <v>0.02</v>
      </c>
      <c r="BT245" s="262">
        <f t="shared" si="1238"/>
        <v>0.02</v>
      </c>
      <c r="BU245" s="262">
        <f t="shared" si="1238"/>
        <v>0.02</v>
      </c>
      <c r="BV245" s="262">
        <f t="shared" si="1238"/>
        <v>0.02</v>
      </c>
      <c r="BW245" s="262">
        <f t="shared" si="1238"/>
        <v>0.02</v>
      </c>
      <c r="BX245" s="262">
        <f t="shared" si="1238"/>
        <v>0.02</v>
      </c>
      <c r="BY245" s="262">
        <f t="shared" si="1238"/>
        <v>0.02</v>
      </c>
      <c r="BZ245" s="262">
        <f t="shared" si="1238"/>
        <v>0.02</v>
      </c>
      <c r="CA245" s="262">
        <f t="shared" si="1238"/>
        <v>0.02</v>
      </c>
      <c r="CB245" s="262">
        <f t="shared" si="1238"/>
        <v>0.02</v>
      </c>
      <c r="CC245" s="262">
        <f t="shared" si="1238"/>
        <v>0.02</v>
      </c>
      <c r="CD245" s="262">
        <f t="shared" si="1238"/>
        <v>0.02</v>
      </c>
      <c r="CE245" s="262">
        <f t="shared" si="1238"/>
        <v>0.02</v>
      </c>
      <c r="CF245" s="262">
        <f t="shared" si="1238"/>
        <v>0.02</v>
      </c>
      <c r="CG245" s="262">
        <f t="shared" si="1238"/>
        <v>0.02</v>
      </c>
      <c r="CH245" s="262">
        <f t="shared" si="1238"/>
        <v>0.02</v>
      </c>
      <c r="CI245" s="262">
        <f t="shared" si="1238"/>
        <v>2.0165733517808128E-2</v>
      </c>
      <c r="CJ245" s="262">
        <f t="shared" si="1238"/>
        <v>2.0165733517808128E-2</v>
      </c>
      <c r="CK245" s="262">
        <f t="shared" si="1238"/>
        <v>2.0165733517808128E-2</v>
      </c>
      <c r="CL245" s="262">
        <f t="shared" si="1238"/>
        <v>2.0165733517808128E-2</v>
      </c>
      <c r="CM245" s="262">
        <f t="shared" si="1238"/>
        <v>2.0165733517808128E-2</v>
      </c>
      <c r="CN245" s="262">
        <f t="shared" si="1238"/>
        <v>2.0165733517808128E-2</v>
      </c>
      <c r="CO245" s="262">
        <f t="shared" si="1238"/>
        <v>2.0165733517808128E-2</v>
      </c>
      <c r="CP245" s="262">
        <f t="shared" si="1238"/>
        <v>2.0165733517808128E-2</v>
      </c>
      <c r="CQ245" s="262">
        <f t="shared" si="1238"/>
        <v>2.0165733517808128E-2</v>
      </c>
      <c r="CR245" s="262">
        <f t="shared" si="1238"/>
        <v>2.0165733517808128E-2</v>
      </c>
      <c r="CS245" s="262">
        <f t="shared" si="1238"/>
        <v>2.0165733517808128E-2</v>
      </c>
      <c r="CT245" s="262">
        <f t="shared" si="1238"/>
        <v>2.0165733517808128E-2</v>
      </c>
      <c r="CU245" s="262">
        <f t="shared" si="1238"/>
        <v>3.5850585382994349E-2</v>
      </c>
      <c r="CV245" s="262">
        <f t="shared" si="1238"/>
        <v>3.5850585382994349E-2</v>
      </c>
      <c r="CW245" s="262">
        <f t="shared" si="1238"/>
        <v>3.5850585382994349E-2</v>
      </c>
      <c r="CX245" s="262">
        <f t="shared" si="1238"/>
        <v>3.5850585382994349E-2</v>
      </c>
      <c r="CY245" s="262">
        <f t="shared" si="1238"/>
        <v>3.5850585382994349E-2</v>
      </c>
      <c r="CZ245" s="262">
        <f t="shared" si="1238"/>
        <v>3.5850585382994349E-2</v>
      </c>
      <c r="DA245" s="262">
        <f t="shared" si="1238"/>
        <v>3.5850585382994349E-2</v>
      </c>
      <c r="DB245" s="262">
        <f t="shared" si="1238"/>
        <v>3.5850585382994349E-2</v>
      </c>
      <c r="DC245" s="262">
        <f t="shared" si="1238"/>
        <v>3.5850585382994349E-2</v>
      </c>
      <c r="DD245" s="262">
        <f t="shared" si="1238"/>
        <v>3.5850585382994349E-2</v>
      </c>
      <c r="DE245" s="262">
        <f t="shared" si="1238"/>
        <v>3.5850585382994349E-2</v>
      </c>
      <c r="DF245" s="262">
        <f t="shared" si="1238"/>
        <v>3.5850585382994349E-2</v>
      </c>
      <c r="DG245" s="262">
        <f t="shared" si="1238"/>
        <v>4.2664044801808486E-2</v>
      </c>
      <c r="DH245" s="262">
        <f t="shared" si="1238"/>
        <v>4.2664044801808486E-2</v>
      </c>
      <c r="DI245" s="262">
        <f t="shared" si="1238"/>
        <v>4.2664044801808486E-2</v>
      </c>
      <c r="DJ245" s="262">
        <f t="shared" si="1238"/>
        <v>4.2664044801808486E-2</v>
      </c>
      <c r="DK245" s="262">
        <f t="shared" si="1233"/>
        <v>4.2664044801808486E-2</v>
      </c>
      <c r="DL245" s="262">
        <f t="shared" si="1233"/>
        <v>4.2664044801808486E-2</v>
      </c>
      <c r="DM245" s="262">
        <f t="shared" si="1233"/>
        <v>4.2664044801808486E-2</v>
      </c>
      <c r="DN245" s="262">
        <f t="shared" si="1233"/>
        <v>4.2664044801808486E-2</v>
      </c>
      <c r="DO245" s="262">
        <f t="shared" si="1233"/>
        <v>4.2664044801808486E-2</v>
      </c>
      <c r="DP245" s="262">
        <f t="shared" si="1233"/>
        <v>4.2664044801808486E-2</v>
      </c>
      <c r="DQ245" s="262">
        <f t="shared" si="1233"/>
        <v>4.2664044801808486E-2</v>
      </c>
      <c r="DR245" s="262">
        <f t="shared" si="1233"/>
        <v>4.2664044801808486E-2</v>
      </c>
      <c r="DS245" s="262">
        <f t="shared" si="1233"/>
        <v>4.6581897349436359E-2</v>
      </c>
      <c r="DT245" s="262">
        <f t="shared" si="1233"/>
        <v>4.6581897349436359E-2</v>
      </c>
      <c r="DU245" s="262">
        <f t="shared" si="1233"/>
        <v>4.6581897349436359E-2</v>
      </c>
      <c r="DV245" s="262">
        <f t="shared" si="1233"/>
        <v>4.6581897349436359E-2</v>
      </c>
      <c r="DW245" s="262">
        <f t="shared" si="1233"/>
        <v>4.6581897349436359E-2</v>
      </c>
      <c r="DX245" s="262">
        <f t="shared" si="1233"/>
        <v>4.6581897349436359E-2</v>
      </c>
      <c r="DY245" s="262">
        <f t="shared" si="1233"/>
        <v>4.6581897349436359E-2</v>
      </c>
      <c r="DZ245" s="262">
        <f t="shared" si="1233"/>
        <v>4.6581897349436359E-2</v>
      </c>
      <c r="EA245" s="262">
        <f t="shared" si="1233"/>
        <v>4.6581897349436359E-2</v>
      </c>
      <c r="EB245" s="262">
        <f t="shared" si="1233"/>
        <v>4.6581897349436359E-2</v>
      </c>
      <c r="EC245" s="262">
        <f t="shared" si="1233"/>
        <v>4.6581897349436359E-2</v>
      </c>
      <c r="ED245" s="262">
        <f t="shared" si="1233"/>
        <v>4.6581897349436359E-2</v>
      </c>
      <c r="EE245" s="262">
        <f t="shared" si="1233"/>
        <v>4.8821797136516722E-2</v>
      </c>
      <c r="EF245" s="262">
        <f t="shared" si="1233"/>
        <v>4.8821797136516722E-2</v>
      </c>
      <c r="EG245" s="262">
        <f t="shared" si="1233"/>
        <v>4.8821797136516722E-2</v>
      </c>
      <c r="EH245" s="262">
        <f t="shared" si="1233"/>
        <v>4.8821797136516722E-2</v>
      </c>
      <c r="EI245" s="262">
        <f t="shared" si="1233"/>
        <v>4.8821797136516722E-2</v>
      </c>
      <c r="EJ245" s="262">
        <f t="shared" si="1233"/>
        <v>4.8821797136516722E-2</v>
      </c>
      <c r="EK245" s="262">
        <f t="shared" si="1233"/>
        <v>4.8821797136516722E-2</v>
      </c>
      <c r="EL245" s="262">
        <f t="shared" si="1233"/>
        <v>4.8821797136516722E-2</v>
      </c>
      <c r="EM245" s="262">
        <f t="shared" si="1233"/>
        <v>4.8821797136516722E-2</v>
      </c>
      <c r="EN245" s="262">
        <f t="shared" si="1233"/>
        <v>4.8821797136516722E-2</v>
      </c>
      <c r="EO245" s="262">
        <f t="shared" si="1233"/>
        <v>4.8821797136516722E-2</v>
      </c>
      <c r="EP245" s="262">
        <f t="shared" si="1233"/>
        <v>4.8821797136516722E-2</v>
      </c>
      <c r="EQ245" s="262">
        <f t="shared" si="1233"/>
        <v>5.0112481449553541E-2</v>
      </c>
      <c r="ER245" s="262">
        <f t="shared" si="1233"/>
        <v>5.0112481449553541E-2</v>
      </c>
      <c r="ES245" s="262">
        <f t="shared" si="1233"/>
        <v>5.0112481449553541E-2</v>
      </c>
      <c r="ET245" s="262">
        <f t="shared" si="1233"/>
        <v>5.0112481449553541E-2</v>
      </c>
      <c r="EU245" s="262">
        <f t="shared" si="1233"/>
        <v>5.0112481449553541E-2</v>
      </c>
      <c r="EV245" s="262">
        <f t="shared" si="1233"/>
        <v>5.0112481449553541E-2</v>
      </c>
      <c r="EW245" s="262">
        <f t="shared" si="1233"/>
        <v>5.0112481449553541E-2</v>
      </c>
      <c r="EX245" s="262">
        <f t="shared" si="1233"/>
        <v>5.0112481449553541E-2</v>
      </c>
      <c r="EY245" s="262">
        <f t="shared" si="1233"/>
        <v>5.0112481449553541E-2</v>
      </c>
      <c r="EZ245" s="262">
        <f t="shared" si="1233"/>
        <v>5.0112481449553541E-2</v>
      </c>
      <c r="FA245" s="262">
        <f t="shared" si="1233"/>
        <v>5.0112481449553541E-2</v>
      </c>
      <c r="FB245" s="262">
        <f t="shared" si="1233"/>
        <v>5.0112481449553541E-2</v>
      </c>
    </row>
    <row r="247" spans="3:158" s="1" customFormat="1" x14ac:dyDescent="0.25">
      <c r="C247" s="304" t="s">
        <v>644</v>
      </c>
      <c r="D247" s="22">
        <f t="shared" ref="D247:L269" si="1239">SUMIF($AY$2:$FB$2,D$2,$AY247:$FB247)</f>
        <v>3057385.5</v>
      </c>
      <c r="E247" s="22">
        <f t="shared" si="1239"/>
        <v>2750214.6799999997</v>
      </c>
      <c r="F247" s="22">
        <f t="shared" si="1239"/>
        <v>2352684.4286809997</v>
      </c>
      <c r="G247" s="22">
        <f t="shared" si="1239"/>
        <v>5787834.6133333333</v>
      </c>
      <c r="H247" s="22">
        <f t="shared" si="1239"/>
        <v>6773278.9649636559</v>
      </c>
      <c r="I247" s="22">
        <f t="shared" si="1239"/>
        <v>9920777.825989252</v>
      </c>
      <c r="J247" s="22">
        <f t="shared" si="1239"/>
        <v>13984480.309052814</v>
      </c>
      <c r="K247" s="22">
        <f t="shared" si="1239"/>
        <v>20282444.006625246</v>
      </c>
      <c r="L247" s="22">
        <f t="shared" si="1239"/>
        <v>30635494.890525348</v>
      </c>
      <c r="N247" s="22">
        <f t="shared" ref="N247:N251" si="1240">SUM(AY247:BA247)</f>
        <v>364083.32999999996</v>
      </c>
      <c r="O247" s="22">
        <f t="shared" ref="O247:O251" si="1241">SUM(BB247:BD247)</f>
        <v>791616.66999999993</v>
      </c>
      <c r="P247" s="22">
        <f t="shared" ref="P247:P251" si="1242">SUM(BE247:BG247)</f>
        <v>564350</v>
      </c>
      <c r="Q247" s="22">
        <f t="shared" ref="Q247:Q251" si="1243">SUM(BH247:BJ247)</f>
        <v>1337335.5</v>
      </c>
      <c r="R247" s="22">
        <f t="shared" ref="R247:R251" si="1244">SUM(BK247:BM247)</f>
        <v>612602</v>
      </c>
      <c r="S247" s="22">
        <f t="shared" ref="S247:S251" si="1245">SUM(BN247:BP247)</f>
        <v>854539.59</v>
      </c>
      <c r="T247" s="22">
        <f t="shared" ref="T247:T251" si="1246">SUM(BQ247:BS247)</f>
        <v>624336.59</v>
      </c>
      <c r="U247" s="22">
        <f t="shared" ref="U247:U251" si="1247">SUM(BT247:BV247)</f>
        <v>658736.5</v>
      </c>
      <c r="V247" s="22">
        <f t="shared" ref="V247:V251" si="1248">SUM(BW247:BY247)</f>
        <v>261800</v>
      </c>
      <c r="W247" s="22">
        <f t="shared" ref="W247:W251" si="1249">SUM(BZ247:CB247)</f>
        <v>594240.78</v>
      </c>
      <c r="X247" s="22">
        <f t="shared" ref="X247:X251" si="1250">SUM(CC247:CE247)</f>
        <v>989521.62000000011</v>
      </c>
      <c r="Y247" s="22">
        <f t="shared" ref="Y247:Y251" si="1251">SUM(CF247:CH247)</f>
        <v>507122.028681</v>
      </c>
      <c r="Z247" s="22">
        <f t="shared" ref="Z247:Z251" si="1252">SUM(CI247:CK247)</f>
        <v>1344032.9</v>
      </c>
      <c r="AA247" s="22">
        <f t="shared" ref="AA247:AA251" si="1253">SUM(CL247:CN247)</f>
        <v>1265277.6299999999</v>
      </c>
      <c r="AB247" s="22">
        <f t="shared" ref="AB247:AB251" si="1254">SUM(CO247:CQ247)</f>
        <v>1388410.2499999998</v>
      </c>
      <c r="AC247" s="22">
        <f t="shared" ref="AC247:AC251" si="1255">SUM(CR247:CT247)</f>
        <v>1790113.833333333</v>
      </c>
      <c r="AD247" s="22">
        <f t="shared" ref="AD247:AD251" si="1256">SUM(CU247:CW247)</f>
        <v>1198695.173990278</v>
      </c>
      <c r="AE247" s="22">
        <f t="shared" ref="AE247:AE251" si="1257">SUM(CX247:CZ247)</f>
        <v>1594870.9539379664</v>
      </c>
      <c r="AF247" s="22">
        <f t="shared" ref="AF247:AF251" si="1258">SUM(DA247:DC247)</f>
        <v>1572355.4651301624</v>
      </c>
      <c r="AG247" s="22">
        <f t="shared" ref="AG247:AG251" si="1259">SUM(DD247:DF247)</f>
        <v>2407357.3719052495</v>
      </c>
      <c r="AH247" s="22">
        <f t="shared" ref="AH247:AH251" si="1260">SUM(DG247:DI247)</f>
        <v>1809293.2570420168</v>
      </c>
      <c r="AI247" s="22">
        <f t="shared" ref="AI247:AI251" si="1261">SUM(DJ247:DL247)</f>
        <v>2455046.4893497182</v>
      </c>
      <c r="AJ247" s="22">
        <f t="shared" ref="AJ247:AJ251" si="1262">SUM(DM247:DO247)</f>
        <v>2303018.8648253959</v>
      </c>
      <c r="AK247" s="22">
        <f t="shared" ref="AK247:AK251" si="1263">SUM(DP247:DR247)</f>
        <v>3353419.214772122</v>
      </c>
      <c r="AL247" s="22">
        <f t="shared" ref="AL247:AL251" si="1264">SUM(DS247:DU247)</f>
        <v>2550407.4751198376</v>
      </c>
      <c r="AM247" s="22">
        <f t="shared" ref="AM247:AM251" si="1265">SUM(DV247:DX247)</f>
        <v>3460671.1177605567</v>
      </c>
      <c r="AN247" s="22">
        <f t="shared" ref="AN247:AN251" si="1266">SUM(DY247:EA247)</f>
        <v>3246370.6507122023</v>
      </c>
      <c r="AO247" s="22">
        <f t="shared" ref="AO247:AO251" si="1267">SUM(EB247:ED247)</f>
        <v>4727031.0654602181</v>
      </c>
      <c r="AP247" s="22">
        <f t="shared" ref="AP247:AP251" si="1268">SUM(EE247:EG247)</f>
        <v>3698993.1456165928</v>
      </c>
      <c r="AQ247" s="22">
        <f t="shared" ref="AQ247:AQ251" si="1269">SUM(EH247:EJ247)</f>
        <v>5019197.4689174425</v>
      </c>
      <c r="AR247" s="22">
        <f t="shared" ref="AR247:AR251" si="1270">SUM(EK247:EM247)</f>
        <v>4708385.9745004363</v>
      </c>
      <c r="AS247" s="22">
        <f t="shared" ref="AS247:AS251" si="1271">SUM(EN247:EP247)</f>
        <v>6855867.4175907746</v>
      </c>
      <c r="AT247" s="22">
        <f t="shared" ref="AT247:AT251" si="1272">SUM(EQ247:ES247)</f>
        <v>5587121.8269163892</v>
      </c>
      <c r="AU247" s="22">
        <f t="shared" ref="AU247:AU251" si="1273">SUM(ET247:EV247)</f>
        <v>7581216.4630322959</v>
      </c>
      <c r="AV247" s="22">
        <f t="shared" ref="AV247:AV251" si="1274">SUM(EW247:EY247)</f>
        <v>7111753.1209410578</v>
      </c>
      <c r="AW247" s="22">
        <f t="shared" ref="AW247:AW251" si="1275">SUM(EZ247:FB247)</f>
        <v>10355403.479635604</v>
      </c>
      <c r="AY247" s="49">
        <f t="shared" ref="AY247:CD247" si="1276">AY59</f>
        <v>15000</v>
      </c>
      <c r="AZ247" s="49">
        <f t="shared" si="1276"/>
        <v>138333.32999999999</v>
      </c>
      <c r="BA247" s="49">
        <f t="shared" si="1276"/>
        <v>210750</v>
      </c>
      <c r="BB247" s="49">
        <f t="shared" si="1276"/>
        <v>198700</v>
      </c>
      <c r="BC247" s="49">
        <f t="shared" si="1276"/>
        <v>375916.67</v>
      </c>
      <c r="BD247" s="49">
        <f t="shared" si="1276"/>
        <v>217000</v>
      </c>
      <c r="BE247" s="49">
        <f t="shared" si="1276"/>
        <v>108000</v>
      </c>
      <c r="BF247" s="49">
        <f t="shared" si="1276"/>
        <v>115000</v>
      </c>
      <c r="BG247" s="49">
        <f t="shared" si="1276"/>
        <v>341350</v>
      </c>
      <c r="BH247" s="49">
        <f t="shared" si="1276"/>
        <v>363785.5</v>
      </c>
      <c r="BI247" s="49">
        <f t="shared" si="1276"/>
        <v>349300</v>
      </c>
      <c r="BJ247" s="49">
        <f t="shared" si="1276"/>
        <v>624250</v>
      </c>
      <c r="BK247" s="49">
        <f t="shared" si="1276"/>
        <v>45850</v>
      </c>
      <c r="BL247" s="49">
        <f t="shared" si="1276"/>
        <v>347400</v>
      </c>
      <c r="BM247" s="49">
        <f t="shared" si="1276"/>
        <v>219352</v>
      </c>
      <c r="BN247" s="49">
        <f t="shared" si="1276"/>
        <v>315895.23</v>
      </c>
      <c r="BO247" s="49">
        <f t="shared" si="1276"/>
        <v>21000</v>
      </c>
      <c r="BP247" s="49">
        <f t="shared" si="1276"/>
        <v>517644.36</v>
      </c>
      <c r="BQ247" s="49">
        <f t="shared" si="1276"/>
        <v>206000.23</v>
      </c>
      <c r="BR247" s="49">
        <f t="shared" si="1276"/>
        <v>0</v>
      </c>
      <c r="BS247" s="49">
        <f t="shared" si="1276"/>
        <v>418336.36</v>
      </c>
      <c r="BT247" s="49">
        <f t="shared" si="1276"/>
        <v>0</v>
      </c>
      <c r="BU247" s="49">
        <f t="shared" si="1276"/>
        <v>52500</v>
      </c>
      <c r="BV247" s="49">
        <f t="shared" si="1276"/>
        <v>606236.5</v>
      </c>
      <c r="BW247" s="49">
        <f t="shared" si="1276"/>
        <v>89500</v>
      </c>
      <c r="BX247" s="49">
        <f t="shared" si="1276"/>
        <v>127300</v>
      </c>
      <c r="BY247" s="49">
        <f t="shared" si="1276"/>
        <v>45000</v>
      </c>
      <c r="BZ247" s="49">
        <f t="shared" si="1276"/>
        <v>95100</v>
      </c>
      <c r="CA247" s="49">
        <f t="shared" si="1276"/>
        <v>152971.18</v>
      </c>
      <c r="CB247" s="49">
        <f t="shared" si="1276"/>
        <v>346169.59999999998</v>
      </c>
      <c r="CC247" s="49">
        <f t="shared" si="1276"/>
        <v>76788.3</v>
      </c>
      <c r="CD247" s="49">
        <f t="shared" si="1276"/>
        <v>262937.90000000002</v>
      </c>
      <c r="CE247" s="49">
        <f t="shared" ref="CE247:DJ247" si="1277">CE59</f>
        <v>649795.42000000004</v>
      </c>
      <c r="CF247" s="49">
        <f t="shared" si="1277"/>
        <v>40192.307692000002</v>
      </c>
      <c r="CG247" s="49">
        <f t="shared" si="1277"/>
        <v>178132.910989</v>
      </c>
      <c r="CH247" s="49">
        <f t="shared" si="1277"/>
        <v>288796.81</v>
      </c>
      <c r="CI247" s="49">
        <f t="shared" si="1277"/>
        <v>211500</v>
      </c>
      <c r="CJ247" s="49">
        <f t="shared" si="1277"/>
        <v>42000</v>
      </c>
      <c r="CK247" s="49">
        <f t="shared" si="1277"/>
        <v>1090532.8999999999</v>
      </c>
      <c r="CL247" s="49">
        <f t="shared" si="1277"/>
        <v>157920</v>
      </c>
      <c r="CM247" s="49">
        <f t="shared" si="1277"/>
        <v>173945.83</v>
      </c>
      <c r="CN247" s="49">
        <f t="shared" si="1277"/>
        <v>933411.8</v>
      </c>
      <c r="CO247" s="49">
        <f t="shared" si="1277"/>
        <v>208261.53749999998</v>
      </c>
      <c r="CP247" s="49">
        <f t="shared" si="1277"/>
        <v>485943.58749999991</v>
      </c>
      <c r="CQ247" s="49">
        <f t="shared" si="1277"/>
        <v>694205.12499999988</v>
      </c>
      <c r="CR247" s="49">
        <f t="shared" si="1277"/>
        <v>179011.3833333333</v>
      </c>
      <c r="CS247" s="49">
        <f t="shared" si="1277"/>
        <v>716045.53333333321</v>
      </c>
      <c r="CT247" s="49">
        <f t="shared" si="1277"/>
        <v>895056.9166666664</v>
      </c>
      <c r="CU247" s="49">
        <f t="shared" si="1277"/>
        <v>158455.60230988532</v>
      </c>
      <c r="CV247" s="49">
        <f t="shared" si="1277"/>
        <v>348251.71641244635</v>
      </c>
      <c r="CW247" s="49">
        <f t="shared" si="1277"/>
        <v>691987.85526794638</v>
      </c>
      <c r="CX247" s="49">
        <f t="shared" si="1277"/>
        <v>276684.13585798751</v>
      </c>
      <c r="CY247" s="49">
        <f t="shared" si="1277"/>
        <v>542678.81675078475</v>
      </c>
      <c r="CZ247" s="49">
        <f t="shared" si="1277"/>
        <v>775508.00132919417</v>
      </c>
      <c r="DA247" s="49">
        <f t="shared" si="1277"/>
        <v>265680.86088953278</v>
      </c>
      <c r="DB247" s="49">
        <f t="shared" si="1277"/>
        <v>473735.28795119311</v>
      </c>
      <c r="DC247" s="49">
        <f t="shared" si="1277"/>
        <v>832939.31628943642</v>
      </c>
      <c r="DD247" s="49">
        <f t="shared" si="1277"/>
        <v>357665.57334176538</v>
      </c>
      <c r="DE247" s="49">
        <f t="shared" si="1277"/>
        <v>954047.49695393187</v>
      </c>
      <c r="DF247" s="49">
        <f t="shared" si="1277"/>
        <v>1095644.301609552</v>
      </c>
      <c r="DG247" s="49">
        <f t="shared" si="1277"/>
        <v>249946.29439206884</v>
      </c>
      <c r="DH247" s="49">
        <f t="shared" si="1277"/>
        <v>527939.43331156066</v>
      </c>
      <c r="DI247" s="49">
        <f t="shared" si="1277"/>
        <v>1031407.5293383874</v>
      </c>
      <c r="DJ247" s="49">
        <f t="shared" si="1277"/>
        <v>444940.57287045382</v>
      </c>
      <c r="DK247" s="49">
        <f t="shared" ref="DK247:EP247" si="1278">DK59</f>
        <v>834541.25899050524</v>
      </c>
      <c r="DL247" s="49">
        <f t="shared" si="1278"/>
        <v>1175564.6574887589</v>
      </c>
      <c r="DM247" s="49">
        <f t="shared" si="1278"/>
        <v>389141.03599404241</v>
      </c>
      <c r="DN247" s="49">
        <f t="shared" si="1278"/>
        <v>693877.00763629319</v>
      </c>
      <c r="DO247" s="49">
        <f t="shared" si="1278"/>
        <v>1220000.8211950604</v>
      </c>
      <c r="DP247" s="49">
        <f t="shared" si="1278"/>
        <v>466329.93710004858</v>
      </c>
      <c r="DQ247" s="49">
        <f t="shared" si="1278"/>
        <v>1339846.6775439652</v>
      </c>
      <c r="DR247" s="49">
        <f t="shared" si="1278"/>
        <v>1547242.6001281082</v>
      </c>
      <c r="DS247" s="49">
        <f t="shared" si="1278"/>
        <v>352328.1232132687</v>
      </c>
      <c r="DT247" s="49">
        <f t="shared" si="1278"/>
        <v>744191.50786514347</v>
      </c>
      <c r="DU247" s="49">
        <f t="shared" si="1278"/>
        <v>1453887.8440414253</v>
      </c>
      <c r="DV247" s="49">
        <f t="shared" si="1278"/>
        <v>627195.0434879422</v>
      </c>
      <c r="DW247" s="49">
        <f t="shared" si="1278"/>
        <v>1176382.1353676093</v>
      </c>
      <c r="DX247" s="49">
        <f t="shared" si="1278"/>
        <v>1657093.9389050056</v>
      </c>
      <c r="DY247" s="49">
        <f t="shared" si="1278"/>
        <v>548539.16202487436</v>
      </c>
      <c r="DZ247" s="49">
        <f t="shared" si="1278"/>
        <v>978099.65311128646</v>
      </c>
      <c r="EA247" s="49">
        <f t="shared" si="1278"/>
        <v>1719731.8355760414</v>
      </c>
      <c r="EB247" s="49">
        <f t="shared" si="1278"/>
        <v>657345.81877375988</v>
      </c>
      <c r="EC247" s="49">
        <f t="shared" si="1278"/>
        <v>1888668.3895065503</v>
      </c>
      <c r="ED247" s="49">
        <f t="shared" si="1278"/>
        <v>2181016.8571799085</v>
      </c>
      <c r="EE247" s="49">
        <f t="shared" si="1278"/>
        <v>511000.42855410866</v>
      </c>
      <c r="EF247" s="49">
        <f t="shared" si="1278"/>
        <v>1079340.9733438368</v>
      </c>
      <c r="EG247" s="49">
        <f t="shared" si="1278"/>
        <v>2108651.7437186474</v>
      </c>
      <c r="EH247" s="49">
        <f t="shared" si="1278"/>
        <v>909654.70790803258</v>
      </c>
      <c r="EI247" s="49">
        <f t="shared" si="1278"/>
        <v>1706170.287611055</v>
      </c>
      <c r="EJ247" s="49">
        <f t="shared" si="1278"/>
        <v>2403372.4733983548</v>
      </c>
      <c r="EK247" s="49">
        <f t="shared" si="1278"/>
        <v>795575.85218296933</v>
      </c>
      <c r="EL247" s="49">
        <f t="shared" si="1278"/>
        <v>1418590.5381329765</v>
      </c>
      <c r="EM247" s="49">
        <f t="shared" si="1278"/>
        <v>2494219.5841844911</v>
      </c>
      <c r="EN247" s="49">
        <f t="shared" si="1278"/>
        <v>953383.99909199367</v>
      </c>
      <c r="EO247" s="49">
        <f t="shared" si="1278"/>
        <v>2739237.3553167991</v>
      </c>
      <c r="EP247" s="49">
        <f t="shared" si="1278"/>
        <v>3163246.0631819819</v>
      </c>
      <c r="EQ247" s="49">
        <f t="shared" ref="EQ247:FB247" si="1279">EQ59</f>
        <v>771837.50700418756</v>
      </c>
      <c r="ER247" s="49">
        <f t="shared" si="1279"/>
        <v>1630284.0458087169</v>
      </c>
      <c r="ES247" s="49">
        <f t="shared" si="1279"/>
        <v>3185000.2741034846</v>
      </c>
      <c r="ET247" s="49">
        <f t="shared" si="1279"/>
        <v>1373982.4523689495</v>
      </c>
      <c r="EU247" s="49">
        <f t="shared" si="1279"/>
        <v>2577074.592756222</v>
      </c>
      <c r="EV247" s="49">
        <f t="shared" si="1279"/>
        <v>3630159.4179071249</v>
      </c>
      <c r="EW247" s="49">
        <f t="shared" si="1279"/>
        <v>1201672.7346376663</v>
      </c>
      <c r="EX247" s="49">
        <f t="shared" si="1279"/>
        <v>2142701.4993126313</v>
      </c>
      <c r="EY247" s="49">
        <f t="shared" si="1279"/>
        <v>3767378.88699076</v>
      </c>
      <c r="EZ247" s="49">
        <f t="shared" si="1279"/>
        <v>1440033.0957822844</v>
      </c>
      <c r="FA247" s="49">
        <f t="shared" si="1279"/>
        <v>4137464.4976380672</v>
      </c>
      <c r="FB247" s="49">
        <f t="shared" si="1279"/>
        <v>4777905.8862152528</v>
      </c>
    </row>
    <row r="248" spans="3:158" x14ac:dyDescent="0.25">
      <c r="C248" s="2" t="s">
        <v>346</v>
      </c>
      <c r="D248" s="244">
        <f t="shared" si="1239"/>
        <v>2904516.2250000001</v>
      </c>
      <c r="E248" s="244">
        <f t="shared" si="1239"/>
        <v>2612703.9459999995</v>
      </c>
      <c r="F248" s="244">
        <f t="shared" si="1239"/>
        <v>2235050.2072469499</v>
      </c>
      <c r="G248" s="244">
        <f t="shared" si="1239"/>
        <v>5037086.6183644012</v>
      </c>
      <c r="H248" s="244">
        <f t="shared" si="1239"/>
        <v>5506129.7313399008</v>
      </c>
      <c r="I248" s="244">
        <f t="shared" si="1239"/>
        <v>5187766.9819375053</v>
      </c>
      <c r="J248" s="244">
        <f t="shared" si="1239"/>
        <v>4515859.6998199746</v>
      </c>
      <c r="K248" s="244">
        <f t="shared" si="1239"/>
        <v>4521349.8265953809</v>
      </c>
      <c r="L248" s="244">
        <f t="shared" si="1239"/>
        <v>15700990.290567823</v>
      </c>
      <c r="N248" s="244">
        <f t="shared" si="1240"/>
        <v>345879.16350000002</v>
      </c>
      <c r="O248" s="244">
        <f t="shared" si="1241"/>
        <v>752035.83649999998</v>
      </c>
      <c r="P248" s="244">
        <f t="shared" si="1242"/>
        <v>536132.5</v>
      </c>
      <c r="Q248" s="244">
        <f t="shared" si="1243"/>
        <v>1270468.7250000001</v>
      </c>
      <c r="R248" s="244">
        <f t="shared" si="1244"/>
        <v>581971.9</v>
      </c>
      <c r="S248" s="244">
        <f t="shared" si="1245"/>
        <v>811812.61049999995</v>
      </c>
      <c r="T248" s="244">
        <f t="shared" si="1246"/>
        <v>593119.76049999997</v>
      </c>
      <c r="U248" s="244">
        <f t="shared" si="1247"/>
        <v>625799.67499999993</v>
      </c>
      <c r="V248" s="244">
        <f t="shared" si="1248"/>
        <v>248710</v>
      </c>
      <c r="W248" s="244">
        <f t="shared" si="1249"/>
        <v>564528.74099999992</v>
      </c>
      <c r="X248" s="244">
        <f t="shared" si="1250"/>
        <v>940045.53899999999</v>
      </c>
      <c r="Y248" s="244">
        <f t="shared" si="1251"/>
        <v>481765.92724694998</v>
      </c>
      <c r="Z248" s="244">
        <f t="shared" si="1252"/>
        <v>1169696.5424056081</v>
      </c>
      <c r="AA248" s="244">
        <f t="shared" si="1253"/>
        <v>1101156.7268882794</v>
      </c>
      <c r="AB248" s="244">
        <f t="shared" si="1254"/>
        <v>1208317.6452492389</v>
      </c>
      <c r="AC248" s="244">
        <f t="shared" si="1255"/>
        <v>1557915.7038212745</v>
      </c>
      <c r="AD248" s="244">
        <f t="shared" si="1256"/>
        <v>974442.53668901406</v>
      </c>
      <c r="AE248" s="244">
        <f t="shared" si="1257"/>
        <v>1296501.5057777688</v>
      </c>
      <c r="AF248" s="244">
        <f t="shared" si="1258"/>
        <v>1278198.2285937665</v>
      </c>
      <c r="AG248" s="244">
        <f t="shared" si="1259"/>
        <v>1956987.4602793516</v>
      </c>
      <c r="AH248" s="244">
        <f t="shared" si="1260"/>
        <v>946114.50676134846</v>
      </c>
      <c r="AI248" s="244">
        <f t="shared" si="1261"/>
        <v>1283791.3861154392</v>
      </c>
      <c r="AJ248" s="244">
        <f t="shared" si="1262"/>
        <v>1204293.1950780819</v>
      </c>
      <c r="AK248" s="244">
        <f t="shared" si="1263"/>
        <v>1753567.8939826363</v>
      </c>
      <c r="AL248" s="244">
        <f t="shared" si="1264"/>
        <v>823575.99857018702</v>
      </c>
      <c r="AM248" s="244">
        <f t="shared" si="1265"/>
        <v>1117517.7689591488</v>
      </c>
      <c r="AN248" s="244">
        <f t="shared" si="1266"/>
        <v>1048315.9951778381</v>
      </c>
      <c r="AO248" s="244">
        <f t="shared" si="1267"/>
        <v>1526449.9371128015</v>
      </c>
      <c r="AP248" s="244">
        <f t="shared" si="1268"/>
        <v>824577.25568220741</v>
      </c>
      <c r="AQ248" s="244">
        <f t="shared" si="1269"/>
        <v>1118876.3838482685</v>
      </c>
      <c r="AR248" s="244">
        <f t="shared" si="1270"/>
        <v>1049590.4784649163</v>
      </c>
      <c r="AS248" s="244">
        <f t="shared" si="1271"/>
        <v>1528305.7085999872</v>
      </c>
      <c r="AT248" s="244">
        <f t="shared" si="1272"/>
        <v>2863454.4951896314</v>
      </c>
      <c r="AU248" s="244">
        <f t="shared" si="1273"/>
        <v>3885447.468765269</v>
      </c>
      <c r="AV248" s="244">
        <f t="shared" si="1274"/>
        <v>3644842.9215793274</v>
      </c>
      <c r="AW248" s="244">
        <f t="shared" si="1275"/>
        <v>5307245.4050335977</v>
      </c>
      <c r="AY248" s="20">
        <f t="shared" ref="AY248:CD248" si="1280">AY$247*AY224</f>
        <v>14250</v>
      </c>
      <c r="AZ248" s="20">
        <f t="shared" si="1280"/>
        <v>131416.6635</v>
      </c>
      <c r="BA248" s="20">
        <f t="shared" si="1280"/>
        <v>200212.5</v>
      </c>
      <c r="BB248" s="20">
        <f t="shared" si="1280"/>
        <v>188765</v>
      </c>
      <c r="BC248" s="20">
        <f t="shared" si="1280"/>
        <v>357120.83649999998</v>
      </c>
      <c r="BD248" s="20">
        <f t="shared" si="1280"/>
        <v>206150</v>
      </c>
      <c r="BE248" s="20">
        <f t="shared" si="1280"/>
        <v>102600</v>
      </c>
      <c r="BF248" s="20">
        <f t="shared" si="1280"/>
        <v>109250</v>
      </c>
      <c r="BG248" s="20">
        <f t="shared" si="1280"/>
        <v>324282.5</v>
      </c>
      <c r="BH248" s="20">
        <f t="shared" si="1280"/>
        <v>345596.22499999998</v>
      </c>
      <c r="BI248" s="20">
        <f t="shared" si="1280"/>
        <v>331835</v>
      </c>
      <c r="BJ248" s="20">
        <f t="shared" si="1280"/>
        <v>593037.5</v>
      </c>
      <c r="BK248" s="20">
        <f t="shared" si="1280"/>
        <v>43557.5</v>
      </c>
      <c r="BL248" s="20">
        <f t="shared" si="1280"/>
        <v>330030</v>
      </c>
      <c r="BM248" s="20">
        <f t="shared" si="1280"/>
        <v>208384.4</v>
      </c>
      <c r="BN248" s="20">
        <f t="shared" si="1280"/>
        <v>300100.46849999996</v>
      </c>
      <c r="BO248" s="20">
        <f t="shared" si="1280"/>
        <v>19950</v>
      </c>
      <c r="BP248" s="20">
        <f t="shared" si="1280"/>
        <v>491762.14199999999</v>
      </c>
      <c r="BQ248" s="20">
        <f t="shared" si="1280"/>
        <v>195700.21849999999</v>
      </c>
      <c r="BR248" s="20">
        <f t="shared" si="1280"/>
        <v>0</v>
      </c>
      <c r="BS248" s="20">
        <f t="shared" si="1280"/>
        <v>397419.54199999996</v>
      </c>
      <c r="BT248" s="20">
        <f t="shared" si="1280"/>
        <v>0</v>
      </c>
      <c r="BU248" s="20">
        <f t="shared" si="1280"/>
        <v>49875</v>
      </c>
      <c r="BV248" s="20">
        <f t="shared" si="1280"/>
        <v>575924.67499999993</v>
      </c>
      <c r="BW248" s="20">
        <f t="shared" si="1280"/>
        <v>85025</v>
      </c>
      <c r="BX248" s="20">
        <f t="shared" si="1280"/>
        <v>120935</v>
      </c>
      <c r="BY248" s="20">
        <f t="shared" si="1280"/>
        <v>42750</v>
      </c>
      <c r="BZ248" s="20">
        <f t="shared" si="1280"/>
        <v>90345</v>
      </c>
      <c r="CA248" s="20">
        <f t="shared" si="1280"/>
        <v>145322.62099999998</v>
      </c>
      <c r="CB248" s="20">
        <f t="shared" si="1280"/>
        <v>328861.11999999994</v>
      </c>
      <c r="CC248" s="20">
        <f t="shared" si="1280"/>
        <v>72948.884999999995</v>
      </c>
      <c r="CD248" s="20">
        <f t="shared" si="1280"/>
        <v>249791.005</v>
      </c>
      <c r="CE248" s="20">
        <f t="shared" ref="CE248:DJ248" si="1281">CE$247*CE224</f>
        <v>617305.64899999998</v>
      </c>
      <c r="CF248" s="20">
        <f t="shared" si="1281"/>
        <v>38182.692307400001</v>
      </c>
      <c r="CG248" s="20">
        <f t="shared" si="1281"/>
        <v>169226.26543954998</v>
      </c>
      <c r="CH248" s="20">
        <f t="shared" si="1281"/>
        <v>274356.96950000001</v>
      </c>
      <c r="CI248" s="20">
        <f t="shared" si="1281"/>
        <v>184066.04385858867</v>
      </c>
      <c r="CJ248" s="20">
        <f t="shared" si="1281"/>
        <v>36552.122184684275</v>
      </c>
      <c r="CK248" s="20">
        <f t="shared" si="1281"/>
        <v>949078.37636233505</v>
      </c>
      <c r="CL248" s="20">
        <f t="shared" si="1281"/>
        <v>137435.97941441287</v>
      </c>
      <c r="CM248" s="20">
        <f t="shared" si="1281"/>
        <v>151383.07694467425</v>
      </c>
      <c r="CN248" s="20">
        <f t="shared" si="1281"/>
        <v>812337.67052919243</v>
      </c>
      <c r="CO248" s="20">
        <f t="shared" si="1281"/>
        <v>181247.64678738583</v>
      </c>
      <c r="CP248" s="20">
        <f t="shared" si="1281"/>
        <v>422911.1758372336</v>
      </c>
      <c r="CQ248" s="20">
        <f t="shared" si="1281"/>
        <v>604158.82262461947</v>
      </c>
      <c r="CR248" s="20">
        <f t="shared" si="1281"/>
        <v>155791.57038212745</v>
      </c>
      <c r="CS248" s="20">
        <f t="shared" si="1281"/>
        <v>623166.2815285098</v>
      </c>
      <c r="CT248" s="20">
        <f t="shared" si="1281"/>
        <v>778957.85191063711</v>
      </c>
      <c r="CU248" s="20">
        <f t="shared" si="1281"/>
        <v>128811.62986035561</v>
      </c>
      <c r="CV248" s="20">
        <f t="shared" si="1281"/>
        <v>283100.56911099207</v>
      </c>
      <c r="CW248" s="20">
        <f t="shared" si="1281"/>
        <v>562530.33771766641</v>
      </c>
      <c r="CX248" s="20">
        <f t="shared" si="1281"/>
        <v>224921.89595588698</v>
      </c>
      <c r="CY248" s="20">
        <f t="shared" si="1281"/>
        <v>441154.12681749585</v>
      </c>
      <c r="CZ248" s="20">
        <f t="shared" si="1281"/>
        <v>630425.48300438584</v>
      </c>
      <c r="DA248" s="20">
        <f t="shared" si="1281"/>
        <v>215977.12049937487</v>
      </c>
      <c r="DB248" s="20">
        <f t="shared" si="1281"/>
        <v>385108.5961859434</v>
      </c>
      <c r="DC248" s="20">
        <f t="shared" si="1281"/>
        <v>677112.51190844818</v>
      </c>
      <c r="DD248" s="20">
        <f t="shared" si="1281"/>
        <v>290753.27584184235</v>
      </c>
      <c r="DE248" s="20">
        <f t="shared" si="1281"/>
        <v>775563.69895015017</v>
      </c>
      <c r="DF248" s="20">
        <f t="shared" si="1281"/>
        <v>890670.48548735899</v>
      </c>
      <c r="DG248" s="20">
        <f t="shared" si="1281"/>
        <v>130701.76109659116</v>
      </c>
      <c r="DH248" s="20">
        <f t="shared" si="1281"/>
        <v>276069.76072195324</v>
      </c>
      <c r="DI248" s="20">
        <f t="shared" si="1281"/>
        <v>539342.98494280409</v>
      </c>
      <c r="DJ248" s="20">
        <f t="shared" si="1281"/>
        <v>232668.04814586518</v>
      </c>
      <c r="DK248" s="20">
        <f t="shared" ref="DK248:EP248" si="1282">DK$247*DK224</f>
        <v>436397.79706726695</v>
      </c>
      <c r="DL248" s="20">
        <f t="shared" si="1282"/>
        <v>614725.54090230702</v>
      </c>
      <c r="DM248" s="20">
        <f t="shared" si="1282"/>
        <v>203489.38896286042</v>
      </c>
      <c r="DN248" s="20">
        <f t="shared" si="1282"/>
        <v>362841.7340736303</v>
      </c>
      <c r="DO248" s="20">
        <f t="shared" si="1282"/>
        <v>637962.07204159128</v>
      </c>
      <c r="DP248" s="20">
        <f t="shared" si="1282"/>
        <v>243852.96121026616</v>
      </c>
      <c r="DQ248" s="20">
        <f t="shared" si="1282"/>
        <v>700631.79284313309</v>
      </c>
      <c r="DR248" s="20">
        <f t="shared" si="1282"/>
        <v>809083.13992923708</v>
      </c>
      <c r="DS248" s="20">
        <f t="shared" si="1282"/>
        <v>113773.57882237753</v>
      </c>
      <c r="DT248" s="20">
        <f t="shared" si="1282"/>
        <v>240313.85972497988</v>
      </c>
      <c r="DU248" s="20">
        <f t="shared" si="1282"/>
        <v>469488.56002282962</v>
      </c>
      <c r="DV248" s="20">
        <f t="shared" si="1282"/>
        <v>202533.43407981613</v>
      </c>
      <c r="DW248" s="20">
        <f t="shared" si="1282"/>
        <v>379876.58885370241</v>
      </c>
      <c r="DX248" s="20">
        <f t="shared" si="1282"/>
        <v>535107.74602563016</v>
      </c>
      <c r="DY248" s="20">
        <f t="shared" si="1282"/>
        <v>177133.92566741211</v>
      </c>
      <c r="DZ248" s="20">
        <f t="shared" si="1282"/>
        <v>315847.33277745394</v>
      </c>
      <c r="EA248" s="20">
        <f t="shared" si="1282"/>
        <v>555334.73673297209</v>
      </c>
      <c r="EB248" s="20">
        <f t="shared" si="1282"/>
        <v>212269.70371748094</v>
      </c>
      <c r="EC248" s="20">
        <f t="shared" si="1282"/>
        <v>609887.62385223038</v>
      </c>
      <c r="ED248" s="20">
        <f t="shared" si="1282"/>
        <v>704292.60954309022</v>
      </c>
      <c r="EE248" s="20">
        <f t="shared" si="1282"/>
        <v>113911.89830370489</v>
      </c>
      <c r="EF248" s="20">
        <f t="shared" si="1282"/>
        <v>240606.01972185259</v>
      </c>
      <c r="EG248" s="20">
        <f t="shared" si="1282"/>
        <v>470059.33765664988</v>
      </c>
      <c r="EH248" s="20">
        <f t="shared" si="1282"/>
        <v>202779.66277230636</v>
      </c>
      <c r="EI248" s="20">
        <f t="shared" si="1282"/>
        <v>380338.42132203578</v>
      </c>
      <c r="EJ248" s="20">
        <f t="shared" si="1282"/>
        <v>535758.29975392658</v>
      </c>
      <c r="EK248" s="20">
        <f t="shared" si="1282"/>
        <v>177349.27507434296</v>
      </c>
      <c r="EL248" s="20">
        <f t="shared" si="1282"/>
        <v>316231.32209817856</v>
      </c>
      <c r="EM248" s="20">
        <f t="shared" si="1282"/>
        <v>556009.88129239483</v>
      </c>
      <c r="EN248" s="20">
        <f t="shared" si="1282"/>
        <v>212527.76921584728</v>
      </c>
      <c r="EO248" s="20">
        <f t="shared" si="1282"/>
        <v>610629.09072593157</v>
      </c>
      <c r="EP248" s="20">
        <f t="shared" si="1282"/>
        <v>705148.84865820839</v>
      </c>
      <c r="EQ248" s="20">
        <f t="shared" ref="EQ248:FB248" si="1283">EQ$247*EQ224</f>
        <v>395574.2594227441</v>
      </c>
      <c r="ER248" s="20">
        <f t="shared" si="1283"/>
        <v>835536.49339044013</v>
      </c>
      <c r="ES248" s="20">
        <f t="shared" si="1283"/>
        <v>1632343.7423764472</v>
      </c>
      <c r="ET248" s="20">
        <f t="shared" si="1283"/>
        <v>704179.42393766588</v>
      </c>
      <c r="EU248" s="20">
        <f t="shared" si="1283"/>
        <v>1320775.894220934</v>
      </c>
      <c r="EV248" s="20">
        <f t="shared" si="1283"/>
        <v>1860492.1506066688</v>
      </c>
      <c r="EW248" s="20">
        <f t="shared" si="1283"/>
        <v>615869.0109759327</v>
      </c>
      <c r="EX248" s="20">
        <f t="shared" si="1283"/>
        <v>1098155.4421272753</v>
      </c>
      <c r="EY248" s="20">
        <f t="shared" si="1283"/>
        <v>1930818.4684761197</v>
      </c>
      <c r="EZ248" s="20">
        <f t="shared" si="1283"/>
        <v>738031.02367922128</v>
      </c>
      <c r="FA248" s="20">
        <f t="shared" si="1283"/>
        <v>2120490.9578619306</v>
      </c>
      <c r="FB248" s="20">
        <f t="shared" si="1283"/>
        <v>2448723.4234924451</v>
      </c>
    </row>
    <row r="249" spans="3:158" x14ac:dyDescent="0.25">
      <c r="C249" s="2" t="s">
        <v>298</v>
      </c>
      <c r="D249" s="244">
        <f t="shared" si="1239"/>
        <v>61147.71</v>
      </c>
      <c r="E249" s="244">
        <f t="shared" si="1239"/>
        <v>55004.293600000005</v>
      </c>
      <c r="F249" s="244">
        <f t="shared" si="1239"/>
        <v>47053.688573620006</v>
      </c>
      <c r="G249" s="244">
        <f t="shared" si="1239"/>
        <v>173635.03839999996</v>
      </c>
      <c r="H249" s="244">
        <f t="shared" si="1239"/>
        <v>304797.55342336453</v>
      </c>
      <c r="I249" s="244">
        <f t="shared" si="1239"/>
        <v>1240097.2282486565</v>
      </c>
      <c r="J249" s="244">
        <f t="shared" si="1239"/>
        <v>1748060.0386316017</v>
      </c>
      <c r="K249" s="244">
        <f t="shared" si="1239"/>
        <v>2535305.5008281558</v>
      </c>
      <c r="L249" s="244">
        <f t="shared" si="1239"/>
        <v>4595324.2335788021</v>
      </c>
      <c r="N249" s="244">
        <f t="shared" si="1240"/>
        <v>7281.6666000000005</v>
      </c>
      <c r="O249" s="244">
        <f t="shared" si="1241"/>
        <v>15832.3334</v>
      </c>
      <c r="P249" s="244">
        <f t="shared" si="1242"/>
        <v>11287</v>
      </c>
      <c r="Q249" s="244">
        <f t="shared" si="1243"/>
        <v>26746.71</v>
      </c>
      <c r="R249" s="244">
        <f t="shared" si="1244"/>
        <v>12252.04</v>
      </c>
      <c r="S249" s="244">
        <f t="shared" si="1245"/>
        <v>17090.791799999999</v>
      </c>
      <c r="T249" s="244">
        <f t="shared" si="1246"/>
        <v>12486.7318</v>
      </c>
      <c r="U249" s="244">
        <f t="shared" si="1247"/>
        <v>13174.73</v>
      </c>
      <c r="V249" s="244">
        <f t="shared" si="1248"/>
        <v>5236</v>
      </c>
      <c r="W249" s="244">
        <f t="shared" si="1249"/>
        <v>11884.8156</v>
      </c>
      <c r="X249" s="244">
        <f t="shared" si="1250"/>
        <v>19790.432400000002</v>
      </c>
      <c r="Y249" s="244">
        <f t="shared" si="1251"/>
        <v>10142.440573619999</v>
      </c>
      <c r="Z249" s="244">
        <f t="shared" si="1252"/>
        <v>40320.986999999994</v>
      </c>
      <c r="AA249" s="244">
        <f t="shared" si="1253"/>
        <v>37958.3289</v>
      </c>
      <c r="AB249" s="244">
        <f t="shared" si="1254"/>
        <v>41652.307499999988</v>
      </c>
      <c r="AC249" s="244">
        <f t="shared" si="1255"/>
        <v>53703.414999999979</v>
      </c>
      <c r="AD249" s="244">
        <f t="shared" si="1256"/>
        <v>53941.282829562508</v>
      </c>
      <c r="AE249" s="244">
        <f t="shared" si="1257"/>
        <v>71769.192927208496</v>
      </c>
      <c r="AF249" s="244">
        <f t="shared" si="1258"/>
        <v>70755.995930857302</v>
      </c>
      <c r="AG249" s="244">
        <f t="shared" si="1259"/>
        <v>108331.08173573621</v>
      </c>
      <c r="AH249" s="244">
        <f t="shared" si="1260"/>
        <v>226161.6571302521</v>
      </c>
      <c r="AI249" s="244">
        <f t="shared" si="1261"/>
        <v>306880.81116871478</v>
      </c>
      <c r="AJ249" s="244">
        <f t="shared" si="1262"/>
        <v>287877.35810317448</v>
      </c>
      <c r="AK249" s="244">
        <f t="shared" si="1263"/>
        <v>419177.40184651525</v>
      </c>
      <c r="AL249" s="244">
        <f t="shared" si="1264"/>
        <v>318800.93438997969</v>
      </c>
      <c r="AM249" s="244">
        <f t="shared" si="1265"/>
        <v>432583.88972006959</v>
      </c>
      <c r="AN249" s="244">
        <f t="shared" si="1266"/>
        <v>405796.33133902529</v>
      </c>
      <c r="AO249" s="244">
        <f t="shared" si="1267"/>
        <v>590878.88318252726</v>
      </c>
      <c r="AP249" s="244">
        <f t="shared" si="1268"/>
        <v>462374.1432020741</v>
      </c>
      <c r="AQ249" s="244">
        <f t="shared" si="1269"/>
        <v>627399.68361468031</v>
      </c>
      <c r="AR249" s="244">
        <f t="shared" si="1270"/>
        <v>588548.24681255454</v>
      </c>
      <c r="AS249" s="244">
        <f t="shared" si="1271"/>
        <v>856983.42719884682</v>
      </c>
      <c r="AT249" s="244">
        <f t="shared" si="1272"/>
        <v>838068.27403745835</v>
      </c>
      <c r="AU249" s="244">
        <f t="shared" si="1273"/>
        <v>1137182.4694548445</v>
      </c>
      <c r="AV249" s="244">
        <f t="shared" si="1274"/>
        <v>1066762.9681411586</v>
      </c>
      <c r="AW249" s="244">
        <f t="shared" si="1275"/>
        <v>1553310.5219453406</v>
      </c>
      <c r="AY249" s="20">
        <f t="shared" ref="AY249:CD249" si="1284">AY$247*AY225</f>
        <v>300</v>
      </c>
      <c r="AZ249" s="20">
        <f t="shared" si="1284"/>
        <v>2766.6666</v>
      </c>
      <c r="BA249" s="20">
        <f t="shared" si="1284"/>
        <v>4215</v>
      </c>
      <c r="BB249" s="20">
        <f t="shared" si="1284"/>
        <v>3974</v>
      </c>
      <c r="BC249" s="20">
        <f t="shared" si="1284"/>
        <v>7518.3333999999995</v>
      </c>
      <c r="BD249" s="20">
        <f t="shared" si="1284"/>
        <v>4340</v>
      </c>
      <c r="BE249" s="20">
        <f t="shared" si="1284"/>
        <v>2160</v>
      </c>
      <c r="BF249" s="20">
        <f t="shared" si="1284"/>
        <v>2300</v>
      </c>
      <c r="BG249" s="20">
        <f t="shared" si="1284"/>
        <v>6827</v>
      </c>
      <c r="BH249" s="20">
        <f t="shared" si="1284"/>
        <v>7275.71</v>
      </c>
      <c r="BI249" s="20">
        <f t="shared" si="1284"/>
        <v>6986</v>
      </c>
      <c r="BJ249" s="20">
        <f t="shared" si="1284"/>
        <v>12485</v>
      </c>
      <c r="BK249" s="20">
        <f t="shared" si="1284"/>
        <v>917</v>
      </c>
      <c r="BL249" s="20">
        <f t="shared" si="1284"/>
        <v>6948</v>
      </c>
      <c r="BM249" s="20">
        <f t="shared" si="1284"/>
        <v>4387.04</v>
      </c>
      <c r="BN249" s="20">
        <f t="shared" si="1284"/>
        <v>6317.9045999999998</v>
      </c>
      <c r="BO249" s="20">
        <f t="shared" si="1284"/>
        <v>420</v>
      </c>
      <c r="BP249" s="20">
        <f t="shared" si="1284"/>
        <v>10352.887199999999</v>
      </c>
      <c r="BQ249" s="20">
        <f t="shared" si="1284"/>
        <v>4120.0046000000002</v>
      </c>
      <c r="BR249" s="20">
        <f t="shared" si="1284"/>
        <v>0</v>
      </c>
      <c r="BS249" s="20">
        <f t="shared" si="1284"/>
        <v>8366.7271999999994</v>
      </c>
      <c r="BT249" s="20">
        <f t="shared" si="1284"/>
        <v>0</v>
      </c>
      <c r="BU249" s="20">
        <f t="shared" si="1284"/>
        <v>1050</v>
      </c>
      <c r="BV249" s="20">
        <f t="shared" si="1284"/>
        <v>12124.73</v>
      </c>
      <c r="BW249" s="20">
        <f t="shared" si="1284"/>
        <v>1790</v>
      </c>
      <c r="BX249" s="20">
        <f t="shared" si="1284"/>
        <v>2546</v>
      </c>
      <c r="BY249" s="20">
        <f t="shared" si="1284"/>
        <v>900</v>
      </c>
      <c r="BZ249" s="20">
        <f t="shared" si="1284"/>
        <v>1902</v>
      </c>
      <c r="CA249" s="20">
        <f t="shared" si="1284"/>
        <v>3059.4236000000001</v>
      </c>
      <c r="CB249" s="20">
        <f t="shared" si="1284"/>
        <v>6923.3919999999998</v>
      </c>
      <c r="CC249" s="20">
        <f t="shared" si="1284"/>
        <v>1535.7660000000001</v>
      </c>
      <c r="CD249" s="20">
        <f t="shared" si="1284"/>
        <v>5258.7580000000007</v>
      </c>
      <c r="CE249" s="20">
        <f t="shared" ref="CE249:DJ249" si="1285">CE$247*CE225</f>
        <v>12995.9084</v>
      </c>
      <c r="CF249" s="20">
        <f t="shared" si="1285"/>
        <v>803.84615384000006</v>
      </c>
      <c r="CG249" s="20">
        <f t="shared" si="1285"/>
        <v>3562.6582197799999</v>
      </c>
      <c r="CH249" s="20">
        <f t="shared" si="1285"/>
        <v>5775.9362000000001</v>
      </c>
      <c r="CI249" s="20">
        <f t="shared" si="1285"/>
        <v>6345</v>
      </c>
      <c r="CJ249" s="20">
        <f t="shared" si="1285"/>
        <v>1260</v>
      </c>
      <c r="CK249" s="20">
        <f t="shared" si="1285"/>
        <v>32715.986999999997</v>
      </c>
      <c r="CL249" s="20">
        <f t="shared" si="1285"/>
        <v>4737.5999999999995</v>
      </c>
      <c r="CM249" s="20">
        <f t="shared" si="1285"/>
        <v>5218.3748999999998</v>
      </c>
      <c r="CN249" s="20">
        <f t="shared" si="1285"/>
        <v>28002.353999999999</v>
      </c>
      <c r="CO249" s="20">
        <f t="shared" si="1285"/>
        <v>6247.8461249999991</v>
      </c>
      <c r="CP249" s="20">
        <f t="shared" si="1285"/>
        <v>14578.307624999996</v>
      </c>
      <c r="CQ249" s="20">
        <f t="shared" si="1285"/>
        <v>20826.153749999994</v>
      </c>
      <c r="CR249" s="20">
        <f t="shared" si="1285"/>
        <v>5370.3414999999986</v>
      </c>
      <c r="CS249" s="20">
        <f t="shared" si="1285"/>
        <v>21481.365999999995</v>
      </c>
      <c r="CT249" s="20">
        <f t="shared" si="1285"/>
        <v>26851.70749999999</v>
      </c>
      <c r="CU249" s="20">
        <f t="shared" si="1285"/>
        <v>7130.5021039448393</v>
      </c>
      <c r="CV249" s="20">
        <f t="shared" si="1285"/>
        <v>15671.327238560085</v>
      </c>
      <c r="CW249" s="20">
        <f t="shared" si="1285"/>
        <v>31139.453487057584</v>
      </c>
      <c r="CX249" s="20">
        <f t="shared" si="1285"/>
        <v>12450.786113609438</v>
      </c>
      <c r="CY249" s="20">
        <f t="shared" si="1285"/>
        <v>24420.546753785315</v>
      </c>
      <c r="CZ249" s="20">
        <f t="shared" si="1285"/>
        <v>34897.860059813735</v>
      </c>
      <c r="DA249" s="20">
        <f t="shared" si="1285"/>
        <v>11955.638740028975</v>
      </c>
      <c r="DB249" s="20">
        <f t="shared" si="1285"/>
        <v>21318.087957803687</v>
      </c>
      <c r="DC249" s="20">
        <f t="shared" si="1285"/>
        <v>37482.269233024635</v>
      </c>
      <c r="DD249" s="20">
        <f t="shared" si="1285"/>
        <v>16094.950800379442</v>
      </c>
      <c r="DE249" s="20">
        <f t="shared" si="1285"/>
        <v>42932.137362926929</v>
      </c>
      <c r="DF249" s="20">
        <f t="shared" si="1285"/>
        <v>49303.993572429841</v>
      </c>
      <c r="DG249" s="20">
        <f t="shared" si="1285"/>
        <v>31243.286799008605</v>
      </c>
      <c r="DH249" s="20">
        <f t="shared" si="1285"/>
        <v>65992.429163945082</v>
      </c>
      <c r="DI249" s="20">
        <f t="shared" si="1285"/>
        <v>128925.94116729843</v>
      </c>
      <c r="DJ249" s="20">
        <f t="shared" si="1285"/>
        <v>55617.571608806727</v>
      </c>
      <c r="DK249" s="20">
        <f t="shared" ref="DK249:EP249" si="1286">DK$247*DK225</f>
        <v>104317.65737381316</v>
      </c>
      <c r="DL249" s="20">
        <f t="shared" si="1286"/>
        <v>146945.58218609486</v>
      </c>
      <c r="DM249" s="20">
        <f t="shared" si="1286"/>
        <v>48642.629499255301</v>
      </c>
      <c r="DN249" s="20">
        <f t="shared" si="1286"/>
        <v>86734.625954536648</v>
      </c>
      <c r="DO249" s="20">
        <f t="shared" si="1286"/>
        <v>152500.10264938255</v>
      </c>
      <c r="DP249" s="20">
        <f t="shared" si="1286"/>
        <v>58291.242137506073</v>
      </c>
      <c r="DQ249" s="20">
        <f t="shared" si="1286"/>
        <v>167480.83469299565</v>
      </c>
      <c r="DR249" s="20">
        <f t="shared" si="1286"/>
        <v>193405.32501601352</v>
      </c>
      <c r="DS249" s="20">
        <f t="shared" si="1286"/>
        <v>44041.015401658588</v>
      </c>
      <c r="DT249" s="20">
        <f t="shared" si="1286"/>
        <v>93023.938483142934</v>
      </c>
      <c r="DU249" s="20">
        <f t="shared" si="1286"/>
        <v>181735.98050517816</v>
      </c>
      <c r="DV249" s="20">
        <f t="shared" si="1286"/>
        <v>78399.380435992774</v>
      </c>
      <c r="DW249" s="20">
        <f t="shared" si="1286"/>
        <v>147047.76692095117</v>
      </c>
      <c r="DX249" s="20">
        <f t="shared" si="1286"/>
        <v>207136.7423631257</v>
      </c>
      <c r="DY249" s="20">
        <f t="shared" si="1286"/>
        <v>68567.395253109295</v>
      </c>
      <c r="DZ249" s="20">
        <f t="shared" si="1286"/>
        <v>122262.45663891081</v>
      </c>
      <c r="EA249" s="20">
        <f t="shared" si="1286"/>
        <v>214966.47944700517</v>
      </c>
      <c r="EB249" s="20">
        <f t="shared" si="1286"/>
        <v>82168.227346719985</v>
      </c>
      <c r="EC249" s="20">
        <f t="shared" si="1286"/>
        <v>236083.54868831878</v>
      </c>
      <c r="ED249" s="20">
        <f t="shared" si="1286"/>
        <v>272627.10714748857</v>
      </c>
      <c r="EE249" s="20">
        <f t="shared" si="1286"/>
        <v>63875.053569263582</v>
      </c>
      <c r="EF249" s="20">
        <f t="shared" si="1286"/>
        <v>134917.62166797961</v>
      </c>
      <c r="EG249" s="20">
        <f t="shared" si="1286"/>
        <v>263581.46796483092</v>
      </c>
      <c r="EH249" s="20">
        <f t="shared" si="1286"/>
        <v>113706.83848850407</v>
      </c>
      <c r="EI249" s="20">
        <f t="shared" si="1286"/>
        <v>213271.28595138187</v>
      </c>
      <c r="EJ249" s="20">
        <f t="shared" si="1286"/>
        <v>300421.55917479435</v>
      </c>
      <c r="EK249" s="20">
        <f t="shared" si="1286"/>
        <v>99446.981522871167</v>
      </c>
      <c r="EL249" s="20">
        <f t="shared" si="1286"/>
        <v>177323.81726662206</v>
      </c>
      <c r="EM249" s="20">
        <f t="shared" si="1286"/>
        <v>311777.44802306138</v>
      </c>
      <c r="EN249" s="20">
        <f t="shared" si="1286"/>
        <v>119172.99988649921</v>
      </c>
      <c r="EO249" s="20">
        <f t="shared" si="1286"/>
        <v>342404.66941459989</v>
      </c>
      <c r="EP249" s="20">
        <f t="shared" si="1286"/>
        <v>395405.75789774774</v>
      </c>
      <c r="EQ249" s="20">
        <f t="shared" ref="EQ249:FB249" si="1287">EQ$247*EQ225</f>
        <v>115775.62605062813</v>
      </c>
      <c r="ER249" s="20">
        <f t="shared" si="1287"/>
        <v>244542.60687130754</v>
      </c>
      <c r="ES249" s="20">
        <f t="shared" si="1287"/>
        <v>477750.04111552268</v>
      </c>
      <c r="ET249" s="20">
        <f t="shared" si="1287"/>
        <v>206097.36785534243</v>
      </c>
      <c r="EU249" s="20">
        <f t="shared" si="1287"/>
        <v>386561.18891343329</v>
      </c>
      <c r="EV249" s="20">
        <f t="shared" si="1287"/>
        <v>544523.91268606868</v>
      </c>
      <c r="EW249" s="20">
        <f t="shared" si="1287"/>
        <v>180250.91019564992</v>
      </c>
      <c r="EX249" s="20">
        <f t="shared" si="1287"/>
        <v>321405.22489689471</v>
      </c>
      <c r="EY249" s="20">
        <f t="shared" si="1287"/>
        <v>565106.83304861397</v>
      </c>
      <c r="EZ249" s="20">
        <f t="shared" si="1287"/>
        <v>216004.96436734265</v>
      </c>
      <c r="FA249" s="20">
        <f t="shared" si="1287"/>
        <v>620619.67464571004</v>
      </c>
      <c r="FB249" s="20">
        <f t="shared" si="1287"/>
        <v>716685.88293228787</v>
      </c>
    </row>
    <row r="250" spans="3:158" x14ac:dyDescent="0.25">
      <c r="C250" s="2" t="s">
        <v>299</v>
      </c>
      <c r="D250" s="244">
        <f t="shared" si="1239"/>
        <v>30573.855</v>
      </c>
      <c r="E250" s="244">
        <f t="shared" si="1239"/>
        <v>27502.146800000002</v>
      </c>
      <c r="F250" s="244">
        <f t="shared" si="1239"/>
        <v>23526.844286810003</v>
      </c>
      <c r="G250" s="244">
        <f t="shared" si="1239"/>
        <v>260452.55759999994</v>
      </c>
      <c r="H250" s="244">
        <f t="shared" si="1239"/>
        <v>609595.10684672906</v>
      </c>
      <c r="I250" s="244">
        <f t="shared" si="1239"/>
        <v>2976233.3477967754</v>
      </c>
      <c r="J250" s="244">
        <f t="shared" si="1239"/>
        <v>6992240.1545264069</v>
      </c>
      <c r="K250" s="244">
        <f t="shared" si="1239"/>
        <v>12169466.40397515</v>
      </c>
      <c r="L250" s="244">
        <f t="shared" si="1239"/>
        <v>8743664.7739342991</v>
      </c>
      <c r="N250" s="244">
        <f t="shared" si="1240"/>
        <v>3640.8333000000002</v>
      </c>
      <c r="O250" s="244">
        <f t="shared" si="1241"/>
        <v>7916.1666999999998</v>
      </c>
      <c r="P250" s="244">
        <f t="shared" si="1242"/>
        <v>5643.5</v>
      </c>
      <c r="Q250" s="244">
        <f t="shared" si="1243"/>
        <v>13373.355</v>
      </c>
      <c r="R250" s="244">
        <f t="shared" si="1244"/>
        <v>6126.02</v>
      </c>
      <c r="S250" s="244">
        <f t="shared" si="1245"/>
        <v>8545.3958999999995</v>
      </c>
      <c r="T250" s="244">
        <f t="shared" si="1246"/>
        <v>6243.3658999999998</v>
      </c>
      <c r="U250" s="244">
        <f t="shared" si="1247"/>
        <v>6587.3649999999998</v>
      </c>
      <c r="V250" s="244">
        <f t="shared" si="1248"/>
        <v>2618</v>
      </c>
      <c r="W250" s="244">
        <f t="shared" si="1249"/>
        <v>5942.4078</v>
      </c>
      <c r="X250" s="244">
        <f t="shared" si="1250"/>
        <v>9895.2162000000008</v>
      </c>
      <c r="Y250" s="244">
        <f t="shared" si="1251"/>
        <v>5071.2202868099994</v>
      </c>
      <c r="Z250" s="244">
        <f t="shared" si="1252"/>
        <v>60481.480499999991</v>
      </c>
      <c r="AA250" s="244">
        <f t="shared" si="1253"/>
        <v>56937.493350000004</v>
      </c>
      <c r="AB250" s="244">
        <f t="shared" si="1254"/>
        <v>62478.461249999986</v>
      </c>
      <c r="AC250" s="244">
        <f t="shared" si="1255"/>
        <v>80555.122499999969</v>
      </c>
      <c r="AD250" s="244">
        <f t="shared" si="1256"/>
        <v>107882.56565912502</v>
      </c>
      <c r="AE250" s="244">
        <f t="shared" si="1257"/>
        <v>143538.38585441699</v>
      </c>
      <c r="AF250" s="244">
        <f t="shared" si="1258"/>
        <v>141511.9918617146</v>
      </c>
      <c r="AG250" s="244">
        <f t="shared" si="1259"/>
        <v>216662.16347147242</v>
      </c>
      <c r="AH250" s="244">
        <f t="shared" si="1260"/>
        <v>542787.977112605</v>
      </c>
      <c r="AI250" s="244">
        <f t="shared" si="1261"/>
        <v>736513.94680491532</v>
      </c>
      <c r="AJ250" s="244">
        <f t="shared" si="1262"/>
        <v>690905.65944761876</v>
      </c>
      <c r="AK250" s="244">
        <f t="shared" si="1263"/>
        <v>1006025.7644316365</v>
      </c>
      <c r="AL250" s="244">
        <f t="shared" si="1264"/>
        <v>1275203.7375599188</v>
      </c>
      <c r="AM250" s="244">
        <f t="shared" si="1265"/>
        <v>1730335.5588802784</v>
      </c>
      <c r="AN250" s="244">
        <f t="shared" si="1266"/>
        <v>1623185.3253561012</v>
      </c>
      <c r="AO250" s="244">
        <f t="shared" si="1267"/>
        <v>2363515.5327301091</v>
      </c>
      <c r="AP250" s="244">
        <f t="shared" si="1268"/>
        <v>2219395.8873699559</v>
      </c>
      <c r="AQ250" s="244">
        <f t="shared" si="1269"/>
        <v>3011518.4813504652</v>
      </c>
      <c r="AR250" s="244">
        <f t="shared" si="1270"/>
        <v>2825031.5847002622</v>
      </c>
      <c r="AS250" s="244">
        <f t="shared" si="1271"/>
        <v>4113520.4505544649</v>
      </c>
      <c r="AT250" s="244">
        <f t="shared" si="1272"/>
        <v>1594618.2844526768</v>
      </c>
      <c r="AU250" s="244">
        <f t="shared" si="1273"/>
        <v>2163752.0649907002</v>
      </c>
      <c r="AV250" s="244">
        <f t="shared" si="1274"/>
        <v>2029762.7136985124</v>
      </c>
      <c r="AW250" s="244">
        <f t="shared" si="1275"/>
        <v>2955531.7107924093</v>
      </c>
      <c r="AY250" s="20">
        <f t="shared" ref="AY250:CD250" si="1288">AY$247*AY226</f>
        <v>150</v>
      </c>
      <c r="AZ250" s="20">
        <f t="shared" si="1288"/>
        <v>1383.3333</v>
      </c>
      <c r="BA250" s="20">
        <f t="shared" si="1288"/>
        <v>2107.5</v>
      </c>
      <c r="BB250" s="20">
        <f t="shared" si="1288"/>
        <v>1987</v>
      </c>
      <c r="BC250" s="20">
        <f t="shared" si="1288"/>
        <v>3759.1666999999998</v>
      </c>
      <c r="BD250" s="20">
        <f t="shared" si="1288"/>
        <v>2170</v>
      </c>
      <c r="BE250" s="20">
        <f t="shared" si="1288"/>
        <v>1080</v>
      </c>
      <c r="BF250" s="20">
        <f t="shared" si="1288"/>
        <v>1150</v>
      </c>
      <c r="BG250" s="20">
        <f t="shared" si="1288"/>
        <v>3413.5</v>
      </c>
      <c r="BH250" s="20">
        <f t="shared" si="1288"/>
        <v>3637.855</v>
      </c>
      <c r="BI250" s="20">
        <f t="shared" si="1288"/>
        <v>3493</v>
      </c>
      <c r="BJ250" s="20">
        <f t="shared" si="1288"/>
        <v>6242.5</v>
      </c>
      <c r="BK250" s="20">
        <f t="shared" si="1288"/>
        <v>458.5</v>
      </c>
      <c r="BL250" s="20">
        <f t="shared" si="1288"/>
        <v>3474</v>
      </c>
      <c r="BM250" s="20">
        <f t="shared" si="1288"/>
        <v>2193.52</v>
      </c>
      <c r="BN250" s="20">
        <f t="shared" si="1288"/>
        <v>3158.9522999999999</v>
      </c>
      <c r="BO250" s="20">
        <f t="shared" si="1288"/>
        <v>210</v>
      </c>
      <c r="BP250" s="20">
        <f t="shared" si="1288"/>
        <v>5176.4435999999996</v>
      </c>
      <c r="BQ250" s="20">
        <f t="shared" si="1288"/>
        <v>2060.0023000000001</v>
      </c>
      <c r="BR250" s="20">
        <f t="shared" si="1288"/>
        <v>0</v>
      </c>
      <c r="BS250" s="20">
        <f t="shared" si="1288"/>
        <v>4183.3635999999997</v>
      </c>
      <c r="BT250" s="20">
        <f t="shared" si="1288"/>
        <v>0</v>
      </c>
      <c r="BU250" s="20">
        <f t="shared" si="1288"/>
        <v>525</v>
      </c>
      <c r="BV250" s="20">
        <f t="shared" si="1288"/>
        <v>6062.3649999999998</v>
      </c>
      <c r="BW250" s="20">
        <f t="shared" si="1288"/>
        <v>895</v>
      </c>
      <c r="BX250" s="20">
        <f t="shared" si="1288"/>
        <v>1273</v>
      </c>
      <c r="BY250" s="20">
        <f t="shared" si="1288"/>
        <v>450</v>
      </c>
      <c r="BZ250" s="20">
        <f t="shared" si="1288"/>
        <v>951</v>
      </c>
      <c r="CA250" s="20">
        <f t="shared" si="1288"/>
        <v>1529.7118</v>
      </c>
      <c r="CB250" s="20">
        <f t="shared" si="1288"/>
        <v>3461.6959999999999</v>
      </c>
      <c r="CC250" s="20">
        <f t="shared" si="1288"/>
        <v>767.88300000000004</v>
      </c>
      <c r="CD250" s="20">
        <f t="shared" si="1288"/>
        <v>2629.3790000000004</v>
      </c>
      <c r="CE250" s="20">
        <f t="shared" ref="CE250:DJ250" si="1289">CE$247*CE226</f>
        <v>6497.9542000000001</v>
      </c>
      <c r="CF250" s="20">
        <f t="shared" si="1289"/>
        <v>401.92307692000003</v>
      </c>
      <c r="CG250" s="20">
        <f t="shared" si="1289"/>
        <v>1781.3291098899999</v>
      </c>
      <c r="CH250" s="20">
        <f t="shared" si="1289"/>
        <v>2887.9681</v>
      </c>
      <c r="CI250" s="20">
        <f t="shared" si="1289"/>
        <v>9517.5</v>
      </c>
      <c r="CJ250" s="20">
        <f t="shared" si="1289"/>
        <v>1890</v>
      </c>
      <c r="CK250" s="20">
        <f t="shared" si="1289"/>
        <v>49073.980499999991</v>
      </c>
      <c r="CL250" s="20">
        <f t="shared" si="1289"/>
        <v>7106.4</v>
      </c>
      <c r="CM250" s="20">
        <f t="shared" si="1289"/>
        <v>7827.5623499999992</v>
      </c>
      <c r="CN250" s="20">
        <f t="shared" si="1289"/>
        <v>42003.531000000003</v>
      </c>
      <c r="CO250" s="20">
        <f t="shared" si="1289"/>
        <v>9371.7691874999982</v>
      </c>
      <c r="CP250" s="20">
        <f t="shared" si="1289"/>
        <v>21867.461437499995</v>
      </c>
      <c r="CQ250" s="20">
        <f t="shared" si="1289"/>
        <v>31239.230624999993</v>
      </c>
      <c r="CR250" s="20">
        <f t="shared" si="1289"/>
        <v>8055.5122499999979</v>
      </c>
      <c r="CS250" s="20">
        <f t="shared" si="1289"/>
        <v>32222.048999999992</v>
      </c>
      <c r="CT250" s="20">
        <f t="shared" si="1289"/>
        <v>40277.561249999984</v>
      </c>
      <c r="CU250" s="20">
        <f t="shared" si="1289"/>
        <v>14261.004207889679</v>
      </c>
      <c r="CV250" s="20">
        <f t="shared" si="1289"/>
        <v>31342.65447712017</v>
      </c>
      <c r="CW250" s="20">
        <f t="shared" si="1289"/>
        <v>62278.906974115169</v>
      </c>
      <c r="CX250" s="20">
        <f t="shared" si="1289"/>
        <v>24901.572227218876</v>
      </c>
      <c r="CY250" s="20">
        <f t="shared" si="1289"/>
        <v>48841.093507570629</v>
      </c>
      <c r="CZ250" s="20">
        <f t="shared" si="1289"/>
        <v>69795.720119627469</v>
      </c>
      <c r="DA250" s="20">
        <f t="shared" si="1289"/>
        <v>23911.27748005795</v>
      </c>
      <c r="DB250" s="20">
        <f t="shared" si="1289"/>
        <v>42636.175915607375</v>
      </c>
      <c r="DC250" s="20">
        <f t="shared" si="1289"/>
        <v>74964.538466049271</v>
      </c>
      <c r="DD250" s="20">
        <f t="shared" si="1289"/>
        <v>32189.901600758883</v>
      </c>
      <c r="DE250" s="20">
        <f t="shared" si="1289"/>
        <v>85864.274725853858</v>
      </c>
      <c r="DF250" s="20">
        <f t="shared" si="1289"/>
        <v>98607.987144859682</v>
      </c>
      <c r="DG250" s="20">
        <f t="shared" si="1289"/>
        <v>74983.888317620644</v>
      </c>
      <c r="DH250" s="20">
        <f t="shared" si="1289"/>
        <v>158381.82999346819</v>
      </c>
      <c r="DI250" s="20">
        <f t="shared" si="1289"/>
        <v>309422.2588015162</v>
      </c>
      <c r="DJ250" s="20">
        <f t="shared" si="1289"/>
        <v>133482.17186113613</v>
      </c>
      <c r="DK250" s="20">
        <f t="shared" ref="DK250:EP250" si="1290">DK$247*DK226</f>
        <v>250362.37769715156</v>
      </c>
      <c r="DL250" s="20">
        <f t="shared" si="1290"/>
        <v>352669.39724662766</v>
      </c>
      <c r="DM250" s="20">
        <f t="shared" si="1290"/>
        <v>116742.31079821273</v>
      </c>
      <c r="DN250" s="20">
        <f t="shared" si="1290"/>
        <v>208163.10229088794</v>
      </c>
      <c r="DO250" s="20">
        <f t="shared" si="1290"/>
        <v>366000.24635851808</v>
      </c>
      <c r="DP250" s="20">
        <f t="shared" si="1290"/>
        <v>139898.98113001458</v>
      </c>
      <c r="DQ250" s="20">
        <f t="shared" si="1290"/>
        <v>401954.00326318952</v>
      </c>
      <c r="DR250" s="20">
        <f t="shared" si="1290"/>
        <v>464172.78003843245</v>
      </c>
      <c r="DS250" s="20">
        <f t="shared" si="1290"/>
        <v>176164.06160663435</v>
      </c>
      <c r="DT250" s="20">
        <f t="shared" si="1290"/>
        <v>372095.75393257174</v>
      </c>
      <c r="DU250" s="20">
        <f t="shared" si="1290"/>
        <v>726943.92202071263</v>
      </c>
      <c r="DV250" s="20">
        <f t="shared" si="1290"/>
        <v>313597.5217439711</v>
      </c>
      <c r="DW250" s="20">
        <f t="shared" si="1290"/>
        <v>588191.06768380466</v>
      </c>
      <c r="DX250" s="20">
        <f t="shared" si="1290"/>
        <v>828546.96945250279</v>
      </c>
      <c r="DY250" s="20">
        <f t="shared" si="1290"/>
        <v>274269.58101243718</v>
      </c>
      <c r="DZ250" s="20">
        <f t="shared" si="1290"/>
        <v>489049.82655564323</v>
      </c>
      <c r="EA250" s="20">
        <f t="shared" si="1290"/>
        <v>859865.91778802068</v>
      </c>
      <c r="EB250" s="20">
        <f t="shared" si="1290"/>
        <v>328672.90938687994</v>
      </c>
      <c r="EC250" s="20">
        <f t="shared" si="1290"/>
        <v>944334.19475327514</v>
      </c>
      <c r="ED250" s="20">
        <f t="shared" si="1290"/>
        <v>1090508.4285899543</v>
      </c>
      <c r="EE250" s="20">
        <f t="shared" si="1290"/>
        <v>306600.25713246519</v>
      </c>
      <c r="EF250" s="20">
        <f t="shared" si="1290"/>
        <v>647604.58400630206</v>
      </c>
      <c r="EG250" s="20">
        <f t="shared" si="1290"/>
        <v>1265191.0462311883</v>
      </c>
      <c r="EH250" s="20">
        <f t="shared" si="1290"/>
        <v>545792.82474481955</v>
      </c>
      <c r="EI250" s="20">
        <f t="shared" si="1290"/>
        <v>1023702.172566633</v>
      </c>
      <c r="EJ250" s="20">
        <f t="shared" si="1290"/>
        <v>1442023.4840390128</v>
      </c>
      <c r="EK250" s="20">
        <f t="shared" si="1290"/>
        <v>477345.51130978158</v>
      </c>
      <c r="EL250" s="20">
        <f t="shared" si="1290"/>
        <v>851154.3228797859</v>
      </c>
      <c r="EM250" s="20">
        <f t="shared" si="1290"/>
        <v>1496531.7505106947</v>
      </c>
      <c r="EN250" s="20">
        <f t="shared" si="1290"/>
        <v>572030.39945519622</v>
      </c>
      <c r="EO250" s="20">
        <f t="shared" si="1290"/>
        <v>1643542.4131900794</v>
      </c>
      <c r="EP250" s="20">
        <f t="shared" si="1290"/>
        <v>1897947.6379091891</v>
      </c>
      <c r="EQ250" s="20">
        <f t="shared" ref="EQ250:FB250" si="1291">EQ$247*EQ226</f>
        <v>220289.84500854113</v>
      </c>
      <c r="ER250" s="20">
        <f t="shared" si="1291"/>
        <v>465298.74035928544</v>
      </c>
      <c r="ES250" s="20">
        <f t="shared" si="1291"/>
        <v>909029.69908485026</v>
      </c>
      <c r="ET250" s="20">
        <f t="shared" si="1291"/>
        <v>392147.80148688599</v>
      </c>
      <c r="EU250" s="20">
        <f t="shared" si="1291"/>
        <v>735521.8649806265</v>
      </c>
      <c r="EV250" s="20">
        <f t="shared" si="1291"/>
        <v>1036082.3985231878</v>
      </c>
      <c r="EW250" s="20">
        <f t="shared" si="1291"/>
        <v>342968.95144651877</v>
      </c>
      <c r="EX250" s="20">
        <f t="shared" si="1291"/>
        <v>611547.60801302618</v>
      </c>
      <c r="EY250" s="20">
        <f t="shared" si="1291"/>
        <v>1075246.1542389675</v>
      </c>
      <c r="EZ250" s="20">
        <f t="shared" si="1291"/>
        <v>410999.29013339331</v>
      </c>
      <c r="FA250" s="20">
        <f t="shared" si="1291"/>
        <v>1180872.1455513386</v>
      </c>
      <c r="FB250" s="20">
        <f t="shared" si="1291"/>
        <v>1363660.2751076776</v>
      </c>
    </row>
    <row r="251" spans="3:158" x14ac:dyDescent="0.25">
      <c r="C251" s="2" t="s">
        <v>300</v>
      </c>
      <c r="D251" s="244">
        <f t="shared" si="1239"/>
        <v>61147.71</v>
      </c>
      <c r="E251" s="244">
        <f t="shared" si="1239"/>
        <v>55004.293600000005</v>
      </c>
      <c r="F251" s="244">
        <f t="shared" si="1239"/>
        <v>47053.688573620006</v>
      </c>
      <c r="G251" s="244">
        <f t="shared" si="1239"/>
        <v>316660.39896893169</v>
      </c>
      <c r="H251" s="244">
        <f t="shared" si="1239"/>
        <v>352756.57335366157</v>
      </c>
      <c r="I251" s="244">
        <f t="shared" si="1239"/>
        <v>516680.26800631493</v>
      </c>
      <c r="J251" s="244">
        <f t="shared" si="1239"/>
        <v>728320.41607483011</v>
      </c>
      <c r="K251" s="244">
        <f t="shared" si="1239"/>
        <v>1056322.2752265637</v>
      </c>
      <c r="L251" s="244">
        <f t="shared" si="1239"/>
        <v>1595515.592444422</v>
      </c>
      <c r="N251" s="244">
        <f t="shared" si="1240"/>
        <v>7281.6666000000005</v>
      </c>
      <c r="O251" s="244">
        <f t="shared" si="1241"/>
        <v>15832.3334</v>
      </c>
      <c r="P251" s="244">
        <f t="shared" si="1242"/>
        <v>11287</v>
      </c>
      <c r="Q251" s="244">
        <f t="shared" si="1243"/>
        <v>26746.71</v>
      </c>
      <c r="R251" s="244">
        <f t="shared" si="1244"/>
        <v>12252.04</v>
      </c>
      <c r="S251" s="244">
        <f t="shared" si="1245"/>
        <v>17090.791799999999</v>
      </c>
      <c r="T251" s="244">
        <f t="shared" si="1246"/>
        <v>12486.7318</v>
      </c>
      <c r="U251" s="244">
        <f t="shared" si="1247"/>
        <v>13174.73</v>
      </c>
      <c r="V251" s="244">
        <f t="shared" si="1248"/>
        <v>5236</v>
      </c>
      <c r="W251" s="244">
        <f t="shared" si="1249"/>
        <v>11884.8156</v>
      </c>
      <c r="X251" s="244">
        <f t="shared" si="1250"/>
        <v>19790.432400000002</v>
      </c>
      <c r="Y251" s="244">
        <f t="shared" si="1251"/>
        <v>10142.440573619999</v>
      </c>
      <c r="Z251" s="244">
        <f t="shared" si="1252"/>
        <v>73533.890094391856</v>
      </c>
      <c r="AA251" s="244">
        <f t="shared" si="1253"/>
        <v>69225.080861720431</v>
      </c>
      <c r="AB251" s="244">
        <f t="shared" si="1254"/>
        <v>75961.83600076093</v>
      </c>
      <c r="AC251" s="244">
        <f t="shared" si="1255"/>
        <v>97939.592012058507</v>
      </c>
      <c r="AD251" s="244">
        <f t="shared" si="1256"/>
        <v>62428.788812576327</v>
      </c>
      <c r="AE251" s="244">
        <f t="shared" si="1257"/>
        <v>83061.869378572286</v>
      </c>
      <c r="AF251" s="244">
        <f t="shared" si="1258"/>
        <v>81889.248743823875</v>
      </c>
      <c r="AG251" s="244">
        <f t="shared" si="1259"/>
        <v>125376.6664186891</v>
      </c>
      <c r="AH251" s="244">
        <f t="shared" si="1260"/>
        <v>94229.116037811415</v>
      </c>
      <c r="AI251" s="244">
        <f t="shared" si="1261"/>
        <v>127860.34526064881</v>
      </c>
      <c r="AJ251" s="244">
        <f t="shared" si="1262"/>
        <v>119942.65219652079</v>
      </c>
      <c r="AK251" s="244">
        <f t="shared" si="1263"/>
        <v>174648.15451133388</v>
      </c>
      <c r="AL251" s="244">
        <f t="shared" si="1264"/>
        <v>132826.80459975195</v>
      </c>
      <c r="AM251" s="244">
        <f t="shared" si="1265"/>
        <v>180233.9002010602</v>
      </c>
      <c r="AN251" s="244">
        <f t="shared" si="1266"/>
        <v>169072.99883923767</v>
      </c>
      <c r="AO251" s="244">
        <f t="shared" si="1267"/>
        <v>246186.71243478043</v>
      </c>
      <c r="AP251" s="244">
        <f t="shared" si="1268"/>
        <v>192645.85936235575</v>
      </c>
      <c r="AQ251" s="244">
        <f t="shared" si="1269"/>
        <v>261402.92010402802</v>
      </c>
      <c r="AR251" s="244">
        <f t="shared" si="1270"/>
        <v>245215.66452270385</v>
      </c>
      <c r="AS251" s="244">
        <f t="shared" si="1271"/>
        <v>357057.83123747585</v>
      </c>
      <c r="AT251" s="244">
        <f t="shared" si="1272"/>
        <v>290980.77323662251</v>
      </c>
      <c r="AU251" s="244">
        <f t="shared" si="1273"/>
        <v>394834.45982148312</v>
      </c>
      <c r="AV251" s="244">
        <f t="shared" si="1274"/>
        <v>370384.51752205915</v>
      </c>
      <c r="AW251" s="244">
        <f t="shared" si="1275"/>
        <v>539315.84186425735</v>
      </c>
      <c r="AY251" s="20">
        <f t="shared" ref="AY251:CD251" si="1292">AY$247*AY227</f>
        <v>300</v>
      </c>
      <c r="AZ251" s="20">
        <f t="shared" si="1292"/>
        <v>2766.6666</v>
      </c>
      <c r="BA251" s="20">
        <f t="shared" si="1292"/>
        <v>4215</v>
      </c>
      <c r="BB251" s="20">
        <f t="shared" si="1292"/>
        <v>3974</v>
      </c>
      <c r="BC251" s="20">
        <f t="shared" si="1292"/>
        <v>7518.3333999999995</v>
      </c>
      <c r="BD251" s="20">
        <f t="shared" si="1292"/>
        <v>4340</v>
      </c>
      <c r="BE251" s="20">
        <f t="shared" si="1292"/>
        <v>2160</v>
      </c>
      <c r="BF251" s="20">
        <f t="shared" si="1292"/>
        <v>2300</v>
      </c>
      <c r="BG251" s="20">
        <f t="shared" si="1292"/>
        <v>6827</v>
      </c>
      <c r="BH251" s="20">
        <f t="shared" si="1292"/>
        <v>7275.71</v>
      </c>
      <c r="BI251" s="20">
        <f t="shared" si="1292"/>
        <v>6986</v>
      </c>
      <c r="BJ251" s="20">
        <f t="shared" si="1292"/>
        <v>12485</v>
      </c>
      <c r="BK251" s="20">
        <f t="shared" si="1292"/>
        <v>917</v>
      </c>
      <c r="BL251" s="20">
        <f t="shared" si="1292"/>
        <v>6948</v>
      </c>
      <c r="BM251" s="20">
        <f t="shared" si="1292"/>
        <v>4387.04</v>
      </c>
      <c r="BN251" s="20">
        <f t="shared" si="1292"/>
        <v>6317.9045999999998</v>
      </c>
      <c r="BO251" s="20">
        <f t="shared" si="1292"/>
        <v>420</v>
      </c>
      <c r="BP251" s="20">
        <f t="shared" si="1292"/>
        <v>10352.887199999999</v>
      </c>
      <c r="BQ251" s="20">
        <f t="shared" si="1292"/>
        <v>4120.0046000000002</v>
      </c>
      <c r="BR251" s="20">
        <f t="shared" si="1292"/>
        <v>0</v>
      </c>
      <c r="BS251" s="20">
        <f t="shared" si="1292"/>
        <v>8366.7271999999994</v>
      </c>
      <c r="BT251" s="20">
        <f t="shared" si="1292"/>
        <v>0</v>
      </c>
      <c r="BU251" s="20">
        <f t="shared" si="1292"/>
        <v>1050</v>
      </c>
      <c r="BV251" s="20">
        <f t="shared" si="1292"/>
        <v>12124.73</v>
      </c>
      <c r="BW251" s="20">
        <f t="shared" si="1292"/>
        <v>1790</v>
      </c>
      <c r="BX251" s="20">
        <f t="shared" si="1292"/>
        <v>2546</v>
      </c>
      <c r="BY251" s="20">
        <f t="shared" si="1292"/>
        <v>900</v>
      </c>
      <c r="BZ251" s="20">
        <f t="shared" si="1292"/>
        <v>1902</v>
      </c>
      <c r="CA251" s="20">
        <f t="shared" si="1292"/>
        <v>3059.4236000000001</v>
      </c>
      <c r="CB251" s="20">
        <f t="shared" si="1292"/>
        <v>6923.3919999999998</v>
      </c>
      <c r="CC251" s="20">
        <f t="shared" si="1292"/>
        <v>1535.7660000000001</v>
      </c>
      <c r="CD251" s="20">
        <f t="shared" si="1292"/>
        <v>5258.7580000000007</v>
      </c>
      <c r="CE251" s="20">
        <f t="shared" ref="CE251:DJ251" si="1293">CE$247*CE227</f>
        <v>12995.9084</v>
      </c>
      <c r="CF251" s="20">
        <f t="shared" si="1293"/>
        <v>803.84615384000006</v>
      </c>
      <c r="CG251" s="20">
        <f t="shared" si="1293"/>
        <v>3562.6582197799999</v>
      </c>
      <c r="CH251" s="20">
        <f t="shared" si="1293"/>
        <v>5775.9362000000001</v>
      </c>
      <c r="CI251" s="20">
        <f t="shared" si="1293"/>
        <v>11571.45614141133</v>
      </c>
      <c r="CJ251" s="20">
        <f t="shared" si="1293"/>
        <v>2297.877815315725</v>
      </c>
      <c r="CK251" s="20">
        <f t="shared" si="1293"/>
        <v>59664.556137664804</v>
      </c>
      <c r="CL251" s="20">
        <f t="shared" si="1293"/>
        <v>8640.0205855871263</v>
      </c>
      <c r="CM251" s="20">
        <f t="shared" si="1293"/>
        <v>9516.8158053257248</v>
      </c>
      <c r="CN251" s="20">
        <f t="shared" si="1293"/>
        <v>51068.244470807585</v>
      </c>
      <c r="CO251" s="20">
        <f t="shared" si="1293"/>
        <v>11394.27540011414</v>
      </c>
      <c r="CP251" s="20">
        <f t="shared" si="1293"/>
        <v>26586.642600266325</v>
      </c>
      <c r="CQ251" s="20">
        <f t="shared" si="1293"/>
        <v>37980.918000380465</v>
      </c>
      <c r="CR251" s="20">
        <f t="shared" si="1293"/>
        <v>9793.9592012058511</v>
      </c>
      <c r="CS251" s="20">
        <f t="shared" si="1293"/>
        <v>39175.836804823404</v>
      </c>
      <c r="CT251" s="20">
        <f t="shared" si="1293"/>
        <v>48969.796006029246</v>
      </c>
      <c r="CU251" s="20">
        <f t="shared" si="1293"/>
        <v>8252.4661376951881</v>
      </c>
      <c r="CV251" s="20">
        <f t="shared" si="1293"/>
        <v>18137.16558577399</v>
      </c>
      <c r="CW251" s="20">
        <f t="shared" si="1293"/>
        <v>36039.157089107146</v>
      </c>
      <c r="CX251" s="20">
        <f t="shared" si="1293"/>
        <v>14409.881561272199</v>
      </c>
      <c r="CY251" s="20">
        <f t="shared" si="1293"/>
        <v>28263.04967193296</v>
      </c>
      <c r="CZ251" s="20">
        <f t="shared" si="1293"/>
        <v>40388.938145367123</v>
      </c>
      <c r="DA251" s="20">
        <f t="shared" si="1293"/>
        <v>13836.824170070975</v>
      </c>
      <c r="DB251" s="20">
        <f t="shared" si="1293"/>
        <v>24672.427891838608</v>
      </c>
      <c r="DC251" s="20">
        <f t="shared" si="1293"/>
        <v>43379.996681914294</v>
      </c>
      <c r="DD251" s="20">
        <f t="shared" si="1293"/>
        <v>18627.445098784719</v>
      </c>
      <c r="DE251" s="20">
        <f t="shared" si="1293"/>
        <v>49687.385915000879</v>
      </c>
      <c r="DF251" s="20">
        <f t="shared" si="1293"/>
        <v>57061.835404903497</v>
      </c>
      <c r="DG251" s="20">
        <f t="shared" si="1293"/>
        <v>13017.358178848437</v>
      </c>
      <c r="DH251" s="20">
        <f t="shared" si="1293"/>
        <v>27495.413432194189</v>
      </c>
      <c r="DI251" s="20">
        <f t="shared" si="1293"/>
        <v>53716.344426768781</v>
      </c>
      <c r="DJ251" s="20">
        <f t="shared" si="1293"/>
        <v>23172.78125464579</v>
      </c>
      <c r="DK251" s="20">
        <f t="shared" ref="DK251:EP251" si="1294">DK$247*DK227</f>
        <v>43463.426852273595</v>
      </c>
      <c r="DL251" s="20">
        <f t="shared" si="1294"/>
        <v>61224.13715372944</v>
      </c>
      <c r="DM251" s="20">
        <f t="shared" si="1294"/>
        <v>20266.706733713996</v>
      </c>
      <c r="DN251" s="20">
        <f t="shared" si="1294"/>
        <v>36137.545317238328</v>
      </c>
      <c r="DO251" s="20">
        <f t="shared" si="1294"/>
        <v>63538.400145568477</v>
      </c>
      <c r="DP251" s="20">
        <f t="shared" si="1294"/>
        <v>24286.752622261789</v>
      </c>
      <c r="DQ251" s="20">
        <f t="shared" si="1294"/>
        <v>69780.046744646897</v>
      </c>
      <c r="DR251" s="20">
        <f t="shared" si="1294"/>
        <v>80581.355144425193</v>
      </c>
      <c r="DS251" s="20">
        <f t="shared" si="1294"/>
        <v>18349.467382598235</v>
      </c>
      <c r="DT251" s="20">
        <f t="shared" si="1294"/>
        <v>38757.955724448904</v>
      </c>
      <c r="DU251" s="20">
        <f t="shared" si="1294"/>
        <v>75719.381492704822</v>
      </c>
      <c r="DV251" s="20">
        <f t="shared" si="1294"/>
        <v>32664.707228162188</v>
      </c>
      <c r="DW251" s="20">
        <f t="shared" si="1294"/>
        <v>61266.711909151054</v>
      </c>
      <c r="DX251" s="20">
        <f t="shared" si="1294"/>
        <v>86302.481063746964</v>
      </c>
      <c r="DY251" s="20">
        <f t="shared" si="1294"/>
        <v>28568.260091915752</v>
      </c>
      <c r="DZ251" s="20">
        <f t="shared" si="1294"/>
        <v>50940.037139278502</v>
      </c>
      <c r="EA251" s="20">
        <f t="shared" si="1294"/>
        <v>89564.701608043397</v>
      </c>
      <c r="EB251" s="20">
        <f t="shared" si="1294"/>
        <v>34234.978322679024</v>
      </c>
      <c r="EC251" s="20">
        <f t="shared" si="1294"/>
        <v>98363.022212725919</v>
      </c>
      <c r="ED251" s="20">
        <f t="shared" si="1294"/>
        <v>113588.71189937548</v>
      </c>
      <c r="EE251" s="20">
        <f t="shared" si="1294"/>
        <v>26613.219548674999</v>
      </c>
      <c r="EF251" s="20">
        <f t="shared" si="1294"/>
        <v>56212.747947702563</v>
      </c>
      <c r="EG251" s="20">
        <f t="shared" si="1294"/>
        <v>109819.89186597819</v>
      </c>
      <c r="EH251" s="20">
        <f t="shared" si="1294"/>
        <v>47375.381902402616</v>
      </c>
      <c r="EI251" s="20">
        <f t="shared" si="1294"/>
        <v>88858.407771004378</v>
      </c>
      <c r="EJ251" s="20">
        <f t="shared" si="1294"/>
        <v>125169.13043062105</v>
      </c>
      <c r="EK251" s="20">
        <f t="shared" si="1294"/>
        <v>41434.084275973612</v>
      </c>
      <c r="EL251" s="20">
        <f t="shared" si="1294"/>
        <v>73881.075888390013</v>
      </c>
      <c r="EM251" s="20">
        <f t="shared" si="1294"/>
        <v>129900.50435834024</v>
      </c>
      <c r="EN251" s="20">
        <f t="shared" si="1294"/>
        <v>49652.830534451001</v>
      </c>
      <c r="EO251" s="20">
        <f t="shared" si="1294"/>
        <v>142661.18198618817</v>
      </c>
      <c r="EP251" s="20">
        <f t="shared" si="1294"/>
        <v>164743.81871683671</v>
      </c>
      <c r="EQ251" s="20">
        <f t="shared" ref="EQ251:FB251" si="1295">EQ$247*EQ227</f>
        <v>40197.776522274231</v>
      </c>
      <c r="ER251" s="20">
        <f t="shared" si="1295"/>
        <v>84906.205187683809</v>
      </c>
      <c r="ES251" s="20">
        <f t="shared" si="1295"/>
        <v>165876.79152666448</v>
      </c>
      <c r="ET251" s="20">
        <f t="shared" si="1295"/>
        <v>71557.85908905523</v>
      </c>
      <c r="EU251" s="20">
        <f t="shared" si="1295"/>
        <v>134215.64464122817</v>
      </c>
      <c r="EV251" s="20">
        <f t="shared" si="1295"/>
        <v>189060.95609119968</v>
      </c>
      <c r="EW251" s="20">
        <f t="shared" si="1295"/>
        <v>62583.862019564935</v>
      </c>
      <c r="EX251" s="20">
        <f t="shared" si="1295"/>
        <v>111593.2242754352</v>
      </c>
      <c r="EY251" s="20">
        <f t="shared" si="1295"/>
        <v>196207.43122705902</v>
      </c>
      <c r="EZ251" s="20">
        <f t="shared" si="1295"/>
        <v>74997.817602327195</v>
      </c>
      <c r="FA251" s="20">
        <f t="shared" si="1295"/>
        <v>215481.71957908792</v>
      </c>
      <c r="FB251" s="20">
        <f t="shared" si="1295"/>
        <v>248836.30468284219</v>
      </c>
    </row>
    <row r="253" spans="3:158" s="1" customFormat="1" x14ac:dyDescent="0.25">
      <c r="C253" s="304" t="s">
        <v>645</v>
      </c>
      <c r="D253" s="22">
        <f t="shared" si="1239"/>
        <v>3664491.9699999997</v>
      </c>
      <c r="E253" s="22">
        <f t="shared" si="1239"/>
        <v>6524064</v>
      </c>
      <c r="F253" s="22">
        <f t="shared" si="1239"/>
        <v>7473375.0553849991</v>
      </c>
      <c r="G253" s="22">
        <f t="shared" si="1239"/>
        <v>16399499.241960667</v>
      </c>
      <c r="H253" s="22">
        <f t="shared" si="1239"/>
        <v>27093115.859854624</v>
      </c>
      <c r="I253" s="22">
        <f t="shared" si="1239"/>
        <v>45194654.540617704</v>
      </c>
      <c r="J253" s="22">
        <f t="shared" si="1239"/>
        <v>73418521.622527272</v>
      </c>
      <c r="K253" s="22">
        <f t="shared" si="1239"/>
        <v>114933849.37087639</v>
      </c>
      <c r="L253" s="22">
        <f t="shared" si="1239"/>
        <v>173601137.71297699</v>
      </c>
      <c r="N253" s="22">
        <f t="shared" ref="N253:N257" si="1296">SUM(AY253:BA253)</f>
        <v>776758.17</v>
      </c>
      <c r="O253" s="22">
        <f t="shared" ref="O253:O257" si="1297">SUM(BB253:BD253)</f>
        <v>625643.30000000005</v>
      </c>
      <c r="P253" s="22">
        <f t="shared" ref="P253:P257" si="1298">SUM(BE253:BG253)</f>
        <v>855610.5</v>
      </c>
      <c r="Q253" s="22">
        <f t="shared" ref="Q253:Q257" si="1299">SUM(BH253:BJ253)</f>
        <v>1406480</v>
      </c>
      <c r="R253" s="22">
        <f t="shared" ref="R253:R257" si="1300">SUM(BK253:BM253)</f>
        <v>1081586</v>
      </c>
      <c r="S253" s="22">
        <f t="shared" ref="S253:S257" si="1301">SUM(BN253:BP253)</f>
        <v>2484886.7400000002</v>
      </c>
      <c r="T253" s="22">
        <f t="shared" ref="T253:T257" si="1302">SUM(BQ253:BS253)</f>
        <v>910603</v>
      </c>
      <c r="U253" s="22">
        <f t="shared" ref="U253:U257" si="1303">SUM(BT253:BV253)</f>
        <v>2046988.26</v>
      </c>
      <c r="V253" s="22">
        <f t="shared" ref="V253:V257" si="1304">SUM(BW253:BY253)</f>
        <v>1250731.81</v>
      </c>
      <c r="W253" s="22">
        <f t="shared" ref="W253:W257" si="1305">SUM(BZ253:CB253)</f>
        <v>1776271.85</v>
      </c>
      <c r="X253" s="22">
        <f t="shared" ref="X253:X257" si="1306">SUM(CC253:CE253)</f>
        <v>2255269.2599999998</v>
      </c>
      <c r="Y253" s="22">
        <f t="shared" ref="Y253:Y257" si="1307">SUM(CF253:CH253)</f>
        <v>2191102.1353850001</v>
      </c>
      <c r="Z253" s="22">
        <f t="shared" ref="Z253:Z257" si="1308">SUM(CI253:CK253)</f>
        <v>1477725.45</v>
      </c>
      <c r="AA253" s="22">
        <f t="shared" ref="AA253:AA257" si="1309">SUM(CL253:CN253)</f>
        <v>4026344.1252939999</v>
      </c>
      <c r="AB253" s="22">
        <f t="shared" ref="AB253:AB257" si="1310">SUM(CO253:CQ253)</f>
        <v>4887366</v>
      </c>
      <c r="AC253" s="22">
        <f t="shared" ref="AC253:AC257" si="1311">SUM(CR253:CT253)</f>
        <v>6008063.666666666</v>
      </c>
      <c r="AD253" s="22">
        <f t="shared" ref="AD253:AD257" si="1312">SUM(CU253:CW253)</f>
        <v>4794780.6959611122</v>
      </c>
      <c r="AE253" s="22">
        <f t="shared" ref="AE253:AE257" si="1313">SUM(CX253:CZ253)</f>
        <v>6379483.8157518655</v>
      </c>
      <c r="AF253" s="22">
        <f t="shared" ref="AF253:AF257" si="1314">SUM(DA253:DC253)</f>
        <v>6289421.8605206488</v>
      </c>
      <c r="AG253" s="22">
        <f t="shared" ref="AG253:AG257" si="1315">SUM(DD253:DF253)</f>
        <v>9629429.4876209963</v>
      </c>
      <c r="AH253" s="22">
        <f t="shared" ref="AH253:AH257" si="1316">SUM(DG253:DI253)</f>
        <v>8242335.9487469662</v>
      </c>
      <c r="AI253" s="22">
        <f t="shared" ref="AI253:AI257" si="1317">SUM(DJ253:DL253)</f>
        <v>11184100.673704272</v>
      </c>
      <c r="AJ253" s="22">
        <f t="shared" ref="AJ253:AJ257" si="1318">SUM(DM253:DO253)</f>
        <v>10491530.384204581</v>
      </c>
      <c r="AK253" s="22">
        <f t="shared" ref="AK253:AK257" si="1319">SUM(DP253:DR253)</f>
        <v>15276687.533961888</v>
      </c>
      <c r="AL253" s="22">
        <f t="shared" ref="AL253:AL257" si="1320">SUM(DS253:DU253)</f>
        <v>13389639.244379146</v>
      </c>
      <c r="AM253" s="22">
        <f t="shared" ref="AM253:AM257" si="1321">SUM(DV253:DX253)</f>
        <v>18168523.368242919</v>
      </c>
      <c r="AN253" s="22">
        <f t="shared" ref="AN253:AN257" si="1322">SUM(DY253:EA253)</f>
        <v>17043445.91623906</v>
      </c>
      <c r="AO253" s="22">
        <f t="shared" ref="AO253:AO257" si="1323">SUM(EB253:ED253)</f>
        <v>24816913.093666147</v>
      </c>
      <c r="AP253" s="22">
        <f t="shared" ref="AP253:AP257" si="1324">SUM(EE253:EG253)</f>
        <v>20960961.158494025</v>
      </c>
      <c r="AQ253" s="22">
        <f t="shared" ref="AQ253:AQ257" si="1325">SUM(EH253:EJ253)</f>
        <v>28442118.990532175</v>
      </c>
      <c r="AR253" s="22">
        <f t="shared" ref="AR253:AR257" si="1326">SUM(EK253:EM253)</f>
        <v>26680853.855502475</v>
      </c>
      <c r="AS253" s="22">
        <f t="shared" ref="AS253:AS257" si="1327">SUM(EN253:EP253)</f>
        <v>38849915.36634773</v>
      </c>
      <c r="AT253" s="22">
        <f t="shared" ref="AT253:AT257" si="1328">SUM(EQ253:ES253)</f>
        <v>31660357.019192871</v>
      </c>
      <c r="AU253" s="22">
        <f t="shared" ref="AU253:AU257" si="1329">SUM(ET253:EV253)</f>
        <v>42960226.623849675</v>
      </c>
      <c r="AV253" s="22">
        <f t="shared" ref="AV253:AV257" si="1330">SUM(EW253:EY253)</f>
        <v>40299934.351999328</v>
      </c>
      <c r="AW253" s="22">
        <f t="shared" ref="AW253:AW257" si="1331">SUM(EZ253:FB253)</f>
        <v>58680619.717935085</v>
      </c>
      <c r="AY253" s="49">
        <f t="shared" ref="AY253:CD253" si="1332">AY60</f>
        <v>0</v>
      </c>
      <c r="AZ253" s="49">
        <f t="shared" si="1332"/>
        <v>208124.5</v>
      </c>
      <c r="BA253" s="49">
        <f t="shared" si="1332"/>
        <v>568633.67000000004</v>
      </c>
      <c r="BB253" s="49">
        <f t="shared" si="1332"/>
        <v>74365</v>
      </c>
      <c r="BC253" s="49">
        <f t="shared" si="1332"/>
        <v>178800.3</v>
      </c>
      <c r="BD253" s="49">
        <f t="shared" si="1332"/>
        <v>372478</v>
      </c>
      <c r="BE253" s="49">
        <f t="shared" si="1332"/>
        <v>275150</v>
      </c>
      <c r="BF253" s="49">
        <f t="shared" si="1332"/>
        <v>103659.5</v>
      </c>
      <c r="BG253" s="49">
        <f t="shared" si="1332"/>
        <v>476801</v>
      </c>
      <c r="BH253" s="49">
        <f t="shared" si="1332"/>
        <v>43800</v>
      </c>
      <c r="BI253" s="49">
        <f t="shared" si="1332"/>
        <v>1009050</v>
      </c>
      <c r="BJ253" s="49">
        <f t="shared" si="1332"/>
        <v>353630</v>
      </c>
      <c r="BK253" s="49">
        <f t="shared" si="1332"/>
        <v>146300</v>
      </c>
      <c r="BL253" s="49">
        <f t="shared" si="1332"/>
        <v>139481</v>
      </c>
      <c r="BM253" s="49">
        <f t="shared" si="1332"/>
        <v>795805</v>
      </c>
      <c r="BN253" s="49">
        <f t="shared" si="1332"/>
        <v>93150</v>
      </c>
      <c r="BO253" s="49">
        <f t="shared" si="1332"/>
        <v>1699465.86</v>
      </c>
      <c r="BP253" s="49">
        <f t="shared" si="1332"/>
        <v>692270.88</v>
      </c>
      <c r="BQ253" s="49">
        <f t="shared" si="1332"/>
        <v>290000</v>
      </c>
      <c r="BR253" s="49">
        <f t="shared" si="1332"/>
        <v>197811</v>
      </c>
      <c r="BS253" s="49">
        <f t="shared" si="1332"/>
        <v>422792</v>
      </c>
      <c r="BT253" s="49">
        <f t="shared" si="1332"/>
        <v>138500</v>
      </c>
      <c r="BU253" s="49">
        <f t="shared" si="1332"/>
        <v>862232</v>
      </c>
      <c r="BV253" s="49">
        <f t="shared" si="1332"/>
        <v>1046256.26</v>
      </c>
      <c r="BW253" s="49">
        <f t="shared" si="1332"/>
        <v>394742.64</v>
      </c>
      <c r="BX253" s="49">
        <f t="shared" si="1332"/>
        <v>487907</v>
      </c>
      <c r="BY253" s="49">
        <f t="shared" si="1332"/>
        <v>368082.17</v>
      </c>
      <c r="BZ253" s="49">
        <f t="shared" si="1332"/>
        <v>600800.01</v>
      </c>
      <c r="CA253" s="49">
        <f t="shared" si="1332"/>
        <v>217572.88</v>
      </c>
      <c r="CB253" s="49">
        <f t="shared" si="1332"/>
        <v>957898.96</v>
      </c>
      <c r="CC253" s="49">
        <f t="shared" si="1332"/>
        <v>161229.98000000001</v>
      </c>
      <c r="CD253" s="49">
        <f t="shared" si="1332"/>
        <v>1290770.5900000001</v>
      </c>
      <c r="CE253" s="49">
        <f t="shared" ref="CE253:DJ253" si="1333">CE60</f>
        <v>803268.69</v>
      </c>
      <c r="CF253" s="49">
        <f t="shared" si="1333"/>
        <v>295238.63208800001</v>
      </c>
      <c r="CG253" s="49">
        <f t="shared" si="1333"/>
        <v>969773.81329700002</v>
      </c>
      <c r="CH253" s="49">
        <f t="shared" si="1333"/>
        <v>926089.69</v>
      </c>
      <c r="CI253" s="49">
        <f t="shared" si="1333"/>
        <v>317615.01</v>
      </c>
      <c r="CJ253" s="49">
        <f t="shared" si="1333"/>
        <v>445330.75</v>
      </c>
      <c r="CK253" s="49">
        <f t="shared" si="1333"/>
        <v>714779.69</v>
      </c>
      <c r="CL253" s="49">
        <f t="shared" si="1333"/>
        <v>590275.79</v>
      </c>
      <c r="CM253" s="49">
        <f t="shared" si="1333"/>
        <v>1077791.475294</v>
      </c>
      <c r="CN253" s="49">
        <f t="shared" si="1333"/>
        <v>2358276.86</v>
      </c>
      <c r="CO253" s="49">
        <f t="shared" si="1333"/>
        <v>733104.9</v>
      </c>
      <c r="CP253" s="49">
        <f t="shared" si="1333"/>
        <v>1710578.1</v>
      </c>
      <c r="CQ253" s="49">
        <f t="shared" si="1333"/>
        <v>2443683</v>
      </c>
      <c r="CR253" s="49">
        <f t="shared" si="1333"/>
        <v>600806.3666666667</v>
      </c>
      <c r="CS253" s="49">
        <f t="shared" si="1333"/>
        <v>2403225.4666666668</v>
      </c>
      <c r="CT253" s="49">
        <f t="shared" si="1333"/>
        <v>3004031.833333333</v>
      </c>
      <c r="CU253" s="49">
        <f t="shared" si="1333"/>
        <v>633822.40923954116</v>
      </c>
      <c r="CV253" s="49">
        <f t="shared" si="1333"/>
        <v>1393006.8656497854</v>
      </c>
      <c r="CW253" s="49">
        <f t="shared" si="1333"/>
        <v>2767951.4210717855</v>
      </c>
      <c r="CX253" s="49">
        <f t="shared" si="1333"/>
        <v>1106736.54343195</v>
      </c>
      <c r="CY253" s="49">
        <f t="shared" si="1333"/>
        <v>2170715.267003139</v>
      </c>
      <c r="CZ253" s="49">
        <f t="shared" si="1333"/>
        <v>3102032.0053167762</v>
      </c>
      <c r="DA253" s="49">
        <f t="shared" si="1333"/>
        <v>1062723.4435581309</v>
      </c>
      <c r="DB253" s="49">
        <f t="shared" si="1333"/>
        <v>1894941.1518047724</v>
      </c>
      <c r="DC253" s="49">
        <f t="shared" si="1333"/>
        <v>3331757.2651577452</v>
      </c>
      <c r="DD253" s="49">
        <f t="shared" si="1333"/>
        <v>1430662.2933670613</v>
      </c>
      <c r="DE253" s="49">
        <f t="shared" si="1333"/>
        <v>3816189.9878157275</v>
      </c>
      <c r="DF253" s="49">
        <f t="shared" si="1333"/>
        <v>4382577.206438208</v>
      </c>
      <c r="DG253" s="49">
        <f t="shared" si="1333"/>
        <v>1138644.2300083137</v>
      </c>
      <c r="DH253" s="49">
        <f t="shared" si="1333"/>
        <v>2405057.4184193322</v>
      </c>
      <c r="DI253" s="49">
        <f t="shared" si="1333"/>
        <v>4698634.3003193205</v>
      </c>
      <c r="DJ253" s="49">
        <f t="shared" si="1333"/>
        <v>2026951.4986320673</v>
      </c>
      <c r="DK253" s="49">
        <f t="shared" ref="DK253:EP253" si="1334">DK60</f>
        <v>3801799.0687345243</v>
      </c>
      <c r="DL253" s="49">
        <f t="shared" si="1334"/>
        <v>5355350.1063376805</v>
      </c>
      <c r="DM253" s="49">
        <f t="shared" si="1334"/>
        <v>1772753.6084173045</v>
      </c>
      <c r="DN253" s="49">
        <f t="shared" si="1334"/>
        <v>3160995.25700978</v>
      </c>
      <c r="DO253" s="49">
        <f t="shared" si="1334"/>
        <v>5557781.518777498</v>
      </c>
      <c r="DP253" s="49">
        <f t="shared" si="1334"/>
        <v>2124391.9356779992</v>
      </c>
      <c r="DQ253" s="49">
        <f t="shared" si="1334"/>
        <v>6103745.9754780633</v>
      </c>
      <c r="DR253" s="49">
        <f t="shared" si="1334"/>
        <v>7048549.6228058264</v>
      </c>
      <c r="DS253" s="49">
        <f t="shared" si="1334"/>
        <v>1849722.6468696604</v>
      </c>
      <c r="DT253" s="49">
        <f t="shared" si="1334"/>
        <v>3907005.4162920029</v>
      </c>
      <c r="DU253" s="49">
        <f t="shared" si="1334"/>
        <v>7632911.1812174823</v>
      </c>
      <c r="DV253" s="49">
        <f t="shared" si="1334"/>
        <v>3292773.9783116961</v>
      </c>
      <c r="DW253" s="49">
        <f t="shared" si="1334"/>
        <v>6176006.2106799483</v>
      </c>
      <c r="DX253" s="49">
        <f t="shared" si="1334"/>
        <v>8699743.1792512778</v>
      </c>
      <c r="DY253" s="49">
        <f t="shared" si="1334"/>
        <v>2879830.6006305902</v>
      </c>
      <c r="DZ253" s="49">
        <f t="shared" si="1334"/>
        <v>5135023.1788342539</v>
      </c>
      <c r="EA253" s="49">
        <f t="shared" si="1334"/>
        <v>9028592.1367742177</v>
      </c>
      <c r="EB253" s="49">
        <f t="shared" si="1334"/>
        <v>3451065.5485622394</v>
      </c>
      <c r="EC253" s="49">
        <f t="shared" si="1334"/>
        <v>9915509.0449093878</v>
      </c>
      <c r="ED253" s="49">
        <f t="shared" si="1334"/>
        <v>11450338.50019452</v>
      </c>
      <c r="EE253" s="49">
        <f t="shared" si="1334"/>
        <v>2895669.0951399491</v>
      </c>
      <c r="EF253" s="49">
        <f t="shared" si="1334"/>
        <v>6116265.5156150749</v>
      </c>
      <c r="EG253" s="49">
        <f t="shared" si="1334"/>
        <v>11949026.547739003</v>
      </c>
      <c r="EH253" s="49">
        <f t="shared" si="1334"/>
        <v>5154710.0114788515</v>
      </c>
      <c r="EI253" s="49">
        <f t="shared" si="1334"/>
        <v>9668298.2964626458</v>
      </c>
      <c r="EJ253" s="49">
        <f t="shared" si="1334"/>
        <v>13619110.682590678</v>
      </c>
      <c r="EK253" s="49">
        <f t="shared" si="1334"/>
        <v>4508263.1623701593</v>
      </c>
      <c r="EL253" s="49">
        <f t="shared" si="1334"/>
        <v>8038679.7160868663</v>
      </c>
      <c r="EM253" s="49">
        <f t="shared" si="1334"/>
        <v>14133910.97704545</v>
      </c>
      <c r="EN253" s="49">
        <f t="shared" si="1334"/>
        <v>5402509.3281879639</v>
      </c>
      <c r="EO253" s="49">
        <f t="shared" si="1334"/>
        <v>15522345.013461862</v>
      </c>
      <c r="EP253" s="49">
        <f t="shared" si="1334"/>
        <v>17925061.0246979</v>
      </c>
      <c r="EQ253" s="49">
        <f t="shared" ref="EQ253:FB253" si="1335">EQ60</f>
        <v>4373745.8730237298</v>
      </c>
      <c r="ER253" s="49">
        <f t="shared" si="1335"/>
        <v>9238276.2595827281</v>
      </c>
      <c r="ES253" s="49">
        <f t="shared" si="1335"/>
        <v>18048334.886586413</v>
      </c>
      <c r="ET253" s="49">
        <f t="shared" si="1335"/>
        <v>7785900.563424048</v>
      </c>
      <c r="EU253" s="49">
        <f t="shared" si="1335"/>
        <v>14603422.692285258</v>
      </c>
      <c r="EV253" s="49">
        <f t="shared" si="1335"/>
        <v>20570903.368140373</v>
      </c>
      <c r="EW253" s="49">
        <f t="shared" si="1335"/>
        <v>6809478.8296134416</v>
      </c>
      <c r="EX253" s="49">
        <f t="shared" si="1335"/>
        <v>12141975.162771577</v>
      </c>
      <c r="EY253" s="49">
        <f t="shared" si="1335"/>
        <v>21348480.359614309</v>
      </c>
      <c r="EZ253" s="49">
        <f t="shared" si="1335"/>
        <v>8160187.5427662777</v>
      </c>
      <c r="FA253" s="49">
        <f t="shared" si="1335"/>
        <v>23445632.153282382</v>
      </c>
      <c r="FB253" s="49">
        <f t="shared" si="1335"/>
        <v>27074800.021886431</v>
      </c>
    </row>
    <row r="254" spans="3:158" x14ac:dyDescent="0.25">
      <c r="C254" s="2" t="s">
        <v>346</v>
      </c>
      <c r="D254" s="244">
        <f t="shared" si="1239"/>
        <v>3481267.3714999994</v>
      </c>
      <c r="E254" s="244">
        <f t="shared" si="1239"/>
        <v>6197860.7999999998</v>
      </c>
      <c r="F254" s="244">
        <f t="shared" si="1239"/>
        <v>7099706.3026157496</v>
      </c>
      <c r="G254" s="244">
        <f t="shared" si="1239"/>
        <v>14272297.620471034</v>
      </c>
      <c r="H254" s="244">
        <f t="shared" si="1239"/>
        <v>22024518.925359599</v>
      </c>
      <c r="I254" s="244">
        <f t="shared" si="1239"/>
        <v>23633160.695493087</v>
      </c>
      <c r="J254" s="244">
        <f t="shared" si="1239"/>
        <v>23708263.424054872</v>
      </c>
      <c r="K254" s="244">
        <f t="shared" si="1239"/>
        <v>25620982.350707151</v>
      </c>
      <c r="L254" s="244">
        <f t="shared" si="1239"/>
        <v>88972278.313217685</v>
      </c>
      <c r="N254" s="244">
        <f t="shared" si="1296"/>
        <v>737920.26150000002</v>
      </c>
      <c r="O254" s="244">
        <f t="shared" si="1297"/>
        <v>594361.13500000001</v>
      </c>
      <c r="P254" s="244">
        <f t="shared" si="1298"/>
        <v>812829.97499999998</v>
      </c>
      <c r="Q254" s="244">
        <f t="shared" si="1299"/>
        <v>1336156</v>
      </c>
      <c r="R254" s="244">
        <f t="shared" si="1300"/>
        <v>1027506.7</v>
      </c>
      <c r="S254" s="244">
        <f t="shared" si="1301"/>
        <v>2360642.4029999999</v>
      </c>
      <c r="T254" s="244">
        <f t="shared" si="1302"/>
        <v>865072.84999999986</v>
      </c>
      <c r="U254" s="244">
        <f t="shared" si="1303"/>
        <v>1944638.8469999998</v>
      </c>
      <c r="V254" s="244">
        <f t="shared" si="1304"/>
        <v>1188195.2194999999</v>
      </c>
      <c r="W254" s="244">
        <f t="shared" si="1305"/>
        <v>1687458.2574999998</v>
      </c>
      <c r="X254" s="244">
        <f t="shared" si="1306"/>
        <v>2142505.7969999998</v>
      </c>
      <c r="Y254" s="244">
        <f t="shared" si="1307"/>
        <v>2081547.0286157499</v>
      </c>
      <c r="Z254" s="244">
        <f t="shared" si="1308"/>
        <v>1286047.6477099415</v>
      </c>
      <c r="AA254" s="244">
        <f t="shared" si="1309"/>
        <v>3504081.4863174288</v>
      </c>
      <c r="AB254" s="244">
        <f t="shared" si="1310"/>
        <v>4253419.0284112301</v>
      </c>
      <c r="AC254" s="244">
        <f t="shared" si="1311"/>
        <v>5228749.4580324329</v>
      </c>
      <c r="AD254" s="244">
        <f t="shared" si="1312"/>
        <v>3897770.1467560562</v>
      </c>
      <c r="AE254" s="244">
        <f t="shared" si="1313"/>
        <v>5186006.0231110742</v>
      </c>
      <c r="AF254" s="244">
        <f t="shared" si="1314"/>
        <v>5112792.9143750649</v>
      </c>
      <c r="AG254" s="244">
        <f t="shared" si="1315"/>
        <v>7827949.8411174063</v>
      </c>
      <c r="AH254" s="244">
        <f t="shared" si="1316"/>
        <v>4310077.1974683655</v>
      </c>
      <c r="AI254" s="244">
        <f t="shared" si="1317"/>
        <v>5848382.9811925571</v>
      </c>
      <c r="AJ254" s="244">
        <f t="shared" si="1318"/>
        <v>5486224.5553557072</v>
      </c>
      <c r="AK254" s="244">
        <f t="shared" si="1319"/>
        <v>7988475.9614764545</v>
      </c>
      <c r="AL254" s="244">
        <f t="shared" si="1320"/>
        <v>4323773.9924934823</v>
      </c>
      <c r="AM254" s="244">
        <f t="shared" si="1321"/>
        <v>5866968.2870355304</v>
      </c>
      <c r="AN254" s="244">
        <f t="shared" si="1322"/>
        <v>5503658.9746836498</v>
      </c>
      <c r="AO254" s="244">
        <f t="shared" si="1323"/>
        <v>8013862.1698422078</v>
      </c>
      <c r="AP254" s="244">
        <f t="shared" si="1324"/>
        <v>4672604.4488658421</v>
      </c>
      <c r="AQ254" s="244">
        <f t="shared" si="1325"/>
        <v>6340299.508473523</v>
      </c>
      <c r="AR254" s="244">
        <f t="shared" si="1326"/>
        <v>5947679.3779678596</v>
      </c>
      <c r="AS254" s="244">
        <f t="shared" si="1327"/>
        <v>8660399.0153999273</v>
      </c>
      <c r="AT254" s="244">
        <f t="shared" si="1328"/>
        <v>16226242.13940791</v>
      </c>
      <c r="AU254" s="244">
        <f t="shared" si="1329"/>
        <v>22017535.656336524</v>
      </c>
      <c r="AV254" s="244">
        <f t="shared" si="1330"/>
        <v>20654109.888949521</v>
      </c>
      <c r="AW254" s="244">
        <f t="shared" si="1331"/>
        <v>30074390.628523715</v>
      </c>
      <c r="AY254" s="20">
        <f t="shared" ref="AY254:CD254" si="1336">AY$253*AY230</f>
        <v>0</v>
      </c>
      <c r="AZ254" s="20">
        <f t="shared" si="1336"/>
        <v>197718.27499999999</v>
      </c>
      <c r="BA254" s="20">
        <f t="shared" si="1336"/>
        <v>540201.9865</v>
      </c>
      <c r="BB254" s="20">
        <f t="shared" si="1336"/>
        <v>70646.75</v>
      </c>
      <c r="BC254" s="20">
        <f t="shared" si="1336"/>
        <v>169860.28499999997</v>
      </c>
      <c r="BD254" s="20">
        <f t="shared" si="1336"/>
        <v>353854.1</v>
      </c>
      <c r="BE254" s="20">
        <f t="shared" si="1336"/>
        <v>261392.5</v>
      </c>
      <c r="BF254" s="20">
        <f t="shared" si="1336"/>
        <v>98476.524999999994</v>
      </c>
      <c r="BG254" s="20">
        <f t="shared" si="1336"/>
        <v>452960.94999999995</v>
      </c>
      <c r="BH254" s="20">
        <f t="shared" si="1336"/>
        <v>41610</v>
      </c>
      <c r="BI254" s="20">
        <f t="shared" si="1336"/>
        <v>958597.5</v>
      </c>
      <c r="BJ254" s="20">
        <f t="shared" si="1336"/>
        <v>335948.5</v>
      </c>
      <c r="BK254" s="20">
        <f t="shared" si="1336"/>
        <v>138985</v>
      </c>
      <c r="BL254" s="20">
        <f t="shared" si="1336"/>
        <v>132506.94999999998</v>
      </c>
      <c r="BM254" s="20">
        <f t="shared" si="1336"/>
        <v>756014.75</v>
      </c>
      <c r="BN254" s="20">
        <f t="shared" si="1336"/>
        <v>88492.5</v>
      </c>
      <c r="BO254" s="20">
        <f t="shared" si="1336"/>
        <v>1614492.567</v>
      </c>
      <c r="BP254" s="20">
        <f t="shared" si="1336"/>
        <v>657657.33600000001</v>
      </c>
      <c r="BQ254" s="20">
        <f t="shared" si="1336"/>
        <v>275500</v>
      </c>
      <c r="BR254" s="20">
        <f t="shared" si="1336"/>
        <v>187920.44999999998</v>
      </c>
      <c r="BS254" s="20">
        <f t="shared" si="1336"/>
        <v>401652.39999999997</v>
      </c>
      <c r="BT254" s="20">
        <f t="shared" si="1336"/>
        <v>131575</v>
      </c>
      <c r="BU254" s="20">
        <f t="shared" si="1336"/>
        <v>819120.39999999991</v>
      </c>
      <c r="BV254" s="20">
        <f t="shared" si="1336"/>
        <v>993943.44699999993</v>
      </c>
      <c r="BW254" s="20">
        <f t="shared" si="1336"/>
        <v>375005.50799999997</v>
      </c>
      <c r="BX254" s="20">
        <f t="shared" si="1336"/>
        <v>463511.64999999997</v>
      </c>
      <c r="BY254" s="20">
        <f t="shared" si="1336"/>
        <v>349678.06149999995</v>
      </c>
      <c r="BZ254" s="20">
        <f t="shared" si="1336"/>
        <v>570760.00949999993</v>
      </c>
      <c r="CA254" s="20">
        <f t="shared" si="1336"/>
        <v>206694.236</v>
      </c>
      <c r="CB254" s="20">
        <f t="shared" si="1336"/>
        <v>910004.01199999987</v>
      </c>
      <c r="CC254" s="20">
        <f t="shared" si="1336"/>
        <v>153168.481</v>
      </c>
      <c r="CD254" s="20">
        <f t="shared" si="1336"/>
        <v>1226232.0605000001</v>
      </c>
      <c r="CE254" s="20">
        <f t="shared" ref="CE254:DJ254" si="1337">CE$253*CE230</f>
        <v>763105.25549999985</v>
      </c>
      <c r="CF254" s="20">
        <f t="shared" si="1337"/>
        <v>280476.70048360003</v>
      </c>
      <c r="CG254" s="20">
        <f t="shared" si="1337"/>
        <v>921285.12263214996</v>
      </c>
      <c r="CH254" s="20">
        <f t="shared" si="1337"/>
        <v>879785.20549999992</v>
      </c>
      <c r="CI254" s="20">
        <f t="shared" si="1337"/>
        <v>276416.72983832663</v>
      </c>
      <c r="CJ254" s="20">
        <f t="shared" si="1337"/>
        <v>387566.2853951687</v>
      </c>
      <c r="CK254" s="20">
        <f t="shared" si="1337"/>
        <v>622064.63247644634</v>
      </c>
      <c r="CL254" s="20">
        <f t="shared" si="1337"/>
        <v>513710.30473192944</v>
      </c>
      <c r="CM254" s="20">
        <f t="shared" si="1337"/>
        <v>937989.65939422406</v>
      </c>
      <c r="CN254" s="20">
        <f t="shared" si="1337"/>
        <v>2052381.5221912754</v>
      </c>
      <c r="CO254" s="20">
        <f t="shared" si="1337"/>
        <v>638012.85426168446</v>
      </c>
      <c r="CP254" s="20">
        <f t="shared" si="1337"/>
        <v>1488696.6599439306</v>
      </c>
      <c r="CQ254" s="20">
        <f t="shared" si="1337"/>
        <v>2126709.514205615</v>
      </c>
      <c r="CR254" s="20">
        <f t="shared" si="1337"/>
        <v>522874.94580324338</v>
      </c>
      <c r="CS254" s="20">
        <f t="shared" si="1337"/>
        <v>2091499.7832129735</v>
      </c>
      <c r="CT254" s="20">
        <f t="shared" si="1337"/>
        <v>2614374.7290162165</v>
      </c>
      <c r="CU254" s="20">
        <f t="shared" si="1337"/>
        <v>515246.51944142237</v>
      </c>
      <c r="CV254" s="20">
        <f t="shared" si="1337"/>
        <v>1132402.2764439683</v>
      </c>
      <c r="CW254" s="20">
        <f t="shared" si="1337"/>
        <v>2250121.3508706656</v>
      </c>
      <c r="CX254" s="20">
        <f t="shared" si="1337"/>
        <v>899687.58382354793</v>
      </c>
      <c r="CY254" s="20">
        <f t="shared" si="1337"/>
        <v>1764616.5072699834</v>
      </c>
      <c r="CZ254" s="20">
        <f t="shared" si="1337"/>
        <v>2521701.9320175429</v>
      </c>
      <c r="DA254" s="20">
        <f t="shared" si="1337"/>
        <v>863908.48199749936</v>
      </c>
      <c r="DB254" s="20">
        <f t="shared" si="1337"/>
        <v>1540434.3847437736</v>
      </c>
      <c r="DC254" s="20">
        <f t="shared" si="1337"/>
        <v>2708450.0476337923</v>
      </c>
      <c r="DD254" s="20">
        <f t="shared" si="1337"/>
        <v>1163013.1033673692</v>
      </c>
      <c r="DE254" s="20">
        <f t="shared" si="1337"/>
        <v>3102254.7958006007</v>
      </c>
      <c r="DF254" s="20">
        <f t="shared" si="1337"/>
        <v>3562681.941949436</v>
      </c>
      <c r="DG254" s="20">
        <f t="shared" si="1337"/>
        <v>595419.13388447091</v>
      </c>
      <c r="DH254" s="20">
        <f t="shared" si="1337"/>
        <v>1257651.1321777871</v>
      </c>
      <c r="DI254" s="20">
        <f t="shared" si="1337"/>
        <v>2457006.9314061073</v>
      </c>
      <c r="DJ254" s="20">
        <f t="shared" si="1337"/>
        <v>1059932.2193311637</v>
      </c>
      <c r="DK254" s="20">
        <f t="shared" ref="DK254:EP254" si="1338">DK$253*DK230</f>
        <v>1988034.4088619943</v>
      </c>
      <c r="DL254" s="20">
        <f t="shared" si="1338"/>
        <v>2800416.352999399</v>
      </c>
      <c r="DM254" s="20">
        <f t="shared" si="1338"/>
        <v>927007.21638636419</v>
      </c>
      <c r="DN254" s="20">
        <f t="shared" si="1338"/>
        <v>1652945.6774465379</v>
      </c>
      <c r="DO254" s="20">
        <f t="shared" si="1338"/>
        <v>2906271.6615228052</v>
      </c>
      <c r="DP254" s="20">
        <f t="shared" si="1338"/>
        <v>1110885.7121801015</v>
      </c>
      <c r="DQ254" s="20">
        <f t="shared" si="1338"/>
        <v>3191767.0562853841</v>
      </c>
      <c r="DR254" s="20">
        <f t="shared" si="1338"/>
        <v>3685823.1930109691</v>
      </c>
      <c r="DS254" s="20">
        <f t="shared" si="1338"/>
        <v>597311.28881748195</v>
      </c>
      <c r="DT254" s="20">
        <f t="shared" si="1338"/>
        <v>1261647.7635561442</v>
      </c>
      <c r="DU254" s="20">
        <f t="shared" si="1338"/>
        <v>2464814.9401198556</v>
      </c>
      <c r="DV254" s="20">
        <f t="shared" si="1338"/>
        <v>1063300.5289190346</v>
      </c>
      <c r="DW254" s="20">
        <f t="shared" si="1338"/>
        <v>1994352.0914819376</v>
      </c>
      <c r="DX254" s="20">
        <f t="shared" si="1338"/>
        <v>2809315.6666345578</v>
      </c>
      <c r="DY254" s="20">
        <f t="shared" si="1338"/>
        <v>929953.1097539136</v>
      </c>
      <c r="DZ254" s="20">
        <f t="shared" si="1338"/>
        <v>1658198.497081633</v>
      </c>
      <c r="EA254" s="20">
        <f t="shared" si="1338"/>
        <v>2915507.3678481039</v>
      </c>
      <c r="EB254" s="20">
        <f t="shared" si="1338"/>
        <v>1114415.944516775</v>
      </c>
      <c r="EC254" s="20">
        <f t="shared" si="1338"/>
        <v>3201910.0252242093</v>
      </c>
      <c r="ED254" s="20">
        <f t="shared" si="1338"/>
        <v>3697536.2001012238</v>
      </c>
      <c r="EE254" s="20">
        <f t="shared" si="1338"/>
        <v>645500.75705432775</v>
      </c>
      <c r="EF254" s="20">
        <f t="shared" si="1338"/>
        <v>1363434.1117571646</v>
      </c>
      <c r="EG254" s="20">
        <f t="shared" si="1338"/>
        <v>2663669.5800543493</v>
      </c>
      <c r="EH254" s="20">
        <f t="shared" si="1338"/>
        <v>1149084.7557097361</v>
      </c>
      <c r="EI254" s="20">
        <f t="shared" si="1338"/>
        <v>2155251.0541582028</v>
      </c>
      <c r="EJ254" s="20">
        <f t="shared" si="1338"/>
        <v>3035963.698605584</v>
      </c>
      <c r="EK254" s="20">
        <f t="shared" si="1338"/>
        <v>1004979.2254212768</v>
      </c>
      <c r="EL254" s="20">
        <f t="shared" si="1338"/>
        <v>1791977.4918896784</v>
      </c>
      <c r="EM254" s="20">
        <f t="shared" si="1338"/>
        <v>3150722.6606569043</v>
      </c>
      <c r="EN254" s="20">
        <f t="shared" si="1338"/>
        <v>1204324.0255564679</v>
      </c>
      <c r="EO254" s="20">
        <f t="shared" si="1338"/>
        <v>3460231.5141136125</v>
      </c>
      <c r="EP254" s="20">
        <f t="shared" si="1338"/>
        <v>3995843.4757298478</v>
      </c>
      <c r="EQ254" s="20">
        <f t="shared" ref="EQ254:FB254" si="1339">EQ$253*EQ230</f>
        <v>2241587.4700622167</v>
      </c>
      <c r="ER254" s="20">
        <f t="shared" si="1339"/>
        <v>4734706.7958791601</v>
      </c>
      <c r="ES254" s="20">
        <f t="shared" si="1339"/>
        <v>9249947.8734665345</v>
      </c>
      <c r="ET254" s="20">
        <f t="shared" si="1339"/>
        <v>3990350.0689801071</v>
      </c>
      <c r="EU254" s="20">
        <f t="shared" si="1339"/>
        <v>7484396.7339186268</v>
      </c>
      <c r="EV254" s="20">
        <f t="shared" si="1339"/>
        <v>10542788.853437789</v>
      </c>
      <c r="EW254" s="20">
        <f t="shared" si="1339"/>
        <v>3489924.3955302848</v>
      </c>
      <c r="EX254" s="20">
        <f t="shared" si="1339"/>
        <v>6222880.838721226</v>
      </c>
      <c r="EY254" s="20">
        <f t="shared" si="1339"/>
        <v>10941304.654698012</v>
      </c>
      <c r="EZ254" s="20">
        <f t="shared" si="1339"/>
        <v>4182175.8008489199</v>
      </c>
      <c r="FA254" s="20">
        <f t="shared" si="1339"/>
        <v>12016115.427884275</v>
      </c>
      <c r="FB254" s="20">
        <f t="shared" si="1339"/>
        <v>13876099.399790522</v>
      </c>
    </row>
    <row r="255" spans="3:158" x14ac:dyDescent="0.25">
      <c r="C255" s="2" t="s">
        <v>298</v>
      </c>
      <c r="D255" s="244">
        <f t="shared" si="1239"/>
        <v>73289.839400000012</v>
      </c>
      <c r="E255" s="244">
        <f t="shared" si="1239"/>
        <v>130481.28</v>
      </c>
      <c r="F255" s="244">
        <f t="shared" si="1239"/>
        <v>149467.50110769999</v>
      </c>
      <c r="G255" s="244">
        <f t="shared" si="1239"/>
        <v>491984.97725881985</v>
      </c>
      <c r="H255" s="244">
        <f t="shared" si="1239"/>
        <v>1219190.2136934581</v>
      </c>
      <c r="I255" s="244">
        <f t="shared" si="1239"/>
        <v>5649331.817577213</v>
      </c>
      <c r="J255" s="244">
        <f t="shared" si="1239"/>
        <v>9177315.2028159089</v>
      </c>
      <c r="K255" s="244">
        <f t="shared" si="1239"/>
        <v>14366731.171359548</v>
      </c>
      <c r="L255" s="244">
        <f t="shared" si="1239"/>
        <v>26040170.656946547</v>
      </c>
      <c r="N255" s="244">
        <f t="shared" si="1296"/>
        <v>15535.163400000001</v>
      </c>
      <c r="O255" s="244">
        <f t="shared" si="1297"/>
        <v>12512.866</v>
      </c>
      <c r="P255" s="244">
        <f t="shared" si="1298"/>
        <v>17112.21</v>
      </c>
      <c r="Q255" s="244">
        <f t="shared" si="1299"/>
        <v>28129.599999999999</v>
      </c>
      <c r="R255" s="244">
        <f t="shared" si="1300"/>
        <v>21631.72</v>
      </c>
      <c r="S255" s="244">
        <f t="shared" si="1301"/>
        <v>49697.734800000006</v>
      </c>
      <c r="T255" s="244">
        <f t="shared" si="1302"/>
        <v>18212.060000000001</v>
      </c>
      <c r="U255" s="244">
        <f t="shared" si="1303"/>
        <v>40939.765200000002</v>
      </c>
      <c r="V255" s="244">
        <f t="shared" si="1304"/>
        <v>25014.636200000001</v>
      </c>
      <c r="W255" s="244">
        <f t="shared" si="1305"/>
        <v>35525.436999999998</v>
      </c>
      <c r="X255" s="244">
        <f t="shared" si="1306"/>
        <v>45105.385200000004</v>
      </c>
      <c r="Y255" s="244">
        <f t="shared" si="1307"/>
        <v>43822.042707699999</v>
      </c>
      <c r="Z255" s="244">
        <f t="shared" si="1308"/>
        <v>44331.763499999994</v>
      </c>
      <c r="AA255" s="244">
        <f t="shared" si="1309"/>
        <v>120790.32375881998</v>
      </c>
      <c r="AB255" s="244">
        <f t="shared" si="1310"/>
        <v>146620.97999999998</v>
      </c>
      <c r="AC255" s="244">
        <f t="shared" si="1311"/>
        <v>180241.90999999997</v>
      </c>
      <c r="AD255" s="244">
        <f t="shared" si="1312"/>
        <v>215765.13131825003</v>
      </c>
      <c r="AE255" s="244">
        <f t="shared" si="1313"/>
        <v>287076.77170883399</v>
      </c>
      <c r="AF255" s="244">
        <f t="shared" si="1314"/>
        <v>283023.98372342915</v>
      </c>
      <c r="AG255" s="244">
        <f t="shared" si="1315"/>
        <v>433324.32694294484</v>
      </c>
      <c r="AH255" s="244">
        <f t="shared" si="1316"/>
        <v>1030291.9935933708</v>
      </c>
      <c r="AI255" s="244">
        <f t="shared" si="1317"/>
        <v>1398012.584213034</v>
      </c>
      <c r="AJ255" s="244">
        <f t="shared" si="1318"/>
        <v>1311441.2980255727</v>
      </c>
      <c r="AK255" s="244">
        <f t="shared" si="1319"/>
        <v>1909585.9417452361</v>
      </c>
      <c r="AL255" s="244">
        <f t="shared" si="1320"/>
        <v>1673704.9055473933</v>
      </c>
      <c r="AM255" s="244">
        <f t="shared" si="1321"/>
        <v>2271065.4210303649</v>
      </c>
      <c r="AN255" s="244">
        <f t="shared" si="1322"/>
        <v>2130430.7395298826</v>
      </c>
      <c r="AO255" s="244">
        <f t="shared" si="1323"/>
        <v>3102114.1367082684</v>
      </c>
      <c r="AP255" s="244">
        <f t="shared" si="1324"/>
        <v>2620120.1448117532</v>
      </c>
      <c r="AQ255" s="244">
        <f t="shared" si="1325"/>
        <v>3555264.8738165218</v>
      </c>
      <c r="AR255" s="244">
        <f t="shared" si="1326"/>
        <v>3335106.7319378094</v>
      </c>
      <c r="AS255" s="244">
        <f t="shared" si="1327"/>
        <v>4856239.4207934663</v>
      </c>
      <c r="AT255" s="244">
        <f t="shared" si="1328"/>
        <v>4749053.5528789302</v>
      </c>
      <c r="AU255" s="244">
        <f t="shared" si="1329"/>
        <v>6444033.9935774514</v>
      </c>
      <c r="AV255" s="244">
        <f t="shared" si="1330"/>
        <v>6044990.1527998988</v>
      </c>
      <c r="AW255" s="244">
        <f t="shared" si="1331"/>
        <v>8802092.9576902632</v>
      </c>
      <c r="AY255" s="20">
        <f t="shared" ref="AY255:CD255" si="1340">AY$253*AY231</f>
        <v>0</v>
      </c>
      <c r="AZ255" s="20">
        <f t="shared" si="1340"/>
        <v>4162.49</v>
      </c>
      <c r="BA255" s="20">
        <f t="shared" si="1340"/>
        <v>11372.673400000001</v>
      </c>
      <c r="BB255" s="20">
        <f t="shared" si="1340"/>
        <v>1487.3</v>
      </c>
      <c r="BC255" s="20">
        <f t="shared" si="1340"/>
        <v>3576.0059999999999</v>
      </c>
      <c r="BD255" s="20">
        <f t="shared" si="1340"/>
        <v>7449.56</v>
      </c>
      <c r="BE255" s="20">
        <f t="shared" si="1340"/>
        <v>5503</v>
      </c>
      <c r="BF255" s="20">
        <f t="shared" si="1340"/>
        <v>2073.19</v>
      </c>
      <c r="BG255" s="20">
        <f t="shared" si="1340"/>
        <v>9536.02</v>
      </c>
      <c r="BH255" s="20">
        <f t="shared" si="1340"/>
        <v>876</v>
      </c>
      <c r="BI255" s="20">
        <f t="shared" si="1340"/>
        <v>20181</v>
      </c>
      <c r="BJ255" s="20">
        <f t="shared" si="1340"/>
        <v>7072.6</v>
      </c>
      <c r="BK255" s="20">
        <f t="shared" si="1340"/>
        <v>2926</v>
      </c>
      <c r="BL255" s="20">
        <f t="shared" si="1340"/>
        <v>2789.62</v>
      </c>
      <c r="BM255" s="20">
        <f t="shared" si="1340"/>
        <v>15916.1</v>
      </c>
      <c r="BN255" s="20">
        <f t="shared" si="1340"/>
        <v>1863</v>
      </c>
      <c r="BO255" s="20">
        <f t="shared" si="1340"/>
        <v>33989.317200000005</v>
      </c>
      <c r="BP255" s="20">
        <f t="shared" si="1340"/>
        <v>13845.417600000001</v>
      </c>
      <c r="BQ255" s="20">
        <f t="shared" si="1340"/>
        <v>5800</v>
      </c>
      <c r="BR255" s="20">
        <f t="shared" si="1340"/>
        <v>3956.2200000000003</v>
      </c>
      <c r="BS255" s="20">
        <f t="shared" si="1340"/>
        <v>8455.84</v>
      </c>
      <c r="BT255" s="20">
        <f t="shared" si="1340"/>
        <v>2770</v>
      </c>
      <c r="BU255" s="20">
        <f t="shared" si="1340"/>
        <v>17244.64</v>
      </c>
      <c r="BV255" s="20">
        <f t="shared" si="1340"/>
        <v>20925.125200000002</v>
      </c>
      <c r="BW255" s="20">
        <f t="shared" si="1340"/>
        <v>7894.8528000000006</v>
      </c>
      <c r="BX255" s="20">
        <f t="shared" si="1340"/>
        <v>9758.14</v>
      </c>
      <c r="BY255" s="20">
        <f t="shared" si="1340"/>
        <v>7361.6433999999999</v>
      </c>
      <c r="BZ255" s="20">
        <f t="shared" si="1340"/>
        <v>12016.0002</v>
      </c>
      <c r="CA255" s="20">
        <f t="shared" si="1340"/>
        <v>4351.4575999999997</v>
      </c>
      <c r="CB255" s="20">
        <f t="shared" si="1340"/>
        <v>19157.979199999998</v>
      </c>
      <c r="CC255" s="20">
        <f t="shared" si="1340"/>
        <v>3224.5996000000005</v>
      </c>
      <c r="CD255" s="20">
        <f t="shared" si="1340"/>
        <v>25815.411800000002</v>
      </c>
      <c r="CE255" s="20">
        <f t="shared" ref="CE255:DJ255" si="1341">CE$253*CE231</f>
        <v>16065.373799999999</v>
      </c>
      <c r="CF255" s="20">
        <f t="shared" si="1341"/>
        <v>5904.7726417600006</v>
      </c>
      <c r="CG255" s="20">
        <f t="shared" si="1341"/>
        <v>19395.47626594</v>
      </c>
      <c r="CH255" s="20">
        <f t="shared" si="1341"/>
        <v>18521.793799999999</v>
      </c>
      <c r="CI255" s="20">
        <f t="shared" si="1341"/>
        <v>9528.4503000000004</v>
      </c>
      <c r="CJ255" s="20">
        <f t="shared" si="1341"/>
        <v>13359.922499999999</v>
      </c>
      <c r="CK255" s="20">
        <f t="shared" si="1341"/>
        <v>21443.390699999996</v>
      </c>
      <c r="CL255" s="20">
        <f t="shared" si="1341"/>
        <v>17708.273700000002</v>
      </c>
      <c r="CM255" s="20">
        <f t="shared" si="1341"/>
        <v>32333.744258819999</v>
      </c>
      <c r="CN255" s="20">
        <f t="shared" si="1341"/>
        <v>70748.305799999987</v>
      </c>
      <c r="CO255" s="20">
        <f t="shared" si="1341"/>
        <v>21993.147000000001</v>
      </c>
      <c r="CP255" s="20">
        <f t="shared" si="1341"/>
        <v>51317.343000000001</v>
      </c>
      <c r="CQ255" s="20">
        <f t="shared" si="1341"/>
        <v>73310.489999999991</v>
      </c>
      <c r="CR255" s="20">
        <f t="shared" si="1341"/>
        <v>18024.190999999999</v>
      </c>
      <c r="CS255" s="20">
        <f t="shared" si="1341"/>
        <v>72096.763999999996</v>
      </c>
      <c r="CT255" s="20">
        <f t="shared" si="1341"/>
        <v>90120.954999999987</v>
      </c>
      <c r="CU255" s="20">
        <f t="shared" si="1341"/>
        <v>28522.00841577935</v>
      </c>
      <c r="CV255" s="20">
        <f t="shared" si="1341"/>
        <v>62685.30895424034</v>
      </c>
      <c r="CW255" s="20">
        <f t="shared" si="1341"/>
        <v>124557.81394823034</v>
      </c>
      <c r="CX255" s="20">
        <f t="shared" si="1341"/>
        <v>49803.144454437752</v>
      </c>
      <c r="CY255" s="20">
        <f t="shared" si="1341"/>
        <v>97682.187015141259</v>
      </c>
      <c r="CZ255" s="20">
        <f t="shared" si="1341"/>
        <v>139591.44023925494</v>
      </c>
      <c r="DA255" s="20">
        <f t="shared" si="1341"/>
        <v>47822.554960115885</v>
      </c>
      <c r="DB255" s="20">
        <f t="shared" si="1341"/>
        <v>85272.35183121475</v>
      </c>
      <c r="DC255" s="20">
        <f t="shared" si="1341"/>
        <v>149929.07693209854</v>
      </c>
      <c r="DD255" s="20">
        <f t="shared" si="1341"/>
        <v>64379.80320151776</v>
      </c>
      <c r="DE255" s="20">
        <f t="shared" si="1341"/>
        <v>171728.54945170772</v>
      </c>
      <c r="DF255" s="20">
        <f t="shared" si="1341"/>
        <v>197215.97428971936</v>
      </c>
      <c r="DG255" s="20">
        <f t="shared" si="1341"/>
        <v>142330.52875103921</v>
      </c>
      <c r="DH255" s="20">
        <f t="shared" si="1341"/>
        <v>300632.17730241653</v>
      </c>
      <c r="DI255" s="20">
        <f t="shared" si="1341"/>
        <v>587329.28753991507</v>
      </c>
      <c r="DJ255" s="20">
        <f t="shared" si="1341"/>
        <v>253368.93732900842</v>
      </c>
      <c r="DK255" s="20">
        <f t="shared" ref="DK255:EP255" si="1342">DK$253*DK231</f>
        <v>475224.88359181554</v>
      </c>
      <c r="DL255" s="20">
        <f t="shared" si="1342"/>
        <v>669418.76329221006</v>
      </c>
      <c r="DM255" s="20">
        <f t="shared" si="1342"/>
        <v>221594.20105216306</v>
      </c>
      <c r="DN255" s="20">
        <f t="shared" si="1342"/>
        <v>395124.4071262225</v>
      </c>
      <c r="DO255" s="20">
        <f t="shared" si="1342"/>
        <v>694722.68984718726</v>
      </c>
      <c r="DP255" s="20">
        <f t="shared" si="1342"/>
        <v>265548.9919597499</v>
      </c>
      <c r="DQ255" s="20">
        <f t="shared" si="1342"/>
        <v>762968.24693475792</v>
      </c>
      <c r="DR255" s="20">
        <f t="shared" si="1342"/>
        <v>881068.7028507283</v>
      </c>
      <c r="DS255" s="20">
        <f t="shared" si="1342"/>
        <v>231215.33085870754</v>
      </c>
      <c r="DT255" s="20">
        <f t="shared" si="1342"/>
        <v>488375.67703650036</v>
      </c>
      <c r="DU255" s="20">
        <f t="shared" si="1342"/>
        <v>954113.89765218529</v>
      </c>
      <c r="DV255" s="20">
        <f t="shared" si="1342"/>
        <v>411596.74728896201</v>
      </c>
      <c r="DW255" s="20">
        <f t="shared" si="1342"/>
        <v>772000.77633499354</v>
      </c>
      <c r="DX255" s="20">
        <f t="shared" si="1342"/>
        <v>1087467.8974064097</v>
      </c>
      <c r="DY255" s="20">
        <f t="shared" si="1342"/>
        <v>359978.82507882378</v>
      </c>
      <c r="DZ255" s="20">
        <f t="shared" si="1342"/>
        <v>641877.89735428174</v>
      </c>
      <c r="EA255" s="20">
        <f t="shared" si="1342"/>
        <v>1128574.0170967772</v>
      </c>
      <c r="EB255" s="20">
        <f t="shared" si="1342"/>
        <v>431383.19357027992</v>
      </c>
      <c r="EC255" s="20">
        <f t="shared" si="1342"/>
        <v>1239438.6306136735</v>
      </c>
      <c r="ED255" s="20">
        <f t="shared" si="1342"/>
        <v>1431292.312524315</v>
      </c>
      <c r="EE255" s="20">
        <f t="shared" si="1342"/>
        <v>361958.63689249364</v>
      </c>
      <c r="EF255" s="20">
        <f t="shared" si="1342"/>
        <v>764533.18945188436</v>
      </c>
      <c r="EG255" s="20">
        <f t="shared" si="1342"/>
        <v>1493628.3184673754</v>
      </c>
      <c r="EH255" s="20">
        <f t="shared" si="1342"/>
        <v>644338.75143485644</v>
      </c>
      <c r="EI255" s="20">
        <f t="shared" si="1342"/>
        <v>1208537.2870578307</v>
      </c>
      <c r="EJ255" s="20">
        <f t="shared" si="1342"/>
        <v>1702388.8353238348</v>
      </c>
      <c r="EK255" s="20">
        <f t="shared" si="1342"/>
        <v>563532.89529626991</v>
      </c>
      <c r="EL255" s="20">
        <f t="shared" si="1342"/>
        <v>1004834.9645108583</v>
      </c>
      <c r="EM255" s="20">
        <f t="shared" si="1342"/>
        <v>1766738.8721306813</v>
      </c>
      <c r="EN255" s="20">
        <f t="shared" si="1342"/>
        <v>675313.66602349549</v>
      </c>
      <c r="EO255" s="20">
        <f t="shared" si="1342"/>
        <v>1940293.1266827327</v>
      </c>
      <c r="EP255" s="20">
        <f t="shared" si="1342"/>
        <v>2240632.6280872375</v>
      </c>
      <c r="EQ255" s="20">
        <f t="shared" ref="EQ255:FB255" si="1343">EQ$253*EQ231</f>
        <v>656061.88095355942</v>
      </c>
      <c r="ER255" s="20">
        <f t="shared" si="1343"/>
        <v>1385741.4389374091</v>
      </c>
      <c r="ES255" s="20">
        <f t="shared" si="1343"/>
        <v>2707250.2329879617</v>
      </c>
      <c r="ET255" s="20">
        <f t="shared" si="1343"/>
        <v>1167885.0845136072</v>
      </c>
      <c r="EU255" s="20">
        <f t="shared" si="1343"/>
        <v>2190513.4038427887</v>
      </c>
      <c r="EV255" s="20">
        <f t="shared" si="1343"/>
        <v>3085635.5052210558</v>
      </c>
      <c r="EW255" s="20">
        <f t="shared" si="1343"/>
        <v>1021421.8244420162</v>
      </c>
      <c r="EX255" s="20">
        <f t="shared" si="1343"/>
        <v>1821296.2744157366</v>
      </c>
      <c r="EY255" s="20">
        <f t="shared" si="1343"/>
        <v>3202272.0539421462</v>
      </c>
      <c r="EZ255" s="20">
        <f t="shared" si="1343"/>
        <v>1224028.1314149415</v>
      </c>
      <c r="FA255" s="20">
        <f t="shared" si="1343"/>
        <v>3516844.822992357</v>
      </c>
      <c r="FB255" s="20">
        <f t="shared" si="1343"/>
        <v>4061220.0032829642</v>
      </c>
    </row>
    <row r="256" spans="3:158" x14ac:dyDescent="0.25">
      <c r="C256" s="2" t="s">
        <v>299</v>
      </c>
      <c r="D256" s="244">
        <f t="shared" si="1239"/>
        <v>36644.919700000006</v>
      </c>
      <c r="E256" s="244">
        <f t="shared" si="1239"/>
        <v>65240.639999999999</v>
      </c>
      <c r="F256" s="244">
        <f t="shared" si="1239"/>
        <v>74733.750553849997</v>
      </c>
      <c r="G256" s="244">
        <f t="shared" si="1239"/>
        <v>737977.46588823001</v>
      </c>
      <c r="H256" s="244">
        <f t="shared" si="1239"/>
        <v>2438380.4273869162</v>
      </c>
      <c r="I256" s="244">
        <f t="shared" si="1239"/>
        <v>13558396.362185314</v>
      </c>
      <c r="J256" s="244">
        <f t="shared" si="1239"/>
        <v>36709260.811263636</v>
      </c>
      <c r="K256" s="244">
        <f t="shared" si="1239"/>
        <v>68960309.622525841</v>
      </c>
      <c r="L256" s="244">
        <f t="shared" si="1239"/>
        <v>49547433.71896103</v>
      </c>
      <c r="N256" s="244">
        <f t="shared" si="1296"/>
        <v>7767.5817000000006</v>
      </c>
      <c r="O256" s="244">
        <f t="shared" si="1297"/>
        <v>6256.433</v>
      </c>
      <c r="P256" s="244">
        <f t="shared" si="1298"/>
        <v>8556.1049999999996</v>
      </c>
      <c r="Q256" s="244">
        <f t="shared" si="1299"/>
        <v>14064.8</v>
      </c>
      <c r="R256" s="244">
        <f t="shared" si="1300"/>
        <v>10815.86</v>
      </c>
      <c r="S256" s="244">
        <f t="shared" si="1301"/>
        <v>24848.867400000003</v>
      </c>
      <c r="T256" s="244">
        <f t="shared" si="1302"/>
        <v>9106.0300000000007</v>
      </c>
      <c r="U256" s="244">
        <f t="shared" si="1303"/>
        <v>20469.882600000001</v>
      </c>
      <c r="V256" s="244">
        <f t="shared" si="1304"/>
        <v>12507.3181</v>
      </c>
      <c r="W256" s="244">
        <f t="shared" si="1305"/>
        <v>17762.718499999999</v>
      </c>
      <c r="X256" s="244">
        <f t="shared" si="1306"/>
        <v>22552.692600000002</v>
      </c>
      <c r="Y256" s="244">
        <f t="shared" si="1307"/>
        <v>21911.021353849999</v>
      </c>
      <c r="Z256" s="244">
        <f t="shared" si="1308"/>
        <v>66497.645250000001</v>
      </c>
      <c r="AA256" s="244">
        <f t="shared" si="1309"/>
        <v>181185.48563822999</v>
      </c>
      <c r="AB256" s="244">
        <f t="shared" si="1310"/>
        <v>219931.47000000003</v>
      </c>
      <c r="AC256" s="244">
        <f t="shared" si="1311"/>
        <v>270362.86499999999</v>
      </c>
      <c r="AD256" s="244">
        <f t="shared" si="1312"/>
        <v>431530.26263650006</v>
      </c>
      <c r="AE256" s="244">
        <f t="shared" si="1313"/>
        <v>574153.54341766797</v>
      </c>
      <c r="AF256" s="244">
        <f t="shared" si="1314"/>
        <v>566047.9674468583</v>
      </c>
      <c r="AG256" s="244">
        <f t="shared" si="1315"/>
        <v>866648.65388588968</v>
      </c>
      <c r="AH256" s="244">
        <f t="shared" si="1316"/>
        <v>2472700.78462409</v>
      </c>
      <c r="AI256" s="244">
        <f t="shared" si="1317"/>
        <v>3355230.2021112815</v>
      </c>
      <c r="AJ256" s="244">
        <f t="shared" si="1318"/>
        <v>3147459.115261375</v>
      </c>
      <c r="AK256" s="244">
        <f t="shared" si="1319"/>
        <v>4583006.2601885665</v>
      </c>
      <c r="AL256" s="244">
        <f t="shared" si="1320"/>
        <v>6694819.622189573</v>
      </c>
      <c r="AM256" s="244">
        <f t="shared" si="1321"/>
        <v>9084261.6841214597</v>
      </c>
      <c r="AN256" s="244">
        <f t="shared" si="1322"/>
        <v>8521722.9581195302</v>
      </c>
      <c r="AO256" s="244">
        <f t="shared" si="1323"/>
        <v>12408456.546833074</v>
      </c>
      <c r="AP256" s="244">
        <f t="shared" si="1324"/>
        <v>12576576.695096416</v>
      </c>
      <c r="AQ256" s="244">
        <f t="shared" si="1325"/>
        <v>17065271.394319303</v>
      </c>
      <c r="AR256" s="244">
        <f t="shared" si="1326"/>
        <v>16008512.313301485</v>
      </c>
      <c r="AS256" s="244">
        <f t="shared" si="1327"/>
        <v>23309949.219808634</v>
      </c>
      <c r="AT256" s="244">
        <f t="shared" si="1328"/>
        <v>9036170.2785651684</v>
      </c>
      <c r="AU256" s="244">
        <f t="shared" si="1329"/>
        <v>12261261.701613968</v>
      </c>
      <c r="AV256" s="244">
        <f t="shared" si="1330"/>
        <v>11501988.710958237</v>
      </c>
      <c r="AW256" s="244">
        <f t="shared" si="1331"/>
        <v>16748013.027823653</v>
      </c>
      <c r="AY256" s="20">
        <f t="shared" ref="AY256:CD256" si="1344">AY$253*AY232</f>
        <v>0</v>
      </c>
      <c r="AZ256" s="20">
        <f t="shared" si="1344"/>
        <v>2081.2449999999999</v>
      </c>
      <c r="BA256" s="20">
        <f t="shared" si="1344"/>
        <v>5686.3367000000007</v>
      </c>
      <c r="BB256" s="20">
        <f t="shared" si="1344"/>
        <v>743.65</v>
      </c>
      <c r="BC256" s="20">
        <f t="shared" si="1344"/>
        <v>1788.0029999999999</v>
      </c>
      <c r="BD256" s="20">
        <f t="shared" si="1344"/>
        <v>3724.78</v>
      </c>
      <c r="BE256" s="20">
        <f t="shared" si="1344"/>
        <v>2751.5</v>
      </c>
      <c r="BF256" s="20">
        <f t="shared" si="1344"/>
        <v>1036.595</v>
      </c>
      <c r="BG256" s="20">
        <f t="shared" si="1344"/>
        <v>4768.01</v>
      </c>
      <c r="BH256" s="20">
        <f t="shared" si="1344"/>
        <v>438</v>
      </c>
      <c r="BI256" s="20">
        <f t="shared" si="1344"/>
        <v>10090.5</v>
      </c>
      <c r="BJ256" s="20">
        <f t="shared" si="1344"/>
        <v>3536.3</v>
      </c>
      <c r="BK256" s="20">
        <f t="shared" si="1344"/>
        <v>1463</v>
      </c>
      <c r="BL256" s="20">
        <f t="shared" si="1344"/>
        <v>1394.81</v>
      </c>
      <c r="BM256" s="20">
        <f t="shared" si="1344"/>
        <v>7958.05</v>
      </c>
      <c r="BN256" s="20">
        <f t="shared" si="1344"/>
        <v>931.5</v>
      </c>
      <c r="BO256" s="20">
        <f t="shared" si="1344"/>
        <v>16994.658600000002</v>
      </c>
      <c r="BP256" s="20">
        <f t="shared" si="1344"/>
        <v>6922.7088000000003</v>
      </c>
      <c r="BQ256" s="20">
        <f t="shared" si="1344"/>
        <v>2900</v>
      </c>
      <c r="BR256" s="20">
        <f t="shared" si="1344"/>
        <v>1978.1100000000001</v>
      </c>
      <c r="BS256" s="20">
        <f t="shared" si="1344"/>
        <v>4227.92</v>
      </c>
      <c r="BT256" s="20">
        <f t="shared" si="1344"/>
        <v>1385</v>
      </c>
      <c r="BU256" s="20">
        <f t="shared" si="1344"/>
        <v>8622.32</v>
      </c>
      <c r="BV256" s="20">
        <f t="shared" si="1344"/>
        <v>10462.562600000001</v>
      </c>
      <c r="BW256" s="20">
        <f t="shared" si="1344"/>
        <v>3947.4264000000003</v>
      </c>
      <c r="BX256" s="20">
        <f t="shared" si="1344"/>
        <v>4879.07</v>
      </c>
      <c r="BY256" s="20">
        <f t="shared" si="1344"/>
        <v>3680.8217</v>
      </c>
      <c r="BZ256" s="20">
        <f t="shared" si="1344"/>
        <v>6008.0001000000002</v>
      </c>
      <c r="CA256" s="20">
        <f t="shared" si="1344"/>
        <v>2175.7287999999999</v>
      </c>
      <c r="CB256" s="20">
        <f t="shared" si="1344"/>
        <v>9578.989599999999</v>
      </c>
      <c r="CC256" s="20">
        <f t="shared" si="1344"/>
        <v>1612.2998000000002</v>
      </c>
      <c r="CD256" s="20">
        <f t="shared" si="1344"/>
        <v>12907.705900000001</v>
      </c>
      <c r="CE256" s="20">
        <f t="shared" ref="CE256:DJ256" si="1345">CE$253*CE232</f>
        <v>8032.6868999999997</v>
      </c>
      <c r="CF256" s="20">
        <f t="shared" si="1345"/>
        <v>2952.3863208800003</v>
      </c>
      <c r="CG256" s="20">
        <f t="shared" si="1345"/>
        <v>9697.7381329700002</v>
      </c>
      <c r="CH256" s="20">
        <f t="shared" si="1345"/>
        <v>9260.8968999999997</v>
      </c>
      <c r="CI256" s="20">
        <f t="shared" si="1345"/>
        <v>14292.675450000001</v>
      </c>
      <c r="CJ256" s="20">
        <f t="shared" si="1345"/>
        <v>20039.883750000001</v>
      </c>
      <c r="CK256" s="20">
        <f t="shared" si="1345"/>
        <v>32165.086049999998</v>
      </c>
      <c r="CL256" s="20">
        <f t="shared" si="1345"/>
        <v>26562.410550000001</v>
      </c>
      <c r="CM256" s="20">
        <f t="shared" si="1345"/>
        <v>48500.616388229995</v>
      </c>
      <c r="CN256" s="20">
        <f t="shared" si="1345"/>
        <v>106122.45869999999</v>
      </c>
      <c r="CO256" s="20">
        <f t="shared" si="1345"/>
        <v>32989.720500000003</v>
      </c>
      <c r="CP256" s="20">
        <f t="shared" si="1345"/>
        <v>76976.014500000005</v>
      </c>
      <c r="CQ256" s="20">
        <f t="shared" si="1345"/>
        <v>109965.735</v>
      </c>
      <c r="CR256" s="20">
        <f t="shared" si="1345"/>
        <v>27036.286500000002</v>
      </c>
      <c r="CS256" s="20">
        <f t="shared" si="1345"/>
        <v>108145.14600000001</v>
      </c>
      <c r="CT256" s="20">
        <f t="shared" si="1345"/>
        <v>135181.4325</v>
      </c>
      <c r="CU256" s="20">
        <f t="shared" si="1345"/>
        <v>57044.0168315587</v>
      </c>
      <c r="CV256" s="20">
        <f t="shared" si="1345"/>
        <v>125370.61790848068</v>
      </c>
      <c r="CW256" s="20">
        <f t="shared" si="1345"/>
        <v>249115.62789646068</v>
      </c>
      <c r="CX256" s="20">
        <f t="shared" si="1345"/>
        <v>99606.288908875504</v>
      </c>
      <c r="CY256" s="20">
        <f t="shared" si="1345"/>
        <v>195364.37403028252</v>
      </c>
      <c r="CZ256" s="20">
        <f t="shared" si="1345"/>
        <v>279182.88047850988</v>
      </c>
      <c r="DA256" s="20">
        <f t="shared" si="1345"/>
        <v>95645.109920231771</v>
      </c>
      <c r="DB256" s="20">
        <f t="shared" si="1345"/>
        <v>170544.7036624295</v>
      </c>
      <c r="DC256" s="20">
        <f t="shared" si="1345"/>
        <v>299858.15386419708</v>
      </c>
      <c r="DD256" s="20">
        <f t="shared" si="1345"/>
        <v>128759.60640303552</v>
      </c>
      <c r="DE256" s="20">
        <f t="shared" si="1345"/>
        <v>343457.09890341543</v>
      </c>
      <c r="DF256" s="20">
        <f t="shared" si="1345"/>
        <v>394431.94857943873</v>
      </c>
      <c r="DG256" s="20">
        <f t="shared" si="1345"/>
        <v>341593.26900249411</v>
      </c>
      <c r="DH256" s="20">
        <f t="shared" si="1345"/>
        <v>721517.22552579967</v>
      </c>
      <c r="DI256" s="20">
        <f t="shared" si="1345"/>
        <v>1409590.2900957961</v>
      </c>
      <c r="DJ256" s="20">
        <f t="shared" si="1345"/>
        <v>608085.44958962023</v>
      </c>
      <c r="DK256" s="20">
        <f t="shared" ref="DK256:EP256" si="1346">DK$253*DK232</f>
        <v>1140539.7206203572</v>
      </c>
      <c r="DL256" s="20">
        <f t="shared" si="1346"/>
        <v>1606605.0319013041</v>
      </c>
      <c r="DM256" s="20">
        <f t="shared" si="1346"/>
        <v>531826.08252519136</v>
      </c>
      <c r="DN256" s="20">
        <f t="shared" si="1346"/>
        <v>948298.57710293401</v>
      </c>
      <c r="DO256" s="20">
        <f t="shared" si="1346"/>
        <v>1667334.4556332494</v>
      </c>
      <c r="DP256" s="20">
        <f t="shared" si="1346"/>
        <v>637317.58070339973</v>
      </c>
      <c r="DQ256" s="20">
        <f t="shared" si="1346"/>
        <v>1831123.792643419</v>
      </c>
      <c r="DR256" s="20">
        <f t="shared" si="1346"/>
        <v>2114564.8868417479</v>
      </c>
      <c r="DS256" s="20">
        <f t="shared" si="1346"/>
        <v>924861.32343483018</v>
      </c>
      <c r="DT256" s="20">
        <f t="shared" si="1346"/>
        <v>1953502.7081460014</v>
      </c>
      <c r="DU256" s="20">
        <f t="shared" si="1346"/>
        <v>3816455.5906087412</v>
      </c>
      <c r="DV256" s="20">
        <f t="shared" si="1346"/>
        <v>1646386.989155848</v>
      </c>
      <c r="DW256" s="20">
        <f t="shared" si="1346"/>
        <v>3088003.1053399742</v>
      </c>
      <c r="DX256" s="20">
        <f t="shared" si="1346"/>
        <v>4349871.5896256389</v>
      </c>
      <c r="DY256" s="20">
        <f t="shared" si="1346"/>
        <v>1439915.3003152951</v>
      </c>
      <c r="DZ256" s="20">
        <f t="shared" si="1346"/>
        <v>2567511.589417127</v>
      </c>
      <c r="EA256" s="20">
        <f t="shared" si="1346"/>
        <v>4514296.0683871089</v>
      </c>
      <c r="EB256" s="20">
        <f t="shared" si="1346"/>
        <v>1725532.7742811197</v>
      </c>
      <c r="EC256" s="20">
        <f t="shared" si="1346"/>
        <v>4957754.5224546939</v>
      </c>
      <c r="ED256" s="20">
        <f t="shared" si="1346"/>
        <v>5725169.2500972599</v>
      </c>
      <c r="EE256" s="20">
        <f t="shared" si="1346"/>
        <v>1737401.4570839694</v>
      </c>
      <c r="EF256" s="20">
        <f t="shared" si="1346"/>
        <v>3669759.3093690448</v>
      </c>
      <c r="EG256" s="20">
        <f t="shared" si="1346"/>
        <v>7169415.9286434017</v>
      </c>
      <c r="EH256" s="20">
        <f t="shared" si="1346"/>
        <v>3092826.0068873107</v>
      </c>
      <c r="EI256" s="20">
        <f t="shared" si="1346"/>
        <v>5800978.9778775871</v>
      </c>
      <c r="EJ256" s="20">
        <f t="shared" si="1346"/>
        <v>8171466.409554407</v>
      </c>
      <c r="EK256" s="20">
        <f t="shared" si="1346"/>
        <v>2704957.8974220953</v>
      </c>
      <c r="EL256" s="20">
        <f t="shared" si="1346"/>
        <v>4823207.8296521194</v>
      </c>
      <c r="EM256" s="20">
        <f t="shared" si="1346"/>
        <v>8480346.5862272698</v>
      </c>
      <c r="EN256" s="20">
        <f t="shared" si="1346"/>
        <v>3241505.5969127784</v>
      </c>
      <c r="EO256" s="20">
        <f t="shared" si="1346"/>
        <v>9313407.0080771167</v>
      </c>
      <c r="EP256" s="20">
        <f t="shared" si="1346"/>
        <v>10755036.614818739</v>
      </c>
      <c r="EQ256" s="20">
        <f t="shared" ref="EQ256:FB256" si="1347">EQ$253*EQ232</f>
        <v>1248309.1217150665</v>
      </c>
      <c r="ER256" s="20">
        <f t="shared" si="1347"/>
        <v>2636692.8620359506</v>
      </c>
      <c r="ES256" s="20">
        <f t="shared" si="1347"/>
        <v>5151168.2948141517</v>
      </c>
      <c r="ET256" s="20">
        <f t="shared" si="1347"/>
        <v>2222170.8750923541</v>
      </c>
      <c r="EU256" s="20">
        <f t="shared" si="1347"/>
        <v>4167957.234890217</v>
      </c>
      <c r="EV256" s="20">
        <f t="shared" si="1347"/>
        <v>5871133.5916313976</v>
      </c>
      <c r="EW256" s="20">
        <f t="shared" si="1347"/>
        <v>1943490.724863606</v>
      </c>
      <c r="EX256" s="20">
        <f t="shared" si="1347"/>
        <v>3465436.4454071485</v>
      </c>
      <c r="EY256" s="20">
        <f t="shared" si="1347"/>
        <v>6093061.5406874828</v>
      </c>
      <c r="EZ256" s="20">
        <f t="shared" si="1347"/>
        <v>2328995.977422562</v>
      </c>
      <c r="FA256" s="20">
        <f t="shared" si="1347"/>
        <v>6691608.8247909192</v>
      </c>
      <c r="FB256" s="20">
        <f t="shared" si="1347"/>
        <v>7727408.2256101724</v>
      </c>
    </row>
    <row r="257" spans="3:158" x14ac:dyDescent="0.25">
      <c r="C257" s="2" t="s">
        <v>300</v>
      </c>
      <c r="D257" s="244">
        <f t="shared" si="1239"/>
        <v>73289.839400000012</v>
      </c>
      <c r="E257" s="244">
        <f t="shared" si="1239"/>
        <v>130481.28</v>
      </c>
      <c r="F257" s="244">
        <f t="shared" si="1239"/>
        <v>149467.50110769999</v>
      </c>
      <c r="G257" s="244">
        <f t="shared" si="1239"/>
        <v>897239.17834258277</v>
      </c>
      <c r="H257" s="244">
        <f t="shared" si="1239"/>
        <v>1411026.2934146463</v>
      </c>
      <c r="I257" s="244">
        <f t="shared" si="1239"/>
        <v>2353765.6653621015</v>
      </c>
      <c r="J257" s="244">
        <f t="shared" si="1239"/>
        <v>3823682.1843928588</v>
      </c>
      <c r="K257" s="244">
        <f t="shared" si="1239"/>
        <v>5985826.2262838595</v>
      </c>
      <c r="L257" s="244">
        <f t="shared" si="1239"/>
        <v>9041255.0238517262</v>
      </c>
      <c r="N257" s="244">
        <f t="shared" si="1296"/>
        <v>15535.163400000001</v>
      </c>
      <c r="O257" s="244">
        <f t="shared" si="1297"/>
        <v>12512.866</v>
      </c>
      <c r="P257" s="244">
        <f t="shared" si="1298"/>
        <v>17112.21</v>
      </c>
      <c r="Q257" s="244">
        <f t="shared" si="1299"/>
        <v>28129.599999999999</v>
      </c>
      <c r="R257" s="244">
        <f t="shared" si="1300"/>
        <v>21631.72</v>
      </c>
      <c r="S257" s="244">
        <f t="shared" si="1301"/>
        <v>49697.734800000006</v>
      </c>
      <c r="T257" s="244">
        <f t="shared" si="1302"/>
        <v>18212.060000000001</v>
      </c>
      <c r="U257" s="244">
        <f t="shared" si="1303"/>
        <v>40939.765200000002</v>
      </c>
      <c r="V257" s="244">
        <f t="shared" si="1304"/>
        <v>25014.636200000001</v>
      </c>
      <c r="W257" s="244">
        <f t="shared" si="1305"/>
        <v>35525.436999999998</v>
      </c>
      <c r="X257" s="244">
        <f t="shared" si="1306"/>
        <v>45105.385200000004</v>
      </c>
      <c r="Y257" s="244">
        <f t="shared" si="1307"/>
        <v>43822.042707699999</v>
      </c>
      <c r="Z257" s="244">
        <f t="shared" si="1308"/>
        <v>80848.393540058256</v>
      </c>
      <c r="AA257" s="244">
        <f t="shared" si="1309"/>
        <v>220286.82957952097</v>
      </c>
      <c r="AB257" s="244">
        <f t="shared" si="1310"/>
        <v>267394.52158877032</v>
      </c>
      <c r="AC257" s="244">
        <f t="shared" si="1311"/>
        <v>328709.43363423296</v>
      </c>
      <c r="AD257" s="244">
        <f t="shared" si="1312"/>
        <v>249715.15525030531</v>
      </c>
      <c r="AE257" s="244">
        <f t="shared" si="1313"/>
        <v>332247.47751428909</v>
      </c>
      <c r="AF257" s="244">
        <f t="shared" si="1314"/>
        <v>327556.9949752955</v>
      </c>
      <c r="AG257" s="244">
        <f t="shared" si="1315"/>
        <v>501506.66567475634</v>
      </c>
      <c r="AH257" s="244">
        <f t="shared" si="1316"/>
        <v>429265.97306114086</v>
      </c>
      <c r="AI257" s="244">
        <f t="shared" si="1317"/>
        <v>582474.90618740022</v>
      </c>
      <c r="AJ257" s="244">
        <f t="shared" si="1318"/>
        <v>546405.41556192818</v>
      </c>
      <c r="AK257" s="244">
        <f t="shared" si="1319"/>
        <v>795619.37055163225</v>
      </c>
      <c r="AL257" s="244">
        <f t="shared" si="1320"/>
        <v>697340.72414869769</v>
      </c>
      <c r="AM257" s="244">
        <f t="shared" si="1321"/>
        <v>946227.97605556599</v>
      </c>
      <c r="AN257" s="244">
        <f t="shared" si="1322"/>
        <v>887633.24390599772</v>
      </c>
      <c r="AO257" s="244">
        <f t="shared" si="1323"/>
        <v>1292480.240282597</v>
      </c>
      <c r="AP257" s="244">
        <f t="shared" si="1324"/>
        <v>1091659.8697200161</v>
      </c>
      <c r="AQ257" s="244">
        <f t="shared" si="1325"/>
        <v>1481283.2139228256</v>
      </c>
      <c r="AR257" s="244">
        <f t="shared" si="1326"/>
        <v>1389555.432295322</v>
      </c>
      <c r="AS257" s="244">
        <f t="shared" si="1327"/>
        <v>2023327.7103456969</v>
      </c>
      <c r="AT257" s="244">
        <f t="shared" si="1328"/>
        <v>1648891.048340861</v>
      </c>
      <c r="AU257" s="244">
        <f t="shared" si="1329"/>
        <v>2237395.2723217374</v>
      </c>
      <c r="AV257" s="244">
        <f t="shared" si="1330"/>
        <v>2098845.5992916687</v>
      </c>
      <c r="AW257" s="244">
        <f t="shared" si="1331"/>
        <v>3056123.1038974579</v>
      </c>
      <c r="AY257" s="20">
        <f t="shared" ref="AY257:CD257" si="1348">AY$253*AY233</f>
        <v>0</v>
      </c>
      <c r="AZ257" s="20">
        <f t="shared" si="1348"/>
        <v>4162.49</v>
      </c>
      <c r="BA257" s="20">
        <f t="shared" si="1348"/>
        <v>11372.673400000001</v>
      </c>
      <c r="BB257" s="20">
        <f t="shared" si="1348"/>
        <v>1487.3</v>
      </c>
      <c r="BC257" s="20">
        <f t="shared" si="1348"/>
        <v>3576.0059999999999</v>
      </c>
      <c r="BD257" s="20">
        <f t="shared" si="1348"/>
        <v>7449.56</v>
      </c>
      <c r="BE257" s="20">
        <f t="shared" si="1348"/>
        <v>5503</v>
      </c>
      <c r="BF257" s="20">
        <f t="shared" si="1348"/>
        <v>2073.19</v>
      </c>
      <c r="BG257" s="20">
        <f t="shared" si="1348"/>
        <v>9536.02</v>
      </c>
      <c r="BH257" s="20">
        <f t="shared" si="1348"/>
        <v>876</v>
      </c>
      <c r="BI257" s="20">
        <f t="shared" si="1348"/>
        <v>20181</v>
      </c>
      <c r="BJ257" s="20">
        <f t="shared" si="1348"/>
        <v>7072.6</v>
      </c>
      <c r="BK257" s="20">
        <f t="shared" si="1348"/>
        <v>2926</v>
      </c>
      <c r="BL257" s="20">
        <f t="shared" si="1348"/>
        <v>2789.62</v>
      </c>
      <c r="BM257" s="20">
        <f t="shared" si="1348"/>
        <v>15916.1</v>
      </c>
      <c r="BN257" s="20">
        <f t="shared" si="1348"/>
        <v>1863</v>
      </c>
      <c r="BO257" s="20">
        <f t="shared" si="1348"/>
        <v>33989.317200000005</v>
      </c>
      <c r="BP257" s="20">
        <f t="shared" si="1348"/>
        <v>13845.417600000001</v>
      </c>
      <c r="BQ257" s="20">
        <f t="shared" si="1348"/>
        <v>5800</v>
      </c>
      <c r="BR257" s="20">
        <f t="shared" si="1348"/>
        <v>3956.2200000000003</v>
      </c>
      <c r="BS257" s="20">
        <f t="shared" si="1348"/>
        <v>8455.84</v>
      </c>
      <c r="BT257" s="20">
        <f t="shared" si="1348"/>
        <v>2770</v>
      </c>
      <c r="BU257" s="20">
        <f t="shared" si="1348"/>
        <v>17244.64</v>
      </c>
      <c r="BV257" s="20">
        <f t="shared" si="1348"/>
        <v>20925.125200000002</v>
      </c>
      <c r="BW257" s="20">
        <f t="shared" si="1348"/>
        <v>7894.8528000000006</v>
      </c>
      <c r="BX257" s="20">
        <f t="shared" si="1348"/>
        <v>9758.14</v>
      </c>
      <c r="BY257" s="20">
        <f t="shared" si="1348"/>
        <v>7361.6433999999999</v>
      </c>
      <c r="BZ257" s="20">
        <f t="shared" si="1348"/>
        <v>12016.0002</v>
      </c>
      <c r="CA257" s="20">
        <f t="shared" si="1348"/>
        <v>4351.4575999999997</v>
      </c>
      <c r="CB257" s="20">
        <f t="shared" si="1348"/>
        <v>19157.979199999998</v>
      </c>
      <c r="CC257" s="20">
        <f t="shared" si="1348"/>
        <v>3224.5996000000005</v>
      </c>
      <c r="CD257" s="20">
        <f t="shared" si="1348"/>
        <v>25815.411800000002</v>
      </c>
      <c r="CE257" s="20">
        <f t="shared" ref="CE257:DJ257" si="1349">CE$253*CE233</f>
        <v>16065.373799999999</v>
      </c>
      <c r="CF257" s="20">
        <f t="shared" si="1349"/>
        <v>5904.7726417600006</v>
      </c>
      <c r="CG257" s="20">
        <f t="shared" si="1349"/>
        <v>19395.47626594</v>
      </c>
      <c r="CH257" s="20">
        <f t="shared" si="1349"/>
        <v>18521.793799999999</v>
      </c>
      <c r="CI257" s="20">
        <f t="shared" si="1349"/>
        <v>17377.154411673386</v>
      </c>
      <c r="CJ257" s="20">
        <f t="shared" si="1349"/>
        <v>24364.65835483127</v>
      </c>
      <c r="CK257" s="20">
        <f t="shared" si="1349"/>
        <v>39106.5807735536</v>
      </c>
      <c r="CL257" s="20">
        <f t="shared" si="1349"/>
        <v>32294.801018070568</v>
      </c>
      <c r="CM257" s="20">
        <f t="shared" si="1349"/>
        <v>58967.455252725929</v>
      </c>
      <c r="CN257" s="20">
        <f t="shared" si="1349"/>
        <v>129024.57330872447</v>
      </c>
      <c r="CO257" s="20">
        <f t="shared" si="1349"/>
        <v>40109.178238315551</v>
      </c>
      <c r="CP257" s="20">
        <f t="shared" si="1349"/>
        <v>93588.082556069625</v>
      </c>
      <c r="CQ257" s="20">
        <f t="shared" si="1349"/>
        <v>133697.26079438516</v>
      </c>
      <c r="CR257" s="20">
        <f t="shared" si="1349"/>
        <v>32870.943363423299</v>
      </c>
      <c r="CS257" s="20">
        <f t="shared" si="1349"/>
        <v>131483.7734536932</v>
      </c>
      <c r="CT257" s="20">
        <f t="shared" si="1349"/>
        <v>164354.71681711645</v>
      </c>
      <c r="CU257" s="20">
        <f t="shared" si="1349"/>
        <v>33009.864550780752</v>
      </c>
      <c r="CV257" s="20">
        <f t="shared" si="1349"/>
        <v>72548.662343095959</v>
      </c>
      <c r="CW257" s="20">
        <f t="shared" si="1349"/>
        <v>144156.62835642858</v>
      </c>
      <c r="CX257" s="20">
        <f t="shared" si="1349"/>
        <v>57639.526245088797</v>
      </c>
      <c r="CY257" s="20">
        <f t="shared" si="1349"/>
        <v>113052.19868773184</v>
      </c>
      <c r="CZ257" s="20">
        <f t="shared" si="1349"/>
        <v>161555.75258146846</v>
      </c>
      <c r="DA257" s="20">
        <f t="shared" si="1349"/>
        <v>55347.296680283886</v>
      </c>
      <c r="DB257" s="20">
        <f t="shared" si="1349"/>
        <v>98689.711567354432</v>
      </c>
      <c r="DC257" s="20">
        <f t="shared" si="1349"/>
        <v>173519.98672765717</v>
      </c>
      <c r="DD257" s="20">
        <f t="shared" si="1349"/>
        <v>74509.780395138863</v>
      </c>
      <c r="DE257" s="20">
        <f t="shared" si="1349"/>
        <v>198749.54366000352</v>
      </c>
      <c r="DF257" s="20">
        <f t="shared" si="1349"/>
        <v>228247.34161961399</v>
      </c>
      <c r="DG257" s="20">
        <f t="shared" si="1349"/>
        <v>59301.298370309552</v>
      </c>
      <c r="DH257" s="20">
        <f t="shared" si="1349"/>
        <v>125256.88341332911</v>
      </c>
      <c r="DI257" s="20">
        <f t="shared" si="1349"/>
        <v>244707.79127750223</v>
      </c>
      <c r="DJ257" s="20">
        <f t="shared" si="1349"/>
        <v>105564.89238227527</v>
      </c>
      <c r="DK257" s="20">
        <f t="shared" ref="DK257:EP257" si="1350">DK$253*DK233</f>
        <v>198000.0556603575</v>
      </c>
      <c r="DL257" s="20">
        <f t="shared" si="1350"/>
        <v>278909.9581447675</v>
      </c>
      <c r="DM257" s="20">
        <f t="shared" si="1350"/>
        <v>92326.108453585985</v>
      </c>
      <c r="DN257" s="20">
        <f t="shared" si="1350"/>
        <v>164626.59533408572</v>
      </c>
      <c r="DO257" s="20">
        <f t="shared" si="1350"/>
        <v>289452.71177425643</v>
      </c>
      <c r="DP257" s="20">
        <f t="shared" si="1350"/>
        <v>110639.65083474814</v>
      </c>
      <c r="DQ257" s="20">
        <f t="shared" si="1350"/>
        <v>317886.87961450254</v>
      </c>
      <c r="DR257" s="20">
        <f t="shared" si="1350"/>
        <v>367092.84010238148</v>
      </c>
      <c r="DS257" s="20">
        <f t="shared" si="1350"/>
        <v>96334.70375864071</v>
      </c>
      <c r="DT257" s="20">
        <f t="shared" si="1350"/>
        <v>203479.26755335674</v>
      </c>
      <c r="DU257" s="20">
        <f t="shared" si="1350"/>
        <v>397526.7528367003</v>
      </c>
      <c r="DV257" s="20">
        <f t="shared" si="1350"/>
        <v>171489.71294785148</v>
      </c>
      <c r="DW257" s="20">
        <f t="shared" si="1350"/>
        <v>321650.237523043</v>
      </c>
      <c r="DX257" s="20">
        <f t="shared" si="1350"/>
        <v>453088.02558467153</v>
      </c>
      <c r="DY257" s="20">
        <f t="shared" si="1350"/>
        <v>149983.36548255768</v>
      </c>
      <c r="DZ257" s="20">
        <f t="shared" si="1350"/>
        <v>267435.19498121215</v>
      </c>
      <c r="EA257" s="20">
        <f t="shared" si="1350"/>
        <v>470214.68344222789</v>
      </c>
      <c r="EB257" s="20">
        <f t="shared" si="1350"/>
        <v>179733.63619406486</v>
      </c>
      <c r="EC257" s="20">
        <f t="shared" si="1350"/>
        <v>516405.86661681096</v>
      </c>
      <c r="ED257" s="20">
        <f t="shared" si="1350"/>
        <v>596340.73747172125</v>
      </c>
      <c r="EE257" s="20">
        <f t="shared" si="1350"/>
        <v>150808.24410915835</v>
      </c>
      <c r="EF257" s="20">
        <f t="shared" si="1350"/>
        <v>318538.90503698116</v>
      </c>
      <c r="EG257" s="20">
        <f t="shared" si="1350"/>
        <v>622312.72057387652</v>
      </c>
      <c r="EH257" s="20">
        <f t="shared" si="1350"/>
        <v>268460.49744694814</v>
      </c>
      <c r="EI257" s="20">
        <f t="shared" si="1350"/>
        <v>503530.97736902483</v>
      </c>
      <c r="EJ257" s="20">
        <f t="shared" si="1350"/>
        <v>709291.73910685268</v>
      </c>
      <c r="EK257" s="20">
        <f t="shared" si="1350"/>
        <v>234793.14423051712</v>
      </c>
      <c r="EL257" s="20">
        <f t="shared" si="1350"/>
        <v>418659.43003421003</v>
      </c>
      <c r="EM257" s="20">
        <f t="shared" si="1350"/>
        <v>736102.85803059477</v>
      </c>
      <c r="EN257" s="20">
        <f t="shared" si="1350"/>
        <v>281366.03969522234</v>
      </c>
      <c r="EO257" s="20">
        <f t="shared" si="1350"/>
        <v>808413.36458839965</v>
      </c>
      <c r="EP257" s="20">
        <f t="shared" si="1350"/>
        <v>933548.30606207484</v>
      </c>
      <c r="EQ257" s="20">
        <f t="shared" ref="EQ257:FB257" si="1351">EQ$253*EQ233</f>
        <v>227787.40029288735</v>
      </c>
      <c r="ER257" s="20">
        <f t="shared" si="1351"/>
        <v>481135.16273020825</v>
      </c>
      <c r="ES257" s="20">
        <f t="shared" si="1351"/>
        <v>939968.48531776539</v>
      </c>
      <c r="ET257" s="20">
        <f t="shared" si="1351"/>
        <v>405494.53483797971</v>
      </c>
      <c r="EU257" s="20">
        <f t="shared" si="1351"/>
        <v>760555.31963362626</v>
      </c>
      <c r="EV257" s="20">
        <f t="shared" si="1351"/>
        <v>1071345.4178501314</v>
      </c>
      <c r="EW257" s="20">
        <f t="shared" si="1351"/>
        <v>354641.88477753458</v>
      </c>
      <c r="EX257" s="20">
        <f t="shared" si="1351"/>
        <v>632361.60422746616</v>
      </c>
      <c r="EY257" s="20">
        <f t="shared" si="1351"/>
        <v>1111842.1102866679</v>
      </c>
      <c r="EZ257" s="20">
        <f t="shared" si="1351"/>
        <v>424987.63307985407</v>
      </c>
      <c r="FA257" s="20">
        <f t="shared" si="1351"/>
        <v>1221063.0776148315</v>
      </c>
      <c r="FB257" s="20">
        <f t="shared" si="1351"/>
        <v>1410072.3932027724</v>
      </c>
    </row>
    <row r="259" spans="3:158" s="1" customFormat="1" x14ac:dyDescent="0.25">
      <c r="C259" s="304" t="s">
        <v>646</v>
      </c>
      <c r="D259" s="22">
        <f t="shared" si="1239"/>
        <v>-250321</v>
      </c>
      <c r="E259" s="22">
        <f t="shared" si="1239"/>
        <v>-339419.07</v>
      </c>
      <c r="F259" s="22">
        <f t="shared" si="1239"/>
        <v>-466971.60076899995</v>
      </c>
      <c r="G259" s="22">
        <f t="shared" si="1239"/>
        <v>-788183.57850139972</v>
      </c>
      <c r="H259" s="22">
        <f t="shared" si="1239"/>
        <v>-1377628.5259046492</v>
      </c>
      <c r="I259" s="22">
        <f t="shared" si="1239"/>
        <v>-2215966.6030625738</v>
      </c>
      <c r="J259" s="22">
        <f t="shared" si="1239"/>
        <v>-3546103.5373059665</v>
      </c>
      <c r="K259" s="22">
        <f t="shared" si="1239"/>
        <v>-5596388.5535649722</v>
      </c>
      <c r="L259" s="22">
        <f t="shared" si="1239"/>
        <v>-8672875.4296420012</v>
      </c>
      <c r="N259" s="22">
        <f t="shared" ref="N259:N263" si="1352">SUM(AY259:BA259)</f>
        <v>-27800</v>
      </c>
      <c r="O259" s="22">
        <f t="shared" ref="O259:O263" si="1353">SUM(BB259:BD259)</f>
        <v>0</v>
      </c>
      <c r="P259" s="22">
        <f t="shared" ref="P259:P263" si="1354">SUM(BE259:BG259)</f>
        <v>-69577</v>
      </c>
      <c r="Q259" s="22">
        <f t="shared" ref="Q259:Q263" si="1355">SUM(BH259:BJ259)</f>
        <v>-152944</v>
      </c>
      <c r="R259" s="22">
        <f t="shared" ref="R259:R263" si="1356">SUM(BK259:BM259)</f>
        <v>-101455.77</v>
      </c>
      <c r="S259" s="22">
        <f t="shared" ref="S259:S263" si="1357">SUM(BN259:BP259)</f>
        <v>-132720</v>
      </c>
      <c r="T259" s="22">
        <f t="shared" ref="T259:T263" si="1358">SUM(BQ259:BS259)</f>
        <v>-20250</v>
      </c>
      <c r="U259" s="22">
        <f t="shared" ref="U259:U263" si="1359">SUM(BT259:BV259)</f>
        <v>-84993.3</v>
      </c>
      <c r="V259" s="22">
        <f t="shared" ref="V259:V263" si="1360">SUM(BW259:BY259)</f>
        <v>-31354</v>
      </c>
      <c r="W259" s="22">
        <f t="shared" ref="W259:W263" si="1361">SUM(BZ259:CB259)</f>
        <v>-219721.23076900002</v>
      </c>
      <c r="X259" s="22">
        <f t="shared" ref="X259:X263" si="1362">SUM(CC259:CE259)</f>
        <v>-71732.539999999994</v>
      </c>
      <c r="Y259" s="22">
        <f t="shared" ref="Y259:Y263" si="1363">SUM(CF259:CH259)</f>
        <v>-144163.82999999999</v>
      </c>
      <c r="Z259" s="22">
        <f t="shared" ref="Z259:Z263" si="1364">SUM(CI259:CK259)</f>
        <v>-391015.83</v>
      </c>
      <c r="AA259" s="22">
        <f t="shared" ref="AA259:AA263" si="1365">SUM(CL259:CN259)</f>
        <v>-101708.23999999999</v>
      </c>
      <c r="AB259" s="22">
        <f t="shared" ref="AB259:AB263" si="1366">SUM(CO259:CQ259)</f>
        <v>-136984.82022687755</v>
      </c>
      <c r="AC259" s="22">
        <f t="shared" ref="AC259:AC263" si="1367">SUM(CR259:CT259)</f>
        <v>-158474.68827452211</v>
      </c>
      <c r="AD259" s="22">
        <f t="shared" ref="AD259:AD263" si="1368">SUM(CU259:CW259)</f>
        <v>-283459.28493081487</v>
      </c>
      <c r="AE259" s="22">
        <f t="shared" ref="AE259:AE263" si="1369">SUM(CX259:CZ259)</f>
        <v>-319279.25111393956</v>
      </c>
      <c r="AF259" s="22">
        <f t="shared" ref="AF259:AF263" si="1370">SUM(DA259:DC259)</f>
        <v>-292627.59022584202</v>
      </c>
      <c r="AG259" s="22">
        <f t="shared" ref="AG259:AG263" si="1371">SUM(DD259:DF259)</f>
        <v>-482262.39963405253</v>
      </c>
      <c r="AH259" s="22">
        <f t="shared" ref="AH259:AH263" si="1372">SUM(DG259:DI259)</f>
        <v>-455954.77802857256</v>
      </c>
      <c r="AI259" s="22">
        <f t="shared" ref="AI259:AI263" si="1373">SUM(DJ259:DL259)</f>
        <v>-513572.52279217727</v>
      </c>
      <c r="AJ259" s="22">
        <f t="shared" ref="AJ259:AJ263" si="1374">SUM(DM259:DO259)</f>
        <v>-470702.33730048931</v>
      </c>
      <c r="AK259" s="22">
        <f t="shared" ref="AK259:AK263" si="1375">SUM(DP259:DR259)</f>
        <v>-775736.96494133421</v>
      </c>
      <c r="AL259" s="22">
        <f t="shared" ref="AL259:AL263" si="1376">SUM(DS259:DU259)</f>
        <v>-729642.24685701262</v>
      </c>
      <c r="AM259" s="22">
        <f t="shared" ref="AM259:AM263" si="1377">SUM(DV259:DX259)</f>
        <v>-821845.1204181182</v>
      </c>
      <c r="AN259" s="22">
        <f t="shared" ref="AN259:AN263" si="1378">SUM(DY259:EA259)</f>
        <v>-753242.04841922806</v>
      </c>
      <c r="AO259" s="22">
        <f t="shared" ref="AO259:AO263" si="1379">SUM(EB259:ED259)</f>
        <v>-1241374.1216116075</v>
      </c>
      <c r="AP259" s="22">
        <f t="shared" ref="AP259:AP263" si="1380">SUM(EE259:EG259)</f>
        <v>-1151506.5692667875</v>
      </c>
      <c r="AQ259" s="22">
        <f t="shared" ref="AQ259:AQ263" si="1381">SUM(EH259:EJ259)</f>
        <v>-1297019.2709616697</v>
      </c>
      <c r="AR259" s="22">
        <f t="shared" ref="AR259:AR263" si="1382">SUM(EK259:EM259)</f>
        <v>-1188751.296596302</v>
      </c>
      <c r="AS259" s="22">
        <f t="shared" ref="AS259:AS263" si="1383">SUM(EN259:EP259)</f>
        <v>-1959111.4167402128</v>
      </c>
      <c r="AT259" s="22">
        <f t="shared" ref="AT259:AT263" si="1384">SUM(EQ259:ES259)</f>
        <v>-1784521.0238848603</v>
      </c>
      <c r="AU259" s="22">
        <f t="shared" ref="AU259:AU263" si="1385">SUM(ET259:EV259)</f>
        <v>-2010026.0121735041</v>
      </c>
      <c r="AV259" s="22">
        <f t="shared" ref="AV259:AV263" si="1386">SUM(EW259:EY259)</f>
        <v>-1842240.1899949571</v>
      </c>
      <c r="AW259" s="22">
        <f t="shared" ref="AW259:AW263" si="1387">SUM(EZ259:FB259)</f>
        <v>-3036088.2035886785</v>
      </c>
      <c r="AY259" s="49">
        <f t="shared" ref="AY259:CD259" si="1388">AY61</f>
        <v>-7200</v>
      </c>
      <c r="AZ259" s="49">
        <f t="shared" si="1388"/>
        <v>0</v>
      </c>
      <c r="BA259" s="49">
        <f t="shared" si="1388"/>
        <v>-20600</v>
      </c>
      <c r="BB259" s="49">
        <f t="shared" si="1388"/>
        <v>0</v>
      </c>
      <c r="BC259" s="49">
        <f t="shared" si="1388"/>
        <v>0</v>
      </c>
      <c r="BD259" s="49">
        <f t="shared" si="1388"/>
        <v>0</v>
      </c>
      <c r="BE259" s="49">
        <f t="shared" si="1388"/>
        <v>-60000</v>
      </c>
      <c r="BF259" s="49">
        <f t="shared" si="1388"/>
        <v>-3577</v>
      </c>
      <c r="BG259" s="49">
        <f t="shared" si="1388"/>
        <v>-6000</v>
      </c>
      <c r="BH259" s="49">
        <f t="shared" si="1388"/>
        <v>-75000</v>
      </c>
      <c r="BI259" s="49">
        <f t="shared" si="1388"/>
        <v>-38944</v>
      </c>
      <c r="BJ259" s="49">
        <f t="shared" si="1388"/>
        <v>-39000</v>
      </c>
      <c r="BK259" s="49">
        <f t="shared" si="1388"/>
        <v>-49000</v>
      </c>
      <c r="BL259" s="49">
        <f t="shared" si="1388"/>
        <v>-40000</v>
      </c>
      <c r="BM259" s="49">
        <f t="shared" si="1388"/>
        <v>-12455.77</v>
      </c>
      <c r="BN259" s="49">
        <f t="shared" si="1388"/>
        <v>-22500</v>
      </c>
      <c r="BO259" s="49">
        <f t="shared" si="1388"/>
        <v>-19000</v>
      </c>
      <c r="BP259" s="49">
        <f t="shared" si="1388"/>
        <v>-91220</v>
      </c>
      <c r="BQ259" s="49">
        <f t="shared" si="1388"/>
        <v>0</v>
      </c>
      <c r="BR259" s="49">
        <f t="shared" si="1388"/>
        <v>-6750</v>
      </c>
      <c r="BS259" s="49">
        <f t="shared" si="1388"/>
        <v>-13500</v>
      </c>
      <c r="BT259" s="49">
        <f t="shared" si="1388"/>
        <v>-73500</v>
      </c>
      <c r="BU259" s="49">
        <f t="shared" si="1388"/>
        <v>0</v>
      </c>
      <c r="BV259" s="49">
        <f t="shared" si="1388"/>
        <v>-11493.3</v>
      </c>
      <c r="BW259" s="49">
        <f t="shared" si="1388"/>
        <v>-468</v>
      </c>
      <c r="BX259" s="49">
        <f t="shared" si="1388"/>
        <v>-12500</v>
      </c>
      <c r="BY259" s="49">
        <f t="shared" si="1388"/>
        <v>-18386</v>
      </c>
      <c r="BZ259" s="49">
        <f t="shared" si="1388"/>
        <v>-120177</v>
      </c>
      <c r="CA259" s="49">
        <f t="shared" si="1388"/>
        <v>-32519.230769000002</v>
      </c>
      <c r="CB259" s="49">
        <f t="shared" si="1388"/>
        <v>-67025</v>
      </c>
      <c r="CC259" s="49">
        <f t="shared" si="1388"/>
        <v>-40183.339999999997</v>
      </c>
      <c r="CD259" s="49">
        <f t="shared" si="1388"/>
        <v>-13500</v>
      </c>
      <c r="CE259" s="49">
        <f t="shared" ref="CE259:DJ259" si="1389">CE61</f>
        <v>-18049.2</v>
      </c>
      <c r="CF259" s="49">
        <f t="shared" si="1389"/>
        <v>0</v>
      </c>
      <c r="CG259" s="49">
        <f t="shared" si="1389"/>
        <v>-86200.23</v>
      </c>
      <c r="CH259" s="49">
        <f t="shared" si="1389"/>
        <v>-57963.6</v>
      </c>
      <c r="CI259" s="49">
        <f t="shared" si="1389"/>
        <v>0</v>
      </c>
      <c r="CJ259" s="49">
        <f t="shared" si="1389"/>
        <v>-267166.83</v>
      </c>
      <c r="CK259" s="49">
        <f t="shared" si="1389"/>
        <v>-123849</v>
      </c>
      <c r="CL259" s="49">
        <f t="shared" si="1389"/>
        <v>0</v>
      </c>
      <c r="CM259" s="49">
        <f t="shared" si="1389"/>
        <v>-38000</v>
      </c>
      <c r="CN259" s="49">
        <f t="shared" si="1389"/>
        <v>-63708.24</v>
      </c>
      <c r="CO259" s="49">
        <f t="shared" si="1389"/>
        <v>-19353.690538258052</v>
      </c>
      <c r="CP259" s="49">
        <f t="shared" si="1389"/>
        <v>-44029.416689425358</v>
      </c>
      <c r="CQ259" s="49">
        <f t="shared" si="1389"/>
        <v>-73601.712999194133</v>
      </c>
      <c r="CR259" s="49">
        <f t="shared" si="1389"/>
        <v>-23436.213232123002</v>
      </c>
      <c r="CS259" s="49">
        <f t="shared" si="1389"/>
        <v>-77024.111806279878</v>
      </c>
      <c r="CT259" s="49">
        <f t="shared" si="1389"/>
        <v>-58014.363236119229</v>
      </c>
      <c r="CU259" s="49">
        <f t="shared" si="1389"/>
        <v>-61353.505009180801</v>
      </c>
      <c r="CV259" s="49">
        <f t="shared" si="1389"/>
        <v>-77598.641403002577</v>
      </c>
      <c r="CW259" s="49">
        <f t="shared" si="1389"/>
        <v>-144507.13851863146</v>
      </c>
      <c r="CX259" s="49">
        <f t="shared" si="1389"/>
        <v>-95817.634059311924</v>
      </c>
      <c r="CY259" s="49">
        <f t="shared" si="1389"/>
        <v>-78500.704919620126</v>
      </c>
      <c r="CZ259" s="49">
        <f t="shared" si="1389"/>
        <v>-144960.91213500747</v>
      </c>
      <c r="DA259" s="49">
        <f t="shared" si="1389"/>
        <v>-96638.8091190712</v>
      </c>
      <c r="DB259" s="49">
        <f t="shared" si="1389"/>
        <v>-75807.721782903216</v>
      </c>
      <c r="DC259" s="49">
        <f t="shared" si="1389"/>
        <v>-120181.05932386762</v>
      </c>
      <c r="DD259" s="49">
        <f t="shared" si="1389"/>
        <v>-95004.641897831083</v>
      </c>
      <c r="DE259" s="49">
        <f t="shared" si="1389"/>
        <v>-199677.53420948965</v>
      </c>
      <c r="DF259" s="49">
        <f t="shared" si="1389"/>
        <v>-187580.22352673183</v>
      </c>
      <c r="DG259" s="49">
        <f t="shared" si="1389"/>
        <v>-98689.389428763257</v>
      </c>
      <c r="DH259" s="49">
        <f t="shared" si="1389"/>
        <v>-124820.294120408</v>
      </c>
      <c r="DI259" s="49">
        <f t="shared" si="1389"/>
        <v>-232445.0944794013</v>
      </c>
      <c r="DJ259" s="49">
        <f t="shared" si="1389"/>
        <v>-154126.21985340794</v>
      </c>
      <c r="DK259" s="49">
        <f t="shared" ref="DK259:EP259" si="1390">DK61</f>
        <v>-126271.29675941984</v>
      </c>
      <c r="DL259" s="49">
        <f t="shared" si="1390"/>
        <v>-233175.00617934953</v>
      </c>
      <c r="DM259" s="49">
        <f t="shared" si="1390"/>
        <v>-155447.11040806564</v>
      </c>
      <c r="DN259" s="49">
        <f t="shared" si="1390"/>
        <v>-121939.53345649563</v>
      </c>
      <c r="DO259" s="49">
        <f t="shared" si="1390"/>
        <v>-193315.69343592806</v>
      </c>
      <c r="DP259" s="49">
        <f t="shared" si="1390"/>
        <v>-152818.49179427081</v>
      </c>
      <c r="DQ259" s="49">
        <f t="shared" si="1390"/>
        <v>-321188.72313532454</v>
      </c>
      <c r="DR259" s="49">
        <f t="shared" si="1390"/>
        <v>-301729.75001173891</v>
      </c>
      <c r="DS259" s="49">
        <f t="shared" si="1390"/>
        <v>-157927.82818307725</v>
      </c>
      <c r="DT259" s="49">
        <f t="shared" si="1390"/>
        <v>-199743.84356525037</v>
      </c>
      <c r="DU259" s="49">
        <f t="shared" si="1390"/>
        <v>-371970.57510868501</v>
      </c>
      <c r="DV259" s="49">
        <f t="shared" si="1390"/>
        <v>-246640.69063965662</v>
      </c>
      <c r="DW259" s="49">
        <f t="shared" si="1390"/>
        <v>-202065.81249011095</v>
      </c>
      <c r="DX259" s="49">
        <f t="shared" si="1390"/>
        <v>-373138.61728835059</v>
      </c>
      <c r="DY259" s="49">
        <f t="shared" si="1390"/>
        <v>-248754.44752651229</v>
      </c>
      <c r="DZ259" s="49">
        <f t="shared" si="1390"/>
        <v>-195133.9024378375</v>
      </c>
      <c r="EA259" s="49">
        <f t="shared" si="1390"/>
        <v>-309353.69845487823</v>
      </c>
      <c r="EB259" s="49">
        <f t="shared" si="1390"/>
        <v>-244547.99705396293</v>
      </c>
      <c r="EC259" s="49">
        <f t="shared" si="1390"/>
        <v>-513982.68623672001</v>
      </c>
      <c r="ED259" s="49">
        <f t="shared" si="1390"/>
        <v>-482843.43832092453</v>
      </c>
      <c r="EE259" s="49">
        <f t="shared" si="1390"/>
        <v>-249238.48969300147</v>
      </c>
      <c r="EF259" s="49">
        <f t="shared" si="1390"/>
        <v>-315231.67555984115</v>
      </c>
      <c r="EG259" s="49">
        <f t="shared" si="1390"/>
        <v>-587036.40401394491</v>
      </c>
      <c r="EH259" s="49">
        <f t="shared" si="1390"/>
        <v>-389243.32677205704</v>
      </c>
      <c r="EI259" s="49">
        <f t="shared" si="1390"/>
        <v>-318896.1597397633</v>
      </c>
      <c r="EJ259" s="49">
        <f t="shared" si="1390"/>
        <v>-588879.78444984939</v>
      </c>
      <c r="EK259" s="49">
        <f t="shared" si="1390"/>
        <v>-392579.21494400967</v>
      </c>
      <c r="EL259" s="49">
        <f t="shared" si="1390"/>
        <v>-307956.36013640556</v>
      </c>
      <c r="EM259" s="49">
        <f t="shared" si="1390"/>
        <v>-488215.72151588672</v>
      </c>
      <c r="EN259" s="49">
        <f t="shared" si="1390"/>
        <v>-385940.68027403846</v>
      </c>
      <c r="EO259" s="49">
        <f t="shared" si="1390"/>
        <v>-811157.03242298472</v>
      </c>
      <c r="EP259" s="49">
        <f t="shared" si="1390"/>
        <v>-762013.70404318976</v>
      </c>
      <c r="EQ259" s="49">
        <f t="shared" ref="EQ259:FB259" si="1391">EQ61</f>
        <v>-386251.66081481904</v>
      </c>
      <c r="ER259" s="49">
        <f t="shared" si="1391"/>
        <v>-488523.09439205291</v>
      </c>
      <c r="ES259" s="49">
        <f t="shared" si="1391"/>
        <v>-909746.26867798844</v>
      </c>
      <c r="ET259" s="49">
        <f t="shared" si="1391"/>
        <v>-603220.96162587206</v>
      </c>
      <c r="EU259" s="49">
        <f t="shared" si="1391"/>
        <v>-494202.04511217627</v>
      </c>
      <c r="EV259" s="49">
        <f t="shared" si="1391"/>
        <v>-912603.00543545571</v>
      </c>
      <c r="EW259" s="49">
        <f t="shared" si="1391"/>
        <v>-608390.67818247736</v>
      </c>
      <c r="EX259" s="49">
        <f t="shared" si="1391"/>
        <v>-477248.34036543762</v>
      </c>
      <c r="EY259" s="49">
        <f t="shared" si="1391"/>
        <v>-756601.17144704214</v>
      </c>
      <c r="EZ259" s="49">
        <f t="shared" si="1391"/>
        <v>-598102.76059474237</v>
      </c>
      <c r="FA259" s="49">
        <f t="shared" si="1391"/>
        <v>-1257072.0972547904</v>
      </c>
      <c r="FB259" s="49">
        <f t="shared" si="1391"/>
        <v>-1180913.345739146</v>
      </c>
    </row>
    <row r="260" spans="3:158" x14ac:dyDescent="0.25">
      <c r="C260" s="2" t="s">
        <v>346</v>
      </c>
      <c r="D260" s="244">
        <f t="shared" si="1239"/>
        <v>-237804.94999999998</v>
      </c>
      <c r="E260" s="244">
        <f t="shared" si="1239"/>
        <v>-322448.1165</v>
      </c>
      <c r="F260" s="244">
        <f t="shared" si="1239"/>
        <v>-443623.02073054999</v>
      </c>
      <c r="G260" s="244">
        <f t="shared" si="1239"/>
        <v>-748447.8284834706</v>
      </c>
      <c r="H260" s="244">
        <f t="shared" si="1239"/>
        <v>-1258576.9203189688</v>
      </c>
      <c r="I260" s="244">
        <f t="shared" si="1239"/>
        <v>-1930823.5437614326</v>
      </c>
      <c r="J260" s="244">
        <f t="shared" si="1239"/>
        <v>-2575771.589808628</v>
      </c>
      <c r="K260" s="244">
        <f t="shared" si="1239"/>
        <v>-3145298.1167524713</v>
      </c>
      <c r="L260" s="244">
        <f t="shared" si="1239"/>
        <v>-3709545.5936178304</v>
      </c>
      <c r="N260" s="244">
        <f t="shared" si="1352"/>
        <v>-26410</v>
      </c>
      <c r="O260" s="244">
        <f t="shared" si="1353"/>
        <v>0</v>
      </c>
      <c r="P260" s="244">
        <f t="shared" si="1354"/>
        <v>-66098.149999999994</v>
      </c>
      <c r="Q260" s="244">
        <f t="shared" si="1355"/>
        <v>-145296.79999999999</v>
      </c>
      <c r="R260" s="244">
        <f t="shared" si="1356"/>
        <v>-96382.981499999994</v>
      </c>
      <c r="S260" s="244">
        <f t="shared" si="1357"/>
        <v>-126084</v>
      </c>
      <c r="T260" s="244">
        <f t="shared" si="1358"/>
        <v>-19237.5</v>
      </c>
      <c r="U260" s="244">
        <f t="shared" si="1359"/>
        <v>-80743.634999999995</v>
      </c>
      <c r="V260" s="244">
        <f t="shared" si="1360"/>
        <v>-29786.300000000003</v>
      </c>
      <c r="W260" s="244">
        <f t="shared" si="1361"/>
        <v>-208735.16923055</v>
      </c>
      <c r="X260" s="244">
        <f t="shared" si="1362"/>
        <v>-68145.913</v>
      </c>
      <c r="Y260" s="244">
        <f t="shared" si="1363"/>
        <v>-136955.6385</v>
      </c>
      <c r="Z260" s="244">
        <f t="shared" si="1364"/>
        <v>-371303.02742743859</v>
      </c>
      <c r="AA260" s="244">
        <f t="shared" si="1365"/>
        <v>-96580.686838986818</v>
      </c>
      <c r="AB260" s="244">
        <f t="shared" si="1366"/>
        <v>-130078.82177517738</v>
      </c>
      <c r="AC260" s="244">
        <f t="shared" si="1367"/>
        <v>-150485.29244186779</v>
      </c>
      <c r="AD260" s="244">
        <f t="shared" si="1368"/>
        <v>-258963.3614255854</v>
      </c>
      <c r="AE260" s="244">
        <f t="shared" si="1369"/>
        <v>-291687.84547696094</v>
      </c>
      <c r="AF260" s="244">
        <f t="shared" si="1370"/>
        <v>-267339.36208598269</v>
      </c>
      <c r="AG260" s="244">
        <f t="shared" si="1371"/>
        <v>-440586.35133043991</v>
      </c>
      <c r="AH260" s="244">
        <f t="shared" si="1372"/>
        <v>-397284.06515304616</v>
      </c>
      <c r="AI260" s="244">
        <f t="shared" si="1373"/>
        <v>-447487.75413204636</v>
      </c>
      <c r="AJ260" s="244">
        <f t="shared" si="1374"/>
        <v>-410133.95856564562</v>
      </c>
      <c r="AK260" s="244">
        <f t="shared" si="1375"/>
        <v>-675917.76591069438</v>
      </c>
      <c r="AL260" s="244">
        <f t="shared" si="1376"/>
        <v>-529987.84451912309</v>
      </c>
      <c r="AM260" s="244">
        <f t="shared" si="1377"/>
        <v>-596960.94322278933</v>
      </c>
      <c r="AN260" s="244">
        <f t="shared" si="1378"/>
        <v>-547129.95493681752</v>
      </c>
      <c r="AO260" s="244">
        <f t="shared" si="1379"/>
        <v>-901692.84712989803</v>
      </c>
      <c r="AP260" s="244">
        <f t="shared" si="1380"/>
        <v>-647172.97755099088</v>
      </c>
      <c r="AQ260" s="244">
        <f t="shared" si="1381"/>
        <v>-728954.43754503084</v>
      </c>
      <c r="AR260" s="244">
        <f t="shared" si="1382"/>
        <v>-668105.36450147477</v>
      </c>
      <c r="AS260" s="244">
        <f t="shared" si="1383"/>
        <v>-1101065.3371549747</v>
      </c>
      <c r="AT260" s="244">
        <f t="shared" si="1384"/>
        <v>-763271.89921874786</v>
      </c>
      <c r="AU260" s="244">
        <f t="shared" si="1385"/>
        <v>-859724.45897602639</v>
      </c>
      <c r="AV260" s="244">
        <f t="shared" si="1386"/>
        <v>-787959.42990542378</v>
      </c>
      <c r="AW260" s="244">
        <f t="shared" si="1387"/>
        <v>-1298589.8055176325</v>
      </c>
      <c r="AY260" s="20">
        <f t="shared" ref="AY260:CD260" si="1392">AY$259*AY236</f>
        <v>-6840</v>
      </c>
      <c r="AZ260" s="20">
        <f t="shared" si="1392"/>
        <v>0</v>
      </c>
      <c r="BA260" s="20">
        <f t="shared" si="1392"/>
        <v>-19570</v>
      </c>
      <c r="BB260" s="20">
        <f t="shared" si="1392"/>
        <v>0</v>
      </c>
      <c r="BC260" s="20">
        <f t="shared" si="1392"/>
        <v>0</v>
      </c>
      <c r="BD260" s="20">
        <f t="shared" si="1392"/>
        <v>0</v>
      </c>
      <c r="BE260" s="20">
        <f t="shared" si="1392"/>
        <v>-57000</v>
      </c>
      <c r="BF260" s="20">
        <f t="shared" si="1392"/>
        <v>-3398.1499999999996</v>
      </c>
      <c r="BG260" s="20">
        <f t="shared" si="1392"/>
        <v>-5700</v>
      </c>
      <c r="BH260" s="20">
        <f t="shared" si="1392"/>
        <v>-71250</v>
      </c>
      <c r="BI260" s="20">
        <f t="shared" si="1392"/>
        <v>-36996.799999999996</v>
      </c>
      <c r="BJ260" s="20">
        <f t="shared" si="1392"/>
        <v>-37050</v>
      </c>
      <c r="BK260" s="20">
        <f t="shared" si="1392"/>
        <v>-46550</v>
      </c>
      <c r="BL260" s="20">
        <f t="shared" si="1392"/>
        <v>-38000</v>
      </c>
      <c r="BM260" s="20">
        <f t="shared" si="1392"/>
        <v>-11832.9815</v>
      </c>
      <c r="BN260" s="20">
        <f t="shared" si="1392"/>
        <v>-21375</v>
      </c>
      <c r="BO260" s="20">
        <f t="shared" si="1392"/>
        <v>-18050</v>
      </c>
      <c r="BP260" s="20">
        <f t="shared" si="1392"/>
        <v>-86659</v>
      </c>
      <c r="BQ260" s="20">
        <f t="shared" si="1392"/>
        <v>0</v>
      </c>
      <c r="BR260" s="20">
        <f t="shared" si="1392"/>
        <v>-6412.5</v>
      </c>
      <c r="BS260" s="20">
        <f t="shared" si="1392"/>
        <v>-12825</v>
      </c>
      <c r="BT260" s="20">
        <f t="shared" si="1392"/>
        <v>-69825</v>
      </c>
      <c r="BU260" s="20">
        <f t="shared" si="1392"/>
        <v>0</v>
      </c>
      <c r="BV260" s="20">
        <f t="shared" si="1392"/>
        <v>-10918.634999999998</v>
      </c>
      <c r="BW260" s="20">
        <f t="shared" si="1392"/>
        <v>-444.59999999999997</v>
      </c>
      <c r="BX260" s="20">
        <f t="shared" si="1392"/>
        <v>-11875</v>
      </c>
      <c r="BY260" s="20">
        <f t="shared" si="1392"/>
        <v>-17466.7</v>
      </c>
      <c r="BZ260" s="20">
        <f t="shared" si="1392"/>
        <v>-114168.15</v>
      </c>
      <c r="CA260" s="20">
        <f t="shared" si="1392"/>
        <v>-30893.269230549999</v>
      </c>
      <c r="CB260" s="20">
        <f t="shared" si="1392"/>
        <v>-63673.75</v>
      </c>
      <c r="CC260" s="20">
        <f t="shared" si="1392"/>
        <v>-38174.172999999995</v>
      </c>
      <c r="CD260" s="20">
        <f t="shared" si="1392"/>
        <v>-12825</v>
      </c>
      <c r="CE260" s="20">
        <f t="shared" ref="CE260:DJ260" si="1393">CE$259*CE236</f>
        <v>-17146.740000000002</v>
      </c>
      <c r="CF260" s="20">
        <f t="shared" si="1393"/>
        <v>0</v>
      </c>
      <c r="CG260" s="20">
        <f t="shared" si="1393"/>
        <v>-81890.218499999988</v>
      </c>
      <c r="CH260" s="20">
        <f t="shared" si="1393"/>
        <v>-55065.42</v>
      </c>
      <c r="CI260" s="20">
        <f t="shared" si="1393"/>
        <v>0</v>
      </c>
      <c r="CJ260" s="20">
        <f t="shared" si="1393"/>
        <v>-253697.79225355614</v>
      </c>
      <c r="CK260" s="20">
        <f t="shared" si="1393"/>
        <v>-117605.23517388245</v>
      </c>
      <c r="CL260" s="20">
        <f t="shared" si="1393"/>
        <v>0</v>
      </c>
      <c r="CM260" s="20">
        <f t="shared" si="1393"/>
        <v>-36084.25531580823</v>
      </c>
      <c r="CN260" s="20">
        <f t="shared" si="1393"/>
        <v>-60496.431523178588</v>
      </c>
      <c r="CO260" s="20">
        <f t="shared" si="1393"/>
        <v>-18377.987123306462</v>
      </c>
      <c r="CP260" s="20">
        <f t="shared" si="1393"/>
        <v>-41809.702979666647</v>
      </c>
      <c r="CQ260" s="20">
        <f t="shared" si="1393"/>
        <v>-69891.131672204268</v>
      </c>
      <c r="CR260" s="20">
        <f t="shared" si="1393"/>
        <v>-22254.6921553592</v>
      </c>
      <c r="CS260" s="20">
        <f t="shared" si="1393"/>
        <v>-73140.992523451627</v>
      </c>
      <c r="CT260" s="20">
        <f t="shared" si="1393"/>
        <v>-55089.607763056963</v>
      </c>
      <c r="CU260" s="20">
        <f t="shared" si="1393"/>
        <v>-56051.471012131013</v>
      </c>
      <c r="CV260" s="20">
        <f t="shared" si="1393"/>
        <v>-70892.738703849041</v>
      </c>
      <c r="CW260" s="20">
        <f t="shared" si="1393"/>
        <v>-132019.15170960536</v>
      </c>
      <c r="CX260" s="20">
        <f t="shared" si="1393"/>
        <v>-87537.286372194008</v>
      </c>
      <c r="CY260" s="20">
        <f t="shared" si="1393"/>
        <v>-71716.847889546319</v>
      </c>
      <c r="CZ260" s="20">
        <f t="shared" si="1393"/>
        <v>-132433.71121522062</v>
      </c>
      <c r="DA260" s="20">
        <f t="shared" si="1393"/>
        <v>-88287.49730229644</v>
      </c>
      <c r="DB260" s="20">
        <f t="shared" si="1393"/>
        <v>-69256.586390203156</v>
      </c>
      <c r="DC260" s="20">
        <f t="shared" si="1393"/>
        <v>-109795.27839348307</v>
      </c>
      <c r="DD260" s="20">
        <f t="shared" si="1393"/>
        <v>-86794.551192426952</v>
      </c>
      <c r="DE260" s="20">
        <f t="shared" si="1393"/>
        <v>-182421.84401432695</v>
      </c>
      <c r="DF260" s="20">
        <f t="shared" si="1393"/>
        <v>-171369.95612368602</v>
      </c>
      <c r="DG260" s="20">
        <f t="shared" si="1393"/>
        <v>-85990.373846404051</v>
      </c>
      <c r="DH260" s="20">
        <f t="shared" si="1393"/>
        <v>-108758.84243644672</v>
      </c>
      <c r="DI260" s="20">
        <f t="shared" si="1393"/>
        <v>-202534.84887019542</v>
      </c>
      <c r="DJ260" s="20">
        <f t="shared" si="1393"/>
        <v>-134293.78113940265</v>
      </c>
      <c r="DK260" s="20">
        <f t="shared" ref="DK260:EP260" si="1394">DK$259*DK236</f>
        <v>-110023.13498200767</v>
      </c>
      <c r="DL260" s="20">
        <f t="shared" si="1394"/>
        <v>-203170.83801063607</v>
      </c>
      <c r="DM260" s="20">
        <f t="shared" si="1394"/>
        <v>-135444.70398189515</v>
      </c>
      <c r="DN260" s="20">
        <f t="shared" si="1394"/>
        <v>-106248.7682746175</v>
      </c>
      <c r="DO260" s="20">
        <f t="shared" si="1394"/>
        <v>-168440.48630913298</v>
      </c>
      <c r="DP260" s="20">
        <f t="shared" si="1394"/>
        <v>-133154.32708719367</v>
      </c>
      <c r="DQ260" s="20">
        <f t="shared" si="1394"/>
        <v>-279859.24867426587</v>
      </c>
      <c r="DR260" s="20">
        <f t="shared" si="1394"/>
        <v>-262904.1901492349</v>
      </c>
      <c r="DS260" s="20">
        <f t="shared" si="1394"/>
        <v>-114713.51831514508</v>
      </c>
      <c r="DT260" s="20">
        <f t="shared" si="1394"/>
        <v>-145087.28018850257</v>
      </c>
      <c r="DU260" s="20">
        <f t="shared" si="1394"/>
        <v>-270187.04601547541</v>
      </c>
      <c r="DV260" s="20">
        <f t="shared" si="1394"/>
        <v>-179151.589105333</v>
      </c>
      <c r="DW260" s="20">
        <f t="shared" si="1394"/>
        <v>-146773.8811368827</v>
      </c>
      <c r="DX260" s="20">
        <f t="shared" si="1394"/>
        <v>-271035.47298057372</v>
      </c>
      <c r="DY260" s="20">
        <f t="shared" si="1394"/>
        <v>-180686.95175891797</v>
      </c>
      <c r="DZ260" s="20">
        <f t="shared" si="1394"/>
        <v>-141738.7723793647</v>
      </c>
      <c r="EA260" s="20">
        <f t="shared" si="1394"/>
        <v>-224704.23079853482</v>
      </c>
      <c r="EB260" s="20">
        <f t="shared" si="1394"/>
        <v>-177631.52613269354</v>
      </c>
      <c r="EC260" s="20">
        <f t="shared" si="1394"/>
        <v>-373339.91716097941</v>
      </c>
      <c r="ED260" s="20">
        <f t="shared" si="1394"/>
        <v>-350721.40383622504</v>
      </c>
      <c r="EE260" s="20">
        <f t="shared" si="1394"/>
        <v>-140077.72061399394</v>
      </c>
      <c r="EF260" s="20">
        <f t="shared" si="1394"/>
        <v>-177167.39750807645</v>
      </c>
      <c r="EG260" s="20">
        <f t="shared" si="1394"/>
        <v>-329927.85942892049</v>
      </c>
      <c r="EH260" s="20">
        <f t="shared" si="1394"/>
        <v>-218763.63496504037</v>
      </c>
      <c r="EI260" s="20">
        <f t="shared" si="1394"/>
        <v>-179226.92126695416</v>
      </c>
      <c r="EJ260" s="20">
        <f t="shared" si="1394"/>
        <v>-330963.88131303631</v>
      </c>
      <c r="EK260" s="20">
        <f t="shared" si="1394"/>
        <v>-220638.48026652602</v>
      </c>
      <c r="EL260" s="20">
        <f t="shared" si="1394"/>
        <v>-173078.5041653268</v>
      </c>
      <c r="EM260" s="20">
        <f t="shared" si="1394"/>
        <v>-274388.38006962196</v>
      </c>
      <c r="EN260" s="20">
        <f t="shared" si="1394"/>
        <v>-216907.47224311859</v>
      </c>
      <c r="EO260" s="20">
        <f t="shared" si="1394"/>
        <v>-455888.7686319254</v>
      </c>
      <c r="EP260" s="20">
        <f t="shared" si="1394"/>
        <v>-428269.09627993079</v>
      </c>
      <c r="EQ260" s="20">
        <f t="shared" ref="EQ260:FB260" si="1395">EQ$259*EQ236</f>
        <v>-165206.81728070488</v>
      </c>
      <c r="ER260" s="20">
        <f t="shared" si="1395"/>
        <v>-208950.15809738103</v>
      </c>
      <c r="ES260" s="20">
        <f t="shared" si="1395"/>
        <v>-389114.92384066194</v>
      </c>
      <c r="ET260" s="20">
        <f t="shared" si="1395"/>
        <v>-258008.50921129063</v>
      </c>
      <c r="EU260" s="20">
        <f t="shared" si="1395"/>
        <v>-211379.14797404941</v>
      </c>
      <c r="EV260" s="20">
        <f t="shared" si="1395"/>
        <v>-390336.80179068638</v>
      </c>
      <c r="EW260" s="20">
        <f t="shared" si="1395"/>
        <v>-260219.69043121964</v>
      </c>
      <c r="EX260" s="20">
        <f t="shared" si="1395"/>
        <v>-204127.74199584109</v>
      </c>
      <c r="EY260" s="20">
        <f t="shared" si="1395"/>
        <v>-323611.99747836305</v>
      </c>
      <c r="EZ260" s="20">
        <f t="shared" si="1395"/>
        <v>-255819.36211281084</v>
      </c>
      <c r="FA260" s="20">
        <f t="shared" si="1395"/>
        <v>-537672.45904325403</v>
      </c>
      <c r="FB260" s="20">
        <f t="shared" si="1395"/>
        <v>-505097.98436156753</v>
      </c>
    </row>
    <row r="261" spans="3:158" x14ac:dyDescent="0.25">
      <c r="C261" s="2" t="s">
        <v>298</v>
      </c>
      <c r="D261" s="244">
        <f t="shared" si="1239"/>
        <v>-5006.42</v>
      </c>
      <c r="E261" s="244">
        <f t="shared" si="1239"/>
        <v>-6788.3814000000002</v>
      </c>
      <c r="F261" s="244">
        <f t="shared" si="1239"/>
        <v>-9339.4320153799999</v>
      </c>
      <c r="G261" s="244">
        <f t="shared" si="1239"/>
        <v>-15894.300007171629</v>
      </c>
      <c r="H261" s="244">
        <f t="shared" si="1239"/>
        <v>-33932.109450574186</v>
      </c>
      <c r="I261" s="244">
        <f t="shared" si="1239"/>
        <v>-73530.006291155179</v>
      </c>
      <c r="J261" s="244">
        <f t="shared" si="1239"/>
        <v>-253133.8719681541</v>
      </c>
      <c r="K261" s="244">
        <f t="shared" si="1239"/>
        <v>-521719.0085878098</v>
      </c>
      <c r="L261" s="244">
        <f t="shared" si="1239"/>
        <v>-917670.77745278343</v>
      </c>
      <c r="N261" s="244">
        <f t="shared" si="1352"/>
        <v>-556</v>
      </c>
      <c r="O261" s="244">
        <f t="shared" si="1353"/>
        <v>0</v>
      </c>
      <c r="P261" s="244">
        <f t="shared" si="1354"/>
        <v>-1391.54</v>
      </c>
      <c r="Q261" s="244">
        <f t="shared" si="1355"/>
        <v>-3058.88</v>
      </c>
      <c r="R261" s="244">
        <f t="shared" si="1356"/>
        <v>-2029.1154000000001</v>
      </c>
      <c r="S261" s="244">
        <f t="shared" si="1357"/>
        <v>-2654.4</v>
      </c>
      <c r="T261" s="244">
        <f t="shared" si="1358"/>
        <v>-405</v>
      </c>
      <c r="U261" s="244">
        <f t="shared" si="1359"/>
        <v>-1699.866</v>
      </c>
      <c r="V261" s="244">
        <f t="shared" si="1360"/>
        <v>-627.08000000000004</v>
      </c>
      <c r="W261" s="244">
        <f t="shared" si="1361"/>
        <v>-4394.4246153799995</v>
      </c>
      <c r="X261" s="244">
        <f t="shared" si="1362"/>
        <v>-1434.6507999999999</v>
      </c>
      <c r="Y261" s="244">
        <f t="shared" si="1363"/>
        <v>-2883.2766000000001</v>
      </c>
      <c r="Z261" s="244">
        <f t="shared" si="1364"/>
        <v>-7885.1210290245654</v>
      </c>
      <c r="AA261" s="244">
        <f t="shared" si="1365"/>
        <v>-2051.0212644052735</v>
      </c>
      <c r="AB261" s="244">
        <f t="shared" si="1366"/>
        <v>-2762.3993806800654</v>
      </c>
      <c r="AC261" s="244">
        <f t="shared" si="1367"/>
        <v>-3195.7583330617254</v>
      </c>
      <c r="AD261" s="244">
        <f t="shared" si="1368"/>
        <v>-6981.8324027065246</v>
      </c>
      <c r="AE261" s="244">
        <f t="shared" si="1369"/>
        <v>-7864.1072614123586</v>
      </c>
      <c r="AF261" s="244">
        <f t="shared" si="1370"/>
        <v>-7207.6552082722346</v>
      </c>
      <c r="AG261" s="244">
        <f t="shared" si="1371"/>
        <v>-11878.514578183065</v>
      </c>
      <c r="AH261" s="244">
        <f t="shared" si="1372"/>
        <v>-15129.450800652025</v>
      </c>
      <c r="AI261" s="244">
        <f t="shared" si="1373"/>
        <v>-17041.317671341683</v>
      </c>
      <c r="AJ261" s="244">
        <f t="shared" si="1374"/>
        <v>-15618.802997812643</v>
      </c>
      <c r="AK261" s="244">
        <f t="shared" si="1375"/>
        <v>-25740.434821348819</v>
      </c>
      <c r="AL261" s="244">
        <f t="shared" si="1376"/>
        <v>-52084.538749473977</v>
      </c>
      <c r="AM261" s="244">
        <f t="shared" si="1377"/>
        <v>-58666.31791795374</v>
      </c>
      <c r="AN261" s="244">
        <f t="shared" si="1378"/>
        <v>-53769.179111571852</v>
      </c>
      <c r="AO261" s="244">
        <f t="shared" si="1379"/>
        <v>-88613.836189154565</v>
      </c>
      <c r="AP261" s="244">
        <f t="shared" si="1380"/>
        <v>-107348.31221065321</v>
      </c>
      <c r="AQ261" s="244">
        <f t="shared" si="1381"/>
        <v>-120913.62164879573</v>
      </c>
      <c r="AR261" s="244">
        <f t="shared" si="1382"/>
        <v>-110820.42320357196</v>
      </c>
      <c r="AS261" s="244">
        <f t="shared" si="1383"/>
        <v>-182636.65152478893</v>
      </c>
      <c r="AT261" s="244">
        <f t="shared" si="1384"/>
        <v>-188818.89964339702</v>
      </c>
      <c r="AU261" s="244">
        <f t="shared" si="1385"/>
        <v>-212679.42198124208</v>
      </c>
      <c r="AV261" s="244">
        <f t="shared" si="1386"/>
        <v>-194926.12353561952</v>
      </c>
      <c r="AW261" s="244">
        <f t="shared" si="1387"/>
        <v>-321246.33229252475</v>
      </c>
      <c r="AY261" s="20">
        <f t="shared" ref="AY261:CD261" si="1396">AY$259*AY237</f>
        <v>-144</v>
      </c>
      <c r="AZ261" s="20">
        <f t="shared" si="1396"/>
        <v>0</v>
      </c>
      <c r="BA261" s="20">
        <f t="shared" si="1396"/>
        <v>-412</v>
      </c>
      <c r="BB261" s="20">
        <f t="shared" si="1396"/>
        <v>0</v>
      </c>
      <c r="BC261" s="20">
        <f t="shared" si="1396"/>
        <v>0</v>
      </c>
      <c r="BD261" s="20">
        <f t="shared" si="1396"/>
        <v>0</v>
      </c>
      <c r="BE261" s="20">
        <f t="shared" si="1396"/>
        <v>-1200</v>
      </c>
      <c r="BF261" s="20">
        <f t="shared" si="1396"/>
        <v>-71.540000000000006</v>
      </c>
      <c r="BG261" s="20">
        <f t="shared" si="1396"/>
        <v>-120</v>
      </c>
      <c r="BH261" s="20">
        <f t="shared" si="1396"/>
        <v>-1500</v>
      </c>
      <c r="BI261" s="20">
        <f t="shared" si="1396"/>
        <v>-778.88</v>
      </c>
      <c r="BJ261" s="20">
        <f t="shared" si="1396"/>
        <v>-780</v>
      </c>
      <c r="BK261" s="20">
        <f t="shared" si="1396"/>
        <v>-980</v>
      </c>
      <c r="BL261" s="20">
        <f t="shared" si="1396"/>
        <v>-800</v>
      </c>
      <c r="BM261" s="20">
        <f t="shared" si="1396"/>
        <v>-249.11540000000002</v>
      </c>
      <c r="BN261" s="20">
        <f t="shared" si="1396"/>
        <v>-450</v>
      </c>
      <c r="BO261" s="20">
        <f t="shared" si="1396"/>
        <v>-380</v>
      </c>
      <c r="BP261" s="20">
        <f t="shared" si="1396"/>
        <v>-1824.4</v>
      </c>
      <c r="BQ261" s="20">
        <f t="shared" si="1396"/>
        <v>0</v>
      </c>
      <c r="BR261" s="20">
        <f t="shared" si="1396"/>
        <v>-135</v>
      </c>
      <c r="BS261" s="20">
        <f t="shared" si="1396"/>
        <v>-270</v>
      </c>
      <c r="BT261" s="20">
        <f t="shared" si="1396"/>
        <v>-1470</v>
      </c>
      <c r="BU261" s="20">
        <f t="shared" si="1396"/>
        <v>0</v>
      </c>
      <c r="BV261" s="20">
        <f t="shared" si="1396"/>
        <v>-229.86599999999999</v>
      </c>
      <c r="BW261" s="20">
        <f t="shared" si="1396"/>
        <v>-9.36</v>
      </c>
      <c r="BX261" s="20">
        <f t="shared" si="1396"/>
        <v>-250</v>
      </c>
      <c r="BY261" s="20">
        <f t="shared" si="1396"/>
        <v>-367.72</v>
      </c>
      <c r="BZ261" s="20">
        <f t="shared" si="1396"/>
        <v>-2403.54</v>
      </c>
      <c r="CA261" s="20">
        <f t="shared" si="1396"/>
        <v>-650.38461538000001</v>
      </c>
      <c r="CB261" s="20">
        <f t="shared" si="1396"/>
        <v>-1340.5</v>
      </c>
      <c r="CC261" s="20">
        <f t="shared" si="1396"/>
        <v>-803.66679999999997</v>
      </c>
      <c r="CD261" s="20">
        <f t="shared" si="1396"/>
        <v>-270</v>
      </c>
      <c r="CE261" s="20">
        <f t="shared" ref="CE261:DJ261" si="1397">CE$259*CE237</f>
        <v>-360.98400000000004</v>
      </c>
      <c r="CF261" s="20">
        <f t="shared" si="1397"/>
        <v>0</v>
      </c>
      <c r="CG261" s="20">
        <f t="shared" si="1397"/>
        <v>-1724.0046</v>
      </c>
      <c r="CH261" s="20">
        <f t="shared" si="1397"/>
        <v>-1159.2719999999999</v>
      </c>
      <c r="CI261" s="20">
        <f t="shared" si="1397"/>
        <v>0</v>
      </c>
      <c r="CJ261" s="20">
        <f t="shared" si="1397"/>
        <v>-5387.6150985775466</v>
      </c>
      <c r="CK261" s="20">
        <f t="shared" si="1397"/>
        <v>-2497.5059304470187</v>
      </c>
      <c r="CL261" s="20">
        <f t="shared" si="1397"/>
        <v>0</v>
      </c>
      <c r="CM261" s="20">
        <f t="shared" si="1397"/>
        <v>-766.29787367670883</v>
      </c>
      <c r="CN261" s="20">
        <f t="shared" si="1397"/>
        <v>-1284.7233907285645</v>
      </c>
      <c r="CO261" s="20">
        <f t="shared" si="1397"/>
        <v>-390.28136598063639</v>
      </c>
      <c r="CP261" s="20">
        <f t="shared" si="1397"/>
        <v>-887.88548390348546</v>
      </c>
      <c r="CQ261" s="20">
        <f t="shared" si="1397"/>
        <v>-1484.2325307959434</v>
      </c>
      <c r="CR261" s="20">
        <f t="shared" si="1397"/>
        <v>-472.60843070552119</v>
      </c>
      <c r="CS261" s="20">
        <f t="shared" si="1397"/>
        <v>-1553.247713131299</v>
      </c>
      <c r="CT261" s="20">
        <f t="shared" si="1397"/>
        <v>-1169.9021892249052</v>
      </c>
      <c r="CU261" s="20">
        <f t="shared" si="1397"/>
        <v>-1511.1866573616287</v>
      </c>
      <c r="CV261" s="20">
        <f t="shared" si="1397"/>
        <v>-1911.317560423968</v>
      </c>
      <c r="CW261" s="20">
        <f t="shared" si="1397"/>
        <v>-3559.3281849209275</v>
      </c>
      <c r="CX261" s="20">
        <f t="shared" si="1397"/>
        <v>-2360.0661463224315</v>
      </c>
      <c r="CY261" s="20">
        <f t="shared" si="1397"/>
        <v>-1933.5361174599705</v>
      </c>
      <c r="CZ261" s="20">
        <f t="shared" si="1397"/>
        <v>-3570.5049976299574</v>
      </c>
      <c r="DA261" s="20">
        <f t="shared" si="1397"/>
        <v>-2380.2923549714837</v>
      </c>
      <c r="DB261" s="20">
        <f t="shared" si="1397"/>
        <v>-1867.2057556640552</v>
      </c>
      <c r="DC261" s="20">
        <f t="shared" si="1397"/>
        <v>-2960.1570976366957</v>
      </c>
      <c r="DD261" s="20">
        <f t="shared" si="1397"/>
        <v>-2340.0414891038163</v>
      </c>
      <c r="DE261" s="20">
        <f t="shared" si="1397"/>
        <v>-4918.2198380858226</v>
      </c>
      <c r="DF261" s="20">
        <f t="shared" si="1397"/>
        <v>-4620.2532509934254</v>
      </c>
      <c r="DG261" s="20">
        <f t="shared" si="1397"/>
        <v>-3274.7025228350499</v>
      </c>
      <c r="DH261" s="20">
        <f t="shared" si="1397"/>
        <v>-4141.7758729995958</v>
      </c>
      <c r="DI261" s="20">
        <f t="shared" si="1397"/>
        <v>-7712.9724048173794</v>
      </c>
      <c r="DJ261" s="20">
        <f t="shared" si="1397"/>
        <v>-5114.2024883364347</v>
      </c>
      <c r="DK261" s="20">
        <f t="shared" ref="DK261:EP261" si="1398">DK$259*DK237</f>
        <v>-4189.9229132246473</v>
      </c>
      <c r="DL261" s="20">
        <f t="shared" si="1398"/>
        <v>-7737.1922697805994</v>
      </c>
      <c r="DM261" s="20">
        <f t="shared" si="1398"/>
        <v>-5158.0321609766625</v>
      </c>
      <c r="DN261" s="20">
        <f t="shared" si="1398"/>
        <v>-4046.1867294411863</v>
      </c>
      <c r="DO261" s="20">
        <f t="shared" si="1398"/>
        <v>-6414.584107394795</v>
      </c>
      <c r="DP261" s="20">
        <f t="shared" si="1398"/>
        <v>-5070.809572449265</v>
      </c>
      <c r="DQ261" s="20">
        <f t="shared" si="1398"/>
        <v>-10657.655580254981</v>
      </c>
      <c r="DR261" s="20">
        <f t="shared" si="1398"/>
        <v>-10011.969668644575</v>
      </c>
      <c r="DS261" s="20">
        <f t="shared" si="1398"/>
        <v>-11273.467404134179</v>
      </c>
      <c r="DT261" s="20">
        <f t="shared" si="1398"/>
        <v>-14258.447896838859</v>
      </c>
      <c r="DU261" s="20">
        <f t="shared" si="1398"/>
        <v>-26552.623448500941</v>
      </c>
      <c r="DV261" s="20">
        <f t="shared" si="1398"/>
        <v>-17606.116784155554</v>
      </c>
      <c r="DW261" s="20">
        <f t="shared" si="1398"/>
        <v>-14424.198551989282</v>
      </c>
      <c r="DX261" s="20">
        <f t="shared" si="1398"/>
        <v>-26636.002581808905</v>
      </c>
      <c r="DY261" s="20">
        <f t="shared" si="1398"/>
        <v>-17757.004500642146</v>
      </c>
      <c r="DZ261" s="20">
        <f t="shared" si="1398"/>
        <v>-13929.373397222362</v>
      </c>
      <c r="EA261" s="20">
        <f t="shared" si="1398"/>
        <v>-22082.801213707349</v>
      </c>
      <c r="EB261" s="20">
        <f t="shared" si="1398"/>
        <v>-17456.732643332634</v>
      </c>
      <c r="EC261" s="20">
        <f t="shared" si="1398"/>
        <v>-36689.96861567608</v>
      </c>
      <c r="ED261" s="20">
        <f t="shared" si="1398"/>
        <v>-34467.134930145854</v>
      </c>
      <c r="EE261" s="20">
        <f t="shared" si="1398"/>
        <v>-23235.066060901619</v>
      </c>
      <c r="EF261" s="20">
        <f t="shared" si="1398"/>
        <v>-29387.229938455541</v>
      </c>
      <c r="EG261" s="20">
        <f t="shared" si="1398"/>
        <v>-54726.016211296046</v>
      </c>
      <c r="EH261" s="20">
        <f t="shared" si="1398"/>
        <v>-36286.90906630789</v>
      </c>
      <c r="EI261" s="20">
        <f t="shared" si="1398"/>
        <v>-29728.848651137101</v>
      </c>
      <c r="EJ261" s="20">
        <f t="shared" si="1398"/>
        <v>-54897.86393135073</v>
      </c>
      <c r="EK261" s="20">
        <f t="shared" si="1398"/>
        <v>-36597.894669464818</v>
      </c>
      <c r="EL261" s="20">
        <f t="shared" si="1398"/>
        <v>-28708.99426672747</v>
      </c>
      <c r="EM261" s="20">
        <f t="shared" si="1398"/>
        <v>-45513.534267379662</v>
      </c>
      <c r="EN261" s="20">
        <f t="shared" si="1398"/>
        <v>-35979.022392577092</v>
      </c>
      <c r="EO261" s="20">
        <f t="shared" si="1398"/>
        <v>-75619.48901763944</v>
      </c>
      <c r="EP261" s="20">
        <f t="shared" si="1398"/>
        <v>-71038.140114572408</v>
      </c>
      <c r="EQ261" s="20">
        <f t="shared" ref="EQ261:FB261" si="1399">EQ$259*EQ237</f>
        <v>-40869.0133679223</v>
      </c>
      <c r="ER261" s="20">
        <f t="shared" si="1399"/>
        <v>-51690.280976732509</v>
      </c>
      <c r="ES261" s="20">
        <f t="shared" si="1399"/>
        <v>-96259.60529874223</v>
      </c>
      <c r="ET261" s="20">
        <f t="shared" si="1399"/>
        <v>-63826.380687895966</v>
      </c>
      <c r="EU261" s="20">
        <f t="shared" si="1399"/>
        <v>-52291.1667111961</v>
      </c>
      <c r="EV261" s="20">
        <f t="shared" si="1399"/>
        <v>-96561.87458215002</v>
      </c>
      <c r="EW261" s="20">
        <f t="shared" si="1399"/>
        <v>-64373.38471789693</v>
      </c>
      <c r="EX261" s="20">
        <f t="shared" si="1399"/>
        <v>-50497.307276472638</v>
      </c>
      <c r="EY261" s="20">
        <f t="shared" si="1399"/>
        <v>-80055.431541249942</v>
      </c>
      <c r="EZ261" s="20">
        <f t="shared" si="1399"/>
        <v>-63284.827478986306</v>
      </c>
      <c r="FA261" s="20">
        <f t="shared" si="1399"/>
        <v>-133009.90405780819</v>
      </c>
      <c r="FB261" s="20">
        <f t="shared" si="1399"/>
        <v>-124951.60075573025</v>
      </c>
    </row>
    <row r="262" spans="3:158" x14ac:dyDescent="0.25">
      <c r="C262" s="2" t="s">
        <v>299</v>
      </c>
      <c r="D262" s="244">
        <f t="shared" si="1239"/>
        <v>-2503.21</v>
      </c>
      <c r="E262" s="244">
        <f t="shared" si="1239"/>
        <v>-3394.1907000000001</v>
      </c>
      <c r="F262" s="244">
        <f t="shared" si="1239"/>
        <v>-4669.71600769</v>
      </c>
      <c r="G262" s="244">
        <f t="shared" si="1239"/>
        <v>-7947.1500035858144</v>
      </c>
      <c r="H262" s="244">
        <f t="shared" si="1239"/>
        <v>-35730.707041112502</v>
      </c>
      <c r="I262" s="244">
        <f t="shared" si="1239"/>
        <v>-117070.95457761269</v>
      </c>
      <c r="J262" s="244">
        <f t="shared" si="1239"/>
        <v>-552013.84456392471</v>
      </c>
      <c r="K262" s="244">
        <f t="shared" si="1239"/>
        <v>-1656145.681565417</v>
      </c>
      <c r="L262" s="244">
        <f t="shared" si="1239"/>
        <v>-3611039.7494891635</v>
      </c>
      <c r="N262" s="244">
        <f t="shared" si="1352"/>
        <v>-278</v>
      </c>
      <c r="O262" s="244">
        <f t="shared" si="1353"/>
        <v>0</v>
      </c>
      <c r="P262" s="244">
        <f t="shared" si="1354"/>
        <v>-695.77</v>
      </c>
      <c r="Q262" s="244">
        <f t="shared" si="1355"/>
        <v>-1529.44</v>
      </c>
      <c r="R262" s="244">
        <f t="shared" si="1356"/>
        <v>-1014.5577000000001</v>
      </c>
      <c r="S262" s="244">
        <f t="shared" si="1357"/>
        <v>-1327.2</v>
      </c>
      <c r="T262" s="244">
        <f t="shared" si="1358"/>
        <v>-202.5</v>
      </c>
      <c r="U262" s="244">
        <f t="shared" si="1359"/>
        <v>-849.93299999999999</v>
      </c>
      <c r="V262" s="244">
        <f t="shared" si="1360"/>
        <v>-313.54000000000002</v>
      </c>
      <c r="W262" s="244">
        <f t="shared" si="1361"/>
        <v>-2197.2123076899998</v>
      </c>
      <c r="X262" s="244">
        <f t="shared" si="1362"/>
        <v>-717.32539999999995</v>
      </c>
      <c r="Y262" s="244">
        <f t="shared" si="1363"/>
        <v>-1441.6383000000001</v>
      </c>
      <c r="Z262" s="244">
        <f t="shared" si="1364"/>
        <v>-3942.5605145122827</v>
      </c>
      <c r="AA262" s="244">
        <f t="shared" si="1365"/>
        <v>-1025.5106322026368</v>
      </c>
      <c r="AB262" s="244">
        <f t="shared" si="1366"/>
        <v>-1381.1996903400327</v>
      </c>
      <c r="AC262" s="244">
        <f t="shared" si="1367"/>
        <v>-1597.8791665308627</v>
      </c>
      <c r="AD262" s="244">
        <f t="shared" si="1368"/>
        <v>-7351.9098055081895</v>
      </c>
      <c r="AE262" s="244">
        <f t="shared" si="1369"/>
        <v>-8280.950322487417</v>
      </c>
      <c r="AF262" s="244">
        <f t="shared" si="1370"/>
        <v>-7589.7025227756976</v>
      </c>
      <c r="AG262" s="244">
        <f t="shared" si="1371"/>
        <v>-12508.144390341202</v>
      </c>
      <c r="AH262" s="244">
        <f t="shared" si="1372"/>
        <v>-24088.386997464695</v>
      </c>
      <c r="AI262" s="244">
        <f t="shared" si="1373"/>
        <v>-27132.369867405981</v>
      </c>
      <c r="AJ262" s="244">
        <f t="shared" si="1374"/>
        <v>-24867.510130127026</v>
      </c>
      <c r="AK262" s="244">
        <f t="shared" si="1375"/>
        <v>-40982.687582615006</v>
      </c>
      <c r="AL262" s="244">
        <f t="shared" si="1376"/>
        <v>-113581.74334351014</v>
      </c>
      <c r="AM262" s="244">
        <f t="shared" si="1377"/>
        <v>-127934.75424092312</v>
      </c>
      <c r="AN262" s="244">
        <f t="shared" si="1378"/>
        <v>-117255.47059209504</v>
      </c>
      <c r="AO262" s="244">
        <f t="shared" si="1379"/>
        <v>-193241.8763873963</v>
      </c>
      <c r="AP262" s="244">
        <f t="shared" si="1380"/>
        <v>-340766.6593790339</v>
      </c>
      <c r="AQ262" s="244">
        <f t="shared" si="1381"/>
        <v>-383828.4000387995</v>
      </c>
      <c r="AR262" s="244">
        <f t="shared" si="1382"/>
        <v>-351788.53424305923</v>
      </c>
      <c r="AS262" s="244">
        <f t="shared" si="1383"/>
        <v>-579762.08790452452</v>
      </c>
      <c r="AT262" s="244">
        <f t="shared" si="1384"/>
        <v>-743003.44831694732</v>
      </c>
      <c r="AU262" s="244">
        <f t="shared" si="1385"/>
        <v>-836894.73996807076</v>
      </c>
      <c r="AV262" s="244">
        <f t="shared" si="1386"/>
        <v>-767035.40920716967</v>
      </c>
      <c r="AW262" s="244">
        <f t="shared" si="1387"/>
        <v>-1264106.1519969758</v>
      </c>
      <c r="AY262" s="20">
        <f t="shared" ref="AY262:CD262" si="1400">AY$259*AY238</f>
        <v>-72</v>
      </c>
      <c r="AZ262" s="20">
        <f t="shared" si="1400"/>
        <v>0</v>
      </c>
      <c r="BA262" s="20">
        <f t="shared" si="1400"/>
        <v>-206</v>
      </c>
      <c r="BB262" s="20">
        <f t="shared" si="1400"/>
        <v>0</v>
      </c>
      <c r="BC262" s="20">
        <f t="shared" si="1400"/>
        <v>0</v>
      </c>
      <c r="BD262" s="20">
        <f t="shared" si="1400"/>
        <v>0</v>
      </c>
      <c r="BE262" s="20">
        <f t="shared" si="1400"/>
        <v>-600</v>
      </c>
      <c r="BF262" s="20">
        <f t="shared" si="1400"/>
        <v>-35.770000000000003</v>
      </c>
      <c r="BG262" s="20">
        <f t="shared" si="1400"/>
        <v>-60</v>
      </c>
      <c r="BH262" s="20">
        <f t="shared" si="1400"/>
        <v>-750</v>
      </c>
      <c r="BI262" s="20">
        <f t="shared" si="1400"/>
        <v>-389.44</v>
      </c>
      <c r="BJ262" s="20">
        <f t="shared" si="1400"/>
        <v>-390</v>
      </c>
      <c r="BK262" s="20">
        <f t="shared" si="1400"/>
        <v>-490</v>
      </c>
      <c r="BL262" s="20">
        <f t="shared" si="1400"/>
        <v>-400</v>
      </c>
      <c r="BM262" s="20">
        <f t="shared" si="1400"/>
        <v>-124.55770000000001</v>
      </c>
      <c r="BN262" s="20">
        <f t="shared" si="1400"/>
        <v>-225</v>
      </c>
      <c r="BO262" s="20">
        <f t="shared" si="1400"/>
        <v>-190</v>
      </c>
      <c r="BP262" s="20">
        <f t="shared" si="1400"/>
        <v>-912.2</v>
      </c>
      <c r="BQ262" s="20">
        <f t="shared" si="1400"/>
        <v>0</v>
      </c>
      <c r="BR262" s="20">
        <f t="shared" si="1400"/>
        <v>-67.5</v>
      </c>
      <c r="BS262" s="20">
        <f t="shared" si="1400"/>
        <v>-135</v>
      </c>
      <c r="BT262" s="20">
        <f t="shared" si="1400"/>
        <v>-735</v>
      </c>
      <c r="BU262" s="20">
        <f t="shared" si="1400"/>
        <v>0</v>
      </c>
      <c r="BV262" s="20">
        <f t="shared" si="1400"/>
        <v>-114.93299999999999</v>
      </c>
      <c r="BW262" s="20">
        <f t="shared" si="1400"/>
        <v>-4.68</v>
      </c>
      <c r="BX262" s="20">
        <f t="shared" si="1400"/>
        <v>-125</v>
      </c>
      <c r="BY262" s="20">
        <f t="shared" si="1400"/>
        <v>-183.86</v>
      </c>
      <c r="BZ262" s="20">
        <f t="shared" si="1400"/>
        <v>-1201.77</v>
      </c>
      <c r="CA262" s="20">
        <f t="shared" si="1400"/>
        <v>-325.19230769000001</v>
      </c>
      <c r="CB262" s="20">
        <f t="shared" si="1400"/>
        <v>-670.25</v>
      </c>
      <c r="CC262" s="20">
        <f t="shared" si="1400"/>
        <v>-401.83339999999998</v>
      </c>
      <c r="CD262" s="20">
        <f t="shared" si="1400"/>
        <v>-135</v>
      </c>
      <c r="CE262" s="20">
        <f t="shared" ref="CE262:DJ262" si="1401">CE$259*CE238</f>
        <v>-180.49200000000002</v>
      </c>
      <c r="CF262" s="20">
        <f t="shared" si="1401"/>
        <v>0</v>
      </c>
      <c r="CG262" s="20">
        <f t="shared" si="1401"/>
        <v>-862.00229999999999</v>
      </c>
      <c r="CH262" s="20">
        <f t="shared" si="1401"/>
        <v>-579.63599999999997</v>
      </c>
      <c r="CI262" s="20">
        <f t="shared" si="1401"/>
        <v>0</v>
      </c>
      <c r="CJ262" s="20">
        <f t="shared" si="1401"/>
        <v>-2693.8075492887733</v>
      </c>
      <c r="CK262" s="20">
        <f t="shared" si="1401"/>
        <v>-1248.7529652235094</v>
      </c>
      <c r="CL262" s="20">
        <f t="shared" si="1401"/>
        <v>0</v>
      </c>
      <c r="CM262" s="20">
        <f t="shared" si="1401"/>
        <v>-383.14893683835442</v>
      </c>
      <c r="CN262" s="20">
        <f t="shared" si="1401"/>
        <v>-642.36169536428224</v>
      </c>
      <c r="CO262" s="20">
        <f t="shared" si="1401"/>
        <v>-195.1406829903182</v>
      </c>
      <c r="CP262" s="20">
        <f t="shared" si="1401"/>
        <v>-443.94274195174273</v>
      </c>
      <c r="CQ262" s="20">
        <f t="shared" si="1401"/>
        <v>-742.11626539797169</v>
      </c>
      <c r="CR262" s="20">
        <f t="shared" si="1401"/>
        <v>-236.30421535276059</v>
      </c>
      <c r="CS262" s="20">
        <f t="shared" si="1401"/>
        <v>-776.62385656564948</v>
      </c>
      <c r="CT262" s="20">
        <f t="shared" si="1401"/>
        <v>-584.95109461245261</v>
      </c>
      <c r="CU262" s="20">
        <f t="shared" si="1401"/>
        <v>-1591.2882698105504</v>
      </c>
      <c r="CV262" s="20">
        <f t="shared" si="1401"/>
        <v>-2012.6284195068524</v>
      </c>
      <c r="CW262" s="20">
        <f t="shared" si="1401"/>
        <v>-3747.9931161907866</v>
      </c>
      <c r="CX262" s="20">
        <f t="shared" si="1401"/>
        <v>-2485.1632697556097</v>
      </c>
      <c r="CY262" s="20">
        <f t="shared" si="1401"/>
        <v>-2036.024688267745</v>
      </c>
      <c r="CZ262" s="20">
        <f t="shared" si="1401"/>
        <v>-3759.7623644640616</v>
      </c>
      <c r="DA262" s="20">
        <f t="shared" si="1401"/>
        <v>-2506.461584169112</v>
      </c>
      <c r="DB262" s="20">
        <f t="shared" si="1401"/>
        <v>-1966.1784345677486</v>
      </c>
      <c r="DC262" s="20">
        <f t="shared" si="1401"/>
        <v>-3117.0625040388368</v>
      </c>
      <c r="DD262" s="20">
        <f t="shared" si="1401"/>
        <v>-2464.0771901613175</v>
      </c>
      <c r="DE262" s="20">
        <f t="shared" si="1401"/>
        <v>-5178.9138678337804</v>
      </c>
      <c r="DF262" s="20">
        <f t="shared" si="1401"/>
        <v>-4865.1533323461044</v>
      </c>
      <c r="DG262" s="20">
        <f t="shared" si="1401"/>
        <v>-5213.8245274722794</v>
      </c>
      <c r="DH262" s="20">
        <f t="shared" si="1401"/>
        <v>-6594.3371904336918</v>
      </c>
      <c r="DI262" s="20">
        <f t="shared" si="1401"/>
        <v>-12280.225279558723</v>
      </c>
      <c r="DJ262" s="20">
        <f t="shared" si="1401"/>
        <v>-8142.5882767096746</v>
      </c>
      <c r="DK262" s="20">
        <f t="shared" ref="DK262:EP262" si="1402">DK$259*DK238</f>
        <v>-6670.9946020611878</v>
      </c>
      <c r="DL262" s="20">
        <f t="shared" si="1402"/>
        <v>-12318.786988635118</v>
      </c>
      <c r="DM262" s="20">
        <f t="shared" si="1402"/>
        <v>-8212.3717824324649</v>
      </c>
      <c r="DN262" s="20">
        <f t="shared" si="1402"/>
        <v>-6442.1447339373908</v>
      </c>
      <c r="DO262" s="20">
        <f t="shared" si="1402"/>
        <v>-10212.993613757171</v>
      </c>
      <c r="DP262" s="20">
        <f t="shared" si="1402"/>
        <v>-8073.5001541723022</v>
      </c>
      <c r="DQ262" s="20">
        <f t="shared" si="1402"/>
        <v>-16968.608807122542</v>
      </c>
      <c r="DR262" s="20">
        <f t="shared" si="1402"/>
        <v>-15940.578621320165</v>
      </c>
      <c r="DS262" s="20">
        <f t="shared" si="1402"/>
        <v>-24584.264582754466</v>
      </c>
      <c r="DT262" s="20">
        <f t="shared" si="1402"/>
        <v>-31093.668262770574</v>
      </c>
      <c r="DU262" s="20">
        <f t="shared" si="1402"/>
        <v>-57903.810497985098</v>
      </c>
      <c r="DV262" s="20">
        <f t="shared" si="1402"/>
        <v>-38393.993416597514</v>
      </c>
      <c r="DW262" s="20">
        <f t="shared" si="1402"/>
        <v>-31455.12386599417</v>
      </c>
      <c r="DX262" s="20">
        <f t="shared" si="1402"/>
        <v>-58085.636958331444</v>
      </c>
      <c r="DY262" s="20">
        <f t="shared" si="1402"/>
        <v>-38723.037127056436</v>
      </c>
      <c r="DZ262" s="20">
        <f t="shared" si="1402"/>
        <v>-30376.049248496158</v>
      </c>
      <c r="EA262" s="20">
        <f t="shared" si="1402"/>
        <v>-48156.384216542443</v>
      </c>
      <c r="EB262" s="20">
        <f t="shared" si="1402"/>
        <v>-38068.228582158794</v>
      </c>
      <c r="EC262" s="20">
        <f t="shared" si="1402"/>
        <v>-80010.511730398095</v>
      </c>
      <c r="ED262" s="20">
        <f t="shared" si="1402"/>
        <v>-75163.136074839422</v>
      </c>
      <c r="EE262" s="20">
        <f t="shared" si="1402"/>
        <v>-73757.432035702368</v>
      </c>
      <c r="EF262" s="20">
        <f t="shared" si="1402"/>
        <v>-93286.871198122302</v>
      </c>
      <c r="EG262" s="20">
        <f t="shared" si="1402"/>
        <v>-173722.35614520923</v>
      </c>
      <c r="EH262" s="20">
        <f t="shared" si="1402"/>
        <v>-115189.22400430049</v>
      </c>
      <c r="EI262" s="20">
        <f t="shared" si="1402"/>
        <v>-94371.306203243046</v>
      </c>
      <c r="EJ262" s="20">
        <f t="shared" si="1402"/>
        <v>-174267.86983125602</v>
      </c>
      <c r="EK262" s="20">
        <f t="shared" si="1402"/>
        <v>-116176.41721600934</v>
      </c>
      <c r="EL262" s="20">
        <f t="shared" si="1402"/>
        <v>-91133.87876287158</v>
      </c>
      <c r="EM262" s="20">
        <f t="shared" si="1402"/>
        <v>-144478.23826417828</v>
      </c>
      <c r="EN262" s="20">
        <f t="shared" si="1402"/>
        <v>-114211.86803927437</v>
      </c>
      <c r="EO262" s="20">
        <f t="shared" si="1402"/>
        <v>-240046.63069060593</v>
      </c>
      <c r="EP262" s="20">
        <f t="shared" si="1402"/>
        <v>-225503.58917464415</v>
      </c>
      <c r="EQ262" s="20">
        <f t="shared" ref="EQ262:FB262" si="1403">EQ$259*EQ238</f>
        <v>-160819.80097875002</v>
      </c>
      <c r="ER262" s="20">
        <f t="shared" si="1403"/>
        <v>-203401.55081253915</v>
      </c>
      <c r="ES262" s="20">
        <f t="shared" si="1403"/>
        <v>-378782.0965256581</v>
      </c>
      <c r="ET262" s="20">
        <f t="shared" si="1403"/>
        <v>-251157.17247722714</v>
      </c>
      <c r="EU262" s="20">
        <f t="shared" si="1403"/>
        <v>-205766.03960891542</v>
      </c>
      <c r="EV262" s="20">
        <f t="shared" si="1403"/>
        <v>-379971.52788192825</v>
      </c>
      <c r="EW262" s="20">
        <f t="shared" si="1403"/>
        <v>-253309.6364588601</v>
      </c>
      <c r="EX262" s="20">
        <f t="shared" si="1403"/>
        <v>-198707.19248973072</v>
      </c>
      <c r="EY262" s="20">
        <f t="shared" si="1403"/>
        <v>-315018.58025857882</v>
      </c>
      <c r="EZ262" s="20">
        <f t="shared" si="1403"/>
        <v>-249026.15750771447</v>
      </c>
      <c r="FA262" s="20">
        <f t="shared" si="1403"/>
        <v>-523394.73199929617</v>
      </c>
      <c r="FB262" s="20">
        <f t="shared" si="1403"/>
        <v>-491685.26248996507</v>
      </c>
    </row>
    <row r="263" spans="3:158" x14ac:dyDescent="0.25">
      <c r="C263" s="2" t="s">
        <v>300</v>
      </c>
      <c r="D263" s="244">
        <f t="shared" si="1239"/>
        <v>-5006.42</v>
      </c>
      <c r="E263" s="244">
        <f t="shared" si="1239"/>
        <v>-6788.3814000000002</v>
      </c>
      <c r="F263" s="244">
        <f t="shared" si="1239"/>
        <v>-9339.4320153799999</v>
      </c>
      <c r="G263" s="244">
        <f t="shared" si="1239"/>
        <v>-15894.300007171629</v>
      </c>
      <c r="H263" s="244">
        <f t="shared" si="1239"/>
        <v>-49388.789093993255</v>
      </c>
      <c r="I263" s="244">
        <f t="shared" si="1239"/>
        <v>-94542.098432372994</v>
      </c>
      <c r="J263" s="244">
        <f t="shared" si="1239"/>
        <v>-165184.23096525969</v>
      </c>
      <c r="K263" s="244">
        <f t="shared" si="1239"/>
        <v>-273225.74665927328</v>
      </c>
      <c r="L263" s="244">
        <f t="shared" si="1239"/>
        <v>-434619.30908222345</v>
      </c>
      <c r="N263" s="244">
        <f t="shared" si="1352"/>
        <v>-556</v>
      </c>
      <c r="O263" s="244">
        <f t="shared" si="1353"/>
        <v>0</v>
      </c>
      <c r="P263" s="244">
        <f t="shared" si="1354"/>
        <v>-1391.54</v>
      </c>
      <c r="Q263" s="244">
        <f t="shared" si="1355"/>
        <v>-3058.88</v>
      </c>
      <c r="R263" s="244">
        <f t="shared" si="1356"/>
        <v>-2029.1154000000001</v>
      </c>
      <c r="S263" s="244">
        <f t="shared" si="1357"/>
        <v>-2654.4</v>
      </c>
      <c r="T263" s="244">
        <f t="shared" si="1358"/>
        <v>-405</v>
      </c>
      <c r="U263" s="244">
        <f t="shared" si="1359"/>
        <v>-1699.866</v>
      </c>
      <c r="V263" s="244">
        <f t="shared" si="1360"/>
        <v>-627.08000000000004</v>
      </c>
      <c r="W263" s="244">
        <f t="shared" si="1361"/>
        <v>-4394.4246153799995</v>
      </c>
      <c r="X263" s="244">
        <f t="shared" si="1362"/>
        <v>-1434.6507999999999</v>
      </c>
      <c r="Y263" s="244">
        <f t="shared" si="1363"/>
        <v>-2883.2766000000001</v>
      </c>
      <c r="Z263" s="244">
        <f t="shared" si="1364"/>
        <v>-7885.1210290245654</v>
      </c>
      <c r="AA263" s="244">
        <f t="shared" si="1365"/>
        <v>-2051.0212644052735</v>
      </c>
      <c r="AB263" s="244">
        <f t="shared" si="1366"/>
        <v>-2762.3993806800654</v>
      </c>
      <c r="AC263" s="244">
        <f t="shared" si="1367"/>
        <v>-3195.7583330617254</v>
      </c>
      <c r="AD263" s="244">
        <f t="shared" si="1368"/>
        <v>-10162.1812970147</v>
      </c>
      <c r="AE263" s="244">
        <f t="shared" si="1369"/>
        <v>-11446.348053078782</v>
      </c>
      <c r="AF263" s="244">
        <f t="shared" si="1370"/>
        <v>-10490.870408811432</v>
      </c>
      <c r="AG263" s="244">
        <f t="shared" si="1371"/>
        <v>-17289.389335088345</v>
      </c>
      <c r="AH263" s="244">
        <f t="shared" si="1372"/>
        <v>-19452.875077409662</v>
      </c>
      <c r="AI263" s="244">
        <f t="shared" si="1373"/>
        <v>-21911.081121383264</v>
      </c>
      <c r="AJ263" s="244">
        <f t="shared" si="1374"/>
        <v>-20082.065606904045</v>
      </c>
      <c r="AK263" s="244">
        <f t="shared" si="1375"/>
        <v>-33096.076626676026</v>
      </c>
      <c r="AL263" s="244">
        <f t="shared" si="1376"/>
        <v>-33988.120244905469</v>
      </c>
      <c r="AM263" s="244">
        <f t="shared" si="1377"/>
        <v>-38283.10503645194</v>
      </c>
      <c r="AN263" s="244">
        <f t="shared" si="1378"/>
        <v>-35087.443778743647</v>
      </c>
      <c r="AO263" s="244">
        <f t="shared" si="1379"/>
        <v>-57825.561905158625</v>
      </c>
      <c r="AP263" s="244">
        <f t="shared" si="1380"/>
        <v>-56218.620126109439</v>
      </c>
      <c r="AQ263" s="244">
        <f t="shared" si="1381"/>
        <v>-63322.811729043453</v>
      </c>
      <c r="AR263" s="244">
        <f t="shared" si="1382"/>
        <v>-58036.974648195872</v>
      </c>
      <c r="AS263" s="244">
        <f t="shared" si="1383"/>
        <v>-95647.340155924554</v>
      </c>
      <c r="AT263" s="244">
        <f t="shared" si="1384"/>
        <v>-89426.776705768352</v>
      </c>
      <c r="AU263" s="244">
        <f t="shared" si="1385"/>
        <v>-100727.3912481648</v>
      </c>
      <c r="AV263" s="244">
        <f t="shared" si="1386"/>
        <v>-92319.227346744272</v>
      </c>
      <c r="AW263" s="244">
        <f t="shared" si="1387"/>
        <v>-152145.913781546</v>
      </c>
      <c r="AY263" s="20">
        <f t="shared" ref="AY263:CD263" si="1404">AY$259*AY239</f>
        <v>-144</v>
      </c>
      <c r="AZ263" s="20">
        <f t="shared" si="1404"/>
        <v>0</v>
      </c>
      <c r="BA263" s="20">
        <f t="shared" si="1404"/>
        <v>-412</v>
      </c>
      <c r="BB263" s="20">
        <f t="shared" si="1404"/>
        <v>0</v>
      </c>
      <c r="BC263" s="20">
        <f t="shared" si="1404"/>
        <v>0</v>
      </c>
      <c r="BD263" s="20">
        <f t="shared" si="1404"/>
        <v>0</v>
      </c>
      <c r="BE263" s="20">
        <f t="shared" si="1404"/>
        <v>-1200</v>
      </c>
      <c r="BF263" s="20">
        <f t="shared" si="1404"/>
        <v>-71.540000000000006</v>
      </c>
      <c r="BG263" s="20">
        <f t="shared" si="1404"/>
        <v>-120</v>
      </c>
      <c r="BH263" s="20">
        <f t="shared" si="1404"/>
        <v>-1500</v>
      </c>
      <c r="BI263" s="20">
        <f t="shared" si="1404"/>
        <v>-778.88</v>
      </c>
      <c r="BJ263" s="20">
        <f t="shared" si="1404"/>
        <v>-780</v>
      </c>
      <c r="BK263" s="20">
        <f t="shared" si="1404"/>
        <v>-980</v>
      </c>
      <c r="BL263" s="20">
        <f t="shared" si="1404"/>
        <v>-800</v>
      </c>
      <c r="BM263" s="20">
        <f t="shared" si="1404"/>
        <v>-249.11540000000002</v>
      </c>
      <c r="BN263" s="20">
        <f t="shared" si="1404"/>
        <v>-450</v>
      </c>
      <c r="BO263" s="20">
        <f t="shared" si="1404"/>
        <v>-380</v>
      </c>
      <c r="BP263" s="20">
        <f t="shared" si="1404"/>
        <v>-1824.4</v>
      </c>
      <c r="BQ263" s="20">
        <f t="shared" si="1404"/>
        <v>0</v>
      </c>
      <c r="BR263" s="20">
        <f t="shared" si="1404"/>
        <v>-135</v>
      </c>
      <c r="BS263" s="20">
        <f t="shared" si="1404"/>
        <v>-270</v>
      </c>
      <c r="BT263" s="20">
        <f t="shared" si="1404"/>
        <v>-1470</v>
      </c>
      <c r="BU263" s="20">
        <f t="shared" si="1404"/>
        <v>0</v>
      </c>
      <c r="BV263" s="20">
        <f t="shared" si="1404"/>
        <v>-229.86599999999999</v>
      </c>
      <c r="BW263" s="20">
        <f t="shared" si="1404"/>
        <v>-9.36</v>
      </c>
      <c r="BX263" s="20">
        <f t="shared" si="1404"/>
        <v>-250</v>
      </c>
      <c r="BY263" s="20">
        <f t="shared" si="1404"/>
        <v>-367.72</v>
      </c>
      <c r="BZ263" s="20">
        <f t="shared" si="1404"/>
        <v>-2403.54</v>
      </c>
      <c r="CA263" s="20">
        <f t="shared" si="1404"/>
        <v>-650.38461538000001</v>
      </c>
      <c r="CB263" s="20">
        <f t="shared" si="1404"/>
        <v>-1340.5</v>
      </c>
      <c r="CC263" s="20">
        <f t="shared" si="1404"/>
        <v>-803.66679999999997</v>
      </c>
      <c r="CD263" s="20">
        <f t="shared" si="1404"/>
        <v>-270</v>
      </c>
      <c r="CE263" s="20">
        <f t="shared" ref="CE263:DJ263" si="1405">CE$259*CE239</f>
        <v>-360.98400000000004</v>
      </c>
      <c r="CF263" s="20">
        <f t="shared" si="1405"/>
        <v>0</v>
      </c>
      <c r="CG263" s="20">
        <f t="shared" si="1405"/>
        <v>-1724.0046</v>
      </c>
      <c r="CH263" s="20">
        <f t="shared" si="1405"/>
        <v>-1159.2719999999999</v>
      </c>
      <c r="CI263" s="20">
        <f t="shared" si="1405"/>
        <v>0</v>
      </c>
      <c r="CJ263" s="20">
        <f t="shared" si="1405"/>
        <v>-5387.6150985775466</v>
      </c>
      <c r="CK263" s="20">
        <f t="shared" si="1405"/>
        <v>-2497.5059304470187</v>
      </c>
      <c r="CL263" s="20">
        <f t="shared" si="1405"/>
        <v>0</v>
      </c>
      <c r="CM263" s="20">
        <f t="shared" si="1405"/>
        <v>-766.29787367670883</v>
      </c>
      <c r="CN263" s="20">
        <f t="shared" si="1405"/>
        <v>-1284.7233907285645</v>
      </c>
      <c r="CO263" s="20">
        <f t="shared" si="1405"/>
        <v>-390.28136598063639</v>
      </c>
      <c r="CP263" s="20">
        <f t="shared" si="1405"/>
        <v>-887.88548390348546</v>
      </c>
      <c r="CQ263" s="20">
        <f t="shared" si="1405"/>
        <v>-1484.2325307959434</v>
      </c>
      <c r="CR263" s="20">
        <f t="shared" si="1405"/>
        <v>-472.60843070552119</v>
      </c>
      <c r="CS263" s="20">
        <f t="shared" si="1405"/>
        <v>-1553.247713131299</v>
      </c>
      <c r="CT263" s="20">
        <f t="shared" si="1405"/>
        <v>-1169.9021892249052</v>
      </c>
      <c r="CU263" s="20">
        <f t="shared" si="1405"/>
        <v>-2199.5590698776077</v>
      </c>
      <c r="CV263" s="20">
        <f t="shared" si="1405"/>
        <v>-2781.9567192227041</v>
      </c>
      <c r="CW263" s="20">
        <f t="shared" si="1405"/>
        <v>-5180.6655079143884</v>
      </c>
      <c r="CX263" s="20">
        <f t="shared" si="1405"/>
        <v>-3435.1182710398693</v>
      </c>
      <c r="CY263" s="20">
        <f t="shared" si="1405"/>
        <v>-2814.2962243460856</v>
      </c>
      <c r="CZ263" s="20">
        <f t="shared" si="1405"/>
        <v>-5196.933557692827</v>
      </c>
      <c r="DA263" s="20">
        <f t="shared" si="1405"/>
        <v>-3464.5578776341549</v>
      </c>
      <c r="DB263" s="20">
        <f t="shared" si="1405"/>
        <v>-2717.7512024682524</v>
      </c>
      <c r="DC263" s="20">
        <f t="shared" si="1405"/>
        <v>-4308.5613287090255</v>
      </c>
      <c r="DD263" s="20">
        <f t="shared" si="1405"/>
        <v>-3405.9720261389957</v>
      </c>
      <c r="DE263" s="20">
        <f t="shared" si="1405"/>
        <v>-7158.5564892430839</v>
      </c>
      <c r="DF263" s="20">
        <f t="shared" si="1405"/>
        <v>-6724.8608197062649</v>
      </c>
      <c r="DG263" s="20">
        <f t="shared" si="1405"/>
        <v>-4210.4885320518806</v>
      </c>
      <c r="DH263" s="20">
        <f t="shared" si="1405"/>
        <v>-5325.3386205279994</v>
      </c>
      <c r="DI263" s="20">
        <f t="shared" si="1405"/>
        <v>-9917.0479248297834</v>
      </c>
      <c r="DJ263" s="20">
        <f t="shared" si="1405"/>
        <v>-6575.6479489591811</v>
      </c>
      <c r="DK263" s="20">
        <f t="shared" ref="DK263:EP263" si="1406">DK$259*DK239</f>
        <v>-5387.2442621263426</v>
      </c>
      <c r="DL263" s="20">
        <f t="shared" si="1406"/>
        <v>-9948.1889102977384</v>
      </c>
      <c r="DM263" s="20">
        <f t="shared" si="1406"/>
        <v>-6632.0024827613825</v>
      </c>
      <c r="DN263" s="20">
        <f t="shared" si="1406"/>
        <v>-5202.4337184995538</v>
      </c>
      <c r="DO263" s="20">
        <f t="shared" si="1406"/>
        <v>-8247.6294056431088</v>
      </c>
      <c r="DP263" s="20">
        <f t="shared" si="1406"/>
        <v>-6519.8549804555723</v>
      </c>
      <c r="DQ263" s="20">
        <f t="shared" si="1406"/>
        <v>-13703.210073681148</v>
      </c>
      <c r="DR263" s="20">
        <f t="shared" si="1406"/>
        <v>-12873.011572539304</v>
      </c>
      <c r="DS263" s="20">
        <f t="shared" si="1406"/>
        <v>-7356.5778810435268</v>
      </c>
      <c r="DT263" s="20">
        <f t="shared" si="1406"/>
        <v>-9304.4472171383677</v>
      </c>
      <c r="DU263" s="20">
        <f t="shared" si="1406"/>
        <v>-17327.095146723572</v>
      </c>
      <c r="DV263" s="20">
        <f t="shared" si="1406"/>
        <v>-11488.991333570573</v>
      </c>
      <c r="DW263" s="20">
        <f t="shared" si="1406"/>
        <v>-9412.6089352448034</v>
      </c>
      <c r="DX263" s="20">
        <f t="shared" si="1406"/>
        <v>-17381.504767636565</v>
      </c>
      <c r="DY263" s="20">
        <f t="shared" si="1406"/>
        <v>-11587.454139895748</v>
      </c>
      <c r="DZ263" s="20">
        <f t="shared" si="1406"/>
        <v>-9089.7074127542764</v>
      </c>
      <c r="EA263" s="20">
        <f t="shared" si="1406"/>
        <v>-14410.282226093626</v>
      </c>
      <c r="EB263" s="20">
        <f t="shared" si="1406"/>
        <v>-11391.509695777966</v>
      </c>
      <c r="EC263" s="20">
        <f t="shared" si="1406"/>
        <v>-23942.288729666448</v>
      </c>
      <c r="ED263" s="20">
        <f t="shared" si="1406"/>
        <v>-22491.763479714213</v>
      </c>
      <c r="EE263" s="20">
        <f t="shared" si="1406"/>
        <v>-12168.270982403532</v>
      </c>
      <c r="EF263" s="20">
        <f t="shared" si="1406"/>
        <v>-15390.176915186821</v>
      </c>
      <c r="EG263" s="20">
        <f t="shared" si="1406"/>
        <v>-28660.172228519088</v>
      </c>
      <c r="EH263" s="20">
        <f t="shared" si="1406"/>
        <v>-19003.558736408257</v>
      </c>
      <c r="EI263" s="20">
        <f t="shared" si="1406"/>
        <v>-15569.083618428955</v>
      </c>
      <c r="EJ263" s="20">
        <f t="shared" si="1406"/>
        <v>-28750.169374206242</v>
      </c>
      <c r="EK263" s="20">
        <f t="shared" si="1406"/>
        <v>-19166.422792009434</v>
      </c>
      <c r="EL263" s="20">
        <f t="shared" si="1406"/>
        <v>-15034.982941479677</v>
      </c>
      <c r="EM263" s="20">
        <f t="shared" si="1406"/>
        <v>-23835.568914706764</v>
      </c>
      <c r="EN263" s="20">
        <f t="shared" si="1406"/>
        <v>-18842.317599068367</v>
      </c>
      <c r="EO263" s="20">
        <f t="shared" si="1406"/>
        <v>-39602.14408281388</v>
      </c>
      <c r="EP263" s="20">
        <f t="shared" si="1406"/>
        <v>-37202.8784740423</v>
      </c>
      <c r="EQ263" s="20">
        <f t="shared" ref="EQ263:FB263" si="1407">EQ$259*EQ239</f>
        <v>-19356.029187441865</v>
      </c>
      <c r="ER263" s="20">
        <f t="shared" si="1407"/>
        <v>-24481.104505400246</v>
      </c>
      <c r="ES263" s="20">
        <f t="shared" si="1407"/>
        <v>-45589.643012926244</v>
      </c>
      <c r="ET263" s="20">
        <f t="shared" si="1407"/>
        <v>-30228.899249458362</v>
      </c>
      <c r="EU263" s="20">
        <f t="shared" si="1407"/>
        <v>-24765.690818015355</v>
      </c>
      <c r="EV263" s="20">
        <f t="shared" si="1407"/>
        <v>-45732.80118069108</v>
      </c>
      <c r="EW263" s="20">
        <f t="shared" si="1407"/>
        <v>-30487.966574500693</v>
      </c>
      <c r="EX263" s="20">
        <f t="shared" si="1407"/>
        <v>-23916.098603393206</v>
      </c>
      <c r="EY263" s="20">
        <f t="shared" si="1407"/>
        <v>-37915.16216885038</v>
      </c>
      <c r="EZ263" s="20">
        <f t="shared" si="1407"/>
        <v>-29972.41349523079</v>
      </c>
      <c r="FA263" s="20">
        <f t="shared" si="1407"/>
        <v>-62995.002154432048</v>
      </c>
      <c r="FB263" s="20">
        <f t="shared" si="1407"/>
        <v>-59178.498131883163</v>
      </c>
    </row>
    <row r="265" spans="3:158" s="1" customFormat="1" x14ac:dyDescent="0.25">
      <c r="C265" s="304" t="s">
        <v>647</v>
      </c>
      <c r="D265" s="22">
        <f t="shared" si="1239"/>
        <v>-215790</v>
      </c>
      <c r="E265" s="22">
        <f t="shared" si="1239"/>
        <v>-168865</v>
      </c>
      <c r="F265" s="22">
        <f t="shared" si="1239"/>
        <v>-899788.01</v>
      </c>
      <c r="G265" s="22">
        <f t="shared" si="1239"/>
        <v>-391570.9869096594</v>
      </c>
      <c r="H265" s="22">
        <f t="shared" si="1239"/>
        <v>-684408.27263749531</v>
      </c>
      <c r="I265" s="22">
        <f t="shared" si="1239"/>
        <v>-1100896.102618454</v>
      </c>
      <c r="J265" s="22">
        <f t="shared" si="1239"/>
        <v>-1761710.4690595446</v>
      </c>
      <c r="K265" s="22">
        <f t="shared" si="1239"/>
        <v>-2780295.6681943424</v>
      </c>
      <c r="L265" s="22">
        <f t="shared" si="1239"/>
        <v>-4308699.7546770424</v>
      </c>
      <c r="N265" s="22">
        <f t="shared" ref="N265:N269" si="1408">SUM(AY265:BA265)</f>
        <v>-36099</v>
      </c>
      <c r="O265" s="22">
        <f t="shared" ref="O265:O269" si="1409">SUM(BB265:BD265)</f>
        <v>-159691</v>
      </c>
      <c r="P265" s="22">
        <f t="shared" ref="P265:P269" si="1410">SUM(BE265:BG265)</f>
        <v>0</v>
      </c>
      <c r="Q265" s="22">
        <f t="shared" ref="Q265:Q269" si="1411">SUM(BH265:BJ265)</f>
        <v>-20000</v>
      </c>
      <c r="R265" s="22">
        <f t="shared" ref="R265:R269" si="1412">SUM(BK265:BM265)</f>
        <v>-12000</v>
      </c>
      <c r="S265" s="22">
        <f t="shared" ref="S265:S269" si="1413">SUM(BN265:BP265)</f>
        <v>-94565</v>
      </c>
      <c r="T265" s="22">
        <f t="shared" ref="T265:T269" si="1414">SUM(BQ265:BS265)</f>
        <v>0</v>
      </c>
      <c r="U265" s="22">
        <f t="shared" ref="U265:U269" si="1415">SUM(BT265:BV265)</f>
        <v>-62300</v>
      </c>
      <c r="V265" s="22">
        <f t="shared" ref="V265:V269" si="1416">SUM(BW265:BY265)</f>
        <v>-72400</v>
      </c>
      <c r="W265" s="22">
        <f t="shared" ref="W265:W269" si="1417">SUM(BZ265:CB265)</f>
        <v>-319000</v>
      </c>
      <c r="X265" s="22">
        <f t="shared" ref="X265:X269" si="1418">SUM(CC265:CE265)</f>
        <v>-201400.01</v>
      </c>
      <c r="Y265" s="22">
        <f t="shared" ref="Y265:Y269" si="1419">SUM(CF265:CH265)</f>
        <v>-306988</v>
      </c>
      <c r="Z265" s="22">
        <f t="shared" ref="Z265:Z269" si="1420">SUM(CI265:CK265)</f>
        <v>-63000</v>
      </c>
      <c r="AA265" s="22">
        <f t="shared" ref="AA265:AA269" si="1421">SUM(CL265:CN265)</f>
        <v>-63750</v>
      </c>
      <c r="AB265" s="22">
        <f t="shared" ref="AB265:AB269" si="1422">SUM(CO265:CQ265)</f>
        <v>-122779.78619852793</v>
      </c>
      <c r="AC265" s="22">
        <f t="shared" ref="AC265:AC269" si="1423">SUM(CR265:CT265)</f>
        <v>-142041.2007111315</v>
      </c>
      <c r="AD265" s="22">
        <f t="shared" ref="AD265:AD269" si="1424">SUM(CU265:CW265)</f>
        <v>-140823.07088927558</v>
      </c>
      <c r="AE265" s="22">
        <f t="shared" ref="AE265:AE269" si="1425">SUM(CX265:CZ265)</f>
        <v>-158618.49303707643</v>
      </c>
      <c r="AF265" s="22">
        <f t="shared" ref="AF265:AF269" si="1426">SUM(DA265:DC265)</f>
        <v>-145377.90107171697</v>
      </c>
      <c r="AG265" s="22">
        <f t="shared" ref="AG265:AG269" si="1427">SUM(DD265:DF265)</f>
        <v>-239588.80763942632</v>
      </c>
      <c r="AH265" s="22">
        <f t="shared" ref="AH265:AH269" si="1428">SUM(DG265:DI265)</f>
        <v>-226519.13499426679</v>
      </c>
      <c r="AI265" s="22">
        <f t="shared" ref="AI265:AI269" si="1429">SUM(DJ265:DL265)</f>
        <v>-255143.73184705887</v>
      </c>
      <c r="AJ265" s="22">
        <f t="shared" ref="AJ265:AJ269" si="1430">SUM(DM265:DO265)</f>
        <v>-233845.74835709881</v>
      </c>
      <c r="AK265" s="22">
        <f t="shared" ref="AK265:AK269" si="1431">SUM(DP265:DR265)</f>
        <v>-385387.48742002959</v>
      </c>
      <c r="AL265" s="22">
        <f t="shared" ref="AL265:AL269" si="1432">SUM(DS265:DU265)</f>
        <v>-362487.5504714342</v>
      </c>
      <c r="AM265" s="22">
        <f t="shared" ref="AM265:AM269" si="1433">SUM(DV265:DX265)</f>
        <v>-408294.10008881439</v>
      </c>
      <c r="AN265" s="22">
        <f t="shared" ref="AN265:AN269" si="1434">SUM(DY265:EA265)</f>
        <v>-374211.97336052696</v>
      </c>
      <c r="AO265" s="22">
        <f t="shared" ref="AO265:AO269" si="1435">SUM(EB265:ED265)</f>
        <v>-616716.84513876925</v>
      </c>
      <c r="AP265" s="22">
        <f t="shared" ref="AP265:AP269" si="1436">SUM(EE265:EG265)</f>
        <v>-572070.48720560386</v>
      </c>
      <c r="AQ265" s="22">
        <f t="shared" ref="AQ265:AQ269" si="1437">SUM(EH265:EJ265)</f>
        <v>-644361.45312358346</v>
      </c>
      <c r="AR265" s="22">
        <f t="shared" ref="AR265:AR269" si="1438">SUM(EK265:EM265)</f>
        <v>-590573.73319472745</v>
      </c>
      <c r="AS265" s="22">
        <f t="shared" ref="AS265:AS269" si="1439">SUM(EN265:EP265)</f>
        <v>-973289.99467042787</v>
      </c>
      <c r="AT265" s="22">
        <f t="shared" ref="AT265:AT269" si="1440">SUM(EQ265:ES265)</f>
        <v>-886553.18068440282</v>
      </c>
      <c r="AU265" s="22">
        <f t="shared" ref="AU265:AU269" si="1441">SUM(ET265:EV265)</f>
        <v>-998584.45515617693</v>
      </c>
      <c r="AV265" s="22">
        <f t="shared" ref="AV265:AV269" si="1442">SUM(EW265:EY265)</f>
        <v>-915228.16384036443</v>
      </c>
      <c r="AW265" s="22">
        <f t="shared" ref="AW265:AW269" si="1443">SUM(EZ265:FB265)</f>
        <v>-1508333.9549960983</v>
      </c>
      <c r="AY265" s="49">
        <f t="shared" ref="AY265:CD265" si="1444">AY62</f>
        <v>0</v>
      </c>
      <c r="AZ265" s="49">
        <f t="shared" si="1444"/>
        <v>-24642</v>
      </c>
      <c r="BA265" s="49">
        <f t="shared" si="1444"/>
        <v>-11457</v>
      </c>
      <c r="BB265" s="49">
        <f t="shared" si="1444"/>
        <v>0</v>
      </c>
      <c r="BC265" s="49">
        <f t="shared" si="1444"/>
        <v>0</v>
      </c>
      <c r="BD265" s="49">
        <f t="shared" si="1444"/>
        <v>-159691</v>
      </c>
      <c r="BE265" s="49">
        <f t="shared" si="1444"/>
        <v>0</v>
      </c>
      <c r="BF265" s="49">
        <f t="shared" si="1444"/>
        <v>0</v>
      </c>
      <c r="BG265" s="49">
        <f t="shared" si="1444"/>
        <v>0</v>
      </c>
      <c r="BH265" s="49">
        <f t="shared" si="1444"/>
        <v>-20000</v>
      </c>
      <c r="BI265" s="49">
        <f t="shared" si="1444"/>
        <v>0</v>
      </c>
      <c r="BJ265" s="49">
        <f t="shared" si="1444"/>
        <v>0</v>
      </c>
      <c r="BK265" s="49">
        <f t="shared" si="1444"/>
        <v>0</v>
      </c>
      <c r="BL265" s="49">
        <f t="shared" si="1444"/>
        <v>0</v>
      </c>
      <c r="BM265" s="49">
        <f t="shared" si="1444"/>
        <v>-12000</v>
      </c>
      <c r="BN265" s="49">
        <f t="shared" si="1444"/>
        <v>0</v>
      </c>
      <c r="BO265" s="49">
        <f t="shared" si="1444"/>
        <v>-468</v>
      </c>
      <c r="BP265" s="49">
        <f t="shared" si="1444"/>
        <v>-94097</v>
      </c>
      <c r="BQ265" s="49">
        <f t="shared" si="1444"/>
        <v>0</v>
      </c>
      <c r="BR265" s="49">
        <f t="shared" si="1444"/>
        <v>0</v>
      </c>
      <c r="BS265" s="49">
        <f t="shared" si="1444"/>
        <v>0</v>
      </c>
      <c r="BT265" s="49">
        <f t="shared" si="1444"/>
        <v>-10800</v>
      </c>
      <c r="BU265" s="49">
        <f t="shared" si="1444"/>
        <v>0</v>
      </c>
      <c r="BV265" s="49">
        <f t="shared" si="1444"/>
        <v>-51500</v>
      </c>
      <c r="BW265" s="49">
        <f t="shared" si="1444"/>
        <v>0</v>
      </c>
      <c r="BX265" s="49">
        <f t="shared" si="1444"/>
        <v>0</v>
      </c>
      <c r="BY265" s="49">
        <f t="shared" si="1444"/>
        <v>-72400</v>
      </c>
      <c r="BZ265" s="49">
        <f t="shared" si="1444"/>
        <v>-40000</v>
      </c>
      <c r="CA265" s="49">
        <f t="shared" si="1444"/>
        <v>-259000</v>
      </c>
      <c r="CB265" s="49">
        <f t="shared" si="1444"/>
        <v>-20000</v>
      </c>
      <c r="CC265" s="49">
        <f t="shared" si="1444"/>
        <v>-132400.01</v>
      </c>
      <c r="CD265" s="49">
        <f t="shared" si="1444"/>
        <v>-51000</v>
      </c>
      <c r="CE265" s="49">
        <f t="shared" ref="CE265:DJ265" si="1445">CE62</f>
        <v>-18000</v>
      </c>
      <c r="CF265" s="49">
        <f t="shared" si="1445"/>
        <v>-18000</v>
      </c>
      <c r="CG265" s="49">
        <f t="shared" si="1445"/>
        <v>-283000</v>
      </c>
      <c r="CH265" s="49">
        <f t="shared" si="1445"/>
        <v>-5988</v>
      </c>
      <c r="CI265" s="49">
        <f t="shared" si="1445"/>
        <v>0</v>
      </c>
      <c r="CJ265" s="49">
        <f t="shared" si="1445"/>
        <v>-23000</v>
      </c>
      <c r="CK265" s="49">
        <f t="shared" si="1445"/>
        <v>-40000</v>
      </c>
      <c r="CL265" s="49">
        <f t="shared" si="1445"/>
        <v>-12000</v>
      </c>
      <c r="CM265" s="49">
        <f t="shared" si="1445"/>
        <v>-22500</v>
      </c>
      <c r="CN265" s="49">
        <f t="shared" si="1445"/>
        <v>-29250</v>
      </c>
      <c r="CO265" s="49">
        <f t="shared" si="1445"/>
        <v>-17346.754060079118</v>
      </c>
      <c r="CP265" s="49">
        <f t="shared" si="1445"/>
        <v>-39463.659977945907</v>
      </c>
      <c r="CQ265" s="49">
        <f t="shared" si="1445"/>
        <v>-65969.372160502899</v>
      </c>
      <c r="CR265" s="49">
        <f t="shared" si="1445"/>
        <v>-21005.927847898765</v>
      </c>
      <c r="CS265" s="49">
        <f t="shared" si="1445"/>
        <v>-69036.875502290204</v>
      </c>
      <c r="CT265" s="49">
        <f t="shared" si="1445"/>
        <v>-51998.397360942537</v>
      </c>
      <c r="CU265" s="49">
        <f t="shared" si="1445"/>
        <v>-30480.529107812406</v>
      </c>
      <c r="CV265" s="49">
        <f t="shared" si="1445"/>
        <v>-38551.141416565966</v>
      </c>
      <c r="CW265" s="49">
        <f t="shared" si="1445"/>
        <v>-71791.400364897214</v>
      </c>
      <c r="CX265" s="49">
        <f t="shared" si="1445"/>
        <v>-47602.368985269</v>
      </c>
      <c r="CY265" s="49">
        <f t="shared" si="1445"/>
        <v>-38999.288156858005</v>
      </c>
      <c r="CZ265" s="49">
        <f t="shared" si="1445"/>
        <v>-72016.835894949443</v>
      </c>
      <c r="DA265" s="49">
        <f t="shared" si="1445"/>
        <v>-48010.330198044976</v>
      </c>
      <c r="DB265" s="49">
        <f t="shared" si="1445"/>
        <v>-37661.409402037651</v>
      </c>
      <c r="DC265" s="49">
        <f t="shared" si="1445"/>
        <v>-59706.161471634361</v>
      </c>
      <c r="DD265" s="49">
        <f t="shared" si="1445"/>
        <v>-47198.473050737928</v>
      </c>
      <c r="DE265" s="49">
        <f t="shared" si="1445"/>
        <v>-99200.149897513096</v>
      </c>
      <c r="DF265" s="49">
        <f t="shared" si="1445"/>
        <v>-93190.184691175295</v>
      </c>
      <c r="DG265" s="49">
        <f t="shared" si="1445"/>
        <v>-49029.062099476243</v>
      </c>
      <c r="DH265" s="49">
        <f t="shared" si="1445"/>
        <v>-62010.941471289887</v>
      </c>
      <c r="DI265" s="49">
        <f t="shared" si="1445"/>
        <v>-115479.13142350066</v>
      </c>
      <c r="DJ265" s="49">
        <f t="shared" si="1445"/>
        <v>-76570.176876054902</v>
      </c>
      <c r="DK265" s="49">
        <f t="shared" ref="DK265:EP265" si="1446">DK62</f>
        <v>-62731.802132262645</v>
      </c>
      <c r="DL265" s="49">
        <f t="shared" si="1446"/>
        <v>-115841.75283874132</v>
      </c>
      <c r="DM265" s="49">
        <f t="shared" si="1446"/>
        <v>-77226.397624868754</v>
      </c>
      <c r="DN265" s="49">
        <f t="shared" si="1446"/>
        <v>-60579.774510968986</v>
      </c>
      <c r="DO265" s="49">
        <f t="shared" si="1446"/>
        <v>-96039.576221261086</v>
      </c>
      <c r="DP265" s="49">
        <f t="shared" si="1446"/>
        <v>-75920.495278146729</v>
      </c>
      <c r="DQ265" s="49">
        <f t="shared" si="1446"/>
        <v>-159567.12209290086</v>
      </c>
      <c r="DR265" s="49">
        <f t="shared" si="1446"/>
        <v>-149899.87004898203</v>
      </c>
      <c r="DS265" s="49">
        <f t="shared" si="1446"/>
        <v>-78458.822574970516</v>
      </c>
      <c r="DT265" s="49">
        <f t="shared" si="1446"/>
        <v>-99233.092501983425</v>
      </c>
      <c r="DU265" s="49">
        <f t="shared" si="1446"/>
        <v>-184795.63539448025</v>
      </c>
      <c r="DV265" s="49">
        <f t="shared" si="1446"/>
        <v>-122531.5285424699</v>
      </c>
      <c r="DW265" s="49">
        <f t="shared" si="1446"/>
        <v>-100386.65074435374</v>
      </c>
      <c r="DX265" s="49">
        <f t="shared" si="1446"/>
        <v>-185375.92080199078</v>
      </c>
      <c r="DY265" s="49">
        <f t="shared" si="1446"/>
        <v>-123581.6466784591</v>
      </c>
      <c r="DZ265" s="49">
        <f t="shared" si="1446"/>
        <v>-96942.865648629493</v>
      </c>
      <c r="EA265" s="49">
        <f t="shared" si="1446"/>
        <v>-153687.46103343833</v>
      </c>
      <c r="EB265" s="49">
        <f t="shared" si="1446"/>
        <v>-121491.87469151351</v>
      </c>
      <c r="EC265" s="49">
        <f t="shared" si="1446"/>
        <v>-255347.50176710618</v>
      </c>
      <c r="ED265" s="49">
        <f t="shared" si="1446"/>
        <v>-239877.46868014953</v>
      </c>
      <c r="EE265" s="49">
        <f t="shared" si="1446"/>
        <v>-123822.11967739978</v>
      </c>
      <c r="EF265" s="49">
        <f t="shared" si="1446"/>
        <v>-156607.65038881532</v>
      </c>
      <c r="EG265" s="49">
        <f t="shared" si="1446"/>
        <v>-291640.71713938878</v>
      </c>
      <c r="EH265" s="49">
        <f t="shared" si="1446"/>
        <v>-193376.76877502055</v>
      </c>
      <c r="EI265" s="49">
        <f t="shared" si="1446"/>
        <v>-158428.1725691621</v>
      </c>
      <c r="EJ265" s="49">
        <f t="shared" si="1446"/>
        <v>-292556.51177940087</v>
      </c>
      <c r="EK265" s="49">
        <f t="shared" si="1446"/>
        <v>-195034.04388115171</v>
      </c>
      <c r="EL265" s="49">
        <f t="shared" si="1446"/>
        <v>-152993.26090121613</v>
      </c>
      <c r="EM265" s="49">
        <f t="shared" si="1446"/>
        <v>-242546.42841235967</v>
      </c>
      <c r="EN265" s="49">
        <f t="shared" si="1446"/>
        <v>-191736.00819091685</v>
      </c>
      <c r="EO265" s="49">
        <f t="shared" si="1446"/>
        <v>-402984.23919017822</v>
      </c>
      <c r="EP265" s="49">
        <f t="shared" si="1446"/>
        <v>-378569.74728933279</v>
      </c>
      <c r="EQ265" s="49">
        <f t="shared" ref="EQ265:FB265" si="1447">EQ62</f>
        <v>-191890.50387007662</v>
      </c>
      <c r="ER265" s="49">
        <f t="shared" si="1447"/>
        <v>-242699.13179739908</v>
      </c>
      <c r="ES265" s="49">
        <f t="shared" si="1447"/>
        <v>-451963.54501692706</v>
      </c>
      <c r="ET265" s="49">
        <f t="shared" si="1447"/>
        <v>-299681.2338028393</v>
      </c>
      <c r="EU265" s="49">
        <f t="shared" si="1447"/>
        <v>-245520.44449502981</v>
      </c>
      <c r="EV265" s="49">
        <f t="shared" si="1447"/>
        <v>-453382.77685830777</v>
      </c>
      <c r="EW265" s="49">
        <f t="shared" si="1447"/>
        <v>-302249.55807313428</v>
      </c>
      <c r="EX265" s="49">
        <f t="shared" si="1447"/>
        <v>-237097.81418334838</v>
      </c>
      <c r="EY265" s="49">
        <f t="shared" si="1447"/>
        <v>-375880.79158388171</v>
      </c>
      <c r="EZ265" s="49">
        <f t="shared" si="1447"/>
        <v>-297138.50253613107</v>
      </c>
      <c r="FA265" s="49">
        <f t="shared" si="1447"/>
        <v>-624515.62702505547</v>
      </c>
      <c r="FB265" s="49">
        <f t="shared" si="1447"/>
        <v>-586679.82543491176</v>
      </c>
    </row>
    <row r="266" spans="3:158" x14ac:dyDescent="0.25">
      <c r="C266" s="2" t="s">
        <v>346</v>
      </c>
      <c r="D266" s="244">
        <f t="shared" si="1239"/>
        <v>-205000.49999999997</v>
      </c>
      <c r="E266" s="244">
        <f t="shared" si="1239"/>
        <v>-160421.75</v>
      </c>
      <c r="F266" s="244">
        <f t="shared" si="1239"/>
        <v>-854798.6094999999</v>
      </c>
      <c r="G266" s="244">
        <f t="shared" si="1239"/>
        <v>-371830.19647134608</v>
      </c>
      <c r="H266" s="244">
        <f t="shared" si="1239"/>
        <v>-625263.22576783202</v>
      </c>
      <c r="I266" s="244">
        <f t="shared" si="1239"/>
        <v>-959236.52966302878</v>
      </c>
      <c r="J266" s="244">
        <f t="shared" si="1239"/>
        <v>-1279647.8523352486</v>
      </c>
      <c r="K266" s="244">
        <f t="shared" si="1239"/>
        <v>-1562589.6317753228</v>
      </c>
      <c r="L266" s="244">
        <f t="shared" si="1239"/>
        <v>-1842908.7698592956</v>
      </c>
      <c r="N266" s="244">
        <f t="shared" si="1408"/>
        <v>-34294.049999999996</v>
      </c>
      <c r="O266" s="244">
        <f t="shared" si="1409"/>
        <v>-151706.44999999998</v>
      </c>
      <c r="P266" s="244">
        <f t="shared" si="1410"/>
        <v>0</v>
      </c>
      <c r="Q266" s="244">
        <f t="shared" si="1411"/>
        <v>-19000</v>
      </c>
      <c r="R266" s="244">
        <f t="shared" si="1412"/>
        <v>-11400</v>
      </c>
      <c r="S266" s="244">
        <f t="shared" si="1413"/>
        <v>-89836.75</v>
      </c>
      <c r="T266" s="244">
        <f t="shared" si="1414"/>
        <v>0</v>
      </c>
      <c r="U266" s="244">
        <f t="shared" si="1415"/>
        <v>-59185</v>
      </c>
      <c r="V266" s="244">
        <f t="shared" si="1416"/>
        <v>-68780</v>
      </c>
      <c r="W266" s="244">
        <f t="shared" si="1417"/>
        <v>-303050</v>
      </c>
      <c r="X266" s="244">
        <f t="shared" si="1418"/>
        <v>-191330.00949999999</v>
      </c>
      <c r="Y266" s="244">
        <f t="shared" si="1419"/>
        <v>-291638.59999999998</v>
      </c>
      <c r="Z266" s="244">
        <f t="shared" si="1420"/>
        <v>-59823.896970945221</v>
      </c>
      <c r="AA266" s="244">
        <f t="shared" si="1421"/>
        <v>-60536.086220599333</v>
      </c>
      <c r="AB266" s="244">
        <f t="shared" si="1422"/>
        <v>-116589.92507389549</v>
      </c>
      <c r="AC266" s="244">
        <f t="shared" si="1423"/>
        <v>-134880.28820590605</v>
      </c>
      <c r="AD266" s="244">
        <f t="shared" si="1424"/>
        <v>-128653.45304409845</v>
      </c>
      <c r="AE266" s="244">
        <f t="shared" si="1425"/>
        <v>-144911.0342290175</v>
      </c>
      <c r="AF266" s="244">
        <f t="shared" si="1426"/>
        <v>-132814.6648917034</v>
      </c>
      <c r="AG266" s="244">
        <f t="shared" si="1427"/>
        <v>-218884.07360301266</v>
      </c>
      <c r="AH266" s="244">
        <f t="shared" si="1428"/>
        <v>-197371.4217330442</v>
      </c>
      <c r="AI266" s="244">
        <f t="shared" si="1429"/>
        <v>-222312.70264299377</v>
      </c>
      <c r="AJ266" s="244">
        <f t="shared" si="1430"/>
        <v>-203755.27136211452</v>
      </c>
      <c r="AK266" s="244">
        <f t="shared" si="1431"/>
        <v>-335797.13392487628</v>
      </c>
      <c r="AL266" s="244">
        <f t="shared" si="1432"/>
        <v>-263298.89252838271</v>
      </c>
      <c r="AM266" s="244">
        <f t="shared" si="1433"/>
        <v>-296571.24565917824</v>
      </c>
      <c r="AN266" s="244">
        <f t="shared" si="1434"/>
        <v>-271815.12310848868</v>
      </c>
      <c r="AO266" s="244">
        <f t="shared" si="1435"/>
        <v>-447962.59103919886</v>
      </c>
      <c r="AP266" s="244">
        <f t="shared" si="1436"/>
        <v>-321516.67255327664</v>
      </c>
      <c r="AQ266" s="244">
        <f t="shared" si="1437"/>
        <v>-362145.84559652372</v>
      </c>
      <c r="AR266" s="244">
        <f t="shared" si="1438"/>
        <v>-331915.91917569446</v>
      </c>
      <c r="AS266" s="244">
        <f t="shared" si="1439"/>
        <v>-547011.19444982777</v>
      </c>
      <c r="AT266" s="244">
        <f t="shared" si="1440"/>
        <v>-379194.82086363254</v>
      </c>
      <c r="AU266" s="244">
        <f t="shared" si="1441"/>
        <v>-427112.62205143471</v>
      </c>
      <c r="AV266" s="244">
        <f t="shared" si="1442"/>
        <v>-391459.62949327222</v>
      </c>
      <c r="AW266" s="244">
        <f t="shared" si="1443"/>
        <v>-645141.69745095621</v>
      </c>
      <c r="AY266" s="20">
        <f t="shared" ref="AY266:CD266" si="1448">AY$265*AY242</f>
        <v>0</v>
      </c>
      <c r="AZ266" s="20">
        <f t="shared" si="1448"/>
        <v>-23409.899999999998</v>
      </c>
      <c r="BA266" s="20">
        <f t="shared" si="1448"/>
        <v>-10884.15</v>
      </c>
      <c r="BB266" s="20">
        <f t="shared" si="1448"/>
        <v>0</v>
      </c>
      <c r="BC266" s="20">
        <f t="shared" si="1448"/>
        <v>0</v>
      </c>
      <c r="BD266" s="20">
        <f t="shared" si="1448"/>
        <v>-151706.44999999998</v>
      </c>
      <c r="BE266" s="20">
        <f t="shared" si="1448"/>
        <v>0</v>
      </c>
      <c r="BF266" s="20">
        <f t="shared" si="1448"/>
        <v>0</v>
      </c>
      <c r="BG266" s="20">
        <f t="shared" si="1448"/>
        <v>0</v>
      </c>
      <c r="BH266" s="20">
        <f t="shared" si="1448"/>
        <v>-19000</v>
      </c>
      <c r="BI266" s="20">
        <f t="shared" si="1448"/>
        <v>0</v>
      </c>
      <c r="BJ266" s="20">
        <f t="shared" si="1448"/>
        <v>0</v>
      </c>
      <c r="BK266" s="20">
        <f t="shared" si="1448"/>
        <v>0</v>
      </c>
      <c r="BL266" s="20">
        <f t="shared" si="1448"/>
        <v>0</v>
      </c>
      <c r="BM266" s="20">
        <f t="shared" si="1448"/>
        <v>-11400</v>
      </c>
      <c r="BN266" s="20">
        <f t="shared" si="1448"/>
        <v>0</v>
      </c>
      <c r="BO266" s="20">
        <f t="shared" si="1448"/>
        <v>-444.59999999999997</v>
      </c>
      <c r="BP266" s="20">
        <f t="shared" si="1448"/>
        <v>-89392.15</v>
      </c>
      <c r="BQ266" s="20">
        <f t="shared" si="1448"/>
        <v>0</v>
      </c>
      <c r="BR266" s="20">
        <f t="shared" si="1448"/>
        <v>0</v>
      </c>
      <c r="BS266" s="20">
        <f t="shared" si="1448"/>
        <v>0</v>
      </c>
      <c r="BT266" s="20">
        <f t="shared" si="1448"/>
        <v>-10260</v>
      </c>
      <c r="BU266" s="20">
        <f t="shared" si="1448"/>
        <v>0</v>
      </c>
      <c r="BV266" s="20">
        <f t="shared" si="1448"/>
        <v>-48925</v>
      </c>
      <c r="BW266" s="20">
        <f t="shared" si="1448"/>
        <v>0</v>
      </c>
      <c r="BX266" s="20">
        <f t="shared" si="1448"/>
        <v>0</v>
      </c>
      <c r="BY266" s="20">
        <f t="shared" si="1448"/>
        <v>-68780</v>
      </c>
      <c r="BZ266" s="20">
        <f t="shared" si="1448"/>
        <v>-38000</v>
      </c>
      <c r="CA266" s="20">
        <f t="shared" si="1448"/>
        <v>-246050</v>
      </c>
      <c r="CB266" s="20">
        <f t="shared" si="1448"/>
        <v>-19000</v>
      </c>
      <c r="CC266" s="20">
        <f t="shared" si="1448"/>
        <v>-125780.0095</v>
      </c>
      <c r="CD266" s="20">
        <f t="shared" si="1448"/>
        <v>-48450</v>
      </c>
      <c r="CE266" s="20">
        <f t="shared" ref="CE266:DJ266" si="1449">CE$265*CE242</f>
        <v>-17100</v>
      </c>
      <c r="CF266" s="20">
        <f t="shared" si="1449"/>
        <v>-17100</v>
      </c>
      <c r="CG266" s="20">
        <f t="shared" si="1449"/>
        <v>-268850</v>
      </c>
      <c r="CH266" s="20">
        <f t="shared" si="1449"/>
        <v>-5688.5999999999995</v>
      </c>
      <c r="CI266" s="20">
        <f t="shared" si="1449"/>
        <v>0</v>
      </c>
      <c r="CJ266" s="20">
        <f t="shared" si="1449"/>
        <v>-21840.470322726032</v>
      </c>
      <c r="CK266" s="20">
        <f t="shared" si="1449"/>
        <v>-37983.426648219189</v>
      </c>
      <c r="CL266" s="20">
        <f t="shared" si="1449"/>
        <v>-11395.027994465756</v>
      </c>
      <c r="CM266" s="20">
        <f t="shared" si="1449"/>
        <v>-21365.677489623293</v>
      </c>
      <c r="CN266" s="20">
        <f t="shared" si="1449"/>
        <v>-27775.38073651028</v>
      </c>
      <c r="CO266" s="20">
        <f t="shared" si="1449"/>
        <v>-16472.229010642837</v>
      </c>
      <c r="CP266" s="20">
        <f t="shared" si="1449"/>
        <v>-37474.125851064287</v>
      </c>
      <c r="CQ266" s="20">
        <f t="shared" si="1449"/>
        <v>-62643.570212188366</v>
      </c>
      <c r="CR266" s="20">
        <f t="shared" si="1449"/>
        <v>-19946.927989711188</v>
      </c>
      <c r="CS266" s="20">
        <f t="shared" si="1449"/>
        <v>-65556.427416587001</v>
      </c>
      <c r="CT266" s="20">
        <f t="shared" si="1449"/>
        <v>-49376.932799607879</v>
      </c>
      <c r="CU266" s="20">
        <f t="shared" si="1449"/>
        <v>-27846.469300577199</v>
      </c>
      <c r="CV266" s="20">
        <f t="shared" si="1449"/>
        <v>-35219.637171044524</v>
      </c>
      <c r="CW266" s="20">
        <f t="shared" si="1449"/>
        <v>-65587.34657247673</v>
      </c>
      <c r="CX266" s="20">
        <f t="shared" si="1449"/>
        <v>-43488.677702884437</v>
      </c>
      <c r="CY266" s="20">
        <f t="shared" si="1449"/>
        <v>-35629.056062742748</v>
      </c>
      <c r="CZ266" s="20">
        <f t="shared" si="1449"/>
        <v>-65793.300463390304</v>
      </c>
      <c r="DA266" s="20">
        <f t="shared" si="1449"/>
        <v>-43861.383811338463</v>
      </c>
      <c r="DB266" s="20">
        <f t="shared" si="1449"/>
        <v>-34406.793826341782</v>
      </c>
      <c r="DC266" s="20">
        <f t="shared" si="1449"/>
        <v>-54546.487254023159</v>
      </c>
      <c r="DD266" s="20">
        <f t="shared" si="1449"/>
        <v>-43119.685560334496</v>
      </c>
      <c r="DE266" s="20">
        <f t="shared" si="1449"/>
        <v>-90627.492684362092</v>
      </c>
      <c r="DF266" s="20">
        <f t="shared" si="1449"/>
        <v>-85136.895358316076</v>
      </c>
      <c r="DG266" s="20">
        <f t="shared" si="1449"/>
        <v>-42720.168841613595</v>
      </c>
      <c r="DH266" s="20">
        <f t="shared" si="1449"/>
        <v>-54031.584049192366</v>
      </c>
      <c r="DI266" s="20">
        <f t="shared" si="1449"/>
        <v>-100619.66884223824</v>
      </c>
      <c r="DJ266" s="20">
        <f t="shared" si="1449"/>
        <v>-66717.386470507787</v>
      </c>
      <c r="DK266" s="20">
        <f t="shared" ref="DK266:EP266" si="1450">DK$265*DK242</f>
        <v>-54659.686807624741</v>
      </c>
      <c r="DL266" s="20">
        <f t="shared" si="1450"/>
        <v>-100935.62936486125</v>
      </c>
      <c r="DM266" s="20">
        <f t="shared" si="1450"/>
        <v>-67289.166961226118</v>
      </c>
      <c r="DN266" s="20">
        <f t="shared" si="1450"/>
        <v>-52784.574794530301</v>
      </c>
      <c r="DO266" s="20">
        <f t="shared" si="1450"/>
        <v>-83681.529606358119</v>
      </c>
      <c r="DP266" s="20">
        <f t="shared" si="1450"/>
        <v>-66151.303694956936</v>
      </c>
      <c r="DQ266" s="20">
        <f t="shared" si="1450"/>
        <v>-139034.56655051772</v>
      </c>
      <c r="DR266" s="20">
        <f t="shared" si="1450"/>
        <v>-130611.26367940164</v>
      </c>
      <c r="DS266" s="20">
        <f t="shared" si="1450"/>
        <v>-56989.877490147264</v>
      </c>
      <c r="DT266" s="20">
        <f t="shared" si="1450"/>
        <v>-72079.615765998024</v>
      </c>
      <c r="DU266" s="20">
        <f t="shared" si="1450"/>
        <v>-134229.39927223741</v>
      </c>
      <c r="DV266" s="20">
        <f t="shared" si="1450"/>
        <v>-89002.824298609048</v>
      </c>
      <c r="DW266" s="20">
        <f t="shared" si="1450"/>
        <v>-72917.522081092364</v>
      </c>
      <c r="DX266" s="20">
        <f t="shared" si="1450"/>
        <v>-134650.89927947681</v>
      </c>
      <c r="DY266" s="20">
        <f t="shared" si="1450"/>
        <v>-89765.595163071383</v>
      </c>
      <c r="DZ266" s="20">
        <f t="shared" si="1450"/>
        <v>-70416.071201936167</v>
      </c>
      <c r="EA266" s="20">
        <f t="shared" si="1450"/>
        <v>-111633.45674348113</v>
      </c>
      <c r="EB266" s="20">
        <f t="shared" si="1450"/>
        <v>-88247.654342527327</v>
      </c>
      <c r="EC266" s="20">
        <f t="shared" si="1450"/>
        <v>-185475.92693246598</v>
      </c>
      <c r="ED266" s="20">
        <f t="shared" si="1450"/>
        <v>-174239.00976420555</v>
      </c>
      <c r="EE266" s="20">
        <f t="shared" si="1450"/>
        <v>-69590.85776585959</v>
      </c>
      <c r="EF266" s="20">
        <f t="shared" si="1450"/>
        <v>-88017.074426183623</v>
      </c>
      <c r="EG266" s="20">
        <f t="shared" si="1450"/>
        <v>-163908.74036123345</v>
      </c>
      <c r="EH266" s="20">
        <f t="shared" si="1450"/>
        <v>-108682.15829372701</v>
      </c>
      <c r="EI266" s="20">
        <f t="shared" si="1450"/>
        <v>-89040.249448887014</v>
      </c>
      <c r="EJ266" s="20">
        <f t="shared" si="1450"/>
        <v>-164423.43785390968</v>
      </c>
      <c r="EK266" s="20">
        <f t="shared" si="1450"/>
        <v>-109613.58473425437</v>
      </c>
      <c r="EL266" s="20">
        <f t="shared" si="1450"/>
        <v>-85985.705027910895</v>
      </c>
      <c r="EM266" s="20">
        <f t="shared" si="1450"/>
        <v>-136316.62941352918</v>
      </c>
      <c r="EN266" s="20">
        <f t="shared" si="1450"/>
        <v>-107760.01339155869</v>
      </c>
      <c r="EO266" s="20">
        <f t="shared" si="1450"/>
        <v>-226486.3414100112</v>
      </c>
      <c r="EP266" s="20">
        <f t="shared" si="1450"/>
        <v>-212764.83964825794</v>
      </c>
      <c r="EQ266" s="20">
        <f t="shared" ref="EQ266:FB266" si="1451">EQ$265*EQ242</f>
        <v>-82075.037150364195</v>
      </c>
      <c r="ER266" s="20">
        <f t="shared" si="1451"/>
        <v>-103806.80574021315</v>
      </c>
      <c r="ES266" s="20">
        <f t="shared" si="1451"/>
        <v>-193312.97797305521</v>
      </c>
      <c r="ET266" s="20">
        <f t="shared" si="1451"/>
        <v>-128179.0807860324</v>
      </c>
      <c r="EU266" s="20">
        <f t="shared" si="1451"/>
        <v>-105013.53217951428</v>
      </c>
      <c r="EV266" s="20">
        <f t="shared" si="1451"/>
        <v>-193920.00908588801</v>
      </c>
      <c r="EW266" s="20">
        <f t="shared" si="1451"/>
        <v>-129277.59950190051</v>
      </c>
      <c r="EX266" s="20">
        <f t="shared" si="1451"/>
        <v>-101411.02094632118</v>
      </c>
      <c r="EY266" s="20">
        <f t="shared" si="1451"/>
        <v>-160771.00904505054</v>
      </c>
      <c r="EZ266" s="20">
        <f t="shared" si="1451"/>
        <v>-127091.50866042178</v>
      </c>
      <c r="FA266" s="20">
        <f t="shared" si="1451"/>
        <v>-267116.62252848694</v>
      </c>
      <c r="FB266" s="20">
        <f t="shared" si="1451"/>
        <v>-250933.56626204753</v>
      </c>
    </row>
    <row r="267" spans="3:158" x14ac:dyDescent="0.25">
      <c r="C267" s="2" t="s">
        <v>298</v>
      </c>
      <c r="D267" s="244">
        <f t="shared" si="1239"/>
        <v>-4315.8</v>
      </c>
      <c r="E267" s="244">
        <f t="shared" si="1239"/>
        <v>-3377.3</v>
      </c>
      <c r="F267" s="244">
        <f t="shared" si="1239"/>
        <v>-17995.760200000001</v>
      </c>
      <c r="G267" s="244">
        <f t="shared" si="1239"/>
        <v>-7896.3161753253262</v>
      </c>
      <c r="H267" s="244">
        <f t="shared" si="1239"/>
        <v>-16857.531605454933</v>
      </c>
      <c r="I267" s="244">
        <f t="shared" si="1239"/>
        <v>-36529.836343006173</v>
      </c>
      <c r="J267" s="244">
        <f t="shared" si="1239"/>
        <v>-125757.35243722469</v>
      </c>
      <c r="K267" s="244">
        <f t="shared" si="1239"/>
        <v>-259190.92030651204</v>
      </c>
      <c r="L267" s="244">
        <f t="shared" si="1239"/>
        <v>-455900.4549023381</v>
      </c>
      <c r="N267" s="244">
        <f t="shared" si="1408"/>
        <v>-721.98</v>
      </c>
      <c r="O267" s="244">
        <f t="shared" si="1409"/>
        <v>-3193.82</v>
      </c>
      <c r="P267" s="244">
        <f t="shared" si="1410"/>
        <v>0</v>
      </c>
      <c r="Q267" s="244">
        <f t="shared" si="1411"/>
        <v>-400</v>
      </c>
      <c r="R267" s="244">
        <f t="shared" si="1412"/>
        <v>-240</v>
      </c>
      <c r="S267" s="244">
        <f t="shared" si="1413"/>
        <v>-1891.3</v>
      </c>
      <c r="T267" s="244">
        <f t="shared" si="1414"/>
        <v>0</v>
      </c>
      <c r="U267" s="244">
        <f t="shared" si="1415"/>
        <v>-1246</v>
      </c>
      <c r="V267" s="244">
        <f t="shared" si="1416"/>
        <v>-1448</v>
      </c>
      <c r="W267" s="244">
        <f t="shared" si="1417"/>
        <v>-6380</v>
      </c>
      <c r="X267" s="244">
        <f t="shared" si="1418"/>
        <v>-4028.0002000000004</v>
      </c>
      <c r="Y267" s="244">
        <f t="shared" si="1419"/>
        <v>-6139.76</v>
      </c>
      <c r="Z267" s="244">
        <f t="shared" si="1420"/>
        <v>-1270.4412116219121</v>
      </c>
      <c r="AA267" s="244">
        <f t="shared" si="1421"/>
        <v>-1285.5655117602682</v>
      </c>
      <c r="AB267" s="244">
        <f t="shared" si="1422"/>
        <v>-2475.9444498529701</v>
      </c>
      <c r="AC267" s="244">
        <f t="shared" si="1423"/>
        <v>-2864.3650020901764</v>
      </c>
      <c r="AD267" s="244">
        <f t="shared" si="1424"/>
        <v>-3468.5866071501478</v>
      </c>
      <c r="AE267" s="244">
        <f t="shared" si="1425"/>
        <v>-3906.9023074161751</v>
      </c>
      <c r="AF267" s="244">
        <f t="shared" si="1426"/>
        <v>-3580.775773803683</v>
      </c>
      <c r="AG267" s="244">
        <f t="shared" si="1427"/>
        <v>-5901.2669170849249</v>
      </c>
      <c r="AH267" s="244">
        <f t="shared" si="1428"/>
        <v>-7516.3377454227557</v>
      </c>
      <c r="AI267" s="244">
        <f t="shared" si="1429"/>
        <v>-8466.1565665903181</v>
      </c>
      <c r="AJ267" s="244">
        <f t="shared" si="1430"/>
        <v>-7759.448776932597</v>
      </c>
      <c r="AK267" s="244">
        <f t="shared" si="1431"/>
        <v>-12787.893254060507</v>
      </c>
      <c r="AL267" s="244">
        <f t="shared" si="1432"/>
        <v>-25875.69038122215</v>
      </c>
      <c r="AM267" s="244">
        <f t="shared" si="1433"/>
        <v>-29145.529838577051</v>
      </c>
      <c r="AN267" s="244">
        <f t="shared" si="1434"/>
        <v>-26712.622673606038</v>
      </c>
      <c r="AO267" s="244">
        <f t="shared" si="1435"/>
        <v>-44023.509543819455</v>
      </c>
      <c r="AP267" s="244">
        <f t="shared" si="1436"/>
        <v>-53330.830154230454</v>
      </c>
      <c r="AQ267" s="244">
        <f t="shared" si="1437"/>
        <v>-60070.0997220231</v>
      </c>
      <c r="AR267" s="244">
        <f t="shared" si="1438"/>
        <v>-55055.780997208029</v>
      </c>
      <c r="AS267" s="244">
        <f t="shared" si="1439"/>
        <v>-90734.209433050419</v>
      </c>
      <c r="AT267" s="244">
        <f t="shared" si="1440"/>
        <v>-93805.561162715341</v>
      </c>
      <c r="AU267" s="244">
        <f t="shared" si="1441"/>
        <v>-105659.51059131711</v>
      </c>
      <c r="AV267" s="244">
        <f t="shared" si="1442"/>
        <v>-96839.64072486847</v>
      </c>
      <c r="AW267" s="244">
        <f t="shared" si="1443"/>
        <v>-159595.7424234371</v>
      </c>
      <c r="AY267" s="20">
        <f t="shared" ref="AY267:CD267" si="1452">AY$265*AY243</f>
        <v>0</v>
      </c>
      <c r="AZ267" s="20">
        <f t="shared" si="1452"/>
        <v>-492.84000000000003</v>
      </c>
      <c r="BA267" s="20">
        <f t="shared" si="1452"/>
        <v>-229.14000000000001</v>
      </c>
      <c r="BB267" s="20">
        <f t="shared" si="1452"/>
        <v>0</v>
      </c>
      <c r="BC267" s="20">
        <f t="shared" si="1452"/>
        <v>0</v>
      </c>
      <c r="BD267" s="20">
        <f t="shared" si="1452"/>
        <v>-3193.82</v>
      </c>
      <c r="BE267" s="20">
        <f t="shared" si="1452"/>
        <v>0</v>
      </c>
      <c r="BF267" s="20">
        <f t="shared" si="1452"/>
        <v>0</v>
      </c>
      <c r="BG267" s="20">
        <f t="shared" si="1452"/>
        <v>0</v>
      </c>
      <c r="BH267" s="20">
        <f t="shared" si="1452"/>
        <v>-400</v>
      </c>
      <c r="BI267" s="20">
        <f t="shared" si="1452"/>
        <v>0</v>
      </c>
      <c r="BJ267" s="20">
        <f t="shared" si="1452"/>
        <v>0</v>
      </c>
      <c r="BK267" s="20">
        <f t="shared" si="1452"/>
        <v>0</v>
      </c>
      <c r="BL267" s="20">
        <f t="shared" si="1452"/>
        <v>0</v>
      </c>
      <c r="BM267" s="20">
        <f t="shared" si="1452"/>
        <v>-240</v>
      </c>
      <c r="BN267" s="20">
        <f t="shared" si="1452"/>
        <v>0</v>
      </c>
      <c r="BO267" s="20">
        <f t="shared" si="1452"/>
        <v>-9.36</v>
      </c>
      <c r="BP267" s="20">
        <f t="shared" si="1452"/>
        <v>-1881.94</v>
      </c>
      <c r="BQ267" s="20">
        <f t="shared" si="1452"/>
        <v>0</v>
      </c>
      <c r="BR267" s="20">
        <f t="shared" si="1452"/>
        <v>0</v>
      </c>
      <c r="BS267" s="20">
        <f t="shared" si="1452"/>
        <v>0</v>
      </c>
      <c r="BT267" s="20">
        <f t="shared" si="1452"/>
        <v>-216</v>
      </c>
      <c r="BU267" s="20">
        <f t="shared" si="1452"/>
        <v>0</v>
      </c>
      <c r="BV267" s="20">
        <f t="shared" si="1452"/>
        <v>-1030</v>
      </c>
      <c r="BW267" s="20">
        <f t="shared" si="1452"/>
        <v>0</v>
      </c>
      <c r="BX267" s="20">
        <f t="shared" si="1452"/>
        <v>0</v>
      </c>
      <c r="BY267" s="20">
        <f t="shared" si="1452"/>
        <v>-1448</v>
      </c>
      <c r="BZ267" s="20">
        <f t="shared" si="1452"/>
        <v>-800</v>
      </c>
      <c r="CA267" s="20">
        <f t="shared" si="1452"/>
        <v>-5180</v>
      </c>
      <c r="CB267" s="20">
        <f t="shared" si="1452"/>
        <v>-400</v>
      </c>
      <c r="CC267" s="20">
        <f t="shared" si="1452"/>
        <v>-2648.0002000000004</v>
      </c>
      <c r="CD267" s="20">
        <f t="shared" si="1452"/>
        <v>-1020</v>
      </c>
      <c r="CE267" s="20">
        <f t="shared" ref="CE267:DJ267" si="1453">CE$265*CE243</f>
        <v>-360</v>
      </c>
      <c r="CF267" s="20">
        <f t="shared" si="1453"/>
        <v>-360</v>
      </c>
      <c r="CG267" s="20">
        <f t="shared" si="1453"/>
        <v>-5660</v>
      </c>
      <c r="CH267" s="20">
        <f t="shared" si="1453"/>
        <v>-119.76</v>
      </c>
      <c r="CI267" s="20">
        <f t="shared" si="1453"/>
        <v>0</v>
      </c>
      <c r="CJ267" s="20">
        <f t="shared" si="1453"/>
        <v>-463.81187090958696</v>
      </c>
      <c r="CK267" s="20">
        <f t="shared" si="1453"/>
        <v>-806.62934071232507</v>
      </c>
      <c r="CL267" s="20">
        <f t="shared" si="1453"/>
        <v>-241.98880221369754</v>
      </c>
      <c r="CM267" s="20">
        <f t="shared" si="1453"/>
        <v>-453.7290041506829</v>
      </c>
      <c r="CN267" s="20">
        <f t="shared" si="1453"/>
        <v>-589.84770539588771</v>
      </c>
      <c r="CO267" s="20">
        <f t="shared" si="1453"/>
        <v>-349.81001977451172</v>
      </c>
      <c r="CP267" s="20">
        <f t="shared" si="1453"/>
        <v>-795.81365075264694</v>
      </c>
      <c r="CQ267" s="20">
        <f t="shared" si="1453"/>
        <v>-1330.3207793258116</v>
      </c>
      <c r="CR267" s="20">
        <f t="shared" si="1453"/>
        <v>-423.59994327503131</v>
      </c>
      <c r="CS267" s="20">
        <f t="shared" si="1453"/>
        <v>-1392.1792342812805</v>
      </c>
      <c r="CT267" s="20">
        <f t="shared" si="1453"/>
        <v>-1048.5858245338645</v>
      </c>
      <c r="CU267" s="20">
        <f t="shared" si="1453"/>
        <v>-750.76018705298543</v>
      </c>
      <c r="CV267" s="20">
        <f t="shared" si="1453"/>
        <v>-949.54592286224181</v>
      </c>
      <c r="CW267" s="20">
        <f t="shared" si="1453"/>
        <v>-1768.2804972349206</v>
      </c>
      <c r="CX267" s="20">
        <f t="shared" si="1453"/>
        <v>-1172.4850089425074</v>
      </c>
      <c r="CY267" s="20">
        <f t="shared" si="1453"/>
        <v>-960.58414104338885</v>
      </c>
      <c r="CZ267" s="20">
        <f t="shared" si="1453"/>
        <v>-1773.8331574302788</v>
      </c>
      <c r="DA267" s="20">
        <f t="shared" si="1453"/>
        <v>-1182.5334249437753</v>
      </c>
      <c r="DB267" s="20">
        <f t="shared" si="1453"/>
        <v>-927.63110073787459</v>
      </c>
      <c r="DC267" s="20">
        <f t="shared" si="1453"/>
        <v>-1470.611248122033</v>
      </c>
      <c r="DD267" s="20">
        <f t="shared" si="1453"/>
        <v>-1162.536724046076</v>
      </c>
      <c r="DE267" s="20">
        <f t="shared" si="1453"/>
        <v>-2443.3802585681638</v>
      </c>
      <c r="DF267" s="20">
        <f t="shared" si="1453"/>
        <v>-2295.3499344706852</v>
      </c>
      <c r="DG267" s="20">
        <f t="shared" si="1453"/>
        <v>-1626.8779681252834</v>
      </c>
      <c r="DH267" s="20">
        <f t="shared" si="1453"/>
        <v>-2057.6415322337089</v>
      </c>
      <c r="DI267" s="20">
        <f t="shared" si="1453"/>
        <v>-3831.8182450637628</v>
      </c>
      <c r="DJ267" s="20">
        <f t="shared" si="1453"/>
        <v>-2540.7447836217225</v>
      </c>
      <c r="DK267" s="20">
        <f t="shared" ref="DK267:EP267" si="1454">DK$265*DK243</f>
        <v>-2081.5610664284559</v>
      </c>
      <c r="DL267" s="20">
        <f t="shared" si="1454"/>
        <v>-3843.8507165401393</v>
      </c>
      <c r="DM267" s="20">
        <f t="shared" si="1454"/>
        <v>-2562.5194420132261</v>
      </c>
      <c r="DN267" s="20">
        <f t="shared" si="1454"/>
        <v>-2010.1526777308245</v>
      </c>
      <c r="DO267" s="20">
        <f t="shared" si="1454"/>
        <v>-3186.7766571885454</v>
      </c>
      <c r="DP267" s="20">
        <f t="shared" si="1454"/>
        <v>-2519.1871067526695</v>
      </c>
      <c r="DQ267" s="20">
        <f t="shared" si="1454"/>
        <v>-5294.7420214442709</v>
      </c>
      <c r="DR267" s="20">
        <f t="shared" si="1454"/>
        <v>-4973.9641258635675</v>
      </c>
      <c r="DS267" s="20">
        <f t="shared" si="1454"/>
        <v>-5600.6784177410473</v>
      </c>
      <c r="DT267" s="20">
        <f t="shared" si="1454"/>
        <v>-7083.6219721561165</v>
      </c>
      <c r="DU267" s="20">
        <f t="shared" si="1454"/>
        <v>-13191.389991324988</v>
      </c>
      <c r="DV267" s="20">
        <f t="shared" si="1454"/>
        <v>-8746.7497583829263</v>
      </c>
      <c r="DW267" s="20">
        <f t="shared" si="1454"/>
        <v>-7165.9671889158662</v>
      </c>
      <c r="DX267" s="20">
        <f t="shared" si="1454"/>
        <v>-13232.812891278258</v>
      </c>
      <c r="DY267" s="20">
        <f t="shared" si="1454"/>
        <v>-8821.7110410951827</v>
      </c>
      <c r="DZ267" s="20">
        <f t="shared" si="1454"/>
        <v>-6920.1371824493399</v>
      </c>
      <c r="EA267" s="20">
        <f t="shared" si="1454"/>
        <v>-10970.774450061515</v>
      </c>
      <c r="EB267" s="20">
        <f t="shared" si="1454"/>
        <v>-8672.5354547026873</v>
      </c>
      <c r="EC267" s="20">
        <f t="shared" si="1454"/>
        <v>-18227.640885186491</v>
      </c>
      <c r="ED267" s="20">
        <f t="shared" si="1454"/>
        <v>-17123.33320393028</v>
      </c>
      <c r="EE267" s="20">
        <f t="shared" si="1454"/>
        <v>-11543.221651074045</v>
      </c>
      <c r="EF267" s="20">
        <f t="shared" si="1454"/>
        <v>-14599.627476914875</v>
      </c>
      <c r="EG267" s="20">
        <f t="shared" si="1454"/>
        <v>-27187.981026241538</v>
      </c>
      <c r="EH267" s="20">
        <f t="shared" si="1454"/>
        <v>-18027.400192745852</v>
      </c>
      <c r="EI267" s="20">
        <f t="shared" si="1454"/>
        <v>-14769.344253716872</v>
      </c>
      <c r="EJ267" s="20">
        <f t="shared" si="1454"/>
        <v>-27273.355275560374</v>
      </c>
      <c r="EK267" s="20">
        <f t="shared" si="1454"/>
        <v>-18181.898386903085</v>
      </c>
      <c r="EL267" s="20">
        <f t="shared" si="1454"/>
        <v>-14262.678803306562</v>
      </c>
      <c r="EM267" s="20">
        <f t="shared" si="1454"/>
        <v>-22611.203806998383</v>
      </c>
      <c r="EN267" s="20">
        <f t="shared" si="1454"/>
        <v>-17874.441552173397</v>
      </c>
      <c r="EO267" s="20">
        <f t="shared" si="1454"/>
        <v>-37567.895033464767</v>
      </c>
      <c r="EP267" s="20">
        <f t="shared" si="1454"/>
        <v>-35291.872847412262</v>
      </c>
      <c r="EQ267" s="20">
        <f t="shared" ref="EQ267:FB267" si="1455">EQ$265*EQ243</f>
        <v>-20303.797662124187</v>
      </c>
      <c r="ER267" s="20">
        <f t="shared" si="1455"/>
        <v>-25679.822426877417</v>
      </c>
      <c r="ES267" s="20">
        <f t="shared" si="1455"/>
        <v>-47821.941073713744</v>
      </c>
      <c r="ET267" s="20">
        <f t="shared" si="1455"/>
        <v>-31709.058090692848</v>
      </c>
      <c r="EU267" s="20">
        <f t="shared" si="1455"/>
        <v>-25978.343515722234</v>
      </c>
      <c r="EV267" s="20">
        <f t="shared" si="1455"/>
        <v>-47972.108984902035</v>
      </c>
      <c r="EW267" s="20">
        <f t="shared" si="1455"/>
        <v>-31980.810654071905</v>
      </c>
      <c r="EX267" s="20">
        <f t="shared" si="1455"/>
        <v>-25087.150996122411</v>
      </c>
      <c r="EY267" s="20">
        <f t="shared" si="1455"/>
        <v>-39771.679074674154</v>
      </c>
      <c r="EZ267" s="20">
        <f t="shared" si="1455"/>
        <v>-31440.013504810915</v>
      </c>
      <c r="FA267" s="20">
        <f t="shared" si="1455"/>
        <v>-66079.554080157191</v>
      </c>
      <c r="FB267" s="20">
        <f t="shared" si="1455"/>
        <v>-62076.174838468993</v>
      </c>
    </row>
    <row r="268" spans="3:158" x14ac:dyDescent="0.25">
      <c r="C268" s="2" t="s">
        <v>299</v>
      </c>
      <c r="D268" s="244">
        <f t="shared" si="1239"/>
        <v>-2157.9</v>
      </c>
      <c r="E268" s="244">
        <f t="shared" si="1239"/>
        <v>-1688.65</v>
      </c>
      <c r="F268" s="244">
        <f t="shared" si="1239"/>
        <v>-8997.8801000000003</v>
      </c>
      <c r="G268" s="244">
        <f t="shared" si="1239"/>
        <v>-3948.1580876626631</v>
      </c>
      <c r="H268" s="244">
        <f t="shared" si="1239"/>
        <v>-17751.078049190157</v>
      </c>
      <c r="I268" s="244">
        <f t="shared" si="1239"/>
        <v>-58161.055968169101</v>
      </c>
      <c r="J268" s="244">
        <f t="shared" si="1239"/>
        <v>-274241.44805791264</v>
      </c>
      <c r="K268" s="244">
        <f t="shared" si="1239"/>
        <v>-822776.08502038755</v>
      </c>
      <c r="L268" s="244">
        <f t="shared" si="1239"/>
        <v>-1793970.8933874597</v>
      </c>
      <c r="N268" s="244">
        <f t="shared" si="1408"/>
        <v>-360.99</v>
      </c>
      <c r="O268" s="244">
        <f t="shared" si="1409"/>
        <v>-1596.91</v>
      </c>
      <c r="P268" s="244">
        <f t="shared" si="1410"/>
        <v>0</v>
      </c>
      <c r="Q268" s="244">
        <f t="shared" si="1411"/>
        <v>-200</v>
      </c>
      <c r="R268" s="244">
        <f t="shared" si="1412"/>
        <v>-120</v>
      </c>
      <c r="S268" s="244">
        <f t="shared" si="1413"/>
        <v>-945.65</v>
      </c>
      <c r="T268" s="244">
        <f t="shared" si="1414"/>
        <v>0</v>
      </c>
      <c r="U268" s="244">
        <f t="shared" si="1415"/>
        <v>-623</v>
      </c>
      <c r="V268" s="244">
        <f t="shared" si="1416"/>
        <v>-724</v>
      </c>
      <c r="W268" s="244">
        <f t="shared" si="1417"/>
        <v>-3190</v>
      </c>
      <c r="X268" s="244">
        <f t="shared" si="1418"/>
        <v>-2014.0001000000002</v>
      </c>
      <c r="Y268" s="244">
        <f t="shared" si="1419"/>
        <v>-3069.88</v>
      </c>
      <c r="Z268" s="244">
        <f t="shared" si="1420"/>
        <v>-635.22060581095604</v>
      </c>
      <c r="AA268" s="244">
        <f t="shared" si="1421"/>
        <v>-642.78275588013412</v>
      </c>
      <c r="AB268" s="244">
        <f t="shared" si="1422"/>
        <v>-1237.9722249264851</v>
      </c>
      <c r="AC268" s="244">
        <f t="shared" si="1423"/>
        <v>-1432.1825010450882</v>
      </c>
      <c r="AD268" s="244">
        <f t="shared" si="1424"/>
        <v>-3652.4417112155452</v>
      </c>
      <c r="AE268" s="244">
        <f t="shared" si="1425"/>
        <v>-4113.9906726951704</v>
      </c>
      <c r="AF268" s="244">
        <f t="shared" si="1426"/>
        <v>-3770.5775510377925</v>
      </c>
      <c r="AG268" s="244">
        <f t="shared" si="1427"/>
        <v>-6214.0681142416452</v>
      </c>
      <c r="AH268" s="244">
        <f t="shared" si="1428"/>
        <v>-11967.152991937533</v>
      </c>
      <c r="AI268" s="244">
        <f t="shared" si="1429"/>
        <v>-13479.409031051255</v>
      </c>
      <c r="AJ268" s="244">
        <f t="shared" si="1430"/>
        <v>-12354.222733432018</v>
      </c>
      <c r="AK268" s="244">
        <f t="shared" si="1431"/>
        <v>-20360.271211748295</v>
      </c>
      <c r="AL268" s="244">
        <f t="shared" si="1432"/>
        <v>-56427.609695320381</v>
      </c>
      <c r="AM268" s="244">
        <f t="shared" si="1433"/>
        <v>-63558.210732341518</v>
      </c>
      <c r="AN268" s="244">
        <f t="shared" si="1434"/>
        <v>-58252.723848422145</v>
      </c>
      <c r="AO268" s="244">
        <f t="shared" si="1435"/>
        <v>-96002.903781828529</v>
      </c>
      <c r="AP268" s="244">
        <f t="shared" si="1436"/>
        <v>-169293.47522395646</v>
      </c>
      <c r="AQ268" s="244">
        <f t="shared" si="1437"/>
        <v>-190686.62365804589</v>
      </c>
      <c r="AR268" s="244">
        <f t="shared" si="1438"/>
        <v>-174769.16202563664</v>
      </c>
      <c r="AS268" s="244">
        <f t="shared" si="1439"/>
        <v>-288026.82411274844</v>
      </c>
      <c r="AT268" s="244">
        <f t="shared" si="1440"/>
        <v>-369125.41883696511</v>
      </c>
      <c r="AU268" s="244">
        <f t="shared" si="1441"/>
        <v>-415770.77752859867</v>
      </c>
      <c r="AV268" s="244">
        <f t="shared" si="1442"/>
        <v>-381064.53923966456</v>
      </c>
      <c r="AW268" s="244">
        <f t="shared" si="1443"/>
        <v>-628010.15778223134</v>
      </c>
      <c r="AY268" s="20">
        <f t="shared" ref="AY268:CD268" si="1456">AY$265*AY244</f>
        <v>0</v>
      </c>
      <c r="AZ268" s="20">
        <f t="shared" si="1456"/>
        <v>-246.42000000000002</v>
      </c>
      <c r="BA268" s="20">
        <f t="shared" si="1456"/>
        <v>-114.57000000000001</v>
      </c>
      <c r="BB268" s="20">
        <f t="shared" si="1456"/>
        <v>0</v>
      </c>
      <c r="BC268" s="20">
        <f t="shared" si="1456"/>
        <v>0</v>
      </c>
      <c r="BD268" s="20">
        <f t="shared" si="1456"/>
        <v>-1596.91</v>
      </c>
      <c r="BE268" s="20">
        <f t="shared" si="1456"/>
        <v>0</v>
      </c>
      <c r="BF268" s="20">
        <f t="shared" si="1456"/>
        <v>0</v>
      </c>
      <c r="BG268" s="20">
        <f t="shared" si="1456"/>
        <v>0</v>
      </c>
      <c r="BH268" s="20">
        <f t="shared" si="1456"/>
        <v>-200</v>
      </c>
      <c r="BI268" s="20">
        <f t="shared" si="1456"/>
        <v>0</v>
      </c>
      <c r="BJ268" s="20">
        <f t="shared" si="1456"/>
        <v>0</v>
      </c>
      <c r="BK268" s="20">
        <f t="shared" si="1456"/>
        <v>0</v>
      </c>
      <c r="BL268" s="20">
        <f t="shared" si="1456"/>
        <v>0</v>
      </c>
      <c r="BM268" s="20">
        <f t="shared" si="1456"/>
        <v>-120</v>
      </c>
      <c r="BN268" s="20">
        <f t="shared" si="1456"/>
        <v>0</v>
      </c>
      <c r="BO268" s="20">
        <f t="shared" si="1456"/>
        <v>-4.68</v>
      </c>
      <c r="BP268" s="20">
        <f t="shared" si="1456"/>
        <v>-940.97</v>
      </c>
      <c r="BQ268" s="20">
        <f t="shared" si="1456"/>
        <v>0</v>
      </c>
      <c r="BR268" s="20">
        <f t="shared" si="1456"/>
        <v>0</v>
      </c>
      <c r="BS268" s="20">
        <f t="shared" si="1456"/>
        <v>0</v>
      </c>
      <c r="BT268" s="20">
        <f t="shared" si="1456"/>
        <v>-108</v>
      </c>
      <c r="BU268" s="20">
        <f t="shared" si="1456"/>
        <v>0</v>
      </c>
      <c r="BV268" s="20">
        <f t="shared" si="1456"/>
        <v>-515</v>
      </c>
      <c r="BW268" s="20">
        <f t="shared" si="1456"/>
        <v>0</v>
      </c>
      <c r="BX268" s="20">
        <f t="shared" si="1456"/>
        <v>0</v>
      </c>
      <c r="BY268" s="20">
        <f t="shared" si="1456"/>
        <v>-724</v>
      </c>
      <c r="BZ268" s="20">
        <f t="shared" si="1456"/>
        <v>-400</v>
      </c>
      <c r="CA268" s="20">
        <f t="shared" si="1456"/>
        <v>-2590</v>
      </c>
      <c r="CB268" s="20">
        <f t="shared" si="1456"/>
        <v>-200</v>
      </c>
      <c r="CC268" s="20">
        <f t="shared" si="1456"/>
        <v>-1324.0001000000002</v>
      </c>
      <c r="CD268" s="20">
        <f t="shared" si="1456"/>
        <v>-510</v>
      </c>
      <c r="CE268" s="20">
        <f t="shared" ref="CE268:DJ268" si="1457">CE$265*CE244</f>
        <v>-180</v>
      </c>
      <c r="CF268" s="20">
        <f t="shared" si="1457"/>
        <v>-180</v>
      </c>
      <c r="CG268" s="20">
        <f t="shared" si="1457"/>
        <v>-2830</v>
      </c>
      <c r="CH268" s="20">
        <f t="shared" si="1457"/>
        <v>-59.88</v>
      </c>
      <c r="CI268" s="20">
        <f t="shared" si="1457"/>
        <v>0</v>
      </c>
      <c r="CJ268" s="20">
        <f t="shared" si="1457"/>
        <v>-231.90593545479348</v>
      </c>
      <c r="CK268" s="20">
        <f t="shared" si="1457"/>
        <v>-403.31467035616254</v>
      </c>
      <c r="CL268" s="20">
        <f t="shared" si="1457"/>
        <v>-120.99440110684877</v>
      </c>
      <c r="CM268" s="20">
        <f t="shared" si="1457"/>
        <v>-226.86450207534145</v>
      </c>
      <c r="CN268" s="20">
        <f t="shared" si="1457"/>
        <v>-294.92385269794386</v>
      </c>
      <c r="CO268" s="20">
        <f t="shared" si="1457"/>
        <v>-174.90500988725586</v>
      </c>
      <c r="CP268" s="20">
        <f t="shared" si="1457"/>
        <v>-397.90682537632347</v>
      </c>
      <c r="CQ268" s="20">
        <f t="shared" si="1457"/>
        <v>-665.1603896629058</v>
      </c>
      <c r="CR268" s="20">
        <f t="shared" si="1457"/>
        <v>-211.79997163751565</v>
      </c>
      <c r="CS268" s="20">
        <f t="shared" si="1457"/>
        <v>-696.08961714064026</v>
      </c>
      <c r="CT268" s="20">
        <f t="shared" si="1457"/>
        <v>-524.29291226693226</v>
      </c>
      <c r="CU268" s="20">
        <f t="shared" si="1457"/>
        <v>-790.55480888374666</v>
      </c>
      <c r="CV268" s="20">
        <f t="shared" si="1457"/>
        <v>-999.8773356927112</v>
      </c>
      <c r="CW268" s="20">
        <f t="shared" si="1457"/>
        <v>-1862.0095666390871</v>
      </c>
      <c r="CX268" s="20">
        <f t="shared" si="1457"/>
        <v>-1234.633479702866</v>
      </c>
      <c r="CY268" s="20">
        <f t="shared" si="1457"/>
        <v>-1011.5006431284289</v>
      </c>
      <c r="CZ268" s="20">
        <f t="shared" si="1457"/>
        <v>-1867.8565498638752</v>
      </c>
      <c r="DA268" s="20">
        <f t="shared" si="1457"/>
        <v>-1245.2145197319719</v>
      </c>
      <c r="DB268" s="20">
        <f t="shared" si="1457"/>
        <v>-976.80090154633342</v>
      </c>
      <c r="DC268" s="20">
        <f t="shared" si="1457"/>
        <v>-1548.5621297594871</v>
      </c>
      <c r="DD268" s="20">
        <f t="shared" si="1457"/>
        <v>-1224.1578783049135</v>
      </c>
      <c r="DE268" s="20">
        <f t="shared" si="1457"/>
        <v>-2572.8935106761974</v>
      </c>
      <c r="DF268" s="20">
        <f t="shared" si="1457"/>
        <v>-2417.0167252605343</v>
      </c>
      <c r="DG268" s="20">
        <f t="shared" si="1457"/>
        <v>-2590.2371877346636</v>
      </c>
      <c r="DH268" s="20">
        <f t="shared" si="1457"/>
        <v>-3276.0783047303817</v>
      </c>
      <c r="DI268" s="20">
        <f t="shared" si="1457"/>
        <v>-6100.8374994724882</v>
      </c>
      <c r="DJ268" s="20">
        <f t="shared" si="1457"/>
        <v>-4045.2521652029923</v>
      </c>
      <c r="DK268" s="20">
        <f t="shared" ref="DK268:EP268" si="1458">DK$265*DK244</f>
        <v>-3314.1618415404114</v>
      </c>
      <c r="DL268" s="20">
        <f t="shared" si="1458"/>
        <v>-6119.995024307852</v>
      </c>
      <c r="DM268" s="20">
        <f t="shared" si="1458"/>
        <v>-4079.9207334797425</v>
      </c>
      <c r="DN268" s="20">
        <f t="shared" si="1458"/>
        <v>-3200.4688248884254</v>
      </c>
      <c r="DO268" s="20">
        <f t="shared" si="1458"/>
        <v>-5073.8331750638499</v>
      </c>
      <c r="DP268" s="20">
        <f t="shared" si="1458"/>
        <v>-4010.9290645147862</v>
      </c>
      <c r="DQ268" s="20">
        <f t="shared" si="1458"/>
        <v>-8430.0346750717163</v>
      </c>
      <c r="DR268" s="20">
        <f t="shared" si="1458"/>
        <v>-7919.3074721617932</v>
      </c>
      <c r="DS268" s="20">
        <f t="shared" si="1458"/>
        <v>-12213.505847737291</v>
      </c>
      <c r="DT268" s="20">
        <f t="shared" si="1458"/>
        <v>-15447.389035234773</v>
      </c>
      <c r="DU268" s="20">
        <f t="shared" si="1458"/>
        <v>-28766.714812348317</v>
      </c>
      <c r="DV268" s="20">
        <f t="shared" si="1458"/>
        <v>-19074.20340084306</v>
      </c>
      <c r="DW268" s="20">
        <f t="shared" si="1458"/>
        <v>-15626.960814118313</v>
      </c>
      <c r="DX268" s="20">
        <f t="shared" si="1458"/>
        <v>-28857.046517380142</v>
      </c>
      <c r="DY268" s="20">
        <f t="shared" si="1458"/>
        <v>-19237.67289444225</v>
      </c>
      <c r="DZ268" s="20">
        <f t="shared" si="1458"/>
        <v>-15090.874647839333</v>
      </c>
      <c r="EA268" s="20">
        <f t="shared" si="1458"/>
        <v>-23924.176306140565</v>
      </c>
      <c r="EB268" s="20">
        <f t="shared" si="1458"/>
        <v>-18912.362858612832</v>
      </c>
      <c r="EC268" s="20">
        <f t="shared" si="1458"/>
        <v>-39749.362833703366</v>
      </c>
      <c r="ED268" s="20">
        <f t="shared" si="1458"/>
        <v>-37341.178089512337</v>
      </c>
      <c r="EE268" s="20">
        <f t="shared" si="1458"/>
        <v>-36642.821852562622</v>
      </c>
      <c r="EF268" s="20">
        <f t="shared" si="1458"/>
        <v>-46345.081548407536</v>
      </c>
      <c r="EG268" s="20">
        <f t="shared" si="1458"/>
        <v>-86305.571822986283</v>
      </c>
      <c r="EH268" s="20">
        <f t="shared" si="1458"/>
        <v>-57226.208912498514</v>
      </c>
      <c r="EI268" s="20">
        <f t="shared" si="1458"/>
        <v>-46883.830764677507</v>
      </c>
      <c r="EJ268" s="20">
        <f t="shared" si="1458"/>
        <v>-86576.583980869895</v>
      </c>
      <c r="EK268" s="20">
        <f t="shared" si="1458"/>
        <v>-57716.648234914144</v>
      </c>
      <c r="EL268" s="20">
        <f t="shared" si="1458"/>
        <v>-45275.471123025309</v>
      </c>
      <c r="EM268" s="20">
        <f t="shared" si="1458"/>
        <v>-71777.042667697169</v>
      </c>
      <c r="EN268" s="20">
        <f t="shared" si="1458"/>
        <v>-56740.656751522285</v>
      </c>
      <c r="EO268" s="20">
        <f t="shared" si="1458"/>
        <v>-119255.5879717458</v>
      </c>
      <c r="EP268" s="20">
        <f t="shared" si="1458"/>
        <v>-112030.57938948036</v>
      </c>
      <c r="EQ268" s="20">
        <f t="shared" ref="EQ268:FB268" si="1459">EQ$265*EQ244</f>
        <v>-79895.559742053549</v>
      </c>
      <c r="ER268" s="20">
        <f t="shared" si="1459"/>
        <v>-101050.24789028861</v>
      </c>
      <c r="ES268" s="20">
        <f t="shared" si="1459"/>
        <v>-188179.61120462292</v>
      </c>
      <c r="ET268" s="20">
        <f t="shared" si="1459"/>
        <v>-124775.32465638997</v>
      </c>
      <c r="EU268" s="20">
        <f t="shared" si="1459"/>
        <v>-102224.93007954999</v>
      </c>
      <c r="EV268" s="20">
        <f t="shared" si="1459"/>
        <v>-188770.52279265871</v>
      </c>
      <c r="EW268" s="20">
        <f t="shared" si="1459"/>
        <v>-125844.67254508618</v>
      </c>
      <c r="EX268" s="20">
        <f t="shared" si="1459"/>
        <v>-98718.082425912071</v>
      </c>
      <c r="EY268" s="20">
        <f t="shared" si="1459"/>
        <v>-156501.78426866626</v>
      </c>
      <c r="EZ268" s="20">
        <f t="shared" si="1459"/>
        <v>-123716.63267460841</v>
      </c>
      <c r="FA268" s="20">
        <f t="shared" si="1459"/>
        <v>-260023.42264216198</v>
      </c>
      <c r="FB268" s="20">
        <f t="shared" si="1459"/>
        <v>-244270.10246546092</v>
      </c>
    </row>
    <row r="269" spans="3:158" x14ac:dyDescent="0.25">
      <c r="C269" s="2" t="s">
        <v>300</v>
      </c>
      <c r="D269" s="244">
        <f t="shared" si="1239"/>
        <v>-4315.8</v>
      </c>
      <c r="E269" s="244">
        <f t="shared" si="1239"/>
        <v>-3377.3</v>
      </c>
      <c r="F269" s="244">
        <f t="shared" si="1239"/>
        <v>-17995.760200000001</v>
      </c>
      <c r="G269" s="244">
        <f t="shared" si="1239"/>
        <v>-7896.3161753253262</v>
      </c>
      <c r="H269" s="244">
        <f t="shared" si="1239"/>
        <v>-24536.437215018203</v>
      </c>
      <c r="I269" s="244">
        <f t="shared" si="1239"/>
        <v>-46968.680644250075</v>
      </c>
      <c r="J269" s="244">
        <f t="shared" si="1239"/>
        <v>-82063.8162291591</v>
      </c>
      <c r="K269" s="244">
        <f t="shared" si="1239"/>
        <v>-135739.03109212039</v>
      </c>
      <c r="L269" s="244">
        <f t="shared" si="1239"/>
        <v>-215919.63652794916</v>
      </c>
      <c r="N269" s="244">
        <f t="shared" si="1408"/>
        <v>-721.98</v>
      </c>
      <c r="O269" s="244">
        <f t="shared" si="1409"/>
        <v>-3193.82</v>
      </c>
      <c r="P269" s="244">
        <f t="shared" si="1410"/>
        <v>0</v>
      </c>
      <c r="Q269" s="244">
        <f t="shared" si="1411"/>
        <v>-400</v>
      </c>
      <c r="R269" s="244">
        <f t="shared" si="1412"/>
        <v>-240</v>
      </c>
      <c r="S269" s="244">
        <f t="shared" si="1413"/>
        <v>-1891.3</v>
      </c>
      <c r="T269" s="244">
        <f t="shared" si="1414"/>
        <v>0</v>
      </c>
      <c r="U269" s="244">
        <f t="shared" si="1415"/>
        <v>-1246</v>
      </c>
      <c r="V269" s="244">
        <f t="shared" si="1416"/>
        <v>-1448</v>
      </c>
      <c r="W269" s="244">
        <f t="shared" si="1417"/>
        <v>-6380</v>
      </c>
      <c r="X269" s="244">
        <f t="shared" si="1418"/>
        <v>-4028.0002000000004</v>
      </c>
      <c r="Y269" s="244">
        <f t="shared" si="1419"/>
        <v>-6139.76</v>
      </c>
      <c r="Z269" s="244">
        <f t="shared" si="1420"/>
        <v>-1270.4412116219121</v>
      </c>
      <c r="AA269" s="244">
        <f t="shared" si="1421"/>
        <v>-1285.5655117602682</v>
      </c>
      <c r="AB269" s="244">
        <f t="shared" si="1422"/>
        <v>-2475.9444498529701</v>
      </c>
      <c r="AC269" s="244">
        <f t="shared" si="1423"/>
        <v>-2864.3650020901764</v>
      </c>
      <c r="AD269" s="244">
        <f t="shared" si="1424"/>
        <v>-5048.58952681144</v>
      </c>
      <c r="AE269" s="244">
        <f t="shared" si="1425"/>
        <v>-5686.5658279476038</v>
      </c>
      <c r="AF269" s="244">
        <f t="shared" si="1426"/>
        <v>-5211.8828551720953</v>
      </c>
      <c r="AG269" s="244">
        <f t="shared" si="1427"/>
        <v>-8589.3990050870616</v>
      </c>
      <c r="AH269" s="244">
        <f t="shared" si="1428"/>
        <v>-9664.2225238623032</v>
      </c>
      <c r="AI269" s="244">
        <f t="shared" si="1429"/>
        <v>-10885.463606423531</v>
      </c>
      <c r="AJ269" s="244">
        <f t="shared" si="1430"/>
        <v>-9976.8054846196974</v>
      </c>
      <c r="AK269" s="244">
        <f t="shared" si="1431"/>
        <v>-16442.189029344547</v>
      </c>
      <c r="AL269" s="244">
        <f t="shared" si="1432"/>
        <v>-16885.357866508981</v>
      </c>
      <c r="AM269" s="244">
        <f t="shared" si="1433"/>
        <v>-19019.113858717647</v>
      </c>
      <c r="AN269" s="244">
        <f t="shared" si="1434"/>
        <v>-17431.503730010081</v>
      </c>
      <c r="AO269" s="244">
        <f t="shared" si="1435"/>
        <v>-28727.840773922388</v>
      </c>
      <c r="AP269" s="244">
        <f t="shared" si="1436"/>
        <v>-27929.509274140277</v>
      </c>
      <c r="AQ269" s="244">
        <f t="shared" si="1437"/>
        <v>-31458.884146990724</v>
      </c>
      <c r="AR269" s="244">
        <f t="shared" si="1438"/>
        <v>-28832.87099618834</v>
      </c>
      <c r="AS269" s="244">
        <f t="shared" si="1439"/>
        <v>-47517.766674801074</v>
      </c>
      <c r="AT269" s="244">
        <f t="shared" si="1440"/>
        <v>-44427.379821089824</v>
      </c>
      <c r="AU269" s="244">
        <f t="shared" si="1441"/>
        <v>-50041.54498482644</v>
      </c>
      <c r="AV269" s="244">
        <f t="shared" si="1442"/>
        <v>-45864.354382559206</v>
      </c>
      <c r="AW269" s="244">
        <f t="shared" si="1443"/>
        <v>-75586.357339473703</v>
      </c>
      <c r="AY269" s="20">
        <f t="shared" ref="AY269:CD269" si="1460">AY$265*AY245</f>
        <v>0</v>
      </c>
      <c r="AZ269" s="20">
        <f t="shared" si="1460"/>
        <v>-492.84000000000003</v>
      </c>
      <c r="BA269" s="20">
        <f t="shared" si="1460"/>
        <v>-229.14000000000001</v>
      </c>
      <c r="BB269" s="20">
        <f t="shared" si="1460"/>
        <v>0</v>
      </c>
      <c r="BC269" s="20">
        <f t="shared" si="1460"/>
        <v>0</v>
      </c>
      <c r="BD269" s="20">
        <f t="shared" si="1460"/>
        <v>-3193.82</v>
      </c>
      <c r="BE269" s="20">
        <f t="shared" si="1460"/>
        <v>0</v>
      </c>
      <c r="BF269" s="20">
        <f t="shared" si="1460"/>
        <v>0</v>
      </c>
      <c r="BG269" s="20">
        <f t="shared" si="1460"/>
        <v>0</v>
      </c>
      <c r="BH269" s="20">
        <f t="shared" si="1460"/>
        <v>-400</v>
      </c>
      <c r="BI269" s="20">
        <f t="shared" si="1460"/>
        <v>0</v>
      </c>
      <c r="BJ269" s="20">
        <f t="shared" si="1460"/>
        <v>0</v>
      </c>
      <c r="BK269" s="20">
        <f t="shared" si="1460"/>
        <v>0</v>
      </c>
      <c r="BL269" s="20">
        <f t="shared" si="1460"/>
        <v>0</v>
      </c>
      <c r="BM269" s="20">
        <f t="shared" si="1460"/>
        <v>-240</v>
      </c>
      <c r="BN269" s="20">
        <f t="shared" si="1460"/>
        <v>0</v>
      </c>
      <c r="BO269" s="20">
        <f t="shared" si="1460"/>
        <v>-9.36</v>
      </c>
      <c r="BP269" s="20">
        <f t="shared" si="1460"/>
        <v>-1881.94</v>
      </c>
      <c r="BQ269" s="20">
        <f t="shared" si="1460"/>
        <v>0</v>
      </c>
      <c r="BR269" s="20">
        <f t="shared" si="1460"/>
        <v>0</v>
      </c>
      <c r="BS269" s="20">
        <f t="shared" si="1460"/>
        <v>0</v>
      </c>
      <c r="BT269" s="20">
        <f t="shared" si="1460"/>
        <v>-216</v>
      </c>
      <c r="BU269" s="20">
        <f t="shared" si="1460"/>
        <v>0</v>
      </c>
      <c r="BV269" s="20">
        <f t="shared" si="1460"/>
        <v>-1030</v>
      </c>
      <c r="BW269" s="20">
        <f t="shared" si="1460"/>
        <v>0</v>
      </c>
      <c r="BX269" s="20">
        <f t="shared" si="1460"/>
        <v>0</v>
      </c>
      <c r="BY269" s="20">
        <f t="shared" si="1460"/>
        <v>-1448</v>
      </c>
      <c r="BZ269" s="20">
        <f t="shared" si="1460"/>
        <v>-800</v>
      </c>
      <c r="CA269" s="20">
        <f t="shared" si="1460"/>
        <v>-5180</v>
      </c>
      <c r="CB269" s="20">
        <f t="shared" si="1460"/>
        <v>-400</v>
      </c>
      <c r="CC269" s="20">
        <f t="shared" si="1460"/>
        <v>-2648.0002000000004</v>
      </c>
      <c r="CD269" s="20">
        <f t="shared" si="1460"/>
        <v>-1020</v>
      </c>
      <c r="CE269" s="20">
        <f t="shared" ref="CE269:DJ269" si="1461">CE$265*CE245</f>
        <v>-360</v>
      </c>
      <c r="CF269" s="20">
        <f t="shared" si="1461"/>
        <v>-360</v>
      </c>
      <c r="CG269" s="20">
        <f t="shared" si="1461"/>
        <v>-5660</v>
      </c>
      <c r="CH269" s="20">
        <f t="shared" si="1461"/>
        <v>-119.76</v>
      </c>
      <c r="CI269" s="20">
        <f t="shared" si="1461"/>
        <v>0</v>
      </c>
      <c r="CJ269" s="20">
        <f t="shared" si="1461"/>
        <v>-463.81187090958696</v>
      </c>
      <c r="CK269" s="20">
        <f t="shared" si="1461"/>
        <v>-806.62934071232507</v>
      </c>
      <c r="CL269" s="20">
        <f t="shared" si="1461"/>
        <v>-241.98880221369754</v>
      </c>
      <c r="CM269" s="20">
        <f t="shared" si="1461"/>
        <v>-453.7290041506829</v>
      </c>
      <c r="CN269" s="20">
        <f t="shared" si="1461"/>
        <v>-589.84770539588771</v>
      </c>
      <c r="CO269" s="20">
        <f t="shared" si="1461"/>
        <v>-349.81001977451172</v>
      </c>
      <c r="CP269" s="20">
        <f t="shared" si="1461"/>
        <v>-795.81365075264694</v>
      </c>
      <c r="CQ269" s="20">
        <f t="shared" si="1461"/>
        <v>-1330.3207793258116</v>
      </c>
      <c r="CR269" s="20">
        <f t="shared" si="1461"/>
        <v>-423.59994327503131</v>
      </c>
      <c r="CS269" s="20">
        <f t="shared" si="1461"/>
        <v>-1392.1792342812805</v>
      </c>
      <c r="CT269" s="20">
        <f t="shared" si="1461"/>
        <v>-1048.5858245338645</v>
      </c>
      <c r="CU269" s="20">
        <f t="shared" si="1461"/>
        <v>-1092.7448112984732</v>
      </c>
      <c r="CV269" s="20">
        <f t="shared" si="1461"/>
        <v>-1382.0809869664879</v>
      </c>
      <c r="CW269" s="20">
        <f t="shared" si="1461"/>
        <v>-2573.7637285464793</v>
      </c>
      <c r="CX269" s="20">
        <f t="shared" si="1461"/>
        <v>-1706.5727937391885</v>
      </c>
      <c r="CY269" s="20">
        <f t="shared" si="1461"/>
        <v>-1398.1473099434381</v>
      </c>
      <c r="CZ269" s="20">
        <f t="shared" si="1461"/>
        <v>-2581.8457242649774</v>
      </c>
      <c r="DA269" s="20">
        <f t="shared" si="1461"/>
        <v>-1721.1984420307633</v>
      </c>
      <c r="DB269" s="20">
        <f t="shared" si="1461"/>
        <v>-1350.1835734116569</v>
      </c>
      <c r="DC269" s="20">
        <f t="shared" si="1461"/>
        <v>-2140.5008397296751</v>
      </c>
      <c r="DD269" s="20">
        <f t="shared" si="1461"/>
        <v>-1692.092888052438</v>
      </c>
      <c r="DE269" s="20">
        <f t="shared" si="1461"/>
        <v>-3556.3834439066313</v>
      </c>
      <c r="DF269" s="20">
        <f t="shared" si="1461"/>
        <v>-3340.9226731279928</v>
      </c>
      <c r="DG269" s="20">
        <f t="shared" si="1461"/>
        <v>-2091.7781020027051</v>
      </c>
      <c r="DH269" s="20">
        <f t="shared" si="1461"/>
        <v>-2645.6375851334356</v>
      </c>
      <c r="DI269" s="20">
        <f t="shared" si="1461"/>
        <v>-4926.8068367261621</v>
      </c>
      <c r="DJ269" s="20">
        <f t="shared" si="1461"/>
        <v>-3266.7934567224065</v>
      </c>
      <c r="DK269" s="20">
        <f t="shared" ref="DK269:EP269" si="1462">DK$265*DK245</f>
        <v>-2676.3924166690385</v>
      </c>
      <c r="DL269" s="20">
        <f t="shared" si="1462"/>
        <v>-4942.2777330320851</v>
      </c>
      <c r="DM269" s="20">
        <f t="shared" si="1462"/>
        <v>-3294.790488149677</v>
      </c>
      <c r="DN269" s="20">
        <f t="shared" si="1462"/>
        <v>-2584.5782138194368</v>
      </c>
      <c r="DO269" s="20">
        <f t="shared" si="1462"/>
        <v>-4097.4367826505841</v>
      </c>
      <c r="DP269" s="20">
        <f t="shared" si="1462"/>
        <v>-3239.0754119223416</v>
      </c>
      <c r="DQ269" s="20">
        <f t="shared" si="1462"/>
        <v>-6807.7788458671666</v>
      </c>
      <c r="DR269" s="20">
        <f t="shared" si="1462"/>
        <v>-6395.3347715550399</v>
      </c>
      <c r="DS269" s="20">
        <f t="shared" si="1462"/>
        <v>-3654.7608193449169</v>
      </c>
      <c r="DT269" s="20">
        <f t="shared" si="1462"/>
        <v>-4622.465728594515</v>
      </c>
      <c r="DU269" s="20">
        <f t="shared" si="1462"/>
        <v>-8608.1313185695471</v>
      </c>
      <c r="DV269" s="20">
        <f t="shared" si="1462"/>
        <v>-5707.7510846348641</v>
      </c>
      <c r="DW269" s="20">
        <f t="shared" si="1462"/>
        <v>-4676.2006602272049</v>
      </c>
      <c r="DX269" s="20">
        <f t="shared" si="1462"/>
        <v>-8635.1621138555784</v>
      </c>
      <c r="DY269" s="20">
        <f t="shared" si="1462"/>
        <v>-5756.6675798502947</v>
      </c>
      <c r="DZ269" s="20">
        <f t="shared" si="1462"/>
        <v>-4515.7826164046592</v>
      </c>
      <c r="EA269" s="20">
        <f t="shared" si="1462"/>
        <v>-7159.0535337551246</v>
      </c>
      <c r="EB269" s="20">
        <f t="shared" si="1462"/>
        <v>-5659.3220356706679</v>
      </c>
      <c r="EC269" s="20">
        <f t="shared" si="1462"/>
        <v>-11894.571115750359</v>
      </c>
      <c r="ED269" s="20">
        <f t="shared" si="1462"/>
        <v>-11173.94762250136</v>
      </c>
      <c r="EE269" s="20">
        <f t="shared" si="1462"/>
        <v>-6045.2184079035078</v>
      </c>
      <c r="EF269" s="20">
        <f t="shared" si="1462"/>
        <v>-7645.8669373092762</v>
      </c>
      <c r="EG269" s="20">
        <f t="shared" si="1462"/>
        <v>-14238.423928927494</v>
      </c>
      <c r="EH269" s="20">
        <f t="shared" si="1462"/>
        <v>-9441.0013760491547</v>
      </c>
      <c r="EI269" s="20">
        <f t="shared" si="1462"/>
        <v>-7734.7481018806948</v>
      </c>
      <c r="EJ269" s="20">
        <f t="shared" si="1462"/>
        <v>-14283.134669060873</v>
      </c>
      <c r="EK269" s="20">
        <f t="shared" si="1462"/>
        <v>-9521.9125250800898</v>
      </c>
      <c r="EL269" s="20">
        <f t="shared" si="1462"/>
        <v>-7469.4059469733493</v>
      </c>
      <c r="EM269" s="20">
        <f t="shared" si="1462"/>
        <v>-11841.552524134899</v>
      </c>
      <c r="EN269" s="20">
        <f t="shared" si="1462"/>
        <v>-9360.8964956624513</v>
      </c>
      <c r="EO269" s="20">
        <f t="shared" si="1462"/>
        <v>-19674.414774956414</v>
      </c>
      <c r="EP269" s="20">
        <f t="shared" si="1462"/>
        <v>-18482.455404182208</v>
      </c>
      <c r="EQ269" s="20">
        <f t="shared" ref="EQ269:FB269" si="1463">EQ$265*EQ245</f>
        <v>-9616.1093155346971</v>
      </c>
      <c r="ER269" s="20">
        <f t="shared" si="1463"/>
        <v>-12162.255740019911</v>
      </c>
      <c r="ES269" s="20">
        <f t="shared" si="1463"/>
        <v>-22649.014765535216</v>
      </c>
      <c r="ET269" s="20">
        <f t="shared" si="1463"/>
        <v>-15017.770269724102</v>
      </c>
      <c r="EU269" s="20">
        <f t="shared" si="1463"/>
        <v>-12303.638720243322</v>
      </c>
      <c r="EV269" s="20">
        <f t="shared" si="1463"/>
        <v>-22720.135994859022</v>
      </c>
      <c r="EW269" s="20">
        <f t="shared" si="1463"/>
        <v>-15146.475372075696</v>
      </c>
      <c r="EX269" s="20">
        <f t="shared" si="1463"/>
        <v>-11881.559814992737</v>
      </c>
      <c r="EY269" s="20">
        <f t="shared" si="1463"/>
        <v>-18836.319195490774</v>
      </c>
      <c r="EZ269" s="20">
        <f t="shared" si="1463"/>
        <v>-14890.347696289986</v>
      </c>
      <c r="FA269" s="20">
        <f t="shared" si="1463"/>
        <v>-31296.027774249389</v>
      </c>
      <c r="FB269" s="20">
        <f t="shared" si="1463"/>
        <v>-29399.981868934326</v>
      </c>
    </row>
    <row r="271" spans="3:158" x14ac:dyDescent="0.25">
      <c r="C271" s="304" t="s">
        <v>342</v>
      </c>
      <c r="D271" s="22">
        <f>AY271</f>
        <v>4378618.5554999942</v>
      </c>
      <c r="E271" s="22">
        <f t="shared" ref="E271:E275" si="1464">BK271</f>
        <v>10634385.025499994</v>
      </c>
      <c r="F271" s="22">
        <f t="shared" ref="F271:F275" si="1465">BW271</f>
        <v>19400379.635499995</v>
      </c>
      <c r="G271" s="22">
        <f t="shared" ref="G271:G275" si="1466">CI271</f>
        <v>27859679.508796997</v>
      </c>
      <c r="H271" s="22">
        <f t="shared" ref="H271:H275" si="1467">CU271</f>
        <v>48867258.79867994</v>
      </c>
      <c r="I271" s="22">
        <f t="shared" ref="I271:I275" si="1468">DG271</f>
        <v>80671616.824956074</v>
      </c>
      <c r="J271" s="22">
        <f t="shared" ref="J271:J275" si="1469">DS271</f>
        <v>132470186.48588201</v>
      </c>
      <c r="K271" s="22">
        <f t="shared" ref="K271:K275" si="1470">EE271</f>
        <v>214565374.41109663</v>
      </c>
      <c r="L271" s="22">
        <f t="shared" ref="L271:L275" si="1471">EQ271</f>
        <v>341404983.56683886</v>
      </c>
      <c r="N271" s="22">
        <f>AY271</f>
        <v>4378618.5554999942</v>
      </c>
      <c r="O271" s="22">
        <f>BB271</f>
        <v>5455561.0554999942</v>
      </c>
      <c r="P271" s="22">
        <f>BE271</f>
        <v>6713130.0254999939</v>
      </c>
      <c r="Q271" s="22">
        <f>BH271</f>
        <v>8063513.5254999939</v>
      </c>
      <c r="R271" s="22">
        <f>BK271</f>
        <v>10634385.025499994</v>
      </c>
      <c r="S271" s="22">
        <f>BN271</f>
        <v>12215117.255499994</v>
      </c>
      <c r="T271" s="22">
        <f>BQ271</f>
        <v>15327258.585499994</v>
      </c>
      <c r="U271" s="22">
        <f>BT271</f>
        <v>16841948.175499994</v>
      </c>
      <c r="V271" s="22">
        <f>BW271</f>
        <v>19400379.635499995</v>
      </c>
      <c r="W271" s="22">
        <f>BZ271</f>
        <v>20809157.445499998</v>
      </c>
      <c r="X271" s="22">
        <f>CC271</f>
        <v>22640948.844730999</v>
      </c>
      <c r="Y271" s="22">
        <f>CF271</f>
        <v>25612607.174730998</v>
      </c>
      <c r="Z271" s="22">
        <f>CI271</f>
        <v>27859679.508796997</v>
      </c>
      <c r="AA271" s="22">
        <f>CL271</f>
        <v>30227422.028797001</v>
      </c>
      <c r="AB271" s="22">
        <f>CO271</f>
        <v>35353585.544091001</v>
      </c>
      <c r="AC271" s="22">
        <f>CR271</f>
        <v>41369597.187665597</v>
      </c>
      <c r="AD271" s="22">
        <f>CU271</f>
        <v>48867258.79867994</v>
      </c>
      <c r="AE271" s="22">
        <f>CX271</f>
        <v>54436452.312811233</v>
      </c>
      <c r="AF271" s="22">
        <f>DA271</f>
        <v>61932909.33835005</v>
      </c>
      <c r="AG271" s="22">
        <f>DD271</f>
        <v>69356681.172703311</v>
      </c>
      <c r="AH271" s="22">
        <f>DG271</f>
        <v>80671616.824956074</v>
      </c>
      <c r="AI271" s="22">
        <f>DJ271</f>
        <v>90040772.117722213</v>
      </c>
      <c r="AJ271" s="22">
        <f>DM271</f>
        <v>102911203.02613696</v>
      </c>
      <c r="AK271" s="22">
        <f>DP271</f>
        <v>115001204.18950936</v>
      </c>
      <c r="AL271" s="22">
        <f>DS271</f>
        <v>132470186.48588201</v>
      </c>
      <c r="AM271" s="22">
        <f>DV271</f>
        <v>147318103.40805256</v>
      </c>
      <c r="AN271" s="22">
        <f>DY271</f>
        <v>167717158.67354912</v>
      </c>
      <c r="AO271" s="22">
        <f>EB271</f>
        <v>186879521.21872064</v>
      </c>
      <c r="AP271" s="22">
        <f>EE271</f>
        <v>214565374.41109663</v>
      </c>
      <c r="AQ271" s="22">
        <f>EH271</f>
        <v>237501751.65873489</v>
      </c>
      <c r="AR271" s="22">
        <f>EK271</f>
        <v>269021687.39409924</v>
      </c>
      <c r="AS271" s="22">
        <f>EN271</f>
        <v>298631602.19431108</v>
      </c>
      <c r="AT271" s="22">
        <f>EQ271</f>
        <v>341404983.56683886</v>
      </c>
      <c r="AU271" s="22">
        <f>ET271</f>
        <v>375981388.20837885</v>
      </c>
      <c r="AV271" s="22">
        <f>EW271</f>
        <v>423514220.82793117</v>
      </c>
      <c r="AW271" s="22">
        <f>EZ271</f>
        <v>468168439.94703621</v>
      </c>
      <c r="AY271" s="332">
        <f>AY283-AY277</f>
        <v>4378618.5554999942</v>
      </c>
      <c r="AZ271" s="49">
        <f>AY283</f>
        <v>4386418.5554999942</v>
      </c>
      <c r="BA271" s="49">
        <f t="shared" ref="BA271:DL271" si="1472">AZ283</f>
        <v>4708234.3854999943</v>
      </c>
      <c r="BB271" s="49">
        <f t="shared" si="1472"/>
        <v>5455561.0554999942</v>
      </c>
      <c r="BC271" s="49">
        <f t="shared" si="1472"/>
        <v>5728626.0554999942</v>
      </c>
      <c r="BD271" s="49">
        <f t="shared" si="1472"/>
        <v>6283343.0254999939</v>
      </c>
      <c r="BE271" s="49">
        <f t="shared" si="1472"/>
        <v>6713130.0254999939</v>
      </c>
      <c r="BF271" s="49">
        <f t="shared" si="1472"/>
        <v>7036280.0254999939</v>
      </c>
      <c r="BG271" s="49">
        <f t="shared" si="1472"/>
        <v>7251362.5254999939</v>
      </c>
      <c r="BH271" s="49">
        <f t="shared" si="1472"/>
        <v>8063513.5254999939</v>
      </c>
      <c r="BI271" s="49">
        <f t="shared" si="1472"/>
        <v>8376099.0254999939</v>
      </c>
      <c r="BJ271" s="49">
        <f t="shared" si="1472"/>
        <v>9695505.0254999939</v>
      </c>
      <c r="BK271" s="49">
        <f t="shared" si="1472"/>
        <v>10634385.025499994</v>
      </c>
      <c r="BL271" s="49">
        <f t="shared" si="1472"/>
        <v>10777535.025499994</v>
      </c>
      <c r="BM271" s="49">
        <f t="shared" si="1472"/>
        <v>11224416.025499994</v>
      </c>
      <c r="BN271" s="49">
        <f t="shared" si="1472"/>
        <v>12215117.255499994</v>
      </c>
      <c r="BO271" s="49">
        <f t="shared" si="1472"/>
        <v>12601662.485499995</v>
      </c>
      <c r="BP271" s="49">
        <f t="shared" si="1472"/>
        <v>14302660.345499994</v>
      </c>
      <c r="BQ271" s="49">
        <f t="shared" si="1472"/>
        <v>15327258.585499994</v>
      </c>
      <c r="BR271" s="49">
        <f t="shared" si="1472"/>
        <v>15823258.815499995</v>
      </c>
      <c r="BS271" s="49">
        <f t="shared" si="1472"/>
        <v>16014319.815499995</v>
      </c>
      <c r="BT271" s="49">
        <f t="shared" si="1472"/>
        <v>16841948.175499994</v>
      </c>
      <c r="BU271" s="49">
        <f t="shared" si="1472"/>
        <v>16896148.175499994</v>
      </c>
      <c r="BV271" s="49">
        <f t="shared" si="1472"/>
        <v>17810880.175499994</v>
      </c>
      <c r="BW271" s="49">
        <f t="shared" si="1472"/>
        <v>19400379.635499995</v>
      </c>
      <c r="BX271" s="49">
        <f t="shared" si="1472"/>
        <v>19884154.275499996</v>
      </c>
      <c r="BY271" s="49">
        <f t="shared" si="1472"/>
        <v>20486861.275499996</v>
      </c>
      <c r="BZ271" s="49">
        <f t="shared" si="1472"/>
        <v>20809157.445499998</v>
      </c>
      <c r="CA271" s="49">
        <f t="shared" si="1472"/>
        <v>21344880.455499999</v>
      </c>
      <c r="CB271" s="49">
        <f t="shared" si="1472"/>
        <v>21423905.284731001</v>
      </c>
      <c r="CC271" s="49">
        <f t="shared" si="1472"/>
        <v>22640948.844730999</v>
      </c>
      <c r="CD271" s="49">
        <f t="shared" si="1472"/>
        <v>22706383.774730999</v>
      </c>
      <c r="CE271" s="49">
        <f t="shared" si="1472"/>
        <v>24195592.264730997</v>
      </c>
      <c r="CF271" s="49">
        <f t="shared" si="1472"/>
        <v>25612607.174730998</v>
      </c>
      <c r="CG271" s="49">
        <f t="shared" si="1472"/>
        <v>25930038.114510998</v>
      </c>
      <c r="CH271" s="49">
        <f t="shared" si="1472"/>
        <v>26708744.608796999</v>
      </c>
      <c r="CI271" s="49">
        <f t="shared" si="1472"/>
        <v>27859679.508796997</v>
      </c>
      <c r="CJ271" s="49">
        <f t="shared" si="1472"/>
        <v>28388794.518796999</v>
      </c>
      <c r="CK271" s="49">
        <f t="shared" si="1472"/>
        <v>28585958.438797001</v>
      </c>
      <c r="CL271" s="49">
        <f t="shared" si="1472"/>
        <v>30227422.028797001</v>
      </c>
      <c r="CM271" s="49">
        <f t="shared" si="1472"/>
        <v>30963617.818797</v>
      </c>
      <c r="CN271" s="49">
        <f t="shared" si="1472"/>
        <v>32154855.124090999</v>
      </c>
      <c r="CO271" s="49">
        <f t="shared" si="1472"/>
        <v>35353585.544091001</v>
      </c>
      <c r="CP271" s="49">
        <f t="shared" si="1472"/>
        <v>36258251.536992662</v>
      </c>
      <c r="CQ271" s="49">
        <f t="shared" si="1472"/>
        <v>38371280.147825293</v>
      </c>
      <c r="CR271" s="49">
        <f t="shared" si="1472"/>
        <v>41369597.187665597</v>
      </c>
      <c r="CS271" s="49">
        <f t="shared" si="1472"/>
        <v>42104972.796585575</v>
      </c>
      <c r="CT271" s="49">
        <f t="shared" si="1472"/>
        <v>45078182.809277005</v>
      </c>
      <c r="CU271" s="49">
        <f t="shared" si="1472"/>
        <v>48867258.79867994</v>
      </c>
      <c r="CV271" s="49">
        <f t="shared" si="1472"/>
        <v>49567702.77611237</v>
      </c>
      <c r="CW271" s="49">
        <f t="shared" si="1472"/>
        <v>51192811.575355031</v>
      </c>
      <c r="CX271" s="49">
        <f t="shared" si="1472"/>
        <v>54436452.312811233</v>
      </c>
      <c r="CY271" s="49">
        <f t="shared" si="1472"/>
        <v>55676452.989056587</v>
      </c>
      <c r="CZ271" s="49">
        <f t="shared" si="1472"/>
        <v>58272347.079734035</v>
      </c>
      <c r="DA271" s="49">
        <f t="shared" si="1472"/>
        <v>61932909.33835005</v>
      </c>
      <c r="DB271" s="49">
        <f t="shared" si="1472"/>
        <v>63116664.503480598</v>
      </c>
      <c r="DC271" s="49">
        <f t="shared" si="1472"/>
        <v>65371871.812051624</v>
      </c>
      <c r="DD271" s="49">
        <f t="shared" si="1472"/>
        <v>69356681.172703311</v>
      </c>
      <c r="DE271" s="49">
        <f t="shared" si="1472"/>
        <v>71002805.92446357</v>
      </c>
      <c r="DF271" s="49">
        <f t="shared" si="1472"/>
        <v>75474165.725126222</v>
      </c>
      <c r="DG271" s="49">
        <f t="shared" si="1472"/>
        <v>80671616.824956074</v>
      </c>
      <c r="DH271" s="49">
        <f t="shared" si="1472"/>
        <v>81912488.897828221</v>
      </c>
      <c r="DI271" s="49">
        <f t="shared" si="1472"/>
        <v>84658654.51396741</v>
      </c>
      <c r="DJ271" s="49">
        <f t="shared" si="1472"/>
        <v>90040772.117722213</v>
      </c>
      <c r="DK271" s="49">
        <f t="shared" si="1472"/>
        <v>92281967.792495266</v>
      </c>
      <c r="DL271" s="49">
        <f t="shared" si="1472"/>
        <v>96729305.021328613</v>
      </c>
      <c r="DM271" s="49">
        <f t="shared" ref="DM271:FB271" si="1473">DL283</f>
        <v>102911203.02613696</v>
      </c>
      <c r="DN271" s="49">
        <f t="shared" si="1473"/>
        <v>104840424.16251537</v>
      </c>
      <c r="DO271" s="49">
        <f t="shared" si="1473"/>
        <v>108512777.11919399</v>
      </c>
      <c r="DP271" s="49">
        <f t="shared" si="1473"/>
        <v>115001204.18950936</v>
      </c>
      <c r="DQ271" s="49">
        <f t="shared" si="1473"/>
        <v>117363187.075215</v>
      </c>
      <c r="DR271" s="49">
        <f t="shared" si="1473"/>
        <v>124326023.88300881</v>
      </c>
      <c r="DS271" s="49">
        <f t="shared" si="1473"/>
        <v>132470186.48588201</v>
      </c>
      <c r="DT271" s="49">
        <f t="shared" si="1473"/>
        <v>134435850.60520691</v>
      </c>
      <c r="DU271" s="49">
        <f t="shared" si="1473"/>
        <v>138788070.59329683</v>
      </c>
      <c r="DV271" s="49">
        <f t="shared" si="1473"/>
        <v>147318103.40805256</v>
      </c>
      <c r="DW271" s="49">
        <f t="shared" si="1473"/>
        <v>150868900.21067008</v>
      </c>
      <c r="DX271" s="49">
        <f t="shared" si="1473"/>
        <v>157918836.09348318</v>
      </c>
      <c r="DY271" s="49">
        <f t="shared" si="1473"/>
        <v>167717158.67354912</v>
      </c>
      <c r="DZ271" s="49">
        <f t="shared" si="1473"/>
        <v>170773192.34199962</v>
      </c>
      <c r="EA271" s="49">
        <f t="shared" si="1473"/>
        <v>176594238.4058587</v>
      </c>
      <c r="EB271" s="49">
        <f t="shared" si="1473"/>
        <v>186879521.21872064</v>
      </c>
      <c r="EC271" s="49">
        <f t="shared" si="1473"/>
        <v>190621892.71431118</v>
      </c>
      <c r="ED271" s="49">
        <f t="shared" si="1473"/>
        <v>201656739.96072328</v>
      </c>
      <c r="EE271" s="49">
        <f t="shared" si="1473"/>
        <v>214565374.41109663</v>
      </c>
      <c r="EF271" s="49">
        <f t="shared" si="1473"/>
        <v>217598983.32542029</v>
      </c>
      <c r="EG271" s="49">
        <f t="shared" si="1473"/>
        <v>224322750.48843056</v>
      </c>
      <c r="EH271" s="49">
        <f t="shared" si="1473"/>
        <v>237501751.65873489</v>
      </c>
      <c r="EI271" s="49">
        <f t="shared" si="1473"/>
        <v>242983496.28257468</v>
      </c>
      <c r="EJ271" s="49">
        <f t="shared" si="1473"/>
        <v>253880640.53433946</v>
      </c>
      <c r="EK271" s="49">
        <f t="shared" si="1473"/>
        <v>269021687.39409924</v>
      </c>
      <c r="EL271" s="49">
        <f t="shared" si="1473"/>
        <v>273737913.14982718</v>
      </c>
      <c r="EM271" s="49">
        <f t="shared" si="1473"/>
        <v>282734233.78300941</v>
      </c>
      <c r="EN271" s="49">
        <f t="shared" si="1473"/>
        <v>298631602.19431108</v>
      </c>
      <c r="EO271" s="49">
        <f t="shared" si="1473"/>
        <v>304409818.83312607</v>
      </c>
      <c r="EP271" s="49">
        <f t="shared" si="1473"/>
        <v>321457259.93029153</v>
      </c>
      <c r="EQ271" s="49">
        <f t="shared" si="1473"/>
        <v>341404983.56683886</v>
      </c>
      <c r="ER271" s="49">
        <f t="shared" si="1473"/>
        <v>345972424.78218186</v>
      </c>
      <c r="ES271" s="49">
        <f t="shared" si="1473"/>
        <v>356109762.86138386</v>
      </c>
      <c r="ET271" s="49">
        <f t="shared" si="1473"/>
        <v>375981388.20837885</v>
      </c>
      <c r="EU271" s="49">
        <f t="shared" si="1473"/>
        <v>384238369.02874315</v>
      </c>
      <c r="EV271" s="49">
        <f t="shared" si="1473"/>
        <v>400679143.82417744</v>
      </c>
      <c r="EW271" s="49">
        <f t="shared" si="1473"/>
        <v>423514220.82793117</v>
      </c>
      <c r="EX271" s="49">
        <f t="shared" si="1473"/>
        <v>430614732.15592664</v>
      </c>
      <c r="EY271" s="49">
        <f t="shared" si="1473"/>
        <v>444185062.66346204</v>
      </c>
      <c r="EZ271" s="49">
        <f t="shared" si="1473"/>
        <v>468168439.94703621</v>
      </c>
      <c r="FA271" s="49">
        <f t="shared" si="1473"/>
        <v>476873419.32245392</v>
      </c>
      <c r="FB271" s="49">
        <f t="shared" si="1473"/>
        <v>502574928.24909455</v>
      </c>
    </row>
    <row r="272" spans="3:158" x14ac:dyDescent="0.25">
      <c r="C272" s="2" t="s">
        <v>346</v>
      </c>
      <c r="D272" s="244">
        <f t="shared" ref="D272:D275" si="1474">AY272</f>
        <v>4148144.4209999954</v>
      </c>
      <c r="E272" s="244">
        <f t="shared" si="1464"/>
        <v>10091122.567499995</v>
      </c>
      <c r="F272" s="244">
        <f t="shared" si="1465"/>
        <v>18418817.446999993</v>
      </c>
      <c r="G272" s="244">
        <f t="shared" si="1466"/>
        <v>26455152.326632135</v>
      </c>
      <c r="H272" s="244">
        <f t="shared" si="1467"/>
        <v>44644258.540512756</v>
      </c>
      <c r="I272" s="244">
        <f t="shared" si="1468"/>
        <v>70291067.051125452</v>
      </c>
      <c r="J272" s="244">
        <f t="shared" si="1469"/>
        <v>96221934.655131578</v>
      </c>
      <c r="K272" s="244">
        <f t="shared" si="1470"/>
        <v>120590638.33686255</v>
      </c>
      <c r="L272" s="244">
        <f t="shared" si="1471"/>
        <v>146025082.76563731</v>
      </c>
      <c r="N272" s="244">
        <f t="shared" ref="N272:N275" si="1475">AY272</f>
        <v>4148144.4209999954</v>
      </c>
      <c r="O272" s="244">
        <f t="shared" ref="O272:O275" si="1476">BB272</f>
        <v>5171239.7959999954</v>
      </c>
      <c r="P272" s="244">
        <f t="shared" ref="P272:P275" si="1477">BE272</f>
        <v>6365930.3174999952</v>
      </c>
      <c r="Q272" s="244">
        <f t="shared" ref="Q272:Q275" si="1478">BH272</f>
        <v>7648794.6424999954</v>
      </c>
      <c r="R272" s="244">
        <f t="shared" ref="R272:R275" si="1479">BK272</f>
        <v>10091122.567499995</v>
      </c>
      <c r="S272" s="244">
        <f t="shared" ref="S272:S275" si="1480">BN272</f>
        <v>11592818.185999995</v>
      </c>
      <c r="T272" s="244">
        <f t="shared" ref="T272:T275" si="1481">BQ272</f>
        <v>14549352.449499995</v>
      </c>
      <c r="U272" s="244">
        <f t="shared" ref="U272:U275" si="1482">BT272</f>
        <v>15988307.559999993</v>
      </c>
      <c r="V272" s="244">
        <f t="shared" ref="V272:V275" si="1483">BW272</f>
        <v>18418817.446999993</v>
      </c>
      <c r="W272" s="244">
        <f t="shared" ref="W272:W275" si="1484">BZ272</f>
        <v>19757156.36649999</v>
      </c>
      <c r="X272" s="244">
        <f t="shared" ref="X272:X275" si="1485">CC272</f>
        <v>21497358.195769437</v>
      </c>
      <c r="Y272" s="244">
        <f t="shared" ref="Y272:Y275" si="1486">CF272</f>
        <v>24320433.609269433</v>
      </c>
      <c r="Z272" s="244">
        <f t="shared" ref="Z272:Z275" si="1487">CI272</f>
        <v>26455152.326632135</v>
      </c>
      <c r="AA272" s="244">
        <f t="shared" ref="AA272:AA275" si="1488">CL272</f>
        <v>28479769.592349302</v>
      </c>
      <c r="AB272" s="244">
        <f t="shared" ref="AB272:AB275" si="1489">CO272</f>
        <v>32927891.032495428</v>
      </c>
      <c r="AC272" s="244">
        <f t="shared" ref="AC272:AC275" si="1490">CR272</f>
        <v>38142958.959306821</v>
      </c>
      <c r="AD272" s="244">
        <f t="shared" ref="AD272:AD275" si="1491">CU272</f>
        <v>44644258.540512756</v>
      </c>
      <c r="AE272" s="244">
        <f t="shared" ref="AE272:AE275" si="1492">CX272</f>
        <v>49128854.409488134</v>
      </c>
      <c r="AF272" s="244">
        <f t="shared" ref="AF272:AF275" si="1493">DA272</f>
        <v>55174763.058670998</v>
      </c>
      <c r="AG272" s="244">
        <f t="shared" ref="AG272:AG275" si="1494">DD272</f>
        <v>61165600.174662143</v>
      </c>
      <c r="AH272" s="244">
        <f t="shared" ref="AH272:AH275" si="1495">DG272</f>
        <v>70291067.051125452</v>
      </c>
      <c r="AI272" s="244">
        <f t="shared" ref="AI272:AI275" si="1496">DJ272</f>
        <v>74952603.26846908</v>
      </c>
      <c r="AJ272" s="244">
        <f t="shared" ref="AJ272:AJ275" si="1497">DM272</f>
        <v>81414977.179002032</v>
      </c>
      <c r="AK272" s="244">
        <f t="shared" ref="AK272:AK275" si="1498">DP272</f>
        <v>87491605.699508056</v>
      </c>
      <c r="AL272" s="244">
        <f t="shared" ref="AL272:AL275" si="1499">DS272</f>
        <v>96221934.655131578</v>
      </c>
      <c r="AM272" s="244">
        <f t="shared" ref="AM272:AM275" si="1500">DV272</f>
        <v>100575997.90914774</v>
      </c>
      <c r="AN272" s="244">
        <f t="shared" ref="AN272:AN275" si="1501">DY272</f>
        <v>106666951.77626045</v>
      </c>
      <c r="AO272" s="244">
        <f t="shared" ref="AO272:AO275" si="1502">EB272</f>
        <v>112399981.66807665</v>
      </c>
      <c r="AP272" s="244">
        <f t="shared" ref="AP272:AP275" si="1503">EE272</f>
        <v>120590638.33686255</v>
      </c>
      <c r="AQ272" s="244">
        <f t="shared" ref="AQ272:AQ275" si="1504">EH272</f>
        <v>125119130.39130633</v>
      </c>
      <c r="AR272" s="244">
        <f t="shared" ref="AR272:AR275" si="1505">EK272</f>
        <v>131487206.00048657</v>
      </c>
      <c r="AS272" s="244">
        <f t="shared" ref="AS272:AS275" si="1506">EN272</f>
        <v>137484454.57324219</v>
      </c>
      <c r="AT272" s="244">
        <f t="shared" ref="AT272:AT275" si="1507">EQ272</f>
        <v>146025082.76563731</v>
      </c>
      <c r="AU272" s="244">
        <f t="shared" ref="AU272:AU275" si="1508">ET272</f>
        <v>163972312.68015245</v>
      </c>
      <c r="AV272" s="244">
        <f t="shared" ref="AV272:AV275" si="1509">EW272</f>
        <v>188588458.7242268</v>
      </c>
      <c r="AW272" s="244">
        <f t="shared" ref="AW272:AW275" si="1510">EZ272</f>
        <v>211707992.47535697</v>
      </c>
      <c r="AY272" s="333">
        <f>AY284-AY278</f>
        <v>4148144.4209999954</v>
      </c>
      <c r="AZ272" s="296">
        <f>AY284</f>
        <v>4155554.4209999954</v>
      </c>
      <c r="BA272" s="296">
        <f t="shared" ref="BA272:CF272" si="1511">AZ284</f>
        <v>4461279.4594999952</v>
      </c>
      <c r="BB272" s="296">
        <f t="shared" si="1511"/>
        <v>5171239.7959999954</v>
      </c>
      <c r="BC272" s="296">
        <f t="shared" si="1511"/>
        <v>5430651.5459999954</v>
      </c>
      <c r="BD272" s="296">
        <f t="shared" si="1511"/>
        <v>5957632.6674999949</v>
      </c>
      <c r="BE272" s="296">
        <f t="shared" si="1511"/>
        <v>6365930.3174999952</v>
      </c>
      <c r="BF272" s="296">
        <f t="shared" si="1511"/>
        <v>6672922.8174999952</v>
      </c>
      <c r="BG272" s="296">
        <f t="shared" si="1511"/>
        <v>6877251.1924999952</v>
      </c>
      <c r="BH272" s="296">
        <f t="shared" si="1511"/>
        <v>7648794.6424999954</v>
      </c>
      <c r="BI272" s="296">
        <f t="shared" si="1511"/>
        <v>7945750.867499995</v>
      </c>
      <c r="BJ272" s="296">
        <f t="shared" si="1511"/>
        <v>9199186.5674999952</v>
      </c>
      <c r="BK272" s="296">
        <f t="shared" si="1511"/>
        <v>10091122.567499995</v>
      </c>
      <c r="BL272" s="296">
        <f t="shared" si="1511"/>
        <v>10227115.067499995</v>
      </c>
      <c r="BM272" s="296">
        <f t="shared" si="1511"/>
        <v>10651652.017499994</v>
      </c>
      <c r="BN272" s="296">
        <f t="shared" si="1511"/>
        <v>11592818.185999995</v>
      </c>
      <c r="BO272" s="296">
        <f t="shared" si="1511"/>
        <v>11960036.154499995</v>
      </c>
      <c r="BP272" s="296">
        <f t="shared" si="1511"/>
        <v>13575984.121499995</v>
      </c>
      <c r="BQ272" s="296">
        <f t="shared" si="1511"/>
        <v>14549352.449499995</v>
      </c>
      <c r="BR272" s="296">
        <f t="shared" si="1511"/>
        <v>15020552.667999994</v>
      </c>
      <c r="BS272" s="296">
        <f t="shared" si="1511"/>
        <v>15202060.617999993</v>
      </c>
      <c r="BT272" s="296">
        <f t="shared" si="1511"/>
        <v>15988307.559999993</v>
      </c>
      <c r="BU272" s="296">
        <f t="shared" si="1511"/>
        <v>16039797.559999993</v>
      </c>
      <c r="BV272" s="296">
        <f t="shared" si="1511"/>
        <v>16908792.959999993</v>
      </c>
      <c r="BW272" s="296">
        <f t="shared" si="1511"/>
        <v>18418817.446999993</v>
      </c>
      <c r="BX272" s="296">
        <f t="shared" si="1511"/>
        <v>18878403.354999993</v>
      </c>
      <c r="BY272" s="296">
        <f t="shared" si="1511"/>
        <v>19450975.004999992</v>
      </c>
      <c r="BZ272" s="296">
        <f t="shared" si="1511"/>
        <v>19757156.36649999</v>
      </c>
      <c r="CA272" s="296">
        <f t="shared" si="1511"/>
        <v>20266093.225999989</v>
      </c>
      <c r="CB272" s="296">
        <f t="shared" si="1511"/>
        <v>20341166.813769437</v>
      </c>
      <c r="CC272" s="296">
        <f t="shared" si="1511"/>
        <v>21497358.195769437</v>
      </c>
      <c r="CD272" s="296">
        <f t="shared" si="1511"/>
        <v>21559521.379269436</v>
      </c>
      <c r="CE272" s="296">
        <f t="shared" si="1511"/>
        <v>22974269.444769435</v>
      </c>
      <c r="CF272" s="296">
        <f t="shared" si="1511"/>
        <v>24320433.609269433</v>
      </c>
      <c r="CG272" s="296">
        <f t="shared" ref="CG272:DK272" si="1512">CF284</f>
        <v>24621993.002060432</v>
      </c>
      <c r="CH272" s="296">
        <f t="shared" si="1512"/>
        <v>25361764.171632133</v>
      </c>
      <c r="CI272" s="296">
        <f t="shared" si="1512"/>
        <v>26455152.326632135</v>
      </c>
      <c r="CJ272" s="296">
        <f t="shared" si="1512"/>
        <v>26915635.100329049</v>
      </c>
      <c r="CK272" s="296">
        <f t="shared" si="1512"/>
        <v>27064215.245332621</v>
      </c>
      <c r="CL272" s="296">
        <f t="shared" si="1512"/>
        <v>28479769.592349302</v>
      </c>
      <c r="CM272" s="296">
        <f t="shared" si="1512"/>
        <v>29119520.848501179</v>
      </c>
      <c r="CN272" s="296">
        <f t="shared" si="1512"/>
        <v>30151443.652034648</v>
      </c>
      <c r="CO272" s="296">
        <f t="shared" si="1512"/>
        <v>32927891.032495428</v>
      </c>
      <c r="CP272" s="296">
        <f t="shared" si="1512"/>
        <v>33712301.317410551</v>
      </c>
      <c r="CQ272" s="296">
        <f t="shared" si="1512"/>
        <v>35544625.324360982</v>
      </c>
      <c r="CR272" s="296">
        <f t="shared" si="1512"/>
        <v>38142958.959306821</v>
      </c>
      <c r="CS272" s="296">
        <f t="shared" si="1512"/>
        <v>38779423.855347119</v>
      </c>
      <c r="CT272" s="296">
        <f t="shared" si="1512"/>
        <v>41355392.500148565</v>
      </c>
      <c r="CU272" s="296">
        <f t="shared" si="1512"/>
        <v>44644258.540512756</v>
      </c>
      <c r="CV272" s="296">
        <f t="shared" si="1512"/>
        <v>45204418.749501824</v>
      </c>
      <c r="CW272" s="296">
        <f t="shared" si="1512"/>
        <v>46513809.219181888</v>
      </c>
      <c r="CX272" s="296">
        <f t="shared" si="1512"/>
        <v>49128854.409488134</v>
      </c>
      <c r="CY272" s="296">
        <f t="shared" si="1512"/>
        <v>50122437.92519249</v>
      </c>
      <c r="CZ272" s="296">
        <f t="shared" si="1512"/>
        <v>52220862.655327678</v>
      </c>
      <c r="DA272" s="296">
        <f t="shared" si="1512"/>
        <v>55174763.058670998</v>
      </c>
      <c r="DB272" s="296">
        <f t="shared" si="1512"/>
        <v>56122499.780054234</v>
      </c>
      <c r="DC272" s="296">
        <f t="shared" si="1512"/>
        <v>57944379.380767405</v>
      </c>
      <c r="DD272" s="296">
        <f t="shared" si="1512"/>
        <v>61165600.174662143</v>
      </c>
      <c r="DE272" s="296">
        <f t="shared" si="1512"/>
        <v>62489452.317118593</v>
      </c>
      <c r="DF272" s="296">
        <f t="shared" si="1512"/>
        <v>66094221.475170657</v>
      </c>
      <c r="DG272" s="296">
        <f t="shared" si="1512"/>
        <v>70291067.051125452</v>
      </c>
      <c r="DH272" s="296">
        <f t="shared" si="1512"/>
        <v>70888477.403418496</v>
      </c>
      <c r="DI272" s="296">
        <f t="shared" si="1512"/>
        <v>72259407.869832605</v>
      </c>
      <c r="DJ272" s="296">
        <f t="shared" si="1512"/>
        <v>74952603.26846908</v>
      </c>
      <c r="DK272" s="296">
        <f t="shared" si="1512"/>
        <v>76044192.368336201</v>
      </c>
      <c r="DL272" s="296">
        <f t="shared" ref="DL272:FB272" si="1513">DK284</f>
        <v>78303941.752475828</v>
      </c>
      <c r="DM272" s="296">
        <f t="shared" si="1513"/>
        <v>81414977.179002032</v>
      </c>
      <c r="DN272" s="296">
        <f t="shared" si="1513"/>
        <v>82342739.91340813</v>
      </c>
      <c r="DO272" s="296">
        <f t="shared" si="1513"/>
        <v>84199493.981859148</v>
      </c>
      <c r="DP272" s="296">
        <f t="shared" si="1513"/>
        <v>87491605.699508056</v>
      </c>
      <c r="DQ272" s="296">
        <f t="shared" si="1513"/>
        <v>88647038.742116272</v>
      </c>
      <c r="DR272" s="296">
        <f t="shared" si="1513"/>
        <v>92120543.776020005</v>
      </c>
      <c r="DS272" s="296">
        <f t="shared" si="1513"/>
        <v>96221934.655131578</v>
      </c>
      <c r="DT272" s="296">
        <f t="shared" si="1513"/>
        <v>96761316.126966149</v>
      </c>
      <c r="DU272" s="296">
        <f t="shared" si="1513"/>
        <v>98046110.854292765</v>
      </c>
      <c r="DV272" s="296">
        <f t="shared" si="1513"/>
        <v>100575997.90914774</v>
      </c>
      <c r="DW272" s="296">
        <f t="shared" si="1513"/>
        <v>101573677.45874265</v>
      </c>
      <c r="DX272" s="296">
        <f t="shared" si="1513"/>
        <v>103728214.73586032</v>
      </c>
      <c r="DY272" s="296">
        <f t="shared" si="1513"/>
        <v>106666951.77626045</v>
      </c>
      <c r="DZ272" s="296">
        <f t="shared" si="1513"/>
        <v>107503586.26475979</v>
      </c>
      <c r="EA272" s="296">
        <f t="shared" si="1513"/>
        <v>109265477.25103758</v>
      </c>
      <c r="EB272" s="296">
        <f t="shared" si="1513"/>
        <v>112399981.66807665</v>
      </c>
      <c r="EC272" s="296">
        <f t="shared" si="1513"/>
        <v>113460788.13583568</v>
      </c>
      <c r="ED272" s="296">
        <f t="shared" si="1513"/>
        <v>116713769.94081867</v>
      </c>
      <c r="EE272" s="296">
        <f t="shared" si="1513"/>
        <v>120590638.33686255</v>
      </c>
      <c r="EF272" s="296">
        <f t="shared" si="1513"/>
        <v>121140382.41384073</v>
      </c>
      <c r="EG272" s="296">
        <f t="shared" si="1513"/>
        <v>122479238.07338548</v>
      </c>
      <c r="EH272" s="296">
        <f t="shared" si="1513"/>
        <v>125119130.39130633</v>
      </c>
      <c r="EI272" s="296">
        <f t="shared" si="1513"/>
        <v>126143549.0165296</v>
      </c>
      <c r="EJ272" s="296">
        <f t="shared" si="1513"/>
        <v>128410871.32129401</v>
      </c>
      <c r="EK272" s="296">
        <f t="shared" si="1513"/>
        <v>131487206.00048657</v>
      </c>
      <c r="EL272" s="296">
        <f t="shared" si="1513"/>
        <v>132339282.43598141</v>
      </c>
      <c r="EM272" s="296">
        <f t="shared" si="1513"/>
        <v>134188427.04077603</v>
      </c>
      <c r="EN272" s="296">
        <f t="shared" si="1513"/>
        <v>137484454.57324219</v>
      </c>
      <c r="EO272" s="296">
        <f t="shared" si="1513"/>
        <v>138576638.88237983</v>
      </c>
      <c r="EP272" s="296">
        <f t="shared" si="1513"/>
        <v>141965124.37717745</v>
      </c>
      <c r="EQ272" s="296">
        <f t="shared" si="1513"/>
        <v>146025082.76563731</v>
      </c>
      <c r="ER272" s="296">
        <f t="shared" si="1513"/>
        <v>148414962.64069119</v>
      </c>
      <c r="ES272" s="296">
        <f t="shared" si="1513"/>
        <v>153672448.96612319</v>
      </c>
      <c r="ET272" s="296">
        <f t="shared" si="1513"/>
        <v>163972312.68015245</v>
      </c>
      <c r="EU272" s="296">
        <f t="shared" si="1513"/>
        <v>168280654.5830729</v>
      </c>
      <c r="EV272" s="296">
        <f t="shared" si="1513"/>
        <v>176769434.53105891</v>
      </c>
      <c r="EW272" s="296">
        <f t="shared" si="1513"/>
        <v>188588458.7242268</v>
      </c>
      <c r="EX272" s="296">
        <f t="shared" si="1513"/>
        <v>192304754.8407999</v>
      </c>
      <c r="EY272" s="296">
        <f t="shared" si="1513"/>
        <v>199320252.35870624</v>
      </c>
      <c r="EZ272" s="296">
        <f t="shared" si="1513"/>
        <v>211707992.47535697</v>
      </c>
      <c r="FA272" s="296">
        <f t="shared" si="1513"/>
        <v>216245288.42911187</v>
      </c>
      <c r="FB272" s="296">
        <f t="shared" si="1513"/>
        <v>229577105.73328632</v>
      </c>
    </row>
    <row r="273" spans="1:158" x14ac:dyDescent="0.25">
      <c r="C273" s="2" t="s">
        <v>298</v>
      </c>
      <c r="D273" s="244">
        <f t="shared" si="1474"/>
        <v>92189.653799999898</v>
      </c>
      <c r="E273" s="244">
        <f t="shared" si="1464"/>
        <v>217304.98319999987</v>
      </c>
      <c r="F273" s="244">
        <f t="shared" si="1465"/>
        <v>392624.87539999984</v>
      </c>
      <c r="G273" s="244">
        <f t="shared" si="1466"/>
        <v>561810.87286593986</v>
      </c>
      <c r="H273" s="244">
        <f t="shared" si="1467"/>
        <v>1203640.272342263</v>
      </c>
      <c r="I273" s="244">
        <f t="shared" si="1468"/>
        <v>2676838.398403056</v>
      </c>
      <c r="J273" s="244">
        <f t="shared" si="1469"/>
        <v>9456207.6015947647</v>
      </c>
      <c r="K273" s="244">
        <f t="shared" si="1470"/>
        <v>20002691.618636899</v>
      </c>
      <c r="L273" s="244">
        <f t="shared" si="1471"/>
        <v>36123818.361930288</v>
      </c>
      <c r="N273" s="244">
        <f t="shared" si="1475"/>
        <v>92189.653799999898</v>
      </c>
      <c r="O273" s="244">
        <f t="shared" si="1476"/>
        <v>113728.5037999999</v>
      </c>
      <c r="P273" s="244">
        <f t="shared" si="1477"/>
        <v>138879.88319999989</v>
      </c>
      <c r="Q273" s="244">
        <f t="shared" si="1478"/>
        <v>165887.55319999988</v>
      </c>
      <c r="R273" s="244">
        <f t="shared" si="1479"/>
        <v>217304.98319999987</v>
      </c>
      <c r="S273" s="244">
        <f t="shared" si="1480"/>
        <v>248919.62779999987</v>
      </c>
      <c r="T273" s="244">
        <f t="shared" si="1481"/>
        <v>311162.45439999987</v>
      </c>
      <c r="U273" s="244">
        <f t="shared" si="1482"/>
        <v>341456.24619999982</v>
      </c>
      <c r="V273" s="244">
        <f t="shared" si="1483"/>
        <v>392624.87539999984</v>
      </c>
      <c r="W273" s="244">
        <f t="shared" si="1484"/>
        <v>420800.43159999989</v>
      </c>
      <c r="X273" s="244">
        <f t="shared" si="1485"/>
        <v>457436.25958461984</v>
      </c>
      <c r="Y273" s="244">
        <f t="shared" si="1486"/>
        <v>516869.42618461984</v>
      </c>
      <c r="Z273" s="244">
        <f t="shared" si="1487"/>
        <v>561810.87286593986</v>
      </c>
      <c r="AA273" s="244">
        <f t="shared" si="1488"/>
        <v>637308.06112529337</v>
      </c>
      <c r="AB273" s="244">
        <f t="shared" si="1489"/>
        <v>792720.12700794789</v>
      </c>
      <c r="AC273" s="244">
        <f t="shared" si="1490"/>
        <v>975755.07067741477</v>
      </c>
      <c r="AD273" s="244">
        <f t="shared" si="1491"/>
        <v>1203640.272342263</v>
      </c>
      <c r="AE273" s="244">
        <f t="shared" si="1492"/>
        <v>1462896.2674802188</v>
      </c>
      <c r="AF273" s="244">
        <f t="shared" si="1493"/>
        <v>1809971.2225474324</v>
      </c>
      <c r="AG273" s="244">
        <f t="shared" si="1494"/>
        <v>2152962.7712196433</v>
      </c>
      <c r="AH273" s="244">
        <f t="shared" si="1495"/>
        <v>2676838.398403056</v>
      </c>
      <c r="AI273" s="244">
        <f t="shared" si="1496"/>
        <v>3910646.2605806044</v>
      </c>
      <c r="AJ273" s="244">
        <f t="shared" si="1497"/>
        <v>5590032.1817244207</v>
      </c>
      <c r="AK273" s="244">
        <f t="shared" si="1498"/>
        <v>7165972.5860784231</v>
      </c>
      <c r="AL273" s="244">
        <f t="shared" si="1499"/>
        <v>9456207.6015947647</v>
      </c>
      <c r="AM273" s="244">
        <f t="shared" si="1500"/>
        <v>11370753.21240144</v>
      </c>
      <c r="AN273" s="244">
        <f t="shared" si="1501"/>
        <v>13986590.675395345</v>
      </c>
      <c r="AO273" s="244">
        <f t="shared" si="1502"/>
        <v>16442335.944479076</v>
      </c>
      <c r="AP273" s="244">
        <f t="shared" si="1503"/>
        <v>20002691.618636899</v>
      </c>
      <c r="AQ273" s="244">
        <f t="shared" si="1504"/>
        <v>22924506.764285844</v>
      </c>
      <c r="AR273" s="244">
        <f t="shared" si="1505"/>
        <v>26926187.600346226</v>
      </c>
      <c r="AS273" s="244">
        <f t="shared" si="1506"/>
        <v>30683966.374895811</v>
      </c>
      <c r="AT273" s="244">
        <f t="shared" si="1507"/>
        <v>36123818.361930288</v>
      </c>
      <c r="AU273" s="244">
        <f t="shared" si="1508"/>
        <v>41428315.728040561</v>
      </c>
      <c r="AV273" s="244">
        <f t="shared" si="1509"/>
        <v>48691193.2585003</v>
      </c>
      <c r="AW273" s="244">
        <f t="shared" si="1510"/>
        <v>55511180.615180872</v>
      </c>
      <c r="AY273" s="333">
        <f>AY285-AY279</f>
        <v>92189.653799999898</v>
      </c>
      <c r="AZ273" s="296">
        <f t="shared" ref="AZ273" si="1514">AY285</f>
        <v>92345.653799999898</v>
      </c>
      <c r="BA273" s="296">
        <f t="shared" ref="BA273:CF273" si="1515">AZ285</f>
        <v>98781.970399999904</v>
      </c>
      <c r="BB273" s="296">
        <f t="shared" si="1515"/>
        <v>113728.5037999999</v>
      </c>
      <c r="BC273" s="296">
        <f t="shared" si="1515"/>
        <v>119189.80379999991</v>
      </c>
      <c r="BD273" s="296">
        <f t="shared" si="1515"/>
        <v>130284.1431999999</v>
      </c>
      <c r="BE273" s="296">
        <f t="shared" si="1515"/>
        <v>138879.88319999989</v>
      </c>
      <c r="BF273" s="296">
        <f t="shared" si="1515"/>
        <v>145342.88319999989</v>
      </c>
      <c r="BG273" s="296">
        <f t="shared" si="1515"/>
        <v>149644.53319999989</v>
      </c>
      <c r="BH273" s="296">
        <f t="shared" si="1515"/>
        <v>165887.55319999988</v>
      </c>
      <c r="BI273" s="296">
        <f t="shared" si="1515"/>
        <v>172139.26319999987</v>
      </c>
      <c r="BJ273" s="296">
        <f t="shared" si="1515"/>
        <v>198527.38319999987</v>
      </c>
      <c r="BK273" s="296">
        <f t="shared" si="1515"/>
        <v>217304.98319999987</v>
      </c>
      <c r="BL273" s="296">
        <f t="shared" si="1515"/>
        <v>220167.98319999987</v>
      </c>
      <c r="BM273" s="296">
        <f t="shared" si="1515"/>
        <v>229105.60319999987</v>
      </c>
      <c r="BN273" s="296">
        <f t="shared" si="1515"/>
        <v>248919.62779999987</v>
      </c>
      <c r="BO273" s="296">
        <f t="shared" si="1515"/>
        <v>256650.53239999988</v>
      </c>
      <c r="BP273" s="296">
        <f t="shared" si="1515"/>
        <v>290670.48959999986</v>
      </c>
      <c r="BQ273" s="296">
        <f t="shared" si="1515"/>
        <v>311162.45439999987</v>
      </c>
      <c r="BR273" s="296">
        <f t="shared" si="1515"/>
        <v>321082.45899999986</v>
      </c>
      <c r="BS273" s="296">
        <f t="shared" si="1515"/>
        <v>324903.67899999983</v>
      </c>
      <c r="BT273" s="296">
        <f t="shared" si="1515"/>
        <v>341456.24619999982</v>
      </c>
      <c r="BU273" s="296">
        <f t="shared" si="1515"/>
        <v>342540.24619999982</v>
      </c>
      <c r="BV273" s="296">
        <f t="shared" si="1515"/>
        <v>360834.88619999983</v>
      </c>
      <c r="BW273" s="296">
        <f t="shared" si="1515"/>
        <v>392624.87539999984</v>
      </c>
      <c r="BX273" s="296">
        <f t="shared" si="1515"/>
        <v>402300.36819999985</v>
      </c>
      <c r="BY273" s="296">
        <f t="shared" si="1515"/>
        <v>414354.50819999987</v>
      </c>
      <c r="BZ273" s="296">
        <f t="shared" si="1515"/>
        <v>420800.43159999989</v>
      </c>
      <c r="CA273" s="296">
        <f t="shared" si="1515"/>
        <v>431514.89179999987</v>
      </c>
      <c r="CB273" s="296">
        <f t="shared" si="1515"/>
        <v>433095.38838461984</v>
      </c>
      <c r="CC273" s="296">
        <f t="shared" si="1515"/>
        <v>457436.25958461984</v>
      </c>
      <c r="CD273" s="296">
        <f t="shared" si="1515"/>
        <v>458744.95818461984</v>
      </c>
      <c r="CE273" s="296">
        <f t="shared" si="1515"/>
        <v>488529.12798461982</v>
      </c>
      <c r="CF273" s="296">
        <f t="shared" si="1515"/>
        <v>516869.42618461984</v>
      </c>
      <c r="CG273" s="296">
        <f t="shared" ref="CG273:DK273" si="1516">CF285</f>
        <v>523218.04498021986</v>
      </c>
      <c r="CH273" s="296">
        <f t="shared" si="1516"/>
        <v>538792.17486593989</v>
      </c>
      <c r="CI273" s="296">
        <f t="shared" si="1516"/>
        <v>561810.87286593986</v>
      </c>
      <c r="CJ273" s="296">
        <f t="shared" si="1516"/>
        <v>577684.32316593989</v>
      </c>
      <c r="CK273" s="296">
        <f t="shared" si="1516"/>
        <v>586452.81869645277</v>
      </c>
      <c r="CL273" s="296">
        <f t="shared" si="1516"/>
        <v>637308.06112529337</v>
      </c>
      <c r="CM273" s="296">
        <f t="shared" si="1516"/>
        <v>659511.94602307968</v>
      </c>
      <c r="CN273" s="296">
        <f t="shared" si="1516"/>
        <v>695844.03830407234</v>
      </c>
      <c r="CO273" s="296">
        <f t="shared" si="1516"/>
        <v>792720.12700794789</v>
      </c>
      <c r="CP273" s="296">
        <f t="shared" si="1516"/>
        <v>820221.0287471927</v>
      </c>
      <c r="CQ273" s="296">
        <f t="shared" si="1516"/>
        <v>884432.9802375366</v>
      </c>
      <c r="CR273" s="296">
        <f t="shared" si="1516"/>
        <v>975755.07067741477</v>
      </c>
      <c r="CS273" s="296">
        <f t="shared" si="1516"/>
        <v>998253.39480343426</v>
      </c>
      <c r="CT273" s="296">
        <f t="shared" si="1516"/>
        <v>1088886.0978560217</v>
      </c>
      <c r="CU273" s="296">
        <f t="shared" si="1516"/>
        <v>1203640.272342263</v>
      </c>
      <c r="CV273" s="296">
        <f t="shared" si="1516"/>
        <v>1237030.8360175726</v>
      </c>
      <c r="CW273" s="296">
        <f t="shared" si="1516"/>
        <v>1312526.6087270868</v>
      </c>
      <c r="CX273" s="296">
        <f t="shared" si="1516"/>
        <v>1462896.2674802188</v>
      </c>
      <c r="CY273" s="296">
        <f t="shared" si="1516"/>
        <v>1521617.6468930009</v>
      </c>
      <c r="CZ273" s="296">
        <f t="shared" si="1516"/>
        <v>1640826.260403424</v>
      </c>
      <c r="DA273" s="296">
        <f t="shared" si="1516"/>
        <v>1809971.2225474324</v>
      </c>
      <c r="DB273" s="296">
        <f t="shared" si="1516"/>
        <v>1866186.5904676621</v>
      </c>
      <c r="DC273" s="296">
        <f t="shared" si="1516"/>
        <v>1969982.1934002787</v>
      </c>
      <c r="DD273" s="296">
        <f t="shared" si="1516"/>
        <v>2152962.7712196433</v>
      </c>
      <c r="DE273" s="296">
        <f t="shared" si="1516"/>
        <v>2229934.9470083904</v>
      </c>
      <c r="DF273" s="296">
        <f t="shared" si="1516"/>
        <v>2437234.0337263709</v>
      </c>
      <c r="DG273" s="296">
        <f t="shared" si="1516"/>
        <v>2676838.398403056</v>
      </c>
      <c r="DH273" s="296">
        <f t="shared" si="1516"/>
        <v>2845510.6334621436</v>
      </c>
      <c r="DI273" s="296">
        <f t="shared" si="1516"/>
        <v>3205935.8225232721</v>
      </c>
      <c r="DJ273" s="296">
        <f t="shared" si="1516"/>
        <v>3910646.2605806044</v>
      </c>
      <c r="DK273" s="296">
        <f t="shared" si="1516"/>
        <v>4211977.8222464612</v>
      </c>
      <c r="DL273" s="296">
        <f t="shared" ref="DL273:FB273" si="1517">DK285</f>
        <v>4785248.8792324364</v>
      </c>
      <c r="DM273" s="296">
        <f t="shared" si="1517"/>
        <v>5590032.1817244207</v>
      </c>
      <c r="DN273" s="296">
        <f t="shared" si="1517"/>
        <v>5852548.4606728489</v>
      </c>
      <c r="DO273" s="296">
        <f t="shared" si="1517"/>
        <v>6328351.1543464363</v>
      </c>
      <c r="DP273" s="296">
        <f t="shared" si="1517"/>
        <v>7165972.5860784231</v>
      </c>
      <c r="DQ273" s="296">
        <f t="shared" si="1517"/>
        <v>7482222.8234964767</v>
      </c>
      <c r="DR273" s="296">
        <f t="shared" si="1517"/>
        <v>8396719.5075225309</v>
      </c>
      <c r="DS273" s="296">
        <f t="shared" si="1517"/>
        <v>9456207.6015947647</v>
      </c>
      <c r="DT273" s="296">
        <f t="shared" si="1517"/>
        <v>9714589.8020332549</v>
      </c>
      <c r="DU273" s="296">
        <f t="shared" si="1517"/>
        <v>10274647.347683903</v>
      </c>
      <c r="DV273" s="296">
        <f t="shared" si="1517"/>
        <v>11370753.21240144</v>
      </c>
      <c r="DW273" s="296">
        <f t="shared" si="1517"/>
        <v>11834396.473583857</v>
      </c>
      <c r="DX273" s="296">
        <f t="shared" si="1517"/>
        <v>12731854.851098897</v>
      </c>
      <c r="DY273" s="296">
        <f t="shared" si="1517"/>
        <v>13986590.675395345</v>
      </c>
      <c r="DZ273" s="296">
        <f t="shared" si="1517"/>
        <v>14388558.180185542</v>
      </c>
      <c r="EA273" s="296">
        <f t="shared" si="1517"/>
        <v>15131849.023599062</v>
      </c>
      <c r="EB273" s="296">
        <f t="shared" si="1517"/>
        <v>16442335.944479076</v>
      </c>
      <c r="EC273" s="296">
        <f t="shared" si="1517"/>
        <v>16929758.097298041</v>
      </c>
      <c r="ED273" s="296">
        <f t="shared" si="1517"/>
        <v>18350362.66709917</v>
      </c>
      <c r="EE273" s="296">
        <f t="shared" si="1517"/>
        <v>20002691.618636899</v>
      </c>
      <c r="EF273" s="296">
        <f t="shared" si="1517"/>
        <v>20393747.021386679</v>
      </c>
      <c r="EG273" s="296">
        <f t="shared" si="1517"/>
        <v>21249210.975091174</v>
      </c>
      <c r="EH273" s="296">
        <f t="shared" si="1517"/>
        <v>22924506.764285844</v>
      </c>
      <c r="EI273" s="296">
        <f t="shared" si="1517"/>
        <v>23628238.04495015</v>
      </c>
      <c r="EJ273" s="296">
        <f t="shared" si="1517"/>
        <v>25005548.425054509</v>
      </c>
      <c r="EK273" s="296">
        <f t="shared" si="1517"/>
        <v>26926187.600346226</v>
      </c>
      <c r="EL273" s="296">
        <f t="shared" si="1517"/>
        <v>27534387.684108999</v>
      </c>
      <c r="EM273" s="296">
        <f t="shared" si="1517"/>
        <v>28673574.792816445</v>
      </c>
      <c r="EN273" s="296">
        <f t="shared" si="1517"/>
        <v>30683966.374895811</v>
      </c>
      <c r="EO273" s="296">
        <f t="shared" si="1517"/>
        <v>31424599.576861054</v>
      </c>
      <c r="EP273" s="296">
        <f t="shared" si="1517"/>
        <v>33594109.988907285</v>
      </c>
      <c r="EQ273" s="296">
        <f t="shared" si="1517"/>
        <v>36123818.361930288</v>
      </c>
      <c r="ER273" s="296">
        <f t="shared" si="1517"/>
        <v>36834483.05790443</v>
      </c>
      <c r="ES273" s="296">
        <f t="shared" si="1517"/>
        <v>38387397.000309534</v>
      </c>
      <c r="ET273" s="296">
        <f t="shared" si="1517"/>
        <v>41428315.728040561</v>
      </c>
      <c r="EU273" s="296">
        <f t="shared" si="1517"/>
        <v>42706762.741630919</v>
      </c>
      <c r="EV273" s="296">
        <f t="shared" si="1517"/>
        <v>45205567.824160226</v>
      </c>
      <c r="EW273" s="296">
        <f t="shared" si="1517"/>
        <v>48691193.2585003</v>
      </c>
      <c r="EX273" s="296">
        <f t="shared" si="1517"/>
        <v>49796511.797766</v>
      </c>
      <c r="EY273" s="296">
        <f t="shared" si="1517"/>
        <v>51863628.838806033</v>
      </c>
      <c r="EZ273" s="296">
        <f t="shared" si="1517"/>
        <v>55511180.615180872</v>
      </c>
      <c r="FA273" s="296">
        <f t="shared" si="1517"/>
        <v>56856488.869979359</v>
      </c>
      <c r="FB273" s="296">
        <f t="shared" si="1517"/>
        <v>60794863.909479462</v>
      </c>
    </row>
    <row r="274" spans="1:158" x14ac:dyDescent="0.25">
      <c r="C274" s="2" t="s">
        <v>299</v>
      </c>
      <c r="D274" s="244">
        <f t="shared" si="1474"/>
        <v>46094.826899999949</v>
      </c>
      <c r="E274" s="244">
        <f t="shared" si="1464"/>
        <v>108652.49159999994</v>
      </c>
      <c r="F274" s="244">
        <f t="shared" si="1465"/>
        <v>196312.43769999992</v>
      </c>
      <c r="G274" s="244">
        <f t="shared" si="1466"/>
        <v>280905.43643296993</v>
      </c>
      <c r="H274" s="244">
        <f t="shared" si="1467"/>
        <v>1267440.1518299514</v>
      </c>
      <c r="I274" s="244">
        <f t="shared" si="1468"/>
        <v>4261933.900973293</v>
      </c>
      <c r="J274" s="244">
        <f t="shared" si="1469"/>
        <v>20621331.600409597</v>
      </c>
      <c r="K274" s="244">
        <f t="shared" si="1470"/>
        <v>63496577.273577794</v>
      </c>
      <c r="L274" s="244">
        <f t="shared" si="1471"/>
        <v>142147431.53349298</v>
      </c>
      <c r="N274" s="244">
        <f t="shared" si="1475"/>
        <v>46094.826899999949</v>
      </c>
      <c r="O274" s="244">
        <f t="shared" si="1476"/>
        <v>56864.251899999952</v>
      </c>
      <c r="P274" s="244">
        <f t="shared" si="1477"/>
        <v>69439.941599999947</v>
      </c>
      <c r="Q274" s="244">
        <f t="shared" si="1478"/>
        <v>82943.776599999939</v>
      </c>
      <c r="R274" s="244">
        <f t="shared" si="1479"/>
        <v>108652.49159999994</v>
      </c>
      <c r="S274" s="244">
        <f t="shared" si="1480"/>
        <v>124459.81389999994</v>
      </c>
      <c r="T274" s="244">
        <f t="shared" si="1481"/>
        <v>155581.22719999994</v>
      </c>
      <c r="U274" s="244">
        <f t="shared" si="1482"/>
        <v>170728.12309999991</v>
      </c>
      <c r="V274" s="244">
        <f t="shared" si="1483"/>
        <v>196312.43769999992</v>
      </c>
      <c r="W274" s="244">
        <f t="shared" si="1484"/>
        <v>210400.21579999995</v>
      </c>
      <c r="X274" s="244">
        <f t="shared" si="1485"/>
        <v>228718.12979230992</v>
      </c>
      <c r="Y274" s="244">
        <f t="shared" si="1486"/>
        <v>258434.71309230992</v>
      </c>
      <c r="Z274" s="244">
        <f t="shared" si="1487"/>
        <v>280905.43643296993</v>
      </c>
      <c r="AA274" s="244">
        <f t="shared" si="1488"/>
        <v>403306.78106264665</v>
      </c>
      <c r="AB274" s="244">
        <f t="shared" si="1489"/>
        <v>639761.46666279389</v>
      </c>
      <c r="AC274" s="244">
        <f t="shared" si="1490"/>
        <v>919552.22599752736</v>
      </c>
      <c r="AD274" s="244">
        <f t="shared" si="1491"/>
        <v>1267440.1518299514</v>
      </c>
      <c r="AE274" s="244">
        <f t="shared" si="1492"/>
        <v>1795848.6286088529</v>
      </c>
      <c r="AF274" s="244">
        <f t="shared" si="1493"/>
        <v>2501145.6168857547</v>
      </c>
      <c r="AG274" s="244">
        <f t="shared" si="1494"/>
        <v>3197345.2961205137</v>
      </c>
      <c r="AH274" s="244">
        <f t="shared" si="1495"/>
        <v>4261933.900973293</v>
      </c>
      <c r="AI274" s="244">
        <f t="shared" si="1496"/>
        <v>7241367.1227205861</v>
      </c>
      <c r="AJ274" s="244">
        <f t="shared" si="1497"/>
        <v>11292499.492738327</v>
      </c>
      <c r="AK274" s="244">
        <f t="shared" si="1498"/>
        <v>15093642.53458376</v>
      </c>
      <c r="AL274" s="244">
        <f t="shared" si="1499"/>
        <v>20621331.600409597</v>
      </c>
      <c r="AM274" s="244">
        <f t="shared" si="1500"/>
        <v>28421345.607120257</v>
      </c>
      <c r="AN274" s="244">
        <f t="shared" si="1501"/>
        <v>39044449.885148734</v>
      </c>
      <c r="AO274" s="244">
        <f t="shared" si="1502"/>
        <v>49013849.974183843</v>
      </c>
      <c r="AP274" s="244">
        <f t="shared" si="1503"/>
        <v>63496577.273577794</v>
      </c>
      <c r="AQ274" s="244">
        <f t="shared" si="1504"/>
        <v>77782489.72144118</v>
      </c>
      <c r="AR274" s="244">
        <f t="shared" si="1505"/>
        <v>97284764.573414102</v>
      </c>
      <c r="AS274" s="244">
        <f t="shared" si="1506"/>
        <v>115591750.77514715</v>
      </c>
      <c r="AT274" s="244">
        <f t="shared" si="1507"/>
        <v>142147431.53349298</v>
      </c>
      <c r="AU274" s="244">
        <f t="shared" si="1508"/>
        <v>151666091.22935691</v>
      </c>
      <c r="AV274" s="244">
        <f t="shared" si="1509"/>
        <v>164838439.47846493</v>
      </c>
      <c r="AW274" s="244">
        <f t="shared" si="1510"/>
        <v>177222090.95467484</v>
      </c>
      <c r="AY274" s="333">
        <f>AY286-AY280</f>
        <v>46094.826899999949</v>
      </c>
      <c r="AZ274" s="296">
        <f t="shared" ref="AZ274" si="1518">AY286</f>
        <v>46172.826899999949</v>
      </c>
      <c r="BA274" s="296">
        <f t="shared" ref="BA274:CF274" si="1519">AZ286</f>
        <v>49390.985199999952</v>
      </c>
      <c r="BB274" s="296">
        <f t="shared" si="1519"/>
        <v>56864.251899999952</v>
      </c>
      <c r="BC274" s="296">
        <f t="shared" si="1519"/>
        <v>59594.901899999953</v>
      </c>
      <c r="BD274" s="296">
        <f t="shared" si="1519"/>
        <v>65142.071599999952</v>
      </c>
      <c r="BE274" s="296">
        <f t="shared" si="1519"/>
        <v>69439.941599999947</v>
      </c>
      <c r="BF274" s="296">
        <f t="shared" si="1519"/>
        <v>72671.441599999947</v>
      </c>
      <c r="BG274" s="296">
        <f t="shared" si="1519"/>
        <v>74822.266599999944</v>
      </c>
      <c r="BH274" s="296">
        <f t="shared" si="1519"/>
        <v>82943.776599999939</v>
      </c>
      <c r="BI274" s="296">
        <f t="shared" si="1519"/>
        <v>86069.631599999935</v>
      </c>
      <c r="BJ274" s="296">
        <f t="shared" si="1519"/>
        <v>99263.691599999933</v>
      </c>
      <c r="BK274" s="296">
        <f t="shared" si="1519"/>
        <v>108652.49159999994</v>
      </c>
      <c r="BL274" s="296">
        <f t="shared" si="1519"/>
        <v>110083.99159999994</v>
      </c>
      <c r="BM274" s="296">
        <f t="shared" si="1519"/>
        <v>114552.80159999993</v>
      </c>
      <c r="BN274" s="296">
        <f t="shared" si="1519"/>
        <v>124459.81389999994</v>
      </c>
      <c r="BO274" s="296">
        <f t="shared" si="1519"/>
        <v>128325.26619999994</v>
      </c>
      <c r="BP274" s="296">
        <f t="shared" si="1519"/>
        <v>145335.24479999993</v>
      </c>
      <c r="BQ274" s="296">
        <f t="shared" si="1519"/>
        <v>155581.22719999994</v>
      </c>
      <c r="BR274" s="296">
        <f t="shared" si="1519"/>
        <v>160541.22949999993</v>
      </c>
      <c r="BS274" s="296">
        <f t="shared" si="1519"/>
        <v>162451.83949999991</v>
      </c>
      <c r="BT274" s="296">
        <f t="shared" si="1519"/>
        <v>170728.12309999991</v>
      </c>
      <c r="BU274" s="296">
        <f t="shared" si="1519"/>
        <v>171270.12309999991</v>
      </c>
      <c r="BV274" s="296">
        <f t="shared" si="1519"/>
        <v>180417.44309999992</v>
      </c>
      <c r="BW274" s="296">
        <f t="shared" si="1519"/>
        <v>196312.43769999992</v>
      </c>
      <c r="BX274" s="296">
        <f t="shared" si="1519"/>
        <v>201150.18409999993</v>
      </c>
      <c r="BY274" s="296">
        <f t="shared" si="1519"/>
        <v>207177.25409999993</v>
      </c>
      <c r="BZ274" s="296">
        <f t="shared" si="1519"/>
        <v>210400.21579999995</v>
      </c>
      <c r="CA274" s="296">
        <f t="shared" si="1519"/>
        <v>215757.44589999993</v>
      </c>
      <c r="CB274" s="296">
        <f t="shared" si="1519"/>
        <v>216547.69419230992</v>
      </c>
      <c r="CC274" s="296">
        <f t="shared" si="1519"/>
        <v>228718.12979230992</v>
      </c>
      <c r="CD274" s="296">
        <f t="shared" si="1519"/>
        <v>229372.47909230992</v>
      </c>
      <c r="CE274" s="296">
        <f t="shared" si="1519"/>
        <v>244264.56399230991</v>
      </c>
      <c r="CF274" s="296">
        <f t="shared" si="1519"/>
        <v>258434.71309230992</v>
      </c>
      <c r="CG274" s="296">
        <f t="shared" ref="CG274:DK274" si="1520">CF286</f>
        <v>261609.02249010993</v>
      </c>
      <c r="CH274" s="296">
        <f t="shared" si="1520"/>
        <v>269396.08743296994</v>
      </c>
      <c r="CI274" s="296">
        <f t="shared" si="1520"/>
        <v>280905.43643296993</v>
      </c>
      <c r="CJ274" s="296">
        <f t="shared" si="1520"/>
        <v>304715.61188296991</v>
      </c>
      <c r="CK274" s="296">
        <f t="shared" si="1520"/>
        <v>323719.78214822634</v>
      </c>
      <c r="CL274" s="296">
        <f t="shared" si="1520"/>
        <v>403306.78106264665</v>
      </c>
      <c r="CM274" s="296">
        <f t="shared" si="1520"/>
        <v>436854.5972115398</v>
      </c>
      <c r="CN274" s="296">
        <f t="shared" si="1520"/>
        <v>492572.76251085609</v>
      </c>
      <c r="CO274" s="296">
        <f t="shared" si="1520"/>
        <v>639761.46666279389</v>
      </c>
      <c r="CP274" s="296">
        <f t="shared" si="1520"/>
        <v>681752.91065741633</v>
      </c>
      <c r="CQ274" s="296">
        <f t="shared" si="1520"/>
        <v>779754.53702758823</v>
      </c>
      <c r="CR274" s="296">
        <f t="shared" si="1520"/>
        <v>919552.22599752736</v>
      </c>
      <c r="CS274" s="296">
        <f t="shared" si="1520"/>
        <v>954195.92056053714</v>
      </c>
      <c r="CT274" s="296">
        <f t="shared" si="1520"/>
        <v>1093090.4020868309</v>
      </c>
      <c r="CU274" s="296">
        <f t="shared" si="1520"/>
        <v>1267440.1518299514</v>
      </c>
      <c r="CV274" s="296">
        <f t="shared" si="1520"/>
        <v>1336363.3297907056</v>
      </c>
      <c r="CW274" s="296">
        <f t="shared" si="1520"/>
        <v>1490064.096421107</v>
      </c>
      <c r="CX274" s="296">
        <f t="shared" si="1520"/>
        <v>1795848.6286088529</v>
      </c>
      <c r="CY274" s="296">
        <f t="shared" si="1520"/>
        <v>1916636.6929954886</v>
      </c>
      <c r="CZ274" s="296">
        <f t="shared" si="1520"/>
        <v>2157794.6352019454</v>
      </c>
      <c r="DA274" s="296">
        <f t="shared" si="1520"/>
        <v>2501145.6168857547</v>
      </c>
      <c r="DB274" s="296">
        <f t="shared" si="1520"/>
        <v>2616950.3281821432</v>
      </c>
      <c r="DC274" s="296">
        <f t="shared" si="1520"/>
        <v>2827188.2284240657</v>
      </c>
      <c r="DD274" s="296">
        <f t="shared" si="1520"/>
        <v>3197345.2961205137</v>
      </c>
      <c r="DE274" s="296">
        <f t="shared" si="1520"/>
        <v>3354606.5690558418</v>
      </c>
      <c r="DF274" s="296">
        <f t="shared" si="1520"/>
        <v>3776176.1353066009</v>
      </c>
      <c r="DG274" s="296">
        <f t="shared" si="1520"/>
        <v>4261933.900973293</v>
      </c>
      <c r="DH274" s="296">
        <f t="shared" si="1520"/>
        <v>4670706.9965782007</v>
      </c>
      <c r="DI274" s="296">
        <f t="shared" si="1520"/>
        <v>5540735.6366023049</v>
      </c>
      <c r="DJ274" s="296">
        <f t="shared" si="1520"/>
        <v>7241367.1227205861</v>
      </c>
      <c r="DK274" s="296">
        <f t="shared" si="1520"/>
        <v>7970746.9037294295</v>
      </c>
      <c r="DL274" s="296">
        <f t="shared" ref="DL274:FB274" si="1521">DK286</f>
        <v>9351663.8456033375</v>
      </c>
      <c r="DM274" s="296">
        <f t="shared" si="1521"/>
        <v>11292499.492738327</v>
      </c>
      <c r="DN274" s="296">
        <f t="shared" si="1521"/>
        <v>11928775.593545819</v>
      </c>
      <c r="DO274" s="296">
        <f t="shared" si="1521"/>
        <v>13075594.659380814</v>
      </c>
      <c r="DP274" s="296">
        <f t="shared" si="1521"/>
        <v>15093642.53458376</v>
      </c>
      <c r="DQ274" s="296">
        <f t="shared" si="1521"/>
        <v>15858774.667198487</v>
      </c>
      <c r="DR274" s="296">
        <f t="shared" si="1521"/>
        <v>18066453.8196229</v>
      </c>
      <c r="DS274" s="296">
        <f t="shared" si="1521"/>
        <v>20621331.600409597</v>
      </c>
      <c r="DT274" s="296">
        <f t="shared" si="1521"/>
        <v>21685559.215020571</v>
      </c>
      <c r="DU274" s="296">
        <f t="shared" si="1521"/>
        <v>23964616.619801138</v>
      </c>
      <c r="DV274" s="296">
        <f t="shared" si="1521"/>
        <v>28421345.607120257</v>
      </c>
      <c r="DW274" s="296">
        <f t="shared" si="1521"/>
        <v>30323861.921202637</v>
      </c>
      <c r="DX274" s="296">
        <f t="shared" si="1521"/>
        <v>33952974.009546302</v>
      </c>
      <c r="DY274" s="296">
        <f t="shared" si="1521"/>
        <v>39044449.885148734</v>
      </c>
      <c r="DZ274" s="296">
        <f t="shared" si="1521"/>
        <v>40700674.056454964</v>
      </c>
      <c r="EA274" s="296">
        <f t="shared" si="1521"/>
        <v>43711768.548531398</v>
      </c>
      <c r="EB274" s="296">
        <f t="shared" si="1521"/>
        <v>49013849.974183843</v>
      </c>
      <c r="EC274" s="296">
        <f t="shared" si="1521"/>
        <v>51011075.066411071</v>
      </c>
      <c r="ED274" s="296">
        <f t="shared" si="1521"/>
        <v>56793403.909054935</v>
      </c>
      <c r="EE274" s="296">
        <f t="shared" si="1521"/>
        <v>63496577.273577794</v>
      </c>
      <c r="EF274" s="296">
        <f t="shared" si="1521"/>
        <v>65430178.733905964</v>
      </c>
      <c r="EG274" s="296">
        <f t="shared" si="1521"/>
        <v>69607910.674534783</v>
      </c>
      <c r="EH274" s="296">
        <f t="shared" si="1521"/>
        <v>77782489.72144118</v>
      </c>
      <c r="EI274" s="296">
        <f t="shared" si="1521"/>
        <v>81248693.120156512</v>
      </c>
      <c r="EJ274" s="296">
        <f t="shared" si="1521"/>
        <v>87932119.133632809</v>
      </c>
      <c r="EK274" s="296">
        <f t="shared" si="1521"/>
        <v>97284764.573414102</v>
      </c>
      <c r="EL274" s="296">
        <f t="shared" si="1521"/>
        <v>100293174.91669506</v>
      </c>
      <c r="EM274" s="296">
        <f t="shared" si="1521"/>
        <v>105831127.71934107</v>
      </c>
      <c r="EN274" s="296">
        <f t="shared" si="1521"/>
        <v>115591750.77514715</v>
      </c>
      <c r="EO274" s="296">
        <f t="shared" si="1521"/>
        <v>119234334.24672434</v>
      </c>
      <c r="EP274" s="296">
        <f t="shared" si="1521"/>
        <v>129831981.44932918</v>
      </c>
      <c r="EQ274" s="296">
        <f t="shared" si="1521"/>
        <v>142147431.53349298</v>
      </c>
      <c r="ER274" s="296">
        <f t="shared" si="1521"/>
        <v>143375315.13949579</v>
      </c>
      <c r="ES274" s="296">
        <f t="shared" si="1521"/>
        <v>146172854.94318819</v>
      </c>
      <c r="ET274" s="296">
        <f t="shared" si="1521"/>
        <v>151666091.22935691</v>
      </c>
      <c r="EU274" s="296">
        <f t="shared" si="1521"/>
        <v>153904477.40880254</v>
      </c>
      <c r="EV274" s="296">
        <f t="shared" si="1521"/>
        <v>158499965.53898492</v>
      </c>
      <c r="EW274" s="296">
        <f t="shared" si="1521"/>
        <v>164838439.47846493</v>
      </c>
      <c r="EX274" s="296">
        <f t="shared" si="1521"/>
        <v>166745744.8457711</v>
      </c>
      <c r="EY274" s="296">
        <f t="shared" si="1521"/>
        <v>170525303.62427562</v>
      </c>
      <c r="EZ274" s="296">
        <f t="shared" si="1521"/>
        <v>177222090.95467484</v>
      </c>
      <c r="FA274" s="296">
        <f t="shared" si="1521"/>
        <v>179589343.43204847</v>
      </c>
      <c r="FB274" s="296">
        <f t="shared" si="1521"/>
        <v>186678406.24774927</v>
      </c>
    </row>
    <row r="275" spans="1:158" x14ac:dyDescent="0.25">
      <c r="C275" s="2" t="s">
        <v>300</v>
      </c>
      <c r="D275" s="244">
        <f t="shared" si="1474"/>
        <v>92189.653799999898</v>
      </c>
      <c r="E275" s="244">
        <f t="shared" si="1464"/>
        <v>217304.98319999987</v>
      </c>
      <c r="F275" s="244">
        <f t="shared" si="1465"/>
        <v>392624.87539999984</v>
      </c>
      <c r="G275" s="244">
        <f t="shared" si="1466"/>
        <v>561810.87286593986</v>
      </c>
      <c r="H275" s="244">
        <f t="shared" si="1467"/>
        <v>1751919.8339949572</v>
      </c>
      <c r="I275" s="244">
        <f t="shared" si="1468"/>
        <v>3441777.4744542534</v>
      </c>
      <c r="J275" s="244">
        <f t="shared" si="1469"/>
        <v>6170712.6287460476</v>
      </c>
      <c r="K275" s="244">
        <f t="shared" si="1470"/>
        <v>10475467.182019316</v>
      </c>
      <c r="L275" s="244">
        <f t="shared" si="1471"/>
        <v>17108650.905778345</v>
      </c>
      <c r="N275" s="244">
        <f t="shared" si="1475"/>
        <v>92189.653799999898</v>
      </c>
      <c r="O275" s="244">
        <f t="shared" si="1476"/>
        <v>113728.5037999999</v>
      </c>
      <c r="P275" s="244">
        <f t="shared" si="1477"/>
        <v>138879.88319999989</v>
      </c>
      <c r="Q275" s="244">
        <f t="shared" si="1478"/>
        <v>165887.55319999988</v>
      </c>
      <c r="R275" s="244">
        <f t="shared" si="1479"/>
        <v>217304.98319999987</v>
      </c>
      <c r="S275" s="244">
        <f t="shared" si="1480"/>
        <v>248919.62779999987</v>
      </c>
      <c r="T275" s="244">
        <f t="shared" si="1481"/>
        <v>311162.45439999987</v>
      </c>
      <c r="U275" s="244">
        <f t="shared" si="1482"/>
        <v>341456.24619999982</v>
      </c>
      <c r="V275" s="244">
        <f t="shared" si="1483"/>
        <v>392624.87539999984</v>
      </c>
      <c r="W275" s="244">
        <f t="shared" si="1484"/>
        <v>420800.43159999989</v>
      </c>
      <c r="X275" s="244">
        <f t="shared" si="1485"/>
        <v>457436.25958461984</v>
      </c>
      <c r="Y275" s="244">
        <f t="shared" si="1486"/>
        <v>516869.42618461984</v>
      </c>
      <c r="Z275" s="244">
        <f t="shared" si="1487"/>
        <v>561810.87286593986</v>
      </c>
      <c r="AA275" s="244">
        <f t="shared" si="1488"/>
        <v>707037.59425974358</v>
      </c>
      <c r="AB275" s="244">
        <f t="shared" si="1489"/>
        <v>993212.9179248194</v>
      </c>
      <c r="AC275" s="244">
        <f t="shared" si="1490"/>
        <v>1331330.9316838174</v>
      </c>
      <c r="AD275" s="244">
        <f t="shared" si="1491"/>
        <v>1751919.8339949572</v>
      </c>
      <c r="AE275" s="244">
        <f t="shared" si="1492"/>
        <v>2048853.0072340125</v>
      </c>
      <c r="AF275" s="244">
        <f t="shared" si="1493"/>
        <v>2447029.4402458477</v>
      </c>
      <c r="AG275" s="244">
        <f t="shared" si="1494"/>
        <v>2840772.9307009834</v>
      </c>
      <c r="AH275" s="244">
        <f t="shared" si="1495"/>
        <v>3441777.4744542534</v>
      </c>
      <c r="AI275" s="244">
        <f t="shared" si="1496"/>
        <v>3936155.465951934</v>
      </c>
      <c r="AJ275" s="244">
        <f t="shared" si="1497"/>
        <v>4613694.1726721767</v>
      </c>
      <c r="AK275" s="244">
        <f t="shared" si="1498"/>
        <v>5249983.3693391019</v>
      </c>
      <c r="AL275" s="244">
        <f t="shared" si="1499"/>
        <v>6170712.6287460476</v>
      </c>
      <c r="AM275" s="244">
        <f t="shared" si="1500"/>
        <v>6950006.6793830832</v>
      </c>
      <c r="AN275" s="244">
        <f t="shared" si="1501"/>
        <v>8019166.3367445394</v>
      </c>
      <c r="AO275" s="244">
        <f t="shared" si="1502"/>
        <v>9023353.6319810208</v>
      </c>
      <c r="AP275" s="244">
        <f t="shared" si="1503"/>
        <v>10475467.182019316</v>
      </c>
      <c r="AQ275" s="244">
        <f t="shared" si="1504"/>
        <v>11675624.781701436</v>
      </c>
      <c r="AR275" s="244">
        <f t="shared" si="1505"/>
        <v>13323529.219852258</v>
      </c>
      <c r="AS275" s="244">
        <f t="shared" si="1506"/>
        <v>14871430.471025897</v>
      </c>
      <c r="AT275" s="244">
        <f t="shared" si="1507"/>
        <v>17108650.905778345</v>
      </c>
      <c r="AU275" s="244">
        <f t="shared" si="1508"/>
        <v>18914668.570828967</v>
      </c>
      <c r="AV275" s="244">
        <f t="shared" si="1509"/>
        <v>21396129.366739199</v>
      </c>
      <c r="AW275" s="244">
        <f t="shared" si="1510"/>
        <v>23727175.901823621</v>
      </c>
      <c r="AY275" s="333">
        <f>AY287-AY281</f>
        <v>92189.653799999898</v>
      </c>
      <c r="AZ275" s="296">
        <f t="shared" ref="AZ275" si="1522">AY287</f>
        <v>92345.653799999898</v>
      </c>
      <c r="BA275" s="296">
        <f>AZ287</f>
        <v>98781.970399999904</v>
      </c>
      <c r="BB275" s="296">
        <f>BA287</f>
        <v>113728.5037999999</v>
      </c>
      <c r="BC275" s="296">
        <f t="shared" ref="BC275:DN275" si="1523">BB287</f>
        <v>119189.80379999991</v>
      </c>
      <c r="BD275" s="296">
        <f t="shared" si="1523"/>
        <v>130284.1431999999</v>
      </c>
      <c r="BE275" s="296">
        <f t="shared" si="1523"/>
        <v>138879.88319999989</v>
      </c>
      <c r="BF275" s="296">
        <f t="shared" si="1523"/>
        <v>145342.88319999989</v>
      </c>
      <c r="BG275" s="296">
        <f t="shared" si="1523"/>
        <v>149644.53319999989</v>
      </c>
      <c r="BH275" s="296">
        <f t="shared" si="1523"/>
        <v>165887.55319999988</v>
      </c>
      <c r="BI275" s="296">
        <f t="shared" si="1523"/>
        <v>172139.26319999987</v>
      </c>
      <c r="BJ275" s="296">
        <f t="shared" si="1523"/>
        <v>198527.38319999987</v>
      </c>
      <c r="BK275" s="296">
        <f t="shared" si="1523"/>
        <v>217304.98319999987</v>
      </c>
      <c r="BL275" s="296">
        <f t="shared" si="1523"/>
        <v>220167.98319999987</v>
      </c>
      <c r="BM275" s="296">
        <f t="shared" si="1523"/>
        <v>229105.60319999987</v>
      </c>
      <c r="BN275" s="296">
        <f t="shared" si="1523"/>
        <v>248919.62779999987</v>
      </c>
      <c r="BO275" s="296">
        <f t="shared" si="1523"/>
        <v>256650.53239999988</v>
      </c>
      <c r="BP275" s="296">
        <f t="shared" si="1523"/>
        <v>290670.48959999986</v>
      </c>
      <c r="BQ275" s="296">
        <f t="shared" si="1523"/>
        <v>311162.45439999987</v>
      </c>
      <c r="BR275" s="296">
        <f t="shared" si="1523"/>
        <v>321082.45899999986</v>
      </c>
      <c r="BS275" s="296">
        <f t="shared" si="1523"/>
        <v>324903.67899999983</v>
      </c>
      <c r="BT275" s="296">
        <f t="shared" si="1523"/>
        <v>341456.24619999982</v>
      </c>
      <c r="BU275" s="296">
        <f t="shared" si="1523"/>
        <v>342540.24619999982</v>
      </c>
      <c r="BV275" s="296">
        <f t="shared" si="1523"/>
        <v>360834.88619999983</v>
      </c>
      <c r="BW275" s="296">
        <f t="shared" si="1523"/>
        <v>392624.87539999984</v>
      </c>
      <c r="BX275" s="296">
        <f t="shared" si="1523"/>
        <v>402300.36819999985</v>
      </c>
      <c r="BY275" s="296">
        <f t="shared" si="1523"/>
        <v>414354.50819999987</v>
      </c>
      <c r="BZ275" s="296">
        <f t="shared" si="1523"/>
        <v>420800.43159999989</v>
      </c>
      <c r="CA275" s="296">
        <f t="shared" si="1523"/>
        <v>431514.89179999987</v>
      </c>
      <c r="CB275" s="296">
        <f t="shared" si="1523"/>
        <v>433095.38838461984</v>
      </c>
      <c r="CC275" s="296">
        <f t="shared" si="1523"/>
        <v>457436.25958461984</v>
      </c>
      <c r="CD275" s="296">
        <f t="shared" si="1523"/>
        <v>458744.95818461984</v>
      </c>
      <c r="CE275" s="296">
        <f t="shared" si="1523"/>
        <v>488529.12798461982</v>
      </c>
      <c r="CF275" s="296">
        <f t="shared" si="1523"/>
        <v>516869.42618461984</v>
      </c>
      <c r="CG275" s="296">
        <f t="shared" si="1523"/>
        <v>523218.04498021986</v>
      </c>
      <c r="CH275" s="296">
        <f t="shared" si="1523"/>
        <v>538792.17486593989</v>
      </c>
      <c r="CI275" s="296">
        <f t="shared" si="1523"/>
        <v>561810.87286593986</v>
      </c>
      <c r="CJ275" s="296">
        <f t="shared" si="1523"/>
        <v>590759.48341902462</v>
      </c>
      <c r="CK275" s="296">
        <f t="shared" si="1523"/>
        <v>611570.59261968452</v>
      </c>
      <c r="CL275" s="296">
        <f t="shared" si="1523"/>
        <v>707037.59425974358</v>
      </c>
      <c r="CM275" s="296">
        <f t="shared" si="1523"/>
        <v>747730.42706118757</v>
      </c>
      <c r="CN275" s="296">
        <f t="shared" si="1523"/>
        <v>814994.67124141182</v>
      </c>
      <c r="CO275" s="296">
        <f t="shared" si="1523"/>
        <v>993212.9179248194</v>
      </c>
      <c r="CP275" s="296">
        <f t="shared" si="1523"/>
        <v>1043976.2801774939</v>
      </c>
      <c r="CQ275" s="296">
        <f t="shared" si="1523"/>
        <v>1162467.3061991737</v>
      </c>
      <c r="CR275" s="296">
        <f t="shared" si="1523"/>
        <v>1331330.9316838174</v>
      </c>
      <c r="CS275" s="296">
        <f t="shared" si="1523"/>
        <v>1373099.625874466</v>
      </c>
      <c r="CT275" s="296">
        <f t="shared" si="1523"/>
        <v>1540813.8091855701</v>
      </c>
      <c r="CU275" s="296">
        <f t="shared" si="1523"/>
        <v>1751919.8339949572</v>
      </c>
      <c r="CV275" s="296">
        <f t="shared" si="1523"/>
        <v>1789889.860802257</v>
      </c>
      <c r="CW275" s="296">
        <f t="shared" si="1523"/>
        <v>1876411.6510249376</v>
      </c>
      <c r="CX275" s="296">
        <f t="shared" si="1523"/>
        <v>2048853.0072340125</v>
      </c>
      <c r="CY275" s="296">
        <f t="shared" si="1523"/>
        <v>2115760.7239755946</v>
      </c>
      <c r="CZ275" s="296">
        <f t="shared" si="1523"/>
        <v>2252863.5288009699</v>
      </c>
      <c r="DA275" s="296">
        <f t="shared" si="1523"/>
        <v>2447029.4402458477</v>
      </c>
      <c r="DB275" s="296">
        <f t="shared" si="1523"/>
        <v>2511027.8047765377</v>
      </c>
      <c r="DC275" s="296">
        <f t="shared" si="1523"/>
        <v>2630322.0094598508</v>
      </c>
      <c r="DD275" s="296">
        <f t="shared" si="1523"/>
        <v>2840772.9307009834</v>
      </c>
      <c r="DE275" s="296">
        <f t="shared" si="1523"/>
        <v>2928812.0912807155</v>
      </c>
      <c r="DF275" s="296">
        <f t="shared" si="1523"/>
        <v>3166534.0809225701</v>
      </c>
      <c r="DG275" s="296">
        <f t="shared" si="1523"/>
        <v>3441777.4744542534</v>
      </c>
      <c r="DH275" s="296">
        <f t="shared" si="1523"/>
        <v>3507793.864369357</v>
      </c>
      <c r="DI275" s="296">
        <f t="shared" si="1523"/>
        <v>3652575.1850092188</v>
      </c>
      <c r="DJ275" s="296">
        <f t="shared" si="1523"/>
        <v>3936155.465951934</v>
      </c>
      <c r="DK275" s="296">
        <f t="shared" si="1523"/>
        <v>4055050.6981831733</v>
      </c>
      <c r="DL275" s="296">
        <f t="shared" si="1523"/>
        <v>4288450.5440170094</v>
      </c>
      <c r="DM275" s="296">
        <f t="shared" si="1523"/>
        <v>4613694.1726721767</v>
      </c>
      <c r="DN275" s="296">
        <f t="shared" si="1523"/>
        <v>4716360.1948885657</v>
      </c>
      <c r="DO275" s="296">
        <f t="shared" ref="DO275:FB275" si="1524">DN287</f>
        <v>4909337.3236075705</v>
      </c>
      <c r="DP275" s="296">
        <f t="shared" si="1524"/>
        <v>5249983.3693391019</v>
      </c>
      <c r="DQ275" s="296">
        <f t="shared" si="1524"/>
        <v>5375150.8424037341</v>
      </c>
      <c r="DR275" s="296">
        <f t="shared" si="1524"/>
        <v>5742306.779843335</v>
      </c>
      <c r="DS275" s="296">
        <f t="shared" si="1524"/>
        <v>6170712.6287460476</v>
      </c>
      <c r="DT275" s="296">
        <f t="shared" si="1524"/>
        <v>6274385.4611868979</v>
      </c>
      <c r="DU275" s="296">
        <f t="shared" si="1524"/>
        <v>6502695.7715189708</v>
      </c>
      <c r="DV275" s="296">
        <f t="shared" si="1524"/>
        <v>6950006.6793830832</v>
      </c>
      <c r="DW275" s="296">
        <f t="shared" si="1524"/>
        <v>7136964.3571408913</v>
      </c>
      <c r="DX275" s="296">
        <f t="shared" si="1524"/>
        <v>7505792.4969776133</v>
      </c>
      <c r="DY275" s="296">
        <f t="shared" si="1524"/>
        <v>8019166.3367445394</v>
      </c>
      <c r="DZ275" s="296">
        <f t="shared" si="1524"/>
        <v>8180373.8405992668</v>
      </c>
      <c r="EA275" s="296">
        <f t="shared" si="1524"/>
        <v>8485143.5826905984</v>
      </c>
      <c r="EB275" s="296">
        <f t="shared" si="1524"/>
        <v>9023353.6319810208</v>
      </c>
      <c r="EC275" s="296">
        <f t="shared" si="1524"/>
        <v>9220271.4147663154</v>
      </c>
      <c r="ED275" s="296">
        <f t="shared" si="1524"/>
        <v>9799203.4437504355</v>
      </c>
      <c r="EE275" s="296">
        <f t="shared" si="1524"/>
        <v>10475467.182019316</v>
      </c>
      <c r="EF275" s="296">
        <f t="shared" si="1524"/>
        <v>10634675.156286841</v>
      </c>
      <c r="EG275" s="296">
        <f t="shared" si="1524"/>
        <v>10986390.765419029</v>
      </c>
      <c r="EH275" s="296">
        <f t="shared" si="1524"/>
        <v>11675624.781701436</v>
      </c>
      <c r="EI275" s="296">
        <f t="shared" si="1524"/>
        <v>11963016.100938329</v>
      </c>
      <c r="EJ275" s="296">
        <f t="shared" si="1524"/>
        <v>12532101.65435805</v>
      </c>
      <c r="EK275" s="296">
        <f t="shared" si="1524"/>
        <v>13323529.219852258</v>
      </c>
      <c r="EL275" s="296">
        <f t="shared" si="1524"/>
        <v>13571068.113041658</v>
      </c>
      <c r="EM275" s="296">
        <f t="shared" si="1524"/>
        <v>14041104.230075805</v>
      </c>
      <c r="EN275" s="296">
        <f t="shared" si="1524"/>
        <v>14871430.471025897</v>
      </c>
      <c r="EO275" s="296">
        <f t="shared" si="1524"/>
        <v>15174246.12716084</v>
      </c>
      <c r="EP275" s="296">
        <f t="shared" si="1524"/>
        <v>16066044.114877658</v>
      </c>
      <c r="EQ275" s="296">
        <f t="shared" si="1524"/>
        <v>17108650.905778345</v>
      </c>
      <c r="ER275" s="296">
        <f t="shared" si="1524"/>
        <v>17347663.94409053</v>
      </c>
      <c r="ES275" s="296">
        <f t="shared" si="1524"/>
        <v>17877061.951763</v>
      </c>
      <c r="ET275" s="296">
        <f t="shared" si="1524"/>
        <v>18914668.570828967</v>
      </c>
      <c r="EU275" s="296">
        <f t="shared" si="1524"/>
        <v>19346474.295236818</v>
      </c>
      <c r="EV275" s="296">
        <f t="shared" si="1524"/>
        <v>20204175.929973416</v>
      </c>
      <c r="EW275" s="296">
        <f t="shared" si="1524"/>
        <v>21396129.366739199</v>
      </c>
      <c r="EX275" s="296">
        <f t="shared" si="1524"/>
        <v>21767720.671589721</v>
      </c>
      <c r="EY275" s="296">
        <f t="shared" si="1524"/>
        <v>22475877.841674235</v>
      </c>
      <c r="EZ275" s="296">
        <f t="shared" si="1524"/>
        <v>23727175.901823621</v>
      </c>
      <c r="FA275" s="296">
        <f t="shared" si="1524"/>
        <v>24182298.591314282</v>
      </c>
      <c r="FB275" s="296">
        <f t="shared" si="1524"/>
        <v>25524552.35857952</v>
      </c>
    </row>
    <row r="277" spans="1:158" x14ac:dyDescent="0.25">
      <c r="C277" s="304" t="s">
        <v>648</v>
      </c>
      <c r="D277" s="22">
        <f t="shared" ref="D277:L277" si="1525">SUM(D247,D253,D259,D265)</f>
        <v>6255766.4699999997</v>
      </c>
      <c r="E277" s="22">
        <f t="shared" si="1525"/>
        <v>8765994.6099999994</v>
      </c>
      <c r="F277" s="22">
        <f t="shared" si="1525"/>
        <v>8459299.8732969984</v>
      </c>
      <c r="G277" s="22">
        <f t="shared" si="1525"/>
        <v>21007579.289882943</v>
      </c>
      <c r="H277" s="22">
        <f t="shared" si="1525"/>
        <v>31804358.026276141</v>
      </c>
      <c r="I277" s="22">
        <f t="shared" si="1525"/>
        <v>51798569.660925925</v>
      </c>
      <c r="J277" s="22">
        <f t="shared" si="1525"/>
        <v>82095187.925214574</v>
      </c>
      <c r="K277" s="22">
        <f t="shared" si="1525"/>
        <v>126839609.15574233</v>
      </c>
      <c r="L277" s="22">
        <f t="shared" si="1525"/>
        <v>191255057.41918331</v>
      </c>
      <c r="M277" s="22"/>
      <c r="N277" s="22">
        <f t="shared" ref="N277:AW277" si="1526">SUM(N247,N253,N259,N265)</f>
        <v>1076942.5</v>
      </c>
      <c r="O277" s="22">
        <f t="shared" si="1526"/>
        <v>1257568.97</v>
      </c>
      <c r="P277" s="22">
        <f t="shared" si="1526"/>
        <v>1350383.5</v>
      </c>
      <c r="Q277" s="22">
        <f t="shared" si="1526"/>
        <v>2570871.5</v>
      </c>
      <c r="R277" s="22">
        <f t="shared" si="1526"/>
        <v>1580732.23</v>
      </c>
      <c r="S277" s="22">
        <f t="shared" si="1526"/>
        <v>3112141.33</v>
      </c>
      <c r="T277" s="22">
        <f t="shared" si="1526"/>
        <v>1514689.5899999999</v>
      </c>
      <c r="U277" s="22">
        <f t="shared" si="1526"/>
        <v>2558431.46</v>
      </c>
      <c r="V277" s="22">
        <f t="shared" si="1526"/>
        <v>1408777.81</v>
      </c>
      <c r="W277" s="22">
        <f t="shared" si="1526"/>
        <v>1831791.3992309999</v>
      </c>
      <c r="X277" s="22">
        <f t="shared" si="1526"/>
        <v>2971658.33</v>
      </c>
      <c r="Y277" s="22">
        <f t="shared" si="1526"/>
        <v>2247072.3340659998</v>
      </c>
      <c r="Z277" s="22">
        <f t="shared" si="1526"/>
        <v>2367742.5199999996</v>
      </c>
      <c r="AA277" s="22">
        <f t="shared" si="1526"/>
        <v>5126163.5152939996</v>
      </c>
      <c r="AB277" s="22">
        <f t="shared" si="1526"/>
        <v>6016011.6435745945</v>
      </c>
      <c r="AC277" s="22">
        <f t="shared" si="1526"/>
        <v>7497661.6110143457</v>
      </c>
      <c r="AD277" s="22">
        <f t="shared" si="1526"/>
        <v>5569193.5141312992</v>
      </c>
      <c r="AE277" s="22">
        <f t="shared" si="1526"/>
        <v>7496457.0255388152</v>
      </c>
      <c r="AF277" s="22">
        <f t="shared" si="1526"/>
        <v>7423771.8343532523</v>
      </c>
      <c r="AG277" s="22">
        <f t="shared" si="1526"/>
        <v>11314935.652252769</v>
      </c>
      <c r="AH277" s="22">
        <f t="shared" si="1526"/>
        <v>9369155.2927661445</v>
      </c>
      <c r="AI277" s="22">
        <f t="shared" si="1526"/>
        <v>12870430.908414753</v>
      </c>
      <c r="AJ277" s="22">
        <f t="shared" si="1526"/>
        <v>12090001.16337239</v>
      </c>
      <c r="AK277" s="22">
        <f t="shared" si="1526"/>
        <v>17468982.296372648</v>
      </c>
      <c r="AL277" s="22">
        <f t="shared" si="1526"/>
        <v>14847916.922170537</v>
      </c>
      <c r="AM277" s="22">
        <f t="shared" si="1526"/>
        <v>20399055.265496545</v>
      </c>
      <c r="AN277" s="22">
        <f t="shared" si="1526"/>
        <v>19162362.545171507</v>
      </c>
      <c r="AO277" s="22">
        <f t="shared" si="1526"/>
        <v>27685853.192375988</v>
      </c>
      <c r="AP277" s="22">
        <f t="shared" si="1526"/>
        <v>22936377.247638226</v>
      </c>
      <c r="AQ277" s="22">
        <f t="shared" si="1526"/>
        <v>31519935.735364366</v>
      </c>
      <c r="AR277" s="22">
        <f t="shared" si="1526"/>
        <v>29609914.80021188</v>
      </c>
      <c r="AS277" s="22">
        <f t="shared" si="1526"/>
        <v>42773381.37252786</v>
      </c>
      <c r="AT277" s="22">
        <f t="shared" si="1526"/>
        <v>34576404.641539991</v>
      </c>
      <c r="AU277" s="22">
        <f t="shared" si="1526"/>
        <v>47532832.619552292</v>
      </c>
      <c r="AV277" s="22">
        <f t="shared" si="1526"/>
        <v>44654219.119105071</v>
      </c>
      <c r="AW277" s="22">
        <f t="shared" si="1526"/>
        <v>64491601.038985901</v>
      </c>
      <c r="AY277" s="49">
        <f t="shared" ref="AY277:CD277" si="1527">SUM(AY247,AY253,AY259,AY265)</f>
        <v>7800</v>
      </c>
      <c r="AZ277" s="49">
        <f t="shared" si="1527"/>
        <v>321815.82999999996</v>
      </c>
      <c r="BA277" s="49">
        <f t="shared" si="1527"/>
        <v>747326.67</v>
      </c>
      <c r="BB277" s="49">
        <f t="shared" si="1527"/>
        <v>273065</v>
      </c>
      <c r="BC277" s="49">
        <f t="shared" si="1527"/>
        <v>554716.97</v>
      </c>
      <c r="BD277" s="49">
        <f t="shared" si="1527"/>
        <v>429787</v>
      </c>
      <c r="BE277" s="49">
        <f t="shared" si="1527"/>
        <v>323150</v>
      </c>
      <c r="BF277" s="49">
        <f t="shared" si="1527"/>
        <v>215082.5</v>
      </c>
      <c r="BG277" s="49">
        <f t="shared" si="1527"/>
        <v>812151</v>
      </c>
      <c r="BH277" s="49">
        <f t="shared" si="1527"/>
        <v>312585.5</v>
      </c>
      <c r="BI277" s="49">
        <f t="shared" si="1527"/>
        <v>1319406</v>
      </c>
      <c r="BJ277" s="49">
        <f t="shared" si="1527"/>
        <v>938880</v>
      </c>
      <c r="BK277" s="49">
        <f t="shared" si="1527"/>
        <v>143150</v>
      </c>
      <c r="BL277" s="49">
        <f t="shared" si="1527"/>
        <v>446881</v>
      </c>
      <c r="BM277" s="49">
        <f t="shared" si="1527"/>
        <v>990701.23</v>
      </c>
      <c r="BN277" s="49">
        <f t="shared" si="1527"/>
        <v>386545.23</v>
      </c>
      <c r="BO277" s="49">
        <f t="shared" si="1527"/>
        <v>1700997.86</v>
      </c>
      <c r="BP277" s="49">
        <f t="shared" si="1527"/>
        <v>1024598.24</v>
      </c>
      <c r="BQ277" s="49">
        <f t="shared" si="1527"/>
        <v>496000.23</v>
      </c>
      <c r="BR277" s="49">
        <f t="shared" si="1527"/>
        <v>191061</v>
      </c>
      <c r="BS277" s="49">
        <f t="shared" si="1527"/>
        <v>827628.36</v>
      </c>
      <c r="BT277" s="49">
        <f t="shared" si="1527"/>
        <v>54200</v>
      </c>
      <c r="BU277" s="49">
        <f t="shared" si="1527"/>
        <v>914732</v>
      </c>
      <c r="BV277" s="49">
        <f t="shared" si="1527"/>
        <v>1589499.46</v>
      </c>
      <c r="BW277" s="49">
        <f t="shared" si="1527"/>
        <v>483774.64</v>
      </c>
      <c r="BX277" s="49">
        <f t="shared" si="1527"/>
        <v>602707</v>
      </c>
      <c r="BY277" s="49">
        <f t="shared" si="1527"/>
        <v>322296.17</v>
      </c>
      <c r="BZ277" s="49">
        <f t="shared" si="1527"/>
        <v>535723.01</v>
      </c>
      <c r="CA277" s="49">
        <f t="shared" si="1527"/>
        <v>79024.829230999982</v>
      </c>
      <c r="CB277" s="49">
        <f t="shared" si="1527"/>
        <v>1217043.56</v>
      </c>
      <c r="CC277" s="49">
        <f t="shared" si="1527"/>
        <v>65434.930000000022</v>
      </c>
      <c r="CD277" s="49">
        <f t="shared" si="1527"/>
        <v>1489208.4900000002</v>
      </c>
      <c r="CE277" s="49">
        <f t="shared" ref="CE277:DJ277" si="1528">SUM(CE247,CE253,CE259,CE265)</f>
        <v>1417014.91</v>
      </c>
      <c r="CF277" s="49">
        <f t="shared" si="1528"/>
        <v>317430.93978000002</v>
      </c>
      <c r="CG277" s="49">
        <f t="shared" si="1528"/>
        <v>778706.49428600003</v>
      </c>
      <c r="CH277" s="49">
        <f t="shared" si="1528"/>
        <v>1150934.8999999999</v>
      </c>
      <c r="CI277" s="49">
        <f t="shared" si="1528"/>
        <v>529115.01</v>
      </c>
      <c r="CJ277" s="49">
        <f t="shared" si="1528"/>
        <v>197163.91999999998</v>
      </c>
      <c r="CK277" s="49">
        <f t="shared" si="1528"/>
        <v>1641463.5899999999</v>
      </c>
      <c r="CL277" s="49">
        <f t="shared" si="1528"/>
        <v>736195.79</v>
      </c>
      <c r="CM277" s="49">
        <f t="shared" si="1528"/>
        <v>1191237.3052940001</v>
      </c>
      <c r="CN277" s="49">
        <f t="shared" si="1528"/>
        <v>3198730.42</v>
      </c>
      <c r="CO277" s="49">
        <f t="shared" si="1528"/>
        <v>904665.99290166283</v>
      </c>
      <c r="CP277" s="49">
        <f t="shared" si="1528"/>
        <v>2113028.6108326288</v>
      </c>
      <c r="CQ277" s="49">
        <f t="shared" si="1528"/>
        <v>2998317.0398403034</v>
      </c>
      <c r="CR277" s="49">
        <f t="shared" si="1528"/>
        <v>735375.60891997814</v>
      </c>
      <c r="CS277" s="49">
        <f t="shared" si="1528"/>
        <v>2973210.0126914298</v>
      </c>
      <c r="CT277" s="49">
        <f t="shared" si="1528"/>
        <v>3789075.9894029382</v>
      </c>
      <c r="CU277" s="49">
        <f t="shared" si="1528"/>
        <v>700443.97743243328</v>
      </c>
      <c r="CV277" s="49">
        <f t="shared" si="1528"/>
        <v>1625108.7992426632</v>
      </c>
      <c r="CW277" s="49">
        <f t="shared" si="1528"/>
        <v>3243640.7374562034</v>
      </c>
      <c r="CX277" s="49">
        <f t="shared" si="1528"/>
        <v>1240000.6762453567</v>
      </c>
      <c r="CY277" s="49">
        <f t="shared" si="1528"/>
        <v>2595894.0906774458</v>
      </c>
      <c r="CZ277" s="49">
        <f t="shared" si="1528"/>
        <v>3660562.2586160139</v>
      </c>
      <c r="DA277" s="49">
        <f t="shared" si="1528"/>
        <v>1183755.1651305477</v>
      </c>
      <c r="DB277" s="49">
        <f t="shared" si="1528"/>
        <v>2255207.3085710248</v>
      </c>
      <c r="DC277" s="49">
        <f t="shared" si="1528"/>
        <v>3984809.3606516798</v>
      </c>
      <c r="DD277" s="49">
        <f t="shared" si="1528"/>
        <v>1646124.7517602576</v>
      </c>
      <c r="DE277" s="49">
        <f t="shared" si="1528"/>
        <v>4471359.8006626563</v>
      </c>
      <c r="DF277" s="49">
        <f t="shared" si="1528"/>
        <v>5197451.0998298526</v>
      </c>
      <c r="DG277" s="49">
        <f t="shared" si="1528"/>
        <v>1240872.072872143</v>
      </c>
      <c r="DH277" s="49">
        <f t="shared" si="1528"/>
        <v>2746165.6161391949</v>
      </c>
      <c r="DI277" s="49">
        <f t="shared" si="1528"/>
        <v>5382117.6037548063</v>
      </c>
      <c r="DJ277" s="49">
        <f t="shared" si="1528"/>
        <v>2241195.6747730579</v>
      </c>
      <c r="DK277" s="49">
        <f t="shared" ref="DK277:EP277" si="1529">SUM(DK247,DK253,DK259,DK265)</f>
        <v>4447337.2288333466</v>
      </c>
      <c r="DL277" s="49">
        <f t="shared" si="1529"/>
        <v>6181898.0048083486</v>
      </c>
      <c r="DM277" s="49">
        <f t="shared" si="1529"/>
        <v>1929221.1363784126</v>
      </c>
      <c r="DN277" s="49">
        <f t="shared" si="1529"/>
        <v>3672352.9566786089</v>
      </c>
      <c r="DO277" s="49">
        <f t="shared" si="1529"/>
        <v>6488427.0703153694</v>
      </c>
      <c r="DP277" s="49">
        <f t="shared" si="1529"/>
        <v>2361982.8857056303</v>
      </c>
      <c r="DQ277" s="49">
        <f t="shared" si="1529"/>
        <v>6962836.8077938035</v>
      </c>
      <c r="DR277" s="49">
        <f t="shared" si="1529"/>
        <v>8144162.6028732136</v>
      </c>
      <c r="DS277" s="49">
        <f t="shared" si="1529"/>
        <v>1965664.1193248814</v>
      </c>
      <c r="DT277" s="49">
        <f t="shared" si="1529"/>
        <v>4352219.9880899126</v>
      </c>
      <c r="DU277" s="49">
        <f t="shared" si="1529"/>
        <v>8530032.8147557434</v>
      </c>
      <c r="DV277" s="49">
        <f t="shared" si="1529"/>
        <v>3550796.8026175122</v>
      </c>
      <c r="DW277" s="49">
        <f t="shared" si="1529"/>
        <v>7049935.8828130933</v>
      </c>
      <c r="DX277" s="49">
        <f t="shared" si="1529"/>
        <v>9798322.5800659414</v>
      </c>
      <c r="DY277" s="49">
        <f t="shared" si="1529"/>
        <v>3056033.6684504934</v>
      </c>
      <c r="DZ277" s="49">
        <f t="shared" si="1529"/>
        <v>5821046.0638590734</v>
      </c>
      <c r="EA277" s="49">
        <f t="shared" si="1529"/>
        <v>10285282.812861942</v>
      </c>
      <c r="EB277" s="49">
        <f t="shared" si="1529"/>
        <v>3742371.4955905229</v>
      </c>
      <c r="EC277" s="49">
        <f t="shared" si="1529"/>
        <v>11034847.246412111</v>
      </c>
      <c r="ED277" s="49">
        <f t="shared" si="1529"/>
        <v>12908634.450373353</v>
      </c>
      <c r="EE277" s="49">
        <f t="shared" si="1529"/>
        <v>3033608.9143236568</v>
      </c>
      <c r="EF277" s="49">
        <f t="shared" si="1529"/>
        <v>6723767.1630102554</v>
      </c>
      <c r="EG277" s="49">
        <f t="shared" si="1529"/>
        <v>13179001.170304315</v>
      </c>
      <c r="EH277" s="49">
        <f t="shared" si="1529"/>
        <v>5481744.6238398058</v>
      </c>
      <c r="EI277" s="49">
        <f t="shared" si="1529"/>
        <v>10897144.251764776</v>
      </c>
      <c r="EJ277" s="49">
        <f t="shared" si="1529"/>
        <v>15141046.859759782</v>
      </c>
      <c r="EK277" s="49">
        <f t="shared" si="1529"/>
        <v>4716225.7557279672</v>
      </c>
      <c r="EL277" s="49">
        <f t="shared" si="1529"/>
        <v>8996320.6331822202</v>
      </c>
      <c r="EM277" s="49">
        <f t="shared" si="1529"/>
        <v>15897368.411301695</v>
      </c>
      <c r="EN277" s="49">
        <f t="shared" si="1529"/>
        <v>5778216.6388150025</v>
      </c>
      <c r="EO277" s="49">
        <f t="shared" si="1529"/>
        <v>17047441.097165495</v>
      </c>
      <c r="EP277" s="49">
        <f t="shared" si="1529"/>
        <v>19947723.636547357</v>
      </c>
      <c r="EQ277" s="49">
        <f t="shared" ref="EQ277:FB277" si="1530">SUM(EQ247,EQ253,EQ259,EQ265)</f>
        <v>4567441.2153430218</v>
      </c>
      <c r="ER277" s="49">
        <f t="shared" si="1530"/>
        <v>10137338.079201993</v>
      </c>
      <c r="ES277" s="49">
        <f t="shared" si="1530"/>
        <v>19871625.346994985</v>
      </c>
      <c r="ET277" s="49">
        <f t="shared" si="1530"/>
        <v>8256980.8203642862</v>
      </c>
      <c r="EU277" s="49">
        <f t="shared" si="1530"/>
        <v>16440774.795434276</v>
      </c>
      <c r="EV277" s="49">
        <f t="shared" si="1530"/>
        <v>22835077.003753737</v>
      </c>
      <c r="EW277" s="49">
        <f t="shared" si="1530"/>
        <v>7100511.3279954968</v>
      </c>
      <c r="EX277" s="49">
        <f t="shared" si="1530"/>
        <v>13570330.507535422</v>
      </c>
      <c r="EY277" s="49">
        <f t="shared" si="1530"/>
        <v>23983377.283574145</v>
      </c>
      <c r="EZ277" s="49">
        <f t="shared" si="1530"/>
        <v>8704979.3754176889</v>
      </c>
      <c r="FA277" s="49">
        <f t="shared" si="1530"/>
        <v>25701508.926640604</v>
      </c>
      <c r="FB277" s="49">
        <f t="shared" si="1530"/>
        <v>30085112.736927629</v>
      </c>
    </row>
    <row r="278" spans="1:158" x14ac:dyDescent="0.25">
      <c r="C278" s="2" t="s">
        <v>346</v>
      </c>
      <c r="D278" s="244">
        <f t="shared" ref="D278:L278" si="1531">SUM(D248,D254,D260,D266)</f>
        <v>5942978.1464999998</v>
      </c>
      <c r="E278" s="244">
        <f t="shared" si="1531"/>
        <v>8327694.8794999998</v>
      </c>
      <c r="F278" s="244">
        <f t="shared" si="1531"/>
        <v>8036334.8796321489</v>
      </c>
      <c r="G278" s="244">
        <f t="shared" si="1531"/>
        <v>18189106.213880621</v>
      </c>
      <c r="H278" s="244">
        <f t="shared" si="1531"/>
        <v>25646808.5106127</v>
      </c>
      <c r="I278" s="244">
        <f t="shared" si="1531"/>
        <v>25930867.60400613</v>
      </c>
      <c r="J278" s="244">
        <f t="shared" si="1531"/>
        <v>24368703.681730971</v>
      </c>
      <c r="K278" s="244">
        <f t="shared" si="1531"/>
        <v>25434444.428774737</v>
      </c>
      <c r="L278" s="244">
        <f t="shared" si="1531"/>
        <v>99120814.240308389</v>
      </c>
      <c r="M278" s="244"/>
      <c r="N278" s="244">
        <f t="shared" ref="N278:AW278" si="1532">SUM(N248,N254,N260,N266)</f>
        <v>1023095.375</v>
      </c>
      <c r="O278" s="244">
        <f t="shared" si="1532"/>
        <v>1194690.5215</v>
      </c>
      <c r="P278" s="244">
        <f t="shared" si="1532"/>
        <v>1282864.3250000002</v>
      </c>
      <c r="Q278" s="244">
        <f t="shared" si="1532"/>
        <v>2442327.9250000003</v>
      </c>
      <c r="R278" s="244">
        <f t="shared" si="1532"/>
        <v>1501695.6185000001</v>
      </c>
      <c r="S278" s="244">
        <f t="shared" si="1532"/>
        <v>2956534.2634999999</v>
      </c>
      <c r="T278" s="244">
        <f t="shared" si="1532"/>
        <v>1438955.1105</v>
      </c>
      <c r="U278" s="244">
        <f t="shared" si="1532"/>
        <v>2430509.8870000001</v>
      </c>
      <c r="V278" s="244">
        <f t="shared" si="1532"/>
        <v>1338338.9194999998</v>
      </c>
      <c r="W278" s="244">
        <f t="shared" si="1532"/>
        <v>1740201.8292694497</v>
      </c>
      <c r="X278" s="244">
        <f t="shared" si="1532"/>
        <v>2823075.4134999993</v>
      </c>
      <c r="Y278" s="244">
        <f t="shared" si="1532"/>
        <v>2134718.7173627</v>
      </c>
      <c r="Z278" s="244">
        <f t="shared" si="1532"/>
        <v>2024617.2657171658</v>
      </c>
      <c r="AA278" s="244">
        <f t="shared" si="1532"/>
        <v>4448121.4401461221</v>
      </c>
      <c r="AB278" s="244">
        <f t="shared" si="1532"/>
        <v>5215067.9268113961</v>
      </c>
      <c r="AC278" s="244">
        <f t="shared" si="1532"/>
        <v>6501299.5812059334</v>
      </c>
      <c r="AD278" s="244">
        <f t="shared" si="1532"/>
        <v>4484595.868975386</v>
      </c>
      <c r="AE278" s="244">
        <f t="shared" si="1532"/>
        <v>6045908.6491828645</v>
      </c>
      <c r="AF278" s="244">
        <f t="shared" si="1532"/>
        <v>5990837.1159911454</v>
      </c>
      <c r="AG278" s="244">
        <f t="shared" si="1532"/>
        <v>9125466.8764633033</v>
      </c>
      <c r="AH278" s="244">
        <f t="shared" si="1532"/>
        <v>4661536.2173436237</v>
      </c>
      <c r="AI278" s="244">
        <f t="shared" si="1532"/>
        <v>6462373.910532956</v>
      </c>
      <c r="AJ278" s="244">
        <f t="shared" si="1532"/>
        <v>6076628.520506029</v>
      </c>
      <c r="AK278" s="244">
        <f t="shared" si="1532"/>
        <v>8730328.9556235205</v>
      </c>
      <c r="AL278" s="244">
        <f t="shared" si="1532"/>
        <v>4354063.2540161628</v>
      </c>
      <c r="AM278" s="244">
        <f t="shared" si="1532"/>
        <v>6090953.867112712</v>
      </c>
      <c r="AN278" s="244">
        <f t="shared" si="1532"/>
        <v>5733029.8918161821</v>
      </c>
      <c r="AO278" s="244">
        <f t="shared" si="1532"/>
        <v>8190656.668785912</v>
      </c>
      <c r="AP278" s="244">
        <f t="shared" si="1532"/>
        <v>4528492.0544437822</v>
      </c>
      <c r="AQ278" s="244">
        <f t="shared" si="1532"/>
        <v>6368075.6091802362</v>
      </c>
      <c r="AR278" s="244">
        <f t="shared" si="1532"/>
        <v>5997248.5727556068</v>
      </c>
      <c r="AS278" s="244">
        <f t="shared" si="1532"/>
        <v>8540628.1923951115</v>
      </c>
      <c r="AT278" s="244">
        <f t="shared" si="1532"/>
        <v>17947229.914515156</v>
      </c>
      <c r="AU278" s="244">
        <f t="shared" si="1532"/>
        <v>24616146.04407433</v>
      </c>
      <c r="AV278" s="244">
        <f t="shared" si="1532"/>
        <v>23119533.751130152</v>
      </c>
      <c r="AW278" s="244">
        <f t="shared" si="1532"/>
        <v>33437904.530588727</v>
      </c>
      <c r="AY278" s="296">
        <f t="shared" ref="AY278:CD278" si="1533">SUM(AY248,AY254,AY260,AY266)</f>
        <v>7410</v>
      </c>
      <c r="AZ278" s="296">
        <f t="shared" si="1533"/>
        <v>305725.03849999997</v>
      </c>
      <c r="BA278" s="296">
        <f t="shared" si="1533"/>
        <v>709960.33649999998</v>
      </c>
      <c r="BB278" s="296">
        <f t="shared" si="1533"/>
        <v>259411.75</v>
      </c>
      <c r="BC278" s="296">
        <f t="shared" si="1533"/>
        <v>526981.12149999989</v>
      </c>
      <c r="BD278" s="296">
        <f t="shared" si="1533"/>
        <v>408297.65</v>
      </c>
      <c r="BE278" s="296">
        <f t="shared" si="1533"/>
        <v>306992.5</v>
      </c>
      <c r="BF278" s="296">
        <f t="shared" si="1533"/>
        <v>204328.375</v>
      </c>
      <c r="BG278" s="296">
        <f t="shared" si="1533"/>
        <v>771543.45</v>
      </c>
      <c r="BH278" s="296">
        <f t="shared" si="1533"/>
        <v>296956.22499999998</v>
      </c>
      <c r="BI278" s="296">
        <f t="shared" si="1533"/>
        <v>1253435.7</v>
      </c>
      <c r="BJ278" s="296">
        <f t="shared" si="1533"/>
        <v>891936</v>
      </c>
      <c r="BK278" s="296">
        <f t="shared" si="1533"/>
        <v>135992.5</v>
      </c>
      <c r="BL278" s="296">
        <f t="shared" si="1533"/>
        <v>424536.94999999995</v>
      </c>
      <c r="BM278" s="296">
        <f t="shared" si="1533"/>
        <v>941166.16850000003</v>
      </c>
      <c r="BN278" s="296">
        <f t="shared" si="1533"/>
        <v>367217.96849999996</v>
      </c>
      <c r="BO278" s="296">
        <f t="shared" si="1533"/>
        <v>1615947.9669999999</v>
      </c>
      <c r="BP278" s="296">
        <f t="shared" si="1533"/>
        <v>973368.3280000001</v>
      </c>
      <c r="BQ278" s="296">
        <f t="shared" si="1533"/>
        <v>471200.21849999996</v>
      </c>
      <c r="BR278" s="296">
        <f t="shared" si="1533"/>
        <v>181507.94999999998</v>
      </c>
      <c r="BS278" s="296">
        <f t="shared" si="1533"/>
        <v>786246.94199999992</v>
      </c>
      <c r="BT278" s="296">
        <f t="shared" si="1533"/>
        <v>51490</v>
      </c>
      <c r="BU278" s="296">
        <f t="shared" si="1533"/>
        <v>868995.39999999991</v>
      </c>
      <c r="BV278" s="296">
        <f t="shared" si="1533"/>
        <v>1510024.487</v>
      </c>
      <c r="BW278" s="296">
        <f t="shared" si="1533"/>
        <v>459585.908</v>
      </c>
      <c r="BX278" s="296">
        <f t="shared" si="1533"/>
        <v>572571.64999999991</v>
      </c>
      <c r="BY278" s="296">
        <f t="shared" si="1533"/>
        <v>306181.36149999994</v>
      </c>
      <c r="BZ278" s="296">
        <f t="shared" si="1533"/>
        <v>508936.8594999999</v>
      </c>
      <c r="CA278" s="296">
        <f t="shared" si="1533"/>
        <v>75073.58776944998</v>
      </c>
      <c r="CB278" s="296">
        <f t="shared" si="1533"/>
        <v>1156191.3819999998</v>
      </c>
      <c r="CC278" s="296">
        <f t="shared" si="1533"/>
        <v>62163.18349999997</v>
      </c>
      <c r="CD278" s="296">
        <f t="shared" si="1533"/>
        <v>1414748.0655</v>
      </c>
      <c r="CE278" s="296">
        <f t="shared" ref="CE278:DJ278" si="1534">SUM(CE248,CE254,CE260,CE266)</f>
        <v>1346164.1644999997</v>
      </c>
      <c r="CF278" s="296">
        <f t="shared" si="1534"/>
        <v>301559.39279100002</v>
      </c>
      <c r="CG278" s="296">
        <f t="shared" si="1534"/>
        <v>739771.16957170004</v>
      </c>
      <c r="CH278" s="296">
        <f t="shared" si="1534"/>
        <v>1093388.1549999998</v>
      </c>
      <c r="CI278" s="296">
        <f t="shared" si="1534"/>
        <v>460482.7736969153</v>
      </c>
      <c r="CJ278" s="296">
        <f t="shared" si="1534"/>
        <v>148580.1450035708</v>
      </c>
      <c r="CK278" s="296">
        <f t="shared" si="1534"/>
        <v>1415554.3470166798</v>
      </c>
      <c r="CL278" s="296">
        <f t="shared" si="1534"/>
        <v>639751.25615187653</v>
      </c>
      <c r="CM278" s="296">
        <f t="shared" si="1534"/>
        <v>1031922.8035334666</v>
      </c>
      <c r="CN278" s="296">
        <f t="shared" si="1534"/>
        <v>2776447.3804607787</v>
      </c>
      <c r="CO278" s="296">
        <f t="shared" si="1534"/>
        <v>784410.28491512092</v>
      </c>
      <c r="CP278" s="296">
        <f t="shared" si="1534"/>
        <v>1832324.0069504334</v>
      </c>
      <c r="CQ278" s="296">
        <f t="shared" si="1534"/>
        <v>2598333.634945842</v>
      </c>
      <c r="CR278" s="296">
        <f t="shared" si="1534"/>
        <v>636464.89604030049</v>
      </c>
      <c r="CS278" s="296">
        <f t="shared" si="1534"/>
        <v>2575968.6448014448</v>
      </c>
      <c r="CT278" s="296">
        <f t="shared" si="1534"/>
        <v>3288866.0403641886</v>
      </c>
      <c r="CU278" s="296">
        <f t="shared" si="1534"/>
        <v>560160.2089890698</v>
      </c>
      <c r="CV278" s="296">
        <f t="shared" si="1534"/>
        <v>1309390.4696800669</v>
      </c>
      <c r="CW278" s="296">
        <f t="shared" si="1534"/>
        <v>2615045.1903062495</v>
      </c>
      <c r="CX278" s="296">
        <f t="shared" si="1534"/>
        <v>993583.51570435637</v>
      </c>
      <c r="CY278" s="296">
        <f t="shared" si="1534"/>
        <v>2098424.7301351903</v>
      </c>
      <c r="CZ278" s="296">
        <f t="shared" si="1534"/>
        <v>2953900.403343318</v>
      </c>
      <c r="DA278" s="296">
        <f t="shared" si="1534"/>
        <v>947736.72138323938</v>
      </c>
      <c r="DB278" s="296">
        <f t="shared" si="1534"/>
        <v>1821879.600713172</v>
      </c>
      <c r="DC278" s="296">
        <f t="shared" si="1534"/>
        <v>3221220.7938947342</v>
      </c>
      <c r="DD278" s="296">
        <f t="shared" si="1534"/>
        <v>1323852.14245645</v>
      </c>
      <c r="DE278" s="296">
        <f t="shared" si="1534"/>
        <v>3604769.1580520617</v>
      </c>
      <c r="DF278" s="296">
        <f t="shared" si="1534"/>
        <v>4196845.575954793</v>
      </c>
      <c r="DG278" s="296">
        <f t="shared" si="1534"/>
        <v>597410.35229304445</v>
      </c>
      <c r="DH278" s="296">
        <f t="shared" si="1534"/>
        <v>1370930.4664141014</v>
      </c>
      <c r="DI278" s="296">
        <f t="shared" si="1534"/>
        <v>2693195.3986364775</v>
      </c>
      <c r="DJ278" s="296">
        <f t="shared" si="1534"/>
        <v>1091589.0998671183</v>
      </c>
      <c r="DK278" s="296">
        <f t="shared" ref="DK278:EP278" si="1535">SUM(DK248,DK254,DK260,DK266)</f>
        <v>2259749.3841396291</v>
      </c>
      <c r="DL278" s="296">
        <f t="shared" si="1535"/>
        <v>3111035.4265262084</v>
      </c>
      <c r="DM278" s="296">
        <f t="shared" si="1535"/>
        <v>927762.73440610326</v>
      </c>
      <c r="DN278" s="296">
        <f t="shared" si="1535"/>
        <v>1856754.0684510204</v>
      </c>
      <c r="DO278" s="296">
        <f t="shared" si="1535"/>
        <v>3292111.7176489052</v>
      </c>
      <c r="DP278" s="296">
        <f t="shared" si="1535"/>
        <v>1155433.0426082171</v>
      </c>
      <c r="DQ278" s="296">
        <f t="shared" si="1535"/>
        <v>3473505.0339037334</v>
      </c>
      <c r="DR278" s="296">
        <f t="shared" si="1535"/>
        <v>4101390.8791115698</v>
      </c>
      <c r="DS278" s="296">
        <f t="shared" si="1535"/>
        <v>539381.47183456714</v>
      </c>
      <c r="DT278" s="296">
        <f t="shared" si="1535"/>
        <v>1284794.7273266236</v>
      </c>
      <c r="DU278" s="296">
        <f t="shared" si="1535"/>
        <v>2529887.0548549723</v>
      </c>
      <c r="DV278" s="296">
        <f t="shared" si="1535"/>
        <v>997679.54959490872</v>
      </c>
      <c r="DW278" s="296">
        <f t="shared" si="1535"/>
        <v>2154537.2771176649</v>
      </c>
      <c r="DX278" s="296">
        <f t="shared" si="1535"/>
        <v>2938737.0404001377</v>
      </c>
      <c r="DY278" s="296">
        <f t="shared" si="1535"/>
        <v>836634.48849933641</v>
      </c>
      <c r="DZ278" s="296">
        <f t="shared" si="1535"/>
        <v>1761890.9862777859</v>
      </c>
      <c r="EA278" s="296">
        <f t="shared" si="1535"/>
        <v>3134504.4170390596</v>
      </c>
      <c r="EB278" s="296">
        <f t="shared" si="1535"/>
        <v>1060806.4677590351</v>
      </c>
      <c r="EC278" s="296">
        <f t="shared" si="1535"/>
        <v>3252981.8049829938</v>
      </c>
      <c r="ED278" s="296">
        <f t="shared" si="1535"/>
        <v>3876868.3960438827</v>
      </c>
      <c r="EE278" s="296">
        <f t="shared" si="1535"/>
        <v>549744.07697817916</v>
      </c>
      <c r="EF278" s="296">
        <f t="shared" si="1535"/>
        <v>1338855.6595447571</v>
      </c>
      <c r="EG278" s="296">
        <f t="shared" si="1535"/>
        <v>2639892.3179208455</v>
      </c>
      <c r="EH278" s="296">
        <f t="shared" si="1535"/>
        <v>1024418.6252232752</v>
      </c>
      <c r="EI278" s="296">
        <f t="shared" si="1535"/>
        <v>2267322.3047643974</v>
      </c>
      <c r="EJ278" s="296">
        <f t="shared" si="1535"/>
        <v>3076334.6791925649</v>
      </c>
      <c r="EK278" s="296">
        <f t="shared" si="1535"/>
        <v>852076.43549483921</v>
      </c>
      <c r="EL278" s="296">
        <f t="shared" si="1535"/>
        <v>1849144.6047946191</v>
      </c>
      <c r="EM278" s="296">
        <f t="shared" si="1535"/>
        <v>3296027.532466148</v>
      </c>
      <c r="EN278" s="296">
        <f t="shared" si="1535"/>
        <v>1092184.309137638</v>
      </c>
      <c r="EO278" s="296">
        <f t="shared" si="1535"/>
        <v>3388485.4947976074</v>
      </c>
      <c r="EP278" s="296">
        <f t="shared" si="1535"/>
        <v>4059958.3884598669</v>
      </c>
      <c r="EQ278" s="296">
        <f t="shared" ref="EQ278:FB278" si="1536">SUM(EQ248,EQ254,EQ260,EQ266)</f>
        <v>2389879.8750538914</v>
      </c>
      <c r="ER278" s="296">
        <f t="shared" si="1536"/>
        <v>5257486.3254320063</v>
      </c>
      <c r="ES278" s="296">
        <f t="shared" si="1536"/>
        <v>10299863.714029264</v>
      </c>
      <c r="ET278" s="296">
        <f t="shared" si="1536"/>
        <v>4308341.9029204501</v>
      </c>
      <c r="EU278" s="296">
        <f t="shared" si="1536"/>
        <v>8488779.9479859974</v>
      </c>
      <c r="EV278" s="296">
        <f t="shared" si="1536"/>
        <v>11819024.193167884</v>
      </c>
      <c r="EW278" s="296">
        <f t="shared" si="1536"/>
        <v>3716296.1165730976</v>
      </c>
      <c r="EX278" s="296">
        <f t="shared" si="1536"/>
        <v>7015497.5179063389</v>
      </c>
      <c r="EY278" s="296">
        <f t="shared" si="1536"/>
        <v>12387740.116650719</v>
      </c>
      <c r="EZ278" s="296">
        <f t="shared" si="1536"/>
        <v>4537295.9537549084</v>
      </c>
      <c r="FA278" s="296">
        <f t="shared" si="1536"/>
        <v>13331817.304174464</v>
      </c>
      <c r="FB278" s="296">
        <f t="shared" si="1536"/>
        <v>15568791.27265935</v>
      </c>
    </row>
    <row r="279" spans="1:158" x14ac:dyDescent="0.25">
      <c r="C279" s="2" t="s">
        <v>298</v>
      </c>
      <c r="D279" s="244">
        <f t="shared" ref="D279:L279" si="1537">SUM(D249,D255,D261,D267)</f>
        <v>125115.32940000002</v>
      </c>
      <c r="E279" s="244">
        <f t="shared" si="1537"/>
        <v>175319.8922</v>
      </c>
      <c r="F279" s="244">
        <f t="shared" si="1537"/>
        <v>169185.99746593999</v>
      </c>
      <c r="G279" s="244">
        <f t="shared" si="1537"/>
        <v>641829.39947632293</v>
      </c>
      <c r="H279" s="244">
        <f t="shared" si="1537"/>
        <v>1473198.1260607936</v>
      </c>
      <c r="I279" s="244">
        <f t="shared" si="1537"/>
        <v>6779369.2031917088</v>
      </c>
      <c r="J279" s="244">
        <f t="shared" si="1537"/>
        <v>10546484.017042132</v>
      </c>
      <c r="K279" s="244">
        <f t="shared" si="1537"/>
        <v>16121126.743293384</v>
      </c>
      <c r="L279" s="244">
        <f t="shared" si="1537"/>
        <v>29261923.658170227</v>
      </c>
      <c r="M279" s="244"/>
      <c r="N279" s="244">
        <f t="shared" ref="N279:AW279" si="1538">SUM(N249,N255,N261,N267)</f>
        <v>21538.850000000002</v>
      </c>
      <c r="O279" s="244">
        <f t="shared" si="1538"/>
        <v>25151.379399999998</v>
      </c>
      <c r="P279" s="244">
        <f t="shared" si="1538"/>
        <v>27007.67</v>
      </c>
      <c r="Q279" s="244">
        <f t="shared" si="1538"/>
        <v>51417.43</v>
      </c>
      <c r="R279" s="244">
        <f t="shared" si="1538"/>
        <v>31614.644600000003</v>
      </c>
      <c r="S279" s="244">
        <f t="shared" si="1538"/>
        <v>62242.826600000008</v>
      </c>
      <c r="T279" s="244">
        <f t="shared" si="1538"/>
        <v>30293.791799999999</v>
      </c>
      <c r="U279" s="244">
        <f t="shared" si="1538"/>
        <v>51168.629200000003</v>
      </c>
      <c r="V279" s="244">
        <f t="shared" si="1538"/>
        <v>28175.556199999999</v>
      </c>
      <c r="W279" s="244">
        <f t="shared" si="1538"/>
        <v>36635.827984620002</v>
      </c>
      <c r="X279" s="244">
        <f t="shared" si="1538"/>
        <v>59433.166600000004</v>
      </c>
      <c r="Y279" s="244">
        <f t="shared" si="1538"/>
        <v>44941.446681319998</v>
      </c>
      <c r="Z279" s="244">
        <f t="shared" si="1538"/>
        <v>75497.188259353512</v>
      </c>
      <c r="AA279" s="244">
        <f t="shared" si="1538"/>
        <v>155412.06588265442</v>
      </c>
      <c r="AB279" s="244">
        <f t="shared" si="1538"/>
        <v>183034.94366946694</v>
      </c>
      <c r="AC279" s="244">
        <f t="shared" si="1538"/>
        <v>227885.20166484805</v>
      </c>
      <c r="AD279" s="244">
        <f t="shared" si="1538"/>
        <v>259255.99513795588</v>
      </c>
      <c r="AE279" s="244">
        <f t="shared" si="1538"/>
        <v>347074.95506721392</v>
      </c>
      <c r="AF279" s="244">
        <f t="shared" si="1538"/>
        <v>342991.54867221054</v>
      </c>
      <c r="AG279" s="244">
        <f t="shared" si="1538"/>
        <v>523875.62718341302</v>
      </c>
      <c r="AH279" s="244">
        <f t="shared" si="1538"/>
        <v>1233807.8621775482</v>
      </c>
      <c r="AI279" s="244">
        <f t="shared" si="1538"/>
        <v>1679385.9211438168</v>
      </c>
      <c r="AJ279" s="244">
        <f t="shared" si="1538"/>
        <v>1575940.4043540019</v>
      </c>
      <c r="AK279" s="244">
        <f t="shared" si="1538"/>
        <v>2290235.0155163426</v>
      </c>
      <c r="AL279" s="244">
        <f t="shared" si="1538"/>
        <v>1914545.610806677</v>
      </c>
      <c r="AM279" s="244">
        <f t="shared" si="1538"/>
        <v>2615837.462993904</v>
      </c>
      <c r="AN279" s="244">
        <f t="shared" si="1538"/>
        <v>2455745.2690837299</v>
      </c>
      <c r="AO279" s="244">
        <f t="shared" si="1538"/>
        <v>3560355.6741578216</v>
      </c>
      <c r="AP279" s="244">
        <f t="shared" si="1538"/>
        <v>2921815.1456489437</v>
      </c>
      <c r="AQ279" s="244">
        <f t="shared" si="1538"/>
        <v>4001680.8360603834</v>
      </c>
      <c r="AR279" s="244">
        <f t="shared" si="1538"/>
        <v>3757778.7745495839</v>
      </c>
      <c r="AS279" s="244">
        <f t="shared" si="1538"/>
        <v>5439851.9870344736</v>
      </c>
      <c r="AT279" s="244">
        <f t="shared" si="1538"/>
        <v>5304497.3661102755</v>
      </c>
      <c r="AU279" s="244">
        <f t="shared" si="1538"/>
        <v>7262877.5304597365</v>
      </c>
      <c r="AV279" s="244">
        <f t="shared" si="1538"/>
        <v>6819987.3566805702</v>
      </c>
      <c r="AW279" s="244">
        <f t="shared" si="1538"/>
        <v>9874561.4049196411</v>
      </c>
      <c r="AY279" s="296">
        <f t="shared" ref="AY279:CD279" si="1539">SUM(AY249,AY255,AY261,AY267)</f>
        <v>156</v>
      </c>
      <c r="AZ279" s="296">
        <f t="shared" si="1539"/>
        <v>6436.3166000000001</v>
      </c>
      <c r="BA279" s="296">
        <f t="shared" si="1539"/>
        <v>14946.533400000002</v>
      </c>
      <c r="BB279" s="296">
        <f t="shared" si="1539"/>
        <v>5461.3</v>
      </c>
      <c r="BC279" s="296">
        <f t="shared" si="1539"/>
        <v>11094.339399999999</v>
      </c>
      <c r="BD279" s="296">
        <f t="shared" si="1539"/>
        <v>8595.7400000000016</v>
      </c>
      <c r="BE279" s="296">
        <f t="shared" si="1539"/>
        <v>6463</v>
      </c>
      <c r="BF279" s="296">
        <f t="shared" si="1539"/>
        <v>4301.6500000000005</v>
      </c>
      <c r="BG279" s="296">
        <f t="shared" si="1539"/>
        <v>16243.02</v>
      </c>
      <c r="BH279" s="296">
        <f t="shared" si="1539"/>
        <v>6251.71</v>
      </c>
      <c r="BI279" s="296">
        <f t="shared" si="1539"/>
        <v>26388.12</v>
      </c>
      <c r="BJ279" s="296">
        <f t="shared" si="1539"/>
        <v>18777.599999999999</v>
      </c>
      <c r="BK279" s="296">
        <f t="shared" si="1539"/>
        <v>2863</v>
      </c>
      <c r="BL279" s="296">
        <f t="shared" si="1539"/>
        <v>8937.619999999999</v>
      </c>
      <c r="BM279" s="296">
        <f t="shared" si="1539"/>
        <v>19814.024600000001</v>
      </c>
      <c r="BN279" s="296">
        <f t="shared" si="1539"/>
        <v>7730.9045999999998</v>
      </c>
      <c r="BO279" s="296">
        <f t="shared" si="1539"/>
        <v>34019.957200000004</v>
      </c>
      <c r="BP279" s="296">
        <f t="shared" si="1539"/>
        <v>20491.964799999998</v>
      </c>
      <c r="BQ279" s="296">
        <f t="shared" si="1539"/>
        <v>9920.0046000000002</v>
      </c>
      <c r="BR279" s="296">
        <f t="shared" si="1539"/>
        <v>3821.2200000000003</v>
      </c>
      <c r="BS279" s="296">
        <f t="shared" si="1539"/>
        <v>16552.567199999998</v>
      </c>
      <c r="BT279" s="296">
        <f t="shared" si="1539"/>
        <v>1084</v>
      </c>
      <c r="BU279" s="296">
        <f t="shared" si="1539"/>
        <v>18294.64</v>
      </c>
      <c r="BV279" s="296">
        <f t="shared" si="1539"/>
        <v>31789.989200000004</v>
      </c>
      <c r="BW279" s="296">
        <f t="shared" si="1539"/>
        <v>9675.4928</v>
      </c>
      <c r="BX279" s="296">
        <f t="shared" si="1539"/>
        <v>12054.14</v>
      </c>
      <c r="BY279" s="296">
        <f t="shared" si="1539"/>
        <v>6445.9234000000006</v>
      </c>
      <c r="BZ279" s="296">
        <f t="shared" si="1539"/>
        <v>10714.460200000001</v>
      </c>
      <c r="CA279" s="296">
        <f t="shared" si="1539"/>
        <v>1580.4965846199993</v>
      </c>
      <c r="CB279" s="296">
        <f t="shared" si="1539"/>
        <v>24340.871199999998</v>
      </c>
      <c r="CC279" s="296">
        <f t="shared" si="1539"/>
        <v>1308.6986000000006</v>
      </c>
      <c r="CD279" s="296">
        <f t="shared" si="1539"/>
        <v>29784.169800000003</v>
      </c>
      <c r="CE279" s="296">
        <f t="shared" ref="CE279:DJ279" si="1540">SUM(CE249,CE255,CE261,CE267)</f>
        <v>28340.298200000001</v>
      </c>
      <c r="CF279" s="296">
        <f t="shared" si="1540"/>
        <v>6348.6187956000003</v>
      </c>
      <c r="CG279" s="296">
        <f t="shared" si="1540"/>
        <v>15574.129885720002</v>
      </c>
      <c r="CH279" s="296">
        <f t="shared" si="1540"/>
        <v>23018.698</v>
      </c>
      <c r="CI279" s="296">
        <f t="shared" si="1540"/>
        <v>15873.4503</v>
      </c>
      <c r="CJ279" s="296">
        <f t="shared" si="1540"/>
        <v>8768.4955305128642</v>
      </c>
      <c r="CK279" s="296">
        <f t="shared" si="1540"/>
        <v>50855.242428840655</v>
      </c>
      <c r="CL279" s="296">
        <f t="shared" si="1540"/>
        <v>22203.884897786302</v>
      </c>
      <c r="CM279" s="296">
        <f t="shared" si="1540"/>
        <v>36332.092280992605</v>
      </c>
      <c r="CN279" s="296">
        <f t="shared" si="1540"/>
        <v>96876.088703875532</v>
      </c>
      <c r="CO279" s="296">
        <f t="shared" si="1540"/>
        <v>27500.901739244851</v>
      </c>
      <c r="CP279" s="296">
        <f t="shared" si="1540"/>
        <v>64211.951490343868</v>
      </c>
      <c r="CQ279" s="296">
        <f t="shared" si="1540"/>
        <v>91322.09043987823</v>
      </c>
      <c r="CR279" s="296">
        <f t="shared" si="1540"/>
        <v>22498.324126019445</v>
      </c>
      <c r="CS279" s="296">
        <f t="shared" si="1540"/>
        <v>90632.703052587414</v>
      </c>
      <c r="CT279" s="296">
        <f t="shared" si="1540"/>
        <v>114754.17448624122</v>
      </c>
      <c r="CU279" s="296">
        <f t="shared" si="1540"/>
        <v>33390.563675309575</v>
      </c>
      <c r="CV279" s="296">
        <f t="shared" si="1540"/>
        <v>75495.772709514218</v>
      </c>
      <c r="CW279" s="296">
        <f t="shared" si="1540"/>
        <v>150369.65875313207</v>
      </c>
      <c r="CX279" s="296">
        <f t="shared" si="1540"/>
        <v>58721.379412782248</v>
      </c>
      <c r="CY279" s="296">
        <f t="shared" si="1540"/>
        <v>119208.61351042321</v>
      </c>
      <c r="CZ279" s="296">
        <f t="shared" si="1540"/>
        <v>169144.96214400843</v>
      </c>
      <c r="DA279" s="296">
        <f t="shared" si="1540"/>
        <v>56215.367920229604</v>
      </c>
      <c r="DB279" s="296">
        <f t="shared" si="1540"/>
        <v>103795.60293261652</v>
      </c>
      <c r="DC279" s="296">
        <f t="shared" si="1540"/>
        <v>182980.57781936444</v>
      </c>
      <c r="DD279" s="296">
        <f t="shared" si="1540"/>
        <v>76972.175788747321</v>
      </c>
      <c r="DE279" s="296">
        <f t="shared" si="1540"/>
        <v>207299.08671798068</v>
      </c>
      <c r="DF279" s="296">
        <f t="shared" si="1540"/>
        <v>239604.36467668507</v>
      </c>
      <c r="DG279" s="296">
        <f t="shared" si="1540"/>
        <v>168672.23505908748</v>
      </c>
      <c r="DH279" s="296">
        <f t="shared" si="1540"/>
        <v>360425.18906112836</v>
      </c>
      <c r="DI279" s="296">
        <f t="shared" si="1540"/>
        <v>704710.43805733242</v>
      </c>
      <c r="DJ279" s="296">
        <f t="shared" si="1540"/>
        <v>301331.56166585698</v>
      </c>
      <c r="DK279" s="296">
        <f t="shared" ref="DK279:EP279" si="1541">SUM(DK249,DK255,DK261,DK267)</f>
        <v>573271.05698597559</v>
      </c>
      <c r="DL279" s="296">
        <f t="shared" si="1541"/>
        <v>804783.30249198421</v>
      </c>
      <c r="DM279" s="296">
        <f t="shared" si="1541"/>
        <v>262516.27894842846</v>
      </c>
      <c r="DN279" s="296">
        <f t="shared" si="1541"/>
        <v>475802.69367358717</v>
      </c>
      <c r="DO279" s="296">
        <f t="shared" si="1541"/>
        <v>837621.43173198646</v>
      </c>
      <c r="DP279" s="296">
        <f t="shared" si="1541"/>
        <v>316250.23741805408</v>
      </c>
      <c r="DQ279" s="296">
        <f t="shared" si="1541"/>
        <v>914496.68402605434</v>
      </c>
      <c r="DR279" s="296">
        <f t="shared" si="1541"/>
        <v>1059488.0940722339</v>
      </c>
      <c r="DS279" s="296">
        <f t="shared" si="1541"/>
        <v>258382.20043849092</v>
      </c>
      <c r="DT279" s="296">
        <f t="shared" si="1541"/>
        <v>560057.5456506483</v>
      </c>
      <c r="DU279" s="296">
        <f t="shared" si="1541"/>
        <v>1096105.8647175375</v>
      </c>
      <c r="DV279" s="296">
        <f t="shared" si="1541"/>
        <v>463643.26118241635</v>
      </c>
      <c r="DW279" s="296">
        <f t="shared" si="1541"/>
        <v>897458.37751503964</v>
      </c>
      <c r="DX279" s="296">
        <f t="shared" si="1541"/>
        <v>1254735.8242964484</v>
      </c>
      <c r="DY279" s="296">
        <f t="shared" si="1541"/>
        <v>401967.50479019573</v>
      </c>
      <c r="DZ279" s="296">
        <f t="shared" si="1541"/>
        <v>743290.84341352084</v>
      </c>
      <c r="EA279" s="296">
        <f t="shared" si="1541"/>
        <v>1310486.9208800134</v>
      </c>
      <c r="EB279" s="296">
        <f t="shared" si="1541"/>
        <v>487422.15281896462</v>
      </c>
      <c r="EC279" s="296">
        <f t="shared" si="1541"/>
        <v>1420604.5698011299</v>
      </c>
      <c r="ED279" s="296">
        <f t="shared" si="1541"/>
        <v>1652328.9515377274</v>
      </c>
      <c r="EE279" s="296">
        <f t="shared" si="1541"/>
        <v>391055.40274978156</v>
      </c>
      <c r="EF279" s="296">
        <f t="shared" si="1541"/>
        <v>855463.95370449359</v>
      </c>
      <c r="EG279" s="296">
        <f t="shared" si="1541"/>
        <v>1675295.7891946686</v>
      </c>
      <c r="EH279" s="296">
        <f t="shared" si="1541"/>
        <v>703731.28066430672</v>
      </c>
      <c r="EI279" s="296">
        <f t="shared" si="1541"/>
        <v>1377310.3801043585</v>
      </c>
      <c r="EJ279" s="296">
        <f t="shared" si="1541"/>
        <v>1920639.175291718</v>
      </c>
      <c r="EK279" s="296">
        <f t="shared" si="1541"/>
        <v>608200.0837627732</v>
      </c>
      <c r="EL279" s="296">
        <f t="shared" si="1541"/>
        <v>1139187.1087074464</v>
      </c>
      <c r="EM279" s="296">
        <f t="shared" si="1541"/>
        <v>2010391.5820793645</v>
      </c>
      <c r="EN279" s="296">
        <f t="shared" si="1541"/>
        <v>740633.20196524425</v>
      </c>
      <c r="EO279" s="296">
        <f t="shared" si="1541"/>
        <v>2169510.4120462285</v>
      </c>
      <c r="EP279" s="296">
        <f t="shared" si="1541"/>
        <v>2529708.3730230005</v>
      </c>
      <c r="EQ279" s="296">
        <f t="shared" ref="EQ279:FB279" si="1542">SUM(EQ249,EQ255,EQ261,EQ267)</f>
        <v>710664.69597414113</v>
      </c>
      <c r="ER279" s="296">
        <f t="shared" si="1542"/>
        <v>1552913.9424051067</v>
      </c>
      <c r="ES279" s="296">
        <f t="shared" si="1542"/>
        <v>3040918.7277310286</v>
      </c>
      <c r="ET279" s="296">
        <f t="shared" si="1542"/>
        <v>1278447.0135903608</v>
      </c>
      <c r="EU279" s="296">
        <f t="shared" si="1542"/>
        <v>2498805.0825293036</v>
      </c>
      <c r="EV279" s="296">
        <f t="shared" si="1542"/>
        <v>3485625.4343400723</v>
      </c>
      <c r="EW279" s="296">
        <f t="shared" si="1542"/>
        <v>1105318.5392656971</v>
      </c>
      <c r="EX279" s="296">
        <f t="shared" si="1542"/>
        <v>2067117.0410400361</v>
      </c>
      <c r="EY279" s="296">
        <f t="shared" si="1542"/>
        <v>3647551.776374836</v>
      </c>
      <c r="EZ279" s="296">
        <f t="shared" si="1542"/>
        <v>1345308.2547984871</v>
      </c>
      <c r="FA279" s="296">
        <f t="shared" si="1542"/>
        <v>3938375.0395001019</v>
      </c>
      <c r="FB279" s="296">
        <f t="shared" si="1542"/>
        <v>4590878.1106210519</v>
      </c>
    </row>
    <row r="280" spans="1:158" x14ac:dyDescent="0.25">
      <c r="C280" s="2" t="s">
        <v>299</v>
      </c>
      <c r="D280" s="244">
        <f t="shared" ref="D280:L280" si="1543">SUM(D250,D256,D262,D268)</f>
        <v>62557.664700000008</v>
      </c>
      <c r="E280" s="244">
        <f t="shared" si="1543"/>
        <v>87659.946100000001</v>
      </c>
      <c r="F280" s="244">
        <f t="shared" si="1543"/>
        <v>84592.998732969994</v>
      </c>
      <c r="G280" s="244">
        <f t="shared" si="1543"/>
        <v>986534.71539698145</v>
      </c>
      <c r="H280" s="244">
        <f t="shared" si="1543"/>
        <v>2994493.7491433425</v>
      </c>
      <c r="I280" s="244">
        <f t="shared" si="1543"/>
        <v>16359397.699436307</v>
      </c>
      <c r="J280" s="244">
        <f t="shared" si="1543"/>
        <v>42875245.673168205</v>
      </c>
      <c r="K280" s="244">
        <f t="shared" si="1543"/>
        <v>78650854.259915173</v>
      </c>
      <c r="L280" s="244">
        <f t="shared" si="1543"/>
        <v>52886087.850018702</v>
      </c>
      <c r="M280" s="244"/>
      <c r="N280" s="244">
        <f t="shared" ref="N280:AW280" si="1544">SUM(N250,N256,N262,N268)</f>
        <v>10769.425000000001</v>
      </c>
      <c r="O280" s="244">
        <f t="shared" si="1544"/>
        <v>12575.689699999999</v>
      </c>
      <c r="P280" s="244">
        <f t="shared" si="1544"/>
        <v>13503.834999999999</v>
      </c>
      <c r="Q280" s="244">
        <f t="shared" si="1544"/>
        <v>25708.715</v>
      </c>
      <c r="R280" s="244">
        <f t="shared" si="1544"/>
        <v>15807.322300000002</v>
      </c>
      <c r="S280" s="244">
        <f t="shared" si="1544"/>
        <v>31121.413300000004</v>
      </c>
      <c r="T280" s="244">
        <f t="shared" si="1544"/>
        <v>15146.8959</v>
      </c>
      <c r="U280" s="244">
        <f t="shared" si="1544"/>
        <v>25584.314600000002</v>
      </c>
      <c r="V280" s="244">
        <f t="shared" si="1544"/>
        <v>14087.7781</v>
      </c>
      <c r="W280" s="244">
        <f t="shared" si="1544"/>
        <v>18317.913992310001</v>
      </c>
      <c r="X280" s="244">
        <f t="shared" si="1544"/>
        <v>29716.583300000002</v>
      </c>
      <c r="Y280" s="244">
        <f t="shared" si="1544"/>
        <v>22470.723340659999</v>
      </c>
      <c r="Z280" s="244">
        <f t="shared" si="1544"/>
        <v>122401.34462967675</v>
      </c>
      <c r="AA280" s="244">
        <f t="shared" si="1544"/>
        <v>236454.68560014723</v>
      </c>
      <c r="AB280" s="244">
        <f t="shared" si="1544"/>
        <v>279790.75933473354</v>
      </c>
      <c r="AC280" s="244">
        <f t="shared" si="1544"/>
        <v>347887.92583242396</v>
      </c>
      <c r="AD280" s="244">
        <f t="shared" si="1544"/>
        <v>528408.4767789013</v>
      </c>
      <c r="AE280" s="244">
        <f t="shared" si="1544"/>
        <v>705296.98827690235</v>
      </c>
      <c r="AF280" s="244">
        <f t="shared" si="1544"/>
        <v>696199.67923475942</v>
      </c>
      <c r="AG280" s="244">
        <f t="shared" si="1544"/>
        <v>1064588.6048527793</v>
      </c>
      <c r="AH280" s="244">
        <f t="shared" si="1544"/>
        <v>2979433.2217472927</v>
      </c>
      <c r="AI280" s="244">
        <f t="shared" si="1544"/>
        <v>4051132.3700177399</v>
      </c>
      <c r="AJ280" s="244">
        <f t="shared" si="1544"/>
        <v>3801143.0418454348</v>
      </c>
      <c r="AK280" s="244">
        <f t="shared" si="1544"/>
        <v>5527689.0658258405</v>
      </c>
      <c r="AL280" s="244">
        <f t="shared" si="1544"/>
        <v>7800014.0067106625</v>
      </c>
      <c r="AM280" s="244">
        <f t="shared" si="1544"/>
        <v>10623104.278028475</v>
      </c>
      <c r="AN280" s="244">
        <f t="shared" si="1544"/>
        <v>9969400.0890351143</v>
      </c>
      <c r="AO280" s="244">
        <f t="shared" si="1544"/>
        <v>14482727.299393956</v>
      </c>
      <c r="AP280" s="244">
        <f t="shared" si="1544"/>
        <v>14285912.447863381</v>
      </c>
      <c r="AQ280" s="244">
        <f t="shared" si="1544"/>
        <v>19502274.851972923</v>
      </c>
      <c r="AR280" s="244">
        <f t="shared" si="1544"/>
        <v>18306986.201733049</v>
      </c>
      <c r="AS280" s="244">
        <f t="shared" si="1544"/>
        <v>26555680.758345827</v>
      </c>
      <c r="AT280" s="244">
        <f t="shared" si="1544"/>
        <v>9518659.6958639342</v>
      </c>
      <c r="AU280" s="244">
        <f t="shared" si="1544"/>
        <v>13172348.249108</v>
      </c>
      <c r="AV280" s="244">
        <f t="shared" si="1544"/>
        <v>12383651.476209916</v>
      </c>
      <c r="AW280" s="244">
        <f t="shared" si="1544"/>
        <v>17811428.428836856</v>
      </c>
      <c r="AY280" s="296">
        <f t="shared" ref="AY280:CD280" si="1545">SUM(AY250,AY256,AY262,AY268)</f>
        <v>78</v>
      </c>
      <c r="AZ280" s="296">
        <f t="shared" si="1545"/>
        <v>3218.1583000000001</v>
      </c>
      <c r="BA280" s="296">
        <f t="shared" si="1545"/>
        <v>7473.266700000001</v>
      </c>
      <c r="BB280" s="296">
        <f t="shared" si="1545"/>
        <v>2730.65</v>
      </c>
      <c r="BC280" s="296">
        <f t="shared" si="1545"/>
        <v>5547.1696999999995</v>
      </c>
      <c r="BD280" s="296">
        <f t="shared" si="1545"/>
        <v>4297.8700000000008</v>
      </c>
      <c r="BE280" s="296">
        <f t="shared" si="1545"/>
        <v>3231.5</v>
      </c>
      <c r="BF280" s="296">
        <f t="shared" si="1545"/>
        <v>2150.8250000000003</v>
      </c>
      <c r="BG280" s="296">
        <f t="shared" si="1545"/>
        <v>8121.51</v>
      </c>
      <c r="BH280" s="296">
        <f t="shared" si="1545"/>
        <v>3125.855</v>
      </c>
      <c r="BI280" s="296">
        <f t="shared" si="1545"/>
        <v>13194.06</v>
      </c>
      <c r="BJ280" s="296">
        <f t="shared" si="1545"/>
        <v>9388.7999999999993</v>
      </c>
      <c r="BK280" s="296">
        <f t="shared" si="1545"/>
        <v>1431.5</v>
      </c>
      <c r="BL280" s="296">
        <f t="shared" si="1545"/>
        <v>4468.8099999999995</v>
      </c>
      <c r="BM280" s="296">
        <f t="shared" si="1545"/>
        <v>9907.0123000000003</v>
      </c>
      <c r="BN280" s="296">
        <f t="shared" si="1545"/>
        <v>3865.4522999999999</v>
      </c>
      <c r="BO280" s="296">
        <f t="shared" si="1545"/>
        <v>17009.978600000002</v>
      </c>
      <c r="BP280" s="296">
        <f t="shared" si="1545"/>
        <v>10245.982399999999</v>
      </c>
      <c r="BQ280" s="296">
        <f t="shared" si="1545"/>
        <v>4960.0023000000001</v>
      </c>
      <c r="BR280" s="296">
        <f t="shared" si="1545"/>
        <v>1910.6100000000001</v>
      </c>
      <c r="BS280" s="296">
        <f t="shared" si="1545"/>
        <v>8276.2835999999988</v>
      </c>
      <c r="BT280" s="296">
        <f t="shared" si="1545"/>
        <v>542</v>
      </c>
      <c r="BU280" s="296">
        <f t="shared" si="1545"/>
        <v>9147.32</v>
      </c>
      <c r="BV280" s="296">
        <f t="shared" si="1545"/>
        <v>15894.994600000002</v>
      </c>
      <c r="BW280" s="296">
        <f t="shared" si="1545"/>
        <v>4837.7464</v>
      </c>
      <c r="BX280" s="296">
        <f t="shared" si="1545"/>
        <v>6027.07</v>
      </c>
      <c r="BY280" s="296">
        <f t="shared" si="1545"/>
        <v>3222.9617000000003</v>
      </c>
      <c r="BZ280" s="296">
        <f t="shared" si="1545"/>
        <v>5357.2301000000007</v>
      </c>
      <c r="CA280" s="296">
        <f t="shared" si="1545"/>
        <v>790.24829230999967</v>
      </c>
      <c r="CB280" s="296">
        <f t="shared" si="1545"/>
        <v>12170.435599999999</v>
      </c>
      <c r="CC280" s="296">
        <f t="shared" si="1545"/>
        <v>654.34930000000031</v>
      </c>
      <c r="CD280" s="296">
        <f t="shared" si="1545"/>
        <v>14892.084900000002</v>
      </c>
      <c r="CE280" s="296">
        <f t="shared" ref="CE280:DJ280" si="1546">SUM(CE250,CE256,CE262,CE268)</f>
        <v>14170.149100000001</v>
      </c>
      <c r="CF280" s="296">
        <f t="shared" si="1546"/>
        <v>3174.3093978000002</v>
      </c>
      <c r="CG280" s="296">
        <f t="shared" si="1546"/>
        <v>7787.0649428600009</v>
      </c>
      <c r="CH280" s="296">
        <f t="shared" si="1546"/>
        <v>11509.349</v>
      </c>
      <c r="CI280" s="296">
        <f t="shared" si="1546"/>
        <v>23810.175450000002</v>
      </c>
      <c r="CJ280" s="296">
        <f t="shared" si="1546"/>
        <v>19004.170265256435</v>
      </c>
      <c r="CK280" s="296">
        <f t="shared" si="1546"/>
        <v>79586.998914420314</v>
      </c>
      <c r="CL280" s="296">
        <f t="shared" si="1546"/>
        <v>33547.816148893151</v>
      </c>
      <c r="CM280" s="296">
        <f t="shared" si="1546"/>
        <v>55718.165299316301</v>
      </c>
      <c r="CN280" s="296">
        <f t="shared" si="1546"/>
        <v>147188.70415193774</v>
      </c>
      <c r="CO280" s="296">
        <f t="shared" si="1546"/>
        <v>41991.443994622423</v>
      </c>
      <c r="CP280" s="296">
        <f t="shared" si="1546"/>
        <v>98001.626370171929</v>
      </c>
      <c r="CQ280" s="296">
        <f t="shared" si="1546"/>
        <v>139797.6889699391</v>
      </c>
      <c r="CR280" s="296">
        <f t="shared" si="1546"/>
        <v>34643.694563009725</v>
      </c>
      <c r="CS280" s="296">
        <f t="shared" si="1546"/>
        <v>138894.4815262937</v>
      </c>
      <c r="CT280" s="296">
        <f t="shared" si="1546"/>
        <v>174349.74974312057</v>
      </c>
      <c r="CU280" s="296">
        <f t="shared" si="1546"/>
        <v>68923.177960754067</v>
      </c>
      <c r="CV280" s="296">
        <f t="shared" si="1546"/>
        <v>153700.76663040128</v>
      </c>
      <c r="CW280" s="296">
        <f t="shared" si="1546"/>
        <v>305784.53218774596</v>
      </c>
      <c r="CX280" s="296">
        <f t="shared" si="1546"/>
        <v>120788.0643866359</v>
      </c>
      <c r="CY280" s="296">
        <f t="shared" si="1546"/>
        <v>241157.94220645697</v>
      </c>
      <c r="CZ280" s="296">
        <f t="shared" si="1546"/>
        <v>343350.98168380943</v>
      </c>
      <c r="DA280" s="296">
        <f t="shared" si="1546"/>
        <v>115804.71129638863</v>
      </c>
      <c r="DB280" s="296">
        <f t="shared" si="1546"/>
        <v>210237.90024192276</v>
      </c>
      <c r="DC280" s="296">
        <f t="shared" si="1546"/>
        <v>370157.06769644801</v>
      </c>
      <c r="DD280" s="296">
        <f t="shared" si="1546"/>
        <v>157261.27293532819</v>
      </c>
      <c r="DE280" s="296">
        <f t="shared" si="1546"/>
        <v>421569.56625075929</v>
      </c>
      <c r="DF280" s="296">
        <f t="shared" si="1546"/>
        <v>485757.76566669176</v>
      </c>
      <c r="DG280" s="296">
        <f t="shared" si="1546"/>
        <v>408773.09560490784</v>
      </c>
      <c r="DH280" s="296">
        <f t="shared" si="1546"/>
        <v>870028.64002410392</v>
      </c>
      <c r="DI280" s="296">
        <f t="shared" si="1546"/>
        <v>1700631.486118281</v>
      </c>
      <c r="DJ280" s="296">
        <f t="shared" si="1546"/>
        <v>729379.78100884368</v>
      </c>
      <c r="DK280" s="296">
        <f t="shared" ref="DK280:EP280" si="1547">SUM(DK250,DK256,DK262,DK268)</f>
        <v>1380916.9418739073</v>
      </c>
      <c r="DL280" s="296">
        <f t="shared" si="1547"/>
        <v>1940835.6471349888</v>
      </c>
      <c r="DM280" s="296">
        <f t="shared" si="1547"/>
        <v>636276.10080749192</v>
      </c>
      <c r="DN280" s="296">
        <f t="shared" si="1547"/>
        <v>1146819.0658349961</v>
      </c>
      <c r="DO280" s="296">
        <f t="shared" si="1547"/>
        <v>2018047.8752029464</v>
      </c>
      <c r="DP280" s="296">
        <f t="shared" si="1547"/>
        <v>765132.13261472713</v>
      </c>
      <c r="DQ280" s="296">
        <f t="shared" si="1547"/>
        <v>2207679.1524244142</v>
      </c>
      <c r="DR280" s="296">
        <f t="shared" si="1547"/>
        <v>2554877.7807866982</v>
      </c>
      <c r="DS280" s="296">
        <f t="shared" si="1547"/>
        <v>1064227.6146109728</v>
      </c>
      <c r="DT280" s="296">
        <f t="shared" si="1547"/>
        <v>2279057.4047805681</v>
      </c>
      <c r="DU280" s="296">
        <f t="shared" si="1547"/>
        <v>4456728.9873191202</v>
      </c>
      <c r="DV280" s="296">
        <f t="shared" si="1547"/>
        <v>1902516.3140823785</v>
      </c>
      <c r="DW280" s="296">
        <f t="shared" si="1547"/>
        <v>3629112.0883436664</v>
      </c>
      <c r="DX280" s="296">
        <f t="shared" si="1547"/>
        <v>5091475.8756024297</v>
      </c>
      <c r="DY280" s="296">
        <f t="shared" si="1547"/>
        <v>1656224.1713062336</v>
      </c>
      <c r="DZ280" s="296">
        <f t="shared" si="1547"/>
        <v>3011094.4920764347</v>
      </c>
      <c r="EA280" s="296">
        <f t="shared" si="1547"/>
        <v>5302081.4256524462</v>
      </c>
      <c r="EB280" s="296">
        <f t="shared" si="1547"/>
        <v>1997225.0922272282</v>
      </c>
      <c r="EC280" s="296">
        <f t="shared" si="1547"/>
        <v>5782328.8426438682</v>
      </c>
      <c r="ED280" s="296">
        <f t="shared" si="1547"/>
        <v>6703173.3645228622</v>
      </c>
      <c r="EE280" s="296">
        <f t="shared" si="1547"/>
        <v>1933601.4603281696</v>
      </c>
      <c r="EF280" s="296">
        <f t="shared" si="1547"/>
        <v>4177731.9406288164</v>
      </c>
      <c r="EG280" s="296">
        <f t="shared" si="1547"/>
        <v>8174579.046906394</v>
      </c>
      <c r="EH280" s="296">
        <f t="shared" si="1547"/>
        <v>3466203.3987153317</v>
      </c>
      <c r="EI280" s="296">
        <f t="shared" si="1547"/>
        <v>6683426.0134762991</v>
      </c>
      <c r="EJ280" s="296">
        <f t="shared" si="1547"/>
        <v>9352645.4397812933</v>
      </c>
      <c r="EK280" s="296">
        <f t="shared" si="1547"/>
        <v>3008410.3432809534</v>
      </c>
      <c r="EL280" s="296">
        <f t="shared" si="1547"/>
        <v>5537952.8026460074</v>
      </c>
      <c r="EM280" s="296">
        <f t="shared" si="1547"/>
        <v>9760623.0558060892</v>
      </c>
      <c r="EN280" s="296">
        <f t="shared" si="1547"/>
        <v>3642583.4715771778</v>
      </c>
      <c r="EO280" s="296">
        <f t="shared" si="1547"/>
        <v>10597647.202604845</v>
      </c>
      <c r="EP280" s="296">
        <f t="shared" si="1547"/>
        <v>12315450.084163802</v>
      </c>
      <c r="EQ280" s="296">
        <f t="shared" ref="EQ280:FB280" si="1548">SUM(EQ250,EQ256,EQ262,EQ268)</f>
        <v>1227883.6060028041</v>
      </c>
      <c r="ER280" s="296">
        <f t="shared" si="1548"/>
        <v>2797539.8036924084</v>
      </c>
      <c r="ES280" s="296">
        <f t="shared" si="1548"/>
        <v>5493236.2861687206</v>
      </c>
      <c r="ET280" s="296">
        <f t="shared" si="1548"/>
        <v>2238386.179445623</v>
      </c>
      <c r="EU280" s="296">
        <f t="shared" si="1548"/>
        <v>4595488.1301823789</v>
      </c>
      <c r="EV280" s="296">
        <f t="shared" si="1548"/>
        <v>6338473.9394799983</v>
      </c>
      <c r="EW280" s="296">
        <f t="shared" si="1548"/>
        <v>1907305.3673061787</v>
      </c>
      <c r="EX280" s="296">
        <f t="shared" si="1548"/>
        <v>3779558.7785045323</v>
      </c>
      <c r="EY280" s="296">
        <f t="shared" si="1548"/>
        <v>6696787.330399205</v>
      </c>
      <c r="EZ280" s="296">
        <f t="shared" si="1548"/>
        <v>2367252.4773736326</v>
      </c>
      <c r="FA280" s="296">
        <f t="shared" si="1548"/>
        <v>7089062.8157008002</v>
      </c>
      <c r="FB280" s="296">
        <f t="shared" si="1548"/>
        <v>8355113.1357624242</v>
      </c>
    </row>
    <row r="281" spans="1:158" x14ac:dyDescent="0.25">
      <c r="C281" s="2" t="s">
        <v>300</v>
      </c>
      <c r="D281" s="244">
        <f t="shared" ref="D281:L281" si="1549">SUM(D251,D257,D263,D269)</f>
        <v>125115.32940000002</v>
      </c>
      <c r="E281" s="244">
        <f t="shared" si="1549"/>
        <v>175319.8922</v>
      </c>
      <c r="F281" s="244">
        <f t="shared" si="1549"/>
        <v>169185.99746593999</v>
      </c>
      <c r="G281" s="244">
        <f t="shared" si="1549"/>
        <v>1190108.9611290174</v>
      </c>
      <c r="H281" s="244">
        <f t="shared" si="1549"/>
        <v>1689857.6404592968</v>
      </c>
      <c r="I281" s="244">
        <f t="shared" si="1549"/>
        <v>2728935.1542917937</v>
      </c>
      <c r="J281" s="244">
        <f t="shared" si="1549"/>
        <v>4304754.5532732708</v>
      </c>
      <c r="K281" s="244">
        <f t="shared" si="1549"/>
        <v>6633183.7237590291</v>
      </c>
      <c r="L281" s="244">
        <f t="shared" si="1549"/>
        <v>9986231.6706859749</v>
      </c>
      <c r="M281" s="244"/>
      <c r="N281" s="244">
        <f t="shared" ref="N281:AW281" si="1550">SUM(N251,N257,N263,N269)</f>
        <v>21538.850000000002</v>
      </c>
      <c r="O281" s="244">
        <f t="shared" si="1550"/>
        <v>25151.379399999998</v>
      </c>
      <c r="P281" s="244">
        <f t="shared" si="1550"/>
        <v>27007.67</v>
      </c>
      <c r="Q281" s="244">
        <f t="shared" si="1550"/>
        <v>51417.43</v>
      </c>
      <c r="R281" s="244">
        <f t="shared" si="1550"/>
        <v>31614.644600000003</v>
      </c>
      <c r="S281" s="244">
        <f t="shared" si="1550"/>
        <v>62242.826600000008</v>
      </c>
      <c r="T281" s="244">
        <f t="shared" si="1550"/>
        <v>30293.791799999999</v>
      </c>
      <c r="U281" s="244">
        <f t="shared" si="1550"/>
        <v>51168.629200000003</v>
      </c>
      <c r="V281" s="244">
        <f t="shared" si="1550"/>
        <v>28175.556199999999</v>
      </c>
      <c r="W281" s="244">
        <f t="shared" si="1550"/>
        <v>36635.827984620002</v>
      </c>
      <c r="X281" s="244">
        <f t="shared" si="1550"/>
        <v>59433.166600000004</v>
      </c>
      <c r="Y281" s="244">
        <f t="shared" si="1550"/>
        <v>44941.446681319998</v>
      </c>
      <c r="Z281" s="244">
        <f t="shared" si="1550"/>
        <v>145226.72139380363</v>
      </c>
      <c r="AA281" s="244">
        <f t="shared" si="1550"/>
        <v>286175.32366507588</v>
      </c>
      <c r="AB281" s="244">
        <f t="shared" si="1550"/>
        <v>338118.01375899819</v>
      </c>
      <c r="AC281" s="244">
        <f t="shared" si="1550"/>
        <v>420588.90231113957</v>
      </c>
      <c r="AD281" s="244">
        <f t="shared" si="1550"/>
        <v>296933.1732390555</v>
      </c>
      <c r="AE281" s="244">
        <f t="shared" si="1550"/>
        <v>398176.43301183498</v>
      </c>
      <c r="AF281" s="244">
        <f t="shared" si="1550"/>
        <v>393743.49045513582</v>
      </c>
      <c r="AG281" s="244">
        <f t="shared" si="1550"/>
        <v>601004.54375327006</v>
      </c>
      <c r="AH281" s="244">
        <f t="shared" si="1550"/>
        <v>494377.99149768025</v>
      </c>
      <c r="AI281" s="244">
        <f t="shared" si="1550"/>
        <v>677538.70672024216</v>
      </c>
      <c r="AJ281" s="244">
        <f t="shared" si="1550"/>
        <v>636289.19666692521</v>
      </c>
      <c r="AK281" s="244">
        <f t="shared" si="1550"/>
        <v>920729.25940694555</v>
      </c>
      <c r="AL281" s="244">
        <f t="shared" si="1550"/>
        <v>779294.05063703516</v>
      </c>
      <c r="AM281" s="244">
        <f t="shared" si="1550"/>
        <v>1069159.6573614564</v>
      </c>
      <c r="AN281" s="244">
        <f t="shared" si="1550"/>
        <v>1004187.2952364816</v>
      </c>
      <c r="AO281" s="244">
        <f t="shared" si="1550"/>
        <v>1452113.5500382963</v>
      </c>
      <c r="AP281" s="244">
        <f t="shared" si="1550"/>
        <v>1200157.5996821222</v>
      </c>
      <c r="AQ281" s="244">
        <f t="shared" si="1550"/>
        <v>1647904.4381508194</v>
      </c>
      <c r="AR281" s="244">
        <f t="shared" si="1550"/>
        <v>1547901.2511736415</v>
      </c>
      <c r="AS281" s="244">
        <f t="shared" si="1550"/>
        <v>2237220.4347524471</v>
      </c>
      <c r="AT281" s="244">
        <f t="shared" si="1550"/>
        <v>1806017.6650506253</v>
      </c>
      <c r="AU281" s="244">
        <f t="shared" si="1550"/>
        <v>2481460.7959102294</v>
      </c>
      <c r="AV281" s="244">
        <f t="shared" si="1550"/>
        <v>2331046.5350844241</v>
      </c>
      <c r="AW281" s="244">
        <f t="shared" si="1550"/>
        <v>3367706.6746406951</v>
      </c>
      <c r="AY281" s="296">
        <f t="shared" ref="AY281:CD281" si="1551">SUM(AY251,AY257,AY263,AY269)</f>
        <v>156</v>
      </c>
      <c r="AZ281" s="296">
        <f t="shared" si="1551"/>
        <v>6436.3166000000001</v>
      </c>
      <c r="BA281" s="296">
        <f t="shared" si="1551"/>
        <v>14946.533400000002</v>
      </c>
      <c r="BB281" s="296">
        <f t="shared" si="1551"/>
        <v>5461.3</v>
      </c>
      <c r="BC281" s="296">
        <f t="shared" si="1551"/>
        <v>11094.339399999999</v>
      </c>
      <c r="BD281" s="296">
        <f t="shared" si="1551"/>
        <v>8595.7400000000016</v>
      </c>
      <c r="BE281" s="296">
        <f t="shared" si="1551"/>
        <v>6463</v>
      </c>
      <c r="BF281" s="296">
        <f t="shared" si="1551"/>
        <v>4301.6500000000005</v>
      </c>
      <c r="BG281" s="296">
        <f t="shared" si="1551"/>
        <v>16243.02</v>
      </c>
      <c r="BH281" s="296">
        <f t="shared" si="1551"/>
        <v>6251.71</v>
      </c>
      <c r="BI281" s="296">
        <f t="shared" si="1551"/>
        <v>26388.12</v>
      </c>
      <c r="BJ281" s="296">
        <f t="shared" si="1551"/>
        <v>18777.599999999999</v>
      </c>
      <c r="BK281" s="296">
        <f t="shared" si="1551"/>
        <v>2863</v>
      </c>
      <c r="BL281" s="296">
        <f t="shared" si="1551"/>
        <v>8937.619999999999</v>
      </c>
      <c r="BM281" s="296">
        <f t="shared" si="1551"/>
        <v>19814.024600000001</v>
      </c>
      <c r="BN281" s="296">
        <f t="shared" si="1551"/>
        <v>7730.9045999999998</v>
      </c>
      <c r="BO281" s="296">
        <f t="shared" si="1551"/>
        <v>34019.957200000004</v>
      </c>
      <c r="BP281" s="296">
        <f t="shared" si="1551"/>
        <v>20491.964799999998</v>
      </c>
      <c r="BQ281" s="296">
        <f t="shared" si="1551"/>
        <v>9920.0046000000002</v>
      </c>
      <c r="BR281" s="296">
        <f t="shared" si="1551"/>
        <v>3821.2200000000003</v>
      </c>
      <c r="BS281" s="296">
        <f t="shared" si="1551"/>
        <v>16552.567199999998</v>
      </c>
      <c r="BT281" s="296">
        <f t="shared" si="1551"/>
        <v>1084</v>
      </c>
      <c r="BU281" s="296">
        <f t="shared" si="1551"/>
        <v>18294.64</v>
      </c>
      <c r="BV281" s="296">
        <f t="shared" si="1551"/>
        <v>31789.989200000004</v>
      </c>
      <c r="BW281" s="296">
        <f t="shared" si="1551"/>
        <v>9675.4928</v>
      </c>
      <c r="BX281" s="296">
        <f t="shared" si="1551"/>
        <v>12054.14</v>
      </c>
      <c r="BY281" s="296">
        <f t="shared" si="1551"/>
        <v>6445.9234000000006</v>
      </c>
      <c r="BZ281" s="296">
        <f t="shared" si="1551"/>
        <v>10714.460200000001</v>
      </c>
      <c r="CA281" s="296">
        <f t="shared" si="1551"/>
        <v>1580.4965846199993</v>
      </c>
      <c r="CB281" s="296">
        <f t="shared" si="1551"/>
        <v>24340.871199999998</v>
      </c>
      <c r="CC281" s="296">
        <f t="shared" si="1551"/>
        <v>1308.6986000000006</v>
      </c>
      <c r="CD281" s="296">
        <f t="shared" si="1551"/>
        <v>29784.169800000003</v>
      </c>
      <c r="CE281" s="296">
        <f t="shared" ref="CE281:DJ281" si="1552">SUM(CE251,CE257,CE263,CE269)</f>
        <v>28340.298200000001</v>
      </c>
      <c r="CF281" s="296">
        <f t="shared" si="1552"/>
        <v>6348.6187956000003</v>
      </c>
      <c r="CG281" s="296">
        <f t="shared" si="1552"/>
        <v>15574.129885720002</v>
      </c>
      <c r="CH281" s="296">
        <f t="shared" si="1552"/>
        <v>23018.698</v>
      </c>
      <c r="CI281" s="296">
        <f t="shared" si="1552"/>
        <v>28948.610553084716</v>
      </c>
      <c r="CJ281" s="296">
        <f t="shared" si="1552"/>
        <v>20811.109200659863</v>
      </c>
      <c r="CK281" s="296">
        <f t="shared" si="1552"/>
        <v>95467.001640059054</v>
      </c>
      <c r="CL281" s="296">
        <f t="shared" si="1552"/>
        <v>40692.832801443998</v>
      </c>
      <c r="CM281" s="296">
        <f t="shared" si="1552"/>
        <v>67264.244180224268</v>
      </c>
      <c r="CN281" s="296">
        <f t="shared" si="1552"/>
        <v>178218.2466834076</v>
      </c>
      <c r="CO281" s="296">
        <f t="shared" si="1552"/>
        <v>50763.362252674546</v>
      </c>
      <c r="CP281" s="296">
        <f t="shared" si="1552"/>
        <v>118491.02602167981</v>
      </c>
      <c r="CQ281" s="296">
        <f t="shared" si="1552"/>
        <v>168863.62548464385</v>
      </c>
      <c r="CR281" s="296">
        <f t="shared" si="1552"/>
        <v>41768.694190648595</v>
      </c>
      <c r="CS281" s="296">
        <f t="shared" si="1552"/>
        <v>167714.18331110402</v>
      </c>
      <c r="CT281" s="296">
        <f t="shared" si="1552"/>
        <v>211106.02480938693</v>
      </c>
      <c r="CU281" s="296">
        <f t="shared" si="1552"/>
        <v>37970.026807299859</v>
      </c>
      <c r="CV281" s="296">
        <f t="shared" si="1552"/>
        <v>86521.790222680764</v>
      </c>
      <c r="CW281" s="296">
        <f t="shared" si="1552"/>
        <v>172441.35620907487</v>
      </c>
      <c r="CX281" s="296">
        <f t="shared" si="1552"/>
        <v>66907.716741581928</v>
      </c>
      <c r="CY281" s="296">
        <f t="shared" si="1552"/>
        <v>137102.80482537526</v>
      </c>
      <c r="CZ281" s="296">
        <f t="shared" si="1552"/>
        <v>194165.91144487777</v>
      </c>
      <c r="DA281" s="296">
        <f t="shared" si="1552"/>
        <v>63998.364530689934</v>
      </c>
      <c r="DB281" s="296">
        <f t="shared" si="1552"/>
        <v>119294.20468331313</v>
      </c>
      <c r="DC281" s="296">
        <f t="shared" si="1552"/>
        <v>210450.92124113275</v>
      </c>
      <c r="DD281" s="296">
        <f t="shared" si="1552"/>
        <v>88039.160579732139</v>
      </c>
      <c r="DE281" s="296">
        <f t="shared" si="1552"/>
        <v>237721.98964185466</v>
      </c>
      <c r="DF281" s="296">
        <f t="shared" si="1552"/>
        <v>275243.39353168319</v>
      </c>
      <c r="DG281" s="296">
        <f t="shared" si="1552"/>
        <v>66016.389915103398</v>
      </c>
      <c r="DH281" s="296">
        <f t="shared" si="1552"/>
        <v>144781.32063986186</v>
      </c>
      <c r="DI281" s="296">
        <f t="shared" si="1552"/>
        <v>283580.28094271512</v>
      </c>
      <c r="DJ281" s="296">
        <f t="shared" si="1552"/>
        <v>118895.23223123947</v>
      </c>
      <c r="DK281" s="296">
        <f t="shared" ref="DK281:EP281" si="1553">SUM(DK251,DK257,DK263,DK269)</f>
        <v>233399.84583383574</v>
      </c>
      <c r="DL281" s="296">
        <f t="shared" si="1553"/>
        <v>325243.62865516712</v>
      </c>
      <c r="DM281" s="296">
        <f t="shared" si="1553"/>
        <v>102666.02221638891</v>
      </c>
      <c r="DN281" s="296">
        <f t="shared" si="1553"/>
        <v>192977.12871900506</v>
      </c>
      <c r="DO281" s="296">
        <f t="shared" si="1553"/>
        <v>340646.04573153122</v>
      </c>
      <c r="DP281" s="296">
        <f t="shared" si="1553"/>
        <v>125167.47306463202</v>
      </c>
      <c r="DQ281" s="296">
        <f t="shared" si="1553"/>
        <v>367155.93743960117</v>
      </c>
      <c r="DR281" s="296">
        <f t="shared" si="1553"/>
        <v>428405.84890271234</v>
      </c>
      <c r="DS281" s="296">
        <f t="shared" si="1553"/>
        <v>103672.8324408505</v>
      </c>
      <c r="DT281" s="296">
        <f t="shared" si="1553"/>
        <v>228310.31033207275</v>
      </c>
      <c r="DU281" s="296">
        <f t="shared" si="1553"/>
        <v>447310.90786411206</v>
      </c>
      <c r="DV281" s="296">
        <f t="shared" si="1553"/>
        <v>186957.67775780824</v>
      </c>
      <c r="DW281" s="296">
        <f t="shared" si="1553"/>
        <v>368828.13983672205</v>
      </c>
      <c r="DX281" s="296">
        <f t="shared" si="1553"/>
        <v>513373.83976692636</v>
      </c>
      <c r="DY281" s="296">
        <f t="shared" si="1553"/>
        <v>161207.5038547274</v>
      </c>
      <c r="DZ281" s="296">
        <f t="shared" si="1553"/>
        <v>304769.74209133169</v>
      </c>
      <c r="EA281" s="296">
        <f t="shared" si="1553"/>
        <v>538210.04929042258</v>
      </c>
      <c r="EB281" s="296">
        <f t="shared" si="1553"/>
        <v>196917.78278529528</v>
      </c>
      <c r="EC281" s="296">
        <f t="shared" si="1553"/>
        <v>578932.02898412</v>
      </c>
      <c r="ED281" s="296">
        <f t="shared" si="1553"/>
        <v>676263.7382688811</v>
      </c>
      <c r="EE281" s="296">
        <f t="shared" si="1553"/>
        <v>159207.9742675263</v>
      </c>
      <c r="EF281" s="296">
        <f t="shared" si="1553"/>
        <v>351715.60913218767</v>
      </c>
      <c r="EG281" s="296">
        <f t="shared" si="1553"/>
        <v>689234.01628240815</v>
      </c>
      <c r="EH281" s="296">
        <f t="shared" si="1553"/>
        <v>287391.31923689338</v>
      </c>
      <c r="EI281" s="296">
        <f t="shared" si="1553"/>
        <v>569085.55341971968</v>
      </c>
      <c r="EJ281" s="296">
        <f t="shared" si="1553"/>
        <v>791427.56549420673</v>
      </c>
      <c r="EK281" s="296">
        <f t="shared" si="1553"/>
        <v>247538.89318940119</v>
      </c>
      <c r="EL281" s="296">
        <f t="shared" si="1553"/>
        <v>470036.11703414703</v>
      </c>
      <c r="EM281" s="296">
        <f t="shared" si="1553"/>
        <v>830326.24095009337</v>
      </c>
      <c r="EN281" s="296">
        <f t="shared" si="1553"/>
        <v>302815.65613494249</v>
      </c>
      <c r="EO281" s="296">
        <f t="shared" si="1553"/>
        <v>891797.98771681753</v>
      </c>
      <c r="EP281" s="296">
        <f t="shared" si="1553"/>
        <v>1042606.790900687</v>
      </c>
      <c r="EQ281" s="296">
        <f t="shared" ref="EQ281:FB281" si="1554">SUM(EQ251,EQ257,EQ263,EQ269)</f>
        <v>239013.03831218503</v>
      </c>
      <c r="ER281" s="296">
        <f t="shared" si="1554"/>
        <v>529398.00767247181</v>
      </c>
      <c r="ES281" s="296">
        <f t="shared" si="1554"/>
        <v>1037606.6190659683</v>
      </c>
      <c r="ET281" s="296">
        <f t="shared" si="1554"/>
        <v>431805.72440785251</v>
      </c>
      <c r="EU281" s="296">
        <f t="shared" si="1554"/>
        <v>857701.63473659568</v>
      </c>
      <c r="EV281" s="296">
        <f t="shared" si="1554"/>
        <v>1191953.4367657811</v>
      </c>
      <c r="EW281" s="296">
        <f t="shared" si="1554"/>
        <v>371591.30485052313</v>
      </c>
      <c r="EX281" s="296">
        <f t="shared" si="1554"/>
        <v>708157.17008451547</v>
      </c>
      <c r="EY281" s="296">
        <f t="shared" si="1554"/>
        <v>1251298.0601493858</v>
      </c>
      <c r="EZ281" s="296">
        <f t="shared" si="1554"/>
        <v>455122.6894906605</v>
      </c>
      <c r="FA281" s="296">
        <f t="shared" si="1554"/>
        <v>1342253.7672652379</v>
      </c>
      <c r="FB281" s="296">
        <f t="shared" si="1554"/>
        <v>1570330.2178847971</v>
      </c>
    </row>
    <row r="283" spans="1:158" x14ac:dyDescent="0.25">
      <c r="A283" s="329">
        <v>43132</v>
      </c>
      <c r="C283" s="304" t="s">
        <v>344</v>
      </c>
      <c r="D283" s="22">
        <f t="shared" ref="D283:D287" si="1555">BJ283</f>
        <v>10634385.025499994</v>
      </c>
      <c r="E283" s="22">
        <f t="shared" ref="E283:E287" si="1556">BV283</f>
        <v>19400379.635499995</v>
      </c>
      <c r="F283" s="22">
        <f t="shared" ref="F283:F287" si="1557">CH283</f>
        <v>27859679.508796997</v>
      </c>
      <c r="G283" s="22">
        <f t="shared" ref="G283:G287" si="1558">CT283</f>
        <v>48867258.79867994</v>
      </c>
      <c r="H283" s="22">
        <f t="shared" ref="H283:H287" si="1559">DF283</f>
        <v>80671616.824956074</v>
      </c>
      <c r="I283" s="22">
        <f t="shared" ref="I283:I287" si="1560">DR283</f>
        <v>132470186.48588201</v>
      </c>
      <c r="J283" s="22">
        <f t="shared" ref="J283:J287" si="1561">ED283</f>
        <v>214565374.41109663</v>
      </c>
      <c r="K283" s="22">
        <f t="shared" ref="K283:K287" si="1562">EP283</f>
        <v>341404983.56683886</v>
      </c>
      <c r="L283" s="22">
        <f t="shared" ref="L283:L287" si="1563">FB283</f>
        <v>532660040.98602217</v>
      </c>
      <c r="M283" s="22"/>
      <c r="N283" s="22">
        <f t="shared" ref="N283:AW283" si="1564">SUM(N271,N277)</f>
        <v>5455561.0554999942</v>
      </c>
      <c r="O283" s="22">
        <f t="shared" si="1564"/>
        <v>6713130.0254999939</v>
      </c>
      <c r="P283" s="22">
        <f t="shared" si="1564"/>
        <v>8063513.5254999939</v>
      </c>
      <c r="Q283" s="22">
        <f t="shared" si="1564"/>
        <v>10634385.025499994</v>
      </c>
      <c r="R283" s="22">
        <f t="shared" si="1564"/>
        <v>12215117.255499994</v>
      </c>
      <c r="S283" s="22">
        <f t="shared" si="1564"/>
        <v>15327258.585499994</v>
      </c>
      <c r="T283" s="22">
        <f t="shared" si="1564"/>
        <v>16841948.175499994</v>
      </c>
      <c r="U283" s="22">
        <f t="shared" si="1564"/>
        <v>19400379.635499995</v>
      </c>
      <c r="V283" s="22">
        <f t="shared" si="1564"/>
        <v>20809157.445499994</v>
      </c>
      <c r="W283" s="22">
        <f t="shared" si="1564"/>
        <v>22640948.844730996</v>
      </c>
      <c r="X283" s="22">
        <f t="shared" si="1564"/>
        <v>25612607.174731001</v>
      </c>
      <c r="Y283" s="22">
        <f t="shared" si="1564"/>
        <v>27859679.508796997</v>
      </c>
      <c r="Z283" s="22">
        <f t="shared" si="1564"/>
        <v>30227422.028796997</v>
      </c>
      <c r="AA283" s="22">
        <f t="shared" si="1564"/>
        <v>35353585.544091001</v>
      </c>
      <c r="AB283" s="22">
        <f t="shared" si="1564"/>
        <v>41369597.187665597</v>
      </c>
      <c r="AC283" s="22">
        <f t="shared" si="1564"/>
        <v>48867258.79867994</v>
      </c>
      <c r="AD283" s="22">
        <f t="shared" si="1564"/>
        <v>54436452.312811241</v>
      </c>
      <c r="AE283" s="22">
        <f t="shared" si="1564"/>
        <v>61932909.33835005</v>
      </c>
      <c r="AF283" s="22">
        <f t="shared" si="1564"/>
        <v>69356681.172703296</v>
      </c>
      <c r="AG283" s="22">
        <f t="shared" si="1564"/>
        <v>80671616.824956074</v>
      </c>
      <c r="AH283" s="22">
        <f t="shared" si="1564"/>
        <v>90040772.117722213</v>
      </c>
      <c r="AI283" s="22">
        <f t="shared" si="1564"/>
        <v>102911203.02613696</v>
      </c>
      <c r="AJ283" s="22">
        <f t="shared" si="1564"/>
        <v>115001204.18950936</v>
      </c>
      <c r="AK283" s="22">
        <f t="shared" si="1564"/>
        <v>132470186.48588201</v>
      </c>
      <c r="AL283" s="22">
        <f t="shared" si="1564"/>
        <v>147318103.40805256</v>
      </c>
      <c r="AM283" s="22">
        <f t="shared" si="1564"/>
        <v>167717158.67354912</v>
      </c>
      <c r="AN283" s="22">
        <f t="shared" si="1564"/>
        <v>186879521.21872061</v>
      </c>
      <c r="AO283" s="22">
        <f t="shared" si="1564"/>
        <v>214565374.41109663</v>
      </c>
      <c r="AP283" s="22">
        <f t="shared" si="1564"/>
        <v>237501751.65873486</v>
      </c>
      <c r="AQ283" s="22">
        <f t="shared" si="1564"/>
        <v>269021687.39409924</v>
      </c>
      <c r="AR283" s="22">
        <f t="shared" si="1564"/>
        <v>298631602.19431114</v>
      </c>
      <c r="AS283" s="22">
        <f t="shared" si="1564"/>
        <v>341404983.56683892</v>
      </c>
      <c r="AT283" s="22">
        <f t="shared" si="1564"/>
        <v>375981388.20837885</v>
      </c>
      <c r="AU283" s="22">
        <f t="shared" si="1564"/>
        <v>423514220.82793117</v>
      </c>
      <c r="AV283" s="22">
        <f t="shared" si="1564"/>
        <v>468168439.94703627</v>
      </c>
      <c r="AW283" s="22">
        <f t="shared" si="1564"/>
        <v>532660040.98602211</v>
      </c>
      <c r="AY283" s="49">
        <f>SUM(AY284:AY287)</f>
        <v>4386418.5554999942</v>
      </c>
      <c r="AZ283" s="49">
        <f t="shared" ref="AZ283:CE283" si="1565">AZ271+AZ277</f>
        <v>4708234.3854999943</v>
      </c>
      <c r="BA283" s="49">
        <f t="shared" si="1565"/>
        <v>5455561.0554999942</v>
      </c>
      <c r="BB283" s="49">
        <f t="shared" si="1565"/>
        <v>5728626.0554999942</v>
      </c>
      <c r="BC283" s="49">
        <f t="shared" si="1565"/>
        <v>6283343.0254999939</v>
      </c>
      <c r="BD283" s="49">
        <f t="shared" si="1565"/>
        <v>6713130.0254999939</v>
      </c>
      <c r="BE283" s="49">
        <f t="shared" si="1565"/>
        <v>7036280.0254999939</v>
      </c>
      <c r="BF283" s="49">
        <f t="shared" si="1565"/>
        <v>7251362.5254999939</v>
      </c>
      <c r="BG283" s="49">
        <f t="shared" si="1565"/>
        <v>8063513.5254999939</v>
      </c>
      <c r="BH283" s="49">
        <f t="shared" si="1565"/>
        <v>8376099.0254999939</v>
      </c>
      <c r="BI283" s="49">
        <f t="shared" si="1565"/>
        <v>9695505.0254999939</v>
      </c>
      <c r="BJ283" s="49">
        <f t="shared" si="1565"/>
        <v>10634385.025499994</v>
      </c>
      <c r="BK283" s="49">
        <f t="shared" si="1565"/>
        <v>10777535.025499994</v>
      </c>
      <c r="BL283" s="49">
        <f t="shared" si="1565"/>
        <v>11224416.025499994</v>
      </c>
      <c r="BM283" s="49">
        <f t="shared" si="1565"/>
        <v>12215117.255499994</v>
      </c>
      <c r="BN283" s="49">
        <f t="shared" si="1565"/>
        <v>12601662.485499995</v>
      </c>
      <c r="BO283" s="49">
        <f t="shared" si="1565"/>
        <v>14302660.345499994</v>
      </c>
      <c r="BP283" s="49">
        <f t="shared" si="1565"/>
        <v>15327258.585499994</v>
      </c>
      <c r="BQ283" s="49">
        <f t="shared" si="1565"/>
        <v>15823258.815499995</v>
      </c>
      <c r="BR283" s="49">
        <f t="shared" si="1565"/>
        <v>16014319.815499995</v>
      </c>
      <c r="BS283" s="49">
        <f t="shared" si="1565"/>
        <v>16841948.175499994</v>
      </c>
      <c r="BT283" s="49">
        <f t="shared" si="1565"/>
        <v>16896148.175499994</v>
      </c>
      <c r="BU283" s="49">
        <f t="shared" si="1565"/>
        <v>17810880.175499994</v>
      </c>
      <c r="BV283" s="49">
        <f t="shared" si="1565"/>
        <v>19400379.635499995</v>
      </c>
      <c r="BW283" s="49">
        <f t="shared" si="1565"/>
        <v>19884154.275499996</v>
      </c>
      <c r="BX283" s="49">
        <f t="shared" si="1565"/>
        <v>20486861.275499996</v>
      </c>
      <c r="BY283" s="49">
        <f t="shared" si="1565"/>
        <v>20809157.445499998</v>
      </c>
      <c r="BZ283" s="49">
        <f t="shared" si="1565"/>
        <v>21344880.455499999</v>
      </c>
      <c r="CA283" s="49">
        <f t="shared" si="1565"/>
        <v>21423905.284731001</v>
      </c>
      <c r="CB283" s="49">
        <f t="shared" si="1565"/>
        <v>22640948.844730999</v>
      </c>
      <c r="CC283" s="49">
        <f t="shared" si="1565"/>
        <v>22706383.774730999</v>
      </c>
      <c r="CD283" s="49">
        <f t="shared" si="1565"/>
        <v>24195592.264730997</v>
      </c>
      <c r="CE283" s="49">
        <f t="shared" si="1565"/>
        <v>25612607.174730998</v>
      </c>
      <c r="CF283" s="49">
        <f t="shared" ref="CF283:DK283" si="1566">CF271+CF277</f>
        <v>25930038.114510998</v>
      </c>
      <c r="CG283" s="49">
        <f t="shared" si="1566"/>
        <v>26708744.608796999</v>
      </c>
      <c r="CH283" s="49">
        <f t="shared" si="1566"/>
        <v>27859679.508796997</v>
      </c>
      <c r="CI283" s="49">
        <f t="shared" si="1566"/>
        <v>28388794.518796999</v>
      </c>
      <c r="CJ283" s="49">
        <f t="shared" si="1566"/>
        <v>28585958.438797001</v>
      </c>
      <c r="CK283" s="49">
        <f t="shared" si="1566"/>
        <v>30227422.028797001</v>
      </c>
      <c r="CL283" s="49">
        <f t="shared" si="1566"/>
        <v>30963617.818797</v>
      </c>
      <c r="CM283" s="49">
        <f t="shared" si="1566"/>
        <v>32154855.124090999</v>
      </c>
      <c r="CN283" s="49">
        <f t="shared" si="1566"/>
        <v>35353585.544091001</v>
      </c>
      <c r="CO283" s="49">
        <f t="shared" si="1566"/>
        <v>36258251.536992662</v>
      </c>
      <c r="CP283" s="49">
        <f t="shared" si="1566"/>
        <v>38371280.147825293</v>
      </c>
      <c r="CQ283" s="49">
        <f t="shared" si="1566"/>
        <v>41369597.187665597</v>
      </c>
      <c r="CR283" s="49">
        <f t="shared" si="1566"/>
        <v>42104972.796585575</v>
      </c>
      <c r="CS283" s="49">
        <f t="shared" si="1566"/>
        <v>45078182.809277005</v>
      </c>
      <c r="CT283" s="49">
        <f t="shared" si="1566"/>
        <v>48867258.79867994</v>
      </c>
      <c r="CU283" s="49">
        <f t="shared" si="1566"/>
        <v>49567702.77611237</v>
      </c>
      <c r="CV283" s="49">
        <f t="shared" si="1566"/>
        <v>51192811.575355031</v>
      </c>
      <c r="CW283" s="49">
        <f t="shared" si="1566"/>
        <v>54436452.312811233</v>
      </c>
      <c r="CX283" s="49">
        <f t="shared" si="1566"/>
        <v>55676452.989056587</v>
      </c>
      <c r="CY283" s="49">
        <f t="shared" si="1566"/>
        <v>58272347.079734035</v>
      </c>
      <c r="CZ283" s="49">
        <f t="shared" si="1566"/>
        <v>61932909.33835005</v>
      </c>
      <c r="DA283" s="49">
        <f t="shared" si="1566"/>
        <v>63116664.503480598</v>
      </c>
      <c r="DB283" s="49">
        <f t="shared" si="1566"/>
        <v>65371871.812051624</v>
      </c>
      <c r="DC283" s="49">
        <f t="shared" si="1566"/>
        <v>69356681.172703311</v>
      </c>
      <c r="DD283" s="49">
        <f t="shared" si="1566"/>
        <v>71002805.92446357</v>
      </c>
      <c r="DE283" s="49">
        <f t="shared" si="1566"/>
        <v>75474165.725126222</v>
      </c>
      <c r="DF283" s="49">
        <f t="shared" si="1566"/>
        <v>80671616.824956074</v>
      </c>
      <c r="DG283" s="49">
        <f t="shared" si="1566"/>
        <v>81912488.897828221</v>
      </c>
      <c r="DH283" s="49">
        <f t="shared" si="1566"/>
        <v>84658654.51396741</v>
      </c>
      <c r="DI283" s="49">
        <f t="shared" si="1566"/>
        <v>90040772.117722213</v>
      </c>
      <c r="DJ283" s="49">
        <f t="shared" si="1566"/>
        <v>92281967.792495266</v>
      </c>
      <c r="DK283" s="49">
        <f t="shared" si="1566"/>
        <v>96729305.021328613</v>
      </c>
      <c r="DL283" s="49">
        <f t="shared" ref="DL283:EQ283" si="1567">DL271+DL277</f>
        <v>102911203.02613696</v>
      </c>
      <c r="DM283" s="49">
        <f t="shared" si="1567"/>
        <v>104840424.16251537</v>
      </c>
      <c r="DN283" s="49">
        <f t="shared" si="1567"/>
        <v>108512777.11919399</v>
      </c>
      <c r="DO283" s="49">
        <f t="shared" si="1567"/>
        <v>115001204.18950936</v>
      </c>
      <c r="DP283" s="49">
        <f t="shared" si="1567"/>
        <v>117363187.075215</v>
      </c>
      <c r="DQ283" s="49">
        <f t="shared" si="1567"/>
        <v>124326023.88300881</v>
      </c>
      <c r="DR283" s="49">
        <f t="shared" si="1567"/>
        <v>132470186.48588201</v>
      </c>
      <c r="DS283" s="49">
        <f t="shared" si="1567"/>
        <v>134435850.60520691</v>
      </c>
      <c r="DT283" s="49">
        <f t="shared" si="1567"/>
        <v>138788070.59329683</v>
      </c>
      <c r="DU283" s="49">
        <f t="shared" si="1567"/>
        <v>147318103.40805256</v>
      </c>
      <c r="DV283" s="49">
        <f t="shared" si="1567"/>
        <v>150868900.21067008</v>
      </c>
      <c r="DW283" s="49">
        <f t="shared" si="1567"/>
        <v>157918836.09348318</v>
      </c>
      <c r="DX283" s="49">
        <f t="shared" si="1567"/>
        <v>167717158.67354912</v>
      </c>
      <c r="DY283" s="49">
        <f t="shared" si="1567"/>
        <v>170773192.34199962</v>
      </c>
      <c r="DZ283" s="49">
        <f t="shared" si="1567"/>
        <v>176594238.4058587</v>
      </c>
      <c r="EA283" s="49">
        <f t="shared" si="1567"/>
        <v>186879521.21872064</v>
      </c>
      <c r="EB283" s="49">
        <f t="shared" si="1567"/>
        <v>190621892.71431118</v>
      </c>
      <c r="EC283" s="49">
        <f t="shared" si="1567"/>
        <v>201656739.96072328</v>
      </c>
      <c r="ED283" s="49">
        <f t="shared" si="1567"/>
        <v>214565374.41109663</v>
      </c>
      <c r="EE283" s="49">
        <f t="shared" si="1567"/>
        <v>217598983.32542029</v>
      </c>
      <c r="EF283" s="49">
        <f t="shared" si="1567"/>
        <v>224322750.48843056</v>
      </c>
      <c r="EG283" s="49">
        <f t="shared" si="1567"/>
        <v>237501751.65873489</v>
      </c>
      <c r="EH283" s="49">
        <f t="shared" si="1567"/>
        <v>242983496.28257468</v>
      </c>
      <c r="EI283" s="49">
        <f t="shared" si="1567"/>
        <v>253880640.53433946</v>
      </c>
      <c r="EJ283" s="49">
        <f t="shared" si="1567"/>
        <v>269021687.39409924</v>
      </c>
      <c r="EK283" s="49">
        <f t="shared" si="1567"/>
        <v>273737913.14982718</v>
      </c>
      <c r="EL283" s="49">
        <f t="shared" si="1567"/>
        <v>282734233.78300941</v>
      </c>
      <c r="EM283" s="49">
        <f t="shared" si="1567"/>
        <v>298631602.19431108</v>
      </c>
      <c r="EN283" s="49">
        <f t="shared" si="1567"/>
        <v>304409818.83312607</v>
      </c>
      <c r="EO283" s="49">
        <f t="shared" si="1567"/>
        <v>321457259.93029153</v>
      </c>
      <c r="EP283" s="49">
        <f t="shared" si="1567"/>
        <v>341404983.56683886</v>
      </c>
      <c r="EQ283" s="49">
        <f t="shared" si="1567"/>
        <v>345972424.78218186</v>
      </c>
      <c r="ER283" s="49">
        <f t="shared" ref="ER283:FB283" si="1568">ER271+ER277</f>
        <v>356109762.86138386</v>
      </c>
      <c r="ES283" s="49">
        <f t="shared" si="1568"/>
        <v>375981388.20837885</v>
      </c>
      <c r="ET283" s="49">
        <f t="shared" si="1568"/>
        <v>384238369.02874315</v>
      </c>
      <c r="EU283" s="49">
        <f t="shared" si="1568"/>
        <v>400679143.82417744</v>
      </c>
      <c r="EV283" s="49">
        <f t="shared" si="1568"/>
        <v>423514220.82793117</v>
      </c>
      <c r="EW283" s="49">
        <f t="shared" si="1568"/>
        <v>430614732.15592664</v>
      </c>
      <c r="EX283" s="49">
        <f t="shared" si="1568"/>
        <v>444185062.66346204</v>
      </c>
      <c r="EY283" s="49">
        <f t="shared" si="1568"/>
        <v>468168439.94703621</v>
      </c>
      <c r="EZ283" s="49">
        <f t="shared" si="1568"/>
        <v>476873419.32245392</v>
      </c>
      <c r="FA283" s="49">
        <f t="shared" si="1568"/>
        <v>502574928.24909455</v>
      </c>
      <c r="FB283" s="49">
        <f t="shared" si="1568"/>
        <v>532660040.98602217</v>
      </c>
    </row>
    <row r="284" spans="1:158" x14ac:dyDescent="0.25">
      <c r="A284" s="334">
        <v>0.9</v>
      </c>
      <c r="C284" s="2" t="s">
        <v>346</v>
      </c>
      <c r="D284" s="244">
        <f t="shared" si="1555"/>
        <v>10091122.567499995</v>
      </c>
      <c r="E284" s="244">
        <f t="shared" si="1556"/>
        <v>18418817.446999993</v>
      </c>
      <c r="F284" s="244">
        <f t="shared" si="1557"/>
        <v>26455152.326632135</v>
      </c>
      <c r="G284" s="244">
        <f t="shared" si="1558"/>
        <v>44644258.540512756</v>
      </c>
      <c r="H284" s="244">
        <f t="shared" si="1559"/>
        <v>70291067.051125452</v>
      </c>
      <c r="I284" s="244">
        <f t="shared" si="1560"/>
        <v>96221934.655131578</v>
      </c>
      <c r="J284" s="244">
        <f t="shared" si="1561"/>
        <v>120590638.33686255</v>
      </c>
      <c r="K284" s="244">
        <f t="shared" si="1562"/>
        <v>146025082.76563731</v>
      </c>
      <c r="L284" s="244">
        <f t="shared" si="1563"/>
        <v>245145897.00594568</v>
      </c>
      <c r="M284" s="244"/>
      <c r="N284" s="244">
        <f t="shared" ref="N284:AW284" si="1569">SUM(N272,N278)</f>
        <v>5171239.7959999954</v>
      </c>
      <c r="O284" s="244">
        <f t="shared" si="1569"/>
        <v>6365930.3174999952</v>
      </c>
      <c r="P284" s="244">
        <f t="shared" si="1569"/>
        <v>7648794.6424999954</v>
      </c>
      <c r="Q284" s="244">
        <f t="shared" si="1569"/>
        <v>10091122.567499995</v>
      </c>
      <c r="R284" s="244">
        <f t="shared" si="1569"/>
        <v>11592818.185999995</v>
      </c>
      <c r="S284" s="244">
        <f t="shared" si="1569"/>
        <v>14549352.449499995</v>
      </c>
      <c r="T284" s="244">
        <f t="shared" si="1569"/>
        <v>15988307.559999995</v>
      </c>
      <c r="U284" s="244">
        <f t="shared" si="1569"/>
        <v>18418817.446999993</v>
      </c>
      <c r="V284" s="244">
        <f t="shared" si="1569"/>
        <v>19757156.366499994</v>
      </c>
      <c r="W284" s="244">
        <f t="shared" si="1569"/>
        <v>21497358.19576944</v>
      </c>
      <c r="X284" s="244">
        <f t="shared" si="1569"/>
        <v>24320433.609269436</v>
      </c>
      <c r="Y284" s="244">
        <f t="shared" si="1569"/>
        <v>26455152.326632135</v>
      </c>
      <c r="Z284" s="244">
        <f t="shared" si="1569"/>
        <v>28479769.592349302</v>
      </c>
      <c r="AA284" s="244">
        <f t="shared" si="1569"/>
        <v>32927891.032495424</v>
      </c>
      <c r="AB284" s="244">
        <f t="shared" si="1569"/>
        <v>38142958.959306821</v>
      </c>
      <c r="AC284" s="244">
        <f t="shared" si="1569"/>
        <v>44644258.540512756</v>
      </c>
      <c r="AD284" s="244">
        <f t="shared" si="1569"/>
        <v>49128854.409488142</v>
      </c>
      <c r="AE284" s="244">
        <f t="shared" si="1569"/>
        <v>55174763.058670998</v>
      </c>
      <c r="AF284" s="244">
        <f t="shared" si="1569"/>
        <v>61165600.174662143</v>
      </c>
      <c r="AG284" s="244">
        <f t="shared" si="1569"/>
        <v>70291067.051125452</v>
      </c>
      <c r="AH284" s="244">
        <f t="shared" si="1569"/>
        <v>74952603.26846908</v>
      </c>
      <c r="AI284" s="244">
        <f t="shared" si="1569"/>
        <v>81414977.179002032</v>
      </c>
      <c r="AJ284" s="244">
        <f t="shared" si="1569"/>
        <v>87491605.699508056</v>
      </c>
      <c r="AK284" s="244">
        <f t="shared" si="1569"/>
        <v>96221934.655131578</v>
      </c>
      <c r="AL284" s="244">
        <f t="shared" si="1569"/>
        <v>100575997.90914774</v>
      </c>
      <c r="AM284" s="244">
        <f t="shared" si="1569"/>
        <v>106666951.77626045</v>
      </c>
      <c r="AN284" s="244">
        <f t="shared" si="1569"/>
        <v>112399981.66807663</v>
      </c>
      <c r="AO284" s="244">
        <f t="shared" si="1569"/>
        <v>120590638.33686256</v>
      </c>
      <c r="AP284" s="244">
        <f t="shared" si="1569"/>
        <v>125119130.39130633</v>
      </c>
      <c r="AQ284" s="244">
        <f t="shared" si="1569"/>
        <v>131487206.00048657</v>
      </c>
      <c r="AR284" s="244">
        <f t="shared" si="1569"/>
        <v>137484454.57324219</v>
      </c>
      <c r="AS284" s="244">
        <f t="shared" si="1569"/>
        <v>146025082.76563731</v>
      </c>
      <c r="AT284" s="244">
        <f t="shared" si="1569"/>
        <v>163972312.68015248</v>
      </c>
      <c r="AU284" s="244">
        <f t="shared" si="1569"/>
        <v>188588458.72422677</v>
      </c>
      <c r="AV284" s="244">
        <f t="shared" si="1569"/>
        <v>211707992.47535697</v>
      </c>
      <c r="AW284" s="244">
        <f t="shared" si="1569"/>
        <v>245145897.00594568</v>
      </c>
      <c r="AY284" s="244">
        <f>AY$63*$A284</f>
        <v>4155554.4209999954</v>
      </c>
      <c r="AZ284" s="20">
        <f t="shared" ref="AZ284:CE284" si="1570">AZ272+AZ278</f>
        <v>4461279.4594999952</v>
      </c>
      <c r="BA284" s="20">
        <f t="shared" si="1570"/>
        <v>5171239.7959999954</v>
      </c>
      <c r="BB284" s="20">
        <f t="shared" si="1570"/>
        <v>5430651.5459999954</v>
      </c>
      <c r="BC284" s="20">
        <f t="shared" si="1570"/>
        <v>5957632.6674999949</v>
      </c>
      <c r="BD284" s="20">
        <f t="shared" si="1570"/>
        <v>6365930.3174999952</v>
      </c>
      <c r="BE284" s="20">
        <f t="shared" si="1570"/>
        <v>6672922.8174999952</v>
      </c>
      <c r="BF284" s="20">
        <f t="shared" si="1570"/>
        <v>6877251.1924999952</v>
      </c>
      <c r="BG284" s="20">
        <f t="shared" si="1570"/>
        <v>7648794.6424999954</v>
      </c>
      <c r="BH284" s="20">
        <f t="shared" si="1570"/>
        <v>7945750.867499995</v>
      </c>
      <c r="BI284" s="20">
        <f t="shared" si="1570"/>
        <v>9199186.5674999952</v>
      </c>
      <c r="BJ284" s="20">
        <f t="shared" si="1570"/>
        <v>10091122.567499995</v>
      </c>
      <c r="BK284" s="20">
        <f t="shared" si="1570"/>
        <v>10227115.067499995</v>
      </c>
      <c r="BL284" s="20">
        <f t="shared" si="1570"/>
        <v>10651652.017499994</v>
      </c>
      <c r="BM284" s="20">
        <f t="shared" si="1570"/>
        <v>11592818.185999995</v>
      </c>
      <c r="BN284" s="20">
        <f t="shared" si="1570"/>
        <v>11960036.154499995</v>
      </c>
      <c r="BO284" s="20">
        <f t="shared" si="1570"/>
        <v>13575984.121499995</v>
      </c>
      <c r="BP284" s="20">
        <f t="shared" si="1570"/>
        <v>14549352.449499995</v>
      </c>
      <c r="BQ284" s="20">
        <f t="shared" si="1570"/>
        <v>15020552.667999994</v>
      </c>
      <c r="BR284" s="20">
        <f t="shared" si="1570"/>
        <v>15202060.617999993</v>
      </c>
      <c r="BS284" s="20">
        <f t="shared" si="1570"/>
        <v>15988307.559999993</v>
      </c>
      <c r="BT284" s="20">
        <f t="shared" si="1570"/>
        <v>16039797.559999993</v>
      </c>
      <c r="BU284" s="20">
        <f t="shared" si="1570"/>
        <v>16908792.959999993</v>
      </c>
      <c r="BV284" s="20">
        <f t="shared" si="1570"/>
        <v>18418817.446999993</v>
      </c>
      <c r="BW284" s="20">
        <f t="shared" si="1570"/>
        <v>18878403.354999993</v>
      </c>
      <c r="BX284" s="20">
        <f t="shared" si="1570"/>
        <v>19450975.004999992</v>
      </c>
      <c r="BY284" s="20">
        <f t="shared" si="1570"/>
        <v>19757156.36649999</v>
      </c>
      <c r="BZ284" s="20">
        <f t="shared" si="1570"/>
        <v>20266093.225999989</v>
      </c>
      <c r="CA284" s="20">
        <f t="shared" si="1570"/>
        <v>20341166.813769437</v>
      </c>
      <c r="CB284" s="20">
        <f t="shared" si="1570"/>
        <v>21497358.195769437</v>
      </c>
      <c r="CC284" s="20">
        <f t="shared" si="1570"/>
        <v>21559521.379269436</v>
      </c>
      <c r="CD284" s="20">
        <f t="shared" si="1570"/>
        <v>22974269.444769435</v>
      </c>
      <c r="CE284" s="20">
        <f t="shared" si="1570"/>
        <v>24320433.609269433</v>
      </c>
      <c r="CF284" s="20">
        <f t="shared" ref="CF284:DK284" si="1571">CF272+CF278</f>
        <v>24621993.002060432</v>
      </c>
      <c r="CG284" s="20">
        <f t="shared" si="1571"/>
        <v>25361764.171632133</v>
      </c>
      <c r="CH284" s="20">
        <f t="shared" si="1571"/>
        <v>26455152.326632135</v>
      </c>
      <c r="CI284" s="20">
        <f t="shared" si="1571"/>
        <v>26915635.100329049</v>
      </c>
      <c r="CJ284" s="20">
        <f t="shared" si="1571"/>
        <v>27064215.245332621</v>
      </c>
      <c r="CK284" s="20">
        <f t="shared" si="1571"/>
        <v>28479769.592349302</v>
      </c>
      <c r="CL284" s="20">
        <f t="shared" si="1571"/>
        <v>29119520.848501179</v>
      </c>
      <c r="CM284" s="20">
        <f t="shared" si="1571"/>
        <v>30151443.652034648</v>
      </c>
      <c r="CN284" s="20">
        <f t="shared" si="1571"/>
        <v>32927891.032495428</v>
      </c>
      <c r="CO284" s="20">
        <f t="shared" si="1571"/>
        <v>33712301.317410551</v>
      </c>
      <c r="CP284" s="20">
        <f t="shared" si="1571"/>
        <v>35544625.324360982</v>
      </c>
      <c r="CQ284" s="20">
        <f t="shared" si="1571"/>
        <v>38142958.959306821</v>
      </c>
      <c r="CR284" s="20">
        <f t="shared" si="1571"/>
        <v>38779423.855347119</v>
      </c>
      <c r="CS284" s="20">
        <f t="shared" si="1571"/>
        <v>41355392.500148565</v>
      </c>
      <c r="CT284" s="20">
        <f t="shared" si="1571"/>
        <v>44644258.540512756</v>
      </c>
      <c r="CU284" s="20">
        <f t="shared" si="1571"/>
        <v>45204418.749501824</v>
      </c>
      <c r="CV284" s="20">
        <f t="shared" si="1571"/>
        <v>46513809.219181888</v>
      </c>
      <c r="CW284" s="20">
        <f t="shared" si="1571"/>
        <v>49128854.409488134</v>
      </c>
      <c r="CX284" s="20">
        <f t="shared" si="1571"/>
        <v>50122437.92519249</v>
      </c>
      <c r="CY284" s="20">
        <f t="shared" si="1571"/>
        <v>52220862.655327678</v>
      </c>
      <c r="CZ284" s="20">
        <f t="shared" si="1571"/>
        <v>55174763.058670998</v>
      </c>
      <c r="DA284" s="20">
        <f t="shared" si="1571"/>
        <v>56122499.780054234</v>
      </c>
      <c r="DB284" s="20">
        <f t="shared" si="1571"/>
        <v>57944379.380767405</v>
      </c>
      <c r="DC284" s="20">
        <f t="shared" si="1571"/>
        <v>61165600.174662143</v>
      </c>
      <c r="DD284" s="20">
        <f t="shared" si="1571"/>
        <v>62489452.317118593</v>
      </c>
      <c r="DE284" s="20">
        <f t="shared" si="1571"/>
        <v>66094221.475170657</v>
      </c>
      <c r="DF284" s="20">
        <f t="shared" si="1571"/>
        <v>70291067.051125452</v>
      </c>
      <c r="DG284" s="20">
        <f t="shared" si="1571"/>
        <v>70888477.403418496</v>
      </c>
      <c r="DH284" s="20">
        <f t="shared" si="1571"/>
        <v>72259407.869832605</v>
      </c>
      <c r="DI284" s="20">
        <f t="shared" si="1571"/>
        <v>74952603.26846908</v>
      </c>
      <c r="DJ284" s="20">
        <f t="shared" si="1571"/>
        <v>76044192.368336201</v>
      </c>
      <c r="DK284" s="20">
        <f t="shared" si="1571"/>
        <v>78303941.752475828</v>
      </c>
      <c r="DL284" s="20">
        <f t="shared" ref="DL284:EQ284" si="1572">DL272+DL278</f>
        <v>81414977.179002032</v>
      </c>
      <c r="DM284" s="20">
        <f t="shared" si="1572"/>
        <v>82342739.91340813</v>
      </c>
      <c r="DN284" s="20">
        <f t="shared" si="1572"/>
        <v>84199493.981859148</v>
      </c>
      <c r="DO284" s="20">
        <f t="shared" si="1572"/>
        <v>87491605.699508056</v>
      </c>
      <c r="DP284" s="20">
        <f t="shared" si="1572"/>
        <v>88647038.742116272</v>
      </c>
      <c r="DQ284" s="20">
        <f t="shared" si="1572"/>
        <v>92120543.776020005</v>
      </c>
      <c r="DR284" s="20">
        <f t="shared" si="1572"/>
        <v>96221934.655131578</v>
      </c>
      <c r="DS284" s="20">
        <f t="shared" si="1572"/>
        <v>96761316.126966149</v>
      </c>
      <c r="DT284" s="20">
        <f t="shared" si="1572"/>
        <v>98046110.854292765</v>
      </c>
      <c r="DU284" s="20">
        <f t="shared" si="1572"/>
        <v>100575997.90914774</v>
      </c>
      <c r="DV284" s="20">
        <f t="shared" si="1572"/>
        <v>101573677.45874265</v>
      </c>
      <c r="DW284" s="20">
        <f t="shared" si="1572"/>
        <v>103728214.73586032</v>
      </c>
      <c r="DX284" s="20">
        <f t="shared" si="1572"/>
        <v>106666951.77626045</v>
      </c>
      <c r="DY284" s="20">
        <f t="shared" si="1572"/>
        <v>107503586.26475979</v>
      </c>
      <c r="DZ284" s="20">
        <f t="shared" si="1572"/>
        <v>109265477.25103758</v>
      </c>
      <c r="EA284" s="20">
        <f t="shared" si="1572"/>
        <v>112399981.66807665</v>
      </c>
      <c r="EB284" s="20">
        <f t="shared" si="1572"/>
        <v>113460788.13583568</v>
      </c>
      <c r="EC284" s="20">
        <f t="shared" si="1572"/>
        <v>116713769.94081867</v>
      </c>
      <c r="ED284" s="20">
        <f t="shared" si="1572"/>
        <v>120590638.33686255</v>
      </c>
      <c r="EE284" s="20">
        <f t="shared" si="1572"/>
        <v>121140382.41384073</v>
      </c>
      <c r="EF284" s="20">
        <f t="shared" si="1572"/>
        <v>122479238.07338548</v>
      </c>
      <c r="EG284" s="20">
        <f t="shared" si="1572"/>
        <v>125119130.39130633</v>
      </c>
      <c r="EH284" s="20">
        <f t="shared" si="1572"/>
        <v>126143549.0165296</v>
      </c>
      <c r="EI284" s="20">
        <f t="shared" si="1572"/>
        <v>128410871.32129401</v>
      </c>
      <c r="EJ284" s="20">
        <f t="shared" si="1572"/>
        <v>131487206.00048657</v>
      </c>
      <c r="EK284" s="20">
        <f t="shared" si="1572"/>
        <v>132339282.43598141</v>
      </c>
      <c r="EL284" s="20">
        <f t="shared" si="1572"/>
        <v>134188427.04077603</v>
      </c>
      <c r="EM284" s="20">
        <f t="shared" si="1572"/>
        <v>137484454.57324219</v>
      </c>
      <c r="EN284" s="20">
        <f t="shared" si="1572"/>
        <v>138576638.88237983</v>
      </c>
      <c r="EO284" s="20">
        <f t="shared" si="1572"/>
        <v>141965124.37717745</v>
      </c>
      <c r="EP284" s="20">
        <f t="shared" si="1572"/>
        <v>146025082.76563731</v>
      </c>
      <c r="EQ284" s="20">
        <f t="shared" si="1572"/>
        <v>148414962.64069119</v>
      </c>
      <c r="ER284" s="20">
        <f t="shared" ref="ER284:FB284" si="1573">ER272+ER278</f>
        <v>153672448.96612319</v>
      </c>
      <c r="ES284" s="20">
        <f t="shared" si="1573"/>
        <v>163972312.68015245</v>
      </c>
      <c r="ET284" s="20">
        <f t="shared" si="1573"/>
        <v>168280654.5830729</v>
      </c>
      <c r="EU284" s="20">
        <f t="shared" si="1573"/>
        <v>176769434.53105891</v>
      </c>
      <c r="EV284" s="20">
        <f t="shared" si="1573"/>
        <v>188588458.7242268</v>
      </c>
      <c r="EW284" s="20">
        <f t="shared" si="1573"/>
        <v>192304754.8407999</v>
      </c>
      <c r="EX284" s="20">
        <f t="shared" si="1573"/>
        <v>199320252.35870624</v>
      </c>
      <c r="EY284" s="20">
        <f t="shared" si="1573"/>
        <v>211707992.47535697</v>
      </c>
      <c r="EZ284" s="20">
        <f t="shared" si="1573"/>
        <v>216245288.42911187</v>
      </c>
      <c r="FA284" s="20">
        <f t="shared" si="1573"/>
        <v>229577105.73328632</v>
      </c>
      <c r="FB284" s="20">
        <f t="shared" si="1573"/>
        <v>245145897.00594568</v>
      </c>
    </row>
    <row r="285" spans="1:158" x14ac:dyDescent="0.25">
      <c r="A285" s="334">
        <v>0.02</v>
      </c>
      <c r="C285" s="2" t="s">
        <v>298</v>
      </c>
      <c r="D285" s="244">
        <f t="shared" si="1555"/>
        <v>217304.98319999987</v>
      </c>
      <c r="E285" s="244">
        <f t="shared" si="1556"/>
        <v>392624.87539999984</v>
      </c>
      <c r="F285" s="244">
        <f t="shared" si="1557"/>
        <v>561810.87286593986</v>
      </c>
      <c r="G285" s="244">
        <f t="shared" si="1558"/>
        <v>1203640.272342263</v>
      </c>
      <c r="H285" s="244">
        <f t="shared" si="1559"/>
        <v>2676838.398403056</v>
      </c>
      <c r="I285" s="244">
        <f t="shared" si="1560"/>
        <v>9456207.6015947647</v>
      </c>
      <c r="J285" s="244">
        <f t="shared" si="1561"/>
        <v>20002691.618636899</v>
      </c>
      <c r="K285" s="244">
        <f t="shared" si="1562"/>
        <v>36123818.361930288</v>
      </c>
      <c r="L285" s="244">
        <f t="shared" si="1563"/>
        <v>65385742.020100512</v>
      </c>
      <c r="M285" s="244"/>
      <c r="N285" s="244">
        <f t="shared" ref="N285:AW285" si="1574">SUM(N273,N279)</f>
        <v>113728.5037999999</v>
      </c>
      <c r="O285" s="244">
        <f t="shared" si="1574"/>
        <v>138879.88319999989</v>
      </c>
      <c r="P285" s="244">
        <f t="shared" si="1574"/>
        <v>165887.55319999991</v>
      </c>
      <c r="Q285" s="244">
        <f t="shared" si="1574"/>
        <v>217304.98319999987</v>
      </c>
      <c r="R285" s="244">
        <f t="shared" si="1574"/>
        <v>248919.62779999987</v>
      </c>
      <c r="S285" s="244">
        <f t="shared" si="1574"/>
        <v>311162.45439999987</v>
      </c>
      <c r="T285" s="244">
        <f t="shared" si="1574"/>
        <v>341456.24619999988</v>
      </c>
      <c r="U285" s="244">
        <f t="shared" si="1574"/>
        <v>392624.87539999984</v>
      </c>
      <c r="V285" s="244">
        <f t="shared" si="1574"/>
        <v>420800.43159999984</v>
      </c>
      <c r="W285" s="244">
        <f t="shared" si="1574"/>
        <v>457436.2595846199</v>
      </c>
      <c r="X285" s="244">
        <f t="shared" si="1574"/>
        <v>516869.42618461984</v>
      </c>
      <c r="Y285" s="244">
        <f t="shared" si="1574"/>
        <v>561810.87286593986</v>
      </c>
      <c r="Z285" s="244">
        <f t="shared" si="1574"/>
        <v>637308.06112529337</v>
      </c>
      <c r="AA285" s="244">
        <f t="shared" si="1574"/>
        <v>792720.12700794777</v>
      </c>
      <c r="AB285" s="244">
        <f t="shared" si="1574"/>
        <v>975755.07067741477</v>
      </c>
      <c r="AC285" s="244">
        <f t="shared" si="1574"/>
        <v>1203640.2723422628</v>
      </c>
      <c r="AD285" s="244">
        <f t="shared" si="1574"/>
        <v>1462896.2674802188</v>
      </c>
      <c r="AE285" s="244">
        <f t="shared" si="1574"/>
        <v>1809971.2225474326</v>
      </c>
      <c r="AF285" s="244">
        <f t="shared" si="1574"/>
        <v>2152962.7712196428</v>
      </c>
      <c r="AG285" s="244">
        <f t="shared" si="1574"/>
        <v>2676838.3984030564</v>
      </c>
      <c r="AH285" s="244">
        <f t="shared" si="1574"/>
        <v>3910646.260580604</v>
      </c>
      <c r="AI285" s="244">
        <f t="shared" si="1574"/>
        <v>5590032.1817244217</v>
      </c>
      <c r="AJ285" s="244">
        <f t="shared" si="1574"/>
        <v>7165972.5860784221</v>
      </c>
      <c r="AK285" s="244">
        <f t="shared" si="1574"/>
        <v>9456207.6015947647</v>
      </c>
      <c r="AL285" s="244">
        <f t="shared" si="1574"/>
        <v>11370753.212401442</v>
      </c>
      <c r="AM285" s="244">
        <f t="shared" si="1574"/>
        <v>13986590.675395343</v>
      </c>
      <c r="AN285" s="244">
        <f t="shared" si="1574"/>
        <v>16442335.944479074</v>
      </c>
      <c r="AO285" s="244">
        <f t="shared" si="1574"/>
        <v>20002691.618636899</v>
      </c>
      <c r="AP285" s="244">
        <f t="shared" si="1574"/>
        <v>22924506.764285844</v>
      </c>
      <c r="AQ285" s="244">
        <f t="shared" si="1574"/>
        <v>26926187.600346226</v>
      </c>
      <c r="AR285" s="244">
        <f t="shared" si="1574"/>
        <v>30683966.374895811</v>
      </c>
      <c r="AS285" s="244">
        <f t="shared" si="1574"/>
        <v>36123818.361930281</v>
      </c>
      <c r="AT285" s="244">
        <f t="shared" si="1574"/>
        <v>41428315.728040561</v>
      </c>
      <c r="AU285" s="244">
        <f t="shared" si="1574"/>
        <v>48691193.2585003</v>
      </c>
      <c r="AV285" s="244">
        <f t="shared" si="1574"/>
        <v>55511180.615180872</v>
      </c>
      <c r="AW285" s="244">
        <f t="shared" si="1574"/>
        <v>65385742.020100512</v>
      </c>
      <c r="AY285" s="244">
        <f>AY$63*$A285</f>
        <v>92345.653799999898</v>
      </c>
      <c r="AZ285" s="20">
        <f t="shared" ref="AZ285:CE285" si="1575">AZ273+AZ279</f>
        <v>98781.970399999904</v>
      </c>
      <c r="BA285" s="20">
        <f t="shared" si="1575"/>
        <v>113728.5037999999</v>
      </c>
      <c r="BB285" s="20">
        <f t="shared" si="1575"/>
        <v>119189.80379999991</v>
      </c>
      <c r="BC285" s="20">
        <f t="shared" si="1575"/>
        <v>130284.1431999999</v>
      </c>
      <c r="BD285" s="20">
        <f t="shared" si="1575"/>
        <v>138879.88319999989</v>
      </c>
      <c r="BE285" s="20">
        <f t="shared" si="1575"/>
        <v>145342.88319999989</v>
      </c>
      <c r="BF285" s="20">
        <f t="shared" si="1575"/>
        <v>149644.53319999989</v>
      </c>
      <c r="BG285" s="20">
        <f t="shared" si="1575"/>
        <v>165887.55319999988</v>
      </c>
      <c r="BH285" s="20">
        <f t="shared" si="1575"/>
        <v>172139.26319999987</v>
      </c>
      <c r="BI285" s="20">
        <f t="shared" si="1575"/>
        <v>198527.38319999987</v>
      </c>
      <c r="BJ285" s="20">
        <f t="shared" si="1575"/>
        <v>217304.98319999987</v>
      </c>
      <c r="BK285" s="20">
        <f t="shared" si="1575"/>
        <v>220167.98319999987</v>
      </c>
      <c r="BL285" s="20">
        <f t="shared" si="1575"/>
        <v>229105.60319999987</v>
      </c>
      <c r="BM285" s="20">
        <f t="shared" si="1575"/>
        <v>248919.62779999987</v>
      </c>
      <c r="BN285" s="20">
        <f t="shared" si="1575"/>
        <v>256650.53239999988</v>
      </c>
      <c r="BO285" s="20">
        <f t="shared" si="1575"/>
        <v>290670.48959999986</v>
      </c>
      <c r="BP285" s="20">
        <f t="shared" si="1575"/>
        <v>311162.45439999987</v>
      </c>
      <c r="BQ285" s="20">
        <f t="shared" si="1575"/>
        <v>321082.45899999986</v>
      </c>
      <c r="BR285" s="20">
        <f t="shared" si="1575"/>
        <v>324903.67899999983</v>
      </c>
      <c r="BS285" s="20">
        <f t="shared" si="1575"/>
        <v>341456.24619999982</v>
      </c>
      <c r="BT285" s="20">
        <f t="shared" si="1575"/>
        <v>342540.24619999982</v>
      </c>
      <c r="BU285" s="20">
        <f t="shared" si="1575"/>
        <v>360834.88619999983</v>
      </c>
      <c r="BV285" s="20">
        <f t="shared" si="1575"/>
        <v>392624.87539999984</v>
      </c>
      <c r="BW285" s="20">
        <f t="shared" si="1575"/>
        <v>402300.36819999985</v>
      </c>
      <c r="BX285" s="20">
        <f t="shared" si="1575"/>
        <v>414354.50819999987</v>
      </c>
      <c r="BY285" s="20">
        <f t="shared" si="1575"/>
        <v>420800.43159999989</v>
      </c>
      <c r="BZ285" s="20">
        <f t="shared" si="1575"/>
        <v>431514.89179999987</v>
      </c>
      <c r="CA285" s="20">
        <f t="shared" si="1575"/>
        <v>433095.38838461984</v>
      </c>
      <c r="CB285" s="20">
        <f t="shared" si="1575"/>
        <v>457436.25958461984</v>
      </c>
      <c r="CC285" s="20">
        <f t="shared" si="1575"/>
        <v>458744.95818461984</v>
      </c>
      <c r="CD285" s="20">
        <f t="shared" si="1575"/>
        <v>488529.12798461982</v>
      </c>
      <c r="CE285" s="20">
        <f t="shared" si="1575"/>
        <v>516869.42618461984</v>
      </c>
      <c r="CF285" s="20">
        <f t="shared" ref="CF285:DK285" si="1576">CF273+CF279</f>
        <v>523218.04498021986</v>
      </c>
      <c r="CG285" s="20">
        <f t="shared" si="1576"/>
        <v>538792.17486593989</v>
      </c>
      <c r="CH285" s="20">
        <f t="shared" si="1576"/>
        <v>561810.87286593986</v>
      </c>
      <c r="CI285" s="20">
        <f t="shared" si="1576"/>
        <v>577684.32316593989</v>
      </c>
      <c r="CJ285" s="20">
        <f t="shared" si="1576"/>
        <v>586452.81869645277</v>
      </c>
      <c r="CK285" s="20">
        <f t="shared" si="1576"/>
        <v>637308.06112529337</v>
      </c>
      <c r="CL285" s="20">
        <f t="shared" si="1576"/>
        <v>659511.94602307968</v>
      </c>
      <c r="CM285" s="20">
        <f t="shared" si="1576"/>
        <v>695844.03830407234</v>
      </c>
      <c r="CN285" s="20">
        <f t="shared" si="1576"/>
        <v>792720.12700794789</v>
      </c>
      <c r="CO285" s="20">
        <f t="shared" si="1576"/>
        <v>820221.0287471927</v>
      </c>
      <c r="CP285" s="20">
        <f t="shared" si="1576"/>
        <v>884432.9802375366</v>
      </c>
      <c r="CQ285" s="20">
        <f t="shared" si="1576"/>
        <v>975755.07067741477</v>
      </c>
      <c r="CR285" s="20">
        <f t="shared" si="1576"/>
        <v>998253.39480343426</v>
      </c>
      <c r="CS285" s="20">
        <f t="shared" si="1576"/>
        <v>1088886.0978560217</v>
      </c>
      <c r="CT285" s="20">
        <f t="shared" si="1576"/>
        <v>1203640.272342263</v>
      </c>
      <c r="CU285" s="20">
        <f t="shared" si="1576"/>
        <v>1237030.8360175726</v>
      </c>
      <c r="CV285" s="20">
        <f t="shared" si="1576"/>
        <v>1312526.6087270868</v>
      </c>
      <c r="CW285" s="20">
        <f t="shared" si="1576"/>
        <v>1462896.2674802188</v>
      </c>
      <c r="CX285" s="20">
        <f t="shared" si="1576"/>
        <v>1521617.6468930009</v>
      </c>
      <c r="CY285" s="20">
        <f t="shared" si="1576"/>
        <v>1640826.260403424</v>
      </c>
      <c r="CZ285" s="20">
        <f t="shared" si="1576"/>
        <v>1809971.2225474324</v>
      </c>
      <c r="DA285" s="20">
        <f t="shared" si="1576"/>
        <v>1866186.5904676621</v>
      </c>
      <c r="DB285" s="20">
        <f t="shared" si="1576"/>
        <v>1969982.1934002787</v>
      </c>
      <c r="DC285" s="20">
        <f t="shared" si="1576"/>
        <v>2152962.7712196433</v>
      </c>
      <c r="DD285" s="20">
        <f t="shared" si="1576"/>
        <v>2229934.9470083904</v>
      </c>
      <c r="DE285" s="20">
        <f t="shared" si="1576"/>
        <v>2437234.0337263709</v>
      </c>
      <c r="DF285" s="20">
        <f t="shared" si="1576"/>
        <v>2676838.398403056</v>
      </c>
      <c r="DG285" s="20">
        <f t="shared" si="1576"/>
        <v>2845510.6334621436</v>
      </c>
      <c r="DH285" s="20">
        <f t="shared" si="1576"/>
        <v>3205935.8225232721</v>
      </c>
      <c r="DI285" s="20">
        <f t="shared" si="1576"/>
        <v>3910646.2605806044</v>
      </c>
      <c r="DJ285" s="20">
        <f t="shared" si="1576"/>
        <v>4211977.8222464612</v>
      </c>
      <c r="DK285" s="20">
        <f t="shared" si="1576"/>
        <v>4785248.8792324364</v>
      </c>
      <c r="DL285" s="20">
        <f t="shared" ref="DL285:EQ285" si="1577">DL273+DL279</f>
        <v>5590032.1817244207</v>
      </c>
      <c r="DM285" s="20">
        <f t="shared" si="1577"/>
        <v>5852548.4606728489</v>
      </c>
      <c r="DN285" s="20">
        <f t="shared" si="1577"/>
        <v>6328351.1543464363</v>
      </c>
      <c r="DO285" s="20">
        <f t="shared" si="1577"/>
        <v>7165972.5860784231</v>
      </c>
      <c r="DP285" s="20">
        <f t="shared" si="1577"/>
        <v>7482222.8234964767</v>
      </c>
      <c r="DQ285" s="20">
        <f t="shared" si="1577"/>
        <v>8396719.5075225309</v>
      </c>
      <c r="DR285" s="20">
        <f t="shared" si="1577"/>
        <v>9456207.6015947647</v>
      </c>
      <c r="DS285" s="20">
        <f t="shared" si="1577"/>
        <v>9714589.8020332549</v>
      </c>
      <c r="DT285" s="20">
        <f t="shared" si="1577"/>
        <v>10274647.347683903</v>
      </c>
      <c r="DU285" s="20">
        <f t="shared" si="1577"/>
        <v>11370753.21240144</v>
      </c>
      <c r="DV285" s="20">
        <f t="shared" si="1577"/>
        <v>11834396.473583857</v>
      </c>
      <c r="DW285" s="20">
        <f t="shared" si="1577"/>
        <v>12731854.851098897</v>
      </c>
      <c r="DX285" s="20">
        <f t="shared" si="1577"/>
        <v>13986590.675395345</v>
      </c>
      <c r="DY285" s="20">
        <f t="shared" si="1577"/>
        <v>14388558.180185542</v>
      </c>
      <c r="DZ285" s="20">
        <f t="shared" si="1577"/>
        <v>15131849.023599062</v>
      </c>
      <c r="EA285" s="20">
        <f t="shared" si="1577"/>
        <v>16442335.944479076</v>
      </c>
      <c r="EB285" s="20">
        <f t="shared" si="1577"/>
        <v>16929758.097298041</v>
      </c>
      <c r="EC285" s="20">
        <f t="shared" si="1577"/>
        <v>18350362.66709917</v>
      </c>
      <c r="ED285" s="20">
        <f t="shared" si="1577"/>
        <v>20002691.618636899</v>
      </c>
      <c r="EE285" s="20">
        <f t="shared" si="1577"/>
        <v>20393747.021386679</v>
      </c>
      <c r="EF285" s="20">
        <f t="shared" si="1577"/>
        <v>21249210.975091174</v>
      </c>
      <c r="EG285" s="20">
        <f t="shared" si="1577"/>
        <v>22924506.764285844</v>
      </c>
      <c r="EH285" s="20">
        <f t="shared" si="1577"/>
        <v>23628238.04495015</v>
      </c>
      <c r="EI285" s="20">
        <f t="shared" si="1577"/>
        <v>25005548.425054509</v>
      </c>
      <c r="EJ285" s="20">
        <f t="shared" si="1577"/>
        <v>26926187.600346226</v>
      </c>
      <c r="EK285" s="20">
        <f t="shared" si="1577"/>
        <v>27534387.684108999</v>
      </c>
      <c r="EL285" s="20">
        <f t="shared" si="1577"/>
        <v>28673574.792816445</v>
      </c>
      <c r="EM285" s="20">
        <f t="shared" si="1577"/>
        <v>30683966.374895811</v>
      </c>
      <c r="EN285" s="20">
        <f t="shared" si="1577"/>
        <v>31424599.576861054</v>
      </c>
      <c r="EO285" s="20">
        <f t="shared" si="1577"/>
        <v>33594109.988907285</v>
      </c>
      <c r="EP285" s="20">
        <f t="shared" si="1577"/>
        <v>36123818.361930288</v>
      </c>
      <c r="EQ285" s="20">
        <f t="shared" si="1577"/>
        <v>36834483.05790443</v>
      </c>
      <c r="ER285" s="20">
        <f t="shared" ref="ER285:FB285" si="1578">ER273+ER279</f>
        <v>38387397.000309534</v>
      </c>
      <c r="ES285" s="20">
        <f t="shared" si="1578"/>
        <v>41428315.728040561</v>
      </c>
      <c r="ET285" s="20">
        <f t="shared" si="1578"/>
        <v>42706762.741630919</v>
      </c>
      <c r="EU285" s="20">
        <f t="shared" si="1578"/>
        <v>45205567.824160226</v>
      </c>
      <c r="EV285" s="20">
        <f t="shared" si="1578"/>
        <v>48691193.2585003</v>
      </c>
      <c r="EW285" s="20">
        <f t="shared" si="1578"/>
        <v>49796511.797766</v>
      </c>
      <c r="EX285" s="20">
        <f t="shared" si="1578"/>
        <v>51863628.838806033</v>
      </c>
      <c r="EY285" s="20">
        <f t="shared" si="1578"/>
        <v>55511180.615180872</v>
      </c>
      <c r="EZ285" s="20">
        <f t="shared" si="1578"/>
        <v>56856488.869979359</v>
      </c>
      <c r="FA285" s="20">
        <f t="shared" si="1578"/>
        <v>60794863.909479462</v>
      </c>
      <c r="FB285" s="20">
        <f t="shared" si="1578"/>
        <v>65385742.020100512</v>
      </c>
    </row>
    <row r="286" spans="1:158" x14ac:dyDescent="0.25">
      <c r="A286" s="334">
        <v>0.01</v>
      </c>
      <c r="C286" s="2" t="s">
        <v>299</v>
      </c>
      <c r="D286" s="244">
        <f t="shared" si="1555"/>
        <v>108652.49159999994</v>
      </c>
      <c r="E286" s="244">
        <f t="shared" si="1556"/>
        <v>196312.43769999992</v>
      </c>
      <c r="F286" s="244">
        <f t="shared" si="1557"/>
        <v>280905.43643296993</v>
      </c>
      <c r="G286" s="244">
        <f t="shared" si="1558"/>
        <v>1267440.1518299514</v>
      </c>
      <c r="H286" s="244">
        <f t="shared" si="1559"/>
        <v>4261933.900973293</v>
      </c>
      <c r="I286" s="244">
        <f t="shared" si="1560"/>
        <v>20621331.600409597</v>
      </c>
      <c r="J286" s="244">
        <f t="shared" si="1561"/>
        <v>63496577.273577794</v>
      </c>
      <c r="K286" s="244">
        <f t="shared" si="1562"/>
        <v>142147431.53349298</v>
      </c>
      <c r="L286" s="244">
        <f t="shared" si="1563"/>
        <v>195033519.38351169</v>
      </c>
      <c r="M286" s="244"/>
      <c r="N286" s="244">
        <f t="shared" ref="N286:AW286" si="1579">SUM(N274,N280)</f>
        <v>56864.251899999952</v>
      </c>
      <c r="O286" s="244">
        <f t="shared" si="1579"/>
        <v>69439.941599999947</v>
      </c>
      <c r="P286" s="244">
        <f t="shared" si="1579"/>
        <v>82943.776599999954</v>
      </c>
      <c r="Q286" s="244">
        <f t="shared" si="1579"/>
        <v>108652.49159999994</v>
      </c>
      <c r="R286" s="244">
        <f t="shared" si="1579"/>
        <v>124459.81389999994</v>
      </c>
      <c r="S286" s="244">
        <f t="shared" si="1579"/>
        <v>155581.22719999994</v>
      </c>
      <c r="T286" s="244">
        <f t="shared" si="1579"/>
        <v>170728.12309999994</v>
      </c>
      <c r="U286" s="244">
        <f t="shared" si="1579"/>
        <v>196312.43769999992</v>
      </c>
      <c r="V286" s="244">
        <f t="shared" si="1579"/>
        <v>210400.21579999992</v>
      </c>
      <c r="W286" s="244">
        <f t="shared" si="1579"/>
        <v>228718.12979230995</v>
      </c>
      <c r="X286" s="244">
        <f t="shared" si="1579"/>
        <v>258434.71309230992</v>
      </c>
      <c r="Y286" s="244">
        <f t="shared" si="1579"/>
        <v>280905.43643296993</v>
      </c>
      <c r="Z286" s="244">
        <f t="shared" si="1579"/>
        <v>403306.78106264665</v>
      </c>
      <c r="AA286" s="244">
        <f t="shared" si="1579"/>
        <v>639761.46666279389</v>
      </c>
      <c r="AB286" s="244">
        <f t="shared" si="1579"/>
        <v>919552.22599752736</v>
      </c>
      <c r="AC286" s="244">
        <f t="shared" si="1579"/>
        <v>1267440.1518299514</v>
      </c>
      <c r="AD286" s="244">
        <f t="shared" si="1579"/>
        <v>1795848.6286088526</v>
      </c>
      <c r="AE286" s="244">
        <f t="shared" si="1579"/>
        <v>2501145.6168857552</v>
      </c>
      <c r="AF286" s="244">
        <f t="shared" si="1579"/>
        <v>3197345.2961205142</v>
      </c>
      <c r="AG286" s="244">
        <f t="shared" si="1579"/>
        <v>4261933.900973293</v>
      </c>
      <c r="AH286" s="244">
        <f t="shared" si="1579"/>
        <v>7241367.1227205861</v>
      </c>
      <c r="AI286" s="244">
        <f t="shared" si="1579"/>
        <v>11292499.492738325</v>
      </c>
      <c r="AJ286" s="244">
        <f t="shared" si="1579"/>
        <v>15093642.534583762</v>
      </c>
      <c r="AK286" s="244">
        <f t="shared" si="1579"/>
        <v>20621331.600409601</v>
      </c>
      <c r="AL286" s="244">
        <f t="shared" si="1579"/>
        <v>28421345.607120261</v>
      </c>
      <c r="AM286" s="244">
        <f t="shared" si="1579"/>
        <v>39044449.885148734</v>
      </c>
      <c r="AN286" s="244">
        <f t="shared" si="1579"/>
        <v>49013849.97418385</v>
      </c>
      <c r="AO286" s="244">
        <f t="shared" si="1579"/>
        <v>63496577.273577794</v>
      </c>
      <c r="AP286" s="244">
        <f t="shared" si="1579"/>
        <v>77782489.72144118</v>
      </c>
      <c r="AQ286" s="244">
        <f t="shared" si="1579"/>
        <v>97284764.573414102</v>
      </c>
      <c r="AR286" s="244">
        <f t="shared" si="1579"/>
        <v>115591750.77514715</v>
      </c>
      <c r="AS286" s="244">
        <f t="shared" si="1579"/>
        <v>142147431.53349298</v>
      </c>
      <c r="AT286" s="244">
        <f t="shared" si="1579"/>
        <v>151666091.22935691</v>
      </c>
      <c r="AU286" s="244">
        <f t="shared" si="1579"/>
        <v>164838439.4784649</v>
      </c>
      <c r="AV286" s="244">
        <f t="shared" si="1579"/>
        <v>177222090.95467484</v>
      </c>
      <c r="AW286" s="244">
        <f t="shared" si="1579"/>
        <v>195033519.38351169</v>
      </c>
      <c r="AY286" s="244">
        <f>AY$63*$A286</f>
        <v>46172.826899999949</v>
      </c>
      <c r="AZ286" s="20">
        <f t="shared" ref="AZ286:CE286" si="1580">AZ274+AZ280</f>
        <v>49390.985199999952</v>
      </c>
      <c r="BA286" s="20">
        <f t="shared" si="1580"/>
        <v>56864.251899999952</v>
      </c>
      <c r="BB286" s="20">
        <f t="shared" si="1580"/>
        <v>59594.901899999953</v>
      </c>
      <c r="BC286" s="20">
        <f t="shared" si="1580"/>
        <v>65142.071599999952</v>
      </c>
      <c r="BD286" s="20">
        <f t="shared" si="1580"/>
        <v>69439.941599999947</v>
      </c>
      <c r="BE286" s="20">
        <f t="shared" si="1580"/>
        <v>72671.441599999947</v>
      </c>
      <c r="BF286" s="20">
        <f t="shared" si="1580"/>
        <v>74822.266599999944</v>
      </c>
      <c r="BG286" s="20">
        <f t="shared" si="1580"/>
        <v>82943.776599999939</v>
      </c>
      <c r="BH286" s="20">
        <f t="shared" si="1580"/>
        <v>86069.631599999935</v>
      </c>
      <c r="BI286" s="20">
        <f t="shared" si="1580"/>
        <v>99263.691599999933</v>
      </c>
      <c r="BJ286" s="20">
        <f t="shared" si="1580"/>
        <v>108652.49159999994</v>
      </c>
      <c r="BK286" s="20">
        <f t="shared" si="1580"/>
        <v>110083.99159999994</v>
      </c>
      <c r="BL286" s="20">
        <f t="shared" si="1580"/>
        <v>114552.80159999993</v>
      </c>
      <c r="BM286" s="20">
        <f t="shared" si="1580"/>
        <v>124459.81389999994</v>
      </c>
      <c r="BN286" s="20">
        <f t="shared" si="1580"/>
        <v>128325.26619999994</v>
      </c>
      <c r="BO286" s="20">
        <f t="shared" si="1580"/>
        <v>145335.24479999993</v>
      </c>
      <c r="BP286" s="20">
        <f t="shared" si="1580"/>
        <v>155581.22719999994</v>
      </c>
      <c r="BQ286" s="20">
        <f t="shared" si="1580"/>
        <v>160541.22949999993</v>
      </c>
      <c r="BR286" s="20">
        <f t="shared" si="1580"/>
        <v>162451.83949999991</v>
      </c>
      <c r="BS286" s="20">
        <f t="shared" si="1580"/>
        <v>170728.12309999991</v>
      </c>
      <c r="BT286" s="20">
        <f t="shared" si="1580"/>
        <v>171270.12309999991</v>
      </c>
      <c r="BU286" s="20">
        <f t="shared" si="1580"/>
        <v>180417.44309999992</v>
      </c>
      <c r="BV286" s="20">
        <f t="shared" si="1580"/>
        <v>196312.43769999992</v>
      </c>
      <c r="BW286" s="20">
        <f t="shared" si="1580"/>
        <v>201150.18409999993</v>
      </c>
      <c r="BX286" s="20">
        <f t="shared" si="1580"/>
        <v>207177.25409999993</v>
      </c>
      <c r="BY286" s="20">
        <f t="shared" si="1580"/>
        <v>210400.21579999995</v>
      </c>
      <c r="BZ286" s="20">
        <f t="shared" si="1580"/>
        <v>215757.44589999993</v>
      </c>
      <c r="CA286" s="20">
        <f t="shared" si="1580"/>
        <v>216547.69419230992</v>
      </c>
      <c r="CB286" s="20">
        <f t="shared" si="1580"/>
        <v>228718.12979230992</v>
      </c>
      <c r="CC286" s="20">
        <f t="shared" si="1580"/>
        <v>229372.47909230992</v>
      </c>
      <c r="CD286" s="20">
        <f t="shared" si="1580"/>
        <v>244264.56399230991</v>
      </c>
      <c r="CE286" s="20">
        <f t="shared" si="1580"/>
        <v>258434.71309230992</v>
      </c>
      <c r="CF286" s="20">
        <f t="shared" ref="CF286:DK286" si="1581">CF274+CF280</f>
        <v>261609.02249010993</v>
      </c>
      <c r="CG286" s="20">
        <f t="shared" si="1581"/>
        <v>269396.08743296994</v>
      </c>
      <c r="CH286" s="20">
        <f t="shared" si="1581"/>
        <v>280905.43643296993</v>
      </c>
      <c r="CI286" s="20">
        <f t="shared" si="1581"/>
        <v>304715.61188296991</v>
      </c>
      <c r="CJ286" s="20">
        <f t="shared" si="1581"/>
        <v>323719.78214822634</v>
      </c>
      <c r="CK286" s="20">
        <f t="shared" si="1581"/>
        <v>403306.78106264665</v>
      </c>
      <c r="CL286" s="20">
        <f t="shared" si="1581"/>
        <v>436854.5972115398</v>
      </c>
      <c r="CM286" s="20">
        <f t="shared" si="1581"/>
        <v>492572.76251085609</v>
      </c>
      <c r="CN286" s="20">
        <f t="shared" si="1581"/>
        <v>639761.46666279389</v>
      </c>
      <c r="CO286" s="20">
        <f t="shared" si="1581"/>
        <v>681752.91065741633</v>
      </c>
      <c r="CP286" s="20">
        <f t="shared" si="1581"/>
        <v>779754.53702758823</v>
      </c>
      <c r="CQ286" s="20">
        <f t="shared" si="1581"/>
        <v>919552.22599752736</v>
      </c>
      <c r="CR286" s="20">
        <f t="shared" si="1581"/>
        <v>954195.92056053714</v>
      </c>
      <c r="CS286" s="20">
        <f t="shared" si="1581"/>
        <v>1093090.4020868309</v>
      </c>
      <c r="CT286" s="20">
        <f t="shared" si="1581"/>
        <v>1267440.1518299514</v>
      </c>
      <c r="CU286" s="20">
        <f t="shared" si="1581"/>
        <v>1336363.3297907056</v>
      </c>
      <c r="CV286" s="20">
        <f t="shared" si="1581"/>
        <v>1490064.096421107</v>
      </c>
      <c r="CW286" s="20">
        <f t="shared" si="1581"/>
        <v>1795848.6286088529</v>
      </c>
      <c r="CX286" s="20">
        <f t="shared" si="1581"/>
        <v>1916636.6929954886</v>
      </c>
      <c r="CY286" s="20">
        <f t="shared" si="1581"/>
        <v>2157794.6352019454</v>
      </c>
      <c r="CZ286" s="20">
        <f t="shared" si="1581"/>
        <v>2501145.6168857547</v>
      </c>
      <c r="DA286" s="20">
        <f t="shared" si="1581"/>
        <v>2616950.3281821432</v>
      </c>
      <c r="DB286" s="20">
        <f t="shared" si="1581"/>
        <v>2827188.2284240657</v>
      </c>
      <c r="DC286" s="20">
        <f t="shared" si="1581"/>
        <v>3197345.2961205137</v>
      </c>
      <c r="DD286" s="20">
        <f t="shared" si="1581"/>
        <v>3354606.5690558418</v>
      </c>
      <c r="DE286" s="20">
        <f t="shared" si="1581"/>
        <v>3776176.1353066009</v>
      </c>
      <c r="DF286" s="20">
        <f t="shared" si="1581"/>
        <v>4261933.900973293</v>
      </c>
      <c r="DG286" s="20">
        <f t="shared" si="1581"/>
        <v>4670706.9965782007</v>
      </c>
      <c r="DH286" s="20">
        <f t="shared" si="1581"/>
        <v>5540735.6366023049</v>
      </c>
      <c r="DI286" s="20">
        <f t="shared" si="1581"/>
        <v>7241367.1227205861</v>
      </c>
      <c r="DJ286" s="20">
        <f t="shared" si="1581"/>
        <v>7970746.9037294295</v>
      </c>
      <c r="DK286" s="20">
        <f t="shared" si="1581"/>
        <v>9351663.8456033375</v>
      </c>
      <c r="DL286" s="20">
        <f t="shared" ref="DL286:EQ286" si="1582">DL274+DL280</f>
        <v>11292499.492738327</v>
      </c>
      <c r="DM286" s="20">
        <f t="shared" si="1582"/>
        <v>11928775.593545819</v>
      </c>
      <c r="DN286" s="20">
        <f t="shared" si="1582"/>
        <v>13075594.659380814</v>
      </c>
      <c r="DO286" s="20">
        <f t="shared" si="1582"/>
        <v>15093642.53458376</v>
      </c>
      <c r="DP286" s="20">
        <f t="shared" si="1582"/>
        <v>15858774.667198487</v>
      </c>
      <c r="DQ286" s="20">
        <f t="shared" si="1582"/>
        <v>18066453.8196229</v>
      </c>
      <c r="DR286" s="20">
        <f t="shared" si="1582"/>
        <v>20621331.600409597</v>
      </c>
      <c r="DS286" s="20">
        <f t="shared" si="1582"/>
        <v>21685559.215020571</v>
      </c>
      <c r="DT286" s="20">
        <f t="shared" si="1582"/>
        <v>23964616.619801138</v>
      </c>
      <c r="DU286" s="20">
        <f t="shared" si="1582"/>
        <v>28421345.607120257</v>
      </c>
      <c r="DV286" s="20">
        <f t="shared" si="1582"/>
        <v>30323861.921202637</v>
      </c>
      <c r="DW286" s="20">
        <f t="shared" si="1582"/>
        <v>33952974.009546302</v>
      </c>
      <c r="DX286" s="20">
        <f t="shared" si="1582"/>
        <v>39044449.885148734</v>
      </c>
      <c r="DY286" s="20">
        <f t="shared" si="1582"/>
        <v>40700674.056454964</v>
      </c>
      <c r="DZ286" s="20">
        <f t="shared" si="1582"/>
        <v>43711768.548531398</v>
      </c>
      <c r="EA286" s="20">
        <f t="shared" si="1582"/>
        <v>49013849.974183843</v>
      </c>
      <c r="EB286" s="20">
        <f t="shared" si="1582"/>
        <v>51011075.066411071</v>
      </c>
      <c r="EC286" s="20">
        <f t="shared" si="1582"/>
        <v>56793403.909054935</v>
      </c>
      <c r="ED286" s="20">
        <f t="shared" si="1582"/>
        <v>63496577.273577794</v>
      </c>
      <c r="EE286" s="20">
        <f t="shared" si="1582"/>
        <v>65430178.733905964</v>
      </c>
      <c r="EF286" s="20">
        <f t="shared" si="1582"/>
        <v>69607910.674534783</v>
      </c>
      <c r="EG286" s="20">
        <f t="shared" si="1582"/>
        <v>77782489.72144118</v>
      </c>
      <c r="EH286" s="20">
        <f t="shared" si="1582"/>
        <v>81248693.120156512</v>
      </c>
      <c r="EI286" s="20">
        <f t="shared" si="1582"/>
        <v>87932119.133632809</v>
      </c>
      <c r="EJ286" s="20">
        <f t="shared" si="1582"/>
        <v>97284764.573414102</v>
      </c>
      <c r="EK286" s="20">
        <f t="shared" si="1582"/>
        <v>100293174.91669506</v>
      </c>
      <c r="EL286" s="20">
        <f t="shared" si="1582"/>
        <v>105831127.71934107</v>
      </c>
      <c r="EM286" s="20">
        <f t="shared" si="1582"/>
        <v>115591750.77514715</v>
      </c>
      <c r="EN286" s="20">
        <f t="shared" si="1582"/>
        <v>119234334.24672434</v>
      </c>
      <c r="EO286" s="20">
        <f t="shared" si="1582"/>
        <v>129831981.44932918</v>
      </c>
      <c r="EP286" s="20">
        <f t="shared" si="1582"/>
        <v>142147431.53349298</v>
      </c>
      <c r="EQ286" s="20">
        <f t="shared" si="1582"/>
        <v>143375315.13949579</v>
      </c>
      <c r="ER286" s="20">
        <f t="shared" ref="ER286:FB286" si="1583">ER274+ER280</f>
        <v>146172854.94318819</v>
      </c>
      <c r="ES286" s="20">
        <f t="shared" si="1583"/>
        <v>151666091.22935691</v>
      </c>
      <c r="ET286" s="20">
        <f t="shared" si="1583"/>
        <v>153904477.40880254</v>
      </c>
      <c r="EU286" s="20">
        <f t="shared" si="1583"/>
        <v>158499965.53898492</v>
      </c>
      <c r="EV286" s="20">
        <f t="shared" si="1583"/>
        <v>164838439.47846493</v>
      </c>
      <c r="EW286" s="20">
        <f t="shared" si="1583"/>
        <v>166745744.8457711</v>
      </c>
      <c r="EX286" s="20">
        <f t="shared" si="1583"/>
        <v>170525303.62427562</v>
      </c>
      <c r="EY286" s="20">
        <f t="shared" si="1583"/>
        <v>177222090.95467484</v>
      </c>
      <c r="EZ286" s="20">
        <f t="shared" si="1583"/>
        <v>179589343.43204847</v>
      </c>
      <c r="FA286" s="20">
        <f t="shared" si="1583"/>
        <v>186678406.24774927</v>
      </c>
      <c r="FB286" s="20">
        <f t="shared" si="1583"/>
        <v>195033519.38351169</v>
      </c>
    </row>
    <row r="287" spans="1:158" x14ac:dyDescent="0.25">
      <c r="A287" s="334">
        <v>0.02</v>
      </c>
      <c r="C287" s="2" t="s">
        <v>300</v>
      </c>
      <c r="D287" s="244">
        <f t="shared" si="1555"/>
        <v>217304.98319999987</v>
      </c>
      <c r="E287" s="244">
        <f t="shared" si="1556"/>
        <v>392624.87539999984</v>
      </c>
      <c r="F287" s="244">
        <f t="shared" si="1557"/>
        <v>561810.87286593986</v>
      </c>
      <c r="G287" s="244">
        <f t="shared" si="1558"/>
        <v>1751919.8339949572</v>
      </c>
      <c r="H287" s="244">
        <f t="shared" si="1559"/>
        <v>3441777.4744542534</v>
      </c>
      <c r="I287" s="244">
        <f t="shared" si="1560"/>
        <v>6170712.6287460476</v>
      </c>
      <c r="J287" s="244">
        <f t="shared" si="1561"/>
        <v>10475467.182019316</v>
      </c>
      <c r="K287" s="244">
        <f t="shared" si="1562"/>
        <v>17108650.905778345</v>
      </c>
      <c r="L287" s="244">
        <f t="shared" si="1563"/>
        <v>27094882.576464318</v>
      </c>
      <c r="M287" s="244"/>
      <c r="N287" s="244">
        <f t="shared" ref="N287:AW287" si="1584">SUM(N275,N281)</f>
        <v>113728.5037999999</v>
      </c>
      <c r="O287" s="244">
        <f t="shared" si="1584"/>
        <v>138879.88319999989</v>
      </c>
      <c r="P287" s="244">
        <f t="shared" si="1584"/>
        <v>165887.55319999991</v>
      </c>
      <c r="Q287" s="244">
        <f t="shared" si="1584"/>
        <v>217304.98319999987</v>
      </c>
      <c r="R287" s="244">
        <f t="shared" si="1584"/>
        <v>248919.62779999987</v>
      </c>
      <c r="S287" s="244">
        <f t="shared" si="1584"/>
        <v>311162.45439999987</v>
      </c>
      <c r="T287" s="244">
        <f t="shared" si="1584"/>
        <v>341456.24619999988</v>
      </c>
      <c r="U287" s="244">
        <f t="shared" si="1584"/>
        <v>392624.87539999984</v>
      </c>
      <c r="V287" s="244">
        <f t="shared" si="1584"/>
        <v>420800.43159999984</v>
      </c>
      <c r="W287" s="244">
        <f t="shared" si="1584"/>
        <v>457436.2595846199</v>
      </c>
      <c r="X287" s="244">
        <f t="shared" si="1584"/>
        <v>516869.42618461984</v>
      </c>
      <c r="Y287" s="244">
        <f t="shared" si="1584"/>
        <v>561810.87286593986</v>
      </c>
      <c r="Z287" s="244">
        <f t="shared" si="1584"/>
        <v>707037.59425974346</v>
      </c>
      <c r="AA287" s="244">
        <f t="shared" si="1584"/>
        <v>993212.91792481951</v>
      </c>
      <c r="AB287" s="244">
        <f t="shared" si="1584"/>
        <v>1331330.9316838176</v>
      </c>
      <c r="AC287" s="244">
        <f t="shared" si="1584"/>
        <v>1751919.8339949569</v>
      </c>
      <c r="AD287" s="244">
        <f t="shared" si="1584"/>
        <v>2048853.0072340127</v>
      </c>
      <c r="AE287" s="244">
        <f t="shared" si="1584"/>
        <v>2447029.4402458472</v>
      </c>
      <c r="AF287" s="244">
        <f t="shared" si="1584"/>
        <v>2840772.9307009834</v>
      </c>
      <c r="AG287" s="244">
        <f t="shared" si="1584"/>
        <v>3441777.4744542534</v>
      </c>
      <c r="AH287" s="244">
        <f t="shared" si="1584"/>
        <v>3936155.4659519335</v>
      </c>
      <c r="AI287" s="244">
        <f t="shared" si="1584"/>
        <v>4613694.1726721758</v>
      </c>
      <c r="AJ287" s="244">
        <f t="shared" si="1584"/>
        <v>5249983.3693391019</v>
      </c>
      <c r="AK287" s="244">
        <f t="shared" si="1584"/>
        <v>6170712.6287460476</v>
      </c>
      <c r="AL287" s="244">
        <f t="shared" si="1584"/>
        <v>6950006.6793830823</v>
      </c>
      <c r="AM287" s="244">
        <f t="shared" si="1584"/>
        <v>8019166.3367445394</v>
      </c>
      <c r="AN287" s="244">
        <f t="shared" si="1584"/>
        <v>9023353.6319810208</v>
      </c>
      <c r="AO287" s="244">
        <f t="shared" si="1584"/>
        <v>10475467.182019318</v>
      </c>
      <c r="AP287" s="244">
        <f t="shared" si="1584"/>
        <v>11675624.781701438</v>
      </c>
      <c r="AQ287" s="244">
        <f t="shared" si="1584"/>
        <v>13323529.219852256</v>
      </c>
      <c r="AR287" s="244">
        <f t="shared" si="1584"/>
        <v>14871430.471025899</v>
      </c>
      <c r="AS287" s="244">
        <f t="shared" si="1584"/>
        <v>17108650.905778345</v>
      </c>
      <c r="AT287" s="244">
        <f t="shared" si="1584"/>
        <v>18914668.570828971</v>
      </c>
      <c r="AU287" s="244">
        <f t="shared" si="1584"/>
        <v>21396129.366739195</v>
      </c>
      <c r="AV287" s="244">
        <f t="shared" si="1584"/>
        <v>23727175.901823621</v>
      </c>
      <c r="AW287" s="244">
        <f t="shared" si="1584"/>
        <v>27094882.576464318</v>
      </c>
      <c r="AY287" s="244">
        <f>AY$63*$A287</f>
        <v>92345.653799999898</v>
      </c>
      <c r="AZ287" s="20">
        <f t="shared" ref="AZ287:CE287" si="1585">AZ275+AZ281</f>
        <v>98781.970399999904</v>
      </c>
      <c r="BA287" s="20">
        <f t="shared" si="1585"/>
        <v>113728.5037999999</v>
      </c>
      <c r="BB287" s="20">
        <f t="shared" si="1585"/>
        <v>119189.80379999991</v>
      </c>
      <c r="BC287" s="20">
        <f t="shared" si="1585"/>
        <v>130284.1431999999</v>
      </c>
      <c r="BD287" s="20">
        <f t="shared" si="1585"/>
        <v>138879.88319999989</v>
      </c>
      <c r="BE287" s="20">
        <f t="shared" si="1585"/>
        <v>145342.88319999989</v>
      </c>
      <c r="BF287" s="20">
        <f t="shared" si="1585"/>
        <v>149644.53319999989</v>
      </c>
      <c r="BG287" s="20">
        <f t="shared" si="1585"/>
        <v>165887.55319999988</v>
      </c>
      <c r="BH287" s="20">
        <f t="shared" si="1585"/>
        <v>172139.26319999987</v>
      </c>
      <c r="BI287" s="20">
        <f t="shared" si="1585"/>
        <v>198527.38319999987</v>
      </c>
      <c r="BJ287" s="20">
        <f t="shared" si="1585"/>
        <v>217304.98319999987</v>
      </c>
      <c r="BK287" s="20">
        <f t="shared" si="1585"/>
        <v>220167.98319999987</v>
      </c>
      <c r="BL287" s="20">
        <f t="shared" si="1585"/>
        <v>229105.60319999987</v>
      </c>
      <c r="BM287" s="20">
        <f t="shared" si="1585"/>
        <v>248919.62779999987</v>
      </c>
      <c r="BN287" s="20">
        <f t="shared" si="1585"/>
        <v>256650.53239999988</v>
      </c>
      <c r="BO287" s="20">
        <f t="shared" si="1585"/>
        <v>290670.48959999986</v>
      </c>
      <c r="BP287" s="20">
        <f t="shared" si="1585"/>
        <v>311162.45439999987</v>
      </c>
      <c r="BQ287" s="20">
        <f t="shared" si="1585"/>
        <v>321082.45899999986</v>
      </c>
      <c r="BR287" s="20">
        <f t="shared" si="1585"/>
        <v>324903.67899999983</v>
      </c>
      <c r="BS287" s="20">
        <f t="shared" si="1585"/>
        <v>341456.24619999982</v>
      </c>
      <c r="BT287" s="20">
        <f t="shared" si="1585"/>
        <v>342540.24619999982</v>
      </c>
      <c r="BU287" s="20">
        <f t="shared" si="1585"/>
        <v>360834.88619999983</v>
      </c>
      <c r="BV287" s="20">
        <f t="shared" si="1585"/>
        <v>392624.87539999984</v>
      </c>
      <c r="BW287" s="20">
        <f t="shared" si="1585"/>
        <v>402300.36819999985</v>
      </c>
      <c r="BX287" s="20">
        <f t="shared" si="1585"/>
        <v>414354.50819999987</v>
      </c>
      <c r="BY287" s="20">
        <f t="shared" si="1585"/>
        <v>420800.43159999989</v>
      </c>
      <c r="BZ287" s="20">
        <f t="shared" si="1585"/>
        <v>431514.89179999987</v>
      </c>
      <c r="CA287" s="20">
        <f t="shared" si="1585"/>
        <v>433095.38838461984</v>
      </c>
      <c r="CB287" s="20">
        <f t="shared" si="1585"/>
        <v>457436.25958461984</v>
      </c>
      <c r="CC287" s="20">
        <f t="shared" si="1585"/>
        <v>458744.95818461984</v>
      </c>
      <c r="CD287" s="20">
        <f t="shared" si="1585"/>
        <v>488529.12798461982</v>
      </c>
      <c r="CE287" s="20">
        <f t="shared" si="1585"/>
        <v>516869.42618461984</v>
      </c>
      <c r="CF287" s="20">
        <f t="shared" ref="CF287:DK287" si="1586">CF275+CF281</f>
        <v>523218.04498021986</v>
      </c>
      <c r="CG287" s="20">
        <f t="shared" si="1586"/>
        <v>538792.17486593989</v>
      </c>
      <c r="CH287" s="20">
        <f t="shared" si="1586"/>
        <v>561810.87286593986</v>
      </c>
      <c r="CI287" s="20">
        <f t="shared" si="1586"/>
        <v>590759.48341902462</v>
      </c>
      <c r="CJ287" s="20">
        <f t="shared" si="1586"/>
        <v>611570.59261968452</v>
      </c>
      <c r="CK287" s="20">
        <f t="shared" si="1586"/>
        <v>707037.59425974358</v>
      </c>
      <c r="CL287" s="20">
        <f t="shared" si="1586"/>
        <v>747730.42706118757</v>
      </c>
      <c r="CM287" s="20">
        <f t="shared" si="1586"/>
        <v>814994.67124141182</v>
      </c>
      <c r="CN287" s="20">
        <f t="shared" si="1586"/>
        <v>993212.9179248194</v>
      </c>
      <c r="CO287" s="20">
        <f t="shared" si="1586"/>
        <v>1043976.2801774939</v>
      </c>
      <c r="CP287" s="20">
        <f t="shared" si="1586"/>
        <v>1162467.3061991737</v>
      </c>
      <c r="CQ287" s="20">
        <f t="shared" si="1586"/>
        <v>1331330.9316838174</v>
      </c>
      <c r="CR287" s="20">
        <f t="shared" si="1586"/>
        <v>1373099.625874466</v>
      </c>
      <c r="CS287" s="20">
        <f t="shared" si="1586"/>
        <v>1540813.8091855701</v>
      </c>
      <c r="CT287" s="20">
        <f t="shared" si="1586"/>
        <v>1751919.8339949572</v>
      </c>
      <c r="CU287" s="20">
        <f t="shared" si="1586"/>
        <v>1789889.860802257</v>
      </c>
      <c r="CV287" s="20">
        <f t="shared" si="1586"/>
        <v>1876411.6510249376</v>
      </c>
      <c r="CW287" s="20">
        <f t="shared" si="1586"/>
        <v>2048853.0072340125</v>
      </c>
      <c r="CX287" s="20">
        <f t="shared" si="1586"/>
        <v>2115760.7239755946</v>
      </c>
      <c r="CY287" s="20">
        <f t="shared" si="1586"/>
        <v>2252863.5288009699</v>
      </c>
      <c r="CZ287" s="20">
        <f t="shared" si="1586"/>
        <v>2447029.4402458477</v>
      </c>
      <c r="DA287" s="20">
        <f t="shared" si="1586"/>
        <v>2511027.8047765377</v>
      </c>
      <c r="DB287" s="20">
        <f t="shared" si="1586"/>
        <v>2630322.0094598508</v>
      </c>
      <c r="DC287" s="20">
        <f t="shared" si="1586"/>
        <v>2840772.9307009834</v>
      </c>
      <c r="DD287" s="20">
        <f t="shared" si="1586"/>
        <v>2928812.0912807155</v>
      </c>
      <c r="DE287" s="20">
        <f t="shared" si="1586"/>
        <v>3166534.0809225701</v>
      </c>
      <c r="DF287" s="20">
        <f t="shared" si="1586"/>
        <v>3441777.4744542534</v>
      </c>
      <c r="DG287" s="20">
        <f t="shared" si="1586"/>
        <v>3507793.864369357</v>
      </c>
      <c r="DH287" s="20">
        <f t="shared" si="1586"/>
        <v>3652575.1850092188</v>
      </c>
      <c r="DI287" s="20">
        <f t="shared" si="1586"/>
        <v>3936155.465951934</v>
      </c>
      <c r="DJ287" s="20">
        <f t="shared" si="1586"/>
        <v>4055050.6981831733</v>
      </c>
      <c r="DK287" s="20">
        <f t="shared" si="1586"/>
        <v>4288450.5440170094</v>
      </c>
      <c r="DL287" s="20">
        <f t="shared" ref="DL287:EQ287" si="1587">DL275+DL281</f>
        <v>4613694.1726721767</v>
      </c>
      <c r="DM287" s="20">
        <f t="shared" si="1587"/>
        <v>4716360.1948885657</v>
      </c>
      <c r="DN287" s="20">
        <f t="shared" si="1587"/>
        <v>4909337.3236075705</v>
      </c>
      <c r="DO287" s="20">
        <f t="shared" si="1587"/>
        <v>5249983.3693391019</v>
      </c>
      <c r="DP287" s="20">
        <f t="shared" si="1587"/>
        <v>5375150.8424037341</v>
      </c>
      <c r="DQ287" s="20">
        <f t="shared" si="1587"/>
        <v>5742306.779843335</v>
      </c>
      <c r="DR287" s="20">
        <f t="shared" si="1587"/>
        <v>6170712.6287460476</v>
      </c>
      <c r="DS287" s="20">
        <f t="shared" si="1587"/>
        <v>6274385.4611868979</v>
      </c>
      <c r="DT287" s="20">
        <f t="shared" si="1587"/>
        <v>6502695.7715189708</v>
      </c>
      <c r="DU287" s="20">
        <f t="shared" si="1587"/>
        <v>6950006.6793830832</v>
      </c>
      <c r="DV287" s="20">
        <f t="shared" si="1587"/>
        <v>7136964.3571408913</v>
      </c>
      <c r="DW287" s="20">
        <f t="shared" si="1587"/>
        <v>7505792.4969776133</v>
      </c>
      <c r="DX287" s="20">
        <f t="shared" si="1587"/>
        <v>8019166.3367445394</v>
      </c>
      <c r="DY287" s="20">
        <f t="shared" si="1587"/>
        <v>8180373.8405992668</v>
      </c>
      <c r="DZ287" s="20">
        <f t="shared" si="1587"/>
        <v>8485143.5826905984</v>
      </c>
      <c r="EA287" s="20">
        <f t="shared" si="1587"/>
        <v>9023353.6319810208</v>
      </c>
      <c r="EB287" s="20">
        <f t="shared" si="1587"/>
        <v>9220271.4147663154</v>
      </c>
      <c r="EC287" s="20">
        <f t="shared" si="1587"/>
        <v>9799203.4437504355</v>
      </c>
      <c r="ED287" s="20">
        <f t="shared" si="1587"/>
        <v>10475467.182019316</v>
      </c>
      <c r="EE287" s="20">
        <f t="shared" si="1587"/>
        <v>10634675.156286841</v>
      </c>
      <c r="EF287" s="20">
        <f t="shared" si="1587"/>
        <v>10986390.765419029</v>
      </c>
      <c r="EG287" s="20">
        <f t="shared" si="1587"/>
        <v>11675624.781701436</v>
      </c>
      <c r="EH287" s="20">
        <f t="shared" si="1587"/>
        <v>11963016.100938329</v>
      </c>
      <c r="EI287" s="20">
        <f t="shared" si="1587"/>
        <v>12532101.65435805</v>
      </c>
      <c r="EJ287" s="20">
        <f t="shared" si="1587"/>
        <v>13323529.219852258</v>
      </c>
      <c r="EK287" s="20">
        <f t="shared" si="1587"/>
        <v>13571068.113041658</v>
      </c>
      <c r="EL287" s="20">
        <f t="shared" si="1587"/>
        <v>14041104.230075805</v>
      </c>
      <c r="EM287" s="20">
        <f t="shared" si="1587"/>
        <v>14871430.471025897</v>
      </c>
      <c r="EN287" s="20">
        <f t="shared" si="1587"/>
        <v>15174246.12716084</v>
      </c>
      <c r="EO287" s="20">
        <f t="shared" si="1587"/>
        <v>16066044.114877658</v>
      </c>
      <c r="EP287" s="20">
        <f t="shared" si="1587"/>
        <v>17108650.905778345</v>
      </c>
      <c r="EQ287" s="20">
        <f t="shared" si="1587"/>
        <v>17347663.94409053</v>
      </c>
      <c r="ER287" s="20">
        <f t="shared" ref="ER287:FB287" si="1588">ER275+ER281</f>
        <v>17877061.951763</v>
      </c>
      <c r="ES287" s="20">
        <f t="shared" si="1588"/>
        <v>18914668.570828967</v>
      </c>
      <c r="ET287" s="20">
        <f t="shared" si="1588"/>
        <v>19346474.295236818</v>
      </c>
      <c r="EU287" s="20">
        <f t="shared" si="1588"/>
        <v>20204175.929973416</v>
      </c>
      <c r="EV287" s="20">
        <f t="shared" si="1588"/>
        <v>21396129.366739199</v>
      </c>
      <c r="EW287" s="20">
        <f t="shared" si="1588"/>
        <v>21767720.671589721</v>
      </c>
      <c r="EX287" s="20">
        <f t="shared" si="1588"/>
        <v>22475877.841674235</v>
      </c>
      <c r="EY287" s="20">
        <f t="shared" si="1588"/>
        <v>23727175.901823621</v>
      </c>
      <c r="EZ287" s="20">
        <f t="shared" si="1588"/>
        <v>24182298.591314282</v>
      </c>
      <c r="FA287" s="20">
        <f t="shared" si="1588"/>
        <v>25524552.35857952</v>
      </c>
      <c r="FB287" s="20">
        <f t="shared" si="1588"/>
        <v>27094882.576464318</v>
      </c>
    </row>
    <row r="289" spans="1:158" x14ac:dyDescent="0.25">
      <c r="A289" s="329">
        <v>43132</v>
      </c>
      <c r="C289" s="304" t="s">
        <v>345</v>
      </c>
      <c r="D289" s="335">
        <f t="shared" ref="D289:L289" si="1589">D283/D$283</f>
        <v>1</v>
      </c>
      <c r="E289" s="335">
        <f t="shared" si="1589"/>
        <v>1</v>
      </c>
      <c r="F289" s="335">
        <f t="shared" si="1589"/>
        <v>1</v>
      </c>
      <c r="G289" s="335">
        <f t="shared" si="1589"/>
        <v>1</v>
      </c>
      <c r="H289" s="335">
        <f t="shared" si="1589"/>
        <v>1</v>
      </c>
      <c r="I289" s="335">
        <f t="shared" si="1589"/>
        <v>1</v>
      </c>
      <c r="J289" s="335">
        <f t="shared" si="1589"/>
        <v>1</v>
      </c>
      <c r="K289" s="335">
        <f t="shared" si="1589"/>
        <v>1</v>
      </c>
      <c r="L289" s="335">
        <f t="shared" si="1589"/>
        <v>1</v>
      </c>
      <c r="M289" s="22"/>
      <c r="N289" s="335">
        <f t="shared" ref="N289:AW289" si="1590">N283/N$283</f>
        <v>1</v>
      </c>
      <c r="O289" s="335">
        <f t="shared" si="1590"/>
        <v>1</v>
      </c>
      <c r="P289" s="335">
        <f t="shared" si="1590"/>
        <v>1</v>
      </c>
      <c r="Q289" s="335">
        <f t="shared" si="1590"/>
        <v>1</v>
      </c>
      <c r="R289" s="335">
        <f t="shared" si="1590"/>
        <v>1</v>
      </c>
      <c r="S289" s="335">
        <f t="shared" si="1590"/>
        <v>1</v>
      </c>
      <c r="T289" s="335">
        <f t="shared" si="1590"/>
        <v>1</v>
      </c>
      <c r="U289" s="335">
        <f t="shared" si="1590"/>
        <v>1</v>
      </c>
      <c r="V289" s="335">
        <f t="shared" si="1590"/>
        <v>1</v>
      </c>
      <c r="W289" s="335">
        <f t="shared" si="1590"/>
        <v>1</v>
      </c>
      <c r="X289" s="335">
        <f t="shared" si="1590"/>
        <v>1</v>
      </c>
      <c r="Y289" s="335">
        <f t="shared" si="1590"/>
        <v>1</v>
      </c>
      <c r="Z289" s="335">
        <f t="shared" si="1590"/>
        <v>1</v>
      </c>
      <c r="AA289" s="335">
        <f t="shared" si="1590"/>
        <v>1</v>
      </c>
      <c r="AB289" s="335">
        <f t="shared" si="1590"/>
        <v>1</v>
      </c>
      <c r="AC289" s="335">
        <f t="shared" si="1590"/>
        <v>1</v>
      </c>
      <c r="AD289" s="335">
        <f t="shared" si="1590"/>
        <v>1</v>
      </c>
      <c r="AE289" s="335">
        <f t="shared" si="1590"/>
        <v>1</v>
      </c>
      <c r="AF289" s="335">
        <f t="shared" si="1590"/>
        <v>1</v>
      </c>
      <c r="AG289" s="335">
        <f t="shared" si="1590"/>
        <v>1</v>
      </c>
      <c r="AH289" s="335">
        <f t="shared" si="1590"/>
        <v>1</v>
      </c>
      <c r="AI289" s="335">
        <f t="shared" si="1590"/>
        <v>1</v>
      </c>
      <c r="AJ289" s="335">
        <f t="shared" si="1590"/>
        <v>1</v>
      </c>
      <c r="AK289" s="335">
        <f t="shared" si="1590"/>
        <v>1</v>
      </c>
      <c r="AL289" s="335">
        <f t="shared" si="1590"/>
        <v>1</v>
      </c>
      <c r="AM289" s="335">
        <f t="shared" si="1590"/>
        <v>1</v>
      </c>
      <c r="AN289" s="335">
        <f t="shared" si="1590"/>
        <v>1</v>
      </c>
      <c r="AO289" s="335">
        <f t="shared" si="1590"/>
        <v>1</v>
      </c>
      <c r="AP289" s="335">
        <f t="shared" si="1590"/>
        <v>1</v>
      </c>
      <c r="AQ289" s="335">
        <f t="shared" si="1590"/>
        <v>1</v>
      </c>
      <c r="AR289" s="335">
        <f t="shared" si="1590"/>
        <v>1</v>
      </c>
      <c r="AS289" s="335">
        <f t="shared" si="1590"/>
        <v>1</v>
      </c>
      <c r="AT289" s="335">
        <f t="shared" si="1590"/>
        <v>1</v>
      </c>
      <c r="AU289" s="335">
        <f t="shared" si="1590"/>
        <v>1</v>
      </c>
      <c r="AV289" s="335">
        <f t="shared" si="1590"/>
        <v>1</v>
      </c>
      <c r="AW289" s="335">
        <f t="shared" si="1590"/>
        <v>1</v>
      </c>
      <c r="AY289" s="335">
        <f t="shared" ref="AY289:DJ289" si="1591">AY283/AY$283</f>
        <v>1</v>
      </c>
      <c r="AZ289" s="335">
        <f t="shared" si="1591"/>
        <v>1</v>
      </c>
      <c r="BA289" s="335">
        <f t="shared" si="1591"/>
        <v>1</v>
      </c>
      <c r="BB289" s="335">
        <f t="shared" si="1591"/>
        <v>1</v>
      </c>
      <c r="BC289" s="335">
        <f t="shared" si="1591"/>
        <v>1</v>
      </c>
      <c r="BD289" s="335">
        <f t="shared" si="1591"/>
        <v>1</v>
      </c>
      <c r="BE289" s="335">
        <f t="shared" si="1591"/>
        <v>1</v>
      </c>
      <c r="BF289" s="335">
        <f t="shared" si="1591"/>
        <v>1</v>
      </c>
      <c r="BG289" s="335">
        <f t="shared" si="1591"/>
        <v>1</v>
      </c>
      <c r="BH289" s="335">
        <f t="shared" si="1591"/>
        <v>1</v>
      </c>
      <c r="BI289" s="335">
        <f t="shared" si="1591"/>
        <v>1</v>
      </c>
      <c r="BJ289" s="335">
        <f t="shared" si="1591"/>
        <v>1</v>
      </c>
      <c r="BK289" s="335">
        <f t="shared" si="1591"/>
        <v>1</v>
      </c>
      <c r="BL289" s="335">
        <f t="shared" si="1591"/>
        <v>1</v>
      </c>
      <c r="BM289" s="335">
        <f t="shared" si="1591"/>
        <v>1</v>
      </c>
      <c r="BN289" s="335">
        <f t="shared" si="1591"/>
        <v>1</v>
      </c>
      <c r="BO289" s="335">
        <f t="shared" si="1591"/>
        <v>1</v>
      </c>
      <c r="BP289" s="335">
        <f t="shared" si="1591"/>
        <v>1</v>
      </c>
      <c r="BQ289" s="335">
        <f t="shared" si="1591"/>
        <v>1</v>
      </c>
      <c r="BR289" s="335">
        <f t="shared" si="1591"/>
        <v>1</v>
      </c>
      <c r="BS289" s="335">
        <f t="shared" si="1591"/>
        <v>1</v>
      </c>
      <c r="BT289" s="335">
        <f t="shared" si="1591"/>
        <v>1</v>
      </c>
      <c r="BU289" s="335">
        <f t="shared" si="1591"/>
        <v>1</v>
      </c>
      <c r="BV289" s="335">
        <f t="shared" si="1591"/>
        <v>1</v>
      </c>
      <c r="BW289" s="335">
        <f t="shared" si="1591"/>
        <v>1</v>
      </c>
      <c r="BX289" s="335">
        <f t="shared" si="1591"/>
        <v>1</v>
      </c>
      <c r="BY289" s="335">
        <f t="shared" si="1591"/>
        <v>1</v>
      </c>
      <c r="BZ289" s="335">
        <f t="shared" si="1591"/>
        <v>1</v>
      </c>
      <c r="CA289" s="335">
        <f t="shared" si="1591"/>
        <v>1</v>
      </c>
      <c r="CB289" s="335">
        <f t="shared" si="1591"/>
        <v>1</v>
      </c>
      <c r="CC289" s="335">
        <f t="shared" si="1591"/>
        <v>1</v>
      </c>
      <c r="CD289" s="335">
        <f t="shared" si="1591"/>
        <v>1</v>
      </c>
      <c r="CE289" s="335">
        <f t="shared" si="1591"/>
        <v>1</v>
      </c>
      <c r="CF289" s="335">
        <f t="shared" si="1591"/>
        <v>1</v>
      </c>
      <c r="CG289" s="335">
        <f t="shared" si="1591"/>
        <v>1</v>
      </c>
      <c r="CH289" s="335">
        <f t="shared" si="1591"/>
        <v>1</v>
      </c>
      <c r="CI289" s="335">
        <f t="shared" si="1591"/>
        <v>1</v>
      </c>
      <c r="CJ289" s="335">
        <f t="shared" si="1591"/>
        <v>1</v>
      </c>
      <c r="CK289" s="335">
        <f t="shared" si="1591"/>
        <v>1</v>
      </c>
      <c r="CL289" s="335">
        <f t="shared" si="1591"/>
        <v>1</v>
      </c>
      <c r="CM289" s="335">
        <f t="shared" si="1591"/>
        <v>1</v>
      </c>
      <c r="CN289" s="335">
        <f t="shared" si="1591"/>
        <v>1</v>
      </c>
      <c r="CO289" s="335">
        <f t="shared" si="1591"/>
        <v>1</v>
      </c>
      <c r="CP289" s="335">
        <f t="shared" si="1591"/>
        <v>1</v>
      </c>
      <c r="CQ289" s="335">
        <f t="shared" si="1591"/>
        <v>1</v>
      </c>
      <c r="CR289" s="335">
        <f t="shared" si="1591"/>
        <v>1</v>
      </c>
      <c r="CS289" s="335">
        <f t="shared" si="1591"/>
        <v>1</v>
      </c>
      <c r="CT289" s="335">
        <f t="shared" si="1591"/>
        <v>1</v>
      </c>
      <c r="CU289" s="335">
        <f t="shared" si="1591"/>
        <v>1</v>
      </c>
      <c r="CV289" s="335">
        <f t="shared" si="1591"/>
        <v>1</v>
      </c>
      <c r="CW289" s="335">
        <f t="shared" si="1591"/>
        <v>1</v>
      </c>
      <c r="CX289" s="335">
        <f t="shared" si="1591"/>
        <v>1</v>
      </c>
      <c r="CY289" s="335">
        <f t="shared" si="1591"/>
        <v>1</v>
      </c>
      <c r="CZ289" s="335">
        <f t="shared" si="1591"/>
        <v>1</v>
      </c>
      <c r="DA289" s="335">
        <f t="shared" si="1591"/>
        <v>1</v>
      </c>
      <c r="DB289" s="335">
        <f t="shared" si="1591"/>
        <v>1</v>
      </c>
      <c r="DC289" s="335">
        <f t="shared" si="1591"/>
        <v>1</v>
      </c>
      <c r="DD289" s="335">
        <f t="shared" si="1591"/>
        <v>1</v>
      </c>
      <c r="DE289" s="335">
        <f t="shared" si="1591"/>
        <v>1</v>
      </c>
      <c r="DF289" s="335">
        <f t="shared" si="1591"/>
        <v>1</v>
      </c>
      <c r="DG289" s="335">
        <f t="shared" si="1591"/>
        <v>1</v>
      </c>
      <c r="DH289" s="335">
        <f t="shared" si="1591"/>
        <v>1</v>
      </c>
      <c r="DI289" s="335">
        <f t="shared" si="1591"/>
        <v>1</v>
      </c>
      <c r="DJ289" s="335">
        <f t="shared" si="1591"/>
        <v>1</v>
      </c>
      <c r="DK289" s="335">
        <f t="shared" ref="DK289:FB289" si="1592">DK283/DK$283</f>
        <v>1</v>
      </c>
      <c r="DL289" s="335">
        <f t="shared" si="1592"/>
        <v>1</v>
      </c>
      <c r="DM289" s="335">
        <f t="shared" si="1592"/>
        <v>1</v>
      </c>
      <c r="DN289" s="335">
        <f t="shared" si="1592"/>
        <v>1</v>
      </c>
      <c r="DO289" s="335">
        <f t="shared" si="1592"/>
        <v>1</v>
      </c>
      <c r="DP289" s="335">
        <f t="shared" si="1592"/>
        <v>1</v>
      </c>
      <c r="DQ289" s="335">
        <f t="shared" si="1592"/>
        <v>1</v>
      </c>
      <c r="DR289" s="335">
        <f t="shared" si="1592"/>
        <v>1</v>
      </c>
      <c r="DS289" s="335">
        <f t="shared" si="1592"/>
        <v>1</v>
      </c>
      <c r="DT289" s="335">
        <f t="shared" si="1592"/>
        <v>1</v>
      </c>
      <c r="DU289" s="335">
        <f t="shared" si="1592"/>
        <v>1</v>
      </c>
      <c r="DV289" s="335">
        <f t="shared" si="1592"/>
        <v>1</v>
      </c>
      <c r="DW289" s="335">
        <f t="shared" si="1592"/>
        <v>1</v>
      </c>
      <c r="DX289" s="335">
        <f t="shared" si="1592"/>
        <v>1</v>
      </c>
      <c r="DY289" s="335">
        <f t="shared" si="1592"/>
        <v>1</v>
      </c>
      <c r="DZ289" s="335">
        <f t="shared" si="1592"/>
        <v>1</v>
      </c>
      <c r="EA289" s="335">
        <f t="shared" si="1592"/>
        <v>1</v>
      </c>
      <c r="EB289" s="335">
        <f t="shared" si="1592"/>
        <v>1</v>
      </c>
      <c r="EC289" s="335">
        <f t="shared" si="1592"/>
        <v>1</v>
      </c>
      <c r="ED289" s="335">
        <f t="shared" si="1592"/>
        <v>1</v>
      </c>
      <c r="EE289" s="335">
        <f t="shared" si="1592"/>
        <v>1</v>
      </c>
      <c r="EF289" s="335">
        <f t="shared" si="1592"/>
        <v>1</v>
      </c>
      <c r="EG289" s="335">
        <f t="shared" si="1592"/>
        <v>1</v>
      </c>
      <c r="EH289" s="335">
        <f t="shared" si="1592"/>
        <v>1</v>
      </c>
      <c r="EI289" s="335">
        <f t="shared" si="1592"/>
        <v>1</v>
      </c>
      <c r="EJ289" s="335">
        <f t="shared" si="1592"/>
        <v>1</v>
      </c>
      <c r="EK289" s="335">
        <f t="shared" si="1592"/>
        <v>1</v>
      </c>
      <c r="EL289" s="335">
        <f t="shared" si="1592"/>
        <v>1</v>
      </c>
      <c r="EM289" s="335">
        <f t="shared" si="1592"/>
        <v>1</v>
      </c>
      <c r="EN289" s="335">
        <f t="shared" si="1592"/>
        <v>1</v>
      </c>
      <c r="EO289" s="335">
        <f t="shared" si="1592"/>
        <v>1</v>
      </c>
      <c r="EP289" s="335">
        <f t="shared" si="1592"/>
        <v>1</v>
      </c>
      <c r="EQ289" s="335">
        <f t="shared" si="1592"/>
        <v>1</v>
      </c>
      <c r="ER289" s="335">
        <f t="shared" si="1592"/>
        <v>1</v>
      </c>
      <c r="ES289" s="335">
        <f t="shared" si="1592"/>
        <v>1</v>
      </c>
      <c r="ET289" s="335">
        <f t="shared" si="1592"/>
        <v>1</v>
      </c>
      <c r="EU289" s="335">
        <f t="shared" si="1592"/>
        <v>1</v>
      </c>
      <c r="EV289" s="335">
        <f t="shared" si="1592"/>
        <v>1</v>
      </c>
      <c r="EW289" s="335">
        <f t="shared" si="1592"/>
        <v>1</v>
      </c>
      <c r="EX289" s="335">
        <f t="shared" si="1592"/>
        <v>1</v>
      </c>
      <c r="EY289" s="335">
        <f t="shared" si="1592"/>
        <v>1</v>
      </c>
      <c r="EZ289" s="335">
        <f t="shared" si="1592"/>
        <v>1</v>
      </c>
      <c r="FA289" s="335">
        <f t="shared" si="1592"/>
        <v>1</v>
      </c>
      <c r="FB289" s="335">
        <f t="shared" si="1592"/>
        <v>1</v>
      </c>
    </row>
    <row r="290" spans="1:158" x14ac:dyDescent="0.25">
      <c r="A290" s="334">
        <v>0.9</v>
      </c>
      <c r="C290" s="2" t="s">
        <v>346</v>
      </c>
      <c r="D290" s="308">
        <f t="shared" ref="D290:L290" si="1593">D284/D$283</f>
        <v>0.94891453932716185</v>
      </c>
      <c r="E290" s="308">
        <f t="shared" si="1593"/>
        <v>0.94940500098751268</v>
      </c>
      <c r="F290" s="308">
        <f t="shared" si="1593"/>
        <v>0.94958566620547924</v>
      </c>
      <c r="G290" s="308">
        <f t="shared" si="1593"/>
        <v>0.91358221512762117</v>
      </c>
      <c r="H290" s="308">
        <f t="shared" si="1593"/>
        <v>0.87132339498841727</v>
      </c>
      <c r="I290" s="308">
        <f t="shared" si="1593"/>
        <v>0.72636671848715495</v>
      </c>
      <c r="J290" s="308">
        <f t="shared" si="1593"/>
        <v>0.56202282715857432</v>
      </c>
      <c r="K290" s="308">
        <f t="shared" si="1593"/>
        <v>0.42771807616876545</v>
      </c>
      <c r="L290" s="308">
        <f t="shared" si="1593"/>
        <v>0.4602295613392533</v>
      </c>
      <c r="M290" s="244"/>
      <c r="N290" s="308">
        <f t="shared" ref="N290:AW290" si="1594">N284/N$283</f>
        <v>0.94788413939325966</v>
      </c>
      <c r="O290" s="308">
        <f t="shared" si="1594"/>
        <v>0.94828050303194611</v>
      </c>
      <c r="P290" s="308">
        <f t="shared" si="1594"/>
        <v>0.94856846439353082</v>
      </c>
      <c r="Q290" s="308">
        <f t="shared" si="1594"/>
        <v>0.94891453932716185</v>
      </c>
      <c r="R290" s="308">
        <f t="shared" si="1594"/>
        <v>0.94905500647406371</v>
      </c>
      <c r="S290" s="308">
        <f t="shared" si="1594"/>
        <v>0.94924688380113065</v>
      </c>
      <c r="T290" s="308">
        <f t="shared" si="1594"/>
        <v>0.94931461570806919</v>
      </c>
      <c r="U290" s="308">
        <f t="shared" si="1594"/>
        <v>0.94940500098751268</v>
      </c>
      <c r="V290" s="308">
        <f t="shared" si="1594"/>
        <v>0.94944528235920977</v>
      </c>
      <c r="W290" s="308">
        <f t="shared" si="1594"/>
        <v>0.94949016241306106</v>
      </c>
      <c r="X290" s="308">
        <f t="shared" si="1594"/>
        <v>0.94954931543492371</v>
      </c>
      <c r="Y290" s="308">
        <f t="shared" si="1594"/>
        <v>0.94958566620547924</v>
      </c>
      <c r="Z290" s="308">
        <f t="shared" si="1594"/>
        <v>0.94218321248888692</v>
      </c>
      <c r="AA290" s="308">
        <f t="shared" si="1594"/>
        <v>0.93138759550794681</v>
      </c>
      <c r="AB290" s="308">
        <f t="shared" si="1594"/>
        <v>0.92200460126015438</v>
      </c>
      <c r="AC290" s="308">
        <f t="shared" si="1594"/>
        <v>0.91358221512762117</v>
      </c>
      <c r="AD290" s="308">
        <f t="shared" si="1594"/>
        <v>0.90249919534021517</v>
      </c>
      <c r="AE290" s="308">
        <f t="shared" si="1594"/>
        <v>0.8908795606103671</v>
      </c>
      <c r="AF290" s="308">
        <f t="shared" si="1594"/>
        <v>0.88189917886000413</v>
      </c>
      <c r="AG290" s="308">
        <f t="shared" si="1594"/>
        <v>0.87132339498841727</v>
      </c>
      <c r="AH290" s="308">
        <f t="shared" si="1594"/>
        <v>0.83242959279018203</v>
      </c>
      <c r="AI290" s="308">
        <f t="shared" si="1594"/>
        <v>0.7911187002480633</v>
      </c>
      <c r="AJ290" s="308">
        <f t="shared" si="1594"/>
        <v>0.76078860492044498</v>
      </c>
      <c r="AK290" s="308">
        <f t="shared" si="1594"/>
        <v>0.72636671848715495</v>
      </c>
      <c r="AL290" s="308">
        <f t="shared" si="1594"/>
        <v>0.68271309216196541</v>
      </c>
      <c r="AM290" s="308">
        <f t="shared" si="1594"/>
        <v>0.63599307679592254</v>
      </c>
      <c r="AN290" s="308">
        <f t="shared" si="1594"/>
        <v>0.60145692227307024</v>
      </c>
      <c r="AO290" s="308">
        <f t="shared" si="1594"/>
        <v>0.56202282715857443</v>
      </c>
      <c r="AP290" s="308">
        <f t="shared" si="1594"/>
        <v>0.52681350565822105</v>
      </c>
      <c r="AQ290" s="308">
        <f t="shared" si="1594"/>
        <v>0.48876061730988396</v>
      </c>
      <c r="AR290" s="308">
        <f t="shared" si="1594"/>
        <v>0.46038146520000567</v>
      </c>
      <c r="AS290" s="308">
        <f t="shared" si="1594"/>
        <v>0.42771807616876539</v>
      </c>
      <c r="AT290" s="308">
        <f t="shared" si="1594"/>
        <v>0.43611816388441726</v>
      </c>
      <c r="AU290" s="308">
        <f t="shared" si="1594"/>
        <v>0.44529427690894008</v>
      </c>
      <c r="AV290" s="308">
        <f t="shared" si="1594"/>
        <v>0.45220475028027823</v>
      </c>
      <c r="AW290" s="308">
        <f t="shared" si="1594"/>
        <v>0.46022956133925336</v>
      </c>
      <c r="AY290" s="308">
        <f t="shared" ref="AY290:DJ290" si="1595">AY284/AY$283</f>
        <v>0.94736842105263175</v>
      </c>
      <c r="AZ290" s="308">
        <f t="shared" si="1595"/>
        <v>0.94754829395058393</v>
      </c>
      <c r="BA290" s="308">
        <f t="shared" si="1595"/>
        <v>0.94788413939325966</v>
      </c>
      <c r="BB290" s="308">
        <f t="shared" si="1595"/>
        <v>0.94798499559699545</v>
      </c>
      <c r="BC290" s="308">
        <f t="shared" si="1595"/>
        <v>0.94816288770513513</v>
      </c>
      <c r="BD290" s="308">
        <f t="shared" si="1595"/>
        <v>0.94828050303194611</v>
      </c>
      <c r="BE290" s="308">
        <f t="shared" si="1595"/>
        <v>0.94835947309044477</v>
      </c>
      <c r="BF290" s="308">
        <f t="shared" si="1595"/>
        <v>0.94840813272203583</v>
      </c>
      <c r="BG290" s="308">
        <f t="shared" si="1595"/>
        <v>0.94856846439353082</v>
      </c>
      <c r="BH290" s="308">
        <f t="shared" si="1595"/>
        <v>0.94862188750516707</v>
      </c>
      <c r="BI290" s="308">
        <f t="shared" si="1595"/>
        <v>0.94880942697728077</v>
      </c>
      <c r="BJ290" s="308">
        <f t="shared" si="1595"/>
        <v>0.94891453932716185</v>
      </c>
      <c r="BK290" s="308">
        <f t="shared" si="1595"/>
        <v>0.94892895669578547</v>
      </c>
      <c r="BL290" s="308">
        <f t="shared" si="1595"/>
        <v>0.94897159846010914</v>
      </c>
      <c r="BM290" s="308">
        <f t="shared" si="1595"/>
        <v>0.94905500647406371</v>
      </c>
      <c r="BN290" s="308">
        <f t="shared" si="1595"/>
        <v>0.94908399334307814</v>
      </c>
      <c r="BO290" s="308">
        <f t="shared" si="1595"/>
        <v>0.94919293289177276</v>
      </c>
      <c r="BP290" s="308">
        <f t="shared" si="1595"/>
        <v>0.94924688380113065</v>
      </c>
      <c r="BQ290" s="308">
        <f t="shared" si="1595"/>
        <v>0.94927049118897722</v>
      </c>
      <c r="BR290" s="308">
        <f t="shared" si="1595"/>
        <v>0.94927919469212618</v>
      </c>
      <c r="BS290" s="308">
        <f t="shared" si="1595"/>
        <v>0.94931461570806908</v>
      </c>
      <c r="BT290" s="308">
        <f t="shared" si="1595"/>
        <v>0.9493168143055386</v>
      </c>
      <c r="BU290" s="308">
        <f t="shared" si="1595"/>
        <v>0.94935190138773262</v>
      </c>
      <c r="BV290" s="308">
        <f t="shared" si="1595"/>
        <v>0.94940500098751268</v>
      </c>
      <c r="BW290" s="308">
        <f t="shared" si="1595"/>
        <v>0.94941947710900509</v>
      </c>
      <c r="BX290" s="308">
        <f t="shared" si="1595"/>
        <v>0.94943655562607787</v>
      </c>
      <c r="BY290" s="308">
        <f t="shared" si="1595"/>
        <v>0.94944528235920944</v>
      </c>
      <c r="BZ290" s="308">
        <f t="shared" si="1595"/>
        <v>0.94945920490165892</v>
      </c>
      <c r="CA290" s="308">
        <f t="shared" si="1595"/>
        <v>0.94946119969391196</v>
      </c>
      <c r="CB290" s="308">
        <f t="shared" si="1595"/>
        <v>0.94949016241306072</v>
      </c>
      <c r="CC290" s="308">
        <f t="shared" si="1595"/>
        <v>0.94949163165568184</v>
      </c>
      <c r="CD290" s="308">
        <f t="shared" si="1595"/>
        <v>0.94952292109245706</v>
      </c>
      <c r="CE290" s="308">
        <f t="shared" si="1595"/>
        <v>0.9495493154349236</v>
      </c>
      <c r="CF290" s="308">
        <f t="shared" si="1595"/>
        <v>0.94955483263564677</v>
      </c>
      <c r="CG290" s="308">
        <f t="shared" si="1595"/>
        <v>0.94956781170758531</v>
      </c>
      <c r="CH290" s="308">
        <f t="shared" si="1595"/>
        <v>0.94958566620547924</v>
      </c>
      <c r="CI290" s="308">
        <f t="shared" si="1595"/>
        <v>0.94810771491221546</v>
      </c>
      <c r="CJ290" s="308">
        <f t="shared" si="1595"/>
        <v>0.94676606010176445</v>
      </c>
      <c r="CK290" s="308">
        <f t="shared" si="1595"/>
        <v>0.94218321248888681</v>
      </c>
      <c r="CL290" s="308">
        <f t="shared" si="1595"/>
        <v>0.94044310386829766</v>
      </c>
      <c r="CM290" s="308">
        <f t="shared" si="1595"/>
        <v>0.93769489974920273</v>
      </c>
      <c r="CN290" s="308">
        <f t="shared" si="1595"/>
        <v>0.93138759550794692</v>
      </c>
      <c r="CO290" s="308">
        <f t="shared" si="1595"/>
        <v>0.92978287392086201</v>
      </c>
      <c r="CP290" s="308">
        <f t="shared" si="1595"/>
        <v>0.92633410163605101</v>
      </c>
      <c r="CQ290" s="308">
        <f t="shared" si="1595"/>
        <v>0.92200460126015438</v>
      </c>
      <c r="CR290" s="308">
        <f t="shared" si="1595"/>
        <v>0.92101766797702012</v>
      </c>
      <c r="CS290" s="308">
        <f t="shared" si="1595"/>
        <v>0.9174148096235526</v>
      </c>
      <c r="CT290" s="308">
        <f t="shared" si="1595"/>
        <v>0.91358221512762117</v>
      </c>
      <c r="CU290" s="308">
        <f t="shared" si="1595"/>
        <v>0.91197324503177712</v>
      </c>
      <c r="CV290" s="308">
        <f t="shared" si="1595"/>
        <v>0.90860040282636712</v>
      </c>
      <c r="CW290" s="308">
        <f t="shared" si="1595"/>
        <v>0.90249919534021517</v>
      </c>
      <c r="CX290" s="308">
        <f t="shared" si="1595"/>
        <v>0.90024481148330771</v>
      </c>
      <c r="CY290" s="308">
        <f t="shared" si="1595"/>
        <v>0.8961516958270771</v>
      </c>
      <c r="CZ290" s="308">
        <f t="shared" si="1595"/>
        <v>0.8908795606103671</v>
      </c>
      <c r="DA290" s="308">
        <f t="shared" si="1595"/>
        <v>0.88918671830257023</v>
      </c>
      <c r="DB290" s="308">
        <f t="shared" si="1595"/>
        <v>0.88638091238019401</v>
      </c>
      <c r="DC290" s="308">
        <f t="shared" si="1595"/>
        <v>0.88189917886000391</v>
      </c>
      <c r="DD290" s="308">
        <f t="shared" si="1595"/>
        <v>0.88009834968491363</v>
      </c>
      <c r="DE290" s="308">
        <f t="shared" si="1595"/>
        <v>0.87571980213578071</v>
      </c>
      <c r="DF290" s="308">
        <f t="shared" si="1595"/>
        <v>0.87132339498841727</v>
      </c>
      <c r="DG290" s="308">
        <f t="shared" si="1595"/>
        <v>0.86541720752545692</v>
      </c>
      <c r="DH290" s="308">
        <f t="shared" si="1595"/>
        <v>0.85353834507151172</v>
      </c>
      <c r="DI290" s="308">
        <f t="shared" si="1595"/>
        <v>0.83242959279018203</v>
      </c>
      <c r="DJ290" s="308">
        <f t="shared" si="1595"/>
        <v>0.82404172979198664</v>
      </c>
      <c r="DK290" s="308">
        <f t="shared" ref="DK290:FA290" si="1596">DK284/DK$283</f>
        <v>0.80951622401515211</v>
      </c>
      <c r="DL290" s="308">
        <f t="shared" si="1596"/>
        <v>0.7911187002480633</v>
      </c>
      <c r="DM290" s="308">
        <f t="shared" si="1596"/>
        <v>0.78541021339027495</v>
      </c>
      <c r="DN290" s="308">
        <f t="shared" si="1596"/>
        <v>0.77594082666755149</v>
      </c>
      <c r="DO290" s="308">
        <f t="shared" si="1596"/>
        <v>0.76078860492044498</v>
      </c>
      <c r="DP290" s="308">
        <f t="shared" si="1596"/>
        <v>0.75532235406409598</v>
      </c>
      <c r="DQ290" s="308">
        <f t="shared" si="1596"/>
        <v>0.7409594620568396</v>
      </c>
      <c r="DR290" s="308">
        <f t="shared" si="1596"/>
        <v>0.72636671848715495</v>
      </c>
      <c r="DS290" s="308">
        <f t="shared" si="1596"/>
        <v>0.71975827646690571</v>
      </c>
      <c r="DT290" s="308">
        <f t="shared" si="1596"/>
        <v>0.70644480058812908</v>
      </c>
      <c r="DU290" s="308">
        <f t="shared" si="1596"/>
        <v>0.68271309216196541</v>
      </c>
      <c r="DV290" s="308">
        <f t="shared" si="1596"/>
        <v>0.67325789024051574</v>
      </c>
      <c r="DW290" s="308">
        <f t="shared" si="1596"/>
        <v>0.65684510664995244</v>
      </c>
      <c r="DX290" s="308">
        <f t="shared" si="1596"/>
        <v>0.63599307679592254</v>
      </c>
      <c r="DY290" s="308">
        <f t="shared" si="1596"/>
        <v>0.62951090150886979</v>
      </c>
      <c r="DZ290" s="308">
        <f t="shared" si="1596"/>
        <v>0.61873749810521894</v>
      </c>
      <c r="EA290" s="308">
        <f t="shared" si="1596"/>
        <v>0.60145692227307024</v>
      </c>
      <c r="EB290" s="308">
        <f t="shared" si="1596"/>
        <v>0.5952138367751999</v>
      </c>
      <c r="EC290" s="308">
        <f t="shared" si="1596"/>
        <v>0.57877445585776621</v>
      </c>
      <c r="ED290" s="308">
        <f t="shared" si="1596"/>
        <v>0.56202282715857432</v>
      </c>
      <c r="EE290" s="308">
        <f t="shared" si="1596"/>
        <v>0.55671391732871622</v>
      </c>
      <c r="EF290" s="308">
        <f t="shared" si="1596"/>
        <v>0.54599561483043757</v>
      </c>
      <c r="EG290" s="308">
        <f t="shared" si="1596"/>
        <v>0.52681350565822094</v>
      </c>
      <c r="EH290" s="308">
        <f t="shared" si="1596"/>
        <v>0.51914451370735282</v>
      </c>
      <c r="EI290" s="308">
        <f t="shared" si="1596"/>
        <v>0.50579229298866279</v>
      </c>
      <c r="EJ290" s="308">
        <f t="shared" si="1596"/>
        <v>0.48876061730988396</v>
      </c>
      <c r="EK290" s="308">
        <f t="shared" si="1596"/>
        <v>0.4834525145354896</v>
      </c>
      <c r="EL290" s="308">
        <f t="shared" si="1596"/>
        <v>0.47460976071175692</v>
      </c>
      <c r="EM290" s="308">
        <f t="shared" si="1596"/>
        <v>0.46038146520000572</v>
      </c>
      <c r="EN290" s="308">
        <f t="shared" si="1596"/>
        <v>0.45523051593268721</v>
      </c>
      <c r="EO290" s="308">
        <f t="shared" si="1596"/>
        <v>0.44162985899886903</v>
      </c>
      <c r="EP290" s="308">
        <f t="shared" si="1596"/>
        <v>0.42771807616876545</v>
      </c>
      <c r="EQ290" s="308">
        <f t="shared" si="1596"/>
        <v>0.42897916715221057</v>
      </c>
      <c r="ER290" s="308">
        <f t="shared" si="1596"/>
        <v>0.43153113166948015</v>
      </c>
      <c r="ES290" s="308">
        <f t="shared" si="1596"/>
        <v>0.43611816388441721</v>
      </c>
      <c r="ET290" s="308">
        <f t="shared" si="1596"/>
        <v>0.43795900708313851</v>
      </c>
      <c r="EU290" s="308">
        <f t="shared" si="1596"/>
        <v>0.44117453392739436</v>
      </c>
      <c r="EV290" s="308">
        <f t="shared" si="1596"/>
        <v>0.44529427690894013</v>
      </c>
      <c r="EW290" s="308">
        <f t="shared" si="1596"/>
        <v>0.44658192226262683</v>
      </c>
      <c r="EX290" s="308">
        <f t="shared" si="1596"/>
        <v>0.44873245210796686</v>
      </c>
      <c r="EY290" s="308">
        <f t="shared" si="1596"/>
        <v>0.45220475028027829</v>
      </c>
      <c r="EZ290" s="308">
        <f t="shared" si="1596"/>
        <v>0.45346475535657899</v>
      </c>
      <c r="FA290" s="308">
        <f t="shared" si="1596"/>
        <v>0.45680174801616746</v>
      </c>
      <c r="FB290" s="308">
        <f>FB284/FB$283</f>
        <v>0.4602295613392533</v>
      </c>
    </row>
    <row r="291" spans="1:158" x14ac:dyDescent="0.25">
      <c r="A291" s="334">
        <v>0.02</v>
      </c>
      <c r="C291" s="2" t="s">
        <v>298</v>
      </c>
      <c r="D291" s="308">
        <f t="shared" ref="D291:L291" si="1597">D285/D$283</f>
        <v>2.0434184269135292E-2</v>
      </c>
      <c r="E291" s="308">
        <f t="shared" si="1597"/>
        <v>2.0237999604994891E-2</v>
      </c>
      <c r="F291" s="308">
        <f t="shared" si="1597"/>
        <v>2.0165733517808128E-2</v>
      </c>
      <c r="G291" s="308">
        <f t="shared" si="1597"/>
        <v>2.4630812162002774E-2</v>
      </c>
      <c r="H291" s="308">
        <f t="shared" si="1597"/>
        <v>3.3181910859817622E-2</v>
      </c>
      <c r="I291" s="308">
        <f t="shared" si="1597"/>
        <v>7.1383666411631103E-2</v>
      </c>
      <c r="J291" s="308">
        <f t="shared" si="1597"/>
        <v>9.3224229088859106E-2</v>
      </c>
      <c r="K291" s="308">
        <f t="shared" si="1597"/>
        <v>0.10580928838391757</v>
      </c>
      <c r="L291" s="308">
        <f t="shared" si="1597"/>
        <v>0.12275323281067434</v>
      </c>
      <c r="M291" s="244"/>
      <c r="N291" s="308">
        <f t="shared" ref="N291:AW291" si="1598">N285/N$283</f>
        <v>2.0846344242696199E-2</v>
      </c>
      <c r="O291" s="308">
        <f t="shared" si="1598"/>
        <v>2.0687798787221632E-2</v>
      </c>
      <c r="P291" s="308">
        <f t="shared" si="1598"/>
        <v>2.057261424258772E-2</v>
      </c>
      <c r="Q291" s="308">
        <f t="shared" si="1598"/>
        <v>2.0434184269135292E-2</v>
      </c>
      <c r="R291" s="308">
        <f t="shared" si="1598"/>
        <v>2.0377997410374511E-2</v>
      </c>
      <c r="S291" s="308">
        <f t="shared" si="1598"/>
        <v>2.0301246479547754E-2</v>
      </c>
      <c r="T291" s="308">
        <f t="shared" si="1598"/>
        <v>2.0274153716772311E-2</v>
      </c>
      <c r="U291" s="308">
        <f t="shared" si="1598"/>
        <v>2.0237999604994891E-2</v>
      </c>
      <c r="V291" s="308">
        <f t="shared" si="1598"/>
        <v>2.0221887056316085E-2</v>
      </c>
      <c r="W291" s="308">
        <f t="shared" si="1598"/>
        <v>2.0203935034775477E-2</v>
      </c>
      <c r="X291" s="308">
        <f t="shared" si="1598"/>
        <v>2.0180273826030298E-2</v>
      </c>
      <c r="Y291" s="308">
        <f t="shared" si="1598"/>
        <v>2.0165733517808128E-2</v>
      </c>
      <c r="Z291" s="308">
        <f t="shared" si="1598"/>
        <v>2.1083771567358408E-2</v>
      </c>
      <c r="AA291" s="308">
        <f t="shared" si="1598"/>
        <v>2.24226231882283E-2</v>
      </c>
      <c r="AB291" s="308">
        <f t="shared" si="1598"/>
        <v>2.3586284059065904E-2</v>
      </c>
      <c r="AC291" s="308">
        <f t="shared" si="1598"/>
        <v>2.4630812162002771E-2</v>
      </c>
      <c r="AD291" s="308">
        <f t="shared" si="1598"/>
        <v>2.6873468150971629E-2</v>
      </c>
      <c r="AE291" s="308">
        <f t="shared" si="1598"/>
        <v>2.9224708509320158E-2</v>
      </c>
      <c r="AF291" s="308">
        <f t="shared" si="1598"/>
        <v>3.1041894375807941E-2</v>
      </c>
      <c r="AG291" s="308">
        <f t="shared" si="1598"/>
        <v>3.3181910859817629E-2</v>
      </c>
      <c r="AH291" s="308">
        <f t="shared" si="1598"/>
        <v>4.3431949422509379E-2</v>
      </c>
      <c r="AI291" s="308">
        <f t="shared" si="1598"/>
        <v>5.4318985857202427E-2</v>
      </c>
      <c r="AJ291" s="308">
        <f t="shared" si="1598"/>
        <v>6.2312152612503828E-2</v>
      </c>
      <c r="AK291" s="308">
        <f t="shared" si="1598"/>
        <v>7.1383666411631103E-2</v>
      </c>
      <c r="AL291" s="308">
        <f t="shared" si="1598"/>
        <v>7.7185036661148773E-2</v>
      </c>
      <c r="AM291" s="308">
        <f t="shared" si="1598"/>
        <v>8.3393916198040069E-2</v>
      </c>
      <c r="AN291" s="308">
        <f t="shared" si="1598"/>
        <v>8.7983615525401751E-2</v>
      </c>
      <c r="AO291" s="308">
        <f t="shared" si="1598"/>
        <v>9.3224229088859106E-2</v>
      </c>
      <c r="AP291" s="308">
        <f t="shared" si="1598"/>
        <v>9.6523527107395646E-2</v>
      </c>
      <c r="AQ291" s="308">
        <f t="shared" si="1598"/>
        <v>0.10008928224772123</v>
      </c>
      <c r="AR291" s="308">
        <f t="shared" si="1598"/>
        <v>0.10274855758544477</v>
      </c>
      <c r="AS291" s="308">
        <f t="shared" si="1598"/>
        <v>0.10580928838391752</v>
      </c>
      <c r="AT291" s="308">
        <f t="shared" si="1598"/>
        <v>0.11018714496867565</v>
      </c>
      <c r="AU291" s="308">
        <f t="shared" si="1598"/>
        <v>0.11496944108113659</v>
      </c>
      <c r="AV291" s="308">
        <f t="shared" si="1598"/>
        <v>0.11857095839578771</v>
      </c>
      <c r="AW291" s="308">
        <f t="shared" si="1598"/>
        <v>0.12275323281067435</v>
      </c>
      <c r="AY291" s="308">
        <f t="shared" ref="AY291:DJ291" si="1599">AY285/AY$283</f>
        <v>2.1052631578947371E-2</v>
      </c>
      <c r="AZ291" s="308">
        <f t="shared" si="1599"/>
        <v>2.098068241976651E-2</v>
      </c>
      <c r="BA291" s="308">
        <f t="shared" si="1599"/>
        <v>2.0846344242696199E-2</v>
      </c>
      <c r="BB291" s="308">
        <f t="shared" si="1599"/>
        <v>2.0806001761201887E-2</v>
      </c>
      <c r="BC291" s="308">
        <f t="shared" si="1599"/>
        <v>2.0734844917945985E-2</v>
      </c>
      <c r="BD291" s="308">
        <f t="shared" si="1599"/>
        <v>2.0687798787221632E-2</v>
      </c>
      <c r="BE291" s="308">
        <f t="shared" si="1599"/>
        <v>2.0656210763822166E-2</v>
      </c>
      <c r="BF291" s="308">
        <f t="shared" si="1599"/>
        <v>2.0636746911185722E-2</v>
      </c>
      <c r="BG291" s="308">
        <f t="shared" si="1599"/>
        <v>2.0572614242587717E-2</v>
      </c>
      <c r="BH291" s="308">
        <f t="shared" si="1599"/>
        <v>2.0551244997933198E-2</v>
      </c>
      <c r="BI291" s="308">
        <f t="shared" si="1599"/>
        <v>2.0476229209087732E-2</v>
      </c>
      <c r="BJ291" s="308">
        <f t="shared" si="1599"/>
        <v>2.0434184269135292E-2</v>
      </c>
      <c r="BK291" s="308">
        <f t="shared" si="1599"/>
        <v>2.0428417321685835E-2</v>
      </c>
      <c r="BL291" s="308">
        <f t="shared" si="1599"/>
        <v>2.0411360615956348E-2</v>
      </c>
      <c r="BM291" s="308">
        <f t="shared" si="1599"/>
        <v>2.0377997410374511E-2</v>
      </c>
      <c r="BN291" s="308">
        <f t="shared" si="1599"/>
        <v>2.0366402662768728E-2</v>
      </c>
      <c r="BO291" s="308">
        <f t="shared" si="1599"/>
        <v>2.0322826843290918E-2</v>
      </c>
      <c r="BP291" s="308">
        <f t="shared" si="1599"/>
        <v>2.0301246479547754E-2</v>
      </c>
      <c r="BQ291" s="308">
        <f t="shared" si="1599"/>
        <v>2.0291803524409079E-2</v>
      </c>
      <c r="BR291" s="308">
        <f t="shared" si="1599"/>
        <v>2.0288322123149492E-2</v>
      </c>
      <c r="BS291" s="308">
        <f t="shared" si="1599"/>
        <v>2.0274153716772308E-2</v>
      </c>
      <c r="BT291" s="308">
        <f t="shared" si="1599"/>
        <v>2.0273274277784515E-2</v>
      </c>
      <c r="BU291" s="308">
        <f t="shared" si="1599"/>
        <v>2.0259239444906901E-2</v>
      </c>
      <c r="BV291" s="308">
        <f t="shared" si="1599"/>
        <v>2.0237999604994891E-2</v>
      </c>
      <c r="BW291" s="308">
        <f t="shared" si="1599"/>
        <v>2.023220915639792E-2</v>
      </c>
      <c r="BX291" s="308">
        <f t="shared" si="1599"/>
        <v>2.0225377749568778E-2</v>
      </c>
      <c r="BY291" s="308">
        <f t="shared" si="1599"/>
        <v>2.0221887056316085E-2</v>
      </c>
      <c r="BZ291" s="308">
        <f t="shared" si="1599"/>
        <v>2.0216318039336226E-2</v>
      </c>
      <c r="CA291" s="308">
        <f t="shared" si="1599"/>
        <v>2.0215520122434941E-2</v>
      </c>
      <c r="CB291" s="308">
        <f t="shared" si="1599"/>
        <v>2.020393503477547E-2</v>
      </c>
      <c r="CC291" s="308">
        <f t="shared" si="1599"/>
        <v>2.0203347337727034E-2</v>
      </c>
      <c r="CD291" s="308">
        <f t="shared" si="1599"/>
        <v>2.0190831563016969E-2</v>
      </c>
      <c r="CE291" s="308">
        <f t="shared" si="1599"/>
        <v>2.0180273826030302E-2</v>
      </c>
      <c r="CF291" s="308">
        <f t="shared" si="1599"/>
        <v>2.0178066945741046E-2</v>
      </c>
      <c r="CG291" s="308">
        <f t="shared" si="1599"/>
        <v>2.0172875316965634E-2</v>
      </c>
      <c r="CH291" s="308">
        <f t="shared" si="1599"/>
        <v>2.0165733517808128E-2</v>
      </c>
      <c r="CI291" s="308">
        <f t="shared" si="1599"/>
        <v>2.0349026190014489E-2</v>
      </c>
      <c r="CJ291" s="308">
        <f t="shared" si="1599"/>
        <v>2.0515415634989386E-2</v>
      </c>
      <c r="CK291" s="308">
        <f t="shared" si="1599"/>
        <v>2.1083771567358408E-2</v>
      </c>
      <c r="CL291" s="308">
        <f t="shared" si="1599"/>
        <v>2.1299576486269366E-2</v>
      </c>
      <c r="CM291" s="308">
        <f t="shared" si="1599"/>
        <v>2.1640403466869716E-2</v>
      </c>
      <c r="CN291" s="308">
        <f t="shared" si="1599"/>
        <v>2.2422623188228304E-2</v>
      </c>
      <c r="CO291" s="308">
        <f t="shared" si="1599"/>
        <v>2.2621637668059039E-2</v>
      </c>
      <c r="CP291" s="308">
        <f t="shared" si="1599"/>
        <v>2.3049347762969075E-2</v>
      </c>
      <c r="CQ291" s="308">
        <f t="shared" si="1599"/>
        <v>2.3586284059065904E-2</v>
      </c>
      <c r="CR291" s="308">
        <f t="shared" si="1599"/>
        <v>2.3708681623572637E-2</v>
      </c>
      <c r="CS291" s="308">
        <f t="shared" si="1599"/>
        <v>2.4155501175879942E-2</v>
      </c>
      <c r="CT291" s="308">
        <f t="shared" si="1599"/>
        <v>2.4630812162002774E-2</v>
      </c>
      <c r="CU291" s="308">
        <f t="shared" si="1599"/>
        <v>2.4956388267679042E-2</v>
      </c>
      <c r="CV291" s="308">
        <f t="shared" si="1599"/>
        <v>2.5638884998435137E-2</v>
      </c>
      <c r="CW291" s="308">
        <f t="shared" si="1599"/>
        <v>2.6873468150971632E-2</v>
      </c>
      <c r="CX291" s="308">
        <f t="shared" si="1599"/>
        <v>2.7329644135054374E-2</v>
      </c>
      <c r="CY291" s="308">
        <f t="shared" si="1599"/>
        <v>2.8157888649281312E-2</v>
      </c>
      <c r="CZ291" s="308">
        <f t="shared" si="1599"/>
        <v>2.9224708509320154E-2</v>
      </c>
      <c r="DA291" s="308">
        <f t="shared" si="1599"/>
        <v>2.95672562095665E-2</v>
      </c>
      <c r="DB291" s="308">
        <f t="shared" si="1599"/>
        <v>3.0135012793638605E-2</v>
      </c>
      <c r="DC291" s="308">
        <f t="shared" si="1599"/>
        <v>3.1041894375807941E-2</v>
      </c>
      <c r="DD291" s="308">
        <f t="shared" si="1599"/>
        <v>3.1406293286221812E-2</v>
      </c>
      <c r="DE291" s="308">
        <f t="shared" si="1599"/>
        <v>3.2292295122581097E-2</v>
      </c>
      <c r="DF291" s="308">
        <f t="shared" si="1599"/>
        <v>3.3181910859817622E-2</v>
      </c>
      <c r="DG291" s="308">
        <f t="shared" si="1599"/>
        <v>3.4738422330341225E-2</v>
      </c>
      <c r="DH291" s="308">
        <f t="shared" si="1599"/>
        <v>3.7868967336285045E-2</v>
      </c>
      <c r="DI291" s="308">
        <f t="shared" si="1599"/>
        <v>4.3431949422509386E-2</v>
      </c>
      <c r="DJ291" s="308">
        <f t="shared" si="1599"/>
        <v>4.5642479489790375E-2</v>
      </c>
      <c r="DK291" s="308">
        <f t="shared" ref="DK291:FB291" si="1600">DK285/DK$283</f>
        <v>4.9470518558748032E-2</v>
      </c>
      <c r="DL291" s="308">
        <f t="shared" si="1600"/>
        <v>5.431898585720242E-2</v>
      </c>
      <c r="DM291" s="308">
        <f t="shared" si="1600"/>
        <v>5.5823395483412856E-2</v>
      </c>
      <c r="DN291" s="308">
        <f t="shared" si="1600"/>
        <v>5.8318949365706196E-2</v>
      </c>
      <c r="DO291" s="308">
        <f t="shared" si="1600"/>
        <v>6.2312152612503835E-2</v>
      </c>
      <c r="DP291" s="308">
        <f t="shared" si="1600"/>
        <v>6.3752723575079093E-2</v>
      </c>
      <c r="DQ291" s="308">
        <f t="shared" si="1600"/>
        <v>6.753790755364196E-2</v>
      </c>
      <c r="DR291" s="308">
        <f t="shared" si="1600"/>
        <v>7.1383666411631103E-2</v>
      </c>
      <c r="DS291" s="308">
        <f t="shared" si="1600"/>
        <v>7.2261898580623055E-2</v>
      </c>
      <c r="DT291" s="308">
        <f t="shared" si="1600"/>
        <v>7.4031199538702616E-2</v>
      </c>
      <c r="DU291" s="308">
        <f t="shared" si="1600"/>
        <v>7.7185036661148759E-2</v>
      </c>
      <c r="DV291" s="308">
        <f t="shared" si="1600"/>
        <v>7.8441590394432256E-2</v>
      </c>
      <c r="DW291" s="308">
        <f t="shared" si="1600"/>
        <v>8.0622775382931666E-2</v>
      </c>
      <c r="DX291" s="308">
        <f t="shared" si="1600"/>
        <v>8.3393916198040083E-2</v>
      </c>
      <c r="DY291" s="308">
        <f t="shared" si="1600"/>
        <v>8.4255368087107235E-2</v>
      </c>
      <c r="DZ291" s="308">
        <f t="shared" si="1600"/>
        <v>8.568710485798639E-2</v>
      </c>
      <c r="EA291" s="308">
        <f t="shared" si="1600"/>
        <v>8.7983615525401751E-2</v>
      </c>
      <c r="EB291" s="308">
        <f t="shared" si="1600"/>
        <v>8.8813293458747708E-2</v>
      </c>
      <c r="EC291" s="308">
        <f t="shared" si="1600"/>
        <v>9.0998013112149265E-2</v>
      </c>
      <c r="ED291" s="308">
        <f t="shared" si="1600"/>
        <v>9.3224229088859106E-2</v>
      </c>
      <c r="EE291" s="308">
        <f t="shared" si="1600"/>
        <v>9.3721701773246499E-2</v>
      </c>
      <c r="EF291" s="308">
        <f t="shared" si="1600"/>
        <v>9.4726062910801823E-2</v>
      </c>
      <c r="EG291" s="308">
        <f t="shared" si="1600"/>
        <v>9.6523527107395632E-2</v>
      </c>
      <c r="EH291" s="308">
        <f t="shared" si="1600"/>
        <v>9.7242151859861209E-2</v>
      </c>
      <c r="EI291" s="308">
        <f t="shared" si="1600"/>
        <v>9.8493324943665014E-2</v>
      </c>
      <c r="EJ291" s="308">
        <f t="shared" si="1600"/>
        <v>0.10008928224772123</v>
      </c>
      <c r="EK291" s="308">
        <f t="shared" si="1600"/>
        <v>0.1005866793067805</v>
      </c>
      <c r="EL291" s="308">
        <f t="shared" si="1600"/>
        <v>0.10141529170048297</v>
      </c>
      <c r="EM291" s="308">
        <f t="shared" si="1600"/>
        <v>0.10274855758544478</v>
      </c>
      <c r="EN291" s="308">
        <f t="shared" si="1600"/>
        <v>0.10323122853697322</v>
      </c>
      <c r="EO291" s="308">
        <f t="shared" si="1600"/>
        <v>0.10450568139662553</v>
      </c>
      <c r="EP291" s="308">
        <f t="shared" si="1600"/>
        <v>0.10580928838391757</v>
      </c>
      <c r="EQ291" s="308">
        <f t="shared" si="1600"/>
        <v>0.10646652860006045</v>
      </c>
      <c r="ER291" s="308">
        <f t="shared" si="1600"/>
        <v>0.10779653074339295</v>
      </c>
      <c r="ES291" s="308">
        <f t="shared" si="1600"/>
        <v>0.11018714496867565</v>
      </c>
      <c r="ET291" s="308">
        <f t="shared" si="1600"/>
        <v>0.11114653346458542</v>
      </c>
      <c r="EU291" s="308">
        <f t="shared" si="1600"/>
        <v>0.11282236303269366</v>
      </c>
      <c r="EV291" s="308">
        <f t="shared" si="1600"/>
        <v>0.11496944108113659</v>
      </c>
      <c r="EW291" s="308">
        <f t="shared" si="1600"/>
        <v>0.11564052058426687</v>
      </c>
      <c r="EX291" s="308">
        <f t="shared" si="1600"/>
        <v>0.11676130783826165</v>
      </c>
      <c r="EY291" s="308">
        <f t="shared" si="1600"/>
        <v>0.11857095839578773</v>
      </c>
      <c r="EZ291" s="308">
        <f t="shared" si="1600"/>
        <v>0.11922763267191863</v>
      </c>
      <c r="FA291" s="308">
        <f t="shared" si="1600"/>
        <v>0.12096676633130274</v>
      </c>
      <c r="FB291" s="308">
        <f t="shared" si="1600"/>
        <v>0.12275323281067434</v>
      </c>
    </row>
    <row r="292" spans="1:158" x14ac:dyDescent="0.25">
      <c r="A292" s="334">
        <v>0.01</v>
      </c>
      <c r="C292" s="2" t="s">
        <v>299</v>
      </c>
      <c r="D292" s="308">
        <f t="shared" ref="D292:L292" si="1601">D286/D$283</f>
        <v>1.0217092134567646E-2</v>
      </c>
      <c r="E292" s="308">
        <f t="shared" si="1601"/>
        <v>1.0118999802497445E-2</v>
      </c>
      <c r="F292" s="308">
        <f t="shared" si="1601"/>
        <v>1.0082866758904064E-2</v>
      </c>
      <c r="G292" s="308">
        <f t="shared" si="1601"/>
        <v>2.5936387327381436E-2</v>
      </c>
      <c r="H292" s="308">
        <f t="shared" si="1601"/>
        <v>5.2830649349956342E-2</v>
      </c>
      <c r="I292" s="308">
        <f t="shared" si="1601"/>
        <v>0.1556677177517774</v>
      </c>
      <c r="J292" s="308">
        <f t="shared" si="1601"/>
        <v>0.29593114661604952</v>
      </c>
      <c r="K292" s="308">
        <f t="shared" si="1601"/>
        <v>0.4163601539977636</v>
      </c>
      <c r="L292" s="308">
        <f t="shared" si="1601"/>
        <v>0.36615008518844328</v>
      </c>
      <c r="M292" s="244"/>
      <c r="N292" s="308">
        <f t="shared" ref="N292:AW292" si="1602">N286/N$283</f>
        <v>1.04231721213481E-2</v>
      </c>
      <c r="O292" s="308">
        <f t="shared" si="1602"/>
        <v>1.0343899393610816E-2</v>
      </c>
      <c r="P292" s="308">
        <f t="shared" si="1602"/>
        <v>1.028630712129386E-2</v>
      </c>
      <c r="Q292" s="308">
        <f t="shared" si="1602"/>
        <v>1.0217092134567646E-2</v>
      </c>
      <c r="R292" s="308">
        <f t="shared" si="1602"/>
        <v>1.0188998705187255E-2</v>
      </c>
      <c r="S292" s="308">
        <f t="shared" si="1602"/>
        <v>1.0150623239773877E-2</v>
      </c>
      <c r="T292" s="308">
        <f t="shared" si="1602"/>
        <v>1.0137076858386156E-2</v>
      </c>
      <c r="U292" s="308">
        <f t="shared" si="1602"/>
        <v>1.0118999802497445E-2</v>
      </c>
      <c r="V292" s="308">
        <f t="shared" si="1602"/>
        <v>1.0110943528158042E-2</v>
      </c>
      <c r="W292" s="308">
        <f t="shared" si="1602"/>
        <v>1.0101967517387738E-2</v>
      </c>
      <c r="X292" s="308">
        <f t="shared" si="1602"/>
        <v>1.0090136913015149E-2</v>
      </c>
      <c r="Y292" s="308">
        <f t="shared" si="1602"/>
        <v>1.0082866758904064E-2</v>
      </c>
      <c r="Z292" s="308">
        <f t="shared" si="1602"/>
        <v>1.3342414072838404E-2</v>
      </c>
      <c r="AA292" s="308">
        <f t="shared" si="1602"/>
        <v>1.8096084366461766E-2</v>
      </c>
      <c r="AB292" s="308">
        <f t="shared" si="1602"/>
        <v>2.2227729746222745E-2</v>
      </c>
      <c r="AC292" s="308">
        <f t="shared" si="1602"/>
        <v>2.5936387327381436E-2</v>
      </c>
      <c r="AD292" s="308">
        <f t="shared" si="1602"/>
        <v>3.2989817526852538E-2</v>
      </c>
      <c r="AE292" s="308">
        <f t="shared" si="1602"/>
        <v>4.0384758985268561E-2</v>
      </c>
      <c r="AF292" s="308">
        <f t="shared" si="1602"/>
        <v>4.6100033076249519E-2</v>
      </c>
      <c r="AG292" s="308">
        <f t="shared" si="1602"/>
        <v>5.2830649349956342E-2</v>
      </c>
      <c r="AH292" s="308">
        <f t="shared" si="1602"/>
        <v>8.0423201094421859E-2</v>
      </c>
      <c r="AI292" s="308">
        <f t="shared" si="1602"/>
        <v>0.10973051680165766</v>
      </c>
      <c r="AJ292" s="308">
        <f t="shared" si="1602"/>
        <v>0.131247691195573</v>
      </c>
      <c r="AK292" s="308">
        <f t="shared" si="1602"/>
        <v>0.15566771775177743</v>
      </c>
      <c r="AL292" s="308">
        <f t="shared" si="1602"/>
        <v>0.19292500344235847</v>
      </c>
      <c r="AM292" s="308">
        <f t="shared" si="1602"/>
        <v>0.23279937600866646</v>
      </c>
      <c r="AN292" s="308">
        <f t="shared" si="1602"/>
        <v>0.26227512599852432</v>
      </c>
      <c r="AO292" s="308">
        <f t="shared" si="1602"/>
        <v>0.29593114661604952</v>
      </c>
      <c r="AP292" s="308">
        <f t="shared" si="1602"/>
        <v>0.32750280441386587</v>
      </c>
      <c r="AQ292" s="308">
        <f t="shared" si="1602"/>
        <v>0.36162424492899065</v>
      </c>
      <c r="AR292" s="308">
        <f t="shared" si="1602"/>
        <v>0.3870713947411864</v>
      </c>
      <c r="AS292" s="308">
        <f t="shared" si="1602"/>
        <v>0.41636015399776355</v>
      </c>
      <c r="AT292" s="308">
        <f t="shared" si="1602"/>
        <v>0.40338723135225923</v>
      </c>
      <c r="AU292" s="308">
        <f t="shared" si="1602"/>
        <v>0.38921583118559983</v>
      </c>
      <c r="AV292" s="308">
        <f t="shared" si="1602"/>
        <v>0.37854343828627984</v>
      </c>
      <c r="AW292" s="308">
        <f t="shared" si="1602"/>
        <v>0.36615008518844328</v>
      </c>
      <c r="AY292" s="308">
        <f t="shared" ref="AY292:DJ292" si="1603">AY286/AY$283</f>
        <v>1.0526315789473686E-2</v>
      </c>
      <c r="AZ292" s="308">
        <f t="shared" si="1603"/>
        <v>1.0490341209883255E-2</v>
      </c>
      <c r="BA292" s="308">
        <f t="shared" si="1603"/>
        <v>1.04231721213481E-2</v>
      </c>
      <c r="BB292" s="308">
        <f t="shared" si="1603"/>
        <v>1.0403000880600944E-2</v>
      </c>
      <c r="BC292" s="308">
        <f t="shared" si="1603"/>
        <v>1.0367422458972993E-2</v>
      </c>
      <c r="BD292" s="308">
        <f t="shared" si="1603"/>
        <v>1.0343899393610816E-2</v>
      </c>
      <c r="BE292" s="308">
        <f t="shared" si="1603"/>
        <v>1.0328105381911083E-2</v>
      </c>
      <c r="BF292" s="308">
        <f t="shared" si="1603"/>
        <v>1.0318373455592861E-2</v>
      </c>
      <c r="BG292" s="308">
        <f t="shared" si="1603"/>
        <v>1.0286307121293858E-2</v>
      </c>
      <c r="BH292" s="308">
        <f t="shared" si="1603"/>
        <v>1.0275622498966599E-2</v>
      </c>
      <c r="BI292" s="308">
        <f t="shared" si="1603"/>
        <v>1.0238114604543866E-2</v>
      </c>
      <c r="BJ292" s="308">
        <f t="shared" si="1603"/>
        <v>1.0217092134567646E-2</v>
      </c>
      <c r="BK292" s="308">
        <f t="shared" si="1603"/>
        <v>1.0214208660842918E-2</v>
      </c>
      <c r="BL292" s="308">
        <f t="shared" si="1603"/>
        <v>1.0205680307978174E-2</v>
      </c>
      <c r="BM292" s="308">
        <f t="shared" si="1603"/>
        <v>1.0188998705187255E-2</v>
      </c>
      <c r="BN292" s="308">
        <f t="shared" si="1603"/>
        <v>1.0183201331384364E-2</v>
      </c>
      <c r="BO292" s="308">
        <f t="shared" si="1603"/>
        <v>1.0161413421645459E-2</v>
      </c>
      <c r="BP292" s="308">
        <f t="shared" si="1603"/>
        <v>1.0150623239773877E-2</v>
      </c>
      <c r="BQ292" s="308">
        <f t="shared" si="1603"/>
        <v>1.014590176220454E-2</v>
      </c>
      <c r="BR292" s="308">
        <f t="shared" si="1603"/>
        <v>1.0144161061574746E-2</v>
      </c>
      <c r="BS292" s="308">
        <f t="shared" si="1603"/>
        <v>1.0137076858386154E-2</v>
      </c>
      <c r="BT292" s="308">
        <f t="shared" si="1603"/>
        <v>1.0136637138892257E-2</v>
      </c>
      <c r="BU292" s="308">
        <f t="shared" si="1603"/>
        <v>1.0129619722453451E-2</v>
      </c>
      <c r="BV292" s="308">
        <f t="shared" si="1603"/>
        <v>1.0118999802497445E-2</v>
      </c>
      <c r="BW292" s="308">
        <f t="shared" si="1603"/>
        <v>1.011610457819896E-2</v>
      </c>
      <c r="BX292" s="308">
        <f t="shared" si="1603"/>
        <v>1.0112688874784389E-2</v>
      </c>
      <c r="BY292" s="308">
        <f t="shared" si="1603"/>
        <v>1.0110943528158042E-2</v>
      </c>
      <c r="BZ292" s="308">
        <f t="shared" si="1603"/>
        <v>1.0108159019668113E-2</v>
      </c>
      <c r="CA292" s="308">
        <f t="shared" si="1603"/>
        <v>1.0107760061217471E-2</v>
      </c>
      <c r="CB292" s="308">
        <f t="shared" si="1603"/>
        <v>1.0101967517387735E-2</v>
      </c>
      <c r="CC292" s="308">
        <f t="shared" si="1603"/>
        <v>1.0101673668863517E-2</v>
      </c>
      <c r="CD292" s="308">
        <f t="shared" si="1603"/>
        <v>1.0095415781508485E-2</v>
      </c>
      <c r="CE292" s="308">
        <f t="shared" si="1603"/>
        <v>1.0090136913015151E-2</v>
      </c>
      <c r="CF292" s="308">
        <f t="shared" si="1603"/>
        <v>1.0089033472870523E-2</v>
      </c>
      <c r="CG292" s="308">
        <f t="shared" si="1603"/>
        <v>1.0086437658482817E-2</v>
      </c>
      <c r="CH292" s="308">
        <f t="shared" si="1603"/>
        <v>1.0082866758904064E-2</v>
      </c>
      <c r="CI292" s="308">
        <f t="shared" si="1603"/>
        <v>1.0733658017116907E-2</v>
      </c>
      <c r="CJ292" s="308">
        <f t="shared" si="1603"/>
        <v>1.132443338715809E-2</v>
      </c>
      <c r="CK292" s="308">
        <f t="shared" si="1603"/>
        <v>1.3342414072838402E-2</v>
      </c>
      <c r="CL292" s="308">
        <f t="shared" si="1603"/>
        <v>1.4108641947722907E-2</v>
      </c>
      <c r="CM292" s="308">
        <f t="shared" si="1603"/>
        <v>1.5318767900210866E-2</v>
      </c>
      <c r="CN292" s="308">
        <f t="shared" si="1603"/>
        <v>1.8096084366461766E-2</v>
      </c>
      <c r="CO292" s="308">
        <f t="shared" si="1603"/>
        <v>1.8802696814043958E-2</v>
      </c>
      <c r="CP292" s="308">
        <f t="shared" si="1603"/>
        <v>2.0321306300534806E-2</v>
      </c>
      <c r="CQ292" s="308">
        <f t="shared" si="1603"/>
        <v>2.2227729746222745E-2</v>
      </c>
      <c r="CR292" s="308">
        <f t="shared" si="1603"/>
        <v>2.2662309394436086E-2</v>
      </c>
      <c r="CS292" s="308">
        <f t="shared" si="1603"/>
        <v>2.4248768117198258E-2</v>
      </c>
      <c r="CT292" s="308">
        <f t="shared" si="1603"/>
        <v>2.5936387327381436E-2</v>
      </c>
      <c r="CU292" s="308">
        <f t="shared" si="1603"/>
        <v>2.6960364409599487E-2</v>
      </c>
      <c r="CV292" s="308">
        <f t="shared" si="1603"/>
        <v>2.9106900960650609E-2</v>
      </c>
      <c r="CW292" s="308">
        <f t="shared" si="1603"/>
        <v>3.2989817526852545E-2</v>
      </c>
      <c r="CX292" s="308">
        <f t="shared" si="1603"/>
        <v>3.4424547364254876E-2</v>
      </c>
      <c r="CY292" s="308">
        <f t="shared" si="1603"/>
        <v>3.7029478703671154E-2</v>
      </c>
      <c r="CZ292" s="308">
        <f t="shared" si="1603"/>
        <v>4.0384758985268554E-2</v>
      </c>
      <c r="DA292" s="308">
        <f t="shared" si="1603"/>
        <v>4.1462113829507423E-2</v>
      </c>
      <c r="DB292" s="308">
        <f t="shared" si="1603"/>
        <v>4.3247778441351893E-2</v>
      </c>
      <c r="DC292" s="308">
        <f t="shared" si="1603"/>
        <v>4.6100033076249498E-2</v>
      </c>
      <c r="DD292" s="308">
        <f t="shared" si="1603"/>
        <v>4.724611267651372E-2</v>
      </c>
      <c r="DE292" s="308">
        <f t="shared" si="1603"/>
        <v>5.0032697930829442E-2</v>
      </c>
      <c r="DF292" s="308">
        <f t="shared" si="1603"/>
        <v>5.2830649349956342E-2</v>
      </c>
      <c r="DG292" s="308">
        <f t="shared" si="1603"/>
        <v>5.7020694395015961E-2</v>
      </c>
      <c r="DH292" s="308">
        <f t="shared" si="1603"/>
        <v>6.5447952940099779E-2</v>
      </c>
      <c r="DI292" s="308">
        <f t="shared" si="1603"/>
        <v>8.0423201094421859E-2</v>
      </c>
      <c r="DJ292" s="308">
        <f t="shared" si="1603"/>
        <v>8.6373828976560277E-2</v>
      </c>
      <c r="DK292" s="308">
        <f t="shared" ref="DK292:FB292" si="1604">DK286/DK$283</f>
        <v>9.6678703972299967E-2</v>
      </c>
      <c r="DL292" s="308">
        <f t="shared" si="1604"/>
        <v>0.10973051680165768</v>
      </c>
      <c r="DM292" s="308">
        <f t="shared" si="1604"/>
        <v>0.11378030648802766</v>
      </c>
      <c r="DN292" s="308">
        <f t="shared" si="1604"/>
        <v>0.12049820312881822</v>
      </c>
      <c r="DO292" s="308">
        <f t="shared" si="1604"/>
        <v>0.131247691195573</v>
      </c>
      <c r="DP292" s="308">
        <f t="shared" si="1604"/>
        <v>0.13512563063778263</v>
      </c>
      <c r="DQ292" s="308">
        <f t="shared" si="1604"/>
        <v>0.14531514203835147</v>
      </c>
      <c r="DR292" s="308">
        <f t="shared" si="1604"/>
        <v>0.1556677177517774</v>
      </c>
      <c r="DS292" s="308">
        <f t="shared" si="1604"/>
        <v>0.16130785885904644</v>
      </c>
      <c r="DT292" s="308">
        <f t="shared" si="1604"/>
        <v>0.17267057980816528</v>
      </c>
      <c r="DU292" s="308">
        <f t="shared" si="1604"/>
        <v>0.19292500344235844</v>
      </c>
      <c r="DV292" s="308">
        <f t="shared" si="1604"/>
        <v>0.20099478341035859</v>
      </c>
      <c r="DW292" s="308">
        <f t="shared" si="1604"/>
        <v>0.21500268650312979</v>
      </c>
      <c r="DX292" s="308">
        <f t="shared" si="1604"/>
        <v>0.23279937600866646</v>
      </c>
      <c r="DY292" s="308">
        <f t="shared" si="1604"/>
        <v>0.23833175159568135</v>
      </c>
      <c r="DZ292" s="308">
        <f t="shared" si="1604"/>
        <v>0.2475265837839544</v>
      </c>
      <c r="EA292" s="308">
        <f t="shared" si="1604"/>
        <v>0.26227512599852426</v>
      </c>
      <c r="EB292" s="308">
        <f t="shared" si="1604"/>
        <v>0.26760344438958217</v>
      </c>
      <c r="EC292" s="308">
        <f t="shared" si="1604"/>
        <v>0.28163404764014632</v>
      </c>
      <c r="ED292" s="308">
        <f t="shared" si="1604"/>
        <v>0.29593114661604952</v>
      </c>
      <c r="EE292" s="308">
        <f t="shared" si="1604"/>
        <v>0.30069156451919093</v>
      </c>
      <c r="EF292" s="308">
        <f t="shared" si="1604"/>
        <v>0.31030250174346363</v>
      </c>
      <c r="EG292" s="308">
        <f t="shared" si="1604"/>
        <v>0.32750280441386581</v>
      </c>
      <c r="EH292" s="308">
        <f t="shared" si="1604"/>
        <v>0.33437947170563936</v>
      </c>
      <c r="EI292" s="308">
        <f t="shared" si="1604"/>
        <v>0.34635220294293873</v>
      </c>
      <c r="EJ292" s="308">
        <f t="shared" si="1604"/>
        <v>0.36162424492899065</v>
      </c>
      <c r="EK292" s="308">
        <f t="shared" si="1604"/>
        <v>0.36638393915789363</v>
      </c>
      <c r="EL292" s="308">
        <f t="shared" si="1604"/>
        <v>0.37431310069287005</v>
      </c>
      <c r="EM292" s="308">
        <f t="shared" si="1604"/>
        <v>0.38707139474118646</v>
      </c>
      <c r="EN292" s="308">
        <f t="shared" si="1604"/>
        <v>0.39169017183406696</v>
      </c>
      <c r="EO292" s="308">
        <f t="shared" si="1604"/>
        <v>0.40388567200965825</v>
      </c>
      <c r="EP292" s="308">
        <f t="shared" si="1604"/>
        <v>0.4163601539977636</v>
      </c>
      <c r="EQ292" s="308">
        <f t="shared" si="1604"/>
        <v>0.41441255102848834</v>
      </c>
      <c r="ER292" s="308">
        <f t="shared" si="1604"/>
        <v>0.41047134953187492</v>
      </c>
      <c r="ES292" s="308">
        <f t="shared" si="1604"/>
        <v>0.40338723135225923</v>
      </c>
      <c r="ET292" s="308">
        <f t="shared" si="1604"/>
        <v>0.40054427098947432</v>
      </c>
      <c r="EU292" s="308">
        <f t="shared" si="1604"/>
        <v>0.39557827748712698</v>
      </c>
      <c r="EV292" s="308">
        <f t="shared" si="1604"/>
        <v>0.38921583118559988</v>
      </c>
      <c r="EW292" s="308">
        <f t="shared" si="1604"/>
        <v>0.38722721819325046</v>
      </c>
      <c r="EX292" s="308">
        <f t="shared" si="1604"/>
        <v>0.38390598414488908</v>
      </c>
      <c r="EY292" s="308">
        <f t="shared" si="1604"/>
        <v>0.3785434382862799</v>
      </c>
      <c r="EZ292" s="308">
        <f t="shared" si="1604"/>
        <v>0.37659751236965699</v>
      </c>
      <c r="FA292" s="308">
        <f t="shared" si="1604"/>
        <v>0.37144392956113526</v>
      </c>
      <c r="FB292" s="308">
        <f t="shared" si="1604"/>
        <v>0.36615008518844328</v>
      </c>
    </row>
    <row r="293" spans="1:158" x14ac:dyDescent="0.25">
      <c r="A293" s="334">
        <v>0.02</v>
      </c>
      <c r="C293" s="2" t="s">
        <v>300</v>
      </c>
      <c r="D293" s="308">
        <f t="shared" ref="D293:L293" si="1605">D287/D$283</f>
        <v>2.0434184269135292E-2</v>
      </c>
      <c r="E293" s="308">
        <f t="shared" si="1605"/>
        <v>2.0237999604994891E-2</v>
      </c>
      <c r="F293" s="308">
        <f t="shared" si="1605"/>
        <v>2.0165733517808128E-2</v>
      </c>
      <c r="G293" s="308">
        <f t="shared" si="1605"/>
        <v>3.5850585382994349E-2</v>
      </c>
      <c r="H293" s="308">
        <f t="shared" si="1605"/>
        <v>4.2664044801808486E-2</v>
      </c>
      <c r="I293" s="308">
        <f t="shared" si="1605"/>
        <v>4.6581897349436359E-2</v>
      </c>
      <c r="J293" s="308">
        <f t="shared" si="1605"/>
        <v>4.8821797136516722E-2</v>
      </c>
      <c r="K293" s="308">
        <f t="shared" si="1605"/>
        <v>5.0112481449553541E-2</v>
      </c>
      <c r="L293" s="308">
        <f t="shared" si="1605"/>
        <v>5.0867120661629149E-2</v>
      </c>
      <c r="M293" s="244"/>
      <c r="N293" s="308">
        <f t="shared" ref="N293:AW293" si="1606">N287/N$283</f>
        <v>2.0846344242696199E-2</v>
      </c>
      <c r="O293" s="308">
        <f t="shared" si="1606"/>
        <v>2.0687798787221632E-2</v>
      </c>
      <c r="P293" s="308">
        <f t="shared" si="1606"/>
        <v>2.057261424258772E-2</v>
      </c>
      <c r="Q293" s="308">
        <f t="shared" si="1606"/>
        <v>2.0434184269135292E-2</v>
      </c>
      <c r="R293" s="308">
        <f t="shared" si="1606"/>
        <v>2.0377997410374511E-2</v>
      </c>
      <c r="S293" s="308">
        <f t="shared" si="1606"/>
        <v>2.0301246479547754E-2</v>
      </c>
      <c r="T293" s="308">
        <f t="shared" si="1606"/>
        <v>2.0274153716772311E-2</v>
      </c>
      <c r="U293" s="308">
        <f t="shared" si="1606"/>
        <v>2.0237999604994891E-2</v>
      </c>
      <c r="V293" s="308">
        <f t="shared" si="1606"/>
        <v>2.0221887056316085E-2</v>
      </c>
      <c r="W293" s="308">
        <f t="shared" si="1606"/>
        <v>2.0203935034775477E-2</v>
      </c>
      <c r="X293" s="308">
        <f t="shared" si="1606"/>
        <v>2.0180273826030298E-2</v>
      </c>
      <c r="Y293" s="308">
        <f t="shared" si="1606"/>
        <v>2.0165733517808128E-2</v>
      </c>
      <c r="Z293" s="308">
        <f t="shared" si="1606"/>
        <v>2.3390601870915899E-2</v>
      </c>
      <c r="AA293" s="308">
        <f t="shared" si="1606"/>
        <v>2.8093696937362699E-2</v>
      </c>
      <c r="AB293" s="308">
        <f t="shared" si="1606"/>
        <v>3.218138493455662E-2</v>
      </c>
      <c r="AC293" s="308">
        <f t="shared" si="1606"/>
        <v>3.5850585382994349E-2</v>
      </c>
      <c r="AD293" s="308">
        <f t="shared" si="1606"/>
        <v>3.7637518981960355E-2</v>
      </c>
      <c r="AE293" s="308">
        <f t="shared" si="1606"/>
        <v>3.9510971895043843E-2</v>
      </c>
      <c r="AF293" s="308">
        <f t="shared" si="1606"/>
        <v>4.0958893687938258E-2</v>
      </c>
      <c r="AG293" s="308">
        <f t="shared" si="1606"/>
        <v>4.2664044801808486E-2</v>
      </c>
      <c r="AH293" s="308">
        <f t="shared" si="1606"/>
        <v>4.3715256692886603E-2</v>
      </c>
      <c r="AI293" s="308">
        <f t="shared" si="1606"/>
        <v>4.4831797093076532E-2</v>
      </c>
      <c r="AJ293" s="308">
        <f t="shared" si="1606"/>
        <v>4.565155127147804E-2</v>
      </c>
      <c r="AK293" s="308">
        <f t="shared" si="1606"/>
        <v>4.6581897349436359E-2</v>
      </c>
      <c r="AL293" s="308">
        <f t="shared" si="1606"/>
        <v>4.7176867734527103E-2</v>
      </c>
      <c r="AM293" s="308">
        <f t="shared" si="1606"/>
        <v>4.7813630997370647E-2</v>
      </c>
      <c r="AN293" s="308">
        <f t="shared" si="1606"/>
        <v>4.8284336203003438E-2</v>
      </c>
      <c r="AO293" s="308">
        <f t="shared" si="1606"/>
        <v>4.8821797136516729E-2</v>
      </c>
      <c r="AP293" s="308">
        <f t="shared" si="1606"/>
        <v>4.9160162820517161E-2</v>
      </c>
      <c r="AQ293" s="308">
        <f t="shared" si="1606"/>
        <v>4.9525855513403848E-2</v>
      </c>
      <c r="AR293" s="308">
        <f t="shared" si="1606"/>
        <v>4.9798582473362885E-2</v>
      </c>
      <c r="AS293" s="308">
        <f t="shared" si="1606"/>
        <v>5.0112481449553534E-2</v>
      </c>
      <c r="AT293" s="308">
        <f t="shared" si="1606"/>
        <v>5.0307459794648027E-2</v>
      </c>
      <c r="AU293" s="308">
        <f t="shared" si="1606"/>
        <v>5.0520450824323535E-2</v>
      </c>
      <c r="AV293" s="308">
        <f t="shared" si="1606"/>
        <v>5.0680853037654287E-2</v>
      </c>
      <c r="AW293" s="308">
        <f t="shared" si="1606"/>
        <v>5.0867120661629156E-2</v>
      </c>
      <c r="AY293" s="308">
        <f t="shared" ref="AY293:DJ293" si="1607">AY287/AY$283</f>
        <v>2.1052631578947371E-2</v>
      </c>
      <c r="AZ293" s="308">
        <f t="shared" si="1607"/>
        <v>2.098068241976651E-2</v>
      </c>
      <c r="BA293" s="308">
        <f t="shared" si="1607"/>
        <v>2.0846344242696199E-2</v>
      </c>
      <c r="BB293" s="308">
        <f t="shared" si="1607"/>
        <v>2.0806001761201887E-2</v>
      </c>
      <c r="BC293" s="308">
        <f t="shared" si="1607"/>
        <v>2.0734844917945985E-2</v>
      </c>
      <c r="BD293" s="308">
        <f t="shared" si="1607"/>
        <v>2.0687798787221632E-2</v>
      </c>
      <c r="BE293" s="308">
        <f t="shared" si="1607"/>
        <v>2.0656210763822166E-2</v>
      </c>
      <c r="BF293" s="308">
        <f t="shared" si="1607"/>
        <v>2.0636746911185722E-2</v>
      </c>
      <c r="BG293" s="308">
        <f t="shared" si="1607"/>
        <v>2.0572614242587717E-2</v>
      </c>
      <c r="BH293" s="308">
        <f t="shared" si="1607"/>
        <v>2.0551244997933198E-2</v>
      </c>
      <c r="BI293" s="308">
        <f t="shared" si="1607"/>
        <v>2.0476229209087732E-2</v>
      </c>
      <c r="BJ293" s="308">
        <f t="shared" si="1607"/>
        <v>2.0434184269135292E-2</v>
      </c>
      <c r="BK293" s="308">
        <f t="shared" si="1607"/>
        <v>2.0428417321685835E-2</v>
      </c>
      <c r="BL293" s="308">
        <f t="shared" si="1607"/>
        <v>2.0411360615956348E-2</v>
      </c>
      <c r="BM293" s="308">
        <f t="shared" si="1607"/>
        <v>2.0377997410374511E-2</v>
      </c>
      <c r="BN293" s="308">
        <f t="shared" si="1607"/>
        <v>2.0366402662768728E-2</v>
      </c>
      <c r="BO293" s="308">
        <f t="shared" si="1607"/>
        <v>2.0322826843290918E-2</v>
      </c>
      <c r="BP293" s="308">
        <f t="shared" si="1607"/>
        <v>2.0301246479547754E-2</v>
      </c>
      <c r="BQ293" s="308">
        <f t="shared" si="1607"/>
        <v>2.0291803524409079E-2</v>
      </c>
      <c r="BR293" s="308">
        <f t="shared" si="1607"/>
        <v>2.0288322123149492E-2</v>
      </c>
      <c r="BS293" s="308">
        <f t="shared" si="1607"/>
        <v>2.0274153716772308E-2</v>
      </c>
      <c r="BT293" s="308">
        <f t="shared" si="1607"/>
        <v>2.0273274277784515E-2</v>
      </c>
      <c r="BU293" s="308">
        <f t="shared" si="1607"/>
        <v>2.0259239444906901E-2</v>
      </c>
      <c r="BV293" s="308">
        <f t="shared" si="1607"/>
        <v>2.0237999604994891E-2</v>
      </c>
      <c r="BW293" s="308">
        <f t="shared" si="1607"/>
        <v>2.023220915639792E-2</v>
      </c>
      <c r="BX293" s="308">
        <f t="shared" si="1607"/>
        <v>2.0225377749568778E-2</v>
      </c>
      <c r="BY293" s="308">
        <f t="shared" si="1607"/>
        <v>2.0221887056316085E-2</v>
      </c>
      <c r="BZ293" s="308">
        <f t="shared" si="1607"/>
        <v>2.0216318039336226E-2</v>
      </c>
      <c r="CA293" s="308">
        <f t="shared" si="1607"/>
        <v>2.0215520122434941E-2</v>
      </c>
      <c r="CB293" s="308">
        <f t="shared" si="1607"/>
        <v>2.020393503477547E-2</v>
      </c>
      <c r="CC293" s="308">
        <f t="shared" si="1607"/>
        <v>2.0203347337727034E-2</v>
      </c>
      <c r="CD293" s="308">
        <f t="shared" si="1607"/>
        <v>2.0190831563016969E-2</v>
      </c>
      <c r="CE293" s="308">
        <f t="shared" si="1607"/>
        <v>2.0180273826030302E-2</v>
      </c>
      <c r="CF293" s="308">
        <f t="shared" si="1607"/>
        <v>2.0178066945741046E-2</v>
      </c>
      <c r="CG293" s="308">
        <f t="shared" si="1607"/>
        <v>2.0172875316965634E-2</v>
      </c>
      <c r="CH293" s="308">
        <f t="shared" si="1607"/>
        <v>2.0165733517808128E-2</v>
      </c>
      <c r="CI293" s="308">
        <f t="shared" si="1607"/>
        <v>2.0809600880652632E-2</v>
      </c>
      <c r="CJ293" s="308">
        <f t="shared" si="1607"/>
        <v>2.139409087608754E-2</v>
      </c>
      <c r="CK293" s="308">
        <f t="shared" si="1607"/>
        <v>2.3390601870915899E-2</v>
      </c>
      <c r="CL293" s="308">
        <f t="shared" si="1607"/>
        <v>2.414867769770963E-2</v>
      </c>
      <c r="CM293" s="308">
        <f t="shared" si="1607"/>
        <v>2.5345928883716323E-2</v>
      </c>
      <c r="CN293" s="308">
        <f t="shared" si="1607"/>
        <v>2.8093696937362696E-2</v>
      </c>
      <c r="CO293" s="308">
        <f t="shared" si="1607"/>
        <v>2.8792791597034732E-2</v>
      </c>
      <c r="CP293" s="308">
        <f t="shared" si="1607"/>
        <v>3.0295244300444769E-2</v>
      </c>
      <c r="CQ293" s="308">
        <f t="shared" si="1607"/>
        <v>3.218138493455662E-2</v>
      </c>
      <c r="CR293" s="308">
        <f t="shared" si="1607"/>
        <v>3.2611341004970679E-2</v>
      </c>
      <c r="CS293" s="308">
        <f t="shared" si="1607"/>
        <v>3.4180921083368815E-2</v>
      </c>
      <c r="CT293" s="308">
        <f t="shared" si="1607"/>
        <v>3.5850585382994349E-2</v>
      </c>
      <c r="CU293" s="308">
        <f t="shared" si="1607"/>
        <v>3.611000229094416E-2</v>
      </c>
      <c r="CV293" s="308">
        <f t="shared" si="1607"/>
        <v>3.6653811214546958E-2</v>
      </c>
      <c r="CW293" s="308">
        <f t="shared" si="1607"/>
        <v>3.7637518981960355E-2</v>
      </c>
      <c r="CX293" s="308">
        <f t="shared" si="1607"/>
        <v>3.8000997017382826E-2</v>
      </c>
      <c r="CY293" s="308">
        <f t="shared" si="1607"/>
        <v>3.8660936819970154E-2</v>
      </c>
      <c r="CZ293" s="308">
        <f t="shared" si="1607"/>
        <v>3.951097189504385E-2</v>
      </c>
      <c r="DA293" s="308">
        <f t="shared" si="1607"/>
        <v>3.9783911658355549E-2</v>
      </c>
      <c r="DB293" s="308">
        <f t="shared" si="1607"/>
        <v>4.0236296384815129E-2</v>
      </c>
      <c r="DC293" s="308">
        <f t="shared" si="1607"/>
        <v>4.0958893687938251E-2</v>
      </c>
      <c r="DD293" s="308">
        <f t="shared" si="1607"/>
        <v>4.1249244352350473E-2</v>
      </c>
      <c r="DE293" s="308">
        <f t="shared" si="1607"/>
        <v>4.1955204810808451E-2</v>
      </c>
      <c r="DF293" s="308">
        <f t="shared" si="1607"/>
        <v>4.2664044801808486E-2</v>
      </c>
      <c r="DG293" s="308">
        <f t="shared" si="1607"/>
        <v>4.2823675749185552E-2</v>
      </c>
      <c r="DH293" s="308">
        <f t="shared" si="1607"/>
        <v>4.3144734652103389E-2</v>
      </c>
      <c r="DI293" s="308">
        <f t="shared" si="1607"/>
        <v>4.371525669288661E-2</v>
      </c>
      <c r="DJ293" s="308">
        <f t="shared" si="1607"/>
        <v>4.3941961741662663E-2</v>
      </c>
      <c r="DK293" s="308">
        <f t="shared" ref="DK293:FB293" si="1608">DK287/DK$283</f>
        <v>4.4334553453799913E-2</v>
      </c>
      <c r="DL293" s="308">
        <f t="shared" si="1608"/>
        <v>4.4831797093076539E-2</v>
      </c>
      <c r="DM293" s="308">
        <f t="shared" si="1608"/>
        <v>4.4986084638284518E-2</v>
      </c>
      <c r="DN293" s="308">
        <f t="shared" si="1608"/>
        <v>4.5242020837923939E-2</v>
      </c>
      <c r="DO293" s="308">
        <f t="shared" si="1608"/>
        <v>4.565155127147804E-2</v>
      </c>
      <c r="DP293" s="308">
        <f t="shared" si="1608"/>
        <v>4.5799291723042083E-2</v>
      </c>
      <c r="DQ293" s="308">
        <f t="shared" si="1608"/>
        <v>4.6187488351166643E-2</v>
      </c>
      <c r="DR293" s="308">
        <f t="shared" si="1608"/>
        <v>4.6581897349436359E-2</v>
      </c>
      <c r="DS293" s="308">
        <f t="shared" si="1608"/>
        <v>4.66719660934245E-2</v>
      </c>
      <c r="DT293" s="308">
        <f t="shared" si="1608"/>
        <v>4.68534200650026E-2</v>
      </c>
      <c r="DU293" s="308">
        <f t="shared" si="1608"/>
        <v>4.717686773452711E-2</v>
      </c>
      <c r="DV293" s="308">
        <f t="shared" si="1608"/>
        <v>4.7305735954693034E-2</v>
      </c>
      <c r="DW293" s="308">
        <f t="shared" si="1608"/>
        <v>4.7529431463985784E-2</v>
      </c>
      <c r="DX293" s="308">
        <f t="shared" si="1608"/>
        <v>4.7813630997370647E-2</v>
      </c>
      <c r="DY293" s="308">
        <f t="shared" si="1608"/>
        <v>4.790197880834135E-2</v>
      </c>
      <c r="DZ293" s="308">
        <f t="shared" si="1608"/>
        <v>4.8048813252839932E-2</v>
      </c>
      <c r="EA293" s="308">
        <f t="shared" si="1608"/>
        <v>4.8284336203003431E-2</v>
      </c>
      <c r="EB293" s="308">
        <f t="shared" si="1608"/>
        <v>4.8369425376469842E-2</v>
      </c>
      <c r="EC293" s="308">
        <f t="shared" si="1608"/>
        <v>4.8593483389937915E-2</v>
      </c>
      <c r="ED293" s="308">
        <f t="shared" si="1608"/>
        <v>4.8821797136516722E-2</v>
      </c>
      <c r="EE293" s="308">
        <f t="shared" si="1608"/>
        <v>4.8872816378846017E-2</v>
      </c>
      <c r="EF293" s="308">
        <f t="shared" si="1608"/>
        <v>4.8975820515296559E-2</v>
      </c>
      <c r="EG293" s="308">
        <f t="shared" si="1608"/>
        <v>4.9160162820517148E-2</v>
      </c>
      <c r="EH293" s="308">
        <f t="shared" si="1608"/>
        <v>4.9233862727146235E-2</v>
      </c>
      <c r="EI293" s="308">
        <f t="shared" si="1608"/>
        <v>4.936217912473314E-2</v>
      </c>
      <c r="EJ293" s="308">
        <f t="shared" si="1608"/>
        <v>4.9525855513403855E-2</v>
      </c>
      <c r="EK293" s="308">
        <f t="shared" si="1608"/>
        <v>4.9576866999836065E-2</v>
      </c>
      <c r="EL293" s="308">
        <f t="shared" si="1608"/>
        <v>4.9661846894889845E-2</v>
      </c>
      <c r="EM293" s="308">
        <f t="shared" si="1608"/>
        <v>4.9798582473362885E-2</v>
      </c>
      <c r="EN293" s="308">
        <f t="shared" si="1608"/>
        <v>4.9848083696272576E-2</v>
      </c>
      <c r="EO293" s="308">
        <f t="shared" si="1608"/>
        <v>4.99787875948473E-2</v>
      </c>
      <c r="EP293" s="308">
        <f t="shared" si="1608"/>
        <v>5.0112481449553541E-2</v>
      </c>
      <c r="EQ293" s="308">
        <f t="shared" si="1608"/>
        <v>5.0141753219240852E-2</v>
      </c>
      <c r="ER293" s="308">
        <f t="shared" si="1608"/>
        <v>5.0200988055252131E-2</v>
      </c>
      <c r="ES293" s="308">
        <f t="shared" si="1608"/>
        <v>5.0307459794648013E-2</v>
      </c>
      <c r="ET293" s="308">
        <f t="shared" si="1608"/>
        <v>5.0350188462801836E-2</v>
      </c>
      <c r="EU293" s="308">
        <f t="shared" si="1608"/>
        <v>5.0424825552785039E-2</v>
      </c>
      <c r="EV293" s="308">
        <f t="shared" si="1608"/>
        <v>5.0520450824323541E-2</v>
      </c>
      <c r="EW293" s="308">
        <f t="shared" si="1608"/>
        <v>5.0550338959856063E-2</v>
      </c>
      <c r="EX293" s="308">
        <f t="shared" si="1608"/>
        <v>5.0600255908882605E-2</v>
      </c>
      <c r="EY293" s="308">
        <f t="shared" si="1608"/>
        <v>5.0680853037654294E-2</v>
      </c>
      <c r="EZ293" s="308">
        <f t="shared" si="1608"/>
        <v>5.0710099601845519E-2</v>
      </c>
      <c r="FA293" s="308">
        <f t="shared" si="1608"/>
        <v>5.0787556091394626E-2</v>
      </c>
      <c r="FB293" s="308">
        <f t="shared" si="1608"/>
        <v>5.0867120661629149E-2</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865B1C-2D9D-4201-955E-1E03F6CDB0C3}">
  <dimension ref="A2:FB57"/>
  <sheetViews>
    <sheetView showGridLines="0" zoomScale="85" zoomScaleNormal="85" workbookViewId="0">
      <pane xSplit="3" ySplit="5" topLeftCell="D6" activePane="bottomRight" state="frozen"/>
      <selection pane="topRight" activeCell="D1" sqref="D1"/>
      <selection pane="bottomLeft" activeCell="A6" sqref="A6"/>
      <selection pane="bottomRight" activeCell="D10" sqref="D10"/>
    </sheetView>
  </sheetViews>
  <sheetFormatPr defaultColWidth="9.140625" defaultRowHeight="15" outlineLevelRow="1" outlineLevelCol="1" x14ac:dyDescent="0.25"/>
  <cols>
    <col min="1" max="1" width="0" style="292" hidden="1" customWidth="1" outlineLevel="1"/>
    <col min="2" max="2" width="9.140625" style="292" collapsed="1"/>
    <col min="3" max="3" width="20.7109375" style="292" bestFit="1" customWidth="1"/>
    <col min="4" max="7" width="11.85546875" style="292" bestFit="1" customWidth="1"/>
    <col min="8" max="8" width="12.42578125" style="292" customWidth="1"/>
    <col min="9" max="12" width="12.85546875" style="292" bestFit="1" customWidth="1"/>
    <col min="13" max="13" width="9.140625" style="292"/>
    <col min="14" max="24" width="10.85546875" style="292" bestFit="1" customWidth="1"/>
    <col min="25" max="25" width="11.85546875" style="292" bestFit="1" customWidth="1"/>
    <col min="26" max="26" width="10.85546875" style="292" bestFit="1" customWidth="1"/>
    <col min="27" max="46" width="11.85546875" style="292" bestFit="1" customWidth="1"/>
    <col min="47" max="47" width="12.85546875" style="292" bestFit="1" customWidth="1"/>
    <col min="48" max="48" width="11.85546875" style="292" bestFit="1" customWidth="1"/>
    <col min="49" max="49" width="12.85546875" style="292" bestFit="1" customWidth="1"/>
    <col min="50" max="50" width="9.140625" style="292"/>
    <col min="51" max="51" width="11.42578125" style="292" bestFit="1" customWidth="1"/>
    <col min="52" max="53" width="10.85546875" style="292" bestFit="1" customWidth="1"/>
    <col min="54" max="54" width="9.28515625" style="292" bestFit="1" customWidth="1"/>
    <col min="55" max="56" width="10.85546875" style="292" bestFit="1" customWidth="1"/>
    <col min="57" max="57" width="9.28515625" style="292" bestFit="1" customWidth="1"/>
    <col min="58" max="62" width="10.85546875" style="292" bestFit="1" customWidth="1"/>
    <col min="63" max="63" width="9.28515625" style="292" bestFit="1" customWidth="1"/>
    <col min="64" max="71" width="10.85546875" style="292" bestFit="1" customWidth="1"/>
    <col min="72" max="72" width="9.28515625" style="292" bestFit="1" customWidth="1"/>
    <col min="73" max="97" width="10.85546875" style="292" bestFit="1" customWidth="1"/>
    <col min="98" max="98" width="11.85546875" style="292" bestFit="1" customWidth="1"/>
    <col min="99" max="103" width="10.85546875" style="292" bestFit="1" customWidth="1"/>
    <col min="104" max="104" width="11.85546875" style="292" bestFit="1" customWidth="1"/>
    <col min="105" max="106" width="10.85546875" style="292" bestFit="1" customWidth="1"/>
    <col min="107" max="107" width="11.85546875" style="292" bestFit="1" customWidth="1"/>
    <col min="108" max="108" width="10.85546875" style="292" bestFit="1" customWidth="1"/>
    <col min="109" max="110" width="11.85546875" style="292" bestFit="1" customWidth="1"/>
    <col min="111" max="112" width="10.85546875" style="292" bestFit="1" customWidth="1"/>
    <col min="113" max="113" width="11.85546875" style="292" bestFit="1" customWidth="1"/>
    <col min="114" max="114" width="10.85546875" style="292" bestFit="1" customWidth="1"/>
    <col min="115" max="116" width="11.85546875" style="292" bestFit="1" customWidth="1"/>
    <col min="117" max="118" width="10.85546875" style="292" bestFit="1" customWidth="1"/>
    <col min="119" max="119" width="11.85546875" style="292" bestFit="1" customWidth="1"/>
    <col min="120" max="120" width="10.85546875" style="292" bestFit="1" customWidth="1"/>
    <col min="121" max="122" width="11.85546875" style="292" bestFit="1" customWidth="1"/>
    <col min="123" max="123" width="10.85546875" style="292" bestFit="1" customWidth="1"/>
    <col min="124" max="125" width="11.85546875" style="292" bestFit="1" customWidth="1"/>
    <col min="126" max="126" width="10.85546875" style="292" bestFit="1" customWidth="1"/>
    <col min="127" max="128" width="11.85546875" style="292" bestFit="1" customWidth="1"/>
    <col min="129" max="129" width="10.85546875" style="292" bestFit="1" customWidth="1"/>
    <col min="130" max="131" width="11.85546875" style="292" bestFit="1" customWidth="1"/>
    <col min="132" max="132" width="10.85546875" style="292" bestFit="1" customWidth="1"/>
    <col min="133" max="134" width="11.85546875" style="292" bestFit="1" customWidth="1"/>
    <col min="135" max="135" width="10.85546875" style="292" bestFit="1" customWidth="1"/>
    <col min="136" max="158" width="11.85546875" style="292" bestFit="1" customWidth="1"/>
    <col min="159" max="16384" width="9.140625" style="292"/>
  </cols>
  <sheetData>
    <row r="2" spans="3:158" outlineLevel="1" x14ac:dyDescent="0.25">
      <c r="D2" s="372" t="s">
        <v>36</v>
      </c>
      <c r="E2" s="372" t="s">
        <v>37</v>
      </c>
      <c r="F2" s="372" t="s">
        <v>38</v>
      </c>
      <c r="G2" s="372" t="s">
        <v>39</v>
      </c>
      <c r="H2" s="372" t="s">
        <v>40</v>
      </c>
      <c r="I2" s="372" t="s">
        <v>41</v>
      </c>
      <c r="J2" s="372" t="s">
        <v>233</v>
      </c>
      <c r="K2" s="372" t="s">
        <v>234</v>
      </c>
      <c r="L2" s="372" t="s">
        <v>235</v>
      </c>
      <c r="AY2" s="372" t="s">
        <v>36</v>
      </c>
      <c r="AZ2" s="372" t="s">
        <v>36</v>
      </c>
      <c r="BA2" s="372" t="s">
        <v>36</v>
      </c>
      <c r="BB2" s="372" t="s">
        <v>36</v>
      </c>
      <c r="BC2" s="372" t="s">
        <v>36</v>
      </c>
      <c r="BD2" s="372" t="s">
        <v>36</v>
      </c>
      <c r="BE2" s="372" t="s">
        <v>36</v>
      </c>
      <c r="BF2" s="372" t="s">
        <v>36</v>
      </c>
      <c r="BG2" s="372" t="s">
        <v>36</v>
      </c>
      <c r="BH2" s="372" t="s">
        <v>36</v>
      </c>
      <c r="BI2" s="372" t="s">
        <v>36</v>
      </c>
      <c r="BJ2" s="372" t="s">
        <v>36</v>
      </c>
      <c r="BK2" s="372" t="s">
        <v>37</v>
      </c>
      <c r="BL2" s="372" t="s">
        <v>37</v>
      </c>
      <c r="BM2" s="372" t="s">
        <v>37</v>
      </c>
      <c r="BN2" s="372" t="s">
        <v>37</v>
      </c>
      <c r="BO2" s="372" t="s">
        <v>37</v>
      </c>
      <c r="BP2" s="372" t="s">
        <v>37</v>
      </c>
      <c r="BQ2" s="372" t="s">
        <v>37</v>
      </c>
      <c r="BR2" s="372" t="s">
        <v>37</v>
      </c>
      <c r="BS2" s="372" t="s">
        <v>37</v>
      </c>
      <c r="BT2" s="372" t="s">
        <v>37</v>
      </c>
      <c r="BU2" s="372" t="s">
        <v>37</v>
      </c>
      <c r="BV2" s="372" t="s">
        <v>37</v>
      </c>
      <c r="BW2" s="372" t="s">
        <v>38</v>
      </c>
      <c r="BX2" s="372" t="s">
        <v>38</v>
      </c>
      <c r="BY2" s="372" t="s">
        <v>38</v>
      </c>
      <c r="BZ2" s="372" t="s">
        <v>38</v>
      </c>
      <c r="CA2" s="372" t="s">
        <v>38</v>
      </c>
      <c r="CB2" s="372" t="s">
        <v>38</v>
      </c>
      <c r="CC2" s="372" t="s">
        <v>38</v>
      </c>
      <c r="CD2" s="372" t="s">
        <v>38</v>
      </c>
      <c r="CE2" s="372" t="s">
        <v>38</v>
      </c>
      <c r="CF2" s="372" t="s">
        <v>38</v>
      </c>
      <c r="CG2" s="372" t="s">
        <v>38</v>
      </c>
      <c r="CH2" s="372" t="s">
        <v>38</v>
      </c>
      <c r="CI2" s="372" t="s">
        <v>39</v>
      </c>
      <c r="CJ2" s="372" t="s">
        <v>39</v>
      </c>
      <c r="CK2" s="372" t="s">
        <v>39</v>
      </c>
      <c r="CL2" s="372" t="s">
        <v>39</v>
      </c>
      <c r="CM2" s="372" t="s">
        <v>39</v>
      </c>
      <c r="CN2" s="372" t="s">
        <v>39</v>
      </c>
      <c r="CO2" s="372" t="s">
        <v>39</v>
      </c>
      <c r="CP2" s="372" t="s">
        <v>39</v>
      </c>
      <c r="CQ2" s="372" t="s">
        <v>39</v>
      </c>
      <c r="CR2" s="372" t="s">
        <v>39</v>
      </c>
      <c r="CS2" s="372" t="s">
        <v>39</v>
      </c>
      <c r="CT2" s="372" t="s">
        <v>39</v>
      </c>
      <c r="CU2" s="372" t="s">
        <v>40</v>
      </c>
      <c r="CV2" s="372" t="s">
        <v>40</v>
      </c>
      <c r="CW2" s="372" t="s">
        <v>40</v>
      </c>
      <c r="CX2" s="372" t="s">
        <v>40</v>
      </c>
      <c r="CY2" s="372" t="s">
        <v>40</v>
      </c>
      <c r="CZ2" s="372" t="s">
        <v>40</v>
      </c>
      <c r="DA2" s="372" t="s">
        <v>40</v>
      </c>
      <c r="DB2" s="372" t="s">
        <v>40</v>
      </c>
      <c r="DC2" s="372" t="s">
        <v>40</v>
      </c>
      <c r="DD2" s="372" t="s">
        <v>40</v>
      </c>
      <c r="DE2" s="372" t="s">
        <v>40</v>
      </c>
      <c r="DF2" s="372" t="s">
        <v>40</v>
      </c>
      <c r="DG2" s="372" t="s">
        <v>41</v>
      </c>
      <c r="DH2" s="372" t="s">
        <v>41</v>
      </c>
      <c r="DI2" s="372" t="s">
        <v>41</v>
      </c>
      <c r="DJ2" s="372" t="s">
        <v>41</v>
      </c>
      <c r="DK2" s="372" t="s">
        <v>41</v>
      </c>
      <c r="DL2" s="372" t="s">
        <v>41</v>
      </c>
      <c r="DM2" s="372" t="s">
        <v>41</v>
      </c>
      <c r="DN2" s="372" t="s">
        <v>41</v>
      </c>
      <c r="DO2" s="372" t="s">
        <v>41</v>
      </c>
      <c r="DP2" s="372" t="s">
        <v>41</v>
      </c>
      <c r="DQ2" s="372" t="s">
        <v>41</v>
      </c>
      <c r="DR2" s="372" t="s">
        <v>41</v>
      </c>
      <c r="DS2" s="372" t="s">
        <v>233</v>
      </c>
      <c r="DT2" s="372" t="s">
        <v>233</v>
      </c>
      <c r="DU2" s="372" t="s">
        <v>233</v>
      </c>
      <c r="DV2" s="372" t="s">
        <v>233</v>
      </c>
      <c r="DW2" s="372" t="s">
        <v>233</v>
      </c>
      <c r="DX2" s="372" t="s">
        <v>233</v>
      </c>
      <c r="DY2" s="372" t="s">
        <v>233</v>
      </c>
      <c r="DZ2" s="372" t="s">
        <v>233</v>
      </c>
      <c r="EA2" s="372" t="s">
        <v>233</v>
      </c>
      <c r="EB2" s="372" t="s">
        <v>233</v>
      </c>
      <c r="EC2" s="372" t="s">
        <v>233</v>
      </c>
      <c r="ED2" s="372" t="s">
        <v>233</v>
      </c>
      <c r="EE2" s="372" t="s">
        <v>234</v>
      </c>
      <c r="EF2" s="372" t="s">
        <v>234</v>
      </c>
      <c r="EG2" s="372" t="s">
        <v>234</v>
      </c>
      <c r="EH2" s="372" t="s">
        <v>234</v>
      </c>
      <c r="EI2" s="372" t="s">
        <v>234</v>
      </c>
      <c r="EJ2" s="372" t="s">
        <v>234</v>
      </c>
      <c r="EK2" s="372" t="s">
        <v>234</v>
      </c>
      <c r="EL2" s="372" t="s">
        <v>234</v>
      </c>
      <c r="EM2" s="372" t="s">
        <v>234</v>
      </c>
      <c r="EN2" s="372" t="s">
        <v>234</v>
      </c>
      <c r="EO2" s="372" t="s">
        <v>234</v>
      </c>
      <c r="EP2" s="372" t="s">
        <v>234</v>
      </c>
      <c r="EQ2" s="372" t="s">
        <v>235</v>
      </c>
      <c r="ER2" s="372" t="s">
        <v>235</v>
      </c>
      <c r="ES2" s="372" t="s">
        <v>235</v>
      </c>
      <c r="ET2" s="372" t="s">
        <v>235</v>
      </c>
      <c r="EU2" s="372" t="s">
        <v>235</v>
      </c>
      <c r="EV2" s="372" t="s">
        <v>235</v>
      </c>
      <c r="EW2" s="372" t="s">
        <v>235</v>
      </c>
      <c r="EX2" s="372" t="s">
        <v>235</v>
      </c>
      <c r="EY2" s="372" t="s">
        <v>235</v>
      </c>
      <c r="EZ2" s="372" t="s">
        <v>235</v>
      </c>
      <c r="FA2" s="372" t="s">
        <v>235</v>
      </c>
      <c r="FB2" s="372" t="s">
        <v>235</v>
      </c>
    </row>
    <row r="4" spans="3:158" x14ac:dyDescent="0.25">
      <c r="D4" s="25" t="s">
        <v>53</v>
      </c>
      <c r="E4" s="25"/>
      <c r="F4" s="25"/>
      <c r="G4" s="94" t="s">
        <v>54</v>
      </c>
      <c r="H4" s="94"/>
      <c r="I4" s="94"/>
      <c r="J4" s="94"/>
      <c r="K4" s="94"/>
      <c r="L4" s="94"/>
      <c r="M4" s="1"/>
      <c r="N4" s="71" t="s">
        <v>36</v>
      </c>
      <c r="O4" s="71"/>
      <c r="P4" s="71"/>
      <c r="Q4" s="71"/>
      <c r="R4" s="69" t="s">
        <v>37</v>
      </c>
      <c r="S4" s="69"/>
      <c r="T4" s="69"/>
      <c r="U4" s="69"/>
      <c r="V4" s="71" t="s">
        <v>38</v>
      </c>
      <c r="W4" s="71"/>
      <c r="X4" s="71"/>
      <c r="Y4" s="71"/>
      <c r="Z4" s="69" t="s">
        <v>39</v>
      </c>
      <c r="AA4" s="69"/>
      <c r="AB4" s="69"/>
      <c r="AC4" s="69"/>
      <c r="AD4" s="71" t="s">
        <v>40</v>
      </c>
      <c r="AE4" s="71"/>
      <c r="AF4" s="71"/>
      <c r="AG4" s="71"/>
      <c r="AH4" s="69" t="s">
        <v>41</v>
      </c>
      <c r="AI4" s="69"/>
      <c r="AJ4" s="69"/>
      <c r="AK4" s="69"/>
      <c r="AL4" s="71" t="s">
        <v>233</v>
      </c>
      <c r="AM4" s="71"/>
      <c r="AN4" s="71"/>
      <c r="AO4" s="71"/>
      <c r="AP4" s="69" t="s">
        <v>234</v>
      </c>
      <c r="AQ4" s="69"/>
      <c r="AR4" s="69"/>
      <c r="AS4" s="69"/>
      <c r="AT4" s="71" t="s">
        <v>235</v>
      </c>
      <c r="AU4" s="71"/>
      <c r="AV4" s="71"/>
      <c r="AW4" s="71"/>
      <c r="AX4" s="1"/>
      <c r="AY4" s="71" t="s">
        <v>36</v>
      </c>
      <c r="AZ4" s="71"/>
      <c r="BA4" s="71"/>
      <c r="BB4" s="71"/>
      <c r="BC4" s="71"/>
      <c r="BD4" s="71"/>
      <c r="BE4" s="71"/>
      <c r="BF4" s="71"/>
      <c r="BG4" s="71"/>
      <c r="BH4" s="71"/>
      <c r="BI4" s="71"/>
      <c r="BJ4" s="71"/>
      <c r="BK4" s="69" t="s">
        <v>37</v>
      </c>
      <c r="BL4" s="69"/>
      <c r="BM4" s="69"/>
      <c r="BN4" s="69"/>
      <c r="BO4" s="69"/>
      <c r="BP4" s="69"/>
      <c r="BQ4" s="69"/>
      <c r="BR4" s="69"/>
      <c r="BS4" s="69"/>
      <c r="BT4" s="69"/>
      <c r="BU4" s="69"/>
      <c r="BV4" s="69"/>
      <c r="BW4" s="71" t="s">
        <v>38</v>
      </c>
      <c r="BX4" s="71"/>
      <c r="BY4" s="71"/>
      <c r="BZ4" s="71"/>
      <c r="CA4" s="71"/>
      <c r="CB4" s="71"/>
      <c r="CC4" s="71"/>
      <c r="CD4" s="71"/>
      <c r="CE4" s="71"/>
      <c r="CF4" s="71"/>
      <c r="CG4" s="71"/>
      <c r="CH4" s="71"/>
      <c r="CI4" s="69" t="s">
        <v>39</v>
      </c>
      <c r="CJ4" s="69"/>
      <c r="CK4" s="69"/>
      <c r="CL4" s="69"/>
      <c r="CM4" s="69"/>
      <c r="CN4" s="69"/>
      <c r="CO4" s="69"/>
      <c r="CP4" s="69"/>
      <c r="CQ4" s="69"/>
      <c r="CR4" s="69"/>
      <c r="CS4" s="69"/>
      <c r="CT4" s="69"/>
      <c r="CU4" s="71" t="s">
        <v>40</v>
      </c>
      <c r="CV4" s="71"/>
      <c r="CW4" s="71"/>
      <c r="CX4" s="71"/>
      <c r="CY4" s="71"/>
      <c r="CZ4" s="71"/>
      <c r="DA4" s="71"/>
      <c r="DB4" s="71"/>
      <c r="DC4" s="71"/>
      <c r="DD4" s="71"/>
      <c r="DE4" s="71"/>
      <c r="DF4" s="71"/>
      <c r="DG4" s="69" t="s">
        <v>41</v>
      </c>
      <c r="DH4" s="69"/>
      <c r="DI4" s="69"/>
      <c r="DJ4" s="69"/>
      <c r="DK4" s="69"/>
      <c r="DL4" s="69"/>
      <c r="DM4" s="69"/>
      <c r="DN4" s="69"/>
      <c r="DO4" s="69"/>
      <c r="DP4" s="69"/>
      <c r="DQ4" s="69"/>
      <c r="DR4" s="69"/>
      <c r="DS4" s="71" t="s">
        <v>233</v>
      </c>
      <c r="DT4" s="71"/>
      <c r="DU4" s="71"/>
      <c r="DV4" s="71"/>
      <c r="DW4" s="71"/>
      <c r="DX4" s="71"/>
      <c r="DY4" s="71"/>
      <c r="DZ4" s="71"/>
      <c r="EA4" s="71"/>
      <c r="EB4" s="71"/>
      <c r="EC4" s="71"/>
      <c r="ED4" s="71"/>
      <c r="EE4" s="69" t="s">
        <v>234</v>
      </c>
      <c r="EF4" s="69"/>
      <c r="EG4" s="69"/>
      <c r="EH4" s="69"/>
      <c r="EI4" s="69"/>
      <c r="EJ4" s="69"/>
      <c r="EK4" s="69"/>
      <c r="EL4" s="69"/>
      <c r="EM4" s="69"/>
      <c r="EN4" s="69"/>
      <c r="EO4" s="69"/>
      <c r="EP4" s="69"/>
      <c r="EQ4" s="71" t="s">
        <v>235</v>
      </c>
      <c r="ER4" s="71"/>
      <c r="ES4" s="71"/>
      <c r="ET4" s="71"/>
      <c r="EU4" s="71"/>
      <c r="EV4" s="71"/>
      <c r="EW4" s="71"/>
      <c r="EX4" s="71"/>
      <c r="EY4" s="71"/>
      <c r="EZ4" s="71"/>
      <c r="FA4" s="71"/>
      <c r="FB4" s="71"/>
    </row>
    <row r="5" spans="3:158" x14ac:dyDescent="0.25">
      <c r="D5" s="26" t="s">
        <v>36</v>
      </c>
      <c r="E5" s="26" t="s">
        <v>37</v>
      </c>
      <c r="F5" s="26" t="s">
        <v>38</v>
      </c>
      <c r="G5" s="95" t="s">
        <v>39</v>
      </c>
      <c r="H5" s="95" t="s">
        <v>40</v>
      </c>
      <c r="I5" s="95" t="s">
        <v>41</v>
      </c>
      <c r="J5" s="95" t="s">
        <v>233</v>
      </c>
      <c r="K5" s="95" t="s">
        <v>234</v>
      </c>
      <c r="L5" s="96" t="s">
        <v>235</v>
      </c>
      <c r="M5" s="373"/>
      <c r="N5" s="72" t="s">
        <v>194</v>
      </c>
      <c r="O5" s="72" t="s">
        <v>195</v>
      </c>
      <c r="P5" s="72" t="s">
        <v>196</v>
      </c>
      <c r="Q5" s="72" t="s">
        <v>197</v>
      </c>
      <c r="R5" s="70" t="s">
        <v>198</v>
      </c>
      <c r="S5" s="70" t="s">
        <v>199</v>
      </c>
      <c r="T5" s="70" t="s">
        <v>200</v>
      </c>
      <c r="U5" s="70" t="s">
        <v>201</v>
      </c>
      <c r="V5" s="72" t="s">
        <v>202</v>
      </c>
      <c r="W5" s="72" t="s">
        <v>203</v>
      </c>
      <c r="X5" s="72" t="s">
        <v>204</v>
      </c>
      <c r="Y5" s="72" t="s">
        <v>205</v>
      </c>
      <c r="Z5" s="70" t="s">
        <v>206</v>
      </c>
      <c r="AA5" s="70" t="s">
        <v>207</v>
      </c>
      <c r="AB5" s="70" t="s">
        <v>208</v>
      </c>
      <c r="AC5" s="70" t="s">
        <v>209</v>
      </c>
      <c r="AD5" s="72" t="s">
        <v>210</v>
      </c>
      <c r="AE5" s="72" t="s">
        <v>211</v>
      </c>
      <c r="AF5" s="72" t="s">
        <v>212</v>
      </c>
      <c r="AG5" s="72" t="s">
        <v>213</v>
      </c>
      <c r="AH5" s="70" t="s">
        <v>214</v>
      </c>
      <c r="AI5" s="70" t="s">
        <v>215</v>
      </c>
      <c r="AJ5" s="70" t="s">
        <v>216</v>
      </c>
      <c r="AK5" s="70" t="s">
        <v>217</v>
      </c>
      <c r="AL5" s="72" t="s">
        <v>236</v>
      </c>
      <c r="AM5" s="72" t="s">
        <v>237</v>
      </c>
      <c r="AN5" s="72" t="s">
        <v>238</v>
      </c>
      <c r="AO5" s="72" t="s">
        <v>239</v>
      </c>
      <c r="AP5" s="70" t="s">
        <v>240</v>
      </c>
      <c r="AQ5" s="70" t="s">
        <v>241</v>
      </c>
      <c r="AR5" s="70" t="s">
        <v>242</v>
      </c>
      <c r="AS5" s="70" t="s">
        <v>243</v>
      </c>
      <c r="AT5" s="72" t="s">
        <v>244</v>
      </c>
      <c r="AU5" s="72" t="s">
        <v>245</v>
      </c>
      <c r="AV5" s="72" t="s">
        <v>246</v>
      </c>
      <c r="AW5" s="72" t="s">
        <v>247</v>
      </c>
      <c r="AX5" s="373"/>
      <c r="AY5" s="72">
        <v>43132</v>
      </c>
      <c r="AZ5" s="72">
        <v>43160</v>
      </c>
      <c r="BA5" s="73">
        <v>43191</v>
      </c>
      <c r="BB5" s="73">
        <v>43221</v>
      </c>
      <c r="BC5" s="73">
        <v>43252</v>
      </c>
      <c r="BD5" s="73">
        <v>43282</v>
      </c>
      <c r="BE5" s="73">
        <v>43313</v>
      </c>
      <c r="BF5" s="73">
        <v>43344</v>
      </c>
      <c r="BG5" s="74">
        <v>43374</v>
      </c>
      <c r="BH5" s="73">
        <v>43405</v>
      </c>
      <c r="BI5" s="73">
        <v>43435</v>
      </c>
      <c r="BJ5" s="73">
        <v>43466</v>
      </c>
      <c r="BK5" s="75">
        <v>43497</v>
      </c>
      <c r="BL5" s="75">
        <v>43525</v>
      </c>
      <c r="BM5" s="75">
        <v>43556</v>
      </c>
      <c r="BN5" s="75">
        <v>43586</v>
      </c>
      <c r="BO5" s="75">
        <v>43617</v>
      </c>
      <c r="BP5" s="75">
        <v>43647</v>
      </c>
      <c r="BQ5" s="75">
        <v>43678</v>
      </c>
      <c r="BR5" s="75">
        <v>43709</v>
      </c>
      <c r="BS5" s="75">
        <v>43739</v>
      </c>
      <c r="BT5" s="75">
        <v>43770</v>
      </c>
      <c r="BU5" s="75">
        <v>43800</v>
      </c>
      <c r="BV5" s="75">
        <v>43831</v>
      </c>
      <c r="BW5" s="73">
        <v>43862</v>
      </c>
      <c r="BX5" s="73">
        <v>43891</v>
      </c>
      <c r="BY5" s="73">
        <v>43922</v>
      </c>
      <c r="BZ5" s="73">
        <v>43952</v>
      </c>
      <c r="CA5" s="73">
        <v>43983</v>
      </c>
      <c r="CB5" s="73">
        <v>44013</v>
      </c>
      <c r="CC5" s="73">
        <v>44044</v>
      </c>
      <c r="CD5" s="73">
        <v>44075</v>
      </c>
      <c r="CE5" s="73">
        <v>44105</v>
      </c>
      <c r="CF5" s="73">
        <v>44136</v>
      </c>
      <c r="CG5" s="73">
        <v>44166</v>
      </c>
      <c r="CH5" s="73">
        <v>44197</v>
      </c>
      <c r="CI5" s="75">
        <v>44228</v>
      </c>
      <c r="CJ5" s="75">
        <v>44256</v>
      </c>
      <c r="CK5" s="75">
        <v>44287</v>
      </c>
      <c r="CL5" s="75">
        <v>44317</v>
      </c>
      <c r="CM5" s="75">
        <v>44348</v>
      </c>
      <c r="CN5" s="75">
        <v>44378</v>
      </c>
      <c r="CO5" s="75">
        <v>44409</v>
      </c>
      <c r="CP5" s="75">
        <v>44440</v>
      </c>
      <c r="CQ5" s="75">
        <v>44470</v>
      </c>
      <c r="CR5" s="75">
        <v>44501</v>
      </c>
      <c r="CS5" s="75">
        <v>44531</v>
      </c>
      <c r="CT5" s="75">
        <v>44562</v>
      </c>
      <c r="CU5" s="73">
        <v>44593</v>
      </c>
      <c r="CV5" s="73">
        <v>44621</v>
      </c>
      <c r="CW5" s="73">
        <v>44652</v>
      </c>
      <c r="CX5" s="73">
        <v>44682</v>
      </c>
      <c r="CY5" s="73">
        <v>44713</v>
      </c>
      <c r="CZ5" s="73">
        <v>44743</v>
      </c>
      <c r="DA5" s="73">
        <v>44774</v>
      </c>
      <c r="DB5" s="73">
        <v>44805</v>
      </c>
      <c r="DC5" s="73">
        <v>44835</v>
      </c>
      <c r="DD5" s="73">
        <v>44866</v>
      </c>
      <c r="DE5" s="73">
        <v>44896</v>
      </c>
      <c r="DF5" s="73">
        <v>44927</v>
      </c>
      <c r="DG5" s="75">
        <v>44958</v>
      </c>
      <c r="DH5" s="75">
        <v>44986</v>
      </c>
      <c r="DI5" s="75">
        <v>45017</v>
      </c>
      <c r="DJ5" s="75">
        <v>45047</v>
      </c>
      <c r="DK5" s="75">
        <v>45078</v>
      </c>
      <c r="DL5" s="75">
        <v>45108</v>
      </c>
      <c r="DM5" s="75">
        <v>45139</v>
      </c>
      <c r="DN5" s="75">
        <v>45170</v>
      </c>
      <c r="DO5" s="75">
        <v>45200</v>
      </c>
      <c r="DP5" s="75">
        <v>45231</v>
      </c>
      <c r="DQ5" s="75">
        <v>45261</v>
      </c>
      <c r="DR5" s="75">
        <v>45292</v>
      </c>
      <c r="DS5" s="73">
        <v>45323</v>
      </c>
      <c r="DT5" s="73">
        <v>45352</v>
      </c>
      <c r="DU5" s="73">
        <v>45383</v>
      </c>
      <c r="DV5" s="73">
        <v>45413</v>
      </c>
      <c r="DW5" s="73">
        <v>45444</v>
      </c>
      <c r="DX5" s="73">
        <v>45474</v>
      </c>
      <c r="DY5" s="73">
        <v>45505</v>
      </c>
      <c r="DZ5" s="73">
        <v>45536</v>
      </c>
      <c r="EA5" s="73">
        <v>45566</v>
      </c>
      <c r="EB5" s="73">
        <v>45597</v>
      </c>
      <c r="EC5" s="73">
        <v>45627</v>
      </c>
      <c r="ED5" s="73">
        <v>45658</v>
      </c>
      <c r="EE5" s="75">
        <v>45689</v>
      </c>
      <c r="EF5" s="75">
        <v>45717</v>
      </c>
      <c r="EG5" s="75">
        <v>45748</v>
      </c>
      <c r="EH5" s="75">
        <v>45778</v>
      </c>
      <c r="EI5" s="75">
        <v>45809</v>
      </c>
      <c r="EJ5" s="75">
        <v>45839</v>
      </c>
      <c r="EK5" s="75">
        <v>45870</v>
      </c>
      <c r="EL5" s="75">
        <v>45901</v>
      </c>
      <c r="EM5" s="75">
        <v>45931</v>
      </c>
      <c r="EN5" s="75">
        <v>45962</v>
      </c>
      <c r="EO5" s="75">
        <v>45992</v>
      </c>
      <c r="EP5" s="75">
        <v>46023</v>
      </c>
      <c r="EQ5" s="73">
        <v>46054</v>
      </c>
      <c r="ER5" s="73">
        <v>46082</v>
      </c>
      <c r="ES5" s="73">
        <v>46113</v>
      </c>
      <c r="ET5" s="73">
        <v>46143</v>
      </c>
      <c r="EU5" s="73">
        <v>46174</v>
      </c>
      <c r="EV5" s="73">
        <v>46204</v>
      </c>
      <c r="EW5" s="73">
        <v>46235</v>
      </c>
      <c r="EX5" s="73">
        <v>46266</v>
      </c>
      <c r="EY5" s="73">
        <v>46296</v>
      </c>
      <c r="EZ5" s="73">
        <v>46327</v>
      </c>
      <c r="FA5" s="73">
        <v>46357</v>
      </c>
      <c r="FB5" s="73">
        <v>46388</v>
      </c>
    </row>
    <row r="6" spans="3:158" x14ac:dyDescent="0.25">
      <c r="C6" s="1"/>
      <c r="D6" s="374"/>
      <c r="E6" s="374"/>
    </row>
    <row r="7" spans="3:158" x14ac:dyDescent="0.25">
      <c r="C7" s="3" t="s">
        <v>634</v>
      </c>
      <c r="D7" s="375"/>
      <c r="E7" s="375"/>
      <c r="F7" s="376"/>
      <c r="G7" s="376"/>
      <c r="H7" s="376"/>
      <c r="I7" s="376"/>
      <c r="J7" s="376"/>
      <c r="K7" s="376"/>
      <c r="L7" s="376"/>
      <c r="M7" s="376"/>
      <c r="N7" s="376"/>
      <c r="O7" s="376"/>
      <c r="P7" s="376"/>
      <c r="Q7" s="376"/>
      <c r="R7" s="376"/>
      <c r="S7" s="376"/>
      <c r="T7" s="376"/>
      <c r="U7" s="376"/>
      <c r="V7" s="376"/>
      <c r="W7" s="376"/>
      <c r="X7" s="376"/>
      <c r="Y7" s="376"/>
      <c r="Z7" s="376"/>
      <c r="AA7" s="376"/>
      <c r="AB7" s="376"/>
      <c r="AC7" s="376"/>
      <c r="AD7" s="376"/>
      <c r="AE7" s="376"/>
      <c r="AF7" s="376"/>
      <c r="AG7" s="376"/>
      <c r="AH7" s="376"/>
      <c r="AI7" s="376"/>
      <c r="AJ7" s="376"/>
      <c r="AK7" s="376"/>
      <c r="AL7" s="376"/>
      <c r="AM7" s="376"/>
      <c r="AN7" s="376"/>
      <c r="AO7" s="376"/>
      <c r="AP7" s="376"/>
      <c r="AQ7" s="376"/>
      <c r="AR7" s="376"/>
      <c r="AS7" s="376"/>
      <c r="AT7" s="376"/>
      <c r="AU7" s="376"/>
      <c r="AV7" s="376"/>
      <c r="AW7" s="376"/>
      <c r="AX7" s="376"/>
      <c r="AY7" s="376"/>
      <c r="AZ7" s="376"/>
      <c r="BA7" s="376"/>
      <c r="BB7" s="376"/>
      <c r="BC7" s="376"/>
      <c r="BD7" s="376"/>
      <c r="BE7" s="376"/>
      <c r="BF7" s="376"/>
      <c r="BG7" s="376"/>
      <c r="BH7" s="376"/>
      <c r="BI7" s="376"/>
      <c r="BJ7" s="376"/>
      <c r="BK7" s="376"/>
      <c r="BL7" s="376"/>
      <c r="BM7" s="376"/>
      <c r="BN7" s="376"/>
      <c r="BO7" s="376"/>
      <c r="BP7" s="376"/>
      <c r="BQ7" s="376"/>
      <c r="BR7" s="376"/>
      <c r="BS7" s="376"/>
      <c r="BT7" s="376"/>
      <c r="BU7" s="376"/>
      <c r="BV7" s="376"/>
      <c r="BW7" s="376"/>
      <c r="BX7" s="376"/>
      <c r="BY7" s="376"/>
      <c r="BZ7" s="376"/>
      <c r="CA7" s="376"/>
      <c r="CB7" s="376"/>
      <c r="CC7" s="376"/>
      <c r="CD7" s="376"/>
      <c r="CE7" s="376"/>
      <c r="CF7" s="376"/>
      <c r="CG7" s="376"/>
      <c r="CH7" s="376"/>
      <c r="CI7" s="376"/>
      <c r="CJ7" s="376"/>
      <c r="CK7" s="376"/>
      <c r="CL7" s="376"/>
      <c r="CM7" s="376"/>
      <c r="CN7" s="376"/>
      <c r="CO7" s="376"/>
      <c r="CP7" s="376"/>
      <c r="CQ7" s="376"/>
      <c r="CR7" s="376"/>
      <c r="CS7" s="376"/>
      <c r="CT7" s="376"/>
      <c r="CU7" s="376"/>
      <c r="CV7" s="376"/>
      <c r="CW7" s="376"/>
      <c r="CX7" s="376"/>
      <c r="CY7" s="376"/>
      <c r="CZ7" s="376"/>
      <c r="DA7" s="376"/>
      <c r="DB7" s="376"/>
      <c r="DC7" s="376"/>
      <c r="DD7" s="376"/>
      <c r="DE7" s="376"/>
      <c r="DF7" s="376"/>
      <c r="DG7" s="376"/>
      <c r="DH7" s="376"/>
      <c r="DI7" s="376"/>
      <c r="DJ7" s="376"/>
      <c r="DK7" s="376"/>
      <c r="DL7" s="376"/>
      <c r="DM7" s="376"/>
      <c r="DN7" s="376"/>
      <c r="DO7" s="376"/>
      <c r="DP7" s="376"/>
      <c r="DQ7" s="376"/>
      <c r="DR7" s="376"/>
      <c r="DS7" s="376"/>
      <c r="DT7" s="376"/>
      <c r="DU7" s="376"/>
      <c r="DV7" s="376"/>
      <c r="DW7" s="376"/>
      <c r="DX7" s="376"/>
      <c r="DY7" s="376"/>
      <c r="DZ7" s="376"/>
      <c r="EA7" s="376"/>
      <c r="EB7" s="376"/>
      <c r="EC7" s="376"/>
      <c r="ED7" s="376"/>
      <c r="EE7" s="376"/>
      <c r="EF7" s="376"/>
      <c r="EG7" s="376"/>
      <c r="EH7" s="376"/>
      <c r="EI7" s="376"/>
      <c r="EJ7" s="376"/>
      <c r="EK7" s="376"/>
      <c r="EL7" s="376"/>
      <c r="EM7" s="376"/>
      <c r="EN7" s="376"/>
      <c r="EO7" s="376"/>
      <c r="EP7" s="376"/>
      <c r="EQ7" s="376"/>
      <c r="ER7" s="376"/>
      <c r="ES7" s="376"/>
      <c r="ET7" s="376"/>
      <c r="EU7" s="376"/>
      <c r="EV7" s="376"/>
      <c r="EW7" s="376"/>
      <c r="EX7" s="376"/>
      <c r="EY7" s="376"/>
      <c r="EZ7" s="376"/>
      <c r="FA7" s="376"/>
      <c r="FB7" s="376"/>
    </row>
    <row r="9" spans="3:158" x14ac:dyDescent="0.25">
      <c r="C9" s="1" t="s">
        <v>249</v>
      </c>
      <c r="D9" s="22">
        <f t="shared" ref="D9:L11" si="0">SUMIF($AY$2:$FB$2,D$2,$AY9:$FB9)</f>
        <v>18909925.300000001</v>
      </c>
      <c r="E9" s="22">
        <f t="shared" si="0"/>
        <v>27736807.890914995</v>
      </c>
      <c r="F9" s="22">
        <f t="shared" si="0"/>
        <v>32341969.564102001</v>
      </c>
      <c r="G9" s="22">
        <f t="shared" si="0"/>
        <v>63932242.320432998</v>
      </c>
      <c r="H9" s="22">
        <f t="shared" si="0"/>
        <v>87500000</v>
      </c>
      <c r="I9" s="22">
        <f t="shared" si="0"/>
        <v>129062499.99999997</v>
      </c>
      <c r="J9" s="22">
        <f t="shared" si="0"/>
        <v>187140625</v>
      </c>
      <c r="K9" s="22">
        <f t="shared" si="0"/>
        <v>266675390.62499997</v>
      </c>
      <c r="L9" s="22">
        <f t="shared" si="0"/>
        <v>373345546.87499994</v>
      </c>
      <c r="M9" s="1"/>
      <c r="N9" s="22">
        <f t="shared" ref="N9:N11" si="1">SUM(AY9:BA9)</f>
        <v>3412608.1000000006</v>
      </c>
      <c r="O9" s="22">
        <f t="shared" ref="O9:O11" si="2">SUM(BB9:BD9)</f>
        <v>4179978.8</v>
      </c>
      <c r="P9" s="22">
        <f t="shared" ref="P9:P11" si="3">SUM(BE9:BG9)</f>
        <v>4303066.459999999</v>
      </c>
      <c r="Q9" s="22">
        <f t="shared" ref="Q9:Q11" si="4">SUM(BH9:BJ9)</f>
        <v>7014271.9399999995</v>
      </c>
      <c r="R9" s="22">
        <f t="shared" ref="R9:R11" si="5">SUM(BK9:BM9)</f>
        <v>5688324.290000001</v>
      </c>
      <c r="S9" s="22">
        <f t="shared" ref="S9:S11" si="6">SUM(BN9:BP9)</f>
        <v>7504547.8499999996</v>
      </c>
      <c r="T9" s="22">
        <f t="shared" ref="T9:T11" si="7">SUM(BQ9:BS9)</f>
        <v>6013138.3099999996</v>
      </c>
      <c r="U9" s="22">
        <f t="shared" ref="U9:U11" si="8">SUM(BT9:BV9)</f>
        <v>8530797.4409149997</v>
      </c>
      <c r="V9" s="22">
        <f t="shared" ref="V9:V11" si="9">SUM(BW9:BY9)</f>
        <v>5225613.073663</v>
      </c>
      <c r="W9" s="22">
        <f t="shared" ref="W9:W11" si="10">SUM(BZ9:CB9)</f>
        <v>8110905.6492659999</v>
      </c>
      <c r="X9" s="22">
        <f t="shared" ref="X9:X11" si="11">SUM(CC9:CE9)</f>
        <v>8152575.106958</v>
      </c>
      <c r="Y9" s="22">
        <f t="shared" ref="Y9:Y11" si="12">SUM(CF9:CH9)</f>
        <v>10852875.734214999</v>
      </c>
      <c r="Z9" s="22">
        <f t="shared" ref="Z9:Z11" si="13">SUM(CI9:CK9)</f>
        <v>9068644.2461729981</v>
      </c>
      <c r="AA9" s="22">
        <f t="shared" ref="AA9:AA11" si="14">SUM(CL9:CN9)</f>
        <v>14187110.57426</v>
      </c>
      <c r="AB9" s="22">
        <f t="shared" ref="AB9:AB11" si="15">SUM(CO9:CQ9)</f>
        <v>17298700</v>
      </c>
      <c r="AC9" s="22">
        <f t="shared" ref="AC9:AC11" si="16">SUM(CR9:CT9)</f>
        <v>23377787.5</v>
      </c>
      <c r="AD9" s="22">
        <f t="shared" ref="AD9:AD11" si="17">SUM(CU9:CW9)</f>
        <v>15485236.658152631</v>
      </c>
      <c r="AE9" s="22">
        <f t="shared" ref="AE9:AE11" si="18">SUM(CX9:CZ9)</f>
        <v>20603198.124783106</v>
      </c>
      <c r="AF9" s="22">
        <f t="shared" ref="AF9:AF11" si="19">SUM(DA9:DC9)</f>
        <v>20312333.791441206</v>
      </c>
      <c r="AG9" s="22">
        <f t="shared" ref="AG9:AG11" si="20">SUM(DD9:DF9)</f>
        <v>31099231.425623044</v>
      </c>
      <c r="AH9" s="22">
        <f t="shared" ref="AH9:AH11" si="21">SUM(DG9:DI9)</f>
        <v>23537661.570775133</v>
      </c>
      <c r="AI9" s="22">
        <f t="shared" ref="AI9:AI11" si="22">SUM(DJ9:DL9)</f>
        <v>31938467.23405508</v>
      </c>
      <c r="AJ9" s="22">
        <f t="shared" ref="AJ9:AJ11" si="23">SUM(DM9:DO9)</f>
        <v>29960692.342375778</v>
      </c>
      <c r="AK9" s="22">
        <f t="shared" ref="AK9:AK11" si="24">SUM(DP9:DR9)</f>
        <v>43625678.852793992</v>
      </c>
      <c r="AL9" s="22">
        <f t="shared" ref="AL9:AL11" si="25">SUM(DS9:DU9)</f>
        <v>34129609.277623937</v>
      </c>
      <c r="AM9" s="22">
        <f t="shared" ref="AM9:AM11" si="26">SUM(DV9:DX9)</f>
        <v>46310777.489379868</v>
      </c>
      <c r="AN9" s="22">
        <f t="shared" ref="AN9:AN11" si="27">SUM(DY9:EA9)</f>
        <v>43443003.896444879</v>
      </c>
      <c r="AO9" s="22">
        <f t="shared" ref="AO9:AO11" si="28">SUM(EB9:ED9)</f>
        <v>63257234.336551294</v>
      </c>
      <c r="AP9" s="22">
        <f t="shared" ref="AP9:AP11" si="29">SUM(EE9:EG9)</f>
        <v>48634693.22061412</v>
      </c>
      <c r="AQ9" s="22">
        <f t="shared" ref="AQ9:AQ11" si="30">SUM(EH9:EJ9)</f>
        <v>65992857.922366314</v>
      </c>
      <c r="AR9" s="22">
        <f t="shared" ref="AR9:AR11" si="31">SUM(EK9:EM9)</f>
        <v>61906280.55243396</v>
      </c>
      <c r="AS9" s="22">
        <f t="shared" ref="AS9:AS11" si="32">SUM(EN9:EP9)</f>
        <v>90141558.929585591</v>
      </c>
      <c r="AT9" s="22">
        <f t="shared" ref="AT9:AT11" si="33">SUM(EQ9:ES9)</f>
        <v>68088570.508859754</v>
      </c>
      <c r="AU9" s="22">
        <f t="shared" ref="AU9:AU11" si="34">SUM(ET9:EV9)</f>
        <v>92390001.091312826</v>
      </c>
      <c r="AV9" s="22">
        <f t="shared" ref="AV9:AV11" si="35">SUM(EW9:EY9)</f>
        <v>86668792.773407549</v>
      </c>
      <c r="AW9" s="22">
        <f t="shared" ref="AW9:AW11" si="36">SUM(EZ9:FB9)</f>
        <v>126198182.50141981</v>
      </c>
      <c r="AY9" s="22">
        <f>SUM(AY10:AY12)</f>
        <v>247639</v>
      </c>
      <c r="AZ9" s="22">
        <f t="shared" ref="AZ9:CT9" si="37">SUM(AZ10:AZ12)</f>
        <v>1082032.83</v>
      </c>
      <c r="BA9" s="22">
        <f t="shared" si="37"/>
        <v>2082936.2700000003</v>
      </c>
      <c r="BB9" s="22">
        <f t="shared" si="37"/>
        <v>656601.42999999993</v>
      </c>
      <c r="BC9" s="22">
        <f t="shared" si="37"/>
        <v>1521663.6499999997</v>
      </c>
      <c r="BD9" s="22">
        <f t="shared" si="37"/>
        <v>2001713.7200000002</v>
      </c>
      <c r="BE9" s="22">
        <f t="shared" si="37"/>
        <v>778126.66999999993</v>
      </c>
      <c r="BF9" s="22">
        <f t="shared" si="37"/>
        <v>1114502.46</v>
      </c>
      <c r="BG9" s="22">
        <f t="shared" si="37"/>
        <v>2410437.3299999996</v>
      </c>
      <c r="BH9" s="22">
        <f t="shared" si="37"/>
        <v>1197012.17</v>
      </c>
      <c r="BI9" s="22">
        <f t="shared" si="37"/>
        <v>3090129.6699999995</v>
      </c>
      <c r="BJ9" s="22">
        <f t="shared" si="37"/>
        <v>2727130.1</v>
      </c>
      <c r="BK9" s="22">
        <f t="shared" si="37"/>
        <v>787013.33000000007</v>
      </c>
      <c r="BL9" s="22">
        <f t="shared" si="37"/>
        <v>1407691.3300000003</v>
      </c>
      <c r="BM9" s="22">
        <f t="shared" si="37"/>
        <v>3493619.6300000004</v>
      </c>
      <c r="BN9" s="22">
        <f t="shared" si="37"/>
        <v>1326125.7599999998</v>
      </c>
      <c r="BO9" s="22">
        <f t="shared" si="37"/>
        <v>3115569.38</v>
      </c>
      <c r="BP9" s="22">
        <f t="shared" si="37"/>
        <v>3062852.71</v>
      </c>
      <c r="BQ9" s="22">
        <f t="shared" si="37"/>
        <v>1222005.3999999999</v>
      </c>
      <c r="BR9" s="22">
        <f t="shared" si="37"/>
        <v>1307988.67</v>
      </c>
      <c r="BS9" s="22">
        <f t="shared" si="37"/>
        <v>3483144.2399999998</v>
      </c>
      <c r="BT9" s="22">
        <f t="shared" si="37"/>
        <v>797405.54</v>
      </c>
      <c r="BU9" s="22">
        <f t="shared" si="37"/>
        <v>3345936.4699999997</v>
      </c>
      <c r="BV9" s="22">
        <f t="shared" si="37"/>
        <v>4387455.430914999</v>
      </c>
      <c r="BW9" s="22">
        <f t="shared" si="37"/>
        <v>1103269.5</v>
      </c>
      <c r="BX9" s="22">
        <f t="shared" si="37"/>
        <v>1671254.3752009997</v>
      </c>
      <c r="BY9" s="22">
        <f t="shared" si="37"/>
        <v>2451089.1984620001</v>
      </c>
      <c r="BZ9" s="22">
        <f t="shared" si="37"/>
        <v>1682250.2295600001</v>
      </c>
      <c r="CA9" s="22">
        <f t="shared" si="37"/>
        <v>1926495.5395229999</v>
      </c>
      <c r="CB9" s="22">
        <f t="shared" si="37"/>
        <v>4502159.8801830001</v>
      </c>
      <c r="CC9" s="22">
        <f t="shared" si="37"/>
        <v>1050087.6471790001</v>
      </c>
      <c r="CD9" s="22">
        <f t="shared" si="37"/>
        <v>3354858.5839910004</v>
      </c>
      <c r="CE9" s="22">
        <f t="shared" si="37"/>
        <v>3747628.8757879999</v>
      </c>
      <c r="CF9" s="22">
        <f t="shared" si="37"/>
        <v>1583669.9761549998</v>
      </c>
      <c r="CG9" s="22">
        <f t="shared" si="37"/>
        <v>3917228.8316860003</v>
      </c>
      <c r="CH9" s="22">
        <f t="shared" si="37"/>
        <v>5351976.9263739996</v>
      </c>
      <c r="CI9" s="22">
        <f t="shared" si="37"/>
        <v>1467244.9398469999</v>
      </c>
      <c r="CJ9" s="22">
        <f t="shared" si="37"/>
        <v>2248533.3673879998</v>
      </c>
      <c r="CK9" s="22">
        <f t="shared" si="37"/>
        <v>5352865.9389379993</v>
      </c>
      <c r="CL9" s="22">
        <f t="shared" si="37"/>
        <v>2606228.0054259999</v>
      </c>
      <c r="CM9" s="22">
        <f t="shared" si="37"/>
        <v>4225782.8039159998</v>
      </c>
      <c r="CN9" s="22">
        <f t="shared" si="37"/>
        <v>7355099.7649179995</v>
      </c>
      <c r="CO9" s="22">
        <f t="shared" si="37"/>
        <v>2594805</v>
      </c>
      <c r="CP9" s="22">
        <f t="shared" si="37"/>
        <v>6054545</v>
      </c>
      <c r="CQ9" s="22">
        <f t="shared" si="37"/>
        <v>8649350</v>
      </c>
      <c r="CR9" s="22">
        <f t="shared" si="37"/>
        <v>2337778.75</v>
      </c>
      <c r="CS9" s="22">
        <f t="shared" si="37"/>
        <v>9351115</v>
      </c>
      <c r="CT9" s="22">
        <f t="shared" si="37"/>
        <v>11688893.75</v>
      </c>
      <c r="CU9" s="53">
        <f>SUM(ARR!CU41:CU42)</f>
        <v>2046994.5611031479</v>
      </c>
      <c r="CV9" s="53">
        <f>SUM(ARR!CV41:CV42)</f>
        <v>4498858.7276137024</v>
      </c>
      <c r="CW9" s="53">
        <f>SUM(ARR!CW41:CW42)</f>
        <v>8939383.3694357798</v>
      </c>
      <c r="CX9" s="53">
        <f>SUM(ARR!CX41:CX42)</f>
        <v>3574319.3234480647</v>
      </c>
      <c r="CY9" s="53">
        <f>SUM(ARR!CY41:CY42)</f>
        <v>7010547.8766366532</v>
      </c>
      <c r="CZ9" s="53">
        <f>SUM(ARR!CZ41:CZ42)</f>
        <v>10018330.924698386</v>
      </c>
      <c r="DA9" s="53">
        <f>SUM(ARR!DA41:DA42)</f>
        <v>3432174.4974752935</v>
      </c>
      <c r="DB9" s="53">
        <f>SUM(ARR!DB41:DB42)</f>
        <v>6119907.0509495568</v>
      </c>
      <c r="DC9" s="53">
        <f>SUM(ARR!DC41:DC42)</f>
        <v>10760252.243016355</v>
      </c>
      <c r="DD9" s="53">
        <f>SUM(ARR!DD41:DD42)</f>
        <v>4620470.7984550577</v>
      </c>
      <c r="DE9" s="53">
        <f>SUM(ARR!DE41:DE42)</f>
        <v>12324777.469713585</v>
      </c>
      <c r="DF9" s="53">
        <f>SUM(ARR!DF41:DF42)</f>
        <v>14153983.157454403</v>
      </c>
      <c r="DG9" s="53">
        <f>SUM(ARR!DG41:DG42)</f>
        <v>3251629.4776271433</v>
      </c>
      <c r="DH9" s="53">
        <f>SUM(ARR!DH41:DH42)</f>
        <v>6868129.1232302114</v>
      </c>
      <c r="DI9" s="53">
        <f>SUM(ARR!DI41:DI42)</f>
        <v>13417902.969917778</v>
      </c>
      <c r="DJ9" s="53">
        <f>SUM(ARR!DJ41:DJ42)</f>
        <v>5788371.0020858943</v>
      </c>
      <c r="DK9" s="53">
        <f>SUM(ARR!DK41:DK42)</f>
        <v>10856808.118039064</v>
      </c>
      <c r="DL9" s="53">
        <f>SUM(ARR!DL41:DL42)</f>
        <v>15293288.113930121</v>
      </c>
      <c r="DM9" s="53">
        <f>SUM(ARR!DM41:DM42)</f>
        <v>5062457.3837760594</v>
      </c>
      <c r="DN9" s="53">
        <f>SUM(ARR!DN41:DN42)</f>
        <v>9026862.9001505971</v>
      </c>
      <c r="DO9" s="53">
        <f>SUM(ARR!DO41:DO42)</f>
        <v>15871372.058449123</v>
      </c>
      <c r="DP9" s="53">
        <f>SUM(ARR!DP41:DP42)</f>
        <v>6066631.9277212098</v>
      </c>
      <c r="DQ9" s="53">
        <f>SUM(ARR!DQ41:DQ42)</f>
        <v>17430484.267827541</v>
      </c>
      <c r="DR9" s="53">
        <f>SUM(ARR!DR41:DR42)</f>
        <v>20128562.657245245</v>
      </c>
      <c r="DS9" s="53">
        <f>SUM(ARR!DS41:DS42)</f>
        <v>4714862.7425593585</v>
      </c>
      <c r="DT9" s="53">
        <f>SUM(ARR!DT41:DT42)</f>
        <v>9958787.228683807</v>
      </c>
      <c r="DU9" s="53">
        <f>SUM(ARR!DU41:DU42)</f>
        <v>19455959.306380775</v>
      </c>
      <c r="DV9" s="53">
        <f>SUM(ARR!DV41:DV42)</f>
        <v>8393137.9530245494</v>
      </c>
      <c r="DW9" s="53">
        <f>SUM(ARR!DW41:DW42)</f>
        <v>15742371.771156644</v>
      </c>
      <c r="DX9" s="53">
        <f>SUM(ARR!DX41:DX42)</f>
        <v>22175267.765198678</v>
      </c>
      <c r="DY9" s="53">
        <f>SUM(ARR!DY41:DY42)</f>
        <v>7340563.2064752858</v>
      </c>
      <c r="DZ9" s="53">
        <f>SUM(ARR!DZ41:DZ42)</f>
        <v>13088951.205218364</v>
      </c>
      <c r="EA9" s="53">
        <f>SUM(ARR!EA41:EA42)</f>
        <v>23013489.484751232</v>
      </c>
      <c r="EB9" s="53">
        <f>SUM(ARR!EB41:EB42)</f>
        <v>8796616.2951957546</v>
      </c>
      <c r="EC9" s="53">
        <f>SUM(ARR!EC41:EC42)</f>
        <v>25274202.188349932</v>
      </c>
      <c r="ED9" s="53">
        <f>SUM(ARR!ED41:ED42)</f>
        <v>29186415.853005603</v>
      </c>
      <c r="EE9" s="53">
        <f>SUM(ARR!EE41:EE42)</f>
        <v>6718679.4081470855</v>
      </c>
      <c r="EF9" s="53">
        <f>SUM(ARR!EF41:EF42)</f>
        <v>14191271.800874427</v>
      </c>
      <c r="EG9" s="53">
        <f>SUM(ARR!EG41:EG42)</f>
        <v>27724742.011592608</v>
      </c>
      <c r="EH9" s="53">
        <f>SUM(ARR!EH41:EH42)</f>
        <v>11960221.583059981</v>
      </c>
      <c r="EI9" s="53">
        <f>SUM(ARR!EI41:EI42)</f>
        <v>22432879.773898218</v>
      </c>
      <c r="EJ9" s="53">
        <f>SUM(ARR!EJ41:EJ42)</f>
        <v>31599756.565408118</v>
      </c>
      <c r="EK9" s="53">
        <f>SUM(ARR!EK41:EK42)</f>
        <v>10460302.569227282</v>
      </c>
      <c r="EL9" s="53">
        <f>SUM(ARR!EL41:EL42)</f>
        <v>18651755.467436172</v>
      </c>
      <c r="EM9" s="53">
        <f>SUM(ARR!EM41:EM42)</f>
        <v>32794222.515770506</v>
      </c>
      <c r="EN9" s="53">
        <f>SUM(ARR!EN41:EN42)</f>
        <v>12535178.220653949</v>
      </c>
      <c r="EO9" s="53">
        <f>SUM(ARR!EO41:EO42)</f>
        <v>36015738.118398651</v>
      </c>
      <c r="EP9" s="53">
        <f>SUM(ARR!EP41:EP42)</f>
        <v>41590642.590532988</v>
      </c>
      <c r="EQ9" s="53">
        <f>SUM(ARR!EQ41:EQ42)</f>
        <v>9406151.1714059189</v>
      </c>
      <c r="ER9" s="53">
        <f>SUM(ARR!ER41:ER42)</f>
        <v>19867780.521224193</v>
      </c>
      <c r="ES9" s="53">
        <f>SUM(ARR!ES41:ES42)</f>
        <v>38814638.816229649</v>
      </c>
      <c r="ET9" s="53">
        <f>SUM(ARR!ET41:ET42)</f>
        <v>16744310.216283973</v>
      </c>
      <c r="EU9" s="53">
        <f>SUM(ARR!EU41:EU42)</f>
        <v>31406031.683457505</v>
      </c>
      <c r="EV9" s="53">
        <f>SUM(ARR!EV41:EV42)</f>
        <v>44239659.191571355</v>
      </c>
      <c r="EW9" s="53">
        <f>SUM(ARR!EW41:EW42)</f>
        <v>14644423.596918197</v>
      </c>
      <c r="EX9" s="53">
        <f>SUM(ARR!EX41:EX42)</f>
        <v>26112457.654410638</v>
      </c>
      <c r="EY9" s="53">
        <f>SUM(ARR!EY41:EY42)</f>
        <v>45911911.522078708</v>
      </c>
      <c r="EZ9" s="53">
        <f>SUM(ARR!EZ41:EZ42)</f>
        <v>17549249.508915529</v>
      </c>
      <c r="FA9" s="53">
        <f>SUM(ARR!FA41:FA42)</f>
        <v>50422033.365758114</v>
      </c>
      <c r="FB9" s="53">
        <f>SUM(ARR!FB41:FB42)</f>
        <v>58226899.626746185</v>
      </c>
    </row>
    <row r="10" spans="3:158" x14ac:dyDescent="0.25">
      <c r="C10" s="377" t="s">
        <v>665</v>
      </c>
      <c r="D10" s="16">
        <f t="shared" si="0"/>
        <v>17690805.445918042</v>
      </c>
      <c r="E10" s="16">
        <f t="shared" si="0"/>
        <v>25257922.055886969</v>
      </c>
      <c r="F10" s="16">
        <f t="shared" si="0"/>
        <v>29265584.49086193</v>
      </c>
      <c r="G10" s="16">
        <f t="shared" si="0"/>
        <v>57694658.366218403</v>
      </c>
      <c r="H10" s="16">
        <f t="shared" si="0"/>
        <v>74805216.992484272</v>
      </c>
      <c r="I10" s="16">
        <f t="shared" si="0"/>
        <v>103884570.06391433</v>
      </c>
      <c r="J10" s="16">
        <f t="shared" si="0"/>
        <v>141275595.34267575</v>
      </c>
      <c r="K10" s="16">
        <f t="shared" si="0"/>
        <v>187983953.83206299</v>
      </c>
      <c r="L10" s="16">
        <f t="shared" si="0"/>
        <v>244510258.0211381</v>
      </c>
      <c r="N10" s="16">
        <f t="shared" si="1"/>
        <v>3204538.1575498772</v>
      </c>
      <c r="O10" s="16">
        <f t="shared" si="2"/>
        <v>3647310.8145342004</v>
      </c>
      <c r="P10" s="16">
        <f t="shared" si="3"/>
        <v>4172502.4673927813</v>
      </c>
      <c r="Q10" s="16">
        <f t="shared" si="4"/>
        <v>6666454.0064411815</v>
      </c>
      <c r="R10" s="16">
        <f t="shared" si="5"/>
        <v>5094546.368162673</v>
      </c>
      <c r="S10" s="16">
        <f t="shared" si="6"/>
        <v>6649494.908283161</v>
      </c>
      <c r="T10" s="16">
        <f t="shared" si="7"/>
        <v>5523640.3490488846</v>
      </c>
      <c r="U10" s="16">
        <f t="shared" si="8"/>
        <v>7990240.4303922504</v>
      </c>
      <c r="V10" s="16">
        <f t="shared" si="9"/>
        <v>4930245.1723942142</v>
      </c>
      <c r="W10" s="16">
        <f t="shared" si="10"/>
        <v>7147479.6881502196</v>
      </c>
      <c r="X10" s="16">
        <f t="shared" si="11"/>
        <v>7399269.015981216</v>
      </c>
      <c r="Y10" s="16">
        <f t="shared" si="12"/>
        <v>9788590.6143362783</v>
      </c>
      <c r="Z10" s="16">
        <f t="shared" si="13"/>
        <v>8122008.0131897414</v>
      </c>
      <c r="AA10" s="16">
        <f t="shared" si="14"/>
        <v>12458169.103028663</v>
      </c>
      <c r="AB10" s="16">
        <f t="shared" si="15"/>
        <v>15882554.166666668</v>
      </c>
      <c r="AC10" s="16">
        <f t="shared" si="16"/>
        <v>21231927.083333336</v>
      </c>
      <c r="AD10" s="16">
        <f t="shared" si="17"/>
        <v>13238588.438778054</v>
      </c>
      <c r="AE10" s="16">
        <f t="shared" si="18"/>
        <v>17614019.50244052</v>
      </c>
      <c r="AF10" s="16">
        <f t="shared" si="19"/>
        <v>17365354.707343206</v>
      </c>
      <c r="AG10" s="16">
        <f t="shared" si="20"/>
        <v>26587254.343922496</v>
      </c>
      <c r="AH10" s="16">
        <f t="shared" si="21"/>
        <v>18945858.422004014</v>
      </c>
      <c r="AI10" s="16">
        <f t="shared" si="22"/>
        <v>25707807.745163985</v>
      </c>
      <c r="AJ10" s="16">
        <f t="shared" si="23"/>
        <v>24115863.57621244</v>
      </c>
      <c r="AK10" s="16">
        <f t="shared" si="24"/>
        <v>35115040.320533879</v>
      </c>
      <c r="AL10" s="16">
        <f t="shared" si="25"/>
        <v>25765014.24802462</v>
      </c>
      <c r="AM10" s="16">
        <f t="shared" si="26"/>
        <v>34960782.356018789</v>
      </c>
      <c r="AN10" s="16">
        <f t="shared" si="27"/>
        <v>32795851.990685795</v>
      </c>
      <c r="AO10" s="16">
        <f t="shared" si="28"/>
        <v>47753946.747946545</v>
      </c>
      <c r="AP10" s="16">
        <f t="shared" si="29"/>
        <v>34283410.642404385</v>
      </c>
      <c r="AQ10" s="16">
        <f t="shared" si="30"/>
        <v>46519471.961208463</v>
      </c>
      <c r="AR10" s="16">
        <f t="shared" si="31"/>
        <v>43638775.05910556</v>
      </c>
      <c r="AS10" s="16">
        <f t="shared" si="32"/>
        <v>63542296.169344559</v>
      </c>
      <c r="AT10" s="16">
        <f t="shared" si="33"/>
        <v>44592346.373923138</v>
      </c>
      <c r="AU10" s="16">
        <f t="shared" si="34"/>
        <v>60507760.691126198</v>
      </c>
      <c r="AV10" s="16">
        <f t="shared" si="35"/>
        <v>56760845.44407741</v>
      </c>
      <c r="AW10" s="16">
        <f t="shared" si="36"/>
        <v>82649305.512011394</v>
      </c>
      <c r="AY10" s="16">
        <f>'Region Looker'!AO40</f>
        <v>247639</v>
      </c>
      <c r="AZ10" s="16">
        <f>'Region Looker'!AP40</f>
        <v>1002532.8424903769</v>
      </c>
      <c r="BA10" s="16">
        <f>'Region Looker'!AQ40</f>
        <v>1954366.3150595003</v>
      </c>
      <c r="BB10" s="16">
        <f>'Region Looker'!AR40</f>
        <v>580401.38009754778</v>
      </c>
      <c r="BC10" s="16">
        <f>'Region Looker'!AS40</f>
        <v>1515163.6514950737</v>
      </c>
      <c r="BD10" s="16">
        <f>'Region Looker'!AT40</f>
        <v>1551745.7829415791</v>
      </c>
      <c r="BE10" s="16">
        <f>'Region Looker'!AU40</f>
        <v>743126.68484333518</v>
      </c>
      <c r="BF10" s="16">
        <f>'Region Looker'!AV40</f>
        <v>1105438.4643916974</v>
      </c>
      <c r="BG10" s="16">
        <f>'Region Looker'!AW40</f>
        <v>2323937.3181577488</v>
      </c>
      <c r="BH10" s="16">
        <f>'Region Looker'!AX40</f>
        <v>1110017.2303216923</v>
      </c>
      <c r="BI10" s="16">
        <f>'Region Looker'!AY40</f>
        <v>2980806.6816747803</v>
      </c>
      <c r="BJ10" s="16">
        <f>'Region Looker'!AZ40</f>
        <v>2575630.0944447094</v>
      </c>
      <c r="BK10" s="16">
        <f>'Region Looker'!BA40</f>
        <v>688980.2888940844</v>
      </c>
      <c r="BL10" s="16">
        <f>'Region Looker'!BB40</f>
        <v>1287777.3018889872</v>
      </c>
      <c r="BM10" s="16">
        <f>'Region Looker'!BC40</f>
        <v>3117788.7773796017</v>
      </c>
      <c r="BN10" s="16">
        <f>'Region Looker'!BD40</f>
        <v>1048277.8102844524</v>
      </c>
      <c r="BO10" s="16">
        <f>'Region Looker'!BE40</f>
        <v>2900233.3537358795</v>
      </c>
      <c r="BP10" s="16">
        <f>'Region Looker'!BF40</f>
        <v>2700983.7442628294</v>
      </c>
      <c r="BQ10" s="16">
        <f>'Region Looker'!BG40</f>
        <v>1109038.4554663396</v>
      </c>
      <c r="BR10" s="16">
        <f>'Region Looker'!BH40</f>
        <v>1278328.6774830904</v>
      </c>
      <c r="BS10" s="16">
        <f>'Region Looker'!BI40</f>
        <v>3136273.2160994546</v>
      </c>
      <c r="BT10" s="16">
        <f>'Region Looker'!BJ40</f>
        <v>743697.50362912205</v>
      </c>
      <c r="BU10" s="16">
        <f>'Region Looker'!BK40</f>
        <v>3048277.4281881629</v>
      </c>
      <c r="BV10" s="16">
        <f>'Region Looker'!BL40</f>
        <v>4198265.4985749656</v>
      </c>
      <c r="BW10" s="16">
        <f>'Region Looker'!BM40</f>
        <v>1103269.5</v>
      </c>
      <c r="BX10" s="16">
        <f>'Region Looker'!BN40</f>
        <v>1547895.3475065739</v>
      </c>
      <c r="BY10" s="16">
        <f>'Region Looker'!BO40</f>
        <v>2279080.3248876408</v>
      </c>
      <c r="BZ10" s="16">
        <f>'Region Looker'!BP40</f>
        <v>1574340.1506883113</v>
      </c>
      <c r="CA10" s="16">
        <f>'Region Looker'!BQ40</f>
        <v>1702035.3601498315</v>
      </c>
      <c r="CB10" s="16">
        <f>'Region Looker'!BR40</f>
        <v>3871104.1773120766</v>
      </c>
      <c r="CC10" s="16">
        <f>'Region Looker'!BS40</f>
        <v>954883.24168120383</v>
      </c>
      <c r="CD10" s="16">
        <f>'Region Looker'!BT40</f>
        <v>3171404.5526093571</v>
      </c>
      <c r="CE10" s="16">
        <f>'Region Looker'!BU40</f>
        <v>3272981.2216906557</v>
      </c>
      <c r="CF10" s="16">
        <f>'Region Looker'!BV40</f>
        <v>1357435.3944697001</v>
      </c>
      <c r="CG10" s="16">
        <f>'Region Looker'!BW40</f>
        <v>3632232.9953192538</v>
      </c>
      <c r="CH10" s="16">
        <f>'Region Looker'!BX40</f>
        <v>4798922.2245473247</v>
      </c>
      <c r="CI10" s="16">
        <f>'Region Looker'!BY40</f>
        <v>1379963.883938926</v>
      </c>
      <c r="CJ10" s="16">
        <f>'Region Looker'!BZ40</f>
        <v>1946889.1839508126</v>
      </c>
      <c r="CK10" s="16">
        <f>'Region Looker'!CA40</f>
        <v>4795154.9453000026</v>
      </c>
      <c r="CL10" s="16">
        <f>'Region Looker'!CB40</f>
        <v>2348913.1036210582</v>
      </c>
      <c r="CM10" s="16">
        <f>'Region Looker'!CC40</f>
        <v>3427843.0297683543</v>
      </c>
      <c r="CN10" s="16">
        <f>'Region Looker'!CD40</f>
        <v>6681412.969639251</v>
      </c>
      <c r="CO10" s="16">
        <f>'Region Looker'!CE40</f>
        <v>2184388.3333333335</v>
      </c>
      <c r="CP10" s="16">
        <f>'Region Looker'!CF40</f>
        <v>5580013.75</v>
      </c>
      <c r="CQ10" s="16">
        <f>'Region Looker'!CG40</f>
        <v>8118152.083333333</v>
      </c>
      <c r="CR10" s="16">
        <f>'Region Looker'!CH40</f>
        <v>1683914.1666666665</v>
      </c>
      <c r="CS10" s="16">
        <f>'Region Looker'!CI40</f>
        <v>8659692.083333334</v>
      </c>
      <c r="CT10" s="16">
        <f>'Region Looker'!CJ40</f>
        <v>10888320.833333334</v>
      </c>
      <c r="CU10" s="55">
        <f t="shared" ref="CU10:FA12" si="38">CU$9*CU20</f>
        <v>1750009.9694372127</v>
      </c>
      <c r="CV10" s="55">
        <f t="shared" si="38"/>
        <v>3846149.7524305684</v>
      </c>
      <c r="CW10" s="55">
        <f t="shared" si="38"/>
        <v>7642428.7169102719</v>
      </c>
      <c r="CX10" s="55">
        <f t="shared" si="38"/>
        <v>3055745.5153252813</v>
      </c>
      <c r="CY10" s="55">
        <f t="shared" si="38"/>
        <v>5993434.9159771977</v>
      </c>
      <c r="CZ10" s="55">
        <f t="shared" si="38"/>
        <v>8564839.0711380392</v>
      </c>
      <c r="DA10" s="55">
        <f t="shared" si="38"/>
        <v>2934223.5204538289</v>
      </c>
      <c r="DB10" s="55">
        <f t="shared" si="38"/>
        <v>5232011.1419441849</v>
      </c>
      <c r="DC10" s="55">
        <f t="shared" si="38"/>
        <v>9199120.0449451897</v>
      </c>
      <c r="DD10" s="55">
        <f t="shared" si="38"/>
        <v>3950117.9506956311</v>
      </c>
      <c r="DE10" s="55">
        <f t="shared" si="38"/>
        <v>10536658.891497213</v>
      </c>
      <c r="DF10" s="55">
        <f t="shared" si="38"/>
        <v>12100477.50172965</v>
      </c>
      <c r="DG10" s="55">
        <f t="shared" si="38"/>
        <v>2617291.0821535774</v>
      </c>
      <c r="DH10" s="55">
        <f t="shared" si="38"/>
        <v>5528272.2797886245</v>
      </c>
      <c r="DI10" s="55">
        <f t="shared" si="38"/>
        <v>10800295.060061811</v>
      </c>
      <c r="DJ10" s="55">
        <f t="shared" si="38"/>
        <v>4659156.8652561512</v>
      </c>
      <c r="DK10" s="55">
        <f t="shared" si="38"/>
        <v>8738826.8754200712</v>
      </c>
      <c r="DL10" s="55">
        <f t="shared" si="38"/>
        <v>12309824.004487762</v>
      </c>
      <c r="DM10" s="55">
        <f t="shared" si="38"/>
        <v>4074856.8234805963</v>
      </c>
      <c r="DN10" s="55">
        <f t="shared" si="38"/>
        <v>7265873.2893601442</v>
      </c>
      <c r="DO10" s="55">
        <f t="shared" si="38"/>
        <v>12775133.4633717</v>
      </c>
      <c r="DP10" s="55">
        <f t="shared" si="38"/>
        <v>4883133.7495192923</v>
      </c>
      <c r="DQ10" s="55">
        <f t="shared" si="38"/>
        <v>14030089.020196313</v>
      </c>
      <c r="DR10" s="55">
        <f t="shared" si="38"/>
        <v>16201817.550818272</v>
      </c>
      <c r="DS10" s="55">
        <f t="shared" si="38"/>
        <v>3559328.9319947199</v>
      </c>
      <c r="DT10" s="55">
        <f t="shared" si="38"/>
        <v>7518055.4442593157</v>
      </c>
      <c r="DU10" s="55">
        <f t="shared" si="38"/>
        <v>14687629.871770585</v>
      </c>
      <c r="DV10" s="55">
        <f t="shared" si="38"/>
        <v>6336120.556970194</v>
      </c>
      <c r="DW10" s="55">
        <f t="shared" si="38"/>
        <v>11884180.380801272</v>
      </c>
      <c r="DX10" s="55">
        <f t="shared" si="38"/>
        <v>16740481.418247322</v>
      </c>
      <c r="DY10" s="55">
        <f t="shared" si="38"/>
        <v>5541514.2337230993</v>
      </c>
      <c r="DZ10" s="55">
        <f t="shared" si="38"/>
        <v>9881068.7093112879</v>
      </c>
      <c r="EA10" s="55">
        <f t="shared" si="38"/>
        <v>17373269.047651406</v>
      </c>
      <c r="EB10" s="55">
        <f t="shared" si="38"/>
        <v>6640713.1220431859</v>
      </c>
      <c r="EC10" s="55">
        <f t="shared" si="38"/>
        <v>19079918.969867155</v>
      </c>
      <c r="ED10" s="55">
        <f t="shared" si="38"/>
        <v>22033314.656036209</v>
      </c>
      <c r="EE10" s="55">
        <f t="shared" si="38"/>
        <v>4736109.7576851221</v>
      </c>
      <c r="EF10" s="55">
        <f t="shared" si="38"/>
        <v>10003665.418025805</v>
      </c>
      <c r="EG10" s="55">
        <f t="shared" si="38"/>
        <v>19543635.466693457</v>
      </c>
      <c r="EH10" s="55">
        <f t="shared" si="38"/>
        <v>8430960.7145295274</v>
      </c>
      <c r="EI10" s="55">
        <f t="shared" si="38"/>
        <v>15813313.053946903</v>
      </c>
      <c r="EJ10" s="55">
        <f t="shared" si="38"/>
        <v>22275198.192732032</v>
      </c>
      <c r="EK10" s="55">
        <f t="shared" si="38"/>
        <v>7373642.6545940535</v>
      </c>
      <c r="EL10" s="55">
        <f t="shared" si="38"/>
        <v>13147935.137396781</v>
      </c>
      <c r="EM10" s="55">
        <f t="shared" si="38"/>
        <v>23117197.267114729</v>
      </c>
      <c r="EN10" s="55">
        <f t="shared" si="38"/>
        <v>8836257.287878843</v>
      </c>
      <c r="EO10" s="55">
        <f t="shared" si="38"/>
        <v>25388097.626140762</v>
      </c>
      <c r="EP10" s="55">
        <f t="shared" si="38"/>
        <v>29317941.255324956</v>
      </c>
      <c r="EQ10" s="55">
        <f t="shared" si="38"/>
        <v>6160246.102188874</v>
      </c>
      <c r="ER10" s="55">
        <f t="shared" si="38"/>
        <v>13011742.559174914</v>
      </c>
      <c r="ES10" s="55">
        <f t="shared" si="38"/>
        <v>25420357.712559354</v>
      </c>
      <c r="ET10" s="55">
        <f t="shared" si="38"/>
        <v>10966129.489527138</v>
      </c>
      <c r="EU10" s="55">
        <f t="shared" si="38"/>
        <v>20568336.691352788</v>
      </c>
      <c r="EV10" s="55">
        <f t="shared" si="38"/>
        <v>28973294.510246269</v>
      </c>
      <c r="EW10" s="55">
        <f t="shared" si="38"/>
        <v>9590878.5365857668</v>
      </c>
      <c r="EX10" s="55">
        <f t="shared" si="38"/>
        <v>17101486.309634957</v>
      </c>
      <c r="EY10" s="55">
        <f t="shared" si="38"/>
        <v>30068480.597856686</v>
      </c>
      <c r="EZ10" s="55">
        <f t="shared" si="38"/>
        <v>11493297.727584602</v>
      </c>
      <c r="FA10" s="55">
        <f t="shared" si="38"/>
        <v>33022235.008309159</v>
      </c>
      <c r="FB10" s="55">
        <f>FB$9*FB20</f>
        <v>38133772.77611763</v>
      </c>
    </row>
    <row r="11" spans="3:158" x14ac:dyDescent="0.25">
      <c r="C11" s="377" t="s">
        <v>314</v>
      </c>
      <c r="D11" s="16">
        <f t="shared" si="0"/>
        <v>991925.87820779358</v>
      </c>
      <c r="E11" s="16">
        <f t="shared" si="0"/>
        <v>2128652.8918602713</v>
      </c>
      <c r="F11" s="16">
        <f t="shared" si="0"/>
        <v>2600518.9805904962</v>
      </c>
      <c r="G11" s="16">
        <f t="shared" si="0"/>
        <v>5119900.7456496814</v>
      </c>
      <c r="H11" s="16">
        <f t="shared" si="0"/>
        <v>9194783.0075157117</v>
      </c>
      <c r="I11" s="16">
        <f t="shared" si="0"/>
        <v>16788867.436085675</v>
      </c>
      <c r="J11" s="16">
        <f t="shared" si="0"/>
        <v>29022373.407324225</v>
      </c>
      <c r="K11" s="16">
        <f t="shared" si="0"/>
        <v>48023766.871062033</v>
      </c>
      <c r="L11" s="16">
        <f t="shared" si="0"/>
        <v>76566912.291361839</v>
      </c>
      <c r="N11" s="16">
        <f t="shared" si="1"/>
        <v>190069.94527813286</v>
      </c>
      <c r="O11" s="16">
        <f t="shared" si="2"/>
        <v>448287.99767447455</v>
      </c>
      <c r="P11" s="16">
        <f t="shared" si="3"/>
        <v>29499.994760559821</v>
      </c>
      <c r="Q11" s="16">
        <f t="shared" si="4"/>
        <v>324067.94049462629</v>
      </c>
      <c r="R11" s="16">
        <f t="shared" si="5"/>
        <v>571908.92696697533</v>
      </c>
      <c r="S11" s="16">
        <f t="shared" si="6"/>
        <v>713628.96696632926</v>
      </c>
      <c r="T11" s="16">
        <f t="shared" si="7"/>
        <v>386037.98899252835</v>
      </c>
      <c r="U11" s="16">
        <f t="shared" si="8"/>
        <v>457077.00893443846</v>
      </c>
      <c r="V11" s="16">
        <f t="shared" si="9"/>
        <v>259455.89848367873</v>
      </c>
      <c r="W11" s="16">
        <f t="shared" si="10"/>
        <v>813625.9321078558</v>
      </c>
      <c r="X11" s="16">
        <f t="shared" si="11"/>
        <v>561127.71689223009</v>
      </c>
      <c r="Y11" s="16">
        <f t="shared" si="12"/>
        <v>966309.43310673162</v>
      </c>
      <c r="Z11" s="16">
        <f t="shared" si="13"/>
        <v>787787.21392748074</v>
      </c>
      <c r="AA11" s="16">
        <f t="shared" si="14"/>
        <v>1527263.531722201</v>
      </c>
      <c r="AB11" s="16">
        <f t="shared" si="15"/>
        <v>1227083.3333333333</v>
      </c>
      <c r="AC11" s="16">
        <f t="shared" si="16"/>
        <v>1577766.6666666667</v>
      </c>
      <c r="AD11" s="16">
        <f t="shared" si="17"/>
        <v>1627238.7530484712</v>
      </c>
      <c r="AE11" s="16">
        <f t="shared" si="18"/>
        <v>2165050.6973512606</v>
      </c>
      <c r="AF11" s="16">
        <f t="shared" si="19"/>
        <v>2134485.7324403524</v>
      </c>
      <c r="AG11" s="16">
        <f t="shared" si="20"/>
        <v>3268007.824675628</v>
      </c>
      <c r="AH11" s="16">
        <f t="shared" si="21"/>
        <v>3061855.1466707364</v>
      </c>
      <c r="AI11" s="16">
        <f t="shared" si="22"/>
        <v>4154659.1186775146</v>
      </c>
      <c r="AJ11" s="16">
        <f t="shared" si="23"/>
        <v>3897383.7639089143</v>
      </c>
      <c r="AK11" s="16">
        <f t="shared" si="24"/>
        <v>5674969.4068285106</v>
      </c>
      <c r="AL11" s="16">
        <f t="shared" si="25"/>
        <v>5292930.1946131652</v>
      </c>
      <c r="AM11" s="16">
        <f t="shared" si="26"/>
        <v>7182025.1593168937</v>
      </c>
      <c r="AN11" s="16">
        <f t="shared" si="27"/>
        <v>6737281.5550790466</v>
      </c>
      <c r="AO11" s="16">
        <f t="shared" si="28"/>
        <v>9810136.498315122</v>
      </c>
      <c r="AP11" s="16">
        <f t="shared" si="29"/>
        <v>8758292.857839115</v>
      </c>
      <c r="AQ11" s="16">
        <f t="shared" si="30"/>
        <v>11884207.300085731</v>
      </c>
      <c r="AR11" s="16">
        <f t="shared" si="31"/>
        <v>11148283.229798492</v>
      </c>
      <c r="AS11" s="16">
        <f t="shared" si="32"/>
        <v>16232983.483338688</v>
      </c>
      <c r="AT11" s="16">
        <f t="shared" si="33"/>
        <v>13963824.263696253</v>
      </c>
      <c r="AU11" s="16">
        <f t="shared" si="34"/>
        <v>18947640.247402839</v>
      </c>
      <c r="AV11" s="16">
        <f t="shared" si="35"/>
        <v>17774316.341053076</v>
      </c>
      <c r="AW11" s="16">
        <f t="shared" si="36"/>
        <v>25881131.439209662</v>
      </c>
      <c r="AY11" s="16">
        <f>'Region Looker'!AO42</f>
        <v>0</v>
      </c>
      <c r="AZ11" s="16">
        <f>'Region Looker'!AP42</f>
        <v>61499.99033763296</v>
      </c>
      <c r="BA11" s="16">
        <f>'Region Looker'!AQ42</f>
        <v>128569.95494049988</v>
      </c>
      <c r="BB11" s="16">
        <f>'Region Looker'!AR42</f>
        <v>76200.049902452156</v>
      </c>
      <c r="BC11" s="16">
        <f>'Region Looker'!AS42</f>
        <v>1999.9995399772877</v>
      </c>
      <c r="BD11" s="16">
        <f>'Region Looker'!AT42</f>
        <v>370087.94823204511</v>
      </c>
      <c r="BE11" s="16">
        <f>'Region Looker'!AU42</f>
        <v>10999.995334951749</v>
      </c>
      <c r="BF11" s="16">
        <f>'Region Looker'!AV42</f>
        <v>4999.9975773954848</v>
      </c>
      <c r="BG11" s="16">
        <f>'Region Looker'!AW42</f>
        <v>13500.001848212585</v>
      </c>
      <c r="BH11" s="16">
        <f>'Region Looker'!AX42</f>
        <v>79494.944878752358</v>
      </c>
      <c r="BI11" s="16">
        <f>'Region Looker'!AY42</f>
        <v>93072.990060583208</v>
      </c>
      <c r="BJ11" s="16">
        <f>'Region Looker'!AZ42</f>
        <v>151500.00555529073</v>
      </c>
      <c r="BK11" s="16">
        <f>'Region Looker'!BA42</f>
        <v>98033.041105915661</v>
      </c>
      <c r="BL11" s="16">
        <f>'Region Looker'!BB42</f>
        <v>114414.02682166755</v>
      </c>
      <c r="BM11" s="16">
        <f>'Region Looker'!BC42</f>
        <v>359461.85903939209</v>
      </c>
      <c r="BN11" s="16">
        <f>'Region Looker'!BD42</f>
        <v>140423.97458630626</v>
      </c>
      <c r="BO11" s="16">
        <f>'Region Looker'!BE42</f>
        <v>215336.02626412059</v>
      </c>
      <c r="BP11" s="16">
        <f>'Region Looker'!BF42</f>
        <v>357868.96611590241</v>
      </c>
      <c r="BQ11" s="16">
        <f>'Region Looker'!BG42</f>
        <v>67166.967021274846</v>
      </c>
      <c r="BR11" s="16">
        <f>'Region Looker'!BH42</f>
        <v>0</v>
      </c>
      <c r="BS11" s="16">
        <f>'Region Looker'!BI42</f>
        <v>318871.0219712535</v>
      </c>
      <c r="BT11" s="16">
        <f>'Region Looker'!BJ42</f>
        <v>53108.035964560047</v>
      </c>
      <c r="BU11" s="16">
        <f>'Region Looker'!BK42</f>
        <v>235779.03311962032</v>
      </c>
      <c r="BV11" s="16">
        <f>'Region Looker'!BL42</f>
        <v>168189.93985025809</v>
      </c>
      <c r="BW11" s="16">
        <f>'Region Looker'!BM42</f>
        <v>0</v>
      </c>
      <c r="BX11" s="16">
        <f>'Region Looker'!BN42</f>
        <v>92947.020866850478</v>
      </c>
      <c r="BY11" s="16">
        <f>'Region Looker'!BO42</f>
        <v>166508.87761682825</v>
      </c>
      <c r="BZ11" s="16">
        <f>'Region Looker'!BP42</f>
        <v>103810.07587498856</v>
      </c>
      <c r="CA11" s="16">
        <f>'Region Looker'!BQ42</f>
        <v>149960.11983783447</v>
      </c>
      <c r="CB11" s="16">
        <f>'Region Looker'!BR42</f>
        <v>559855.73639503284</v>
      </c>
      <c r="CC11" s="16">
        <f>'Region Looker'!BS42</f>
        <v>71405.047483603528</v>
      </c>
      <c r="CD11" s="16">
        <f>'Region Looker'!BT42</f>
        <v>87564.211230443107</v>
      </c>
      <c r="CE11" s="16">
        <f>'Region Looker'!BU42</f>
        <v>402158.45817818353</v>
      </c>
      <c r="CF11" s="16">
        <f>'Region Looker'!BV42</f>
        <v>225529.00006407962</v>
      </c>
      <c r="CG11" s="16">
        <f>'Region Looker'!BW42</f>
        <v>274963.84488643426</v>
      </c>
      <c r="CH11" s="16">
        <f>'Region Looker'!BX42</f>
        <v>465816.58815621765</v>
      </c>
      <c r="CI11" s="16">
        <f>'Region Looker'!BY42</f>
        <v>83781.05366613972</v>
      </c>
      <c r="CJ11" s="16">
        <f>'Region Looker'!BZ42</f>
        <v>271644.16519344435</v>
      </c>
      <c r="CK11" s="16">
        <f>'Region Looker'!CA42</f>
        <v>432361.99506789667</v>
      </c>
      <c r="CL11" s="16">
        <f>'Region Looker'!CB42</f>
        <v>241920.90767951062</v>
      </c>
      <c r="CM11" s="16">
        <f>'Region Looker'!CC42</f>
        <v>702341.80120611261</v>
      </c>
      <c r="CN11" s="16">
        <f>'Region Looker'!CD42</f>
        <v>583000.82283657766</v>
      </c>
      <c r="CO11" s="16">
        <f>'Region Looker'!CE42</f>
        <v>376041.66666666663</v>
      </c>
      <c r="CP11" s="16">
        <f>'Region Looker'!CF42</f>
        <v>412656.25</v>
      </c>
      <c r="CQ11" s="16">
        <f>'Region Looker'!CG42</f>
        <v>438385.41666666663</v>
      </c>
      <c r="CR11" s="16">
        <f>'Region Looker'!CH42</f>
        <v>524333.33333333337</v>
      </c>
      <c r="CS11" s="16">
        <f>'Region Looker'!CI42</f>
        <v>498766.66666666663</v>
      </c>
      <c r="CT11" s="16">
        <f>'Region Looker'!CJ42</f>
        <v>554666.66666666674</v>
      </c>
      <c r="CU11" s="55">
        <f t="shared" si="38"/>
        <v>215104.80922180926</v>
      </c>
      <c r="CV11" s="55">
        <f t="shared" si="38"/>
        <v>472754.62607858557</v>
      </c>
      <c r="CW11" s="55">
        <f t="shared" si="38"/>
        <v>939379.31774807628</v>
      </c>
      <c r="CX11" s="55">
        <f t="shared" si="38"/>
        <v>375601.03518486087</v>
      </c>
      <c r="CY11" s="55">
        <f t="shared" si="38"/>
        <v>736691.04559398931</v>
      </c>
      <c r="CZ11" s="55">
        <f t="shared" si="38"/>
        <v>1052758.6165724103</v>
      </c>
      <c r="DA11" s="55">
        <f t="shared" si="38"/>
        <v>360663.99712245271</v>
      </c>
      <c r="DB11" s="55">
        <f t="shared" si="38"/>
        <v>643099.6269673896</v>
      </c>
      <c r="DC11" s="55">
        <f t="shared" si="38"/>
        <v>1130722.10835051</v>
      </c>
      <c r="DD11" s="55">
        <f t="shared" si="38"/>
        <v>485534.01582122431</v>
      </c>
      <c r="DE11" s="55">
        <f t="shared" si="38"/>
        <v>1295127.4794278285</v>
      </c>
      <c r="DF11" s="55">
        <f t="shared" si="38"/>
        <v>1487346.3294265755</v>
      </c>
      <c r="DG11" s="55">
        <f t="shared" si="38"/>
        <v>422982.47942780145</v>
      </c>
      <c r="DH11" s="55">
        <f t="shared" si="38"/>
        <v>893428.45043162326</v>
      </c>
      <c r="DI11" s="55">
        <f t="shared" si="38"/>
        <v>1745444.2168113114</v>
      </c>
      <c r="DJ11" s="55">
        <f t="shared" si="38"/>
        <v>752970.02169415972</v>
      </c>
      <c r="DK11" s="55">
        <f t="shared" si="38"/>
        <v>1412288.7149464537</v>
      </c>
      <c r="DL11" s="55">
        <f t="shared" si="38"/>
        <v>1989400.3820369011</v>
      </c>
      <c r="DM11" s="55">
        <f t="shared" si="38"/>
        <v>658540.83035001939</v>
      </c>
      <c r="DN11" s="55">
        <f t="shared" si="38"/>
        <v>1174243.5222806646</v>
      </c>
      <c r="DO11" s="55">
        <f t="shared" si="38"/>
        <v>2064599.4112782301</v>
      </c>
      <c r="DP11" s="55">
        <f t="shared" si="38"/>
        <v>789167.10290003906</v>
      </c>
      <c r="DQ11" s="55">
        <f t="shared" si="38"/>
        <v>2267413.7702224385</v>
      </c>
      <c r="DR11" s="55">
        <f t="shared" si="38"/>
        <v>2618388.5337060331</v>
      </c>
      <c r="DS11" s="55">
        <f t="shared" si="38"/>
        <v>731196.1637342961</v>
      </c>
      <c r="DT11" s="55">
        <f t="shared" si="38"/>
        <v>1544440.9338429489</v>
      </c>
      <c r="DU11" s="55">
        <f t="shared" si="38"/>
        <v>3017293.0970359202</v>
      </c>
      <c r="DV11" s="55">
        <f t="shared" si="38"/>
        <v>1301634.9802821456</v>
      </c>
      <c r="DW11" s="55">
        <f t="shared" si="38"/>
        <v>2441377.930951274</v>
      </c>
      <c r="DX11" s="55">
        <f t="shared" si="38"/>
        <v>3439012.2480834736</v>
      </c>
      <c r="DY11" s="55">
        <f t="shared" si="38"/>
        <v>1138398.2841694101</v>
      </c>
      <c r="DZ11" s="55">
        <f t="shared" si="38"/>
        <v>2029876.8874374223</v>
      </c>
      <c r="EA11" s="55">
        <f t="shared" si="38"/>
        <v>3569006.3834722149</v>
      </c>
      <c r="EB11" s="55">
        <f t="shared" si="38"/>
        <v>1364207.7065849507</v>
      </c>
      <c r="EC11" s="55">
        <f t="shared" si="38"/>
        <v>3919605.0215312843</v>
      </c>
      <c r="ED11" s="55">
        <f t="shared" si="38"/>
        <v>4526323.7701988872</v>
      </c>
      <c r="EE11" s="55">
        <f t="shared" si="38"/>
        <v>1209921.5185250491</v>
      </c>
      <c r="EF11" s="55">
        <f t="shared" si="38"/>
        <v>2555610.125748063</v>
      </c>
      <c r="EG11" s="55">
        <f t="shared" si="38"/>
        <v>4992761.2135660024</v>
      </c>
      <c r="EH11" s="55">
        <f t="shared" si="38"/>
        <v>2153835.3864785568</v>
      </c>
      <c r="EI11" s="55">
        <f t="shared" si="38"/>
        <v>4039785.5459530205</v>
      </c>
      <c r="EJ11" s="55">
        <f t="shared" si="38"/>
        <v>5690586.3676541531</v>
      </c>
      <c r="EK11" s="55">
        <f t="shared" si="38"/>
        <v>1883725.1191720914</v>
      </c>
      <c r="EL11" s="55">
        <f t="shared" si="38"/>
        <v>3358868.4512842316</v>
      </c>
      <c r="EM11" s="55">
        <f t="shared" si="38"/>
        <v>5905689.6593421688</v>
      </c>
      <c r="EN11" s="55">
        <f t="shared" si="38"/>
        <v>2257375.4373999028</v>
      </c>
      <c r="EO11" s="55">
        <f t="shared" si="38"/>
        <v>6485830.6086420454</v>
      </c>
      <c r="EP11" s="55">
        <f t="shared" si="38"/>
        <v>7489777.4372967398</v>
      </c>
      <c r="EQ11" s="55">
        <f t="shared" si="38"/>
        <v>1929043.9052202164</v>
      </c>
      <c r="ER11" s="55">
        <f t="shared" si="38"/>
        <v>4074548.6890778919</v>
      </c>
      <c r="ES11" s="55">
        <f t="shared" si="38"/>
        <v>7960231.6693981439</v>
      </c>
      <c r="ET11" s="55">
        <f t="shared" si="38"/>
        <v>3433977.2964770785</v>
      </c>
      <c r="EU11" s="55">
        <f t="shared" si="38"/>
        <v>6440850.5564206662</v>
      </c>
      <c r="EV11" s="55">
        <f t="shared" si="38"/>
        <v>9072812.3945050966</v>
      </c>
      <c r="EW11" s="55">
        <f t="shared" si="38"/>
        <v>3003325.7567638834</v>
      </c>
      <c r="EX11" s="55">
        <f t="shared" si="38"/>
        <v>5355227.2731581898</v>
      </c>
      <c r="EY11" s="55">
        <f t="shared" si="38"/>
        <v>9415763.3111310042</v>
      </c>
      <c r="EZ11" s="55">
        <f t="shared" si="38"/>
        <v>3599056.8500827523</v>
      </c>
      <c r="FA11" s="55">
        <f t="shared" si="38"/>
        <v>10340713.686242817</v>
      </c>
      <c r="FB11" s="55">
        <f t="shared" ref="FB11:FB12" si="39">FB$9*FB21</f>
        <v>11941360.90288409</v>
      </c>
    </row>
    <row r="12" spans="3:158" x14ac:dyDescent="0.25">
      <c r="C12" s="377" t="s">
        <v>664</v>
      </c>
      <c r="D12" s="16">
        <f t="shared" ref="D12:L12" si="40">SUMIF($AY$2:$FB$2,D$2,$AY12:$FB12)</f>
        <v>227193.97587416458</v>
      </c>
      <c r="E12" s="16">
        <f t="shared" si="40"/>
        <v>350232.94316775817</v>
      </c>
      <c r="F12" s="16">
        <f t="shared" si="40"/>
        <v>475866.0926495748</v>
      </c>
      <c r="G12" s="16">
        <f t="shared" si="40"/>
        <v>1117683.208564912</v>
      </c>
      <c r="H12" s="16">
        <f t="shared" si="40"/>
        <v>3500000</v>
      </c>
      <c r="I12" s="16">
        <f t="shared" si="40"/>
        <v>8389062.5</v>
      </c>
      <c r="J12" s="16">
        <f t="shared" si="40"/>
        <v>16842656.249999996</v>
      </c>
      <c r="K12" s="16">
        <f t="shared" si="40"/>
        <v>30667669.921875</v>
      </c>
      <c r="L12" s="16">
        <f t="shared" si="40"/>
        <v>52268376.562499978</v>
      </c>
      <c r="N12" s="16">
        <f>SUM(AY12:BA12)</f>
        <v>17999.997171990137</v>
      </c>
      <c r="O12" s="16">
        <f>SUM(BB12:BD12)</f>
        <v>84379.987791324704</v>
      </c>
      <c r="P12" s="16">
        <f>SUM(BE12:BG12)</f>
        <v>101063.99784665837</v>
      </c>
      <c r="Q12" s="16">
        <f>SUM(BH12:BJ12)</f>
        <v>23749.993064191345</v>
      </c>
      <c r="R12" s="16">
        <f>SUM(BK12:BM12)</f>
        <v>21868.994870352104</v>
      </c>
      <c r="S12" s="16">
        <f>SUM(BN12:BP12)</f>
        <v>141423.97475050925</v>
      </c>
      <c r="T12" s="16">
        <f>SUM(BQ12:BS12)</f>
        <v>103459.97195858638</v>
      </c>
      <c r="U12" s="16">
        <f>SUM(BT12:BV12)</f>
        <v>83480.001588310421</v>
      </c>
      <c r="V12" s="16">
        <f>SUM(BW12:BY12)</f>
        <v>35912.002785106626</v>
      </c>
      <c r="W12" s="16">
        <f>SUM(BZ12:CB12)</f>
        <v>149800.02900792495</v>
      </c>
      <c r="X12" s="16">
        <f>SUM(CC12:CE12)</f>
        <v>192178.37408455324</v>
      </c>
      <c r="Y12" s="16">
        <f>SUM(CF12:CH12)</f>
        <v>97975.686771989989</v>
      </c>
      <c r="Z12" s="16">
        <f>SUM(CI12:CK12)</f>
        <v>158849.0190557777</v>
      </c>
      <c r="AA12" s="16">
        <f>SUM(CL12:CN12)</f>
        <v>201677.93950913424</v>
      </c>
      <c r="AB12" s="16">
        <f>SUM(CO12:CQ12)</f>
        <v>189062.50000000003</v>
      </c>
      <c r="AC12" s="16">
        <f>SUM(CR12:CT12)</f>
        <v>568093.75</v>
      </c>
      <c r="AD12" s="16">
        <f>SUM(CU12:CW12)</f>
        <v>619409.46632610518</v>
      </c>
      <c r="AE12" s="16">
        <f>SUM(CX12:CZ12)</f>
        <v>824127.92499132408</v>
      </c>
      <c r="AF12" s="16">
        <f>SUM(DA12:DC12)</f>
        <v>812493.35165764822</v>
      </c>
      <c r="AG12" s="16">
        <f>SUM(DD12:DF12)</f>
        <v>1243969.2570249219</v>
      </c>
      <c r="AH12" s="16">
        <f>SUM(DG12:DI12)</f>
        <v>1529948.0021003836</v>
      </c>
      <c r="AI12" s="16">
        <f>SUM(DJ12:DL12)</f>
        <v>2076000.3702135803</v>
      </c>
      <c r="AJ12" s="16">
        <f>SUM(DM12:DO12)</f>
        <v>1947445.0022544258</v>
      </c>
      <c r="AK12" s="16">
        <f>SUM(DP12:DR12)</f>
        <v>2835669.1254316098</v>
      </c>
      <c r="AL12" s="16">
        <f>SUM(DS12:DU12)</f>
        <v>3071664.8349861545</v>
      </c>
      <c r="AM12" s="16">
        <f>SUM(DV12:DX12)</f>
        <v>4167969.9740441879</v>
      </c>
      <c r="AN12" s="16">
        <f>SUM(DY12:EA12)</f>
        <v>3909870.3506800393</v>
      </c>
      <c r="AO12" s="16">
        <f>SUM(EB12:ED12)</f>
        <v>5693151.0902896151</v>
      </c>
      <c r="AP12" s="16">
        <f>SUM(EE12:EG12)</f>
        <v>5592989.7203706242</v>
      </c>
      <c r="AQ12" s="16">
        <f>SUM(EH12:EJ12)</f>
        <v>7589178.6610721257</v>
      </c>
      <c r="AR12" s="16">
        <f>SUM(EK12:EM12)</f>
        <v>7119222.2635299051</v>
      </c>
      <c r="AS12" s="16">
        <f>SUM(EN12:EP12)</f>
        <v>10366279.276902342</v>
      </c>
      <c r="AT12" s="16">
        <f>SUM(EQ12:ES12)</f>
        <v>9532399.8712403663</v>
      </c>
      <c r="AU12" s="16">
        <f>SUM(ET12:EV12)</f>
        <v>12934600.152783796</v>
      </c>
      <c r="AV12" s="16">
        <f>SUM(EW12:EY12)</f>
        <v>12133630.988277055</v>
      </c>
      <c r="AW12" s="16">
        <f>SUM(EZ12:FB12)</f>
        <v>17667745.550198775</v>
      </c>
      <c r="AY12" s="16">
        <f>'Region Looker'!AO41</f>
        <v>0</v>
      </c>
      <c r="AZ12" s="16">
        <f>'Region Looker'!AP41</f>
        <v>17999.997171990137</v>
      </c>
      <c r="BA12" s="16">
        <f>'Region Looker'!AQ41</f>
        <v>0</v>
      </c>
      <c r="BB12" s="16">
        <f>'Region Looker'!AR41</f>
        <v>0</v>
      </c>
      <c r="BC12" s="16">
        <f>'Region Looker'!AS41</f>
        <v>4499.998964948898</v>
      </c>
      <c r="BD12" s="16">
        <f>'Region Looker'!AT41</f>
        <v>79879.988826375804</v>
      </c>
      <c r="BE12" s="16">
        <f>'Region Looker'!AU41</f>
        <v>23999.989821712905</v>
      </c>
      <c r="BF12" s="16">
        <f>'Region Looker'!AV41</f>
        <v>4063.9980309070497</v>
      </c>
      <c r="BG12" s="16">
        <f>'Region Looker'!AW41</f>
        <v>73000.009994038424</v>
      </c>
      <c r="BH12" s="16">
        <f>'Region Looker'!AX41</f>
        <v>7499.9947995552266</v>
      </c>
      <c r="BI12" s="16">
        <f>'Region Looker'!AY41</f>
        <v>16249.998264636117</v>
      </c>
      <c r="BJ12" s="16">
        <f>'Region Looker'!AZ41</f>
        <v>0</v>
      </c>
      <c r="BK12" s="16">
        <f>'Region Looker'!BA41</f>
        <v>0</v>
      </c>
      <c r="BL12" s="16">
        <f>'Region Looker'!BB41</f>
        <v>5500.0012893454605</v>
      </c>
      <c r="BM12" s="16">
        <f>'Region Looker'!BC41</f>
        <v>16368.993581006644</v>
      </c>
      <c r="BN12" s="16">
        <f>'Region Looker'!BD41</f>
        <v>137423.97512924109</v>
      </c>
      <c r="BO12" s="16">
        <f>'Region Looker'!BE41</f>
        <v>0</v>
      </c>
      <c r="BP12" s="16">
        <f>'Region Looker'!BF41</f>
        <v>3999.9996212681444</v>
      </c>
      <c r="BQ12" s="16">
        <f>'Region Looker'!BG41</f>
        <v>45799.977512385369</v>
      </c>
      <c r="BR12" s="16">
        <f>'Region Looker'!BH41</f>
        <v>29659.992516909544</v>
      </c>
      <c r="BS12" s="16">
        <f>'Region Looker'!BI41</f>
        <v>28000.001929291466</v>
      </c>
      <c r="BT12" s="16">
        <f>'Region Looker'!BJ41</f>
        <v>600.00040631799402</v>
      </c>
      <c r="BU12" s="16">
        <f>'Region Looker'!BK41</f>
        <v>61880.008692216463</v>
      </c>
      <c r="BV12" s="16">
        <f>'Region Looker'!BL41</f>
        <v>20999.992489775967</v>
      </c>
      <c r="BW12" s="16">
        <f>'Region Looker'!BM41</f>
        <v>0</v>
      </c>
      <c r="BX12" s="16">
        <f>'Region Looker'!BN41</f>
        <v>30412.006827575467</v>
      </c>
      <c r="BY12" s="16">
        <f>'Region Looker'!BO41</f>
        <v>5499.9959575311568</v>
      </c>
      <c r="BZ12" s="16">
        <f>'Region Looker'!BP41</f>
        <v>4100.0029967002511</v>
      </c>
      <c r="CA12" s="16">
        <f>'Region Looker'!BQ41</f>
        <v>74500.059535333872</v>
      </c>
      <c r="CB12" s="16">
        <f>'Region Looker'!BR41</f>
        <v>71199.966475890833</v>
      </c>
      <c r="CC12" s="16">
        <f>'Region Looker'!BS41</f>
        <v>23799.358014192672</v>
      </c>
      <c r="CD12" s="16">
        <f>'Region Looker'!BT41</f>
        <v>95889.820151199878</v>
      </c>
      <c r="CE12" s="16">
        <f>'Region Looker'!BU41</f>
        <v>72489.195919160702</v>
      </c>
      <c r="CF12" s="16">
        <f>'Region Looker'!BV41</f>
        <v>705.58162122017643</v>
      </c>
      <c r="CG12" s="16">
        <f>'Region Looker'!BW41</f>
        <v>10031.991480312246</v>
      </c>
      <c r="CH12" s="16">
        <f>'Region Looker'!BX41</f>
        <v>87238.113670457562</v>
      </c>
      <c r="CI12" s="16">
        <f>'Region Looker'!BY41</f>
        <v>3500.0022419341976</v>
      </c>
      <c r="CJ12" s="16">
        <f>'Region Looker'!BZ41</f>
        <v>30000.018243743023</v>
      </c>
      <c r="CK12" s="16">
        <f>'Region Looker'!CA41</f>
        <v>125348.99857010046</v>
      </c>
      <c r="CL12" s="16">
        <f>'Region Looker'!CB41</f>
        <v>15393.994125430974</v>
      </c>
      <c r="CM12" s="16">
        <f>'Region Looker'!CC41</f>
        <v>95597.972941532687</v>
      </c>
      <c r="CN12" s="16">
        <f>'Region Looker'!CD41</f>
        <v>90685.972442170576</v>
      </c>
      <c r="CO12" s="16">
        <f>'Region Looker'!CE41</f>
        <v>34375</v>
      </c>
      <c r="CP12" s="16">
        <f>'Region Looker'!CF41</f>
        <v>61875.000000000007</v>
      </c>
      <c r="CQ12" s="16">
        <f>'Region Looker'!CG41</f>
        <v>92812.500000000029</v>
      </c>
      <c r="CR12" s="16">
        <f>'Region Looker'!CH41</f>
        <v>129531.25000000001</v>
      </c>
      <c r="CS12" s="16">
        <f>'Region Looker'!CI41</f>
        <v>192656.25</v>
      </c>
      <c r="CT12" s="16">
        <f>'Region Looker'!CJ41</f>
        <v>245906.25</v>
      </c>
      <c r="CU12" s="55">
        <f t="shared" si="38"/>
        <v>81879.782444125914</v>
      </c>
      <c r="CV12" s="55">
        <f t="shared" si="38"/>
        <v>179954.34910454811</v>
      </c>
      <c r="CW12" s="55">
        <f t="shared" si="38"/>
        <v>357575.33477743121</v>
      </c>
      <c r="CX12" s="55">
        <f t="shared" si="38"/>
        <v>142972.77293792259</v>
      </c>
      <c r="CY12" s="55">
        <f t="shared" si="38"/>
        <v>280421.91506546614</v>
      </c>
      <c r="CZ12" s="55">
        <f t="shared" si="38"/>
        <v>400733.23698793544</v>
      </c>
      <c r="DA12" s="55">
        <f t="shared" si="38"/>
        <v>137286.97989901173</v>
      </c>
      <c r="DB12" s="55">
        <f t="shared" si="38"/>
        <v>244796.28203798228</v>
      </c>
      <c r="DC12" s="55">
        <f t="shared" si="38"/>
        <v>430410.08972065418</v>
      </c>
      <c r="DD12" s="55">
        <f t="shared" si="38"/>
        <v>184818.83193820232</v>
      </c>
      <c r="DE12" s="55">
        <f t="shared" si="38"/>
        <v>492991.09878854343</v>
      </c>
      <c r="DF12" s="55">
        <f t="shared" si="38"/>
        <v>566159.32629817619</v>
      </c>
      <c r="DG12" s="55">
        <f t="shared" si="38"/>
        <v>211355.91604576432</v>
      </c>
      <c r="DH12" s="55">
        <f t="shared" si="38"/>
        <v>446428.39300996374</v>
      </c>
      <c r="DI12" s="55">
        <f t="shared" si="38"/>
        <v>872163.69304465561</v>
      </c>
      <c r="DJ12" s="55">
        <f t="shared" si="38"/>
        <v>376244.11513558315</v>
      </c>
      <c r="DK12" s="55">
        <f t="shared" si="38"/>
        <v>705692.52767253923</v>
      </c>
      <c r="DL12" s="55">
        <f t="shared" si="38"/>
        <v>994063.72740545787</v>
      </c>
      <c r="DM12" s="55">
        <f t="shared" si="38"/>
        <v>329059.72994544386</v>
      </c>
      <c r="DN12" s="55">
        <f t="shared" si="38"/>
        <v>586746.08850978885</v>
      </c>
      <c r="DO12" s="55">
        <f t="shared" si="38"/>
        <v>1031639.183799193</v>
      </c>
      <c r="DP12" s="55">
        <f t="shared" si="38"/>
        <v>394331.07530187868</v>
      </c>
      <c r="DQ12" s="55">
        <f t="shared" si="38"/>
        <v>1132981.4774087903</v>
      </c>
      <c r="DR12" s="55">
        <f t="shared" si="38"/>
        <v>1308356.5727209409</v>
      </c>
      <c r="DS12" s="55">
        <f t="shared" si="38"/>
        <v>424337.64683034224</v>
      </c>
      <c r="DT12" s="55">
        <f t="shared" si="38"/>
        <v>896290.85058154259</v>
      </c>
      <c r="DU12" s="55">
        <f t="shared" si="38"/>
        <v>1751036.3375742696</v>
      </c>
      <c r="DV12" s="55">
        <f t="shared" si="38"/>
        <v>755382.41577220941</v>
      </c>
      <c r="DW12" s="55">
        <f t="shared" si="38"/>
        <v>1416813.4594040979</v>
      </c>
      <c r="DX12" s="55">
        <f t="shared" si="38"/>
        <v>1995774.0988678809</v>
      </c>
      <c r="DY12" s="55">
        <f t="shared" si="38"/>
        <v>660650.68858277565</v>
      </c>
      <c r="DZ12" s="55">
        <f t="shared" si="38"/>
        <v>1178005.6084696527</v>
      </c>
      <c r="EA12" s="55">
        <f t="shared" si="38"/>
        <v>2071214.0536276109</v>
      </c>
      <c r="EB12" s="55">
        <f t="shared" si="38"/>
        <v>791695.46656761784</v>
      </c>
      <c r="EC12" s="55">
        <f t="shared" si="38"/>
        <v>2274678.1969514936</v>
      </c>
      <c r="ED12" s="55">
        <f t="shared" si="38"/>
        <v>2626777.4267705041</v>
      </c>
      <c r="EE12" s="55">
        <f t="shared" si="38"/>
        <v>772648.13193691475</v>
      </c>
      <c r="EF12" s="55">
        <f t="shared" si="38"/>
        <v>1631996.2571005591</v>
      </c>
      <c r="EG12" s="55">
        <f t="shared" si="38"/>
        <v>3188345.3313331497</v>
      </c>
      <c r="EH12" s="55">
        <f t="shared" si="38"/>
        <v>1375425.4820518978</v>
      </c>
      <c r="EI12" s="55">
        <f t="shared" si="38"/>
        <v>2579781.1739982949</v>
      </c>
      <c r="EJ12" s="55">
        <f t="shared" si="38"/>
        <v>3633972.0050219335</v>
      </c>
      <c r="EK12" s="55">
        <f t="shared" si="38"/>
        <v>1202934.7954611373</v>
      </c>
      <c r="EL12" s="55">
        <f t="shared" si="38"/>
        <v>2144951.8787551597</v>
      </c>
      <c r="EM12" s="55">
        <f t="shared" si="38"/>
        <v>3771335.5893136081</v>
      </c>
      <c r="EN12" s="55">
        <f t="shared" si="38"/>
        <v>1441545.4953752041</v>
      </c>
      <c r="EO12" s="55">
        <f t="shared" si="38"/>
        <v>4141809.8836158444</v>
      </c>
      <c r="EP12" s="55">
        <f t="shared" si="38"/>
        <v>4782923.8979112934</v>
      </c>
      <c r="EQ12" s="55">
        <f t="shared" si="38"/>
        <v>1316861.1639968285</v>
      </c>
      <c r="ER12" s="55">
        <f t="shared" si="38"/>
        <v>2781489.2729713866</v>
      </c>
      <c r="ES12" s="55">
        <f t="shared" si="38"/>
        <v>5434049.4342721505</v>
      </c>
      <c r="ET12" s="55">
        <f t="shared" si="38"/>
        <v>2344203.430279756</v>
      </c>
      <c r="EU12" s="55">
        <f t="shared" si="38"/>
        <v>4396844.4356840504</v>
      </c>
      <c r="EV12" s="55">
        <f t="shared" si="38"/>
        <v>6193552.2868199889</v>
      </c>
      <c r="EW12" s="55">
        <f t="shared" si="38"/>
        <v>2050219.3035685474</v>
      </c>
      <c r="EX12" s="55">
        <f t="shared" si="38"/>
        <v>3655744.0716174887</v>
      </c>
      <c r="EY12" s="55">
        <f t="shared" si="38"/>
        <v>6427667.6130910181</v>
      </c>
      <c r="EZ12" s="55">
        <f t="shared" si="38"/>
        <v>2456894.9312481736</v>
      </c>
      <c r="FA12" s="55">
        <f t="shared" si="38"/>
        <v>7059084.6712061353</v>
      </c>
      <c r="FB12" s="55">
        <f t="shared" si="39"/>
        <v>8151765.9477444654</v>
      </c>
    </row>
    <row r="13" spans="3:158" x14ac:dyDescent="0.25">
      <c r="C13" s="377"/>
    </row>
    <row r="14" spans="3:158" s="1" customFormat="1" x14ac:dyDescent="0.25">
      <c r="C14" s="1" t="s">
        <v>694</v>
      </c>
      <c r="D14" s="381"/>
      <c r="E14" s="335">
        <f>E9/D9-1</f>
        <v>0.46678569327373243</v>
      </c>
      <c r="F14" s="335">
        <f t="shared" ref="F14:L14" si="41">F9/E9-1</f>
        <v>0.16603070156084532</v>
      </c>
      <c r="G14" s="335">
        <f t="shared" si="41"/>
        <v>0.97675785309607877</v>
      </c>
      <c r="H14" s="335">
        <f t="shared" si="41"/>
        <v>0.36863649426597145</v>
      </c>
      <c r="I14" s="335">
        <f t="shared" si="41"/>
        <v>0.47499999999999964</v>
      </c>
      <c r="J14" s="335">
        <f t="shared" si="41"/>
        <v>0.4500000000000004</v>
      </c>
      <c r="K14" s="335">
        <f t="shared" si="41"/>
        <v>0.42499999999999982</v>
      </c>
      <c r="L14" s="335">
        <f t="shared" si="41"/>
        <v>0.39999999999999991</v>
      </c>
      <c r="N14" s="381"/>
      <c r="O14" s="381"/>
      <c r="P14" s="381"/>
      <c r="Q14" s="381"/>
      <c r="R14" s="335">
        <f>R9/N9-1</f>
        <v>0.66685541477792309</v>
      </c>
      <c r="S14" s="335">
        <f t="shared" ref="S14:AW17" si="42">S9/O9-1</f>
        <v>0.79535548122875643</v>
      </c>
      <c r="T14" s="335">
        <f t="shared" si="42"/>
        <v>0.39740772444402372</v>
      </c>
      <c r="U14" s="335">
        <f t="shared" si="42"/>
        <v>0.2162056894696045</v>
      </c>
      <c r="V14" s="335">
        <f t="shared" si="42"/>
        <v>-8.1344029057984768E-2</v>
      </c>
      <c r="W14" s="335">
        <f t="shared" si="42"/>
        <v>8.0798711845910809E-2</v>
      </c>
      <c r="X14" s="335">
        <f t="shared" si="42"/>
        <v>0.35579371148008754</v>
      </c>
      <c r="Y14" s="335">
        <f t="shared" si="42"/>
        <v>0.27219944083573711</v>
      </c>
      <c r="Z14" s="335">
        <f t="shared" si="42"/>
        <v>0.73542206786775099</v>
      </c>
      <c r="AA14" s="335">
        <f t="shared" si="42"/>
        <v>0.74914013153930226</v>
      </c>
      <c r="AB14" s="335">
        <f t="shared" si="42"/>
        <v>1.1218694428507665</v>
      </c>
      <c r="AC14" s="335">
        <f t="shared" si="42"/>
        <v>1.1540638695694918</v>
      </c>
      <c r="AD14" s="335">
        <f t="shared" si="42"/>
        <v>0.70755806907823726</v>
      </c>
      <c r="AE14" s="335">
        <f t="shared" si="42"/>
        <v>0.45224765937638911</v>
      </c>
      <c r="AF14" s="335">
        <f t="shared" si="42"/>
        <v>0.17421157609769544</v>
      </c>
      <c r="AG14" s="335">
        <f t="shared" si="42"/>
        <v>0.33028976440234326</v>
      </c>
      <c r="AH14" s="335">
        <f t="shared" si="42"/>
        <v>0.52000657725712451</v>
      </c>
      <c r="AI14" s="335">
        <f t="shared" si="42"/>
        <v>0.55017036872722413</v>
      </c>
      <c r="AJ14" s="335">
        <f t="shared" si="42"/>
        <v>0.47499999999999987</v>
      </c>
      <c r="AK14" s="335">
        <f t="shared" si="42"/>
        <v>0.40278961417838288</v>
      </c>
      <c r="AL14" s="335">
        <f t="shared" si="42"/>
        <v>0.44999999999999973</v>
      </c>
      <c r="AM14" s="335">
        <f t="shared" si="42"/>
        <v>0.45000000000000018</v>
      </c>
      <c r="AN14" s="335">
        <f t="shared" si="42"/>
        <v>0.44999999999999996</v>
      </c>
      <c r="AO14" s="335">
        <f t="shared" si="42"/>
        <v>0.45000000000000018</v>
      </c>
      <c r="AP14" s="335">
        <f t="shared" si="42"/>
        <v>0.42500000000000027</v>
      </c>
      <c r="AQ14" s="335">
        <f t="shared" si="42"/>
        <v>0.42500000000000004</v>
      </c>
      <c r="AR14" s="335">
        <f t="shared" si="42"/>
        <v>0.42500000000000027</v>
      </c>
      <c r="AS14" s="335">
        <f t="shared" si="42"/>
        <v>0.42500000000000004</v>
      </c>
      <c r="AT14" s="335">
        <f t="shared" si="42"/>
        <v>0.39999999999999969</v>
      </c>
      <c r="AU14" s="335">
        <f t="shared" si="42"/>
        <v>0.39999999999999969</v>
      </c>
      <c r="AV14" s="335">
        <f t="shared" si="42"/>
        <v>0.40000000000000013</v>
      </c>
      <c r="AW14" s="335">
        <f t="shared" si="42"/>
        <v>0.39999999999999991</v>
      </c>
      <c r="AY14" s="381"/>
      <c r="AZ14" s="381"/>
      <c r="BA14" s="381"/>
      <c r="BB14" s="381"/>
      <c r="BC14" s="381"/>
      <c r="BD14" s="381"/>
      <c r="BE14" s="381"/>
      <c r="BF14" s="381"/>
      <c r="BG14" s="381"/>
      <c r="BH14" s="381"/>
      <c r="BI14" s="381"/>
      <c r="BJ14" s="381"/>
      <c r="BK14" s="335">
        <f>IFERROR(BK9/AY9-1,"")</f>
        <v>2.1780669846025873</v>
      </c>
      <c r="BL14" s="335">
        <f t="shared" ref="BL14:DW17" si="43">IFERROR(BL9/AZ9-1,"")</f>
        <v>0.30096914896750415</v>
      </c>
      <c r="BM14" s="335">
        <f t="shared" si="43"/>
        <v>0.67725709149997182</v>
      </c>
      <c r="BN14" s="335">
        <f t="shared" si="43"/>
        <v>1.019681498409164</v>
      </c>
      <c r="BO14" s="335">
        <f t="shared" si="43"/>
        <v>1.0474757217207631</v>
      </c>
      <c r="BP14" s="335">
        <f t="shared" si="43"/>
        <v>0.53011526043794088</v>
      </c>
      <c r="BQ14" s="335">
        <f t="shared" si="43"/>
        <v>0.57044533636149497</v>
      </c>
      <c r="BR14" s="335">
        <f t="shared" si="43"/>
        <v>0.17360770114406021</v>
      </c>
      <c r="BS14" s="335">
        <f t="shared" si="43"/>
        <v>0.44502584516478616</v>
      </c>
      <c r="BT14" s="335">
        <f t="shared" si="43"/>
        <v>-0.33383673116706902</v>
      </c>
      <c r="BU14" s="335">
        <f t="shared" si="43"/>
        <v>8.2781898275485766E-2</v>
      </c>
      <c r="BV14" s="335">
        <f t="shared" si="43"/>
        <v>0.60881779381005652</v>
      </c>
      <c r="BW14" s="335">
        <f t="shared" si="43"/>
        <v>0.40184347322300096</v>
      </c>
      <c r="BX14" s="335">
        <f t="shared" si="43"/>
        <v>0.1872307085964644</v>
      </c>
      <c r="BY14" s="335">
        <f t="shared" si="43"/>
        <v>-0.29840982761423285</v>
      </c>
      <c r="BZ14" s="335">
        <f t="shared" si="43"/>
        <v>0.26854502061704943</v>
      </c>
      <c r="CA14" s="335">
        <f t="shared" si="43"/>
        <v>-0.38165538797181275</v>
      </c>
      <c r="CB14" s="335">
        <f t="shared" si="43"/>
        <v>0.4699237300846244</v>
      </c>
      <c r="CC14" s="335">
        <f t="shared" si="43"/>
        <v>-0.14068493708865759</v>
      </c>
      <c r="CD14" s="335">
        <f t="shared" si="43"/>
        <v>1.5648988106227257</v>
      </c>
      <c r="CE14" s="335">
        <f t="shared" si="43"/>
        <v>7.5932725596227435E-2</v>
      </c>
      <c r="CF14" s="335">
        <f t="shared" si="43"/>
        <v>0.9860283089518036</v>
      </c>
      <c r="CG14" s="335">
        <f t="shared" si="43"/>
        <v>0.17074214253864795</v>
      </c>
      <c r="CH14" s="335">
        <f t="shared" si="43"/>
        <v>0.21983619221810557</v>
      </c>
      <c r="CI14" s="335">
        <f t="shared" si="43"/>
        <v>0.32990619231928364</v>
      </c>
      <c r="CJ14" s="335">
        <f t="shared" si="43"/>
        <v>0.34541659292145255</v>
      </c>
      <c r="CK14" s="335">
        <f t="shared" si="43"/>
        <v>1.1838723545013354</v>
      </c>
      <c r="CL14" s="335">
        <f t="shared" si="43"/>
        <v>0.54925109215629009</v>
      </c>
      <c r="CM14" s="335">
        <f t="shared" si="43"/>
        <v>1.1935077020538043</v>
      </c>
      <c r="CN14" s="335">
        <f t="shared" si="43"/>
        <v>0.63368249032929391</v>
      </c>
      <c r="CO14" s="335">
        <f t="shared" si="43"/>
        <v>1.4710365910605594</v>
      </c>
      <c r="CP14" s="335">
        <f t="shared" si="43"/>
        <v>0.80470945299798702</v>
      </c>
      <c r="CQ14" s="335">
        <f t="shared" si="43"/>
        <v>1.3079526513097788</v>
      </c>
      <c r="CR14" s="335">
        <f t="shared" si="43"/>
        <v>0.47617798228132391</v>
      </c>
      <c r="CS14" s="335">
        <f t="shared" si="43"/>
        <v>1.3871760884531272</v>
      </c>
      <c r="CT14" s="335">
        <f t="shared" si="43"/>
        <v>1.1840329117261916</v>
      </c>
      <c r="CU14" s="335">
        <f t="shared" si="43"/>
        <v>0.39512804270880819</v>
      </c>
      <c r="CV14" s="335">
        <f t="shared" si="43"/>
        <v>1.0007969607494793</v>
      </c>
      <c r="CW14" s="335">
        <f t="shared" si="43"/>
        <v>0.67001816810105663</v>
      </c>
      <c r="CX14" s="335">
        <f t="shared" si="43"/>
        <v>0.37145304094904996</v>
      </c>
      <c r="CY14" s="335">
        <f t="shared" si="43"/>
        <v>0.65899389579133905</v>
      </c>
      <c r="CZ14" s="335">
        <f t="shared" si="43"/>
        <v>0.36209313876112725</v>
      </c>
      <c r="DA14" s="335">
        <f t="shared" si="43"/>
        <v>0.32270999072195927</v>
      </c>
      <c r="DB14" s="335">
        <f t="shared" si="43"/>
        <v>1.0795534751093072E-2</v>
      </c>
      <c r="DC14" s="335">
        <f t="shared" si="43"/>
        <v>0.244053280653038</v>
      </c>
      <c r="DD14" s="335">
        <f t="shared" si="43"/>
        <v>0.9764363066671975</v>
      </c>
      <c r="DE14" s="335">
        <f t="shared" si="43"/>
        <v>0.31800084478841129</v>
      </c>
      <c r="DF14" s="335">
        <f t="shared" si="43"/>
        <v>0.21089159164051807</v>
      </c>
      <c r="DG14" s="335">
        <f t="shared" si="43"/>
        <v>0.58848955410746395</v>
      </c>
      <c r="DH14" s="335">
        <f t="shared" si="43"/>
        <v>0.52663809625185198</v>
      </c>
      <c r="DI14" s="335">
        <f t="shared" si="43"/>
        <v>0.50098753072771118</v>
      </c>
      <c r="DJ14" s="335">
        <f t="shared" si="43"/>
        <v>0.61943309432744931</v>
      </c>
      <c r="DK14" s="335">
        <f t="shared" si="43"/>
        <v>0.54863903778768197</v>
      </c>
      <c r="DL14" s="335">
        <f t="shared" si="43"/>
        <v>0.52653053975560749</v>
      </c>
      <c r="DM14" s="335">
        <f t="shared" si="43"/>
        <v>0.47500000000000053</v>
      </c>
      <c r="DN14" s="335">
        <f t="shared" si="43"/>
        <v>0.47500000000000009</v>
      </c>
      <c r="DO14" s="335">
        <f t="shared" si="43"/>
        <v>0.47500000000000009</v>
      </c>
      <c r="DP14" s="335">
        <f t="shared" si="43"/>
        <v>0.31298999438535646</v>
      </c>
      <c r="DQ14" s="335">
        <f t="shared" si="43"/>
        <v>0.41426360927493544</v>
      </c>
      <c r="DR14" s="335">
        <f t="shared" si="43"/>
        <v>0.42211294399091059</v>
      </c>
      <c r="DS14" s="335">
        <f t="shared" si="43"/>
        <v>0.45000000000000018</v>
      </c>
      <c r="DT14" s="335">
        <f t="shared" si="43"/>
        <v>0.44999999999999996</v>
      </c>
      <c r="DU14" s="335">
        <f t="shared" si="43"/>
        <v>0.44999999999999973</v>
      </c>
      <c r="DV14" s="335">
        <f t="shared" si="43"/>
        <v>0.4500000000000004</v>
      </c>
      <c r="DW14" s="335">
        <f t="shared" si="43"/>
        <v>0.45000000000000018</v>
      </c>
      <c r="DX14" s="335">
        <f t="shared" ref="DX14:FB17" si="44">IFERROR(DX9/DL9-1,"")</f>
        <v>0.45000000000000018</v>
      </c>
      <c r="DY14" s="335">
        <f t="shared" si="44"/>
        <v>0.44999999999999996</v>
      </c>
      <c r="DZ14" s="335">
        <f t="shared" si="44"/>
        <v>0.44999999999999973</v>
      </c>
      <c r="EA14" s="335">
        <f t="shared" si="44"/>
        <v>0.45000000000000018</v>
      </c>
      <c r="EB14" s="335">
        <f t="shared" si="44"/>
        <v>0.44999999999999996</v>
      </c>
      <c r="EC14" s="335">
        <f t="shared" si="44"/>
        <v>0.44999999999999996</v>
      </c>
      <c r="ED14" s="335">
        <f t="shared" si="44"/>
        <v>0.44999999999999996</v>
      </c>
      <c r="EE14" s="335">
        <f t="shared" si="44"/>
        <v>0.42499999999999982</v>
      </c>
      <c r="EF14" s="335">
        <f t="shared" si="44"/>
        <v>0.42500000000000027</v>
      </c>
      <c r="EG14" s="335">
        <f t="shared" si="44"/>
        <v>0.42500000000000027</v>
      </c>
      <c r="EH14" s="335">
        <f t="shared" si="44"/>
        <v>0.42499999999999982</v>
      </c>
      <c r="EI14" s="335">
        <f t="shared" si="44"/>
        <v>0.42500000000000004</v>
      </c>
      <c r="EJ14" s="335">
        <f t="shared" si="44"/>
        <v>0.42500000000000004</v>
      </c>
      <c r="EK14" s="335">
        <f t="shared" si="44"/>
        <v>0.42500000000000004</v>
      </c>
      <c r="EL14" s="335">
        <f t="shared" si="44"/>
        <v>0.42500000000000027</v>
      </c>
      <c r="EM14" s="335">
        <f t="shared" si="44"/>
        <v>0.42500000000000004</v>
      </c>
      <c r="EN14" s="335">
        <f t="shared" si="44"/>
        <v>0.42499999999999982</v>
      </c>
      <c r="EO14" s="335">
        <f t="shared" si="44"/>
        <v>0.42499999999999982</v>
      </c>
      <c r="EP14" s="335">
        <f t="shared" si="44"/>
        <v>0.42500000000000004</v>
      </c>
      <c r="EQ14" s="335">
        <f t="shared" si="44"/>
        <v>0.39999999999999991</v>
      </c>
      <c r="ER14" s="335">
        <f t="shared" si="44"/>
        <v>0.39999999999999969</v>
      </c>
      <c r="ES14" s="335">
        <f t="shared" si="44"/>
        <v>0.39999999999999991</v>
      </c>
      <c r="ET14" s="335">
        <f t="shared" si="44"/>
        <v>0.39999999999999991</v>
      </c>
      <c r="EU14" s="335">
        <f t="shared" si="44"/>
        <v>0.39999999999999991</v>
      </c>
      <c r="EV14" s="335">
        <f t="shared" si="44"/>
        <v>0.39999999999999969</v>
      </c>
      <c r="EW14" s="335">
        <f t="shared" si="44"/>
        <v>0.40000000000000036</v>
      </c>
      <c r="EX14" s="335">
        <f t="shared" si="44"/>
        <v>0.39999999999999991</v>
      </c>
      <c r="EY14" s="335">
        <f t="shared" si="44"/>
        <v>0.39999999999999991</v>
      </c>
      <c r="EZ14" s="335">
        <f t="shared" si="44"/>
        <v>0.39999999999999991</v>
      </c>
      <c r="FA14" s="335">
        <f t="shared" si="44"/>
        <v>0.40000000000000013</v>
      </c>
      <c r="FB14" s="335">
        <f t="shared" si="44"/>
        <v>0.40000000000000013</v>
      </c>
    </row>
    <row r="15" spans="3:158" x14ac:dyDescent="0.25">
      <c r="C15" s="377" t="s">
        <v>665</v>
      </c>
      <c r="D15" s="379"/>
      <c r="E15" s="19">
        <f t="shared" ref="E15:G15" si="45">E10/D10-1</f>
        <v>0.42774291046849733</v>
      </c>
      <c r="F15" s="19">
        <f t="shared" si="45"/>
        <v>0.15866952261977074</v>
      </c>
      <c r="G15" s="19">
        <f t="shared" si="45"/>
        <v>0.97141657581564256</v>
      </c>
      <c r="H15" s="19">
        <f t="shared" ref="H15:L15" si="46">H10/G10-1</f>
        <v>0.29657093240168164</v>
      </c>
      <c r="I15" s="19">
        <f t="shared" si="46"/>
        <v>0.38873429207954402</v>
      </c>
      <c r="J15" s="19">
        <f t="shared" si="46"/>
        <v>0.3599285751075143</v>
      </c>
      <c r="K15" s="19">
        <f t="shared" si="46"/>
        <v>0.33061873408561637</v>
      </c>
      <c r="L15" s="19">
        <f t="shared" si="46"/>
        <v>0.30069749591272754</v>
      </c>
      <c r="N15" s="379"/>
      <c r="O15" s="379"/>
      <c r="P15" s="379"/>
      <c r="Q15" s="379"/>
      <c r="R15" s="19">
        <f t="shared" ref="R15:R17" si="47">R10/N10-1</f>
        <v>0.58979113921921789</v>
      </c>
      <c r="S15" s="19">
        <f t="shared" si="42"/>
        <v>0.82312263648755435</v>
      </c>
      <c r="T15" s="19">
        <f t="shared" si="42"/>
        <v>0.32381955246640559</v>
      </c>
      <c r="U15" s="19">
        <f t="shared" si="42"/>
        <v>0.19857429792090597</v>
      </c>
      <c r="V15" s="19">
        <f t="shared" si="42"/>
        <v>-3.2250407375860934E-2</v>
      </c>
      <c r="W15" s="19">
        <f t="shared" si="42"/>
        <v>7.4890617518441616E-2</v>
      </c>
      <c r="X15" s="19">
        <f t="shared" si="42"/>
        <v>0.33956386520626669</v>
      </c>
      <c r="Y15" s="19">
        <f t="shared" si="42"/>
        <v>0.22506834426454736</v>
      </c>
      <c r="Z15" s="19">
        <f t="shared" si="42"/>
        <v>0.64738420285203602</v>
      </c>
      <c r="AA15" s="19">
        <f t="shared" si="42"/>
        <v>0.7430156707801514</v>
      </c>
      <c r="AB15" s="19">
        <f t="shared" si="42"/>
        <v>1.1465031386699063</v>
      </c>
      <c r="AC15" s="19">
        <f t="shared" si="42"/>
        <v>1.1690484278949467</v>
      </c>
      <c r="AD15" s="19">
        <f t="shared" si="42"/>
        <v>0.62996495660669605</v>
      </c>
      <c r="AE15" s="19">
        <f t="shared" si="42"/>
        <v>0.41385297925988462</v>
      </c>
      <c r="AF15" s="19">
        <f t="shared" si="42"/>
        <v>9.3360332671715396E-2</v>
      </c>
      <c r="AG15" s="19">
        <f t="shared" si="42"/>
        <v>0.25222991957206697</v>
      </c>
      <c r="AH15" s="19">
        <f t="shared" si="42"/>
        <v>0.43110864950740568</v>
      </c>
      <c r="AI15" s="19">
        <f t="shared" si="42"/>
        <v>0.45950830482514382</v>
      </c>
      <c r="AJ15" s="19">
        <f t="shared" si="42"/>
        <v>0.3887342920795438</v>
      </c>
      <c r="AK15" s="19">
        <f t="shared" si="42"/>
        <v>0.32074714697122242</v>
      </c>
      <c r="AL15" s="19">
        <f t="shared" si="42"/>
        <v>0.3599285751075143</v>
      </c>
      <c r="AM15" s="19">
        <f t="shared" si="42"/>
        <v>0.35992857510751475</v>
      </c>
      <c r="AN15" s="19">
        <f t="shared" si="42"/>
        <v>0.35992857510751453</v>
      </c>
      <c r="AO15" s="19">
        <f t="shared" si="42"/>
        <v>0.35992857510751408</v>
      </c>
      <c r="AP15" s="19">
        <f t="shared" si="42"/>
        <v>0.33061873408561615</v>
      </c>
      <c r="AQ15" s="19">
        <f t="shared" si="42"/>
        <v>0.33061873408561615</v>
      </c>
      <c r="AR15" s="19">
        <f t="shared" si="42"/>
        <v>0.33061873408561593</v>
      </c>
      <c r="AS15" s="19">
        <f t="shared" si="42"/>
        <v>0.33061873408561615</v>
      </c>
      <c r="AT15" s="19">
        <f t="shared" si="42"/>
        <v>0.30069749591272754</v>
      </c>
      <c r="AU15" s="19">
        <f t="shared" si="42"/>
        <v>0.30069749591272776</v>
      </c>
      <c r="AV15" s="19">
        <f t="shared" si="42"/>
        <v>0.30069749591272799</v>
      </c>
      <c r="AW15" s="19">
        <f t="shared" si="42"/>
        <v>0.30069749591272799</v>
      </c>
      <c r="AY15" s="379"/>
      <c r="AZ15" s="379"/>
      <c r="BA15" s="379"/>
      <c r="BB15" s="379"/>
      <c r="BC15" s="379"/>
      <c r="BD15" s="379"/>
      <c r="BE15" s="379"/>
      <c r="BF15" s="379"/>
      <c r="BG15" s="379"/>
      <c r="BH15" s="379"/>
      <c r="BI15" s="379"/>
      <c r="BJ15" s="379"/>
      <c r="BK15" s="19">
        <f t="shared" ref="BK15:BK17" si="48">IFERROR(BK10/AY10-1,"")</f>
        <v>1.7821962166463456</v>
      </c>
      <c r="BL15" s="19">
        <f t="shared" si="43"/>
        <v>0.2845238054147321</v>
      </c>
      <c r="BM15" s="19">
        <f t="shared" si="43"/>
        <v>0.59529395966112997</v>
      </c>
      <c r="BN15" s="19">
        <f t="shared" si="43"/>
        <v>0.80612563345088684</v>
      </c>
      <c r="BO15" s="19">
        <f t="shared" si="43"/>
        <v>0.91413868124020881</v>
      </c>
      <c r="BP15" s="19">
        <f t="shared" si="43"/>
        <v>0.74060968874855804</v>
      </c>
      <c r="BQ15" s="19">
        <f t="shared" si="43"/>
        <v>0.49239487436808349</v>
      </c>
      <c r="BR15" s="19">
        <f t="shared" si="43"/>
        <v>0.15639967185919423</v>
      </c>
      <c r="BS15" s="19">
        <f t="shared" si="43"/>
        <v>0.34955155270094274</v>
      </c>
      <c r="BT15" s="19">
        <f t="shared" si="43"/>
        <v>-0.3300126490706885</v>
      </c>
      <c r="BU15" s="19">
        <f t="shared" si="43"/>
        <v>2.2635062826507735E-2</v>
      </c>
      <c r="BV15" s="19">
        <f t="shared" si="43"/>
        <v>0.62999551357551864</v>
      </c>
      <c r="BW15" s="19">
        <f t="shared" si="43"/>
        <v>0.60130778453896161</v>
      </c>
      <c r="BX15" s="19">
        <f t="shared" si="43"/>
        <v>0.20198992887670131</v>
      </c>
      <c r="BY15" s="19">
        <f t="shared" si="43"/>
        <v>-0.26900746406460152</v>
      </c>
      <c r="BZ15" s="19">
        <f t="shared" si="43"/>
        <v>0.50183485259609828</v>
      </c>
      <c r="CA15" s="19">
        <f t="shared" si="43"/>
        <v>-0.41313847799268033</v>
      </c>
      <c r="CB15" s="19">
        <f t="shared" si="43"/>
        <v>0.43322009454322141</v>
      </c>
      <c r="CC15" s="19">
        <f t="shared" si="43"/>
        <v>-0.13899897972457143</v>
      </c>
      <c r="CD15" s="19">
        <f t="shared" si="43"/>
        <v>1.4808991681650729</v>
      </c>
      <c r="CE15" s="19">
        <f t="shared" si="43"/>
        <v>4.3589316418428448E-2</v>
      </c>
      <c r="CF15" s="19">
        <f t="shared" si="43"/>
        <v>0.82525205187006501</v>
      </c>
      <c r="CG15" s="19">
        <f t="shared" si="43"/>
        <v>0.19156903559076088</v>
      </c>
      <c r="CH15" s="19">
        <f t="shared" si="43"/>
        <v>0.14307259180636445</v>
      </c>
      <c r="CI15" s="19">
        <f t="shared" si="43"/>
        <v>0.25079491814006105</v>
      </c>
      <c r="CJ15" s="19">
        <f t="shared" si="43"/>
        <v>0.25776538258026149</v>
      </c>
      <c r="CK15" s="19">
        <f t="shared" si="43"/>
        <v>1.1039868112311511</v>
      </c>
      <c r="CL15" s="19">
        <f t="shared" si="43"/>
        <v>0.49199847478583258</v>
      </c>
      <c r="CM15" s="19">
        <f t="shared" si="43"/>
        <v>1.0139669891855823</v>
      </c>
      <c r="CN15" s="19">
        <f t="shared" si="43"/>
        <v>0.72597085059036792</v>
      </c>
      <c r="CO15" s="19">
        <f t="shared" si="43"/>
        <v>1.2875973082189778</v>
      </c>
      <c r="CP15" s="19">
        <f t="shared" si="43"/>
        <v>0.75947712044775106</v>
      </c>
      <c r="CQ15" s="19">
        <f t="shared" si="43"/>
        <v>1.4803540055570221</v>
      </c>
      <c r="CR15" s="19">
        <f t="shared" si="43"/>
        <v>0.24051146266486567</v>
      </c>
      <c r="CS15" s="19">
        <f t="shared" si="43"/>
        <v>1.3841235114853072</v>
      </c>
      <c r="CT15" s="19">
        <f t="shared" si="43"/>
        <v>1.2689096267569564</v>
      </c>
      <c r="CU15" s="19">
        <f t="shared" si="43"/>
        <v>0.26815635525332637</v>
      </c>
      <c r="CV15" s="19">
        <f t="shared" si="43"/>
        <v>0.97553604187455378</v>
      </c>
      <c r="CW15" s="19">
        <f t="shared" si="43"/>
        <v>0.59378139060991986</v>
      </c>
      <c r="CX15" s="19">
        <f t="shared" si="43"/>
        <v>0.30091892740288184</v>
      </c>
      <c r="CY15" s="19">
        <f t="shared" si="43"/>
        <v>0.74845664283005986</v>
      </c>
      <c r="CZ15" s="19">
        <f t="shared" si="43"/>
        <v>0.28189038906249198</v>
      </c>
      <c r="DA15" s="19">
        <f t="shared" si="43"/>
        <v>0.34327009336122094</v>
      </c>
      <c r="DB15" s="19">
        <f t="shared" si="43"/>
        <v>-6.2365905111939068E-2</v>
      </c>
      <c r="DC15" s="19">
        <f t="shared" si="43"/>
        <v>0.13315443594991239</v>
      </c>
      <c r="DD15" s="19">
        <f t="shared" si="43"/>
        <v>1.3457953076758948</v>
      </c>
      <c r="DE15" s="19">
        <f t="shared" si="43"/>
        <v>0.21674752290284527</v>
      </c>
      <c r="DF15" s="19">
        <f t="shared" si="43"/>
        <v>0.11132631807518378</v>
      </c>
      <c r="DG15" s="19">
        <f t="shared" si="43"/>
        <v>0.49558638399944344</v>
      </c>
      <c r="DH15" s="19">
        <f t="shared" si="43"/>
        <v>0.43735232261693424</v>
      </c>
      <c r="DI15" s="19">
        <f t="shared" si="43"/>
        <v>0.41320193620703072</v>
      </c>
      <c r="DJ15" s="19">
        <f t="shared" si="43"/>
        <v>0.52472018428543388</v>
      </c>
      <c r="DK15" s="19">
        <f t="shared" si="43"/>
        <v>0.45806653412123555</v>
      </c>
      <c r="DL15" s="19">
        <f t="shared" si="43"/>
        <v>0.4372510565866492</v>
      </c>
      <c r="DM15" s="19">
        <f t="shared" si="43"/>
        <v>0.38873429207954424</v>
      </c>
      <c r="DN15" s="19">
        <f t="shared" si="43"/>
        <v>0.38873429207954402</v>
      </c>
      <c r="DO15" s="19">
        <f t="shared" si="43"/>
        <v>0.3887342920795438</v>
      </c>
      <c r="DP15" s="19">
        <f t="shared" si="43"/>
        <v>0.23619947821035403</v>
      </c>
      <c r="DQ15" s="19">
        <f t="shared" si="43"/>
        <v>0.3315500828747715</v>
      </c>
      <c r="DR15" s="19">
        <f t="shared" si="43"/>
        <v>0.33894034747821911</v>
      </c>
      <c r="DS15" s="19">
        <f t="shared" si="43"/>
        <v>0.35992857510751475</v>
      </c>
      <c r="DT15" s="19">
        <f t="shared" si="43"/>
        <v>0.35992857510751475</v>
      </c>
      <c r="DU15" s="19">
        <f t="shared" si="43"/>
        <v>0.35992857510751453</v>
      </c>
      <c r="DV15" s="19">
        <f t="shared" si="43"/>
        <v>0.35992857510751497</v>
      </c>
      <c r="DW15" s="19">
        <f t="shared" si="43"/>
        <v>0.35992857510751453</v>
      </c>
      <c r="DX15" s="19">
        <f t="shared" si="44"/>
        <v>0.35992857510751453</v>
      </c>
      <c r="DY15" s="19">
        <f t="shared" si="44"/>
        <v>0.3599285751075143</v>
      </c>
      <c r="DZ15" s="19">
        <f t="shared" si="44"/>
        <v>0.35992857510751408</v>
      </c>
      <c r="EA15" s="19">
        <f t="shared" si="44"/>
        <v>0.35992857510751475</v>
      </c>
      <c r="EB15" s="19">
        <f t="shared" si="44"/>
        <v>0.35992857510751453</v>
      </c>
      <c r="EC15" s="19">
        <f t="shared" si="44"/>
        <v>0.3599285751075143</v>
      </c>
      <c r="ED15" s="19">
        <f t="shared" si="44"/>
        <v>0.3599285751075143</v>
      </c>
      <c r="EE15" s="19">
        <f t="shared" si="44"/>
        <v>0.33061873408561615</v>
      </c>
      <c r="EF15" s="19">
        <f t="shared" si="44"/>
        <v>0.33061873408561615</v>
      </c>
      <c r="EG15" s="19">
        <f t="shared" si="44"/>
        <v>0.33061873408561615</v>
      </c>
      <c r="EH15" s="19">
        <f t="shared" si="44"/>
        <v>0.33061873408561593</v>
      </c>
      <c r="EI15" s="19">
        <f t="shared" si="44"/>
        <v>0.33061873408561615</v>
      </c>
      <c r="EJ15" s="19">
        <f t="shared" si="44"/>
        <v>0.33061873408561615</v>
      </c>
      <c r="EK15" s="19">
        <f t="shared" si="44"/>
        <v>0.33061873408561615</v>
      </c>
      <c r="EL15" s="19">
        <f t="shared" si="44"/>
        <v>0.33061873408561637</v>
      </c>
      <c r="EM15" s="19">
        <f t="shared" si="44"/>
        <v>0.33061873408561593</v>
      </c>
      <c r="EN15" s="19">
        <f t="shared" si="44"/>
        <v>0.33061873408561593</v>
      </c>
      <c r="EO15" s="19">
        <f t="shared" si="44"/>
        <v>0.33061873408561593</v>
      </c>
      <c r="EP15" s="19">
        <f t="shared" si="44"/>
        <v>0.33061873408561615</v>
      </c>
      <c r="EQ15" s="19">
        <f t="shared" si="44"/>
        <v>0.30069749591272776</v>
      </c>
      <c r="ER15" s="19">
        <f t="shared" si="44"/>
        <v>0.30069749591272754</v>
      </c>
      <c r="ES15" s="19">
        <f t="shared" si="44"/>
        <v>0.30069749591272776</v>
      </c>
      <c r="ET15" s="19">
        <f t="shared" si="44"/>
        <v>0.30069749591272776</v>
      </c>
      <c r="EU15" s="19">
        <f t="shared" si="44"/>
        <v>0.30069749591272799</v>
      </c>
      <c r="EV15" s="19">
        <f t="shared" si="44"/>
        <v>0.30069749591272754</v>
      </c>
      <c r="EW15" s="19">
        <f t="shared" si="44"/>
        <v>0.30069749591272821</v>
      </c>
      <c r="EX15" s="19">
        <f t="shared" si="44"/>
        <v>0.30069749591272754</v>
      </c>
      <c r="EY15" s="19">
        <f t="shared" si="44"/>
        <v>0.30069749591272799</v>
      </c>
      <c r="EZ15" s="19">
        <f t="shared" si="44"/>
        <v>0.30069749591272776</v>
      </c>
      <c r="FA15" s="19">
        <f t="shared" si="44"/>
        <v>0.30069749591272776</v>
      </c>
      <c r="FB15" s="19">
        <f t="shared" si="44"/>
        <v>0.30069749591272799</v>
      </c>
    </row>
    <row r="16" spans="3:158" x14ac:dyDescent="0.25">
      <c r="C16" s="377" t="s">
        <v>314</v>
      </c>
      <c r="D16" s="379"/>
      <c r="E16" s="19">
        <f t="shared" ref="E16:G16" si="49">E11/D11-1</f>
        <v>1.1459797940812977</v>
      </c>
      <c r="F16" s="19">
        <f t="shared" si="49"/>
        <v>0.22167357136270915</v>
      </c>
      <c r="G16" s="19">
        <f t="shared" si="49"/>
        <v>0.96879960648743757</v>
      </c>
      <c r="H16" s="19">
        <f t="shared" ref="H16:L16" si="50">H11/G11-1</f>
        <v>0.79589087060494457</v>
      </c>
      <c r="I16" s="19">
        <f t="shared" si="50"/>
        <v>0.82591230509329527</v>
      </c>
      <c r="J16" s="19">
        <f t="shared" si="50"/>
        <v>0.72866773281824138</v>
      </c>
      <c r="K16" s="19">
        <f t="shared" si="50"/>
        <v>0.65471535346390808</v>
      </c>
      <c r="L16" s="19">
        <f t="shared" si="50"/>
        <v>0.59435457232946076</v>
      </c>
      <c r="N16" s="379"/>
      <c r="O16" s="379"/>
      <c r="P16" s="379"/>
      <c r="Q16" s="379"/>
      <c r="R16" s="19">
        <f t="shared" si="47"/>
        <v>2.0089392940587762</v>
      </c>
      <c r="S16" s="19">
        <f t="shared" si="42"/>
        <v>0.59189844624065246</v>
      </c>
      <c r="T16" s="19">
        <f t="shared" si="42"/>
        <v>12.086035849356961</v>
      </c>
      <c r="U16" s="19">
        <f t="shared" si="42"/>
        <v>0.41043575071572902</v>
      </c>
      <c r="V16" s="19">
        <f t="shared" si="42"/>
        <v>-0.5463335397479101</v>
      </c>
      <c r="W16" s="19">
        <f t="shared" si="42"/>
        <v>0.14012458822491247</v>
      </c>
      <c r="X16" s="19">
        <f t="shared" si="42"/>
        <v>0.45355569371979754</v>
      </c>
      <c r="Y16" s="19">
        <f t="shared" si="42"/>
        <v>1.1141064070569686</v>
      </c>
      <c r="Z16" s="19">
        <f t="shared" si="42"/>
        <v>2.0363048923978773</v>
      </c>
      <c r="AA16" s="19">
        <f t="shared" si="42"/>
        <v>0.87710773643304196</v>
      </c>
      <c r="AB16" s="19">
        <f t="shared" si="42"/>
        <v>1.1868164704631874</v>
      </c>
      <c r="AC16" s="19">
        <f t="shared" si="42"/>
        <v>0.63277580929130584</v>
      </c>
      <c r="AD16" s="19">
        <f t="shared" si="42"/>
        <v>1.0655815736535494</v>
      </c>
      <c r="AE16" s="19">
        <f t="shared" si="42"/>
        <v>0.41760125373377188</v>
      </c>
      <c r="AF16" s="19">
        <f t="shared" si="42"/>
        <v>0.73947903492592393</v>
      </c>
      <c r="AG16" s="19">
        <f t="shared" si="42"/>
        <v>1.0712871514644928</v>
      </c>
      <c r="AH16" s="19">
        <f t="shared" si="42"/>
        <v>0.88162624626205166</v>
      </c>
      <c r="AI16" s="19">
        <f t="shared" si="42"/>
        <v>0.91896620423732167</v>
      </c>
      <c r="AJ16" s="19">
        <f t="shared" si="42"/>
        <v>0.82591230509329505</v>
      </c>
      <c r="AK16" s="19">
        <f t="shared" si="42"/>
        <v>0.736522588464668</v>
      </c>
      <c r="AL16" s="19">
        <f t="shared" si="42"/>
        <v>0.72866773281824115</v>
      </c>
      <c r="AM16" s="19">
        <f t="shared" si="42"/>
        <v>0.72866773281824182</v>
      </c>
      <c r="AN16" s="19">
        <f t="shared" si="42"/>
        <v>0.72866773281824138</v>
      </c>
      <c r="AO16" s="19">
        <f t="shared" si="42"/>
        <v>0.72866773281824138</v>
      </c>
      <c r="AP16" s="19">
        <f t="shared" si="42"/>
        <v>0.65471535346390808</v>
      </c>
      <c r="AQ16" s="19">
        <f t="shared" si="42"/>
        <v>0.65471535346390763</v>
      </c>
      <c r="AR16" s="19">
        <f t="shared" si="42"/>
        <v>0.65471535346390786</v>
      </c>
      <c r="AS16" s="19">
        <f t="shared" si="42"/>
        <v>0.65471535346390763</v>
      </c>
      <c r="AT16" s="19">
        <f t="shared" si="42"/>
        <v>0.59435457232946076</v>
      </c>
      <c r="AU16" s="19">
        <f t="shared" si="42"/>
        <v>0.59435457232946054</v>
      </c>
      <c r="AV16" s="19">
        <f t="shared" si="42"/>
        <v>0.59435457232946098</v>
      </c>
      <c r="AW16" s="19">
        <f t="shared" si="42"/>
        <v>0.59435457232946121</v>
      </c>
      <c r="AY16" s="379"/>
      <c r="AZ16" s="379"/>
      <c r="BA16" s="379"/>
      <c r="BB16" s="379"/>
      <c r="BC16" s="379"/>
      <c r="BD16" s="379"/>
      <c r="BE16" s="379"/>
      <c r="BF16" s="379"/>
      <c r="BG16" s="379"/>
      <c r="BH16" s="379"/>
      <c r="BI16" s="379"/>
      <c r="BJ16" s="379"/>
      <c r="BK16" s="19" t="str">
        <f t="shared" si="48"/>
        <v/>
      </c>
      <c r="BL16" s="19">
        <f t="shared" si="43"/>
        <v>0.86039097231622708</v>
      </c>
      <c r="BM16" s="19">
        <f t="shared" si="43"/>
        <v>1.7958465039965619</v>
      </c>
      <c r="BN16" s="19">
        <f t="shared" si="43"/>
        <v>0.84283310530728861</v>
      </c>
      <c r="BO16" s="19">
        <f t="shared" si="43"/>
        <v>106.66803789693171</v>
      </c>
      <c r="BP16" s="19">
        <f t="shared" si="43"/>
        <v>-3.3016428053153968E-2</v>
      </c>
      <c r="BQ16" s="19">
        <f t="shared" si="43"/>
        <v>5.1060905005892412</v>
      </c>
      <c r="BR16" s="19">
        <f t="shared" si="43"/>
        <v>-1</v>
      </c>
      <c r="BS16" s="19">
        <f t="shared" si="43"/>
        <v>22.620072467876913</v>
      </c>
      <c r="BT16" s="19">
        <f t="shared" si="43"/>
        <v>-0.33193191031754621</v>
      </c>
      <c r="BU16" s="19">
        <f t="shared" si="43"/>
        <v>1.5332702104675771</v>
      </c>
      <c r="BV16" s="19">
        <f t="shared" si="43"/>
        <v>0.11016457876548569</v>
      </c>
      <c r="BW16" s="19">
        <f t="shared" si="43"/>
        <v>-1</v>
      </c>
      <c r="BX16" s="19">
        <f t="shared" si="43"/>
        <v>-0.18762564828066763</v>
      </c>
      <c r="BY16" s="19">
        <f t="shared" si="43"/>
        <v>-0.53678290636509185</v>
      </c>
      <c r="BZ16" s="19">
        <f t="shared" si="43"/>
        <v>-0.26073823091237425</v>
      </c>
      <c r="CA16" s="19">
        <f t="shared" si="43"/>
        <v>-0.30359948384159019</v>
      </c>
      <c r="CB16" s="19">
        <f t="shared" si="43"/>
        <v>0.56441544085639794</v>
      </c>
      <c r="CC16" s="19">
        <f t="shared" si="43"/>
        <v>6.3097689984814798E-2</v>
      </c>
      <c r="CD16" s="19" t="str">
        <f t="shared" si="43"/>
        <v/>
      </c>
      <c r="CE16" s="19">
        <f t="shared" si="43"/>
        <v>0.26119474793303255</v>
      </c>
      <c r="CF16" s="19">
        <f t="shared" si="43"/>
        <v>3.2466078055415037</v>
      </c>
      <c r="CG16" s="19">
        <f t="shared" si="43"/>
        <v>0.1661929445055188</v>
      </c>
      <c r="CH16" s="19">
        <f t="shared" si="43"/>
        <v>1.7695865077955366</v>
      </c>
      <c r="CI16" s="19" t="str">
        <f t="shared" si="43"/>
        <v/>
      </c>
      <c r="CJ16" s="19">
        <f t="shared" si="43"/>
        <v>1.9225698969156109</v>
      </c>
      <c r="CK16" s="19">
        <f t="shared" si="43"/>
        <v>1.5966302893642226</v>
      </c>
      <c r="CL16" s="19">
        <f t="shared" si="43"/>
        <v>1.3304183687413889</v>
      </c>
      <c r="CM16" s="19">
        <f t="shared" si="43"/>
        <v>3.6835238726510671</v>
      </c>
      <c r="CN16" s="19">
        <f t="shared" si="43"/>
        <v>4.134116154739842E-2</v>
      </c>
      <c r="CO16" s="19">
        <f t="shared" si="43"/>
        <v>4.2663177172876425</v>
      </c>
      <c r="CP16" s="19">
        <f t="shared" si="43"/>
        <v>3.7126131121539006</v>
      </c>
      <c r="CQ16" s="19">
        <f t="shared" si="43"/>
        <v>9.0081304400744688E-2</v>
      </c>
      <c r="CR16" s="19">
        <f t="shared" si="43"/>
        <v>1.3249042614668376</v>
      </c>
      <c r="CS16" s="19">
        <f t="shared" si="43"/>
        <v>0.81393545348723051</v>
      </c>
      <c r="CT16" s="19">
        <f t="shared" si="43"/>
        <v>0.19074047762475144</v>
      </c>
      <c r="CU16" s="19">
        <f t="shared" si="43"/>
        <v>1.5674636425436161</v>
      </c>
      <c r="CV16" s="19">
        <f t="shared" si="43"/>
        <v>0.74034522604940034</v>
      </c>
      <c r="CW16" s="19">
        <f t="shared" si="43"/>
        <v>1.1726685704661883</v>
      </c>
      <c r="CX16" s="19">
        <f t="shared" si="43"/>
        <v>0.55257781887312341</v>
      </c>
      <c r="CY16" s="19">
        <f t="shared" si="43"/>
        <v>4.8906735052490991E-2</v>
      </c>
      <c r="CZ16" s="19">
        <f t="shared" si="43"/>
        <v>0.80575837174677822</v>
      </c>
      <c r="DA16" s="19">
        <f t="shared" si="43"/>
        <v>-4.0893525657743401E-2</v>
      </c>
      <c r="DB16" s="19">
        <f t="shared" si="43"/>
        <v>0.55843908087515848</v>
      </c>
      <c r="DC16" s="19">
        <f t="shared" si="43"/>
        <v>1.5792876892396097</v>
      </c>
      <c r="DD16" s="19">
        <f t="shared" si="43"/>
        <v>-7.3997426914384712E-2</v>
      </c>
      <c r="DE16" s="19">
        <f t="shared" si="43"/>
        <v>1.5966600536546718</v>
      </c>
      <c r="DF16" s="19">
        <f t="shared" si="43"/>
        <v>1.6815138150719506</v>
      </c>
      <c r="DG16" s="19">
        <f t="shared" si="43"/>
        <v>0.96640177854710507</v>
      </c>
      <c r="DH16" s="19">
        <f t="shared" si="43"/>
        <v>0.88983544770878553</v>
      </c>
      <c r="DI16" s="19">
        <f t="shared" si="43"/>
        <v>0.85808244213378182</v>
      </c>
      <c r="DJ16" s="19">
        <f t="shared" si="43"/>
        <v>1.0047069926832544</v>
      </c>
      <c r="DK16" s="19">
        <f t="shared" si="43"/>
        <v>0.91707055948770799</v>
      </c>
      <c r="DL16" s="19">
        <f t="shared" si="43"/>
        <v>0.8897023028071005</v>
      </c>
      <c r="DM16" s="19">
        <f t="shared" si="43"/>
        <v>0.82591230509329572</v>
      </c>
      <c r="DN16" s="19">
        <f t="shared" si="43"/>
        <v>0.82591230509329527</v>
      </c>
      <c r="DO16" s="19">
        <f t="shared" si="43"/>
        <v>0.82591230509329505</v>
      </c>
      <c r="DP16" s="19">
        <f t="shared" si="43"/>
        <v>0.62535904217803306</v>
      </c>
      <c r="DQ16" s="19">
        <f t="shared" si="43"/>
        <v>0.7507263232683119</v>
      </c>
      <c r="DR16" s="19">
        <f t="shared" si="43"/>
        <v>0.7604430668918345</v>
      </c>
      <c r="DS16" s="19">
        <f t="shared" si="43"/>
        <v>0.72866773281824182</v>
      </c>
      <c r="DT16" s="19">
        <f t="shared" si="43"/>
        <v>0.7286677328182416</v>
      </c>
      <c r="DU16" s="19">
        <f t="shared" si="43"/>
        <v>0.72866773281824115</v>
      </c>
      <c r="DV16" s="19">
        <f t="shared" si="43"/>
        <v>0.72866773281824204</v>
      </c>
      <c r="DW16" s="19">
        <f t="shared" si="43"/>
        <v>0.7286677328182416</v>
      </c>
      <c r="DX16" s="19">
        <f t="shared" si="44"/>
        <v>0.7286677328182416</v>
      </c>
      <c r="DY16" s="19">
        <f t="shared" si="44"/>
        <v>0.72866773281824138</v>
      </c>
      <c r="DZ16" s="19">
        <f t="shared" si="44"/>
        <v>0.72866773281824115</v>
      </c>
      <c r="EA16" s="19">
        <f t="shared" si="44"/>
        <v>0.72866773281824182</v>
      </c>
      <c r="EB16" s="19">
        <f t="shared" si="44"/>
        <v>0.72866773281824182</v>
      </c>
      <c r="EC16" s="19">
        <f t="shared" si="44"/>
        <v>0.7286677328182416</v>
      </c>
      <c r="ED16" s="19">
        <f t="shared" si="44"/>
        <v>0.72866773281824115</v>
      </c>
      <c r="EE16" s="19">
        <f t="shared" si="44"/>
        <v>0.65471535346390763</v>
      </c>
      <c r="EF16" s="19">
        <f t="shared" si="44"/>
        <v>0.65471535346390786</v>
      </c>
      <c r="EG16" s="19">
        <f t="shared" si="44"/>
        <v>0.65471535346390808</v>
      </c>
      <c r="EH16" s="19">
        <f t="shared" si="44"/>
        <v>0.65471535346390763</v>
      </c>
      <c r="EI16" s="19">
        <f t="shared" si="44"/>
        <v>0.65471535346390741</v>
      </c>
      <c r="EJ16" s="19">
        <f t="shared" si="44"/>
        <v>0.65471535346390786</v>
      </c>
      <c r="EK16" s="19">
        <f t="shared" si="44"/>
        <v>0.65471535346390763</v>
      </c>
      <c r="EL16" s="19">
        <f t="shared" si="44"/>
        <v>0.65471535346390808</v>
      </c>
      <c r="EM16" s="19">
        <f t="shared" si="44"/>
        <v>0.65471535346390763</v>
      </c>
      <c r="EN16" s="19">
        <f t="shared" si="44"/>
        <v>0.65471535346390719</v>
      </c>
      <c r="EO16" s="19">
        <f t="shared" si="44"/>
        <v>0.65471535346390741</v>
      </c>
      <c r="EP16" s="19">
        <f t="shared" si="44"/>
        <v>0.65471535346390786</v>
      </c>
      <c r="EQ16" s="19">
        <f t="shared" si="44"/>
        <v>0.59435457232946076</v>
      </c>
      <c r="ER16" s="19">
        <f t="shared" si="44"/>
        <v>0.59435457232946054</v>
      </c>
      <c r="ES16" s="19">
        <f t="shared" si="44"/>
        <v>0.59435457232946098</v>
      </c>
      <c r="ET16" s="19">
        <f t="shared" si="44"/>
        <v>0.59435457232946076</v>
      </c>
      <c r="EU16" s="19">
        <f t="shared" si="44"/>
        <v>0.59435457232946098</v>
      </c>
      <c r="EV16" s="19">
        <f t="shared" si="44"/>
        <v>0.59435457232946076</v>
      </c>
      <c r="EW16" s="19">
        <f t="shared" si="44"/>
        <v>0.59435457232946143</v>
      </c>
      <c r="EX16" s="19">
        <f t="shared" si="44"/>
        <v>0.59435457232946098</v>
      </c>
      <c r="EY16" s="19">
        <f t="shared" si="44"/>
        <v>0.59435457232946098</v>
      </c>
      <c r="EZ16" s="19">
        <f t="shared" si="44"/>
        <v>0.59435457232946121</v>
      </c>
      <c r="FA16" s="19">
        <f t="shared" si="44"/>
        <v>0.59435457232946121</v>
      </c>
      <c r="FB16" s="19">
        <f t="shared" si="44"/>
        <v>0.59435457232946098</v>
      </c>
    </row>
    <row r="17" spans="3:158" x14ac:dyDescent="0.25">
      <c r="C17" s="377" t="s">
        <v>664</v>
      </c>
      <c r="D17" s="379"/>
      <c r="E17" s="19">
        <f t="shared" ref="E17:G17" si="51">E12/D12-1</f>
        <v>0.54155910965588672</v>
      </c>
      <c r="F17" s="19">
        <f t="shared" si="51"/>
        <v>0.35871311346528456</v>
      </c>
      <c r="G17" s="19">
        <f t="shared" si="51"/>
        <v>1.3487347088374455</v>
      </c>
      <c r="H17" s="19">
        <f t="shared" ref="H17:L17" si="52">H12/G12-1</f>
        <v>2.1314776612721471</v>
      </c>
      <c r="I17" s="19">
        <f t="shared" si="52"/>
        <v>1.3968750000000001</v>
      </c>
      <c r="J17" s="19">
        <f t="shared" si="52"/>
        <v>1.0076923076923072</v>
      </c>
      <c r="K17" s="19">
        <f t="shared" si="52"/>
        <v>0.82083333333333375</v>
      </c>
      <c r="L17" s="19">
        <f t="shared" si="52"/>
        <v>0.70434782608695579</v>
      </c>
      <c r="N17" s="379"/>
      <c r="O17" s="379"/>
      <c r="P17" s="379"/>
      <c r="Q17" s="379"/>
      <c r="R17" s="19">
        <f t="shared" si="47"/>
        <v>0.21494435034592829</v>
      </c>
      <c r="S17" s="19">
        <f t="shared" si="42"/>
        <v>0.67603691885162109</v>
      </c>
      <c r="T17" s="19">
        <f t="shared" si="42"/>
        <v>2.3707493894743248E-2</v>
      </c>
      <c r="U17" s="19">
        <f t="shared" si="42"/>
        <v>2.5149484617819109</v>
      </c>
      <c r="V17" s="19">
        <f t="shared" si="42"/>
        <v>0.64214235715939072</v>
      </c>
      <c r="W17" s="19">
        <f t="shared" si="42"/>
        <v>5.9226551029923913E-2</v>
      </c>
      <c r="X17" s="19">
        <f t="shared" si="42"/>
        <v>0.85751426804445341</v>
      </c>
      <c r="Y17" s="19">
        <f t="shared" si="42"/>
        <v>0.17364260790466224</v>
      </c>
      <c r="Z17" s="19">
        <f t="shared" si="42"/>
        <v>3.423284883505727</v>
      </c>
      <c r="AA17" s="19">
        <f t="shared" si="42"/>
        <v>0.34631442226533049</v>
      </c>
      <c r="AB17" s="19">
        <f t="shared" si="42"/>
        <v>-1.6213448049999246E-2</v>
      </c>
      <c r="AC17" s="19">
        <f t="shared" si="42"/>
        <v>4.7983135277436082</v>
      </c>
      <c r="AD17" s="19">
        <f t="shared" si="42"/>
        <v>2.899359719109174</v>
      </c>
      <c r="AE17" s="19">
        <f t="shared" si="42"/>
        <v>3.0863563312733975</v>
      </c>
      <c r="AF17" s="19">
        <f t="shared" si="42"/>
        <v>3.2974854963710314</v>
      </c>
      <c r="AG17" s="19">
        <f t="shared" si="42"/>
        <v>1.1897252997853291</v>
      </c>
      <c r="AH17" s="19">
        <f t="shared" si="42"/>
        <v>1.4700106880428274</v>
      </c>
      <c r="AI17" s="19">
        <f t="shared" si="42"/>
        <v>1.5190268491817398</v>
      </c>
      <c r="AJ17" s="19">
        <f t="shared" si="42"/>
        <v>1.3968750000000001</v>
      </c>
      <c r="AK17" s="19">
        <f t="shared" si="42"/>
        <v>1.2795331230398723</v>
      </c>
      <c r="AL17" s="19">
        <f t="shared" si="42"/>
        <v>1.0076923076923077</v>
      </c>
      <c r="AM17" s="19">
        <f t="shared" si="42"/>
        <v>1.0076923076923077</v>
      </c>
      <c r="AN17" s="19">
        <f t="shared" si="42"/>
        <v>1.0076923076923077</v>
      </c>
      <c r="AO17" s="19">
        <f t="shared" si="42"/>
        <v>1.0076923076923072</v>
      </c>
      <c r="AP17" s="19">
        <f t="shared" si="42"/>
        <v>0.82083333333333375</v>
      </c>
      <c r="AQ17" s="19">
        <f t="shared" si="42"/>
        <v>0.8208333333333333</v>
      </c>
      <c r="AR17" s="19">
        <f t="shared" si="42"/>
        <v>0.8208333333333333</v>
      </c>
      <c r="AS17" s="19">
        <f t="shared" si="42"/>
        <v>0.82083333333333353</v>
      </c>
      <c r="AT17" s="19">
        <f t="shared" si="42"/>
        <v>0.70434782608695623</v>
      </c>
      <c r="AU17" s="19">
        <f t="shared" si="42"/>
        <v>0.70434782608695645</v>
      </c>
      <c r="AV17" s="19">
        <f t="shared" si="42"/>
        <v>0.70434782608695645</v>
      </c>
      <c r="AW17" s="19">
        <f t="shared" si="42"/>
        <v>0.70434782608695645</v>
      </c>
      <c r="AY17" s="379"/>
      <c r="AZ17" s="379"/>
      <c r="BA17" s="379"/>
      <c r="BB17" s="379"/>
      <c r="BC17" s="379"/>
      <c r="BD17" s="379"/>
      <c r="BE17" s="379"/>
      <c r="BF17" s="379"/>
      <c r="BG17" s="379"/>
      <c r="BH17" s="379"/>
      <c r="BI17" s="379"/>
      <c r="BJ17" s="379"/>
      <c r="BK17" s="19" t="str">
        <f t="shared" si="48"/>
        <v/>
      </c>
      <c r="BL17" s="19">
        <f t="shared" si="43"/>
        <v>-0.69444432480778207</v>
      </c>
      <c r="BM17" s="19" t="str">
        <f t="shared" si="43"/>
        <v/>
      </c>
      <c r="BN17" s="19" t="str">
        <f t="shared" si="43"/>
        <v/>
      </c>
      <c r="BO17" s="19">
        <f t="shared" si="43"/>
        <v>-1</v>
      </c>
      <c r="BP17" s="19">
        <f t="shared" si="43"/>
        <v>-0.94992488506774331</v>
      </c>
      <c r="BQ17" s="19">
        <f t="shared" si="43"/>
        <v>0.90833320566452547</v>
      </c>
      <c r="BR17" s="19">
        <f t="shared" si="43"/>
        <v>6.2982300412900756</v>
      </c>
      <c r="BS17" s="19">
        <f t="shared" si="43"/>
        <v>-0.61643838224709691</v>
      </c>
      <c r="BT17" s="19">
        <f t="shared" si="43"/>
        <v>-0.91999989035278051</v>
      </c>
      <c r="BU17" s="19">
        <f t="shared" si="43"/>
        <v>2.8080009415682317</v>
      </c>
      <c r="BV17" s="19" t="str">
        <f t="shared" si="43"/>
        <v/>
      </c>
      <c r="BW17" s="19" t="str">
        <f t="shared" si="43"/>
        <v/>
      </c>
      <c r="BX17" s="19">
        <f t="shared" si="43"/>
        <v>4.5294544905815313</v>
      </c>
      <c r="BY17" s="19">
        <f t="shared" si="43"/>
        <v>-0.66399913774094577</v>
      </c>
      <c r="BZ17" s="19">
        <f t="shared" si="43"/>
        <v>-0.97016530053912076</v>
      </c>
      <c r="CA17" s="19" t="str">
        <f t="shared" si="43"/>
        <v/>
      </c>
      <c r="CB17" s="19">
        <f t="shared" si="43"/>
        <v>16.799993304328833</v>
      </c>
      <c r="CC17" s="19">
        <f t="shared" si="43"/>
        <v>-0.48036310699591989</v>
      </c>
      <c r="CD17" s="19">
        <f t="shared" si="43"/>
        <v>2.2329684539378039</v>
      </c>
      <c r="CE17" s="19">
        <f t="shared" si="43"/>
        <v>1.5888996758720948</v>
      </c>
      <c r="CF17" s="19">
        <f t="shared" si="43"/>
        <v>0.17596857233830843</v>
      </c>
      <c r="CG17" s="19">
        <f t="shared" si="43"/>
        <v>-0.83787992774516018</v>
      </c>
      <c r="CH17" s="19">
        <f t="shared" si="43"/>
        <v>3.1541973747338341</v>
      </c>
      <c r="CI17" s="19" t="str">
        <f t="shared" si="43"/>
        <v/>
      </c>
      <c r="CJ17" s="19">
        <f t="shared" si="43"/>
        <v>-1.3546905541888865E-2</v>
      </c>
      <c r="CK17" s="19">
        <f t="shared" si="43"/>
        <v>21.790743763813097</v>
      </c>
      <c r="CL17" s="19">
        <f t="shared" si="43"/>
        <v>2.7546299692513179</v>
      </c>
      <c r="CM17" s="19">
        <f t="shared" si="43"/>
        <v>0.28319324223079989</v>
      </c>
      <c r="CN17" s="19">
        <f t="shared" si="43"/>
        <v>0.27367998793760573</v>
      </c>
      <c r="CO17" s="19">
        <f t="shared" si="43"/>
        <v>0.44436669171918752</v>
      </c>
      <c r="CP17" s="19">
        <f t="shared" si="43"/>
        <v>-0.35472816715648248</v>
      </c>
      <c r="CQ17" s="19">
        <f t="shared" si="43"/>
        <v>0.28036321583017276</v>
      </c>
      <c r="CR17" s="19">
        <f t="shared" si="43"/>
        <v>182.58081631434649</v>
      </c>
      <c r="CS17" s="19">
        <f t="shared" si="43"/>
        <v>18.204187959896828</v>
      </c>
      <c r="CT17" s="19">
        <f t="shared" si="43"/>
        <v>1.8187937548593975</v>
      </c>
      <c r="CU17" s="19">
        <f t="shared" si="43"/>
        <v>22.394208570242771</v>
      </c>
      <c r="CV17" s="19">
        <f t="shared" si="43"/>
        <v>4.9984746556639319</v>
      </c>
      <c r="CW17" s="19">
        <f t="shared" si="43"/>
        <v>1.8526381451500784</v>
      </c>
      <c r="CX17" s="19">
        <f t="shared" si="43"/>
        <v>8.2875683706888434</v>
      </c>
      <c r="CY17" s="19">
        <f t="shared" si="43"/>
        <v>1.933345827708826</v>
      </c>
      <c r="CZ17" s="19">
        <f t="shared" si="43"/>
        <v>3.4189109538796476</v>
      </c>
      <c r="DA17" s="19">
        <f t="shared" si="43"/>
        <v>2.993803051607614</v>
      </c>
      <c r="DB17" s="19">
        <f t="shared" si="43"/>
        <v>2.9563035480886022</v>
      </c>
      <c r="DC17" s="19">
        <f t="shared" si="43"/>
        <v>3.6374151081013233</v>
      </c>
      <c r="DD17" s="19">
        <f t="shared" si="43"/>
        <v>0.42682813559046395</v>
      </c>
      <c r="DE17" s="19">
        <f t="shared" si="43"/>
        <v>1.5589156790321801</v>
      </c>
      <c r="DF17" s="19">
        <f t="shared" si="43"/>
        <v>1.3023380914400353</v>
      </c>
      <c r="DG17" s="19">
        <f t="shared" si="43"/>
        <v>1.581295525424629</v>
      </c>
      <c r="DH17" s="19">
        <f t="shared" si="43"/>
        <v>1.4807869064092594</v>
      </c>
      <c r="DI17" s="19">
        <f t="shared" si="43"/>
        <v>1.4391047374325305</v>
      </c>
      <c r="DJ17" s="19">
        <f t="shared" si="43"/>
        <v>1.6315787782821052</v>
      </c>
      <c r="DK17" s="19">
        <f t="shared" si="43"/>
        <v>1.5165384364049834</v>
      </c>
      <c r="DL17" s="19">
        <f t="shared" si="43"/>
        <v>1.4806121271028623</v>
      </c>
      <c r="DM17" s="19">
        <f t="shared" si="43"/>
        <v>1.396875000000001</v>
      </c>
      <c r="DN17" s="19">
        <f t="shared" si="43"/>
        <v>1.3968750000000001</v>
      </c>
      <c r="DO17" s="19">
        <f t="shared" si="43"/>
        <v>1.3968750000000001</v>
      </c>
      <c r="DP17" s="19">
        <f t="shared" si="43"/>
        <v>1.1336087408762046</v>
      </c>
      <c r="DQ17" s="19">
        <f t="shared" si="43"/>
        <v>1.2981783650717702</v>
      </c>
      <c r="DR17" s="19">
        <f t="shared" si="43"/>
        <v>1.3109335339852293</v>
      </c>
      <c r="DS17" s="19">
        <f t="shared" si="43"/>
        <v>1.0076923076923081</v>
      </c>
      <c r="DT17" s="19">
        <f t="shared" si="43"/>
        <v>1.0076923076923077</v>
      </c>
      <c r="DU17" s="19">
        <f t="shared" si="43"/>
        <v>1.0076923076923072</v>
      </c>
      <c r="DV17" s="19">
        <f t="shared" si="43"/>
        <v>1.0076923076923081</v>
      </c>
      <c r="DW17" s="19">
        <f t="shared" ref="DW17" si="53">IFERROR(DW12/DK12-1,"")</f>
        <v>1.0076923076923077</v>
      </c>
      <c r="DX17" s="19">
        <f t="shared" si="44"/>
        <v>1.0076923076923077</v>
      </c>
      <c r="DY17" s="19">
        <f t="shared" si="44"/>
        <v>1.0076923076923072</v>
      </c>
      <c r="DZ17" s="19">
        <f t="shared" si="44"/>
        <v>1.0076923076923072</v>
      </c>
      <c r="EA17" s="19">
        <f t="shared" si="44"/>
        <v>1.0076923076923081</v>
      </c>
      <c r="EB17" s="19">
        <f t="shared" si="44"/>
        <v>1.0076923076923072</v>
      </c>
      <c r="EC17" s="19">
        <f t="shared" si="44"/>
        <v>1.0076923076923072</v>
      </c>
      <c r="ED17" s="19">
        <f t="shared" si="44"/>
        <v>1.0076923076923072</v>
      </c>
      <c r="EE17" s="19">
        <f t="shared" si="44"/>
        <v>0.82083333333333308</v>
      </c>
      <c r="EF17" s="19">
        <f t="shared" si="44"/>
        <v>0.82083333333333375</v>
      </c>
      <c r="EG17" s="19">
        <f t="shared" si="44"/>
        <v>0.82083333333333353</v>
      </c>
      <c r="EH17" s="19">
        <f t="shared" si="44"/>
        <v>0.82083333333333308</v>
      </c>
      <c r="EI17" s="19">
        <f t="shared" si="44"/>
        <v>0.8208333333333333</v>
      </c>
      <c r="EJ17" s="19">
        <f t="shared" si="44"/>
        <v>0.82083333333333353</v>
      </c>
      <c r="EK17" s="19">
        <f t="shared" si="44"/>
        <v>0.8208333333333333</v>
      </c>
      <c r="EL17" s="19">
        <f t="shared" si="44"/>
        <v>0.82083333333333375</v>
      </c>
      <c r="EM17" s="19">
        <f t="shared" si="44"/>
        <v>0.8208333333333333</v>
      </c>
      <c r="EN17" s="19">
        <f t="shared" si="44"/>
        <v>0.8208333333333333</v>
      </c>
      <c r="EO17" s="19">
        <f t="shared" si="44"/>
        <v>0.8208333333333333</v>
      </c>
      <c r="EP17" s="19">
        <f t="shared" si="44"/>
        <v>0.82083333333333353</v>
      </c>
      <c r="EQ17" s="19">
        <f t="shared" si="44"/>
        <v>0.70434782608695645</v>
      </c>
      <c r="ER17" s="19">
        <f t="shared" si="44"/>
        <v>0.70434782608695579</v>
      </c>
      <c r="ES17" s="19">
        <f t="shared" si="44"/>
        <v>0.70434782608695645</v>
      </c>
      <c r="ET17" s="19">
        <f t="shared" si="44"/>
        <v>0.70434782608695623</v>
      </c>
      <c r="EU17" s="19">
        <f t="shared" si="44"/>
        <v>0.70434782608695645</v>
      </c>
      <c r="EV17" s="19">
        <f t="shared" si="44"/>
        <v>0.70434782608695601</v>
      </c>
      <c r="EW17" s="19">
        <f t="shared" si="44"/>
        <v>0.70434782608695667</v>
      </c>
      <c r="EX17" s="19">
        <f t="shared" si="44"/>
        <v>0.70434782608695623</v>
      </c>
      <c r="EY17" s="19">
        <f t="shared" si="44"/>
        <v>0.70434782608695623</v>
      </c>
      <c r="EZ17" s="19">
        <f t="shared" si="44"/>
        <v>0.70434782608695623</v>
      </c>
      <c r="FA17" s="19">
        <f t="shared" si="44"/>
        <v>0.70434782608695667</v>
      </c>
      <c r="FB17" s="19">
        <f t="shared" si="44"/>
        <v>0.70434782608695645</v>
      </c>
    </row>
    <row r="18" spans="3:158" x14ac:dyDescent="0.25">
      <c r="E18" s="19"/>
      <c r="F18" s="19"/>
      <c r="G18" s="19"/>
    </row>
    <row r="19" spans="3:158" s="1" customFormat="1" x14ac:dyDescent="0.25">
      <c r="C19" s="1" t="s">
        <v>695</v>
      </c>
      <c r="D19" s="335">
        <f>D9/D$9</f>
        <v>1</v>
      </c>
      <c r="E19" s="335">
        <f t="shared" ref="E19:G19" si="54">E9/E$9</f>
        <v>1</v>
      </c>
      <c r="F19" s="335">
        <f t="shared" si="54"/>
        <v>1</v>
      </c>
      <c r="G19" s="335">
        <f t="shared" si="54"/>
        <v>1</v>
      </c>
      <c r="H19" s="335">
        <v>1</v>
      </c>
      <c r="I19" s="335">
        <v>1</v>
      </c>
      <c r="J19" s="335">
        <v>1</v>
      </c>
      <c r="K19" s="335">
        <v>1</v>
      </c>
      <c r="L19" s="335">
        <v>1</v>
      </c>
      <c r="N19" s="335">
        <f t="shared" ref="N19:BY19" si="55">N9/N$9</f>
        <v>1</v>
      </c>
      <c r="O19" s="335">
        <f t="shared" si="55"/>
        <v>1</v>
      </c>
      <c r="P19" s="335">
        <f t="shared" si="55"/>
        <v>1</v>
      </c>
      <c r="Q19" s="335">
        <f t="shared" si="55"/>
        <v>1</v>
      </c>
      <c r="R19" s="335">
        <f t="shared" si="55"/>
        <v>1</v>
      </c>
      <c r="S19" s="335">
        <f t="shared" si="55"/>
        <v>1</v>
      </c>
      <c r="T19" s="335">
        <f t="shared" si="55"/>
        <v>1</v>
      </c>
      <c r="U19" s="335">
        <f t="shared" si="55"/>
        <v>1</v>
      </c>
      <c r="V19" s="335">
        <f t="shared" si="55"/>
        <v>1</v>
      </c>
      <c r="W19" s="335">
        <f t="shared" si="55"/>
        <v>1</v>
      </c>
      <c r="X19" s="335">
        <f t="shared" si="55"/>
        <v>1</v>
      </c>
      <c r="Y19" s="335">
        <f t="shared" si="55"/>
        <v>1</v>
      </c>
      <c r="Z19" s="335">
        <f t="shared" si="55"/>
        <v>1</v>
      </c>
      <c r="AA19" s="335">
        <f t="shared" si="55"/>
        <v>1</v>
      </c>
      <c r="AB19" s="335">
        <f t="shared" si="55"/>
        <v>1</v>
      </c>
      <c r="AC19" s="335">
        <f t="shared" si="55"/>
        <v>1</v>
      </c>
      <c r="AD19" s="335">
        <f t="shared" si="55"/>
        <v>1</v>
      </c>
      <c r="AE19" s="335">
        <f t="shared" si="55"/>
        <v>1</v>
      </c>
      <c r="AF19" s="335">
        <f t="shared" si="55"/>
        <v>1</v>
      </c>
      <c r="AG19" s="335">
        <f t="shared" si="55"/>
        <v>1</v>
      </c>
      <c r="AH19" s="335">
        <f t="shared" si="55"/>
        <v>1</v>
      </c>
      <c r="AI19" s="335">
        <f t="shared" si="55"/>
        <v>1</v>
      </c>
      <c r="AJ19" s="335">
        <f t="shared" si="55"/>
        <v>1</v>
      </c>
      <c r="AK19" s="335">
        <f t="shared" si="55"/>
        <v>1</v>
      </c>
      <c r="AL19" s="335">
        <f t="shared" si="55"/>
        <v>1</v>
      </c>
      <c r="AM19" s="335">
        <f t="shared" si="55"/>
        <v>1</v>
      </c>
      <c r="AN19" s="335">
        <f t="shared" si="55"/>
        <v>1</v>
      </c>
      <c r="AO19" s="335">
        <f t="shared" si="55"/>
        <v>1</v>
      </c>
      <c r="AP19" s="335">
        <f t="shared" si="55"/>
        <v>1</v>
      </c>
      <c r="AQ19" s="335">
        <f t="shared" si="55"/>
        <v>1</v>
      </c>
      <c r="AR19" s="335">
        <f t="shared" si="55"/>
        <v>1</v>
      </c>
      <c r="AS19" s="335">
        <f t="shared" si="55"/>
        <v>1</v>
      </c>
      <c r="AT19" s="335">
        <f t="shared" si="55"/>
        <v>1</v>
      </c>
      <c r="AU19" s="335">
        <f t="shared" si="55"/>
        <v>1</v>
      </c>
      <c r="AV19" s="335">
        <f t="shared" si="55"/>
        <v>1</v>
      </c>
      <c r="AW19" s="335">
        <f t="shared" si="55"/>
        <v>1</v>
      </c>
      <c r="AX19" s="335"/>
      <c r="AY19" s="335">
        <f t="shared" si="55"/>
        <v>1</v>
      </c>
      <c r="AZ19" s="335">
        <f t="shared" si="55"/>
        <v>1</v>
      </c>
      <c r="BA19" s="335">
        <f t="shared" si="55"/>
        <v>1</v>
      </c>
      <c r="BB19" s="335">
        <f t="shared" si="55"/>
        <v>1</v>
      </c>
      <c r="BC19" s="335">
        <f t="shared" si="55"/>
        <v>1</v>
      </c>
      <c r="BD19" s="335">
        <f t="shared" si="55"/>
        <v>1</v>
      </c>
      <c r="BE19" s="335">
        <f t="shared" si="55"/>
        <v>1</v>
      </c>
      <c r="BF19" s="335">
        <f t="shared" si="55"/>
        <v>1</v>
      </c>
      <c r="BG19" s="335">
        <f t="shared" si="55"/>
        <v>1</v>
      </c>
      <c r="BH19" s="335">
        <f t="shared" si="55"/>
        <v>1</v>
      </c>
      <c r="BI19" s="335">
        <f t="shared" si="55"/>
        <v>1</v>
      </c>
      <c r="BJ19" s="335">
        <f t="shared" si="55"/>
        <v>1</v>
      </c>
      <c r="BK19" s="335">
        <f t="shared" si="55"/>
        <v>1</v>
      </c>
      <c r="BL19" s="335">
        <f t="shared" si="55"/>
        <v>1</v>
      </c>
      <c r="BM19" s="335">
        <f t="shared" si="55"/>
        <v>1</v>
      </c>
      <c r="BN19" s="335">
        <f t="shared" si="55"/>
        <v>1</v>
      </c>
      <c r="BO19" s="335">
        <f t="shared" si="55"/>
        <v>1</v>
      </c>
      <c r="BP19" s="335">
        <f t="shared" si="55"/>
        <v>1</v>
      </c>
      <c r="BQ19" s="335">
        <f t="shared" si="55"/>
        <v>1</v>
      </c>
      <c r="BR19" s="335">
        <f t="shared" si="55"/>
        <v>1</v>
      </c>
      <c r="BS19" s="335">
        <f t="shared" si="55"/>
        <v>1</v>
      </c>
      <c r="BT19" s="335">
        <f t="shared" si="55"/>
        <v>1</v>
      </c>
      <c r="BU19" s="335">
        <f t="shared" si="55"/>
        <v>1</v>
      </c>
      <c r="BV19" s="335">
        <f t="shared" si="55"/>
        <v>1</v>
      </c>
      <c r="BW19" s="335">
        <f t="shared" si="55"/>
        <v>1</v>
      </c>
      <c r="BX19" s="335">
        <f t="shared" si="55"/>
        <v>1</v>
      </c>
      <c r="BY19" s="335">
        <f t="shared" si="55"/>
        <v>1</v>
      </c>
      <c r="BZ19" s="335">
        <f t="shared" ref="BZ19:EK22" si="56">BZ9/BZ$9</f>
        <v>1</v>
      </c>
      <c r="CA19" s="335">
        <f t="shared" si="56"/>
        <v>1</v>
      </c>
      <c r="CB19" s="335">
        <f t="shared" si="56"/>
        <v>1</v>
      </c>
      <c r="CC19" s="335">
        <f t="shared" si="56"/>
        <v>1</v>
      </c>
      <c r="CD19" s="335">
        <f t="shared" si="56"/>
        <v>1</v>
      </c>
      <c r="CE19" s="335">
        <f t="shared" si="56"/>
        <v>1</v>
      </c>
      <c r="CF19" s="335">
        <f t="shared" si="56"/>
        <v>1</v>
      </c>
      <c r="CG19" s="335">
        <f t="shared" si="56"/>
        <v>1</v>
      </c>
      <c r="CH19" s="335">
        <f t="shared" si="56"/>
        <v>1</v>
      </c>
      <c r="CI19" s="335">
        <f t="shared" si="56"/>
        <v>1</v>
      </c>
      <c r="CJ19" s="335">
        <f t="shared" si="56"/>
        <v>1</v>
      </c>
      <c r="CK19" s="335">
        <f t="shared" si="56"/>
        <v>1</v>
      </c>
      <c r="CL19" s="335">
        <f t="shared" si="56"/>
        <v>1</v>
      </c>
      <c r="CM19" s="335">
        <f t="shared" si="56"/>
        <v>1</v>
      </c>
      <c r="CN19" s="335">
        <f t="shared" si="56"/>
        <v>1</v>
      </c>
      <c r="CO19" s="335">
        <f t="shared" si="56"/>
        <v>1</v>
      </c>
      <c r="CP19" s="335">
        <f t="shared" si="56"/>
        <v>1</v>
      </c>
      <c r="CQ19" s="335">
        <f t="shared" si="56"/>
        <v>1</v>
      </c>
      <c r="CR19" s="335">
        <f t="shared" si="56"/>
        <v>1</v>
      </c>
      <c r="CS19" s="335">
        <f t="shared" si="56"/>
        <v>1</v>
      </c>
      <c r="CT19" s="335">
        <f t="shared" si="56"/>
        <v>1</v>
      </c>
      <c r="CU19" s="335">
        <f t="shared" si="56"/>
        <v>1</v>
      </c>
      <c r="CV19" s="335">
        <f t="shared" si="56"/>
        <v>1</v>
      </c>
      <c r="CW19" s="335">
        <f t="shared" si="56"/>
        <v>1</v>
      </c>
      <c r="CX19" s="335">
        <f t="shared" si="56"/>
        <v>1</v>
      </c>
      <c r="CY19" s="335">
        <f t="shared" si="56"/>
        <v>1</v>
      </c>
      <c r="CZ19" s="335">
        <f t="shared" si="56"/>
        <v>1</v>
      </c>
      <c r="DA19" s="335">
        <f t="shared" si="56"/>
        <v>1</v>
      </c>
      <c r="DB19" s="335">
        <f t="shared" si="56"/>
        <v>1</v>
      </c>
      <c r="DC19" s="335">
        <f t="shared" si="56"/>
        <v>1</v>
      </c>
      <c r="DD19" s="335">
        <f t="shared" si="56"/>
        <v>1</v>
      </c>
      <c r="DE19" s="335">
        <f t="shared" si="56"/>
        <v>1</v>
      </c>
      <c r="DF19" s="335">
        <f t="shared" si="56"/>
        <v>1</v>
      </c>
      <c r="DG19" s="335">
        <f t="shared" si="56"/>
        <v>1</v>
      </c>
      <c r="DH19" s="335">
        <f t="shared" si="56"/>
        <v>1</v>
      </c>
      <c r="DI19" s="335">
        <f t="shared" si="56"/>
        <v>1</v>
      </c>
      <c r="DJ19" s="335">
        <f t="shared" si="56"/>
        <v>1</v>
      </c>
      <c r="DK19" s="335">
        <f t="shared" si="56"/>
        <v>1</v>
      </c>
      <c r="DL19" s="335">
        <f t="shared" si="56"/>
        <v>1</v>
      </c>
      <c r="DM19" s="335">
        <f t="shared" si="56"/>
        <v>1</v>
      </c>
      <c r="DN19" s="335">
        <f t="shared" si="56"/>
        <v>1</v>
      </c>
      <c r="DO19" s="335">
        <f t="shared" si="56"/>
        <v>1</v>
      </c>
      <c r="DP19" s="335">
        <f t="shared" si="56"/>
        <v>1</v>
      </c>
      <c r="DQ19" s="335">
        <f t="shared" si="56"/>
        <v>1</v>
      </c>
      <c r="DR19" s="335">
        <f t="shared" si="56"/>
        <v>1</v>
      </c>
      <c r="DS19" s="335">
        <f t="shared" si="56"/>
        <v>1</v>
      </c>
      <c r="DT19" s="335">
        <f t="shared" si="56"/>
        <v>1</v>
      </c>
      <c r="DU19" s="335">
        <f t="shared" si="56"/>
        <v>1</v>
      </c>
      <c r="DV19" s="335">
        <f t="shared" si="56"/>
        <v>1</v>
      </c>
      <c r="DW19" s="335">
        <f t="shared" si="56"/>
        <v>1</v>
      </c>
      <c r="DX19" s="335">
        <f t="shared" si="56"/>
        <v>1</v>
      </c>
      <c r="DY19" s="335">
        <f t="shared" si="56"/>
        <v>1</v>
      </c>
      <c r="DZ19" s="335">
        <f t="shared" si="56"/>
        <v>1</v>
      </c>
      <c r="EA19" s="335">
        <f t="shared" si="56"/>
        <v>1</v>
      </c>
      <c r="EB19" s="335">
        <f t="shared" si="56"/>
        <v>1</v>
      </c>
      <c r="EC19" s="335">
        <f t="shared" si="56"/>
        <v>1</v>
      </c>
      <c r="ED19" s="335">
        <f t="shared" si="56"/>
        <v>1</v>
      </c>
      <c r="EE19" s="335">
        <f t="shared" si="56"/>
        <v>1</v>
      </c>
      <c r="EF19" s="335">
        <f t="shared" si="56"/>
        <v>1</v>
      </c>
      <c r="EG19" s="335">
        <f t="shared" si="56"/>
        <v>1</v>
      </c>
      <c r="EH19" s="335">
        <f t="shared" si="56"/>
        <v>1</v>
      </c>
      <c r="EI19" s="335">
        <f t="shared" si="56"/>
        <v>1</v>
      </c>
      <c r="EJ19" s="335">
        <f t="shared" si="56"/>
        <v>1</v>
      </c>
      <c r="EK19" s="335">
        <f t="shared" si="56"/>
        <v>1</v>
      </c>
      <c r="EL19" s="335">
        <f t="shared" ref="EL19:FB19" si="57">EL9/EL$9</f>
        <v>1</v>
      </c>
      <c r="EM19" s="335">
        <f t="shared" si="57"/>
        <v>1</v>
      </c>
      <c r="EN19" s="335">
        <f t="shared" si="57"/>
        <v>1</v>
      </c>
      <c r="EO19" s="335">
        <f t="shared" si="57"/>
        <v>1</v>
      </c>
      <c r="EP19" s="335">
        <f t="shared" si="57"/>
        <v>1</v>
      </c>
      <c r="EQ19" s="335">
        <f t="shared" si="57"/>
        <v>1</v>
      </c>
      <c r="ER19" s="335">
        <f t="shared" si="57"/>
        <v>1</v>
      </c>
      <c r="ES19" s="335">
        <f t="shared" si="57"/>
        <v>1</v>
      </c>
      <c r="ET19" s="335">
        <f t="shared" si="57"/>
        <v>1</v>
      </c>
      <c r="EU19" s="335">
        <f t="shared" si="57"/>
        <v>1</v>
      </c>
      <c r="EV19" s="335">
        <f t="shared" si="57"/>
        <v>1</v>
      </c>
      <c r="EW19" s="335">
        <f t="shared" si="57"/>
        <v>1</v>
      </c>
      <c r="EX19" s="335">
        <f t="shared" si="57"/>
        <v>1</v>
      </c>
      <c r="EY19" s="335">
        <f t="shared" si="57"/>
        <v>1</v>
      </c>
      <c r="EZ19" s="335">
        <f t="shared" si="57"/>
        <v>1</v>
      </c>
      <c r="FA19" s="335">
        <f t="shared" si="57"/>
        <v>1</v>
      </c>
      <c r="FB19" s="335">
        <f t="shared" si="57"/>
        <v>1</v>
      </c>
    </row>
    <row r="20" spans="3:158" x14ac:dyDescent="0.25">
      <c r="C20" s="377" t="s">
        <v>665</v>
      </c>
      <c r="D20" s="19">
        <f t="shared" ref="D20:G22" si="58">D10/D$9</f>
        <v>0.93553016023379221</v>
      </c>
      <c r="E20" s="19">
        <f t="shared" si="58"/>
        <v>0.91062829418665847</v>
      </c>
      <c r="F20" s="19">
        <f t="shared" si="58"/>
        <v>0.9048794765840511</v>
      </c>
      <c r="G20" s="19">
        <f t="shared" si="58"/>
        <v>0.90243445673387501</v>
      </c>
      <c r="H20" s="313">
        <f>H19-SUM(H21:H22)</f>
        <v>0.85491676562839181</v>
      </c>
      <c r="I20" s="313">
        <f t="shared" ref="I20:L20" si="59">I19-SUM(I21:I22)</f>
        <v>0.80491676562839187</v>
      </c>
      <c r="J20" s="313">
        <f t="shared" si="59"/>
        <v>0.75491676562839183</v>
      </c>
      <c r="K20" s="313">
        <f t="shared" si="59"/>
        <v>0.70491676562839189</v>
      </c>
      <c r="L20" s="313">
        <f t="shared" si="59"/>
        <v>0.65491676562839185</v>
      </c>
      <c r="N20" s="19">
        <f t="shared" ref="N20:BY20" si="60">N10/N$9</f>
        <v>0.93902905450815655</v>
      </c>
      <c r="O20" s="19">
        <f t="shared" si="60"/>
        <v>0.87256682128009844</v>
      </c>
      <c r="P20" s="19">
        <f t="shared" si="60"/>
        <v>0.96965791864455242</v>
      </c>
      <c r="Q20" s="19">
        <f t="shared" si="60"/>
        <v>0.95041282451920195</v>
      </c>
      <c r="R20" s="19">
        <f t="shared" si="60"/>
        <v>0.89561461485569982</v>
      </c>
      <c r="S20" s="19">
        <f t="shared" si="60"/>
        <v>0.88606203081017887</v>
      </c>
      <c r="T20" s="19">
        <f t="shared" si="60"/>
        <v>0.91859525995983371</v>
      </c>
      <c r="U20" s="19">
        <f t="shared" si="60"/>
        <v>0.93663464473670943</v>
      </c>
      <c r="V20" s="19">
        <f t="shared" si="60"/>
        <v>0.94347689025093817</v>
      </c>
      <c r="W20" s="19">
        <f t="shared" si="60"/>
        <v>0.88121844800364979</v>
      </c>
      <c r="X20" s="19">
        <f t="shared" si="60"/>
        <v>0.90759900018169004</v>
      </c>
      <c r="Y20" s="19">
        <f t="shared" si="60"/>
        <v>0.90193519709034964</v>
      </c>
      <c r="Z20" s="19">
        <f t="shared" si="60"/>
        <v>0.89561436006459938</v>
      </c>
      <c r="AA20" s="19">
        <f t="shared" si="60"/>
        <v>0.87813293889679023</v>
      </c>
      <c r="AB20" s="19">
        <f t="shared" si="60"/>
        <v>0.91813570769287101</v>
      </c>
      <c r="AC20" s="19">
        <f t="shared" si="60"/>
        <v>0.90820943099655327</v>
      </c>
      <c r="AD20" s="19">
        <f t="shared" si="60"/>
        <v>0.85491676562839181</v>
      </c>
      <c r="AE20" s="19">
        <f t="shared" si="60"/>
        <v>0.85491676562839181</v>
      </c>
      <c r="AF20" s="19">
        <f t="shared" si="60"/>
        <v>0.85491676562839192</v>
      </c>
      <c r="AG20" s="19">
        <f t="shared" si="60"/>
        <v>0.85491676562839192</v>
      </c>
      <c r="AH20" s="19">
        <f t="shared" si="60"/>
        <v>0.80491676562839187</v>
      </c>
      <c r="AI20" s="19">
        <f t="shared" si="60"/>
        <v>0.80491676562839187</v>
      </c>
      <c r="AJ20" s="19">
        <f t="shared" si="60"/>
        <v>0.80491676562839187</v>
      </c>
      <c r="AK20" s="19">
        <f t="shared" si="60"/>
        <v>0.80491676562839198</v>
      </c>
      <c r="AL20" s="19">
        <f t="shared" si="60"/>
        <v>0.75491676562839194</v>
      </c>
      <c r="AM20" s="19">
        <f t="shared" si="60"/>
        <v>0.75491676562839194</v>
      </c>
      <c r="AN20" s="19">
        <f t="shared" si="60"/>
        <v>0.75491676562839194</v>
      </c>
      <c r="AO20" s="19">
        <f t="shared" si="60"/>
        <v>0.75491676562839172</v>
      </c>
      <c r="AP20" s="19">
        <f t="shared" si="60"/>
        <v>0.70491676562839189</v>
      </c>
      <c r="AQ20" s="19">
        <f t="shared" si="60"/>
        <v>0.70491676562839189</v>
      </c>
      <c r="AR20" s="19">
        <f t="shared" si="60"/>
        <v>0.70491676562839178</v>
      </c>
      <c r="AS20" s="19">
        <f t="shared" si="60"/>
        <v>0.70491676562839189</v>
      </c>
      <c r="AT20" s="19">
        <f t="shared" si="60"/>
        <v>0.65491676562839185</v>
      </c>
      <c r="AU20" s="19">
        <f t="shared" si="60"/>
        <v>0.65491676562839196</v>
      </c>
      <c r="AV20" s="19">
        <f t="shared" si="60"/>
        <v>0.65491676562839185</v>
      </c>
      <c r="AW20" s="19">
        <f t="shared" si="60"/>
        <v>0.65491676562839196</v>
      </c>
      <c r="AX20" s="19"/>
      <c r="AY20" s="19">
        <f t="shared" si="60"/>
        <v>1</v>
      </c>
      <c r="AZ20" s="19">
        <f t="shared" si="60"/>
        <v>0.92652719464193789</v>
      </c>
      <c r="BA20" s="19">
        <f t="shared" si="60"/>
        <v>0.93827465737081817</v>
      </c>
      <c r="BB20" s="19">
        <f t="shared" si="60"/>
        <v>0.88394778564150833</v>
      </c>
      <c r="BC20" s="19">
        <f t="shared" si="60"/>
        <v>0.99572836053162861</v>
      </c>
      <c r="BD20" s="19">
        <f t="shared" si="60"/>
        <v>0.7752086461902149</v>
      </c>
      <c r="BE20" s="19">
        <f t="shared" si="60"/>
        <v>0.95502019593202636</v>
      </c>
      <c r="BF20" s="19">
        <f t="shared" si="60"/>
        <v>0.99186722691639229</v>
      </c>
      <c r="BG20" s="19">
        <f t="shared" si="60"/>
        <v>0.96411439087601136</v>
      </c>
      <c r="BH20" s="19">
        <f t="shared" si="60"/>
        <v>0.92732326215337679</v>
      </c>
      <c r="BI20" s="19">
        <f t="shared" si="60"/>
        <v>0.96462187674952193</v>
      </c>
      <c r="BJ20" s="19">
        <f t="shared" si="60"/>
        <v>0.94444709273118632</v>
      </c>
      <c r="BK20" s="19">
        <f t="shared" si="60"/>
        <v>0.87543661921721749</v>
      </c>
      <c r="BL20" s="19">
        <f t="shared" si="60"/>
        <v>0.91481511212332811</v>
      </c>
      <c r="BM20" s="19">
        <f t="shared" si="60"/>
        <v>0.89242364870144764</v>
      </c>
      <c r="BN20" s="19">
        <f t="shared" si="60"/>
        <v>0.79048144746426807</v>
      </c>
      <c r="BO20" s="19">
        <f t="shared" si="60"/>
        <v>0.93088389311872088</v>
      </c>
      <c r="BP20" s="19">
        <f t="shared" si="60"/>
        <v>0.88185231220695215</v>
      </c>
      <c r="BQ20" s="19">
        <f t="shared" si="60"/>
        <v>0.90755610037921242</v>
      </c>
      <c r="BR20" s="19">
        <f t="shared" si="60"/>
        <v>0.97732396832083457</v>
      </c>
      <c r="BS20" s="19">
        <f t="shared" si="60"/>
        <v>0.90041439572983484</v>
      </c>
      <c r="BT20" s="19">
        <f t="shared" si="60"/>
        <v>0.93264652215624433</v>
      </c>
      <c r="BU20" s="19">
        <f t="shared" si="60"/>
        <v>0.91103864509064125</v>
      </c>
      <c r="BV20" s="19">
        <f t="shared" si="60"/>
        <v>0.95687934947282693</v>
      </c>
      <c r="BW20" s="19">
        <f t="shared" si="60"/>
        <v>1</v>
      </c>
      <c r="BX20" s="19">
        <f t="shared" si="60"/>
        <v>0.92618776080715448</v>
      </c>
      <c r="BY20" s="19">
        <f t="shared" si="60"/>
        <v>0.92982349492532101</v>
      </c>
      <c r="BZ20" s="19">
        <f t="shared" si="56"/>
        <v>0.93585372914473419</v>
      </c>
      <c r="CA20" s="19">
        <f t="shared" si="56"/>
        <v>0.88348782814792048</v>
      </c>
      <c r="CB20" s="19">
        <f t="shared" si="56"/>
        <v>0.85983267594546797</v>
      </c>
      <c r="CC20" s="19">
        <f t="shared" si="56"/>
        <v>0.9093367056039966</v>
      </c>
      <c r="CD20" s="19">
        <f t="shared" si="56"/>
        <v>0.94531691074638291</v>
      </c>
      <c r="CE20" s="19">
        <f t="shared" si="56"/>
        <v>0.8733472097080206</v>
      </c>
      <c r="CF20" s="19">
        <f t="shared" si="56"/>
        <v>0.85714537429409643</v>
      </c>
      <c r="CG20" s="19">
        <f t="shared" si="56"/>
        <v>0.9272455481636791</v>
      </c>
      <c r="CH20" s="19">
        <f t="shared" si="56"/>
        <v>0.89666347418254411</v>
      </c>
      <c r="CI20" s="19">
        <f t="shared" si="56"/>
        <v>0.94051364326587805</v>
      </c>
      <c r="CJ20" s="19">
        <f t="shared" si="56"/>
        <v>0.86584847358187478</v>
      </c>
      <c r="CK20" s="19">
        <f t="shared" si="56"/>
        <v>0.89581076754022992</v>
      </c>
      <c r="CL20" s="19">
        <f t="shared" si="56"/>
        <v>0.9012692284522964</v>
      </c>
      <c r="CM20" s="19">
        <f t="shared" si="56"/>
        <v>0.81117350058592674</v>
      </c>
      <c r="CN20" s="19">
        <f t="shared" si="56"/>
        <v>0.90840548506329344</v>
      </c>
      <c r="CO20" s="19">
        <f t="shared" si="56"/>
        <v>0.84183140287356217</v>
      </c>
      <c r="CP20" s="19">
        <f t="shared" si="56"/>
        <v>0.92162396183363082</v>
      </c>
      <c r="CQ20" s="19">
        <f t="shared" si="56"/>
        <v>0.93858522124013166</v>
      </c>
      <c r="CR20" s="19">
        <f t="shared" si="56"/>
        <v>0.72030518998714765</v>
      </c>
      <c r="CS20" s="19">
        <f t="shared" si="56"/>
        <v>0.92605984241807893</v>
      </c>
      <c r="CT20" s="19">
        <f t="shared" si="56"/>
        <v>0.93150995006121373</v>
      </c>
      <c r="CU20" s="93">
        <f t="shared" ref="CU20:FB22" si="61">INDEX($D20:$L20,1,MATCH(CU$2,$D$2:$L$2,))</f>
        <v>0.85491676562839181</v>
      </c>
      <c r="CV20" s="93">
        <f t="shared" si="61"/>
        <v>0.85491676562839181</v>
      </c>
      <c r="CW20" s="93">
        <f t="shared" si="61"/>
        <v>0.85491676562839181</v>
      </c>
      <c r="CX20" s="93">
        <f t="shared" si="61"/>
        <v>0.85491676562839181</v>
      </c>
      <c r="CY20" s="93">
        <f t="shared" si="61"/>
        <v>0.85491676562839181</v>
      </c>
      <c r="CZ20" s="93">
        <f t="shared" si="61"/>
        <v>0.85491676562839181</v>
      </c>
      <c r="DA20" s="93">
        <f t="shared" si="61"/>
        <v>0.85491676562839181</v>
      </c>
      <c r="DB20" s="93">
        <f t="shared" si="61"/>
        <v>0.85491676562839181</v>
      </c>
      <c r="DC20" s="93">
        <f t="shared" si="61"/>
        <v>0.85491676562839181</v>
      </c>
      <c r="DD20" s="93">
        <f t="shared" si="61"/>
        <v>0.85491676562839181</v>
      </c>
      <c r="DE20" s="93">
        <f t="shared" si="61"/>
        <v>0.85491676562839181</v>
      </c>
      <c r="DF20" s="93">
        <f t="shared" si="61"/>
        <v>0.85491676562839181</v>
      </c>
      <c r="DG20" s="93">
        <f t="shared" si="61"/>
        <v>0.80491676562839187</v>
      </c>
      <c r="DH20" s="93">
        <f t="shared" si="61"/>
        <v>0.80491676562839187</v>
      </c>
      <c r="DI20" s="93">
        <f t="shared" si="61"/>
        <v>0.80491676562839187</v>
      </c>
      <c r="DJ20" s="93">
        <f t="shared" si="61"/>
        <v>0.80491676562839187</v>
      </c>
      <c r="DK20" s="93">
        <f t="shared" si="61"/>
        <v>0.80491676562839187</v>
      </c>
      <c r="DL20" s="93">
        <f t="shared" si="61"/>
        <v>0.80491676562839187</v>
      </c>
      <c r="DM20" s="93">
        <f t="shared" si="61"/>
        <v>0.80491676562839187</v>
      </c>
      <c r="DN20" s="93">
        <f t="shared" si="61"/>
        <v>0.80491676562839187</v>
      </c>
      <c r="DO20" s="93">
        <f t="shared" si="61"/>
        <v>0.80491676562839187</v>
      </c>
      <c r="DP20" s="93">
        <f t="shared" si="61"/>
        <v>0.80491676562839187</v>
      </c>
      <c r="DQ20" s="93">
        <f t="shared" si="61"/>
        <v>0.80491676562839187</v>
      </c>
      <c r="DR20" s="93">
        <f t="shared" si="61"/>
        <v>0.80491676562839187</v>
      </c>
      <c r="DS20" s="93">
        <f t="shared" si="61"/>
        <v>0.75491676562839183</v>
      </c>
      <c r="DT20" s="93">
        <f t="shared" si="61"/>
        <v>0.75491676562839183</v>
      </c>
      <c r="DU20" s="93">
        <f t="shared" si="61"/>
        <v>0.75491676562839183</v>
      </c>
      <c r="DV20" s="93">
        <f t="shared" si="61"/>
        <v>0.75491676562839183</v>
      </c>
      <c r="DW20" s="93">
        <f t="shared" si="61"/>
        <v>0.75491676562839183</v>
      </c>
      <c r="DX20" s="93">
        <f t="shared" si="61"/>
        <v>0.75491676562839183</v>
      </c>
      <c r="DY20" s="93">
        <f t="shared" si="61"/>
        <v>0.75491676562839183</v>
      </c>
      <c r="DZ20" s="93">
        <f t="shared" si="61"/>
        <v>0.75491676562839183</v>
      </c>
      <c r="EA20" s="93">
        <f t="shared" si="61"/>
        <v>0.75491676562839183</v>
      </c>
      <c r="EB20" s="93">
        <f t="shared" si="61"/>
        <v>0.75491676562839183</v>
      </c>
      <c r="EC20" s="93">
        <f t="shared" si="61"/>
        <v>0.75491676562839183</v>
      </c>
      <c r="ED20" s="93">
        <f t="shared" si="61"/>
        <v>0.75491676562839183</v>
      </c>
      <c r="EE20" s="93">
        <f t="shared" si="61"/>
        <v>0.70491676562839189</v>
      </c>
      <c r="EF20" s="93">
        <f t="shared" si="61"/>
        <v>0.70491676562839189</v>
      </c>
      <c r="EG20" s="93">
        <f t="shared" si="61"/>
        <v>0.70491676562839189</v>
      </c>
      <c r="EH20" s="93">
        <f t="shared" si="61"/>
        <v>0.70491676562839189</v>
      </c>
      <c r="EI20" s="93">
        <f t="shared" si="61"/>
        <v>0.70491676562839189</v>
      </c>
      <c r="EJ20" s="93">
        <f t="shared" si="61"/>
        <v>0.70491676562839189</v>
      </c>
      <c r="EK20" s="93">
        <f t="shared" si="61"/>
        <v>0.70491676562839189</v>
      </c>
      <c r="EL20" s="93">
        <f t="shared" si="61"/>
        <v>0.70491676562839189</v>
      </c>
      <c r="EM20" s="93">
        <f t="shared" si="61"/>
        <v>0.70491676562839189</v>
      </c>
      <c r="EN20" s="93">
        <f t="shared" si="61"/>
        <v>0.70491676562839189</v>
      </c>
      <c r="EO20" s="93">
        <f t="shared" si="61"/>
        <v>0.70491676562839189</v>
      </c>
      <c r="EP20" s="93">
        <f t="shared" si="61"/>
        <v>0.70491676562839189</v>
      </c>
      <c r="EQ20" s="93">
        <f t="shared" si="61"/>
        <v>0.65491676562839185</v>
      </c>
      <c r="ER20" s="93">
        <f t="shared" si="61"/>
        <v>0.65491676562839185</v>
      </c>
      <c r="ES20" s="93">
        <f t="shared" si="61"/>
        <v>0.65491676562839185</v>
      </c>
      <c r="ET20" s="93">
        <f t="shared" si="61"/>
        <v>0.65491676562839185</v>
      </c>
      <c r="EU20" s="93">
        <f t="shared" si="61"/>
        <v>0.65491676562839185</v>
      </c>
      <c r="EV20" s="93">
        <f t="shared" si="61"/>
        <v>0.65491676562839185</v>
      </c>
      <c r="EW20" s="93">
        <f t="shared" si="61"/>
        <v>0.65491676562839185</v>
      </c>
      <c r="EX20" s="93">
        <f t="shared" si="61"/>
        <v>0.65491676562839185</v>
      </c>
      <c r="EY20" s="93">
        <f t="shared" si="61"/>
        <v>0.65491676562839185</v>
      </c>
      <c r="EZ20" s="93">
        <f t="shared" si="61"/>
        <v>0.65491676562839185</v>
      </c>
      <c r="FA20" s="93">
        <f t="shared" si="61"/>
        <v>0.65491676562839185</v>
      </c>
      <c r="FB20" s="93">
        <f t="shared" si="61"/>
        <v>0.65491676562839185</v>
      </c>
    </row>
    <row r="21" spans="3:158" x14ac:dyDescent="0.25">
      <c r="C21" s="377" t="s">
        <v>314</v>
      </c>
      <c r="D21" s="19">
        <f t="shared" si="58"/>
        <v>5.2455303893125034E-2</v>
      </c>
      <c r="E21" s="19">
        <f t="shared" si="58"/>
        <v>7.6744696081537819E-2</v>
      </c>
      <c r="F21" s="19">
        <f t="shared" si="58"/>
        <v>8.040694539138224E-2</v>
      </c>
      <c r="G21" s="19">
        <f t="shared" si="58"/>
        <v>8.008323437160815E-2</v>
      </c>
      <c r="H21" s="380">
        <f>G21+2.5%</f>
        <v>0.10508323437160816</v>
      </c>
      <c r="I21" s="380">
        <f t="shared" ref="I21:L21" si="62">H21+2.5%</f>
        <v>0.13008323437160815</v>
      </c>
      <c r="J21" s="380">
        <f t="shared" si="62"/>
        <v>0.15508323437160815</v>
      </c>
      <c r="K21" s="380">
        <f t="shared" si="62"/>
        <v>0.18008323437160814</v>
      </c>
      <c r="L21" s="380">
        <f t="shared" si="62"/>
        <v>0.20508323437160814</v>
      </c>
      <c r="N21" s="19">
        <f t="shared" ref="N21:BY21" si="63">N11/N$9</f>
        <v>5.5696388131450787E-2</v>
      </c>
      <c r="O21" s="19">
        <f t="shared" si="63"/>
        <v>0.10724647638750574</v>
      </c>
      <c r="P21" s="19">
        <f t="shared" si="63"/>
        <v>6.8555749800247858E-3</v>
      </c>
      <c r="Q21" s="19">
        <f t="shared" si="63"/>
        <v>4.6201222773610676E-2</v>
      </c>
      <c r="R21" s="19">
        <f t="shared" si="63"/>
        <v>0.10054084433483929</v>
      </c>
      <c r="S21" s="19">
        <f t="shared" si="63"/>
        <v>9.5092866516445662E-2</v>
      </c>
      <c r="T21" s="19">
        <f t="shared" si="63"/>
        <v>6.4199086914488154E-2</v>
      </c>
      <c r="U21" s="19">
        <f t="shared" si="63"/>
        <v>5.357963450664386E-2</v>
      </c>
      <c r="V21" s="19">
        <f t="shared" si="63"/>
        <v>4.9650805527744105E-2</v>
      </c>
      <c r="W21" s="19">
        <f t="shared" si="63"/>
        <v>0.10031258743362219</v>
      </c>
      <c r="X21" s="19">
        <f t="shared" si="63"/>
        <v>6.882827935106331E-2</v>
      </c>
      <c r="Y21" s="19">
        <f t="shared" si="63"/>
        <v>8.9037178419017982E-2</v>
      </c>
      <c r="Z21" s="19">
        <f t="shared" si="63"/>
        <v>8.6869348112307954E-2</v>
      </c>
      <c r="AA21" s="19">
        <f t="shared" si="63"/>
        <v>0.10765148574320343</v>
      </c>
      <c r="AB21" s="19">
        <f t="shared" si="63"/>
        <v>7.0935002822948151E-2</v>
      </c>
      <c r="AC21" s="19">
        <f t="shared" si="63"/>
        <v>6.7489990944038944E-2</v>
      </c>
      <c r="AD21" s="19">
        <f t="shared" si="63"/>
        <v>0.10508323437160816</v>
      </c>
      <c r="AE21" s="19">
        <f t="shared" si="63"/>
        <v>0.10508323437160814</v>
      </c>
      <c r="AF21" s="19">
        <f t="shared" si="63"/>
        <v>0.10508323437160816</v>
      </c>
      <c r="AG21" s="19">
        <f t="shared" si="63"/>
        <v>0.10508323437160816</v>
      </c>
      <c r="AH21" s="19">
        <f t="shared" si="63"/>
        <v>0.13008323437160815</v>
      </c>
      <c r="AI21" s="19">
        <f t="shared" si="63"/>
        <v>0.13008323437160815</v>
      </c>
      <c r="AJ21" s="19">
        <f t="shared" si="63"/>
        <v>0.13008323437160815</v>
      </c>
      <c r="AK21" s="19">
        <f t="shared" si="63"/>
        <v>0.13008323437160815</v>
      </c>
      <c r="AL21" s="19">
        <f t="shared" si="63"/>
        <v>0.15508323437160815</v>
      </c>
      <c r="AM21" s="19">
        <f t="shared" si="63"/>
        <v>0.15508323437160818</v>
      </c>
      <c r="AN21" s="19">
        <f t="shared" si="63"/>
        <v>0.15508323437160815</v>
      </c>
      <c r="AO21" s="19">
        <f t="shared" si="63"/>
        <v>0.15508323437160815</v>
      </c>
      <c r="AP21" s="19">
        <f t="shared" si="63"/>
        <v>0.18008323437160817</v>
      </c>
      <c r="AQ21" s="19">
        <f t="shared" si="63"/>
        <v>0.18008323437160814</v>
      </c>
      <c r="AR21" s="19">
        <f t="shared" si="63"/>
        <v>0.18008323437160814</v>
      </c>
      <c r="AS21" s="19">
        <f t="shared" si="63"/>
        <v>0.18008323437160814</v>
      </c>
      <c r="AT21" s="19">
        <f t="shared" si="63"/>
        <v>0.20508323437160816</v>
      </c>
      <c r="AU21" s="19">
        <f t="shared" si="63"/>
        <v>0.20508323437160814</v>
      </c>
      <c r="AV21" s="19">
        <f t="shared" si="63"/>
        <v>0.20508323437160811</v>
      </c>
      <c r="AW21" s="19">
        <f t="shared" si="63"/>
        <v>0.20508323437160819</v>
      </c>
      <c r="AX21" s="19"/>
      <c r="AY21" s="19">
        <f t="shared" si="63"/>
        <v>0</v>
      </c>
      <c r="AZ21" s="19">
        <f t="shared" si="63"/>
        <v>5.6837453201519735E-2</v>
      </c>
      <c r="BA21" s="19">
        <f t="shared" si="63"/>
        <v>6.1725342629181772E-2</v>
      </c>
      <c r="BB21" s="19">
        <f t="shared" si="63"/>
        <v>0.11605221435849167</v>
      </c>
      <c r="BC21" s="19">
        <f t="shared" si="63"/>
        <v>1.3143506056527592E-3</v>
      </c>
      <c r="BD21" s="19">
        <f t="shared" si="63"/>
        <v>0.18488555308100954</v>
      </c>
      <c r="BE21" s="19">
        <f t="shared" si="63"/>
        <v>1.4136509849934522E-2</v>
      </c>
      <c r="BF21" s="19">
        <f t="shared" si="63"/>
        <v>4.486304657771222E-3</v>
      </c>
      <c r="BG21" s="19">
        <f t="shared" si="63"/>
        <v>5.600644198541593E-3</v>
      </c>
      <c r="BH21" s="19">
        <f t="shared" si="63"/>
        <v>6.6411141733631968E-2</v>
      </c>
      <c r="BI21" s="19">
        <f t="shared" si="63"/>
        <v>3.0119444813001398E-2</v>
      </c>
      <c r="BJ21" s="19">
        <f t="shared" si="63"/>
        <v>5.5552907268813734E-2</v>
      </c>
      <c r="BK21" s="19">
        <f t="shared" si="63"/>
        <v>0.12456338078278249</v>
      </c>
      <c r="BL21" s="19">
        <f t="shared" si="63"/>
        <v>8.1277780421981805E-2</v>
      </c>
      <c r="BM21" s="19">
        <f t="shared" si="63"/>
        <v>0.10289095468569716</v>
      </c>
      <c r="BN21" s="19">
        <f t="shared" si="63"/>
        <v>0.10589039050587953</v>
      </c>
      <c r="BO21" s="19">
        <f t="shared" si="63"/>
        <v>6.9116106881279143E-2</v>
      </c>
      <c r="BP21" s="19">
        <f t="shared" si="63"/>
        <v>0.11684171587732092</v>
      </c>
      <c r="BQ21" s="19">
        <f t="shared" si="63"/>
        <v>5.4964541908959524E-2</v>
      </c>
      <c r="BR21" s="19">
        <f t="shared" si="63"/>
        <v>0</v>
      </c>
      <c r="BS21" s="19">
        <f t="shared" si="63"/>
        <v>9.1546889821379762E-2</v>
      </c>
      <c r="BT21" s="19">
        <f t="shared" si="63"/>
        <v>6.6601037114138992E-2</v>
      </c>
      <c r="BU21" s="19">
        <f t="shared" si="63"/>
        <v>7.0467277317916424E-2</v>
      </c>
      <c r="BV21" s="19">
        <f t="shared" si="63"/>
        <v>3.8334278831678587E-2</v>
      </c>
      <c r="BW21" s="19">
        <f t="shared" si="63"/>
        <v>0</v>
      </c>
      <c r="BX21" s="19">
        <f t="shared" si="63"/>
        <v>5.5615124930142285E-2</v>
      </c>
      <c r="BY21" s="19">
        <f t="shared" si="63"/>
        <v>6.7932606337341203E-2</v>
      </c>
      <c r="BZ21" s="19">
        <f t="shared" si="56"/>
        <v>6.170905733931184E-2</v>
      </c>
      <c r="CA21" s="19">
        <f t="shared" si="56"/>
        <v>7.7840886086330927E-2</v>
      </c>
      <c r="CB21" s="19">
        <f t="shared" si="56"/>
        <v>0.12435269988063513</v>
      </c>
      <c r="CC21" s="19">
        <f t="shared" si="56"/>
        <v>6.7999131001520746E-2</v>
      </c>
      <c r="CD21" s="19">
        <f t="shared" si="56"/>
        <v>2.6100716032648727E-2</v>
      </c>
      <c r="CE21" s="19">
        <f t="shared" si="56"/>
        <v>0.1073101076727143</v>
      </c>
      <c r="CF21" s="19">
        <f t="shared" si="56"/>
        <v>0.14240908993655521</v>
      </c>
      <c r="CG21" s="19">
        <f t="shared" si="56"/>
        <v>7.019345989243321E-2</v>
      </c>
      <c r="CH21" s="19">
        <f t="shared" si="56"/>
        <v>8.7036359566634289E-2</v>
      </c>
      <c r="CI21" s="19">
        <f t="shared" si="56"/>
        <v>5.7100932087641866E-2</v>
      </c>
      <c r="CJ21" s="19">
        <f t="shared" si="56"/>
        <v>0.12080948814604373</v>
      </c>
      <c r="CK21" s="19">
        <f t="shared" si="56"/>
        <v>8.0772057436147307E-2</v>
      </c>
      <c r="CL21" s="19">
        <f t="shared" si="56"/>
        <v>9.2824153211402374E-2</v>
      </c>
      <c r="CM21" s="19">
        <f t="shared" si="56"/>
        <v>0.16620395174007949</v>
      </c>
      <c r="CN21" s="19">
        <f t="shared" si="56"/>
        <v>7.9264842282268808E-2</v>
      </c>
      <c r="CO21" s="19">
        <f t="shared" si="56"/>
        <v>0.1449209735092489</v>
      </c>
      <c r="CP21" s="19">
        <f t="shared" si="56"/>
        <v>6.8156442804537753E-2</v>
      </c>
      <c r="CQ21" s="19">
        <f t="shared" si="56"/>
        <v>5.0684203629945211E-2</v>
      </c>
      <c r="CR21" s="19">
        <f t="shared" si="56"/>
        <v>0.22428697896810523</v>
      </c>
      <c r="CS21" s="19">
        <f t="shared" si="56"/>
        <v>5.3337667932291138E-2</v>
      </c>
      <c r="CT21" s="19">
        <f t="shared" si="56"/>
        <v>4.7452451748623926E-2</v>
      </c>
      <c r="CU21" s="93">
        <f t="shared" si="61"/>
        <v>0.10508323437160816</v>
      </c>
      <c r="CV21" s="93">
        <f t="shared" si="61"/>
        <v>0.10508323437160816</v>
      </c>
      <c r="CW21" s="93">
        <f t="shared" si="61"/>
        <v>0.10508323437160816</v>
      </c>
      <c r="CX21" s="93">
        <f t="shared" si="61"/>
        <v>0.10508323437160816</v>
      </c>
      <c r="CY21" s="93">
        <f t="shared" si="61"/>
        <v>0.10508323437160816</v>
      </c>
      <c r="CZ21" s="93">
        <f t="shared" si="61"/>
        <v>0.10508323437160816</v>
      </c>
      <c r="DA21" s="93">
        <f t="shared" si="61"/>
        <v>0.10508323437160816</v>
      </c>
      <c r="DB21" s="93">
        <f t="shared" si="61"/>
        <v>0.10508323437160816</v>
      </c>
      <c r="DC21" s="93">
        <f t="shared" si="61"/>
        <v>0.10508323437160816</v>
      </c>
      <c r="DD21" s="93">
        <f t="shared" si="61"/>
        <v>0.10508323437160816</v>
      </c>
      <c r="DE21" s="93">
        <f t="shared" si="61"/>
        <v>0.10508323437160816</v>
      </c>
      <c r="DF21" s="93">
        <f t="shared" si="61"/>
        <v>0.10508323437160816</v>
      </c>
      <c r="DG21" s="93">
        <f t="shared" si="61"/>
        <v>0.13008323437160815</v>
      </c>
      <c r="DH21" s="93">
        <f t="shared" si="61"/>
        <v>0.13008323437160815</v>
      </c>
      <c r="DI21" s="93">
        <f t="shared" si="61"/>
        <v>0.13008323437160815</v>
      </c>
      <c r="DJ21" s="93">
        <f t="shared" si="61"/>
        <v>0.13008323437160815</v>
      </c>
      <c r="DK21" s="93">
        <f t="shared" si="61"/>
        <v>0.13008323437160815</v>
      </c>
      <c r="DL21" s="93">
        <f t="shared" si="61"/>
        <v>0.13008323437160815</v>
      </c>
      <c r="DM21" s="93">
        <f t="shared" si="61"/>
        <v>0.13008323437160815</v>
      </c>
      <c r="DN21" s="93">
        <f t="shared" si="61"/>
        <v>0.13008323437160815</v>
      </c>
      <c r="DO21" s="93">
        <f t="shared" si="61"/>
        <v>0.13008323437160815</v>
      </c>
      <c r="DP21" s="93">
        <f t="shared" si="61"/>
        <v>0.13008323437160815</v>
      </c>
      <c r="DQ21" s="93">
        <f t="shared" si="61"/>
        <v>0.13008323437160815</v>
      </c>
      <c r="DR21" s="93">
        <f t="shared" si="61"/>
        <v>0.13008323437160815</v>
      </c>
      <c r="DS21" s="93">
        <f t="shared" si="61"/>
        <v>0.15508323437160815</v>
      </c>
      <c r="DT21" s="93">
        <f t="shared" si="61"/>
        <v>0.15508323437160815</v>
      </c>
      <c r="DU21" s="93">
        <f t="shared" si="61"/>
        <v>0.15508323437160815</v>
      </c>
      <c r="DV21" s="93">
        <f t="shared" si="61"/>
        <v>0.15508323437160815</v>
      </c>
      <c r="DW21" s="93">
        <f t="shared" si="61"/>
        <v>0.15508323437160815</v>
      </c>
      <c r="DX21" s="93">
        <f t="shared" si="61"/>
        <v>0.15508323437160815</v>
      </c>
      <c r="DY21" s="93">
        <f t="shared" si="61"/>
        <v>0.15508323437160815</v>
      </c>
      <c r="DZ21" s="93">
        <f t="shared" si="61"/>
        <v>0.15508323437160815</v>
      </c>
      <c r="EA21" s="93">
        <f t="shared" si="61"/>
        <v>0.15508323437160815</v>
      </c>
      <c r="EB21" s="93">
        <f t="shared" si="61"/>
        <v>0.15508323437160815</v>
      </c>
      <c r="EC21" s="93">
        <f t="shared" si="61"/>
        <v>0.15508323437160815</v>
      </c>
      <c r="ED21" s="93">
        <f t="shared" si="61"/>
        <v>0.15508323437160815</v>
      </c>
      <c r="EE21" s="93">
        <f t="shared" si="61"/>
        <v>0.18008323437160814</v>
      </c>
      <c r="EF21" s="93">
        <f t="shared" si="61"/>
        <v>0.18008323437160814</v>
      </c>
      <c r="EG21" s="93">
        <f t="shared" si="61"/>
        <v>0.18008323437160814</v>
      </c>
      <c r="EH21" s="93">
        <f t="shared" si="61"/>
        <v>0.18008323437160814</v>
      </c>
      <c r="EI21" s="93">
        <f t="shared" si="61"/>
        <v>0.18008323437160814</v>
      </c>
      <c r="EJ21" s="93">
        <f t="shared" si="61"/>
        <v>0.18008323437160814</v>
      </c>
      <c r="EK21" s="93">
        <f t="shared" si="61"/>
        <v>0.18008323437160814</v>
      </c>
      <c r="EL21" s="93">
        <f t="shared" si="61"/>
        <v>0.18008323437160814</v>
      </c>
      <c r="EM21" s="93">
        <f t="shared" si="61"/>
        <v>0.18008323437160814</v>
      </c>
      <c r="EN21" s="93">
        <f t="shared" si="61"/>
        <v>0.18008323437160814</v>
      </c>
      <c r="EO21" s="93">
        <f t="shared" si="61"/>
        <v>0.18008323437160814</v>
      </c>
      <c r="EP21" s="93">
        <f t="shared" si="61"/>
        <v>0.18008323437160814</v>
      </c>
      <c r="EQ21" s="93">
        <f t="shared" si="61"/>
        <v>0.20508323437160814</v>
      </c>
      <c r="ER21" s="93">
        <f t="shared" si="61"/>
        <v>0.20508323437160814</v>
      </c>
      <c r="ES21" s="93">
        <f t="shared" si="61"/>
        <v>0.20508323437160814</v>
      </c>
      <c r="ET21" s="93">
        <f t="shared" si="61"/>
        <v>0.20508323437160814</v>
      </c>
      <c r="EU21" s="93">
        <f t="shared" si="61"/>
        <v>0.20508323437160814</v>
      </c>
      <c r="EV21" s="93">
        <f t="shared" si="61"/>
        <v>0.20508323437160814</v>
      </c>
      <c r="EW21" s="93">
        <f t="shared" si="61"/>
        <v>0.20508323437160814</v>
      </c>
      <c r="EX21" s="93">
        <f t="shared" si="61"/>
        <v>0.20508323437160814</v>
      </c>
      <c r="EY21" s="93">
        <f t="shared" si="61"/>
        <v>0.20508323437160814</v>
      </c>
      <c r="EZ21" s="93">
        <f t="shared" si="61"/>
        <v>0.20508323437160814</v>
      </c>
      <c r="FA21" s="93">
        <f t="shared" si="61"/>
        <v>0.20508323437160814</v>
      </c>
      <c r="FB21" s="93">
        <f t="shared" si="61"/>
        <v>0.20508323437160814</v>
      </c>
    </row>
    <row r="22" spans="3:158" x14ac:dyDescent="0.25">
      <c r="C22" s="377" t="s">
        <v>664</v>
      </c>
      <c r="D22" s="19">
        <f t="shared" si="58"/>
        <v>1.2014535873082722E-2</v>
      </c>
      <c r="E22" s="19">
        <f t="shared" si="58"/>
        <v>1.2627009731803876E-2</v>
      </c>
      <c r="F22" s="19">
        <f t="shared" si="58"/>
        <v>1.4713578024566654E-2</v>
      </c>
      <c r="G22" s="19">
        <f t="shared" si="58"/>
        <v>1.7482308894516844E-2</v>
      </c>
      <c r="H22" s="263">
        <v>0.04</v>
      </c>
      <c r="I22" s="263">
        <f>H22+2.5%</f>
        <v>6.5000000000000002E-2</v>
      </c>
      <c r="J22" s="263">
        <f>I22+2.5%</f>
        <v>0.09</v>
      </c>
      <c r="K22" s="263">
        <f>J22+2.5%</f>
        <v>0.11499999999999999</v>
      </c>
      <c r="L22" s="263">
        <f>K22+2.5%</f>
        <v>0.13999999999999999</v>
      </c>
      <c r="N22" s="19">
        <f t="shared" ref="N22:BY22" si="64">N12/N$9</f>
        <v>5.2745573603925205E-3</v>
      </c>
      <c r="O22" s="19">
        <f t="shared" si="64"/>
        <v>2.018670233239573E-2</v>
      </c>
      <c r="P22" s="19">
        <f t="shared" si="64"/>
        <v>2.3486506375422888E-2</v>
      </c>
      <c r="Q22" s="19">
        <f t="shared" si="64"/>
        <v>3.3859527071873614E-3</v>
      </c>
      <c r="R22" s="19">
        <f t="shared" si="64"/>
        <v>3.8445408094607949E-3</v>
      </c>
      <c r="S22" s="19">
        <f t="shared" si="64"/>
        <v>1.8845102673375486E-2</v>
      </c>
      <c r="T22" s="19">
        <f t="shared" si="64"/>
        <v>1.7205653125678125E-2</v>
      </c>
      <c r="U22" s="19">
        <f t="shared" si="64"/>
        <v>9.7857207566466944E-3</v>
      </c>
      <c r="V22" s="19">
        <f t="shared" si="64"/>
        <v>6.8723042213175911E-3</v>
      </c>
      <c r="W22" s="19">
        <f t="shared" si="64"/>
        <v>1.8468964562728105E-2</v>
      </c>
      <c r="X22" s="19">
        <f t="shared" si="64"/>
        <v>2.3572720467246511E-2</v>
      </c>
      <c r="Y22" s="19">
        <f t="shared" si="64"/>
        <v>9.0276244906324528E-3</v>
      </c>
      <c r="Z22" s="19">
        <f t="shared" si="64"/>
        <v>1.7516291823092806E-2</v>
      </c>
      <c r="AA22" s="19">
        <f t="shared" si="64"/>
        <v>1.4215575360006227E-2</v>
      </c>
      <c r="AB22" s="19">
        <f t="shared" si="64"/>
        <v>1.0929289484180893E-2</v>
      </c>
      <c r="AC22" s="19">
        <f t="shared" si="64"/>
        <v>2.4300578059407888E-2</v>
      </c>
      <c r="AD22" s="19">
        <f t="shared" si="64"/>
        <v>3.9999999999999994E-2</v>
      </c>
      <c r="AE22" s="19">
        <f t="shared" si="64"/>
        <v>3.9999999999999994E-2</v>
      </c>
      <c r="AF22" s="19">
        <f t="shared" si="64"/>
        <v>0.04</v>
      </c>
      <c r="AG22" s="19">
        <f t="shared" si="64"/>
        <v>4.0000000000000008E-2</v>
      </c>
      <c r="AH22" s="19">
        <f t="shared" si="64"/>
        <v>6.5000000000000002E-2</v>
      </c>
      <c r="AI22" s="19">
        <f t="shared" si="64"/>
        <v>6.5000000000000002E-2</v>
      </c>
      <c r="AJ22" s="19">
        <f t="shared" si="64"/>
        <v>6.5000000000000002E-2</v>
      </c>
      <c r="AK22" s="19">
        <f t="shared" si="64"/>
        <v>6.5000000000000002E-2</v>
      </c>
      <c r="AL22" s="19">
        <f t="shared" si="64"/>
        <v>9.0000000000000011E-2</v>
      </c>
      <c r="AM22" s="19">
        <f t="shared" si="64"/>
        <v>0.09</v>
      </c>
      <c r="AN22" s="19">
        <f t="shared" si="64"/>
        <v>0.09</v>
      </c>
      <c r="AO22" s="19">
        <f t="shared" si="64"/>
        <v>8.9999999999999983E-2</v>
      </c>
      <c r="AP22" s="19">
        <f t="shared" si="64"/>
        <v>0.115</v>
      </c>
      <c r="AQ22" s="19">
        <f t="shared" si="64"/>
        <v>0.11499999999999999</v>
      </c>
      <c r="AR22" s="19">
        <f t="shared" si="64"/>
        <v>0.11499999999999999</v>
      </c>
      <c r="AS22" s="19">
        <f t="shared" si="64"/>
        <v>0.11499999999999999</v>
      </c>
      <c r="AT22" s="19">
        <f t="shared" si="64"/>
        <v>0.14000000000000001</v>
      </c>
      <c r="AU22" s="19">
        <f t="shared" si="64"/>
        <v>0.14000000000000001</v>
      </c>
      <c r="AV22" s="19">
        <f t="shared" si="64"/>
        <v>0.13999999999999999</v>
      </c>
      <c r="AW22" s="19">
        <f t="shared" si="64"/>
        <v>0.14000000000000001</v>
      </c>
      <c r="AX22" s="19"/>
      <c r="AY22" s="19">
        <f t="shared" si="64"/>
        <v>0</v>
      </c>
      <c r="AZ22" s="19">
        <f t="shared" si="64"/>
        <v>1.6635352156542361E-2</v>
      </c>
      <c r="BA22" s="19">
        <f t="shared" si="64"/>
        <v>0</v>
      </c>
      <c r="BB22" s="19">
        <f t="shared" si="64"/>
        <v>0</v>
      </c>
      <c r="BC22" s="19">
        <f t="shared" si="64"/>
        <v>2.9572888627187087E-3</v>
      </c>
      <c r="BD22" s="19">
        <f t="shared" si="64"/>
        <v>3.9905800728775441E-2</v>
      </c>
      <c r="BE22" s="19">
        <f t="shared" si="64"/>
        <v>3.0843294218038955E-2</v>
      </c>
      <c r="BF22" s="19">
        <f t="shared" si="64"/>
        <v>3.6464684258364489E-3</v>
      </c>
      <c r="BG22" s="19">
        <f t="shared" si="64"/>
        <v>3.0284964925447133E-2</v>
      </c>
      <c r="BH22" s="19">
        <f t="shared" si="64"/>
        <v>6.2655961129912544E-3</v>
      </c>
      <c r="BI22" s="19">
        <f t="shared" si="64"/>
        <v>5.2586784374767416E-3</v>
      </c>
      <c r="BJ22" s="19">
        <f t="shared" si="64"/>
        <v>0</v>
      </c>
      <c r="BK22" s="19">
        <f t="shared" si="64"/>
        <v>0</v>
      </c>
      <c r="BL22" s="19">
        <f t="shared" si="64"/>
        <v>3.9071074546899844E-3</v>
      </c>
      <c r="BM22" s="19">
        <f t="shared" si="64"/>
        <v>4.6853966128552584E-3</v>
      </c>
      <c r="BN22" s="19">
        <f t="shared" si="64"/>
        <v>0.10362816202985237</v>
      </c>
      <c r="BO22" s="19">
        <f t="shared" si="64"/>
        <v>0</v>
      </c>
      <c r="BP22" s="19">
        <f t="shared" si="64"/>
        <v>1.3059719157269382E-3</v>
      </c>
      <c r="BQ22" s="19">
        <f t="shared" si="64"/>
        <v>3.7479357711827928E-2</v>
      </c>
      <c r="BR22" s="19">
        <f t="shared" si="64"/>
        <v>2.2676031679165497E-2</v>
      </c>
      <c r="BS22" s="19">
        <f t="shared" si="64"/>
        <v>8.0387144487853498E-3</v>
      </c>
      <c r="BT22" s="19">
        <f t="shared" si="64"/>
        <v>7.5244072961669415E-4</v>
      </c>
      <c r="BU22" s="19">
        <f t="shared" si="64"/>
        <v>1.8494077591442275E-2</v>
      </c>
      <c r="BV22" s="19">
        <f t="shared" si="64"/>
        <v>4.7863716954946803E-3</v>
      </c>
      <c r="BW22" s="19">
        <f t="shared" si="64"/>
        <v>0</v>
      </c>
      <c r="BX22" s="19">
        <f t="shared" si="64"/>
        <v>1.8197114262703339E-2</v>
      </c>
      <c r="BY22" s="19">
        <f t="shared" si="64"/>
        <v>2.2438987373377814E-3</v>
      </c>
      <c r="BZ22" s="19">
        <f t="shared" si="56"/>
        <v>2.4372135159539403E-3</v>
      </c>
      <c r="CA22" s="19">
        <f t="shared" si="56"/>
        <v>3.8671285765748555E-2</v>
      </c>
      <c r="CB22" s="19">
        <f t="shared" si="56"/>
        <v>1.5814624173896896E-2</v>
      </c>
      <c r="CC22" s="19">
        <f t="shared" si="56"/>
        <v>2.2664163394482618E-2</v>
      </c>
      <c r="CD22" s="19">
        <f t="shared" si="56"/>
        <v>2.8582373220968262E-2</v>
      </c>
      <c r="CE22" s="19">
        <f t="shared" si="56"/>
        <v>1.9342682619265139E-2</v>
      </c>
      <c r="CF22" s="19">
        <f t="shared" si="56"/>
        <v>4.4553576934839765E-4</v>
      </c>
      <c r="CG22" s="19">
        <f t="shared" si="56"/>
        <v>2.560991943887642E-3</v>
      </c>
      <c r="CH22" s="19">
        <f t="shared" si="56"/>
        <v>1.6300166250821632E-2</v>
      </c>
      <c r="CI22" s="19">
        <f t="shared" si="56"/>
        <v>2.3854246464800675E-3</v>
      </c>
      <c r="CJ22" s="19">
        <f t="shared" si="56"/>
        <v>1.3342038272081518E-2</v>
      </c>
      <c r="CK22" s="19">
        <f t="shared" si="56"/>
        <v>2.3417175023622862E-2</v>
      </c>
      <c r="CL22" s="19">
        <f t="shared" si="56"/>
        <v>5.9066183363012227E-3</v>
      </c>
      <c r="CM22" s="19">
        <f t="shared" si="56"/>
        <v>2.2622547673993749E-2</v>
      </c>
      <c r="CN22" s="19">
        <f t="shared" si="56"/>
        <v>1.2329672654437695E-2</v>
      </c>
      <c r="CO22" s="19">
        <f t="shared" si="56"/>
        <v>1.324762361718896E-2</v>
      </c>
      <c r="CP22" s="19">
        <f t="shared" si="56"/>
        <v>1.0219595361831485E-2</v>
      </c>
      <c r="CQ22" s="19">
        <f t="shared" si="56"/>
        <v>1.0730575129923061E-2</v>
      </c>
      <c r="CR22" s="19">
        <f t="shared" si="56"/>
        <v>5.5407831044747079E-2</v>
      </c>
      <c r="CS22" s="19">
        <f t="shared" si="56"/>
        <v>2.0602489649630018E-2</v>
      </c>
      <c r="CT22" s="19">
        <f t="shared" si="56"/>
        <v>2.1037598190162349E-2</v>
      </c>
      <c r="CU22" s="93">
        <f t="shared" si="61"/>
        <v>0.04</v>
      </c>
      <c r="CV22" s="93">
        <f t="shared" si="61"/>
        <v>0.04</v>
      </c>
      <c r="CW22" s="93">
        <f t="shared" si="61"/>
        <v>0.04</v>
      </c>
      <c r="CX22" s="93">
        <f t="shared" si="61"/>
        <v>0.04</v>
      </c>
      <c r="CY22" s="93">
        <f t="shared" si="61"/>
        <v>0.04</v>
      </c>
      <c r="CZ22" s="93">
        <f t="shared" si="61"/>
        <v>0.04</v>
      </c>
      <c r="DA22" s="93">
        <f t="shared" si="61"/>
        <v>0.04</v>
      </c>
      <c r="DB22" s="93">
        <f t="shared" si="61"/>
        <v>0.04</v>
      </c>
      <c r="DC22" s="93">
        <f t="shared" si="61"/>
        <v>0.04</v>
      </c>
      <c r="DD22" s="93">
        <f t="shared" si="61"/>
        <v>0.04</v>
      </c>
      <c r="DE22" s="93">
        <f t="shared" si="61"/>
        <v>0.04</v>
      </c>
      <c r="DF22" s="93">
        <f t="shared" si="61"/>
        <v>0.04</v>
      </c>
      <c r="DG22" s="93">
        <f t="shared" si="61"/>
        <v>6.5000000000000002E-2</v>
      </c>
      <c r="DH22" s="93">
        <f t="shared" si="61"/>
        <v>6.5000000000000002E-2</v>
      </c>
      <c r="DI22" s="93">
        <f t="shared" si="61"/>
        <v>6.5000000000000002E-2</v>
      </c>
      <c r="DJ22" s="93">
        <f t="shared" si="61"/>
        <v>6.5000000000000002E-2</v>
      </c>
      <c r="DK22" s="93">
        <f t="shared" si="61"/>
        <v>6.5000000000000002E-2</v>
      </c>
      <c r="DL22" s="93">
        <f t="shared" si="61"/>
        <v>6.5000000000000002E-2</v>
      </c>
      <c r="DM22" s="93">
        <f t="shared" si="61"/>
        <v>6.5000000000000002E-2</v>
      </c>
      <c r="DN22" s="93">
        <f t="shared" si="61"/>
        <v>6.5000000000000002E-2</v>
      </c>
      <c r="DO22" s="93">
        <f t="shared" si="61"/>
        <v>6.5000000000000002E-2</v>
      </c>
      <c r="DP22" s="93">
        <f t="shared" si="61"/>
        <v>6.5000000000000002E-2</v>
      </c>
      <c r="DQ22" s="93">
        <f t="shared" si="61"/>
        <v>6.5000000000000002E-2</v>
      </c>
      <c r="DR22" s="93">
        <f t="shared" si="61"/>
        <v>6.5000000000000002E-2</v>
      </c>
      <c r="DS22" s="93">
        <f t="shared" si="61"/>
        <v>0.09</v>
      </c>
      <c r="DT22" s="93">
        <f t="shared" si="61"/>
        <v>0.09</v>
      </c>
      <c r="DU22" s="93">
        <f t="shared" si="61"/>
        <v>0.09</v>
      </c>
      <c r="DV22" s="93">
        <f t="shared" si="61"/>
        <v>0.09</v>
      </c>
      <c r="DW22" s="93">
        <f t="shared" si="61"/>
        <v>0.09</v>
      </c>
      <c r="DX22" s="93">
        <f t="shared" si="61"/>
        <v>0.09</v>
      </c>
      <c r="DY22" s="93">
        <f t="shared" si="61"/>
        <v>0.09</v>
      </c>
      <c r="DZ22" s="93">
        <f t="shared" si="61"/>
        <v>0.09</v>
      </c>
      <c r="EA22" s="93">
        <f t="shared" si="61"/>
        <v>0.09</v>
      </c>
      <c r="EB22" s="93">
        <f t="shared" si="61"/>
        <v>0.09</v>
      </c>
      <c r="EC22" s="93">
        <f t="shared" si="61"/>
        <v>0.09</v>
      </c>
      <c r="ED22" s="93">
        <f t="shared" si="61"/>
        <v>0.09</v>
      </c>
      <c r="EE22" s="93">
        <f t="shared" si="61"/>
        <v>0.11499999999999999</v>
      </c>
      <c r="EF22" s="93">
        <f t="shared" si="61"/>
        <v>0.11499999999999999</v>
      </c>
      <c r="EG22" s="93">
        <f t="shared" si="61"/>
        <v>0.11499999999999999</v>
      </c>
      <c r="EH22" s="93">
        <f t="shared" si="61"/>
        <v>0.11499999999999999</v>
      </c>
      <c r="EI22" s="93">
        <f t="shared" si="61"/>
        <v>0.11499999999999999</v>
      </c>
      <c r="EJ22" s="93">
        <f t="shared" si="61"/>
        <v>0.11499999999999999</v>
      </c>
      <c r="EK22" s="93">
        <f t="shared" si="61"/>
        <v>0.11499999999999999</v>
      </c>
      <c r="EL22" s="93">
        <f t="shared" si="61"/>
        <v>0.11499999999999999</v>
      </c>
      <c r="EM22" s="93">
        <f t="shared" si="61"/>
        <v>0.11499999999999999</v>
      </c>
      <c r="EN22" s="93">
        <f t="shared" si="61"/>
        <v>0.11499999999999999</v>
      </c>
      <c r="EO22" s="93">
        <f t="shared" si="61"/>
        <v>0.11499999999999999</v>
      </c>
      <c r="EP22" s="93">
        <f t="shared" si="61"/>
        <v>0.11499999999999999</v>
      </c>
      <c r="EQ22" s="93">
        <f t="shared" si="61"/>
        <v>0.13999999999999999</v>
      </c>
      <c r="ER22" s="93">
        <f t="shared" si="61"/>
        <v>0.13999999999999999</v>
      </c>
      <c r="ES22" s="93">
        <f t="shared" si="61"/>
        <v>0.13999999999999999</v>
      </c>
      <c r="ET22" s="93">
        <f t="shared" si="61"/>
        <v>0.13999999999999999</v>
      </c>
      <c r="EU22" s="93">
        <f t="shared" si="61"/>
        <v>0.13999999999999999</v>
      </c>
      <c r="EV22" s="93">
        <f t="shared" si="61"/>
        <v>0.13999999999999999</v>
      </c>
      <c r="EW22" s="93">
        <f t="shared" si="61"/>
        <v>0.13999999999999999</v>
      </c>
      <c r="EX22" s="93">
        <f t="shared" si="61"/>
        <v>0.13999999999999999</v>
      </c>
      <c r="EY22" s="93">
        <f t="shared" si="61"/>
        <v>0.13999999999999999</v>
      </c>
      <c r="EZ22" s="93">
        <f t="shared" si="61"/>
        <v>0.13999999999999999</v>
      </c>
      <c r="FA22" s="93">
        <f t="shared" si="61"/>
        <v>0.13999999999999999</v>
      </c>
      <c r="FB22" s="93">
        <f t="shared" si="61"/>
        <v>0.13999999999999999</v>
      </c>
    </row>
    <row r="24" spans="3:158" x14ac:dyDescent="0.25">
      <c r="C24" s="1" t="s">
        <v>701</v>
      </c>
      <c r="D24" s="22">
        <f t="shared" ref="D24:L26" si="65">SUMIF($AY$2:$FB$2,D$2,$AY24:$FB24)</f>
        <v>0</v>
      </c>
      <c r="E24" s="22">
        <f t="shared" si="65"/>
        <v>0</v>
      </c>
      <c r="F24" s="22">
        <f t="shared" si="65"/>
        <v>0</v>
      </c>
      <c r="G24" s="22">
        <f t="shared" si="65"/>
        <v>3164153.7204521485</v>
      </c>
      <c r="H24" s="22">
        <f t="shared" si="65"/>
        <v>10150000</v>
      </c>
      <c r="I24" s="22">
        <f t="shared" si="65"/>
        <v>30846474.621804282</v>
      </c>
      <c r="J24" s="22">
        <f t="shared" si="65"/>
        <v>58108721.715732411</v>
      </c>
      <c r="K24" s="22">
        <f t="shared" si="65"/>
        <v>89206247.647846788</v>
      </c>
      <c r="L24" s="22">
        <f t="shared" si="65"/>
        <v>133569030.67182927</v>
      </c>
      <c r="M24" s="1"/>
      <c r="N24" s="22">
        <f t="shared" ref="N24:N26" si="66">SUM(AY24:BA24)</f>
        <v>0</v>
      </c>
      <c r="O24" s="22">
        <f t="shared" ref="O24:O26" si="67">SUM(BB24:BD24)</f>
        <v>0</v>
      </c>
      <c r="P24" s="22">
        <f t="shared" ref="P24:P26" si="68">SUM(BE24:BG24)</f>
        <v>0</v>
      </c>
      <c r="Q24" s="22">
        <f t="shared" ref="Q24:Q26" si="69">SUM(BH24:BJ24)</f>
        <v>0</v>
      </c>
      <c r="R24" s="22">
        <f t="shared" ref="R24:R26" si="70">SUM(BK24:BM24)</f>
        <v>0</v>
      </c>
      <c r="S24" s="22">
        <f t="shared" ref="S24:S26" si="71">SUM(BN24:BP24)</f>
        <v>0</v>
      </c>
      <c r="T24" s="22">
        <f t="shared" ref="T24:T26" si="72">SUM(BQ24:BS24)</f>
        <v>0</v>
      </c>
      <c r="U24" s="22">
        <f t="shared" ref="U24:U26" si="73">SUM(BT24:BV24)</f>
        <v>0</v>
      </c>
      <c r="V24" s="22">
        <f t="shared" ref="V24:V26" si="74">SUM(BW24:BY24)</f>
        <v>0</v>
      </c>
      <c r="W24" s="22">
        <f t="shared" ref="W24:W26" si="75">SUM(BZ24:CB24)</f>
        <v>0</v>
      </c>
      <c r="X24" s="22">
        <f t="shared" ref="X24:X26" si="76">SUM(CC24:CE24)</f>
        <v>0</v>
      </c>
      <c r="Y24" s="22">
        <f t="shared" ref="Y24:Y26" si="77">SUM(CF24:CH24)</f>
        <v>0</v>
      </c>
      <c r="Z24" s="22">
        <f t="shared" ref="Z24:Z26" si="78">SUM(CI24:CK24)</f>
        <v>445812.65542343148</v>
      </c>
      <c r="AA24" s="22">
        <f t="shared" ref="AA24:AA26" si="79">SUM(CL24:CN24)</f>
        <v>673327.94002871681</v>
      </c>
      <c r="AB24" s="22">
        <f t="shared" ref="AB24:AB26" si="80">SUM(CO24:CQ24)</f>
        <v>841393.33333333337</v>
      </c>
      <c r="AC24" s="22">
        <f t="shared" ref="AC24:AC26" si="81">SUM(CR24:CT24)</f>
        <v>1203619.791666667</v>
      </c>
      <c r="AD24" s="22">
        <f t="shared" ref="AD24:AD26" si="82">SUM(CU24:CW24)</f>
        <v>1796287.4523457051</v>
      </c>
      <c r="AE24" s="22">
        <f t="shared" ref="AE24:AE26" si="83">SUM(CX24:CZ24)</f>
        <v>2389970.9824748402</v>
      </c>
      <c r="AF24" s="22">
        <f t="shared" ref="AF24:AF26" si="84">SUM(DA24:DC24)</f>
        <v>2356230.7198071796</v>
      </c>
      <c r="AG24" s="22">
        <f t="shared" ref="AG24:AG26" si="85">SUM(DD24:DF24)</f>
        <v>3607510.8453722736</v>
      </c>
      <c r="AH24" s="22">
        <f t="shared" ref="AH24:AH26" si="86">SUM(DG24:DI24)</f>
        <v>5625599.0725387549</v>
      </c>
      <c r="AI24" s="22">
        <f t="shared" ref="AI24:AI26" si="87">SUM(DJ24:DL24)</f>
        <v>7633426.5878516827</v>
      </c>
      <c r="AJ24" s="22">
        <f t="shared" ref="AJ24:AJ26" si="88">SUM(DM24:DO24)</f>
        <v>7160730.1577978153</v>
      </c>
      <c r="AK24" s="22">
        <f t="shared" ref="AK24:AK26" si="89">SUM(DP24:DR24)</f>
        <v>10426718.80361603</v>
      </c>
      <c r="AL24" s="22">
        <f t="shared" ref="AL24:AL26" si="90">SUM(DS24:DU24)</f>
        <v>10597527.756360378</v>
      </c>
      <c r="AM24" s="22">
        <f t="shared" ref="AM24:AM26" si="91">SUM(DV24:DX24)</f>
        <v>14379881.87529875</v>
      </c>
      <c r="AN24" s="22">
        <f t="shared" ref="AN24:AN26" si="92">SUM(DY24:EA24)</f>
        <v>13489414.304959144</v>
      </c>
      <c r="AO24" s="22">
        <f t="shared" ref="AO24:AO26" si="93">SUM(EB24:ED24)</f>
        <v>19641897.779114142</v>
      </c>
      <c r="AP24" s="22">
        <f t="shared" ref="AP24:AP26" si="94">SUM(EE24:EG24)</f>
        <v>16268912.09401471</v>
      </c>
      <c r="AQ24" s="22">
        <f t="shared" ref="AQ24:AQ26" si="95">SUM(EH24:EJ24)</f>
        <v>22075434.906140503</v>
      </c>
      <c r="AR24" s="22">
        <f t="shared" ref="AR24:AR26" si="96">SUM(EK24:EM24)</f>
        <v>20708423.754343219</v>
      </c>
      <c r="AS24" s="22">
        <f t="shared" ref="AS24:AS26" si="97">SUM(EN24:EP24)</f>
        <v>30153476.89334837</v>
      </c>
      <c r="AT24" s="22">
        <f t="shared" ref="AT24:AT26" si="98">SUM(EQ24:ES24)</f>
        <v>24359536.195951581</v>
      </c>
      <c r="AU24" s="22">
        <f t="shared" ref="AU24:AU26" si="99">SUM(ET24:EV24)</f>
        <v>33053676.393969722</v>
      </c>
      <c r="AV24" s="22">
        <f t="shared" ref="AV24:AV26" si="100">SUM(EW24:EY24)</f>
        <v>31006842.688062228</v>
      </c>
      <c r="AW24" s="22">
        <f t="shared" ref="AW24:AW26" si="101">SUM(EZ24:FB24)</f>
        <v>45148975.393845737</v>
      </c>
      <c r="AY24" s="22">
        <f>SUM(AY25:AY27)</f>
        <v>0</v>
      </c>
      <c r="AZ24" s="22">
        <f t="shared" ref="AZ24:DK24" si="102">SUM(AZ25:AZ27)</f>
        <v>0</v>
      </c>
      <c r="BA24" s="22">
        <f t="shared" si="102"/>
        <v>0</v>
      </c>
      <c r="BB24" s="22">
        <f t="shared" si="102"/>
        <v>0</v>
      </c>
      <c r="BC24" s="22">
        <f t="shared" si="102"/>
        <v>0</v>
      </c>
      <c r="BD24" s="22">
        <f t="shared" si="102"/>
        <v>0</v>
      </c>
      <c r="BE24" s="22">
        <f t="shared" si="102"/>
        <v>0</v>
      </c>
      <c r="BF24" s="22">
        <f t="shared" si="102"/>
        <v>0</v>
      </c>
      <c r="BG24" s="22">
        <f t="shared" si="102"/>
        <v>0</v>
      </c>
      <c r="BH24" s="22">
        <f t="shared" si="102"/>
        <v>0</v>
      </c>
      <c r="BI24" s="22">
        <f t="shared" si="102"/>
        <v>0</v>
      </c>
      <c r="BJ24" s="22">
        <f t="shared" si="102"/>
        <v>0</v>
      </c>
      <c r="BK24" s="22">
        <f t="shared" si="102"/>
        <v>0</v>
      </c>
      <c r="BL24" s="22">
        <f t="shared" si="102"/>
        <v>0</v>
      </c>
      <c r="BM24" s="22">
        <f t="shared" si="102"/>
        <v>0</v>
      </c>
      <c r="BN24" s="22">
        <f t="shared" si="102"/>
        <v>0</v>
      </c>
      <c r="BO24" s="22">
        <f t="shared" si="102"/>
        <v>0</v>
      </c>
      <c r="BP24" s="22">
        <f t="shared" si="102"/>
        <v>0</v>
      </c>
      <c r="BQ24" s="22">
        <f t="shared" si="102"/>
        <v>0</v>
      </c>
      <c r="BR24" s="22">
        <f t="shared" si="102"/>
        <v>0</v>
      </c>
      <c r="BS24" s="22">
        <f t="shared" si="102"/>
        <v>0</v>
      </c>
      <c r="BT24" s="22">
        <f t="shared" si="102"/>
        <v>0</v>
      </c>
      <c r="BU24" s="22">
        <f t="shared" si="102"/>
        <v>0</v>
      </c>
      <c r="BV24" s="22">
        <f t="shared" si="102"/>
        <v>0</v>
      </c>
      <c r="BW24" s="22">
        <f t="shared" si="102"/>
        <v>0</v>
      </c>
      <c r="BX24" s="22">
        <f t="shared" si="102"/>
        <v>0</v>
      </c>
      <c r="BY24" s="22">
        <f t="shared" si="102"/>
        <v>0</v>
      </c>
      <c r="BZ24" s="22">
        <f t="shared" si="102"/>
        <v>0</v>
      </c>
      <c r="CA24" s="22">
        <f t="shared" si="102"/>
        <v>0</v>
      </c>
      <c r="CB24" s="22">
        <f t="shared" si="102"/>
        <v>0</v>
      </c>
      <c r="CC24" s="22">
        <f t="shared" si="102"/>
        <v>0</v>
      </c>
      <c r="CD24" s="22">
        <f t="shared" si="102"/>
        <v>0</v>
      </c>
      <c r="CE24" s="22">
        <f t="shared" si="102"/>
        <v>0</v>
      </c>
      <c r="CF24" s="22">
        <f t="shared" si="102"/>
        <v>0</v>
      </c>
      <c r="CG24" s="22">
        <f t="shared" si="102"/>
        <v>0</v>
      </c>
      <c r="CH24" s="22">
        <f t="shared" si="102"/>
        <v>0</v>
      </c>
      <c r="CI24" s="22">
        <f t="shared" si="102"/>
        <v>69873.194757429854</v>
      </c>
      <c r="CJ24" s="22">
        <f t="shared" si="102"/>
        <v>104844.4637584764</v>
      </c>
      <c r="CK24" s="22">
        <f t="shared" si="102"/>
        <v>271094.99690752523</v>
      </c>
      <c r="CL24" s="22">
        <f t="shared" si="102"/>
        <v>121294.15371241067</v>
      </c>
      <c r="CM24" s="22">
        <f t="shared" si="102"/>
        <v>195291.64472380091</v>
      </c>
      <c r="CN24" s="22">
        <f t="shared" si="102"/>
        <v>356742.14159250521</v>
      </c>
      <c r="CO24" s="22">
        <f t="shared" si="102"/>
        <v>117813.16666666669</v>
      </c>
      <c r="CP24" s="22">
        <f t="shared" si="102"/>
        <v>294469.4375</v>
      </c>
      <c r="CQ24" s="22">
        <f t="shared" si="102"/>
        <v>429110.72916666669</v>
      </c>
      <c r="CR24" s="22">
        <f t="shared" si="102"/>
        <v>116578.52083333333</v>
      </c>
      <c r="CS24" s="22">
        <f t="shared" si="102"/>
        <v>481148.66666666674</v>
      </c>
      <c r="CT24" s="22">
        <f t="shared" si="102"/>
        <v>605892.60416666674</v>
      </c>
      <c r="CU24" s="22">
        <f t="shared" si="102"/>
        <v>237451.36908796517</v>
      </c>
      <c r="CV24" s="22">
        <f t="shared" si="102"/>
        <v>521867.61240318953</v>
      </c>
      <c r="CW24" s="22">
        <f t="shared" si="102"/>
        <v>1036968.4708545504</v>
      </c>
      <c r="CX24" s="22">
        <f t="shared" si="102"/>
        <v>414621.04151997552</v>
      </c>
      <c r="CY24" s="22">
        <f t="shared" si="102"/>
        <v>813223.55368985189</v>
      </c>
      <c r="CZ24" s="22">
        <f t="shared" si="102"/>
        <v>1162126.3872650128</v>
      </c>
      <c r="DA24" s="22">
        <f t="shared" si="102"/>
        <v>398132.24170713406</v>
      </c>
      <c r="DB24" s="22">
        <f t="shared" si="102"/>
        <v>709909.21791014867</v>
      </c>
      <c r="DC24" s="22">
        <f t="shared" si="102"/>
        <v>1248189.2601898971</v>
      </c>
      <c r="DD24" s="22">
        <f t="shared" si="102"/>
        <v>535974.61262078676</v>
      </c>
      <c r="DE24" s="22">
        <f t="shared" si="102"/>
        <v>1429674.1864867762</v>
      </c>
      <c r="DF24" s="22">
        <f t="shared" si="102"/>
        <v>1641862.0462647106</v>
      </c>
      <c r="DG24" s="22">
        <f t="shared" si="102"/>
        <v>777152.97751970089</v>
      </c>
      <c r="DH24" s="22">
        <f t="shared" si="102"/>
        <v>1641511.4436726053</v>
      </c>
      <c r="DI24" s="22">
        <f t="shared" si="102"/>
        <v>3206934.6513464488</v>
      </c>
      <c r="DJ24" s="22">
        <f t="shared" si="102"/>
        <v>1383444.7590696786</v>
      </c>
      <c r="DK24" s="22">
        <f t="shared" si="102"/>
        <v>2594822.3231914053</v>
      </c>
      <c r="DL24" s="22">
        <f t="shared" ref="DL24:FB24" si="103">SUM(DL25:DL27)</f>
        <v>3655159.5055905986</v>
      </c>
      <c r="DM24" s="22">
        <f t="shared" si="103"/>
        <v>1209948.3832454348</v>
      </c>
      <c r="DN24" s="22">
        <f t="shared" si="103"/>
        <v>2157457.8003990473</v>
      </c>
      <c r="DO24" s="22">
        <f t="shared" si="103"/>
        <v>3793323.9741533329</v>
      </c>
      <c r="DP24" s="22">
        <f t="shared" si="103"/>
        <v>1449950.2783401832</v>
      </c>
      <c r="DQ24" s="22">
        <f t="shared" si="103"/>
        <v>4165958.2807810255</v>
      </c>
      <c r="DR24" s="22">
        <f t="shared" si="103"/>
        <v>4810810.2444948219</v>
      </c>
      <c r="DS24" s="22">
        <f t="shared" si="103"/>
        <v>1464004.12542844</v>
      </c>
      <c r="DT24" s="22">
        <f t="shared" si="103"/>
        <v>3092286.3258460183</v>
      </c>
      <c r="DU24" s="22">
        <f t="shared" si="103"/>
        <v>6041237.3050859207</v>
      </c>
      <c r="DV24" s="22">
        <f t="shared" si="103"/>
        <v>2606139.1941704564</v>
      </c>
      <c r="DW24" s="22">
        <f t="shared" si="103"/>
        <v>4888137.4655863373</v>
      </c>
      <c r="DX24" s="22">
        <f t="shared" si="103"/>
        <v>6885605.2155419569</v>
      </c>
      <c r="DY24" s="22">
        <f t="shared" si="103"/>
        <v>2279305.9743271503</v>
      </c>
      <c r="DZ24" s="22">
        <f t="shared" si="103"/>
        <v>4064228.2942831591</v>
      </c>
      <c r="EA24" s="22">
        <f t="shared" si="103"/>
        <v>7145880.0363488346</v>
      </c>
      <c r="EB24" s="22">
        <f t="shared" si="103"/>
        <v>2731422.5777412429</v>
      </c>
      <c r="EC24" s="22">
        <f t="shared" si="103"/>
        <v>7847850.1477163583</v>
      </c>
      <c r="ED24" s="22">
        <f t="shared" si="103"/>
        <v>9062625.0536565408</v>
      </c>
      <c r="EE24" s="22">
        <f t="shared" si="103"/>
        <v>2247482.1457839864</v>
      </c>
      <c r="EF24" s="22">
        <f t="shared" si="103"/>
        <v>4747157.5976310959</v>
      </c>
      <c r="EG24" s="22">
        <f t="shared" si="103"/>
        <v>9274272.3505996279</v>
      </c>
      <c r="EH24" s="22">
        <f t="shared" si="103"/>
        <v>4000843.4447627282</v>
      </c>
      <c r="EI24" s="22">
        <f t="shared" si="103"/>
        <v>7504078.3623666549</v>
      </c>
      <c r="EJ24" s="22">
        <f t="shared" si="103"/>
        <v>10570513.099011119</v>
      </c>
      <c r="EK24" s="22">
        <f t="shared" si="103"/>
        <v>3499101.8079132033</v>
      </c>
      <c r="EL24" s="22">
        <f t="shared" si="103"/>
        <v>6239245.0739292577</v>
      </c>
      <c r="EM24" s="22">
        <f t="shared" si="103"/>
        <v>10970076.872500757</v>
      </c>
      <c r="EN24" s="22">
        <f t="shared" si="103"/>
        <v>4193173.6184610752</v>
      </c>
      <c r="EO24" s="22">
        <f t="shared" si="103"/>
        <v>12047714.062703891</v>
      </c>
      <c r="EP24" s="22">
        <f t="shared" si="103"/>
        <v>13912589.212183405</v>
      </c>
      <c r="EQ24" s="22">
        <f t="shared" si="103"/>
        <v>3365168.0188327683</v>
      </c>
      <c r="ER24" s="22">
        <f t="shared" si="103"/>
        <v>7107946.5338019952</v>
      </c>
      <c r="ES24" s="22">
        <f t="shared" si="103"/>
        <v>13886421.643316817</v>
      </c>
      <c r="ET24" s="22">
        <f t="shared" si="103"/>
        <v>5990486.0351964207</v>
      </c>
      <c r="EU24" s="22">
        <f t="shared" si="103"/>
        <v>11235899.943953704</v>
      </c>
      <c r="EV24" s="22">
        <f t="shared" si="103"/>
        <v>15827290.414819598</v>
      </c>
      <c r="EW24" s="22">
        <f t="shared" si="103"/>
        <v>5239225.3797068335</v>
      </c>
      <c r="EX24" s="22">
        <f t="shared" si="103"/>
        <v>9342057.7439660076</v>
      </c>
      <c r="EY24" s="22">
        <f t="shared" si="103"/>
        <v>16425559.564389389</v>
      </c>
      <c r="EZ24" s="22">
        <f t="shared" si="103"/>
        <v>6278463.1169277905</v>
      </c>
      <c r="FA24" s="22">
        <f t="shared" si="103"/>
        <v>18039111.963539325</v>
      </c>
      <c r="FB24" s="22">
        <f t="shared" si="103"/>
        <v>20831400.313378617</v>
      </c>
    </row>
    <row r="25" spans="3:158" x14ac:dyDescent="0.25">
      <c r="C25" s="377" t="s">
        <v>665</v>
      </c>
      <c r="D25" s="16">
        <f t="shared" si="65"/>
        <v>0</v>
      </c>
      <c r="E25" s="16">
        <f t="shared" si="65"/>
        <v>0</v>
      </c>
      <c r="F25" s="16">
        <f t="shared" si="65"/>
        <v>0</v>
      </c>
      <c r="G25" s="16">
        <f t="shared" si="65"/>
        <v>2884732.9183109207</v>
      </c>
      <c r="H25" s="16">
        <f t="shared" si="65"/>
        <v>7480521.6992484275</v>
      </c>
      <c r="I25" s="16">
        <f t="shared" si="65"/>
        <v>20776914.012782864</v>
      </c>
      <c r="J25" s="16">
        <f t="shared" si="65"/>
        <v>35318898.835668936</v>
      </c>
      <c r="K25" s="16">
        <f t="shared" si="65"/>
        <v>46995988.458015747</v>
      </c>
      <c r="L25" s="16">
        <f t="shared" si="65"/>
        <v>61127564.505284525</v>
      </c>
      <c r="N25" s="16">
        <f t="shared" si="66"/>
        <v>0</v>
      </c>
      <c r="O25" s="16">
        <f t="shared" si="67"/>
        <v>0</v>
      </c>
      <c r="P25" s="16">
        <f t="shared" si="68"/>
        <v>0</v>
      </c>
      <c r="Q25" s="16">
        <f t="shared" si="69"/>
        <v>0</v>
      </c>
      <c r="R25" s="16">
        <f t="shared" si="70"/>
        <v>0</v>
      </c>
      <c r="S25" s="16">
        <f t="shared" si="71"/>
        <v>0</v>
      </c>
      <c r="T25" s="16">
        <f t="shared" si="72"/>
        <v>0</v>
      </c>
      <c r="U25" s="16">
        <f t="shared" si="73"/>
        <v>0</v>
      </c>
      <c r="V25" s="16">
        <f t="shared" si="74"/>
        <v>0</v>
      </c>
      <c r="W25" s="16">
        <f t="shared" si="75"/>
        <v>0</v>
      </c>
      <c r="X25" s="16">
        <f t="shared" si="76"/>
        <v>0</v>
      </c>
      <c r="Y25" s="16">
        <f t="shared" si="77"/>
        <v>0</v>
      </c>
      <c r="Z25" s="16">
        <f t="shared" si="78"/>
        <v>406100.40065948706</v>
      </c>
      <c r="AA25" s="16">
        <f t="shared" si="79"/>
        <v>622908.45515143313</v>
      </c>
      <c r="AB25" s="16">
        <f t="shared" si="80"/>
        <v>794127.70833333337</v>
      </c>
      <c r="AC25" s="16">
        <f t="shared" si="81"/>
        <v>1061596.3541666667</v>
      </c>
      <c r="AD25" s="16">
        <f t="shared" si="82"/>
        <v>1323858.8438778054</v>
      </c>
      <c r="AE25" s="16">
        <f t="shared" si="83"/>
        <v>1761401.9502440519</v>
      </c>
      <c r="AF25" s="16">
        <f t="shared" si="84"/>
        <v>1736535.4707343203</v>
      </c>
      <c r="AG25" s="16">
        <f t="shared" si="85"/>
        <v>2658725.4343922497</v>
      </c>
      <c r="AH25" s="16">
        <f t="shared" si="86"/>
        <v>3789171.6844008025</v>
      </c>
      <c r="AI25" s="16">
        <f t="shared" si="87"/>
        <v>5141561.5490327971</v>
      </c>
      <c r="AJ25" s="16">
        <f t="shared" si="88"/>
        <v>4823172.7152424883</v>
      </c>
      <c r="AK25" s="16">
        <f t="shared" si="89"/>
        <v>7023008.0641067754</v>
      </c>
      <c r="AL25" s="16">
        <f t="shared" si="90"/>
        <v>6441253.562006155</v>
      </c>
      <c r="AM25" s="16">
        <f t="shared" si="91"/>
        <v>8740195.5890046973</v>
      </c>
      <c r="AN25" s="16">
        <f t="shared" si="92"/>
        <v>8198962.9976714486</v>
      </c>
      <c r="AO25" s="16">
        <f t="shared" si="93"/>
        <v>11938486.686986636</v>
      </c>
      <c r="AP25" s="16">
        <f t="shared" si="94"/>
        <v>8570852.6606010962</v>
      </c>
      <c r="AQ25" s="16">
        <f t="shared" si="95"/>
        <v>11629867.990302116</v>
      </c>
      <c r="AR25" s="16">
        <f t="shared" si="96"/>
        <v>10909693.76477639</v>
      </c>
      <c r="AS25" s="16">
        <f t="shared" si="97"/>
        <v>15885574.04233614</v>
      </c>
      <c r="AT25" s="16">
        <f t="shared" si="98"/>
        <v>11148086.593480784</v>
      </c>
      <c r="AU25" s="16">
        <f t="shared" si="99"/>
        <v>15126940.172781549</v>
      </c>
      <c r="AV25" s="16">
        <f t="shared" si="100"/>
        <v>14190211.361019352</v>
      </c>
      <c r="AW25" s="16">
        <f t="shared" si="101"/>
        <v>20662326.378002848</v>
      </c>
      <c r="AY25" s="16">
        <f>AY10*AY30</f>
        <v>0</v>
      </c>
      <c r="AZ25" s="16">
        <f t="shared" ref="AZ25:DK26" si="104">AZ10*AZ30</f>
        <v>0</v>
      </c>
      <c r="BA25" s="16">
        <f t="shared" si="104"/>
        <v>0</v>
      </c>
      <c r="BB25" s="16">
        <f t="shared" si="104"/>
        <v>0</v>
      </c>
      <c r="BC25" s="16">
        <f t="shared" si="104"/>
        <v>0</v>
      </c>
      <c r="BD25" s="16">
        <f t="shared" si="104"/>
        <v>0</v>
      </c>
      <c r="BE25" s="16">
        <f t="shared" si="104"/>
        <v>0</v>
      </c>
      <c r="BF25" s="16">
        <f t="shared" si="104"/>
        <v>0</v>
      </c>
      <c r="BG25" s="16">
        <f t="shared" si="104"/>
        <v>0</v>
      </c>
      <c r="BH25" s="16">
        <f t="shared" si="104"/>
        <v>0</v>
      </c>
      <c r="BI25" s="16">
        <f t="shared" si="104"/>
        <v>0</v>
      </c>
      <c r="BJ25" s="16">
        <f t="shared" si="104"/>
        <v>0</v>
      </c>
      <c r="BK25" s="16">
        <f t="shared" si="104"/>
        <v>0</v>
      </c>
      <c r="BL25" s="16">
        <f t="shared" si="104"/>
        <v>0</v>
      </c>
      <c r="BM25" s="16">
        <f t="shared" si="104"/>
        <v>0</v>
      </c>
      <c r="BN25" s="16">
        <f t="shared" si="104"/>
        <v>0</v>
      </c>
      <c r="BO25" s="16">
        <f t="shared" si="104"/>
        <v>0</v>
      </c>
      <c r="BP25" s="16">
        <f t="shared" si="104"/>
        <v>0</v>
      </c>
      <c r="BQ25" s="16">
        <f t="shared" si="104"/>
        <v>0</v>
      </c>
      <c r="BR25" s="16">
        <f t="shared" si="104"/>
        <v>0</v>
      </c>
      <c r="BS25" s="16">
        <f t="shared" si="104"/>
        <v>0</v>
      </c>
      <c r="BT25" s="16">
        <f t="shared" si="104"/>
        <v>0</v>
      </c>
      <c r="BU25" s="16">
        <f t="shared" si="104"/>
        <v>0</v>
      </c>
      <c r="BV25" s="16">
        <f t="shared" si="104"/>
        <v>0</v>
      </c>
      <c r="BW25" s="16">
        <f t="shared" si="104"/>
        <v>0</v>
      </c>
      <c r="BX25" s="16">
        <f t="shared" si="104"/>
        <v>0</v>
      </c>
      <c r="BY25" s="16">
        <f t="shared" si="104"/>
        <v>0</v>
      </c>
      <c r="BZ25" s="16">
        <f t="shared" si="104"/>
        <v>0</v>
      </c>
      <c r="CA25" s="16">
        <f t="shared" si="104"/>
        <v>0</v>
      </c>
      <c r="CB25" s="16">
        <f t="shared" si="104"/>
        <v>0</v>
      </c>
      <c r="CC25" s="16">
        <f t="shared" si="104"/>
        <v>0</v>
      </c>
      <c r="CD25" s="16">
        <f t="shared" si="104"/>
        <v>0</v>
      </c>
      <c r="CE25" s="16">
        <f t="shared" si="104"/>
        <v>0</v>
      </c>
      <c r="CF25" s="16">
        <f t="shared" si="104"/>
        <v>0</v>
      </c>
      <c r="CG25" s="16">
        <f t="shared" si="104"/>
        <v>0</v>
      </c>
      <c r="CH25" s="16">
        <f t="shared" si="104"/>
        <v>0</v>
      </c>
      <c r="CI25" s="16">
        <f t="shared" si="104"/>
        <v>68998.194196946308</v>
      </c>
      <c r="CJ25" s="16">
        <f t="shared" si="104"/>
        <v>97344.459197540637</v>
      </c>
      <c r="CK25" s="16">
        <f t="shared" si="104"/>
        <v>239757.74726500013</v>
      </c>
      <c r="CL25" s="16">
        <f t="shared" si="104"/>
        <v>117445.65518105292</v>
      </c>
      <c r="CM25" s="16">
        <f t="shared" si="104"/>
        <v>171392.15148841773</v>
      </c>
      <c r="CN25" s="16">
        <f t="shared" si="104"/>
        <v>334070.64848196256</v>
      </c>
      <c r="CO25" s="16">
        <f t="shared" si="104"/>
        <v>109219.41666666669</v>
      </c>
      <c r="CP25" s="16">
        <f t="shared" si="104"/>
        <v>279000.6875</v>
      </c>
      <c r="CQ25" s="16">
        <f t="shared" si="104"/>
        <v>405907.60416666669</v>
      </c>
      <c r="CR25" s="16">
        <f t="shared" si="104"/>
        <v>84195.708333333328</v>
      </c>
      <c r="CS25" s="16">
        <f t="shared" si="104"/>
        <v>432984.60416666674</v>
      </c>
      <c r="CT25" s="16">
        <f t="shared" si="104"/>
        <v>544416.04166666674</v>
      </c>
      <c r="CU25" s="16">
        <f t="shared" si="104"/>
        <v>175000.99694372129</v>
      </c>
      <c r="CV25" s="16">
        <f t="shared" si="104"/>
        <v>384614.97524305689</v>
      </c>
      <c r="CW25" s="16">
        <f t="shared" si="104"/>
        <v>764242.87169102719</v>
      </c>
      <c r="CX25" s="16">
        <f t="shared" si="104"/>
        <v>305574.55153252813</v>
      </c>
      <c r="CY25" s="16">
        <f t="shared" si="104"/>
        <v>599343.49159771984</v>
      </c>
      <c r="CZ25" s="16">
        <f t="shared" si="104"/>
        <v>856483.90711380402</v>
      </c>
      <c r="DA25" s="16">
        <f t="shared" si="104"/>
        <v>293422.3520453829</v>
      </c>
      <c r="DB25" s="16">
        <f t="shared" si="104"/>
        <v>523201.11419441854</v>
      </c>
      <c r="DC25" s="16">
        <f t="shared" si="104"/>
        <v>919912.00449451897</v>
      </c>
      <c r="DD25" s="16">
        <f t="shared" si="104"/>
        <v>395011.79506956314</v>
      </c>
      <c r="DE25" s="16">
        <f t="shared" si="104"/>
        <v>1053665.8891497215</v>
      </c>
      <c r="DF25" s="16">
        <f t="shared" si="104"/>
        <v>1210047.750172965</v>
      </c>
      <c r="DG25" s="16">
        <f t="shared" si="104"/>
        <v>523458.21643071552</v>
      </c>
      <c r="DH25" s="16">
        <f t="shared" si="104"/>
        <v>1105654.4559577249</v>
      </c>
      <c r="DI25" s="16">
        <f t="shared" si="104"/>
        <v>2160059.012012362</v>
      </c>
      <c r="DJ25" s="16">
        <f t="shared" si="104"/>
        <v>931831.37305123033</v>
      </c>
      <c r="DK25" s="16">
        <f t="shared" si="104"/>
        <v>1747765.3750840144</v>
      </c>
      <c r="DL25" s="16">
        <f t="shared" ref="DL25:FB27" si="105">DL10*DL30</f>
        <v>2461964.8008975526</v>
      </c>
      <c r="DM25" s="16">
        <f t="shared" si="105"/>
        <v>814971.36469611933</v>
      </c>
      <c r="DN25" s="16">
        <f t="shared" si="105"/>
        <v>1453174.6578720289</v>
      </c>
      <c r="DO25" s="16">
        <f t="shared" si="105"/>
        <v>2555026.6926743402</v>
      </c>
      <c r="DP25" s="16">
        <f t="shared" si="105"/>
        <v>976626.74990385852</v>
      </c>
      <c r="DQ25" s="16">
        <f t="shared" si="105"/>
        <v>2806017.8040392627</v>
      </c>
      <c r="DR25" s="16">
        <f t="shared" si="105"/>
        <v>3240363.5101636546</v>
      </c>
      <c r="DS25" s="16">
        <f t="shared" si="105"/>
        <v>889832.23299867997</v>
      </c>
      <c r="DT25" s="16">
        <f t="shared" si="105"/>
        <v>1879513.8610648289</v>
      </c>
      <c r="DU25" s="16">
        <f t="shared" si="105"/>
        <v>3671907.4679426462</v>
      </c>
      <c r="DV25" s="16">
        <f t="shared" si="105"/>
        <v>1584030.1392425485</v>
      </c>
      <c r="DW25" s="16">
        <f t="shared" si="105"/>
        <v>2971045.0952003179</v>
      </c>
      <c r="DX25" s="16">
        <f t="shared" si="105"/>
        <v>4185120.3545618304</v>
      </c>
      <c r="DY25" s="16">
        <f t="shared" si="105"/>
        <v>1385378.5584307748</v>
      </c>
      <c r="DZ25" s="16">
        <f t="shared" si="105"/>
        <v>2470267.177327822</v>
      </c>
      <c r="EA25" s="16">
        <f t="shared" si="105"/>
        <v>4343317.2619128516</v>
      </c>
      <c r="EB25" s="16">
        <f t="shared" si="105"/>
        <v>1660178.2805107965</v>
      </c>
      <c r="EC25" s="16">
        <f t="shared" si="105"/>
        <v>4769979.7424667887</v>
      </c>
      <c r="ED25" s="16">
        <f t="shared" si="105"/>
        <v>5508328.6640090523</v>
      </c>
      <c r="EE25" s="16">
        <f t="shared" si="105"/>
        <v>1184027.4394212805</v>
      </c>
      <c r="EF25" s="16">
        <f t="shared" si="105"/>
        <v>2500916.3545064512</v>
      </c>
      <c r="EG25" s="16">
        <f t="shared" si="105"/>
        <v>4885908.8666733643</v>
      </c>
      <c r="EH25" s="16">
        <f t="shared" si="105"/>
        <v>2107740.1786323818</v>
      </c>
      <c r="EI25" s="16">
        <f t="shared" si="105"/>
        <v>3953328.2634867257</v>
      </c>
      <c r="EJ25" s="16">
        <f t="shared" si="105"/>
        <v>5568799.5481830081</v>
      </c>
      <c r="EK25" s="16">
        <f t="shared" si="105"/>
        <v>1843410.6636485134</v>
      </c>
      <c r="EL25" s="16">
        <f t="shared" si="105"/>
        <v>3286983.7843491952</v>
      </c>
      <c r="EM25" s="16">
        <f t="shared" si="105"/>
        <v>5779299.3167786822</v>
      </c>
      <c r="EN25" s="16">
        <f t="shared" si="105"/>
        <v>2209064.3219697108</v>
      </c>
      <c r="EO25" s="16">
        <f t="shared" si="105"/>
        <v>6347024.4065351905</v>
      </c>
      <c r="EP25" s="16">
        <f t="shared" si="105"/>
        <v>7329485.313831239</v>
      </c>
      <c r="EQ25" s="16">
        <f t="shared" si="105"/>
        <v>1540061.5255472185</v>
      </c>
      <c r="ER25" s="16">
        <f t="shared" si="105"/>
        <v>3252935.6397937285</v>
      </c>
      <c r="ES25" s="16">
        <f t="shared" si="105"/>
        <v>6355089.4281398384</v>
      </c>
      <c r="ET25" s="16">
        <f t="shared" si="105"/>
        <v>2741532.3723817845</v>
      </c>
      <c r="EU25" s="16">
        <f t="shared" si="105"/>
        <v>5142084.1728381971</v>
      </c>
      <c r="EV25" s="16">
        <f t="shared" si="105"/>
        <v>7243323.6275615674</v>
      </c>
      <c r="EW25" s="16">
        <f t="shared" si="105"/>
        <v>2397719.6341464417</v>
      </c>
      <c r="EX25" s="16">
        <f t="shared" si="105"/>
        <v>4275371.5774087394</v>
      </c>
      <c r="EY25" s="16">
        <f t="shared" si="105"/>
        <v>7517120.1494641714</v>
      </c>
      <c r="EZ25" s="16">
        <f t="shared" si="105"/>
        <v>2873324.4318961506</v>
      </c>
      <c r="FA25" s="16">
        <f t="shared" si="105"/>
        <v>8255558.7520772899</v>
      </c>
      <c r="FB25" s="16">
        <f t="shared" si="105"/>
        <v>9533443.1940294076</v>
      </c>
    </row>
    <row r="26" spans="3:158" x14ac:dyDescent="0.25">
      <c r="C26" s="377" t="s">
        <v>314</v>
      </c>
      <c r="D26" s="16">
        <f t="shared" si="65"/>
        <v>0</v>
      </c>
      <c r="E26" s="16">
        <f t="shared" si="65"/>
        <v>0</v>
      </c>
      <c r="F26" s="16">
        <f t="shared" si="65"/>
        <v>0</v>
      </c>
      <c r="G26" s="16">
        <f t="shared" si="65"/>
        <v>0</v>
      </c>
      <c r="H26" s="16">
        <f t="shared" si="65"/>
        <v>919478.30075157119</v>
      </c>
      <c r="I26" s="16">
        <f t="shared" si="65"/>
        <v>4197216.8590214187</v>
      </c>
      <c r="J26" s="16">
        <f t="shared" si="65"/>
        <v>10157830.692563478</v>
      </c>
      <c r="K26" s="16">
        <f t="shared" si="65"/>
        <v>19209506.748424809</v>
      </c>
      <c r="L26" s="16">
        <f t="shared" si="65"/>
        <v>30626764.916544732</v>
      </c>
      <c r="N26" s="16">
        <f t="shared" si="66"/>
        <v>0</v>
      </c>
      <c r="O26" s="16">
        <f t="shared" si="67"/>
        <v>0</v>
      </c>
      <c r="P26" s="16">
        <f t="shared" si="68"/>
        <v>0</v>
      </c>
      <c r="Q26" s="16">
        <f t="shared" si="69"/>
        <v>0</v>
      </c>
      <c r="R26" s="16">
        <f t="shared" si="70"/>
        <v>0</v>
      </c>
      <c r="S26" s="16">
        <f t="shared" si="71"/>
        <v>0</v>
      </c>
      <c r="T26" s="16">
        <f t="shared" si="72"/>
        <v>0</v>
      </c>
      <c r="U26" s="16">
        <f t="shared" si="73"/>
        <v>0</v>
      </c>
      <c r="V26" s="16">
        <f t="shared" si="74"/>
        <v>0</v>
      </c>
      <c r="W26" s="16">
        <f t="shared" si="75"/>
        <v>0</v>
      </c>
      <c r="X26" s="16">
        <f t="shared" si="76"/>
        <v>0</v>
      </c>
      <c r="Y26" s="16">
        <f t="shared" si="77"/>
        <v>0</v>
      </c>
      <c r="Z26" s="16">
        <f t="shared" si="78"/>
        <v>0</v>
      </c>
      <c r="AA26" s="16">
        <f t="shared" si="79"/>
        <v>0</v>
      </c>
      <c r="AB26" s="16">
        <f t="shared" si="80"/>
        <v>0</v>
      </c>
      <c r="AC26" s="16">
        <f t="shared" si="81"/>
        <v>0</v>
      </c>
      <c r="AD26" s="16">
        <f t="shared" si="82"/>
        <v>162723.87530484711</v>
      </c>
      <c r="AE26" s="16">
        <f t="shared" si="83"/>
        <v>216505.06973512608</v>
      </c>
      <c r="AF26" s="16">
        <f t="shared" si="84"/>
        <v>213448.57324403524</v>
      </c>
      <c r="AG26" s="16">
        <f t="shared" si="85"/>
        <v>326800.78246756282</v>
      </c>
      <c r="AH26" s="16">
        <f t="shared" si="86"/>
        <v>765463.78666768409</v>
      </c>
      <c r="AI26" s="16">
        <f t="shared" si="87"/>
        <v>1038664.7796693787</v>
      </c>
      <c r="AJ26" s="16">
        <f t="shared" si="88"/>
        <v>974345.94097722857</v>
      </c>
      <c r="AK26" s="16">
        <f t="shared" si="89"/>
        <v>1418742.3517071276</v>
      </c>
      <c r="AL26" s="16">
        <f t="shared" si="90"/>
        <v>1852525.5681146076</v>
      </c>
      <c r="AM26" s="16">
        <f t="shared" si="91"/>
        <v>2513708.8057609126</v>
      </c>
      <c r="AN26" s="16">
        <f t="shared" si="92"/>
        <v>2358048.5442776661</v>
      </c>
      <c r="AO26" s="16">
        <f t="shared" si="93"/>
        <v>3433547.7744102925</v>
      </c>
      <c r="AP26" s="16">
        <f t="shared" si="94"/>
        <v>3503317.1431356459</v>
      </c>
      <c r="AQ26" s="16">
        <f t="shared" si="95"/>
        <v>4753682.9200342922</v>
      </c>
      <c r="AR26" s="16">
        <f t="shared" si="96"/>
        <v>4459313.2919193972</v>
      </c>
      <c r="AS26" s="16">
        <f t="shared" si="97"/>
        <v>6493193.3933354756</v>
      </c>
      <c r="AT26" s="16">
        <f t="shared" si="98"/>
        <v>5585529.7054785015</v>
      </c>
      <c r="AU26" s="16">
        <f t="shared" si="99"/>
        <v>7579056.0989611372</v>
      </c>
      <c r="AV26" s="16">
        <f t="shared" si="100"/>
        <v>7109726.5364212319</v>
      </c>
      <c r="AW26" s="16">
        <f t="shared" si="101"/>
        <v>10352452.575683864</v>
      </c>
      <c r="AY26" s="16">
        <f t="shared" ref="AY26:BN27" si="106">AY11*AY31</f>
        <v>0</v>
      </c>
      <c r="AZ26" s="16">
        <f t="shared" si="106"/>
        <v>0</v>
      </c>
      <c r="BA26" s="16">
        <f t="shared" si="106"/>
        <v>0</v>
      </c>
      <c r="BB26" s="16">
        <f t="shared" si="106"/>
        <v>0</v>
      </c>
      <c r="BC26" s="16">
        <f t="shared" si="106"/>
        <v>0</v>
      </c>
      <c r="BD26" s="16">
        <f t="shared" si="106"/>
        <v>0</v>
      </c>
      <c r="BE26" s="16">
        <f t="shared" si="106"/>
        <v>0</v>
      </c>
      <c r="BF26" s="16">
        <f t="shared" si="106"/>
        <v>0</v>
      </c>
      <c r="BG26" s="16">
        <f t="shared" si="106"/>
        <v>0</v>
      </c>
      <c r="BH26" s="16">
        <f t="shared" si="106"/>
        <v>0</v>
      </c>
      <c r="BI26" s="16">
        <f t="shared" si="106"/>
        <v>0</v>
      </c>
      <c r="BJ26" s="16">
        <f t="shared" si="106"/>
        <v>0</v>
      </c>
      <c r="BK26" s="16">
        <f t="shared" si="106"/>
        <v>0</v>
      </c>
      <c r="BL26" s="16">
        <f t="shared" si="106"/>
        <v>0</v>
      </c>
      <c r="BM26" s="16">
        <f t="shared" si="106"/>
        <v>0</v>
      </c>
      <c r="BN26" s="16">
        <f t="shared" si="106"/>
        <v>0</v>
      </c>
      <c r="BO26" s="16">
        <f t="shared" si="104"/>
        <v>0</v>
      </c>
      <c r="BP26" s="16">
        <f t="shared" si="104"/>
        <v>0</v>
      </c>
      <c r="BQ26" s="16">
        <f t="shared" si="104"/>
        <v>0</v>
      </c>
      <c r="BR26" s="16">
        <f t="shared" si="104"/>
        <v>0</v>
      </c>
      <c r="BS26" s="16">
        <f t="shared" si="104"/>
        <v>0</v>
      </c>
      <c r="BT26" s="16">
        <f t="shared" si="104"/>
        <v>0</v>
      </c>
      <c r="BU26" s="16">
        <f t="shared" si="104"/>
        <v>0</v>
      </c>
      <c r="BV26" s="16">
        <f t="shared" si="104"/>
        <v>0</v>
      </c>
      <c r="BW26" s="16">
        <f t="shared" si="104"/>
        <v>0</v>
      </c>
      <c r="BX26" s="16">
        <f t="shared" si="104"/>
        <v>0</v>
      </c>
      <c r="BY26" s="16">
        <f t="shared" si="104"/>
        <v>0</v>
      </c>
      <c r="BZ26" s="16">
        <f t="shared" si="104"/>
        <v>0</v>
      </c>
      <c r="CA26" s="16">
        <f t="shared" si="104"/>
        <v>0</v>
      </c>
      <c r="CB26" s="16">
        <f t="shared" si="104"/>
        <v>0</v>
      </c>
      <c r="CC26" s="16">
        <f t="shared" si="104"/>
        <v>0</v>
      </c>
      <c r="CD26" s="16">
        <f t="shared" si="104"/>
        <v>0</v>
      </c>
      <c r="CE26" s="16">
        <f t="shared" si="104"/>
        <v>0</v>
      </c>
      <c r="CF26" s="16">
        <f t="shared" si="104"/>
        <v>0</v>
      </c>
      <c r="CG26" s="16">
        <f t="shared" si="104"/>
        <v>0</v>
      </c>
      <c r="CH26" s="16">
        <f t="shared" si="104"/>
        <v>0</v>
      </c>
      <c r="CI26" s="16">
        <f t="shared" si="104"/>
        <v>0</v>
      </c>
      <c r="CJ26" s="16">
        <f t="shared" si="104"/>
        <v>0</v>
      </c>
      <c r="CK26" s="16">
        <f t="shared" si="104"/>
        <v>0</v>
      </c>
      <c r="CL26" s="16">
        <f t="shared" si="104"/>
        <v>0</v>
      </c>
      <c r="CM26" s="16">
        <f t="shared" si="104"/>
        <v>0</v>
      </c>
      <c r="CN26" s="16">
        <f t="shared" si="104"/>
        <v>0</v>
      </c>
      <c r="CO26" s="16">
        <f t="shared" si="104"/>
        <v>0</v>
      </c>
      <c r="CP26" s="16">
        <f t="shared" si="104"/>
        <v>0</v>
      </c>
      <c r="CQ26" s="16">
        <f t="shared" si="104"/>
        <v>0</v>
      </c>
      <c r="CR26" s="16">
        <f t="shared" si="104"/>
        <v>0</v>
      </c>
      <c r="CS26" s="16">
        <f t="shared" si="104"/>
        <v>0</v>
      </c>
      <c r="CT26" s="16">
        <f t="shared" si="104"/>
        <v>0</v>
      </c>
      <c r="CU26" s="16">
        <f t="shared" si="104"/>
        <v>21510.480922180926</v>
      </c>
      <c r="CV26" s="16">
        <f t="shared" si="104"/>
        <v>47275.462607858557</v>
      </c>
      <c r="CW26" s="16">
        <f t="shared" si="104"/>
        <v>93937.931774807628</v>
      </c>
      <c r="CX26" s="16">
        <f t="shared" si="104"/>
        <v>37560.103518486088</v>
      </c>
      <c r="CY26" s="16">
        <f t="shared" si="104"/>
        <v>73669.10455939894</v>
      </c>
      <c r="CZ26" s="16">
        <f t="shared" si="104"/>
        <v>105275.86165724104</v>
      </c>
      <c r="DA26" s="16">
        <f t="shared" si="104"/>
        <v>36066.399712245271</v>
      </c>
      <c r="DB26" s="16">
        <f t="shared" si="104"/>
        <v>64309.962696738963</v>
      </c>
      <c r="DC26" s="16">
        <f t="shared" si="104"/>
        <v>113072.21083505101</v>
      </c>
      <c r="DD26" s="16">
        <f t="shared" si="104"/>
        <v>48553.401582122431</v>
      </c>
      <c r="DE26" s="16">
        <f t="shared" si="104"/>
        <v>129512.74794278285</v>
      </c>
      <c r="DF26" s="16">
        <f t="shared" si="104"/>
        <v>148734.63294265754</v>
      </c>
      <c r="DG26" s="16">
        <f t="shared" si="104"/>
        <v>105745.61985695036</v>
      </c>
      <c r="DH26" s="16">
        <f t="shared" si="104"/>
        <v>223357.11260790582</v>
      </c>
      <c r="DI26" s="16">
        <f t="shared" si="104"/>
        <v>436361.05420282786</v>
      </c>
      <c r="DJ26" s="16">
        <f t="shared" si="104"/>
        <v>188242.50542353993</v>
      </c>
      <c r="DK26" s="16">
        <f t="shared" si="104"/>
        <v>353072.17873661342</v>
      </c>
      <c r="DL26" s="16">
        <f t="shared" si="105"/>
        <v>497350.09550922527</v>
      </c>
      <c r="DM26" s="16">
        <f t="shared" si="105"/>
        <v>164635.20758750485</v>
      </c>
      <c r="DN26" s="16">
        <f t="shared" si="105"/>
        <v>293560.88057016616</v>
      </c>
      <c r="DO26" s="16">
        <f t="shared" si="105"/>
        <v>516149.85281955753</v>
      </c>
      <c r="DP26" s="16">
        <f t="shared" si="105"/>
        <v>197291.77572500976</v>
      </c>
      <c r="DQ26" s="16">
        <f t="shared" si="105"/>
        <v>566853.44255560962</v>
      </c>
      <c r="DR26" s="16">
        <f t="shared" si="105"/>
        <v>654597.13342650828</v>
      </c>
      <c r="DS26" s="16">
        <f t="shared" si="105"/>
        <v>255918.65730700362</v>
      </c>
      <c r="DT26" s="16">
        <f t="shared" si="105"/>
        <v>540554.32684503205</v>
      </c>
      <c r="DU26" s="16">
        <f t="shared" si="105"/>
        <v>1056052.583962572</v>
      </c>
      <c r="DV26" s="16">
        <f t="shared" si="105"/>
        <v>455572.24309875094</v>
      </c>
      <c r="DW26" s="16">
        <f t="shared" si="105"/>
        <v>854482.27583294583</v>
      </c>
      <c r="DX26" s="16">
        <f t="shared" si="105"/>
        <v>1203654.2868292157</v>
      </c>
      <c r="DY26" s="16">
        <f t="shared" si="105"/>
        <v>398439.39945929352</v>
      </c>
      <c r="DZ26" s="16">
        <f t="shared" si="105"/>
        <v>710456.91060309776</v>
      </c>
      <c r="EA26" s="16">
        <f t="shared" si="105"/>
        <v>1249152.2342152752</v>
      </c>
      <c r="EB26" s="16">
        <f t="shared" si="105"/>
        <v>477472.69730473269</v>
      </c>
      <c r="EC26" s="16">
        <f t="shared" si="105"/>
        <v>1371861.7575359493</v>
      </c>
      <c r="ED26" s="16">
        <f t="shared" si="105"/>
        <v>1584213.3195696105</v>
      </c>
      <c r="EE26" s="16">
        <f t="shared" si="105"/>
        <v>483968.60741001967</v>
      </c>
      <c r="EF26" s="16">
        <f t="shared" si="105"/>
        <v>1022244.0502992253</v>
      </c>
      <c r="EG26" s="16">
        <f t="shared" si="105"/>
        <v>1997104.485426401</v>
      </c>
      <c r="EH26" s="16">
        <f t="shared" si="105"/>
        <v>861534.15459142276</v>
      </c>
      <c r="EI26" s="16">
        <f t="shared" si="105"/>
        <v>1615914.2183812084</v>
      </c>
      <c r="EJ26" s="16">
        <f t="shared" si="105"/>
        <v>2276234.5470616613</v>
      </c>
      <c r="EK26" s="16">
        <f t="shared" si="105"/>
        <v>753490.04766883655</v>
      </c>
      <c r="EL26" s="16">
        <f t="shared" si="105"/>
        <v>1343547.3805136927</v>
      </c>
      <c r="EM26" s="16">
        <f t="shared" si="105"/>
        <v>2362275.8637368674</v>
      </c>
      <c r="EN26" s="16">
        <f t="shared" si="105"/>
        <v>902950.17495996121</v>
      </c>
      <c r="EO26" s="16">
        <f t="shared" si="105"/>
        <v>2594332.2434568182</v>
      </c>
      <c r="EP26" s="16">
        <f t="shared" si="105"/>
        <v>2995910.9749186961</v>
      </c>
      <c r="EQ26" s="16">
        <f t="shared" si="105"/>
        <v>771617.56208808662</v>
      </c>
      <c r="ER26" s="16">
        <f t="shared" si="105"/>
        <v>1629819.4756311569</v>
      </c>
      <c r="ES26" s="16">
        <f t="shared" si="105"/>
        <v>3184092.6677592578</v>
      </c>
      <c r="ET26" s="16">
        <f t="shared" si="105"/>
        <v>1373590.9185908316</v>
      </c>
      <c r="EU26" s="16">
        <f t="shared" si="105"/>
        <v>2576340.2225682666</v>
      </c>
      <c r="EV26" s="16">
        <f t="shared" si="105"/>
        <v>3629124.9578020386</v>
      </c>
      <c r="EW26" s="16">
        <f t="shared" si="105"/>
        <v>1201330.3027055534</v>
      </c>
      <c r="EX26" s="16">
        <f t="shared" si="105"/>
        <v>2142090.909263276</v>
      </c>
      <c r="EY26" s="16">
        <f t="shared" si="105"/>
        <v>3766305.3244524021</v>
      </c>
      <c r="EZ26" s="16">
        <f t="shared" si="105"/>
        <v>1439622.7400331011</v>
      </c>
      <c r="FA26" s="16">
        <f t="shared" si="105"/>
        <v>4136285.4744971269</v>
      </c>
      <c r="FB26" s="16">
        <f t="shared" si="105"/>
        <v>4776544.3611536361</v>
      </c>
    </row>
    <row r="27" spans="3:158" x14ac:dyDescent="0.25">
      <c r="C27" s="377" t="s">
        <v>664</v>
      </c>
      <c r="D27" s="16">
        <f t="shared" ref="D27:L27" si="107">SUMIF($AY$2:$FB$2,D$2,$AY27:$FB27)</f>
        <v>0</v>
      </c>
      <c r="E27" s="16">
        <f t="shared" si="107"/>
        <v>0</v>
      </c>
      <c r="F27" s="16">
        <f t="shared" si="107"/>
        <v>0</v>
      </c>
      <c r="G27" s="16">
        <f t="shared" si="107"/>
        <v>279420.80214122799</v>
      </c>
      <c r="H27" s="16">
        <f t="shared" si="107"/>
        <v>1750000</v>
      </c>
      <c r="I27" s="16">
        <f t="shared" si="107"/>
        <v>5872343.7499999991</v>
      </c>
      <c r="J27" s="16">
        <f t="shared" si="107"/>
        <v>12631992.187499998</v>
      </c>
      <c r="K27" s="16">
        <f t="shared" si="107"/>
        <v>23000752.44140625</v>
      </c>
      <c r="L27" s="16">
        <f t="shared" si="107"/>
        <v>41814701.249999993</v>
      </c>
      <c r="N27" s="16">
        <f>SUM(AY27:BA27)</f>
        <v>0</v>
      </c>
      <c r="O27" s="16">
        <f>SUM(BB27:BD27)</f>
        <v>0</v>
      </c>
      <c r="P27" s="16">
        <f>SUM(BE27:BG27)</f>
        <v>0</v>
      </c>
      <c r="Q27" s="16">
        <f>SUM(BH27:BJ27)</f>
        <v>0</v>
      </c>
      <c r="R27" s="16">
        <f>SUM(BK27:BM27)</f>
        <v>0</v>
      </c>
      <c r="S27" s="16">
        <f>SUM(BN27:BP27)</f>
        <v>0</v>
      </c>
      <c r="T27" s="16">
        <f>SUM(BQ27:BS27)</f>
        <v>0</v>
      </c>
      <c r="U27" s="16">
        <f>SUM(BT27:BV27)</f>
        <v>0</v>
      </c>
      <c r="V27" s="16">
        <f>SUM(BW27:BY27)</f>
        <v>0</v>
      </c>
      <c r="W27" s="16">
        <f>SUM(BZ27:CB27)</f>
        <v>0</v>
      </c>
      <c r="X27" s="16">
        <f>SUM(CC27:CE27)</f>
        <v>0</v>
      </c>
      <c r="Y27" s="16">
        <f>SUM(CF27:CH27)</f>
        <v>0</v>
      </c>
      <c r="Z27" s="16">
        <f>SUM(CI27:CK27)</f>
        <v>39712.254763944424</v>
      </c>
      <c r="AA27" s="16">
        <f>SUM(CL27:CN27)</f>
        <v>50419.484877283561</v>
      </c>
      <c r="AB27" s="16">
        <f>SUM(CO27:CQ27)</f>
        <v>47265.625000000007</v>
      </c>
      <c r="AC27" s="16">
        <f>SUM(CR27:CT27)</f>
        <v>142023.4375</v>
      </c>
      <c r="AD27" s="16">
        <f>SUM(CU27:CW27)</f>
        <v>309704.73316305259</v>
      </c>
      <c r="AE27" s="16">
        <f>SUM(CX27:CZ27)</f>
        <v>412063.96249566204</v>
      </c>
      <c r="AF27" s="16">
        <f>SUM(DA27:DC27)</f>
        <v>406246.67582882411</v>
      </c>
      <c r="AG27" s="16">
        <f>SUM(DD27:DF27)</f>
        <v>621984.62851246097</v>
      </c>
      <c r="AH27" s="16">
        <f>SUM(DG27:DI27)</f>
        <v>1070963.6014702686</v>
      </c>
      <c r="AI27" s="16">
        <f>SUM(DJ27:DL27)</f>
        <v>1453200.259149506</v>
      </c>
      <c r="AJ27" s="16">
        <f>SUM(DM27:DO27)</f>
        <v>1363211.5015780977</v>
      </c>
      <c r="AK27" s="16">
        <f>SUM(DP27:DR27)</f>
        <v>1984968.3878021268</v>
      </c>
      <c r="AL27" s="16">
        <f>SUM(DS27:DU27)</f>
        <v>2303748.626239616</v>
      </c>
      <c r="AM27" s="16">
        <f>SUM(DV27:DX27)</f>
        <v>3125977.4805331412</v>
      </c>
      <c r="AN27" s="16">
        <f>SUM(DY27:EA27)</f>
        <v>2932402.7630100292</v>
      </c>
      <c r="AO27" s="16">
        <f>SUM(EB27:ED27)</f>
        <v>4269863.3177172113</v>
      </c>
      <c r="AP27" s="16">
        <f>SUM(EE27:EG27)</f>
        <v>4194742.2902779672</v>
      </c>
      <c r="AQ27" s="16">
        <f>SUM(EH27:EJ27)</f>
        <v>5691883.9958040947</v>
      </c>
      <c r="AR27" s="16">
        <f>SUM(EK27:EM27)</f>
        <v>5339416.6976474291</v>
      </c>
      <c r="AS27" s="16">
        <f>SUM(EN27:EP27)</f>
        <v>7774709.4576767571</v>
      </c>
      <c r="AT27" s="16">
        <f>SUM(EQ27:ES27)</f>
        <v>7625919.8969922932</v>
      </c>
      <c r="AU27" s="16">
        <f>SUM(ET27:EV27)</f>
        <v>10347680.122227035</v>
      </c>
      <c r="AV27" s="16">
        <f>SUM(EW27:EY27)</f>
        <v>9706904.7906216439</v>
      </c>
      <c r="AW27" s="16">
        <f>SUM(EZ27:FB27)</f>
        <v>14134196.440159019</v>
      </c>
      <c r="AY27" s="16">
        <f t="shared" si="106"/>
        <v>0</v>
      </c>
      <c r="AZ27" s="16">
        <f t="shared" ref="AZ27:DK27" si="108">AZ12*AZ32</f>
        <v>0</v>
      </c>
      <c r="BA27" s="16">
        <f t="shared" si="108"/>
        <v>0</v>
      </c>
      <c r="BB27" s="16">
        <f t="shared" si="108"/>
        <v>0</v>
      </c>
      <c r="BC27" s="16">
        <f t="shared" si="108"/>
        <v>0</v>
      </c>
      <c r="BD27" s="16">
        <f t="shared" si="108"/>
        <v>0</v>
      </c>
      <c r="BE27" s="16">
        <f t="shared" si="108"/>
        <v>0</v>
      </c>
      <c r="BF27" s="16">
        <f t="shared" si="108"/>
        <v>0</v>
      </c>
      <c r="BG27" s="16">
        <f t="shared" si="108"/>
        <v>0</v>
      </c>
      <c r="BH27" s="16">
        <f t="shared" si="108"/>
        <v>0</v>
      </c>
      <c r="BI27" s="16">
        <f t="shared" si="108"/>
        <v>0</v>
      </c>
      <c r="BJ27" s="16">
        <f t="shared" si="108"/>
        <v>0</v>
      </c>
      <c r="BK27" s="16">
        <f t="shared" si="108"/>
        <v>0</v>
      </c>
      <c r="BL27" s="16">
        <f t="shared" si="108"/>
        <v>0</v>
      </c>
      <c r="BM27" s="16">
        <f t="shared" si="108"/>
        <v>0</v>
      </c>
      <c r="BN27" s="16">
        <f t="shared" si="108"/>
        <v>0</v>
      </c>
      <c r="BO27" s="16">
        <f t="shared" si="108"/>
        <v>0</v>
      </c>
      <c r="BP27" s="16">
        <f t="shared" si="108"/>
        <v>0</v>
      </c>
      <c r="BQ27" s="16">
        <f t="shared" si="108"/>
        <v>0</v>
      </c>
      <c r="BR27" s="16">
        <f t="shared" si="108"/>
        <v>0</v>
      </c>
      <c r="BS27" s="16">
        <f t="shared" si="108"/>
        <v>0</v>
      </c>
      <c r="BT27" s="16">
        <f t="shared" si="108"/>
        <v>0</v>
      </c>
      <c r="BU27" s="16">
        <f t="shared" si="108"/>
        <v>0</v>
      </c>
      <c r="BV27" s="16">
        <f t="shared" si="108"/>
        <v>0</v>
      </c>
      <c r="BW27" s="16">
        <f t="shared" si="108"/>
        <v>0</v>
      </c>
      <c r="BX27" s="16">
        <f t="shared" si="108"/>
        <v>0</v>
      </c>
      <c r="BY27" s="16">
        <f t="shared" si="108"/>
        <v>0</v>
      </c>
      <c r="BZ27" s="16">
        <f t="shared" si="108"/>
        <v>0</v>
      </c>
      <c r="CA27" s="16">
        <f t="shared" si="108"/>
        <v>0</v>
      </c>
      <c r="CB27" s="16">
        <f t="shared" si="108"/>
        <v>0</v>
      </c>
      <c r="CC27" s="16">
        <f t="shared" si="108"/>
        <v>0</v>
      </c>
      <c r="CD27" s="16">
        <f t="shared" si="108"/>
        <v>0</v>
      </c>
      <c r="CE27" s="16">
        <f t="shared" si="108"/>
        <v>0</v>
      </c>
      <c r="CF27" s="16">
        <f t="shared" si="108"/>
        <v>0</v>
      </c>
      <c r="CG27" s="16">
        <f t="shared" si="108"/>
        <v>0</v>
      </c>
      <c r="CH27" s="16">
        <f t="shared" si="108"/>
        <v>0</v>
      </c>
      <c r="CI27" s="16">
        <f t="shared" si="108"/>
        <v>875.00056048354941</v>
      </c>
      <c r="CJ27" s="16">
        <f t="shared" si="108"/>
        <v>7500.0045609357558</v>
      </c>
      <c r="CK27" s="16">
        <f t="shared" si="108"/>
        <v>31337.249642525116</v>
      </c>
      <c r="CL27" s="16">
        <f t="shared" si="108"/>
        <v>3848.4985313577436</v>
      </c>
      <c r="CM27" s="16">
        <f t="shared" si="108"/>
        <v>23899.493235383172</v>
      </c>
      <c r="CN27" s="16">
        <f t="shared" si="108"/>
        <v>22671.493110542644</v>
      </c>
      <c r="CO27" s="16">
        <f t="shared" si="108"/>
        <v>8593.75</v>
      </c>
      <c r="CP27" s="16">
        <f t="shared" si="108"/>
        <v>15468.750000000002</v>
      </c>
      <c r="CQ27" s="16">
        <f t="shared" si="108"/>
        <v>23203.125000000007</v>
      </c>
      <c r="CR27" s="16">
        <f t="shared" si="108"/>
        <v>32382.812500000004</v>
      </c>
      <c r="CS27" s="16">
        <f t="shared" si="108"/>
        <v>48164.0625</v>
      </c>
      <c r="CT27" s="16">
        <f t="shared" si="108"/>
        <v>61476.5625</v>
      </c>
      <c r="CU27" s="16">
        <f t="shared" si="108"/>
        <v>40939.891222062957</v>
      </c>
      <c r="CV27" s="16">
        <f t="shared" si="108"/>
        <v>89977.174552274053</v>
      </c>
      <c r="CW27" s="16">
        <f t="shared" si="108"/>
        <v>178787.66738871561</v>
      </c>
      <c r="CX27" s="16">
        <f t="shared" si="108"/>
        <v>71486.386468961296</v>
      </c>
      <c r="CY27" s="16">
        <f t="shared" si="108"/>
        <v>140210.95753273307</v>
      </c>
      <c r="CZ27" s="16">
        <f t="shared" si="108"/>
        <v>200366.61849396772</v>
      </c>
      <c r="DA27" s="16">
        <f t="shared" si="108"/>
        <v>68643.489949505863</v>
      </c>
      <c r="DB27" s="16">
        <f t="shared" si="108"/>
        <v>122398.14101899114</v>
      </c>
      <c r="DC27" s="16">
        <f t="shared" si="108"/>
        <v>215205.04486032709</v>
      </c>
      <c r="DD27" s="16">
        <f t="shared" si="108"/>
        <v>92409.415969101159</v>
      </c>
      <c r="DE27" s="16">
        <f t="shared" si="108"/>
        <v>246495.54939427171</v>
      </c>
      <c r="DF27" s="16">
        <f t="shared" si="108"/>
        <v>283079.6631490881</v>
      </c>
      <c r="DG27" s="16">
        <f t="shared" si="108"/>
        <v>147949.14123203501</v>
      </c>
      <c r="DH27" s="16">
        <f t="shared" si="108"/>
        <v>312499.87510697462</v>
      </c>
      <c r="DI27" s="16">
        <f t="shared" si="108"/>
        <v>610514.58513125894</v>
      </c>
      <c r="DJ27" s="16">
        <f t="shared" si="108"/>
        <v>263370.8805949082</v>
      </c>
      <c r="DK27" s="16">
        <f t="shared" si="108"/>
        <v>493984.76937077742</v>
      </c>
      <c r="DL27" s="16">
        <f t="shared" si="105"/>
        <v>695844.60918382043</v>
      </c>
      <c r="DM27" s="16">
        <f t="shared" si="105"/>
        <v>230341.8109618107</v>
      </c>
      <c r="DN27" s="16">
        <f t="shared" si="105"/>
        <v>410722.26195685216</v>
      </c>
      <c r="DO27" s="16">
        <f t="shared" si="105"/>
        <v>722147.42865943501</v>
      </c>
      <c r="DP27" s="16">
        <f t="shared" si="105"/>
        <v>276031.75271131506</v>
      </c>
      <c r="DQ27" s="16">
        <f t="shared" si="105"/>
        <v>793087.03418615309</v>
      </c>
      <c r="DR27" s="16">
        <f t="shared" si="105"/>
        <v>915849.60090465855</v>
      </c>
      <c r="DS27" s="16">
        <f t="shared" si="105"/>
        <v>318253.23512275668</v>
      </c>
      <c r="DT27" s="16">
        <f t="shared" si="105"/>
        <v>672218.13793615694</v>
      </c>
      <c r="DU27" s="16">
        <f t="shared" si="105"/>
        <v>1313277.2531807022</v>
      </c>
      <c r="DV27" s="16">
        <f t="shared" si="105"/>
        <v>566536.81182915706</v>
      </c>
      <c r="DW27" s="16">
        <f t="shared" si="105"/>
        <v>1062610.0945530734</v>
      </c>
      <c r="DX27" s="16">
        <f t="shared" si="105"/>
        <v>1496830.5741509106</v>
      </c>
      <c r="DY27" s="16">
        <f t="shared" si="105"/>
        <v>495488.01643708174</v>
      </c>
      <c r="DZ27" s="16">
        <f t="shared" si="105"/>
        <v>883504.20635223947</v>
      </c>
      <c r="EA27" s="16">
        <f t="shared" si="105"/>
        <v>1553410.5402207081</v>
      </c>
      <c r="EB27" s="16">
        <f t="shared" si="105"/>
        <v>593771.59992571338</v>
      </c>
      <c r="EC27" s="16">
        <f t="shared" si="105"/>
        <v>1706008.6477136202</v>
      </c>
      <c r="ED27" s="16">
        <f t="shared" si="105"/>
        <v>1970083.070077878</v>
      </c>
      <c r="EE27" s="16">
        <f t="shared" si="105"/>
        <v>579486.09895268606</v>
      </c>
      <c r="EF27" s="16">
        <f t="shared" si="105"/>
        <v>1223997.1928254194</v>
      </c>
      <c r="EG27" s="16">
        <f t="shared" si="105"/>
        <v>2391258.9984998624</v>
      </c>
      <c r="EH27" s="16">
        <f t="shared" si="105"/>
        <v>1031569.1115389233</v>
      </c>
      <c r="EI27" s="16">
        <f t="shared" si="105"/>
        <v>1934835.8804987213</v>
      </c>
      <c r="EJ27" s="16">
        <f t="shared" si="105"/>
        <v>2725479.0037664501</v>
      </c>
      <c r="EK27" s="16">
        <f t="shared" si="105"/>
        <v>902201.09659585299</v>
      </c>
      <c r="EL27" s="16">
        <f t="shared" si="105"/>
        <v>1608713.9090663698</v>
      </c>
      <c r="EM27" s="16">
        <f t="shared" si="105"/>
        <v>2828501.6919852062</v>
      </c>
      <c r="EN27" s="16">
        <f t="shared" si="105"/>
        <v>1081159.1215314032</v>
      </c>
      <c r="EO27" s="16">
        <f t="shared" si="105"/>
        <v>3106357.4127118834</v>
      </c>
      <c r="EP27" s="16">
        <f t="shared" si="105"/>
        <v>3587192.9234334701</v>
      </c>
      <c r="EQ27" s="16">
        <f t="shared" si="105"/>
        <v>1053488.9311974628</v>
      </c>
      <c r="ER27" s="16">
        <f t="shared" si="105"/>
        <v>2225191.4183771093</v>
      </c>
      <c r="ES27" s="16">
        <f t="shared" si="105"/>
        <v>4347239.5474177208</v>
      </c>
      <c r="ET27" s="16">
        <f t="shared" si="105"/>
        <v>1875362.7442238049</v>
      </c>
      <c r="EU27" s="16">
        <f t="shared" si="105"/>
        <v>3517475.5485472404</v>
      </c>
      <c r="EV27" s="16">
        <f t="shared" si="105"/>
        <v>4954841.8294559913</v>
      </c>
      <c r="EW27" s="16">
        <f t="shared" si="105"/>
        <v>1640175.442854838</v>
      </c>
      <c r="EX27" s="16">
        <f t="shared" si="105"/>
        <v>2924595.2572939913</v>
      </c>
      <c r="EY27" s="16">
        <f t="shared" si="105"/>
        <v>5142134.0904728146</v>
      </c>
      <c r="EZ27" s="16">
        <f t="shared" si="105"/>
        <v>1965515.9449985391</v>
      </c>
      <c r="FA27" s="16">
        <f t="shared" si="105"/>
        <v>5647267.7369649084</v>
      </c>
      <c r="FB27" s="16">
        <f t="shared" si="105"/>
        <v>6521412.7581955725</v>
      </c>
    </row>
    <row r="29" spans="3:158" s="1" customFormat="1" x14ac:dyDescent="0.25">
      <c r="C29" s="1" t="s">
        <v>700</v>
      </c>
      <c r="D29" s="335">
        <f t="shared" ref="D29:L29" si="109">D24/D9</f>
        <v>0</v>
      </c>
      <c r="E29" s="335">
        <f t="shared" si="109"/>
        <v>0</v>
      </c>
      <c r="F29" s="335">
        <f t="shared" si="109"/>
        <v>0</v>
      </c>
      <c r="G29" s="335">
        <f t="shared" si="109"/>
        <v>4.9492300060322965E-2</v>
      </c>
      <c r="H29" s="335">
        <f t="shared" si="109"/>
        <v>0.11600000000000001</v>
      </c>
      <c r="I29" s="335">
        <f t="shared" si="109"/>
        <v>0.23900416171858044</v>
      </c>
      <c r="J29" s="335">
        <f t="shared" si="109"/>
        <v>0.31050832343716073</v>
      </c>
      <c r="K29" s="335">
        <f t="shared" si="109"/>
        <v>0.33451248515574122</v>
      </c>
      <c r="L29" s="335">
        <f t="shared" si="109"/>
        <v>0.35776248515574127</v>
      </c>
      <c r="N29" s="335">
        <f t="shared" ref="N29:AW29" si="110">N24/N9</f>
        <v>0</v>
      </c>
      <c r="O29" s="335">
        <f t="shared" si="110"/>
        <v>0</v>
      </c>
      <c r="P29" s="335">
        <f t="shared" si="110"/>
        <v>0</v>
      </c>
      <c r="Q29" s="335">
        <f t="shared" si="110"/>
        <v>0</v>
      </c>
      <c r="R29" s="335">
        <f t="shared" si="110"/>
        <v>0</v>
      </c>
      <c r="S29" s="335">
        <f t="shared" si="110"/>
        <v>0</v>
      </c>
      <c r="T29" s="335">
        <f t="shared" si="110"/>
        <v>0</v>
      </c>
      <c r="U29" s="335">
        <f t="shared" si="110"/>
        <v>0</v>
      </c>
      <c r="V29" s="335">
        <f t="shared" si="110"/>
        <v>0</v>
      </c>
      <c r="W29" s="335">
        <f t="shared" si="110"/>
        <v>0</v>
      </c>
      <c r="X29" s="335">
        <f t="shared" si="110"/>
        <v>0</v>
      </c>
      <c r="Y29" s="335">
        <f t="shared" si="110"/>
        <v>0</v>
      </c>
      <c r="Z29" s="335">
        <f t="shared" si="110"/>
        <v>4.915979095900317E-2</v>
      </c>
      <c r="AA29" s="335">
        <f t="shared" si="110"/>
        <v>4.7460540784841077E-2</v>
      </c>
      <c r="AB29" s="335">
        <f t="shared" si="110"/>
        <v>4.8639107755688769E-2</v>
      </c>
      <c r="AC29" s="335">
        <f t="shared" si="110"/>
        <v>5.1485616064679642E-2</v>
      </c>
      <c r="AD29" s="335">
        <f t="shared" si="110"/>
        <v>0.11599999999999999</v>
      </c>
      <c r="AE29" s="335">
        <f t="shared" si="110"/>
        <v>0.11599999999999999</v>
      </c>
      <c r="AF29" s="335">
        <f t="shared" si="110"/>
        <v>0.11599999999999999</v>
      </c>
      <c r="AG29" s="335">
        <f t="shared" si="110"/>
        <v>0.11600000000000002</v>
      </c>
      <c r="AH29" s="335">
        <f t="shared" si="110"/>
        <v>0.23900416171858041</v>
      </c>
      <c r="AI29" s="335">
        <f t="shared" si="110"/>
        <v>0.23900416171858044</v>
      </c>
      <c r="AJ29" s="335">
        <f t="shared" si="110"/>
        <v>0.23900416171858044</v>
      </c>
      <c r="AK29" s="335">
        <f t="shared" si="110"/>
        <v>0.23900416171858044</v>
      </c>
      <c r="AL29" s="335">
        <f t="shared" si="110"/>
        <v>0.31050832343716084</v>
      </c>
      <c r="AM29" s="335">
        <f t="shared" si="110"/>
        <v>0.31050832343716078</v>
      </c>
      <c r="AN29" s="335">
        <f t="shared" si="110"/>
        <v>0.31050832343716084</v>
      </c>
      <c r="AO29" s="335">
        <f t="shared" si="110"/>
        <v>0.31050832343716078</v>
      </c>
      <c r="AP29" s="335">
        <f t="shared" si="110"/>
        <v>0.33451248515574122</v>
      </c>
      <c r="AQ29" s="335">
        <f t="shared" si="110"/>
        <v>0.33451248515574122</v>
      </c>
      <c r="AR29" s="335">
        <f t="shared" si="110"/>
        <v>0.33451248515574128</v>
      </c>
      <c r="AS29" s="335">
        <f t="shared" si="110"/>
        <v>0.33451248515574117</v>
      </c>
      <c r="AT29" s="335">
        <f t="shared" si="110"/>
        <v>0.35776248515574127</v>
      </c>
      <c r="AU29" s="335">
        <f t="shared" si="110"/>
        <v>0.35776248515574122</v>
      </c>
      <c r="AV29" s="335">
        <f t="shared" si="110"/>
        <v>0.35776248515574122</v>
      </c>
      <c r="AW29" s="335">
        <f t="shared" si="110"/>
        <v>0.35776248515574127</v>
      </c>
      <c r="AY29" s="335">
        <f>AY24/AY9</f>
        <v>0</v>
      </c>
      <c r="AZ29" s="335">
        <f t="shared" ref="AZ29:DK29" si="111">AZ24/AZ9</f>
        <v>0</v>
      </c>
      <c r="BA29" s="335">
        <f t="shared" si="111"/>
        <v>0</v>
      </c>
      <c r="BB29" s="335">
        <f t="shared" si="111"/>
        <v>0</v>
      </c>
      <c r="BC29" s="335">
        <f t="shared" si="111"/>
        <v>0</v>
      </c>
      <c r="BD29" s="335">
        <f t="shared" si="111"/>
        <v>0</v>
      </c>
      <c r="BE29" s="335">
        <f t="shared" si="111"/>
        <v>0</v>
      </c>
      <c r="BF29" s="335">
        <f t="shared" si="111"/>
        <v>0</v>
      </c>
      <c r="BG29" s="335">
        <f t="shared" si="111"/>
        <v>0</v>
      </c>
      <c r="BH29" s="335">
        <f t="shared" si="111"/>
        <v>0</v>
      </c>
      <c r="BI29" s="335">
        <f t="shared" si="111"/>
        <v>0</v>
      </c>
      <c r="BJ29" s="335">
        <f t="shared" si="111"/>
        <v>0</v>
      </c>
      <c r="BK29" s="335">
        <f t="shared" si="111"/>
        <v>0</v>
      </c>
      <c r="BL29" s="335">
        <f t="shared" si="111"/>
        <v>0</v>
      </c>
      <c r="BM29" s="335">
        <f t="shared" si="111"/>
        <v>0</v>
      </c>
      <c r="BN29" s="335">
        <f t="shared" si="111"/>
        <v>0</v>
      </c>
      <c r="BO29" s="335">
        <f t="shared" si="111"/>
        <v>0</v>
      </c>
      <c r="BP29" s="335">
        <f t="shared" si="111"/>
        <v>0</v>
      </c>
      <c r="BQ29" s="335">
        <f t="shared" si="111"/>
        <v>0</v>
      </c>
      <c r="BR29" s="335">
        <f t="shared" si="111"/>
        <v>0</v>
      </c>
      <c r="BS29" s="335">
        <f t="shared" si="111"/>
        <v>0</v>
      </c>
      <c r="BT29" s="335">
        <f t="shared" si="111"/>
        <v>0</v>
      </c>
      <c r="BU29" s="335">
        <f t="shared" si="111"/>
        <v>0</v>
      </c>
      <c r="BV29" s="335">
        <f t="shared" si="111"/>
        <v>0</v>
      </c>
      <c r="BW29" s="335">
        <f t="shared" si="111"/>
        <v>0</v>
      </c>
      <c r="BX29" s="335">
        <f t="shared" si="111"/>
        <v>0</v>
      </c>
      <c r="BY29" s="335">
        <f t="shared" si="111"/>
        <v>0</v>
      </c>
      <c r="BZ29" s="335">
        <f t="shared" si="111"/>
        <v>0</v>
      </c>
      <c r="CA29" s="335">
        <f t="shared" si="111"/>
        <v>0</v>
      </c>
      <c r="CB29" s="335">
        <f t="shared" si="111"/>
        <v>0</v>
      </c>
      <c r="CC29" s="335">
        <f t="shared" si="111"/>
        <v>0</v>
      </c>
      <c r="CD29" s="335">
        <f t="shared" si="111"/>
        <v>0</v>
      </c>
      <c r="CE29" s="335">
        <f t="shared" si="111"/>
        <v>0</v>
      </c>
      <c r="CF29" s="335">
        <f t="shared" si="111"/>
        <v>0</v>
      </c>
      <c r="CG29" s="335">
        <f t="shared" si="111"/>
        <v>0</v>
      </c>
      <c r="CH29" s="335">
        <f t="shared" si="111"/>
        <v>0</v>
      </c>
      <c r="CI29" s="335">
        <f t="shared" si="111"/>
        <v>4.7622038324913921E-2</v>
      </c>
      <c r="CJ29" s="335">
        <f t="shared" si="111"/>
        <v>4.6627933247114124E-2</v>
      </c>
      <c r="CK29" s="335">
        <f t="shared" si="111"/>
        <v>5.0644832132917206E-2</v>
      </c>
      <c r="CL29" s="335">
        <f t="shared" si="111"/>
        <v>4.6540116006690127E-2</v>
      </c>
      <c r="CM29" s="335">
        <f t="shared" si="111"/>
        <v>4.6214311947794781E-2</v>
      </c>
      <c r="CN29" s="335">
        <f t="shared" si="111"/>
        <v>4.8502692416774101E-2</v>
      </c>
      <c r="CO29" s="335">
        <f t="shared" si="111"/>
        <v>4.5403476047975351E-2</v>
      </c>
      <c r="CP29" s="335">
        <f t="shared" si="111"/>
        <v>4.8636096932139411E-2</v>
      </c>
      <c r="CQ29" s="335">
        <f t="shared" si="111"/>
        <v>4.9611904844487353E-2</v>
      </c>
      <c r="CR29" s="335">
        <f t="shared" si="111"/>
        <v>4.9867217260544147E-2</v>
      </c>
      <c r="CS29" s="335">
        <f t="shared" si="111"/>
        <v>5.1453614533311452E-2</v>
      </c>
      <c r="CT29" s="335">
        <f t="shared" si="111"/>
        <v>5.1834897050601278E-2</v>
      </c>
      <c r="CU29" s="335">
        <f t="shared" si="111"/>
        <v>0.11600000000000001</v>
      </c>
      <c r="CV29" s="335">
        <f t="shared" si="111"/>
        <v>0.11600000000000001</v>
      </c>
      <c r="CW29" s="335">
        <f t="shared" si="111"/>
        <v>0.11599999999999999</v>
      </c>
      <c r="CX29" s="335">
        <f t="shared" si="111"/>
        <v>0.11600000000000001</v>
      </c>
      <c r="CY29" s="335">
        <f t="shared" si="111"/>
        <v>0.11600000000000002</v>
      </c>
      <c r="CZ29" s="335">
        <f t="shared" si="111"/>
        <v>0.11600000000000001</v>
      </c>
      <c r="DA29" s="335">
        <f t="shared" si="111"/>
        <v>0.11600000000000001</v>
      </c>
      <c r="DB29" s="335">
        <f t="shared" si="111"/>
        <v>0.11600000000000002</v>
      </c>
      <c r="DC29" s="335">
        <f t="shared" si="111"/>
        <v>0.11600000000000001</v>
      </c>
      <c r="DD29" s="335">
        <f t="shared" si="111"/>
        <v>0.11600000000000002</v>
      </c>
      <c r="DE29" s="335">
        <f t="shared" si="111"/>
        <v>0.11600000000000002</v>
      </c>
      <c r="DF29" s="335">
        <f t="shared" si="111"/>
        <v>0.11599999999999999</v>
      </c>
      <c r="DG29" s="335">
        <f t="shared" si="111"/>
        <v>0.23900416171858041</v>
      </c>
      <c r="DH29" s="335">
        <f t="shared" si="111"/>
        <v>0.23900416171858041</v>
      </c>
      <c r="DI29" s="335">
        <f t="shared" si="111"/>
        <v>0.23900416171858041</v>
      </c>
      <c r="DJ29" s="335">
        <f t="shared" si="111"/>
        <v>0.23900416171858044</v>
      </c>
      <c r="DK29" s="335">
        <f t="shared" si="111"/>
        <v>0.23900416171858044</v>
      </c>
      <c r="DL29" s="335">
        <f t="shared" ref="DL29:FB29" si="112">DL24/DL9</f>
        <v>0.23900416171858044</v>
      </c>
      <c r="DM29" s="335">
        <f t="shared" si="112"/>
        <v>0.23900416171858041</v>
      </c>
      <c r="DN29" s="335">
        <f t="shared" si="112"/>
        <v>0.23900416171858044</v>
      </c>
      <c r="DO29" s="335">
        <f t="shared" si="112"/>
        <v>0.23900416171858041</v>
      </c>
      <c r="DP29" s="335">
        <f t="shared" si="112"/>
        <v>0.23900416171858041</v>
      </c>
      <c r="DQ29" s="335">
        <f t="shared" si="112"/>
        <v>0.23900416171858044</v>
      </c>
      <c r="DR29" s="335">
        <f t="shared" si="112"/>
        <v>0.23900416171858044</v>
      </c>
      <c r="DS29" s="335">
        <f t="shared" si="112"/>
        <v>0.31050832343716073</v>
      </c>
      <c r="DT29" s="335">
        <f t="shared" si="112"/>
        <v>0.31050832343716084</v>
      </c>
      <c r="DU29" s="335">
        <f t="shared" si="112"/>
        <v>0.31050832343716084</v>
      </c>
      <c r="DV29" s="335">
        <f t="shared" si="112"/>
        <v>0.31050832343716078</v>
      </c>
      <c r="DW29" s="335">
        <f t="shared" si="112"/>
        <v>0.31050832343716078</v>
      </c>
      <c r="DX29" s="335">
        <f t="shared" si="112"/>
        <v>0.31050832343716078</v>
      </c>
      <c r="DY29" s="335">
        <f t="shared" si="112"/>
        <v>0.31050832343716078</v>
      </c>
      <c r="DZ29" s="335">
        <f t="shared" si="112"/>
        <v>0.31050832343716078</v>
      </c>
      <c r="EA29" s="335">
        <f t="shared" si="112"/>
        <v>0.31050832343716078</v>
      </c>
      <c r="EB29" s="335">
        <f t="shared" si="112"/>
        <v>0.31050832343716084</v>
      </c>
      <c r="EC29" s="335">
        <f t="shared" si="112"/>
        <v>0.31050832343716078</v>
      </c>
      <c r="ED29" s="335">
        <f t="shared" si="112"/>
        <v>0.31050832343716078</v>
      </c>
      <c r="EE29" s="335">
        <f t="shared" si="112"/>
        <v>0.33451248515574128</v>
      </c>
      <c r="EF29" s="335">
        <f t="shared" si="112"/>
        <v>0.33451248515574122</v>
      </c>
      <c r="EG29" s="335">
        <f t="shared" si="112"/>
        <v>0.33451248515574122</v>
      </c>
      <c r="EH29" s="335">
        <f t="shared" si="112"/>
        <v>0.33451248515574122</v>
      </c>
      <c r="EI29" s="335">
        <f t="shared" si="112"/>
        <v>0.33451248515574122</v>
      </c>
      <c r="EJ29" s="335">
        <f t="shared" si="112"/>
        <v>0.33451248515574122</v>
      </c>
      <c r="EK29" s="335">
        <f t="shared" si="112"/>
        <v>0.33451248515574128</v>
      </c>
      <c r="EL29" s="335">
        <f t="shared" si="112"/>
        <v>0.33451248515574122</v>
      </c>
      <c r="EM29" s="335">
        <f t="shared" si="112"/>
        <v>0.33451248515574122</v>
      </c>
      <c r="EN29" s="335">
        <f t="shared" si="112"/>
        <v>0.33451248515574122</v>
      </c>
      <c r="EO29" s="335">
        <f t="shared" si="112"/>
        <v>0.33451248515574117</v>
      </c>
      <c r="EP29" s="335">
        <f t="shared" si="112"/>
        <v>0.33451248515574122</v>
      </c>
      <c r="EQ29" s="335">
        <f t="shared" si="112"/>
        <v>0.35776248515574127</v>
      </c>
      <c r="ER29" s="335">
        <f t="shared" si="112"/>
        <v>0.35776248515574122</v>
      </c>
      <c r="ES29" s="335">
        <f t="shared" si="112"/>
        <v>0.35776248515574122</v>
      </c>
      <c r="ET29" s="335">
        <f t="shared" si="112"/>
        <v>0.35776248515574122</v>
      </c>
      <c r="EU29" s="335">
        <f t="shared" si="112"/>
        <v>0.35776248515574122</v>
      </c>
      <c r="EV29" s="335">
        <f t="shared" si="112"/>
        <v>0.35776248515574122</v>
      </c>
      <c r="EW29" s="335">
        <f t="shared" si="112"/>
        <v>0.35776248515574127</v>
      </c>
      <c r="EX29" s="335">
        <f t="shared" si="112"/>
        <v>0.35776248515574122</v>
      </c>
      <c r="EY29" s="335">
        <f t="shared" si="112"/>
        <v>0.35776248515574122</v>
      </c>
      <c r="EZ29" s="335">
        <f t="shared" si="112"/>
        <v>0.35776248515574122</v>
      </c>
      <c r="FA29" s="335">
        <f t="shared" si="112"/>
        <v>0.35776248515574122</v>
      </c>
      <c r="FB29" s="335">
        <f t="shared" si="112"/>
        <v>0.35776248515574122</v>
      </c>
    </row>
    <row r="30" spans="3:158" s="378" customFormat="1" x14ac:dyDescent="0.25">
      <c r="C30" s="377" t="s">
        <v>665</v>
      </c>
      <c r="D30" s="263">
        <v>0</v>
      </c>
      <c r="E30" s="263">
        <v>0</v>
      </c>
      <c r="F30" s="263">
        <v>0</v>
      </c>
      <c r="G30" s="263">
        <v>0.05</v>
      </c>
      <c r="H30" s="263">
        <v>0.1</v>
      </c>
      <c r="I30" s="263">
        <v>0.2</v>
      </c>
      <c r="J30" s="263">
        <v>0.25</v>
      </c>
      <c r="K30" s="263">
        <f t="shared" ref="K30:L30" si="113">J30</f>
        <v>0.25</v>
      </c>
      <c r="L30" s="263">
        <f t="shared" si="113"/>
        <v>0.25</v>
      </c>
      <c r="N30" s="19">
        <f t="shared" ref="N30:AW30" si="114">N25/N10</f>
        <v>0</v>
      </c>
      <c r="O30" s="19">
        <f t="shared" si="114"/>
        <v>0</v>
      </c>
      <c r="P30" s="19">
        <f t="shared" si="114"/>
        <v>0</v>
      </c>
      <c r="Q30" s="19">
        <f t="shared" si="114"/>
        <v>0</v>
      </c>
      <c r="R30" s="19">
        <f t="shared" si="114"/>
        <v>0</v>
      </c>
      <c r="S30" s="19">
        <f t="shared" si="114"/>
        <v>0</v>
      </c>
      <c r="T30" s="19">
        <f t="shared" si="114"/>
        <v>0</v>
      </c>
      <c r="U30" s="19">
        <f t="shared" si="114"/>
        <v>0</v>
      </c>
      <c r="V30" s="19">
        <f t="shared" si="114"/>
        <v>0</v>
      </c>
      <c r="W30" s="19">
        <f t="shared" si="114"/>
        <v>0</v>
      </c>
      <c r="X30" s="19">
        <f t="shared" si="114"/>
        <v>0</v>
      </c>
      <c r="Y30" s="19">
        <f t="shared" si="114"/>
        <v>0</v>
      </c>
      <c r="Z30" s="19">
        <f t="shared" si="114"/>
        <v>4.9999999999999996E-2</v>
      </c>
      <c r="AA30" s="19">
        <f t="shared" si="114"/>
        <v>0.05</v>
      </c>
      <c r="AB30" s="19">
        <f t="shared" si="114"/>
        <v>4.9999999999999996E-2</v>
      </c>
      <c r="AC30" s="19">
        <f t="shared" si="114"/>
        <v>4.9999999999999996E-2</v>
      </c>
      <c r="AD30" s="19">
        <f t="shared" si="114"/>
        <v>0.1</v>
      </c>
      <c r="AE30" s="19">
        <f t="shared" si="114"/>
        <v>9.9999999999999992E-2</v>
      </c>
      <c r="AF30" s="19">
        <f t="shared" si="114"/>
        <v>9.9999999999999992E-2</v>
      </c>
      <c r="AG30" s="19">
        <f t="shared" si="114"/>
        <v>0.1</v>
      </c>
      <c r="AH30" s="19">
        <f t="shared" si="114"/>
        <v>0.19999999999999998</v>
      </c>
      <c r="AI30" s="19">
        <f t="shared" si="114"/>
        <v>0.2</v>
      </c>
      <c r="AJ30" s="19">
        <f t="shared" si="114"/>
        <v>0.2</v>
      </c>
      <c r="AK30" s="19">
        <f t="shared" si="114"/>
        <v>0.19999999999999998</v>
      </c>
      <c r="AL30" s="19">
        <f t="shared" si="114"/>
        <v>0.25</v>
      </c>
      <c r="AM30" s="19">
        <f t="shared" si="114"/>
        <v>0.25</v>
      </c>
      <c r="AN30" s="19">
        <f t="shared" si="114"/>
        <v>0.25</v>
      </c>
      <c r="AO30" s="19">
        <f t="shared" si="114"/>
        <v>0.25</v>
      </c>
      <c r="AP30" s="19">
        <f t="shared" si="114"/>
        <v>0.25</v>
      </c>
      <c r="AQ30" s="19">
        <f t="shared" si="114"/>
        <v>0.25</v>
      </c>
      <c r="AR30" s="19">
        <f t="shared" si="114"/>
        <v>0.25</v>
      </c>
      <c r="AS30" s="19">
        <f t="shared" si="114"/>
        <v>0.25</v>
      </c>
      <c r="AT30" s="19">
        <f t="shared" si="114"/>
        <v>0.25</v>
      </c>
      <c r="AU30" s="19">
        <f t="shared" si="114"/>
        <v>0.25</v>
      </c>
      <c r="AV30" s="19">
        <f t="shared" si="114"/>
        <v>0.25</v>
      </c>
      <c r="AW30" s="19">
        <f t="shared" si="114"/>
        <v>0.25</v>
      </c>
      <c r="AY30" s="382">
        <f t="shared" ref="AY30:DJ32" si="115">INDEX($D30:$L30,1,MATCH(AY$2,$D$2:$L$2,))</f>
        <v>0</v>
      </c>
      <c r="AZ30" s="382">
        <f t="shared" si="115"/>
        <v>0</v>
      </c>
      <c r="BA30" s="382">
        <f t="shared" si="115"/>
        <v>0</v>
      </c>
      <c r="BB30" s="382">
        <f t="shared" si="115"/>
        <v>0</v>
      </c>
      <c r="BC30" s="382">
        <f t="shared" si="115"/>
        <v>0</v>
      </c>
      <c r="BD30" s="382">
        <f t="shared" si="115"/>
        <v>0</v>
      </c>
      <c r="BE30" s="382">
        <f t="shared" si="115"/>
        <v>0</v>
      </c>
      <c r="BF30" s="382">
        <f t="shared" si="115"/>
        <v>0</v>
      </c>
      <c r="BG30" s="382">
        <f t="shared" si="115"/>
        <v>0</v>
      </c>
      <c r="BH30" s="382">
        <f t="shared" si="115"/>
        <v>0</v>
      </c>
      <c r="BI30" s="382">
        <f t="shared" si="115"/>
        <v>0</v>
      </c>
      <c r="BJ30" s="382">
        <f t="shared" si="115"/>
        <v>0</v>
      </c>
      <c r="BK30" s="382">
        <f t="shared" si="115"/>
        <v>0</v>
      </c>
      <c r="BL30" s="382">
        <f t="shared" si="115"/>
        <v>0</v>
      </c>
      <c r="BM30" s="382">
        <f t="shared" si="115"/>
        <v>0</v>
      </c>
      <c r="BN30" s="382">
        <f t="shared" si="115"/>
        <v>0</v>
      </c>
      <c r="BO30" s="382">
        <f t="shared" si="115"/>
        <v>0</v>
      </c>
      <c r="BP30" s="382">
        <f t="shared" si="115"/>
        <v>0</v>
      </c>
      <c r="BQ30" s="382">
        <f t="shared" si="115"/>
        <v>0</v>
      </c>
      <c r="BR30" s="382">
        <f t="shared" si="115"/>
        <v>0</v>
      </c>
      <c r="BS30" s="382">
        <f t="shared" si="115"/>
        <v>0</v>
      </c>
      <c r="BT30" s="382">
        <f t="shared" si="115"/>
        <v>0</v>
      </c>
      <c r="BU30" s="382">
        <f t="shared" si="115"/>
        <v>0</v>
      </c>
      <c r="BV30" s="382">
        <f t="shared" si="115"/>
        <v>0</v>
      </c>
      <c r="BW30" s="382">
        <f t="shared" si="115"/>
        <v>0</v>
      </c>
      <c r="BX30" s="382">
        <f t="shared" si="115"/>
        <v>0</v>
      </c>
      <c r="BY30" s="382">
        <f t="shared" si="115"/>
        <v>0</v>
      </c>
      <c r="BZ30" s="382">
        <f t="shared" si="115"/>
        <v>0</v>
      </c>
      <c r="CA30" s="382">
        <f t="shared" si="115"/>
        <v>0</v>
      </c>
      <c r="CB30" s="382">
        <f t="shared" si="115"/>
        <v>0</v>
      </c>
      <c r="CC30" s="382">
        <f t="shared" si="115"/>
        <v>0</v>
      </c>
      <c r="CD30" s="382">
        <f t="shared" si="115"/>
        <v>0</v>
      </c>
      <c r="CE30" s="382">
        <f t="shared" si="115"/>
        <v>0</v>
      </c>
      <c r="CF30" s="382">
        <f t="shared" si="115"/>
        <v>0</v>
      </c>
      <c r="CG30" s="382">
        <f t="shared" si="115"/>
        <v>0</v>
      </c>
      <c r="CH30" s="382">
        <f t="shared" si="115"/>
        <v>0</v>
      </c>
      <c r="CI30" s="382">
        <f t="shared" si="115"/>
        <v>0.05</v>
      </c>
      <c r="CJ30" s="382">
        <f t="shared" si="115"/>
        <v>0.05</v>
      </c>
      <c r="CK30" s="382">
        <f t="shared" si="115"/>
        <v>0.05</v>
      </c>
      <c r="CL30" s="382">
        <f t="shared" si="115"/>
        <v>0.05</v>
      </c>
      <c r="CM30" s="382">
        <f t="shared" si="115"/>
        <v>0.05</v>
      </c>
      <c r="CN30" s="382">
        <f t="shared" si="115"/>
        <v>0.05</v>
      </c>
      <c r="CO30" s="382">
        <f t="shared" si="115"/>
        <v>0.05</v>
      </c>
      <c r="CP30" s="382">
        <f t="shared" si="115"/>
        <v>0.05</v>
      </c>
      <c r="CQ30" s="382">
        <f t="shared" si="115"/>
        <v>0.05</v>
      </c>
      <c r="CR30" s="382">
        <f t="shared" si="115"/>
        <v>0.05</v>
      </c>
      <c r="CS30" s="382">
        <f t="shared" si="115"/>
        <v>0.05</v>
      </c>
      <c r="CT30" s="382">
        <f t="shared" si="115"/>
        <v>0.05</v>
      </c>
      <c r="CU30" s="382">
        <f t="shared" si="115"/>
        <v>0.1</v>
      </c>
      <c r="CV30" s="382">
        <f t="shared" si="115"/>
        <v>0.1</v>
      </c>
      <c r="CW30" s="382">
        <f t="shared" si="115"/>
        <v>0.1</v>
      </c>
      <c r="CX30" s="382">
        <f t="shared" si="115"/>
        <v>0.1</v>
      </c>
      <c r="CY30" s="382">
        <f t="shared" si="115"/>
        <v>0.1</v>
      </c>
      <c r="CZ30" s="382">
        <f t="shared" si="115"/>
        <v>0.1</v>
      </c>
      <c r="DA30" s="382">
        <f t="shared" si="115"/>
        <v>0.1</v>
      </c>
      <c r="DB30" s="382">
        <f t="shared" si="115"/>
        <v>0.1</v>
      </c>
      <c r="DC30" s="382">
        <f t="shared" si="115"/>
        <v>0.1</v>
      </c>
      <c r="DD30" s="382">
        <f t="shared" si="115"/>
        <v>0.1</v>
      </c>
      <c r="DE30" s="382">
        <f t="shared" si="115"/>
        <v>0.1</v>
      </c>
      <c r="DF30" s="382">
        <f t="shared" si="115"/>
        <v>0.1</v>
      </c>
      <c r="DG30" s="382">
        <f t="shared" si="115"/>
        <v>0.2</v>
      </c>
      <c r="DH30" s="382">
        <f t="shared" si="115"/>
        <v>0.2</v>
      </c>
      <c r="DI30" s="382">
        <f t="shared" si="115"/>
        <v>0.2</v>
      </c>
      <c r="DJ30" s="382">
        <f t="shared" si="115"/>
        <v>0.2</v>
      </c>
      <c r="DK30" s="382">
        <f t="shared" ref="DK30:FB32" si="116">INDEX($D30:$L30,1,MATCH(DK$2,$D$2:$L$2,))</f>
        <v>0.2</v>
      </c>
      <c r="DL30" s="382">
        <f t="shared" si="116"/>
        <v>0.2</v>
      </c>
      <c r="DM30" s="382">
        <f t="shared" si="116"/>
        <v>0.2</v>
      </c>
      <c r="DN30" s="382">
        <f t="shared" si="116"/>
        <v>0.2</v>
      </c>
      <c r="DO30" s="382">
        <f t="shared" si="116"/>
        <v>0.2</v>
      </c>
      <c r="DP30" s="382">
        <f t="shared" si="116"/>
        <v>0.2</v>
      </c>
      <c r="DQ30" s="382">
        <f t="shared" si="116"/>
        <v>0.2</v>
      </c>
      <c r="DR30" s="382">
        <f t="shared" si="116"/>
        <v>0.2</v>
      </c>
      <c r="DS30" s="382">
        <f t="shared" si="116"/>
        <v>0.25</v>
      </c>
      <c r="DT30" s="382">
        <f t="shared" si="116"/>
        <v>0.25</v>
      </c>
      <c r="DU30" s="382">
        <f t="shared" si="116"/>
        <v>0.25</v>
      </c>
      <c r="DV30" s="382">
        <f t="shared" si="116"/>
        <v>0.25</v>
      </c>
      <c r="DW30" s="382">
        <f t="shared" si="116"/>
        <v>0.25</v>
      </c>
      <c r="DX30" s="382">
        <f t="shared" si="116"/>
        <v>0.25</v>
      </c>
      <c r="DY30" s="382">
        <f t="shared" si="116"/>
        <v>0.25</v>
      </c>
      <c r="DZ30" s="382">
        <f t="shared" si="116"/>
        <v>0.25</v>
      </c>
      <c r="EA30" s="382">
        <f t="shared" si="116"/>
        <v>0.25</v>
      </c>
      <c r="EB30" s="382">
        <f t="shared" si="116"/>
        <v>0.25</v>
      </c>
      <c r="EC30" s="382">
        <f t="shared" si="116"/>
        <v>0.25</v>
      </c>
      <c r="ED30" s="382">
        <f t="shared" si="116"/>
        <v>0.25</v>
      </c>
      <c r="EE30" s="382">
        <f t="shared" si="116"/>
        <v>0.25</v>
      </c>
      <c r="EF30" s="382">
        <f t="shared" si="116"/>
        <v>0.25</v>
      </c>
      <c r="EG30" s="382">
        <f t="shared" si="116"/>
        <v>0.25</v>
      </c>
      <c r="EH30" s="382">
        <f t="shared" si="116"/>
        <v>0.25</v>
      </c>
      <c r="EI30" s="382">
        <f t="shared" si="116"/>
        <v>0.25</v>
      </c>
      <c r="EJ30" s="382">
        <f t="shared" si="116"/>
        <v>0.25</v>
      </c>
      <c r="EK30" s="382">
        <f t="shared" si="116"/>
        <v>0.25</v>
      </c>
      <c r="EL30" s="382">
        <f t="shared" si="116"/>
        <v>0.25</v>
      </c>
      <c r="EM30" s="382">
        <f t="shared" si="116"/>
        <v>0.25</v>
      </c>
      <c r="EN30" s="382">
        <f t="shared" si="116"/>
        <v>0.25</v>
      </c>
      <c r="EO30" s="382">
        <f t="shared" si="116"/>
        <v>0.25</v>
      </c>
      <c r="EP30" s="382">
        <f t="shared" si="116"/>
        <v>0.25</v>
      </c>
      <c r="EQ30" s="382">
        <f t="shared" si="116"/>
        <v>0.25</v>
      </c>
      <c r="ER30" s="382">
        <f t="shared" si="116"/>
        <v>0.25</v>
      </c>
      <c r="ES30" s="382">
        <f t="shared" si="116"/>
        <v>0.25</v>
      </c>
      <c r="ET30" s="382">
        <f t="shared" si="116"/>
        <v>0.25</v>
      </c>
      <c r="EU30" s="382">
        <f t="shared" si="116"/>
        <v>0.25</v>
      </c>
      <c r="EV30" s="382">
        <f t="shared" si="116"/>
        <v>0.25</v>
      </c>
      <c r="EW30" s="382">
        <f t="shared" si="116"/>
        <v>0.25</v>
      </c>
      <c r="EX30" s="382">
        <f t="shared" si="116"/>
        <v>0.25</v>
      </c>
      <c r="EY30" s="382">
        <f t="shared" si="116"/>
        <v>0.25</v>
      </c>
      <c r="EZ30" s="382">
        <f t="shared" si="116"/>
        <v>0.25</v>
      </c>
      <c r="FA30" s="382">
        <f t="shared" si="116"/>
        <v>0.25</v>
      </c>
      <c r="FB30" s="382">
        <f t="shared" si="116"/>
        <v>0.25</v>
      </c>
    </row>
    <row r="31" spans="3:158" x14ac:dyDescent="0.25">
      <c r="C31" s="377" t="s">
        <v>314</v>
      </c>
      <c r="D31" s="263">
        <v>0</v>
      </c>
      <c r="E31" s="263">
        <v>0</v>
      </c>
      <c r="F31" s="263">
        <v>0</v>
      </c>
      <c r="G31" s="263">
        <v>0</v>
      </c>
      <c r="H31" s="263">
        <v>0.1</v>
      </c>
      <c r="I31" s="263">
        <v>0.25</v>
      </c>
      <c r="J31" s="263">
        <v>0.35</v>
      </c>
      <c r="K31" s="263">
        <v>0.4</v>
      </c>
      <c r="L31" s="263">
        <v>0.4</v>
      </c>
      <c r="N31" s="19">
        <f t="shared" ref="N31:AW31" si="117">N26/N11</f>
        <v>0</v>
      </c>
      <c r="O31" s="19">
        <f t="shared" si="117"/>
        <v>0</v>
      </c>
      <c r="P31" s="19">
        <f t="shared" si="117"/>
        <v>0</v>
      </c>
      <c r="Q31" s="19">
        <f t="shared" si="117"/>
        <v>0</v>
      </c>
      <c r="R31" s="19">
        <f t="shared" si="117"/>
        <v>0</v>
      </c>
      <c r="S31" s="19">
        <f t="shared" si="117"/>
        <v>0</v>
      </c>
      <c r="T31" s="19">
        <f t="shared" si="117"/>
        <v>0</v>
      </c>
      <c r="U31" s="19">
        <f t="shared" si="117"/>
        <v>0</v>
      </c>
      <c r="V31" s="19">
        <f t="shared" si="117"/>
        <v>0</v>
      </c>
      <c r="W31" s="19">
        <f t="shared" si="117"/>
        <v>0</v>
      </c>
      <c r="X31" s="19">
        <f t="shared" si="117"/>
        <v>0</v>
      </c>
      <c r="Y31" s="19">
        <f t="shared" si="117"/>
        <v>0</v>
      </c>
      <c r="Z31" s="19">
        <f t="shared" si="117"/>
        <v>0</v>
      </c>
      <c r="AA31" s="19">
        <f t="shared" si="117"/>
        <v>0</v>
      </c>
      <c r="AB31" s="19">
        <f t="shared" si="117"/>
        <v>0</v>
      </c>
      <c r="AC31" s="19">
        <f t="shared" si="117"/>
        <v>0</v>
      </c>
      <c r="AD31" s="19">
        <f t="shared" si="117"/>
        <v>9.9999999999999992E-2</v>
      </c>
      <c r="AE31" s="19">
        <f t="shared" si="117"/>
        <v>0.1</v>
      </c>
      <c r="AF31" s="19">
        <f t="shared" si="117"/>
        <v>0.1</v>
      </c>
      <c r="AG31" s="19">
        <f t="shared" si="117"/>
        <v>0.1</v>
      </c>
      <c r="AH31" s="19">
        <f t="shared" si="117"/>
        <v>0.25</v>
      </c>
      <c r="AI31" s="19">
        <f t="shared" si="117"/>
        <v>0.25</v>
      </c>
      <c r="AJ31" s="19">
        <f t="shared" si="117"/>
        <v>0.25</v>
      </c>
      <c r="AK31" s="19">
        <f t="shared" si="117"/>
        <v>0.25</v>
      </c>
      <c r="AL31" s="19">
        <f t="shared" si="117"/>
        <v>0.35</v>
      </c>
      <c r="AM31" s="19">
        <f t="shared" si="117"/>
        <v>0.35</v>
      </c>
      <c r="AN31" s="19">
        <f t="shared" si="117"/>
        <v>0.35</v>
      </c>
      <c r="AO31" s="19">
        <f t="shared" si="117"/>
        <v>0.35</v>
      </c>
      <c r="AP31" s="19">
        <f t="shared" si="117"/>
        <v>0.39999999999999997</v>
      </c>
      <c r="AQ31" s="19">
        <f t="shared" si="117"/>
        <v>0.39999999999999997</v>
      </c>
      <c r="AR31" s="19">
        <f t="shared" si="117"/>
        <v>0.4</v>
      </c>
      <c r="AS31" s="19">
        <f t="shared" si="117"/>
        <v>0.4</v>
      </c>
      <c r="AT31" s="19">
        <f t="shared" si="117"/>
        <v>0.4</v>
      </c>
      <c r="AU31" s="19">
        <f t="shared" si="117"/>
        <v>0.40000000000000008</v>
      </c>
      <c r="AV31" s="19">
        <f t="shared" si="117"/>
        <v>0.40000000000000008</v>
      </c>
      <c r="AW31" s="19">
        <f t="shared" si="117"/>
        <v>0.39999999999999997</v>
      </c>
      <c r="AY31" s="382">
        <f t="shared" si="115"/>
        <v>0</v>
      </c>
      <c r="AZ31" s="382">
        <f t="shared" si="115"/>
        <v>0</v>
      </c>
      <c r="BA31" s="382">
        <f t="shared" si="115"/>
        <v>0</v>
      </c>
      <c r="BB31" s="382">
        <f t="shared" si="115"/>
        <v>0</v>
      </c>
      <c r="BC31" s="382">
        <f t="shared" si="115"/>
        <v>0</v>
      </c>
      <c r="BD31" s="382">
        <f t="shared" si="115"/>
        <v>0</v>
      </c>
      <c r="BE31" s="382">
        <f t="shared" si="115"/>
        <v>0</v>
      </c>
      <c r="BF31" s="382">
        <f t="shared" si="115"/>
        <v>0</v>
      </c>
      <c r="BG31" s="382">
        <f t="shared" si="115"/>
        <v>0</v>
      </c>
      <c r="BH31" s="382">
        <f t="shared" si="115"/>
        <v>0</v>
      </c>
      <c r="BI31" s="382">
        <f t="shared" si="115"/>
        <v>0</v>
      </c>
      <c r="BJ31" s="382">
        <f t="shared" si="115"/>
        <v>0</v>
      </c>
      <c r="BK31" s="382">
        <f t="shared" si="115"/>
        <v>0</v>
      </c>
      <c r="BL31" s="382">
        <f t="shared" si="115"/>
        <v>0</v>
      </c>
      <c r="BM31" s="382">
        <f t="shared" si="115"/>
        <v>0</v>
      </c>
      <c r="BN31" s="382">
        <f t="shared" si="115"/>
        <v>0</v>
      </c>
      <c r="BO31" s="382">
        <f t="shared" si="115"/>
        <v>0</v>
      </c>
      <c r="BP31" s="382">
        <f t="shared" si="115"/>
        <v>0</v>
      </c>
      <c r="BQ31" s="382">
        <f t="shared" si="115"/>
        <v>0</v>
      </c>
      <c r="BR31" s="382">
        <f t="shared" si="115"/>
        <v>0</v>
      </c>
      <c r="BS31" s="382">
        <f t="shared" si="115"/>
        <v>0</v>
      </c>
      <c r="BT31" s="382">
        <f t="shared" si="115"/>
        <v>0</v>
      </c>
      <c r="BU31" s="382">
        <f t="shared" si="115"/>
        <v>0</v>
      </c>
      <c r="BV31" s="382">
        <f t="shared" si="115"/>
        <v>0</v>
      </c>
      <c r="BW31" s="382">
        <f t="shared" si="115"/>
        <v>0</v>
      </c>
      <c r="BX31" s="382">
        <f t="shared" si="115"/>
        <v>0</v>
      </c>
      <c r="BY31" s="382">
        <f t="shared" si="115"/>
        <v>0</v>
      </c>
      <c r="BZ31" s="382">
        <f t="shared" si="115"/>
        <v>0</v>
      </c>
      <c r="CA31" s="382">
        <f t="shared" si="115"/>
        <v>0</v>
      </c>
      <c r="CB31" s="382">
        <f t="shared" si="115"/>
        <v>0</v>
      </c>
      <c r="CC31" s="382">
        <f t="shared" si="115"/>
        <v>0</v>
      </c>
      <c r="CD31" s="382">
        <f t="shared" si="115"/>
        <v>0</v>
      </c>
      <c r="CE31" s="382">
        <f t="shared" si="115"/>
        <v>0</v>
      </c>
      <c r="CF31" s="382">
        <f t="shared" si="115"/>
        <v>0</v>
      </c>
      <c r="CG31" s="382">
        <f t="shared" si="115"/>
        <v>0</v>
      </c>
      <c r="CH31" s="382">
        <f t="shared" si="115"/>
        <v>0</v>
      </c>
      <c r="CI31" s="382">
        <f t="shared" si="115"/>
        <v>0</v>
      </c>
      <c r="CJ31" s="382">
        <f t="shared" si="115"/>
        <v>0</v>
      </c>
      <c r="CK31" s="382">
        <f t="shared" si="115"/>
        <v>0</v>
      </c>
      <c r="CL31" s="382">
        <f t="shared" si="115"/>
        <v>0</v>
      </c>
      <c r="CM31" s="382">
        <f t="shared" si="115"/>
        <v>0</v>
      </c>
      <c r="CN31" s="382">
        <f t="shared" si="115"/>
        <v>0</v>
      </c>
      <c r="CO31" s="382">
        <f t="shared" si="115"/>
        <v>0</v>
      </c>
      <c r="CP31" s="382">
        <f t="shared" si="115"/>
        <v>0</v>
      </c>
      <c r="CQ31" s="382">
        <f t="shared" si="115"/>
        <v>0</v>
      </c>
      <c r="CR31" s="382">
        <f t="shared" si="115"/>
        <v>0</v>
      </c>
      <c r="CS31" s="382">
        <f t="shared" si="115"/>
        <v>0</v>
      </c>
      <c r="CT31" s="382">
        <f t="shared" si="115"/>
        <v>0</v>
      </c>
      <c r="CU31" s="382">
        <f t="shared" si="115"/>
        <v>0.1</v>
      </c>
      <c r="CV31" s="382">
        <f t="shared" si="115"/>
        <v>0.1</v>
      </c>
      <c r="CW31" s="382">
        <f t="shared" si="115"/>
        <v>0.1</v>
      </c>
      <c r="CX31" s="382">
        <f t="shared" si="115"/>
        <v>0.1</v>
      </c>
      <c r="CY31" s="382">
        <f t="shared" si="115"/>
        <v>0.1</v>
      </c>
      <c r="CZ31" s="382">
        <f t="shared" si="115"/>
        <v>0.1</v>
      </c>
      <c r="DA31" s="382">
        <f t="shared" si="115"/>
        <v>0.1</v>
      </c>
      <c r="DB31" s="382">
        <f t="shared" si="115"/>
        <v>0.1</v>
      </c>
      <c r="DC31" s="382">
        <f t="shared" si="115"/>
        <v>0.1</v>
      </c>
      <c r="DD31" s="382">
        <f t="shared" si="115"/>
        <v>0.1</v>
      </c>
      <c r="DE31" s="382">
        <f t="shared" si="115"/>
        <v>0.1</v>
      </c>
      <c r="DF31" s="382">
        <f t="shared" si="115"/>
        <v>0.1</v>
      </c>
      <c r="DG31" s="382">
        <f t="shared" si="115"/>
        <v>0.25</v>
      </c>
      <c r="DH31" s="382">
        <f t="shared" si="115"/>
        <v>0.25</v>
      </c>
      <c r="DI31" s="382">
        <f t="shared" si="115"/>
        <v>0.25</v>
      </c>
      <c r="DJ31" s="382">
        <f t="shared" si="115"/>
        <v>0.25</v>
      </c>
      <c r="DK31" s="382">
        <f t="shared" si="116"/>
        <v>0.25</v>
      </c>
      <c r="DL31" s="382">
        <f t="shared" si="116"/>
        <v>0.25</v>
      </c>
      <c r="DM31" s="382">
        <f t="shared" si="116"/>
        <v>0.25</v>
      </c>
      <c r="DN31" s="382">
        <f t="shared" si="116"/>
        <v>0.25</v>
      </c>
      <c r="DO31" s="382">
        <f t="shared" si="116"/>
        <v>0.25</v>
      </c>
      <c r="DP31" s="382">
        <f t="shared" si="116"/>
        <v>0.25</v>
      </c>
      <c r="DQ31" s="382">
        <f t="shared" si="116"/>
        <v>0.25</v>
      </c>
      <c r="DR31" s="382">
        <f t="shared" si="116"/>
        <v>0.25</v>
      </c>
      <c r="DS31" s="382">
        <f t="shared" si="116"/>
        <v>0.35</v>
      </c>
      <c r="DT31" s="382">
        <f t="shared" si="116"/>
        <v>0.35</v>
      </c>
      <c r="DU31" s="382">
        <f t="shared" si="116"/>
        <v>0.35</v>
      </c>
      <c r="DV31" s="382">
        <f t="shared" si="116"/>
        <v>0.35</v>
      </c>
      <c r="DW31" s="382">
        <f t="shared" si="116"/>
        <v>0.35</v>
      </c>
      <c r="DX31" s="382">
        <f t="shared" si="116"/>
        <v>0.35</v>
      </c>
      <c r="DY31" s="382">
        <f t="shared" si="116"/>
        <v>0.35</v>
      </c>
      <c r="DZ31" s="382">
        <f t="shared" si="116"/>
        <v>0.35</v>
      </c>
      <c r="EA31" s="382">
        <f t="shared" si="116"/>
        <v>0.35</v>
      </c>
      <c r="EB31" s="382">
        <f t="shared" si="116"/>
        <v>0.35</v>
      </c>
      <c r="EC31" s="382">
        <f t="shared" si="116"/>
        <v>0.35</v>
      </c>
      <c r="ED31" s="382">
        <f t="shared" si="116"/>
        <v>0.35</v>
      </c>
      <c r="EE31" s="382">
        <f t="shared" si="116"/>
        <v>0.4</v>
      </c>
      <c r="EF31" s="382">
        <f t="shared" si="116"/>
        <v>0.4</v>
      </c>
      <c r="EG31" s="382">
        <f t="shared" si="116"/>
        <v>0.4</v>
      </c>
      <c r="EH31" s="382">
        <f t="shared" si="116"/>
        <v>0.4</v>
      </c>
      <c r="EI31" s="382">
        <f t="shared" si="116"/>
        <v>0.4</v>
      </c>
      <c r="EJ31" s="382">
        <f t="shared" si="116"/>
        <v>0.4</v>
      </c>
      <c r="EK31" s="382">
        <f t="shared" si="116"/>
        <v>0.4</v>
      </c>
      <c r="EL31" s="382">
        <f t="shared" si="116"/>
        <v>0.4</v>
      </c>
      <c r="EM31" s="382">
        <f t="shared" si="116"/>
        <v>0.4</v>
      </c>
      <c r="EN31" s="382">
        <f t="shared" si="116"/>
        <v>0.4</v>
      </c>
      <c r="EO31" s="382">
        <f t="shared" si="116"/>
        <v>0.4</v>
      </c>
      <c r="EP31" s="382">
        <f t="shared" si="116"/>
        <v>0.4</v>
      </c>
      <c r="EQ31" s="382">
        <f t="shared" si="116"/>
        <v>0.4</v>
      </c>
      <c r="ER31" s="382">
        <f t="shared" si="116"/>
        <v>0.4</v>
      </c>
      <c r="ES31" s="382">
        <f t="shared" si="116"/>
        <v>0.4</v>
      </c>
      <c r="ET31" s="382">
        <f t="shared" si="116"/>
        <v>0.4</v>
      </c>
      <c r="EU31" s="382">
        <f t="shared" si="116"/>
        <v>0.4</v>
      </c>
      <c r="EV31" s="382">
        <f t="shared" si="116"/>
        <v>0.4</v>
      </c>
      <c r="EW31" s="382">
        <f t="shared" si="116"/>
        <v>0.4</v>
      </c>
      <c r="EX31" s="382">
        <f t="shared" si="116"/>
        <v>0.4</v>
      </c>
      <c r="EY31" s="382">
        <f t="shared" si="116"/>
        <v>0.4</v>
      </c>
      <c r="EZ31" s="382">
        <f t="shared" si="116"/>
        <v>0.4</v>
      </c>
      <c r="FA31" s="382">
        <f t="shared" si="116"/>
        <v>0.4</v>
      </c>
      <c r="FB31" s="382">
        <f t="shared" si="116"/>
        <v>0.4</v>
      </c>
    </row>
    <row r="32" spans="3:158" x14ac:dyDescent="0.25">
      <c r="C32" s="377" t="s">
        <v>664</v>
      </c>
      <c r="D32" s="263">
        <v>0</v>
      </c>
      <c r="E32" s="263">
        <v>0</v>
      </c>
      <c r="F32" s="263">
        <v>0</v>
      </c>
      <c r="G32" s="263">
        <v>0.25</v>
      </c>
      <c r="H32" s="263">
        <v>0.5</v>
      </c>
      <c r="I32" s="263">
        <v>0.7</v>
      </c>
      <c r="J32" s="263">
        <v>0.75</v>
      </c>
      <c r="K32" s="263">
        <v>0.75</v>
      </c>
      <c r="L32" s="263">
        <v>0.8</v>
      </c>
      <c r="N32" s="19">
        <f t="shared" ref="N32:AW32" si="118">N27/N12</f>
        <v>0</v>
      </c>
      <c r="O32" s="19">
        <f t="shared" si="118"/>
        <v>0</v>
      </c>
      <c r="P32" s="19">
        <f t="shared" si="118"/>
        <v>0</v>
      </c>
      <c r="Q32" s="19">
        <f t="shared" si="118"/>
        <v>0</v>
      </c>
      <c r="R32" s="19">
        <f t="shared" si="118"/>
        <v>0</v>
      </c>
      <c r="S32" s="19">
        <f t="shared" si="118"/>
        <v>0</v>
      </c>
      <c r="T32" s="19">
        <f t="shared" si="118"/>
        <v>0</v>
      </c>
      <c r="U32" s="19">
        <f t="shared" si="118"/>
        <v>0</v>
      </c>
      <c r="V32" s="19">
        <f t="shared" si="118"/>
        <v>0</v>
      </c>
      <c r="W32" s="19">
        <f t="shared" si="118"/>
        <v>0</v>
      </c>
      <c r="X32" s="19">
        <f t="shared" si="118"/>
        <v>0</v>
      </c>
      <c r="Y32" s="19">
        <f t="shared" si="118"/>
        <v>0</v>
      </c>
      <c r="Z32" s="19">
        <f t="shared" si="118"/>
        <v>0.25</v>
      </c>
      <c r="AA32" s="19">
        <f t="shared" si="118"/>
        <v>0.25</v>
      </c>
      <c r="AB32" s="19">
        <f t="shared" si="118"/>
        <v>0.25</v>
      </c>
      <c r="AC32" s="19">
        <f t="shared" si="118"/>
        <v>0.25</v>
      </c>
      <c r="AD32" s="19">
        <f t="shared" si="118"/>
        <v>0.5</v>
      </c>
      <c r="AE32" s="19">
        <f t="shared" si="118"/>
        <v>0.5</v>
      </c>
      <c r="AF32" s="19">
        <f t="shared" si="118"/>
        <v>0.5</v>
      </c>
      <c r="AG32" s="19">
        <f t="shared" si="118"/>
        <v>0.5</v>
      </c>
      <c r="AH32" s="19">
        <f t="shared" si="118"/>
        <v>0.70000000000000007</v>
      </c>
      <c r="AI32" s="19">
        <f t="shared" si="118"/>
        <v>0.69999999999999984</v>
      </c>
      <c r="AJ32" s="19">
        <f t="shared" si="118"/>
        <v>0.69999999999999984</v>
      </c>
      <c r="AK32" s="19">
        <f t="shared" si="118"/>
        <v>0.7</v>
      </c>
      <c r="AL32" s="19">
        <f t="shared" si="118"/>
        <v>0.75</v>
      </c>
      <c r="AM32" s="19">
        <f t="shared" si="118"/>
        <v>0.75000000000000011</v>
      </c>
      <c r="AN32" s="19">
        <f t="shared" si="118"/>
        <v>0.74999999999999989</v>
      </c>
      <c r="AO32" s="19">
        <f t="shared" si="118"/>
        <v>0.75</v>
      </c>
      <c r="AP32" s="19">
        <f t="shared" si="118"/>
        <v>0.74999999999999978</v>
      </c>
      <c r="AQ32" s="19">
        <f t="shared" si="118"/>
        <v>0.75000000000000011</v>
      </c>
      <c r="AR32" s="19">
        <f t="shared" si="118"/>
        <v>0.75</v>
      </c>
      <c r="AS32" s="19">
        <f t="shared" si="118"/>
        <v>0.75</v>
      </c>
      <c r="AT32" s="19">
        <f t="shared" si="118"/>
        <v>0.8</v>
      </c>
      <c r="AU32" s="19">
        <f t="shared" si="118"/>
        <v>0.79999999999999993</v>
      </c>
      <c r="AV32" s="19">
        <f t="shared" si="118"/>
        <v>0.79999999999999993</v>
      </c>
      <c r="AW32" s="19">
        <f t="shared" si="118"/>
        <v>0.79999999999999993</v>
      </c>
      <c r="AY32" s="382">
        <f t="shared" si="115"/>
        <v>0</v>
      </c>
      <c r="AZ32" s="382">
        <f t="shared" si="115"/>
        <v>0</v>
      </c>
      <c r="BA32" s="382">
        <f t="shared" si="115"/>
        <v>0</v>
      </c>
      <c r="BB32" s="382">
        <f t="shared" si="115"/>
        <v>0</v>
      </c>
      <c r="BC32" s="382">
        <f t="shared" si="115"/>
        <v>0</v>
      </c>
      <c r="BD32" s="382">
        <f t="shared" si="115"/>
        <v>0</v>
      </c>
      <c r="BE32" s="382">
        <f t="shared" si="115"/>
        <v>0</v>
      </c>
      <c r="BF32" s="382">
        <f t="shared" si="115"/>
        <v>0</v>
      </c>
      <c r="BG32" s="382">
        <f t="shared" si="115"/>
        <v>0</v>
      </c>
      <c r="BH32" s="382">
        <f t="shared" si="115"/>
        <v>0</v>
      </c>
      <c r="BI32" s="382">
        <f t="shared" si="115"/>
        <v>0</v>
      </c>
      <c r="BJ32" s="382">
        <f t="shared" si="115"/>
        <v>0</v>
      </c>
      <c r="BK32" s="382">
        <f t="shared" si="115"/>
        <v>0</v>
      </c>
      <c r="BL32" s="382">
        <f t="shared" si="115"/>
        <v>0</v>
      </c>
      <c r="BM32" s="382">
        <f t="shared" si="115"/>
        <v>0</v>
      </c>
      <c r="BN32" s="382">
        <f t="shared" si="115"/>
        <v>0</v>
      </c>
      <c r="BO32" s="382">
        <f t="shared" si="115"/>
        <v>0</v>
      </c>
      <c r="BP32" s="382">
        <f t="shared" si="115"/>
        <v>0</v>
      </c>
      <c r="BQ32" s="382">
        <f t="shared" si="115"/>
        <v>0</v>
      </c>
      <c r="BR32" s="382">
        <f t="shared" si="115"/>
        <v>0</v>
      </c>
      <c r="BS32" s="382">
        <f t="shared" si="115"/>
        <v>0</v>
      </c>
      <c r="BT32" s="382">
        <f t="shared" si="115"/>
        <v>0</v>
      </c>
      <c r="BU32" s="382">
        <f t="shared" si="115"/>
        <v>0</v>
      </c>
      <c r="BV32" s="382">
        <f t="shared" si="115"/>
        <v>0</v>
      </c>
      <c r="BW32" s="382">
        <f t="shared" si="115"/>
        <v>0</v>
      </c>
      <c r="BX32" s="382">
        <f t="shared" si="115"/>
        <v>0</v>
      </c>
      <c r="BY32" s="382">
        <f t="shared" si="115"/>
        <v>0</v>
      </c>
      <c r="BZ32" s="382">
        <f t="shared" si="115"/>
        <v>0</v>
      </c>
      <c r="CA32" s="382">
        <f t="shared" si="115"/>
        <v>0</v>
      </c>
      <c r="CB32" s="382">
        <f t="shared" si="115"/>
        <v>0</v>
      </c>
      <c r="CC32" s="382">
        <f t="shared" si="115"/>
        <v>0</v>
      </c>
      <c r="CD32" s="382">
        <f t="shared" si="115"/>
        <v>0</v>
      </c>
      <c r="CE32" s="382">
        <f t="shared" si="115"/>
        <v>0</v>
      </c>
      <c r="CF32" s="382">
        <f t="shared" si="115"/>
        <v>0</v>
      </c>
      <c r="CG32" s="382">
        <f t="shared" si="115"/>
        <v>0</v>
      </c>
      <c r="CH32" s="382">
        <f t="shared" si="115"/>
        <v>0</v>
      </c>
      <c r="CI32" s="382">
        <f t="shared" si="115"/>
        <v>0.25</v>
      </c>
      <c r="CJ32" s="382">
        <f t="shared" si="115"/>
        <v>0.25</v>
      </c>
      <c r="CK32" s="382">
        <f t="shared" si="115"/>
        <v>0.25</v>
      </c>
      <c r="CL32" s="382">
        <f t="shared" si="115"/>
        <v>0.25</v>
      </c>
      <c r="CM32" s="382">
        <f t="shared" si="115"/>
        <v>0.25</v>
      </c>
      <c r="CN32" s="382">
        <f t="shared" si="115"/>
        <v>0.25</v>
      </c>
      <c r="CO32" s="382">
        <f t="shared" si="115"/>
        <v>0.25</v>
      </c>
      <c r="CP32" s="382">
        <f t="shared" si="115"/>
        <v>0.25</v>
      </c>
      <c r="CQ32" s="382">
        <f t="shared" si="115"/>
        <v>0.25</v>
      </c>
      <c r="CR32" s="382">
        <f t="shared" si="115"/>
        <v>0.25</v>
      </c>
      <c r="CS32" s="382">
        <f t="shared" si="115"/>
        <v>0.25</v>
      </c>
      <c r="CT32" s="382">
        <f t="shared" si="115"/>
        <v>0.25</v>
      </c>
      <c r="CU32" s="382">
        <f t="shared" si="115"/>
        <v>0.5</v>
      </c>
      <c r="CV32" s="382">
        <f t="shared" si="115"/>
        <v>0.5</v>
      </c>
      <c r="CW32" s="382">
        <f t="shared" si="115"/>
        <v>0.5</v>
      </c>
      <c r="CX32" s="382">
        <f t="shared" si="115"/>
        <v>0.5</v>
      </c>
      <c r="CY32" s="382">
        <f t="shared" si="115"/>
        <v>0.5</v>
      </c>
      <c r="CZ32" s="382">
        <f t="shared" si="115"/>
        <v>0.5</v>
      </c>
      <c r="DA32" s="382">
        <f t="shared" si="115"/>
        <v>0.5</v>
      </c>
      <c r="DB32" s="382">
        <f t="shared" si="115"/>
        <v>0.5</v>
      </c>
      <c r="DC32" s="382">
        <f t="shared" si="115"/>
        <v>0.5</v>
      </c>
      <c r="DD32" s="382">
        <f t="shared" si="115"/>
        <v>0.5</v>
      </c>
      <c r="DE32" s="382">
        <f t="shared" si="115"/>
        <v>0.5</v>
      </c>
      <c r="DF32" s="382">
        <f t="shared" si="115"/>
        <v>0.5</v>
      </c>
      <c r="DG32" s="382">
        <f t="shared" si="115"/>
        <v>0.7</v>
      </c>
      <c r="DH32" s="382">
        <f t="shared" si="115"/>
        <v>0.7</v>
      </c>
      <c r="DI32" s="382">
        <f t="shared" si="115"/>
        <v>0.7</v>
      </c>
      <c r="DJ32" s="382">
        <f t="shared" si="115"/>
        <v>0.7</v>
      </c>
      <c r="DK32" s="382">
        <f t="shared" si="116"/>
        <v>0.7</v>
      </c>
      <c r="DL32" s="382">
        <f t="shared" si="116"/>
        <v>0.7</v>
      </c>
      <c r="DM32" s="382">
        <f t="shared" si="116"/>
        <v>0.7</v>
      </c>
      <c r="DN32" s="382">
        <f t="shared" si="116"/>
        <v>0.7</v>
      </c>
      <c r="DO32" s="382">
        <f t="shared" si="116"/>
        <v>0.7</v>
      </c>
      <c r="DP32" s="382">
        <f t="shared" si="116"/>
        <v>0.7</v>
      </c>
      <c r="DQ32" s="382">
        <f t="shared" si="116"/>
        <v>0.7</v>
      </c>
      <c r="DR32" s="382">
        <f t="shared" si="116"/>
        <v>0.7</v>
      </c>
      <c r="DS32" s="382">
        <f t="shared" si="116"/>
        <v>0.75</v>
      </c>
      <c r="DT32" s="382">
        <f t="shared" si="116"/>
        <v>0.75</v>
      </c>
      <c r="DU32" s="382">
        <f t="shared" si="116"/>
        <v>0.75</v>
      </c>
      <c r="DV32" s="382">
        <f t="shared" si="116"/>
        <v>0.75</v>
      </c>
      <c r="DW32" s="382">
        <f t="shared" si="116"/>
        <v>0.75</v>
      </c>
      <c r="DX32" s="382">
        <f t="shared" si="116"/>
        <v>0.75</v>
      </c>
      <c r="DY32" s="382">
        <f t="shared" si="116"/>
        <v>0.75</v>
      </c>
      <c r="DZ32" s="382">
        <f t="shared" si="116"/>
        <v>0.75</v>
      </c>
      <c r="EA32" s="382">
        <f t="shared" si="116"/>
        <v>0.75</v>
      </c>
      <c r="EB32" s="382">
        <f t="shared" si="116"/>
        <v>0.75</v>
      </c>
      <c r="EC32" s="382">
        <f t="shared" si="116"/>
        <v>0.75</v>
      </c>
      <c r="ED32" s="382">
        <f t="shared" si="116"/>
        <v>0.75</v>
      </c>
      <c r="EE32" s="382">
        <f t="shared" si="116"/>
        <v>0.75</v>
      </c>
      <c r="EF32" s="382">
        <f t="shared" si="116"/>
        <v>0.75</v>
      </c>
      <c r="EG32" s="382">
        <f t="shared" si="116"/>
        <v>0.75</v>
      </c>
      <c r="EH32" s="382">
        <f t="shared" si="116"/>
        <v>0.75</v>
      </c>
      <c r="EI32" s="382">
        <f t="shared" si="116"/>
        <v>0.75</v>
      </c>
      <c r="EJ32" s="382">
        <f t="shared" si="116"/>
        <v>0.75</v>
      </c>
      <c r="EK32" s="382">
        <f t="shared" si="116"/>
        <v>0.75</v>
      </c>
      <c r="EL32" s="382">
        <f t="shared" si="116"/>
        <v>0.75</v>
      </c>
      <c r="EM32" s="382">
        <f t="shared" si="116"/>
        <v>0.75</v>
      </c>
      <c r="EN32" s="382">
        <f t="shared" si="116"/>
        <v>0.75</v>
      </c>
      <c r="EO32" s="382">
        <f t="shared" si="116"/>
        <v>0.75</v>
      </c>
      <c r="EP32" s="382">
        <f t="shared" si="116"/>
        <v>0.75</v>
      </c>
      <c r="EQ32" s="382">
        <f t="shared" si="116"/>
        <v>0.8</v>
      </c>
      <c r="ER32" s="382">
        <f t="shared" si="116"/>
        <v>0.8</v>
      </c>
      <c r="ES32" s="382">
        <f t="shared" si="116"/>
        <v>0.8</v>
      </c>
      <c r="ET32" s="382">
        <f t="shared" si="116"/>
        <v>0.8</v>
      </c>
      <c r="EU32" s="382">
        <f t="shared" si="116"/>
        <v>0.8</v>
      </c>
      <c r="EV32" s="382">
        <f t="shared" si="116"/>
        <v>0.8</v>
      </c>
      <c r="EW32" s="382">
        <f t="shared" si="116"/>
        <v>0.8</v>
      </c>
      <c r="EX32" s="382">
        <f t="shared" si="116"/>
        <v>0.8</v>
      </c>
      <c r="EY32" s="382">
        <f t="shared" si="116"/>
        <v>0.8</v>
      </c>
      <c r="EZ32" s="382">
        <f t="shared" si="116"/>
        <v>0.8</v>
      </c>
      <c r="FA32" s="382">
        <f t="shared" si="116"/>
        <v>0.8</v>
      </c>
      <c r="FB32" s="382">
        <f t="shared" si="116"/>
        <v>0.8</v>
      </c>
    </row>
    <row r="34" spans="3:158" x14ac:dyDescent="0.25">
      <c r="C34" s="1" t="s">
        <v>249</v>
      </c>
      <c r="D34" s="22">
        <f t="shared" ref="D34:L36" si="119">SUMIF($AY$2:$FB$2,D$2,$AY34:$FB34)</f>
        <v>18909925.300000001</v>
      </c>
      <c r="E34" s="22">
        <f t="shared" si="119"/>
        <v>27736807.890914999</v>
      </c>
      <c r="F34" s="22">
        <f t="shared" si="119"/>
        <v>32341969.564102001</v>
      </c>
      <c r="G34" s="22">
        <f t="shared" si="119"/>
        <v>63932242.320432998</v>
      </c>
      <c r="H34" s="22">
        <f t="shared" si="119"/>
        <v>87500000</v>
      </c>
      <c r="I34" s="22">
        <f t="shared" si="119"/>
        <v>129062499.99999997</v>
      </c>
      <c r="J34" s="22">
        <f t="shared" si="119"/>
        <v>187140625</v>
      </c>
      <c r="K34" s="22">
        <f t="shared" si="119"/>
        <v>266675390.62499997</v>
      </c>
      <c r="L34" s="22">
        <f t="shared" si="119"/>
        <v>373345546.875</v>
      </c>
      <c r="M34" s="1"/>
      <c r="N34" s="22">
        <f t="shared" ref="N34:N36" si="120">SUM(AY34:BA34)</f>
        <v>3412608.1</v>
      </c>
      <c r="O34" s="22">
        <f t="shared" ref="O34:O36" si="121">SUM(BB34:BD34)</f>
        <v>4179978.8</v>
      </c>
      <c r="P34" s="22">
        <f t="shared" ref="P34:P36" si="122">SUM(BE34:BG34)</f>
        <v>4303066.46</v>
      </c>
      <c r="Q34" s="22">
        <f t="shared" ref="Q34:Q36" si="123">SUM(BH34:BJ34)</f>
        <v>7014271.9399999995</v>
      </c>
      <c r="R34" s="22">
        <f t="shared" ref="R34:R36" si="124">SUM(BK34:BM34)</f>
        <v>5688324.29</v>
      </c>
      <c r="S34" s="22">
        <f t="shared" ref="S34:S36" si="125">SUM(BN34:BP34)</f>
        <v>7504547.8499999996</v>
      </c>
      <c r="T34" s="22">
        <f t="shared" ref="T34:T36" si="126">SUM(BQ34:BS34)</f>
        <v>6013138.3099999996</v>
      </c>
      <c r="U34" s="22">
        <f t="shared" ref="U34:U36" si="127">SUM(BT34:BV34)</f>
        <v>8530797.4409149997</v>
      </c>
      <c r="V34" s="22">
        <f t="shared" ref="V34:V36" si="128">SUM(BW34:BY34)</f>
        <v>5225613.073663</v>
      </c>
      <c r="W34" s="22">
        <f t="shared" ref="W34:W36" si="129">SUM(BZ34:CB34)</f>
        <v>8110905.6492660008</v>
      </c>
      <c r="X34" s="22">
        <f t="shared" ref="X34:X36" si="130">SUM(CC34:CE34)</f>
        <v>8152575.106958</v>
      </c>
      <c r="Y34" s="22">
        <f t="shared" ref="Y34:Y36" si="131">SUM(CF34:CH34)</f>
        <v>10852875.734214999</v>
      </c>
      <c r="Z34" s="22">
        <f t="shared" ref="Z34:Z36" si="132">SUM(CI34:CK34)</f>
        <v>9068644.246173</v>
      </c>
      <c r="AA34" s="22">
        <f t="shared" ref="AA34:AA36" si="133">SUM(CL34:CN34)</f>
        <v>14187110.57426</v>
      </c>
      <c r="AB34" s="22">
        <f t="shared" ref="AB34:AB36" si="134">SUM(CO34:CQ34)</f>
        <v>17298700</v>
      </c>
      <c r="AC34" s="22">
        <f t="shared" ref="AC34:AC36" si="135">SUM(CR34:CT34)</f>
        <v>23377787.5</v>
      </c>
      <c r="AD34" s="22">
        <f t="shared" ref="AD34:AD36" si="136">SUM(CU34:CW34)</f>
        <v>15485236.658152629</v>
      </c>
      <c r="AE34" s="22">
        <f t="shared" ref="AE34:AE36" si="137">SUM(CX34:CZ34)</f>
        <v>20603198.124783106</v>
      </c>
      <c r="AF34" s="22">
        <f t="shared" ref="AF34:AF36" si="138">SUM(DA34:DC34)</f>
        <v>20312333.791441206</v>
      </c>
      <c r="AG34" s="22">
        <f t="shared" ref="AG34:AG36" si="139">SUM(DD34:DF34)</f>
        <v>31099231.425623044</v>
      </c>
      <c r="AH34" s="22">
        <f t="shared" ref="AH34:AH36" si="140">SUM(DG34:DI34)</f>
        <v>23537661.570775133</v>
      </c>
      <c r="AI34" s="22">
        <f t="shared" ref="AI34:AI36" si="141">SUM(DJ34:DL34)</f>
        <v>31938467.23405508</v>
      </c>
      <c r="AJ34" s="22">
        <f t="shared" ref="AJ34:AJ36" si="142">SUM(DM34:DO34)</f>
        <v>29960692.342375778</v>
      </c>
      <c r="AK34" s="22">
        <f t="shared" ref="AK34:AK36" si="143">SUM(DP34:DR34)</f>
        <v>43625678.852793992</v>
      </c>
      <c r="AL34" s="22">
        <f t="shared" ref="AL34:AL36" si="144">SUM(DS34:DU34)</f>
        <v>34129609.277623944</v>
      </c>
      <c r="AM34" s="22">
        <f t="shared" ref="AM34:AM36" si="145">SUM(DV34:DX34)</f>
        <v>46310777.489379868</v>
      </c>
      <c r="AN34" s="22">
        <f t="shared" ref="AN34:AN36" si="146">SUM(DY34:EA34)</f>
        <v>43443003.896444872</v>
      </c>
      <c r="AO34" s="22">
        <f t="shared" ref="AO34:AO36" si="147">SUM(EB34:ED34)</f>
        <v>63257234.336551294</v>
      </c>
      <c r="AP34" s="22">
        <f t="shared" ref="AP34:AP36" si="148">SUM(EE34:EG34)</f>
        <v>48634693.22061412</v>
      </c>
      <c r="AQ34" s="22">
        <f t="shared" ref="AQ34:AQ36" si="149">SUM(EH34:EJ34)</f>
        <v>65992857.922366314</v>
      </c>
      <c r="AR34" s="22">
        <f t="shared" ref="AR34:AR36" si="150">SUM(EK34:EM34)</f>
        <v>61906280.55243396</v>
      </c>
      <c r="AS34" s="22">
        <f t="shared" ref="AS34:AS36" si="151">SUM(EN34:EP34)</f>
        <v>90141558.929585591</v>
      </c>
      <c r="AT34" s="22">
        <f t="shared" ref="AT34:AT36" si="152">SUM(EQ34:ES34)</f>
        <v>68088570.508859769</v>
      </c>
      <c r="AU34" s="22">
        <f t="shared" ref="AU34:AU36" si="153">SUM(ET34:EV34)</f>
        <v>92390001.091312841</v>
      </c>
      <c r="AV34" s="22">
        <f t="shared" ref="AV34:AV36" si="154">SUM(EW34:EY34)</f>
        <v>86668792.773407549</v>
      </c>
      <c r="AW34" s="22">
        <f t="shared" ref="AW34:AW36" si="155">SUM(EZ34:FB34)</f>
        <v>126198182.50141983</v>
      </c>
      <c r="AY34" s="22">
        <f>SUM(AY35:AY37)</f>
        <v>247639</v>
      </c>
      <c r="AZ34" s="22">
        <f t="shared" ref="AZ34:DK34" si="156">SUM(AZ35:AZ37)</f>
        <v>1082032.83</v>
      </c>
      <c r="BA34" s="22">
        <f t="shared" si="156"/>
        <v>2082936.27</v>
      </c>
      <c r="BB34" s="22">
        <f t="shared" si="156"/>
        <v>656601.42999999993</v>
      </c>
      <c r="BC34" s="22">
        <f t="shared" si="156"/>
        <v>1521663.65</v>
      </c>
      <c r="BD34" s="22">
        <f t="shared" si="156"/>
        <v>2001713.72</v>
      </c>
      <c r="BE34" s="22">
        <f t="shared" si="156"/>
        <v>778126.66999999993</v>
      </c>
      <c r="BF34" s="22">
        <f t="shared" si="156"/>
        <v>1114502.46</v>
      </c>
      <c r="BG34" s="22">
        <f t="shared" si="156"/>
        <v>2410437.33</v>
      </c>
      <c r="BH34" s="22">
        <f t="shared" si="156"/>
        <v>1197012.17</v>
      </c>
      <c r="BI34" s="22">
        <f t="shared" si="156"/>
        <v>3090129.67</v>
      </c>
      <c r="BJ34" s="22">
        <f t="shared" si="156"/>
        <v>2727130.1</v>
      </c>
      <c r="BK34" s="22">
        <f t="shared" si="156"/>
        <v>787013.33000000007</v>
      </c>
      <c r="BL34" s="22">
        <f t="shared" si="156"/>
        <v>1407691.33</v>
      </c>
      <c r="BM34" s="22">
        <f t="shared" si="156"/>
        <v>3493619.63</v>
      </c>
      <c r="BN34" s="22">
        <f t="shared" si="156"/>
        <v>1326125.76</v>
      </c>
      <c r="BO34" s="22">
        <f t="shared" si="156"/>
        <v>3115569.38</v>
      </c>
      <c r="BP34" s="22">
        <f t="shared" si="156"/>
        <v>3062852.71</v>
      </c>
      <c r="BQ34" s="22">
        <f t="shared" si="156"/>
        <v>1222005.3999999999</v>
      </c>
      <c r="BR34" s="22">
        <f t="shared" si="156"/>
        <v>1307988.67</v>
      </c>
      <c r="BS34" s="22">
        <f t="shared" si="156"/>
        <v>3483144.2399999998</v>
      </c>
      <c r="BT34" s="22">
        <f t="shared" si="156"/>
        <v>797405.54</v>
      </c>
      <c r="BU34" s="22">
        <f t="shared" si="156"/>
        <v>3345936.4699999997</v>
      </c>
      <c r="BV34" s="22">
        <f t="shared" si="156"/>
        <v>4387455.4309149999</v>
      </c>
      <c r="BW34" s="22">
        <f t="shared" si="156"/>
        <v>1103269.5</v>
      </c>
      <c r="BX34" s="22">
        <f t="shared" si="156"/>
        <v>1671254.3752009999</v>
      </c>
      <c r="BY34" s="22">
        <f t="shared" si="156"/>
        <v>2451089.1984620001</v>
      </c>
      <c r="BZ34" s="22">
        <f t="shared" si="156"/>
        <v>1682250.2295600001</v>
      </c>
      <c r="CA34" s="22">
        <f t="shared" si="156"/>
        <v>1926495.5395230001</v>
      </c>
      <c r="CB34" s="22">
        <f t="shared" si="156"/>
        <v>4502159.8801830001</v>
      </c>
      <c r="CC34" s="22">
        <f t="shared" si="156"/>
        <v>1050087.6471790001</v>
      </c>
      <c r="CD34" s="22">
        <f t="shared" si="156"/>
        <v>3354858.5839910004</v>
      </c>
      <c r="CE34" s="22">
        <f t="shared" si="156"/>
        <v>3747628.8757879999</v>
      </c>
      <c r="CF34" s="22">
        <f t="shared" si="156"/>
        <v>1583669.9761549998</v>
      </c>
      <c r="CG34" s="22">
        <f t="shared" si="156"/>
        <v>3917228.8316860003</v>
      </c>
      <c r="CH34" s="22">
        <f t="shared" si="156"/>
        <v>5351976.9263739996</v>
      </c>
      <c r="CI34" s="22">
        <f t="shared" si="156"/>
        <v>1467244.9398469999</v>
      </c>
      <c r="CJ34" s="22">
        <f t="shared" si="156"/>
        <v>2248533.3673880002</v>
      </c>
      <c r="CK34" s="22">
        <f t="shared" si="156"/>
        <v>5352865.9389379993</v>
      </c>
      <c r="CL34" s="22">
        <f t="shared" si="156"/>
        <v>2606228.0054259999</v>
      </c>
      <c r="CM34" s="22">
        <f t="shared" si="156"/>
        <v>4225782.8039159998</v>
      </c>
      <c r="CN34" s="22">
        <f t="shared" si="156"/>
        <v>7355099.7649180004</v>
      </c>
      <c r="CO34" s="22">
        <f t="shared" si="156"/>
        <v>2594805</v>
      </c>
      <c r="CP34" s="22">
        <f t="shared" si="156"/>
        <v>6054545</v>
      </c>
      <c r="CQ34" s="22">
        <f t="shared" si="156"/>
        <v>8649350</v>
      </c>
      <c r="CR34" s="22">
        <f t="shared" si="156"/>
        <v>2337778.75</v>
      </c>
      <c r="CS34" s="22">
        <f t="shared" si="156"/>
        <v>9351115</v>
      </c>
      <c r="CT34" s="22">
        <f t="shared" si="156"/>
        <v>11688893.75</v>
      </c>
      <c r="CU34" s="22">
        <f t="shared" si="156"/>
        <v>2046994.5611031477</v>
      </c>
      <c r="CV34" s="22">
        <f t="shared" si="156"/>
        <v>4498858.7276137024</v>
      </c>
      <c r="CW34" s="22">
        <f t="shared" si="156"/>
        <v>8939383.3694357798</v>
      </c>
      <c r="CX34" s="22">
        <f t="shared" si="156"/>
        <v>3574319.3234480647</v>
      </c>
      <c r="CY34" s="22">
        <f t="shared" si="156"/>
        <v>7010547.8766366532</v>
      </c>
      <c r="CZ34" s="22">
        <f t="shared" si="156"/>
        <v>10018330.924698386</v>
      </c>
      <c r="DA34" s="22">
        <f t="shared" si="156"/>
        <v>3432174.4974752935</v>
      </c>
      <c r="DB34" s="22">
        <f t="shared" si="156"/>
        <v>6119907.0509495568</v>
      </c>
      <c r="DC34" s="22">
        <f t="shared" si="156"/>
        <v>10760252.243016355</v>
      </c>
      <c r="DD34" s="22">
        <f t="shared" si="156"/>
        <v>4620470.7984550577</v>
      </c>
      <c r="DE34" s="22">
        <f t="shared" si="156"/>
        <v>12324777.469713585</v>
      </c>
      <c r="DF34" s="22">
        <f t="shared" si="156"/>
        <v>14153983.157454403</v>
      </c>
      <c r="DG34" s="22">
        <f t="shared" si="156"/>
        <v>3251629.4776271433</v>
      </c>
      <c r="DH34" s="22">
        <f t="shared" si="156"/>
        <v>6868129.1232302114</v>
      </c>
      <c r="DI34" s="22">
        <f t="shared" si="156"/>
        <v>13417902.969917778</v>
      </c>
      <c r="DJ34" s="22">
        <f t="shared" si="156"/>
        <v>5788371.0020858943</v>
      </c>
      <c r="DK34" s="22">
        <f t="shared" si="156"/>
        <v>10856808.118039064</v>
      </c>
      <c r="DL34" s="22">
        <f t="shared" ref="DL34:FB34" si="157">SUM(DL35:DL37)</f>
        <v>15293288.113930121</v>
      </c>
      <c r="DM34" s="22">
        <f t="shared" si="157"/>
        <v>5062457.3837760594</v>
      </c>
      <c r="DN34" s="22">
        <f t="shared" si="157"/>
        <v>9026862.9001505971</v>
      </c>
      <c r="DO34" s="22">
        <f t="shared" si="157"/>
        <v>15871372.058449123</v>
      </c>
      <c r="DP34" s="22">
        <f t="shared" si="157"/>
        <v>6066631.9277212098</v>
      </c>
      <c r="DQ34" s="22">
        <f t="shared" si="157"/>
        <v>17430484.267827541</v>
      </c>
      <c r="DR34" s="22">
        <f t="shared" si="157"/>
        <v>20128562.657245245</v>
      </c>
      <c r="DS34" s="22">
        <f t="shared" si="157"/>
        <v>4714862.7425593585</v>
      </c>
      <c r="DT34" s="22">
        <f t="shared" si="157"/>
        <v>9958787.228683807</v>
      </c>
      <c r="DU34" s="22">
        <f t="shared" si="157"/>
        <v>19455959.306380779</v>
      </c>
      <c r="DV34" s="22">
        <f t="shared" si="157"/>
        <v>8393137.9530245494</v>
      </c>
      <c r="DW34" s="22">
        <f t="shared" si="157"/>
        <v>15742371.771156644</v>
      </c>
      <c r="DX34" s="22">
        <f t="shared" si="157"/>
        <v>22175267.765198678</v>
      </c>
      <c r="DY34" s="22">
        <f t="shared" si="157"/>
        <v>7340563.2064752858</v>
      </c>
      <c r="DZ34" s="22">
        <f t="shared" si="157"/>
        <v>13088951.205218364</v>
      </c>
      <c r="EA34" s="22">
        <f t="shared" si="157"/>
        <v>23013489.484751228</v>
      </c>
      <c r="EB34" s="22">
        <f t="shared" si="157"/>
        <v>8796616.2951957546</v>
      </c>
      <c r="EC34" s="22">
        <f t="shared" si="157"/>
        <v>25274202.188349932</v>
      </c>
      <c r="ED34" s="22">
        <f t="shared" si="157"/>
        <v>29186415.853005603</v>
      </c>
      <c r="EE34" s="22">
        <f t="shared" si="157"/>
        <v>6718679.4081470855</v>
      </c>
      <c r="EF34" s="22">
        <f t="shared" si="157"/>
        <v>14191271.800874425</v>
      </c>
      <c r="EG34" s="22">
        <f t="shared" si="157"/>
        <v>27724742.011592608</v>
      </c>
      <c r="EH34" s="22">
        <f t="shared" si="157"/>
        <v>11960221.583059981</v>
      </c>
      <c r="EI34" s="22">
        <f t="shared" si="157"/>
        <v>22432879.773898218</v>
      </c>
      <c r="EJ34" s="22">
        <f t="shared" si="157"/>
        <v>31599756.565408118</v>
      </c>
      <c r="EK34" s="22">
        <f t="shared" si="157"/>
        <v>10460302.569227282</v>
      </c>
      <c r="EL34" s="22">
        <f t="shared" si="157"/>
        <v>18651755.467436172</v>
      </c>
      <c r="EM34" s="22">
        <f t="shared" si="157"/>
        <v>32794222.515770506</v>
      </c>
      <c r="EN34" s="22">
        <f t="shared" si="157"/>
        <v>12535178.220653951</v>
      </c>
      <c r="EO34" s="22">
        <f t="shared" si="157"/>
        <v>36015738.118398651</v>
      </c>
      <c r="EP34" s="22">
        <f t="shared" si="157"/>
        <v>41590642.590532988</v>
      </c>
      <c r="EQ34" s="22">
        <f t="shared" si="157"/>
        <v>9406151.1714059189</v>
      </c>
      <c r="ER34" s="22">
        <f t="shared" si="157"/>
        <v>19867780.521224197</v>
      </c>
      <c r="ES34" s="22">
        <f t="shared" si="157"/>
        <v>38814638.816229649</v>
      </c>
      <c r="ET34" s="22">
        <f t="shared" si="157"/>
        <v>16744310.216283975</v>
      </c>
      <c r="EU34" s="22">
        <f t="shared" si="157"/>
        <v>31406031.683457509</v>
      </c>
      <c r="EV34" s="22">
        <f t="shared" si="157"/>
        <v>44239659.191571355</v>
      </c>
      <c r="EW34" s="22">
        <f t="shared" si="157"/>
        <v>14644423.596918195</v>
      </c>
      <c r="EX34" s="22">
        <f t="shared" si="157"/>
        <v>26112457.654410638</v>
      </c>
      <c r="EY34" s="22">
        <f t="shared" si="157"/>
        <v>45911911.522078708</v>
      </c>
      <c r="EZ34" s="22">
        <f t="shared" si="157"/>
        <v>17549249.508915529</v>
      </c>
      <c r="FA34" s="22">
        <f t="shared" si="157"/>
        <v>50422033.365758121</v>
      </c>
      <c r="FB34" s="22">
        <f t="shared" si="157"/>
        <v>58226899.626746178</v>
      </c>
    </row>
    <row r="35" spans="3:158" x14ac:dyDescent="0.25">
      <c r="C35" s="377" t="s">
        <v>607</v>
      </c>
      <c r="D35" s="16">
        <f t="shared" si="119"/>
        <v>6157450.5699999994</v>
      </c>
      <c r="E35" s="16">
        <f t="shared" si="119"/>
        <v>9281866.9909150004</v>
      </c>
      <c r="F35" s="16">
        <f t="shared" si="119"/>
        <v>10851567.992634999</v>
      </c>
      <c r="G35" s="16">
        <f t="shared" si="119"/>
        <v>19071236.315526668</v>
      </c>
      <c r="H35" s="16">
        <f t="shared" si="119"/>
        <v>24351590.012200296</v>
      </c>
      <c r="I35" s="16">
        <f t="shared" si="119"/>
        <v>33337345.267995439</v>
      </c>
      <c r="J35" s="16">
        <f t="shared" si="119"/>
        <v>44596338.138593391</v>
      </c>
      <c r="K35" s="16">
        <f t="shared" si="119"/>
        <v>58216274.034995586</v>
      </c>
      <c r="L35" s="16">
        <f t="shared" si="119"/>
        <v>74035872.71149382</v>
      </c>
      <c r="N35" s="16">
        <f t="shared" si="120"/>
        <v>1121413.6000000001</v>
      </c>
      <c r="O35" s="16">
        <f t="shared" si="121"/>
        <v>1085824</v>
      </c>
      <c r="P35" s="16">
        <f t="shared" si="122"/>
        <v>1560235.5</v>
      </c>
      <c r="Q35" s="16">
        <f t="shared" si="123"/>
        <v>2389977.4699999997</v>
      </c>
      <c r="R35" s="16">
        <f t="shared" si="124"/>
        <v>2158093.0300000003</v>
      </c>
      <c r="S35" s="16">
        <f t="shared" si="125"/>
        <v>2385846.36</v>
      </c>
      <c r="T35" s="16">
        <f t="shared" si="126"/>
        <v>2022183.76</v>
      </c>
      <c r="U35" s="16">
        <f t="shared" si="127"/>
        <v>2715743.8409150001</v>
      </c>
      <c r="V35" s="16">
        <f t="shared" si="128"/>
        <v>1490254.762234</v>
      </c>
      <c r="W35" s="16">
        <f t="shared" si="129"/>
        <v>2959914.4453460001</v>
      </c>
      <c r="X35" s="16">
        <f t="shared" si="130"/>
        <v>2393159.9925989998</v>
      </c>
      <c r="Y35" s="16">
        <f t="shared" si="131"/>
        <v>4008238.7924560001</v>
      </c>
      <c r="Z35" s="16">
        <f t="shared" si="132"/>
        <v>3285840.3365469999</v>
      </c>
      <c r="AA35" s="16">
        <f t="shared" si="133"/>
        <v>4714948.0623129997</v>
      </c>
      <c r="AB35" s="16">
        <f t="shared" si="134"/>
        <v>4773166.458333334</v>
      </c>
      <c r="AC35" s="16">
        <f t="shared" si="135"/>
        <v>6297281.458333334</v>
      </c>
      <c r="AD35" s="16">
        <f t="shared" si="136"/>
        <v>4309601.5353283146</v>
      </c>
      <c r="AE35" s="16">
        <f t="shared" si="137"/>
        <v>5733950.0991411675</v>
      </c>
      <c r="AF35" s="16">
        <f t="shared" si="138"/>
        <v>5653001.4249158669</v>
      </c>
      <c r="AG35" s="16">
        <f t="shared" si="139"/>
        <v>8655036.952814946</v>
      </c>
      <c r="AH35" s="16">
        <f t="shared" si="140"/>
        <v>6079869.4476409378</v>
      </c>
      <c r="AI35" s="16">
        <f t="shared" si="141"/>
        <v>8249830.1947680674</v>
      </c>
      <c r="AJ35" s="16">
        <f t="shared" si="142"/>
        <v>7738963.2549033873</v>
      </c>
      <c r="AK35" s="16">
        <f t="shared" si="143"/>
        <v>11268682.370683048</v>
      </c>
      <c r="AL35" s="16">
        <f t="shared" si="144"/>
        <v>8133218.513526882</v>
      </c>
      <c r="AM35" s="16">
        <f t="shared" si="145"/>
        <v>11036038.232626101</v>
      </c>
      <c r="AN35" s="16">
        <f t="shared" si="146"/>
        <v>10352636.641681015</v>
      </c>
      <c r="AO35" s="16">
        <f t="shared" si="147"/>
        <v>15074444.750759393</v>
      </c>
      <c r="AP35" s="16">
        <f t="shared" si="148"/>
        <v>10617142.517363524</v>
      </c>
      <c r="AQ35" s="16">
        <f t="shared" si="149"/>
        <v>14406497.323044868</v>
      </c>
      <c r="AR35" s="16">
        <f t="shared" si="150"/>
        <v>13514381.603346769</v>
      </c>
      <c r="AS35" s="16">
        <f t="shared" si="151"/>
        <v>19678252.591240421</v>
      </c>
      <c r="AT35" s="16">
        <f t="shared" si="152"/>
        <v>13502228.114131738</v>
      </c>
      <c r="AU35" s="16">
        <f t="shared" si="153"/>
        <v>18321296.23043656</v>
      </c>
      <c r="AV35" s="16">
        <f t="shared" si="154"/>
        <v>17186758.389217325</v>
      </c>
      <c r="AW35" s="16">
        <f t="shared" si="155"/>
        <v>25025589.977708194</v>
      </c>
      <c r="AY35" s="16">
        <f>SUM(ARR!AY8:AY9)</f>
        <v>88364</v>
      </c>
      <c r="AZ35" s="16">
        <f>SUM(ARR!AZ8:AZ9)</f>
        <v>463575</v>
      </c>
      <c r="BA35" s="16">
        <f>SUM(ARR!BA8:BA9)</f>
        <v>569474.6</v>
      </c>
      <c r="BB35" s="16">
        <f>SUM(ARR!BB8:BB9)</f>
        <v>199540</v>
      </c>
      <c r="BC35" s="16">
        <f>SUM(ARR!BC8:BC9)</f>
        <v>349000</v>
      </c>
      <c r="BD35" s="16">
        <f>SUM(ARR!BD8:BD9)</f>
        <v>537284</v>
      </c>
      <c r="BE35" s="16">
        <f>SUM(ARR!BE8:BE9)</f>
        <v>320176.67</v>
      </c>
      <c r="BF35" s="16">
        <f>SUM(ARR!BF8:BF9)</f>
        <v>485289.5</v>
      </c>
      <c r="BG35" s="16">
        <f>SUM(ARR!BG8:BG9)</f>
        <v>754769.33</v>
      </c>
      <c r="BH35" s="16">
        <f>SUM(ARR!BH8:BH9)</f>
        <v>497432</v>
      </c>
      <c r="BI35" s="16">
        <f>SUM(ARR!BI8:BI9)</f>
        <v>952213</v>
      </c>
      <c r="BJ35" s="16">
        <f>SUM(ARR!BJ8:BJ9)</f>
        <v>940332.47</v>
      </c>
      <c r="BK35" s="16">
        <f>SUM(ARR!BK8:BK9)</f>
        <v>344333.33</v>
      </c>
      <c r="BL35" s="16">
        <f>SUM(ARR!BL8:BL9)</f>
        <v>689900.33</v>
      </c>
      <c r="BM35" s="16">
        <f>SUM(ARR!BM8:BM9)</f>
        <v>1123859.3700000001</v>
      </c>
      <c r="BN35" s="16">
        <f>SUM(ARR!BN8:BN9)</f>
        <v>603439.53</v>
      </c>
      <c r="BO35" s="16">
        <f>SUM(ARR!BO8:BO9)</f>
        <v>776520.19</v>
      </c>
      <c r="BP35" s="16">
        <f>SUM(ARR!BP8:BP9)</f>
        <v>1005886.64</v>
      </c>
      <c r="BQ35" s="16">
        <f>SUM(ARR!BQ8:BQ9)</f>
        <v>449835.17</v>
      </c>
      <c r="BR35" s="16">
        <f>SUM(ARR!BR8:BR9)</f>
        <v>435067</v>
      </c>
      <c r="BS35" s="16">
        <f>SUM(ARR!BS8:BS9)</f>
        <v>1137281.5900000001</v>
      </c>
      <c r="BT35" s="16">
        <f>SUM(ARR!BT8:BT9)</f>
        <v>429854.68</v>
      </c>
      <c r="BU35" s="16">
        <f>SUM(ARR!BU8:BU9)</f>
        <v>1018911.5</v>
      </c>
      <c r="BV35" s="16">
        <f>SUM(ARR!BV8:BV9)</f>
        <v>1266977.6609149999</v>
      </c>
      <c r="BW35" s="16">
        <f>SUM(ARR!BW8:BW9)</f>
        <v>289216.86</v>
      </c>
      <c r="BX35" s="16">
        <f>SUM(ARR!BX8:BX9)</f>
        <v>425775.52212400001</v>
      </c>
      <c r="BY35" s="16">
        <f>SUM(ARR!BY8:BY9)</f>
        <v>775262.38011000003</v>
      </c>
      <c r="BZ35" s="16">
        <f>SUM(ARR!BZ8:BZ9)</f>
        <v>488733.12846100004</v>
      </c>
      <c r="CA35" s="16">
        <f>SUM(ARR!CA8:CA9)</f>
        <v>729384.15952300001</v>
      </c>
      <c r="CB35" s="16">
        <f>SUM(ARR!CB8:CB9)</f>
        <v>1741797.1573620001</v>
      </c>
      <c r="CC35" s="16">
        <f>SUM(ARR!CC8:CC9)</f>
        <v>352239.56717900001</v>
      </c>
      <c r="CD35" s="16">
        <f>SUM(ARR!CD8:CD9)</f>
        <v>796951.10501699999</v>
      </c>
      <c r="CE35" s="16">
        <f>SUM(ARR!CE8:CE9)</f>
        <v>1243969.3204029999</v>
      </c>
      <c r="CF35" s="16">
        <f>SUM(ARR!CF8:CF9)</f>
        <v>756499.74637499999</v>
      </c>
      <c r="CG35" s="16">
        <f>SUM(ARR!CG8:CG9)</f>
        <v>1288407.953773</v>
      </c>
      <c r="CH35" s="16">
        <f>SUM(ARR!CH8:CH9)</f>
        <v>1963331.092308</v>
      </c>
      <c r="CI35" s="16">
        <f>SUM(ARR!CI8:CI9)</f>
        <v>652404.49890700006</v>
      </c>
      <c r="CJ35" s="16">
        <f>SUM(ARR!CJ8:CJ9)</f>
        <v>900244.82738800009</v>
      </c>
      <c r="CK35" s="16">
        <f>SUM(ARR!CK8:CK9)</f>
        <v>1733191.0102519998</v>
      </c>
      <c r="CL35" s="16">
        <f>SUM(ARR!CL8:CL9)</f>
        <v>821287.15453900001</v>
      </c>
      <c r="CM35" s="16">
        <f>SUM(ARR!CM8:CM9)</f>
        <v>1508498.739326</v>
      </c>
      <c r="CN35" s="16">
        <f>SUM(ARR!CN8:CN9)</f>
        <v>2385162.1684480002</v>
      </c>
      <c r="CO35" s="16">
        <f>SUM(ARR!CO8:CO9)</f>
        <v>715974.96875000012</v>
      </c>
      <c r="CP35" s="16">
        <f>SUM(ARR!CP8:CP9)</f>
        <v>1670608.2604166667</v>
      </c>
      <c r="CQ35" s="16">
        <f>SUM(ARR!CQ8:CQ9)</f>
        <v>2386583.229166667</v>
      </c>
      <c r="CR35" s="16">
        <f>SUM(ARR!CR8:CR9)</f>
        <v>629728.14583333349</v>
      </c>
      <c r="CS35" s="16">
        <f>SUM(ARR!CS8:CS9)</f>
        <v>2518912.583333334</v>
      </c>
      <c r="CT35" s="16">
        <f>SUM(ARR!CT8:CT9)</f>
        <v>3148640.729166667</v>
      </c>
      <c r="CU35" s="16">
        <f>SUM(ARR!CU8:CU9)</f>
        <v>569686.5406764315</v>
      </c>
      <c r="CV35" s="16">
        <f>SUM(ARR!CV8:CV9)</f>
        <v>1252049.8658018056</v>
      </c>
      <c r="CW35" s="16">
        <f>SUM(ARR!CW8:CW9)</f>
        <v>2487865.1288500777</v>
      </c>
      <c r="CX35" s="16">
        <f>SUM(ARR!CX8:CX9)</f>
        <v>994746.95699762774</v>
      </c>
      <c r="CY35" s="16">
        <f>SUM(ARR!CY8:CY9)</f>
        <v>1951062.7160315102</v>
      </c>
      <c r="CZ35" s="16">
        <f>SUM(ARR!CZ8:CZ9)</f>
        <v>2788140.4261120302</v>
      </c>
      <c r="DA35" s="16">
        <f>SUM(ARR!DA8:DA9)</f>
        <v>955187.49957540515</v>
      </c>
      <c r="DB35" s="16">
        <f>SUM(ARR!DB8:DB9)</f>
        <v>1703193.9133428277</v>
      </c>
      <c r="DC35" s="16">
        <f>SUM(ARR!DC8:DC9)</f>
        <v>2994620.0119976336</v>
      </c>
      <c r="DD35" s="16">
        <f>SUM(ARR!DD8:DD9)</f>
        <v>1285894.9776836722</v>
      </c>
      <c r="DE35" s="16">
        <f>SUM(ARR!DE8:DE9)</f>
        <v>3430033.4621036416</v>
      </c>
      <c r="DF35" s="16">
        <f>SUM(ARR!DF8:DF9)</f>
        <v>3939108.5130276331</v>
      </c>
      <c r="DG35" s="16">
        <f>SUM(ARR!DG8:DG9)</f>
        <v>839908.52942758542</v>
      </c>
      <c r="DH35" s="16">
        <f>SUM(ARR!DH8:DH9)</f>
        <v>1774064.441075451</v>
      </c>
      <c r="DI35" s="16">
        <f>SUM(ARR!DI8:DI9)</f>
        <v>3465896.4771379014</v>
      </c>
      <c r="DJ35" s="16">
        <f>SUM(ARR!DJ8:DJ9)</f>
        <v>1495158.7226017646</v>
      </c>
      <c r="DK35" s="16">
        <f>SUM(ARR!DK8:DK9)</f>
        <v>2804355.7248576786</v>
      </c>
      <c r="DL35" s="16">
        <f>SUM(ARR!DL8:DL9)</f>
        <v>3950315.747308624</v>
      </c>
      <c r="DM35" s="16">
        <f>SUM(ARR!DM8:DM9)</f>
        <v>1307652.4141982016</v>
      </c>
      <c r="DN35" s="16">
        <f>SUM(ARR!DN8:DN9)</f>
        <v>2331673.7641776591</v>
      </c>
      <c r="DO35" s="16">
        <f>SUM(ARR!DO8:DO9)</f>
        <v>4099637.0765275271</v>
      </c>
      <c r="DP35" s="16">
        <f>SUM(ARR!DP8:DP9)</f>
        <v>1567034.6009746187</v>
      </c>
      <c r="DQ35" s="16">
        <f>SUM(ARR!DQ8:DQ9)</f>
        <v>4502361.8186919475</v>
      </c>
      <c r="DR35" s="16">
        <f>SUM(ARR!DR8:DR9)</f>
        <v>5199285.951016481</v>
      </c>
      <c r="DS35" s="16">
        <f>SUM(ARR!DS8:DS9)</f>
        <v>1123570.1128188118</v>
      </c>
      <c r="DT35" s="16">
        <f>SUM(ARR!DT8:DT9)</f>
        <v>2373217.6949857278</v>
      </c>
      <c r="DU35" s="16">
        <f>SUM(ARR!DU8:DU9)</f>
        <v>4636430.7057223422</v>
      </c>
      <c r="DV35" s="16">
        <f>SUM(ARR!DV8:DV9)</f>
        <v>2000117.3887120683</v>
      </c>
      <c r="DW35" s="16">
        <f>SUM(ARR!DW8:DW9)</f>
        <v>3751468.3656205013</v>
      </c>
      <c r="DX35" s="16">
        <f>SUM(ARR!DX8:DX9)</f>
        <v>5284452.4782935316</v>
      </c>
      <c r="DY35" s="16">
        <f>SUM(ARR!DY8:DY9)</f>
        <v>1749284.7364578866</v>
      </c>
      <c r="DZ35" s="16">
        <f>SUM(ARR!DZ8:DZ9)</f>
        <v>3119147.9339532382</v>
      </c>
      <c r="EA35" s="16">
        <f>SUM(ARR!EA8:EA9)</f>
        <v>5484203.9712698907</v>
      </c>
      <c r="EB35" s="16">
        <f>SUM(ARR!EB8:EB9)</f>
        <v>2096267.8455092823</v>
      </c>
      <c r="EC35" s="16">
        <f>SUM(ARR!EC8:EC9)</f>
        <v>6022940.5933363251</v>
      </c>
      <c r="ED35" s="16">
        <f>SUM(ARR!ED8:ED9)</f>
        <v>6955236.3119137846</v>
      </c>
      <c r="EE35" s="16">
        <f>SUM(ARR!EE8:EE9)</f>
        <v>1466713.8226038653</v>
      </c>
      <c r="EF35" s="16">
        <f>SUM(ARR!EF8:EF9)</f>
        <v>3098009.7793371738</v>
      </c>
      <c r="EG35" s="16">
        <f>SUM(ARR!EG8:EG9)</f>
        <v>6052418.9154224852</v>
      </c>
      <c r="EH35" s="16">
        <f>SUM(ARR!EH8:EH9)</f>
        <v>2610962.8472534977</v>
      </c>
      <c r="EI35" s="16">
        <f>SUM(ARR!EI8:EI9)</f>
        <v>4897184.8255312499</v>
      </c>
      <c r="EJ35" s="16">
        <f>SUM(ARR!EJ8:EJ9)</f>
        <v>6898349.6502601206</v>
      </c>
      <c r="EK35" s="16">
        <f>SUM(ARR!EK8:EK9)</f>
        <v>2283524.6980679431</v>
      </c>
      <c r="EL35" s="16">
        <f>SUM(ARR!EL8:EL9)</f>
        <v>4071750.6965346416</v>
      </c>
      <c r="EM35" s="16">
        <f>SUM(ARR!EM8:EM9)</f>
        <v>7159106.2087441841</v>
      </c>
      <c r="EN35" s="16">
        <f>SUM(ARR!EN8:EN9)</f>
        <v>2736478.1154376487</v>
      </c>
      <c r="EO35" s="16">
        <f>SUM(ARR!EO8:EO9)</f>
        <v>7862375.5831362912</v>
      </c>
      <c r="EP35" s="16">
        <f>SUM(ARR!EP8:EP9)</f>
        <v>9079398.8926664833</v>
      </c>
      <c r="EQ35" s="16">
        <f>SUM(ARR!EQ8:EQ9)</f>
        <v>1865276.3282172927</v>
      </c>
      <c r="ER35" s="16">
        <f>SUM(ARR!ER8:ER9)</f>
        <v>3939858.0806475598</v>
      </c>
      <c r="ES35" s="16">
        <f>SUM(ARR!ES8:ES9)</f>
        <v>7697093.7052668855</v>
      </c>
      <c r="ET35" s="16">
        <f>SUM(ARR!ET8:ET9)</f>
        <v>3320461.781829217</v>
      </c>
      <c r="EU35" s="16">
        <f>SUM(ARR!EU8:EU9)</f>
        <v>6227938.1220746003</v>
      </c>
      <c r="EV35" s="16">
        <f>SUM(ARR!EV8:EV9)</f>
        <v>8772896.326532742</v>
      </c>
      <c r="EW35" s="16">
        <f>SUM(ARR!EW8:EW9)</f>
        <v>2904046.1053567566</v>
      </c>
      <c r="EX35" s="16">
        <f>SUM(ARR!EX8:EX9)</f>
        <v>5178201.8220602851</v>
      </c>
      <c r="EY35" s="16">
        <f>SUM(ARR!EY8:EY9)</f>
        <v>9104510.4618002828</v>
      </c>
      <c r="EZ35" s="16">
        <f>SUM(ARR!EZ8:EZ9)</f>
        <v>3480084.3714343971</v>
      </c>
      <c r="FA35" s="16">
        <f>SUM(ARR!FA8:FA9)</f>
        <v>9998885.1490756441</v>
      </c>
      <c r="FB35" s="16">
        <f>SUM(ARR!FB8:FB9)</f>
        <v>11546620.457198154</v>
      </c>
    </row>
    <row r="36" spans="3:158" x14ac:dyDescent="0.25">
      <c r="C36" s="377" t="s">
        <v>608</v>
      </c>
      <c r="D36" s="16">
        <f t="shared" si="119"/>
        <v>6030597.2599999998</v>
      </c>
      <c r="E36" s="16">
        <f t="shared" si="119"/>
        <v>9180662.2200000007</v>
      </c>
      <c r="F36" s="16">
        <f t="shared" si="119"/>
        <v>11664342.087400999</v>
      </c>
      <c r="G36" s="16">
        <f t="shared" si="119"/>
        <v>22673672.14961233</v>
      </c>
      <c r="H36" s="16">
        <f t="shared" si="119"/>
        <v>29282015.16298141</v>
      </c>
      <c r="I36" s="16">
        <f t="shared" si="119"/>
        <v>40609722.365397587</v>
      </c>
      <c r="J36" s="16">
        <f t="shared" si="119"/>
        <v>55141284.929826491</v>
      </c>
      <c r="K36" s="16">
        <f t="shared" si="119"/>
        <v>73242823.212502763</v>
      </c>
      <c r="L36" s="16">
        <f t="shared" si="119"/>
        <v>95073041.560003847</v>
      </c>
      <c r="N36" s="16">
        <f t="shared" si="120"/>
        <v>1150353</v>
      </c>
      <c r="O36" s="16">
        <f t="shared" si="121"/>
        <v>1676894.8299999998</v>
      </c>
      <c r="P36" s="16">
        <f t="shared" si="122"/>
        <v>1322870.46</v>
      </c>
      <c r="Q36" s="16">
        <f t="shared" si="123"/>
        <v>1880478.9699999997</v>
      </c>
      <c r="R36" s="16">
        <f t="shared" si="124"/>
        <v>1836043.26</v>
      </c>
      <c r="S36" s="16">
        <f t="shared" si="125"/>
        <v>1779275.1600000001</v>
      </c>
      <c r="T36" s="16">
        <f t="shared" si="126"/>
        <v>2456014.96</v>
      </c>
      <c r="U36" s="16">
        <f t="shared" si="127"/>
        <v>3109328.84</v>
      </c>
      <c r="V36" s="16">
        <f t="shared" si="128"/>
        <v>2222826.5014289999</v>
      </c>
      <c r="W36" s="16">
        <f t="shared" si="129"/>
        <v>2780478.5739200003</v>
      </c>
      <c r="X36" s="16">
        <f t="shared" si="130"/>
        <v>2514624.2343589999</v>
      </c>
      <c r="Y36" s="16">
        <f t="shared" si="131"/>
        <v>4146412.7776929997</v>
      </c>
      <c r="Z36" s="16">
        <f t="shared" si="132"/>
        <v>2961045.559626</v>
      </c>
      <c r="AA36" s="16">
        <f t="shared" si="133"/>
        <v>4180540.7566530001</v>
      </c>
      <c r="AB36" s="16">
        <f t="shared" si="134"/>
        <v>6249757.291666666</v>
      </c>
      <c r="AC36" s="16">
        <f t="shared" si="135"/>
        <v>9282328.541666666</v>
      </c>
      <c r="AD36" s="16">
        <f t="shared" si="136"/>
        <v>5182159.2528729253</v>
      </c>
      <c r="AE36" s="16">
        <f t="shared" si="137"/>
        <v>6894893.2559521049</v>
      </c>
      <c r="AF36" s="16">
        <f t="shared" si="138"/>
        <v>6797555.0408745278</v>
      </c>
      <c r="AG36" s="16">
        <f t="shared" si="139"/>
        <v>10407407.613281853</v>
      </c>
      <c r="AH36" s="16">
        <f t="shared" si="140"/>
        <v>7406162.91734521</v>
      </c>
      <c r="AI36" s="16">
        <f t="shared" si="141"/>
        <v>10049489.876233025</v>
      </c>
      <c r="AJ36" s="16">
        <f t="shared" si="142"/>
        <v>9427179.8384424131</v>
      </c>
      <c r="AK36" s="16">
        <f t="shared" si="143"/>
        <v>13726889.733376935</v>
      </c>
      <c r="AL36" s="16">
        <f t="shared" si="144"/>
        <v>10056344.044598076</v>
      </c>
      <c r="AM36" s="16">
        <f t="shared" si="145"/>
        <v>13645544.770750288</v>
      </c>
      <c r="AN36" s="16">
        <f t="shared" si="146"/>
        <v>12800550.6878126</v>
      </c>
      <c r="AO36" s="16">
        <f t="shared" si="147"/>
        <v>18638845.42666553</v>
      </c>
      <c r="AP36" s="16">
        <f t="shared" si="148"/>
        <v>13357596.399139974</v>
      </c>
      <c r="AQ36" s="16">
        <f t="shared" si="149"/>
        <v>18125044.139871836</v>
      </c>
      <c r="AR36" s="16">
        <f t="shared" si="150"/>
        <v>17002659.119084276</v>
      </c>
      <c r="AS36" s="16">
        <f t="shared" si="151"/>
        <v>24757523.554406665</v>
      </c>
      <c r="AT36" s="16">
        <f t="shared" si="152"/>
        <v>17338863.548618764</v>
      </c>
      <c r="AU36" s="16">
        <f t="shared" si="153"/>
        <v>23527261.773994304</v>
      </c>
      <c r="AV36" s="16">
        <f t="shared" si="154"/>
        <v>22070346.911249831</v>
      </c>
      <c r="AW36" s="16">
        <f t="shared" si="155"/>
        <v>32136569.326140933</v>
      </c>
      <c r="AY36" s="16">
        <f>SUM(ARR!AY19:AY20)</f>
        <v>144275</v>
      </c>
      <c r="AZ36" s="16">
        <f>SUM(ARR!AZ19:AZ20)</f>
        <v>272000</v>
      </c>
      <c r="BA36" s="16">
        <f>SUM(ARR!BA19:BA20)</f>
        <v>734078</v>
      </c>
      <c r="BB36" s="16">
        <f>SUM(ARR!BB19:BB20)</f>
        <v>183996.43</v>
      </c>
      <c r="BC36" s="16">
        <f>SUM(ARR!BC19:BC20)</f>
        <v>617946.67999999993</v>
      </c>
      <c r="BD36" s="16">
        <f>SUM(ARR!BD19:BD20)</f>
        <v>874951.72</v>
      </c>
      <c r="BE36" s="16">
        <f>SUM(ARR!BE19:BE20)</f>
        <v>74800</v>
      </c>
      <c r="BF36" s="16">
        <f>SUM(ARR!BF19:BF20)</f>
        <v>410553.46</v>
      </c>
      <c r="BG36" s="16">
        <f>SUM(ARR!BG19:BG20)</f>
        <v>837517</v>
      </c>
      <c r="BH36" s="16">
        <f>SUM(ARR!BH19:BH20)</f>
        <v>291994.67000000004</v>
      </c>
      <c r="BI36" s="16">
        <f>SUM(ARR!BI19:BI20)</f>
        <v>779566.66999999993</v>
      </c>
      <c r="BJ36" s="16">
        <f>SUM(ARR!BJ19:BJ20)</f>
        <v>808917.63</v>
      </c>
      <c r="BK36" s="16">
        <f>SUM(ARR!BK19:BK20)</f>
        <v>250530</v>
      </c>
      <c r="BL36" s="16">
        <f>SUM(ARR!BL19:BL20)</f>
        <v>230910</v>
      </c>
      <c r="BM36" s="16">
        <f>SUM(ARR!BM19:BM20)</f>
        <v>1354603.26</v>
      </c>
      <c r="BN36" s="16">
        <f>SUM(ARR!BN19:BN20)</f>
        <v>313641</v>
      </c>
      <c r="BO36" s="16">
        <f>SUM(ARR!BO19:BO20)</f>
        <v>618583.33000000007</v>
      </c>
      <c r="BP36" s="16">
        <f>SUM(ARR!BP19:BP20)</f>
        <v>847050.83000000007</v>
      </c>
      <c r="BQ36" s="16">
        <f>SUM(ARR!BQ19:BQ20)</f>
        <v>276170</v>
      </c>
      <c r="BR36" s="16">
        <f>SUM(ARR!BR19:BR20)</f>
        <v>675110.67</v>
      </c>
      <c r="BS36" s="16">
        <f>SUM(ARR!BS19:BS20)</f>
        <v>1504734.29</v>
      </c>
      <c r="BT36" s="16">
        <f>SUM(ARR!BT19:BT20)</f>
        <v>229050.86</v>
      </c>
      <c r="BU36" s="16">
        <f>SUM(ARR!BU19:BU20)</f>
        <v>1412292.97</v>
      </c>
      <c r="BV36" s="16">
        <f>SUM(ARR!BV19:BV20)</f>
        <v>1467985.01</v>
      </c>
      <c r="BW36" s="16">
        <f>SUM(ARR!BW19:BW20)</f>
        <v>329810</v>
      </c>
      <c r="BX36" s="16">
        <f>SUM(ARR!BX19:BX20)</f>
        <v>630271.85307700001</v>
      </c>
      <c r="BY36" s="16">
        <f>SUM(ARR!BY19:BY20)</f>
        <v>1262744.6483519999</v>
      </c>
      <c r="BZ36" s="16">
        <f>SUM(ARR!BZ19:BZ20)</f>
        <v>497617.09109900001</v>
      </c>
      <c r="CA36" s="16">
        <f>SUM(ARR!CA19:CA20)</f>
        <v>826567.32000000007</v>
      </c>
      <c r="CB36" s="16">
        <f>SUM(ARR!CB19:CB20)</f>
        <v>1456294.162821</v>
      </c>
      <c r="CC36" s="16">
        <f>SUM(ARR!CC19:CC20)</f>
        <v>459829.8</v>
      </c>
      <c r="CD36" s="16">
        <f>SUM(ARR!CD19:CD20)</f>
        <v>1004198.988974</v>
      </c>
      <c r="CE36" s="16">
        <f>SUM(ARR!CE19:CE20)</f>
        <v>1050595.445385</v>
      </c>
      <c r="CF36" s="16">
        <f>SUM(ARR!CF19:CF20)</f>
        <v>491739.29</v>
      </c>
      <c r="CG36" s="16">
        <f>SUM(ARR!CG19:CG20)</f>
        <v>1480914.1536269998</v>
      </c>
      <c r="CH36" s="16">
        <f>SUM(ARR!CH19:CH20)</f>
        <v>2173759.3340659998</v>
      </c>
      <c r="CI36" s="16">
        <f>SUM(ARR!CI19:CI20)</f>
        <v>285725.43093999999</v>
      </c>
      <c r="CJ36" s="16">
        <f>SUM(ARR!CJ19:CJ20)</f>
        <v>860957.79</v>
      </c>
      <c r="CK36" s="16">
        <f>SUM(ARR!CK19:CK20)</f>
        <v>1814362.3386860001</v>
      </c>
      <c r="CL36" s="16">
        <f>SUM(ARR!CL19:CL20)</f>
        <v>1036745.0608870001</v>
      </c>
      <c r="CM36" s="16">
        <f>SUM(ARR!CM19:CM20)</f>
        <v>1465546.759296</v>
      </c>
      <c r="CN36" s="16">
        <f>SUM(ARR!CN19:CN20)</f>
        <v>1678248.9364700001</v>
      </c>
      <c r="CO36" s="16">
        <f>SUM(ARR!CO19:CO20)</f>
        <v>937463.59375</v>
      </c>
      <c r="CP36" s="16">
        <f>SUM(ARR!CP19:CP20)</f>
        <v>2187415.0520833335</v>
      </c>
      <c r="CQ36" s="16">
        <f>SUM(ARR!CQ19:CQ20)</f>
        <v>3124878.645833333</v>
      </c>
      <c r="CR36" s="16">
        <f>SUM(ARR!CR19:CR20)</f>
        <v>928232.85416666663</v>
      </c>
      <c r="CS36" s="16">
        <f>SUM(ARR!CS19:CS20)</f>
        <v>3712931.4166666665</v>
      </c>
      <c r="CT36" s="16">
        <f>SUM(ARR!CT19:CT20)</f>
        <v>4641164.270833333</v>
      </c>
      <c r="CU36" s="16">
        <f>SUM(ARR!CU19:CU20)</f>
        <v>685030.00887728983</v>
      </c>
      <c r="CV36" s="16">
        <f>SUM(ARR!CV19:CV20)</f>
        <v>1505550.2797496654</v>
      </c>
      <c r="CW36" s="16">
        <f>SUM(ARR!CW19:CW20)</f>
        <v>2991578.9642459704</v>
      </c>
      <c r="CX36" s="16">
        <f>SUM(ARR!CX19:CX20)</f>
        <v>1196151.6871604994</v>
      </c>
      <c r="CY36" s="16">
        <f>SUM(ARR!CY19:CY20)</f>
        <v>2346091.0768512189</v>
      </c>
      <c r="CZ36" s="16">
        <f>SUM(ARR!CZ19:CZ20)</f>
        <v>3352650.4919403861</v>
      </c>
      <c r="DA36" s="16">
        <f>SUM(ARR!DA19:DA20)</f>
        <v>1148582.6934522248</v>
      </c>
      <c r="DB36" s="16">
        <f>SUM(ARR!DB19:DB20)</f>
        <v>2048036.6978507633</v>
      </c>
      <c r="DC36" s="16">
        <f>SUM(ARR!DC19:DC20)</f>
        <v>3600935.6495715394</v>
      </c>
      <c r="DD36" s="16">
        <f>SUM(ARR!DD19:DD20)</f>
        <v>1546247.954062558</v>
      </c>
      <c r="DE36" s="16">
        <f>SUM(ARR!DE19:DE20)</f>
        <v>4124506.5228402847</v>
      </c>
      <c r="DF36" s="16">
        <f>SUM(ARR!DF19:DF20)</f>
        <v>4736653.13637901</v>
      </c>
      <c r="DG36" s="16">
        <f>SUM(ARR!DG19:DG20)</f>
        <v>1023130.4237991754</v>
      </c>
      <c r="DH36" s="16">
        <f>SUM(ARR!DH19:DH20)</f>
        <v>2161067.8304238678</v>
      </c>
      <c r="DI36" s="16">
        <f>SUM(ARR!DI19:DI20)</f>
        <v>4221964.6631221669</v>
      </c>
      <c r="DJ36" s="16">
        <f>SUM(ARR!DJ19:DJ20)</f>
        <v>1821320.207981609</v>
      </c>
      <c r="DK36" s="16">
        <f>SUM(ARR!DK19:DK20)</f>
        <v>3416112.0654563573</v>
      </c>
      <c r="DL36" s="16">
        <f>SUM(ARR!DL19:DL20)</f>
        <v>4812057.6027950579</v>
      </c>
      <c r="DM36" s="16">
        <f>SUM(ARR!DM19:DM20)</f>
        <v>1592910.3251665107</v>
      </c>
      <c r="DN36" s="16">
        <f>SUM(ARR!DN19:DN20)</f>
        <v>2840316.8713268642</v>
      </c>
      <c r="DO36" s="16">
        <f>SUM(ARR!DO19:DO20)</f>
        <v>4993952.641949038</v>
      </c>
      <c r="DP36" s="16">
        <f>SUM(ARR!DP19:DP20)</f>
        <v>1908875.4539685431</v>
      </c>
      <c r="DQ36" s="16">
        <f>SUM(ARR!DQ19:DQ20)</f>
        <v>5484529.7961135637</v>
      </c>
      <c r="DR36" s="16">
        <f>SUM(ARR!DR19:DR20)</f>
        <v>6333484.4832948288</v>
      </c>
      <c r="DS36" s="16">
        <f>SUM(ARR!DS19:DS20)</f>
        <v>1389241.8596576173</v>
      </c>
      <c r="DT36" s="16">
        <f>SUM(ARR!DT19:DT20)</f>
        <v>2934372.6095409319</v>
      </c>
      <c r="DU36" s="16">
        <f>SUM(ARR!DU19:DU20)</f>
        <v>5732729.5753995264</v>
      </c>
      <c r="DV36" s="16">
        <f>SUM(ARR!DV19:DV20)</f>
        <v>2473051.5425128425</v>
      </c>
      <c r="DW36" s="16">
        <f>SUM(ARR!DW19:DW20)</f>
        <v>4638515.0594885852</v>
      </c>
      <c r="DX36" s="16">
        <f>SUM(ARR!DX19:DX20)</f>
        <v>6533978.1687488602</v>
      </c>
      <c r="DY36" s="16">
        <f>SUM(ARR!DY19:DY20)</f>
        <v>2162908.7073619347</v>
      </c>
      <c r="DZ36" s="16">
        <f>SUM(ARR!DZ19:DZ20)</f>
        <v>3856680.4393195854</v>
      </c>
      <c r="EA36" s="16">
        <f>SUM(ARR!EA19:EA20)</f>
        <v>6780961.5411310801</v>
      </c>
      <c r="EB36" s="16">
        <f>SUM(ARR!EB19:EB20)</f>
        <v>2591937.0823504725</v>
      </c>
      <c r="EC36" s="16">
        <f>SUM(ARR!EC19:EC20)</f>
        <v>7447084.160597669</v>
      </c>
      <c r="ED36" s="16">
        <f>SUM(ARR!ED19:ED20)</f>
        <v>8599824.1837173905</v>
      </c>
      <c r="EE36" s="16">
        <f>SUM(ARR!EE19:EE20)</f>
        <v>1845296.0618491627</v>
      </c>
      <c r="EF36" s="16">
        <f>SUM(ARR!EF19:EF20)</f>
        <v>3897655.5325783398</v>
      </c>
      <c r="EG36" s="16">
        <f>SUM(ARR!EG19:EG20)</f>
        <v>7614644.8047124725</v>
      </c>
      <c r="EH36" s="16">
        <f>SUM(ARR!EH19:EH20)</f>
        <v>3284894.0164196007</v>
      </c>
      <c r="EI36" s="16">
        <f>SUM(ARR!EI19:EI20)</f>
        <v>6161226.3642932689</v>
      </c>
      <c r="EJ36" s="16">
        <f>SUM(ARR!EJ19:EJ20)</f>
        <v>8678923.7591589633</v>
      </c>
      <c r="EK36" s="16">
        <f>SUM(ARR!EK19:EK20)</f>
        <v>2872938.8566062115</v>
      </c>
      <c r="EL36" s="16">
        <f>SUM(ARR!EL19:EL20)</f>
        <v>5122734.516681686</v>
      </c>
      <c r="EM36" s="16">
        <f>SUM(ARR!EM19:EM20)</f>
        <v>9006985.7457963806</v>
      </c>
      <c r="EN36" s="16">
        <f>SUM(ARR!EN19:EN20)</f>
        <v>3442806.777936344</v>
      </c>
      <c r="EO36" s="16">
        <f>SUM(ARR!EO19:EO20)</f>
        <v>9891780.166483704</v>
      </c>
      <c r="EP36" s="16">
        <f>SUM(ARR!EP19:EP20)</f>
        <v>11422936.60998662</v>
      </c>
      <c r="EQ36" s="16">
        <f>SUM(ARR!EQ19:EQ20)</f>
        <v>2395291.463160709</v>
      </c>
      <c r="ER36" s="16">
        <f>SUM(ARR!ER19:ER20)</f>
        <v>5059362.1351851914</v>
      </c>
      <c r="ES36" s="16">
        <f>SUM(ARR!ES19:ES20)</f>
        <v>9884209.9502728656</v>
      </c>
      <c r="ET36" s="16">
        <f>SUM(ARR!ET19:ET20)</f>
        <v>4263965.4186617611</v>
      </c>
      <c r="EU36" s="16">
        <f>SUM(ARR!EU19:EU20)</f>
        <v>7997596.2763414253</v>
      </c>
      <c r="EV36" s="16">
        <f>SUM(ARR!EV19:EV20)</f>
        <v>11265700.078991119</v>
      </c>
      <c r="EW36" s="16">
        <f>SUM(ARR!EW19:EW20)</f>
        <v>3729225.9273103313</v>
      </c>
      <c r="EX36" s="16">
        <f>SUM(ARR!EX19:EX20)</f>
        <v>6649579.1702661468</v>
      </c>
      <c r="EY36" s="16">
        <f>SUM(ARR!EY19:EY20)</f>
        <v>11691541.813673355</v>
      </c>
      <c r="EZ36" s="16">
        <f>SUM(ARR!EZ19:EZ20)</f>
        <v>4468944.4989325702</v>
      </c>
      <c r="FA36" s="16">
        <f>SUM(ARR!FA19:FA20)</f>
        <v>12840051.565762023</v>
      </c>
      <c r="FB36" s="16">
        <f>SUM(ARR!FB19:FB20)</f>
        <v>14827573.261446342</v>
      </c>
    </row>
    <row r="37" spans="3:158" x14ac:dyDescent="0.25">
      <c r="C37" s="377" t="s">
        <v>313</v>
      </c>
      <c r="D37" s="16">
        <f t="shared" ref="D37:L37" si="158">SUMIF($AY$2:$FB$2,D$2,$AY37:$FB37)</f>
        <v>6721877.4699999997</v>
      </c>
      <c r="E37" s="16">
        <f t="shared" si="158"/>
        <v>9274278.6800000016</v>
      </c>
      <c r="F37" s="16">
        <f t="shared" si="158"/>
        <v>9826059.4840660002</v>
      </c>
      <c r="G37" s="16">
        <f t="shared" si="158"/>
        <v>22187333.855294</v>
      </c>
      <c r="H37" s="16">
        <f t="shared" si="158"/>
        <v>33866394.824818276</v>
      </c>
      <c r="I37" s="16">
        <f t="shared" si="158"/>
        <v>55115432.366606966</v>
      </c>
      <c r="J37" s="16">
        <f t="shared" si="158"/>
        <v>87403001.931580096</v>
      </c>
      <c r="K37" s="16">
        <f t="shared" si="158"/>
        <v>135216293.37750167</v>
      </c>
      <c r="L37" s="16">
        <f t="shared" si="158"/>
        <v>204236632.6035023</v>
      </c>
      <c r="N37" s="16">
        <f>SUM(AY37:BA37)</f>
        <v>1140841.5</v>
      </c>
      <c r="O37" s="16">
        <f>SUM(BB37:BD37)</f>
        <v>1417259.97</v>
      </c>
      <c r="P37" s="16">
        <f>SUM(BE37:BG37)</f>
        <v>1419960.5</v>
      </c>
      <c r="Q37" s="16">
        <f>SUM(BH37:BJ37)</f>
        <v>2743815.5</v>
      </c>
      <c r="R37" s="16">
        <f>SUM(BK37:BM37)</f>
        <v>1694188</v>
      </c>
      <c r="S37" s="16">
        <f>SUM(BN37:BP37)</f>
        <v>3339426.33</v>
      </c>
      <c r="T37" s="16">
        <f>SUM(BQ37:BS37)</f>
        <v>1534939.5899999999</v>
      </c>
      <c r="U37" s="16">
        <f>SUM(BT37:BV37)</f>
        <v>2705724.76</v>
      </c>
      <c r="V37" s="16">
        <f>SUM(BW37:BY37)</f>
        <v>1512531.81</v>
      </c>
      <c r="W37" s="16">
        <f>SUM(BZ37:CB37)</f>
        <v>2370512.63</v>
      </c>
      <c r="X37" s="16">
        <f>SUM(CC37:CE37)</f>
        <v>3244790.88</v>
      </c>
      <c r="Y37" s="16">
        <f>SUM(CF37:CH37)</f>
        <v>2698224.1640659999</v>
      </c>
      <c r="Z37" s="16">
        <f>SUM(CI37:CK37)</f>
        <v>2821758.3499999996</v>
      </c>
      <c r="AA37" s="16">
        <f>SUM(CL37:CN37)</f>
        <v>5291621.7552940007</v>
      </c>
      <c r="AB37" s="16">
        <f>SUM(CO37:CQ37)</f>
        <v>6275776.25</v>
      </c>
      <c r="AC37" s="16">
        <f>SUM(CR37:CT37)</f>
        <v>7798177.5</v>
      </c>
      <c r="AD37" s="16">
        <f>SUM(CU37:CW37)</f>
        <v>5993475.8699513907</v>
      </c>
      <c r="AE37" s="16">
        <f>SUM(CX37:CZ37)</f>
        <v>7974354.7696898319</v>
      </c>
      <c r="AF37" s="16">
        <f>SUM(DA37:DC37)</f>
        <v>7861777.3256508112</v>
      </c>
      <c r="AG37" s="16">
        <f>SUM(DD37:DF37)</f>
        <v>12036786.859526245</v>
      </c>
      <c r="AH37" s="16">
        <f>SUM(DG37:DI37)</f>
        <v>10051629.205788985</v>
      </c>
      <c r="AI37" s="16">
        <f>SUM(DJ37:DL37)</f>
        <v>13639147.163053989</v>
      </c>
      <c r="AJ37" s="16">
        <f>SUM(DM37:DO37)</f>
        <v>12794549.249029979</v>
      </c>
      <c r="AK37" s="16">
        <f>SUM(DP37:DR37)</f>
        <v>18630106.748734012</v>
      </c>
      <c r="AL37" s="16">
        <f>SUM(DS37:DU37)</f>
        <v>15940046.719498985</v>
      </c>
      <c r="AM37" s="16">
        <f>SUM(DV37:DX37)</f>
        <v>21629194.486003481</v>
      </c>
      <c r="AN37" s="16">
        <f>SUM(DY37:EA37)</f>
        <v>20289816.566951264</v>
      </c>
      <c r="AO37" s="16">
        <f>SUM(EB37:ED37)</f>
        <v>29543944.159126364</v>
      </c>
      <c r="AP37" s="16">
        <f>SUM(EE37:EG37)</f>
        <v>24659954.30411062</v>
      </c>
      <c r="AQ37" s="16">
        <f>SUM(EH37:EJ37)</f>
        <v>33461316.459449615</v>
      </c>
      <c r="AR37" s="16">
        <f>SUM(EK37:EM37)</f>
        <v>31389239.830002911</v>
      </c>
      <c r="AS37" s="16">
        <f>SUM(EN37:EP37)</f>
        <v>45705782.783938497</v>
      </c>
      <c r="AT37" s="16">
        <f>SUM(EQ37:ES37)</f>
        <v>37247478.846109256</v>
      </c>
      <c r="AU37" s="16">
        <f>SUM(ET37:EV37)</f>
        <v>50541443.08688198</v>
      </c>
      <c r="AV37" s="16">
        <f>SUM(EW37:EY37)</f>
        <v>47411687.472940385</v>
      </c>
      <c r="AW37" s="16">
        <f>SUM(EZ37:FB37)</f>
        <v>69036023.197570696</v>
      </c>
      <c r="AY37" s="16">
        <f>SUM(ARR!AY30:AY31)</f>
        <v>15000</v>
      </c>
      <c r="AZ37" s="16">
        <f>SUM(ARR!AZ30:AZ31)</f>
        <v>346457.82999999996</v>
      </c>
      <c r="BA37" s="16">
        <f>SUM(ARR!BA30:BA31)</f>
        <v>779383.67</v>
      </c>
      <c r="BB37" s="16">
        <f>SUM(ARR!BB30:BB31)</f>
        <v>273065</v>
      </c>
      <c r="BC37" s="16">
        <f>SUM(ARR!BC30:BC31)</f>
        <v>554716.97</v>
      </c>
      <c r="BD37" s="16">
        <f>SUM(ARR!BD30:BD31)</f>
        <v>589478</v>
      </c>
      <c r="BE37" s="16">
        <f>SUM(ARR!BE30:BE31)</f>
        <v>383150</v>
      </c>
      <c r="BF37" s="16">
        <f>SUM(ARR!BF30:BF31)</f>
        <v>218659.5</v>
      </c>
      <c r="BG37" s="16">
        <f>SUM(ARR!BG30:BG31)</f>
        <v>818151</v>
      </c>
      <c r="BH37" s="16">
        <f>SUM(ARR!BH30:BH31)</f>
        <v>407585.5</v>
      </c>
      <c r="BI37" s="16">
        <f>SUM(ARR!BI30:BI31)</f>
        <v>1358350</v>
      </c>
      <c r="BJ37" s="16">
        <f>SUM(ARR!BJ30:BJ31)</f>
        <v>977880</v>
      </c>
      <c r="BK37" s="16">
        <f>SUM(ARR!BK30:BK31)</f>
        <v>192150</v>
      </c>
      <c r="BL37" s="16">
        <f>SUM(ARR!BL30:BL31)</f>
        <v>486881</v>
      </c>
      <c r="BM37" s="16">
        <f>SUM(ARR!BM30:BM31)</f>
        <v>1015157</v>
      </c>
      <c r="BN37" s="16">
        <f>SUM(ARR!BN30:BN31)</f>
        <v>409045.23</v>
      </c>
      <c r="BO37" s="16">
        <f>SUM(ARR!BO30:BO31)</f>
        <v>1720465.86</v>
      </c>
      <c r="BP37" s="16">
        <f>SUM(ARR!BP30:BP31)</f>
        <v>1209915.24</v>
      </c>
      <c r="BQ37" s="16">
        <f>SUM(ARR!BQ30:BQ31)</f>
        <v>496000.23</v>
      </c>
      <c r="BR37" s="16">
        <f>SUM(ARR!BR30:BR31)</f>
        <v>197811</v>
      </c>
      <c r="BS37" s="16">
        <f>SUM(ARR!BS30:BS31)</f>
        <v>841128.36</v>
      </c>
      <c r="BT37" s="16">
        <f>SUM(ARR!BT30:BT31)</f>
        <v>138500</v>
      </c>
      <c r="BU37" s="16">
        <f>SUM(ARR!BU30:BU31)</f>
        <v>914732</v>
      </c>
      <c r="BV37" s="16">
        <f>SUM(ARR!BV30:BV31)</f>
        <v>1652492.76</v>
      </c>
      <c r="BW37" s="16">
        <f>SUM(ARR!BW30:BW31)</f>
        <v>484242.64</v>
      </c>
      <c r="BX37" s="16">
        <f>SUM(ARR!BX30:BX31)</f>
        <v>615207</v>
      </c>
      <c r="BY37" s="16">
        <f>SUM(ARR!BY30:BY31)</f>
        <v>413082.17</v>
      </c>
      <c r="BZ37" s="16">
        <f>SUM(ARR!BZ30:BZ31)</f>
        <v>695900.01</v>
      </c>
      <c r="CA37" s="16">
        <f>SUM(ARR!CA30:CA31)</f>
        <v>370544.06</v>
      </c>
      <c r="CB37" s="16">
        <f>SUM(ARR!CB30:CB31)</f>
        <v>1304068.56</v>
      </c>
      <c r="CC37" s="16">
        <f>SUM(ARR!CC30:CC31)</f>
        <v>238018.28000000003</v>
      </c>
      <c r="CD37" s="16">
        <f>SUM(ARR!CD30:CD31)</f>
        <v>1553708.4900000002</v>
      </c>
      <c r="CE37" s="16">
        <f>SUM(ARR!CE30:CE31)</f>
        <v>1453064.1099999999</v>
      </c>
      <c r="CF37" s="16">
        <f>SUM(ARR!CF30:CF31)</f>
        <v>335430.93978000002</v>
      </c>
      <c r="CG37" s="16">
        <f>SUM(ARR!CG30:CG31)</f>
        <v>1147906.724286</v>
      </c>
      <c r="CH37" s="16">
        <f>SUM(ARR!CH30:CH31)</f>
        <v>1214886.5</v>
      </c>
      <c r="CI37" s="16">
        <f>SUM(ARR!CI30:CI31)</f>
        <v>529115.01</v>
      </c>
      <c r="CJ37" s="16">
        <f>SUM(ARR!CJ30:CJ31)</f>
        <v>487330.75</v>
      </c>
      <c r="CK37" s="16">
        <f>SUM(ARR!CK30:CK31)</f>
        <v>1805312.5899999999</v>
      </c>
      <c r="CL37" s="16">
        <f>SUM(ARR!CL30:CL31)</f>
        <v>748195.79</v>
      </c>
      <c r="CM37" s="16">
        <f>SUM(ARR!CM30:CM31)</f>
        <v>1251737.3052940001</v>
      </c>
      <c r="CN37" s="16">
        <f>SUM(ARR!CN30:CN31)</f>
        <v>3291688.66</v>
      </c>
      <c r="CO37" s="16">
        <f>SUM(ARR!CO30:CO31)</f>
        <v>941366.4375</v>
      </c>
      <c r="CP37" s="16">
        <f>SUM(ARR!CP30:CP31)</f>
        <v>2196521.6875</v>
      </c>
      <c r="CQ37" s="16">
        <f>SUM(ARR!CQ30:CQ31)</f>
        <v>3137888.125</v>
      </c>
      <c r="CR37" s="16">
        <f>SUM(ARR!CR30:CR31)</f>
        <v>779817.75</v>
      </c>
      <c r="CS37" s="16">
        <f>SUM(ARR!CS30:CS31)</f>
        <v>3119271</v>
      </c>
      <c r="CT37" s="16">
        <f>SUM(ARR!CT30:CT31)</f>
        <v>3899088.7499999995</v>
      </c>
      <c r="CU37" s="16">
        <f>SUM(ARR!CU30:CU31)</f>
        <v>792278.01154942648</v>
      </c>
      <c r="CV37" s="16">
        <f>SUM(ARR!CV30:CV31)</f>
        <v>1741258.5820622318</v>
      </c>
      <c r="CW37" s="16">
        <f>SUM(ARR!CW30:CW31)</f>
        <v>3459939.2763397321</v>
      </c>
      <c r="CX37" s="16">
        <f>SUM(ARR!CX30:CX31)</f>
        <v>1383420.6792899375</v>
      </c>
      <c r="CY37" s="16">
        <f>SUM(ARR!CY30:CY31)</f>
        <v>2713394.0837539239</v>
      </c>
      <c r="CZ37" s="16">
        <f>SUM(ARR!CZ30:CZ31)</f>
        <v>3877540.0066459705</v>
      </c>
      <c r="DA37" s="16">
        <f>SUM(ARR!DA30:DA31)</f>
        <v>1328404.3044476637</v>
      </c>
      <c r="DB37" s="16">
        <f>SUM(ARR!DB30:DB31)</f>
        <v>2368676.4397559655</v>
      </c>
      <c r="DC37" s="16">
        <f>SUM(ARR!DC30:DC31)</f>
        <v>4164696.5814471818</v>
      </c>
      <c r="DD37" s="16">
        <f>SUM(ARR!DD30:DD31)</f>
        <v>1788327.8667088267</v>
      </c>
      <c r="DE37" s="16">
        <f>SUM(ARR!DE30:DE31)</f>
        <v>4770237.4847696591</v>
      </c>
      <c r="DF37" s="16">
        <f>SUM(ARR!DF30:DF31)</f>
        <v>5478221.5080477595</v>
      </c>
      <c r="DG37" s="16">
        <f>SUM(ARR!DG30:DG31)</f>
        <v>1388590.5244003825</v>
      </c>
      <c r="DH37" s="16">
        <f>SUM(ARR!DH30:DH31)</f>
        <v>2932996.8517308929</v>
      </c>
      <c r="DI37" s="16">
        <f>SUM(ARR!DI30:DI31)</f>
        <v>5730041.8296577083</v>
      </c>
      <c r="DJ37" s="16">
        <f>SUM(ARR!DJ30:DJ31)</f>
        <v>2471892.0715025212</v>
      </c>
      <c r="DK37" s="16">
        <f>SUM(ARR!DK30:DK31)</f>
        <v>4636340.3277250296</v>
      </c>
      <c r="DL37" s="16">
        <f>SUM(ARR!DL30:DL31)</f>
        <v>6530914.7638264392</v>
      </c>
      <c r="DM37" s="16">
        <f>SUM(ARR!DM30:DM31)</f>
        <v>2161894.6444113469</v>
      </c>
      <c r="DN37" s="16">
        <f>SUM(ARR!DN30:DN31)</f>
        <v>3854872.2646460733</v>
      </c>
      <c r="DO37" s="16">
        <f>SUM(ARR!DO30:DO31)</f>
        <v>6777782.3399725584</v>
      </c>
      <c r="DP37" s="16">
        <f>SUM(ARR!DP30:DP31)</f>
        <v>2590721.8727780478</v>
      </c>
      <c r="DQ37" s="16">
        <f>SUM(ARR!DQ30:DQ31)</f>
        <v>7443592.6530220285</v>
      </c>
      <c r="DR37" s="16">
        <f>SUM(ARR!DR30:DR31)</f>
        <v>8595792.222933935</v>
      </c>
      <c r="DS37" s="16">
        <f>SUM(ARR!DS30:DS31)</f>
        <v>2202050.7700829292</v>
      </c>
      <c r="DT37" s="16">
        <f>SUM(ARR!DT30:DT31)</f>
        <v>4651196.9241571464</v>
      </c>
      <c r="DU37" s="16">
        <f>SUM(ARR!DU30:DU31)</f>
        <v>9086799.025258908</v>
      </c>
      <c r="DV37" s="16">
        <f>SUM(ARR!DV30:DV31)</f>
        <v>3919969.0217996384</v>
      </c>
      <c r="DW37" s="16">
        <f>SUM(ARR!DW30:DW31)</f>
        <v>7352388.3460475579</v>
      </c>
      <c r="DX37" s="16">
        <f>SUM(ARR!DX30:DX31)</f>
        <v>10356837.118156284</v>
      </c>
      <c r="DY37" s="16">
        <f>SUM(ARR!DY30:DY31)</f>
        <v>3428369.7626554645</v>
      </c>
      <c r="DZ37" s="16">
        <f>SUM(ARR!DZ30:DZ31)</f>
        <v>6113122.8319455404</v>
      </c>
      <c r="EA37" s="16">
        <f>SUM(ARR!EA30:EA31)</f>
        <v>10748323.972350258</v>
      </c>
      <c r="EB37" s="16">
        <f>SUM(ARR!EB30:EB31)</f>
        <v>4108411.3673359994</v>
      </c>
      <c r="EC37" s="16">
        <f>SUM(ARR!EC30:EC31)</f>
        <v>11804177.434415938</v>
      </c>
      <c r="ED37" s="16">
        <f>SUM(ARR!ED30:ED31)</f>
        <v>13631355.357374428</v>
      </c>
      <c r="EE37" s="16">
        <f>SUM(ARR!EE30:EE31)</f>
        <v>3406669.5236940579</v>
      </c>
      <c r="EF37" s="16">
        <f>SUM(ARR!EF30:EF31)</f>
        <v>7195606.488958912</v>
      </c>
      <c r="EG37" s="16">
        <f>SUM(ARR!EG30:EG31)</f>
        <v>14057678.291457649</v>
      </c>
      <c r="EH37" s="16">
        <f>SUM(ARR!EH30:EH31)</f>
        <v>6064364.719386884</v>
      </c>
      <c r="EI37" s="16">
        <f>SUM(ARR!EI30:EI31)</f>
        <v>11374468.5840737</v>
      </c>
      <c r="EJ37" s="16">
        <f>SUM(ARR!EJ30:EJ31)</f>
        <v>16022483.155989032</v>
      </c>
      <c r="EK37" s="16">
        <f>SUM(ARR!EK30:EK31)</f>
        <v>5303839.0145531287</v>
      </c>
      <c r="EL37" s="16">
        <f>SUM(ARR!EL30:EL31)</f>
        <v>9457270.2542198431</v>
      </c>
      <c r="EM37" s="16">
        <f>SUM(ARR!EM30:EM31)</f>
        <v>16628130.561229941</v>
      </c>
      <c r="EN37" s="16">
        <f>SUM(ARR!EN30:EN31)</f>
        <v>6355893.3272799579</v>
      </c>
      <c r="EO37" s="16">
        <f>SUM(ARR!EO30:EO31)</f>
        <v>18261582.368778661</v>
      </c>
      <c r="EP37" s="16">
        <f>SUM(ARR!EP30:EP31)</f>
        <v>21088307.087879881</v>
      </c>
      <c r="EQ37" s="16">
        <f>SUM(ARR!EQ30:EQ31)</f>
        <v>5145583.3800279172</v>
      </c>
      <c r="ER37" s="16">
        <f>SUM(ARR!ER30:ER31)</f>
        <v>10868560.305391446</v>
      </c>
      <c r="ES37" s="16">
        <f>SUM(ARR!ES30:ES31)</f>
        <v>21233335.160689898</v>
      </c>
      <c r="ET37" s="16">
        <f>SUM(ARR!ET30:ET31)</f>
        <v>9159883.0157929976</v>
      </c>
      <c r="EU37" s="16">
        <f>SUM(ARR!EU30:EU31)</f>
        <v>17180497.285041481</v>
      </c>
      <c r="EV37" s="16">
        <f>SUM(ARR!EV30:EV31)</f>
        <v>24201062.7860475</v>
      </c>
      <c r="EW37" s="16">
        <f>SUM(ARR!EW30:EW31)</f>
        <v>8011151.5642511081</v>
      </c>
      <c r="EX37" s="16">
        <f>SUM(ARR!EX30:EX31)</f>
        <v>14284676.662084209</v>
      </c>
      <c r="EY37" s="16">
        <f>SUM(ARR!EY30:EY31)</f>
        <v>25115859.246605068</v>
      </c>
      <c r="EZ37" s="16">
        <f>SUM(ARR!EZ30:EZ31)</f>
        <v>9600220.6385485623</v>
      </c>
      <c r="FA37" s="16">
        <f>SUM(ARR!FA30:FA31)</f>
        <v>27583096.650920451</v>
      </c>
      <c r="FB37" s="16">
        <f>SUM(ARR!FB30:FB31)</f>
        <v>31852705.908101685</v>
      </c>
    </row>
    <row r="39" spans="3:158" s="378" customFormat="1" x14ac:dyDescent="0.25">
      <c r="C39" s="1" t="s">
        <v>653</v>
      </c>
      <c r="D39" s="335">
        <f>D34/D$34</f>
        <v>1</v>
      </c>
      <c r="E39" s="335">
        <f t="shared" ref="E39:L40" si="159">E34/E$34</f>
        <v>1</v>
      </c>
      <c r="F39" s="335">
        <f t="shared" si="159"/>
        <v>1</v>
      </c>
      <c r="G39" s="335">
        <f t="shared" si="159"/>
        <v>1</v>
      </c>
      <c r="H39" s="335">
        <f t="shared" si="159"/>
        <v>1</v>
      </c>
      <c r="I39" s="335">
        <f t="shared" si="159"/>
        <v>1</v>
      </c>
      <c r="J39" s="335">
        <f t="shared" si="159"/>
        <v>1</v>
      </c>
      <c r="K39" s="335">
        <f t="shared" si="159"/>
        <v>1</v>
      </c>
      <c r="L39" s="335">
        <f t="shared" si="159"/>
        <v>1</v>
      </c>
      <c r="N39" s="335">
        <f t="shared" ref="N39:AW39" si="160">N34/N$34</f>
        <v>1</v>
      </c>
      <c r="O39" s="335">
        <f t="shared" si="160"/>
        <v>1</v>
      </c>
      <c r="P39" s="335">
        <f t="shared" si="160"/>
        <v>1</v>
      </c>
      <c r="Q39" s="335">
        <f t="shared" si="160"/>
        <v>1</v>
      </c>
      <c r="R39" s="335">
        <f t="shared" si="160"/>
        <v>1</v>
      </c>
      <c r="S39" s="335">
        <f t="shared" si="160"/>
        <v>1</v>
      </c>
      <c r="T39" s="335">
        <f t="shared" si="160"/>
        <v>1</v>
      </c>
      <c r="U39" s="335">
        <f t="shared" si="160"/>
        <v>1</v>
      </c>
      <c r="V39" s="335">
        <f t="shared" si="160"/>
        <v>1</v>
      </c>
      <c r="W39" s="335">
        <f t="shared" si="160"/>
        <v>1</v>
      </c>
      <c r="X39" s="335">
        <f t="shared" si="160"/>
        <v>1</v>
      </c>
      <c r="Y39" s="335">
        <f t="shared" si="160"/>
        <v>1</v>
      </c>
      <c r="Z39" s="335">
        <f t="shared" si="160"/>
        <v>1</v>
      </c>
      <c r="AA39" s="335">
        <f t="shared" si="160"/>
        <v>1</v>
      </c>
      <c r="AB39" s="335">
        <f t="shared" si="160"/>
        <v>1</v>
      </c>
      <c r="AC39" s="335">
        <f t="shared" si="160"/>
        <v>1</v>
      </c>
      <c r="AD39" s="335">
        <f t="shared" si="160"/>
        <v>1</v>
      </c>
      <c r="AE39" s="335">
        <f t="shared" si="160"/>
        <v>1</v>
      </c>
      <c r="AF39" s="335">
        <f t="shared" si="160"/>
        <v>1</v>
      </c>
      <c r="AG39" s="335">
        <f t="shared" si="160"/>
        <v>1</v>
      </c>
      <c r="AH39" s="335">
        <f t="shared" si="160"/>
        <v>1</v>
      </c>
      <c r="AI39" s="335">
        <f t="shared" si="160"/>
        <v>1</v>
      </c>
      <c r="AJ39" s="335">
        <f t="shared" si="160"/>
        <v>1</v>
      </c>
      <c r="AK39" s="335">
        <f t="shared" si="160"/>
        <v>1</v>
      </c>
      <c r="AL39" s="335">
        <f t="shared" si="160"/>
        <v>1</v>
      </c>
      <c r="AM39" s="335">
        <f t="shared" si="160"/>
        <v>1</v>
      </c>
      <c r="AN39" s="335">
        <f t="shared" si="160"/>
        <v>1</v>
      </c>
      <c r="AO39" s="335">
        <f t="shared" si="160"/>
        <v>1</v>
      </c>
      <c r="AP39" s="335">
        <f t="shared" si="160"/>
        <v>1</v>
      </c>
      <c r="AQ39" s="335">
        <f t="shared" si="160"/>
        <v>1</v>
      </c>
      <c r="AR39" s="335">
        <f t="shared" si="160"/>
        <v>1</v>
      </c>
      <c r="AS39" s="335">
        <f t="shared" si="160"/>
        <v>1</v>
      </c>
      <c r="AT39" s="335">
        <f t="shared" si="160"/>
        <v>1</v>
      </c>
      <c r="AU39" s="335">
        <f t="shared" si="160"/>
        <v>1</v>
      </c>
      <c r="AV39" s="335">
        <f t="shared" si="160"/>
        <v>1</v>
      </c>
      <c r="AW39" s="335">
        <f t="shared" si="160"/>
        <v>1</v>
      </c>
      <c r="AY39" s="335">
        <f t="shared" ref="AY39:DJ39" si="161">AY34/AY$34</f>
        <v>1</v>
      </c>
      <c r="AZ39" s="335">
        <f t="shared" si="161"/>
        <v>1</v>
      </c>
      <c r="BA39" s="335">
        <f t="shared" si="161"/>
        <v>1</v>
      </c>
      <c r="BB39" s="335">
        <f t="shared" si="161"/>
        <v>1</v>
      </c>
      <c r="BC39" s="335">
        <f t="shared" si="161"/>
        <v>1</v>
      </c>
      <c r="BD39" s="335">
        <f t="shared" si="161"/>
        <v>1</v>
      </c>
      <c r="BE39" s="335">
        <f t="shared" si="161"/>
        <v>1</v>
      </c>
      <c r="BF39" s="335">
        <f t="shared" si="161"/>
        <v>1</v>
      </c>
      <c r="BG39" s="335">
        <f t="shared" si="161"/>
        <v>1</v>
      </c>
      <c r="BH39" s="335">
        <f t="shared" si="161"/>
        <v>1</v>
      </c>
      <c r="BI39" s="335">
        <f t="shared" si="161"/>
        <v>1</v>
      </c>
      <c r="BJ39" s="335">
        <f t="shared" si="161"/>
        <v>1</v>
      </c>
      <c r="BK39" s="335">
        <f t="shared" si="161"/>
        <v>1</v>
      </c>
      <c r="BL39" s="335">
        <f t="shared" si="161"/>
        <v>1</v>
      </c>
      <c r="BM39" s="335">
        <f t="shared" si="161"/>
        <v>1</v>
      </c>
      <c r="BN39" s="335">
        <f t="shared" si="161"/>
        <v>1</v>
      </c>
      <c r="BO39" s="335">
        <f t="shared" si="161"/>
        <v>1</v>
      </c>
      <c r="BP39" s="335">
        <f t="shared" si="161"/>
        <v>1</v>
      </c>
      <c r="BQ39" s="335">
        <f t="shared" si="161"/>
        <v>1</v>
      </c>
      <c r="BR39" s="335">
        <f t="shared" si="161"/>
        <v>1</v>
      </c>
      <c r="BS39" s="335">
        <f t="shared" si="161"/>
        <v>1</v>
      </c>
      <c r="BT39" s="335">
        <f t="shared" si="161"/>
        <v>1</v>
      </c>
      <c r="BU39" s="335">
        <f t="shared" si="161"/>
        <v>1</v>
      </c>
      <c r="BV39" s="335">
        <f t="shared" si="161"/>
        <v>1</v>
      </c>
      <c r="BW39" s="335">
        <f t="shared" si="161"/>
        <v>1</v>
      </c>
      <c r="BX39" s="335">
        <f t="shared" si="161"/>
        <v>1</v>
      </c>
      <c r="BY39" s="335">
        <f t="shared" si="161"/>
        <v>1</v>
      </c>
      <c r="BZ39" s="335">
        <f t="shared" si="161"/>
        <v>1</v>
      </c>
      <c r="CA39" s="335">
        <f t="shared" si="161"/>
        <v>1</v>
      </c>
      <c r="CB39" s="335">
        <f t="shared" si="161"/>
        <v>1</v>
      </c>
      <c r="CC39" s="335">
        <f t="shared" si="161"/>
        <v>1</v>
      </c>
      <c r="CD39" s="335">
        <f t="shared" si="161"/>
        <v>1</v>
      </c>
      <c r="CE39" s="335">
        <f t="shared" si="161"/>
        <v>1</v>
      </c>
      <c r="CF39" s="335">
        <f t="shared" si="161"/>
        <v>1</v>
      </c>
      <c r="CG39" s="335">
        <f t="shared" si="161"/>
        <v>1</v>
      </c>
      <c r="CH39" s="335">
        <f t="shared" si="161"/>
        <v>1</v>
      </c>
      <c r="CI39" s="335">
        <f t="shared" si="161"/>
        <v>1</v>
      </c>
      <c r="CJ39" s="335">
        <f t="shared" si="161"/>
        <v>1</v>
      </c>
      <c r="CK39" s="335">
        <f t="shared" si="161"/>
        <v>1</v>
      </c>
      <c r="CL39" s="335">
        <f t="shared" si="161"/>
        <v>1</v>
      </c>
      <c r="CM39" s="335">
        <f t="shared" si="161"/>
        <v>1</v>
      </c>
      <c r="CN39" s="335">
        <f t="shared" si="161"/>
        <v>1</v>
      </c>
      <c r="CO39" s="335">
        <f t="shared" si="161"/>
        <v>1</v>
      </c>
      <c r="CP39" s="335">
        <f t="shared" si="161"/>
        <v>1</v>
      </c>
      <c r="CQ39" s="335">
        <f t="shared" si="161"/>
        <v>1</v>
      </c>
      <c r="CR39" s="335">
        <f t="shared" si="161"/>
        <v>1</v>
      </c>
      <c r="CS39" s="335">
        <f t="shared" si="161"/>
        <v>1</v>
      </c>
      <c r="CT39" s="335">
        <f t="shared" si="161"/>
        <v>1</v>
      </c>
      <c r="CU39" s="335">
        <f t="shared" si="161"/>
        <v>1</v>
      </c>
      <c r="CV39" s="335">
        <f t="shared" si="161"/>
        <v>1</v>
      </c>
      <c r="CW39" s="335">
        <f t="shared" si="161"/>
        <v>1</v>
      </c>
      <c r="CX39" s="335">
        <f t="shared" si="161"/>
        <v>1</v>
      </c>
      <c r="CY39" s="335">
        <f t="shared" si="161"/>
        <v>1</v>
      </c>
      <c r="CZ39" s="335">
        <f t="shared" si="161"/>
        <v>1</v>
      </c>
      <c r="DA39" s="335">
        <f t="shared" si="161"/>
        <v>1</v>
      </c>
      <c r="DB39" s="335">
        <f t="shared" si="161"/>
        <v>1</v>
      </c>
      <c r="DC39" s="335">
        <f t="shared" si="161"/>
        <v>1</v>
      </c>
      <c r="DD39" s="335">
        <f t="shared" si="161"/>
        <v>1</v>
      </c>
      <c r="DE39" s="335">
        <f t="shared" si="161"/>
        <v>1</v>
      </c>
      <c r="DF39" s="335">
        <f t="shared" si="161"/>
        <v>1</v>
      </c>
      <c r="DG39" s="335">
        <f t="shared" si="161"/>
        <v>1</v>
      </c>
      <c r="DH39" s="335">
        <f t="shared" si="161"/>
        <v>1</v>
      </c>
      <c r="DI39" s="335">
        <f t="shared" si="161"/>
        <v>1</v>
      </c>
      <c r="DJ39" s="335">
        <f t="shared" si="161"/>
        <v>1</v>
      </c>
      <c r="DK39" s="335">
        <f t="shared" ref="DK39:FB42" si="162">DK34/DK$34</f>
        <v>1</v>
      </c>
      <c r="DL39" s="335">
        <f t="shared" si="162"/>
        <v>1</v>
      </c>
      <c r="DM39" s="335">
        <f t="shared" si="162"/>
        <v>1</v>
      </c>
      <c r="DN39" s="335">
        <f t="shared" si="162"/>
        <v>1</v>
      </c>
      <c r="DO39" s="335">
        <f t="shared" si="162"/>
        <v>1</v>
      </c>
      <c r="DP39" s="335">
        <f t="shared" si="162"/>
        <v>1</v>
      </c>
      <c r="DQ39" s="335">
        <f t="shared" si="162"/>
        <v>1</v>
      </c>
      <c r="DR39" s="335">
        <f t="shared" si="162"/>
        <v>1</v>
      </c>
      <c r="DS39" s="335">
        <f t="shared" si="162"/>
        <v>1</v>
      </c>
      <c r="DT39" s="335">
        <f t="shared" si="162"/>
        <v>1</v>
      </c>
      <c r="DU39" s="335">
        <f t="shared" si="162"/>
        <v>1</v>
      </c>
      <c r="DV39" s="335">
        <f t="shared" si="162"/>
        <v>1</v>
      </c>
      <c r="DW39" s="335">
        <f t="shared" si="162"/>
        <v>1</v>
      </c>
      <c r="DX39" s="335">
        <f t="shared" si="162"/>
        <v>1</v>
      </c>
      <c r="DY39" s="335">
        <f t="shared" si="162"/>
        <v>1</v>
      </c>
      <c r="DZ39" s="335">
        <f t="shared" si="162"/>
        <v>1</v>
      </c>
      <c r="EA39" s="335">
        <f t="shared" si="162"/>
        <v>1</v>
      </c>
      <c r="EB39" s="335">
        <f t="shared" si="162"/>
        <v>1</v>
      </c>
      <c r="EC39" s="335">
        <f t="shared" si="162"/>
        <v>1</v>
      </c>
      <c r="ED39" s="335">
        <f t="shared" si="162"/>
        <v>1</v>
      </c>
      <c r="EE39" s="335">
        <f t="shared" si="162"/>
        <v>1</v>
      </c>
      <c r="EF39" s="335">
        <f t="shared" si="162"/>
        <v>1</v>
      </c>
      <c r="EG39" s="335">
        <f t="shared" si="162"/>
        <v>1</v>
      </c>
      <c r="EH39" s="335">
        <f t="shared" si="162"/>
        <v>1</v>
      </c>
      <c r="EI39" s="335">
        <f t="shared" si="162"/>
        <v>1</v>
      </c>
      <c r="EJ39" s="335">
        <f t="shared" si="162"/>
        <v>1</v>
      </c>
      <c r="EK39" s="335">
        <f t="shared" si="162"/>
        <v>1</v>
      </c>
      <c r="EL39" s="335">
        <f t="shared" si="162"/>
        <v>1</v>
      </c>
      <c r="EM39" s="335">
        <f t="shared" si="162"/>
        <v>1</v>
      </c>
      <c r="EN39" s="335">
        <f t="shared" si="162"/>
        <v>1</v>
      </c>
      <c r="EO39" s="335">
        <f t="shared" si="162"/>
        <v>1</v>
      </c>
      <c r="EP39" s="335">
        <f t="shared" si="162"/>
        <v>1</v>
      </c>
      <c r="EQ39" s="335">
        <f t="shared" si="162"/>
        <v>1</v>
      </c>
      <c r="ER39" s="335">
        <f t="shared" si="162"/>
        <v>1</v>
      </c>
      <c r="ES39" s="335">
        <f t="shared" si="162"/>
        <v>1</v>
      </c>
      <c r="ET39" s="335">
        <f t="shared" si="162"/>
        <v>1</v>
      </c>
      <c r="EU39" s="335">
        <f t="shared" si="162"/>
        <v>1</v>
      </c>
      <c r="EV39" s="335">
        <f t="shared" si="162"/>
        <v>1</v>
      </c>
      <c r="EW39" s="335">
        <f t="shared" si="162"/>
        <v>1</v>
      </c>
      <c r="EX39" s="335">
        <f t="shared" si="162"/>
        <v>1</v>
      </c>
      <c r="EY39" s="335">
        <f t="shared" si="162"/>
        <v>1</v>
      </c>
      <c r="EZ39" s="335">
        <f t="shared" si="162"/>
        <v>1</v>
      </c>
      <c r="FA39" s="335">
        <f t="shared" si="162"/>
        <v>1</v>
      </c>
      <c r="FB39" s="335">
        <f t="shared" si="162"/>
        <v>1</v>
      </c>
    </row>
    <row r="40" spans="3:158" x14ac:dyDescent="0.25">
      <c r="C40" s="377" t="s">
        <v>607</v>
      </c>
      <c r="D40" s="19">
        <f>D35/D$34</f>
        <v>0.32562003669046746</v>
      </c>
      <c r="E40" s="19">
        <f t="shared" si="159"/>
        <v>0.33464077868726966</v>
      </c>
      <c r="F40" s="19">
        <f t="shared" si="159"/>
        <v>0.33552588598932165</v>
      </c>
      <c r="G40" s="19">
        <f t="shared" si="159"/>
        <v>0.29830388585371775</v>
      </c>
      <c r="H40" s="19">
        <f t="shared" si="159"/>
        <v>0.27830388585371768</v>
      </c>
      <c r="I40" s="19">
        <f t="shared" si="159"/>
        <v>0.25830388585371777</v>
      </c>
      <c r="J40" s="19">
        <f t="shared" si="159"/>
        <v>0.2383038858537177</v>
      </c>
      <c r="K40" s="19">
        <f t="shared" si="159"/>
        <v>0.21830388585371774</v>
      </c>
      <c r="L40" s="19">
        <f t="shared" si="159"/>
        <v>0.19830388585371772</v>
      </c>
      <c r="N40" s="19">
        <f t="shared" ref="N40:AW40" si="163">N35/N$34</f>
        <v>0.32860896040186977</v>
      </c>
      <c r="O40" s="19">
        <f t="shared" si="163"/>
        <v>0.2597678246597806</v>
      </c>
      <c r="P40" s="19">
        <f t="shared" si="163"/>
        <v>0.36258689344063721</v>
      </c>
      <c r="Q40" s="19">
        <f t="shared" si="163"/>
        <v>0.34073065464867047</v>
      </c>
      <c r="R40" s="19">
        <f t="shared" si="163"/>
        <v>0.37938994332547105</v>
      </c>
      <c r="S40" s="19">
        <f t="shared" si="163"/>
        <v>0.3179200676293909</v>
      </c>
      <c r="T40" s="19">
        <f t="shared" si="163"/>
        <v>0.33629423701049049</v>
      </c>
      <c r="U40" s="19">
        <f t="shared" si="163"/>
        <v>0.31834583574682951</v>
      </c>
      <c r="V40" s="19">
        <f t="shared" si="163"/>
        <v>0.28518276061135456</v>
      </c>
      <c r="W40" s="19">
        <f t="shared" si="163"/>
        <v>0.36493020303026935</v>
      </c>
      <c r="X40" s="19">
        <f t="shared" si="163"/>
        <v>0.29354651275233307</v>
      </c>
      <c r="Y40" s="19">
        <f t="shared" si="163"/>
        <v>0.36932504256171883</v>
      </c>
      <c r="Z40" s="19">
        <f t="shared" si="163"/>
        <v>0.3623298309373682</v>
      </c>
      <c r="AA40" s="19">
        <f t="shared" si="163"/>
        <v>0.3323402632011227</v>
      </c>
      <c r="AB40" s="19">
        <f t="shared" si="163"/>
        <v>0.2759263099731965</v>
      </c>
      <c r="AC40" s="19">
        <f t="shared" si="163"/>
        <v>0.26937029256225953</v>
      </c>
      <c r="AD40" s="19">
        <f t="shared" si="163"/>
        <v>0.27830388585371774</v>
      </c>
      <c r="AE40" s="19">
        <f t="shared" si="163"/>
        <v>0.27830388585371768</v>
      </c>
      <c r="AF40" s="19">
        <f t="shared" si="163"/>
        <v>0.27830388585371774</v>
      </c>
      <c r="AG40" s="19">
        <f t="shared" si="163"/>
        <v>0.27830388585371768</v>
      </c>
      <c r="AH40" s="19">
        <f t="shared" si="163"/>
        <v>0.25830388585371772</v>
      </c>
      <c r="AI40" s="19">
        <f t="shared" si="163"/>
        <v>0.25830388585371772</v>
      </c>
      <c r="AJ40" s="19">
        <f t="shared" si="163"/>
        <v>0.25830388585371772</v>
      </c>
      <c r="AK40" s="19">
        <f t="shared" si="163"/>
        <v>0.25830388585371777</v>
      </c>
      <c r="AL40" s="19">
        <f t="shared" si="163"/>
        <v>0.23830388585371773</v>
      </c>
      <c r="AM40" s="19">
        <f t="shared" si="163"/>
        <v>0.23830388585371773</v>
      </c>
      <c r="AN40" s="19">
        <f t="shared" si="163"/>
        <v>0.23830388585371778</v>
      </c>
      <c r="AO40" s="19">
        <f t="shared" si="163"/>
        <v>0.23830388585371773</v>
      </c>
      <c r="AP40" s="19">
        <f t="shared" si="163"/>
        <v>0.21830388585371771</v>
      </c>
      <c r="AQ40" s="19">
        <f t="shared" si="163"/>
        <v>0.21830388585371774</v>
      </c>
      <c r="AR40" s="19">
        <f t="shared" si="163"/>
        <v>0.21830388585371774</v>
      </c>
      <c r="AS40" s="19">
        <f t="shared" si="163"/>
        <v>0.21830388585371771</v>
      </c>
      <c r="AT40" s="19">
        <f t="shared" si="163"/>
        <v>0.19830388585371772</v>
      </c>
      <c r="AU40" s="19">
        <f t="shared" si="163"/>
        <v>0.19830388585371775</v>
      </c>
      <c r="AV40" s="19">
        <f t="shared" si="163"/>
        <v>0.19830388585371769</v>
      </c>
      <c r="AW40" s="19">
        <f t="shared" si="163"/>
        <v>0.19830388585371772</v>
      </c>
      <c r="AY40" s="19">
        <f t="shared" ref="AY40:DJ40" si="164">AY35/AY$34</f>
        <v>0.35682586345446393</v>
      </c>
      <c r="AZ40" s="19">
        <f t="shared" si="164"/>
        <v>0.42842969930958563</v>
      </c>
      <c r="BA40" s="19">
        <f t="shared" si="164"/>
        <v>0.27339991539923592</v>
      </c>
      <c r="BB40" s="19">
        <f t="shared" si="164"/>
        <v>0.30389821112634496</v>
      </c>
      <c r="BC40" s="19">
        <f t="shared" si="164"/>
        <v>0.22935423344048472</v>
      </c>
      <c r="BD40" s="19">
        <f t="shared" si="164"/>
        <v>0.26841200848640834</v>
      </c>
      <c r="BE40" s="19">
        <f t="shared" si="164"/>
        <v>0.41147114260972445</v>
      </c>
      <c r="BF40" s="19">
        <f t="shared" si="164"/>
        <v>0.43543151981916667</v>
      </c>
      <c r="BG40" s="19">
        <f t="shared" si="164"/>
        <v>0.31312547337623581</v>
      </c>
      <c r="BH40" s="19">
        <f t="shared" si="164"/>
        <v>0.41556135557084606</v>
      </c>
      <c r="BI40" s="19">
        <f t="shared" si="164"/>
        <v>0.30814661573732599</v>
      </c>
      <c r="BJ40" s="19">
        <f t="shared" si="164"/>
        <v>0.34480660456939694</v>
      </c>
      <c r="BK40" s="19">
        <f t="shared" si="164"/>
        <v>0.4375190570152096</v>
      </c>
      <c r="BL40" s="19">
        <f t="shared" si="164"/>
        <v>0.49009347098841616</v>
      </c>
      <c r="BM40" s="19">
        <f t="shared" si="164"/>
        <v>0.32168910443178389</v>
      </c>
      <c r="BN40" s="19">
        <f t="shared" si="164"/>
        <v>0.45503944512773814</v>
      </c>
      <c r="BO40" s="19">
        <f t="shared" si="164"/>
        <v>0.24923861268658379</v>
      </c>
      <c r="BP40" s="19">
        <f t="shared" si="164"/>
        <v>0.32841495665653475</v>
      </c>
      <c r="BQ40" s="19">
        <f t="shared" si="164"/>
        <v>0.36811226038772005</v>
      </c>
      <c r="BR40" s="19">
        <f t="shared" si="164"/>
        <v>0.33262291178714876</v>
      </c>
      <c r="BS40" s="19">
        <f t="shared" si="164"/>
        <v>0.32651004714062609</v>
      </c>
      <c r="BT40" s="19">
        <f t="shared" si="164"/>
        <v>0.5390665833598296</v>
      </c>
      <c r="BU40" s="19">
        <f t="shared" si="164"/>
        <v>0.30452207002005632</v>
      </c>
      <c r="BV40" s="19">
        <f t="shared" si="164"/>
        <v>0.28877277065599111</v>
      </c>
      <c r="BW40" s="19">
        <f t="shared" si="164"/>
        <v>0.26214525100168179</v>
      </c>
      <c r="BX40" s="19">
        <f t="shared" si="164"/>
        <v>0.25476404336879743</v>
      </c>
      <c r="BY40" s="19">
        <f t="shared" si="164"/>
        <v>0.31629300989799092</v>
      </c>
      <c r="BZ40" s="19">
        <f t="shared" si="164"/>
        <v>0.29052344287022647</v>
      </c>
      <c r="CA40" s="19">
        <f t="shared" si="164"/>
        <v>0.37860672114693572</v>
      </c>
      <c r="CB40" s="19">
        <f t="shared" si="164"/>
        <v>0.38688034270591048</v>
      </c>
      <c r="CC40" s="19">
        <f t="shared" si="164"/>
        <v>0.33543825424979645</v>
      </c>
      <c r="CD40" s="19">
        <f t="shared" si="164"/>
        <v>0.23755132595453027</v>
      </c>
      <c r="CE40" s="19">
        <f t="shared" si="164"/>
        <v>0.33193503456006834</v>
      </c>
      <c r="CF40" s="19">
        <f t="shared" si="164"/>
        <v>0.47768774919362272</v>
      </c>
      <c r="CG40" s="19">
        <f t="shared" si="164"/>
        <v>0.328908013581239</v>
      </c>
      <c r="CH40" s="19">
        <f t="shared" si="164"/>
        <v>0.36684221911213843</v>
      </c>
      <c r="CI40" s="19">
        <f t="shared" si="164"/>
        <v>0.44464593551437359</v>
      </c>
      <c r="CJ40" s="19">
        <f t="shared" si="164"/>
        <v>0.40036978790035299</v>
      </c>
      <c r="CK40" s="19">
        <f t="shared" si="164"/>
        <v>0.32378748693188125</v>
      </c>
      <c r="CL40" s="19">
        <f t="shared" si="164"/>
        <v>0.31512482899774413</v>
      </c>
      <c r="CM40" s="19">
        <f t="shared" si="164"/>
        <v>0.35697498175440678</v>
      </c>
      <c r="CN40" s="19">
        <f t="shared" si="164"/>
        <v>0.32428685465622525</v>
      </c>
      <c r="CO40" s="19">
        <f t="shared" si="164"/>
        <v>0.2759263099731965</v>
      </c>
      <c r="CP40" s="19">
        <f t="shared" si="164"/>
        <v>0.27592630997319645</v>
      </c>
      <c r="CQ40" s="19">
        <f t="shared" si="164"/>
        <v>0.2759263099731965</v>
      </c>
      <c r="CR40" s="19">
        <f t="shared" si="164"/>
        <v>0.26937029256225958</v>
      </c>
      <c r="CS40" s="19">
        <f t="shared" si="164"/>
        <v>0.26937029256225958</v>
      </c>
      <c r="CT40" s="19">
        <f t="shared" si="164"/>
        <v>0.26937029256225953</v>
      </c>
      <c r="CU40" s="19">
        <f t="shared" si="164"/>
        <v>0.27830388585371774</v>
      </c>
      <c r="CV40" s="19">
        <f t="shared" si="164"/>
        <v>0.27830388585371774</v>
      </c>
      <c r="CW40" s="19">
        <f t="shared" si="164"/>
        <v>0.27830388585371774</v>
      </c>
      <c r="CX40" s="19">
        <f t="shared" si="164"/>
        <v>0.27830388585371774</v>
      </c>
      <c r="CY40" s="19">
        <f t="shared" si="164"/>
        <v>0.27830388585371768</v>
      </c>
      <c r="CZ40" s="19">
        <f t="shared" si="164"/>
        <v>0.27830388585371774</v>
      </c>
      <c r="DA40" s="19">
        <f t="shared" si="164"/>
        <v>0.27830388585371774</v>
      </c>
      <c r="DB40" s="19">
        <f t="shared" si="164"/>
        <v>0.27830388585371774</v>
      </c>
      <c r="DC40" s="19">
        <f t="shared" si="164"/>
        <v>0.27830388585371774</v>
      </c>
      <c r="DD40" s="19">
        <f t="shared" si="164"/>
        <v>0.27830388585371768</v>
      </c>
      <c r="DE40" s="19">
        <f t="shared" si="164"/>
        <v>0.27830388585371774</v>
      </c>
      <c r="DF40" s="19">
        <f t="shared" si="164"/>
        <v>0.27830388585371768</v>
      </c>
      <c r="DG40" s="19">
        <f t="shared" si="164"/>
        <v>0.25830388585371772</v>
      </c>
      <c r="DH40" s="19">
        <f t="shared" si="164"/>
        <v>0.25830388585371772</v>
      </c>
      <c r="DI40" s="19">
        <f t="shared" si="164"/>
        <v>0.25830388585371772</v>
      </c>
      <c r="DJ40" s="19">
        <f t="shared" si="164"/>
        <v>0.25830388585371772</v>
      </c>
      <c r="DK40" s="19">
        <f t="shared" si="162"/>
        <v>0.25830388585371777</v>
      </c>
      <c r="DL40" s="19">
        <f t="shared" si="162"/>
        <v>0.25830388585371772</v>
      </c>
      <c r="DM40" s="19">
        <f t="shared" si="162"/>
        <v>0.25830388585371772</v>
      </c>
      <c r="DN40" s="19">
        <f t="shared" si="162"/>
        <v>0.25830388585371772</v>
      </c>
      <c r="DO40" s="19">
        <f t="shared" si="162"/>
        <v>0.25830388585371772</v>
      </c>
      <c r="DP40" s="19">
        <f t="shared" si="162"/>
        <v>0.25830388585371766</v>
      </c>
      <c r="DQ40" s="19">
        <f t="shared" si="162"/>
        <v>0.25830388585371772</v>
      </c>
      <c r="DR40" s="19">
        <f t="shared" si="162"/>
        <v>0.25830388585371772</v>
      </c>
      <c r="DS40" s="19">
        <f t="shared" si="162"/>
        <v>0.2383038858537177</v>
      </c>
      <c r="DT40" s="19">
        <f t="shared" si="162"/>
        <v>0.23830388585371773</v>
      </c>
      <c r="DU40" s="19">
        <f t="shared" si="162"/>
        <v>0.23830388585371773</v>
      </c>
      <c r="DV40" s="19">
        <f t="shared" si="162"/>
        <v>0.23830388585371773</v>
      </c>
      <c r="DW40" s="19">
        <f t="shared" si="162"/>
        <v>0.23830388585371773</v>
      </c>
      <c r="DX40" s="19">
        <f t="shared" si="162"/>
        <v>0.2383038858537177</v>
      </c>
      <c r="DY40" s="19">
        <f t="shared" si="162"/>
        <v>0.23830388585371773</v>
      </c>
      <c r="DZ40" s="19">
        <f t="shared" si="162"/>
        <v>0.23830388585371776</v>
      </c>
      <c r="EA40" s="19">
        <f t="shared" si="162"/>
        <v>0.23830388585371776</v>
      </c>
      <c r="EB40" s="19">
        <f t="shared" si="162"/>
        <v>0.2383038858537177</v>
      </c>
      <c r="EC40" s="19">
        <f t="shared" si="162"/>
        <v>0.23830388585371773</v>
      </c>
      <c r="ED40" s="19">
        <f t="shared" si="162"/>
        <v>0.23830388585371773</v>
      </c>
      <c r="EE40" s="19">
        <f t="shared" si="162"/>
        <v>0.21830388585371777</v>
      </c>
      <c r="EF40" s="19">
        <f t="shared" si="162"/>
        <v>0.21830388585371774</v>
      </c>
      <c r="EG40" s="19">
        <f t="shared" si="162"/>
        <v>0.21830388585371774</v>
      </c>
      <c r="EH40" s="19">
        <f t="shared" si="162"/>
        <v>0.21830388585371777</v>
      </c>
      <c r="EI40" s="19">
        <f t="shared" si="162"/>
        <v>0.21830388585371774</v>
      </c>
      <c r="EJ40" s="19">
        <f t="shared" si="162"/>
        <v>0.21830388585371771</v>
      </c>
      <c r="EK40" s="19">
        <f t="shared" si="162"/>
        <v>0.21830388585371777</v>
      </c>
      <c r="EL40" s="19">
        <f t="shared" si="162"/>
        <v>0.21830388585371771</v>
      </c>
      <c r="EM40" s="19">
        <f t="shared" si="162"/>
        <v>0.21830388585371771</v>
      </c>
      <c r="EN40" s="19">
        <f t="shared" si="162"/>
        <v>0.21830388585371774</v>
      </c>
      <c r="EO40" s="19">
        <f t="shared" si="162"/>
        <v>0.21830388585371777</v>
      </c>
      <c r="EP40" s="19">
        <f t="shared" si="162"/>
        <v>0.21830388585371771</v>
      </c>
      <c r="EQ40" s="19">
        <f t="shared" si="162"/>
        <v>0.19830388585371772</v>
      </c>
      <c r="ER40" s="19">
        <f t="shared" si="162"/>
        <v>0.19830388585371775</v>
      </c>
      <c r="ES40" s="19">
        <f t="shared" si="162"/>
        <v>0.19830388585371772</v>
      </c>
      <c r="ET40" s="19">
        <f t="shared" si="162"/>
        <v>0.19830388585371772</v>
      </c>
      <c r="EU40" s="19">
        <f t="shared" si="162"/>
        <v>0.19830388585371772</v>
      </c>
      <c r="EV40" s="19">
        <f t="shared" si="162"/>
        <v>0.19830388585371778</v>
      </c>
      <c r="EW40" s="19">
        <f t="shared" si="162"/>
        <v>0.19830388585371775</v>
      </c>
      <c r="EX40" s="19">
        <f t="shared" si="162"/>
        <v>0.19830388585371775</v>
      </c>
      <c r="EY40" s="19">
        <f t="shared" si="162"/>
        <v>0.19830388585371769</v>
      </c>
      <c r="EZ40" s="19">
        <f t="shared" si="162"/>
        <v>0.19830388585371775</v>
      </c>
      <c r="FA40" s="19">
        <f t="shared" si="162"/>
        <v>0.19830388585371772</v>
      </c>
      <c r="FB40" s="19">
        <f t="shared" si="162"/>
        <v>0.19830388585371775</v>
      </c>
    </row>
    <row r="41" spans="3:158" x14ac:dyDescent="0.25">
      <c r="C41" s="377" t="s">
        <v>608</v>
      </c>
      <c r="D41" s="19">
        <f t="shared" ref="D41:L41" si="165">D36/D$34</f>
        <v>0.31891174419393392</v>
      </c>
      <c r="E41" s="19">
        <f t="shared" si="165"/>
        <v>0.33099202532988892</v>
      </c>
      <c r="F41" s="19">
        <f t="shared" si="165"/>
        <v>0.36065651673693511</v>
      </c>
      <c r="G41" s="19">
        <f t="shared" si="165"/>
        <v>0.35465160186264472</v>
      </c>
      <c r="H41" s="19">
        <f t="shared" si="165"/>
        <v>0.3346516018626447</v>
      </c>
      <c r="I41" s="19">
        <f t="shared" si="165"/>
        <v>0.31465160186264479</v>
      </c>
      <c r="J41" s="19">
        <f t="shared" si="165"/>
        <v>0.29465160186264466</v>
      </c>
      <c r="K41" s="19">
        <f t="shared" si="165"/>
        <v>0.27465160186264476</v>
      </c>
      <c r="L41" s="19">
        <f t="shared" si="165"/>
        <v>0.25465160186264468</v>
      </c>
      <c r="N41" s="19">
        <f t="shared" ref="N41:AW41" si="166">N36/N$34</f>
        <v>0.33708910202727349</v>
      </c>
      <c r="O41" s="19">
        <f t="shared" si="166"/>
        <v>0.40117304661927949</v>
      </c>
      <c r="P41" s="19">
        <f t="shared" si="166"/>
        <v>0.30742505891949434</v>
      </c>
      <c r="Q41" s="19">
        <f t="shared" si="166"/>
        <v>0.26809325131469025</v>
      </c>
      <c r="R41" s="19">
        <f t="shared" si="166"/>
        <v>0.32277401329381661</v>
      </c>
      <c r="S41" s="19">
        <f t="shared" si="166"/>
        <v>0.23709291959541576</v>
      </c>
      <c r="T41" s="19">
        <f t="shared" si="166"/>
        <v>0.40844145492472467</v>
      </c>
      <c r="U41" s="19">
        <f t="shared" si="166"/>
        <v>0.36448278857111138</v>
      </c>
      <c r="V41" s="19">
        <f t="shared" si="166"/>
        <v>0.42537142916914522</v>
      </c>
      <c r="W41" s="19">
        <f t="shared" si="166"/>
        <v>0.34280741191603192</v>
      </c>
      <c r="X41" s="19">
        <f t="shared" si="166"/>
        <v>0.30844539318783298</v>
      </c>
      <c r="Y41" s="19">
        <f t="shared" si="166"/>
        <v>0.38205659764636701</v>
      </c>
      <c r="Z41" s="19">
        <f t="shared" si="166"/>
        <v>0.32651468943393297</v>
      </c>
      <c r="AA41" s="19">
        <f t="shared" si="166"/>
        <v>0.29467175396784817</v>
      </c>
      <c r="AB41" s="19">
        <f t="shared" si="166"/>
        <v>0.36128479548559522</v>
      </c>
      <c r="AC41" s="19">
        <f t="shared" si="166"/>
        <v>0.39705761469799766</v>
      </c>
      <c r="AD41" s="19">
        <f t="shared" si="166"/>
        <v>0.33465160186264475</v>
      </c>
      <c r="AE41" s="19">
        <f t="shared" si="166"/>
        <v>0.33465160186264475</v>
      </c>
      <c r="AF41" s="19">
        <f t="shared" si="166"/>
        <v>0.33465160186264475</v>
      </c>
      <c r="AG41" s="19">
        <f t="shared" si="166"/>
        <v>0.33465160186264475</v>
      </c>
      <c r="AH41" s="19">
        <f t="shared" si="166"/>
        <v>0.31465160186264474</v>
      </c>
      <c r="AI41" s="19">
        <f t="shared" si="166"/>
        <v>0.31465160186264479</v>
      </c>
      <c r="AJ41" s="19">
        <f t="shared" si="166"/>
        <v>0.31465160186264479</v>
      </c>
      <c r="AK41" s="19">
        <f t="shared" si="166"/>
        <v>0.31465160186264474</v>
      </c>
      <c r="AL41" s="19">
        <f t="shared" si="166"/>
        <v>0.29465160186264472</v>
      </c>
      <c r="AM41" s="19">
        <f t="shared" si="166"/>
        <v>0.29465160186264477</v>
      </c>
      <c r="AN41" s="19">
        <f t="shared" si="166"/>
        <v>0.29465160186264477</v>
      </c>
      <c r="AO41" s="19">
        <f t="shared" si="166"/>
        <v>0.29465160186264472</v>
      </c>
      <c r="AP41" s="19">
        <f t="shared" si="166"/>
        <v>0.2746516018626447</v>
      </c>
      <c r="AQ41" s="19">
        <f t="shared" si="166"/>
        <v>0.27465160186264476</v>
      </c>
      <c r="AR41" s="19">
        <f t="shared" si="166"/>
        <v>0.2746516018626447</v>
      </c>
      <c r="AS41" s="19">
        <f t="shared" si="166"/>
        <v>0.2746516018626447</v>
      </c>
      <c r="AT41" s="19">
        <f t="shared" si="166"/>
        <v>0.25465160186264463</v>
      </c>
      <c r="AU41" s="19">
        <f t="shared" si="166"/>
        <v>0.25465160186264468</v>
      </c>
      <c r="AV41" s="19">
        <f t="shared" si="166"/>
        <v>0.25465160186264463</v>
      </c>
      <c r="AW41" s="19">
        <f t="shared" si="166"/>
        <v>0.25465160186264468</v>
      </c>
      <c r="AY41" s="19">
        <f t="shared" ref="AY41:DJ41" si="167">AY36/AY$34</f>
        <v>0.58260209417741149</v>
      </c>
      <c r="AZ41" s="19">
        <f t="shared" si="167"/>
        <v>0.25137869430449722</v>
      </c>
      <c r="BA41" s="19">
        <f t="shared" si="167"/>
        <v>0.35242460874715098</v>
      </c>
      <c r="BB41" s="19">
        <f t="shared" si="167"/>
        <v>0.28022544818399192</v>
      </c>
      <c r="BC41" s="19">
        <f t="shared" si="167"/>
        <v>0.40609938996702721</v>
      </c>
      <c r="BD41" s="19">
        <f t="shared" si="167"/>
        <v>0.43710132535835344</v>
      </c>
      <c r="BE41" s="19">
        <f t="shared" si="167"/>
        <v>9.6128307747117836E-2</v>
      </c>
      <c r="BF41" s="19">
        <f t="shared" si="167"/>
        <v>0.36837375845720433</v>
      </c>
      <c r="BG41" s="19">
        <f t="shared" si="167"/>
        <v>0.34745437667114126</v>
      </c>
      <c r="BH41" s="19">
        <f t="shared" si="167"/>
        <v>0.24393625839242725</v>
      </c>
      <c r="BI41" s="19">
        <f t="shared" si="167"/>
        <v>0.25227636159358968</v>
      </c>
      <c r="BJ41" s="19">
        <f t="shared" si="167"/>
        <v>0.29661864316630876</v>
      </c>
      <c r="BK41" s="19">
        <f t="shared" si="167"/>
        <v>0.31833005928883057</v>
      </c>
      <c r="BL41" s="19">
        <f t="shared" si="167"/>
        <v>0.16403454015732269</v>
      </c>
      <c r="BM41" s="19">
        <f t="shared" si="167"/>
        <v>0.38773633178835787</v>
      </c>
      <c r="BN41" s="19">
        <f t="shared" si="167"/>
        <v>0.23650924328624759</v>
      </c>
      <c r="BO41" s="19">
        <f t="shared" si="167"/>
        <v>0.19854583690895053</v>
      </c>
      <c r="BP41" s="19">
        <f t="shared" si="167"/>
        <v>0.27655617497845664</v>
      </c>
      <c r="BQ41" s="19">
        <f t="shared" si="167"/>
        <v>0.22599736465976339</v>
      </c>
      <c r="BR41" s="19">
        <f t="shared" si="167"/>
        <v>0.51614412684476851</v>
      </c>
      <c r="BS41" s="19">
        <f t="shared" si="167"/>
        <v>0.43200458732653579</v>
      </c>
      <c r="BT41" s="19">
        <f t="shared" si="167"/>
        <v>0.28724513250810868</v>
      </c>
      <c r="BU41" s="19">
        <f t="shared" si="167"/>
        <v>0.42209198610396809</v>
      </c>
      <c r="BV41" s="19">
        <f t="shared" si="167"/>
        <v>0.33458687686175609</v>
      </c>
      <c r="BW41" s="19">
        <f t="shared" si="167"/>
        <v>0.29893874524764802</v>
      </c>
      <c r="BX41" s="19">
        <f t="shared" si="167"/>
        <v>0.37712502802046394</v>
      </c>
      <c r="BY41" s="19">
        <f t="shared" si="167"/>
        <v>0.51517694629160871</v>
      </c>
      <c r="BZ41" s="19">
        <f t="shared" si="167"/>
        <v>0.29580444238022419</v>
      </c>
      <c r="CA41" s="19">
        <f t="shared" si="167"/>
        <v>0.42905228849097565</v>
      </c>
      <c r="CB41" s="19">
        <f t="shared" si="167"/>
        <v>0.32346567016225236</v>
      </c>
      <c r="CC41" s="19">
        <f t="shared" si="167"/>
        <v>0.43789659009446136</v>
      </c>
      <c r="CD41" s="19">
        <f t="shared" si="167"/>
        <v>0.29932677155631005</v>
      </c>
      <c r="CE41" s="19">
        <f t="shared" si="167"/>
        <v>0.2803360418563578</v>
      </c>
      <c r="CF41" s="19">
        <f t="shared" si="167"/>
        <v>0.31050616441810447</v>
      </c>
      <c r="CG41" s="19">
        <f t="shared" si="167"/>
        <v>0.37805147905786368</v>
      </c>
      <c r="CH41" s="19">
        <f t="shared" si="167"/>
        <v>0.40616007205747362</v>
      </c>
      <c r="CI41" s="19">
        <f t="shared" si="167"/>
        <v>0.19473601385859585</v>
      </c>
      <c r="CJ41" s="19">
        <f t="shared" si="167"/>
        <v>0.38289749331144157</v>
      </c>
      <c r="CK41" s="19">
        <f t="shared" si="167"/>
        <v>0.33895157461125708</v>
      </c>
      <c r="CL41" s="19">
        <f t="shared" si="167"/>
        <v>0.39779522694429009</v>
      </c>
      <c r="CM41" s="19">
        <f t="shared" si="167"/>
        <v>0.34681071586023998</v>
      </c>
      <c r="CN41" s="19">
        <f t="shared" si="167"/>
        <v>0.22817487051295085</v>
      </c>
      <c r="CO41" s="19">
        <f t="shared" si="167"/>
        <v>0.36128479548559528</v>
      </c>
      <c r="CP41" s="19">
        <f t="shared" si="167"/>
        <v>0.36128479548559528</v>
      </c>
      <c r="CQ41" s="19">
        <f t="shared" si="167"/>
        <v>0.36128479548559522</v>
      </c>
      <c r="CR41" s="19">
        <f t="shared" si="167"/>
        <v>0.39705761469799766</v>
      </c>
      <c r="CS41" s="19">
        <f t="shared" si="167"/>
        <v>0.39705761469799766</v>
      </c>
      <c r="CT41" s="19">
        <f t="shared" si="167"/>
        <v>0.39705761469799766</v>
      </c>
      <c r="CU41" s="19">
        <f t="shared" si="167"/>
        <v>0.33465160186264475</v>
      </c>
      <c r="CV41" s="19">
        <f t="shared" si="167"/>
        <v>0.33465160186264475</v>
      </c>
      <c r="CW41" s="19">
        <f t="shared" si="167"/>
        <v>0.33465160186264475</v>
      </c>
      <c r="CX41" s="19">
        <f t="shared" si="167"/>
        <v>0.3346516018626447</v>
      </c>
      <c r="CY41" s="19">
        <f t="shared" si="167"/>
        <v>0.33465160186264475</v>
      </c>
      <c r="CZ41" s="19">
        <f t="shared" si="167"/>
        <v>0.33465160186264475</v>
      </c>
      <c r="DA41" s="19">
        <f t="shared" si="167"/>
        <v>0.33465160186264475</v>
      </c>
      <c r="DB41" s="19">
        <f t="shared" si="167"/>
        <v>0.33465160186264475</v>
      </c>
      <c r="DC41" s="19">
        <f t="shared" si="167"/>
        <v>0.33465160186264475</v>
      </c>
      <c r="DD41" s="19">
        <f t="shared" si="167"/>
        <v>0.3346516018626447</v>
      </c>
      <c r="DE41" s="19">
        <f t="shared" si="167"/>
        <v>0.33465160186264475</v>
      </c>
      <c r="DF41" s="19">
        <f t="shared" si="167"/>
        <v>0.33465160186264475</v>
      </c>
      <c r="DG41" s="19">
        <f t="shared" si="167"/>
        <v>0.31465160186264474</v>
      </c>
      <c r="DH41" s="19">
        <f t="shared" si="167"/>
        <v>0.31465160186264474</v>
      </c>
      <c r="DI41" s="19">
        <f t="shared" si="167"/>
        <v>0.31465160186264474</v>
      </c>
      <c r="DJ41" s="19">
        <f t="shared" si="167"/>
        <v>0.31465160186264479</v>
      </c>
      <c r="DK41" s="19">
        <f t="shared" si="162"/>
        <v>0.31465160186264479</v>
      </c>
      <c r="DL41" s="19">
        <f t="shared" si="162"/>
        <v>0.31465160186264479</v>
      </c>
      <c r="DM41" s="19">
        <f t="shared" si="162"/>
        <v>0.31465160186264474</v>
      </c>
      <c r="DN41" s="19">
        <f t="shared" si="162"/>
        <v>0.31465160186264474</v>
      </c>
      <c r="DO41" s="19">
        <f t="shared" si="162"/>
        <v>0.31465160186264474</v>
      </c>
      <c r="DP41" s="19">
        <f t="shared" si="162"/>
        <v>0.31465160186264474</v>
      </c>
      <c r="DQ41" s="19">
        <f t="shared" si="162"/>
        <v>0.31465160186264474</v>
      </c>
      <c r="DR41" s="19">
        <f t="shared" si="162"/>
        <v>0.31465160186264474</v>
      </c>
      <c r="DS41" s="19">
        <f t="shared" si="162"/>
        <v>0.29465160186264472</v>
      </c>
      <c r="DT41" s="19">
        <f t="shared" si="162"/>
        <v>0.29465160186264472</v>
      </c>
      <c r="DU41" s="19">
        <f t="shared" si="162"/>
        <v>0.29465160186264472</v>
      </c>
      <c r="DV41" s="19">
        <f t="shared" si="162"/>
        <v>0.29465160186264472</v>
      </c>
      <c r="DW41" s="19">
        <f t="shared" si="162"/>
        <v>0.29465160186264477</v>
      </c>
      <c r="DX41" s="19">
        <f t="shared" si="162"/>
        <v>0.29465160186264472</v>
      </c>
      <c r="DY41" s="19">
        <f t="shared" si="162"/>
        <v>0.29465160186264472</v>
      </c>
      <c r="DZ41" s="19">
        <f t="shared" si="162"/>
        <v>0.29465160186264477</v>
      </c>
      <c r="EA41" s="19">
        <f t="shared" si="162"/>
        <v>0.29465160186264472</v>
      </c>
      <c r="EB41" s="19">
        <f t="shared" si="162"/>
        <v>0.29465160186264472</v>
      </c>
      <c r="EC41" s="19">
        <f t="shared" si="162"/>
        <v>0.29465160186264477</v>
      </c>
      <c r="ED41" s="19">
        <f t="shared" si="162"/>
        <v>0.29465160186264477</v>
      </c>
      <c r="EE41" s="19">
        <f t="shared" si="162"/>
        <v>0.2746516018626447</v>
      </c>
      <c r="EF41" s="19">
        <f t="shared" si="162"/>
        <v>0.2746516018626447</v>
      </c>
      <c r="EG41" s="19">
        <f t="shared" si="162"/>
        <v>0.2746516018626447</v>
      </c>
      <c r="EH41" s="19">
        <f t="shared" si="162"/>
        <v>0.27465160186264476</v>
      </c>
      <c r="EI41" s="19">
        <f t="shared" si="162"/>
        <v>0.2746516018626447</v>
      </c>
      <c r="EJ41" s="19">
        <f t="shared" si="162"/>
        <v>0.2746516018626447</v>
      </c>
      <c r="EK41" s="19">
        <f t="shared" si="162"/>
        <v>0.27465160186264476</v>
      </c>
      <c r="EL41" s="19">
        <f t="shared" si="162"/>
        <v>0.2746516018626447</v>
      </c>
      <c r="EM41" s="19">
        <f t="shared" si="162"/>
        <v>0.27465160186264476</v>
      </c>
      <c r="EN41" s="19">
        <f t="shared" si="162"/>
        <v>0.2746516018626447</v>
      </c>
      <c r="EO41" s="19">
        <f t="shared" si="162"/>
        <v>0.27465160186264476</v>
      </c>
      <c r="EP41" s="19">
        <f t="shared" si="162"/>
        <v>0.2746516018626447</v>
      </c>
      <c r="EQ41" s="19">
        <f t="shared" si="162"/>
        <v>0.25465160186264468</v>
      </c>
      <c r="ER41" s="19">
        <f t="shared" si="162"/>
        <v>0.25465160186264468</v>
      </c>
      <c r="ES41" s="19">
        <f t="shared" si="162"/>
        <v>0.25465160186264463</v>
      </c>
      <c r="ET41" s="19">
        <f t="shared" si="162"/>
        <v>0.25465160186264468</v>
      </c>
      <c r="EU41" s="19">
        <f t="shared" si="162"/>
        <v>0.25465160186264468</v>
      </c>
      <c r="EV41" s="19">
        <f t="shared" si="162"/>
        <v>0.25465160186264468</v>
      </c>
      <c r="EW41" s="19">
        <f t="shared" si="162"/>
        <v>0.25465160186264468</v>
      </c>
      <c r="EX41" s="19">
        <f t="shared" si="162"/>
        <v>0.25465160186264468</v>
      </c>
      <c r="EY41" s="19">
        <f t="shared" si="162"/>
        <v>0.25465160186264463</v>
      </c>
      <c r="EZ41" s="19">
        <f t="shared" si="162"/>
        <v>0.25465160186264468</v>
      </c>
      <c r="FA41" s="19">
        <f t="shared" si="162"/>
        <v>0.25465160186264468</v>
      </c>
      <c r="FB41" s="19">
        <f t="shared" si="162"/>
        <v>0.25465160186264468</v>
      </c>
    </row>
    <row r="42" spans="3:158" x14ac:dyDescent="0.25">
      <c r="C42" s="377" t="s">
        <v>313</v>
      </c>
      <c r="D42" s="19">
        <f t="shared" ref="D42:L42" si="168">D37/D$34</f>
        <v>0.3554682191155985</v>
      </c>
      <c r="E42" s="19">
        <f t="shared" si="168"/>
        <v>0.33436719598284154</v>
      </c>
      <c r="F42" s="19">
        <f t="shared" si="168"/>
        <v>0.30381759727374313</v>
      </c>
      <c r="G42" s="19">
        <f t="shared" si="168"/>
        <v>0.34704451228363753</v>
      </c>
      <c r="H42" s="19">
        <f t="shared" si="168"/>
        <v>0.38704451228363745</v>
      </c>
      <c r="I42" s="19">
        <f t="shared" si="168"/>
        <v>0.4270445122836376</v>
      </c>
      <c r="J42" s="19">
        <f t="shared" si="168"/>
        <v>0.46704451228363747</v>
      </c>
      <c r="K42" s="19">
        <f t="shared" si="168"/>
        <v>0.50704451228363767</v>
      </c>
      <c r="L42" s="19">
        <f t="shared" si="168"/>
        <v>0.54704451228363749</v>
      </c>
      <c r="N42" s="19">
        <f t="shared" ref="N42:AW42" si="169">N37/N$34</f>
        <v>0.33430193757085674</v>
      </c>
      <c r="O42" s="19">
        <f t="shared" si="169"/>
        <v>0.33905912872093991</v>
      </c>
      <c r="P42" s="19">
        <f t="shared" si="169"/>
        <v>0.32998804763986844</v>
      </c>
      <c r="Q42" s="19">
        <f t="shared" si="169"/>
        <v>0.39117609403663928</v>
      </c>
      <c r="R42" s="19">
        <f t="shared" si="169"/>
        <v>0.2978360433807124</v>
      </c>
      <c r="S42" s="19">
        <f t="shared" si="169"/>
        <v>0.44498701277519342</v>
      </c>
      <c r="T42" s="19">
        <f t="shared" si="169"/>
        <v>0.25526430806478489</v>
      </c>
      <c r="U42" s="19">
        <f t="shared" si="169"/>
        <v>0.31717137568205911</v>
      </c>
      <c r="V42" s="19">
        <f t="shared" si="169"/>
        <v>0.28944581021950022</v>
      </c>
      <c r="W42" s="19">
        <f t="shared" si="169"/>
        <v>0.29226238505369867</v>
      </c>
      <c r="X42" s="19">
        <f t="shared" si="169"/>
        <v>0.39800809405983389</v>
      </c>
      <c r="Y42" s="19">
        <f t="shared" si="169"/>
        <v>0.24861835979191424</v>
      </c>
      <c r="Z42" s="19">
        <f t="shared" si="169"/>
        <v>0.31115547962869883</v>
      </c>
      <c r="AA42" s="19">
        <f t="shared" si="169"/>
        <v>0.37298798283102913</v>
      </c>
      <c r="AB42" s="19">
        <f t="shared" si="169"/>
        <v>0.36278889454120827</v>
      </c>
      <c r="AC42" s="19">
        <f t="shared" si="169"/>
        <v>0.33357209273974281</v>
      </c>
      <c r="AD42" s="19">
        <f t="shared" si="169"/>
        <v>0.38704451228363762</v>
      </c>
      <c r="AE42" s="19">
        <f t="shared" si="169"/>
        <v>0.38704451228363751</v>
      </c>
      <c r="AF42" s="19">
        <f t="shared" si="169"/>
        <v>0.38704451228363751</v>
      </c>
      <c r="AG42" s="19">
        <f t="shared" si="169"/>
        <v>0.38704451228363757</v>
      </c>
      <c r="AH42" s="19">
        <f t="shared" si="169"/>
        <v>0.42704451228363755</v>
      </c>
      <c r="AI42" s="19">
        <f t="shared" si="169"/>
        <v>0.42704451228363755</v>
      </c>
      <c r="AJ42" s="19">
        <f t="shared" si="169"/>
        <v>0.4270445122836376</v>
      </c>
      <c r="AK42" s="19">
        <f t="shared" si="169"/>
        <v>0.4270445122836376</v>
      </c>
      <c r="AL42" s="19">
        <f t="shared" si="169"/>
        <v>0.46704451228363753</v>
      </c>
      <c r="AM42" s="19">
        <f t="shared" si="169"/>
        <v>0.46704451228363753</v>
      </c>
      <c r="AN42" s="19">
        <f t="shared" si="169"/>
        <v>0.46704451228363764</v>
      </c>
      <c r="AO42" s="19">
        <f t="shared" si="169"/>
        <v>0.46704451228363747</v>
      </c>
      <c r="AP42" s="19">
        <f t="shared" si="169"/>
        <v>0.50704451228363756</v>
      </c>
      <c r="AQ42" s="19">
        <f t="shared" si="169"/>
        <v>0.50704451228363756</v>
      </c>
      <c r="AR42" s="19">
        <f t="shared" si="169"/>
        <v>0.50704451228363756</v>
      </c>
      <c r="AS42" s="19">
        <f t="shared" si="169"/>
        <v>0.50704451228363756</v>
      </c>
      <c r="AT42" s="19">
        <f t="shared" si="169"/>
        <v>0.54704451228363749</v>
      </c>
      <c r="AU42" s="19">
        <f t="shared" si="169"/>
        <v>0.5470445122836376</v>
      </c>
      <c r="AV42" s="19">
        <f t="shared" si="169"/>
        <v>0.5470445122836376</v>
      </c>
      <c r="AW42" s="19">
        <f t="shared" si="169"/>
        <v>0.5470445122836376</v>
      </c>
      <c r="AY42" s="19">
        <f t="shared" ref="AY42:DJ42" si="170">AY37/AY$34</f>
        <v>6.0572042368124565E-2</v>
      </c>
      <c r="AZ42" s="19">
        <f t="shared" si="170"/>
        <v>0.32019160638591709</v>
      </c>
      <c r="BA42" s="19">
        <f t="shared" si="170"/>
        <v>0.37417547585361316</v>
      </c>
      <c r="BB42" s="19">
        <f t="shared" si="170"/>
        <v>0.41587634068966317</v>
      </c>
      <c r="BC42" s="19">
        <f t="shared" si="170"/>
        <v>0.36454637659248812</v>
      </c>
      <c r="BD42" s="19">
        <f t="shared" si="170"/>
        <v>0.29448666615523822</v>
      </c>
      <c r="BE42" s="19">
        <f t="shared" si="170"/>
        <v>0.49240054964315777</v>
      </c>
      <c r="BF42" s="19">
        <f t="shared" si="170"/>
        <v>0.19619472172362903</v>
      </c>
      <c r="BG42" s="19">
        <f t="shared" si="170"/>
        <v>0.33942014995262293</v>
      </c>
      <c r="BH42" s="19">
        <f t="shared" si="170"/>
        <v>0.34050238603672678</v>
      </c>
      <c r="BI42" s="19">
        <f t="shared" si="170"/>
        <v>0.43957702266908433</v>
      </c>
      <c r="BJ42" s="19">
        <f t="shared" si="170"/>
        <v>0.35857475226429425</v>
      </c>
      <c r="BK42" s="19">
        <f t="shared" si="170"/>
        <v>0.24415088369595975</v>
      </c>
      <c r="BL42" s="19">
        <f t="shared" si="170"/>
        <v>0.34587198885426107</v>
      </c>
      <c r="BM42" s="19">
        <f t="shared" si="170"/>
        <v>0.2905745637798583</v>
      </c>
      <c r="BN42" s="19">
        <f t="shared" si="170"/>
        <v>0.30845131158601424</v>
      </c>
      <c r="BO42" s="19">
        <f t="shared" si="170"/>
        <v>0.55221555040446579</v>
      </c>
      <c r="BP42" s="19">
        <f t="shared" si="170"/>
        <v>0.39502886836500867</v>
      </c>
      <c r="BQ42" s="19">
        <f t="shared" si="170"/>
        <v>0.40589037495251662</v>
      </c>
      <c r="BR42" s="19">
        <f t="shared" si="170"/>
        <v>0.15123296136808281</v>
      </c>
      <c r="BS42" s="19">
        <f t="shared" si="170"/>
        <v>0.24148536553283825</v>
      </c>
      <c r="BT42" s="19">
        <f t="shared" si="170"/>
        <v>0.17368828413206158</v>
      </c>
      <c r="BU42" s="19">
        <f t="shared" si="170"/>
        <v>0.27338594387597565</v>
      </c>
      <c r="BV42" s="19">
        <f t="shared" si="170"/>
        <v>0.3766403524822528</v>
      </c>
      <c r="BW42" s="19">
        <f t="shared" si="170"/>
        <v>0.43891600375067019</v>
      </c>
      <c r="BX42" s="19">
        <f t="shared" si="170"/>
        <v>0.36811092861073869</v>
      </c>
      <c r="BY42" s="19">
        <f t="shared" si="170"/>
        <v>0.16853004381040035</v>
      </c>
      <c r="BZ42" s="19">
        <f t="shared" si="170"/>
        <v>0.41367211474954929</v>
      </c>
      <c r="CA42" s="19">
        <f t="shared" si="170"/>
        <v>0.19234099036208857</v>
      </c>
      <c r="CB42" s="19">
        <f t="shared" si="170"/>
        <v>0.2896539871318371</v>
      </c>
      <c r="CC42" s="19">
        <f t="shared" si="170"/>
        <v>0.22666515565574208</v>
      </c>
      <c r="CD42" s="19">
        <f t="shared" si="170"/>
        <v>0.46312190248915963</v>
      </c>
      <c r="CE42" s="19">
        <f t="shared" si="170"/>
        <v>0.38772892358357375</v>
      </c>
      <c r="CF42" s="19">
        <f t="shared" si="170"/>
        <v>0.21180608638827292</v>
      </c>
      <c r="CG42" s="19">
        <f t="shared" si="170"/>
        <v>0.29304050736089715</v>
      </c>
      <c r="CH42" s="19">
        <f t="shared" si="170"/>
        <v>0.226997708830388</v>
      </c>
      <c r="CI42" s="19">
        <f t="shared" si="170"/>
        <v>0.36061805062703067</v>
      </c>
      <c r="CJ42" s="19">
        <f t="shared" si="170"/>
        <v>0.21673271878820541</v>
      </c>
      <c r="CK42" s="19">
        <f t="shared" si="170"/>
        <v>0.33726093845686173</v>
      </c>
      <c r="CL42" s="19">
        <f t="shared" si="170"/>
        <v>0.28707994405796589</v>
      </c>
      <c r="CM42" s="19">
        <f t="shared" si="170"/>
        <v>0.29621430238535329</v>
      </c>
      <c r="CN42" s="19">
        <f t="shared" si="170"/>
        <v>0.44753827483082387</v>
      </c>
      <c r="CO42" s="19">
        <f t="shared" si="170"/>
        <v>0.36278889454120827</v>
      </c>
      <c r="CP42" s="19">
        <f t="shared" si="170"/>
        <v>0.36278889454120827</v>
      </c>
      <c r="CQ42" s="19">
        <f t="shared" si="170"/>
        <v>0.36278889454120827</v>
      </c>
      <c r="CR42" s="19">
        <f t="shared" si="170"/>
        <v>0.33357209273974281</v>
      </c>
      <c r="CS42" s="19">
        <f t="shared" si="170"/>
        <v>0.33357209273974281</v>
      </c>
      <c r="CT42" s="19">
        <f t="shared" si="170"/>
        <v>0.33357209273974275</v>
      </c>
      <c r="CU42" s="19">
        <f t="shared" si="170"/>
        <v>0.38704451228363757</v>
      </c>
      <c r="CV42" s="19">
        <f t="shared" si="170"/>
        <v>0.38704451228363762</v>
      </c>
      <c r="CW42" s="19">
        <f t="shared" si="170"/>
        <v>0.38704451228363757</v>
      </c>
      <c r="CX42" s="19">
        <f t="shared" si="170"/>
        <v>0.38704451228363751</v>
      </c>
      <c r="CY42" s="19">
        <f t="shared" si="170"/>
        <v>0.38704451228363751</v>
      </c>
      <c r="CZ42" s="19">
        <f t="shared" si="170"/>
        <v>0.38704451228363757</v>
      </c>
      <c r="DA42" s="19">
        <f t="shared" si="170"/>
        <v>0.38704451228363757</v>
      </c>
      <c r="DB42" s="19">
        <f t="shared" si="170"/>
        <v>0.38704451228363751</v>
      </c>
      <c r="DC42" s="19">
        <f t="shared" si="170"/>
        <v>0.38704451228363751</v>
      </c>
      <c r="DD42" s="19">
        <f t="shared" si="170"/>
        <v>0.38704451228363745</v>
      </c>
      <c r="DE42" s="19">
        <f t="shared" si="170"/>
        <v>0.38704451228363757</v>
      </c>
      <c r="DF42" s="19">
        <f t="shared" si="170"/>
        <v>0.38704451228363751</v>
      </c>
      <c r="DG42" s="19">
        <f t="shared" si="170"/>
        <v>0.42704451228363755</v>
      </c>
      <c r="DH42" s="19">
        <f t="shared" si="170"/>
        <v>0.42704451228363755</v>
      </c>
      <c r="DI42" s="19">
        <f t="shared" si="170"/>
        <v>0.42704451228363749</v>
      </c>
      <c r="DJ42" s="19">
        <f t="shared" si="170"/>
        <v>0.42704451228363755</v>
      </c>
      <c r="DK42" s="19">
        <f t="shared" si="162"/>
        <v>0.4270445122836376</v>
      </c>
      <c r="DL42" s="19">
        <f t="shared" si="162"/>
        <v>0.42704451228363749</v>
      </c>
      <c r="DM42" s="19">
        <f t="shared" si="162"/>
        <v>0.42704451228363755</v>
      </c>
      <c r="DN42" s="19">
        <f t="shared" si="162"/>
        <v>0.42704451228363749</v>
      </c>
      <c r="DO42" s="19">
        <f t="shared" si="162"/>
        <v>0.42704451228363755</v>
      </c>
      <c r="DP42" s="19">
        <f t="shared" si="162"/>
        <v>0.42704451228363755</v>
      </c>
      <c r="DQ42" s="19">
        <f t="shared" si="162"/>
        <v>0.42704451228363749</v>
      </c>
      <c r="DR42" s="19">
        <f t="shared" si="162"/>
        <v>0.42704451228363755</v>
      </c>
      <c r="DS42" s="19">
        <f t="shared" si="162"/>
        <v>0.46704451228363753</v>
      </c>
      <c r="DT42" s="19">
        <f t="shared" si="162"/>
        <v>0.46704451228363747</v>
      </c>
      <c r="DU42" s="19">
        <f t="shared" si="162"/>
        <v>0.46704451228363747</v>
      </c>
      <c r="DV42" s="19">
        <f t="shared" si="162"/>
        <v>0.46704451228363753</v>
      </c>
      <c r="DW42" s="19">
        <f t="shared" si="162"/>
        <v>0.46704451228363753</v>
      </c>
      <c r="DX42" s="19">
        <f t="shared" si="162"/>
        <v>0.46704451228363747</v>
      </c>
      <c r="DY42" s="19">
        <f t="shared" si="162"/>
        <v>0.46704451228363753</v>
      </c>
      <c r="DZ42" s="19">
        <f t="shared" si="162"/>
        <v>0.46704451228363753</v>
      </c>
      <c r="EA42" s="19">
        <f t="shared" si="162"/>
        <v>0.46704451228363753</v>
      </c>
      <c r="EB42" s="19">
        <f t="shared" si="162"/>
        <v>0.46704451228363747</v>
      </c>
      <c r="EC42" s="19">
        <f t="shared" si="162"/>
        <v>0.46704451228363753</v>
      </c>
      <c r="ED42" s="19">
        <f t="shared" si="162"/>
        <v>0.46704451228363753</v>
      </c>
      <c r="EE42" s="19">
        <f t="shared" si="162"/>
        <v>0.50704451228363756</v>
      </c>
      <c r="EF42" s="19">
        <f t="shared" si="162"/>
        <v>0.50704451228363756</v>
      </c>
      <c r="EG42" s="19">
        <f t="shared" si="162"/>
        <v>0.50704451228363756</v>
      </c>
      <c r="EH42" s="19">
        <f t="shared" si="162"/>
        <v>0.50704451228363756</v>
      </c>
      <c r="EI42" s="19">
        <f t="shared" si="162"/>
        <v>0.50704451228363756</v>
      </c>
      <c r="EJ42" s="19">
        <f t="shared" si="162"/>
        <v>0.50704451228363756</v>
      </c>
      <c r="EK42" s="19">
        <f t="shared" si="162"/>
        <v>0.50704451228363767</v>
      </c>
      <c r="EL42" s="19">
        <f t="shared" si="162"/>
        <v>0.50704451228363745</v>
      </c>
      <c r="EM42" s="19">
        <f t="shared" si="162"/>
        <v>0.50704451228363756</v>
      </c>
      <c r="EN42" s="19">
        <f t="shared" si="162"/>
        <v>0.50704451228363756</v>
      </c>
      <c r="EO42" s="19">
        <f t="shared" si="162"/>
        <v>0.50704451228363767</v>
      </c>
      <c r="EP42" s="19">
        <f t="shared" si="162"/>
        <v>0.50704451228363756</v>
      </c>
      <c r="EQ42" s="19">
        <f t="shared" si="162"/>
        <v>0.5470445122836376</v>
      </c>
      <c r="ER42" s="19">
        <f t="shared" si="162"/>
        <v>0.5470445122836376</v>
      </c>
      <c r="ES42" s="19">
        <f t="shared" si="162"/>
        <v>0.5470445122836376</v>
      </c>
      <c r="ET42" s="19">
        <f t="shared" si="162"/>
        <v>0.5470445122836376</v>
      </c>
      <c r="EU42" s="19">
        <f t="shared" si="162"/>
        <v>0.5470445122836376</v>
      </c>
      <c r="EV42" s="19">
        <f t="shared" si="162"/>
        <v>0.54704451228363771</v>
      </c>
      <c r="EW42" s="19">
        <f t="shared" si="162"/>
        <v>0.5470445122836376</v>
      </c>
      <c r="EX42" s="19">
        <f t="shared" si="162"/>
        <v>0.54704451228363771</v>
      </c>
      <c r="EY42" s="19">
        <f t="shared" si="162"/>
        <v>0.5470445122836376</v>
      </c>
      <c r="EZ42" s="19">
        <f t="shared" si="162"/>
        <v>0.5470445122836376</v>
      </c>
      <c r="FA42" s="19">
        <f t="shared" si="162"/>
        <v>0.5470445122836376</v>
      </c>
      <c r="FB42" s="19">
        <f t="shared" si="162"/>
        <v>0.5470445122836376</v>
      </c>
    </row>
    <row r="44" spans="3:158" x14ac:dyDescent="0.25">
      <c r="C44" s="1" t="s">
        <v>702</v>
      </c>
      <c r="D44" s="22">
        <f t="shared" ref="D44:L46" si="171">SUMIF($AY$2:$FB$2,D$2,$AY44:$FB44)</f>
        <v>17690805.445918042</v>
      </c>
      <c r="E44" s="22">
        <f t="shared" si="171"/>
        <v>25257922.055886969</v>
      </c>
      <c r="F44" s="22">
        <f t="shared" si="171"/>
        <v>29265584.49086193</v>
      </c>
      <c r="G44" s="22">
        <f t="shared" si="171"/>
        <v>57694658.366218403</v>
      </c>
      <c r="H44" s="22">
        <f t="shared" si="171"/>
        <v>74805216.992484272</v>
      </c>
      <c r="I44" s="22">
        <f t="shared" si="171"/>
        <v>103884570.06391433</v>
      </c>
      <c r="J44" s="22">
        <f t="shared" si="171"/>
        <v>141275595.34267575</v>
      </c>
      <c r="K44" s="22">
        <f t="shared" si="171"/>
        <v>187983953.83206299</v>
      </c>
      <c r="L44" s="22">
        <f t="shared" si="171"/>
        <v>244510258.0211381</v>
      </c>
      <c r="M44" s="1"/>
      <c r="N44" s="22">
        <f t="shared" ref="N44:N46" si="172">SUM(AY44:BA44)</f>
        <v>3204538.1575498772</v>
      </c>
      <c r="O44" s="22">
        <f t="shared" ref="O44:O46" si="173">SUM(BB44:BD44)</f>
        <v>3647310.8145342004</v>
      </c>
      <c r="P44" s="22">
        <f t="shared" ref="P44:P46" si="174">SUM(BE44:BG44)</f>
        <v>4172502.4673927813</v>
      </c>
      <c r="Q44" s="22">
        <f t="shared" ref="Q44:Q46" si="175">SUM(BH44:BJ44)</f>
        <v>6666454.0064411815</v>
      </c>
      <c r="R44" s="22">
        <f t="shared" ref="R44:R46" si="176">SUM(BK44:BM44)</f>
        <v>5094546.368162673</v>
      </c>
      <c r="S44" s="22">
        <f t="shared" ref="S44:S46" si="177">SUM(BN44:BP44)</f>
        <v>6649494.908283161</v>
      </c>
      <c r="T44" s="22">
        <f t="shared" ref="T44:T46" si="178">SUM(BQ44:BS44)</f>
        <v>5523640.3490488846</v>
      </c>
      <c r="U44" s="22">
        <f t="shared" ref="U44:U46" si="179">SUM(BT44:BV44)</f>
        <v>7990240.4303922504</v>
      </c>
      <c r="V44" s="22">
        <f t="shared" ref="V44:V46" si="180">SUM(BW44:BY44)</f>
        <v>4930245.1723942142</v>
      </c>
      <c r="W44" s="22">
        <f t="shared" ref="W44:W46" si="181">SUM(BZ44:CB44)</f>
        <v>7147479.6881502196</v>
      </c>
      <c r="X44" s="22">
        <f t="shared" ref="X44:X46" si="182">SUM(CC44:CE44)</f>
        <v>7399269.015981216</v>
      </c>
      <c r="Y44" s="22">
        <f t="shared" ref="Y44:Y46" si="183">SUM(CF44:CH44)</f>
        <v>9788590.6143362783</v>
      </c>
      <c r="Z44" s="22">
        <f t="shared" ref="Z44:Z46" si="184">SUM(CI44:CK44)</f>
        <v>8122008.0131897414</v>
      </c>
      <c r="AA44" s="22">
        <f t="shared" ref="AA44:AA46" si="185">SUM(CL44:CN44)</f>
        <v>12458169.103028663</v>
      </c>
      <c r="AB44" s="22">
        <f t="shared" ref="AB44:AB46" si="186">SUM(CO44:CQ44)</f>
        <v>15882554.166666668</v>
      </c>
      <c r="AC44" s="22">
        <f t="shared" ref="AC44:AC46" si="187">SUM(CR44:CT44)</f>
        <v>21231927.083333336</v>
      </c>
      <c r="AD44" s="22">
        <f t="shared" ref="AD44:AD46" si="188">SUM(CU44:CW44)</f>
        <v>13238588.438778054</v>
      </c>
      <c r="AE44" s="22">
        <f t="shared" ref="AE44:AE46" si="189">SUM(CX44:CZ44)</f>
        <v>17614019.50244052</v>
      </c>
      <c r="AF44" s="22">
        <f t="shared" ref="AF44:AF46" si="190">SUM(DA44:DC44)</f>
        <v>17365354.707343206</v>
      </c>
      <c r="AG44" s="22">
        <f t="shared" ref="AG44:AG46" si="191">SUM(DD44:DF44)</f>
        <v>26587254.343922496</v>
      </c>
      <c r="AH44" s="22">
        <f t="shared" ref="AH44:AH46" si="192">SUM(DG44:DI44)</f>
        <v>18945858.422004014</v>
      </c>
      <c r="AI44" s="22">
        <f t="shared" ref="AI44:AI46" si="193">SUM(DJ44:DL44)</f>
        <v>25707807.745163985</v>
      </c>
      <c r="AJ44" s="22">
        <f t="shared" ref="AJ44:AJ46" si="194">SUM(DM44:DO44)</f>
        <v>24115863.57621244</v>
      </c>
      <c r="AK44" s="22">
        <f t="shared" ref="AK44:AK46" si="195">SUM(DP44:DR44)</f>
        <v>35115040.320533879</v>
      </c>
      <c r="AL44" s="22">
        <f t="shared" ref="AL44:AL46" si="196">SUM(DS44:DU44)</f>
        <v>25765014.24802462</v>
      </c>
      <c r="AM44" s="22">
        <f t="shared" ref="AM44:AM46" si="197">SUM(DV44:DX44)</f>
        <v>34960782.356018789</v>
      </c>
      <c r="AN44" s="22">
        <f t="shared" ref="AN44:AN46" si="198">SUM(DY44:EA44)</f>
        <v>32795851.990685795</v>
      </c>
      <c r="AO44" s="22">
        <f t="shared" ref="AO44:AO46" si="199">SUM(EB44:ED44)</f>
        <v>47753946.747946545</v>
      </c>
      <c r="AP44" s="22">
        <f t="shared" ref="AP44:AP46" si="200">SUM(EE44:EG44)</f>
        <v>34283410.642404385</v>
      </c>
      <c r="AQ44" s="22">
        <f t="shared" ref="AQ44:AQ46" si="201">SUM(EH44:EJ44)</f>
        <v>46519471.961208463</v>
      </c>
      <c r="AR44" s="22">
        <f t="shared" ref="AR44:AR46" si="202">SUM(EK44:EM44)</f>
        <v>43638775.05910556</v>
      </c>
      <c r="AS44" s="22">
        <f t="shared" ref="AS44:AS46" si="203">SUM(EN44:EP44)</f>
        <v>63542296.169344559</v>
      </c>
      <c r="AT44" s="22">
        <f t="shared" ref="AT44:AT46" si="204">SUM(EQ44:ES44)</f>
        <v>44592346.373923138</v>
      </c>
      <c r="AU44" s="22">
        <f t="shared" ref="AU44:AU46" si="205">SUM(ET44:EV44)</f>
        <v>60507760.691126198</v>
      </c>
      <c r="AV44" s="22">
        <f t="shared" ref="AV44:AV46" si="206">SUM(EW44:EY44)</f>
        <v>56760845.44407741</v>
      </c>
      <c r="AW44" s="22">
        <f t="shared" ref="AW44:AW46" si="207">SUM(EZ44:FB44)</f>
        <v>82649305.512011394</v>
      </c>
      <c r="AY44" s="22">
        <f>AY10</f>
        <v>247639</v>
      </c>
      <c r="AZ44" s="22">
        <f t="shared" ref="AZ44:DK44" si="208">AZ10</f>
        <v>1002532.8424903769</v>
      </c>
      <c r="BA44" s="22">
        <f t="shared" si="208"/>
        <v>1954366.3150595003</v>
      </c>
      <c r="BB44" s="22">
        <f t="shared" si="208"/>
        <v>580401.38009754778</v>
      </c>
      <c r="BC44" s="22">
        <f t="shared" si="208"/>
        <v>1515163.6514950737</v>
      </c>
      <c r="BD44" s="22">
        <f t="shared" si="208"/>
        <v>1551745.7829415791</v>
      </c>
      <c r="BE44" s="22">
        <f t="shared" si="208"/>
        <v>743126.68484333518</v>
      </c>
      <c r="BF44" s="22">
        <f t="shared" si="208"/>
        <v>1105438.4643916974</v>
      </c>
      <c r="BG44" s="22">
        <f t="shared" si="208"/>
        <v>2323937.3181577488</v>
      </c>
      <c r="BH44" s="22">
        <f t="shared" si="208"/>
        <v>1110017.2303216923</v>
      </c>
      <c r="BI44" s="22">
        <f t="shared" si="208"/>
        <v>2980806.6816747803</v>
      </c>
      <c r="BJ44" s="22">
        <f t="shared" si="208"/>
        <v>2575630.0944447094</v>
      </c>
      <c r="BK44" s="22">
        <f t="shared" si="208"/>
        <v>688980.2888940844</v>
      </c>
      <c r="BL44" s="22">
        <f t="shared" si="208"/>
        <v>1287777.3018889872</v>
      </c>
      <c r="BM44" s="22">
        <f t="shared" si="208"/>
        <v>3117788.7773796017</v>
      </c>
      <c r="BN44" s="22">
        <f t="shared" si="208"/>
        <v>1048277.8102844524</v>
      </c>
      <c r="BO44" s="22">
        <f t="shared" si="208"/>
        <v>2900233.3537358795</v>
      </c>
      <c r="BP44" s="22">
        <f t="shared" si="208"/>
        <v>2700983.7442628294</v>
      </c>
      <c r="BQ44" s="22">
        <f t="shared" si="208"/>
        <v>1109038.4554663396</v>
      </c>
      <c r="BR44" s="22">
        <f t="shared" si="208"/>
        <v>1278328.6774830904</v>
      </c>
      <c r="BS44" s="22">
        <f t="shared" si="208"/>
        <v>3136273.2160994546</v>
      </c>
      <c r="BT44" s="22">
        <f t="shared" si="208"/>
        <v>743697.50362912205</v>
      </c>
      <c r="BU44" s="22">
        <f t="shared" si="208"/>
        <v>3048277.4281881629</v>
      </c>
      <c r="BV44" s="22">
        <f t="shared" si="208"/>
        <v>4198265.4985749656</v>
      </c>
      <c r="BW44" s="22">
        <f t="shared" si="208"/>
        <v>1103269.5</v>
      </c>
      <c r="BX44" s="22">
        <f t="shared" si="208"/>
        <v>1547895.3475065739</v>
      </c>
      <c r="BY44" s="22">
        <f t="shared" si="208"/>
        <v>2279080.3248876408</v>
      </c>
      <c r="BZ44" s="22">
        <f t="shared" si="208"/>
        <v>1574340.1506883113</v>
      </c>
      <c r="CA44" s="22">
        <f t="shared" si="208"/>
        <v>1702035.3601498315</v>
      </c>
      <c r="CB44" s="22">
        <f t="shared" si="208"/>
        <v>3871104.1773120766</v>
      </c>
      <c r="CC44" s="22">
        <f t="shared" si="208"/>
        <v>954883.24168120383</v>
      </c>
      <c r="CD44" s="22">
        <f t="shared" si="208"/>
        <v>3171404.5526093571</v>
      </c>
      <c r="CE44" s="22">
        <f t="shared" si="208"/>
        <v>3272981.2216906557</v>
      </c>
      <c r="CF44" s="22">
        <f t="shared" si="208"/>
        <v>1357435.3944697001</v>
      </c>
      <c r="CG44" s="22">
        <f t="shared" si="208"/>
        <v>3632232.9953192538</v>
      </c>
      <c r="CH44" s="22">
        <f t="shared" si="208"/>
        <v>4798922.2245473247</v>
      </c>
      <c r="CI44" s="22">
        <f t="shared" si="208"/>
        <v>1379963.883938926</v>
      </c>
      <c r="CJ44" s="22">
        <f t="shared" si="208"/>
        <v>1946889.1839508126</v>
      </c>
      <c r="CK44" s="22">
        <f t="shared" si="208"/>
        <v>4795154.9453000026</v>
      </c>
      <c r="CL44" s="22">
        <f t="shared" si="208"/>
        <v>2348913.1036210582</v>
      </c>
      <c r="CM44" s="22">
        <f t="shared" si="208"/>
        <v>3427843.0297683543</v>
      </c>
      <c r="CN44" s="22">
        <f t="shared" si="208"/>
        <v>6681412.969639251</v>
      </c>
      <c r="CO44" s="22">
        <f t="shared" si="208"/>
        <v>2184388.3333333335</v>
      </c>
      <c r="CP44" s="22">
        <f t="shared" si="208"/>
        <v>5580013.75</v>
      </c>
      <c r="CQ44" s="22">
        <f t="shared" si="208"/>
        <v>8118152.083333333</v>
      </c>
      <c r="CR44" s="22">
        <f t="shared" si="208"/>
        <v>1683914.1666666665</v>
      </c>
      <c r="CS44" s="22">
        <f t="shared" si="208"/>
        <v>8659692.083333334</v>
      </c>
      <c r="CT44" s="22">
        <f t="shared" si="208"/>
        <v>10888320.833333334</v>
      </c>
      <c r="CU44" s="22">
        <f t="shared" si="208"/>
        <v>1750009.9694372127</v>
      </c>
      <c r="CV44" s="22">
        <f t="shared" si="208"/>
        <v>3846149.7524305684</v>
      </c>
      <c r="CW44" s="22">
        <f t="shared" si="208"/>
        <v>7642428.7169102719</v>
      </c>
      <c r="CX44" s="22">
        <f t="shared" si="208"/>
        <v>3055745.5153252813</v>
      </c>
      <c r="CY44" s="22">
        <f t="shared" si="208"/>
        <v>5993434.9159771977</v>
      </c>
      <c r="CZ44" s="22">
        <f t="shared" si="208"/>
        <v>8564839.0711380392</v>
      </c>
      <c r="DA44" s="22">
        <f t="shared" si="208"/>
        <v>2934223.5204538289</v>
      </c>
      <c r="DB44" s="22">
        <f t="shared" si="208"/>
        <v>5232011.1419441849</v>
      </c>
      <c r="DC44" s="22">
        <f t="shared" si="208"/>
        <v>9199120.0449451897</v>
      </c>
      <c r="DD44" s="22">
        <f t="shared" si="208"/>
        <v>3950117.9506956311</v>
      </c>
      <c r="DE44" s="22">
        <f t="shared" si="208"/>
        <v>10536658.891497213</v>
      </c>
      <c r="DF44" s="22">
        <f t="shared" si="208"/>
        <v>12100477.50172965</v>
      </c>
      <c r="DG44" s="22">
        <f t="shared" si="208"/>
        <v>2617291.0821535774</v>
      </c>
      <c r="DH44" s="22">
        <f t="shared" si="208"/>
        <v>5528272.2797886245</v>
      </c>
      <c r="DI44" s="22">
        <f t="shared" si="208"/>
        <v>10800295.060061811</v>
      </c>
      <c r="DJ44" s="22">
        <f t="shared" si="208"/>
        <v>4659156.8652561512</v>
      </c>
      <c r="DK44" s="22">
        <f t="shared" si="208"/>
        <v>8738826.8754200712</v>
      </c>
      <c r="DL44" s="22">
        <f t="shared" ref="DL44:FB44" si="209">DL10</f>
        <v>12309824.004487762</v>
      </c>
      <c r="DM44" s="22">
        <f t="shared" si="209"/>
        <v>4074856.8234805963</v>
      </c>
      <c r="DN44" s="22">
        <f t="shared" si="209"/>
        <v>7265873.2893601442</v>
      </c>
      <c r="DO44" s="22">
        <f t="shared" si="209"/>
        <v>12775133.4633717</v>
      </c>
      <c r="DP44" s="22">
        <f t="shared" si="209"/>
        <v>4883133.7495192923</v>
      </c>
      <c r="DQ44" s="22">
        <f t="shared" si="209"/>
        <v>14030089.020196313</v>
      </c>
      <c r="DR44" s="22">
        <f t="shared" si="209"/>
        <v>16201817.550818272</v>
      </c>
      <c r="DS44" s="22">
        <f t="shared" si="209"/>
        <v>3559328.9319947199</v>
      </c>
      <c r="DT44" s="22">
        <f t="shared" si="209"/>
        <v>7518055.4442593157</v>
      </c>
      <c r="DU44" s="22">
        <f t="shared" si="209"/>
        <v>14687629.871770585</v>
      </c>
      <c r="DV44" s="22">
        <f t="shared" si="209"/>
        <v>6336120.556970194</v>
      </c>
      <c r="DW44" s="22">
        <f t="shared" si="209"/>
        <v>11884180.380801272</v>
      </c>
      <c r="DX44" s="22">
        <f t="shared" si="209"/>
        <v>16740481.418247322</v>
      </c>
      <c r="DY44" s="22">
        <f t="shared" si="209"/>
        <v>5541514.2337230993</v>
      </c>
      <c r="DZ44" s="22">
        <f t="shared" si="209"/>
        <v>9881068.7093112879</v>
      </c>
      <c r="EA44" s="22">
        <f t="shared" si="209"/>
        <v>17373269.047651406</v>
      </c>
      <c r="EB44" s="22">
        <f t="shared" si="209"/>
        <v>6640713.1220431859</v>
      </c>
      <c r="EC44" s="22">
        <f t="shared" si="209"/>
        <v>19079918.969867155</v>
      </c>
      <c r="ED44" s="22">
        <f t="shared" si="209"/>
        <v>22033314.656036209</v>
      </c>
      <c r="EE44" s="22">
        <f t="shared" si="209"/>
        <v>4736109.7576851221</v>
      </c>
      <c r="EF44" s="22">
        <f t="shared" si="209"/>
        <v>10003665.418025805</v>
      </c>
      <c r="EG44" s="22">
        <f t="shared" si="209"/>
        <v>19543635.466693457</v>
      </c>
      <c r="EH44" s="22">
        <f t="shared" si="209"/>
        <v>8430960.7145295274</v>
      </c>
      <c r="EI44" s="22">
        <f t="shared" si="209"/>
        <v>15813313.053946903</v>
      </c>
      <c r="EJ44" s="22">
        <f t="shared" si="209"/>
        <v>22275198.192732032</v>
      </c>
      <c r="EK44" s="22">
        <f t="shared" si="209"/>
        <v>7373642.6545940535</v>
      </c>
      <c r="EL44" s="22">
        <f t="shared" si="209"/>
        <v>13147935.137396781</v>
      </c>
      <c r="EM44" s="22">
        <f t="shared" si="209"/>
        <v>23117197.267114729</v>
      </c>
      <c r="EN44" s="22">
        <f t="shared" si="209"/>
        <v>8836257.287878843</v>
      </c>
      <c r="EO44" s="22">
        <f t="shared" si="209"/>
        <v>25388097.626140762</v>
      </c>
      <c r="EP44" s="22">
        <f t="shared" si="209"/>
        <v>29317941.255324956</v>
      </c>
      <c r="EQ44" s="22">
        <f t="shared" si="209"/>
        <v>6160246.102188874</v>
      </c>
      <c r="ER44" s="22">
        <f t="shared" si="209"/>
        <v>13011742.559174914</v>
      </c>
      <c r="ES44" s="22">
        <f t="shared" si="209"/>
        <v>25420357.712559354</v>
      </c>
      <c r="ET44" s="22">
        <f t="shared" si="209"/>
        <v>10966129.489527138</v>
      </c>
      <c r="EU44" s="22">
        <f t="shared" si="209"/>
        <v>20568336.691352788</v>
      </c>
      <c r="EV44" s="22">
        <f t="shared" si="209"/>
        <v>28973294.510246269</v>
      </c>
      <c r="EW44" s="22">
        <f t="shared" si="209"/>
        <v>9590878.5365857668</v>
      </c>
      <c r="EX44" s="22">
        <f t="shared" si="209"/>
        <v>17101486.309634957</v>
      </c>
      <c r="EY44" s="22">
        <f t="shared" si="209"/>
        <v>30068480.597856686</v>
      </c>
      <c r="EZ44" s="22">
        <f t="shared" si="209"/>
        <v>11493297.727584602</v>
      </c>
      <c r="FA44" s="22">
        <f t="shared" si="209"/>
        <v>33022235.008309159</v>
      </c>
      <c r="FB44" s="22">
        <f t="shared" si="209"/>
        <v>38133772.77611763</v>
      </c>
    </row>
    <row r="45" spans="3:158" x14ac:dyDescent="0.25">
      <c r="C45" s="377" t="s">
        <v>607</v>
      </c>
      <c r="D45" s="16">
        <f t="shared" si="171"/>
        <v>5775303.7038193867</v>
      </c>
      <c r="E45" s="16">
        <f t="shared" si="171"/>
        <v>8421425.0436240993</v>
      </c>
      <c r="F45" s="16">
        <f t="shared" si="171"/>
        <v>9767501.9067416135</v>
      </c>
      <c r="G45" s="16">
        <f t="shared" si="171"/>
        <v>17177896.524938732</v>
      </c>
      <c r="H45" s="16">
        <f t="shared" si="171"/>
        <v>20818582.571138926</v>
      </c>
      <c r="I45" s="16">
        <f t="shared" si="171"/>
        <v>26833788.127751864</v>
      </c>
      <c r="J45" s="16">
        <f t="shared" si="171"/>
        <v>33666523.346457019</v>
      </c>
      <c r="K45" s="16">
        <f t="shared" si="171"/>
        <v>41037627.599685222</v>
      </c>
      <c r="L45" s="16">
        <f t="shared" si="171"/>
        <v>48487334.29668685</v>
      </c>
      <c r="N45" s="16">
        <f t="shared" si="172"/>
        <v>1052202.4294525203</v>
      </c>
      <c r="O45" s="16">
        <f t="shared" si="173"/>
        <v>940399.34123210842</v>
      </c>
      <c r="P45" s="16">
        <f t="shared" si="174"/>
        <v>1514801.9095777515</v>
      </c>
      <c r="Q45" s="16">
        <f t="shared" si="175"/>
        <v>2267900.0235570064</v>
      </c>
      <c r="R45" s="16">
        <f t="shared" si="176"/>
        <v>1935531.9336445881</v>
      </c>
      <c r="S45" s="16">
        <f t="shared" si="177"/>
        <v>2086901.3499861285</v>
      </c>
      <c r="T45" s="16">
        <f t="shared" si="178"/>
        <v>1857476.7752585765</v>
      </c>
      <c r="U45" s="16">
        <f t="shared" si="179"/>
        <v>2541514.9847348072</v>
      </c>
      <c r="V45" s="16">
        <f t="shared" si="180"/>
        <v>1404422.1132005276</v>
      </c>
      <c r="W45" s="16">
        <f t="shared" si="181"/>
        <v>2599438.8585780486</v>
      </c>
      <c r="X45" s="16">
        <f t="shared" si="182"/>
        <v>2160092.8591488586</v>
      </c>
      <c r="Y45" s="16">
        <f t="shared" si="183"/>
        <v>3603548.0758141782</v>
      </c>
      <c r="Z45" s="16">
        <f t="shared" si="184"/>
        <v>2945682.1109816208</v>
      </c>
      <c r="AA45" s="16">
        <f t="shared" si="185"/>
        <v>4130549.4397012973</v>
      </c>
      <c r="AB45" s="16">
        <f t="shared" si="186"/>
        <v>4382414.5641577505</v>
      </c>
      <c r="AC45" s="16">
        <f t="shared" si="187"/>
        <v>5719250.4100980628</v>
      </c>
      <c r="AD45" s="16">
        <f t="shared" si="188"/>
        <v>3684350.6057300344</v>
      </c>
      <c r="AE45" s="16">
        <f t="shared" si="189"/>
        <v>4902050.0730323642</v>
      </c>
      <c r="AF45" s="16">
        <f t="shared" si="190"/>
        <v>4832845.6942817625</v>
      </c>
      <c r="AG45" s="16">
        <f t="shared" si="191"/>
        <v>7399336.1980947666</v>
      </c>
      <c r="AH45" s="16">
        <f t="shared" si="192"/>
        <v>4893788.8512380207</v>
      </c>
      <c r="AI45" s="16">
        <f t="shared" si="193"/>
        <v>6640426.6373561583</v>
      </c>
      <c r="AJ45" s="16">
        <f t="shared" si="194"/>
        <v>6229221.2724538073</v>
      </c>
      <c r="AK45" s="16">
        <f t="shared" si="195"/>
        <v>9070351.3667038791</v>
      </c>
      <c r="AL45" s="16">
        <f t="shared" si="196"/>
        <v>6139903.0143806692</v>
      </c>
      <c r="AM45" s="16">
        <f t="shared" si="197"/>
        <v>8331290.28792537</v>
      </c>
      <c r="AN45" s="16">
        <f t="shared" si="198"/>
        <v>7815378.9692638097</v>
      </c>
      <c r="AO45" s="16">
        <f t="shared" si="199"/>
        <v>11379951.07488717</v>
      </c>
      <c r="AP45" s="16">
        <f t="shared" si="200"/>
        <v>7484201.7635555789</v>
      </c>
      <c r="AQ45" s="16">
        <f t="shared" si="201"/>
        <v>10155381.496994875</v>
      </c>
      <c r="AR45" s="16">
        <f t="shared" si="202"/>
        <v>9526514.1692990437</v>
      </c>
      <c r="AS45" s="16">
        <f t="shared" si="203"/>
        <v>13871530.16983572</v>
      </c>
      <c r="AT45" s="16">
        <f t="shared" si="204"/>
        <v>8842835.5652838983</v>
      </c>
      <c r="AU45" s="16">
        <f t="shared" si="205"/>
        <v>11998924.069357159</v>
      </c>
      <c r="AV45" s="16">
        <f t="shared" si="206"/>
        <v>11255896.215902841</v>
      </c>
      <c r="AW45" s="16">
        <f t="shared" si="207"/>
        <v>16389678.446142949</v>
      </c>
      <c r="AY45" s="16">
        <f>AY40*AY$44</f>
        <v>88364</v>
      </c>
      <c r="AZ45" s="16">
        <f t="shared" ref="AZ45:DK46" si="210">AZ40*AZ$44</f>
        <v>429514.84425613633</v>
      </c>
      <c r="BA45" s="16">
        <f t="shared" si="210"/>
        <v>534323.58519638388</v>
      </c>
      <c r="BB45" s="16">
        <f t="shared" si="210"/>
        <v>176382.94114690655</v>
      </c>
      <c r="BC45" s="16">
        <f t="shared" si="210"/>
        <v>347509.19782553834</v>
      </c>
      <c r="BD45" s="16">
        <f t="shared" si="210"/>
        <v>416507.20225966349</v>
      </c>
      <c r="BE45" s="16">
        <f t="shared" si="210"/>
        <v>305775.18611626374</v>
      </c>
      <c r="BF45" s="16">
        <f t="shared" si="210"/>
        <v>481342.75061664259</v>
      </c>
      <c r="BG45" s="16">
        <f t="shared" si="210"/>
        <v>727683.97284484503</v>
      </c>
      <c r="BH45" s="16">
        <f t="shared" si="210"/>
        <v>461280.26493947848</v>
      </c>
      <c r="BI45" s="16">
        <f t="shared" si="210"/>
        <v>918525.49112529238</v>
      </c>
      <c r="BJ45" s="16">
        <f t="shared" si="210"/>
        <v>888094.26749223541</v>
      </c>
      <c r="BK45" s="16">
        <f t="shared" si="210"/>
        <v>301442.00629900652</v>
      </c>
      <c r="BL45" s="16">
        <f t="shared" si="210"/>
        <v>631131.24774287117</v>
      </c>
      <c r="BM45" s="16">
        <f t="shared" si="210"/>
        <v>1002958.6796027105</v>
      </c>
      <c r="BN45" s="16">
        <f t="shared" si="210"/>
        <v>477007.75313155755</v>
      </c>
      <c r="BO45" s="16">
        <f t="shared" si="210"/>
        <v>722850.13755248883</v>
      </c>
      <c r="BP45" s="16">
        <f t="shared" si="210"/>
        <v>887043.45930208208</v>
      </c>
      <c r="BQ45" s="16">
        <f t="shared" si="210"/>
        <v>408250.65269862005</v>
      </c>
      <c r="BR45" s="16">
        <f t="shared" si="210"/>
        <v>425201.40692544053</v>
      </c>
      <c r="BS45" s="16">
        <f t="shared" si="210"/>
        <v>1024024.7156345159</v>
      </c>
      <c r="BT45" s="16">
        <f t="shared" si="210"/>
        <v>400902.47233458527</v>
      </c>
      <c r="BU45" s="16">
        <f t="shared" si="210"/>
        <v>928267.75242727296</v>
      </c>
      <c r="BV45" s="16">
        <f t="shared" si="210"/>
        <v>1212344.7599729488</v>
      </c>
      <c r="BW45" s="16">
        <f t="shared" si="210"/>
        <v>289216.86</v>
      </c>
      <c r="BX45" s="16">
        <f t="shared" si="210"/>
        <v>394348.07744252455</v>
      </c>
      <c r="BY45" s="16">
        <f t="shared" si="210"/>
        <v>720857.17575800291</v>
      </c>
      <c r="BZ45" s="16">
        <f t="shared" si="210"/>
        <v>457382.72082679934</v>
      </c>
      <c r="CA45" s="16">
        <f t="shared" si="210"/>
        <v>644402.02698247158</v>
      </c>
      <c r="CB45" s="16">
        <f t="shared" si="210"/>
        <v>1497654.1107687778</v>
      </c>
      <c r="CC45" s="16">
        <f t="shared" si="210"/>
        <v>320304.36760192947</v>
      </c>
      <c r="CD45" s="16">
        <f t="shared" si="210"/>
        <v>753371.35661058663</v>
      </c>
      <c r="CE45" s="16">
        <f t="shared" si="210"/>
        <v>1086417.1349363425</v>
      </c>
      <c r="CF45" s="16">
        <f t="shared" si="210"/>
        <v>648430.25825998839</v>
      </c>
      <c r="CG45" s="16">
        <f t="shared" si="210"/>
        <v>1194670.5393546894</v>
      </c>
      <c r="CH45" s="16">
        <f t="shared" si="210"/>
        <v>1760447.2781995004</v>
      </c>
      <c r="CI45" s="16">
        <f t="shared" si="210"/>
        <v>613595.33215007221</v>
      </c>
      <c r="CJ45" s="16">
        <f t="shared" si="210"/>
        <v>779475.60964387818</v>
      </c>
      <c r="CK45" s="16">
        <f t="shared" si="210"/>
        <v>1552611.1691876703</v>
      </c>
      <c r="CL45" s="16">
        <f t="shared" si="210"/>
        <v>740200.84010914643</v>
      </c>
      <c r="CM45" s="16">
        <f t="shared" si="210"/>
        <v>1223654.2030085288</v>
      </c>
      <c r="CN45" s="16">
        <f t="shared" si="210"/>
        <v>2166694.3965836223</v>
      </c>
      <c r="CO45" s="16">
        <f t="shared" si="210"/>
        <v>602730.21236516745</v>
      </c>
      <c r="CP45" s="16">
        <f t="shared" si="210"/>
        <v>1539672.6036371982</v>
      </c>
      <c r="CQ45" s="16">
        <f t="shared" si="210"/>
        <v>2240011.7481553843</v>
      </c>
      <c r="CR45" s="16">
        <f t="shared" si="210"/>
        <v>453596.45172473352</v>
      </c>
      <c r="CS45" s="16">
        <f t="shared" si="210"/>
        <v>2332663.7899865834</v>
      </c>
      <c r="CT45" s="16">
        <f t="shared" si="210"/>
        <v>2932990.1683867457</v>
      </c>
      <c r="CU45" s="16">
        <f t="shared" si="210"/>
        <v>487034.57477712212</v>
      </c>
      <c r="CV45" s="16">
        <f t="shared" si="210"/>
        <v>1070398.4216767417</v>
      </c>
      <c r="CW45" s="16">
        <f t="shared" si="210"/>
        <v>2126917.6092761708</v>
      </c>
      <c r="CX45" s="16">
        <f t="shared" si="210"/>
        <v>850425.85109509702</v>
      </c>
      <c r="CY45" s="16">
        <f t="shared" si="210"/>
        <v>1667996.2267278039</v>
      </c>
      <c r="CZ45" s="16">
        <f t="shared" si="210"/>
        <v>2383627.9952094629</v>
      </c>
      <c r="DA45" s="16">
        <f t="shared" si="210"/>
        <v>816605.80770567618</v>
      </c>
      <c r="DB45" s="16">
        <f t="shared" si="210"/>
        <v>1456089.0316330139</v>
      </c>
      <c r="DC45" s="16">
        <f t="shared" si="210"/>
        <v>2560150.8549430729</v>
      </c>
      <c r="DD45" s="16">
        <f t="shared" si="210"/>
        <v>1099333.1752591182</v>
      </c>
      <c r="DE45" s="16">
        <f t="shared" si="210"/>
        <v>2932393.1134188008</v>
      </c>
      <c r="DF45" s="16">
        <f t="shared" si="210"/>
        <v>3367609.9094168474</v>
      </c>
      <c r="DG45" s="16">
        <f t="shared" si="210"/>
        <v>676056.45693055098</v>
      </c>
      <c r="DH45" s="16">
        <f t="shared" si="210"/>
        <v>1427974.2119267927</v>
      </c>
      <c r="DI45" s="16">
        <f t="shared" si="210"/>
        <v>2789758.1823806772</v>
      </c>
      <c r="DJ45" s="16">
        <f t="shared" si="210"/>
        <v>1203478.3230976902</v>
      </c>
      <c r="DK45" s="16">
        <f t="shared" si="210"/>
        <v>2257272.939723907</v>
      </c>
      <c r="DL45" s="16">
        <f t="shared" ref="DL45:FB47" si="211">DL40*DL$44</f>
        <v>3179675.3745345613</v>
      </c>
      <c r="DM45" s="16">
        <f t="shared" si="211"/>
        <v>1052551.3518025747</v>
      </c>
      <c r="DN45" s="16">
        <f t="shared" si="211"/>
        <v>1876803.3047624591</v>
      </c>
      <c r="DO45" s="16">
        <f t="shared" si="211"/>
        <v>3299866.615888773</v>
      </c>
      <c r="DP45" s="16">
        <f t="shared" si="211"/>
        <v>1261332.4226442676</v>
      </c>
      <c r="DQ45" s="16">
        <f t="shared" si="211"/>
        <v>3624026.5127902869</v>
      </c>
      <c r="DR45" s="16">
        <f t="shared" si="211"/>
        <v>4184992.4312693235</v>
      </c>
      <c r="DS45" s="16">
        <f t="shared" si="211"/>
        <v>848201.91552590462</v>
      </c>
      <c r="DT45" s="16">
        <f t="shared" si="211"/>
        <v>1791581.826430693</v>
      </c>
      <c r="DU45" s="16">
        <f t="shared" si="211"/>
        <v>3500119.272424072</v>
      </c>
      <c r="DV45" s="16">
        <f t="shared" si="211"/>
        <v>1509922.1499636194</v>
      </c>
      <c r="DW45" s="16">
        <f t="shared" si="211"/>
        <v>2832046.3649314581</v>
      </c>
      <c r="DX45" s="16">
        <f t="shared" si="211"/>
        <v>3989321.7730302918</v>
      </c>
      <c r="DY45" s="16">
        <f t="shared" si="211"/>
        <v>1320564.3754099016</v>
      </c>
      <c r="DZ45" s="16">
        <f t="shared" si="211"/>
        <v>2354697.0698164594</v>
      </c>
      <c r="EA45" s="16">
        <f t="shared" si="211"/>
        <v>4140117.5240374487</v>
      </c>
      <c r="EB45" s="16">
        <f t="shared" si="211"/>
        <v>1582507.7418226646</v>
      </c>
      <c r="EC45" s="16">
        <f t="shared" si="211"/>
        <v>4546818.8322934061</v>
      </c>
      <c r="ED45" s="16">
        <f t="shared" si="211"/>
        <v>5250624.5007710988</v>
      </c>
      <c r="EE45" s="16">
        <f t="shared" si="211"/>
        <v>1033911.1639323718</v>
      </c>
      <c r="EF45" s="16">
        <f t="shared" si="211"/>
        <v>2183839.0335354889</v>
      </c>
      <c r="EG45" s="16">
        <f t="shared" si="211"/>
        <v>4266451.5660877181</v>
      </c>
      <c r="EH45" s="16">
        <f t="shared" si="211"/>
        <v>1840511.4854618327</v>
      </c>
      <c r="EI45" s="16">
        <f t="shared" si="211"/>
        <v>3452107.6878979295</v>
      </c>
      <c r="EJ45" s="16">
        <f t="shared" si="211"/>
        <v>4862762.3236351125</v>
      </c>
      <c r="EK45" s="16">
        <f t="shared" si="211"/>
        <v>1609694.8443946047</v>
      </c>
      <c r="EL45" s="16">
        <f t="shared" si="211"/>
        <v>2870245.331446351</v>
      </c>
      <c r="EM45" s="16">
        <f t="shared" si="211"/>
        <v>5046573.9934580885</v>
      </c>
      <c r="EN45" s="16">
        <f t="shared" si="211"/>
        <v>1928989.3023471844</v>
      </c>
      <c r="EO45" s="16">
        <f t="shared" si="211"/>
        <v>5542320.3662200756</v>
      </c>
      <c r="EP45" s="16">
        <f t="shared" si="211"/>
        <v>6400220.5012684604</v>
      </c>
      <c r="EQ45" s="16">
        <f t="shared" si="211"/>
        <v>1221600.7398792719</v>
      </c>
      <c r="ER45" s="16">
        <f t="shared" si="211"/>
        <v>2580279.1112125833</v>
      </c>
      <c r="ES45" s="16">
        <f t="shared" si="211"/>
        <v>5040955.7141920431</v>
      </c>
      <c r="ET45" s="16">
        <f t="shared" si="211"/>
        <v>2174626.0905482774</v>
      </c>
      <c r="EU45" s="16">
        <f t="shared" si="211"/>
        <v>4078781.0914428574</v>
      </c>
      <c r="EV45" s="16">
        <f t="shared" si="211"/>
        <v>5745516.8873660238</v>
      </c>
      <c r="EW45" s="16">
        <f t="shared" si="211"/>
        <v>1901908.4825559754</v>
      </c>
      <c r="EX45" s="16">
        <f t="shared" si="211"/>
        <v>3391291.1890747673</v>
      </c>
      <c r="EY45" s="16">
        <f t="shared" si="211"/>
        <v>5962696.5442720978</v>
      </c>
      <c r="EZ45" s="16">
        <f t="shared" si="211"/>
        <v>2279165.6006537303</v>
      </c>
      <c r="FA45" s="16">
        <f t="shared" si="211"/>
        <v>6548437.521722381</v>
      </c>
      <c r="FB45" s="16">
        <f t="shared" si="211"/>
        <v>7562075.3237668397</v>
      </c>
    </row>
    <row r="46" spans="3:158" x14ac:dyDescent="0.25">
      <c r="C46" s="377" t="s">
        <v>608</v>
      </c>
      <c r="D46" s="16">
        <f t="shared" si="171"/>
        <v>5614130.2335810941</v>
      </c>
      <c r="E46" s="16">
        <f t="shared" si="171"/>
        <v>8380460.9876967371</v>
      </c>
      <c r="F46" s="16">
        <f t="shared" si="171"/>
        <v>10564572.714894976</v>
      </c>
      <c r="G46" s="16">
        <f t="shared" si="171"/>
        <v>20455666.28590345</v>
      </c>
      <c r="H46" s="16">
        <f t="shared" si="171"/>
        <v>25033685.694217592</v>
      </c>
      <c r="I46" s="16">
        <f t="shared" si="171"/>
        <v>32687446.379422791</v>
      </c>
      <c r="J46" s="16">
        <f t="shared" si="171"/>
        <v>41627080.471818201</v>
      </c>
      <c r="K46" s="16">
        <f t="shared" si="171"/>
        <v>51630094.044449538</v>
      </c>
      <c r="L46" s="16">
        <f t="shared" si="171"/>
        <v>62264928.876931384</v>
      </c>
      <c r="N46" s="16">
        <f t="shared" si="172"/>
        <v>1085057.1808760627</v>
      </c>
      <c r="O46" s="16">
        <f t="shared" si="173"/>
        <v>1456220.4097798057</v>
      </c>
      <c r="P46" s="16">
        <f t="shared" si="174"/>
        <v>1286112.2248301499</v>
      </c>
      <c r="Q46" s="16">
        <f t="shared" si="175"/>
        <v>1786740.4180950753</v>
      </c>
      <c r="R46" s="16">
        <f t="shared" si="176"/>
        <v>1639443.0775849633</v>
      </c>
      <c r="S46" s="16">
        <f t="shared" si="177"/>
        <v>1570730.3831052009</v>
      </c>
      <c r="T46" s="16">
        <f t="shared" si="178"/>
        <v>2265326.0237661768</v>
      </c>
      <c r="U46" s="16">
        <f t="shared" si="179"/>
        <v>2904961.5032403953</v>
      </c>
      <c r="V46" s="16">
        <f t="shared" si="180"/>
        <v>2087689.7184300646</v>
      </c>
      <c r="W46" s="16">
        <f t="shared" si="181"/>
        <v>2448128.2837381465</v>
      </c>
      <c r="X46" s="16">
        <f t="shared" si="182"/>
        <v>2284961.0022610319</v>
      </c>
      <c r="Y46" s="16">
        <f t="shared" si="183"/>
        <v>3743793.7104657348</v>
      </c>
      <c r="Z46" s="16">
        <f t="shared" si="184"/>
        <v>2639512.9735314092</v>
      </c>
      <c r="AA46" s="16">
        <f t="shared" si="185"/>
        <v>3647729.6553288391</v>
      </c>
      <c r="AB46" s="16">
        <f t="shared" si="186"/>
        <v>5738125.3338930551</v>
      </c>
      <c r="AC46" s="16">
        <f t="shared" si="187"/>
        <v>8430298.3231501486</v>
      </c>
      <c r="AD46" s="16">
        <f t="shared" si="188"/>
        <v>4430314.8274373654</v>
      </c>
      <c r="AE46" s="16">
        <f t="shared" si="189"/>
        <v>5894559.8417315837</v>
      </c>
      <c r="AF46" s="16">
        <f t="shared" si="190"/>
        <v>5811343.7697254214</v>
      </c>
      <c r="AG46" s="16">
        <f t="shared" si="191"/>
        <v>8897467.2553232238</v>
      </c>
      <c r="AH46" s="16">
        <f t="shared" si="192"/>
        <v>5961344.7011464406</v>
      </c>
      <c r="AI46" s="16">
        <f t="shared" si="193"/>
        <v>8089002.8873927537</v>
      </c>
      <c r="AJ46" s="16">
        <f t="shared" si="194"/>
        <v>7588095.1045562532</v>
      </c>
      <c r="AK46" s="16">
        <f t="shared" si="195"/>
        <v>11049003.686327342</v>
      </c>
      <c r="AL46" s="16">
        <f t="shared" si="196"/>
        <v>7591702.7201943193</v>
      </c>
      <c r="AM46" s="16">
        <f t="shared" si="197"/>
        <v>10301250.523572221</v>
      </c>
      <c r="AN46" s="16">
        <f t="shared" si="198"/>
        <v>9663350.3235057741</v>
      </c>
      <c r="AO46" s="16">
        <f t="shared" si="199"/>
        <v>14070776.904545886</v>
      </c>
      <c r="AP46" s="16">
        <f t="shared" si="200"/>
        <v>9415993.650251206</v>
      </c>
      <c r="AQ46" s="16">
        <f t="shared" si="201"/>
        <v>12776647.491950288</v>
      </c>
      <c r="AR46" s="16">
        <f t="shared" si="202"/>
        <v>11985459.473306973</v>
      </c>
      <c r="AS46" s="16">
        <f t="shared" si="203"/>
        <v>17451993.428941078</v>
      </c>
      <c r="AT46" s="16">
        <f t="shared" si="204"/>
        <v>11355512.434933422</v>
      </c>
      <c r="AU46" s="16">
        <f t="shared" si="205"/>
        <v>15408398.18511685</v>
      </c>
      <c r="AV46" s="16">
        <f t="shared" si="206"/>
        <v>14454240.215412308</v>
      </c>
      <c r="AW46" s="16">
        <f t="shared" si="207"/>
        <v>21046778.04146881</v>
      </c>
      <c r="AY46" s="16">
        <f t="shared" ref="AY46:BN47" si="212">AY41*AY$44</f>
        <v>144275</v>
      </c>
      <c r="AZ46" s="16">
        <f t="shared" si="212"/>
        <v>252015.39694260713</v>
      </c>
      <c r="BA46" s="16">
        <f t="shared" si="212"/>
        <v>688766.78393345559</v>
      </c>
      <c r="BB46" s="16">
        <f t="shared" si="212"/>
        <v>162643.23686444276</v>
      </c>
      <c r="BC46" s="16">
        <f t="shared" si="212"/>
        <v>615307.0345723629</v>
      </c>
      <c r="BD46" s="16">
        <f t="shared" si="212"/>
        <v>678270.13834300009</v>
      </c>
      <c r="BE46" s="16">
        <f t="shared" si="212"/>
        <v>71435.510655715567</v>
      </c>
      <c r="BF46" s="16">
        <f t="shared" si="212"/>
        <v>407214.52187113004</v>
      </c>
      <c r="BG46" s="16">
        <f t="shared" si="212"/>
        <v>807462.19230330433</v>
      </c>
      <c r="BH46" s="16">
        <f t="shared" si="212"/>
        <v>270773.44991579879</v>
      </c>
      <c r="BI46" s="16">
        <f t="shared" si="212"/>
        <v>751987.06426677504</v>
      </c>
      <c r="BJ46" s="16">
        <f t="shared" si="212"/>
        <v>763979.90391250141</v>
      </c>
      <c r="BK46" s="16">
        <f t="shared" si="212"/>
        <v>219323.13621248951</v>
      </c>
      <c r="BL46" s="16">
        <f t="shared" si="212"/>
        <v>211239.95754039774</v>
      </c>
      <c r="BM46" s="16">
        <f t="shared" si="212"/>
        <v>1208879.983832076</v>
      </c>
      <c r="BN46" s="16">
        <f t="shared" si="212"/>
        <v>247927.39166414045</v>
      </c>
      <c r="BO46" s="16">
        <f t="shared" si="210"/>
        <v>575829.25844874256</v>
      </c>
      <c r="BP46" s="16">
        <f t="shared" si="210"/>
        <v>746973.73299231799</v>
      </c>
      <c r="BQ46" s="16">
        <f t="shared" si="210"/>
        <v>250639.76824172711</v>
      </c>
      <c r="BR46" s="16">
        <f t="shared" si="210"/>
        <v>659801.8390601374</v>
      </c>
      <c r="BS46" s="16">
        <f t="shared" si="210"/>
        <v>1354884.416464312</v>
      </c>
      <c r="BT46" s="16">
        <f t="shared" si="210"/>
        <v>213623.4879758968</v>
      </c>
      <c r="BU46" s="16">
        <f t="shared" si="210"/>
        <v>1286653.4738598375</v>
      </c>
      <c r="BV46" s="16">
        <f t="shared" si="210"/>
        <v>1404684.541404661</v>
      </c>
      <c r="BW46" s="16">
        <f t="shared" si="210"/>
        <v>329810</v>
      </c>
      <c r="BX46" s="16">
        <f t="shared" si="210"/>
        <v>583750.07630116248</v>
      </c>
      <c r="BY46" s="16">
        <f t="shared" si="210"/>
        <v>1174129.6421289023</v>
      </c>
      <c r="BZ46" s="16">
        <f t="shared" si="210"/>
        <v>465696.81039115402</v>
      </c>
      <c r="CA46" s="16">
        <f t="shared" si="210"/>
        <v>730262.1663648471</v>
      </c>
      <c r="CB46" s="16">
        <f t="shared" si="210"/>
        <v>1252169.3069821454</v>
      </c>
      <c r="CC46" s="16">
        <f t="shared" si="210"/>
        <v>418140.11547054461</v>
      </c>
      <c r="CD46" s="16">
        <f t="shared" si="210"/>
        <v>949286.2860315427</v>
      </c>
      <c r="CE46" s="16">
        <f t="shared" si="210"/>
        <v>917534.60075894475</v>
      </c>
      <c r="CF46" s="16">
        <f t="shared" si="210"/>
        <v>421492.0577821632</v>
      </c>
      <c r="CG46" s="16">
        <f t="shared" si="210"/>
        <v>1373171.0561632183</v>
      </c>
      <c r="CH46" s="16">
        <f t="shared" si="210"/>
        <v>1949130.5965203531</v>
      </c>
      <c r="CI46" s="16">
        <f t="shared" si="210"/>
        <v>268728.66602709243</v>
      </c>
      <c r="CJ46" s="16">
        <f t="shared" si="210"/>
        <v>745458.98828992422</v>
      </c>
      <c r="CK46" s="16">
        <f t="shared" si="210"/>
        <v>1625325.3192143922</v>
      </c>
      <c r="CL46" s="16">
        <f t="shared" si="210"/>
        <v>934386.42112735566</v>
      </c>
      <c r="CM46" s="16">
        <f t="shared" si="210"/>
        <v>1188812.6950104968</v>
      </c>
      <c r="CN46" s="16">
        <f t="shared" si="210"/>
        <v>1524530.5391909864</v>
      </c>
      <c r="CO46" s="16">
        <f t="shared" si="210"/>
        <v>789186.29226945376</v>
      </c>
      <c r="CP46" s="16">
        <f t="shared" si="210"/>
        <v>2015974.1264755595</v>
      </c>
      <c r="CQ46" s="16">
        <f t="shared" si="210"/>
        <v>2932964.9151480421</v>
      </c>
      <c r="CR46" s="16">
        <f t="shared" si="210"/>
        <v>668610.94237283315</v>
      </c>
      <c r="CS46" s="16">
        <f t="shared" si="210"/>
        <v>3438396.6826274674</v>
      </c>
      <c r="CT46" s="16">
        <f t="shared" si="210"/>
        <v>4323290.6981498478</v>
      </c>
      <c r="CU46" s="16">
        <f t="shared" si="210"/>
        <v>585643.63954776118</v>
      </c>
      <c r="CV46" s="16">
        <f t="shared" si="210"/>
        <v>1287120.1756545042</v>
      </c>
      <c r="CW46" s="16">
        <f t="shared" si="210"/>
        <v>2557551.0122350994</v>
      </c>
      <c r="CX46" s="16">
        <f t="shared" si="210"/>
        <v>1022610.1315881981</v>
      </c>
      <c r="CY46" s="16">
        <f t="shared" si="210"/>
        <v>2005712.5952912748</v>
      </c>
      <c r="CZ46" s="16">
        <f t="shared" si="210"/>
        <v>2866237.1148521113</v>
      </c>
      <c r="DA46" s="16">
        <f t="shared" si="210"/>
        <v>981942.60134292254</v>
      </c>
      <c r="DB46" s="16">
        <f t="shared" si="210"/>
        <v>1750900.9096148268</v>
      </c>
      <c r="DC46" s="16">
        <f t="shared" si="210"/>
        <v>3078500.2587676723</v>
      </c>
      <c r="DD46" s="16">
        <f t="shared" si="210"/>
        <v>1321913.2997466803</v>
      </c>
      <c r="DE46" s="16">
        <f t="shared" si="210"/>
        <v>3526109.7763198214</v>
      </c>
      <c r="DF46" s="16">
        <f t="shared" si="210"/>
        <v>4049444.1792567214</v>
      </c>
      <c r="DG46" s="16">
        <f t="shared" si="210"/>
        <v>823534.831540438</v>
      </c>
      <c r="DH46" s="16">
        <f t="shared" si="210"/>
        <v>1739479.7283683456</v>
      </c>
      <c r="DI46" s="16">
        <f t="shared" si="210"/>
        <v>3398330.1412376575</v>
      </c>
      <c r="DJ46" s="16">
        <f t="shared" si="210"/>
        <v>1466011.1709821867</v>
      </c>
      <c r="DK46" s="16">
        <f t="shared" si="210"/>
        <v>2749685.8747512563</v>
      </c>
      <c r="DL46" s="16">
        <f t="shared" si="211"/>
        <v>3873305.8416593112</v>
      </c>
      <c r="DM46" s="16">
        <f t="shared" si="211"/>
        <v>1282160.2268690979</v>
      </c>
      <c r="DN46" s="16">
        <f t="shared" si="211"/>
        <v>2286218.669428173</v>
      </c>
      <c r="DO46" s="16">
        <f t="shared" si="211"/>
        <v>4019716.2082589818</v>
      </c>
      <c r="DP46" s="16">
        <f t="shared" si="211"/>
        <v>1536485.856395788</v>
      </c>
      <c r="DQ46" s="16">
        <f t="shared" si="211"/>
        <v>4414589.9844802739</v>
      </c>
      <c r="DR46" s="16">
        <f t="shared" si="211"/>
        <v>5097927.8454512805</v>
      </c>
      <c r="DS46" s="16">
        <f t="shared" si="211"/>
        <v>1048761.9713683007</v>
      </c>
      <c r="DT46" s="16">
        <f t="shared" si="211"/>
        <v>2215207.0795431845</v>
      </c>
      <c r="DU46" s="16">
        <f t="shared" si="211"/>
        <v>4327733.669282834</v>
      </c>
      <c r="DV46" s="16">
        <f t="shared" si="211"/>
        <v>1866948.0717061004</v>
      </c>
      <c r="DW46" s="16">
        <f t="shared" si="211"/>
        <v>3501692.7860277104</v>
      </c>
      <c r="DX46" s="16">
        <f t="shared" si="211"/>
        <v>4932609.665838412</v>
      </c>
      <c r="DY46" s="16">
        <f t="shared" si="211"/>
        <v>1632816.0457111574</v>
      </c>
      <c r="DZ46" s="16">
        <f t="shared" si="211"/>
        <v>2911472.7233134271</v>
      </c>
      <c r="EA46" s="16">
        <f t="shared" si="211"/>
        <v>5119061.5544811906</v>
      </c>
      <c r="EB46" s="16">
        <f t="shared" si="211"/>
        <v>1956696.7589203091</v>
      </c>
      <c r="EC46" s="16">
        <f t="shared" si="211"/>
        <v>5621928.6878808206</v>
      </c>
      <c r="ED46" s="16">
        <f t="shared" si="211"/>
        <v>6492151.4577447567</v>
      </c>
      <c r="EE46" s="16">
        <f t="shared" si="211"/>
        <v>1300780.1315455209</v>
      </c>
      <c r="EF46" s="16">
        <f t="shared" si="211"/>
        <v>2747522.7315587304</v>
      </c>
      <c r="EG46" s="16">
        <f t="shared" si="211"/>
        <v>5367690.7871469539</v>
      </c>
      <c r="EH46" s="16">
        <f t="shared" si="211"/>
        <v>2315576.8654865627</v>
      </c>
      <c r="EI46" s="16">
        <f t="shared" si="211"/>
        <v>4343151.7610219866</v>
      </c>
      <c r="EJ46" s="16">
        <f t="shared" si="211"/>
        <v>6117918.8654417405</v>
      </c>
      <c r="EK46" s="16">
        <f t="shared" si="211"/>
        <v>2025182.766646981</v>
      </c>
      <c r="EL46" s="16">
        <f t="shared" si="211"/>
        <v>3611101.4466721774</v>
      </c>
      <c r="EM46" s="16">
        <f t="shared" si="211"/>
        <v>6349175.2599878144</v>
      </c>
      <c r="EN46" s="16">
        <f t="shared" si="211"/>
        <v>2426892.2185863927</v>
      </c>
      <c r="EO46" s="16">
        <f t="shared" si="211"/>
        <v>6972881.6812647693</v>
      </c>
      <c r="EP46" s="16">
        <f t="shared" si="211"/>
        <v>8052219.5290899156</v>
      </c>
      <c r="EQ46" s="16">
        <f t="shared" si="211"/>
        <v>1568716.5377905099</v>
      </c>
      <c r="ER46" s="16">
        <f t="shared" si="211"/>
        <v>3313461.0857182397</v>
      </c>
      <c r="ES46" s="16">
        <f t="shared" si="211"/>
        <v>6473334.8114246726</v>
      </c>
      <c r="ET46" s="16">
        <f t="shared" si="211"/>
        <v>2792542.4407412717</v>
      </c>
      <c r="EU46" s="16">
        <f t="shared" si="211"/>
        <v>5237759.886103197</v>
      </c>
      <c r="EV46" s="16">
        <f t="shared" si="211"/>
        <v>7378095.8582723821</v>
      </c>
      <c r="EW46" s="16">
        <f t="shared" si="211"/>
        <v>2442332.5826116228</v>
      </c>
      <c r="EX46" s="16">
        <f t="shared" si="211"/>
        <v>4354920.8829806298</v>
      </c>
      <c r="EY46" s="16">
        <f t="shared" si="211"/>
        <v>7656986.7498200554</v>
      </c>
      <c r="EZ46" s="16">
        <f t="shared" si="211"/>
        <v>2926786.6770137129</v>
      </c>
      <c r="FA46" s="16">
        <f t="shared" si="211"/>
        <v>8409165.0419506319</v>
      </c>
      <c r="FB46" s="16">
        <f t="shared" si="211"/>
        <v>9710826.3225044645</v>
      </c>
    </row>
    <row r="47" spans="3:158" x14ac:dyDescent="0.25">
      <c r="C47" s="377" t="s">
        <v>313</v>
      </c>
      <c r="D47" s="16">
        <f t="shared" ref="D47:L47" si="213">SUMIF($AY$2:$FB$2,D$2,$AY47:$FB47)</f>
        <v>6301371.5085175624</v>
      </c>
      <c r="E47" s="16">
        <f t="shared" si="213"/>
        <v>8456036.0245661344</v>
      </c>
      <c r="F47" s="16">
        <f t="shared" si="213"/>
        <v>8933509.8692253381</v>
      </c>
      <c r="G47" s="16">
        <f t="shared" si="213"/>
        <v>20061095.555376224</v>
      </c>
      <c r="H47" s="16">
        <f t="shared" si="213"/>
        <v>28952948.727127753</v>
      </c>
      <c r="I47" s="16">
        <f t="shared" si="213"/>
        <v>44363335.556739658</v>
      </c>
      <c r="J47" s="16">
        <f t="shared" si="213"/>
        <v>65981991.524400525</v>
      </c>
      <c r="K47" s="16">
        <f t="shared" si="213"/>
        <v>95316232.1879282</v>
      </c>
      <c r="L47" s="16">
        <f t="shared" si="213"/>
        <v>133757994.8475199</v>
      </c>
      <c r="N47" s="16">
        <f>SUM(AY47:BA47)</f>
        <v>1067278.5472212944</v>
      </c>
      <c r="O47" s="16">
        <f>SUM(BB47:BD47)</f>
        <v>1250691.0635222867</v>
      </c>
      <c r="P47" s="16">
        <f>SUM(BE47:BG47)</f>
        <v>1371588.3329848801</v>
      </c>
      <c r="Q47" s="16">
        <f>SUM(BH47:BJ47)</f>
        <v>2611813.5647891006</v>
      </c>
      <c r="R47" s="16">
        <f>SUM(BK47:BM47)</f>
        <v>1519571.356933122</v>
      </c>
      <c r="S47" s="16">
        <f>SUM(BN47:BP47)</f>
        <v>2991863.1751918322</v>
      </c>
      <c r="T47" s="16">
        <f>SUM(BQ47:BS47)</f>
        <v>1400837.5500241322</v>
      </c>
      <c r="U47" s="16">
        <f>SUM(BT47:BV47)</f>
        <v>2543763.9424170479</v>
      </c>
      <c r="V47" s="16">
        <f>SUM(BW47:BY47)</f>
        <v>1438133.3407636224</v>
      </c>
      <c r="W47" s="16">
        <f>SUM(BZ47:CB47)</f>
        <v>2099912.5458340235</v>
      </c>
      <c r="X47" s="16">
        <f>SUM(CC47:CE47)</f>
        <v>2954215.1545713255</v>
      </c>
      <c r="Y47" s="16">
        <f>SUM(CF47:CH47)</f>
        <v>2441248.8280563653</v>
      </c>
      <c r="Z47" s="16">
        <f>SUM(CI47:CK47)</f>
        <v>2536812.9286767119</v>
      </c>
      <c r="AA47" s="16">
        <f>SUM(CL47:CN47)</f>
        <v>4679890.007998528</v>
      </c>
      <c r="AB47" s="16">
        <f>SUM(CO47:CQ47)</f>
        <v>5762014.2686158614</v>
      </c>
      <c r="AC47" s="16">
        <f>SUM(CR47:CT47)</f>
        <v>7082378.3500851234</v>
      </c>
      <c r="AD47" s="16">
        <f>SUM(CU47:CW47)</f>
        <v>5123923.0056106541</v>
      </c>
      <c r="AE47" s="16">
        <f>SUM(CX47:CZ47)</f>
        <v>6817409.5876765698</v>
      </c>
      <c r="AF47" s="16">
        <f>SUM(DA47:DC47)</f>
        <v>6721165.2433360191</v>
      </c>
      <c r="AG47" s="16">
        <f>SUM(DD47:DF47)</f>
        <v>10290450.890504505</v>
      </c>
      <c r="AH47" s="16">
        <f>SUM(DG47:DI47)</f>
        <v>8090724.8696195493</v>
      </c>
      <c r="AI47" s="16">
        <f>SUM(DJ47:DL47)</f>
        <v>10978378.220415074</v>
      </c>
      <c r="AJ47" s="16">
        <f>SUM(DM47:DO47)</f>
        <v>10298547.199202381</v>
      </c>
      <c r="AK47" s="16">
        <f>SUM(DP47:DR47)</f>
        <v>14995685.267502656</v>
      </c>
      <c r="AL47" s="16">
        <f>SUM(DS47:DU47)</f>
        <v>12033408.51344963</v>
      </c>
      <c r="AM47" s="16">
        <f>SUM(DV47:DX47)</f>
        <v>16328241.544521194</v>
      </c>
      <c r="AN47" s="16">
        <f>SUM(DY47:EA47)</f>
        <v>15317122.69791621</v>
      </c>
      <c r="AO47" s="16">
        <f>SUM(EB47:ED47)</f>
        <v>22303218.768513493</v>
      </c>
      <c r="AP47" s="16">
        <f>SUM(EE47:EG47)</f>
        <v>17383215.2285976</v>
      </c>
      <c r="AQ47" s="16">
        <f>SUM(EH47:EJ47)</f>
        <v>23587442.972263299</v>
      </c>
      <c r="AR47" s="16">
        <f>SUM(EK47:EM47)</f>
        <v>22126801.416499548</v>
      </c>
      <c r="AS47" s="16">
        <f>SUM(EN47:EP47)</f>
        <v>32218772.570567768</v>
      </c>
      <c r="AT47" s="16">
        <f>SUM(EQ47:ES47)</f>
        <v>24393998.373705819</v>
      </c>
      <c r="AU47" s="16">
        <f>SUM(ET47:EV47)</f>
        <v>33100438.436652191</v>
      </c>
      <c r="AV47" s="16">
        <f>SUM(EW47:EY47)</f>
        <v>31050709.01276226</v>
      </c>
      <c r="AW47" s="16">
        <f>SUM(EZ47:FB47)</f>
        <v>45212849.024399638</v>
      </c>
      <c r="AY47" s="16">
        <f t="shared" si="212"/>
        <v>15000</v>
      </c>
      <c r="AZ47" s="16">
        <f t="shared" ref="AZ47:DK47" si="214">AZ42*AZ$44</f>
        <v>321002.60129163339</v>
      </c>
      <c r="BA47" s="16">
        <f t="shared" si="214"/>
        <v>731275.94592966093</v>
      </c>
      <c r="BB47" s="16">
        <f t="shared" si="214"/>
        <v>241375.20208619846</v>
      </c>
      <c r="BC47" s="16">
        <f t="shared" si="214"/>
        <v>552347.41909717256</v>
      </c>
      <c r="BD47" s="16">
        <f t="shared" si="214"/>
        <v>456968.44233891554</v>
      </c>
      <c r="BE47" s="16">
        <f t="shared" si="214"/>
        <v>365915.98807135591</v>
      </c>
      <c r="BF47" s="16">
        <f t="shared" si="214"/>
        <v>216881.19190392489</v>
      </c>
      <c r="BG47" s="16">
        <f t="shared" si="214"/>
        <v>788791.15300959942</v>
      </c>
      <c r="BH47" s="16">
        <f t="shared" si="214"/>
        <v>377963.51546641515</v>
      </c>
      <c r="BI47" s="16">
        <f t="shared" si="214"/>
        <v>1310294.1262827129</v>
      </c>
      <c r="BJ47" s="16">
        <f t="shared" si="214"/>
        <v>923555.92303997243</v>
      </c>
      <c r="BK47" s="16">
        <f t="shared" si="214"/>
        <v>168215.14638258834</v>
      </c>
      <c r="BL47" s="16">
        <f t="shared" si="214"/>
        <v>445406.09660571819</v>
      </c>
      <c r="BM47" s="16">
        <f t="shared" si="214"/>
        <v>905950.11394481547</v>
      </c>
      <c r="BN47" s="16">
        <f t="shared" si="214"/>
        <v>323342.66548875434</v>
      </c>
      <c r="BO47" s="16">
        <f t="shared" si="214"/>
        <v>1601553.9577346484</v>
      </c>
      <c r="BP47" s="16">
        <f t="shared" si="214"/>
        <v>1066966.5519684295</v>
      </c>
      <c r="BQ47" s="16">
        <f t="shared" si="214"/>
        <v>450148.03452599247</v>
      </c>
      <c r="BR47" s="16">
        <f t="shared" si="214"/>
        <v>193325.43149751262</v>
      </c>
      <c r="BS47" s="16">
        <f t="shared" si="214"/>
        <v>757364.08400062704</v>
      </c>
      <c r="BT47" s="16">
        <f t="shared" si="214"/>
        <v>129171.54331863984</v>
      </c>
      <c r="BU47" s="16">
        <f t="shared" si="214"/>
        <v>833356.2019010525</v>
      </c>
      <c r="BV47" s="16">
        <f t="shared" si="214"/>
        <v>1581236.1971973558</v>
      </c>
      <c r="BW47" s="16">
        <f t="shared" si="214"/>
        <v>484242.64</v>
      </c>
      <c r="BX47" s="16">
        <f t="shared" si="214"/>
        <v>569797.19376288692</v>
      </c>
      <c r="BY47" s="16">
        <f t="shared" si="214"/>
        <v>384093.50700073555</v>
      </c>
      <c r="BZ47" s="16">
        <f t="shared" si="214"/>
        <v>651260.61947035789</v>
      </c>
      <c r="CA47" s="16">
        <f t="shared" si="214"/>
        <v>327371.16680251271</v>
      </c>
      <c r="CB47" s="16">
        <f t="shared" si="214"/>
        <v>1121280.7595611531</v>
      </c>
      <c r="CC47" s="16">
        <f t="shared" si="214"/>
        <v>216438.75860872964</v>
      </c>
      <c r="CD47" s="16">
        <f t="shared" si="214"/>
        <v>1468746.9099672276</v>
      </c>
      <c r="CE47" s="16">
        <f t="shared" si="214"/>
        <v>1269029.4859953681</v>
      </c>
      <c r="CF47" s="16">
        <f t="shared" si="214"/>
        <v>287513.07842754864</v>
      </c>
      <c r="CG47" s="16">
        <f t="shared" si="214"/>
        <v>1064391.3998013453</v>
      </c>
      <c r="CH47" s="16">
        <f t="shared" si="214"/>
        <v>1089344.3498274714</v>
      </c>
      <c r="CI47" s="16">
        <f t="shared" si="214"/>
        <v>497639.88576176151</v>
      </c>
      <c r="CJ47" s="16">
        <f t="shared" si="214"/>
        <v>421954.58601701015</v>
      </c>
      <c r="CK47" s="16">
        <f t="shared" si="214"/>
        <v>1617218.4568979403</v>
      </c>
      <c r="CL47" s="16">
        <f t="shared" si="214"/>
        <v>674325.84238455642</v>
      </c>
      <c r="CM47" s="16">
        <f t="shared" si="214"/>
        <v>1015376.1317493289</v>
      </c>
      <c r="CN47" s="16">
        <f t="shared" si="214"/>
        <v>2990188.033864642</v>
      </c>
      <c r="CO47" s="16">
        <f t="shared" si="214"/>
        <v>792471.8286987124</v>
      </c>
      <c r="CP47" s="16">
        <f t="shared" si="214"/>
        <v>2024367.019887242</v>
      </c>
      <c r="CQ47" s="16">
        <f t="shared" si="214"/>
        <v>2945175.420029907</v>
      </c>
      <c r="CR47" s="16">
        <f t="shared" si="214"/>
        <v>561706.77256910002</v>
      </c>
      <c r="CS47" s="16">
        <f t="shared" si="214"/>
        <v>2888631.6107192836</v>
      </c>
      <c r="CT47" s="16">
        <f t="shared" si="214"/>
        <v>3632039.96679674</v>
      </c>
      <c r="CU47" s="16">
        <f t="shared" si="214"/>
        <v>677331.7551123295</v>
      </c>
      <c r="CV47" s="16">
        <f t="shared" si="214"/>
        <v>1488631.155099323</v>
      </c>
      <c r="CW47" s="16">
        <f t="shared" si="214"/>
        <v>2957960.0953990021</v>
      </c>
      <c r="CX47" s="16">
        <f t="shared" si="214"/>
        <v>1182709.5326419862</v>
      </c>
      <c r="CY47" s="16">
        <f t="shared" si="214"/>
        <v>2319726.0939581185</v>
      </c>
      <c r="CZ47" s="16">
        <f t="shared" si="214"/>
        <v>3314973.9610764659</v>
      </c>
      <c r="DA47" s="16">
        <f t="shared" si="214"/>
        <v>1135675.1114052301</v>
      </c>
      <c r="DB47" s="16">
        <f t="shared" si="214"/>
        <v>2025021.2006963445</v>
      </c>
      <c r="DC47" s="16">
        <f t="shared" si="214"/>
        <v>3560468.9312344445</v>
      </c>
      <c r="DD47" s="16">
        <f t="shared" si="214"/>
        <v>1528871.4756898319</v>
      </c>
      <c r="DE47" s="16">
        <f t="shared" si="214"/>
        <v>4078156.0017585922</v>
      </c>
      <c r="DF47" s="16">
        <f t="shared" si="214"/>
        <v>4683423.4130560812</v>
      </c>
      <c r="DG47" s="16">
        <f t="shared" si="214"/>
        <v>1117699.7936825883</v>
      </c>
      <c r="DH47" s="16">
        <f t="shared" si="214"/>
        <v>2360818.3394934861</v>
      </c>
      <c r="DI47" s="16">
        <f t="shared" si="214"/>
        <v>4612206.7364434749</v>
      </c>
      <c r="DJ47" s="16">
        <f t="shared" si="214"/>
        <v>1989667.3711762747</v>
      </c>
      <c r="DK47" s="16">
        <f t="shared" si="214"/>
        <v>3731868.0609449088</v>
      </c>
      <c r="DL47" s="16">
        <f t="shared" si="211"/>
        <v>5256842.7882938897</v>
      </c>
      <c r="DM47" s="16">
        <f t="shared" si="211"/>
        <v>1740145.2448089237</v>
      </c>
      <c r="DN47" s="16">
        <f t="shared" si="211"/>
        <v>3102851.3151695118</v>
      </c>
      <c r="DO47" s="16">
        <f t="shared" si="211"/>
        <v>5455550.6392239444</v>
      </c>
      <c r="DP47" s="16">
        <f t="shared" si="211"/>
        <v>2085315.4704792365</v>
      </c>
      <c r="DQ47" s="16">
        <f t="shared" si="211"/>
        <v>5991472.5229257522</v>
      </c>
      <c r="DR47" s="16">
        <f t="shared" si="211"/>
        <v>6918897.274097668</v>
      </c>
      <c r="DS47" s="16">
        <f t="shared" si="211"/>
        <v>1662365.0451005143</v>
      </c>
      <c r="DT47" s="16">
        <f t="shared" si="211"/>
        <v>3511266.5382854375</v>
      </c>
      <c r="DU47" s="16">
        <f t="shared" si="211"/>
        <v>6859776.930063678</v>
      </c>
      <c r="DV47" s="16">
        <f t="shared" si="211"/>
        <v>2959250.335300474</v>
      </c>
      <c r="DW47" s="16">
        <f t="shared" si="211"/>
        <v>5550441.229842104</v>
      </c>
      <c r="DX47" s="16">
        <f t="shared" si="211"/>
        <v>7818549.9793786164</v>
      </c>
      <c r="DY47" s="16">
        <f t="shared" si="211"/>
        <v>2588133.8126020404</v>
      </c>
      <c r="DZ47" s="16">
        <f t="shared" si="211"/>
        <v>4614898.9161814023</v>
      </c>
      <c r="EA47" s="16">
        <f t="shared" si="211"/>
        <v>8114089.9691327671</v>
      </c>
      <c r="EB47" s="16">
        <f t="shared" si="211"/>
        <v>3101508.6213002112</v>
      </c>
      <c r="EC47" s="16">
        <f t="shared" si="211"/>
        <v>8911171.4496929292</v>
      </c>
      <c r="ED47" s="16">
        <f t="shared" si="211"/>
        <v>10290538.697520355</v>
      </c>
      <c r="EE47" s="16">
        <f t="shared" si="211"/>
        <v>2401418.4622072298</v>
      </c>
      <c r="EF47" s="16">
        <f t="shared" si="211"/>
        <v>5072303.652931585</v>
      </c>
      <c r="EG47" s="16">
        <f t="shared" si="211"/>
        <v>9909493.1134587862</v>
      </c>
      <c r="EH47" s="16">
        <f t="shared" si="211"/>
        <v>4274872.3635811331</v>
      </c>
      <c r="EI47" s="16">
        <f t="shared" si="211"/>
        <v>8018053.6050269864</v>
      </c>
      <c r="EJ47" s="16">
        <f t="shared" si="211"/>
        <v>11294517.003655178</v>
      </c>
      <c r="EK47" s="16">
        <f t="shared" si="211"/>
        <v>3738765.0435524695</v>
      </c>
      <c r="EL47" s="16">
        <f t="shared" si="211"/>
        <v>6666588.3592782505</v>
      </c>
      <c r="EM47" s="16">
        <f t="shared" si="211"/>
        <v>11721448.013668826</v>
      </c>
      <c r="EN47" s="16">
        <f t="shared" si="211"/>
        <v>4480375.7669452662</v>
      </c>
      <c r="EO47" s="16">
        <f t="shared" si="211"/>
        <v>12872895.578655923</v>
      </c>
      <c r="EP47" s="16">
        <f t="shared" si="211"/>
        <v>14865501.224966578</v>
      </c>
      <c r="EQ47" s="16">
        <f t="shared" si="211"/>
        <v>3369928.8245190922</v>
      </c>
      <c r="ER47" s="16">
        <f t="shared" si="211"/>
        <v>7118002.362244091</v>
      </c>
      <c r="ES47" s="16">
        <f t="shared" si="211"/>
        <v>13906067.186942637</v>
      </c>
      <c r="ET47" s="16">
        <f t="shared" si="211"/>
        <v>5998960.9582375893</v>
      </c>
      <c r="EU47" s="16">
        <f t="shared" si="211"/>
        <v>11251795.713806733</v>
      </c>
      <c r="EV47" s="16">
        <f t="shared" si="211"/>
        <v>15849681.764607869</v>
      </c>
      <c r="EW47" s="16">
        <f t="shared" si="211"/>
        <v>5246637.4714181684</v>
      </c>
      <c r="EX47" s="16">
        <f t="shared" si="211"/>
        <v>9355274.2375795618</v>
      </c>
      <c r="EY47" s="16">
        <f t="shared" si="211"/>
        <v>16448797.30376453</v>
      </c>
      <c r="EZ47" s="16">
        <f t="shared" si="211"/>
        <v>6287345.449917159</v>
      </c>
      <c r="FA47" s="16">
        <f t="shared" si="211"/>
        <v>18064632.444636147</v>
      </c>
      <c r="FB47" s="16">
        <f t="shared" si="211"/>
        <v>20860871.129846327</v>
      </c>
    </row>
    <row r="48" spans="3:158" s="378" customFormat="1" x14ac:dyDescent="0.25"/>
    <row r="49" spans="3:158" x14ac:dyDescent="0.25">
      <c r="C49" s="1" t="s">
        <v>703</v>
      </c>
      <c r="D49" s="22">
        <f t="shared" ref="D49:L51" si="215">SUMIF($AY$2:$FB$2,D$2,$AY49:$FB49)</f>
        <v>991925.87820779358</v>
      </c>
      <c r="E49" s="22">
        <f t="shared" si="215"/>
        <v>2128652.8918602713</v>
      </c>
      <c r="F49" s="22">
        <f t="shared" si="215"/>
        <v>2600518.9805904962</v>
      </c>
      <c r="G49" s="22">
        <f t="shared" si="215"/>
        <v>5119900.7456496814</v>
      </c>
      <c r="H49" s="22">
        <f t="shared" si="215"/>
        <v>9194783.0075157117</v>
      </c>
      <c r="I49" s="22">
        <f t="shared" si="215"/>
        <v>16788867.436085675</v>
      </c>
      <c r="J49" s="22">
        <f t="shared" si="215"/>
        <v>29022373.407324225</v>
      </c>
      <c r="K49" s="22">
        <f t="shared" si="215"/>
        <v>48023766.871062033</v>
      </c>
      <c r="L49" s="22">
        <f t="shared" si="215"/>
        <v>76566912.291361839</v>
      </c>
      <c r="M49" s="1"/>
      <c r="N49" s="22">
        <f t="shared" ref="N49:N51" si="216">SUM(AY49:BA49)</f>
        <v>190069.94527813286</v>
      </c>
      <c r="O49" s="22">
        <f t="shared" ref="O49:O51" si="217">SUM(BB49:BD49)</f>
        <v>448287.99767447455</v>
      </c>
      <c r="P49" s="22">
        <f t="shared" ref="P49:P51" si="218">SUM(BE49:BG49)</f>
        <v>29499.994760559821</v>
      </c>
      <c r="Q49" s="22">
        <f t="shared" ref="Q49:Q51" si="219">SUM(BH49:BJ49)</f>
        <v>324067.94049462629</v>
      </c>
      <c r="R49" s="22">
        <f t="shared" ref="R49:R51" si="220">SUM(BK49:BM49)</f>
        <v>571908.92696697533</v>
      </c>
      <c r="S49" s="22">
        <f t="shared" ref="S49:S51" si="221">SUM(BN49:BP49)</f>
        <v>713628.96696632926</v>
      </c>
      <c r="T49" s="22">
        <f t="shared" ref="T49:T51" si="222">SUM(BQ49:BS49)</f>
        <v>386037.98899252835</v>
      </c>
      <c r="U49" s="22">
        <f t="shared" ref="U49:U51" si="223">SUM(BT49:BV49)</f>
        <v>457077.00893443846</v>
      </c>
      <c r="V49" s="22">
        <f t="shared" ref="V49:V51" si="224">SUM(BW49:BY49)</f>
        <v>259455.89848367873</v>
      </c>
      <c r="W49" s="22">
        <f t="shared" ref="W49:W51" si="225">SUM(BZ49:CB49)</f>
        <v>813625.9321078558</v>
      </c>
      <c r="X49" s="22">
        <f t="shared" ref="X49:X51" si="226">SUM(CC49:CE49)</f>
        <v>561127.71689223009</v>
      </c>
      <c r="Y49" s="22">
        <f t="shared" ref="Y49:Y51" si="227">SUM(CF49:CH49)</f>
        <v>966309.43310673162</v>
      </c>
      <c r="Z49" s="22">
        <f t="shared" ref="Z49:Z51" si="228">SUM(CI49:CK49)</f>
        <v>787787.21392748074</v>
      </c>
      <c r="AA49" s="22">
        <f t="shared" ref="AA49:AA51" si="229">SUM(CL49:CN49)</f>
        <v>1527263.531722201</v>
      </c>
      <c r="AB49" s="22">
        <f t="shared" ref="AB49:AB51" si="230">SUM(CO49:CQ49)</f>
        <v>1227083.3333333333</v>
      </c>
      <c r="AC49" s="22">
        <f t="shared" ref="AC49:AC51" si="231">SUM(CR49:CT49)</f>
        <v>1577766.6666666667</v>
      </c>
      <c r="AD49" s="22">
        <f t="shared" ref="AD49:AD51" si="232">SUM(CU49:CW49)</f>
        <v>1627238.7530484712</v>
      </c>
      <c r="AE49" s="22">
        <f t="shared" ref="AE49:AE51" si="233">SUM(CX49:CZ49)</f>
        <v>2165050.6973512606</v>
      </c>
      <c r="AF49" s="22">
        <f t="shared" ref="AF49:AF51" si="234">SUM(DA49:DC49)</f>
        <v>2134485.7324403524</v>
      </c>
      <c r="AG49" s="22">
        <f t="shared" ref="AG49:AG51" si="235">SUM(DD49:DF49)</f>
        <v>3268007.824675628</v>
      </c>
      <c r="AH49" s="22">
        <f t="shared" ref="AH49:AH51" si="236">SUM(DG49:DI49)</f>
        <v>3061855.1466707364</v>
      </c>
      <c r="AI49" s="22">
        <f t="shared" ref="AI49:AI51" si="237">SUM(DJ49:DL49)</f>
        <v>4154659.1186775146</v>
      </c>
      <c r="AJ49" s="22">
        <f t="shared" ref="AJ49:AJ51" si="238">SUM(DM49:DO49)</f>
        <v>3897383.7639089143</v>
      </c>
      <c r="AK49" s="22">
        <f t="shared" ref="AK49:AK51" si="239">SUM(DP49:DR49)</f>
        <v>5674969.4068285106</v>
      </c>
      <c r="AL49" s="22">
        <f t="shared" ref="AL49:AL51" si="240">SUM(DS49:DU49)</f>
        <v>5292930.1946131652</v>
      </c>
      <c r="AM49" s="22">
        <f t="shared" ref="AM49:AM51" si="241">SUM(DV49:DX49)</f>
        <v>7182025.1593168937</v>
      </c>
      <c r="AN49" s="22">
        <f t="shared" ref="AN49:AN51" si="242">SUM(DY49:EA49)</f>
        <v>6737281.5550790466</v>
      </c>
      <c r="AO49" s="22">
        <f t="shared" ref="AO49:AO51" si="243">SUM(EB49:ED49)</f>
        <v>9810136.498315122</v>
      </c>
      <c r="AP49" s="22">
        <f t="shared" ref="AP49:AP51" si="244">SUM(EE49:EG49)</f>
        <v>8758292.857839115</v>
      </c>
      <c r="AQ49" s="22">
        <f t="shared" ref="AQ49:AQ51" si="245">SUM(EH49:EJ49)</f>
        <v>11884207.300085731</v>
      </c>
      <c r="AR49" s="22">
        <f t="shared" ref="AR49:AR51" si="246">SUM(EK49:EM49)</f>
        <v>11148283.229798492</v>
      </c>
      <c r="AS49" s="22">
        <f t="shared" ref="AS49:AS51" si="247">SUM(EN49:EP49)</f>
        <v>16232983.483338688</v>
      </c>
      <c r="AT49" s="22">
        <f t="shared" ref="AT49:AT51" si="248">SUM(EQ49:ES49)</f>
        <v>13963824.263696253</v>
      </c>
      <c r="AU49" s="22">
        <f t="shared" ref="AU49:AU51" si="249">SUM(ET49:EV49)</f>
        <v>18947640.247402839</v>
      </c>
      <c r="AV49" s="22">
        <f t="shared" ref="AV49:AV51" si="250">SUM(EW49:EY49)</f>
        <v>17774316.341053076</v>
      </c>
      <c r="AW49" s="22">
        <f t="shared" ref="AW49:AW51" si="251">SUM(EZ49:FB49)</f>
        <v>25881131.439209662</v>
      </c>
      <c r="AY49" s="22">
        <f>AY11</f>
        <v>0</v>
      </c>
      <c r="AZ49" s="22">
        <f t="shared" ref="AZ49:DK49" si="252">AZ11</f>
        <v>61499.99033763296</v>
      </c>
      <c r="BA49" s="22">
        <f t="shared" si="252"/>
        <v>128569.95494049988</v>
      </c>
      <c r="BB49" s="22">
        <f t="shared" si="252"/>
        <v>76200.049902452156</v>
      </c>
      <c r="BC49" s="22">
        <f t="shared" si="252"/>
        <v>1999.9995399772877</v>
      </c>
      <c r="BD49" s="22">
        <f t="shared" si="252"/>
        <v>370087.94823204511</v>
      </c>
      <c r="BE49" s="22">
        <f t="shared" si="252"/>
        <v>10999.995334951749</v>
      </c>
      <c r="BF49" s="22">
        <f t="shared" si="252"/>
        <v>4999.9975773954848</v>
      </c>
      <c r="BG49" s="22">
        <f t="shared" si="252"/>
        <v>13500.001848212585</v>
      </c>
      <c r="BH49" s="22">
        <f t="shared" si="252"/>
        <v>79494.944878752358</v>
      </c>
      <c r="BI49" s="22">
        <f t="shared" si="252"/>
        <v>93072.990060583208</v>
      </c>
      <c r="BJ49" s="22">
        <f t="shared" si="252"/>
        <v>151500.00555529073</v>
      </c>
      <c r="BK49" s="22">
        <f t="shared" si="252"/>
        <v>98033.041105915661</v>
      </c>
      <c r="BL49" s="22">
        <f t="shared" si="252"/>
        <v>114414.02682166755</v>
      </c>
      <c r="BM49" s="22">
        <f t="shared" si="252"/>
        <v>359461.85903939209</v>
      </c>
      <c r="BN49" s="22">
        <f t="shared" si="252"/>
        <v>140423.97458630626</v>
      </c>
      <c r="BO49" s="22">
        <f t="shared" si="252"/>
        <v>215336.02626412059</v>
      </c>
      <c r="BP49" s="22">
        <f t="shared" si="252"/>
        <v>357868.96611590241</v>
      </c>
      <c r="BQ49" s="22">
        <f t="shared" si="252"/>
        <v>67166.967021274846</v>
      </c>
      <c r="BR49" s="22">
        <f t="shared" si="252"/>
        <v>0</v>
      </c>
      <c r="BS49" s="22">
        <f t="shared" si="252"/>
        <v>318871.0219712535</v>
      </c>
      <c r="BT49" s="22">
        <f t="shared" si="252"/>
        <v>53108.035964560047</v>
      </c>
      <c r="BU49" s="22">
        <f t="shared" si="252"/>
        <v>235779.03311962032</v>
      </c>
      <c r="BV49" s="22">
        <f t="shared" si="252"/>
        <v>168189.93985025809</v>
      </c>
      <c r="BW49" s="22">
        <f t="shared" si="252"/>
        <v>0</v>
      </c>
      <c r="BX49" s="22">
        <f t="shared" si="252"/>
        <v>92947.020866850478</v>
      </c>
      <c r="BY49" s="22">
        <f t="shared" si="252"/>
        <v>166508.87761682825</v>
      </c>
      <c r="BZ49" s="22">
        <f t="shared" si="252"/>
        <v>103810.07587498856</v>
      </c>
      <c r="CA49" s="22">
        <f t="shared" si="252"/>
        <v>149960.11983783447</v>
      </c>
      <c r="CB49" s="22">
        <f t="shared" si="252"/>
        <v>559855.73639503284</v>
      </c>
      <c r="CC49" s="22">
        <f t="shared" si="252"/>
        <v>71405.047483603528</v>
      </c>
      <c r="CD49" s="22">
        <f t="shared" si="252"/>
        <v>87564.211230443107</v>
      </c>
      <c r="CE49" s="22">
        <f t="shared" si="252"/>
        <v>402158.45817818353</v>
      </c>
      <c r="CF49" s="22">
        <f t="shared" si="252"/>
        <v>225529.00006407962</v>
      </c>
      <c r="CG49" s="22">
        <f t="shared" si="252"/>
        <v>274963.84488643426</v>
      </c>
      <c r="CH49" s="22">
        <f t="shared" si="252"/>
        <v>465816.58815621765</v>
      </c>
      <c r="CI49" s="22">
        <f t="shared" si="252"/>
        <v>83781.05366613972</v>
      </c>
      <c r="CJ49" s="22">
        <f t="shared" si="252"/>
        <v>271644.16519344435</v>
      </c>
      <c r="CK49" s="22">
        <f t="shared" si="252"/>
        <v>432361.99506789667</v>
      </c>
      <c r="CL49" s="22">
        <f t="shared" si="252"/>
        <v>241920.90767951062</v>
      </c>
      <c r="CM49" s="22">
        <f t="shared" si="252"/>
        <v>702341.80120611261</v>
      </c>
      <c r="CN49" s="22">
        <f t="shared" si="252"/>
        <v>583000.82283657766</v>
      </c>
      <c r="CO49" s="22">
        <f t="shared" si="252"/>
        <v>376041.66666666663</v>
      </c>
      <c r="CP49" s="22">
        <f t="shared" si="252"/>
        <v>412656.25</v>
      </c>
      <c r="CQ49" s="22">
        <f t="shared" si="252"/>
        <v>438385.41666666663</v>
      </c>
      <c r="CR49" s="22">
        <f t="shared" si="252"/>
        <v>524333.33333333337</v>
      </c>
      <c r="CS49" s="22">
        <f t="shared" si="252"/>
        <v>498766.66666666663</v>
      </c>
      <c r="CT49" s="22">
        <f t="shared" si="252"/>
        <v>554666.66666666674</v>
      </c>
      <c r="CU49" s="22">
        <f t="shared" si="252"/>
        <v>215104.80922180926</v>
      </c>
      <c r="CV49" s="22">
        <f t="shared" si="252"/>
        <v>472754.62607858557</v>
      </c>
      <c r="CW49" s="22">
        <f t="shared" si="252"/>
        <v>939379.31774807628</v>
      </c>
      <c r="CX49" s="22">
        <f t="shared" si="252"/>
        <v>375601.03518486087</v>
      </c>
      <c r="CY49" s="22">
        <f t="shared" si="252"/>
        <v>736691.04559398931</v>
      </c>
      <c r="CZ49" s="22">
        <f t="shared" si="252"/>
        <v>1052758.6165724103</v>
      </c>
      <c r="DA49" s="22">
        <f t="shared" si="252"/>
        <v>360663.99712245271</v>
      </c>
      <c r="DB49" s="22">
        <f t="shared" si="252"/>
        <v>643099.6269673896</v>
      </c>
      <c r="DC49" s="22">
        <f t="shared" si="252"/>
        <v>1130722.10835051</v>
      </c>
      <c r="DD49" s="22">
        <f t="shared" si="252"/>
        <v>485534.01582122431</v>
      </c>
      <c r="DE49" s="22">
        <f t="shared" si="252"/>
        <v>1295127.4794278285</v>
      </c>
      <c r="DF49" s="22">
        <f t="shared" si="252"/>
        <v>1487346.3294265755</v>
      </c>
      <c r="DG49" s="22">
        <f t="shared" si="252"/>
        <v>422982.47942780145</v>
      </c>
      <c r="DH49" s="22">
        <f t="shared" si="252"/>
        <v>893428.45043162326</v>
      </c>
      <c r="DI49" s="22">
        <f t="shared" si="252"/>
        <v>1745444.2168113114</v>
      </c>
      <c r="DJ49" s="22">
        <f t="shared" si="252"/>
        <v>752970.02169415972</v>
      </c>
      <c r="DK49" s="22">
        <f t="shared" si="252"/>
        <v>1412288.7149464537</v>
      </c>
      <c r="DL49" s="22">
        <f t="shared" ref="DL49:FB49" si="253">DL11</f>
        <v>1989400.3820369011</v>
      </c>
      <c r="DM49" s="22">
        <f t="shared" si="253"/>
        <v>658540.83035001939</v>
      </c>
      <c r="DN49" s="22">
        <f t="shared" si="253"/>
        <v>1174243.5222806646</v>
      </c>
      <c r="DO49" s="22">
        <f t="shared" si="253"/>
        <v>2064599.4112782301</v>
      </c>
      <c r="DP49" s="22">
        <f t="shared" si="253"/>
        <v>789167.10290003906</v>
      </c>
      <c r="DQ49" s="22">
        <f t="shared" si="253"/>
        <v>2267413.7702224385</v>
      </c>
      <c r="DR49" s="22">
        <f t="shared" si="253"/>
        <v>2618388.5337060331</v>
      </c>
      <c r="DS49" s="22">
        <f t="shared" si="253"/>
        <v>731196.1637342961</v>
      </c>
      <c r="DT49" s="22">
        <f t="shared" si="253"/>
        <v>1544440.9338429489</v>
      </c>
      <c r="DU49" s="22">
        <f t="shared" si="253"/>
        <v>3017293.0970359202</v>
      </c>
      <c r="DV49" s="22">
        <f t="shared" si="253"/>
        <v>1301634.9802821456</v>
      </c>
      <c r="DW49" s="22">
        <f t="shared" si="253"/>
        <v>2441377.930951274</v>
      </c>
      <c r="DX49" s="22">
        <f t="shared" si="253"/>
        <v>3439012.2480834736</v>
      </c>
      <c r="DY49" s="22">
        <f t="shared" si="253"/>
        <v>1138398.2841694101</v>
      </c>
      <c r="DZ49" s="22">
        <f t="shared" si="253"/>
        <v>2029876.8874374223</v>
      </c>
      <c r="EA49" s="22">
        <f t="shared" si="253"/>
        <v>3569006.3834722149</v>
      </c>
      <c r="EB49" s="22">
        <f t="shared" si="253"/>
        <v>1364207.7065849507</v>
      </c>
      <c r="EC49" s="22">
        <f t="shared" si="253"/>
        <v>3919605.0215312843</v>
      </c>
      <c r="ED49" s="22">
        <f t="shared" si="253"/>
        <v>4526323.7701988872</v>
      </c>
      <c r="EE49" s="22">
        <f t="shared" si="253"/>
        <v>1209921.5185250491</v>
      </c>
      <c r="EF49" s="22">
        <f t="shared" si="253"/>
        <v>2555610.125748063</v>
      </c>
      <c r="EG49" s="22">
        <f t="shared" si="253"/>
        <v>4992761.2135660024</v>
      </c>
      <c r="EH49" s="22">
        <f t="shared" si="253"/>
        <v>2153835.3864785568</v>
      </c>
      <c r="EI49" s="22">
        <f t="shared" si="253"/>
        <v>4039785.5459530205</v>
      </c>
      <c r="EJ49" s="22">
        <f t="shared" si="253"/>
        <v>5690586.3676541531</v>
      </c>
      <c r="EK49" s="22">
        <f t="shared" si="253"/>
        <v>1883725.1191720914</v>
      </c>
      <c r="EL49" s="22">
        <f t="shared" si="253"/>
        <v>3358868.4512842316</v>
      </c>
      <c r="EM49" s="22">
        <f t="shared" si="253"/>
        <v>5905689.6593421688</v>
      </c>
      <c r="EN49" s="22">
        <f t="shared" si="253"/>
        <v>2257375.4373999028</v>
      </c>
      <c r="EO49" s="22">
        <f t="shared" si="253"/>
        <v>6485830.6086420454</v>
      </c>
      <c r="EP49" s="22">
        <f t="shared" si="253"/>
        <v>7489777.4372967398</v>
      </c>
      <c r="EQ49" s="22">
        <f t="shared" si="253"/>
        <v>1929043.9052202164</v>
      </c>
      <c r="ER49" s="22">
        <f t="shared" si="253"/>
        <v>4074548.6890778919</v>
      </c>
      <c r="ES49" s="22">
        <f t="shared" si="253"/>
        <v>7960231.6693981439</v>
      </c>
      <c r="ET49" s="22">
        <f t="shared" si="253"/>
        <v>3433977.2964770785</v>
      </c>
      <c r="EU49" s="22">
        <f t="shared" si="253"/>
        <v>6440850.5564206662</v>
      </c>
      <c r="EV49" s="22">
        <f t="shared" si="253"/>
        <v>9072812.3945050966</v>
      </c>
      <c r="EW49" s="22">
        <f t="shared" si="253"/>
        <v>3003325.7567638834</v>
      </c>
      <c r="EX49" s="22">
        <f t="shared" si="253"/>
        <v>5355227.2731581898</v>
      </c>
      <c r="EY49" s="22">
        <f t="shared" si="253"/>
        <v>9415763.3111310042</v>
      </c>
      <c r="EZ49" s="22">
        <f t="shared" si="253"/>
        <v>3599056.8500827523</v>
      </c>
      <c r="FA49" s="22">
        <f t="shared" si="253"/>
        <v>10340713.686242817</v>
      </c>
      <c r="FB49" s="22">
        <f t="shared" si="253"/>
        <v>11941360.90288409</v>
      </c>
    </row>
    <row r="50" spans="3:158" x14ac:dyDescent="0.25">
      <c r="C50" s="377" t="s">
        <v>607</v>
      </c>
      <c r="D50" s="16">
        <f t="shared" si="215"/>
        <v>309335.14201657858</v>
      </c>
      <c r="E50" s="16">
        <f t="shared" si="215"/>
        <v>727534.81379462755</v>
      </c>
      <c r="F50" s="16">
        <f t="shared" si="215"/>
        <v>927172.40603179589</v>
      </c>
      <c r="G50" s="16">
        <f t="shared" si="215"/>
        <v>1565605.7098418337</v>
      </c>
      <c r="H50" s="16">
        <f t="shared" si="215"/>
        <v>2558943.840573356</v>
      </c>
      <c r="I50" s="16">
        <f t="shared" si="215"/>
        <v>4336629.6978238728</v>
      </c>
      <c r="J50" s="16">
        <f t="shared" si="215"/>
        <v>6916144.3596629649</v>
      </c>
      <c r="K50" s="16">
        <f t="shared" si="215"/>
        <v>10483774.921285877</v>
      </c>
      <c r="L50" s="16">
        <f t="shared" si="215"/>
        <v>15183516.235197835</v>
      </c>
      <c r="N50" s="16">
        <f t="shared" si="216"/>
        <v>61499.437171510755</v>
      </c>
      <c r="O50" s="16">
        <f t="shared" si="217"/>
        <v>122951.81671604338</v>
      </c>
      <c r="P50" s="16">
        <f t="shared" si="218"/>
        <v>10930.531662693327</v>
      </c>
      <c r="Q50" s="16">
        <f t="shared" si="219"/>
        <v>113953.35646633108</v>
      </c>
      <c r="R50" s="16">
        <f t="shared" si="220"/>
        <v>214599.85474755248</v>
      </c>
      <c r="S50" s="16">
        <f t="shared" si="221"/>
        <v>235098.02092156859</v>
      </c>
      <c r="T50" s="16">
        <f t="shared" si="222"/>
        <v>128839.57646920253</v>
      </c>
      <c r="U50" s="16">
        <f t="shared" si="223"/>
        <v>148997.36165630404</v>
      </c>
      <c r="V50" s="16">
        <f t="shared" si="224"/>
        <v>76345.152931285629</v>
      </c>
      <c r="W50" s="16">
        <f t="shared" si="225"/>
        <v>303532.34908480535</v>
      </c>
      <c r="X50" s="16">
        <f t="shared" si="226"/>
        <v>178243.46067047727</v>
      </c>
      <c r="Y50" s="16">
        <f t="shared" si="227"/>
        <v>369051.44334522751</v>
      </c>
      <c r="Z50" s="16">
        <f t="shared" si="228"/>
        <v>286004.42561651708</v>
      </c>
      <c r="AA50" s="16">
        <f t="shared" si="229"/>
        <v>516013.23943405907</v>
      </c>
      <c r="AB50" s="16">
        <f t="shared" si="230"/>
        <v>338584.57619627647</v>
      </c>
      <c r="AC50" s="16">
        <f t="shared" si="231"/>
        <v>425003.46859498107</v>
      </c>
      <c r="AD50" s="16">
        <f t="shared" si="232"/>
        <v>452866.8681851477</v>
      </c>
      <c r="AE50" s="16">
        <f t="shared" si="233"/>
        <v>602542.0221431572</v>
      </c>
      <c r="AF50" s="16">
        <f t="shared" si="234"/>
        <v>594035.67363746883</v>
      </c>
      <c r="AG50" s="16">
        <f t="shared" si="235"/>
        <v>909499.27660758235</v>
      </c>
      <c r="AH50" s="16">
        <f t="shared" si="236"/>
        <v>790889.08230625594</v>
      </c>
      <c r="AI50" s="16">
        <f t="shared" si="237"/>
        <v>1073164.5947519843</v>
      </c>
      <c r="AJ50" s="16">
        <f t="shared" si="238"/>
        <v>1006709.3708808608</v>
      </c>
      <c r="AK50" s="16">
        <f t="shared" si="239"/>
        <v>1465866.6498847718</v>
      </c>
      <c r="AL50" s="16">
        <f t="shared" si="240"/>
        <v>1261325.8329287916</v>
      </c>
      <c r="AM50" s="16">
        <f t="shared" si="241"/>
        <v>1711504.5037643816</v>
      </c>
      <c r="AN50" s="16">
        <f t="shared" si="242"/>
        <v>1605520.3746659155</v>
      </c>
      <c r="AO50" s="16">
        <f t="shared" si="243"/>
        <v>2337793.6483038771</v>
      </c>
      <c r="AP50" s="16">
        <f t="shared" si="244"/>
        <v>1911969.3643111414</v>
      </c>
      <c r="AQ50" s="16">
        <f t="shared" si="245"/>
        <v>2594368.633899834</v>
      </c>
      <c r="AR50" s="16">
        <f t="shared" si="246"/>
        <v>2433713.5496628452</v>
      </c>
      <c r="AS50" s="16">
        <f t="shared" si="247"/>
        <v>3543723.373412054</v>
      </c>
      <c r="AT50" s="16">
        <f t="shared" si="248"/>
        <v>2769080.6128693959</v>
      </c>
      <c r="AU50" s="16">
        <f t="shared" si="249"/>
        <v>3757390.6888182815</v>
      </c>
      <c r="AV50" s="16">
        <f t="shared" si="250"/>
        <v>3524715.998824059</v>
      </c>
      <c r="AW50" s="16">
        <f t="shared" si="251"/>
        <v>5132328.9346860982</v>
      </c>
      <c r="AY50" s="16">
        <f>AY40*AY$49</f>
        <v>0</v>
      </c>
      <c r="AZ50" s="16">
        <f t="shared" ref="AZ50:DK51" si="254">AZ40*AZ$49</f>
        <v>26348.422367894513</v>
      </c>
      <c r="BA50" s="16">
        <f t="shared" si="254"/>
        <v>35151.014803616243</v>
      </c>
      <c r="BB50" s="16">
        <f t="shared" si="254"/>
        <v>23157.058853093426</v>
      </c>
      <c r="BC50" s="16">
        <f t="shared" si="254"/>
        <v>458.70836137281287</v>
      </c>
      <c r="BD50" s="16">
        <f t="shared" si="254"/>
        <v>99336.049501577145</v>
      </c>
      <c r="BE50" s="16">
        <f t="shared" si="254"/>
        <v>4526.1806491742345</v>
      </c>
      <c r="BF50" s="16">
        <f t="shared" si="254"/>
        <v>2177.1565442174674</v>
      </c>
      <c r="BG50" s="16">
        <f t="shared" si="254"/>
        <v>4227.1944693016239</v>
      </c>
      <c r="BH50" s="16">
        <f t="shared" si="254"/>
        <v>33035.027054844017</v>
      </c>
      <c r="BI50" s="16">
        <f t="shared" si="254"/>
        <v>28680.126903722496</v>
      </c>
      <c r="BJ50" s="16">
        <f t="shared" si="254"/>
        <v>52238.202507764567</v>
      </c>
      <c r="BK50" s="16">
        <f t="shared" si="254"/>
        <v>42891.323700993504</v>
      </c>
      <c r="BL50" s="16">
        <f t="shared" si="254"/>
        <v>56073.56753479279</v>
      </c>
      <c r="BM50" s="16">
        <f t="shared" si="254"/>
        <v>115634.96351176618</v>
      </c>
      <c r="BN50" s="16">
        <f t="shared" si="254"/>
        <v>63898.447478384398</v>
      </c>
      <c r="BO50" s="16">
        <f t="shared" si="254"/>
        <v>53670.052447511189</v>
      </c>
      <c r="BP50" s="16">
        <f t="shared" si="254"/>
        <v>117529.520995673</v>
      </c>
      <c r="BQ50" s="16">
        <f t="shared" si="254"/>
        <v>24724.984053588931</v>
      </c>
      <c r="BR50" s="16">
        <f t="shared" si="254"/>
        <v>0</v>
      </c>
      <c r="BS50" s="16">
        <f t="shared" si="254"/>
        <v>104114.5924156136</v>
      </c>
      <c r="BT50" s="16">
        <f t="shared" si="254"/>
        <v>28628.767496366338</v>
      </c>
      <c r="BU50" s="16">
        <f t="shared" si="254"/>
        <v>71799.919232914195</v>
      </c>
      <c r="BV50" s="16">
        <f t="shared" si="254"/>
        <v>48568.674927023516</v>
      </c>
      <c r="BW50" s="16">
        <f t="shared" si="254"/>
        <v>0</v>
      </c>
      <c r="BX50" s="16">
        <f t="shared" si="254"/>
        <v>23679.558855122814</v>
      </c>
      <c r="BY50" s="16">
        <f t="shared" si="254"/>
        <v>52665.594076162815</v>
      </c>
      <c r="BZ50" s="16">
        <f t="shared" si="254"/>
        <v>30159.260647821113</v>
      </c>
      <c r="CA50" s="16">
        <f t="shared" si="254"/>
        <v>56775.909274604062</v>
      </c>
      <c r="CB50" s="16">
        <f t="shared" si="254"/>
        <v>216597.1791623802</v>
      </c>
      <c r="CC50" s="16">
        <f t="shared" si="254"/>
        <v>23951.984472523789</v>
      </c>
      <c r="CD50" s="16">
        <f t="shared" si="254"/>
        <v>20800.994483954331</v>
      </c>
      <c r="CE50" s="16">
        <f t="shared" si="254"/>
        <v>133490.48171399915</v>
      </c>
      <c r="CF50" s="16">
        <f t="shared" si="254"/>
        <v>107732.44041849859</v>
      </c>
      <c r="CG50" s="16">
        <f t="shared" si="254"/>
        <v>90437.812028257016</v>
      </c>
      <c r="CH50" s="16">
        <f t="shared" si="254"/>
        <v>170881.19089847195</v>
      </c>
      <c r="CI50" s="16">
        <f t="shared" si="254"/>
        <v>37252.904985760637</v>
      </c>
      <c r="CJ50" s="16">
        <f t="shared" si="254"/>
        <v>108758.11680286776</v>
      </c>
      <c r="CK50" s="16">
        <f t="shared" si="254"/>
        <v>139993.40382788869</v>
      </c>
      <c r="CL50" s="16">
        <f t="shared" si="254"/>
        <v>76235.284663484825</v>
      </c>
      <c r="CM50" s="16">
        <f t="shared" si="254"/>
        <v>250718.45167090924</v>
      </c>
      <c r="CN50" s="16">
        <f t="shared" si="254"/>
        <v>189059.50309966499</v>
      </c>
      <c r="CO50" s="16">
        <f t="shared" si="254"/>
        <v>103759.78947950409</v>
      </c>
      <c r="CP50" s="16">
        <f t="shared" si="254"/>
        <v>113862.71634987685</v>
      </c>
      <c r="CQ50" s="16">
        <f t="shared" si="254"/>
        <v>120962.07036689555</v>
      </c>
      <c r="CR50" s="16">
        <f t="shared" si="254"/>
        <v>141239.82340014479</v>
      </c>
      <c r="CS50" s="16">
        <f t="shared" si="254"/>
        <v>134352.92292030298</v>
      </c>
      <c r="CT50" s="16">
        <f t="shared" si="254"/>
        <v>149410.7222745333</v>
      </c>
      <c r="CU50" s="16">
        <f t="shared" si="254"/>
        <v>59864.504272252139</v>
      </c>
      <c r="CV50" s="16">
        <f t="shared" si="254"/>
        <v>131569.4494929917</v>
      </c>
      <c r="CW50" s="16">
        <f t="shared" si="254"/>
        <v>261432.91441990386</v>
      </c>
      <c r="CX50" s="16">
        <f t="shared" si="254"/>
        <v>104531.22762262574</v>
      </c>
      <c r="CY50" s="16">
        <f t="shared" si="254"/>
        <v>205023.98066244554</v>
      </c>
      <c r="CZ50" s="16">
        <f t="shared" si="254"/>
        <v>292986.81385808589</v>
      </c>
      <c r="DA50" s="16">
        <f t="shared" si="254"/>
        <v>100374.19188671267</v>
      </c>
      <c r="DB50" s="16">
        <f t="shared" si="254"/>
        <v>178977.12517610085</v>
      </c>
      <c r="DC50" s="16">
        <f t="shared" si="254"/>
        <v>314684.35657465539</v>
      </c>
      <c r="DD50" s="16">
        <f t="shared" si="254"/>
        <v>135126.00331720716</v>
      </c>
      <c r="DE50" s="16">
        <f t="shared" si="254"/>
        <v>360439.01020069554</v>
      </c>
      <c r="DF50" s="16">
        <f t="shared" si="254"/>
        <v>413934.26308967965</v>
      </c>
      <c r="DG50" s="16">
        <f t="shared" si="254"/>
        <v>109258.01808424132</v>
      </c>
      <c r="DH50" s="16">
        <f t="shared" si="254"/>
        <v>230776.04047875392</v>
      </c>
      <c r="DI50" s="16">
        <f t="shared" si="254"/>
        <v>450855.02374326071</v>
      </c>
      <c r="DJ50" s="16">
        <f t="shared" si="254"/>
        <v>194495.0825349596</v>
      </c>
      <c r="DK50" s="16">
        <f t="shared" si="254"/>
        <v>364799.66301802255</v>
      </c>
      <c r="DL50" s="16">
        <f t="shared" ref="DL50:FB52" si="255">DL40*DL$49</f>
        <v>513869.84919900214</v>
      </c>
      <c r="DM50" s="16">
        <f t="shared" si="255"/>
        <v>170103.65547274391</v>
      </c>
      <c r="DN50" s="16">
        <f t="shared" si="255"/>
        <v>303311.66474365222</v>
      </c>
      <c r="DO50" s="16">
        <f t="shared" si="255"/>
        <v>533294.05066446471</v>
      </c>
      <c r="DP50" s="16">
        <f t="shared" si="255"/>
        <v>203844.92926700076</v>
      </c>
      <c r="DQ50" s="16">
        <f t="shared" si="255"/>
        <v>585681.78768668452</v>
      </c>
      <c r="DR50" s="16">
        <f t="shared" si="255"/>
        <v>676339.93293108651</v>
      </c>
      <c r="DS50" s="16">
        <f t="shared" si="255"/>
        <v>174246.88713921397</v>
      </c>
      <c r="DT50" s="16">
        <f t="shared" si="255"/>
        <v>368046.27600631933</v>
      </c>
      <c r="DU50" s="16">
        <f t="shared" si="255"/>
        <v>719032.66978325834</v>
      </c>
      <c r="DV50" s="16">
        <f t="shared" si="255"/>
        <v>310184.67376436252</v>
      </c>
      <c r="DW50" s="16">
        <f t="shared" si="255"/>
        <v>581789.847783198</v>
      </c>
      <c r="DX50" s="16">
        <f t="shared" si="255"/>
        <v>819529.98221682117</v>
      </c>
      <c r="DY50" s="16">
        <f t="shared" si="255"/>
        <v>271284.73476677522</v>
      </c>
      <c r="DZ50" s="16">
        <f t="shared" si="255"/>
        <v>483727.55008098739</v>
      </c>
      <c r="EA50" s="16">
        <f t="shared" si="255"/>
        <v>850508.08981815272</v>
      </c>
      <c r="EB50" s="16">
        <f t="shared" si="255"/>
        <v>325095.99759078212</v>
      </c>
      <c r="EC50" s="16">
        <f t="shared" si="255"/>
        <v>934057.10764265002</v>
      </c>
      <c r="ED50" s="16">
        <f t="shared" si="255"/>
        <v>1078640.5430704448</v>
      </c>
      <c r="EE50" s="16">
        <f t="shared" si="255"/>
        <v>264130.56907204917</v>
      </c>
      <c r="EF50" s="16">
        <f t="shared" si="255"/>
        <v>557899.62117791036</v>
      </c>
      <c r="EG50" s="16">
        <f t="shared" si="255"/>
        <v>1089939.174061182</v>
      </c>
      <c r="EH50" s="16">
        <f t="shared" si="255"/>
        <v>470190.63435751293</v>
      </c>
      <c r="EI50" s="16">
        <f t="shared" si="255"/>
        <v>881900.88269722695</v>
      </c>
      <c r="EJ50" s="16">
        <f t="shared" si="255"/>
        <v>1242277.1168450944</v>
      </c>
      <c r="EK50" s="16">
        <f t="shared" si="255"/>
        <v>411224.51339552511</v>
      </c>
      <c r="EL50" s="16">
        <f t="shared" si="255"/>
        <v>733254.03498680645</v>
      </c>
      <c r="EM50" s="16">
        <f t="shared" si="255"/>
        <v>1289235.0012805138</v>
      </c>
      <c r="EN50" s="16">
        <f t="shared" si="255"/>
        <v>492793.82981513452</v>
      </c>
      <c r="EO50" s="16">
        <f t="shared" si="255"/>
        <v>1415882.024855542</v>
      </c>
      <c r="EP50" s="16">
        <f t="shared" si="255"/>
        <v>1635047.5187413779</v>
      </c>
      <c r="EQ50" s="16">
        <f t="shared" si="255"/>
        <v>382536.90238759964</v>
      </c>
      <c r="ER50" s="16">
        <f t="shared" si="255"/>
        <v>807998.8381443175</v>
      </c>
      <c r="ES50" s="16">
        <f t="shared" si="255"/>
        <v>1578544.8723374784</v>
      </c>
      <c r="ET50" s="16">
        <f t="shared" si="255"/>
        <v>680971.04182484874</v>
      </c>
      <c r="EU50" s="16">
        <f t="shared" si="255"/>
        <v>1277245.6935412982</v>
      </c>
      <c r="EV50" s="16">
        <f t="shared" si="255"/>
        <v>1799173.9534521345</v>
      </c>
      <c r="EW50" s="16">
        <f t="shared" si="255"/>
        <v>595571.16805083561</v>
      </c>
      <c r="EX50" s="16">
        <f t="shared" si="255"/>
        <v>1061962.3778970779</v>
      </c>
      <c r="EY50" s="16">
        <f t="shared" si="255"/>
        <v>1867182.4528761457</v>
      </c>
      <c r="EZ50" s="16">
        <f t="shared" si="255"/>
        <v>713706.95877985109</v>
      </c>
      <c r="FA50" s="16">
        <f t="shared" si="255"/>
        <v>2050603.7064826721</v>
      </c>
      <c r="FB50" s="16">
        <f t="shared" si="255"/>
        <v>2368018.2694235747</v>
      </c>
    </row>
    <row r="51" spans="3:158" x14ac:dyDescent="0.25">
      <c r="C51" s="377" t="s">
        <v>608</v>
      </c>
      <c r="D51" s="16">
        <f t="shared" si="215"/>
        <v>340101.78209873592</v>
      </c>
      <c r="E51" s="16">
        <f t="shared" si="215"/>
        <v>688270.56432809227</v>
      </c>
      <c r="F51" s="16">
        <f t="shared" si="215"/>
        <v>930369.08998117573</v>
      </c>
      <c r="G51" s="16">
        <f t="shared" si="215"/>
        <v>1809508.4402146689</v>
      </c>
      <c r="H51" s="16">
        <f t="shared" si="215"/>
        <v>3077048.8622445595</v>
      </c>
      <c r="I51" s="16">
        <f t="shared" si="215"/>
        <v>5282644.032223952</v>
      </c>
      <c r="J51" s="16">
        <f t="shared" si="215"/>
        <v>8551488.8143239059</v>
      </c>
      <c r="K51" s="16">
        <f t="shared" si="215"/>
        <v>13189804.498615397</v>
      </c>
      <c r="L51" s="16">
        <f t="shared" si="215"/>
        <v>19497886.864671908</v>
      </c>
      <c r="N51" s="16">
        <f t="shared" si="216"/>
        <v>60771.003337357877</v>
      </c>
      <c r="O51" s="16">
        <f t="shared" si="217"/>
        <v>183931.32440005691</v>
      </c>
      <c r="P51" s="16">
        <f t="shared" si="218"/>
        <v>7589.9135638671523</v>
      </c>
      <c r="Q51" s="16">
        <f t="shared" si="219"/>
        <v>87809.540797453927</v>
      </c>
      <c r="R51" s="16">
        <f t="shared" si="220"/>
        <v>189351.13870650798</v>
      </c>
      <c r="S51" s="16">
        <f t="shared" si="221"/>
        <v>174936.51193242101</v>
      </c>
      <c r="T51" s="16">
        <f t="shared" si="222"/>
        <v>152933.30179607944</v>
      </c>
      <c r="U51" s="16">
        <f t="shared" si="223"/>
        <v>171049.61189308373</v>
      </c>
      <c r="V51" s="16">
        <f t="shared" si="224"/>
        <v>120834.18294991041</v>
      </c>
      <c r="W51" s="16">
        <f t="shared" si="225"/>
        <v>276142.32517365419</v>
      </c>
      <c r="X51" s="16">
        <f t="shared" si="226"/>
        <v>170217.84982481398</v>
      </c>
      <c r="Y51" s="16">
        <f t="shared" si="227"/>
        <v>363174.73203279718</v>
      </c>
      <c r="Z51" s="16">
        <f t="shared" si="228"/>
        <v>266876.8373833943</v>
      </c>
      <c r="AA51" s="16">
        <f t="shared" si="229"/>
        <v>472840.78248748177</v>
      </c>
      <c r="AB51" s="16">
        <f t="shared" si="230"/>
        <v>443326.55112711585</v>
      </c>
      <c r="AC51" s="16">
        <f t="shared" si="231"/>
        <v>626464.26921667752</v>
      </c>
      <c r="AD51" s="16">
        <f t="shared" si="232"/>
        <v>544558.05532064335</v>
      </c>
      <c r="AE51" s="16">
        <f t="shared" si="233"/>
        <v>724537.68398243538</v>
      </c>
      <c r="AF51" s="16">
        <f t="shared" si="234"/>
        <v>714309.06951412442</v>
      </c>
      <c r="AG51" s="16">
        <f t="shared" si="235"/>
        <v>1093644.0534273561</v>
      </c>
      <c r="AH51" s="16">
        <f t="shared" si="236"/>
        <v>963417.62657133024</v>
      </c>
      <c r="AI51" s="16">
        <f t="shared" si="237"/>
        <v>1307270.146885124</v>
      </c>
      <c r="AJ51" s="16">
        <f t="shared" si="238"/>
        <v>1226318.0443874034</v>
      </c>
      <c r="AK51" s="16">
        <f t="shared" si="239"/>
        <v>1785638.2143800936</v>
      </c>
      <c r="AL51" s="16">
        <f t="shared" si="240"/>
        <v>1559570.360389929</v>
      </c>
      <c r="AM51" s="16">
        <f t="shared" si="241"/>
        <v>2116195.2178105386</v>
      </c>
      <c r="AN51" s="16">
        <f t="shared" si="242"/>
        <v>1985150.8024036915</v>
      </c>
      <c r="AO51" s="16">
        <f t="shared" si="243"/>
        <v>2890572.4337197472</v>
      </c>
      <c r="AP51" s="16">
        <f t="shared" si="244"/>
        <v>2405479.1629876732</v>
      </c>
      <c r="AQ51" s="16">
        <f t="shared" si="245"/>
        <v>3264016.571836282</v>
      </c>
      <c r="AR51" s="16">
        <f t="shared" si="246"/>
        <v>3061893.8470826149</v>
      </c>
      <c r="AS51" s="16">
        <f t="shared" si="247"/>
        <v>4458414.9167088252</v>
      </c>
      <c r="AT51" s="16">
        <f t="shared" si="248"/>
        <v>3555910.216878715</v>
      </c>
      <c r="AU51" s="16">
        <f t="shared" si="249"/>
        <v>4825046.9405182507</v>
      </c>
      <c r="AV51" s="16">
        <f t="shared" si="250"/>
        <v>4526258.1282625478</v>
      </c>
      <c r="AW51" s="16">
        <f t="shared" si="251"/>
        <v>6590671.5790123949</v>
      </c>
      <c r="AY51" s="16">
        <f t="shared" ref="AY51:BN52" si="256">AY41*AY$49</f>
        <v>0</v>
      </c>
      <c r="AZ51" s="16">
        <f t="shared" si="256"/>
        <v>15459.787270813369</v>
      </c>
      <c r="BA51" s="16">
        <f t="shared" si="256"/>
        <v>45311.216066544504</v>
      </c>
      <c r="BB51" s="16">
        <f t="shared" si="256"/>
        <v>21353.193135557205</v>
      </c>
      <c r="BC51" s="16">
        <f t="shared" si="256"/>
        <v>812.19859311911159</v>
      </c>
      <c r="BD51" s="16">
        <f t="shared" si="256"/>
        <v>161765.93267138061</v>
      </c>
      <c r="BE51" s="16">
        <f t="shared" si="256"/>
        <v>1057.4109367751023</v>
      </c>
      <c r="BF51" s="16">
        <f t="shared" si="256"/>
        <v>1841.867899862091</v>
      </c>
      <c r="BG51" s="16">
        <f t="shared" si="256"/>
        <v>4690.634727229959</v>
      </c>
      <c r="BH51" s="16">
        <f t="shared" si="256"/>
        <v>19391.699414835097</v>
      </c>
      <c r="BI51" s="16">
        <f t="shared" si="256"/>
        <v>23480.115295120268</v>
      </c>
      <c r="BJ51" s="16">
        <f t="shared" si="256"/>
        <v>44937.726087498573</v>
      </c>
      <c r="BK51" s="16">
        <f t="shared" si="256"/>
        <v>31206.863787510498</v>
      </c>
      <c r="BL51" s="16">
        <f t="shared" si="256"/>
        <v>18767.852277239821</v>
      </c>
      <c r="BM51" s="16">
        <f t="shared" si="256"/>
        <v>139376.42264175767</v>
      </c>
      <c r="BN51" s="16">
        <f t="shared" si="256"/>
        <v>33211.567968654555</v>
      </c>
      <c r="BO51" s="16">
        <f t="shared" si="254"/>
        <v>42754.071551257577</v>
      </c>
      <c r="BP51" s="16">
        <f t="shared" si="254"/>
        <v>98970.872412508877</v>
      </c>
      <c r="BQ51" s="16">
        <f t="shared" si="254"/>
        <v>15179.557538997353</v>
      </c>
      <c r="BR51" s="16">
        <f t="shared" si="254"/>
        <v>0</v>
      </c>
      <c r="BS51" s="16">
        <f t="shared" si="254"/>
        <v>137753.74425708209</v>
      </c>
      <c r="BT51" s="16">
        <f t="shared" si="254"/>
        <v>15255.024827885452</v>
      </c>
      <c r="BU51" s="16">
        <f t="shared" si="254"/>
        <v>99520.440371133809</v>
      </c>
      <c r="BV51" s="16">
        <f t="shared" si="254"/>
        <v>56274.146694064468</v>
      </c>
      <c r="BW51" s="16">
        <f t="shared" si="254"/>
        <v>0</v>
      </c>
      <c r="BX51" s="16">
        <f t="shared" si="254"/>
        <v>35052.647848829634</v>
      </c>
      <c r="BY51" s="16">
        <f t="shared" si="254"/>
        <v>85781.535101080779</v>
      </c>
      <c r="BZ51" s="16">
        <f t="shared" si="254"/>
        <v>30707.481607649752</v>
      </c>
      <c r="CA51" s="16">
        <f t="shared" si="254"/>
        <v>64340.732598803836</v>
      </c>
      <c r="CB51" s="16">
        <f t="shared" si="254"/>
        <v>181094.1109672006</v>
      </c>
      <c r="CC51" s="16">
        <f t="shared" si="254"/>
        <v>31268.026808603085</v>
      </c>
      <c r="CD51" s="16">
        <f t="shared" si="254"/>
        <v>26210.312651483324</v>
      </c>
      <c r="CE51" s="16">
        <f t="shared" si="254"/>
        <v>112739.51036472757</v>
      </c>
      <c r="CF51" s="16">
        <f t="shared" si="254"/>
        <v>70028.144774947796</v>
      </c>
      <c r="CG51" s="16">
        <f t="shared" si="254"/>
        <v>103950.48824675348</v>
      </c>
      <c r="CH51" s="16">
        <f t="shared" si="254"/>
        <v>189196.09901109588</v>
      </c>
      <c r="CI51" s="16">
        <f t="shared" si="254"/>
        <v>16315.188427817147</v>
      </c>
      <c r="CJ51" s="16">
        <f t="shared" si="254"/>
        <v>104011.86992524899</v>
      </c>
      <c r="CK51" s="16">
        <f t="shared" si="254"/>
        <v>146549.77903032815</v>
      </c>
      <c r="CL51" s="16">
        <f t="shared" si="254"/>
        <v>96234.982372939587</v>
      </c>
      <c r="CM51" s="16">
        <f t="shared" si="254"/>
        <v>243579.66285486228</v>
      </c>
      <c r="CN51" s="16">
        <f t="shared" si="254"/>
        <v>133026.1372596799</v>
      </c>
      <c r="CO51" s="16">
        <f t="shared" si="254"/>
        <v>135858.13663572905</v>
      </c>
      <c r="CP51" s="16">
        <f t="shared" si="254"/>
        <v>149086.42888710267</v>
      </c>
      <c r="CQ51" s="16">
        <f t="shared" si="254"/>
        <v>158381.9856042841</v>
      </c>
      <c r="CR51" s="16">
        <f t="shared" si="254"/>
        <v>208190.54263998347</v>
      </c>
      <c r="CS51" s="16">
        <f t="shared" si="254"/>
        <v>198039.10295753795</v>
      </c>
      <c r="CT51" s="16">
        <f t="shared" si="254"/>
        <v>220234.62361915607</v>
      </c>
      <c r="CU51" s="16">
        <f t="shared" si="254"/>
        <v>71985.168974437067</v>
      </c>
      <c r="CV51" s="16">
        <f t="shared" si="254"/>
        <v>158208.0929051743</v>
      </c>
      <c r="CW51" s="16">
        <f t="shared" si="254"/>
        <v>314364.79344103206</v>
      </c>
      <c r="CX51" s="16">
        <f t="shared" si="254"/>
        <v>125695.48808588127</v>
      </c>
      <c r="CY51" s="16">
        <f t="shared" si="254"/>
        <v>246534.83848589519</v>
      </c>
      <c r="CZ51" s="16">
        <f t="shared" si="254"/>
        <v>352307.35741065897</v>
      </c>
      <c r="DA51" s="16">
        <f t="shared" si="254"/>
        <v>120696.7843712131</v>
      </c>
      <c r="DB51" s="16">
        <f t="shared" si="254"/>
        <v>215214.32032190621</v>
      </c>
      <c r="DC51" s="16">
        <f t="shared" si="254"/>
        <v>378397.96482100512</v>
      </c>
      <c r="DD51" s="16">
        <f t="shared" si="254"/>
        <v>162484.73615337539</v>
      </c>
      <c r="DE51" s="16">
        <f t="shared" si="254"/>
        <v>433416.48560685228</v>
      </c>
      <c r="DF51" s="16">
        <f t="shared" si="254"/>
        <v>497742.83166712837</v>
      </c>
      <c r="DG51" s="16">
        <f t="shared" si="254"/>
        <v>133092.1147117909</v>
      </c>
      <c r="DH51" s="16">
        <f t="shared" si="254"/>
        <v>281118.69307797076</v>
      </c>
      <c r="DI51" s="16">
        <f t="shared" si="254"/>
        <v>549206.81878156855</v>
      </c>
      <c r="DJ51" s="16">
        <f t="shared" si="254"/>
        <v>236923.22348061774</v>
      </c>
      <c r="DK51" s="16">
        <f t="shared" si="254"/>
        <v>444378.90645043779</v>
      </c>
      <c r="DL51" s="16">
        <f t="shared" si="255"/>
        <v>625968.01695406844</v>
      </c>
      <c r="DM51" s="16">
        <f t="shared" si="255"/>
        <v>207210.92716158976</v>
      </c>
      <c r="DN51" s="16">
        <f t="shared" si="255"/>
        <v>369477.60526244529</v>
      </c>
      <c r="DO51" s="16">
        <f t="shared" si="255"/>
        <v>649629.51196336839</v>
      </c>
      <c r="DP51" s="16">
        <f t="shared" si="255"/>
        <v>248312.69306479988</v>
      </c>
      <c r="DQ51" s="16">
        <f t="shared" si="255"/>
        <v>713445.37488590891</v>
      </c>
      <c r="DR51" s="16">
        <f t="shared" si="255"/>
        <v>823880.14642938483</v>
      </c>
      <c r="DS51" s="16">
        <f t="shared" si="255"/>
        <v>215448.12092013098</v>
      </c>
      <c r="DT51" s="16">
        <f t="shared" si="255"/>
        <v>455071.9951390638</v>
      </c>
      <c r="DU51" s="16">
        <f t="shared" si="255"/>
        <v>889050.24433073425</v>
      </c>
      <c r="DV51" s="16">
        <f t="shared" si="255"/>
        <v>383528.83198058617</v>
      </c>
      <c r="DW51" s="16">
        <f t="shared" si="255"/>
        <v>719355.91810690227</v>
      </c>
      <c r="DX51" s="16">
        <f t="shared" si="255"/>
        <v>1013310.4677230504</v>
      </c>
      <c r="DY51" s="16">
        <f t="shared" si="255"/>
        <v>335430.8779882029</v>
      </c>
      <c r="DZ51" s="16">
        <f t="shared" si="255"/>
        <v>598106.4764673959</v>
      </c>
      <c r="EA51" s="16">
        <f t="shared" si="255"/>
        <v>1051613.4479480926</v>
      </c>
      <c r="EB51" s="16">
        <f t="shared" si="255"/>
        <v>401965.98601862055</v>
      </c>
      <c r="EC51" s="16">
        <f t="shared" si="255"/>
        <v>1154917.8982630591</v>
      </c>
      <c r="ED51" s="16">
        <f t="shared" si="255"/>
        <v>1333688.5494380677</v>
      </c>
      <c r="EE51" s="16">
        <f t="shared" si="255"/>
        <v>332306.88319098827</v>
      </c>
      <c r="EF51" s="16">
        <f t="shared" si="255"/>
        <v>701902.41477310041</v>
      </c>
      <c r="EG51" s="16">
        <f t="shared" si="255"/>
        <v>1371269.8650235846</v>
      </c>
      <c r="EH51" s="16">
        <f t="shared" si="255"/>
        <v>591554.3390447842</v>
      </c>
      <c r="EI51" s="16">
        <f t="shared" si="255"/>
        <v>1109533.5713775558</v>
      </c>
      <c r="EJ51" s="16">
        <f t="shared" si="255"/>
        <v>1562928.661413942</v>
      </c>
      <c r="EK51" s="16">
        <f t="shared" si="255"/>
        <v>517368.12144951627</v>
      </c>
      <c r="EL51" s="16">
        <f t="shared" si="255"/>
        <v>922518.60059111484</v>
      </c>
      <c r="EM51" s="16">
        <f t="shared" si="255"/>
        <v>1622007.1250419836</v>
      </c>
      <c r="EN51" s="16">
        <f t="shared" si="255"/>
        <v>619991.77988727158</v>
      </c>
      <c r="EO51" s="16">
        <f t="shared" si="255"/>
        <v>1781343.76607331</v>
      </c>
      <c r="EP51" s="16">
        <f t="shared" si="255"/>
        <v>2057079.3707482435</v>
      </c>
      <c r="EQ51" s="16">
        <f t="shared" si="255"/>
        <v>491234.12052769982</v>
      </c>
      <c r="ER51" s="16">
        <f t="shared" si="255"/>
        <v>1037590.3505410241</v>
      </c>
      <c r="ES51" s="16">
        <f t="shared" si="255"/>
        <v>2027085.7458099911</v>
      </c>
      <c r="ET51" s="16">
        <f t="shared" si="255"/>
        <v>874467.81930784194</v>
      </c>
      <c r="EU51" s="16">
        <f t="shared" si="255"/>
        <v>1640172.911550429</v>
      </c>
      <c r="EV51" s="16">
        <f t="shared" si="255"/>
        <v>2310406.2096599797</v>
      </c>
      <c r="EW51" s="16">
        <f t="shared" si="255"/>
        <v>764801.71487526246</v>
      </c>
      <c r="EX51" s="16">
        <f t="shared" si="255"/>
        <v>1363717.2034482558</v>
      </c>
      <c r="EY51" s="16">
        <f t="shared" si="255"/>
        <v>2397739.2099390291</v>
      </c>
      <c r="EZ51" s="16">
        <f t="shared" si="255"/>
        <v>916505.59206829709</v>
      </c>
      <c r="FA51" s="16">
        <f t="shared" si="255"/>
        <v>2633279.3046047068</v>
      </c>
      <c r="FB51" s="16">
        <f t="shared" si="255"/>
        <v>3040886.6823393907</v>
      </c>
    </row>
    <row r="52" spans="3:158" x14ac:dyDescent="0.25">
      <c r="C52" s="377" t="s">
        <v>313</v>
      </c>
      <c r="D52" s="16">
        <f t="shared" ref="D52:L52" si="257">SUMIF($AY$2:$FB$2,D$2,$AY52:$FB52)</f>
        <v>342488.95409247908</v>
      </c>
      <c r="E52" s="16">
        <f t="shared" si="257"/>
        <v>712847.51373755164</v>
      </c>
      <c r="F52" s="16">
        <f t="shared" si="257"/>
        <v>742977.48457752471</v>
      </c>
      <c r="G52" s="16">
        <f t="shared" si="257"/>
        <v>1744786.5955931786</v>
      </c>
      <c r="H52" s="16">
        <f t="shared" si="257"/>
        <v>3558790.3046977967</v>
      </c>
      <c r="I52" s="16">
        <f t="shared" si="257"/>
        <v>7169593.7060378511</v>
      </c>
      <c r="J52" s="16">
        <f t="shared" si="257"/>
        <v>13554740.233337354</v>
      </c>
      <c r="K52" s="16">
        <f t="shared" si="257"/>
        <v>24350187.451160759</v>
      </c>
      <c r="L52" s="16">
        <f t="shared" si="257"/>
        <v>41885509.191492081</v>
      </c>
      <c r="N52" s="16">
        <f>SUM(AY52:BA52)</f>
        <v>67799.504769264226</v>
      </c>
      <c r="O52" s="16">
        <f>SUM(BB52:BD52)</f>
        <v>141404.85655837425</v>
      </c>
      <c r="P52" s="16">
        <f>SUM(BE52:BG52)</f>
        <v>10979.549533999341</v>
      </c>
      <c r="Q52" s="16">
        <f>SUM(BH52:BJ52)</f>
        <v>122305.04323084129</v>
      </c>
      <c r="R52" s="16">
        <f>SUM(BK52:BM52)</f>
        <v>167957.93351291484</v>
      </c>
      <c r="S52" s="16">
        <f>SUM(BN52:BP52)</f>
        <v>303594.43411233975</v>
      </c>
      <c r="T52" s="16">
        <f>SUM(BQ52:BS52)</f>
        <v>104265.11072724641</v>
      </c>
      <c r="U52" s="16">
        <f>SUM(BT52:BV52)</f>
        <v>137030.03538505067</v>
      </c>
      <c r="V52" s="16">
        <f>SUM(BW52:BY52)</f>
        <v>62276.562602482692</v>
      </c>
      <c r="W52" s="16">
        <f>SUM(BZ52:CB52)</f>
        <v>233951.25784939626</v>
      </c>
      <c r="X52" s="16">
        <f>SUM(CC52:CE52)</f>
        <v>212666.40639693887</v>
      </c>
      <c r="Y52" s="16">
        <f>SUM(CF52:CH52)</f>
        <v>234083.25772870687</v>
      </c>
      <c r="Z52" s="16">
        <f>SUM(CI52:CK52)</f>
        <v>234905.95092756941</v>
      </c>
      <c r="AA52" s="16">
        <f>SUM(CL52:CN52)</f>
        <v>538409.50980066007</v>
      </c>
      <c r="AB52" s="16">
        <f>SUM(CO52:CQ52)</f>
        <v>445172.20600994094</v>
      </c>
      <c r="AC52" s="16">
        <f>SUM(CR52:CT52)</f>
        <v>526298.92885500821</v>
      </c>
      <c r="AD52" s="16">
        <f>SUM(CU52:CW52)</f>
        <v>629813.82954268018</v>
      </c>
      <c r="AE52" s="16">
        <f>SUM(CX52:CZ52)</f>
        <v>837970.991225668</v>
      </c>
      <c r="AF52" s="16">
        <f>SUM(DA52:DC52)</f>
        <v>826140.98928875895</v>
      </c>
      <c r="AG52" s="16">
        <f>SUM(DD52:DF52)</f>
        <v>1264864.4946406898</v>
      </c>
      <c r="AH52" s="16">
        <f>SUM(DG52:DI52)</f>
        <v>1307548.4377931498</v>
      </c>
      <c r="AI52" s="16">
        <f>SUM(DJ52:DL52)</f>
        <v>1774224.3770404067</v>
      </c>
      <c r="AJ52" s="16">
        <f>SUM(DM52:DO52)</f>
        <v>1664356.3486406498</v>
      </c>
      <c r="AK52" s="16">
        <f>SUM(DP52:DR52)</f>
        <v>2423464.5425636452</v>
      </c>
      <c r="AL52" s="16">
        <f>SUM(DS52:DU52)</f>
        <v>2472034.0012944443</v>
      </c>
      <c r="AM52" s="16">
        <f>SUM(DV52:DX52)</f>
        <v>3354325.4377419725</v>
      </c>
      <c r="AN52" s="16">
        <f>SUM(DY52:EA52)</f>
        <v>3146610.3780094408</v>
      </c>
      <c r="AO52" s="16">
        <f>SUM(EB52:ED52)</f>
        <v>4581770.4162914976</v>
      </c>
      <c r="AP52" s="16">
        <f>SUM(EE52:EG52)</f>
        <v>4440844.3305402994</v>
      </c>
      <c r="AQ52" s="16">
        <f>SUM(EH52:EJ52)</f>
        <v>6025822.0943496134</v>
      </c>
      <c r="AR52" s="16">
        <f>SUM(EK52:EM52)</f>
        <v>5652675.8330530319</v>
      </c>
      <c r="AS52" s="16">
        <f>SUM(EN52:EP52)</f>
        <v>8230845.1932178102</v>
      </c>
      <c r="AT52" s="16">
        <f>SUM(EQ52:ES52)</f>
        <v>7638833.4339481406</v>
      </c>
      <c r="AU52" s="16">
        <f>SUM(ET52:EV52)</f>
        <v>10365202.618066311</v>
      </c>
      <c r="AV52" s="16">
        <f>SUM(EW52:EY52)</f>
        <v>9723342.2139664702</v>
      </c>
      <c r="AW52" s="16">
        <f>SUM(EZ52:FB52)</f>
        <v>14158130.925511168</v>
      </c>
      <c r="AY52" s="16">
        <f t="shared" si="256"/>
        <v>0</v>
      </c>
      <c r="AZ52" s="16">
        <f t="shared" ref="AZ52:DK52" si="258">AZ42*AZ$49</f>
        <v>19691.780698925078</v>
      </c>
      <c r="BA52" s="16">
        <f t="shared" si="258"/>
        <v>48107.724070339144</v>
      </c>
      <c r="BB52" s="16">
        <f t="shared" si="258"/>
        <v>31689.797913801529</v>
      </c>
      <c r="BC52" s="16">
        <f t="shared" si="258"/>
        <v>729.09258548536332</v>
      </c>
      <c r="BD52" s="16">
        <f t="shared" si="258"/>
        <v>108985.96605908735</v>
      </c>
      <c r="BE52" s="16">
        <f t="shared" si="258"/>
        <v>5416.403749002413</v>
      </c>
      <c r="BF52" s="16">
        <f t="shared" si="258"/>
        <v>980.97313331592648</v>
      </c>
      <c r="BG52" s="16">
        <f t="shared" si="258"/>
        <v>4582.1726516810022</v>
      </c>
      <c r="BH52" s="16">
        <f t="shared" si="258"/>
        <v>27068.218409073252</v>
      </c>
      <c r="BI52" s="16">
        <f t="shared" si="258"/>
        <v>40912.747861740449</v>
      </c>
      <c r="BJ52" s="16">
        <f t="shared" si="258"/>
        <v>54324.076960027574</v>
      </c>
      <c r="BK52" s="16">
        <f t="shared" si="258"/>
        <v>23934.853617411656</v>
      </c>
      <c r="BL52" s="16">
        <f t="shared" si="258"/>
        <v>39572.607009634921</v>
      </c>
      <c r="BM52" s="16">
        <f t="shared" si="258"/>
        <v>104450.47288586826</v>
      </c>
      <c r="BN52" s="16">
        <f t="shared" si="258"/>
        <v>43313.959139267296</v>
      </c>
      <c r="BO52" s="16">
        <f t="shared" si="258"/>
        <v>118911.90226535185</v>
      </c>
      <c r="BP52" s="16">
        <f t="shared" si="258"/>
        <v>141368.57270772057</v>
      </c>
      <c r="BQ52" s="16">
        <f t="shared" si="258"/>
        <v>27262.425428688566</v>
      </c>
      <c r="BR52" s="16">
        <f t="shared" si="258"/>
        <v>0</v>
      </c>
      <c r="BS52" s="16">
        <f t="shared" si="258"/>
        <v>77002.685298557844</v>
      </c>
      <c r="BT52" s="16">
        <f t="shared" si="258"/>
        <v>9224.2436403082502</v>
      </c>
      <c r="BU52" s="16">
        <f t="shared" si="258"/>
        <v>64458.673515572322</v>
      </c>
      <c r="BV52" s="16">
        <f t="shared" si="258"/>
        <v>63347.118229170104</v>
      </c>
      <c r="BW52" s="16">
        <f t="shared" si="258"/>
        <v>0</v>
      </c>
      <c r="BX52" s="16">
        <f t="shared" si="258"/>
        <v>34214.814162898037</v>
      </c>
      <c r="BY52" s="16">
        <f t="shared" si="258"/>
        <v>28061.748439584655</v>
      </c>
      <c r="BZ52" s="16">
        <f t="shared" si="258"/>
        <v>42943.333619517682</v>
      </c>
      <c r="CA52" s="16">
        <f t="shared" si="258"/>
        <v>28843.477964426565</v>
      </c>
      <c r="CB52" s="16">
        <f t="shared" si="258"/>
        <v>162164.44626545202</v>
      </c>
      <c r="CC52" s="16">
        <f t="shared" si="258"/>
        <v>16185.036202476647</v>
      </c>
      <c r="CD52" s="16">
        <f t="shared" si="258"/>
        <v>40552.904095005448</v>
      </c>
      <c r="CE52" s="16">
        <f t="shared" si="258"/>
        <v>155928.46609945677</v>
      </c>
      <c r="CF52" s="16">
        <f t="shared" si="258"/>
        <v>47768.414870633256</v>
      </c>
      <c r="CG52" s="16">
        <f t="shared" si="258"/>
        <v>80575.544611423727</v>
      </c>
      <c r="CH52" s="16">
        <f t="shared" si="258"/>
        <v>105739.29824664987</v>
      </c>
      <c r="CI52" s="16">
        <f t="shared" si="258"/>
        <v>30212.960252561948</v>
      </c>
      <c r="CJ52" s="16">
        <f t="shared" si="258"/>
        <v>58874.17846532759</v>
      </c>
      <c r="CK52" s="16">
        <f t="shared" si="258"/>
        <v>145818.81220967986</v>
      </c>
      <c r="CL52" s="16">
        <f t="shared" si="258"/>
        <v>69450.640643086241</v>
      </c>
      <c r="CM52" s="16">
        <f t="shared" si="258"/>
        <v>208043.68668034114</v>
      </c>
      <c r="CN52" s="16">
        <f t="shared" si="258"/>
        <v>260915.18247723274</v>
      </c>
      <c r="CO52" s="16">
        <f t="shared" si="258"/>
        <v>136423.74055143353</v>
      </c>
      <c r="CP52" s="16">
        <f t="shared" si="258"/>
        <v>149707.10476302047</v>
      </c>
      <c r="CQ52" s="16">
        <f t="shared" si="258"/>
        <v>159041.36069548698</v>
      </c>
      <c r="CR52" s="16">
        <f t="shared" si="258"/>
        <v>174902.96729320515</v>
      </c>
      <c r="CS52" s="16">
        <f t="shared" si="258"/>
        <v>166374.64078882569</v>
      </c>
      <c r="CT52" s="16">
        <f t="shared" si="258"/>
        <v>185021.32077297734</v>
      </c>
      <c r="CU52" s="16">
        <f t="shared" si="258"/>
        <v>83255.135975120065</v>
      </c>
      <c r="CV52" s="16">
        <f t="shared" si="258"/>
        <v>182977.08368041963</v>
      </c>
      <c r="CW52" s="16">
        <f t="shared" si="258"/>
        <v>363581.6098871404</v>
      </c>
      <c r="CX52" s="16">
        <f t="shared" si="258"/>
        <v>145374.31947635385</v>
      </c>
      <c r="CY52" s="16">
        <f t="shared" si="258"/>
        <v>285132.22644564859</v>
      </c>
      <c r="CZ52" s="16">
        <f t="shared" si="258"/>
        <v>407464.44530366553</v>
      </c>
      <c r="DA52" s="16">
        <f t="shared" si="258"/>
        <v>139593.02086452697</v>
      </c>
      <c r="DB52" s="16">
        <f t="shared" si="258"/>
        <v>248908.18146938251</v>
      </c>
      <c r="DC52" s="16">
        <f t="shared" si="258"/>
        <v>437639.78695484949</v>
      </c>
      <c r="DD52" s="16">
        <f t="shared" si="258"/>
        <v>187923.27635064168</v>
      </c>
      <c r="DE52" s="16">
        <f t="shared" si="258"/>
        <v>501271.98362028069</v>
      </c>
      <c r="DF52" s="16">
        <f t="shared" si="258"/>
        <v>575669.23466976732</v>
      </c>
      <c r="DG52" s="16">
        <f t="shared" si="258"/>
        <v>180632.34663176921</v>
      </c>
      <c r="DH52" s="16">
        <f t="shared" si="258"/>
        <v>381533.71687489859</v>
      </c>
      <c r="DI52" s="16">
        <f t="shared" si="258"/>
        <v>745382.37428648211</v>
      </c>
      <c r="DJ52" s="16">
        <f t="shared" si="258"/>
        <v>321551.71567858243</v>
      </c>
      <c r="DK52" s="16">
        <f t="shared" si="258"/>
        <v>603110.14547799365</v>
      </c>
      <c r="DL52" s="16">
        <f t="shared" si="255"/>
        <v>849562.51588383049</v>
      </c>
      <c r="DM52" s="16">
        <f t="shared" si="255"/>
        <v>281226.24771568575</v>
      </c>
      <c r="DN52" s="16">
        <f t="shared" si="255"/>
        <v>501454.25227456703</v>
      </c>
      <c r="DO52" s="16">
        <f t="shared" si="255"/>
        <v>881675.84865039703</v>
      </c>
      <c r="DP52" s="16">
        <f t="shared" si="255"/>
        <v>337009.48056823836</v>
      </c>
      <c r="DQ52" s="16">
        <f t="shared" si="255"/>
        <v>968286.60764984495</v>
      </c>
      <c r="DR52" s="16">
        <f t="shared" si="255"/>
        <v>1118168.4543455618</v>
      </c>
      <c r="DS52" s="16">
        <f t="shared" si="255"/>
        <v>341501.15567495109</v>
      </c>
      <c r="DT52" s="16">
        <f t="shared" si="255"/>
        <v>721322.66269756563</v>
      </c>
      <c r="DU52" s="16">
        <f t="shared" si="255"/>
        <v>1409210.1829219274</v>
      </c>
      <c r="DV52" s="16">
        <f t="shared" si="255"/>
        <v>607921.4745371968</v>
      </c>
      <c r="DW52" s="16">
        <f t="shared" si="255"/>
        <v>1140232.165061174</v>
      </c>
      <c r="DX52" s="16">
        <f t="shared" si="255"/>
        <v>1606171.7981436015</v>
      </c>
      <c r="DY52" s="16">
        <f t="shared" si="255"/>
        <v>531682.671414432</v>
      </c>
      <c r="DZ52" s="16">
        <f t="shared" si="255"/>
        <v>948042.86088903912</v>
      </c>
      <c r="EA52" s="16">
        <f t="shared" si="255"/>
        <v>1666884.8457059697</v>
      </c>
      <c r="EB52" s="16">
        <f t="shared" si="255"/>
        <v>637145.72297554789</v>
      </c>
      <c r="EC52" s="16">
        <f t="shared" si="255"/>
        <v>1830630.0156255753</v>
      </c>
      <c r="ED52" s="16">
        <f t="shared" si="255"/>
        <v>2113994.6776903747</v>
      </c>
      <c r="EE52" s="16">
        <f t="shared" si="255"/>
        <v>613484.06626201165</v>
      </c>
      <c r="EF52" s="16">
        <f t="shared" si="255"/>
        <v>1295808.0897970523</v>
      </c>
      <c r="EG52" s="16">
        <f t="shared" si="255"/>
        <v>2531552.1744812359</v>
      </c>
      <c r="EH52" s="16">
        <f t="shared" si="255"/>
        <v>1092090.4130762599</v>
      </c>
      <c r="EI52" s="16">
        <f t="shared" si="255"/>
        <v>2048351.0918782377</v>
      </c>
      <c r="EJ52" s="16">
        <f t="shared" si="255"/>
        <v>2885380.5893951165</v>
      </c>
      <c r="EK52" s="16">
        <f t="shared" si="255"/>
        <v>955132.48432705028</v>
      </c>
      <c r="EL52" s="16">
        <f t="shared" si="255"/>
        <v>1703095.8157063099</v>
      </c>
      <c r="EM52" s="16">
        <f t="shared" si="255"/>
        <v>2994447.5330196717</v>
      </c>
      <c r="EN52" s="16">
        <f t="shared" si="255"/>
        <v>1144589.8276974969</v>
      </c>
      <c r="EO52" s="16">
        <f t="shared" si="255"/>
        <v>3288604.817713195</v>
      </c>
      <c r="EP52" s="16">
        <f t="shared" si="255"/>
        <v>3797650.5478071184</v>
      </c>
      <c r="EQ52" s="16">
        <f t="shared" si="255"/>
        <v>1055272.8823049169</v>
      </c>
      <c r="ER52" s="16">
        <f t="shared" si="255"/>
        <v>2228959.5003925501</v>
      </c>
      <c r="ES52" s="16">
        <f t="shared" si="255"/>
        <v>4354601.0512506738</v>
      </c>
      <c r="ET52" s="16">
        <f t="shared" si="255"/>
        <v>1878538.4353443878</v>
      </c>
      <c r="EU52" s="16">
        <f t="shared" si="255"/>
        <v>3523431.9513289393</v>
      </c>
      <c r="EV52" s="16">
        <f t="shared" si="255"/>
        <v>4963232.2313929833</v>
      </c>
      <c r="EW52" s="16">
        <f t="shared" si="255"/>
        <v>1642952.8738377853</v>
      </c>
      <c r="EX52" s="16">
        <f t="shared" si="255"/>
        <v>2929547.6918128571</v>
      </c>
      <c r="EY52" s="16">
        <f t="shared" si="255"/>
        <v>5150841.6483158292</v>
      </c>
      <c r="EZ52" s="16">
        <f t="shared" si="255"/>
        <v>1968844.2992346042</v>
      </c>
      <c r="FA52" s="16">
        <f t="shared" si="255"/>
        <v>5656830.6751554385</v>
      </c>
      <c r="FB52" s="16">
        <f t="shared" si="255"/>
        <v>6532455.9511211254</v>
      </c>
    </row>
    <row r="54" spans="3:158" x14ac:dyDescent="0.25">
      <c r="C54" s="1" t="s">
        <v>704</v>
      </c>
      <c r="D54" s="22">
        <f t="shared" ref="D54:L56" si="259">SUMIF($AY$2:$FB$2,D$2,$AY54:$FB54)</f>
        <v>227193.97587416458</v>
      </c>
      <c r="E54" s="22">
        <f t="shared" si="259"/>
        <v>350232.94316775817</v>
      </c>
      <c r="F54" s="22">
        <f t="shared" si="259"/>
        <v>475866.0926495748</v>
      </c>
      <c r="G54" s="22">
        <f t="shared" si="259"/>
        <v>1117683.208564912</v>
      </c>
      <c r="H54" s="22">
        <f t="shared" si="259"/>
        <v>3500000</v>
      </c>
      <c r="I54" s="22">
        <f t="shared" si="259"/>
        <v>8389062.5</v>
      </c>
      <c r="J54" s="22">
        <f t="shared" si="259"/>
        <v>16842656.249999996</v>
      </c>
      <c r="K54" s="22">
        <f t="shared" si="259"/>
        <v>30667669.921875</v>
      </c>
      <c r="L54" s="22">
        <f t="shared" si="259"/>
        <v>52268376.562499978</v>
      </c>
      <c r="M54" s="1"/>
      <c r="N54" s="22">
        <f t="shared" ref="N54:N56" si="260">SUM(AY54:BA54)</f>
        <v>17999.997171990137</v>
      </c>
      <c r="O54" s="22">
        <f t="shared" ref="O54:O56" si="261">SUM(BB54:BD54)</f>
        <v>84379.987791324704</v>
      </c>
      <c r="P54" s="22">
        <f t="shared" ref="P54:P56" si="262">SUM(BE54:BG54)</f>
        <v>101063.99784665837</v>
      </c>
      <c r="Q54" s="22">
        <f t="shared" ref="Q54:Q56" si="263">SUM(BH54:BJ54)</f>
        <v>23749.993064191345</v>
      </c>
      <c r="R54" s="22">
        <f t="shared" ref="R54:R56" si="264">SUM(BK54:BM54)</f>
        <v>21868.994870352104</v>
      </c>
      <c r="S54" s="22">
        <f t="shared" ref="S54:S56" si="265">SUM(BN54:BP54)</f>
        <v>141423.97475050925</v>
      </c>
      <c r="T54" s="22">
        <f t="shared" ref="T54:T56" si="266">SUM(BQ54:BS54)</f>
        <v>103459.97195858638</v>
      </c>
      <c r="U54" s="22">
        <f t="shared" ref="U54:U56" si="267">SUM(BT54:BV54)</f>
        <v>83480.001588310421</v>
      </c>
      <c r="V54" s="22">
        <f t="shared" ref="V54:V56" si="268">SUM(BW54:BY54)</f>
        <v>35912.002785106626</v>
      </c>
      <c r="W54" s="22">
        <f t="shared" ref="W54:W56" si="269">SUM(BZ54:CB54)</f>
        <v>149800.02900792495</v>
      </c>
      <c r="X54" s="22">
        <f t="shared" ref="X54:X56" si="270">SUM(CC54:CE54)</f>
        <v>192178.37408455324</v>
      </c>
      <c r="Y54" s="22">
        <f t="shared" ref="Y54:Y56" si="271">SUM(CF54:CH54)</f>
        <v>97975.686771989989</v>
      </c>
      <c r="Z54" s="22">
        <f t="shared" ref="Z54:Z56" si="272">SUM(CI54:CK54)</f>
        <v>158849.0190557777</v>
      </c>
      <c r="AA54" s="22">
        <f t="shared" ref="AA54:AA56" si="273">SUM(CL54:CN54)</f>
        <v>201677.93950913424</v>
      </c>
      <c r="AB54" s="22">
        <f t="shared" ref="AB54:AB56" si="274">SUM(CO54:CQ54)</f>
        <v>189062.50000000003</v>
      </c>
      <c r="AC54" s="22">
        <f t="shared" ref="AC54:AC56" si="275">SUM(CR54:CT54)</f>
        <v>568093.75</v>
      </c>
      <c r="AD54" s="22">
        <f t="shared" ref="AD54:AD56" si="276">SUM(CU54:CW54)</f>
        <v>619409.46632610518</v>
      </c>
      <c r="AE54" s="22">
        <f t="shared" ref="AE54:AE56" si="277">SUM(CX54:CZ54)</f>
        <v>824127.92499132408</v>
      </c>
      <c r="AF54" s="22">
        <f t="shared" ref="AF54:AF56" si="278">SUM(DA54:DC54)</f>
        <v>812493.35165764822</v>
      </c>
      <c r="AG54" s="22">
        <f t="shared" ref="AG54:AG56" si="279">SUM(DD54:DF54)</f>
        <v>1243969.2570249219</v>
      </c>
      <c r="AH54" s="22">
        <f t="shared" ref="AH54:AH56" si="280">SUM(DG54:DI54)</f>
        <v>1529948.0021003836</v>
      </c>
      <c r="AI54" s="22">
        <f t="shared" ref="AI54:AI56" si="281">SUM(DJ54:DL54)</f>
        <v>2076000.3702135803</v>
      </c>
      <c r="AJ54" s="22">
        <f t="shared" ref="AJ54:AJ56" si="282">SUM(DM54:DO54)</f>
        <v>1947445.0022544258</v>
      </c>
      <c r="AK54" s="22">
        <f t="shared" ref="AK54:AK56" si="283">SUM(DP54:DR54)</f>
        <v>2835669.1254316098</v>
      </c>
      <c r="AL54" s="22">
        <f t="shared" ref="AL54:AL56" si="284">SUM(DS54:DU54)</f>
        <v>3071664.8349861545</v>
      </c>
      <c r="AM54" s="22">
        <f t="shared" ref="AM54:AM56" si="285">SUM(DV54:DX54)</f>
        <v>4167969.9740441879</v>
      </c>
      <c r="AN54" s="22">
        <f t="shared" ref="AN54:AN56" si="286">SUM(DY54:EA54)</f>
        <v>3909870.3506800393</v>
      </c>
      <c r="AO54" s="22">
        <f t="shared" ref="AO54:AO56" si="287">SUM(EB54:ED54)</f>
        <v>5693151.0902896151</v>
      </c>
      <c r="AP54" s="22">
        <f t="shared" ref="AP54:AP56" si="288">SUM(EE54:EG54)</f>
        <v>5592989.7203706242</v>
      </c>
      <c r="AQ54" s="22">
        <f t="shared" ref="AQ54:AQ56" si="289">SUM(EH54:EJ54)</f>
        <v>7589178.6610721257</v>
      </c>
      <c r="AR54" s="22">
        <f t="shared" ref="AR54:AR56" si="290">SUM(EK54:EM54)</f>
        <v>7119222.2635299051</v>
      </c>
      <c r="AS54" s="22">
        <f t="shared" ref="AS54:AS56" si="291">SUM(EN54:EP54)</f>
        <v>10366279.276902342</v>
      </c>
      <c r="AT54" s="22">
        <f t="shared" ref="AT54:AT56" si="292">SUM(EQ54:ES54)</f>
        <v>9532399.8712403663</v>
      </c>
      <c r="AU54" s="22">
        <f t="shared" ref="AU54:AU56" si="293">SUM(ET54:EV54)</f>
        <v>12934600.152783796</v>
      </c>
      <c r="AV54" s="22">
        <f t="shared" ref="AV54:AV56" si="294">SUM(EW54:EY54)</f>
        <v>12133630.988277055</v>
      </c>
      <c r="AW54" s="22">
        <f t="shared" ref="AW54:AW56" si="295">SUM(EZ54:FB54)</f>
        <v>17667745.550198775</v>
      </c>
      <c r="AY54" s="22">
        <f>AY12</f>
        <v>0</v>
      </c>
      <c r="AZ54" s="22">
        <f t="shared" ref="AZ54:DK54" si="296">AZ12</f>
        <v>17999.997171990137</v>
      </c>
      <c r="BA54" s="22">
        <f t="shared" si="296"/>
        <v>0</v>
      </c>
      <c r="BB54" s="22">
        <f t="shared" si="296"/>
        <v>0</v>
      </c>
      <c r="BC54" s="22">
        <f t="shared" si="296"/>
        <v>4499.998964948898</v>
      </c>
      <c r="BD54" s="22">
        <f t="shared" si="296"/>
        <v>79879.988826375804</v>
      </c>
      <c r="BE54" s="22">
        <f t="shared" si="296"/>
        <v>23999.989821712905</v>
      </c>
      <c r="BF54" s="22">
        <f t="shared" si="296"/>
        <v>4063.9980309070497</v>
      </c>
      <c r="BG54" s="22">
        <f t="shared" si="296"/>
        <v>73000.009994038424</v>
      </c>
      <c r="BH54" s="22">
        <f t="shared" si="296"/>
        <v>7499.9947995552266</v>
      </c>
      <c r="BI54" s="22">
        <f t="shared" si="296"/>
        <v>16249.998264636117</v>
      </c>
      <c r="BJ54" s="22">
        <f t="shared" si="296"/>
        <v>0</v>
      </c>
      <c r="BK54" s="22">
        <f t="shared" si="296"/>
        <v>0</v>
      </c>
      <c r="BL54" s="22">
        <f t="shared" si="296"/>
        <v>5500.0012893454605</v>
      </c>
      <c r="BM54" s="22">
        <f t="shared" si="296"/>
        <v>16368.993581006644</v>
      </c>
      <c r="BN54" s="22">
        <f t="shared" si="296"/>
        <v>137423.97512924109</v>
      </c>
      <c r="BO54" s="22">
        <f t="shared" si="296"/>
        <v>0</v>
      </c>
      <c r="BP54" s="22">
        <f t="shared" si="296"/>
        <v>3999.9996212681444</v>
      </c>
      <c r="BQ54" s="22">
        <f t="shared" si="296"/>
        <v>45799.977512385369</v>
      </c>
      <c r="BR54" s="22">
        <f t="shared" si="296"/>
        <v>29659.992516909544</v>
      </c>
      <c r="BS54" s="22">
        <f t="shared" si="296"/>
        <v>28000.001929291466</v>
      </c>
      <c r="BT54" s="22">
        <f t="shared" si="296"/>
        <v>600.00040631799402</v>
      </c>
      <c r="BU54" s="22">
        <f t="shared" si="296"/>
        <v>61880.008692216463</v>
      </c>
      <c r="BV54" s="22">
        <f t="shared" si="296"/>
        <v>20999.992489775967</v>
      </c>
      <c r="BW54" s="22">
        <f t="shared" si="296"/>
        <v>0</v>
      </c>
      <c r="BX54" s="22">
        <f t="shared" si="296"/>
        <v>30412.006827575467</v>
      </c>
      <c r="BY54" s="22">
        <f t="shared" si="296"/>
        <v>5499.9959575311568</v>
      </c>
      <c r="BZ54" s="22">
        <f t="shared" si="296"/>
        <v>4100.0029967002511</v>
      </c>
      <c r="CA54" s="22">
        <f t="shared" si="296"/>
        <v>74500.059535333872</v>
      </c>
      <c r="CB54" s="22">
        <f t="shared" si="296"/>
        <v>71199.966475890833</v>
      </c>
      <c r="CC54" s="22">
        <f t="shared" si="296"/>
        <v>23799.358014192672</v>
      </c>
      <c r="CD54" s="22">
        <f t="shared" si="296"/>
        <v>95889.820151199878</v>
      </c>
      <c r="CE54" s="22">
        <f t="shared" si="296"/>
        <v>72489.195919160702</v>
      </c>
      <c r="CF54" s="22">
        <f t="shared" si="296"/>
        <v>705.58162122017643</v>
      </c>
      <c r="CG54" s="22">
        <f t="shared" si="296"/>
        <v>10031.991480312246</v>
      </c>
      <c r="CH54" s="22">
        <f t="shared" si="296"/>
        <v>87238.113670457562</v>
      </c>
      <c r="CI54" s="22">
        <f t="shared" si="296"/>
        <v>3500.0022419341976</v>
      </c>
      <c r="CJ54" s="22">
        <f t="shared" si="296"/>
        <v>30000.018243743023</v>
      </c>
      <c r="CK54" s="22">
        <f t="shared" si="296"/>
        <v>125348.99857010046</v>
      </c>
      <c r="CL54" s="22">
        <f t="shared" si="296"/>
        <v>15393.994125430974</v>
      </c>
      <c r="CM54" s="22">
        <f t="shared" si="296"/>
        <v>95597.972941532687</v>
      </c>
      <c r="CN54" s="22">
        <f t="shared" si="296"/>
        <v>90685.972442170576</v>
      </c>
      <c r="CO54" s="22">
        <f t="shared" si="296"/>
        <v>34375</v>
      </c>
      <c r="CP54" s="22">
        <f t="shared" si="296"/>
        <v>61875.000000000007</v>
      </c>
      <c r="CQ54" s="22">
        <f t="shared" si="296"/>
        <v>92812.500000000029</v>
      </c>
      <c r="CR54" s="22">
        <f t="shared" si="296"/>
        <v>129531.25000000001</v>
      </c>
      <c r="CS54" s="22">
        <f t="shared" si="296"/>
        <v>192656.25</v>
      </c>
      <c r="CT54" s="22">
        <f t="shared" si="296"/>
        <v>245906.25</v>
      </c>
      <c r="CU54" s="22">
        <f t="shared" si="296"/>
        <v>81879.782444125914</v>
      </c>
      <c r="CV54" s="22">
        <f t="shared" si="296"/>
        <v>179954.34910454811</v>
      </c>
      <c r="CW54" s="22">
        <f t="shared" si="296"/>
        <v>357575.33477743121</v>
      </c>
      <c r="CX54" s="22">
        <f t="shared" si="296"/>
        <v>142972.77293792259</v>
      </c>
      <c r="CY54" s="22">
        <f t="shared" si="296"/>
        <v>280421.91506546614</v>
      </c>
      <c r="CZ54" s="22">
        <f t="shared" si="296"/>
        <v>400733.23698793544</v>
      </c>
      <c r="DA54" s="22">
        <f t="shared" si="296"/>
        <v>137286.97989901173</v>
      </c>
      <c r="DB54" s="22">
        <f t="shared" si="296"/>
        <v>244796.28203798228</v>
      </c>
      <c r="DC54" s="22">
        <f t="shared" si="296"/>
        <v>430410.08972065418</v>
      </c>
      <c r="DD54" s="22">
        <f t="shared" si="296"/>
        <v>184818.83193820232</v>
      </c>
      <c r="DE54" s="22">
        <f t="shared" si="296"/>
        <v>492991.09878854343</v>
      </c>
      <c r="DF54" s="22">
        <f t="shared" si="296"/>
        <v>566159.32629817619</v>
      </c>
      <c r="DG54" s="22">
        <f t="shared" si="296"/>
        <v>211355.91604576432</v>
      </c>
      <c r="DH54" s="22">
        <f t="shared" si="296"/>
        <v>446428.39300996374</v>
      </c>
      <c r="DI54" s="22">
        <f t="shared" si="296"/>
        <v>872163.69304465561</v>
      </c>
      <c r="DJ54" s="22">
        <f t="shared" si="296"/>
        <v>376244.11513558315</v>
      </c>
      <c r="DK54" s="22">
        <f t="shared" si="296"/>
        <v>705692.52767253923</v>
      </c>
      <c r="DL54" s="22">
        <f t="shared" ref="DL54:FB54" si="297">DL12</f>
        <v>994063.72740545787</v>
      </c>
      <c r="DM54" s="22">
        <f t="shared" si="297"/>
        <v>329059.72994544386</v>
      </c>
      <c r="DN54" s="22">
        <f t="shared" si="297"/>
        <v>586746.08850978885</v>
      </c>
      <c r="DO54" s="22">
        <f t="shared" si="297"/>
        <v>1031639.183799193</v>
      </c>
      <c r="DP54" s="22">
        <f t="shared" si="297"/>
        <v>394331.07530187868</v>
      </c>
      <c r="DQ54" s="22">
        <f t="shared" si="297"/>
        <v>1132981.4774087903</v>
      </c>
      <c r="DR54" s="22">
        <f t="shared" si="297"/>
        <v>1308356.5727209409</v>
      </c>
      <c r="DS54" s="22">
        <f t="shared" si="297"/>
        <v>424337.64683034224</v>
      </c>
      <c r="DT54" s="22">
        <f t="shared" si="297"/>
        <v>896290.85058154259</v>
      </c>
      <c r="DU54" s="22">
        <f t="shared" si="297"/>
        <v>1751036.3375742696</v>
      </c>
      <c r="DV54" s="22">
        <f t="shared" si="297"/>
        <v>755382.41577220941</v>
      </c>
      <c r="DW54" s="22">
        <f t="shared" si="297"/>
        <v>1416813.4594040979</v>
      </c>
      <c r="DX54" s="22">
        <f t="shared" si="297"/>
        <v>1995774.0988678809</v>
      </c>
      <c r="DY54" s="22">
        <f t="shared" si="297"/>
        <v>660650.68858277565</v>
      </c>
      <c r="DZ54" s="22">
        <f t="shared" si="297"/>
        <v>1178005.6084696527</v>
      </c>
      <c r="EA54" s="22">
        <f t="shared" si="297"/>
        <v>2071214.0536276109</v>
      </c>
      <c r="EB54" s="22">
        <f t="shared" si="297"/>
        <v>791695.46656761784</v>
      </c>
      <c r="EC54" s="22">
        <f t="shared" si="297"/>
        <v>2274678.1969514936</v>
      </c>
      <c r="ED54" s="22">
        <f t="shared" si="297"/>
        <v>2626777.4267705041</v>
      </c>
      <c r="EE54" s="22">
        <f t="shared" si="297"/>
        <v>772648.13193691475</v>
      </c>
      <c r="EF54" s="22">
        <f t="shared" si="297"/>
        <v>1631996.2571005591</v>
      </c>
      <c r="EG54" s="22">
        <f t="shared" si="297"/>
        <v>3188345.3313331497</v>
      </c>
      <c r="EH54" s="22">
        <f t="shared" si="297"/>
        <v>1375425.4820518978</v>
      </c>
      <c r="EI54" s="22">
        <f t="shared" si="297"/>
        <v>2579781.1739982949</v>
      </c>
      <c r="EJ54" s="22">
        <f t="shared" si="297"/>
        <v>3633972.0050219335</v>
      </c>
      <c r="EK54" s="22">
        <f t="shared" si="297"/>
        <v>1202934.7954611373</v>
      </c>
      <c r="EL54" s="22">
        <f t="shared" si="297"/>
        <v>2144951.8787551597</v>
      </c>
      <c r="EM54" s="22">
        <f t="shared" si="297"/>
        <v>3771335.5893136081</v>
      </c>
      <c r="EN54" s="22">
        <f t="shared" si="297"/>
        <v>1441545.4953752041</v>
      </c>
      <c r="EO54" s="22">
        <f t="shared" si="297"/>
        <v>4141809.8836158444</v>
      </c>
      <c r="EP54" s="22">
        <f t="shared" si="297"/>
        <v>4782923.8979112934</v>
      </c>
      <c r="EQ54" s="22">
        <f t="shared" si="297"/>
        <v>1316861.1639968285</v>
      </c>
      <c r="ER54" s="22">
        <f t="shared" si="297"/>
        <v>2781489.2729713866</v>
      </c>
      <c r="ES54" s="22">
        <f t="shared" si="297"/>
        <v>5434049.4342721505</v>
      </c>
      <c r="ET54" s="22">
        <f t="shared" si="297"/>
        <v>2344203.430279756</v>
      </c>
      <c r="EU54" s="22">
        <f t="shared" si="297"/>
        <v>4396844.4356840504</v>
      </c>
      <c r="EV54" s="22">
        <f t="shared" si="297"/>
        <v>6193552.2868199889</v>
      </c>
      <c r="EW54" s="22">
        <f t="shared" si="297"/>
        <v>2050219.3035685474</v>
      </c>
      <c r="EX54" s="22">
        <f t="shared" si="297"/>
        <v>3655744.0716174887</v>
      </c>
      <c r="EY54" s="22">
        <f t="shared" si="297"/>
        <v>6427667.6130910181</v>
      </c>
      <c r="EZ54" s="22">
        <f t="shared" si="297"/>
        <v>2456894.9312481736</v>
      </c>
      <c r="FA54" s="22">
        <f t="shared" si="297"/>
        <v>7059084.6712061353</v>
      </c>
      <c r="FB54" s="22">
        <f t="shared" si="297"/>
        <v>8151765.9477444654</v>
      </c>
    </row>
    <row r="55" spans="3:158" x14ac:dyDescent="0.25">
      <c r="C55" s="377" t="s">
        <v>607</v>
      </c>
      <c r="D55" s="16">
        <f t="shared" si="259"/>
        <v>72811.724164034997</v>
      </c>
      <c r="E55" s="16">
        <f t="shared" si="259"/>
        <v>132907.13349627241</v>
      </c>
      <c r="F55" s="16">
        <f t="shared" si="259"/>
        <v>156893.6798615907</v>
      </c>
      <c r="G55" s="16">
        <f t="shared" si="259"/>
        <v>327734.08074610401</v>
      </c>
      <c r="H55" s="16">
        <f t="shared" si="259"/>
        <v>974063.60048801184</v>
      </c>
      <c r="I55" s="16">
        <f t="shared" si="259"/>
        <v>2166927.442419704</v>
      </c>
      <c r="J55" s="16">
        <f t="shared" si="259"/>
        <v>4013670.4324734053</v>
      </c>
      <c r="K55" s="16">
        <f t="shared" si="259"/>
        <v>6694871.5140244914</v>
      </c>
      <c r="L55" s="16">
        <f t="shared" si="259"/>
        <v>10365022.179609131</v>
      </c>
      <c r="N55" s="16">
        <f t="shared" si="260"/>
        <v>7711.7333759691264</v>
      </c>
      <c r="O55" s="16">
        <f t="shared" si="261"/>
        <v>22472.842051848213</v>
      </c>
      <c r="P55" s="16">
        <f t="shared" si="262"/>
        <v>34503.058759555148</v>
      </c>
      <c r="Q55" s="16">
        <f t="shared" si="263"/>
        <v>8124.0899766625053</v>
      </c>
      <c r="R55" s="16">
        <f t="shared" si="264"/>
        <v>7961.2416078597271</v>
      </c>
      <c r="S55" s="16">
        <f t="shared" si="265"/>
        <v>63846.989092302887</v>
      </c>
      <c r="T55" s="16">
        <f t="shared" si="266"/>
        <v>35867.408272221001</v>
      </c>
      <c r="U55" s="16">
        <f t="shared" si="267"/>
        <v>25231.494523888796</v>
      </c>
      <c r="V55" s="16">
        <f t="shared" si="268"/>
        <v>9487.496102186913</v>
      </c>
      <c r="W55" s="16">
        <f t="shared" si="269"/>
        <v>56943.237683145846</v>
      </c>
      <c r="X55" s="16">
        <f t="shared" si="270"/>
        <v>54823.67277966383</v>
      </c>
      <c r="Y55" s="16">
        <f t="shared" si="271"/>
        <v>35639.273296594096</v>
      </c>
      <c r="Z55" s="16">
        <f t="shared" si="272"/>
        <v>54153.799948862157</v>
      </c>
      <c r="AA55" s="16">
        <f t="shared" si="273"/>
        <v>68385.383177643234</v>
      </c>
      <c r="AB55" s="16">
        <f t="shared" si="274"/>
        <v>52167.317979307474</v>
      </c>
      <c r="AC55" s="16">
        <f t="shared" si="275"/>
        <v>153027.57964029117</v>
      </c>
      <c r="AD55" s="16">
        <f t="shared" si="276"/>
        <v>172384.06141313259</v>
      </c>
      <c r="AE55" s="16">
        <f t="shared" si="277"/>
        <v>229358.00396564673</v>
      </c>
      <c r="AF55" s="16">
        <f t="shared" si="278"/>
        <v>226120.05699663464</v>
      </c>
      <c r="AG55" s="16">
        <f t="shared" si="279"/>
        <v>346201.47811259789</v>
      </c>
      <c r="AH55" s="16">
        <f t="shared" si="280"/>
        <v>395191.51409666101</v>
      </c>
      <c r="AI55" s="16">
        <f t="shared" si="281"/>
        <v>536238.96265992441</v>
      </c>
      <c r="AJ55" s="16">
        <f t="shared" si="282"/>
        <v>503032.6115687202</v>
      </c>
      <c r="AK55" s="16">
        <f t="shared" si="283"/>
        <v>732464.35409439809</v>
      </c>
      <c r="AL55" s="16">
        <f t="shared" si="284"/>
        <v>731989.66621741932</v>
      </c>
      <c r="AM55" s="16">
        <f t="shared" si="285"/>
        <v>993243.4409363491</v>
      </c>
      <c r="AN55" s="16">
        <f t="shared" si="286"/>
        <v>931737.29775129142</v>
      </c>
      <c r="AO55" s="16">
        <f t="shared" si="287"/>
        <v>1356700.0275683454</v>
      </c>
      <c r="AP55" s="16">
        <f t="shared" si="288"/>
        <v>1220971.3894968051</v>
      </c>
      <c r="AQ55" s="16">
        <f t="shared" si="289"/>
        <v>1656747.1921501597</v>
      </c>
      <c r="AR55" s="16">
        <f t="shared" si="290"/>
        <v>1554153.8843848782</v>
      </c>
      <c r="AS55" s="16">
        <f t="shared" si="291"/>
        <v>2262999.0479926486</v>
      </c>
      <c r="AT55" s="16">
        <f t="shared" si="292"/>
        <v>1890311.9359784431</v>
      </c>
      <c r="AU55" s="16">
        <f t="shared" si="293"/>
        <v>2564981.4722611178</v>
      </c>
      <c r="AV55" s="16">
        <f t="shared" si="294"/>
        <v>2406146.1744904248</v>
      </c>
      <c r="AW55" s="16">
        <f t="shared" si="295"/>
        <v>3503582.596879147</v>
      </c>
      <c r="AY55" s="16">
        <f>AY40*AY$54</f>
        <v>0</v>
      </c>
      <c r="AZ55" s="16">
        <f t="shared" ref="AZ55:DK56" si="298">AZ40*AZ$54</f>
        <v>7711.7333759691264</v>
      </c>
      <c r="BA55" s="16">
        <f t="shared" si="298"/>
        <v>0</v>
      </c>
      <c r="BB55" s="16">
        <f t="shared" si="298"/>
        <v>0</v>
      </c>
      <c r="BC55" s="16">
        <f t="shared" si="298"/>
        <v>1032.0938130888292</v>
      </c>
      <c r="BD55" s="16">
        <f t="shared" si="298"/>
        <v>21440.748238759385</v>
      </c>
      <c r="BE55" s="16">
        <f t="shared" si="298"/>
        <v>9875.3032345619667</v>
      </c>
      <c r="BF55" s="16">
        <f t="shared" si="298"/>
        <v>1769.5928391399573</v>
      </c>
      <c r="BG55" s="16">
        <f t="shared" si="298"/>
        <v>22858.162685853225</v>
      </c>
      <c r="BH55" s="16">
        <f t="shared" si="298"/>
        <v>3116.7080056774657</v>
      </c>
      <c r="BI55" s="16">
        <f t="shared" si="298"/>
        <v>5007.3819709850395</v>
      </c>
      <c r="BJ55" s="16">
        <f t="shared" si="298"/>
        <v>0</v>
      </c>
      <c r="BK55" s="16">
        <f t="shared" si="298"/>
        <v>0</v>
      </c>
      <c r="BL55" s="16">
        <f t="shared" si="298"/>
        <v>2695.5147223360809</v>
      </c>
      <c r="BM55" s="16">
        <f t="shared" si="298"/>
        <v>5265.7268855236462</v>
      </c>
      <c r="BN55" s="16">
        <f t="shared" si="298"/>
        <v>62533.329390057952</v>
      </c>
      <c r="BO55" s="16">
        <f t="shared" si="298"/>
        <v>0</v>
      </c>
      <c r="BP55" s="16">
        <f t="shared" si="298"/>
        <v>1313.659702244933</v>
      </c>
      <c r="BQ55" s="16">
        <f t="shared" si="298"/>
        <v>16859.533247790925</v>
      </c>
      <c r="BR55" s="16">
        <f t="shared" si="298"/>
        <v>9865.593074559496</v>
      </c>
      <c r="BS55" s="16">
        <f t="shared" si="298"/>
        <v>9142.2819498705776</v>
      </c>
      <c r="BT55" s="16">
        <f t="shared" si="298"/>
        <v>323.44016904835053</v>
      </c>
      <c r="BU55" s="16">
        <f t="shared" si="298"/>
        <v>18843.828339812837</v>
      </c>
      <c r="BV55" s="16">
        <f t="shared" si="298"/>
        <v>6064.2260150276106</v>
      </c>
      <c r="BW55" s="16">
        <f t="shared" si="298"/>
        <v>0</v>
      </c>
      <c r="BX55" s="16">
        <f t="shared" si="298"/>
        <v>7747.8858263525999</v>
      </c>
      <c r="BY55" s="16">
        <f t="shared" si="298"/>
        <v>1739.6102758343122</v>
      </c>
      <c r="BZ55" s="16">
        <f t="shared" si="298"/>
        <v>1191.1469863796026</v>
      </c>
      <c r="CA55" s="16">
        <f t="shared" si="298"/>
        <v>28206.223265924262</v>
      </c>
      <c r="CB55" s="16">
        <f t="shared" si="298"/>
        <v>27545.867430841983</v>
      </c>
      <c r="CC55" s="16">
        <f t="shared" si="298"/>
        <v>7983.2151045466926</v>
      </c>
      <c r="CD55" s="16">
        <f t="shared" si="298"/>
        <v>22778.753922458967</v>
      </c>
      <c r="CE55" s="16">
        <f t="shared" si="298"/>
        <v>24061.703752658173</v>
      </c>
      <c r="CF55" s="16">
        <f t="shared" si="298"/>
        <v>337.04769651305332</v>
      </c>
      <c r="CG55" s="16">
        <f t="shared" si="298"/>
        <v>3299.6023900534142</v>
      </c>
      <c r="CH55" s="16">
        <f t="shared" si="298"/>
        <v>32002.623210027632</v>
      </c>
      <c r="CI55" s="16">
        <f t="shared" si="298"/>
        <v>1556.2617711672362</v>
      </c>
      <c r="CJ55" s="16">
        <f t="shared" si="298"/>
        <v>12011.100941254115</v>
      </c>
      <c r="CK55" s="16">
        <f t="shared" si="298"/>
        <v>40586.437236440805</v>
      </c>
      <c r="CL55" s="16">
        <f t="shared" si="298"/>
        <v>4851.0297663687134</v>
      </c>
      <c r="CM55" s="16">
        <f t="shared" si="298"/>
        <v>34126.084646561903</v>
      </c>
      <c r="CN55" s="16">
        <f t="shared" si="298"/>
        <v>29408.268764712619</v>
      </c>
      <c r="CO55" s="16">
        <f t="shared" si="298"/>
        <v>9484.9669053286307</v>
      </c>
      <c r="CP55" s="16">
        <f t="shared" si="298"/>
        <v>17072.940429591534</v>
      </c>
      <c r="CQ55" s="16">
        <f t="shared" si="298"/>
        <v>25609.41064438731</v>
      </c>
      <c r="CR55" s="16">
        <f t="shared" si="298"/>
        <v>34891.870708455193</v>
      </c>
      <c r="CS55" s="16">
        <f t="shared" si="298"/>
        <v>51895.870426447822</v>
      </c>
      <c r="CT55" s="16">
        <f t="shared" si="298"/>
        <v>66239.838505388136</v>
      </c>
      <c r="CU55" s="16">
        <f t="shared" si="298"/>
        <v>22787.461627057259</v>
      </c>
      <c r="CV55" s="16">
        <f t="shared" si="298"/>
        <v>50081.99463207223</v>
      </c>
      <c r="CW55" s="16">
        <f t="shared" si="298"/>
        <v>99514.605154003119</v>
      </c>
      <c r="CX55" s="16">
        <f t="shared" si="298"/>
        <v>39789.878279905111</v>
      </c>
      <c r="CY55" s="16">
        <f t="shared" si="298"/>
        <v>78042.5086412604</v>
      </c>
      <c r="CZ55" s="16">
        <f t="shared" si="298"/>
        <v>111525.6170444812</v>
      </c>
      <c r="DA55" s="16">
        <f t="shared" si="298"/>
        <v>38207.499983016198</v>
      </c>
      <c r="DB55" s="16">
        <f t="shared" si="298"/>
        <v>68127.756533713109</v>
      </c>
      <c r="DC55" s="16">
        <f t="shared" si="298"/>
        <v>119784.80047990535</v>
      </c>
      <c r="DD55" s="16">
        <f t="shared" si="298"/>
        <v>51435.799107346887</v>
      </c>
      <c r="DE55" s="16">
        <f t="shared" si="298"/>
        <v>137201.33848414567</v>
      </c>
      <c r="DF55" s="16">
        <f t="shared" si="298"/>
        <v>157564.34052110533</v>
      </c>
      <c r="DG55" s="16">
        <f t="shared" si="298"/>
        <v>54594.054412793048</v>
      </c>
      <c r="DH55" s="16">
        <f t="shared" si="298"/>
        <v>115314.18866990431</v>
      </c>
      <c r="DI55" s="16">
        <f t="shared" si="298"/>
        <v>225283.27101396362</v>
      </c>
      <c r="DJ55" s="16">
        <f t="shared" si="298"/>
        <v>97185.316969114705</v>
      </c>
      <c r="DK55" s="16">
        <f t="shared" si="298"/>
        <v>182283.12211574914</v>
      </c>
      <c r="DL55" s="16">
        <f t="shared" ref="DL55:FB57" si="299">DL40*DL$54</f>
        <v>256770.52357506056</v>
      </c>
      <c r="DM55" s="16">
        <f t="shared" si="299"/>
        <v>84997.406922883107</v>
      </c>
      <c r="DN55" s="16">
        <f t="shared" si="299"/>
        <v>151558.79467154786</v>
      </c>
      <c r="DO55" s="16">
        <f t="shared" si="299"/>
        <v>266476.40997428924</v>
      </c>
      <c r="DP55" s="16">
        <f t="shared" si="299"/>
        <v>101857.24906335022</v>
      </c>
      <c r="DQ55" s="16">
        <f t="shared" si="299"/>
        <v>292653.51821497665</v>
      </c>
      <c r="DR55" s="16">
        <f t="shared" si="299"/>
        <v>337953.58681607124</v>
      </c>
      <c r="DS55" s="16">
        <f t="shared" si="299"/>
        <v>101121.31015369305</v>
      </c>
      <c r="DT55" s="16">
        <f t="shared" si="299"/>
        <v>213589.5925487155</v>
      </c>
      <c r="DU55" s="16">
        <f t="shared" si="299"/>
        <v>417278.76351501071</v>
      </c>
      <c r="DV55" s="16">
        <f t="shared" si="299"/>
        <v>180010.56498408614</v>
      </c>
      <c r="DW55" s="16">
        <f t="shared" si="299"/>
        <v>337632.15290584508</v>
      </c>
      <c r="DX55" s="16">
        <f t="shared" si="299"/>
        <v>475600.72304641781</v>
      </c>
      <c r="DY55" s="16">
        <f t="shared" si="299"/>
        <v>157435.62628120978</v>
      </c>
      <c r="DZ55" s="16">
        <f t="shared" si="299"/>
        <v>280723.31405579147</v>
      </c>
      <c r="EA55" s="16">
        <f t="shared" si="299"/>
        <v>493578.35741429025</v>
      </c>
      <c r="EB55" s="16">
        <f t="shared" si="299"/>
        <v>188664.10609583539</v>
      </c>
      <c r="EC55" s="16">
        <f t="shared" si="299"/>
        <v>542064.65340026922</v>
      </c>
      <c r="ED55" s="16">
        <f t="shared" si="299"/>
        <v>625971.26807224064</v>
      </c>
      <c r="EE55" s="16">
        <f t="shared" si="299"/>
        <v>168672.0895994445</v>
      </c>
      <c r="EF55" s="16">
        <f t="shared" si="299"/>
        <v>356271.12462377502</v>
      </c>
      <c r="EG55" s="16">
        <f t="shared" si="299"/>
        <v>696028.17527358572</v>
      </c>
      <c r="EH55" s="16">
        <f t="shared" si="299"/>
        <v>300260.72743415221</v>
      </c>
      <c r="EI55" s="16">
        <f t="shared" si="299"/>
        <v>563176.2549360937</v>
      </c>
      <c r="EJ55" s="16">
        <f t="shared" si="299"/>
        <v>793310.20977991389</v>
      </c>
      <c r="EK55" s="16">
        <f t="shared" si="299"/>
        <v>262605.34027781343</v>
      </c>
      <c r="EL55" s="16">
        <f t="shared" si="299"/>
        <v>468251.33010148373</v>
      </c>
      <c r="EM55" s="16">
        <f t="shared" si="299"/>
        <v>823297.2140055811</v>
      </c>
      <c r="EN55" s="16">
        <f t="shared" si="299"/>
        <v>314694.98327532958</v>
      </c>
      <c r="EO55" s="16">
        <f t="shared" si="299"/>
        <v>904173.19206067338</v>
      </c>
      <c r="EP55" s="16">
        <f t="shared" si="299"/>
        <v>1044130.8726566456</v>
      </c>
      <c r="EQ55" s="16">
        <f t="shared" si="299"/>
        <v>261138.68595042094</v>
      </c>
      <c r="ER55" s="16">
        <f t="shared" si="299"/>
        <v>551580.13129065826</v>
      </c>
      <c r="ES55" s="16">
        <f t="shared" si="299"/>
        <v>1077593.118737364</v>
      </c>
      <c r="ET55" s="16">
        <f t="shared" si="299"/>
        <v>464864.64945609024</v>
      </c>
      <c r="EU55" s="16">
        <f t="shared" si="299"/>
        <v>871911.33709044382</v>
      </c>
      <c r="EV55" s="16">
        <f t="shared" si="299"/>
        <v>1228205.4857145837</v>
      </c>
      <c r="EW55" s="16">
        <f t="shared" si="299"/>
        <v>406566.4547499459</v>
      </c>
      <c r="EX55" s="16">
        <f t="shared" si="299"/>
        <v>724948.25508843979</v>
      </c>
      <c r="EY55" s="16">
        <f t="shared" si="299"/>
        <v>1274631.4646520393</v>
      </c>
      <c r="EZ55" s="16">
        <f t="shared" si="299"/>
        <v>487211.81200081552</v>
      </c>
      <c r="FA55" s="16">
        <f t="shared" si="299"/>
        <v>1399843.92087059</v>
      </c>
      <c r="FB55" s="16">
        <f t="shared" si="299"/>
        <v>1616526.8640077417</v>
      </c>
    </row>
    <row r="56" spans="3:158" x14ac:dyDescent="0.25">
      <c r="C56" s="377" t="s">
        <v>608</v>
      </c>
      <c r="D56" s="16">
        <f t="shared" si="259"/>
        <v>76365.244320170474</v>
      </c>
      <c r="E56" s="16">
        <f t="shared" si="259"/>
        <v>111930.66797517185</v>
      </c>
      <c r="F56" s="16">
        <f t="shared" si="259"/>
        <v>169400.28252484577</v>
      </c>
      <c r="G56" s="16">
        <f t="shared" si="259"/>
        <v>408497.42349421186</v>
      </c>
      <c r="H56" s="16">
        <f t="shared" si="259"/>
        <v>1171280.6065192565</v>
      </c>
      <c r="I56" s="16">
        <f t="shared" si="259"/>
        <v>2639631.9537508432</v>
      </c>
      <c r="J56" s="16">
        <f t="shared" si="259"/>
        <v>4962715.6436843835</v>
      </c>
      <c r="K56" s="16">
        <f t="shared" si="259"/>
        <v>8422924.6694378145</v>
      </c>
      <c r="L56" s="16">
        <f t="shared" si="259"/>
        <v>13310225.818400536</v>
      </c>
      <c r="N56" s="16">
        <f t="shared" si="260"/>
        <v>4524.8157865795229</v>
      </c>
      <c r="O56" s="16">
        <f t="shared" si="261"/>
        <v>36743.095820137329</v>
      </c>
      <c r="P56" s="16">
        <f t="shared" si="262"/>
        <v>29168.321605982925</v>
      </c>
      <c r="Q56" s="16">
        <f t="shared" si="263"/>
        <v>5929.0111074707111</v>
      </c>
      <c r="R56" s="16">
        <f t="shared" si="264"/>
        <v>7249.0437085291569</v>
      </c>
      <c r="S56" s="16">
        <f t="shared" si="265"/>
        <v>33608.264962378118</v>
      </c>
      <c r="T56" s="16">
        <f t="shared" si="266"/>
        <v>37755.634437743931</v>
      </c>
      <c r="U56" s="16">
        <f t="shared" si="267"/>
        <v>33317.724866520657</v>
      </c>
      <c r="V56" s="16">
        <f t="shared" si="268"/>
        <v>14302.600049025034</v>
      </c>
      <c r="W56" s="16">
        <f t="shared" si="269"/>
        <v>56207.965008199026</v>
      </c>
      <c r="X56" s="16">
        <f t="shared" si="270"/>
        <v>59445.382273153678</v>
      </c>
      <c r="Y56" s="16">
        <f t="shared" si="271"/>
        <v>39444.335194468033</v>
      </c>
      <c r="Z56" s="16">
        <f t="shared" si="272"/>
        <v>54655.748711196895</v>
      </c>
      <c r="AA56" s="16">
        <f t="shared" si="273"/>
        <v>59970.318836678998</v>
      </c>
      <c r="AB56" s="16">
        <f t="shared" si="274"/>
        <v>68305.406646495365</v>
      </c>
      <c r="AC56" s="16">
        <f t="shared" si="275"/>
        <v>225565.94929984061</v>
      </c>
      <c r="AD56" s="16">
        <f t="shared" si="276"/>
        <v>207286.37011491705</v>
      </c>
      <c r="AE56" s="16">
        <f t="shared" si="277"/>
        <v>275795.73023808416</v>
      </c>
      <c r="AF56" s="16">
        <f t="shared" si="278"/>
        <v>271902.20163498109</v>
      </c>
      <c r="AG56" s="16">
        <f t="shared" si="279"/>
        <v>416296.30453127419</v>
      </c>
      <c r="AH56" s="16">
        <f t="shared" si="280"/>
        <v>481400.58962743869</v>
      </c>
      <c r="AI56" s="16">
        <f t="shared" si="281"/>
        <v>653216.84195514664</v>
      </c>
      <c r="AJ56" s="16">
        <f t="shared" si="282"/>
        <v>612766.68949875678</v>
      </c>
      <c r="AK56" s="16">
        <f t="shared" si="283"/>
        <v>892247.83266950096</v>
      </c>
      <c r="AL56" s="16">
        <f t="shared" si="284"/>
        <v>905070.96401382657</v>
      </c>
      <c r="AM56" s="16">
        <f t="shared" si="285"/>
        <v>1228099.0293675258</v>
      </c>
      <c r="AN56" s="16">
        <f t="shared" si="286"/>
        <v>1152049.561903134</v>
      </c>
      <c r="AO56" s="16">
        <f t="shared" si="287"/>
        <v>1677496.0883998978</v>
      </c>
      <c r="AP56" s="16">
        <f t="shared" si="288"/>
        <v>1536123.5859010969</v>
      </c>
      <c r="AQ56" s="16">
        <f t="shared" si="289"/>
        <v>2084380.0760852606</v>
      </c>
      <c r="AR56" s="16">
        <f t="shared" si="290"/>
        <v>1955305.7986946921</v>
      </c>
      <c r="AS56" s="16">
        <f t="shared" si="291"/>
        <v>2847115.2087567663</v>
      </c>
      <c r="AT56" s="16">
        <f t="shared" si="292"/>
        <v>2427440.8968066266</v>
      </c>
      <c r="AU56" s="16">
        <f t="shared" si="293"/>
        <v>3293816.6483592023</v>
      </c>
      <c r="AV56" s="16">
        <f t="shared" si="294"/>
        <v>3089848.567574976</v>
      </c>
      <c r="AW56" s="16">
        <f t="shared" si="295"/>
        <v>4499119.7056597304</v>
      </c>
      <c r="AY56" s="16">
        <f t="shared" ref="AY56:BN57" si="300">AY41*AY$54</f>
        <v>0</v>
      </c>
      <c r="AZ56" s="16">
        <f t="shared" si="300"/>
        <v>4524.8157865795229</v>
      </c>
      <c r="BA56" s="16">
        <f t="shared" si="300"/>
        <v>0</v>
      </c>
      <c r="BB56" s="16">
        <f t="shared" si="300"/>
        <v>0</v>
      </c>
      <c r="BC56" s="16">
        <f t="shared" si="300"/>
        <v>1827.4468345180014</v>
      </c>
      <c r="BD56" s="16">
        <f t="shared" si="300"/>
        <v>34915.648985619329</v>
      </c>
      <c r="BE56" s="16">
        <f t="shared" si="300"/>
        <v>2307.0784075093138</v>
      </c>
      <c r="BF56" s="16">
        <f t="shared" si="300"/>
        <v>1497.0702290079075</v>
      </c>
      <c r="BG56" s="16">
        <f t="shared" si="300"/>
        <v>25364.172969465704</v>
      </c>
      <c r="BH56" s="16">
        <f t="shared" si="300"/>
        <v>1829.5206693661644</v>
      </c>
      <c r="BI56" s="16">
        <f t="shared" si="300"/>
        <v>4099.4904381045462</v>
      </c>
      <c r="BJ56" s="16">
        <f t="shared" si="300"/>
        <v>0</v>
      </c>
      <c r="BK56" s="16">
        <f t="shared" si="300"/>
        <v>0</v>
      </c>
      <c r="BL56" s="16">
        <f t="shared" si="300"/>
        <v>902.1901823624645</v>
      </c>
      <c r="BM56" s="16">
        <f t="shared" si="300"/>
        <v>6346.8535261666921</v>
      </c>
      <c r="BN56" s="16">
        <f t="shared" si="300"/>
        <v>32502.040367204921</v>
      </c>
      <c r="BO56" s="16">
        <f t="shared" si="298"/>
        <v>0</v>
      </c>
      <c r="BP56" s="16">
        <f t="shared" si="298"/>
        <v>1106.2245951731932</v>
      </c>
      <c r="BQ56" s="16">
        <f t="shared" si="298"/>
        <v>10350.674219275519</v>
      </c>
      <c r="BR56" s="16">
        <f t="shared" si="298"/>
        <v>15308.830939862644</v>
      </c>
      <c r="BS56" s="16">
        <f t="shared" si="298"/>
        <v>12096.129278605766</v>
      </c>
      <c r="BT56" s="16">
        <f t="shared" si="298"/>
        <v>172.34719621773124</v>
      </c>
      <c r="BU56" s="16">
        <f t="shared" si="298"/>
        <v>26119.055769028455</v>
      </c>
      <c r="BV56" s="16">
        <f t="shared" si="298"/>
        <v>7026.3219012744739</v>
      </c>
      <c r="BW56" s="16">
        <f t="shared" si="298"/>
        <v>0</v>
      </c>
      <c r="BX56" s="16">
        <f t="shared" si="298"/>
        <v>11469.12892700794</v>
      </c>
      <c r="BY56" s="16">
        <f t="shared" si="298"/>
        <v>2833.4711220170939</v>
      </c>
      <c r="BZ56" s="16">
        <f t="shared" si="298"/>
        <v>1212.7991001961659</v>
      </c>
      <c r="CA56" s="16">
        <f t="shared" si="298"/>
        <v>31964.421036348929</v>
      </c>
      <c r="CB56" s="16">
        <f t="shared" si="298"/>
        <v>23030.744871653929</v>
      </c>
      <c r="CC56" s="16">
        <f t="shared" si="298"/>
        <v>10421.657720852263</v>
      </c>
      <c r="CD56" s="16">
        <f t="shared" si="298"/>
        <v>28702.390290973861</v>
      </c>
      <c r="CE56" s="16">
        <f t="shared" si="298"/>
        <v>20321.334261327556</v>
      </c>
      <c r="CF56" s="16">
        <f t="shared" si="298"/>
        <v>219.08744288898481</v>
      </c>
      <c r="CG56" s="16">
        <f t="shared" si="298"/>
        <v>3792.6092170279321</v>
      </c>
      <c r="CH56" s="16">
        <f t="shared" si="298"/>
        <v>35432.638534551115</v>
      </c>
      <c r="CI56" s="16">
        <f t="shared" si="298"/>
        <v>681.57648509041439</v>
      </c>
      <c r="CJ56" s="16">
        <f t="shared" si="298"/>
        <v>11486.93178482672</v>
      </c>
      <c r="CK56" s="16">
        <f t="shared" si="298"/>
        <v>42487.240441279762</v>
      </c>
      <c r="CL56" s="16">
        <f t="shared" si="298"/>
        <v>6123.6573867048828</v>
      </c>
      <c r="CM56" s="16">
        <f t="shared" si="298"/>
        <v>33154.401430640806</v>
      </c>
      <c r="CN56" s="16">
        <f t="shared" si="298"/>
        <v>20692.260019333302</v>
      </c>
      <c r="CO56" s="16">
        <f t="shared" si="298"/>
        <v>12419.164844817338</v>
      </c>
      <c r="CP56" s="16">
        <f t="shared" si="298"/>
        <v>22354.49672067121</v>
      </c>
      <c r="CQ56" s="16">
        <f t="shared" si="298"/>
        <v>33531.745081006819</v>
      </c>
      <c r="CR56" s="16">
        <f t="shared" si="298"/>
        <v>51431.369153850013</v>
      </c>
      <c r="CS56" s="16">
        <f t="shared" si="298"/>
        <v>76495.631081661108</v>
      </c>
      <c r="CT56" s="16">
        <f t="shared" si="298"/>
        <v>97638.949064329485</v>
      </c>
      <c r="CU56" s="16">
        <f t="shared" si="298"/>
        <v>27401.200355091594</v>
      </c>
      <c r="CV56" s="16">
        <f t="shared" si="298"/>
        <v>60222.011189986617</v>
      </c>
      <c r="CW56" s="16">
        <f t="shared" si="298"/>
        <v>119663.15856983882</v>
      </c>
      <c r="CX56" s="16">
        <f t="shared" si="298"/>
        <v>47846.067486419975</v>
      </c>
      <c r="CY56" s="16">
        <f t="shared" si="298"/>
        <v>93843.643074048756</v>
      </c>
      <c r="CZ56" s="16">
        <f t="shared" si="298"/>
        <v>134106.01967761543</v>
      </c>
      <c r="DA56" s="16">
        <f t="shared" si="298"/>
        <v>45943.307738088988</v>
      </c>
      <c r="DB56" s="16">
        <f t="shared" si="298"/>
        <v>81921.467914030538</v>
      </c>
      <c r="DC56" s="16">
        <f t="shared" si="298"/>
        <v>144037.42598286158</v>
      </c>
      <c r="DD56" s="16">
        <f t="shared" si="298"/>
        <v>61849.918162502327</v>
      </c>
      <c r="DE56" s="16">
        <f t="shared" si="298"/>
        <v>164980.26091361142</v>
      </c>
      <c r="DF56" s="16">
        <f t="shared" si="298"/>
        <v>189466.12545516045</v>
      </c>
      <c r="DG56" s="16">
        <f t="shared" si="298"/>
        <v>66503.477546946393</v>
      </c>
      <c r="DH56" s="16">
        <f t="shared" si="298"/>
        <v>140469.40897755141</v>
      </c>
      <c r="DI56" s="16">
        <f t="shared" si="298"/>
        <v>274427.70310294087</v>
      </c>
      <c r="DJ56" s="16">
        <f t="shared" si="298"/>
        <v>118385.8135188046</v>
      </c>
      <c r="DK56" s="16">
        <f t="shared" si="298"/>
        <v>222047.28425466325</v>
      </c>
      <c r="DL56" s="16">
        <f t="shared" si="299"/>
        <v>312783.74418167881</v>
      </c>
      <c r="DM56" s="16">
        <f t="shared" si="299"/>
        <v>103539.1711358232</v>
      </c>
      <c r="DN56" s="16">
        <f t="shared" si="299"/>
        <v>184620.59663624619</v>
      </c>
      <c r="DO56" s="16">
        <f t="shared" si="299"/>
        <v>324606.92172668746</v>
      </c>
      <c r="DP56" s="16">
        <f t="shared" si="299"/>
        <v>124076.90450795532</v>
      </c>
      <c r="DQ56" s="16">
        <f t="shared" si="299"/>
        <v>356494.4367473817</v>
      </c>
      <c r="DR56" s="16">
        <f t="shared" si="299"/>
        <v>411676.4914141639</v>
      </c>
      <c r="DS56" s="16">
        <f t="shared" si="299"/>
        <v>125031.76736918555</v>
      </c>
      <c r="DT56" s="16">
        <f t="shared" si="299"/>
        <v>264093.53485868388</v>
      </c>
      <c r="DU56" s="16">
        <f t="shared" si="299"/>
        <v>515945.66178595723</v>
      </c>
      <c r="DV56" s="16">
        <f t="shared" si="299"/>
        <v>222574.6388261558</v>
      </c>
      <c r="DW56" s="16">
        <f t="shared" si="299"/>
        <v>417466.35535397264</v>
      </c>
      <c r="DX56" s="16">
        <f t="shared" si="299"/>
        <v>588058.03518739739</v>
      </c>
      <c r="DY56" s="16">
        <f t="shared" si="299"/>
        <v>194661.7836625741</v>
      </c>
      <c r="DZ56" s="16">
        <f t="shared" si="299"/>
        <v>347101.23953876272</v>
      </c>
      <c r="EA56" s="16">
        <f t="shared" si="299"/>
        <v>610286.53870179725</v>
      </c>
      <c r="EB56" s="16">
        <f t="shared" si="299"/>
        <v>233274.33741154248</v>
      </c>
      <c r="EC56" s="16">
        <f t="shared" si="299"/>
        <v>670237.57445379021</v>
      </c>
      <c r="ED56" s="16">
        <f t="shared" si="299"/>
        <v>773984.17653456517</v>
      </c>
      <c r="EE56" s="16">
        <f t="shared" si="299"/>
        <v>212209.04711265367</v>
      </c>
      <c r="EF56" s="16">
        <f t="shared" si="299"/>
        <v>448230.38624650909</v>
      </c>
      <c r="EG56" s="16">
        <f t="shared" si="299"/>
        <v>875684.15254193428</v>
      </c>
      <c r="EH56" s="16">
        <f t="shared" si="299"/>
        <v>377762.81188825407</v>
      </c>
      <c r="EI56" s="16">
        <f t="shared" si="299"/>
        <v>708541.03189372586</v>
      </c>
      <c r="EJ56" s="16">
        <f t="shared" si="299"/>
        <v>998076.23230328073</v>
      </c>
      <c r="EK56" s="16">
        <f t="shared" si="299"/>
        <v>330387.96850971429</v>
      </c>
      <c r="EL56" s="16">
        <f t="shared" si="299"/>
        <v>589114.46941839391</v>
      </c>
      <c r="EM56" s="16">
        <f t="shared" si="299"/>
        <v>1035803.3607665838</v>
      </c>
      <c r="EN56" s="16">
        <f t="shared" si="299"/>
        <v>395922.77946267952</v>
      </c>
      <c r="EO56" s="16">
        <f t="shared" si="299"/>
        <v>1137554.7191456258</v>
      </c>
      <c r="EP56" s="16">
        <f t="shared" si="299"/>
        <v>1313637.7101484612</v>
      </c>
      <c r="EQ56" s="16">
        <f t="shared" si="299"/>
        <v>335340.8048424992</v>
      </c>
      <c r="ER56" s="16">
        <f t="shared" si="299"/>
        <v>708310.69892592658</v>
      </c>
      <c r="ES56" s="16">
        <f t="shared" si="299"/>
        <v>1383789.3930382009</v>
      </c>
      <c r="ET56" s="16">
        <f t="shared" si="299"/>
        <v>596955.1586126464</v>
      </c>
      <c r="EU56" s="16">
        <f t="shared" si="299"/>
        <v>1119663.4786877995</v>
      </c>
      <c r="EV56" s="16">
        <f t="shared" si="299"/>
        <v>1577198.0110587564</v>
      </c>
      <c r="EW56" s="16">
        <f t="shared" si="299"/>
        <v>522091.62982344639</v>
      </c>
      <c r="EX56" s="16">
        <f t="shared" si="299"/>
        <v>930941.08383726038</v>
      </c>
      <c r="EY56" s="16">
        <f t="shared" si="299"/>
        <v>1636815.8539142692</v>
      </c>
      <c r="EZ56" s="16">
        <f t="shared" si="299"/>
        <v>625652.22985055973</v>
      </c>
      <c r="FA56" s="16">
        <f t="shared" si="299"/>
        <v>1797607.2192066829</v>
      </c>
      <c r="FB56" s="16">
        <f t="shared" si="299"/>
        <v>2075860.256602488</v>
      </c>
    </row>
    <row r="57" spans="3:158" x14ac:dyDescent="0.25">
      <c r="C57" s="377" t="s">
        <v>313</v>
      </c>
      <c r="D57" s="16">
        <f t="shared" ref="D57:L57" si="301">SUMIF($AY$2:$FB$2,D$2,$AY57:$FB57)</f>
        <v>78017.007389959093</v>
      </c>
      <c r="E57" s="16">
        <f t="shared" si="301"/>
        <v>105395.14169631389</v>
      </c>
      <c r="F57" s="16">
        <f t="shared" si="301"/>
        <v>149572.13026313836</v>
      </c>
      <c r="G57" s="16">
        <f t="shared" si="301"/>
        <v>381451.70432459615</v>
      </c>
      <c r="H57" s="16">
        <f t="shared" si="301"/>
        <v>1354655.7929927311</v>
      </c>
      <c r="I57" s="16">
        <f t="shared" si="301"/>
        <v>3582503.1038294528</v>
      </c>
      <c r="J57" s="16">
        <f t="shared" si="301"/>
        <v>7866270.1738422066</v>
      </c>
      <c r="K57" s="16">
        <f t="shared" si="301"/>
        <v>15549873.738412691</v>
      </c>
      <c r="L57" s="16">
        <f t="shared" si="301"/>
        <v>28593128.564490322</v>
      </c>
      <c r="N57" s="16">
        <f>SUM(AY57:BA57)</f>
        <v>5763.4480094414866</v>
      </c>
      <c r="O57" s="16">
        <f>SUM(BB57:BD57)</f>
        <v>25164.049919339159</v>
      </c>
      <c r="P57" s="16">
        <f>SUM(BE57:BG57)</f>
        <v>37392.617481120309</v>
      </c>
      <c r="Q57" s="16">
        <f>SUM(BH57:BJ57)</f>
        <v>9696.891980058128</v>
      </c>
      <c r="R57" s="16">
        <f>SUM(BK57:BM57)</f>
        <v>6658.709553963221</v>
      </c>
      <c r="S57" s="16">
        <f>SUM(BN57:BP57)</f>
        <v>43968.720695828233</v>
      </c>
      <c r="T57" s="16">
        <f>SUM(BQ57:BS57)</f>
        <v>29836.929248621462</v>
      </c>
      <c r="U57" s="16">
        <f>SUM(BT57:BV57)</f>
        <v>24930.782197900968</v>
      </c>
      <c r="V57" s="16">
        <f>SUM(BW57:BY57)</f>
        <v>12121.90663389468</v>
      </c>
      <c r="W57" s="16">
        <f>SUM(BZ57:CB57)</f>
        <v>36648.826316580074</v>
      </c>
      <c r="X57" s="16">
        <f>SUM(CC57:CE57)</f>
        <v>77909.319031735737</v>
      </c>
      <c r="Y57" s="16">
        <f>SUM(CF57:CH57)</f>
        <v>22892.078280927853</v>
      </c>
      <c r="Z57" s="16">
        <f>SUM(CI57:CK57)</f>
        <v>50039.470395718643</v>
      </c>
      <c r="AA57" s="16">
        <f>SUM(CL57:CN57)</f>
        <v>73322.237494812027</v>
      </c>
      <c r="AB57" s="16">
        <f>SUM(CO57:CQ57)</f>
        <v>68589.775374197197</v>
      </c>
      <c r="AC57" s="16">
        <f>SUM(CR57:CT57)</f>
        <v>189500.22105986826</v>
      </c>
      <c r="AD57" s="16">
        <f>SUM(CU57:CW57)</f>
        <v>239739.03479805563</v>
      </c>
      <c r="AE57" s="16">
        <f>SUM(CX57:CZ57)</f>
        <v>318974.19078759325</v>
      </c>
      <c r="AF57" s="16">
        <f>SUM(DA57:DC57)</f>
        <v>314471.09302603244</v>
      </c>
      <c r="AG57" s="16">
        <f>SUM(DD57:DF57)</f>
        <v>481471.47438104986</v>
      </c>
      <c r="AH57" s="16">
        <f>SUM(DG57:DI57)</f>
        <v>653355.89837628393</v>
      </c>
      <c r="AI57" s="16">
        <f>SUM(DJ57:DL57)</f>
        <v>886544.56559850939</v>
      </c>
      <c r="AJ57" s="16">
        <f>SUM(DM57:DO57)</f>
        <v>831645.70118694869</v>
      </c>
      <c r="AK57" s="16">
        <f>SUM(DP57:DR57)</f>
        <v>1210956.9386677109</v>
      </c>
      <c r="AL57" s="16">
        <f>SUM(DS57:DU57)</f>
        <v>1434604.2047549081</v>
      </c>
      <c r="AM57" s="16">
        <f>SUM(DV57:DX57)</f>
        <v>1946627.503740313</v>
      </c>
      <c r="AN57" s="16">
        <f>SUM(DY57:EA57)</f>
        <v>1826083.4910256136</v>
      </c>
      <c r="AO57" s="16">
        <f>SUM(EB57:ED57)</f>
        <v>2658954.9743213728</v>
      </c>
      <c r="AP57" s="16">
        <f>SUM(EE57:EG57)</f>
        <v>2835894.7449727212</v>
      </c>
      <c r="AQ57" s="16">
        <f>SUM(EH57:EJ57)</f>
        <v>3848051.3928367058</v>
      </c>
      <c r="AR57" s="16">
        <f>SUM(EK57:EM57)</f>
        <v>3609762.5804503346</v>
      </c>
      <c r="AS57" s="16">
        <f>SUM(EN57:EP57)</f>
        <v>5256165.0201529274</v>
      </c>
      <c r="AT57" s="16">
        <f>SUM(EQ57:ES57)</f>
        <v>5214647.0384552954</v>
      </c>
      <c r="AU57" s="16">
        <f>SUM(ET57:EV57)</f>
        <v>7075802.0321634766</v>
      </c>
      <c r="AV57" s="16">
        <f>SUM(EW57:EY57)</f>
        <v>6637636.2462116526</v>
      </c>
      <c r="AW57" s="16">
        <f>SUM(EZ57:FB57)</f>
        <v>9665043.2476598956</v>
      </c>
      <c r="AY57" s="16">
        <f t="shared" si="300"/>
        <v>0</v>
      </c>
      <c r="AZ57" s="16">
        <f t="shared" ref="AZ57:DK57" si="302">AZ42*AZ$54</f>
        <v>5763.4480094414866</v>
      </c>
      <c r="BA57" s="16">
        <f t="shared" si="302"/>
        <v>0</v>
      </c>
      <c r="BB57" s="16">
        <f t="shared" si="302"/>
        <v>0</v>
      </c>
      <c r="BC57" s="16">
        <f t="shared" si="302"/>
        <v>1640.4583173420676</v>
      </c>
      <c r="BD57" s="16">
        <f t="shared" si="302"/>
        <v>23523.59160199709</v>
      </c>
      <c r="BE57" s="16">
        <f t="shared" si="302"/>
        <v>11817.608179641626</v>
      </c>
      <c r="BF57" s="16">
        <f t="shared" si="302"/>
        <v>797.33496275918492</v>
      </c>
      <c r="BG57" s="16">
        <f t="shared" si="302"/>
        <v>24777.674338719495</v>
      </c>
      <c r="BH57" s="16">
        <f t="shared" si="302"/>
        <v>2553.7661245115969</v>
      </c>
      <c r="BI57" s="16">
        <f t="shared" si="302"/>
        <v>7143.1258555465311</v>
      </c>
      <c r="BJ57" s="16">
        <f t="shared" si="302"/>
        <v>0</v>
      </c>
      <c r="BK57" s="16">
        <f t="shared" si="302"/>
        <v>0</v>
      </c>
      <c r="BL57" s="16">
        <f t="shared" si="302"/>
        <v>1902.2963846469147</v>
      </c>
      <c r="BM57" s="16">
        <f t="shared" si="302"/>
        <v>4756.4131693163063</v>
      </c>
      <c r="BN57" s="16">
        <f t="shared" si="302"/>
        <v>42388.605371978214</v>
      </c>
      <c r="BO57" s="16">
        <f t="shared" si="302"/>
        <v>0</v>
      </c>
      <c r="BP57" s="16">
        <f t="shared" si="302"/>
        <v>1580.1153238500183</v>
      </c>
      <c r="BQ57" s="16">
        <f t="shared" si="302"/>
        <v>18589.770045318928</v>
      </c>
      <c r="BR57" s="16">
        <f t="shared" si="302"/>
        <v>4485.5685024874065</v>
      </c>
      <c r="BS57" s="16">
        <f t="shared" si="302"/>
        <v>6761.5907008151262</v>
      </c>
      <c r="BT57" s="16">
        <f t="shared" si="302"/>
        <v>104.21304105191214</v>
      </c>
      <c r="BU57" s="16">
        <f t="shared" si="302"/>
        <v>16917.124583375175</v>
      </c>
      <c r="BV57" s="16">
        <f t="shared" si="302"/>
        <v>7909.444573473882</v>
      </c>
      <c r="BW57" s="16">
        <f t="shared" si="302"/>
        <v>0</v>
      </c>
      <c r="BX57" s="16">
        <f t="shared" si="302"/>
        <v>11194.99207421493</v>
      </c>
      <c r="BY57" s="16">
        <f t="shared" si="302"/>
        <v>926.91455967975071</v>
      </c>
      <c r="BZ57" s="16">
        <f t="shared" si="302"/>
        <v>1696.0569101244823</v>
      </c>
      <c r="CA57" s="16">
        <f t="shared" si="302"/>
        <v>14329.415233060678</v>
      </c>
      <c r="CB57" s="16">
        <f t="shared" si="302"/>
        <v>20623.354173394917</v>
      </c>
      <c r="CC57" s="16">
        <f t="shared" si="302"/>
        <v>5394.4851887937148</v>
      </c>
      <c r="CD57" s="16">
        <f t="shared" si="302"/>
        <v>44408.675937767046</v>
      </c>
      <c r="CE57" s="16">
        <f t="shared" si="302"/>
        <v>28106.157905174965</v>
      </c>
      <c r="CF57" s="16">
        <f t="shared" si="302"/>
        <v>149.44648181813835</v>
      </c>
      <c r="CG57" s="16">
        <f t="shared" si="302"/>
        <v>2939.7798732308984</v>
      </c>
      <c r="CH57" s="16">
        <f t="shared" si="302"/>
        <v>19802.851925878818</v>
      </c>
      <c r="CI57" s="16">
        <f t="shared" si="302"/>
        <v>1262.1639856765473</v>
      </c>
      <c r="CJ57" s="16">
        <f t="shared" si="302"/>
        <v>6501.9855176621886</v>
      </c>
      <c r="CK57" s="16">
        <f t="shared" si="302"/>
        <v>42275.320892379903</v>
      </c>
      <c r="CL57" s="16">
        <f t="shared" si="302"/>
        <v>4419.3069723573799</v>
      </c>
      <c r="CM57" s="16">
        <f t="shared" si="302"/>
        <v>28317.486864329985</v>
      </c>
      <c r="CN57" s="16">
        <f t="shared" si="302"/>
        <v>40585.443658124655</v>
      </c>
      <c r="CO57" s="16">
        <f t="shared" si="302"/>
        <v>12470.868249854035</v>
      </c>
      <c r="CP57" s="16">
        <f t="shared" si="302"/>
        <v>22447.562849737264</v>
      </c>
      <c r="CQ57" s="16">
        <f t="shared" si="302"/>
        <v>33671.344274605901</v>
      </c>
      <c r="CR57" s="16">
        <f t="shared" si="302"/>
        <v>43208.010137694815</v>
      </c>
      <c r="CS57" s="16">
        <f t="shared" si="302"/>
        <v>64264.748491891078</v>
      </c>
      <c r="CT57" s="16">
        <f t="shared" si="302"/>
        <v>82027.462430282365</v>
      </c>
      <c r="CU57" s="16">
        <f t="shared" si="302"/>
        <v>31691.120461977065</v>
      </c>
      <c r="CV57" s="16">
        <f t="shared" si="302"/>
        <v>69650.343282489281</v>
      </c>
      <c r="CW57" s="16">
        <f t="shared" si="302"/>
        <v>138397.57105358929</v>
      </c>
      <c r="CX57" s="16">
        <f t="shared" si="302"/>
        <v>55336.827171597499</v>
      </c>
      <c r="CY57" s="16">
        <f t="shared" si="302"/>
        <v>108535.76335015697</v>
      </c>
      <c r="CZ57" s="16">
        <f t="shared" si="302"/>
        <v>155101.60026583882</v>
      </c>
      <c r="DA57" s="16">
        <f t="shared" si="302"/>
        <v>53136.172177906548</v>
      </c>
      <c r="DB57" s="16">
        <f t="shared" si="302"/>
        <v>94747.057590238619</v>
      </c>
      <c r="DC57" s="16">
        <f t="shared" si="302"/>
        <v>166587.86325788725</v>
      </c>
      <c r="DD57" s="16">
        <f t="shared" si="302"/>
        <v>71533.114668353068</v>
      </c>
      <c r="DE57" s="16">
        <f t="shared" si="302"/>
        <v>190809.49939078637</v>
      </c>
      <c r="DF57" s="16">
        <f t="shared" si="302"/>
        <v>219128.86032191038</v>
      </c>
      <c r="DG57" s="16">
        <f t="shared" si="302"/>
        <v>90258.38408602486</v>
      </c>
      <c r="DH57" s="16">
        <f t="shared" si="302"/>
        <v>190644.79536250804</v>
      </c>
      <c r="DI57" s="16">
        <f t="shared" si="302"/>
        <v>372452.71892775106</v>
      </c>
      <c r="DJ57" s="16">
        <f t="shared" si="302"/>
        <v>160672.98464766389</v>
      </c>
      <c r="DK57" s="16">
        <f t="shared" si="302"/>
        <v>301362.12130212697</v>
      </c>
      <c r="DL57" s="16">
        <f t="shared" si="299"/>
        <v>424509.45964871853</v>
      </c>
      <c r="DM57" s="16">
        <f t="shared" si="299"/>
        <v>140523.15188673756</v>
      </c>
      <c r="DN57" s="16">
        <f t="shared" si="299"/>
        <v>250566.69720199477</v>
      </c>
      <c r="DO57" s="16">
        <f t="shared" si="299"/>
        <v>440555.8520982163</v>
      </c>
      <c r="DP57" s="16">
        <f t="shared" si="299"/>
        <v>168396.92173057314</v>
      </c>
      <c r="DQ57" s="16">
        <f t="shared" si="299"/>
        <v>483833.52244643186</v>
      </c>
      <c r="DR57" s="16">
        <f t="shared" si="299"/>
        <v>558726.49449070578</v>
      </c>
      <c r="DS57" s="16">
        <f t="shared" si="299"/>
        <v>198184.56930746362</v>
      </c>
      <c r="DT57" s="16">
        <f t="shared" si="299"/>
        <v>418607.72317414312</v>
      </c>
      <c r="DU57" s="16">
        <f t="shared" si="299"/>
        <v>817811.91227330151</v>
      </c>
      <c r="DV57" s="16">
        <f t="shared" si="299"/>
        <v>352797.21196196746</v>
      </c>
      <c r="DW57" s="16">
        <f t="shared" si="299"/>
        <v>661714.95114428014</v>
      </c>
      <c r="DX57" s="16">
        <f t="shared" si="299"/>
        <v>932115.34063406545</v>
      </c>
      <c r="DY57" s="16">
        <f t="shared" si="299"/>
        <v>308553.27863899176</v>
      </c>
      <c r="DZ57" s="16">
        <f t="shared" si="299"/>
        <v>550181.05487509863</v>
      </c>
      <c r="EA57" s="16">
        <f t="shared" si="299"/>
        <v>967349.15751152334</v>
      </c>
      <c r="EB57" s="16">
        <f t="shared" si="299"/>
        <v>369757.02306023991</v>
      </c>
      <c r="EC57" s="16">
        <f t="shared" si="299"/>
        <v>1062375.9690974343</v>
      </c>
      <c r="ED57" s="16">
        <f t="shared" si="299"/>
        <v>1226821.9821636984</v>
      </c>
      <c r="EE57" s="16">
        <f t="shared" si="299"/>
        <v>391766.99522481661</v>
      </c>
      <c r="EF57" s="16">
        <f t="shared" si="299"/>
        <v>827494.7462302749</v>
      </c>
      <c r="EG57" s="16">
        <f t="shared" si="299"/>
        <v>1616633.0035176296</v>
      </c>
      <c r="EH57" s="16">
        <f t="shared" si="299"/>
        <v>697401.94272949162</v>
      </c>
      <c r="EI57" s="16">
        <f t="shared" si="299"/>
        <v>1308063.8871684754</v>
      </c>
      <c r="EJ57" s="16">
        <f t="shared" si="299"/>
        <v>1842585.5629387388</v>
      </c>
      <c r="EK57" s="16">
        <f t="shared" si="299"/>
        <v>609941.48667360982</v>
      </c>
      <c r="EL57" s="16">
        <f t="shared" si="299"/>
        <v>1087586.0792352818</v>
      </c>
      <c r="EM57" s="16">
        <f t="shared" si="299"/>
        <v>1912235.0145414432</v>
      </c>
      <c r="EN57" s="16">
        <f t="shared" si="299"/>
        <v>730927.73263719503</v>
      </c>
      <c r="EO57" s="16">
        <f t="shared" si="299"/>
        <v>2100081.9724095459</v>
      </c>
      <c r="EP57" s="16">
        <f t="shared" si="299"/>
        <v>2425155.3151061866</v>
      </c>
      <c r="EQ57" s="16">
        <f t="shared" si="299"/>
        <v>720381.67320390837</v>
      </c>
      <c r="ER57" s="16">
        <f t="shared" si="299"/>
        <v>1521598.4427548018</v>
      </c>
      <c r="ES57" s="16">
        <f t="shared" si="299"/>
        <v>2972666.9224965852</v>
      </c>
      <c r="ET57" s="16">
        <f t="shared" si="299"/>
        <v>1282383.6222110193</v>
      </c>
      <c r="EU57" s="16">
        <f t="shared" si="299"/>
        <v>2405269.6199058071</v>
      </c>
      <c r="EV57" s="16">
        <f t="shared" si="299"/>
        <v>3388148.79004665</v>
      </c>
      <c r="EW57" s="16">
        <f t="shared" si="299"/>
        <v>1121561.2189951551</v>
      </c>
      <c r="EX57" s="16">
        <f t="shared" si="299"/>
        <v>1999854.732691789</v>
      </c>
      <c r="EY57" s="16">
        <f t="shared" si="299"/>
        <v>3516220.2945247088</v>
      </c>
      <c r="EZ57" s="16">
        <f t="shared" si="299"/>
        <v>1344030.8893967983</v>
      </c>
      <c r="FA57" s="16">
        <f t="shared" si="299"/>
        <v>3861633.5311288624</v>
      </c>
      <c r="FB57" s="16">
        <f t="shared" si="299"/>
        <v>4459378.8271342358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1CB034-ECEA-43B6-8E13-9E75CA4B2447}">
  <sheetPr>
    <tabColor theme="1"/>
  </sheetPr>
  <dimension ref="A1"/>
  <sheetViews>
    <sheetView workbookViewId="0"/>
  </sheetViews>
  <sheetFormatPr defaultColWidth="8.85546875" defaultRowHeight="15" x14ac:dyDescent="0.25"/>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24F669-C23F-4046-8F46-9F55BE4DA9CD}">
  <dimension ref="A1:AR68"/>
  <sheetViews>
    <sheetView workbookViewId="0">
      <pane xSplit="1" ySplit="8" topLeftCell="AG9" activePane="bottomRight" state="frozen"/>
      <selection pane="topRight" activeCell="B1" sqref="B1"/>
      <selection pane="bottomLeft" activeCell="A9" sqref="A9"/>
      <selection pane="bottomRight" activeCell="AR33" activeCellId="1" sqref="AR16 AR33"/>
    </sheetView>
  </sheetViews>
  <sheetFormatPr defaultColWidth="9.140625" defaultRowHeight="12.75" x14ac:dyDescent="0.2"/>
  <cols>
    <col min="1" max="1" width="52.85546875" style="33" customWidth="1"/>
    <col min="2" max="4" width="12.7109375" style="33" customWidth="1"/>
    <col min="5" max="5" width="4.140625" style="33" customWidth="1"/>
    <col min="6" max="25" width="12.7109375" style="33" customWidth="1"/>
    <col min="26" max="26" width="13" style="33" customWidth="1"/>
    <col min="27" max="44" width="12.7109375" style="33" bestFit="1" customWidth="1"/>
    <col min="45" max="45" width="9.28515625" style="33" customWidth="1"/>
    <col min="46" max="16384" width="9.140625" style="33"/>
  </cols>
  <sheetData>
    <row r="1" spans="1:44" ht="15.75" x14ac:dyDescent="0.25">
      <c r="A1" s="45" t="s">
        <v>180</v>
      </c>
      <c r="E1" s="45"/>
    </row>
    <row r="2" spans="1:44" ht="15.75" x14ac:dyDescent="0.25">
      <c r="A2" s="45" t="s">
        <v>179</v>
      </c>
      <c r="E2" s="45"/>
    </row>
    <row r="3" spans="1:44" x14ac:dyDescent="0.2">
      <c r="A3" s="36" t="s">
        <v>178</v>
      </c>
      <c r="B3" s="36"/>
      <c r="C3" s="36"/>
      <c r="D3" s="36"/>
      <c r="E3" s="36"/>
      <c r="F3" s="36" t="s">
        <v>177</v>
      </c>
    </row>
    <row r="4" spans="1:44" x14ac:dyDescent="0.2">
      <c r="A4" s="36" t="s">
        <v>176</v>
      </c>
      <c r="B4" s="36"/>
      <c r="C4" s="36"/>
      <c r="D4" s="36"/>
      <c r="E4" s="36"/>
      <c r="F4" s="36" t="s">
        <v>154</v>
      </c>
    </row>
    <row r="5" spans="1:44" x14ac:dyDescent="0.2">
      <c r="A5" s="44" t="s">
        <v>90</v>
      </c>
      <c r="E5" s="44"/>
    </row>
    <row r="6" spans="1:44" x14ac:dyDescent="0.2">
      <c r="A6" s="36" t="s">
        <v>90</v>
      </c>
      <c r="B6" s="43"/>
      <c r="C6" s="43"/>
      <c r="D6" s="43"/>
      <c r="E6" s="36"/>
      <c r="F6" s="43" t="s">
        <v>175</v>
      </c>
      <c r="G6" s="43" t="s">
        <v>175</v>
      </c>
      <c r="H6" s="43" t="s">
        <v>175</v>
      </c>
      <c r="I6" s="43" t="s">
        <v>175</v>
      </c>
      <c r="J6" s="43" t="s">
        <v>175</v>
      </c>
      <c r="K6" s="43" t="s">
        <v>175</v>
      </c>
      <c r="L6" s="43" t="s">
        <v>175</v>
      </c>
      <c r="M6" s="43" t="s">
        <v>175</v>
      </c>
      <c r="N6" s="43" t="s">
        <v>175</v>
      </c>
      <c r="O6" s="43" t="s">
        <v>175</v>
      </c>
      <c r="P6" s="43" t="s">
        <v>175</v>
      </c>
      <c r="Q6" s="43" t="s">
        <v>175</v>
      </c>
      <c r="R6" s="43" t="s">
        <v>175</v>
      </c>
      <c r="S6" s="43" t="s">
        <v>175</v>
      </c>
      <c r="T6" s="43" t="s">
        <v>175</v>
      </c>
      <c r="U6" s="43" t="s">
        <v>175</v>
      </c>
      <c r="V6" s="43" t="s">
        <v>175</v>
      </c>
      <c r="W6" s="43" t="s">
        <v>175</v>
      </c>
      <c r="X6" s="43" t="s">
        <v>175</v>
      </c>
      <c r="Y6" s="43" t="s">
        <v>175</v>
      </c>
      <c r="Z6" s="43" t="s">
        <v>175</v>
      </c>
      <c r="AA6" s="43" t="s">
        <v>175</v>
      </c>
      <c r="AB6" s="43" t="s">
        <v>175</v>
      </c>
      <c r="AC6" s="43" t="s">
        <v>175</v>
      </c>
      <c r="AD6" s="43" t="s">
        <v>175</v>
      </c>
      <c r="AE6" s="43" t="s">
        <v>175</v>
      </c>
      <c r="AF6" s="43" t="s">
        <v>175</v>
      </c>
      <c r="AG6" s="43" t="s">
        <v>175</v>
      </c>
      <c r="AH6" s="43" t="s">
        <v>175</v>
      </c>
      <c r="AI6" s="43" t="s">
        <v>175</v>
      </c>
      <c r="AJ6" s="43" t="s">
        <v>175</v>
      </c>
      <c r="AK6" s="43" t="s">
        <v>175</v>
      </c>
      <c r="AL6" s="43" t="s">
        <v>175</v>
      </c>
      <c r="AM6" s="43" t="s">
        <v>175</v>
      </c>
      <c r="AN6" s="43" t="s">
        <v>175</v>
      </c>
      <c r="AO6" s="43" t="s">
        <v>175</v>
      </c>
      <c r="AP6" s="43" t="s">
        <v>175</v>
      </c>
      <c r="AQ6" s="43" t="s">
        <v>175</v>
      </c>
      <c r="AR6" s="43" t="s">
        <v>175</v>
      </c>
    </row>
    <row r="7" spans="1:44" ht="15" x14ac:dyDescent="0.25">
      <c r="A7" s="36" t="s">
        <v>90</v>
      </c>
      <c r="B7" s="31" t="s">
        <v>36</v>
      </c>
      <c r="C7" s="31" t="s">
        <v>181</v>
      </c>
      <c r="D7" s="31" t="s">
        <v>182</v>
      </c>
      <c r="E7" s="36"/>
      <c r="F7" s="42" t="s">
        <v>174</v>
      </c>
      <c r="G7" s="42" t="s">
        <v>173</v>
      </c>
      <c r="H7" s="42" t="s">
        <v>172</v>
      </c>
      <c r="I7" s="42" t="s">
        <v>171</v>
      </c>
      <c r="J7" s="42" t="s">
        <v>170</v>
      </c>
      <c r="K7" s="42" t="s">
        <v>169</v>
      </c>
      <c r="L7" s="42" t="s">
        <v>168</v>
      </c>
      <c r="M7" s="42" t="s">
        <v>167</v>
      </c>
      <c r="N7" s="42" t="s">
        <v>166</v>
      </c>
      <c r="O7" s="42" t="s">
        <v>165</v>
      </c>
      <c r="P7" s="42" t="s">
        <v>164</v>
      </c>
      <c r="Q7" s="42" t="s">
        <v>163</v>
      </c>
      <c r="R7" s="42" t="s">
        <v>162</v>
      </c>
      <c r="S7" s="42" t="s">
        <v>161</v>
      </c>
      <c r="T7" s="42" t="s">
        <v>160</v>
      </c>
      <c r="U7" s="42" t="s">
        <v>159</v>
      </c>
      <c r="V7" s="42" t="s">
        <v>158</v>
      </c>
      <c r="W7" s="42" t="s">
        <v>157</v>
      </c>
      <c r="X7" s="42" t="s">
        <v>156</v>
      </c>
      <c r="Y7" s="42" t="s">
        <v>155</v>
      </c>
      <c r="Z7" s="42" t="s">
        <v>154</v>
      </c>
      <c r="AA7" s="42" t="s">
        <v>153</v>
      </c>
      <c r="AB7" s="42" t="s">
        <v>152</v>
      </c>
      <c r="AC7" s="42" t="s">
        <v>151</v>
      </c>
      <c r="AD7" s="42" t="s">
        <v>150</v>
      </c>
      <c r="AE7" s="42" t="s">
        <v>149</v>
      </c>
      <c r="AF7" s="42" t="s">
        <v>148</v>
      </c>
      <c r="AG7" s="42" t="s">
        <v>147</v>
      </c>
      <c r="AH7" s="42" t="s">
        <v>146</v>
      </c>
      <c r="AI7" s="42" t="s">
        <v>145</v>
      </c>
      <c r="AJ7" s="42" t="s">
        <v>144</v>
      </c>
      <c r="AK7" s="42" t="s">
        <v>143</v>
      </c>
      <c r="AL7" s="42" t="s">
        <v>142</v>
      </c>
      <c r="AM7" s="42" t="s">
        <v>141</v>
      </c>
      <c r="AN7" s="42" t="s">
        <v>140</v>
      </c>
      <c r="AO7" s="42" t="s">
        <v>139</v>
      </c>
      <c r="AP7" s="42" t="s">
        <v>138</v>
      </c>
      <c r="AQ7" s="42" t="s">
        <v>137</v>
      </c>
      <c r="AR7" s="42" t="s">
        <v>136</v>
      </c>
    </row>
    <row r="8" spans="1:44" x14ac:dyDescent="0.2">
      <c r="A8" s="41" t="s">
        <v>90</v>
      </c>
      <c r="B8" s="40"/>
      <c r="C8" s="40"/>
      <c r="D8" s="40"/>
      <c r="E8" s="41"/>
      <c r="F8" s="40" t="s">
        <v>135</v>
      </c>
      <c r="G8" s="40" t="s">
        <v>135</v>
      </c>
      <c r="H8" s="40" t="s">
        <v>135</v>
      </c>
      <c r="I8" s="40" t="s">
        <v>135</v>
      </c>
      <c r="J8" s="40" t="s">
        <v>135</v>
      </c>
      <c r="K8" s="40" t="s">
        <v>135</v>
      </c>
      <c r="L8" s="40" t="s">
        <v>135</v>
      </c>
      <c r="M8" s="40" t="s">
        <v>135</v>
      </c>
      <c r="N8" s="40" t="s">
        <v>135</v>
      </c>
      <c r="O8" s="40" t="s">
        <v>135</v>
      </c>
      <c r="P8" s="40" t="s">
        <v>135</v>
      </c>
      <c r="Q8" s="40" t="s">
        <v>135</v>
      </c>
      <c r="R8" s="40" t="s">
        <v>135</v>
      </c>
      <c r="S8" s="40" t="s">
        <v>135</v>
      </c>
      <c r="T8" s="40" t="s">
        <v>135</v>
      </c>
      <c r="U8" s="40" t="s">
        <v>135</v>
      </c>
      <c r="V8" s="40" t="s">
        <v>135</v>
      </c>
      <c r="W8" s="40" t="s">
        <v>135</v>
      </c>
      <c r="X8" s="40" t="s">
        <v>135</v>
      </c>
      <c r="Y8" s="40" t="s">
        <v>135</v>
      </c>
      <c r="Z8" s="40" t="s">
        <v>135</v>
      </c>
      <c r="AA8" s="40" t="s">
        <v>135</v>
      </c>
      <c r="AB8" s="40" t="s">
        <v>135</v>
      </c>
      <c r="AC8" s="40" t="s">
        <v>135</v>
      </c>
      <c r="AD8" s="40" t="s">
        <v>135</v>
      </c>
      <c r="AE8" s="40" t="s">
        <v>135</v>
      </c>
      <c r="AF8" s="40" t="s">
        <v>135</v>
      </c>
      <c r="AG8" s="40" t="s">
        <v>135</v>
      </c>
      <c r="AH8" s="40" t="s">
        <v>135</v>
      </c>
      <c r="AI8" s="40" t="s">
        <v>135</v>
      </c>
      <c r="AJ8" s="40" t="s">
        <v>135</v>
      </c>
      <c r="AK8" s="40" t="s">
        <v>135</v>
      </c>
      <c r="AL8" s="40" t="s">
        <v>135</v>
      </c>
      <c r="AM8" s="40" t="s">
        <v>135</v>
      </c>
      <c r="AN8" s="40" t="s">
        <v>135</v>
      </c>
      <c r="AO8" s="40" t="s">
        <v>135</v>
      </c>
      <c r="AP8" s="40" t="s">
        <v>135</v>
      </c>
      <c r="AQ8" s="40" t="s">
        <v>135</v>
      </c>
      <c r="AR8" s="40" t="s">
        <v>135</v>
      </c>
    </row>
    <row r="9" spans="1:44" x14ac:dyDescent="0.2">
      <c r="A9" s="36" t="s">
        <v>134</v>
      </c>
      <c r="B9" s="36" t="s">
        <v>110</v>
      </c>
      <c r="C9" s="36" t="s">
        <v>110</v>
      </c>
      <c r="D9" s="36" t="s">
        <v>110</v>
      </c>
      <c r="E9" s="36"/>
      <c r="F9" s="36" t="s">
        <v>110</v>
      </c>
      <c r="G9" s="36" t="s">
        <v>110</v>
      </c>
      <c r="H9" s="36" t="s">
        <v>110</v>
      </c>
      <c r="I9" s="36" t="s">
        <v>110</v>
      </c>
      <c r="J9" s="36" t="s">
        <v>110</v>
      </c>
      <c r="K9" s="36" t="s">
        <v>110</v>
      </c>
      <c r="L9" s="36" t="s">
        <v>110</v>
      </c>
      <c r="M9" s="36" t="s">
        <v>110</v>
      </c>
      <c r="N9" s="36" t="s">
        <v>110</v>
      </c>
      <c r="O9" s="36" t="s">
        <v>110</v>
      </c>
      <c r="P9" s="36" t="s">
        <v>110</v>
      </c>
      <c r="Q9" s="36" t="s">
        <v>110</v>
      </c>
      <c r="R9" s="36" t="s">
        <v>110</v>
      </c>
      <c r="S9" s="36" t="s">
        <v>110</v>
      </c>
      <c r="T9" s="36" t="s">
        <v>110</v>
      </c>
      <c r="U9" s="36" t="s">
        <v>110</v>
      </c>
      <c r="V9" s="36" t="s">
        <v>110</v>
      </c>
      <c r="W9" s="36" t="s">
        <v>110</v>
      </c>
      <c r="X9" s="36" t="s">
        <v>110</v>
      </c>
      <c r="Y9" s="36" t="s">
        <v>110</v>
      </c>
      <c r="Z9" s="36" t="s">
        <v>110</v>
      </c>
      <c r="AA9" s="36" t="s">
        <v>110</v>
      </c>
      <c r="AB9" s="36" t="s">
        <v>110</v>
      </c>
      <c r="AC9" s="36" t="s">
        <v>110</v>
      </c>
      <c r="AD9" s="36" t="s">
        <v>110</v>
      </c>
      <c r="AE9" s="36" t="s">
        <v>110</v>
      </c>
      <c r="AF9" s="36" t="s">
        <v>110</v>
      </c>
      <c r="AG9" s="36" t="s">
        <v>110</v>
      </c>
      <c r="AH9" s="36" t="s">
        <v>110</v>
      </c>
      <c r="AI9" s="36" t="s">
        <v>110</v>
      </c>
      <c r="AJ9" s="36" t="s">
        <v>110</v>
      </c>
      <c r="AK9" s="36" t="s">
        <v>110</v>
      </c>
      <c r="AL9" s="36" t="s">
        <v>110</v>
      </c>
      <c r="AM9" s="36" t="s">
        <v>110</v>
      </c>
      <c r="AN9" s="36" t="s">
        <v>110</v>
      </c>
      <c r="AO9" s="36" t="s">
        <v>110</v>
      </c>
      <c r="AP9" s="36" t="s">
        <v>110</v>
      </c>
      <c r="AQ9" s="36" t="s">
        <v>110</v>
      </c>
      <c r="AR9" s="36" t="s">
        <v>110</v>
      </c>
    </row>
    <row r="10" spans="1:44" x14ac:dyDescent="0.2">
      <c r="A10" s="46" t="s">
        <v>90</v>
      </c>
      <c r="B10" s="46"/>
      <c r="C10" s="46"/>
      <c r="D10" s="46"/>
      <c r="E10" s="46"/>
      <c r="F10" s="46"/>
      <c r="G10" s="46"/>
      <c r="H10" s="46"/>
      <c r="I10" s="46"/>
      <c r="J10" s="46"/>
      <c r="K10" s="46"/>
      <c r="L10" s="46"/>
      <c r="M10" s="46"/>
      <c r="N10" s="46"/>
      <c r="O10" s="46"/>
      <c r="P10" s="46"/>
      <c r="Q10" s="46"/>
      <c r="R10" s="46"/>
      <c r="S10" s="46"/>
      <c r="T10" s="46"/>
      <c r="U10" s="46"/>
      <c r="V10" s="46"/>
      <c r="W10" s="46"/>
      <c r="X10" s="46"/>
      <c r="Y10" s="46"/>
      <c r="Z10" s="46"/>
      <c r="AA10" s="37"/>
      <c r="AB10" s="37"/>
      <c r="AC10" s="37"/>
      <c r="AD10" s="37"/>
      <c r="AE10" s="37"/>
      <c r="AF10" s="37"/>
      <c r="AG10" s="37"/>
      <c r="AH10" s="37"/>
      <c r="AI10" s="37"/>
      <c r="AJ10" s="37"/>
      <c r="AK10" s="37"/>
      <c r="AL10" s="37"/>
      <c r="AM10" s="37"/>
      <c r="AN10" s="37"/>
      <c r="AO10" s="37"/>
      <c r="AP10" s="37"/>
      <c r="AQ10" s="37"/>
      <c r="AR10" s="37"/>
    </row>
    <row r="11" spans="1:44" x14ac:dyDescent="0.2">
      <c r="A11" s="36" t="s">
        <v>133</v>
      </c>
      <c r="B11" s="36" t="s">
        <v>98</v>
      </c>
      <c r="C11" s="36" t="s">
        <v>98</v>
      </c>
      <c r="D11" s="36" t="s">
        <v>98</v>
      </c>
      <c r="E11" s="36"/>
      <c r="F11" s="36" t="s">
        <v>98</v>
      </c>
      <c r="G11" s="36" t="s">
        <v>98</v>
      </c>
      <c r="H11" s="36" t="s">
        <v>98</v>
      </c>
      <c r="I11" s="36" t="s">
        <v>98</v>
      </c>
      <c r="J11" s="36" t="s">
        <v>98</v>
      </c>
      <c r="K11" s="36" t="s">
        <v>98</v>
      </c>
      <c r="L11" s="36" t="s">
        <v>98</v>
      </c>
      <c r="M11" s="36" t="s">
        <v>98</v>
      </c>
      <c r="N11" s="36" t="s">
        <v>98</v>
      </c>
      <c r="O11" s="36" t="s">
        <v>98</v>
      </c>
      <c r="P11" s="36" t="s">
        <v>98</v>
      </c>
      <c r="Q11" s="36" t="s">
        <v>98</v>
      </c>
      <c r="R11" s="36" t="s">
        <v>98</v>
      </c>
      <c r="S11" s="36" t="s">
        <v>98</v>
      </c>
      <c r="T11" s="36" t="s">
        <v>98</v>
      </c>
      <c r="U11" s="36" t="s">
        <v>98</v>
      </c>
      <c r="V11" s="36" t="s">
        <v>98</v>
      </c>
      <c r="W11" s="36" t="s">
        <v>98</v>
      </c>
      <c r="X11" s="36" t="s">
        <v>98</v>
      </c>
      <c r="Y11" s="36" t="s">
        <v>98</v>
      </c>
      <c r="Z11" s="36" t="s">
        <v>98</v>
      </c>
      <c r="AA11" s="36" t="s">
        <v>98</v>
      </c>
      <c r="AB11" s="36" t="s">
        <v>98</v>
      </c>
      <c r="AC11" s="36" t="s">
        <v>98</v>
      </c>
      <c r="AD11" s="36" t="s">
        <v>98</v>
      </c>
      <c r="AE11" s="36" t="s">
        <v>98</v>
      </c>
      <c r="AF11" s="36" t="s">
        <v>98</v>
      </c>
      <c r="AG11" s="36" t="s">
        <v>98</v>
      </c>
      <c r="AH11" s="36" t="s">
        <v>98</v>
      </c>
      <c r="AI11" s="36" t="s">
        <v>98</v>
      </c>
      <c r="AJ11" s="36" t="s">
        <v>98</v>
      </c>
      <c r="AK11" s="36" t="s">
        <v>98</v>
      </c>
      <c r="AL11" s="36" t="s">
        <v>98</v>
      </c>
      <c r="AM11" s="36" t="s">
        <v>98</v>
      </c>
      <c r="AN11" s="36" t="s">
        <v>98</v>
      </c>
      <c r="AO11" s="36" t="s">
        <v>98</v>
      </c>
      <c r="AP11" s="36" t="s">
        <v>98</v>
      </c>
      <c r="AQ11" s="36" t="s">
        <v>98</v>
      </c>
      <c r="AR11" s="36" t="s">
        <v>98</v>
      </c>
    </row>
    <row r="12" spans="1:44" x14ac:dyDescent="0.2">
      <c r="A12" s="36" t="s">
        <v>132</v>
      </c>
      <c r="B12" s="39">
        <f>Q12</f>
        <v>11201799</v>
      </c>
      <c r="C12" s="39">
        <f>AC12</f>
        <v>18817155</v>
      </c>
      <c r="D12" s="39">
        <f>AO12</f>
        <v>54806465</v>
      </c>
      <c r="E12" s="36"/>
      <c r="F12" s="39">
        <v>11455772</v>
      </c>
      <c r="G12" s="39">
        <v>19735820</v>
      </c>
      <c r="H12" s="39">
        <v>13028718</v>
      </c>
      <c r="I12" s="39">
        <v>13146404</v>
      </c>
      <c r="J12" s="39">
        <v>12854955</v>
      </c>
      <c r="K12" s="39">
        <v>13091802</v>
      </c>
      <c r="L12" s="39">
        <v>62256026</v>
      </c>
      <c r="M12" s="39">
        <v>31774408</v>
      </c>
      <c r="N12" s="39">
        <v>12143503</v>
      </c>
      <c r="O12" s="39">
        <v>8526146</v>
      </c>
      <c r="P12" s="39">
        <v>7379650</v>
      </c>
      <c r="Q12" s="39">
        <v>11201799</v>
      </c>
      <c r="R12" s="39">
        <v>6494754</v>
      </c>
      <c r="S12" s="39">
        <v>7927711</v>
      </c>
      <c r="T12" s="39">
        <v>9813227</v>
      </c>
      <c r="U12" s="39">
        <v>9803440</v>
      </c>
      <c r="V12" s="39">
        <v>7324636</v>
      </c>
      <c r="W12" s="39">
        <v>11042780</v>
      </c>
      <c r="X12" s="39">
        <v>8897484</v>
      </c>
      <c r="Y12" s="39">
        <v>6240951</v>
      </c>
      <c r="Z12" s="39">
        <v>87437164</v>
      </c>
      <c r="AA12" s="39">
        <v>75866701</v>
      </c>
      <c r="AB12" s="39">
        <v>10018310</v>
      </c>
      <c r="AC12" s="39">
        <v>18817155</v>
      </c>
      <c r="AD12" s="39">
        <v>9072054</v>
      </c>
      <c r="AE12" s="39">
        <v>24535631</v>
      </c>
      <c r="AF12" s="39">
        <v>33053855</v>
      </c>
      <c r="AG12" s="39">
        <v>43865749</v>
      </c>
      <c r="AH12" s="39">
        <v>40069839</v>
      </c>
      <c r="AI12" s="39">
        <v>39664621</v>
      </c>
      <c r="AJ12" s="39">
        <v>36486160</v>
      </c>
      <c r="AK12" s="39">
        <v>38205698</v>
      </c>
      <c r="AL12" s="39">
        <v>46672535</v>
      </c>
      <c r="AM12" s="39">
        <v>43425081</v>
      </c>
      <c r="AN12" s="39">
        <v>42367560</v>
      </c>
      <c r="AO12" s="39">
        <v>54806465</v>
      </c>
      <c r="AP12" s="39">
        <v>52512776</v>
      </c>
      <c r="AQ12" s="39">
        <v>53791687</v>
      </c>
      <c r="AR12" s="39">
        <v>48944575</v>
      </c>
    </row>
    <row r="13" spans="1:44" x14ac:dyDescent="0.2">
      <c r="A13" s="36" t="s">
        <v>131</v>
      </c>
      <c r="B13" s="39">
        <f t="shared" ref="B13:B17" si="0">Q13</f>
        <v>52212529</v>
      </c>
      <c r="C13" s="39">
        <f t="shared" ref="C13:C17" si="1">AC13</f>
        <v>109132418</v>
      </c>
      <c r="D13" s="39">
        <f t="shared" ref="D13:D17" si="2">AO13</f>
        <v>41096456</v>
      </c>
      <c r="E13" s="36"/>
      <c r="F13" s="39">
        <v>19451056</v>
      </c>
      <c r="G13" s="39">
        <v>9963483</v>
      </c>
      <c r="H13" s="39">
        <v>15191986</v>
      </c>
      <c r="I13" s="39">
        <v>13690874</v>
      </c>
      <c r="J13" s="39">
        <v>12206990</v>
      </c>
      <c r="K13" s="39">
        <v>10706424</v>
      </c>
      <c r="L13" s="39">
        <v>9206424</v>
      </c>
      <c r="M13" s="39">
        <v>37596459</v>
      </c>
      <c r="N13" s="39">
        <v>55522807</v>
      </c>
      <c r="O13" s="39">
        <v>55479504</v>
      </c>
      <c r="P13" s="39">
        <v>53962529</v>
      </c>
      <c r="Q13" s="39">
        <v>52212529</v>
      </c>
      <c r="R13" s="39">
        <v>50255832</v>
      </c>
      <c r="S13" s="39">
        <v>45310787</v>
      </c>
      <c r="T13" s="39">
        <v>38362091</v>
      </c>
      <c r="U13" s="39">
        <v>34344091</v>
      </c>
      <c r="V13" s="39">
        <v>34378911</v>
      </c>
      <c r="W13" s="39">
        <v>30378911</v>
      </c>
      <c r="X13" s="39">
        <v>29386291</v>
      </c>
      <c r="Y13" s="39">
        <v>29415571</v>
      </c>
      <c r="Z13" s="39">
        <v>45035255</v>
      </c>
      <c r="AA13" s="39">
        <v>52154372</v>
      </c>
      <c r="AB13" s="39">
        <v>116094271</v>
      </c>
      <c r="AC13" s="39">
        <v>109132418</v>
      </c>
      <c r="AD13" s="39">
        <v>110185889</v>
      </c>
      <c r="AE13" s="39">
        <v>90799632</v>
      </c>
      <c r="AF13" s="39">
        <v>80876377</v>
      </c>
      <c r="AG13" s="39">
        <v>63751101</v>
      </c>
      <c r="AH13" s="39">
        <v>64543440</v>
      </c>
      <c r="AI13" s="39">
        <v>63688359</v>
      </c>
      <c r="AJ13" s="39">
        <v>63722216</v>
      </c>
      <c r="AK13" s="39">
        <v>60736514</v>
      </c>
      <c r="AL13" s="39">
        <v>51855488</v>
      </c>
      <c r="AM13" s="39">
        <v>51891964</v>
      </c>
      <c r="AN13" s="39">
        <v>51090912</v>
      </c>
      <c r="AO13" s="39">
        <v>41096456</v>
      </c>
      <c r="AP13" s="39">
        <v>41081839</v>
      </c>
      <c r="AQ13" s="39">
        <v>36601895</v>
      </c>
      <c r="AR13" s="39">
        <v>36607698</v>
      </c>
    </row>
    <row r="14" spans="1:44" x14ac:dyDescent="0.2">
      <c r="A14" s="36" t="s">
        <v>130</v>
      </c>
      <c r="B14" s="39">
        <f t="shared" si="0"/>
        <v>3725166</v>
      </c>
      <c r="C14" s="39">
        <f t="shared" si="1"/>
        <v>6790625</v>
      </c>
      <c r="D14" s="39">
        <f t="shared" si="2"/>
        <v>15079545</v>
      </c>
      <c r="E14" s="36"/>
      <c r="F14" s="39">
        <v>2740068</v>
      </c>
      <c r="G14" s="39">
        <v>2008045</v>
      </c>
      <c r="H14" s="39">
        <v>1924778</v>
      </c>
      <c r="I14" s="39">
        <v>2224054</v>
      </c>
      <c r="J14" s="39">
        <v>3378960</v>
      </c>
      <c r="K14" s="39">
        <v>2461397</v>
      </c>
      <c r="L14" s="39">
        <v>3649275</v>
      </c>
      <c r="M14" s="39">
        <v>3805388</v>
      </c>
      <c r="N14" s="39">
        <v>1995888</v>
      </c>
      <c r="O14" s="39">
        <v>2759363</v>
      </c>
      <c r="P14" s="39">
        <v>4736371</v>
      </c>
      <c r="Q14" s="39">
        <v>3725166</v>
      </c>
      <c r="R14" s="39">
        <v>6076531</v>
      </c>
      <c r="S14" s="39">
        <v>5873063</v>
      </c>
      <c r="T14" s="39">
        <v>4557441</v>
      </c>
      <c r="U14" s="39">
        <v>5545146</v>
      </c>
      <c r="V14" s="39">
        <v>12185995</v>
      </c>
      <c r="W14" s="39">
        <v>7293923</v>
      </c>
      <c r="X14" s="39">
        <v>4832313</v>
      </c>
      <c r="Y14" s="39">
        <v>4865701</v>
      </c>
      <c r="Z14" s="39">
        <v>5029596</v>
      </c>
      <c r="AA14" s="39">
        <v>5592329</v>
      </c>
      <c r="AB14" s="39">
        <v>5254236</v>
      </c>
      <c r="AC14" s="39">
        <v>6790625</v>
      </c>
      <c r="AD14" s="39">
        <v>6821073</v>
      </c>
      <c r="AE14" s="39">
        <v>6826011</v>
      </c>
      <c r="AF14" s="39">
        <v>7328042</v>
      </c>
      <c r="AG14" s="39">
        <v>39207869</v>
      </c>
      <c r="AH14" s="39">
        <v>41890719</v>
      </c>
      <c r="AI14" s="39">
        <v>10133242</v>
      </c>
      <c r="AJ14" s="39">
        <v>43897202</v>
      </c>
      <c r="AK14" s="39">
        <v>45754010</v>
      </c>
      <c r="AL14" s="39">
        <v>10522937</v>
      </c>
      <c r="AM14" s="39">
        <v>8841464</v>
      </c>
      <c r="AN14" s="39">
        <v>18478338</v>
      </c>
      <c r="AO14" s="39">
        <v>15079545</v>
      </c>
      <c r="AP14" s="39">
        <v>13166630</v>
      </c>
      <c r="AQ14" s="39">
        <v>10900212</v>
      </c>
      <c r="AR14" s="39">
        <v>11441653</v>
      </c>
    </row>
    <row r="15" spans="1:44" x14ac:dyDescent="0.2">
      <c r="A15" s="36" t="s">
        <v>129</v>
      </c>
      <c r="B15" s="39">
        <f t="shared" si="0"/>
        <v>2585999</v>
      </c>
      <c r="C15" s="39">
        <f t="shared" si="1"/>
        <v>2324988</v>
      </c>
      <c r="D15" s="39">
        <f t="shared" si="2"/>
        <v>2130984</v>
      </c>
      <c r="E15" s="36"/>
      <c r="F15" s="39">
        <v>994118</v>
      </c>
      <c r="G15" s="39">
        <v>928654</v>
      </c>
      <c r="H15" s="39">
        <v>811142</v>
      </c>
      <c r="I15" s="39">
        <v>844407</v>
      </c>
      <c r="J15" s="39">
        <v>905207</v>
      </c>
      <c r="K15" s="39">
        <v>1021690</v>
      </c>
      <c r="L15" s="39">
        <v>1271283</v>
      </c>
      <c r="M15" s="39">
        <v>1547570</v>
      </c>
      <c r="N15" s="39">
        <v>1551927</v>
      </c>
      <c r="O15" s="39">
        <v>1620283</v>
      </c>
      <c r="P15" s="39">
        <v>1776307</v>
      </c>
      <c r="Q15" s="39">
        <v>2585999</v>
      </c>
      <c r="R15" s="39">
        <v>2250513</v>
      </c>
      <c r="S15" s="39">
        <v>2181000</v>
      </c>
      <c r="T15" s="39">
        <v>2904442</v>
      </c>
      <c r="U15" s="39">
        <v>2077668</v>
      </c>
      <c r="V15" s="39">
        <v>1929763</v>
      </c>
      <c r="W15" s="39">
        <v>1974097</v>
      </c>
      <c r="X15" s="39">
        <v>2113535</v>
      </c>
      <c r="Y15" s="39">
        <v>1831105</v>
      </c>
      <c r="Z15" s="39">
        <v>1753221</v>
      </c>
      <c r="AA15" s="39">
        <v>1931291</v>
      </c>
      <c r="AB15" s="39">
        <v>2356217</v>
      </c>
      <c r="AC15" s="39">
        <v>2324988</v>
      </c>
      <c r="AD15" s="39">
        <v>2952053</v>
      </c>
      <c r="AE15" s="39">
        <v>2800196</v>
      </c>
      <c r="AF15" s="39">
        <v>2308892</v>
      </c>
      <c r="AG15" s="39">
        <v>2018012</v>
      </c>
      <c r="AH15" s="39">
        <v>2012262</v>
      </c>
      <c r="AI15" s="39">
        <v>2257351</v>
      </c>
      <c r="AJ15" s="39">
        <v>2109162</v>
      </c>
      <c r="AK15" s="39">
        <v>2174680</v>
      </c>
      <c r="AL15" s="39">
        <v>2528871</v>
      </c>
      <c r="AM15" s="39">
        <v>2370845</v>
      </c>
      <c r="AN15" s="39">
        <v>2525210</v>
      </c>
      <c r="AO15" s="39">
        <v>2130984</v>
      </c>
      <c r="AP15" s="39">
        <v>2315319</v>
      </c>
      <c r="AQ15" s="39">
        <v>2468237</v>
      </c>
      <c r="AR15" s="39">
        <v>3127371</v>
      </c>
    </row>
    <row r="16" spans="1:44" x14ac:dyDescent="0.2">
      <c r="A16" s="36" t="s">
        <v>128</v>
      </c>
      <c r="B16" s="39">
        <f t="shared" si="0"/>
        <v>405431</v>
      </c>
      <c r="C16" s="39">
        <f t="shared" si="1"/>
        <v>3911790</v>
      </c>
      <c r="D16" s="39">
        <f t="shared" si="2"/>
        <v>7030634</v>
      </c>
      <c r="E16" s="36"/>
      <c r="F16" s="39">
        <v>186298</v>
      </c>
      <c r="G16" s="39">
        <v>163910</v>
      </c>
      <c r="H16" s="39">
        <v>162618</v>
      </c>
      <c r="I16" s="39">
        <v>153412</v>
      </c>
      <c r="J16" s="39">
        <v>132461</v>
      </c>
      <c r="K16" s="39">
        <v>137077</v>
      </c>
      <c r="L16" s="39">
        <v>149855</v>
      </c>
      <c r="M16" s="39">
        <v>197053</v>
      </c>
      <c r="N16" s="39">
        <v>282529</v>
      </c>
      <c r="O16" s="39">
        <v>362753</v>
      </c>
      <c r="P16" s="39">
        <v>409346</v>
      </c>
      <c r="Q16" s="39">
        <v>405431</v>
      </c>
      <c r="R16" s="39">
        <v>4130236</v>
      </c>
      <c r="S16" s="39">
        <v>4128750</v>
      </c>
      <c r="T16" s="39">
        <v>-2427347</v>
      </c>
      <c r="U16" s="39">
        <v>-2418361</v>
      </c>
      <c r="V16" s="39">
        <v>-2389524</v>
      </c>
      <c r="W16" s="39">
        <v>2729640</v>
      </c>
      <c r="X16" s="39">
        <v>2927092</v>
      </c>
      <c r="Y16" s="39">
        <v>2604498</v>
      </c>
      <c r="Z16" s="39">
        <v>3082107</v>
      </c>
      <c r="AA16" s="39">
        <v>3055862</v>
      </c>
      <c r="AB16" s="39">
        <v>3215414</v>
      </c>
      <c r="AC16" s="39">
        <v>3911790</v>
      </c>
      <c r="AD16" s="39">
        <v>3978571</v>
      </c>
      <c r="AE16" s="39">
        <v>4090041</v>
      </c>
      <c r="AF16" s="39">
        <v>4379552</v>
      </c>
      <c r="AG16" s="39">
        <v>4310007</v>
      </c>
      <c r="AH16" s="39">
        <v>4219341</v>
      </c>
      <c r="AI16" s="39">
        <v>5107167</v>
      </c>
      <c r="AJ16" s="39">
        <v>5098385</v>
      </c>
      <c r="AK16" s="39">
        <v>5042393</v>
      </c>
      <c r="AL16" s="39">
        <v>5360724</v>
      </c>
      <c r="AM16" s="39">
        <v>5950529</v>
      </c>
      <c r="AN16" s="39">
        <v>6088209</v>
      </c>
      <c r="AO16" s="39">
        <v>7030634</v>
      </c>
      <c r="AP16" s="39">
        <v>6367840</v>
      </c>
      <c r="AQ16" s="39">
        <v>6157741</v>
      </c>
      <c r="AR16" s="39">
        <v>6020000</v>
      </c>
    </row>
    <row r="17" spans="1:44" x14ac:dyDescent="0.2">
      <c r="A17" s="36" t="s">
        <v>127</v>
      </c>
      <c r="B17" s="38">
        <f t="shared" si="0"/>
        <v>70130924</v>
      </c>
      <c r="C17" s="38">
        <f t="shared" si="1"/>
        <v>140976976</v>
      </c>
      <c r="D17" s="38">
        <f t="shared" si="2"/>
        <v>120144084</v>
      </c>
      <c r="E17" s="36"/>
      <c r="F17" s="38">
        <v>34827312</v>
      </c>
      <c r="G17" s="38">
        <v>32799912</v>
      </c>
      <c r="H17" s="38">
        <v>31119242</v>
      </c>
      <c r="I17" s="38">
        <v>30059151</v>
      </c>
      <c r="J17" s="38">
        <v>29478573</v>
      </c>
      <c r="K17" s="38">
        <v>27418390</v>
      </c>
      <c r="L17" s="38">
        <v>76532863</v>
      </c>
      <c r="M17" s="38">
        <v>74920878</v>
      </c>
      <c r="N17" s="38">
        <v>71496654</v>
      </c>
      <c r="O17" s="38">
        <v>68748049</v>
      </c>
      <c r="P17" s="38">
        <v>68264203</v>
      </c>
      <c r="Q17" s="38">
        <v>70130924</v>
      </c>
      <c r="R17" s="38">
        <v>69207866</v>
      </c>
      <c r="S17" s="38">
        <v>65421311</v>
      </c>
      <c r="T17" s="38">
        <v>53209854</v>
      </c>
      <c r="U17" s="38">
        <v>49351984</v>
      </c>
      <c r="V17" s="38">
        <v>53429781</v>
      </c>
      <c r="W17" s="38">
        <v>53419351</v>
      </c>
      <c r="X17" s="38">
        <v>48156715</v>
      </c>
      <c r="Y17" s="38">
        <v>44957826</v>
      </c>
      <c r="Z17" s="38">
        <v>142337343</v>
      </c>
      <c r="AA17" s="38">
        <v>138600555</v>
      </c>
      <c r="AB17" s="38">
        <v>136938448</v>
      </c>
      <c r="AC17" s="38">
        <v>140976976</v>
      </c>
      <c r="AD17" s="38">
        <v>133009640</v>
      </c>
      <c r="AE17" s="38">
        <v>129051511</v>
      </c>
      <c r="AF17" s="38">
        <v>127946718</v>
      </c>
      <c r="AG17" s="38">
        <v>153152738</v>
      </c>
      <c r="AH17" s="38">
        <v>152735601</v>
      </c>
      <c r="AI17" s="38">
        <v>120850740</v>
      </c>
      <c r="AJ17" s="38">
        <v>151313125</v>
      </c>
      <c r="AK17" s="38">
        <v>151913295</v>
      </c>
      <c r="AL17" s="38">
        <v>116940555</v>
      </c>
      <c r="AM17" s="38">
        <v>112479883</v>
      </c>
      <c r="AN17" s="38">
        <v>120550229</v>
      </c>
      <c r="AO17" s="38">
        <v>120144084</v>
      </c>
      <c r="AP17" s="38">
        <v>115444404</v>
      </c>
      <c r="AQ17" s="38">
        <v>109919772</v>
      </c>
      <c r="AR17" s="38">
        <v>106141297</v>
      </c>
    </row>
    <row r="18" spans="1:44" x14ac:dyDescent="0.2">
      <c r="A18" s="46" t="s">
        <v>90</v>
      </c>
      <c r="B18" s="46"/>
      <c r="C18" s="46"/>
      <c r="D18" s="46"/>
      <c r="E18" s="46"/>
      <c r="F18" s="46"/>
      <c r="G18" s="46"/>
      <c r="H18" s="46"/>
      <c r="I18" s="46"/>
      <c r="J18" s="46"/>
      <c r="K18" s="46"/>
      <c r="L18" s="46"/>
      <c r="M18" s="46"/>
      <c r="N18" s="46"/>
      <c r="O18" s="46"/>
      <c r="P18" s="46"/>
      <c r="Q18" s="46"/>
      <c r="R18" s="46"/>
      <c r="S18" s="46"/>
      <c r="T18" s="46"/>
      <c r="U18" s="46"/>
      <c r="V18" s="46"/>
      <c r="W18" s="46"/>
      <c r="X18" s="46"/>
      <c r="Y18" s="46"/>
      <c r="Z18" s="46"/>
      <c r="AA18" s="39"/>
      <c r="AB18" s="39"/>
      <c r="AC18" s="39"/>
      <c r="AD18" s="39"/>
      <c r="AE18" s="39"/>
      <c r="AF18" s="39"/>
      <c r="AG18" s="39"/>
      <c r="AH18" s="39"/>
      <c r="AI18" s="39"/>
      <c r="AJ18" s="39"/>
      <c r="AK18" s="39"/>
      <c r="AL18" s="39"/>
      <c r="AM18" s="39"/>
      <c r="AN18" s="39"/>
      <c r="AO18" s="39"/>
      <c r="AP18" s="39"/>
      <c r="AQ18" s="39"/>
      <c r="AR18" s="39"/>
    </row>
    <row r="19" spans="1:44" x14ac:dyDescent="0.2">
      <c r="A19" s="36" t="s">
        <v>126</v>
      </c>
      <c r="B19" s="36" t="s">
        <v>98</v>
      </c>
      <c r="C19" s="36" t="s">
        <v>98</v>
      </c>
      <c r="D19" s="36" t="s">
        <v>98</v>
      </c>
      <c r="E19" s="36"/>
      <c r="F19" s="36" t="s">
        <v>98</v>
      </c>
      <c r="G19" s="36" t="s">
        <v>98</v>
      </c>
      <c r="H19" s="36" t="s">
        <v>98</v>
      </c>
      <c r="I19" s="36" t="s">
        <v>98</v>
      </c>
      <c r="J19" s="36" t="s">
        <v>98</v>
      </c>
      <c r="K19" s="36" t="s">
        <v>98</v>
      </c>
      <c r="L19" s="36" t="s">
        <v>98</v>
      </c>
      <c r="M19" s="36" t="s">
        <v>98</v>
      </c>
      <c r="N19" s="36" t="s">
        <v>98</v>
      </c>
      <c r="O19" s="36" t="s">
        <v>98</v>
      </c>
      <c r="P19" s="36" t="s">
        <v>98</v>
      </c>
      <c r="Q19" s="36" t="s">
        <v>98</v>
      </c>
      <c r="R19" s="36" t="s">
        <v>98</v>
      </c>
      <c r="S19" s="36" t="s">
        <v>98</v>
      </c>
      <c r="T19" s="36" t="s">
        <v>98</v>
      </c>
      <c r="U19" s="36" t="s">
        <v>98</v>
      </c>
      <c r="V19" s="36" t="s">
        <v>98</v>
      </c>
      <c r="W19" s="36" t="s">
        <v>98</v>
      </c>
      <c r="X19" s="36" t="s">
        <v>98</v>
      </c>
      <c r="Y19" s="36" t="s">
        <v>98</v>
      </c>
      <c r="Z19" s="36" t="s">
        <v>98</v>
      </c>
      <c r="AA19" s="39"/>
      <c r="AB19" s="39"/>
      <c r="AC19" s="39"/>
      <c r="AD19" s="39"/>
      <c r="AE19" s="39"/>
      <c r="AF19" s="39"/>
      <c r="AG19" s="39"/>
      <c r="AH19" s="39"/>
      <c r="AI19" s="39"/>
      <c r="AJ19" s="39"/>
      <c r="AK19" s="39"/>
      <c r="AL19" s="39"/>
      <c r="AM19" s="39"/>
      <c r="AN19" s="39"/>
      <c r="AO19" s="39"/>
      <c r="AP19" s="39"/>
      <c r="AQ19" s="39"/>
      <c r="AR19" s="39"/>
    </row>
    <row r="20" spans="1:44" x14ac:dyDescent="0.2">
      <c r="A20" s="36" t="s">
        <v>125</v>
      </c>
      <c r="B20" s="39">
        <f t="shared" ref="B20:B22" si="3">Q20</f>
        <v>2813612</v>
      </c>
      <c r="C20" s="39">
        <f t="shared" ref="C20:C22" si="4">AC20</f>
        <v>0</v>
      </c>
      <c r="D20" s="39">
        <f t="shared" ref="D20:D22" si="5">AO20</f>
        <v>0</v>
      </c>
      <c r="E20" s="36"/>
      <c r="F20" s="39">
        <v>1567535</v>
      </c>
      <c r="G20" s="39">
        <v>1732653</v>
      </c>
      <c r="H20" s="39">
        <v>1805819</v>
      </c>
      <c r="I20" s="39">
        <v>1876909</v>
      </c>
      <c r="J20" s="39">
        <v>1955059</v>
      </c>
      <c r="K20" s="39">
        <v>2008509</v>
      </c>
      <c r="L20" s="39">
        <v>2046836</v>
      </c>
      <c r="M20" s="39">
        <v>2126205</v>
      </c>
      <c r="N20" s="39">
        <v>2194769</v>
      </c>
      <c r="O20" s="39">
        <v>2300893</v>
      </c>
      <c r="P20" s="39">
        <v>2442915</v>
      </c>
      <c r="Q20" s="39">
        <v>2813612</v>
      </c>
      <c r="R20" s="39">
        <v>2913944</v>
      </c>
      <c r="S20" s="39">
        <v>3523842</v>
      </c>
      <c r="T20" s="39">
        <v>3767392</v>
      </c>
      <c r="U20" s="39">
        <v>4314567</v>
      </c>
      <c r="V20" s="39">
        <v>4451479</v>
      </c>
      <c r="W20" s="39">
        <v>4721770</v>
      </c>
      <c r="X20" s="39">
        <v>4972677</v>
      </c>
      <c r="Y20" s="39">
        <v>5119564</v>
      </c>
      <c r="Z20" s="39">
        <v>5300167</v>
      </c>
      <c r="AA20" s="39"/>
      <c r="AB20" s="39"/>
      <c r="AC20" s="39"/>
      <c r="AD20" s="39"/>
      <c r="AE20" s="39"/>
      <c r="AF20" s="39"/>
      <c r="AG20" s="39"/>
      <c r="AH20" s="39"/>
      <c r="AI20" s="39"/>
      <c r="AJ20" s="39"/>
      <c r="AK20" s="39"/>
      <c r="AL20" s="39"/>
      <c r="AM20" s="39"/>
      <c r="AN20" s="39"/>
      <c r="AO20" s="39"/>
      <c r="AP20" s="39"/>
      <c r="AQ20" s="39"/>
      <c r="AR20" s="39"/>
    </row>
    <row r="21" spans="1:44" x14ac:dyDescent="0.2">
      <c r="A21" s="36" t="s">
        <v>124</v>
      </c>
      <c r="B21" s="39">
        <f t="shared" si="3"/>
        <v>-437062</v>
      </c>
      <c r="C21" s="39">
        <f t="shared" si="4"/>
        <v>0</v>
      </c>
      <c r="D21" s="39">
        <f t="shared" si="5"/>
        <v>0</v>
      </c>
      <c r="E21" s="36"/>
      <c r="F21" s="39">
        <v>-107091</v>
      </c>
      <c r="G21" s="39">
        <v>-107091</v>
      </c>
      <c r="H21" s="39">
        <v>-186106</v>
      </c>
      <c r="I21" s="39">
        <v>-186106</v>
      </c>
      <c r="J21" s="39">
        <v>-186106</v>
      </c>
      <c r="K21" s="39">
        <v>-274475</v>
      </c>
      <c r="L21" s="39">
        <v>-274475</v>
      </c>
      <c r="M21" s="39">
        <v>-274475</v>
      </c>
      <c r="N21" s="39">
        <v>-400802</v>
      </c>
      <c r="O21" s="39">
        <v>-409996</v>
      </c>
      <c r="P21" s="39">
        <v>-415907</v>
      </c>
      <c r="Q21" s="39">
        <v>-437062</v>
      </c>
      <c r="R21" s="39">
        <v>-437304</v>
      </c>
      <c r="S21" s="39">
        <v>-437303</v>
      </c>
      <c r="T21" s="39">
        <v>-541041</v>
      </c>
      <c r="U21" s="39">
        <v>-544904</v>
      </c>
      <c r="V21" s="39">
        <v>-523929</v>
      </c>
      <c r="W21" s="39">
        <v>-800275</v>
      </c>
      <c r="X21" s="39">
        <v>-802621</v>
      </c>
      <c r="Y21" s="39">
        <v>-805236</v>
      </c>
      <c r="Z21" s="39">
        <v>-1070645</v>
      </c>
      <c r="AA21" s="37"/>
      <c r="AB21" s="37"/>
      <c r="AC21" s="37"/>
      <c r="AD21" s="37"/>
      <c r="AE21" s="37"/>
      <c r="AF21" s="37"/>
      <c r="AG21" s="37"/>
      <c r="AH21" s="37"/>
      <c r="AI21" s="37"/>
      <c r="AJ21" s="37"/>
      <c r="AK21" s="37"/>
      <c r="AL21" s="37"/>
      <c r="AM21" s="37"/>
      <c r="AN21" s="37"/>
      <c r="AO21" s="37"/>
      <c r="AP21" s="37"/>
      <c r="AQ21" s="37"/>
      <c r="AR21" s="37"/>
    </row>
    <row r="22" spans="1:44" x14ac:dyDescent="0.2">
      <c r="A22" s="36" t="s">
        <v>123</v>
      </c>
      <c r="B22" s="38">
        <f t="shared" si="3"/>
        <v>2376550</v>
      </c>
      <c r="C22" s="38">
        <f t="shared" si="4"/>
        <v>4262611</v>
      </c>
      <c r="D22" s="38">
        <f t="shared" si="5"/>
        <v>4395806</v>
      </c>
      <c r="E22" s="36"/>
      <c r="F22" s="38">
        <v>1460444</v>
      </c>
      <c r="G22" s="38">
        <v>1625562</v>
      </c>
      <c r="H22" s="38">
        <v>1619713</v>
      </c>
      <c r="I22" s="38">
        <v>1690803</v>
      </c>
      <c r="J22" s="38">
        <v>1768953</v>
      </c>
      <c r="K22" s="38">
        <v>1734034</v>
      </c>
      <c r="L22" s="38">
        <v>1772361</v>
      </c>
      <c r="M22" s="38">
        <v>1851730</v>
      </c>
      <c r="N22" s="38">
        <v>1793967</v>
      </c>
      <c r="O22" s="38">
        <v>1890897</v>
      </c>
      <c r="P22" s="38">
        <v>2027008</v>
      </c>
      <c r="Q22" s="38">
        <v>2376550</v>
      </c>
      <c r="R22" s="38">
        <v>2476640</v>
      </c>
      <c r="S22" s="38">
        <v>3086539</v>
      </c>
      <c r="T22" s="38">
        <v>3226351</v>
      </c>
      <c r="U22" s="38">
        <v>3769663</v>
      </c>
      <c r="V22" s="38">
        <v>3927550</v>
      </c>
      <c r="W22" s="38">
        <v>3921495</v>
      </c>
      <c r="X22" s="38">
        <v>4170056</v>
      </c>
      <c r="Y22" s="38">
        <v>4314328</v>
      </c>
      <c r="Z22" s="38">
        <v>4229522</v>
      </c>
      <c r="AA22" s="38">
        <v>4265836</v>
      </c>
      <c r="AB22" s="38">
        <v>4324863</v>
      </c>
      <c r="AC22" s="38">
        <v>4262611</v>
      </c>
      <c r="AD22" s="38">
        <v>4280016</v>
      </c>
      <c r="AE22" s="38">
        <v>4578910</v>
      </c>
      <c r="AF22" s="38">
        <v>4473770</v>
      </c>
      <c r="AG22" s="38">
        <v>4575227</v>
      </c>
      <c r="AH22" s="38">
        <v>4732518</v>
      </c>
      <c r="AI22" s="38">
        <v>4468867</v>
      </c>
      <c r="AJ22" s="38">
        <v>4537593</v>
      </c>
      <c r="AK22" s="38">
        <v>4689526</v>
      </c>
      <c r="AL22" s="38">
        <v>4411166</v>
      </c>
      <c r="AM22" s="38">
        <v>4463982</v>
      </c>
      <c r="AN22" s="38">
        <v>4620103</v>
      </c>
      <c r="AO22" s="38">
        <v>4395806</v>
      </c>
      <c r="AP22" s="38">
        <v>4528657</v>
      </c>
      <c r="AQ22" s="38">
        <v>4607249</v>
      </c>
      <c r="AR22" s="38">
        <v>4504759</v>
      </c>
    </row>
    <row r="23" spans="1:44" x14ac:dyDescent="0.2">
      <c r="A23" s="46" t="s">
        <v>90</v>
      </c>
      <c r="B23" s="46"/>
      <c r="C23" s="46"/>
      <c r="D23" s="46"/>
      <c r="E23" s="46"/>
      <c r="F23" s="46"/>
      <c r="G23" s="46"/>
      <c r="H23" s="46"/>
      <c r="I23" s="46"/>
      <c r="J23" s="46"/>
      <c r="K23" s="46"/>
      <c r="L23" s="46"/>
      <c r="M23" s="46"/>
      <c r="N23" s="46"/>
      <c r="O23" s="46"/>
      <c r="P23" s="46"/>
      <c r="Q23" s="46"/>
      <c r="R23" s="46"/>
      <c r="S23" s="46"/>
      <c r="T23" s="46"/>
      <c r="U23" s="46"/>
      <c r="V23" s="46"/>
      <c r="W23" s="46"/>
      <c r="X23" s="46"/>
      <c r="Y23" s="46"/>
      <c r="Z23" s="46"/>
      <c r="AA23" s="39"/>
      <c r="AB23" s="39"/>
      <c r="AC23" s="39"/>
      <c r="AD23" s="39"/>
      <c r="AE23" s="39"/>
      <c r="AF23" s="39"/>
      <c r="AG23" s="39"/>
      <c r="AH23" s="39"/>
      <c r="AI23" s="39"/>
      <c r="AJ23" s="39"/>
      <c r="AK23" s="39"/>
      <c r="AL23" s="39"/>
      <c r="AM23" s="39"/>
      <c r="AN23" s="39"/>
      <c r="AO23" s="39"/>
      <c r="AP23" s="39"/>
      <c r="AQ23" s="39"/>
      <c r="AR23" s="39"/>
    </row>
    <row r="24" spans="1:44" x14ac:dyDescent="0.2">
      <c r="A24" s="36" t="s">
        <v>122</v>
      </c>
      <c r="B24" s="36" t="s">
        <v>98</v>
      </c>
      <c r="C24" s="36" t="s">
        <v>98</v>
      </c>
      <c r="D24" s="36" t="s">
        <v>98</v>
      </c>
      <c r="E24" s="36"/>
      <c r="F24" s="36" t="s">
        <v>98</v>
      </c>
      <c r="G24" s="36" t="s">
        <v>98</v>
      </c>
      <c r="H24" s="36" t="s">
        <v>98</v>
      </c>
      <c r="I24" s="36" t="s">
        <v>98</v>
      </c>
      <c r="J24" s="36" t="s">
        <v>98</v>
      </c>
      <c r="K24" s="36" t="s">
        <v>98</v>
      </c>
      <c r="L24" s="36" t="s">
        <v>98</v>
      </c>
      <c r="M24" s="36" t="s">
        <v>98</v>
      </c>
      <c r="N24" s="36" t="s">
        <v>98</v>
      </c>
      <c r="O24" s="36" t="s">
        <v>98</v>
      </c>
      <c r="P24" s="36" t="s">
        <v>98</v>
      </c>
      <c r="Q24" s="36" t="s">
        <v>98</v>
      </c>
      <c r="R24" s="36" t="s">
        <v>98</v>
      </c>
      <c r="S24" s="36" t="s">
        <v>98</v>
      </c>
      <c r="T24" s="36" t="s">
        <v>98</v>
      </c>
      <c r="U24" s="36" t="s">
        <v>98</v>
      </c>
      <c r="V24" s="36" t="s">
        <v>98</v>
      </c>
      <c r="W24" s="36" t="s">
        <v>98</v>
      </c>
      <c r="X24" s="36" t="s">
        <v>98</v>
      </c>
      <c r="Y24" s="36" t="s">
        <v>98</v>
      </c>
      <c r="Z24" s="36" t="s">
        <v>98</v>
      </c>
      <c r="AA24" s="39"/>
      <c r="AB24" s="39"/>
      <c r="AC24" s="39"/>
      <c r="AD24" s="39"/>
      <c r="AE24" s="39"/>
      <c r="AF24" s="39"/>
      <c r="AG24" s="39"/>
      <c r="AH24" s="39"/>
      <c r="AI24" s="39"/>
      <c r="AJ24" s="39"/>
      <c r="AK24" s="39"/>
      <c r="AL24" s="39"/>
      <c r="AM24" s="39"/>
      <c r="AN24" s="39"/>
      <c r="AO24" s="39"/>
      <c r="AP24" s="39"/>
      <c r="AQ24" s="39"/>
      <c r="AR24" s="39"/>
    </row>
    <row r="25" spans="1:44" x14ac:dyDescent="0.2">
      <c r="A25" s="36" t="s">
        <v>121</v>
      </c>
      <c r="B25" s="39">
        <f t="shared" ref="B25:B28" si="6">Q25</f>
        <v>4281225</v>
      </c>
      <c r="C25" s="39">
        <f t="shared" ref="C25:C28" si="7">AC25</f>
        <v>0</v>
      </c>
      <c r="D25" s="39">
        <f t="shared" ref="D25:D28" si="8">AO25</f>
        <v>0</v>
      </c>
      <c r="E25" s="36"/>
      <c r="F25" s="39">
        <v>4281225</v>
      </c>
      <c r="G25" s="39">
        <v>4281225</v>
      </c>
      <c r="H25" s="39">
        <v>4281225</v>
      </c>
      <c r="I25" s="39">
        <v>4281225</v>
      </c>
      <c r="J25" s="39">
        <v>4281225</v>
      </c>
      <c r="K25" s="39">
        <v>4281225</v>
      </c>
      <c r="L25" s="39">
        <v>4281225</v>
      </c>
      <c r="M25" s="39">
        <v>4281225</v>
      </c>
      <c r="N25" s="39">
        <v>4281225</v>
      </c>
      <c r="O25" s="39">
        <v>4281226</v>
      </c>
      <c r="P25" s="39">
        <v>4281226</v>
      </c>
      <c r="Q25" s="39">
        <v>4281225</v>
      </c>
      <c r="R25" s="39">
        <v>4281225</v>
      </c>
      <c r="S25" s="39">
        <v>4281225</v>
      </c>
      <c r="T25" s="39">
        <v>6747045</v>
      </c>
      <c r="U25" s="39">
        <v>6747045</v>
      </c>
      <c r="V25" s="39">
        <v>6747045</v>
      </c>
      <c r="W25" s="39">
        <v>6747044</v>
      </c>
      <c r="X25" s="39">
        <v>6747045</v>
      </c>
      <c r="Y25" s="39">
        <v>6747045</v>
      </c>
      <c r="Z25" s="39">
        <v>6747044</v>
      </c>
      <c r="AA25" s="39"/>
      <c r="AB25" s="39"/>
      <c r="AC25" s="39"/>
      <c r="AD25" s="39"/>
      <c r="AE25" s="39"/>
      <c r="AF25" s="39"/>
      <c r="AG25" s="39"/>
      <c r="AH25" s="39"/>
      <c r="AI25" s="39"/>
      <c r="AJ25" s="39"/>
      <c r="AK25" s="39"/>
      <c r="AL25" s="39"/>
      <c r="AM25" s="39"/>
      <c r="AN25" s="39"/>
      <c r="AO25" s="39"/>
      <c r="AP25" s="39"/>
      <c r="AQ25" s="39"/>
      <c r="AR25" s="39"/>
    </row>
    <row r="26" spans="1:44" x14ac:dyDescent="0.2">
      <c r="A26" s="36" t="s">
        <v>120</v>
      </c>
      <c r="B26" s="39">
        <f t="shared" si="6"/>
        <v>2588485</v>
      </c>
      <c r="C26" s="39">
        <f t="shared" si="7"/>
        <v>0</v>
      </c>
      <c r="D26" s="39">
        <f t="shared" si="8"/>
        <v>0</v>
      </c>
      <c r="E26" s="36"/>
      <c r="F26" s="39">
        <v>2588485</v>
      </c>
      <c r="G26" s="39">
        <v>2588485</v>
      </c>
      <c r="H26" s="39">
        <v>2588485</v>
      </c>
      <c r="I26" s="39">
        <v>2588485</v>
      </c>
      <c r="J26" s="39">
        <v>2588485</v>
      </c>
      <c r="K26" s="39">
        <v>2588485</v>
      </c>
      <c r="L26" s="39">
        <v>2588485</v>
      </c>
      <c r="M26" s="39">
        <v>2588485</v>
      </c>
      <c r="N26" s="39">
        <v>2588485</v>
      </c>
      <c r="O26" s="39">
        <v>2588485</v>
      </c>
      <c r="P26" s="39">
        <v>2588485</v>
      </c>
      <c r="Q26" s="39">
        <v>2588485</v>
      </c>
      <c r="R26" s="39">
        <v>2588485</v>
      </c>
      <c r="S26" s="39">
        <v>2588485</v>
      </c>
      <c r="T26" s="39">
        <v>4346178</v>
      </c>
      <c r="U26" s="39">
        <v>4346178</v>
      </c>
      <c r="V26" s="39">
        <v>4346178</v>
      </c>
      <c r="W26" s="39">
        <v>4346178</v>
      </c>
      <c r="X26" s="39">
        <v>4346178</v>
      </c>
      <c r="Y26" s="39">
        <v>4346178</v>
      </c>
      <c r="Z26" s="39">
        <v>4346179</v>
      </c>
      <c r="AA26" s="39"/>
      <c r="AB26" s="39"/>
      <c r="AC26" s="39"/>
      <c r="AD26" s="39"/>
      <c r="AE26" s="39"/>
      <c r="AF26" s="39"/>
      <c r="AG26" s="39"/>
      <c r="AH26" s="39"/>
      <c r="AI26" s="39"/>
      <c r="AJ26" s="39"/>
      <c r="AK26" s="39"/>
      <c r="AL26" s="39"/>
      <c r="AM26" s="39"/>
      <c r="AN26" s="39"/>
      <c r="AO26" s="39"/>
      <c r="AP26" s="39"/>
      <c r="AQ26" s="39"/>
      <c r="AR26" s="39"/>
    </row>
    <row r="27" spans="1:44" x14ac:dyDescent="0.2">
      <c r="A27" s="36" t="s">
        <v>119</v>
      </c>
      <c r="B27" s="39">
        <f t="shared" si="6"/>
        <v>1017346</v>
      </c>
      <c r="C27" s="39">
        <f t="shared" si="7"/>
        <v>0</v>
      </c>
      <c r="D27" s="39">
        <f t="shared" si="8"/>
        <v>0</v>
      </c>
      <c r="E27" s="36"/>
      <c r="F27" s="39">
        <v>299219</v>
      </c>
      <c r="G27" s="39">
        <v>299220</v>
      </c>
      <c r="H27" s="39">
        <v>478751</v>
      </c>
      <c r="I27" s="39">
        <v>478752</v>
      </c>
      <c r="J27" s="39">
        <v>478751</v>
      </c>
      <c r="K27" s="39">
        <v>658283</v>
      </c>
      <c r="L27" s="39">
        <v>658283</v>
      </c>
      <c r="M27" s="39">
        <v>658283</v>
      </c>
      <c r="N27" s="39">
        <v>837815</v>
      </c>
      <c r="O27" s="39">
        <v>837815</v>
      </c>
      <c r="P27" s="39">
        <v>837815</v>
      </c>
      <c r="Q27" s="39">
        <v>1017346</v>
      </c>
      <c r="R27" s="39">
        <v>1017346</v>
      </c>
      <c r="S27" s="39">
        <v>1017347</v>
      </c>
      <c r="T27" s="39">
        <v>1196878</v>
      </c>
      <c r="U27" s="39">
        <v>1196878</v>
      </c>
      <c r="V27" s="39">
        <v>1196878</v>
      </c>
      <c r="W27" s="39">
        <v>1376410</v>
      </c>
      <c r="X27" s="39">
        <v>1376410</v>
      </c>
      <c r="Y27" s="39">
        <v>1376410</v>
      </c>
      <c r="Z27" s="39">
        <v>1555942</v>
      </c>
      <c r="AA27" s="39"/>
      <c r="AB27" s="39"/>
      <c r="AC27" s="39"/>
      <c r="AD27" s="39"/>
      <c r="AE27" s="39"/>
      <c r="AF27" s="39"/>
      <c r="AG27" s="39"/>
      <c r="AH27" s="39"/>
      <c r="AI27" s="39"/>
      <c r="AJ27" s="39"/>
      <c r="AK27" s="39"/>
      <c r="AL27" s="39"/>
      <c r="AM27" s="39"/>
      <c r="AN27" s="39"/>
      <c r="AO27" s="39"/>
      <c r="AP27" s="39"/>
      <c r="AQ27" s="39"/>
      <c r="AR27" s="39"/>
    </row>
    <row r="28" spans="1:44" x14ac:dyDescent="0.2">
      <c r="A28" s="36" t="s">
        <v>118</v>
      </c>
      <c r="B28" s="38">
        <f t="shared" si="6"/>
        <v>5852364</v>
      </c>
      <c r="C28" s="38">
        <f t="shared" si="7"/>
        <v>9049112</v>
      </c>
      <c r="D28" s="38">
        <f t="shared" si="8"/>
        <v>7997161</v>
      </c>
      <c r="E28" s="36"/>
      <c r="F28" s="38">
        <v>6570491</v>
      </c>
      <c r="G28" s="38">
        <v>6570490</v>
      </c>
      <c r="H28" s="38">
        <v>6390959</v>
      </c>
      <c r="I28" s="38">
        <v>6390958</v>
      </c>
      <c r="J28" s="38">
        <v>6390959</v>
      </c>
      <c r="K28" s="38">
        <v>6211428</v>
      </c>
      <c r="L28" s="38">
        <v>6211427</v>
      </c>
      <c r="M28" s="38">
        <v>6211427</v>
      </c>
      <c r="N28" s="38">
        <v>6031895</v>
      </c>
      <c r="O28" s="38">
        <v>6031896</v>
      </c>
      <c r="P28" s="38">
        <v>6031896</v>
      </c>
      <c r="Q28" s="38">
        <v>5852364</v>
      </c>
      <c r="R28" s="38">
        <v>5852364</v>
      </c>
      <c r="S28" s="38">
        <v>5852364</v>
      </c>
      <c r="T28" s="38">
        <v>9896345</v>
      </c>
      <c r="U28" s="38">
        <v>9896345</v>
      </c>
      <c r="V28" s="38">
        <v>9896345</v>
      </c>
      <c r="W28" s="38">
        <v>9716812</v>
      </c>
      <c r="X28" s="38">
        <v>9716813</v>
      </c>
      <c r="Y28" s="38">
        <v>9716813</v>
      </c>
      <c r="Z28" s="38">
        <v>9537281</v>
      </c>
      <c r="AA28" s="38">
        <v>9537281</v>
      </c>
      <c r="AB28" s="38">
        <v>9537281</v>
      </c>
      <c r="AC28" s="38">
        <v>9049112</v>
      </c>
      <c r="AD28" s="38">
        <v>9049111</v>
      </c>
      <c r="AE28" s="38">
        <v>9049111</v>
      </c>
      <c r="AF28" s="38">
        <v>8766704</v>
      </c>
      <c r="AG28" s="38">
        <v>8766703</v>
      </c>
      <c r="AH28" s="38">
        <v>8766703</v>
      </c>
      <c r="AI28" s="38">
        <v>8484300</v>
      </c>
      <c r="AJ28" s="38">
        <v>8484299</v>
      </c>
      <c r="AK28" s="38">
        <v>8484299</v>
      </c>
      <c r="AL28" s="38">
        <v>8232963</v>
      </c>
      <c r="AM28" s="38">
        <v>8232962</v>
      </c>
      <c r="AN28" s="38">
        <v>8232962</v>
      </c>
      <c r="AO28" s="38">
        <v>7997161</v>
      </c>
      <c r="AP28" s="38">
        <v>7997160</v>
      </c>
      <c r="AQ28" s="38">
        <v>7997161</v>
      </c>
      <c r="AR28" s="38">
        <v>7761361</v>
      </c>
    </row>
    <row r="29" spans="1:44" x14ac:dyDescent="0.2">
      <c r="A29" s="46" t="s">
        <v>90</v>
      </c>
      <c r="B29" s="46"/>
      <c r="C29" s="46"/>
      <c r="D29" s="46"/>
      <c r="E29" s="46"/>
      <c r="F29" s="46"/>
      <c r="G29" s="46"/>
      <c r="H29" s="46"/>
      <c r="I29" s="46"/>
      <c r="J29" s="46"/>
      <c r="K29" s="46"/>
      <c r="L29" s="46"/>
      <c r="M29" s="46"/>
      <c r="N29" s="46"/>
      <c r="O29" s="46"/>
      <c r="P29" s="46"/>
      <c r="Q29" s="46"/>
      <c r="R29" s="46"/>
      <c r="S29" s="46"/>
      <c r="T29" s="46"/>
      <c r="U29" s="46"/>
      <c r="V29" s="46"/>
      <c r="W29" s="46"/>
      <c r="X29" s="46"/>
      <c r="Y29" s="46"/>
      <c r="Z29" s="46"/>
      <c r="AA29" s="37"/>
      <c r="AB29" s="37"/>
      <c r="AC29" s="37"/>
      <c r="AD29" s="37"/>
      <c r="AE29" s="37"/>
      <c r="AF29" s="37"/>
      <c r="AG29" s="37"/>
      <c r="AH29" s="37"/>
      <c r="AI29" s="37"/>
      <c r="AJ29" s="37"/>
      <c r="AK29" s="37"/>
      <c r="AL29" s="37"/>
      <c r="AM29" s="37"/>
      <c r="AN29" s="37"/>
      <c r="AO29" s="37"/>
      <c r="AP29" s="37"/>
      <c r="AQ29" s="37"/>
      <c r="AR29" s="37"/>
    </row>
    <row r="30" spans="1:44" x14ac:dyDescent="0.2">
      <c r="A30" s="36" t="s">
        <v>117</v>
      </c>
      <c r="B30" s="36" t="s">
        <v>98</v>
      </c>
      <c r="C30" s="36" t="s">
        <v>98</v>
      </c>
      <c r="D30" s="36" t="s">
        <v>98</v>
      </c>
      <c r="E30" s="36"/>
      <c r="F30" s="36" t="s">
        <v>98</v>
      </c>
      <c r="G30" s="36" t="s">
        <v>98</v>
      </c>
      <c r="H30" s="36" t="s">
        <v>98</v>
      </c>
      <c r="I30" s="36" t="s">
        <v>98</v>
      </c>
      <c r="J30" s="36" t="s">
        <v>98</v>
      </c>
      <c r="K30" s="36" t="s">
        <v>98</v>
      </c>
      <c r="L30" s="36" t="s">
        <v>98</v>
      </c>
      <c r="M30" s="36" t="s">
        <v>98</v>
      </c>
      <c r="N30" s="36" t="s">
        <v>98</v>
      </c>
      <c r="O30" s="36" t="s">
        <v>98</v>
      </c>
      <c r="P30" s="36" t="s">
        <v>98</v>
      </c>
      <c r="Q30" s="36" t="s">
        <v>98</v>
      </c>
      <c r="R30" s="36" t="s">
        <v>98</v>
      </c>
      <c r="S30" s="36" t="s">
        <v>98</v>
      </c>
      <c r="T30" s="36" t="s">
        <v>98</v>
      </c>
      <c r="U30" s="36" t="s">
        <v>98</v>
      </c>
      <c r="V30" s="36" t="s">
        <v>98</v>
      </c>
      <c r="W30" s="36" t="s">
        <v>98</v>
      </c>
      <c r="X30" s="36" t="s">
        <v>98</v>
      </c>
      <c r="Y30" s="36" t="s">
        <v>98</v>
      </c>
      <c r="Z30" s="36" t="s">
        <v>98</v>
      </c>
      <c r="AA30" s="37"/>
      <c r="AB30" s="37"/>
      <c r="AC30" s="37"/>
      <c r="AD30" s="37"/>
      <c r="AE30" s="37"/>
      <c r="AF30" s="37"/>
      <c r="AG30" s="37"/>
      <c r="AH30" s="37"/>
      <c r="AI30" s="37"/>
      <c r="AJ30" s="37"/>
      <c r="AK30" s="37"/>
      <c r="AL30" s="37"/>
      <c r="AM30" s="37"/>
      <c r="AN30" s="37"/>
      <c r="AO30" s="37"/>
      <c r="AP30" s="37"/>
      <c r="AQ30" s="37"/>
      <c r="AR30" s="37"/>
    </row>
    <row r="31" spans="1:44" x14ac:dyDescent="0.2">
      <c r="A31" s="36" t="s">
        <v>116</v>
      </c>
      <c r="B31" s="39">
        <f t="shared" ref="B31:B34" si="9">Q31</f>
        <v>87715</v>
      </c>
      <c r="C31" s="39">
        <f t="shared" ref="C31:C34" si="10">AC31</f>
        <v>0</v>
      </c>
      <c r="D31" s="39">
        <f t="shared" ref="D31:D34" si="11">AO31</f>
        <v>0</v>
      </c>
      <c r="E31" s="36"/>
      <c r="F31" s="39">
        <v>107567</v>
      </c>
      <c r="G31" s="39">
        <v>125095</v>
      </c>
      <c r="H31" s="39">
        <v>132745</v>
      </c>
      <c r="I31" s="39">
        <v>119733</v>
      </c>
      <c r="J31" s="39">
        <v>119732</v>
      </c>
      <c r="K31" s="39">
        <v>110974</v>
      </c>
      <c r="L31" s="39">
        <v>106575</v>
      </c>
      <c r="M31" s="39">
        <v>106575</v>
      </c>
      <c r="N31" s="39">
        <v>111772</v>
      </c>
      <c r="O31" s="39">
        <v>165170</v>
      </c>
      <c r="P31" s="39">
        <v>164500</v>
      </c>
      <c r="Q31" s="39">
        <v>87715</v>
      </c>
      <c r="R31" s="39">
        <v>140598</v>
      </c>
      <c r="S31" s="39">
        <v>140403</v>
      </c>
      <c r="T31" s="39">
        <v>256447</v>
      </c>
      <c r="U31" s="39">
        <v>253438</v>
      </c>
      <c r="V31" s="39">
        <v>201521</v>
      </c>
      <c r="W31" s="39">
        <v>166628</v>
      </c>
      <c r="X31" s="39">
        <v>166701</v>
      </c>
      <c r="Y31" s="39">
        <v>220655</v>
      </c>
      <c r="Z31" s="39">
        <v>198455</v>
      </c>
      <c r="AA31" s="37"/>
      <c r="AB31" s="37"/>
      <c r="AC31" s="37"/>
      <c r="AD31" s="37"/>
      <c r="AE31" s="37"/>
      <c r="AF31" s="37"/>
      <c r="AG31" s="37"/>
      <c r="AH31" s="37"/>
      <c r="AI31" s="37"/>
      <c r="AJ31" s="37"/>
      <c r="AK31" s="37"/>
      <c r="AL31" s="37"/>
      <c r="AM31" s="37"/>
      <c r="AN31" s="37"/>
      <c r="AO31" s="37"/>
      <c r="AP31" s="37"/>
      <c r="AQ31" s="37"/>
      <c r="AR31" s="37"/>
    </row>
    <row r="32" spans="1:44" x14ac:dyDescent="0.2">
      <c r="A32" s="36" t="s">
        <v>115</v>
      </c>
      <c r="B32" s="39">
        <f t="shared" si="9"/>
        <v>0</v>
      </c>
      <c r="C32" s="39">
        <f t="shared" si="10"/>
        <v>0</v>
      </c>
      <c r="D32" s="39">
        <f t="shared" si="11"/>
        <v>0</v>
      </c>
      <c r="E32" s="36"/>
      <c r="F32" s="39">
        <v>0</v>
      </c>
      <c r="G32" s="39">
        <v>0</v>
      </c>
      <c r="H32" s="39">
        <v>0</v>
      </c>
      <c r="I32" s="39">
        <v>0</v>
      </c>
      <c r="J32" s="39">
        <v>0</v>
      </c>
      <c r="K32" s="39">
        <v>0</v>
      </c>
      <c r="L32" s="39">
        <v>0</v>
      </c>
      <c r="M32" s="39">
        <v>0</v>
      </c>
      <c r="N32" s="39">
        <v>0</v>
      </c>
      <c r="O32" s="39">
        <v>0</v>
      </c>
      <c r="P32" s="39">
        <v>0</v>
      </c>
      <c r="Q32" s="39">
        <v>0</v>
      </c>
      <c r="R32" s="39">
        <v>9677</v>
      </c>
      <c r="S32" s="39">
        <v>9497</v>
      </c>
      <c r="T32" s="39">
        <v>9416</v>
      </c>
      <c r="U32" s="39">
        <v>9192</v>
      </c>
      <c r="V32" s="39">
        <v>9252</v>
      </c>
      <c r="W32" s="39">
        <v>8860</v>
      </c>
      <c r="X32" s="39">
        <v>8868</v>
      </c>
      <c r="Y32" s="39">
        <v>8955</v>
      </c>
      <c r="Z32" s="39">
        <v>9379</v>
      </c>
      <c r="AA32" s="37"/>
      <c r="AB32" s="37"/>
      <c r="AC32" s="37"/>
      <c r="AD32" s="37"/>
      <c r="AE32" s="37"/>
      <c r="AF32" s="37"/>
      <c r="AG32" s="37"/>
      <c r="AH32" s="37"/>
      <c r="AI32" s="37"/>
      <c r="AJ32" s="37"/>
      <c r="AK32" s="37"/>
      <c r="AL32" s="37"/>
      <c r="AM32" s="37"/>
      <c r="AN32" s="37"/>
      <c r="AO32" s="37"/>
      <c r="AP32" s="37"/>
      <c r="AQ32" s="37"/>
      <c r="AR32" s="37"/>
    </row>
    <row r="33" spans="1:44" x14ac:dyDescent="0.2">
      <c r="A33" s="36" t="s">
        <v>114</v>
      </c>
      <c r="B33" s="39">
        <f t="shared" si="9"/>
        <v>9411</v>
      </c>
      <c r="C33" s="39">
        <f t="shared" si="10"/>
        <v>0</v>
      </c>
      <c r="D33" s="39">
        <f t="shared" si="11"/>
        <v>0</v>
      </c>
      <c r="E33" s="36"/>
      <c r="F33" s="39">
        <v>0</v>
      </c>
      <c r="G33" s="39">
        <v>0</v>
      </c>
      <c r="H33" s="39">
        <v>0</v>
      </c>
      <c r="I33" s="39">
        <v>50</v>
      </c>
      <c r="J33" s="39">
        <v>0</v>
      </c>
      <c r="K33" s="39">
        <v>0</v>
      </c>
      <c r="L33" s="39">
        <v>0</v>
      </c>
      <c r="M33" s="39">
        <v>0</v>
      </c>
      <c r="N33" s="39">
        <v>0</v>
      </c>
      <c r="O33" s="39">
        <v>0</v>
      </c>
      <c r="P33" s="39">
        <v>0</v>
      </c>
      <c r="Q33" s="39">
        <v>9411</v>
      </c>
      <c r="R33" s="39">
        <v>0</v>
      </c>
      <c r="S33" s="39">
        <v>0</v>
      </c>
      <c r="T33" s="39">
        <v>7342352</v>
      </c>
      <c r="U33" s="39">
        <v>7328443</v>
      </c>
      <c r="V33" s="39">
        <v>7328443</v>
      </c>
      <c r="W33" s="39">
        <v>3350394</v>
      </c>
      <c r="X33" s="39">
        <v>3350524</v>
      </c>
      <c r="Y33" s="39">
        <v>3352082</v>
      </c>
      <c r="Z33" s="39">
        <v>3595893</v>
      </c>
      <c r="AA33" s="37"/>
      <c r="AB33" s="37"/>
      <c r="AC33" s="37"/>
      <c r="AD33" s="37"/>
      <c r="AE33" s="37"/>
      <c r="AF33" s="37"/>
      <c r="AG33" s="37"/>
      <c r="AH33" s="37"/>
      <c r="AI33" s="37"/>
      <c r="AJ33" s="37"/>
      <c r="AK33" s="37"/>
      <c r="AL33" s="37"/>
      <c r="AM33" s="37"/>
      <c r="AN33" s="37"/>
      <c r="AO33" s="37"/>
      <c r="AP33" s="37"/>
      <c r="AQ33" s="37"/>
      <c r="AR33" s="37"/>
    </row>
    <row r="34" spans="1:44" x14ac:dyDescent="0.2">
      <c r="A34" s="36" t="s">
        <v>113</v>
      </c>
      <c r="B34" s="38">
        <f t="shared" si="9"/>
        <v>97126</v>
      </c>
      <c r="C34" s="38">
        <f t="shared" si="10"/>
        <v>4326210</v>
      </c>
      <c r="D34" s="38">
        <f t="shared" si="11"/>
        <v>5290805</v>
      </c>
      <c r="E34" s="36"/>
      <c r="F34" s="38">
        <v>107567</v>
      </c>
      <c r="G34" s="38">
        <v>125095</v>
      </c>
      <c r="H34" s="38">
        <v>132745</v>
      </c>
      <c r="I34" s="38">
        <v>119783</v>
      </c>
      <c r="J34" s="38">
        <v>119732</v>
      </c>
      <c r="K34" s="38">
        <v>110974</v>
      </c>
      <c r="L34" s="38">
        <v>106575</v>
      </c>
      <c r="M34" s="38">
        <v>106575</v>
      </c>
      <c r="N34" s="38">
        <v>111772</v>
      </c>
      <c r="O34" s="38">
        <v>165170</v>
      </c>
      <c r="P34" s="38">
        <v>164500</v>
      </c>
      <c r="Q34" s="38">
        <v>97126</v>
      </c>
      <c r="R34" s="38">
        <v>150275</v>
      </c>
      <c r="S34" s="38">
        <v>149900</v>
      </c>
      <c r="T34" s="38">
        <v>7608215</v>
      </c>
      <c r="U34" s="38">
        <v>7591073</v>
      </c>
      <c r="V34" s="38">
        <v>7539216</v>
      </c>
      <c r="W34" s="38">
        <v>3525882</v>
      </c>
      <c r="X34" s="38">
        <v>3526093</v>
      </c>
      <c r="Y34" s="38">
        <v>3581692</v>
      </c>
      <c r="Z34" s="38">
        <v>3803727</v>
      </c>
      <c r="AA34" s="38">
        <v>3804592</v>
      </c>
      <c r="AB34" s="38">
        <v>3809292</v>
      </c>
      <c r="AC34" s="38">
        <v>4326210</v>
      </c>
      <c r="AD34" s="38">
        <v>4321468</v>
      </c>
      <c r="AE34" s="38">
        <v>4324856</v>
      </c>
      <c r="AF34" s="38">
        <v>4299778</v>
      </c>
      <c r="AG34" s="38">
        <v>4297792</v>
      </c>
      <c r="AH34" s="38">
        <v>4297095</v>
      </c>
      <c r="AI34" s="38">
        <v>4311952</v>
      </c>
      <c r="AJ34" s="38">
        <v>4318842</v>
      </c>
      <c r="AK34" s="38">
        <v>4286797</v>
      </c>
      <c r="AL34" s="38">
        <v>4627348</v>
      </c>
      <c r="AM34" s="38">
        <v>4635420</v>
      </c>
      <c r="AN34" s="38">
        <v>4862101</v>
      </c>
      <c r="AO34" s="38">
        <v>5290805</v>
      </c>
      <c r="AP34" s="38">
        <v>5296752</v>
      </c>
      <c r="AQ34" s="38">
        <v>5290965</v>
      </c>
      <c r="AR34" s="38">
        <v>6724498</v>
      </c>
    </row>
    <row r="35" spans="1:44" x14ac:dyDescent="0.2">
      <c r="A35" s="46" t="s">
        <v>90</v>
      </c>
      <c r="B35" s="46"/>
      <c r="C35" s="46"/>
      <c r="D35" s="46"/>
      <c r="E35" s="46"/>
      <c r="F35" s="46"/>
      <c r="G35" s="46"/>
      <c r="H35" s="46"/>
      <c r="I35" s="46"/>
      <c r="J35" s="46"/>
      <c r="K35" s="46"/>
      <c r="L35" s="46"/>
      <c r="M35" s="46"/>
      <c r="N35" s="46"/>
      <c r="O35" s="46"/>
      <c r="P35" s="46"/>
      <c r="Q35" s="46"/>
      <c r="R35" s="46"/>
      <c r="S35" s="46"/>
      <c r="T35" s="46"/>
      <c r="U35" s="46"/>
      <c r="V35" s="46"/>
      <c r="W35" s="46"/>
      <c r="X35" s="46"/>
      <c r="Y35" s="46"/>
      <c r="Z35" s="46"/>
      <c r="AA35" s="39"/>
      <c r="AB35" s="39"/>
      <c r="AC35" s="39"/>
      <c r="AD35" s="39"/>
      <c r="AE35" s="39"/>
      <c r="AF35" s="39"/>
      <c r="AG35" s="39"/>
      <c r="AH35" s="39"/>
      <c r="AI35" s="39"/>
      <c r="AJ35" s="39"/>
      <c r="AK35" s="39"/>
      <c r="AL35" s="39"/>
      <c r="AM35" s="39"/>
      <c r="AN35" s="39"/>
      <c r="AO35" s="39"/>
      <c r="AP35" s="39"/>
      <c r="AQ35" s="39"/>
      <c r="AR35" s="39"/>
    </row>
    <row r="36" spans="1:44" ht="13.5" thickBot="1" x14ac:dyDescent="0.25">
      <c r="A36" s="36" t="s">
        <v>112</v>
      </c>
      <c r="B36" s="35">
        <f t="shared" ref="B36" si="12">Q36</f>
        <v>78456964</v>
      </c>
      <c r="C36" s="35">
        <f t="shared" ref="C36" si="13">AC36</f>
        <v>158614909</v>
      </c>
      <c r="D36" s="35">
        <f t="shared" ref="D36" si="14">AO36</f>
        <v>137827856</v>
      </c>
      <c r="E36" s="36"/>
      <c r="F36" s="35">
        <v>42965814</v>
      </c>
      <c r="G36" s="35">
        <v>41121059</v>
      </c>
      <c r="H36" s="35">
        <v>39262659</v>
      </c>
      <c r="I36" s="35">
        <v>38260695</v>
      </c>
      <c r="J36" s="35">
        <v>37758217</v>
      </c>
      <c r="K36" s="35">
        <v>35474826</v>
      </c>
      <c r="L36" s="35">
        <v>84623226</v>
      </c>
      <c r="M36" s="35">
        <v>83090610</v>
      </c>
      <c r="N36" s="35">
        <v>79434288</v>
      </c>
      <c r="O36" s="35">
        <v>76836012</v>
      </c>
      <c r="P36" s="35">
        <v>76487607</v>
      </c>
      <c r="Q36" s="35">
        <v>78456964</v>
      </c>
      <c r="R36" s="35">
        <v>77687145</v>
      </c>
      <c r="S36" s="35">
        <v>74510114</v>
      </c>
      <c r="T36" s="35">
        <v>73940765</v>
      </c>
      <c r="U36" s="35">
        <v>70609065</v>
      </c>
      <c r="V36" s="35">
        <v>74792892</v>
      </c>
      <c r="W36" s="35">
        <v>70583540</v>
      </c>
      <c r="X36" s="35">
        <v>65569677</v>
      </c>
      <c r="Y36" s="35">
        <v>62570659</v>
      </c>
      <c r="Z36" s="35">
        <v>159907873</v>
      </c>
      <c r="AA36" s="35">
        <v>156208264</v>
      </c>
      <c r="AB36" s="35">
        <v>154609884</v>
      </c>
      <c r="AC36" s="35">
        <v>158614909</v>
      </c>
      <c r="AD36" s="35">
        <v>150660235</v>
      </c>
      <c r="AE36" s="35">
        <v>147004388</v>
      </c>
      <c r="AF36" s="35">
        <v>145486970</v>
      </c>
      <c r="AG36" s="35">
        <v>170792460</v>
      </c>
      <c r="AH36" s="35">
        <v>170531917</v>
      </c>
      <c r="AI36" s="35">
        <v>138115859</v>
      </c>
      <c r="AJ36" s="35">
        <v>168653859</v>
      </c>
      <c r="AK36" s="35">
        <v>169373917</v>
      </c>
      <c r="AL36" s="35">
        <v>134212032</v>
      </c>
      <c r="AM36" s="35">
        <v>129812247</v>
      </c>
      <c r="AN36" s="35">
        <v>138265395</v>
      </c>
      <c r="AO36" s="35">
        <v>137827856</v>
      </c>
      <c r="AP36" s="35">
        <v>133266973</v>
      </c>
      <c r="AQ36" s="35">
        <v>127815147</v>
      </c>
      <c r="AR36" s="35">
        <v>125131915</v>
      </c>
    </row>
    <row r="37" spans="1:44" ht="13.5" thickTop="1" x14ac:dyDescent="0.2">
      <c r="A37" s="46" t="s">
        <v>90</v>
      </c>
      <c r="B37" s="46"/>
      <c r="C37" s="46"/>
      <c r="D37" s="46"/>
      <c r="E37" s="46"/>
      <c r="F37" s="46"/>
      <c r="G37" s="46"/>
      <c r="H37" s="46"/>
      <c r="I37" s="46"/>
      <c r="J37" s="46"/>
      <c r="K37" s="46"/>
      <c r="L37" s="46"/>
      <c r="M37" s="46"/>
      <c r="N37" s="46"/>
      <c r="O37" s="46"/>
      <c r="P37" s="46"/>
      <c r="Q37" s="46"/>
      <c r="R37" s="46"/>
      <c r="S37" s="46"/>
      <c r="T37" s="46"/>
      <c r="U37" s="46"/>
      <c r="V37" s="46"/>
      <c r="W37" s="46"/>
      <c r="X37" s="46"/>
      <c r="Y37" s="46"/>
      <c r="Z37" s="46"/>
      <c r="AA37" s="37"/>
      <c r="AB37" s="37"/>
      <c r="AC37" s="37"/>
      <c r="AD37" s="37"/>
      <c r="AE37" s="37"/>
      <c r="AF37" s="37"/>
      <c r="AG37" s="37"/>
      <c r="AH37" s="37"/>
      <c r="AI37" s="37"/>
      <c r="AJ37" s="37"/>
      <c r="AK37" s="37"/>
      <c r="AL37" s="37"/>
      <c r="AM37" s="37"/>
      <c r="AN37" s="37"/>
      <c r="AO37" s="37"/>
      <c r="AP37" s="37"/>
      <c r="AQ37" s="37"/>
      <c r="AR37" s="37"/>
    </row>
    <row r="38" spans="1:44" x14ac:dyDescent="0.2">
      <c r="A38" s="46" t="s">
        <v>90</v>
      </c>
      <c r="B38" s="46"/>
      <c r="C38" s="46"/>
      <c r="D38" s="46"/>
      <c r="E38" s="46"/>
      <c r="F38" s="46"/>
      <c r="G38" s="46"/>
      <c r="H38" s="46"/>
      <c r="I38" s="46"/>
      <c r="J38" s="46"/>
      <c r="K38" s="46"/>
      <c r="L38" s="46"/>
      <c r="M38" s="46"/>
      <c r="N38" s="46"/>
      <c r="O38" s="46"/>
      <c r="P38" s="46"/>
      <c r="Q38" s="46"/>
      <c r="R38" s="46"/>
      <c r="S38" s="46"/>
      <c r="T38" s="46"/>
      <c r="U38" s="46"/>
      <c r="V38" s="46"/>
      <c r="W38" s="46"/>
      <c r="X38" s="46"/>
      <c r="Y38" s="46"/>
      <c r="Z38" s="46"/>
      <c r="AA38" s="37"/>
      <c r="AB38" s="37"/>
      <c r="AC38" s="37"/>
      <c r="AD38" s="37"/>
      <c r="AE38" s="37"/>
      <c r="AF38" s="37"/>
      <c r="AG38" s="37"/>
      <c r="AH38" s="37"/>
      <c r="AI38" s="37"/>
      <c r="AJ38" s="37"/>
      <c r="AK38" s="37"/>
      <c r="AL38" s="37"/>
      <c r="AM38" s="37"/>
      <c r="AN38" s="37"/>
      <c r="AO38" s="37"/>
      <c r="AP38" s="37"/>
      <c r="AQ38" s="37"/>
      <c r="AR38" s="37"/>
    </row>
    <row r="39" spans="1:44" x14ac:dyDescent="0.2">
      <c r="A39" s="36" t="s">
        <v>111</v>
      </c>
      <c r="B39" s="36" t="s">
        <v>110</v>
      </c>
      <c r="C39" s="36" t="s">
        <v>110</v>
      </c>
      <c r="D39" s="36" t="s">
        <v>110</v>
      </c>
      <c r="E39" s="36"/>
      <c r="F39" s="36" t="s">
        <v>110</v>
      </c>
      <c r="G39" s="36" t="s">
        <v>110</v>
      </c>
      <c r="H39" s="36" t="s">
        <v>110</v>
      </c>
      <c r="I39" s="36" t="s">
        <v>110</v>
      </c>
      <c r="J39" s="36" t="s">
        <v>110</v>
      </c>
      <c r="K39" s="36" t="s">
        <v>110</v>
      </c>
      <c r="L39" s="36" t="s">
        <v>110</v>
      </c>
      <c r="M39" s="36" t="s">
        <v>110</v>
      </c>
      <c r="N39" s="36" t="s">
        <v>110</v>
      </c>
      <c r="O39" s="36" t="s">
        <v>110</v>
      </c>
      <c r="P39" s="36" t="s">
        <v>110</v>
      </c>
      <c r="Q39" s="36" t="s">
        <v>110</v>
      </c>
      <c r="R39" s="36" t="s">
        <v>110</v>
      </c>
      <c r="S39" s="36" t="s">
        <v>110</v>
      </c>
      <c r="T39" s="36" t="s">
        <v>110</v>
      </c>
      <c r="U39" s="36" t="s">
        <v>110</v>
      </c>
      <c r="V39" s="36" t="s">
        <v>110</v>
      </c>
      <c r="W39" s="36" t="s">
        <v>110</v>
      </c>
      <c r="X39" s="36" t="s">
        <v>110</v>
      </c>
      <c r="Y39" s="36" t="s">
        <v>110</v>
      </c>
      <c r="Z39" s="36" t="s">
        <v>110</v>
      </c>
      <c r="AA39" s="36" t="s">
        <v>110</v>
      </c>
      <c r="AB39" s="36" t="s">
        <v>110</v>
      </c>
      <c r="AC39" s="36" t="s">
        <v>110</v>
      </c>
      <c r="AD39" s="36" t="s">
        <v>110</v>
      </c>
      <c r="AE39" s="36" t="s">
        <v>110</v>
      </c>
      <c r="AF39" s="36" t="s">
        <v>110</v>
      </c>
      <c r="AG39" s="36" t="s">
        <v>110</v>
      </c>
      <c r="AH39" s="36" t="s">
        <v>110</v>
      </c>
      <c r="AI39" s="36" t="s">
        <v>110</v>
      </c>
      <c r="AJ39" s="36" t="s">
        <v>110</v>
      </c>
      <c r="AK39" s="36" t="s">
        <v>110</v>
      </c>
      <c r="AL39" s="36" t="s">
        <v>110</v>
      </c>
      <c r="AM39" s="36" t="s">
        <v>110</v>
      </c>
      <c r="AN39" s="36" t="s">
        <v>110</v>
      </c>
      <c r="AO39" s="36" t="s">
        <v>110</v>
      </c>
      <c r="AP39" s="36" t="s">
        <v>110</v>
      </c>
      <c r="AQ39" s="36" t="s">
        <v>110</v>
      </c>
      <c r="AR39" s="36" t="s">
        <v>110</v>
      </c>
    </row>
    <row r="40" spans="1:44" x14ac:dyDescent="0.2">
      <c r="A40" s="46" t="s">
        <v>90</v>
      </c>
      <c r="B40" s="46"/>
      <c r="C40" s="46"/>
      <c r="D40" s="46"/>
      <c r="E40" s="46"/>
      <c r="F40" s="46"/>
      <c r="G40" s="46"/>
      <c r="H40" s="46"/>
      <c r="I40" s="46"/>
      <c r="J40" s="46"/>
      <c r="K40" s="46"/>
      <c r="L40" s="46"/>
      <c r="M40" s="46"/>
      <c r="N40" s="46"/>
      <c r="O40" s="46"/>
      <c r="P40" s="46"/>
      <c r="Q40" s="46"/>
      <c r="R40" s="46"/>
      <c r="S40" s="46"/>
      <c r="T40" s="46"/>
      <c r="U40" s="46"/>
      <c r="V40" s="46"/>
      <c r="W40" s="46"/>
      <c r="X40" s="46"/>
      <c r="Y40" s="46"/>
      <c r="Z40" s="46"/>
      <c r="AA40" s="37"/>
      <c r="AB40" s="37"/>
      <c r="AC40" s="37"/>
      <c r="AD40" s="37"/>
      <c r="AE40" s="37"/>
      <c r="AF40" s="37"/>
      <c r="AG40" s="37"/>
      <c r="AH40" s="37"/>
      <c r="AI40" s="37"/>
      <c r="AJ40" s="37"/>
      <c r="AK40" s="37"/>
      <c r="AL40" s="37"/>
      <c r="AM40" s="37"/>
      <c r="AN40" s="37"/>
      <c r="AO40" s="37"/>
      <c r="AP40" s="37"/>
      <c r="AQ40" s="37"/>
      <c r="AR40" s="37"/>
    </row>
    <row r="41" spans="1:44" x14ac:dyDescent="0.2">
      <c r="A41" s="36" t="s">
        <v>109</v>
      </c>
      <c r="B41" s="36" t="s">
        <v>98</v>
      </c>
      <c r="C41" s="36" t="s">
        <v>98</v>
      </c>
      <c r="D41" s="36" t="s">
        <v>98</v>
      </c>
      <c r="E41" s="36"/>
      <c r="F41" s="36" t="s">
        <v>98</v>
      </c>
      <c r="G41" s="36" t="s">
        <v>98</v>
      </c>
      <c r="H41" s="36" t="s">
        <v>98</v>
      </c>
      <c r="I41" s="36" t="s">
        <v>98</v>
      </c>
      <c r="J41" s="36" t="s">
        <v>98</v>
      </c>
      <c r="K41" s="36" t="s">
        <v>98</v>
      </c>
      <c r="L41" s="36" t="s">
        <v>98</v>
      </c>
      <c r="M41" s="36" t="s">
        <v>98</v>
      </c>
      <c r="N41" s="36" t="s">
        <v>98</v>
      </c>
      <c r="O41" s="36" t="s">
        <v>98</v>
      </c>
      <c r="P41" s="36" t="s">
        <v>98</v>
      </c>
      <c r="Q41" s="36" t="s">
        <v>98</v>
      </c>
      <c r="R41" s="36" t="s">
        <v>98</v>
      </c>
      <c r="S41" s="36" t="s">
        <v>98</v>
      </c>
      <c r="T41" s="36" t="s">
        <v>98</v>
      </c>
      <c r="U41" s="36" t="s">
        <v>98</v>
      </c>
      <c r="V41" s="36" t="s">
        <v>98</v>
      </c>
      <c r="W41" s="36" t="s">
        <v>98</v>
      </c>
      <c r="X41" s="36" t="s">
        <v>98</v>
      </c>
      <c r="Y41" s="36" t="s">
        <v>98</v>
      </c>
      <c r="Z41" s="36" t="s">
        <v>98</v>
      </c>
      <c r="AA41" s="36" t="s">
        <v>98</v>
      </c>
      <c r="AB41" s="36" t="s">
        <v>98</v>
      </c>
      <c r="AC41" s="36" t="s">
        <v>98</v>
      </c>
      <c r="AD41" s="36" t="s">
        <v>98</v>
      </c>
      <c r="AE41" s="36" t="s">
        <v>98</v>
      </c>
      <c r="AF41" s="36" t="s">
        <v>98</v>
      </c>
      <c r="AG41" s="36" t="s">
        <v>98</v>
      </c>
      <c r="AH41" s="36" t="s">
        <v>98</v>
      </c>
      <c r="AI41" s="36" t="s">
        <v>98</v>
      </c>
      <c r="AJ41" s="36" t="s">
        <v>98</v>
      </c>
      <c r="AK41" s="36" t="s">
        <v>98</v>
      </c>
      <c r="AL41" s="36" t="s">
        <v>98</v>
      </c>
      <c r="AM41" s="36" t="s">
        <v>98</v>
      </c>
      <c r="AN41" s="36" t="s">
        <v>98</v>
      </c>
      <c r="AO41" s="36" t="s">
        <v>98</v>
      </c>
      <c r="AP41" s="36" t="s">
        <v>98</v>
      </c>
      <c r="AQ41" s="36" t="s">
        <v>98</v>
      </c>
      <c r="AR41" s="36" t="s">
        <v>98</v>
      </c>
    </row>
    <row r="42" spans="1:44" x14ac:dyDescent="0.2">
      <c r="A42" s="36" t="s">
        <v>108</v>
      </c>
      <c r="B42" s="39">
        <f t="shared" ref="B42:B47" si="15">Q42</f>
        <v>3654878</v>
      </c>
      <c r="C42" s="39">
        <f t="shared" ref="C42:C47" si="16">AC42</f>
        <v>3906377</v>
      </c>
      <c r="D42" s="39">
        <f t="shared" ref="D42:D47" si="17">AO42</f>
        <v>1543532</v>
      </c>
      <c r="E42" s="36"/>
      <c r="F42" s="39">
        <v>1154755</v>
      </c>
      <c r="G42" s="39">
        <v>1037613</v>
      </c>
      <c r="H42" s="39">
        <v>1249701</v>
      </c>
      <c r="I42" s="39">
        <v>905679</v>
      </c>
      <c r="J42" s="39">
        <v>1102686</v>
      </c>
      <c r="K42" s="39">
        <v>1314723</v>
      </c>
      <c r="L42" s="39">
        <v>1660492</v>
      </c>
      <c r="M42" s="39">
        <v>2118701</v>
      </c>
      <c r="N42" s="39">
        <v>2394771</v>
      </c>
      <c r="O42" s="39">
        <v>1821903</v>
      </c>
      <c r="P42" s="39">
        <v>2123417</v>
      </c>
      <c r="Q42" s="39">
        <v>3654878</v>
      </c>
      <c r="R42" s="39">
        <v>2851579</v>
      </c>
      <c r="S42" s="39">
        <v>2276998</v>
      </c>
      <c r="T42" s="39">
        <v>3593135</v>
      </c>
      <c r="U42" s="39">
        <v>2530715</v>
      </c>
      <c r="V42" s="39">
        <v>2936729</v>
      </c>
      <c r="W42" s="39">
        <v>3520537</v>
      </c>
      <c r="X42" s="39">
        <v>1528666</v>
      </c>
      <c r="Y42" s="39">
        <v>1751433</v>
      </c>
      <c r="Z42" s="39">
        <v>2133243</v>
      </c>
      <c r="AA42" s="39">
        <v>2151100</v>
      </c>
      <c r="AB42" s="39">
        <v>2552493</v>
      </c>
      <c r="AC42" s="39">
        <v>3906377</v>
      </c>
      <c r="AD42" s="39">
        <v>2156789</v>
      </c>
      <c r="AE42" s="39">
        <v>2023735</v>
      </c>
      <c r="AF42" s="39">
        <v>3953277</v>
      </c>
      <c r="AG42" s="39">
        <v>2312085</v>
      </c>
      <c r="AH42" s="39">
        <v>2435290</v>
      </c>
      <c r="AI42" s="39">
        <v>1276934</v>
      </c>
      <c r="AJ42" s="39">
        <v>1880366</v>
      </c>
      <c r="AK42" s="39">
        <v>2411415</v>
      </c>
      <c r="AL42" s="39">
        <v>1668641</v>
      </c>
      <c r="AM42" s="39">
        <v>2276858</v>
      </c>
      <c r="AN42" s="39">
        <v>2663165</v>
      </c>
      <c r="AO42" s="39">
        <v>1543532</v>
      </c>
      <c r="AP42" s="39">
        <v>2645737</v>
      </c>
      <c r="AQ42" s="39">
        <v>2113945</v>
      </c>
      <c r="AR42" s="39">
        <v>1270388</v>
      </c>
    </row>
    <row r="43" spans="1:44" x14ac:dyDescent="0.2">
      <c r="A43" s="36" t="s">
        <v>107</v>
      </c>
      <c r="B43" s="39">
        <f t="shared" si="15"/>
        <v>4300408</v>
      </c>
      <c r="C43" s="39">
        <f t="shared" si="16"/>
        <v>6705377</v>
      </c>
      <c r="D43" s="39">
        <f t="shared" si="17"/>
        <v>10775825</v>
      </c>
      <c r="E43" s="36"/>
      <c r="F43" s="39">
        <v>910723</v>
      </c>
      <c r="G43" s="39">
        <v>1031780</v>
      </c>
      <c r="H43" s="39">
        <v>1408853</v>
      </c>
      <c r="I43" s="39">
        <v>1101690</v>
      </c>
      <c r="J43" s="39">
        <v>1453521</v>
      </c>
      <c r="K43" s="39">
        <v>1835137</v>
      </c>
      <c r="L43" s="39">
        <v>1676160</v>
      </c>
      <c r="M43" s="39">
        <v>1741550</v>
      </c>
      <c r="N43" s="39">
        <v>2514828</v>
      </c>
      <c r="O43" s="39">
        <v>2318662</v>
      </c>
      <c r="P43" s="39">
        <v>2914192</v>
      </c>
      <c r="Q43" s="39">
        <v>4300408</v>
      </c>
      <c r="R43" s="39">
        <v>2176894</v>
      </c>
      <c r="S43" s="39">
        <v>2319227</v>
      </c>
      <c r="T43" s="39">
        <v>3273309</v>
      </c>
      <c r="U43" s="39">
        <v>3180754</v>
      </c>
      <c r="V43" s="39">
        <v>3599473</v>
      </c>
      <c r="W43" s="39">
        <v>4102567</v>
      </c>
      <c r="X43" s="39">
        <v>4974803</v>
      </c>
      <c r="Y43" s="39">
        <v>5547855</v>
      </c>
      <c r="Z43" s="39">
        <v>6694040</v>
      </c>
      <c r="AA43" s="39">
        <v>5450964</v>
      </c>
      <c r="AB43" s="39">
        <v>6386418</v>
      </c>
      <c r="AC43" s="39">
        <v>6705377</v>
      </c>
      <c r="AD43" s="39">
        <v>5714442</v>
      </c>
      <c r="AE43" s="39">
        <v>4652246</v>
      </c>
      <c r="AF43" s="39">
        <v>5310793</v>
      </c>
      <c r="AG43" s="39">
        <v>5171661</v>
      </c>
      <c r="AH43" s="39">
        <v>5756156</v>
      </c>
      <c r="AI43" s="39">
        <v>7518137</v>
      </c>
      <c r="AJ43" s="39">
        <v>6981785</v>
      </c>
      <c r="AK43" s="39">
        <v>7974393</v>
      </c>
      <c r="AL43" s="39">
        <v>8860354</v>
      </c>
      <c r="AM43" s="39">
        <v>8561618</v>
      </c>
      <c r="AN43" s="39">
        <v>9241371</v>
      </c>
      <c r="AO43" s="39">
        <v>10775825</v>
      </c>
      <c r="AP43" s="39">
        <v>9674289</v>
      </c>
      <c r="AQ43" s="39">
        <v>8633291</v>
      </c>
      <c r="AR43" s="39">
        <v>10526221</v>
      </c>
    </row>
    <row r="44" spans="1:44" x14ac:dyDescent="0.2">
      <c r="A44" s="36" t="s">
        <v>106</v>
      </c>
      <c r="B44" s="39">
        <f t="shared" si="15"/>
        <v>14979483</v>
      </c>
      <c r="C44" s="39">
        <f t="shared" si="16"/>
        <v>27221768</v>
      </c>
      <c r="D44" s="39">
        <f t="shared" si="17"/>
        <v>40545511</v>
      </c>
      <c r="E44" s="36"/>
      <c r="F44" s="39">
        <v>6457639</v>
      </c>
      <c r="G44" s="39">
        <v>6645657</v>
      </c>
      <c r="H44" s="39">
        <v>6769632</v>
      </c>
      <c r="I44" s="39">
        <v>7952571</v>
      </c>
      <c r="J44" s="39">
        <v>8831550</v>
      </c>
      <c r="K44" s="39">
        <v>8444964</v>
      </c>
      <c r="L44" s="39">
        <v>9742273</v>
      </c>
      <c r="M44" s="39">
        <v>10291385</v>
      </c>
      <c r="N44" s="39">
        <v>9198755</v>
      </c>
      <c r="O44" s="39">
        <v>9927005</v>
      </c>
      <c r="P44" s="39">
        <v>11408852</v>
      </c>
      <c r="Q44" s="39">
        <v>14979483</v>
      </c>
      <c r="R44" s="39">
        <v>16646604</v>
      </c>
      <c r="S44" s="39">
        <v>16172253</v>
      </c>
      <c r="T44" s="39">
        <v>15777191</v>
      </c>
      <c r="U44" s="39">
        <v>16852410</v>
      </c>
      <c r="V44" s="39">
        <v>23743385</v>
      </c>
      <c r="W44" s="39">
        <v>20979031</v>
      </c>
      <c r="X44" s="39">
        <v>20236034</v>
      </c>
      <c r="Y44" s="39">
        <v>20552537</v>
      </c>
      <c r="Z44" s="39">
        <v>20134450</v>
      </c>
      <c r="AA44" s="39">
        <v>20655478</v>
      </c>
      <c r="AB44" s="39">
        <v>21256311</v>
      </c>
      <c r="AC44" s="39">
        <v>27221768</v>
      </c>
      <c r="AD44" s="39">
        <v>26210193</v>
      </c>
      <c r="AE44" s="39">
        <v>26604021</v>
      </c>
      <c r="AF44" s="39">
        <v>26232466</v>
      </c>
      <c r="AG44" s="39">
        <v>56200056</v>
      </c>
      <c r="AH44" s="39">
        <v>57494804</v>
      </c>
      <c r="AI44" s="39">
        <v>28010660</v>
      </c>
      <c r="AJ44" s="39">
        <v>60746423</v>
      </c>
      <c r="AK44" s="39">
        <v>62984672</v>
      </c>
      <c r="AL44" s="39">
        <v>30633376</v>
      </c>
      <c r="AM44" s="39">
        <v>28491599</v>
      </c>
      <c r="AN44" s="39">
        <v>37016046</v>
      </c>
      <c r="AO44" s="39">
        <v>40545511</v>
      </c>
      <c r="AP44" s="39">
        <v>39667738</v>
      </c>
      <c r="AQ44" s="39">
        <v>39323837</v>
      </c>
      <c r="AR44" s="39">
        <v>41343691</v>
      </c>
    </row>
    <row r="45" spans="1:44" x14ac:dyDescent="0.2">
      <c r="A45" s="36" t="s">
        <v>105</v>
      </c>
      <c r="B45" s="39">
        <f t="shared" si="15"/>
        <v>47460</v>
      </c>
      <c r="C45" s="39">
        <f t="shared" si="16"/>
        <v>132967</v>
      </c>
      <c r="D45" s="39">
        <f t="shared" si="17"/>
        <v>-340748</v>
      </c>
      <c r="E45" s="36"/>
      <c r="F45" s="39">
        <v>9916</v>
      </c>
      <c r="G45" s="39">
        <v>21325</v>
      </c>
      <c r="H45" s="39">
        <v>56517</v>
      </c>
      <c r="I45" s="39">
        <v>78988</v>
      </c>
      <c r="J45" s="39">
        <v>49863</v>
      </c>
      <c r="K45" s="39">
        <v>26427</v>
      </c>
      <c r="L45" s="39">
        <v>46299</v>
      </c>
      <c r="M45" s="39">
        <v>29170</v>
      </c>
      <c r="N45" s="39">
        <v>28575</v>
      </c>
      <c r="O45" s="39">
        <v>41981</v>
      </c>
      <c r="P45" s="39">
        <v>58813</v>
      </c>
      <c r="Q45" s="39">
        <v>47460</v>
      </c>
      <c r="R45" s="39">
        <v>31014</v>
      </c>
      <c r="S45" s="39">
        <v>34336</v>
      </c>
      <c r="T45" s="39">
        <v>100215</v>
      </c>
      <c r="U45" s="39">
        <v>3414</v>
      </c>
      <c r="V45" s="39">
        <v>10330</v>
      </c>
      <c r="W45" s="39">
        <v>80570</v>
      </c>
      <c r="X45" s="39">
        <v>53807</v>
      </c>
      <c r="Y45" s="39">
        <v>24570</v>
      </c>
      <c r="Z45" s="39">
        <v>77931</v>
      </c>
      <c r="AA45" s="39">
        <v>24807</v>
      </c>
      <c r="AB45" s="39">
        <v>53673</v>
      </c>
      <c r="AC45" s="39">
        <v>132967</v>
      </c>
      <c r="AD45" s="39">
        <v>78133</v>
      </c>
      <c r="AE45" s="39">
        <v>64641</v>
      </c>
      <c r="AF45" s="39">
        <v>89465</v>
      </c>
      <c r="AG45" s="39">
        <v>103358</v>
      </c>
      <c r="AH45" s="39">
        <v>167252</v>
      </c>
      <c r="AI45" s="39">
        <v>155092</v>
      </c>
      <c r="AJ45" s="39">
        <v>120303</v>
      </c>
      <c r="AK45" s="39">
        <v>122029</v>
      </c>
      <c r="AL45" s="39">
        <v>167588</v>
      </c>
      <c r="AM45" s="39">
        <v>-11883</v>
      </c>
      <c r="AN45" s="39">
        <v>170264</v>
      </c>
      <c r="AO45" s="39">
        <v>-340748</v>
      </c>
      <c r="AP45" s="39">
        <v>-289284</v>
      </c>
      <c r="AQ45" s="39">
        <v>-256181</v>
      </c>
      <c r="AR45" s="39">
        <v>-171621</v>
      </c>
    </row>
    <row r="46" spans="1:44" x14ac:dyDescent="0.2">
      <c r="A46" s="36" t="s">
        <v>104</v>
      </c>
      <c r="B46" s="39">
        <f t="shared" si="15"/>
        <v>451463</v>
      </c>
      <c r="C46" s="39">
        <f t="shared" si="16"/>
        <v>426592</v>
      </c>
      <c r="D46" s="39">
        <f t="shared" si="17"/>
        <v>335245</v>
      </c>
      <c r="E46" s="36"/>
      <c r="F46" s="39">
        <v>57069</v>
      </c>
      <c r="G46" s="39">
        <v>166779</v>
      </c>
      <c r="H46" s="39">
        <v>147398</v>
      </c>
      <c r="I46" s="39">
        <v>261079</v>
      </c>
      <c r="J46" s="39">
        <v>367894</v>
      </c>
      <c r="K46" s="39">
        <v>489402</v>
      </c>
      <c r="L46" s="39">
        <v>492384</v>
      </c>
      <c r="M46" s="39">
        <v>495366</v>
      </c>
      <c r="N46" s="39">
        <v>518497</v>
      </c>
      <c r="O46" s="39">
        <v>537897</v>
      </c>
      <c r="P46" s="39">
        <v>540879</v>
      </c>
      <c r="Q46" s="39">
        <v>451463</v>
      </c>
      <c r="R46" s="39">
        <v>482838</v>
      </c>
      <c r="S46" s="39">
        <v>524140</v>
      </c>
      <c r="T46" s="39">
        <v>559090</v>
      </c>
      <c r="U46" s="39">
        <v>483980</v>
      </c>
      <c r="V46" s="39">
        <v>534579</v>
      </c>
      <c r="W46" s="39">
        <v>470985</v>
      </c>
      <c r="X46" s="39">
        <v>609879</v>
      </c>
      <c r="Y46" s="39">
        <v>383171</v>
      </c>
      <c r="Z46" s="39">
        <v>468218</v>
      </c>
      <c r="AA46" s="39">
        <v>466816</v>
      </c>
      <c r="AB46" s="39">
        <v>465414</v>
      </c>
      <c r="AC46" s="39">
        <v>426592</v>
      </c>
      <c r="AD46" s="39">
        <v>424431</v>
      </c>
      <c r="AE46" s="39">
        <v>420133</v>
      </c>
      <c r="AF46" s="39">
        <v>444848</v>
      </c>
      <c r="AG46" s="39">
        <v>404920</v>
      </c>
      <c r="AH46" s="39">
        <v>433676</v>
      </c>
      <c r="AI46" s="39">
        <v>427646</v>
      </c>
      <c r="AJ46" s="39">
        <v>421616</v>
      </c>
      <c r="AK46" s="39">
        <v>403568</v>
      </c>
      <c r="AL46" s="39">
        <v>386189</v>
      </c>
      <c r="AM46" s="39">
        <v>407045</v>
      </c>
      <c r="AN46" s="39">
        <v>402188</v>
      </c>
      <c r="AO46" s="39">
        <v>335245</v>
      </c>
      <c r="AP46" s="39">
        <v>341075</v>
      </c>
      <c r="AQ46" s="39">
        <v>365408</v>
      </c>
      <c r="AR46" s="39">
        <v>367407</v>
      </c>
    </row>
    <row r="47" spans="1:44" x14ac:dyDescent="0.2">
      <c r="A47" s="36" t="s">
        <v>103</v>
      </c>
      <c r="B47" s="38">
        <f t="shared" si="15"/>
        <v>23433692</v>
      </c>
      <c r="C47" s="38">
        <f t="shared" si="16"/>
        <v>38393081</v>
      </c>
      <c r="D47" s="38">
        <f t="shared" si="17"/>
        <v>52859365</v>
      </c>
      <c r="E47" s="36"/>
      <c r="F47" s="38">
        <v>8590102</v>
      </c>
      <c r="G47" s="38">
        <v>8903154</v>
      </c>
      <c r="H47" s="38">
        <v>9632101</v>
      </c>
      <c r="I47" s="38">
        <v>10300007</v>
      </c>
      <c r="J47" s="38">
        <v>11805514</v>
      </c>
      <c r="K47" s="38">
        <v>12110653</v>
      </c>
      <c r="L47" s="38">
        <v>13617608</v>
      </c>
      <c r="M47" s="38">
        <v>14676172</v>
      </c>
      <c r="N47" s="38">
        <v>14655426</v>
      </c>
      <c r="O47" s="38">
        <v>14647448</v>
      </c>
      <c r="P47" s="38">
        <v>17046153</v>
      </c>
      <c r="Q47" s="38">
        <v>23433692</v>
      </c>
      <c r="R47" s="38">
        <v>22188929</v>
      </c>
      <c r="S47" s="38">
        <v>21326954</v>
      </c>
      <c r="T47" s="38">
        <v>23302940</v>
      </c>
      <c r="U47" s="38">
        <v>23051273</v>
      </c>
      <c r="V47" s="38">
        <v>30824496</v>
      </c>
      <c r="W47" s="38">
        <v>29153690</v>
      </c>
      <c r="X47" s="38">
        <v>27403189</v>
      </c>
      <c r="Y47" s="38">
        <v>28259566</v>
      </c>
      <c r="Z47" s="38">
        <v>29507882</v>
      </c>
      <c r="AA47" s="38">
        <v>28749165</v>
      </c>
      <c r="AB47" s="38">
        <v>30714309</v>
      </c>
      <c r="AC47" s="38">
        <v>38393081</v>
      </c>
      <c r="AD47" s="38">
        <v>34583988</v>
      </c>
      <c r="AE47" s="38">
        <v>33764776</v>
      </c>
      <c r="AF47" s="38">
        <v>36030849</v>
      </c>
      <c r="AG47" s="38">
        <v>64192080</v>
      </c>
      <c r="AH47" s="38">
        <v>66287178</v>
      </c>
      <c r="AI47" s="38">
        <v>37388469</v>
      </c>
      <c r="AJ47" s="38">
        <v>70150493</v>
      </c>
      <c r="AK47" s="38">
        <v>73896077</v>
      </c>
      <c r="AL47" s="38">
        <v>41716148</v>
      </c>
      <c r="AM47" s="38">
        <v>39725237</v>
      </c>
      <c r="AN47" s="38">
        <v>49493034</v>
      </c>
      <c r="AO47" s="38">
        <v>52859365</v>
      </c>
      <c r="AP47" s="38">
        <v>52039555</v>
      </c>
      <c r="AQ47" s="38">
        <v>50180300</v>
      </c>
      <c r="AR47" s="38">
        <v>53336086</v>
      </c>
    </row>
    <row r="48" spans="1:44" x14ac:dyDescent="0.2">
      <c r="A48" s="46" t="s">
        <v>90</v>
      </c>
      <c r="B48" s="46"/>
      <c r="C48" s="46"/>
      <c r="D48" s="46"/>
      <c r="E48" s="46"/>
      <c r="F48" s="46"/>
      <c r="G48" s="46"/>
      <c r="H48" s="46"/>
      <c r="I48" s="46"/>
      <c r="J48" s="46"/>
      <c r="K48" s="46"/>
      <c r="L48" s="46"/>
      <c r="M48" s="46"/>
      <c r="N48" s="46"/>
      <c r="O48" s="46"/>
      <c r="P48" s="46"/>
      <c r="Q48" s="46"/>
      <c r="R48" s="46"/>
      <c r="S48" s="46"/>
      <c r="T48" s="46"/>
      <c r="U48" s="46"/>
      <c r="V48" s="46"/>
      <c r="W48" s="46"/>
      <c r="X48" s="46"/>
      <c r="Y48" s="46"/>
      <c r="Z48" s="46"/>
      <c r="AA48" s="37"/>
      <c r="AB48" s="37"/>
      <c r="AC48" s="37"/>
      <c r="AD48" s="37"/>
      <c r="AE48" s="37"/>
      <c r="AF48" s="37"/>
      <c r="AG48" s="37"/>
      <c r="AH48" s="37"/>
      <c r="AI48" s="37"/>
      <c r="AJ48" s="37"/>
      <c r="AK48" s="37"/>
      <c r="AL48" s="37"/>
      <c r="AM48" s="37"/>
      <c r="AN48" s="37"/>
      <c r="AO48" s="37"/>
      <c r="AP48" s="37"/>
      <c r="AQ48" s="37"/>
      <c r="AR48" s="37"/>
    </row>
    <row r="49" spans="1:44" x14ac:dyDescent="0.2">
      <c r="A49" s="36" t="s">
        <v>102</v>
      </c>
      <c r="B49" s="36" t="s">
        <v>98</v>
      </c>
      <c r="C49" s="36" t="s">
        <v>98</v>
      </c>
      <c r="D49" s="36" t="s">
        <v>98</v>
      </c>
      <c r="E49" s="36"/>
      <c r="F49" s="36" t="s">
        <v>98</v>
      </c>
      <c r="G49" s="36" t="s">
        <v>98</v>
      </c>
      <c r="H49" s="36" t="s">
        <v>98</v>
      </c>
      <c r="I49" s="36" t="s">
        <v>98</v>
      </c>
      <c r="J49" s="36" t="s">
        <v>98</v>
      </c>
      <c r="K49" s="36" t="s">
        <v>98</v>
      </c>
      <c r="L49" s="36" t="s">
        <v>98</v>
      </c>
      <c r="M49" s="36" t="s">
        <v>98</v>
      </c>
      <c r="N49" s="36" t="s">
        <v>98</v>
      </c>
      <c r="O49" s="36" t="s">
        <v>98</v>
      </c>
      <c r="P49" s="36" t="s">
        <v>98</v>
      </c>
      <c r="Q49" s="36" t="s">
        <v>98</v>
      </c>
      <c r="R49" s="36" t="s">
        <v>98</v>
      </c>
      <c r="S49" s="36" t="s">
        <v>98</v>
      </c>
      <c r="T49" s="36" t="s">
        <v>98</v>
      </c>
      <c r="U49" s="36" t="s">
        <v>98</v>
      </c>
      <c r="V49" s="36" t="s">
        <v>98</v>
      </c>
      <c r="W49" s="36" t="s">
        <v>98</v>
      </c>
      <c r="X49" s="36" t="s">
        <v>98</v>
      </c>
      <c r="Y49" s="36" t="s">
        <v>98</v>
      </c>
      <c r="Z49" s="36" t="s">
        <v>98</v>
      </c>
      <c r="AA49" s="36" t="s">
        <v>98</v>
      </c>
      <c r="AB49" s="36" t="s">
        <v>98</v>
      </c>
      <c r="AC49" s="36" t="s">
        <v>98</v>
      </c>
      <c r="AD49" s="36" t="s">
        <v>98</v>
      </c>
      <c r="AE49" s="36" t="s">
        <v>98</v>
      </c>
      <c r="AF49" s="36" t="s">
        <v>98</v>
      </c>
      <c r="AG49" s="36" t="s">
        <v>98</v>
      </c>
      <c r="AH49" s="36" t="s">
        <v>98</v>
      </c>
      <c r="AI49" s="36" t="s">
        <v>98</v>
      </c>
      <c r="AJ49" s="36" t="s">
        <v>98</v>
      </c>
      <c r="AK49" s="36" t="s">
        <v>98</v>
      </c>
      <c r="AL49" s="36" t="s">
        <v>98</v>
      </c>
      <c r="AM49" s="36" t="s">
        <v>98</v>
      </c>
      <c r="AN49" s="36" t="s">
        <v>98</v>
      </c>
      <c r="AO49" s="36" t="s">
        <v>98</v>
      </c>
      <c r="AP49" s="36" t="s">
        <v>98</v>
      </c>
      <c r="AQ49" s="36" t="s">
        <v>98</v>
      </c>
      <c r="AR49" s="36" t="s">
        <v>98</v>
      </c>
    </row>
    <row r="50" spans="1:44" x14ac:dyDescent="0.2">
      <c r="A50" s="36" t="s">
        <v>101</v>
      </c>
      <c r="B50" s="39">
        <f t="shared" ref="B50:B51" si="18">Q50</f>
        <v>187689</v>
      </c>
      <c r="C50" s="39">
        <f t="shared" ref="C50:C51" si="19">AC50</f>
        <v>1047791</v>
      </c>
      <c r="D50" s="39">
        <f t="shared" ref="D50:D51" si="20">AO50</f>
        <v>1248560</v>
      </c>
      <c r="E50" s="36"/>
      <c r="F50" s="39">
        <v>406617</v>
      </c>
      <c r="G50" s="39">
        <v>402957</v>
      </c>
      <c r="H50" s="39">
        <v>265876</v>
      </c>
      <c r="I50" s="39">
        <v>239506</v>
      </c>
      <c r="J50" s="39">
        <v>238738</v>
      </c>
      <c r="K50" s="39">
        <v>229842</v>
      </c>
      <c r="L50" s="39">
        <v>229074</v>
      </c>
      <c r="M50" s="39">
        <v>228306</v>
      </c>
      <c r="N50" s="39">
        <v>210024</v>
      </c>
      <c r="O50" s="39">
        <v>208465</v>
      </c>
      <c r="P50" s="39">
        <v>206907</v>
      </c>
      <c r="Q50" s="39">
        <v>187689</v>
      </c>
      <c r="R50" s="39">
        <v>201697</v>
      </c>
      <c r="S50" s="39">
        <v>777845</v>
      </c>
      <c r="T50" s="39">
        <v>792207</v>
      </c>
      <c r="U50" s="39">
        <v>1080461</v>
      </c>
      <c r="V50" s="39">
        <v>1081180</v>
      </c>
      <c r="W50" s="39">
        <v>1124561</v>
      </c>
      <c r="X50" s="39">
        <v>1098439</v>
      </c>
      <c r="Y50" s="39">
        <v>1094933</v>
      </c>
      <c r="Z50" s="39">
        <v>1134559</v>
      </c>
      <c r="AA50" s="39">
        <v>1129771</v>
      </c>
      <c r="AB50" s="39">
        <v>1112443</v>
      </c>
      <c r="AC50" s="39">
        <v>1047791</v>
      </c>
      <c r="AD50" s="39">
        <v>1030463</v>
      </c>
      <c r="AE50" s="39">
        <v>1013135</v>
      </c>
      <c r="AF50" s="39">
        <v>975550</v>
      </c>
      <c r="AG50" s="39">
        <v>958878</v>
      </c>
      <c r="AH50" s="39">
        <v>942206</v>
      </c>
      <c r="AI50" s="39">
        <v>939758</v>
      </c>
      <c r="AJ50" s="39">
        <v>923086</v>
      </c>
      <c r="AK50" s="39">
        <v>906414</v>
      </c>
      <c r="AL50" s="39">
        <v>867490</v>
      </c>
      <c r="AM50" s="39">
        <v>849980</v>
      </c>
      <c r="AN50" s="39">
        <v>832468</v>
      </c>
      <c r="AO50" s="39">
        <v>1248560</v>
      </c>
      <c r="AP50" s="39">
        <v>849301</v>
      </c>
      <c r="AQ50" s="39">
        <v>831790</v>
      </c>
      <c r="AR50" s="39">
        <v>1317959</v>
      </c>
    </row>
    <row r="51" spans="1:44" x14ac:dyDescent="0.2">
      <c r="A51" s="36" t="s">
        <v>100</v>
      </c>
      <c r="B51" s="38">
        <f t="shared" si="18"/>
        <v>187689</v>
      </c>
      <c r="C51" s="38">
        <f t="shared" si="19"/>
        <v>1047791</v>
      </c>
      <c r="D51" s="38">
        <f t="shared" si="20"/>
        <v>1248560</v>
      </c>
      <c r="E51" s="36"/>
      <c r="F51" s="38">
        <v>406617</v>
      </c>
      <c r="G51" s="38">
        <v>402957</v>
      </c>
      <c r="H51" s="38">
        <v>265876</v>
      </c>
      <c r="I51" s="38">
        <v>239506</v>
      </c>
      <c r="J51" s="38">
        <v>238738</v>
      </c>
      <c r="K51" s="38">
        <v>229842</v>
      </c>
      <c r="L51" s="38">
        <v>229074</v>
      </c>
      <c r="M51" s="38">
        <v>228306</v>
      </c>
      <c r="N51" s="38">
        <v>210024</v>
      </c>
      <c r="O51" s="38">
        <v>208465</v>
      </c>
      <c r="P51" s="38">
        <v>206907</v>
      </c>
      <c r="Q51" s="38">
        <v>187689</v>
      </c>
      <c r="R51" s="38">
        <v>201697</v>
      </c>
      <c r="S51" s="38">
        <v>777845</v>
      </c>
      <c r="T51" s="38">
        <v>792207</v>
      </c>
      <c r="U51" s="38">
        <v>1080461</v>
      </c>
      <c r="V51" s="38">
        <v>1081180</v>
      </c>
      <c r="W51" s="38">
        <v>1124561</v>
      </c>
      <c r="X51" s="38">
        <v>1098439</v>
      </c>
      <c r="Y51" s="38">
        <v>1094933</v>
      </c>
      <c r="Z51" s="38">
        <v>1134559</v>
      </c>
      <c r="AA51" s="38">
        <v>1129771</v>
      </c>
      <c r="AB51" s="38">
        <v>1112443</v>
      </c>
      <c r="AC51" s="38">
        <v>1047791</v>
      </c>
      <c r="AD51" s="38">
        <v>1030463</v>
      </c>
      <c r="AE51" s="38">
        <v>1013135</v>
      </c>
      <c r="AF51" s="38">
        <v>975550</v>
      </c>
      <c r="AG51" s="38">
        <v>958878</v>
      </c>
      <c r="AH51" s="38">
        <v>942206</v>
      </c>
      <c r="AI51" s="38">
        <v>939758</v>
      </c>
      <c r="AJ51" s="38">
        <v>923086</v>
      </c>
      <c r="AK51" s="38">
        <v>906414</v>
      </c>
      <c r="AL51" s="38">
        <v>867490</v>
      </c>
      <c r="AM51" s="38">
        <v>849980</v>
      </c>
      <c r="AN51" s="38">
        <v>832468</v>
      </c>
      <c r="AO51" s="38">
        <v>1248560</v>
      </c>
      <c r="AP51" s="38">
        <v>849301</v>
      </c>
      <c r="AQ51" s="38">
        <v>831790</v>
      </c>
      <c r="AR51" s="38">
        <v>1317959</v>
      </c>
    </row>
    <row r="52" spans="1:44" x14ac:dyDescent="0.2">
      <c r="A52" s="46" t="s">
        <v>90</v>
      </c>
      <c r="B52" s="46"/>
      <c r="C52" s="46"/>
      <c r="D52" s="46"/>
      <c r="E52" s="46"/>
      <c r="F52" s="46"/>
      <c r="G52" s="46"/>
      <c r="H52" s="46"/>
      <c r="I52" s="46"/>
      <c r="J52" s="46"/>
      <c r="K52" s="46"/>
      <c r="L52" s="46"/>
      <c r="M52" s="46"/>
      <c r="N52" s="46"/>
      <c r="O52" s="46"/>
      <c r="P52" s="46"/>
      <c r="Q52" s="46"/>
      <c r="R52" s="46"/>
      <c r="S52" s="46"/>
      <c r="T52" s="46"/>
      <c r="U52" s="46"/>
      <c r="V52" s="46"/>
      <c r="W52" s="46"/>
      <c r="X52" s="46"/>
      <c r="Y52" s="46"/>
      <c r="Z52" s="46"/>
      <c r="AA52" s="37"/>
      <c r="AB52" s="37"/>
      <c r="AC52" s="37"/>
      <c r="AD52" s="37"/>
      <c r="AE52" s="37"/>
      <c r="AF52" s="37"/>
      <c r="AG52" s="37"/>
      <c r="AH52" s="37"/>
      <c r="AI52" s="37"/>
      <c r="AJ52" s="37"/>
      <c r="AK52" s="37"/>
      <c r="AL52" s="37"/>
      <c r="AM52" s="37"/>
      <c r="AN52" s="37"/>
      <c r="AO52" s="37"/>
      <c r="AP52" s="37"/>
      <c r="AQ52" s="37"/>
      <c r="AR52" s="37"/>
    </row>
    <row r="53" spans="1:44" x14ac:dyDescent="0.2">
      <c r="A53" s="36" t="s">
        <v>99</v>
      </c>
      <c r="B53" s="36"/>
      <c r="C53" s="36"/>
      <c r="D53" s="36"/>
      <c r="E53" s="36"/>
      <c r="F53" s="36" t="s">
        <v>98</v>
      </c>
      <c r="G53" s="36" t="s">
        <v>98</v>
      </c>
      <c r="H53" s="36" t="s">
        <v>98</v>
      </c>
      <c r="I53" s="36" t="s">
        <v>98</v>
      </c>
      <c r="J53" s="36" t="s">
        <v>98</v>
      </c>
      <c r="K53" s="36" t="s">
        <v>98</v>
      </c>
      <c r="L53" s="36" t="s">
        <v>98</v>
      </c>
      <c r="M53" s="36" t="s">
        <v>98</v>
      </c>
      <c r="N53" s="36" t="s">
        <v>98</v>
      </c>
      <c r="O53" s="36" t="s">
        <v>98</v>
      </c>
      <c r="P53" s="36" t="s">
        <v>98</v>
      </c>
      <c r="Q53" s="36" t="s">
        <v>98</v>
      </c>
      <c r="R53" s="36" t="s">
        <v>98</v>
      </c>
      <c r="S53" s="36" t="s">
        <v>98</v>
      </c>
      <c r="T53" s="36" t="s">
        <v>98</v>
      </c>
      <c r="U53" s="36" t="s">
        <v>98</v>
      </c>
      <c r="V53" s="36" t="s">
        <v>98</v>
      </c>
      <c r="W53" s="36" t="s">
        <v>98</v>
      </c>
      <c r="X53" s="36" t="s">
        <v>98</v>
      </c>
      <c r="Y53" s="36" t="s">
        <v>98</v>
      </c>
      <c r="Z53" s="36" t="s">
        <v>98</v>
      </c>
      <c r="AA53" s="36" t="s">
        <v>98</v>
      </c>
      <c r="AB53" s="36" t="s">
        <v>98</v>
      </c>
      <c r="AC53" s="36" t="s">
        <v>98</v>
      </c>
      <c r="AD53" s="36" t="s">
        <v>98</v>
      </c>
      <c r="AE53" s="36" t="s">
        <v>98</v>
      </c>
      <c r="AF53" s="36" t="s">
        <v>98</v>
      </c>
      <c r="AG53" s="36" t="s">
        <v>98</v>
      </c>
      <c r="AH53" s="36" t="s">
        <v>98</v>
      </c>
      <c r="AI53" s="36" t="s">
        <v>98</v>
      </c>
      <c r="AJ53" s="36" t="s">
        <v>98</v>
      </c>
      <c r="AK53" s="36" t="s">
        <v>98</v>
      </c>
      <c r="AL53" s="36" t="s">
        <v>98</v>
      </c>
      <c r="AM53" s="36" t="s">
        <v>98</v>
      </c>
      <c r="AN53" s="36" t="s">
        <v>98</v>
      </c>
      <c r="AO53" s="36" t="s">
        <v>98</v>
      </c>
      <c r="AP53" s="36" t="s">
        <v>98</v>
      </c>
      <c r="AQ53" s="36" t="s">
        <v>98</v>
      </c>
      <c r="AR53" s="36" t="s">
        <v>98</v>
      </c>
    </row>
    <row r="54" spans="1:44" x14ac:dyDescent="0.2">
      <c r="A54" s="36" t="s">
        <v>97</v>
      </c>
      <c r="B54" s="39">
        <f t="shared" ref="B54:B60" si="21">Q54</f>
        <v>115107026</v>
      </c>
      <c r="C54" s="39">
        <f t="shared" ref="C54:C60" si="22">AC54</f>
        <v>214815671</v>
      </c>
      <c r="D54" s="39">
        <f t="shared" ref="D54:D60" si="23">AO54</f>
        <v>214815671</v>
      </c>
      <c r="E54" s="36"/>
      <c r="F54" s="39">
        <v>65279277</v>
      </c>
      <c r="G54" s="39">
        <v>65279277</v>
      </c>
      <c r="H54" s="39">
        <v>65279277</v>
      </c>
      <c r="I54" s="39">
        <v>65279278</v>
      </c>
      <c r="J54" s="39">
        <v>65279278</v>
      </c>
      <c r="K54" s="39">
        <v>65279277</v>
      </c>
      <c r="L54" s="39">
        <v>115154275</v>
      </c>
      <c r="M54" s="39">
        <v>115131752</v>
      </c>
      <c r="N54" s="39">
        <v>115131752</v>
      </c>
      <c r="O54" s="39">
        <v>115107026</v>
      </c>
      <c r="P54" s="39">
        <v>115107025</v>
      </c>
      <c r="Q54" s="39">
        <v>115107026</v>
      </c>
      <c r="R54" s="39">
        <v>115107025</v>
      </c>
      <c r="S54" s="39">
        <v>115107025</v>
      </c>
      <c r="T54" s="39">
        <v>115107026</v>
      </c>
      <c r="U54" s="39">
        <v>115105450</v>
      </c>
      <c r="V54" s="39">
        <v>115105450</v>
      </c>
      <c r="W54" s="39">
        <v>115105450</v>
      </c>
      <c r="X54" s="39">
        <v>115105450</v>
      </c>
      <c r="Y54" s="39">
        <v>114860450</v>
      </c>
      <c r="Z54" s="39">
        <v>214880455</v>
      </c>
      <c r="AA54" s="39">
        <v>214871047</v>
      </c>
      <c r="AB54" s="39">
        <v>214815672</v>
      </c>
      <c r="AC54" s="39">
        <v>214815671</v>
      </c>
      <c r="AD54" s="39">
        <v>214815672</v>
      </c>
      <c r="AE54" s="39">
        <v>214815671</v>
      </c>
      <c r="AF54" s="39">
        <v>214815671</v>
      </c>
      <c r="AG54" s="39">
        <v>214815672</v>
      </c>
      <c r="AH54" s="39">
        <v>214815671</v>
      </c>
      <c r="AI54" s="39">
        <v>214815672</v>
      </c>
      <c r="AJ54" s="39">
        <v>214815672</v>
      </c>
      <c r="AK54" s="39">
        <v>214815672</v>
      </c>
      <c r="AL54" s="39">
        <v>214815672</v>
      </c>
      <c r="AM54" s="39">
        <v>214815672</v>
      </c>
      <c r="AN54" s="39">
        <v>214815672</v>
      </c>
      <c r="AO54" s="39">
        <v>214815671</v>
      </c>
      <c r="AP54" s="39">
        <v>214815671</v>
      </c>
      <c r="AQ54" s="39">
        <v>214815672</v>
      </c>
      <c r="AR54" s="39">
        <v>214815671</v>
      </c>
    </row>
    <row r="55" spans="1:44" x14ac:dyDescent="0.2">
      <c r="A55" s="36" t="s">
        <v>96</v>
      </c>
      <c r="B55" s="39">
        <f t="shared" si="21"/>
        <v>29189</v>
      </c>
      <c r="C55" s="39">
        <f t="shared" si="22"/>
        <v>29681</v>
      </c>
      <c r="D55" s="39">
        <f t="shared" si="23"/>
        <v>38882</v>
      </c>
      <c r="E55" s="36"/>
      <c r="F55" s="39">
        <v>26729</v>
      </c>
      <c r="G55" s="39">
        <v>26729</v>
      </c>
      <c r="H55" s="39">
        <v>26728</v>
      </c>
      <c r="I55" s="39">
        <v>26728</v>
      </c>
      <c r="J55" s="39">
        <v>26728</v>
      </c>
      <c r="K55" s="39">
        <v>29188</v>
      </c>
      <c r="L55" s="39">
        <v>29187</v>
      </c>
      <c r="M55" s="39">
        <v>29187</v>
      </c>
      <c r="N55" s="39">
        <v>29188</v>
      </c>
      <c r="O55" s="39">
        <v>29187</v>
      </c>
      <c r="P55" s="39">
        <v>29188</v>
      </c>
      <c r="Q55" s="39">
        <v>29189</v>
      </c>
      <c r="R55" s="39">
        <v>29189</v>
      </c>
      <c r="S55" s="39">
        <v>29189</v>
      </c>
      <c r="T55" s="39">
        <v>29680</v>
      </c>
      <c r="U55" s="39">
        <v>29681</v>
      </c>
      <c r="V55" s="39">
        <v>29681</v>
      </c>
      <c r="W55" s="39">
        <v>29681</v>
      </c>
      <c r="X55" s="39">
        <v>29681</v>
      </c>
      <c r="Y55" s="39">
        <v>29681</v>
      </c>
      <c r="Z55" s="39">
        <v>29681</v>
      </c>
      <c r="AA55" s="39">
        <v>29680</v>
      </c>
      <c r="AB55" s="39">
        <v>29680</v>
      </c>
      <c r="AC55" s="39">
        <v>29681</v>
      </c>
      <c r="AD55" s="39">
        <v>29680</v>
      </c>
      <c r="AE55" s="39">
        <v>29681</v>
      </c>
      <c r="AF55" s="39">
        <v>29681</v>
      </c>
      <c r="AG55" s="39">
        <v>29680</v>
      </c>
      <c r="AH55" s="39">
        <v>29681</v>
      </c>
      <c r="AI55" s="39">
        <v>29680</v>
      </c>
      <c r="AJ55" s="39">
        <v>29680</v>
      </c>
      <c r="AK55" s="39">
        <v>29680</v>
      </c>
      <c r="AL55" s="39">
        <v>29680</v>
      </c>
      <c r="AM55" s="39">
        <v>29680</v>
      </c>
      <c r="AN55" s="39">
        <v>29681</v>
      </c>
      <c r="AO55" s="39">
        <v>38882</v>
      </c>
      <c r="AP55" s="39">
        <v>38882</v>
      </c>
      <c r="AQ55" s="39">
        <v>38882</v>
      </c>
      <c r="AR55" s="39">
        <v>38882</v>
      </c>
    </row>
    <row r="56" spans="1:44" x14ac:dyDescent="0.2">
      <c r="A56" s="36" t="s">
        <v>95</v>
      </c>
      <c r="B56" s="39">
        <f t="shared" si="21"/>
        <v>5882910</v>
      </c>
      <c r="C56" s="39">
        <f t="shared" si="22"/>
        <v>19062036</v>
      </c>
      <c r="D56" s="39">
        <f t="shared" si="23"/>
        <v>25815557</v>
      </c>
      <c r="E56" s="36"/>
      <c r="F56" s="39">
        <v>737015</v>
      </c>
      <c r="G56" s="39">
        <v>737839</v>
      </c>
      <c r="H56" s="39">
        <v>1007428</v>
      </c>
      <c r="I56" s="39">
        <v>1020328</v>
      </c>
      <c r="J56" s="39">
        <v>1029692</v>
      </c>
      <c r="K56" s="39">
        <v>1247103</v>
      </c>
      <c r="L56" s="39">
        <v>1252542</v>
      </c>
      <c r="M56" s="39">
        <v>1266656</v>
      </c>
      <c r="N56" s="39">
        <v>1483809</v>
      </c>
      <c r="O56" s="39">
        <v>1484469</v>
      </c>
      <c r="P56" s="39">
        <v>1506043</v>
      </c>
      <c r="Q56" s="39">
        <v>5882910</v>
      </c>
      <c r="R56" s="39">
        <v>5887235</v>
      </c>
      <c r="S56" s="39">
        <v>6010054</v>
      </c>
      <c r="T56" s="39">
        <v>7018060</v>
      </c>
      <c r="U56" s="39">
        <v>7344364</v>
      </c>
      <c r="V56" s="39">
        <v>7356148</v>
      </c>
      <c r="W56" s="39">
        <v>7826655</v>
      </c>
      <c r="X56" s="39">
        <v>7945168</v>
      </c>
      <c r="Y56" s="39">
        <v>8019663</v>
      </c>
      <c r="Z56" s="39">
        <v>8328859</v>
      </c>
      <c r="AA56" s="39">
        <v>8334056</v>
      </c>
      <c r="AB56" s="39">
        <v>8473973</v>
      </c>
      <c r="AC56" s="39">
        <v>19062036</v>
      </c>
      <c r="AD56" s="39">
        <v>19098326</v>
      </c>
      <c r="AE56" s="39">
        <v>19116715</v>
      </c>
      <c r="AF56" s="39">
        <v>19498570</v>
      </c>
      <c r="AG56" s="39">
        <v>19475236</v>
      </c>
      <c r="AH56" s="39">
        <v>19562238</v>
      </c>
      <c r="AI56" s="39">
        <v>20186873</v>
      </c>
      <c r="AJ56" s="39">
        <v>22684241</v>
      </c>
      <c r="AK56" s="39">
        <v>22889121</v>
      </c>
      <c r="AL56" s="39">
        <v>23496985</v>
      </c>
      <c r="AM56" s="39">
        <v>23525666</v>
      </c>
      <c r="AN56" s="39">
        <v>24553162</v>
      </c>
      <c r="AO56" s="39">
        <v>25815557</v>
      </c>
      <c r="AP56" s="39">
        <v>26245201</v>
      </c>
      <c r="AQ56" s="39">
        <v>26491236</v>
      </c>
      <c r="AR56" s="39">
        <v>26929642</v>
      </c>
    </row>
    <row r="57" spans="1:44" x14ac:dyDescent="0.2">
      <c r="A57" s="36" t="s">
        <v>94</v>
      </c>
      <c r="B57" s="39">
        <f t="shared" si="21"/>
        <v>-17969</v>
      </c>
      <c r="C57" s="39">
        <f t="shared" si="22"/>
        <v>-81049</v>
      </c>
      <c r="D57" s="39">
        <f t="shared" si="23"/>
        <v>62420</v>
      </c>
      <c r="E57" s="36"/>
      <c r="F57" s="39">
        <v>8554</v>
      </c>
      <c r="G57" s="39">
        <v>13585</v>
      </c>
      <c r="H57" s="39">
        <v>13585</v>
      </c>
      <c r="I57" s="39">
        <v>2031</v>
      </c>
      <c r="J57" s="39">
        <v>-17</v>
      </c>
      <c r="K57" s="39">
        <v>-1971</v>
      </c>
      <c r="L57" s="39">
        <v>-2646</v>
      </c>
      <c r="M57" s="39">
        <v>-3396</v>
      </c>
      <c r="N57" s="39">
        <v>-4112</v>
      </c>
      <c r="O57" s="39">
        <v>-55885</v>
      </c>
      <c r="P57" s="39">
        <v>-63582</v>
      </c>
      <c r="Q57" s="39">
        <v>-17969</v>
      </c>
      <c r="R57" s="39">
        <v>-16123</v>
      </c>
      <c r="S57" s="39">
        <v>-9281</v>
      </c>
      <c r="T57" s="39">
        <v>-17408</v>
      </c>
      <c r="U57" s="39">
        <v>-34317</v>
      </c>
      <c r="V57" s="39">
        <v>-51142</v>
      </c>
      <c r="W57" s="39">
        <v>-101384</v>
      </c>
      <c r="X57" s="39">
        <v>-92080</v>
      </c>
      <c r="Y57" s="39">
        <v>-106503</v>
      </c>
      <c r="Z57" s="39">
        <v>-69507</v>
      </c>
      <c r="AA57" s="39">
        <v>-78097</v>
      </c>
      <c r="AB57" s="39">
        <v>-61934</v>
      </c>
      <c r="AC57" s="39">
        <v>-81049</v>
      </c>
      <c r="AD57" s="39">
        <v>-114897</v>
      </c>
      <c r="AE57" s="39">
        <v>-83723</v>
      </c>
      <c r="AF57" s="39">
        <v>-105766</v>
      </c>
      <c r="AG57" s="39">
        <v>-101395</v>
      </c>
      <c r="AH57" s="39">
        <v>-97489</v>
      </c>
      <c r="AI57" s="39">
        <v>-40129</v>
      </c>
      <c r="AJ57" s="39">
        <v>8012</v>
      </c>
      <c r="AK57" s="39">
        <v>-71530</v>
      </c>
      <c r="AL57" s="39">
        <v>-77554</v>
      </c>
      <c r="AM57" s="39">
        <v>-52848</v>
      </c>
      <c r="AN57" s="39">
        <v>-3618</v>
      </c>
      <c r="AO57" s="39">
        <v>62420</v>
      </c>
      <c r="AP57" s="39">
        <v>26192</v>
      </c>
      <c r="AQ57" s="39">
        <v>-6843</v>
      </c>
      <c r="AR57" s="39">
        <v>5268</v>
      </c>
    </row>
    <row r="58" spans="1:44" x14ac:dyDescent="0.2">
      <c r="A58" s="36" t="s">
        <v>93</v>
      </c>
      <c r="B58" s="39">
        <f t="shared" si="21"/>
        <v>-57339951</v>
      </c>
      <c r="C58" s="39">
        <f t="shared" si="22"/>
        <v>-100473227</v>
      </c>
      <c r="D58" s="39">
        <f t="shared" si="23"/>
        <v>-151500631</v>
      </c>
      <c r="E58" s="36"/>
      <c r="F58" s="39">
        <v>-30273391</v>
      </c>
      <c r="G58" s="39">
        <v>-32087511</v>
      </c>
      <c r="H58" s="39">
        <v>-34242481</v>
      </c>
      <c r="I58" s="39">
        <v>-36950782</v>
      </c>
      <c r="J58" s="39">
        <v>-38605135</v>
      </c>
      <c r="K58" s="39">
        <v>-40619761</v>
      </c>
      <c r="L58" s="39">
        <v>-43418617</v>
      </c>
      <c r="M58" s="39">
        <v>-45656064</v>
      </c>
      <c r="N58" s="39">
        <v>-48237376</v>
      </c>
      <c r="O58" s="39">
        <v>-52070050</v>
      </c>
      <c r="P58" s="39">
        <v>-54577001</v>
      </c>
      <c r="Q58" s="39">
        <v>-57339951</v>
      </c>
      <c r="R58" s="39">
        <v>-62433952</v>
      </c>
      <c r="S58" s="39">
        <v>-65722980</v>
      </c>
      <c r="T58" s="39">
        <v>-68726737</v>
      </c>
      <c r="U58" s="39">
        <v>-72292464</v>
      </c>
      <c r="V58" s="39">
        <v>-75962839</v>
      </c>
      <c r="W58" s="39">
        <v>-79542610</v>
      </c>
      <c r="X58" s="39">
        <v>-82554885</v>
      </c>
      <c r="Y58" s="39">
        <v>-85916854</v>
      </c>
      <c r="Z58" s="39">
        <v>-89584396</v>
      </c>
      <c r="AA58" s="39">
        <v>-93899681</v>
      </c>
      <c r="AB58" s="39">
        <v>-96827075</v>
      </c>
      <c r="AC58" s="39">
        <v>-100473227</v>
      </c>
      <c r="AD58" s="39">
        <v>-114628543</v>
      </c>
      <c r="AE58" s="39">
        <v>-118777193</v>
      </c>
      <c r="AF58" s="39">
        <v>-121627581</v>
      </c>
      <c r="AG58" s="39">
        <v>-125760851</v>
      </c>
      <c r="AH58" s="39">
        <v>-128577087</v>
      </c>
      <c r="AI58" s="39">
        <v>-131006441</v>
      </c>
      <c r="AJ58" s="39">
        <v>-135206269</v>
      </c>
      <c r="AK58" s="39">
        <v>-139962841</v>
      </c>
      <c r="AL58" s="39">
        <v>-143072755</v>
      </c>
      <c r="AM58" s="39">
        <v>-146633317</v>
      </c>
      <c r="AN58" s="39">
        <v>-149084225</v>
      </c>
      <c r="AO58" s="39">
        <v>-151500631</v>
      </c>
      <c r="AP58" s="39">
        <v>-157008270</v>
      </c>
      <c r="AQ58" s="39">
        <v>-160748749</v>
      </c>
      <c r="AR58" s="39">
        <v>-164530418</v>
      </c>
    </row>
    <row r="59" spans="1:44" x14ac:dyDescent="0.2">
      <c r="A59" s="36" t="s">
        <v>92</v>
      </c>
      <c r="B59" s="39">
        <f t="shared" si="21"/>
        <v>-8825622</v>
      </c>
      <c r="C59" s="39">
        <f t="shared" si="22"/>
        <v>-14179075</v>
      </c>
      <c r="D59" s="39">
        <f t="shared" si="23"/>
        <v>-5511968</v>
      </c>
      <c r="E59" s="36"/>
      <c r="F59" s="39">
        <v>-1809089</v>
      </c>
      <c r="G59" s="39">
        <v>-2154971</v>
      </c>
      <c r="H59" s="39">
        <v>-2719855</v>
      </c>
      <c r="I59" s="39">
        <v>-1656401</v>
      </c>
      <c r="J59" s="39">
        <v>-2016581</v>
      </c>
      <c r="K59" s="39">
        <v>-2799505</v>
      </c>
      <c r="L59" s="39">
        <v>-2238197</v>
      </c>
      <c r="M59" s="39">
        <v>-2582003</v>
      </c>
      <c r="N59" s="39">
        <v>-3834423</v>
      </c>
      <c r="O59" s="39">
        <v>-2514648</v>
      </c>
      <c r="P59" s="39">
        <v>-2767126</v>
      </c>
      <c r="Q59" s="39">
        <v>-8825622</v>
      </c>
      <c r="R59" s="39">
        <v>-3276855</v>
      </c>
      <c r="S59" s="39">
        <v>-3008692</v>
      </c>
      <c r="T59" s="39">
        <v>-3565003</v>
      </c>
      <c r="U59" s="39">
        <v>-3675383</v>
      </c>
      <c r="V59" s="39">
        <v>-3590082</v>
      </c>
      <c r="W59" s="39">
        <v>-3012503</v>
      </c>
      <c r="X59" s="39">
        <v>-3365285</v>
      </c>
      <c r="Y59" s="39">
        <v>-3670277</v>
      </c>
      <c r="Z59" s="39">
        <v>-4319660</v>
      </c>
      <c r="AA59" s="39">
        <v>-2927677</v>
      </c>
      <c r="AB59" s="39">
        <v>-3647184</v>
      </c>
      <c r="AC59" s="39">
        <v>-14179075</v>
      </c>
      <c r="AD59" s="39">
        <v>-4154454</v>
      </c>
      <c r="AE59" s="39">
        <v>-2874674</v>
      </c>
      <c r="AF59" s="39">
        <v>-4130004</v>
      </c>
      <c r="AG59" s="39">
        <v>-2816840</v>
      </c>
      <c r="AH59" s="39">
        <v>-2430481</v>
      </c>
      <c r="AI59" s="39">
        <v>-4198023</v>
      </c>
      <c r="AJ59" s="39">
        <v>-4751056</v>
      </c>
      <c r="AK59" s="39">
        <v>-3128676</v>
      </c>
      <c r="AL59" s="39">
        <v>-3563634</v>
      </c>
      <c r="AM59" s="39">
        <v>-2447823</v>
      </c>
      <c r="AN59" s="39">
        <v>-2370779</v>
      </c>
      <c r="AO59" s="39">
        <v>-5511968</v>
      </c>
      <c r="AP59" s="39">
        <v>-3739559</v>
      </c>
      <c r="AQ59" s="39">
        <v>-3787141</v>
      </c>
      <c r="AR59" s="39">
        <v>-6781175</v>
      </c>
    </row>
    <row r="60" spans="1:44" x14ac:dyDescent="0.2">
      <c r="A60" s="36" t="s">
        <v>91</v>
      </c>
      <c r="B60" s="38">
        <f t="shared" si="21"/>
        <v>54835583</v>
      </c>
      <c r="C60" s="38">
        <f t="shared" si="22"/>
        <v>119174037</v>
      </c>
      <c r="D60" s="38">
        <f t="shared" si="23"/>
        <v>83719931</v>
      </c>
      <c r="E60" s="36"/>
      <c r="F60" s="38">
        <v>33969095</v>
      </c>
      <c r="G60" s="38">
        <v>31814948</v>
      </c>
      <c r="H60" s="38">
        <v>29364682</v>
      </c>
      <c r="I60" s="38">
        <v>27721182</v>
      </c>
      <c r="J60" s="38">
        <v>25713965</v>
      </c>
      <c r="K60" s="38">
        <v>23134331</v>
      </c>
      <c r="L60" s="38">
        <v>70776544</v>
      </c>
      <c r="M60" s="38">
        <v>68186132</v>
      </c>
      <c r="N60" s="38">
        <v>64568838</v>
      </c>
      <c r="O60" s="38">
        <v>61980099</v>
      </c>
      <c r="P60" s="38">
        <v>59234547</v>
      </c>
      <c r="Q60" s="38">
        <v>54835583</v>
      </c>
      <c r="R60" s="38">
        <v>55296519</v>
      </c>
      <c r="S60" s="38">
        <v>52405315</v>
      </c>
      <c r="T60" s="38">
        <v>49845618</v>
      </c>
      <c r="U60" s="38">
        <v>46477331</v>
      </c>
      <c r="V60" s="38">
        <v>42887216</v>
      </c>
      <c r="W60" s="38">
        <v>40305289</v>
      </c>
      <c r="X60" s="38">
        <v>37068049</v>
      </c>
      <c r="Y60" s="38">
        <v>33216160</v>
      </c>
      <c r="Z60" s="38">
        <v>129265432</v>
      </c>
      <c r="AA60" s="38">
        <v>126329328</v>
      </c>
      <c r="AB60" s="38">
        <v>122783132</v>
      </c>
      <c r="AC60" s="38">
        <v>119174037</v>
      </c>
      <c r="AD60" s="38">
        <v>115045784</v>
      </c>
      <c r="AE60" s="38">
        <v>112226477</v>
      </c>
      <c r="AF60" s="38">
        <v>108480571</v>
      </c>
      <c r="AG60" s="38">
        <v>105641502</v>
      </c>
      <c r="AH60" s="38">
        <v>103302533</v>
      </c>
      <c r="AI60" s="38">
        <v>99787632</v>
      </c>
      <c r="AJ60" s="38">
        <v>97580280</v>
      </c>
      <c r="AK60" s="38">
        <v>94571426</v>
      </c>
      <c r="AL60" s="38">
        <v>91628394</v>
      </c>
      <c r="AM60" s="38">
        <v>89237030</v>
      </c>
      <c r="AN60" s="38">
        <v>87939893</v>
      </c>
      <c r="AO60" s="38">
        <v>83719931</v>
      </c>
      <c r="AP60" s="38">
        <v>80378117</v>
      </c>
      <c r="AQ60" s="38">
        <v>76803057</v>
      </c>
      <c r="AR60" s="38">
        <v>70477870</v>
      </c>
    </row>
    <row r="61" spans="1:44" x14ac:dyDescent="0.2">
      <c r="A61" s="46" t="s">
        <v>90</v>
      </c>
      <c r="B61" s="46"/>
      <c r="C61" s="46"/>
      <c r="D61" s="46"/>
      <c r="E61" s="46"/>
      <c r="F61" s="46"/>
      <c r="G61" s="46"/>
      <c r="H61" s="46"/>
      <c r="I61" s="46"/>
      <c r="J61" s="46"/>
      <c r="K61" s="46"/>
      <c r="L61" s="46"/>
      <c r="M61" s="46"/>
      <c r="N61" s="46"/>
      <c r="O61" s="46"/>
      <c r="P61" s="46"/>
      <c r="Q61" s="46"/>
      <c r="R61" s="46"/>
      <c r="S61" s="46"/>
      <c r="T61" s="46"/>
      <c r="U61" s="46"/>
      <c r="V61" s="46"/>
      <c r="W61" s="46"/>
      <c r="X61" s="46"/>
      <c r="Y61" s="46"/>
      <c r="Z61" s="46"/>
      <c r="AA61" s="37"/>
      <c r="AB61" s="37"/>
      <c r="AC61" s="37"/>
      <c r="AD61" s="37"/>
      <c r="AE61" s="37"/>
      <c r="AF61" s="37"/>
      <c r="AG61" s="37"/>
      <c r="AH61" s="37"/>
      <c r="AI61" s="37"/>
      <c r="AJ61" s="37"/>
      <c r="AK61" s="37"/>
      <c r="AL61" s="37"/>
      <c r="AM61" s="37"/>
      <c r="AN61" s="37"/>
      <c r="AO61" s="37"/>
      <c r="AP61" s="37"/>
      <c r="AQ61" s="37"/>
      <c r="AR61" s="37"/>
    </row>
    <row r="62" spans="1:44" ht="13.5" thickBot="1" x14ac:dyDescent="0.25">
      <c r="A62" s="36" t="s">
        <v>89</v>
      </c>
      <c r="B62" s="35">
        <f t="shared" ref="B62" si="24">Q62</f>
        <v>78456964</v>
      </c>
      <c r="C62" s="35">
        <f t="shared" ref="C62" si="25">AC62</f>
        <v>158614909</v>
      </c>
      <c r="D62" s="35">
        <f t="shared" ref="D62" si="26">AO62</f>
        <v>137827856</v>
      </c>
      <c r="E62" s="36"/>
      <c r="F62" s="35">
        <v>42965814</v>
      </c>
      <c r="G62" s="35">
        <v>41121059</v>
      </c>
      <c r="H62" s="35">
        <v>39262659</v>
      </c>
      <c r="I62" s="35">
        <v>38260695</v>
      </c>
      <c r="J62" s="35">
        <v>37758217</v>
      </c>
      <c r="K62" s="35">
        <v>35474826</v>
      </c>
      <c r="L62" s="35">
        <v>84623226</v>
      </c>
      <c r="M62" s="35">
        <v>83090610</v>
      </c>
      <c r="N62" s="35">
        <v>79434288</v>
      </c>
      <c r="O62" s="35">
        <v>76836012</v>
      </c>
      <c r="P62" s="35">
        <v>76487607</v>
      </c>
      <c r="Q62" s="35">
        <v>78456964</v>
      </c>
      <c r="R62" s="35">
        <v>77687145</v>
      </c>
      <c r="S62" s="35">
        <v>74510114</v>
      </c>
      <c r="T62" s="35">
        <v>73940765</v>
      </c>
      <c r="U62" s="35">
        <v>70609065</v>
      </c>
      <c r="V62" s="35">
        <v>74792892</v>
      </c>
      <c r="W62" s="35">
        <v>70583540</v>
      </c>
      <c r="X62" s="35">
        <v>65569677</v>
      </c>
      <c r="Y62" s="35">
        <v>62570659</v>
      </c>
      <c r="Z62" s="35">
        <v>159907873</v>
      </c>
      <c r="AA62" s="35">
        <v>156208264</v>
      </c>
      <c r="AB62" s="35">
        <v>154609884</v>
      </c>
      <c r="AC62" s="35">
        <v>158614909</v>
      </c>
      <c r="AD62" s="35">
        <v>150660235</v>
      </c>
      <c r="AE62" s="35">
        <v>147004388</v>
      </c>
      <c r="AF62" s="35">
        <v>145486970</v>
      </c>
      <c r="AG62" s="35">
        <v>170792460</v>
      </c>
      <c r="AH62" s="35">
        <v>170531917</v>
      </c>
      <c r="AI62" s="35">
        <v>138115859</v>
      </c>
      <c r="AJ62" s="35">
        <v>168653859</v>
      </c>
      <c r="AK62" s="35">
        <v>169373917</v>
      </c>
      <c r="AL62" s="35">
        <v>134212032</v>
      </c>
      <c r="AM62" s="35">
        <v>129812247</v>
      </c>
      <c r="AN62" s="35">
        <v>138265395</v>
      </c>
      <c r="AO62" s="35">
        <v>137827856</v>
      </c>
      <c r="AP62" s="35">
        <v>133266973</v>
      </c>
      <c r="AQ62" s="35">
        <v>127815147</v>
      </c>
      <c r="AR62" s="35">
        <v>125131915</v>
      </c>
    </row>
    <row r="63" spans="1:44" ht="13.5" thickTop="1" x14ac:dyDescent="0.2"/>
    <row r="66" spans="1:44" x14ac:dyDescent="0.2">
      <c r="B66" s="34">
        <f t="shared" ref="B66:D66" si="27">B62-B36</f>
        <v>0</v>
      </c>
      <c r="C66" s="34">
        <f t="shared" si="27"/>
        <v>0</v>
      </c>
      <c r="D66" s="34">
        <f t="shared" si="27"/>
        <v>0</v>
      </c>
      <c r="F66" s="34">
        <f t="shared" ref="F66:AR66" si="28">F62-F36</f>
        <v>0</v>
      </c>
      <c r="G66" s="34">
        <f t="shared" si="28"/>
        <v>0</v>
      </c>
      <c r="H66" s="34">
        <f t="shared" si="28"/>
        <v>0</v>
      </c>
      <c r="I66" s="34">
        <f t="shared" si="28"/>
        <v>0</v>
      </c>
      <c r="J66" s="34">
        <f t="shared" si="28"/>
        <v>0</v>
      </c>
      <c r="K66" s="34">
        <f t="shared" si="28"/>
        <v>0</v>
      </c>
      <c r="L66" s="34">
        <f t="shared" si="28"/>
        <v>0</v>
      </c>
      <c r="M66" s="34">
        <f t="shared" si="28"/>
        <v>0</v>
      </c>
      <c r="N66" s="34">
        <f t="shared" si="28"/>
        <v>0</v>
      </c>
      <c r="O66" s="34">
        <f t="shared" si="28"/>
        <v>0</v>
      </c>
      <c r="P66" s="34">
        <f t="shared" si="28"/>
        <v>0</v>
      </c>
      <c r="Q66" s="34">
        <f t="shared" si="28"/>
        <v>0</v>
      </c>
      <c r="R66" s="34">
        <f t="shared" si="28"/>
        <v>0</v>
      </c>
      <c r="S66" s="34">
        <f t="shared" si="28"/>
        <v>0</v>
      </c>
      <c r="T66" s="34">
        <f t="shared" si="28"/>
        <v>0</v>
      </c>
      <c r="U66" s="34">
        <f t="shared" si="28"/>
        <v>0</v>
      </c>
      <c r="V66" s="34">
        <f t="shared" si="28"/>
        <v>0</v>
      </c>
      <c r="W66" s="34">
        <f t="shared" si="28"/>
        <v>0</v>
      </c>
      <c r="X66" s="34">
        <f t="shared" si="28"/>
        <v>0</v>
      </c>
      <c r="Y66" s="34">
        <f t="shared" si="28"/>
        <v>0</v>
      </c>
      <c r="Z66" s="34">
        <f t="shared" si="28"/>
        <v>0</v>
      </c>
      <c r="AA66" s="34">
        <f t="shared" si="28"/>
        <v>0</v>
      </c>
      <c r="AB66" s="34">
        <f t="shared" si="28"/>
        <v>0</v>
      </c>
      <c r="AC66" s="34">
        <f t="shared" si="28"/>
        <v>0</v>
      </c>
      <c r="AD66" s="34">
        <f t="shared" si="28"/>
        <v>0</v>
      </c>
      <c r="AE66" s="34">
        <f t="shared" si="28"/>
        <v>0</v>
      </c>
      <c r="AF66" s="34">
        <f t="shared" si="28"/>
        <v>0</v>
      </c>
      <c r="AG66" s="34">
        <f t="shared" si="28"/>
        <v>0</v>
      </c>
      <c r="AH66" s="34">
        <f t="shared" si="28"/>
        <v>0</v>
      </c>
      <c r="AI66" s="34">
        <f t="shared" si="28"/>
        <v>0</v>
      </c>
      <c r="AJ66" s="34">
        <f t="shared" si="28"/>
        <v>0</v>
      </c>
      <c r="AK66" s="34">
        <f t="shared" si="28"/>
        <v>0</v>
      </c>
      <c r="AL66" s="34">
        <f t="shared" si="28"/>
        <v>0</v>
      </c>
      <c r="AM66" s="34">
        <f t="shared" si="28"/>
        <v>0</v>
      </c>
      <c r="AN66" s="34">
        <f t="shared" si="28"/>
        <v>0</v>
      </c>
      <c r="AO66" s="34">
        <f t="shared" si="28"/>
        <v>0</v>
      </c>
      <c r="AP66" s="34">
        <f t="shared" si="28"/>
        <v>0</v>
      </c>
      <c r="AQ66" s="34">
        <f t="shared" si="28"/>
        <v>0</v>
      </c>
      <c r="AR66" s="34">
        <f t="shared" si="28"/>
        <v>0</v>
      </c>
    </row>
    <row r="68" spans="1:44" x14ac:dyDescent="0.2">
      <c r="A68" s="33" t="s">
        <v>183</v>
      </c>
      <c r="B68" s="47">
        <f>SUM(B12:B13)</f>
        <v>63414328</v>
      </c>
      <c r="C68" s="47">
        <f>SUM(C12:C13)</f>
        <v>127949573</v>
      </c>
      <c r="D68" s="47">
        <f>SUM(D12:D13)</f>
        <v>95902921</v>
      </c>
      <c r="F68" s="47">
        <f>SUM(F12:F13)</f>
        <v>30906828</v>
      </c>
      <c r="G68" s="47">
        <f t="shared" ref="G68:AR68" si="29">SUM(G12:G13)</f>
        <v>29699303</v>
      </c>
      <c r="H68" s="47">
        <f t="shared" si="29"/>
        <v>28220704</v>
      </c>
      <c r="I68" s="47">
        <f t="shared" si="29"/>
        <v>26837278</v>
      </c>
      <c r="J68" s="47">
        <f t="shared" si="29"/>
        <v>25061945</v>
      </c>
      <c r="K68" s="47">
        <f t="shared" si="29"/>
        <v>23798226</v>
      </c>
      <c r="L68" s="47">
        <f t="shared" si="29"/>
        <v>71462450</v>
      </c>
      <c r="M68" s="47">
        <f t="shared" si="29"/>
        <v>69370867</v>
      </c>
      <c r="N68" s="47">
        <f t="shared" si="29"/>
        <v>67666310</v>
      </c>
      <c r="O68" s="47">
        <f t="shared" si="29"/>
        <v>64005650</v>
      </c>
      <c r="P68" s="47">
        <f t="shared" si="29"/>
        <v>61342179</v>
      </c>
      <c r="Q68" s="47">
        <f t="shared" si="29"/>
        <v>63414328</v>
      </c>
      <c r="R68" s="47">
        <f t="shared" si="29"/>
        <v>56750586</v>
      </c>
      <c r="S68" s="47">
        <f t="shared" si="29"/>
        <v>53238498</v>
      </c>
      <c r="T68" s="47">
        <f t="shared" si="29"/>
        <v>48175318</v>
      </c>
      <c r="U68" s="47">
        <f t="shared" si="29"/>
        <v>44147531</v>
      </c>
      <c r="V68" s="47">
        <f t="shared" si="29"/>
        <v>41703547</v>
      </c>
      <c r="W68" s="47">
        <f t="shared" si="29"/>
        <v>41421691</v>
      </c>
      <c r="X68" s="47">
        <f t="shared" si="29"/>
        <v>38283775</v>
      </c>
      <c r="Y68" s="47">
        <f t="shared" si="29"/>
        <v>35656522</v>
      </c>
      <c r="Z68" s="47">
        <f t="shared" si="29"/>
        <v>132472419</v>
      </c>
      <c r="AA68" s="47">
        <f t="shared" si="29"/>
        <v>128021073</v>
      </c>
      <c r="AB68" s="47">
        <f t="shared" si="29"/>
        <v>126112581</v>
      </c>
      <c r="AC68" s="47">
        <f t="shared" si="29"/>
        <v>127949573</v>
      </c>
      <c r="AD68" s="47">
        <f t="shared" si="29"/>
        <v>119257943</v>
      </c>
      <c r="AE68" s="47">
        <f t="shared" si="29"/>
        <v>115335263</v>
      </c>
      <c r="AF68" s="47">
        <f t="shared" si="29"/>
        <v>113930232</v>
      </c>
      <c r="AG68" s="47">
        <f t="shared" si="29"/>
        <v>107616850</v>
      </c>
      <c r="AH68" s="47">
        <f t="shared" si="29"/>
        <v>104613279</v>
      </c>
      <c r="AI68" s="47">
        <f t="shared" si="29"/>
        <v>103352980</v>
      </c>
      <c r="AJ68" s="47">
        <f t="shared" si="29"/>
        <v>100208376</v>
      </c>
      <c r="AK68" s="47">
        <f t="shared" si="29"/>
        <v>98942212</v>
      </c>
      <c r="AL68" s="47">
        <f t="shared" si="29"/>
        <v>98528023</v>
      </c>
      <c r="AM68" s="47">
        <f t="shared" si="29"/>
        <v>95317045</v>
      </c>
      <c r="AN68" s="47">
        <f t="shared" si="29"/>
        <v>93458472</v>
      </c>
      <c r="AO68" s="47">
        <f t="shared" si="29"/>
        <v>95902921</v>
      </c>
      <c r="AP68" s="47">
        <f t="shared" si="29"/>
        <v>93594615</v>
      </c>
      <c r="AQ68" s="47">
        <f t="shared" si="29"/>
        <v>90393582</v>
      </c>
      <c r="AR68" s="47">
        <f t="shared" si="29"/>
        <v>85552273</v>
      </c>
    </row>
  </sheetData>
  <pageMargins left="0.75" right="0.75" top="1" bottom="1" header="0.5" footer="0.5"/>
  <pageSetup orientation="portrait" horizontalDpi="300" verticalDpi="3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F8C5AB-391E-4A77-AF88-9ABCBAC79D58}">
  <sheetPr>
    <tabColor theme="1"/>
  </sheetPr>
  <dimension ref="A1"/>
  <sheetViews>
    <sheetView workbookViewId="0"/>
  </sheetViews>
  <sheetFormatPr defaultColWidth="8.85546875" defaultRowHeight="15" x14ac:dyDescent="0.25"/>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D99FA-8172-4579-BF4B-DAF01B8B19B9}">
  <dimension ref="A1:Z54"/>
  <sheetViews>
    <sheetView zoomScale="130" zoomScaleNormal="130" workbookViewId="0">
      <pane xSplit="2" ySplit="3" topLeftCell="C28" activePane="bottomRight" state="frozen"/>
      <selection pane="topRight" activeCell="C1" sqref="C1"/>
      <selection pane="bottomLeft" activeCell="A4" sqref="A4"/>
      <selection pane="bottomRight" activeCell="H41" sqref="H41"/>
    </sheetView>
  </sheetViews>
  <sheetFormatPr defaultColWidth="12.42578125" defaultRowHeight="15.75" x14ac:dyDescent="0.25"/>
  <cols>
    <col min="1" max="7" width="12.42578125" style="170"/>
    <col min="8" max="8" width="12.7109375" style="170" customWidth="1"/>
    <col min="9" max="9" width="13.140625" style="170" bestFit="1" customWidth="1"/>
    <col min="10" max="10" width="14.28515625" style="170" bestFit="1" customWidth="1"/>
    <col min="11" max="12" width="12.42578125" style="170"/>
    <col min="13" max="13" width="14.42578125" style="170" bestFit="1" customWidth="1"/>
    <col min="14" max="14" width="13.28515625" style="170" bestFit="1" customWidth="1"/>
    <col min="15" max="15" width="12.42578125" style="170"/>
    <col min="16" max="16" width="14.42578125" style="170" bestFit="1" customWidth="1"/>
    <col min="17" max="16384" width="12.42578125" style="170"/>
  </cols>
  <sheetData>
    <row r="1" spans="1:23" x14ac:dyDescent="0.25">
      <c r="C1" s="170" t="s">
        <v>302</v>
      </c>
      <c r="I1" s="170" t="s">
        <v>303</v>
      </c>
    </row>
    <row r="3" spans="1:23" x14ac:dyDescent="0.25">
      <c r="A3" s="171" t="s">
        <v>42</v>
      </c>
      <c r="B3" s="172"/>
      <c r="C3" s="173" t="s">
        <v>304</v>
      </c>
      <c r="D3" s="174" t="s">
        <v>305</v>
      </c>
      <c r="E3" s="174" t="s">
        <v>266</v>
      </c>
      <c r="F3" s="174" t="s">
        <v>267</v>
      </c>
      <c r="G3" s="175" t="s">
        <v>306</v>
      </c>
      <c r="I3" s="173" t="s">
        <v>304</v>
      </c>
      <c r="J3" s="174" t="s">
        <v>305</v>
      </c>
      <c r="K3" s="174" t="s">
        <v>266</v>
      </c>
      <c r="L3" s="174" t="s">
        <v>267</v>
      </c>
      <c r="M3" s="175" t="s">
        <v>306</v>
      </c>
      <c r="P3" s="175" t="s">
        <v>307</v>
      </c>
      <c r="S3" s="173" t="s">
        <v>304</v>
      </c>
      <c r="T3" s="174" t="s">
        <v>305</v>
      </c>
      <c r="U3" s="174" t="s">
        <v>266</v>
      </c>
      <c r="V3" s="174" t="s">
        <v>267</v>
      </c>
      <c r="W3" s="175" t="s">
        <v>306</v>
      </c>
    </row>
    <row r="4" spans="1:23" x14ac:dyDescent="0.25">
      <c r="A4" s="172" t="s">
        <v>296</v>
      </c>
      <c r="B4" s="172"/>
      <c r="C4" s="176">
        <v>6659835.9731875267</v>
      </c>
      <c r="D4" s="176">
        <v>8445539.5450374018</v>
      </c>
      <c r="E4" s="176">
        <v>9646320.5527442731</v>
      </c>
      <c r="F4" s="176">
        <v>12326998.103141427</v>
      </c>
      <c r="G4" s="176">
        <v>37078694.174110629</v>
      </c>
      <c r="I4" s="176">
        <f>+I29-SUM(I5:I8)</f>
        <v>7009430.7279981459</v>
      </c>
      <c r="J4" s="176">
        <f t="shared" ref="J4:L4" si="0">+J29-SUM(J5:J8)</f>
        <v>10774753.436857942</v>
      </c>
      <c r="K4" s="176">
        <f t="shared" si="0"/>
        <v>11238000</v>
      </c>
      <c r="L4" s="176">
        <f t="shared" si="0"/>
        <v>12203000</v>
      </c>
      <c r="M4" s="176">
        <f>+SUM(I4:L4)</f>
        <v>41225184.164856091</v>
      </c>
      <c r="N4" s="177">
        <f>+M4/M$11</f>
        <v>0.66717344376491106</v>
      </c>
      <c r="P4" s="176">
        <f t="shared" ref="P4" si="1">+P29-SUM(P5:P8)</f>
        <v>39603000</v>
      </c>
      <c r="Q4" s="177">
        <f>+P4/P$11</f>
        <v>0.4125097651164002</v>
      </c>
      <c r="S4" s="177">
        <f t="shared" ref="S4:W9" si="2">+I4/I$29</f>
        <v>0.7739814584914203</v>
      </c>
      <c r="T4" s="177">
        <f t="shared" si="2"/>
        <v>0.75961589535333862</v>
      </c>
      <c r="U4" s="177">
        <f t="shared" si="2"/>
        <v>0.66892857142857143</v>
      </c>
      <c r="V4" s="177">
        <f t="shared" si="2"/>
        <v>0.56105747126436778</v>
      </c>
      <c r="W4" s="177">
        <f t="shared" si="2"/>
        <v>0.66717344376491117</v>
      </c>
    </row>
    <row r="5" spans="1:23" x14ac:dyDescent="0.25">
      <c r="A5" s="172" t="s">
        <v>297</v>
      </c>
      <c r="B5" s="172"/>
      <c r="C5" s="176">
        <v>1985607.7848152271</v>
      </c>
      <c r="D5" s="176">
        <v>2698175.2513356474</v>
      </c>
      <c r="E5" s="176">
        <v>3060705.2224494494</v>
      </c>
      <c r="F5" s="176">
        <v>4050619.909185396</v>
      </c>
      <c r="G5" s="176">
        <v>11795108.167785721</v>
      </c>
      <c r="I5" s="176">
        <f>+C52</f>
        <v>1067732.8474723047</v>
      </c>
      <c r="J5" s="176">
        <f>+C53</f>
        <v>1609271.4497855329</v>
      </c>
      <c r="K5" s="176">
        <v>2600000</v>
      </c>
      <c r="L5" s="176">
        <v>4680000</v>
      </c>
      <c r="M5" s="176">
        <f t="shared" ref="M5:M9" si="3">+SUM(I5:L5)</f>
        <v>9957004.2972578369</v>
      </c>
      <c r="N5" s="177">
        <f>+M5/M$11</f>
        <v>0.16114054991285251</v>
      </c>
      <c r="P5" s="176">
        <f>+P29*0.25</f>
        <v>24001250</v>
      </c>
      <c r="Q5" s="177">
        <f>+P5/P$11</f>
        <v>0.25</v>
      </c>
      <c r="S5" s="177">
        <f t="shared" si="2"/>
        <v>0.11789907891733005</v>
      </c>
      <c r="T5" s="177">
        <f t="shared" si="2"/>
        <v>0.11345300663806918</v>
      </c>
      <c r="U5" s="177">
        <f t="shared" si="2"/>
        <v>0.15476190476190477</v>
      </c>
      <c r="V5" s="177">
        <f t="shared" si="2"/>
        <v>0.21517241379310345</v>
      </c>
      <c r="W5" s="177">
        <f t="shared" si="2"/>
        <v>0.16114054991285251</v>
      </c>
    </row>
    <row r="6" spans="1:23" x14ac:dyDescent="0.25">
      <c r="A6" s="172" t="s">
        <v>298</v>
      </c>
      <c r="B6" s="172"/>
      <c r="C6" s="176">
        <v>736389.71764278598</v>
      </c>
      <c r="D6" s="176">
        <v>1553808.3004579362</v>
      </c>
      <c r="E6" s="176">
        <v>1946063.2191255256</v>
      </c>
      <c r="F6" s="176">
        <v>2688170.4794572145</v>
      </c>
      <c r="G6" s="176">
        <v>6924431.7166834623</v>
      </c>
      <c r="I6" s="176">
        <f>+D43</f>
        <v>335025.42452954949</v>
      </c>
      <c r="J6" s="176">
        <f>+D44</f>
        <v>612644.11335652426</v>
      </c>
      <c r="K6" s="176">
        <v>1062000</v>
      </c>
      <c r="L6" s="176">
        <v>1867000</v>
      </c>
      <c r="M6" s="176">
        <f t="shared" si="3"/>
        <v>3876669.5378860738</v>
      </c>
      <c r="N6" s="177">
        <f t="shared" ref="N6:N9" si="4">+M6/M$11</f>
        <v>6.2738615201502451E-2</v>
      </c>
      <c r="P6" s="176">
        <f>+P29*0.15</f>
        <v>14400750</v>
      </c>
      <c r="Q6" s="177">
        <f t="shared" ref="Q6:Q9" si="5">+P6/P$11</f>
        <v>0.15</v>
      </c>
      <c r="S6" s="177">
        <f t="shared" si="2"/>
        <v>3.6993512992907998E-2</v>
      </c>
      <c r="T6" s="177">
        <f t="shared" si="2"/>
        <v>4.3191169935112461E-2</v>
      </c>
      <c r="U6" s="177">
        <f t="shared" si="2"/>
        <v>6.3214285714285709E-2</v>
      </c>
      <c r="V6" s="177">
        <f t="shared" si="2"/>
        <v>8.5839080459770109E-2</v>
      </c>
      <c r="W6" s="177">
        <f t="shared" si="2"/>
        <v>6.2738615201502451E-2</v>
      </c>
    </row>
    <row r="7" spans="1:23" x14ac:dyDescent="0.25">
      <c r="A7" s="172" t="s">
        <v>299</v>
      </c>
      <c r="B7" s="172"/>
      <c r="C7" s="176">
        <v>104739.44102112677</v>
      </c>
      <c r="D7" s="176">
        <v>484978.98650234728</v>
      </c>
      <c r="E7" s="176">
        <v>1305775.5890140845</v>
      </c>
      <c r="F7" s="176">
        <v>2206113.5915492955</v>
      </c>
      <c r="G7" s="176">
        <v>4101607.6080868542</v>
      </c>
      <c r="I7" s="176">
        <v>278535</v>
      </c>
      <c r="J7" s="176">
        <v>572752</v>
      </c>
      <c r="K7" s="176">
        <v>1000000</v>
      </c>
      <c r="L7" s="176">
        <v>1500000</v>
      </c>
      <c r="M7" s="176">
        <f t="shared" si="3"/>
        <v>3351287</v>
      </c>
      <c r="N7" s="177">
        <f t="shared" si="4"/>
        <v>5.4236014565597575E-2</v>
      </c>
      <c r="P7" s="176">
        <v>13000000</v>
      </c>
      <c r="Q7" s="177">
        <f t="shared" si="5"/>
        <v>0.13540961408259986</v>
      </c>
      <c r="S7" s="177">
        <f t="shared" si="2"/>
        <v>3.0755839369351532E-2</v>
      </c>
      <c r="T7" s="177">
        <f t="shared" si="2"/>
        <v>4.0378791574676429E-2</v>
      </c>
      <c r="U7" s="177">
        <f t="shared" si="2"/>
        <v>5.9523809523809521E-2</v>
      </c>
      <c r="V7" s="177">
        <f t="shared" si="2"/>
        <v>6.8965517241379309E-2</v>
      </c>
      <c r="W7" s="177">
        <f t="shared" si="2"/>
        <v>5.4236014565597582E-2</v>
      </c>
    </row>
    <row r="8" spans="1:23" x14ac:dyDescent="0.25">
      <c r="A8" s="172" t="s">
        <v>300</v>
      </c>
      <c r="B8" s="172"/>
      <c r="C8" s="176">
        <v>465000</v>
      </c>
      <c r="D8" s="176">
        <v>852833.33333333326</v>
      </c>
      <c r="E8" s="176">
        <v>1095250</v>
      </c>
      <c r="F8" s="176">
        <v>1687291.6666666665</v>
      </c>
      <c r="G8" s="176">
        <v>4100374.9999999995</v>
      </c>
      <c r="I8" s="176">
        <f>+I21</f>
        <v>365605</v>
      </c>
      <c r="J8" s="176">
        <f>+J21</f>
        <v>615055</v>
      </c>
      <c r="K8" s="176">
        <f t="shared" ref="K8" si="6">+K21</f>
        <v>900000</v>
      </c>
      <c r="L8" s="176">
        <v>1500000</v>
      </c>
      <c r="M8" s="176">
        <f t="shared" si="3"/>
        <v>3380660</v>
      </c>
      <c r="N8" s="177">
        <f t="shared" si="4"/>
        <v>5.4711376555136311E-2</v>
      </c>
      <c r="P8" s="176">
        <f>+P21</f>
        <v>5000000</v>
      </c>
      <c r="Q8" s="177">
        <f t="shared" si="5"/>
        <v>5.2080620800999948E-2</v>
      </c>
      <c r="S8" s="177">
        <f t="shared" si="2"/>
        <v>4.0370110228990133E-2</v>
      </c>
      <c r="T8" s="177">
        <f t="shared" si="2"/>
        <v>4.336113649880334E-2</v>
      </c>
      <c r="U8" s="177">
        <f t="shared" si="2"/>
        <v>5.3571428571428568E-2</v>
      </c>
      <c r="V8" s="177">
        <f t="shared" si="2"/>
        <v>6.8965517241379309E-2</v>
      </c>
      <c r="W8" s="177">
        <f t="shared" si="2"/>
        <v>5.4711376555136318E-2</v>
      </c>
    </row>
    <row r="9" spans="1:23" x14ac:dyDescent="0.25">
      <c r="A9" s="172" t="s">
        <v>301</v>
      </c>
      <c r="B9" s="172"/>
      <c r="C9" s="176">
        <v>193750</v>
      </c>
      <c r="D9" s="176">
        <v>214999.99999999997</v>
      </c>
      <c r="E9" s="176">
        <v>243750</v>
      </c>
      <c r="F9" s="176">
        <v>417083.33333333326</v>
      </c>
      <c r="G9" s="176">
        <v>1069583.3333333333</v>
      </c>
      <c r="I9" s="176"/>
      <c r="J9" s="176"/>
      <c r="K9" s="176"/>
      <c r="L9" s="176"/>
      <c r="M9" s="176">
        <f t="shared" si="3"/>
        <v>0</v>
      </c>
      <c r="N9" s="177">
        <f t="shared" si="4"/>
        <v>0</v>
      </c>
      <c r="P9" s="176"/>
      <c r="Q9" s="177">
        <f t="shared" si="5"/>
        <v>0</v>
      </c>
      <c r="S9" s="177">
        <f t="shared" si="2"/>
        <v>0</v>
      </c>
      <c r="T9" s="177">
        <f t="shared" si="2"/>
        <v>0</v>
      </c>
      <c r="U9" s="177">
        <f t="shared" si="2"/>
        <v>0</v>
      </c>
      <c r="V9" s="177">
        <f t="shared" si="2"/>
        <v>0</v>
      </c>
      <c r="W9" s="177">
        <f t="shared" si="2"/>
        <v>0</v>
      </c>
    </row>
    <row r="10" spans="1:23" x14ac:dyDescent="0.25">
      <c r="A10" s="172"/>
      <c r="B10" s="172"/>
      <c r="C10" s="172"/>
      <c r="D10" s="172"/>
      <c r="E10" s="172"/>
      <c r="F10" s="172"/>
      <c r="G10" s="172"/>
      <c r="I10" s="176"/>
      <c r="J10" s="176"/>
      <c r="K10" s="176"/>
      <c r="L10" s="176"/>
      <c r="M10" s="176"/>
    </row>
    <row r="11" spans="1:23" x14ac:dyDescent="0.25">
      <c r="A11" s="171" t="s">
        <v>308</v>
      </c>
      <c r="B11" s="172"/>
      <c r="C11" s="178">
        <v>10145322.916666668</v>
      </c>
      <c r="D11" s="178">
        <v>14250335.416666666</v>
      </c>
      <c r="E11" s="178">
        <v>17297864.583333336</v>
      </c>
      <c r="F11" s="178">
        <v>23376277.083333332</v>
      </c>
      <c r="G11" s="178">
        <v>65069800</v>
      </c>
      <c r="I11" s="179">
        <f>+SUM(I4:I10)</f>
        <v>9056329</v>
      </c>
      <c r="J11" s="179">
        <f t="shared" ref="J11:M11" si="7">+SUM(J4:J10)</f>
        <v>14184476</v>
      </c>
      <c r="K11" s="179">
        <f t="shared" si="7"/>
        <v>16800000</v>
      </c>
      <c r="L11" s="179">
        <f t="shared" si="7"/>
        <v>21750000</v>
      </c>
      <c r="M11" s="179">
        <f t="shared" si="7"/>
        <v>61790805.000000007</v>
      </c>
      <c r="P11" s="179">
        <f t="shared" ref="P11" si="8">+SUM(P4:P10)</f>
        <v>96005000</v>
      </c>
    </row>
    <row r="15" spans="1:23" x14ac:dyDescent="0.25">
      <c r="A15" s="171" t="s">
        <v>309</v>
      </c>
      <c r="B15" s="172"/>
      <c r="C15" s="173" t="s">
        <v>304</v>
      </c>
      <c r="D15" s="174" t="s">
        <v>305</v>
      </c>
      <c r="E15" s="174" t="s">
        <v>266</v>
      </c>
      <c r="F15" s="174" t="s">
        <v>267</v>
      </c>
      <c r="G15" s="175" t="s">
        <v>306</v>
      </c>
      <c r="I15" s="173" t="s">
        <v>304</v>
      </c>
      <c r="J15" s="174" t="s">
        <v>305</v>
      </c>
      <c r="K15" s="174" t="s">
        <v>266</v>
      </c>
      <c r="L15" s="174" t="s">
        <v>267</v>
      </c>
      <c r="M15" s="175" t="s">
        <v>306</v>
      </c>
      <c r="P15" s="175" t="s">
        <v>307</v>
      </c>
    </row>
    <row r="16" spans="1:23" x14ac:dyDescent="0.25">
      <c r="A16" s="171"/>
      <c r="B16" s="172"/>
      <c r="C16" s="176"/>
      <c r="D16" s="176"/>
      <c r="E16" s="176"/>
      <c r="F16" s="176"/>
      <c r="G16" s="176"/>
    </row>
    <row r="17" spans="1:26" x14ac:dyDescent="0.25">
      <c r="A17" s="172" t="s">
        <v>310</v>
      </c>
      <c r="B17" s="172"/>
      <c r="C17" s="176">
        <v>1871625</v>
      </c>
      <c r="D17" s="176">
        <v>2566920.8333333335</v>
      </c>
      <c r="E17" s="176">
        <v>2872512.5</v>
      </c>
      <c r="F17" s="176">
        <v>3816691.6666666665</v>
      </c>
      <c r="G17" s="176">
        <v>11127750</v>
      </c>
      <c r="I17" s="176">
        <v>1785496</v>
      </c>
      <c r="J17" s="176">
        <v>2701147</v>
      </c>
      <c r="K17" s="176">
        <v>3400000</v>
      </c>
      <c r="L17" s="176">
        <v>4400000</v>
      </c>
      <c r="M17" s="176">
        <f>+SUM(I17:L17)</f>
        <v>12286643</v>
      </c>
      <c r="P17" s="176">
        <f>(4+5+5+7)*1000000*0.85</f>
        <v>17850000</v>
      </c>
      <c r="X17" s="170" t="s">
        <v>311</v>
      </c>
    </row>
    <row r="18" spans="1:26" x14ac:dyDescent="0.25">
      <c r="A18" s="172" t="s">
        <v>312</v>
      </c>
      <c r="B18" s="172"/>
      <c r="C18" s="176">
        <v>2216015.625</v>
      </c>
      <c r="D18" s="176">
        <v>3145987.4999999995</v>
      </c>
      <c r="E18" s="176">
        <v>3474900</v>
      </c>
      <c r="F18" s="176">
        <v>4577300</v>
      </c>
      <c r="G18" s="176">
        <v>13414203.125</v>
      </c>
      <c r="I18" s="176">
        <v>1897591</v>
      </c>
      <c r="J18" s="176">
        <v>2743288</v>
      </c>
      <c r="K18" s="176">
        <v>2700000</v>
      </c>
      <c r="L18" s="176">
        <v>4000000</v>
      </c>
      <c r="M18" s="176">
        <f t="shared" ref="M18:M27" si="9">+SUM(I18:L18)</f>
        <v>11340879</v>
      </c>
      <c r="P18" s="176">
        <f>(4+5+5+7)*1000000*0.85</f>
        <v>17850000</v>
      </c>
      <c r="X18" s="170" t="s">
        <v>266</v>
      </c>
      <c r="Y18" s="170">
        <f>+K29*0.055</f>
        <v>924000</v>
      </c>
      <c r="Z18" s="180">
        <f>+K6-Y18</f>
        <v>138000</v>
      </c>
    </row>
    <row r="19" spans="1:26" x14ac:dyDescent="0.25">
      <c r="A19" s="172" t="s">
        <v>313</v>
      </c>
      <c r="B19" s="172"/>
      <c r="C19" s="176">
        <v>3278880.208333333</v>
      </c>
      <c r="D19" s="176">
        <v>4125968.7499999991</v>
      </c>
      <c r="E19" s="176">
        <v>4879600</v>
      </c>
      <c r="F19" s="176">
        <v>6035468.7499999991</v>
      </c>
      <c r="G19" s="176">
        <v>18319917.708333332</v>
      </c>
      <c r="I19" s="176">
        <f>2016217+386016+23000</f>
        <v>2425233</v>
      </c>
      <c r="J19" s="176">
        <f>4543204+101458+63750</f>
        <v>4708412</v>
      </c>
      <c r="K19" s="176">
        <v>6000000</v>
      </c>
      <c r="L19" s="176">
        <v>7000000</v>
      </c>
      <c r="M19" s="176">
        <f t="shared" si="9"/>
        <v>20133645</v>
      </c>
      <c r="P19" s="176">
        <f>+(7+9+8+10)*1000000*0.85</f>
        <v>28900000</v>
      </c>
      <c r="X19" s="170" t="s">
        <v>267</v>
      </c>
      <c r="Y19" s="170">
        <f>+L29*0.075</f>
        <v>1631250</v>
      </c>
      <c r="Z19" s="180">
        <f>+L6-Y19</f>
        <v>235750</v>
      </c>
    </row>
    <row r="20" spans="1:26" x14ac:dyDescent="0.25">
      <c r="A20" s="172" t="s">
        <v>314</v>
      </c>
      <c r="B20" s="172"/>
      <c r="C20" s="176">
        <v>930000</v>
      </c>
      <c r="D20" s="176">
        <v>1167187.5</v>
      </c>
      <c r="E20" s="176">
        <v>1186281.25</v>
      </c>
      <c r="F20" s="176">
        <v>1781135.4166666667</v>
      </c>
      <c r="G20" s="176">
        <v>5064604.166666667</v>
      </c>
      <c r="I20" s="176">
        <f>928325+53394+90525</f>
        <v>1072244</v>
      </c>
      <c r="J20" s="176">
        <f>1648349+7791+54805</f>
        <v>1710945</v>
      </c>
      <c r="K20" s="176">
        <v>1600000</v>
      </c>
      <c r="L20" s="176">
        <v>2200000</v>
      </c>
      <c r="M20" s="176">
        <f t="shared" si="9"/>
        <v>6583189</v>
      </c>
      <c r="P20" s="176">
        <f>+(2.5+3.3+3+4.5)*1000000*0.85</f>
        <v>11305000</v>
      </c>
    </row>
    <row r="21" spans="1:26" x14ac:dyDescent="0.25">
      <c r="A21" s="172" t="s">
        <v>300</v>
      </c>
      <c r="B21" s="172"/>
      <c r="C21" s="176">
        <v>465000</v>
      </c>
      <c r="D21" s="176">
        <v>852833.33333333326</v>
      </c>
      <c r="E21" s="176">
        <v>1095250</v>
      </c>
      <c r="F21" s="176">
        <v>1687291.6666666665</v>
      </c>
      <c r="G21" s="176">
        <v>4100374.9999999995</v>
      </c>
      <c r="I21" s="176">
        <f>187701+177904</f>
        <v>365605</v>
      </c>
      <c r="J21" s="176">
        <f>293064+321991</f>
        <v>615055</v>
      </c>
      <c r="K21" s="176">
        <v>900000</v>
      </c>
      <c r="L21" s="176">
        <v>1200000</v>
      </c>
      <c r="M21" s="176">
        <f t="shared" si="9"/>
        <v>3080660</v>
      </c>
      <c r="P21" s="176">
        <v>5000000</v>
      </c>
      <c r="X21" s="170" t="s">
        <v>315</v>
      </c>
    </row>
    <row r="22" spans="1:26" x14ac:dyDescent="0.25">
      <c r="A22" s="172" t="s">
        <v>316</v>
      </c>
      <c r="B22" s="172"/>
      <c r="C22" s="176">
        <v>1159375</v>
      </c>
      <c r="D22" s="176">
        <v>1501875</v>
      </c>
      <c r="E22" s="176">
        <v>1767333.3333333333</v>
      </c>
      <c r="F22" s="176">
        <v>2193479.1666666665</v>
      </c>
      <c r="G22" s="176">
        <v>6622062.5</v>
      </c>
      <c r="I22" s="176">
        <f>350049+276653+813958</f>
        <v>1440660</v>
      </c>
      <c r="J22" s="176">
        <f>529935+360665+768604</f>
        <v>1659204</v>
      </c>
      <c r="K22" s="176">
        <v>2100000</v>
      </c>
      <c r="L22" s="176">
        <v>2600000</v>
      </c>
      <c r="M22" s="176">
        <f t="shared" si="9"/>
        <v>7799864</v>
      </c>
      <c r="P22" s="176">
        <f>+(3+4+4+5)*1000000*0.85</f>
        <v>13600000</v>
      </c>
      <c r="X22" s="170" t="s">
        <v>266</v>
      </c>
      <c r="Y22" s="170">
        <f>+K29*0.13</f>
        <v>2184000</v>
      </c>
      <c r="Z22" s="180">
        <f>+K5-Y22</f>
        <v>416000</v>
      </c>
    </row>
    <row r="23" spans="1:26" x14ac:dyDescent="0.25">
      <c r="A23" s="172" t="s">
        <v>298</v>
      </c>
      <c r="B23" s="172"/>
      <c r="C23" s="176">
        <v>17760.416666666668</v>
      </c>
      <c r="D23" s="176">
        <v>427312.5</v>
      </c>
      <c r="E23" s="176">
        <v>721500</v>
      </c>
      <c r="F23" s="176">
        <v>887250</v>
      </c>
      <c r="G23" s="176">
        <v>2053822.9166666667</v>
      </c>
      <c r="I23" s="176"/>
      <c r="J23" s="176"/>
      <c r="K23" s="176"/>
      <c r="L23" s="176"/>
      <c r="M23" s="176">
        <f t="shared" si="9"/>
        <v>0</v>
      </c>
      <c r="P23" s="176"/>
      <c r="X23" s="170" t="s">
        <v>267</v>
      </c>
      <c r="Y23" s="170">
        <f>+L29*0.15</f>
        <v>3262500</v>
      </c>
      <c r="Z23" s="180">
        <f>+L5-Y23</f>
        <v>1417500</v>
      </c>
    </row>
    <row r="24" spans="1:26" x14ac:dyDescent="0.25">
      <c r="A24" s="172" t="s">
        <v>299</v>
      </c>
      <c r="B24" s="172"/>
      <c r="C24" s="176">
        <v>0</v>
      </c>
      <c r="D24" s="176">
        <v>89583.333333333343</v>
      </c>
      <c r="E24" s="176">
        <v>619937.5</v>
      </c>
      <c r="F24" s="176">
        <v>1049343.75</v>
      </c>
      <c r="G24" s="176">
        <v>1758864.5833333335</v>
      </c>
      <c r="I24" s="176"/>
      <c r="J24" s="176"/>
      <c r="K24" s="176"/>
      <c r="L24" s="176"/>
      <c r="M24" s="176">
        <f t="shared" si="9"/>
        <v>0</v>
      </c>
      <c r="P24" s="176"/>
    </row>
    <row r="25" spans="1:26" x14ac:dyDescent="0.25">
      <c r="A25" s="172" t="s">
        <v>317</v>
      </c>
      <c r="B25" s="172"/>
      <c r="C25" s="176">
        <v>0</v>
      </c>
      <c r="D25" s="176">
        <v>0</v>
      </c>
      <c r="E25" s="176">
        <v>111800</v>
      </c>
      <c r="F25" s="176">
        <v>370066.66666666663</v>
      </c>
      <c r="G25" s="176">
        <v>481866.66666666663</v>
      </c>
      <c r="I25" s="176"/>
      <c r="J25" s="176">
        <v>64425</v>
      </c>
      <c r="K25" s="176">
        <v>100000</v>
      </c>
      <c r="L25" s="176">
        <v>250000</v>
      </c>
      <c r="M25" s="176">
        <f t="shared" si="9"/>
        <v>414425</v>
      </c>
      <c r="P25" s="176">
        <v>1000000</v>
      </c>
    </row>
    <row r="26" spans="1:26" x14ac:dyDescent="0.25">
      <c r="A26" s="172" t="s">
        <v>318</v>
      </c>
      <c r="B26" s="172"/>
      <c r="C26" s="176">
        <v>12916.666666666668</v>
      </c>
      <c r="D26" s="176">
        <v>157666.66666666669</v>
      </c>
      <c r="E26" s="176">
        <v>325000</v>
      </c>
      <c r="F26" s="176">
        <v>561166.66666666663</v>
      </c>
      <c r="G26" s="176">
        <v>1056750</v>
      </c>
      <c r="I26" s="176"/>
      <c r="J26" s="176"/>
      <c r="K26" s="176"/>
      <c r="L26" s="176">
        <v>100000</v>
      </c>
      <c r="M26" s="176">
        <f t="shared" si="9"/>
        <v>100000</v>
      </c>
      <c r="P26" s="176">
        <v>500000</v>
      </c>
    </row>
    <row r="27" spans="1:26" x14ac:dyDescent="0.25">
      <c r="A27" s="172" t="s">
        <v>319</v>
      </c>
      <c r="B27" s="172"/>
      <c r="C27" s="176">
        <v>193750</v>
      </c>
      <c r="D27" s="176">
        <v>214999.99999999997</v>
      </c>
      <c r="E27" s="176">
        <v>243750</v>
      </c>
      <c r="F27" s="176">
        <v>417083.33333333326</v>
      </c>
      <c r="G27" s="176">
        <v>1069583.3333333333</v>
      </c>
      <c r="I27" s="176">
        <v>69500</v>
      </c>
      <c r="J27" s="176">
        <v>-18000</v>
      </c>
      <c r="K27" s="176"/>
      <c r="L27" s="176"/>
      <c r="M27" s="176">
        <f t="shared" si="9"/>
        <v>51500</v>
      </c>
      <c r="P27" s="176"/>
    </row>
    <row r="28" spans="1:26" x14ac:dyDescent="0.25">
      <c r="A28" s="172"/>
      <c r="B28" s="172"/>
      <c r="C28" s="172"/>
      <c r="D28" s="172"/>
      <c r="E28" s="172"/>
      <c r="F28" s="172"/>
      <c r="G28" s="172"/>
      <c r="I28" s="176"/>
      <c r="J28" s="176"/>
      <c r="K28" s="176"/>
      <c r="L28" s="176"/>
      <c r="M28" s="176"/>
    </row>
    <row r="29" spans="1:26" s="182" customFormat="1" x14ac:dyDescent="0.25">
      <c r="A29" s="171" t="s">
        <v>308</v>
      </c>
      <c r="B29" s="181"/>
      <c r="C29" s="179">
        <v>10145322.916666664</v>
      </c>
      <c r="D29" s="179">
        <v>14250335.416666666</v>
      </c>
      <c r="E29" s="179">
        <v>17297864.583333336</v>
      </c>
      <c r="F29" s="179">
        <v>23376277.083333332</v>
      </c>
      <c r="G29" s="179">
        <v>65069799.999999993</v>
      </c>
      <c r="I29" s="179">
        <f>+SUM(I17:I28)</f>
        <v>9056329</v>
      </c>
      <c r="J29" s="179">
        <f>+SUM(J17:J28)</f>
        <v>14184476</v>
      </c>
      <c r="K29" s="179">
        <f>+SUM(K17:K28)</f>
        <v>16800000</v>
      </c>
      <c r="L29" s="179">
        <f>+SUM(L17:L28)</f>
        <v>21750000</v>
      </c>
      <c r="M29" s="179">
        <f>+SUM(M17:M28)</f>
        <v>61790805</v>
      </c>
      <c r="P29" s="179">
        <f>+SUM(P17:P28)</f>
        <v>96005000</v>
      </c>
    </row>
    <row r="30" spans="1:26" s="182" customFormat="1" x14ac:dyDescent="0.25">
      <c r="A30" s="171"/>
      <c r="B30" s="181"/>
      <c r="C30" s="179"/>
      <c r="D30" s="179"/>
      <c r="E30" s="179"/>
      <c r="F30" s="179"/>
      <c r="G30" s="179"/>
      <c r="H30" s="182" t="s">
        <v>22</v>
      </c>
      <c r="I30" s="179">
        <v>-1737000</v>
      </c>
      <c r="J30" s="179">
        <v>-1428000</v>
      </c>
      <c r="K30" s="179">
        <v>-1400000</v>
      </c>
      <c r="L30" s="179">
        <v>-1600000</v>
      </c>
      <c r="M30" s="179">
        <f>+SUM(I30:L30)</f>
        <v>-6165000</v>
      </c>
      <c r="N30" s="183">
        <f>+M30/M34</f>
        <v>-7.4739955871299377E-2</v>
      </c>
      <c r="P30" s="179">
        <v>-9600000</v>
      </c>
      <c r="Q30" s="183">
        <f>+P30/P34</f>
        <v>-6.9508902588015564E-2</v>
      </c>
    </row>
    <row r="31" spans="1:26" s="182" customFormat="1" x14ac:dyDescent="0.25">
      <c r="A31" s="171"/>
      <c r="B31" s="181"/>
      <c r="C31" s="179"/>
      <c r="D31" s="179"/>
      <c r="E31" s="179"/>
      <c r="F31" s="179"/>
      <c r="G31" s="179"/>
      <c r="H31" s="182" t="s">
        <v>320</v>
      </c>
      <c r="I31" s="179">
        <f>+SUM(I29:I30)</f>
        <v>7319329</v>
      </c>
      <c r="J31" s="179">
        <f>+SUM(J29:J30)</f>
        <v>12756476</v>
      </c>
      <c r="K31" s="179">
        <f>+SUM(K29:K30)</f>
        <v>15400000</v>
      </c>
      <c r="L31" s="179">
        <f>+SUM(L29:L30)</f>
        <v>20150000</v>
      </c>
      <c r="M31" s="179">
        <f>+SUM(I31:L31)</f>
        <v>55625805</v>
      </c>
      <c r="P31" s="179">
        <f>+SUM(P29:P30)</f>
        <v>86405000</v>
      </c>
    </row>
    <row r="32" spans="1:26" x14ac:dyDescent="0.25">
      <c r="L32" s="170" t="s">
        <v>321</v>
      </c>
    </row>
    <row r="33" spans="1:16" x14ac:dyDescent="0.25">
      <c r="I33" s="176">
        <f>7331349+716813+1020483</f>
        <v>9068645</v>
      </c>
      <c r="J33" s="176">
        <f>12759575+470164+957372</f>
        <v>14187111</v>
      </c>
    </row>
    <row r="34" spans="1:16" x14ac:dyDescent="0.25">
      <c r="H34" s="170" t="s">
        <v>322</v>
      </c>
      <c r="I34" s="176">
        <f>+I33-I29</f>
        <v>12316</v>
      </c>
      <c r="J34" s="176">
        <f>+J33-J29</f>
        <v>2635</v>
      </c>
      <c r="M34" s="179">
        <v>82486000</v>
      </c>
      <c r="N34" s="170" t="s">
        <v>323</v>
      </c>
      <c r="P34" s="180">
        <f>+M35</f>
        <v>138111805</v>
      </c>
    </row>
    <row r="35" spans="1:16" x14ac:dyDescent="0.25">
      <c r="M35" s="179">
        <f>+M34+M31</f>
        <v>138111805</v>
      </c>
      <c r="N35" s="170" t="s">
        <v>324</v>
      </c>
      <c r="P35" s="180">
        <f>+P31+P34</f>
        <v>224516805</v>
      </c>
    </row>
    <row r="36" spans="1:16" x14ac:dyDescent="0.25">
      <c r="P36" s="184">
        <f>+P35/M35-1</f>
        <v>0.62561632584557136</v>
      </c>
    </row>
    <row r="39" spans="1:16" x14ac:dyDescent="0.25">
      <c r="A39" s="170" t="s">
        <v>325</v>
      </c>
      <c r="B39" s="170" t="s">
        <v>300</v>
      </c>
      <c r="C39" s="170" t="s">
        <v>326</v>
      </c>
      <c r="D39" s="170" t="s">
        <v>327</v>
      </c>
      <c r="E39" s="170" t="s">
        <v>328</v>
      </c>
      <c r="F39" s="170" t="s">
        <v>329</v>
      </c>
      <c r="G39" s="170" t="s">
        <v>330</v>
      </c>
      <c r="H39" s="170" t="s">
        <v>2</v>
      </c>
      <c r="I39" s="170" t="s">
        <v>331</v>
      </c>
    </row>
    <row r="40" spans="1:16" x14ac:dyDescent="0.25">
      <c r="A40" s="170" t="s">
        <v>332</v>
      </c>
      <c r="B40" s="170" t="s">
        <v>333</v>
      </c>
      <c r="C40" s="170" t="s">
        <v>333</v>
      </c>
      <c r="D40" s="170" t="s">
        <v>333</v>
      </c>
      <c r="E40" s="170" t="s">
        <v>333</v>
      </c>
      <c r="F40" s="170" t="s">
        <v>333</v>
      </c>
      <c r="G40" s="170" t="s">
        <v>333</v>
      </c>
      <c r="H40" s="170" t="s">
        <v>333</v>
      </c>
      <c r="I40" s="170" t="s">
        <v>333</v>
      </c>
    </row>
    <row r="41" spans="1:16" x14ac:dyDescent="0.25">
      <c r="A41" s="170" t="s">
        <v>334</v>
      </c>
      <c r="B41" s="185">
        <v>364505</v>
      </c>
      <c r="C41" s="185"/>
      <c r="D41" s="185">
        <v>366307.82848120504</v>
      </c>
      <c r="E41" s="185">
        <v>2397373.4064025469</v>
      </c>
      <c r="F41" s="185">
        <v>2726893.6944254129</v>
      </c>
      <c r="G41" s="185">
        <v>824860.69407375588</v>
      </c>
      <c r="H41" s="185">
        <v>1163277.4376953677</v>
      </c>
      <c r="I41" s="185">
        <v>431423.07269632199</v>
      </c>
    </row>
    <row r="42" spans="1:16" x14ac:dyDescent="0.25">
      <c r="A42" s="170" t="s">
        <v>335</v>
      </c>
      <c r="B42" s="185">
        <v>671603</v>
      </c>
      <c r="C42" s="185"/>
      <c r="D42" s="185">
        <v>414878.42535046139</v>
      </c>
      <c r="E42" s="185">
        <v>3659843.4206678597</v>
      </c>
      <c r="F42" s="185">
        <v>4112623.0722769029</v>
      </c>
      <c r="G42" s="185">
        <v>1243746.6839550671</v>
      </c>
      <c r="H42" s="185">
        <v>563872.98867565382</v>
      </c>
      <c r="I42" s="185">
        <v>251395.4777144762</v>
      </c>
    </row>
    <row r="43" spans="1:16" x14ac:dyDescent="0.25">
      <c r="A43" s="170" t="s">
        <v>336</v>
      </c>
      <c r="B43" s="185">
        <v>362069</v>
      </c>
      <c r="C43" s="185">
        <v>18000</v>
      </c>
      <c r="D43" s="185">
        <v>335025.42452954949</v>
      </c>
      <c r="E43" s="185">
        <v>3163020.3351060646</v>
      </c>
      <c r="F43" s="185">
        <v>3302658.6977784494</v>
      </c>
      <c r="G43" s="185">
        <v>1189468.7065367214</v>
      </c>
      <c r="H43" s="185">
        <v>534277.53012287384</v>
      </c>
      <c r="I43" s="185">
        <v>148032.44675909664</v>
      </c>
    </row>
    <row r="44" spans="1:16" x14ac:dyDescent="0.25">
      <c r="A44" s="170" t="s">
        <v>337</v>
      </c>
      <c r="B44" s="185">
        <v>604208.6764912291</v>
      </c>
      <c r="C44" s="185">
        <v>80901.619142857002</v>
      </c>
      <c r="D44" s="185">
        <v>612644.11335652426</v>
      </c>
      <c r="E44" s="185">
        <v>4554481.9663377162</v>
      </c>
      <c r="F44" s="185">
        <v>4936240.1076232521</v>
      </c>
      <c r="G44" s="185">
        <v>1880374.1550619877</v>
      </c>
      <c r="H44" s="185">
        <v>1019589.3302104382</v>
      </c>
      <c r="I44" s="185">
        <v>627725.02148922533</v>
      </c>
    </row>
    <row r="45" spans="1:16" x14ac:dyDescent="0.25">
      <c r="A45" s="170" t="s">
        <v>338</v>
      </c>
      <c r="B45" s="185">
        <v>50673.27</v>
      </c>
      <c r="C45" s="185"/>
      <c r="D45" s="185">
        <v>55889.31508503831</v>
      </c>
      <c r="E45" s="185">
        <v>368904.0274743897</v>
      </c>
      <c r="F45" s="185">
        <v>478540.769158107</v>
      </c>
      <c r="G45" s="185">
        <v>137995.68912791804</v>
      </c>
      <c r="H45" s="185">
        <v>107564.76404513637</v>
      </c>
      <c r="I45" s="185">
        <v>1273.5059794226052</v>
      </c>
    </row>
    <row r="49" spans="1:4" x14ac:dyDescent="0.25">
      <c r="A49" s="186" t="s">
        <v>332</v>
      </c>
      <c r="B49" s="186" t="s">
        <v>339</v>
      </c>
      <c r="C49" s="186" t="s">
        <v>297</v>
      </c>
      <c r="D49" s="186" t="s">
        <v>340</v>
      </c>
    </row>
    <row r="50" spans="1:4" x14ac:dyDescent="0.25">
      <c r="A50" s="186" t="s">
        <v>334</v>
      </c>
      <c r="B50" s="185">
        <v>6849847.9297577087</v>
      </c>
      <c r="C50" s="185">
        <v>601048.22788937006</v>
      </c>
      <c r="D50" s="185">
        <v>926657.40469896037</v>
      </c>
    </row>
    <row r="51" spans="1:4" x14ac:dyDescent="0.25">
      <c r="A51" s="186" t="s">
        <v>335</v>
      </c>
      <c r="B51" s="185">
        <v>8556309.4413216803</v>
      </c>
      <c r="C51" s="185">
        <v>1048448.6646147806</v>
      </c>
      <c r="D51" s="185">
        <v>1314975.680678138</v>
      </c>
    </row>
    <row r="52" spans="1:4" x14ac:dyDescent="0.25">
      <c r="A52" s="186" t="s">
        <v>336</v>
      </c>
      <c r="B52" s="185">
        <v>7103615.5658644177</v>
      </c>
      <c r="C52" s="185">
        <v>1067732.8474723047</v>
      </c>
      <c r="D52" s="185">
        <v>933041.35712566972</v>
      </c>
    </row>
    <row r="53" spans="1:4" x14ac:dyDescent="0.25">
      <c r="A53" s="186" t="s">
        <v>337</v>
      </c>
      <c r="B53" s="185">
        <v>11031773.153583467</v>
      </c>
      <c r="C53" s="185">
        <v>1609271.4497855329</v>
      </c>
      <c r="D53" s="185">
        <v>2059051.2654300886</v>
      </c>
    </row>
    <row r="54" spans="1:4" x14ac:dyDescent="0.25">
      <c r="A54" s="186" t="s">
        <v>338</v>
      </c>
      <c r="B54" s="185">
        <v>1029464.640253639</v>
      </c>
      <c r="C54" s="185">
        <v>75875.241908076103</v>
      </c>
      <c r="D54" s="185">
        <v>120649.80409229355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B9555-1FFB-4522-A9F2-DE53657C8092}">
  <sheetPr>
    <tabColor theme="1"/>
  </sheetPr>
  <dimension ref="A1"/>
  <sheetViews>
    <sheetView workbookViewId="0"/>
  </sheetViews>
  <sheetFormatPr defaultColWidth="8.85546875" defaultRowHeight="15" x14ac:dyDescent="0.25"/>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404969-F119-D54A-BA0E-C1CDC2DCD62A}">
  <dimension ref="A1:FZ136"/>
  <sheetViews>
    <sheetView showGridLines="0" zoomScale="82" workbookViewId="0">
      <pane xSplit="3" ySplit="5" topLeftCell="D6" activePane="bottomRight" state="frozen"/>
      <selection activeCell="B1" sqref="B1"/>
      <selection pane="topRight" activeCell="D1" sqref="D1"/>
      <selection pane="bottomLeft" activeCell="B6" sqref="B6"/>
      <selection pane="bottomRight" activeCell="I29" sqref="I29"/>
    </sheetView>
  </sheetViews>
  <sheetFormatPr defaultColWidth="11.42578125" defaultRowHeight="15" outlineLevelRow="1" outlineLevelCol="1" x14ac:dyDescent="0.25"/>
  <cols>
    <col min="1" max="1" width="6.85546875" hidden="1" customWidth="1" outlineLevel="1"/>
    <col min="2" max="2" width="6.85546875" customWidth="1" collapsed="1"/>
    <col min="3" max="3" width="22" customWidth="1"/>
    <col min="4" max="12" width="13.42578125" customWidth="1"/>
    <col min="14" max="17" width="11" bestFit="1" customWidth="1"/>
    <col min="18" max="18" width="12" bestFit="1" customWidth="1"/>
    <col min="19" max="19" width="11.42578125" bestFit="1" customWidth="1"/>
    <col min="20" max="20" width="11" bestFit="1" customWidth="1"/>
    <col min="21" max="21" width="11.42578125" bestFit="1" customWidth="1"/>
    <col min="22" max="24" width="11" bestFit="1" customWidth="1"/>
    <col min="25" max="25" width="12" bestFit="1" customWidth="1"/>
    <col min="26" max="26" width="11" bestFit="1" customWidth="1"/>
    <col min="27" max="44" width="12" bestFit="1" customWidth="1"/>
    <col min="45" max="45" width="13" bestFit="1" customWidth="1"/>
    <col min="46" max="46" width="12" bestFit="1" customWidth="1"/>
    <col min="47" max="49" width="13" bestFit="1" customWidth="1"/>
    <col min="51" max="51" width="9.42578125" bestFit="1" customWidth="1"/>
    <col min="52" max="53" width="11" bestFit="1" customWidth="1"/>
    <col min="54" max="54" width="10.140625" bestFit="1" customWidth="1"/>
    <col min="55" max="56" width="11" bestFit="1" customWidth="1"/>
    <col min="57" max="57" width="10.140625" bestFit="1" customWidth="1"/>
    <col min="58" max="60" width="11" bestFit="1" customWidth="1"/>
    <col min="61" max="61" width="11.42578125" bestFit="1" customWidth="1"/>
    <col min="62" max="62" width="11" bestFit="1" customWidth="1"/>
    <col min="63" max="63" width="12" bestFit="1" customWidth="1"/>
    <col min="64" max="64" width="11" bestFit="1" customWidth="1"/>
    <col min="65" max="65" width="11.42578125" bestFit="1" customWidth="1"/>
    <col min="66" max="66" width="11" bestFit="1" customWidth="1"/>
    <col min="67" max="68" width="11.42578125" bestFit="1" customWidth="1"/>
    <col min="69" max="70" width="11" bestFit="1" customWidth="1"/>
    <col min="71" max="71" width="11.42578125" bestFit="1" customWidth="1"/>
    <col min="72" max="72" width="10.140625" bestFit="1" customWidth="1"/>
    <col min="73" max="74" width="11.42578125" bestFit="1" customWidth="1"/>
    <col min="75" max="79" width="11" bestFit="1" customWidth="1"/>
    <col min="80" max="80" width="11.42578125" bestFit="1" customWidth="1"/>
    <col min="81" max="81" width="11" bestFit="1" customWidth="1"/>
    <col min="82" max="83" width="11.42578125" bestFit="1" customWidth="1"/>
    <col min="84" max="84" width="11" bestFit="1" customWidth="1"/>
    <col min="85" max="86" width="11.42578125" bestFit="1" customWidth="1"/>
    <col min="87" max="88" width="11" bestFit="1" customWidth="1"/>
    <col min="89" max="89" width="11.42578125" bestFit="1" customWidth="1"/>
    <col min="90" max="90" width="11" bestFit="1" customWidth="1"/>
    <col min="91" max="97" width="11.42578125" bestFit="1" customWidth="1"/>
    <col min="98" max="98" width="12" bestFit="1" customWidth="1"/>
    <col min="99" max="100" width="11.42578125" bestFit="1" customWidth="1"/>
    <col min="101" max="101" width="12" bestFit="1" customWidth="1"/>
    <col min="102" max="103" width="11.42578125" bestFit="1" customWidth="1"/>
    <col min="104" max="104" width="12" bestFit="1" customWidth="1"/>
    <col min="105" max="106" width="11.42578125" bestFit="1" customWidth="1"/>
    <col min="107" max="107" width="12" bestFit="1" customWidth="1"/>
    <col min="108" max="108" width="11.42578125" bestFit="1" customWidth="1"/>
    <col min="109" max="110" width="12" bestFit="1" customWidth="1"/>
    <col min="111" max="112" width="11.42578125" bestFit="1" customWidth="1"/>
    <col min="113" max="113" width="12" bestFit="1" customWidth="1"/>
    <col min="114" max="114" width="11.42578125" bestFit="1" customWidth="1"/>
    <col min="115" max="116" width="12" bestFit="1" customWidth="1"/>
    <col min="117" max="117" width="11.42578125" bestFit="1" customWidth="1"/>
    <col min="118" max="119" width="12" bestFit="1" customWidth="1"/>
    <col min="120" max="120" width="11.42578125" bestFit="1" customWidth="1"/>
    <col min="121" max="122" width="12" bestFit="1" customWidth="1"/>
    <col min="123" max="123" width="11.42578125" bestFit="1" customWidth="1"/>
    <col min="124" max="125" width="12" bestFit="1" customWidth="1"/>
    <col min="126" max="126" width="11.42578125" bestFit="1" customWidth="1"/>
    <col min="127" max="128" width="12" bestFit="1" customWidth="1"/>
    <col min="129" max="129" width="11.42578125" bestFit="1" customWidth="1"/>
    <col min="130" max="130" width="12" bestFit="1" customWidth="1"/>
    <col min="131" max="131" width="12.42578125" bestFit="1" customWidth="1"/>
    <col min="132" max="132" width="12" bestFit="1" customWidth="1"/>
    <col min="133" max="134" width="12.42578125" bestFit="1" customWidth="1"/>
    <col min="135" max="135" width="11.42578125" bestFit="1" customWidth="1"/>
    <col min="136" max="136" width="12" bestFit="1" customWidth="1"/>
    <col min="137" max="137" width="12.42578125" bestFit="1" customWidth="1"/>
    <col min="138" max="139" width="12" bestFit="1" customWidth="1"/>
    <col min="140" max="140" width="12.42578125" bestFit="1" customWidth="1"/>
    <col min="141" max="142" width="12" bestFit="1" customWidth="1"/>
    <col min="143" max="143" width="12.42578125" bestFit="1" customWidth="1"/>
    <col min="144" max="144" width="12" bestFit="1" customWidth="1"/>
    <col min="145" max="146" width="12.42578125" bestFit="1" customWidth="1"/>
    <col min="147" max="148" width="12" bestFit="1" customWidth="1"/>
    <col min="149" max="149" width="12.42578125" bestFit="1" customWidth="1"/>
    <col min="150" max="150" width="12" bestFit="1" customWidth="1"/>
    <col min="151" max="152" width="12.42578125" bestFit="1" customWidth="1"/>
    <col min="153" max="153" width="12" bestFit="1" customWidth="1"/>
    <col min="154" max="155" width="12.42578125" bestFit="1" customWidth="1"/>
    <col min="156" max="156" width="12" bestFit="1" customWidth="1"/>
    <col min="157" max="158" width="12.42578125" bestFit="1" customWidth="1"/>
  </cols>
  <sheetData>
    <row r="1" spans="3:158" s="292" customFormat="1" x14ac:dyDescent="0.25"/>
    <row r="2" spans="3:158" s="292" customFormat="1" hidden="1" outlineLevel="1" x14ac:dyDescent="0.25">
      <c r="D2" s="372" t="s">
        <v>36</v>
      </c>
      <c r="E2" s="372" t="s">
        <v>37</v>
      </c>
      <c r="F2" s="372" t="s">
        <v>38</v>
      </c>
      <c r="G2" s="372" t="s">
        <v>39</v>
      </c>
      <c r="H2" s="372" t="s">
        <v>40</v>
      </c>
      <c r="I2" s="372" t="s">
        <v>41</v>
      </c>
      <c r="J2" s="372" t="s">
        <v>233</v>
      </c>
      <c r="K2" s="372" t="s">
        <v>234</v>
      </c>
      <c r="L2" s="372" t="s">
        <v>235</v>
      </c>
      <c r="AY2" s="372" t="s">
        <v>36</v>
      </c>
      <c r="AZ2" s="372" t="s">
        <v>36</v>
      </c>
      <c r="BA2" s="372" t="s">
        <v>36</v>
      </c>
      <c r="BB2" s="372" t="s">
        <v>36</v>
      </c>
      <c r="BC2" s="372" t="s">
        <v>36</v>
      </c>
      <c r="BD2" s="372" t="s">
        <v>36</v>
      </c>
      <c r="BE2" s="372" t="s">
        <v>36</v>
      </c>
      <c r="BF2" s="372" t="s">
        <v>36</v>
      </c>
      <c r="BG2" s="372" t="s">
        <v>36</v>
      </c>
      <c r="BH2" s="372" t="s">
        <v>36</v>
      </c>
      <c r="BI2" s="372" t="s">
        <v>36</v>
      </c>
      <c r="BJ2" s="372" t="s">
        <v>36</v>
      </c>
      <c r="BK2" s="372" t="s">
        <v>37</v>
      </c>
      <c r="BL2" s="372" t="s">
        <v>37</v>
      </c>
      <c r="BM2" s="372" t="s">
        <v>37</v>
      </c>
      <c r="BN2" s="372" t="s">
        <v>37</v>
      </c>
      <c r="BO2" s="372" t="s">
        <v>37</v>
      </c>
      <c r="BP2" s="372" t="s">
        <v>37</v>
      </c>
      <c r="BQ2" s="372" t="s">
        <v>37</v>
      </c>
      <c r="BR2" s="372" t="s">
        <v>37</v>
      </c>
      <c r="BS2" s="372" t="s">
        <v>37</v>
      </c>
      <c r="BT2" s="372" t="s">
        <v>37</v>
      </c>
      <c r="BU2" s="372" t="s">
        <v>37</v>
      </c>
      <c r="BV2" s="372" t="s">
        <v>37</v>
      </c>
      <c r="BW2" s="372" t="s">
        <v>38</v>
      </c>
      <c r="BX2" s="372" t="s">
        <v>38</v>
      </c>
      <c r="BY2" s="372" t="s">
        <v>38</v>
      </c>
      <c r="BZ2" s="372" t="s">
        <v>38</v>
      </c>
      <c r="CA2" s="372" t="s">
        <v>38</v>
      </c>
      <c r="CB2" s="372" t="s">
        <v>38</v>
      </c>
      <c r="CC2" s="372" t="s">
        <v>38</v>
      </c>
      <c r="CD2" s="372" t="s">
        <v>38</v>
      </c>
      <c r="CE2" s="372" t="s">
        <v>38</v>
      </c>
      <c r="CF2" s="372" t="s">
        <v>38</v>
      </c>
      <c r="CG2" s="372" t="s">
        <v>38</v>
      </c>
      <c r="CH2" s="372" t="s">
        <v>38</v>
      </c>
      <c r="CI2" s="372" t="s">
        <v>39</v>
      </c>
      <c r="CJ2" s="372" t="s">
        <v>39</v>
      </c>
      <c r="CK2" s="372" t="s">
        <v>39</v>
      </c>
      <c r="CL2" s="372" t="s">
        <v>39</v>
      </c>
      <c r="CM2" s="372" t="s">
        <v>39</v>
      </c>
      <c r="CN2" s="372" t="s">
        <v>39</v>
      </c>
      <c r="CO2" s="372" t="s">
        <v>39</v>
      </c>
      <c r="CP2" s="372" t="s">
        <v>39</v>
      </c>
      <c r="CQ2" s="372" t="s">
        <v>39</v>
      </c>
      <c r="CR2" s="372" t="s">
        <v>39</v>
      </c>
      <c r="CS2" s="372" t="s">
        <v>39</v>
      </c>
      <c r="CT2" s="372" t="s">
        <v>39</v>
      </c>
      <c r="CU2" s="372" t="s">
        <v>40</v>
      </c>
      <c r="CV2" s="372" t="s">
        <v>40</v>
      </c>
      <c r="CW2" s="372" t="s">
        <v>40</v>
      </c>
      <c r="CX2" s="372" t="s">
        <v>40</v>
      </c>
      <c r="CY2" s="372" t="s">
        <v>40</v>
      </c>
      <c r="CZ2" s="372" t="s">
        <v>40</v>
      </c>
      <c r="DA2" s="372" t="s">
        <v>40</v>
      </c>
      <c r="DB2" s="372" t="s">
        <v>40</v>
      </c>
      <c r="DC2" s="372" t="s">
        <v>40</v>
      </c>
      <c r="DD2" s="372" t="s">
        <v>40</v>
      </c>
      <c r="DE2" s="372" t="s">
        <v>40</v>
      </c>
      <c r="DF2" s="372" t="s">
        <v>40</v>
      </c>
      <c r="DG2" s="372" t="s">
        <v>41</v>
      </c>
      <c r="DH2" s="372" t="s">
        <v>41</v>
      </c>
      <c r="DI2" s="372" t="s">
        <v>41</v>
      </c>
      <c r="DJ2" s="372" t="s">
        <v>41</v>
      </c>
      <c r="DK2" s="372" t="s">
        <v>41</v>
      </c>
      <c r="DL2" s="372" t="s">
        <v>41</v>
      </c>
      <c r="DM2" s="372" t="s">
        <v>41</v>
      </c>
      <c r="DN2" s="372" t="s">
        <v>41</v>
      </c>
      <c r="DO2" s="372" t="s">
        <v>41</v>
      </c>
      <c r="DP2" s="372" t="s">
        <v>41</v>
      </c>
      <c r="DQ2" s="372" t="s">
        <v>41</v>
      </c>
      <c r="DR2" s="372" t="s">
        <v>41</v>
      </c>
      <c r="DS2" s="372" t="s">
        <v>233</v>
      </c>
      <c r="DT2" s="372" t="s">
        <v>233</v>
      </c>
      <c r="DU2" s="372" t="s">
        <v>233</v>
      </c>
      <c r="DV2" s="372" t="s">
        <v>233</v>
      </c>
      <c r="DW2" s="372" t="s">
        <v>233</v>
      </c>
      <c r="DX2" s="372" t="s">
        <v>233</v>
      </c>
      <c r="DY2" s="372" t="s">
        <v>233</v>
      </c>
      <c r="DZ2" s="372" t="s">
        <v>233</v>
      </c>
      <c r="EA2" s="372" t="s">
        <v>233</v>
      </c>
      <c r="EB2" s="372" t="s">
        <v>233</v>
      </c>
      <c r="EC2" s="372" t="s">
        <v>233</v>
      </c>
      <c r="ED2" s="372" t="s">
        <v>233</v>
      </c>
      <c r="EE2" s="372" t="s">
        <v>234</v>
      </c>
      <c r="EF2" s="372" t="s">
        <v>234</v>
      </c>
      <c r="EG2" s="372" t="s">
        <v>234</v>
      </c>
      <c r="EH2" s="372" t="s">
        <v>234</v>
      </c>
      <c r="EI2" s="372" t="s">
        <v>234</v>
      </c>
      <c r="EJ2" s="372" t="s">
        <v>234</v>
      </c>
      <c r="EK2" s="372" t="s">
        <v>234</v>
      </c>
      <c r="EL2" s="372" t="s">
        <v>234</v>
      </c>
      <c r="EM2" s="372" t="s">
        <v>234</v>
      </c>
      <c r="EN2" s="372" t="s">
        <v>234</v>
      </c>
      <c r="EO2" s="372" t="s">
        <v>234</v>
      </c>
      <c r="EP2" s="372" t="s">
        <v>234</v>
      </c>
      <c r="EQ2" s="372" t="s">
        <v>235</v>
      </c>
      <c r="ER2" s="372" t="s">
        <v>235</v>
      </c>
      <c r="ES2" s="372" t="s">
        <v>235</v>
      </c>
      <c r="ET2" s="372" t="s">
        <v>235</v>
      </c>
      <c r="EU2" s="372" t="s">
        <v>235</v>
      </c>
      <c r="EV2" s="372" t="s">
        <v>235</v>
      </c>
      <c r="EW2" s="372" t="s">
        <v>235</v>
      </c>
      <c r="EX2" s="372" t="s">
        <v>235</v>
      </c>
      <c r="EY2" s="372" t="s">
        <v>235</v>
      </c>
      <c r="EZ2" s="372" t="s">
        <v>235</v>
      </c>
      <c r="FA2" s="372" t="s">
        <v>235</v>
      </c>
      <c r="FB2" s="372" t="s">
        <v>235</v>
      </c>
    </row>
    <row r="3" spans="3:158" s="292" customFormat="1" collapsed="1" x14ac:dyDescent="0.25"/>
    <row r="4" spans="3:158" s="292" customFormat="1" x14ac:dyDescent="0.25">
      <c r="D4" s="25" t="s">
        <v>53</v>
      </c>
      <c r="E4" s="25"/>
      <c r="F4" s="25"/>
      <c r="G4" s="94" t="s">
        <v>54</v>
      </c>
      <c r="H4" s="94"/>
      <c r="I4" s="94"/>
      <c r="J4" s="94"/>
      <c r="K4" s="94"/>
      <c r="L4" s="94"/>
      <c r="M4" s="1"/>
      <c r="N4" s="71" t="s">
        <v>36</v>
      </c>
      <c r="O4" s="71"/>
      <c r="P4" s="71"/>
      <c r="Q4" s="71"/>
      <c r="R4" s="69" t="s">
        <v>37</v>
      </c>
      <c r="S4" s="69"/>
      <c r="T4" s="69"/>
      <c r="U4" s="69"/>
      <c r="V4" s="71" t="s">
        <v>38</v>
      </c>
      <c r="W4" s="71"/>
      <c r="X4" s="71"/>
      <c r="Y4" s="71"/>
      <c r="Z4" s="69" t="s">
        <v>39</v>
      </c>
      <c r="AA4" s="69"/>
      <c r="AB4" s="69"/>
      <c r="AC4" s="69"/>
      <c r="AD4" s="71" t="s">
        <v>40</v>
      </c>
      <c r="AE4" s="71"/>
      <c r="AF4" s="71"/>
      <c r="AG4" s="71"/>
      <c r="AH4" s="69" t="s">
        <v>41</v>
      </c>
      <c r="AI4" s="69"/>
      <c r="AJ4" s="69"/>
      <c r="AK4" s="69"/>
      <c r="AL4" s="71" t="s">
        <v>233</v>
      </c>
      <c r="AM4" s="71"/>
      <c r="AN4" s="71"/>
      <c r="AO4" s="71"/>
      <c r="AP4" s="69" t="s">
        <v>234</v>
      </c>
      <c r="AQ4" s="69"/>
      <c r="AR4" s="69"/>
      <c r="AS4" s="69"/>
      <c r="AT4" s="71" t="s">
        <v>235</v>
      </c>
      <c r="AU4" s="71"/>
      <c r="AV4" s="71"/>
      <c r="AW4" s="71"/>
      <c r="AX4" s="1"/>
      <c r="AY4" s="71" t="s">
        <v>36</v>
      </c>
      <c r="AZ4" s="71"/>
      <c r="BA4" s="71"/>
      <c r="BB4" s="71"/>
      <c r="BC4" s="71"/>
      <c r="BD4" s="71"/>
      <c r="BE4" s="71"/>
      <c r="BF4" s="71"/>
      <c r="BG4" s="71"/>
      <c r="BH4" s="71"/>
      <c r="BI4" s="71"/>
      <c r="BJ4" s="71"/>
      <c r="BK4" s="69" t="s">
        <v>37</v>
      </c>
      <c r="BL4" s="69"/>
      <c r="BM4" s="69"/>
      <c r="BN4" s="69"/>
      <c r="BO4" s="69"/>
      <c r="BP4" s="69"/>
      <c r="BQ4" s="69"/>
      <c r="BR4" s="69"/>
      <c r="BS4" s="69"/>
      <c r="BT4" s="69"/>
      <c r="BU4" s="69"/>
      <c r="BV4" s="69"/>
      <c r="BW4" s="71" t="s">
        <v>38</v>
      </c>
      <c r="BX4" s="71"/>
      <c r="BY4" s="71"/>
      <c r="BZ4" s="71"/>
      <c r="CA4" s="71"/>
      <c r="CB4" s="71"/>
      <c r="CC4" s="71"/>
      <c r="CD4" s="71"/>
      <c r="CE4" s="71"/>
      <c r="CF4" s="71"/>
      <c r="CG4" s="71"/>
      <c r="CH4" s="71"/>
      <c r="CI4" s="69" t="s">
        <v>39</v>
      </c>
      <c r="CJ4" s="69"/>
      <c r="CK4" s="69"/>
      <c r="CL4" s="69"/>
      <c r="CM4" s="69"/>
      <c r="CN4" s="69"/>
      <c r="CO4" s="69"/>
      <c r="CP4" s="69"/>
      <c r="CQ4" s="69"/>
      <c r="CR4" s="69"/>
      <c r="CS4" s="69"/>
      <c r="CT4" s="69"/>
      <c r="CU4" s="71" t="s">
        <v>40</v>
      </c>
      <c r="CV4" s="71"/>
      <c r="CW4" s="71"/>
      <c r="CX4" s="71"/>
      <c r="CY4" s="71"/>
      <c r="CZ4" s="71"/>
      <c r="DA4" s="71"/>
      <c r="DB4" s="71"/>
      <c r="DC4" s="71"/>
      <c r="DD4" s="71"/>
      <c r="DE4" s="71"/>
      <c r="DF4" s="71"/>
      <c r="DG4" s="69" t="s">
        <v>41</v>
      </c>
      <c r="DH4" s="69"/>
      <c r="DI4" s="69"/>
      <c r="DJ4" s="69"/>
      <c r="DK4" s="69"/>
      <c r="DL4" s="69"/>
      <c r="DM4" s="69"/>
      <c r="DN4" s="69"/>
      <c r="DO4" s="69"/>
      <c r="DP4" s="69"/>
      <c r="DQ4" s="69"/>
      <c r="DR4" s="69"/>
      <c r="DS4" s="71" t="s">
        <v>233</v>
      </c>
      <c r="DT4" s="71"/>
      <c r="DU4" s="71"/>
      <c r="DV4" s="71"/>
      <c r="DW4" s="71"/>
      <c r="DX4" s="71"/>
      <c r="DY4" s="71"/>
      <c r="DZ4" s="71"/>
      <c r="EA4" s="71"/>
      <c r="EB4" s="71"/>
      <c r="EC4" s="71"/>
      <c r="ED4" s="71"/>
      <c r="EE4" s="69" t="s">
        <v>234</v>
      </c>
      <c r="EF4" s="69"/>
      <c r="EG4" s="69"/>
      <c r="EH4" s="69"/>
      <c r="EI4" s="69"/>
      <c r="EJ4" s="69"/>
      <c r="EK4" s="69"/>
      <c r="EL4" s="69"/>
      <c r="EM4" s="69"/>
      <c r="EN4" s="69"/>
      <c r="EO4" s="69"/>
      <c r="EP4" s="69"/>
      <c r="EQ4" s="71" t="s">
        <v>235</v>
      </c>
      <c r="ER4" s="71"/>
      <c r="ES4" s="71"/>
      <c r="ET4" s="71"/>
      <c r="EU4" s="71"/>
      <c r="EV4" s="71"/>
      <c r="EW4" s="71"/>
      <c r="EX4" s="71"/>
      <c r="EY4" s="71"/>
      <c r="EZ4" s="71"/>
      <c r="FA4" s="71"/>
      <c r="FB4" s="71"/>
    </row>
    <row r="5" spans="3:158" s="292" customFormat="1" x14ac:dyDescent="0.25">
      <c r="D5" s="26" t="s">
        <v>36</v>
      </c>
      <c r="E5" s="26" t="s">
        <v>37</v>
      </c>
      <c r="F5" s="26" t="s">
        <v>38</v>
      </c>
      <c r="G5" s="95" t="s">
        <v>39</v>
      </c>
      <c r="H5" s="95" t="s">
        <v>40</v>
      </c>
      <c r="I5" s="95" t="s">
        <v>41</v>
      </c>
      <c r="J5" s="95" t="s">
        <v>233</v>
      </c>
      <c r="K5" s="95" t="s">
        <v>234</v>
      </c>
      <c r="L5" s="96" t="s">
        <v>235</v>
      </c>
      <c r="M5" s="373"/>
      <c r="N5" s="72" t="s">
        <v>194</v>
      </c>
      <c r="O5" s="72" t="s">
        <v>195</v>
      </c>
      <c r="P5" s="72" t="s">
        <v>196</v>
      </c>
      <c r="Q5" s="72" t="s">
        <v>197</v>
      </c>
      <c r="R5" s="70" t="s">
        <v>198</v>
      </c>
      <c r="S5" s="70" t="s">
        <v>199</v>
      </c>
      <c r="T5" s="70" t="s">
        <v>200</v>
      </c>
      <c r="U5" s="70" t="s">
        <v>201</v>
      </c>
      <c r="V5" s="72" t="s">
        <v>202</v>
      </c>
      <c r="W5" s="72" t="s">
        <v>203</v>
      </c>
      <c r="X5" s="72" t="s">
        <v>204</v>
      </c>
      <c r="Y5" s="72" t="s">
        <v>205</v>
      </c>
      <c r="Z5" s="70" t="s">
        <v>206</v>
      </c>
      <c r="AA5" s="70" t="s">
        <v>207</v>
      </c>
      <c r="AB5" s="70" t="s">
        <v>208</v>
      </c>
      <c r="AC5" s="70" t="s">
        <v>209</v>
      </c>
      <c r="AD5" s="72" t="s">
        <v>210</v>
      </c>
      <c r="AE5" s="72" t="s">
        <v>211</v>
      </c>
      <c r="AF5" s="72" t="s">
        <v>212</v>
      </c>
      <c r="AG5" s="72" t="s">
        <v>213</v>
      </c>
      <c r="AH5" s="70" t="s">
        <v>214</v>
      </c>
      <c r="AI5" s="70" t="s">
        <v>215</v>
      </c>
      <c r="AJ5" s="70" t="s">
        <v>216</v>
      </c>
      <c r="AK5" s="70" t="s">
        <v>217</v>
      </c>
      <c r="AL5" s="72" t="s">
        <v>236</v>
      </c>
      <c r="AM5" s="72" t="s">
        <v>237</v>
      </c>
      <c r="AN5" s="72" t="s">
        <v>238</v>
      </c>
      <c r="AO5" s="72" t="s">
        <v>239</v>
      </c>
      <c r="AP5" s="70" t="s">
        <v>240</v>
      </c>
      <c r="AQ5" s="70" t="s">
        <v>241</v>
      </c>
      <c r="AR5" s="70" t="s">
        <v>242</v>
      </c>
      <c r="AS5" s="70" t="s">
        <v>243</v>
      </c>
      <c r="AT5" s="72" t="s">
        <v>244</v>
      </c>
      <c r="AU5" s="72" t="s">
        <v>245</v>
      </c>
      <c r="AV5" s="72" t="s">
        <v>246</v>
      </c>
      <c r="AW5" s="72" t="s">
        <v>247</v>
      </c>
      <c r="AX5" s="373"/>
      <c r="AY5" s="72">
        <v>43132</v>
      </c>
      <c r="AZ5" s="72">
        <v>43160</v>
      </c>
      <c r="BA5" s="73">
        <v>43191</v>
      </c>
      <c r="BB5" s="73">
        <v>43221</v>
      </c>
      <c r="BC5" s="73">
        <v>43252</v>
      </c>
      <c r="BD5" s="73">
        <v>43282</v>
      </c>
      <c r="BE5" s="73">
        <v>43313</v>
      </c>
      <c r="BF5" s="73">
        <v>43344</v>
      </c>
      <c r="BG5" s="74">
        <v>43374</v>
      </c>
      <c r="BH5" s="73">
        <v>43405</v>
      </c>
      <c r="BI5" s="73">
        <v>43435</v>
      </c>
      <c r="BJ5" s="73">
        <v>43466</v>
      </c>
      <c r="BK5" s="75">
        <v>43497</v>
      </c>
      <c r="BL5" s="75">
        <v>43525</v>
      </c>
      <c r="BM5" s="75">
        <v>43556</v>
      </c>
      <c r="BN5" s="75">
        <v>43586</v>
      </c>
      <c r="BO5" s="75">
        <v>43617</v>
      </c>
      <c r="BP5" s="75">
        <v>43647</v>
      </c>
      <c r="BQ5" s="75">
        <v>43678</v>
      </c>
      <c r="BR5" s="75">
        <v>43709</v>
      </c>
      <c r="BS5" s="75">
        <v>43739</v>
      </c>
      <c r="BT5" s="75">
        <v>43770</v>
      </c>
      <c r="BU5" s="75">
        <v>43800</v>
      </c>
      <c r="BV5" s="75">
        <v>43831</v>
      </c>
      <c r="BW5" s="73">
        <v>43862</v>
      </c>
      <c r="BX5" s="73">
        <v>43891</v>
      </c>
      <c r="BY5" s="73">
        <v>43922</v>
      </c>
      <c r="BZ5" s="73">
        <v>43952</v>
      </c>
      <c r="CA5" s="73">
        <v>43983</v>
      </c>
      <c r="CB5" s="73">
        <v>44013</v>
      </c>
      <c r="CC5" s="73">
        <v>44044</v>
      </c>
      <c r="CD5" s="73">
        <v>44075</v>
      </c>
      <c r="CE5" s="73">
        <v>44105</v>
      </c>
      <c r="CF5" s="73">
        <v>44136</v>
      </c>
      <c r="CG5" s="73">
        <v>44166</v>
      </c>
      <c r="CH5" s="73">
        <v>44197</v>
      </c>
      <c r="CI5" s="75">
        <v>44228</v>
      </c>
      <c r="CJ5" s="75">
        <v>44256</v>
      </c>
      <c r="CK5" s="75">
        <v>44287</v>
      </c>
      <c r="CL5" s="75">
        <v>44317</v>
      </c>
      <c r="CM5" s="75">
        <v>44348</v>
      </c>
      <c r="CN5" s="75">
        <v>44378</v>
      </c>
      <c r="CO5" s="75">
        <v>44409</v>
      </c>
      <c r="CP5" s="75">
        <v>44440</v>
      </c>
      <c r="CQ5" s="75">
        <v>44470</v>
      </c>
      <c r="CR5" s="75">
        <v>44501</v>
      </c>
      <c r="CS5" s="75">
        <v>44531</v>
      </c>
      <c r="CT5" s="75">
        <v>44562</v>
      </c>
      <c r="CU5" s="73">
        <v>44593</v>
      </c>
      <c r="CV5" s="73">
        <v>44621</v>
      </c>
      <c r="CW5" s="73">
        <v>44652</v>
      </c>
      <c r="CX5" s="73">
        <v>44682</v>
      </c>
      <c r="CY5" s="73">
        <v>44713</v>
      </c>
      <c r="CZ5" s="73">
        <v>44743</v>
      </c>
      <c r="DA5" s="73">
        <v>44774</v>
      </c>
      <c r="DB5" s="73">
        <v>44805</v>
      </c>
      <c r="DC5" s="73">
        <v>44835</v>
      </c>
      <c r="DD5" s="73">
        <v>44866</v>
      </c>
      <c r="DE5" s="73">
        <v>44896</v>
      </c>
      <c r="DF5" s="73">
        <v>44927</v>
      </c>
      <c r="DG5" s="75">
        <v>44958</v>
      </c>
      <c r="DH5" s="75">
        <v>44986</v>
      </c>
      <c r="DI5" s="75">
        <v>45017</v>
      </c>
      <c r="DJ5" s="75">
        <v>45047</v>
      </c>
      <c r="DK5" s="75">
        <v>45078</v>
      </c>
      <c r="DL5" s="75">
        <v>45108</v>
      </c>
      <c r="DM5" s="75">
        <v>45139</v>
      </c>
      <c r="DN5" s="75">
        <v>45170</v>
      </c>
      <c r="DO5" s="75">
        <v>45200</v>
      </c>
      <c r="DP5" s="75">
        <v>45231</v>
      </c>
      <c r="DQ5" s="75">
        <v>45261</v>
      </c>
      <c r="DR5" s="75">
        <v>45292</v>
      </c>
      <c r="DS5" s="73">
        <v>45323</v>
      </c>
      <c r="DT5" s="73">
        <v>45352</v>
      </c>
      <c r="DU5" s="73">
        <v>45383</v>
      </c>
      <c r="DV5" s="73">
        <v>45413</v>
      </c>
      <c r="DW5" s="73">
        <v>45444</v>
      </c>
      <c r="DX5" s="73">
        <v>45474</v>
      </c>
      <c r="DY5" s="73">
        <v>45505</v>
      </c>
      <c r="DZ5" s="73">
        <v>45536</v>
      </c>
      <c r="EA5" s="73">
        <v>45566</v>
      </c>
      <c r="EB5" s="73">
        <v>45597</v>
      </c>
      <c r="EC5" s="73">
        <v>45627</v>
      </c>
      <c r="ED5" s="73">
        <v>45658</v>
      </c>
      <c r="EE5" s="75">
        <v>45689</v>
      </c>
      <c r="EF5" s="75">
        <v>45717</v>
      </c>
      <c r="EG5" s="75">
        <v>45748</v>
      </c>
      <c r="EH5" s="75">
        <v>45778</v>
      </c>
      <c r="EI5" s="75">
        <v>45809</v>
      </c>
      <c r="EJ5" s="75">
        <v>45839</v>
      </c>
      <c r="EK5" s="75">
        <v>45870</v>
      </c>
      <c r="EL5" s="75">
        <v>45901</v>
      </c>
      <c r="EM5" s="75">
        <v>45931</v>
      </c>
      <c r="EN5" s="75">
        <v>45962</v>
      </c>
      <c r="EO5" s="75">
        <v>45992</v>
      </c>
      <c r="EP5" s="75">
        <v>46023</v>
      </c>
      <c r="EQ5" s="73">
        <v>46054</v>
      </c>
      <c r="ER5" s="73">
        <v>46082</v>
      </c>
      <c r="ES5" s="73">
        <v>46113</v>
      </c>
      <c r="ET5" s="73">
        <v>46143</v>
      </c>
      <c r="EU5" s="73">
        <v>46174</v>
      </c>
      <c r="EV5" s="73">
        <v>46204</v>
      </c>
      <c r="EW5" s="73">
        <v>46235</v>
      </c>
      <c r="EX5" s="73">
        <v>46266</v>
      </c>
      <c r="EY5" s="73">
        <v>46296</v>
      </c>
      <c r="EZ5" s="73">
        <v>46327</v>
      </c>
      <c r="FA5" s="73">
        <v>46357</v>
      </c>
      <c r="FB5" s="73">
        <v>46388</v>
      </c>
    </row>
    <row r="6" spans="3:158" s="292" customFormat="1" x14ac:dyDescent="0.25">
      <c r="C6" s="1"/>
      <c r="D6" s="374"/>
      <c r="E6" s="374"/>
    </row>
    <row r="7" spans="3:158" s="292" customFormat="1" x14ac:dyDescent="0.25">
      <c r="C7" s="3" t="s">
        <v>634</v>
      </c>
      <c r="D7" s="375"/>
      <c r="E7" s="375"/>
      <c r="F7" s="376"/>
      <c r="G7" s="376"/>
      <c r="H7" s="376"/>
      <c r="I7" s="376"/>
      <c r="J7" s="376"/>
      <c r="K7" s="376"/>
      <c r="L7" s="376"/>
      <c r="M7" s="376"/>
      <c r="N7" s="376"/>
      <c r="O7" s="376"/>
      <c r="P7" s="376"/>
      <c r="Q7" s="376"/>
      <c r="R7" s="376"/>
      <c r="S7" s="376"/>
      <c r="T7" s="376"/>
      <c r="U7" s="376"/>
      <c r="V7" s="376"/>
      <c r="W7" s="376"/>
      <c r="X7" s="376"/>
      <c r="Y7" s="376"/>
      <c r="Z7" s="376"/>
      <c r="AA7" s="376"/>
      <c r="AB7" s="376"/>
      <c r="AC7" s="376"/>
      <c r="AD7" s="376"/>
      <c r="AE7" s="376"/>
      <c r="AF7" s="376"/>
      <c r="AG7" s="376"/>
      <c r="AH7" s="376"/>
      <c r="AI7" s="376"/>
      <c r="AJ7" s="376"/>
      <c r="AK7" s="376"/>
      <c r="AL7" s="376"/>
      <c r="AM7" s="376"/>
      <c r="AN7" s="376"/>
      <c r="AO7" s="376"/>
      <c r="AP7" s="376"/>
      <c r="AQ7" s="376"/>
      <c r="AR7" s="376"/>
      <c r="AS7" s="376"/>
      <c r="AT7" s="376"/>
      <c r="AU7" s="376"/>
      <c r="AV7" s="376"/>
      <c r="AW7" s="376"/>
      <c r="AX7" s="376"/>
      <c r="AY7" s="376"/>
      <c r="AZ7" s="376"/>
      <c r="BA7" s="376"/>
      <c r="BB7" s="376"/>
      <c r="BC7" s="376"/>
      <c r="BD7" s="376"/>
      <c r="BE7" s="376"/>
      <c r="BF7" s="376"/>
      <c r="BG7" s="376"/>
      <c r="BH7" s="376"/>
      <c r="BI7" s="376"/>
      <c r="BJ7" s="376"/>
      <c r="BK7" s="376"/>
      <c r="BL7" s="376"/>
      <c r="BM7" s="376"/>
      <c r="BN7" s="376"/>
      <c r="BO7" s="376"/>
      <c r="BP7" s="376"/>
      <c r="BQ7" s="376"/>
      <c r="BR7" s="376"/>
      <c r="BS7" s="376"/>
      <c r="BT7" s="376"/>
      <c r="BU7" s="376"/>
      <c r="BV7" s="376"/>
      <c r="BW7" s="376"/>
      <c r="BX7" s="376"/>
      <c r="BY7" s="376"/>
      <c r="BZ7" s="376"/>
      <c r="CA7" s="376"/>
      <c r="CB7" s="376"/>
      <c r="CC7" s="376"/>
      <c r="CD7" s="376"/>
      <c r="CE7" s="376"/>
      <c r="CF7" s="376"/>
      <c r="CG7" s="376"/>
      <c r="CH7" s="376"/>
      <c r="CI7" s="376"/>
      <c r="CJ7" s="376"/>
      <c r="CK7" s="376"/>
      <c r="CL7" s="376"/>
      <c r="CM7" s="376"/>
      <c r="CN7" s="376"/>
      <c r="CO7" s="376"/>
      <c r="CP7" s="376"/>
      <c r="CQ7" s="376"/>
      <c r="CR7" s="376"/>
      <c r="CS7" s="376"/>
      <c r="CT7" s="376"/>
      <c r="CU7" s="376"/>
      <c r="CV7" s="376"/>
      <c r="CW7" s="376"/>
      <c r="CX7" s="376"/>
      <c r="CY7" s="376"/>
      <c r="CZ7" s="376"/>
      <c r="DA7" s="376"/>
      <c r="DB7" s="376"/>
      <c r="DC7" s="376"/>
      <c r="DD7" s="376"/>
      <c r="DE7" s="376"/>
      <c r="DF7" s="376"/>
      <c r="DG7" s="376"/>
      <c r="DH7" s="376"/>
      <c r="DI7" s="376"/>
      <c r="DJ7" s="376"/>
      <c r="DK7" s="376"/>
      <c r="DL7" s="376"/>
      <c r="DM7" s="376"/>
      <c r="DN7" s="376"/>
      <c r="DO7" s="376"/>
      <c r="DP7" s="376"/>
      <c r="DQ7" s="376"/>
      <c r="DR7" s="376"/>
      <c r="DS7" s="376"/>
      <c r="DT7" s="376"/>
      <c r="DU7" s="376"/>
      <c r="DV7" s="376"/>
      <c r="DW7" s="376"/>
      <c r="DX7" s="376"/>
      <c r="DY7" s="376"/>
      <c r="DZ7" s="376"/>
      <c r="EA7" s="376"/>
      <c r="EB7" s="376"/>
      <c r="EC7" s="376"/>
      <c r="ED7" s="376"/>
      <c r="EE7" s="376"/>
      <c r="EF7" s="376"/>
      <c r="EG7" s="376"/>
      <c r="EH7" s="376"/>
      <c r="EI7" s="376"/>
      <c r="EJ7" s="376"/>
      <c r="EK7" s="376"/>
      <c r="EL7" s="376"/>
      <c r="EM7" s="376"/>
      <c r="EN7" s="376"/>
      <c r="EO7" s="376"/>
      <c r="EP7" s="376"/>
      <c r="EQ7" s="376"/>
      <c r="ER7" s="376"/>
      <c r="ES7" s="376"/>
      <c r="ET7" s="376"/>
      <c r="EU7" s="376"/>
      <c r="EV7" s="376"/>
      <c r="EW7" s="376"/>
      <c r="EX7" s="376"/>
      <c r="EY7" s="376"/>
      <c r="EZ7" s="376"/>
      <c r="FA7" s="376"/>
      <c r="FB7" s="376"/>
    </row>
    <row r="8" spans="3:158" s="292" customFormat="1" x14ac:dyDescent="0.25"/>
    <row r="9" spans="3:158" s="292" customFormat="1" x14ac:dyDescent="0.25">
      <c r="C9" s="292" t="s">
        <v>249</v>
      </c>
      <c r="D9" s="30">
        <f t="shared" ref="D9:L11" si="0">SUMIF($AY$2:$FB$2,D$2,$AY9:$FB9)</f>
        <v>18909925.300000001</v>
      </c>
      <c r="E9" s="30">
        <f t="shared" si="0"/>
        <v>27736807.890914999</v>
      </c>
      <c r="F9" s="30">
        <f t="shared" si="0"/>
        <v>32341969.564102001</v>
      </c>
      <c r="G9" s="30">
        <f t="shared" si="0"/>
        <v>63932242.320432998</v>
      </c>
      <c r="H9" s="30">
        <f t="shared" si="0"/>
        <v>87500000</v>
      </c>
      <c r="I9" s="30">
        <f t="shared" si="0"/>
        <v>129062499.99999997</v>
      </c>
      <c r="J9" s="30">
        <f t="shared" si="0"/>
        <v>187140625</v>
      </c>
      <c r="K9" s="30">
        <f t="shared" si="0"/>
        <v>266675390.62499997</v>
      </c>
      <c r="L9" s="30">
        <f t="shared" si="0"/>
        <v>373345546.87499994</v>
      </c>
      <c r="N9" s="68">
        <f t="shared" ref="N9" si="1">SUM(AY9:BA9)</f>
        <v>3412608.1</v>
      </c>
      <c r="O9" s="68">
        <f t="shared" ref="O9" si="2">SUM(BB9:BD9)</f>
        <v>4179978.8</v>
      </c>
      <c r="P9" s="68">
        <f t="shared" ref="P9" si="3">SUM(BE9:BG9)</f>
        <v>4303066.46</v>
      </c>
      <c r="Q9" s="68">
        <f t="shared" ref="Q9" si="4">SUM(BH9:BJ9)</f>
        <v>7014271.9399999995</v>
      </c>
      <c r="R9" s="68">
        <f t="shared" ref="R9" si="5">SUM(BK9:BM9)</f>
        <v>5688324.290000001</v>
      </c>
      <c r="S9" s="68">
        <f t="shared" ref="S9" si="6">SUM(BN9:BP9)</f>
        <v>7504547.8499999996</v>
      </c>
      <c r="T9" s="68">
        <f t="shared" ref="T9" si="7">SUM(BQ9:BS9)</f>
        <v>6013138.3099999996</v>
      </c>
      <c r="U9" s="68">
        <f t="shared" ref="U9" si="8">SUM(BT9:BV9)</f>
        <v>8530797.4409149997</v>
      </c>
      <c r="V9" s="68">
        <f t="shared" ref="V9" si="9">SUM(BW9:BY9)</f>
        <v>5225613.073663</v>
      </c>
      <c r="W9" s="68">
        <f t="shared" ref="W9" si="10">SUM(BZ9:CB9)</f>
        <v>8110905.6492659999</v>
      </c>
      <c r="X9" s="68">
        <f t="shared" ref="X9" si="11">SUM(CC9:CE9)</f>
        <v>8152575.106958</v>
      </c>
      <c r="Y9" s="68">
        <f t="shared" ref="Y9" si="12">SUM(CF9:CH9)</f>
        <v>10852875.734214999</v>
      </c>
      <c r="Z9" s="68">
        <f t="shared" ref="Z9" si="13">SUM(CI9:CK9)</f>
        <v>9068644.246173</v>
      </c>
      <c r="AA9" s="68">
        <f t="shared" ref="AA9" si="14">SUM(CL9:CN9)</f>
        <v>14187110.57426</v>
      </c>
      <c r="AB9" s="68">
        <f t="shared" ref="AB9" si="15">SUM(CO9:CQ9)</f>
        <v>17298700</v>
      </c>
      <c r="AC9" s="68">
        <f t="shared" ref="AC9" si="16">SUM(CR9:CT9)</f>
        <v>23377787.5</v>
      </c>
      <c r="AD9" s="68">
        <f t="shared" ref="AD9" si="17">SUM(CU9:CW9)</f>
        <v>15485236.658152631</v>
      </c>
      <c r="AE9" s="68">
        <f t="shared" ref="AE9" si="18">SUM(CX9:CZ9)</f>
        <v>20603198.124783106</v>
      </c>
      <c r="AF9" s="68">
        <f t="shared" ref="AF9" si="19">SUM(DA9:DC9)</f>
        <v>20312333.791441206</v>
      </c>
      <c r="AG9" s="68">
        <f t="shared" ref="AG9" si="20">SUM(DD9:DF9)</f>
        <v>31099231.425623044</v>
      </c>
      <c r="AH9" s="68">
        <f t="shared" ref="AH9" si="21">SUM(DG9:DI9)</f>
        <v>23537661.570775133</v>
      </c>
      <c r="AI9" s="68">
        <f t="shared" ref="AI9" si="22">SUM(DJ9:DL9)</f>
        <v>31938467.23405508</v>
      </c>
      <c r="AJ9" s="68">
        <f t="shared" ref="AJ9" si="23">SUM(DM9:DO9)</f>
        <v>29960692.342375778</v>
      </c>
      <c r="AK9" s="68">
        <f t="shared" ref="AK9" si="24">SUM(DP9:DR9)</f>
        <v>43625678.852793992</v>
      </c>
      <c r="AL9" s="68">
        <f t="shared" ref="AL9" si="25">SUM(DS9:DU9)</f>
        <v>34129609.277623937</v>
      </c>
      <c r="AM9" s="68">
        <f t="shared" ref="AM9" si="26">SUM(DV9:DX9)</f>
        <v>46310777.489379868</v>
      </c>
      <c r="AN9" s="68">
        <f t="shared" ref="AN9" si="27">SUM(DY9:EA9)</f>
        <v>43443003.896444879</v>
      </c>
      <c r="AO9" s="68">
        <f t="shared" ref="AO9" si="28">SUM(EB9:ED9)</f>
        <v>63257234.336551294</v>
      </c>
      <c r="AP9" s="68">
        <f t="shared" ref="AP9" si="29">SUM(EE9:EG9)</f>
        <v>48634693.22061412</v>
      </c>
      <c r="AQ9" s="68">
        <f t="shared" ref="AQ9" si="30">SUM(EH9:EJ9)</f>
        <v>65992857.922366314</v>
      </c>
      <c r="AR9" s="68">
        <f t="shared" ref="AR9" si="31">SUM(EK9:EM9)</f>
        <v>61906280.55243396</v>
      </c>
      <c r="AS9" s="68">
        <f t="shared" ref="AS9" si="32">SUM(EN9:EP9)</f>
        <v>90141558.929585591</v>
      </c>
      <c r="AT9" s="68">
        <f t="shared" ref="AT9" si="33">SUM(EQ9:ES9)</f>
        <v>68088570.508859754</v>
      </c>
      <c r="AU9" s="68">
        <f t="shared" ref="AU9" si="34">SUM(ET9:EV9)</f>
        <v>92390001.091312826</v>
      </c>
      <c r="AV9" s="68">
        <f t="shared" ref="AV9" si="35">SUM(EW9:EY9)</f>
        <v>86668792.773407549</v>
      </c>
      <c r="AW9" s="68">
        <f t="shared" ref="AW9" si="36">SUM(EZ9:FB9)</f>
        <v>126198182.50141981</v>
      </c>
      <c r="AY9" s="68">
        <f>SUM(ARR!AY41:AY42)</f>
        <v>247639</v>
      </c>
      <c r="AZ9" s="68">
        <f>SUM(ARR!AZ41:AZ42)</f>
        <v>1082032.83</v>
      </c>
      <c r="BA9" s="68">
        <f>SUM(ARR!BA41:BA42)</f>
        <v>2082936.27</v>
      </c>
      <c r="BB9" s="68">
        <f>SUM(ARR!BB41:BB42)</f>
        <v>656601.42999999993</v>
      </c>
      <c r="BC9" s="68">
        <f>SUM(ARR!BC41:BC42)</f>
        <v>1521663.65</v>
      </c>
      <c r="BD9" s="68">
        <f>SUM(ARR!BD41:BD42)</f>
        <v>2001713.72</v>
      </c>
      <c r="BE9" s="68">
        <f>SUM(ARR!BE41:BE42)</f>
        <v>778126.66999999993</v>
      </c>
      <c r="BF9" s="68">
        <f>SUM(ARR!BF41:BF42)</f>
        <v>1114502.46</v>
      </c>
      <c r="BG9" s="68">
        <f>SUM(ARR!BG41:BG42)</f>
        <v>2410437.33</v>
      </c>
      <c r="BH9" s="68">
        <f>SUM(ARR!BH41:BH42)</f>
        <v>1197012.17</v>
      </c>
      <c r="BI9" s="68">
        <f>SUM(ARR!BI41:BI42)</f>
        <v>3090129.67</v>
      </c>
      <c r="BJ9" s="68">
        <f>SUM(ARR!BJ41:BJ42)</f>
        <v>2727130.1</v>
      </c>
      <c r="BK9" s="68">
        <f>SUM(ARR!BK41:BK42)</f>
        <v>787013.33000000007</v>
      </c>
      <c r="BL9" s="68">
        <f>SUM(ARR!BL41:BL42)</f>
        <v>1407691.33</v>
      </c>
      <c r="BM9" s="68">
        <f>SUM(ARR!BM41:BM42)</f>
        <v>3493619.6300000004</v>
      </c>
      <c r="BN9" s="68">
        <f>SUM(ARR!BN41:BN42)</f>
        <v>1326125.7599999998</v>
      </c>
      <c r="BO9" s="68">
        <f>SUM(ARR!BO41:BO42)</f>
        <v>3115569.38</v>
      </c>
      <c r="BP9" s="68">
        <f>SUM(ARR!BP41:BP42)</f>
        <v>3062852.71</v>
      </c>
      <c r="BQ9" s="68">
        <f>SUM(ARR!BQ41:BQ42)</f>
        <v>1222005.3999999999</v>
      </c>
      <c r="BR9" s="68">
        <f>SUM(ARR!BR41:BR42)</f>
        <v>1307988.67</v>
      </c>
      <c r="BS9" s="68">
        <f>SUM(ARR!BS41:BS42)</f>
        <v>3483144.2399999998</v>
      </c>
      <c r="BT9" s="68">
        <f>SUM(ARR!BT41:BT42)</f>
        <v>797405.54</v>
      </c>
      <c r="BU9" s="68">
        <f>SUM(ARR!BU41:BU42)</f>
        <v>3345936.4699999997</v>
      </c>
      <c r="BV9" s="68">
        <f>SUM(ARR!BV41:BV42)</f>
        <v>4387455.4309149999</v>
      </c>
      <c r="BW9" s="68">
        <f>SUM(ARR!BW41:BW42)</f>
        <v>1103269.5</v>
      </c>
      <c r="BX9" s="68">
        <f>SUM(ARR!BX41:BX42)</f>
        <v>1671254.3752009999</v>
      </c>
      <c r="BY9" s="68">
        <f>SUM(ARR!BY41:BY42)</f>
        <v>2451089.1984620001</v>
      </c>
      <c r="BZ9" s="68">
        <f>SUM(ARR!BZ41:BZ42)</f>
        <v>1682250.2295600001</v>
      </c>
      <c r="CA9" s="68">
        <f>SUM(ARR!CA41:CA42)</f>
        <v>1926495.5395229999</v>
      </c>
      <c r="CB9" s="68">
        <f>SUM(ARR!CB41:CB42)</f>
        <v>4502159.8801830001</v>
      </c>
      <c r="CC9" s="68">
        <f>SUM(ARR!CC41:CC42)</f>
        <v>1050087.6471790001</v>
      </c>
      <c r="CD9" s="68">
        <f>SUM(ARR!CD41:CD42)</f>
        <v>3354858.583991</v>
      </c>
      <c r="CE9" s="68">
        <f>SUM(ARR!CE41:CE42)</f>
        <v>3747628.8757879999</v>
      </c>
      <c r="CF9" s="68">
        <f>SUM(ARR!CF41:CF42)</f>
        <v>1583669.9761549998</v>
      </c>
      <c r="CG9" s="68">
        <f>SUM(ARR!CG41:CG42)</f>
        <v>3917228.8316860003</v>
      </c>
      <c r="CH9" s="68">
        <f>SUM(ARR!CH41:CH42)</f>
        <v>5351976.9263739996</v>
      </c>
      <c r="CI9" s="68">
        <f>SUM(ARR!CI41:CI42)</f>
        <v>1467244.9398469999</v>
      </c>
      <c r="CJ9" s="68">
        <f>SUM(ARR!CJ41:CJ42)</f>
        <v>2248533.3673879998</v>
      </c>
      <c r="CK9" s="68">
        <f>SUM(ARR!CK41:CK42)</f>
        <v>5352865.9389380002</v>
      </c>
      <c r="CL9" s="68">
        <f>SUM(ARR!CL41:CL42)</f>
        <v>2606228.0054259999</v>
      </c>
      <c r="CM9" s="68">
        <f>SUM(ARR!CM41:CM42)</f>
        <v>4225782.8039159998</v>
      </c>
      <c r="CN9" s="68">
        <f>SUM(ARR!CN41:CN42)</f>
        <v>7355099.7649179995</v>
      </c>
      <c r="CO9" s="68">
        <f>SUM(ARR!CO41:CO42)</f>
        <v>2594805</v>
      </c>
      <c r="CP9" s="68">
        <f>SUM(ARR!CP41:CP42)</f>
        <v>6054545</v>
      </c>
      <c r="CQ9" s="68">
        <f>SUM(ARR!CQ41:CQ42)</f>
        <v>8649350</v>
      </c>
      <c r="CR9" s="68">
        <f>SUM(ARR!CR41:CR42)</f>
        <v>2337778.75</v>
      </c>
      <c r="CS9" s="68">
        <f>SUM(ARR!CS41:CS42)</f>
        <v>9351115</v>
      </c>
      <c r="CT9" s="68">
        <f>SUM(ARR!CT41:CT42)</f>
        <v>11688893.75</v>
      </c>
      <c r="CU9" s="68">
        <f>SUM(ARR!CU41:CU42)</f>
        <v>2046994.5611031479</v>
      </c>
      <c r="CV9" s="68">
        <f>SUM(ARR!CV41:CV42)</f>
        <v>4498858.7276137024</v>
      </c>
      <c r="CW9" s="68">
        <f>SUM(ARR!CW41:CW42)</f>
        <v>8939383.3694357798</v>
      </c>
      <c r="CX9" s="68">
        <f>SUM(ARR!CX41:CX42)</f>
        <v>3574319.3234480647</v>
      </c>
      <c r="CY9" s="68">
        <f>SUM(ARR!CY41:CY42)</f>
        <v>7010547.8766366532</v>
      </c>
      <c r="CZ9" s="68">
        <f>SUM(ARR!CZ41:CZ42)</f>
        <v>10018330.924698386</v>
      </c>
      <c r="DA9" s="68">
        <f>SUM(ARR!DA41:DA42)</f>
        <v>3432174.4974752935</v>
      </c>
      <c r="DB9" s="68">
        <f>SUM(ARR!DB41:DB42)</f>
        <v>6119907.0509495568</v>
      </c>
      <c r="DC9" s="68">
        <f>SUM(ARR!DC41:DC42)</f>
        <v>10760252.243016355</v>
      </c>
      <c r="DD9" s="68">
        <f>SUM(ARR!DD41:DD42)</f>
        <v>4620470.7984550577</v>
      </c>
      <c r="DE9" s="68">
        <f>SUM(ARR!DE41:DE42)</f>
        <v>12324777.469713585</v>
      </c>
      <c r="DF9" s="68">
        <f>SUM(ARR!DF41:DF42)</f>
        <v>14153983.157454403</v>
      </c>
      <c r="DG9" s="68">
        <f>SUM(ARR!DG41:DG42)</f>
        <v>3251629.4776271433</v>
      </c>
      <c r="DH9" s="68">
        <f>SUM(ARR!DH41:DH42)</f>
        <v>6868129.1232302114</v>
      </c>
      <c r="DI9" s="68">
        <f>SUM(ARR!DI41:DI42)</f>
        <v>13417902.969917778</v>
      </c>
      <c r="DJ9" s="68">
        <f>SUM(ARR!DJ41:DJ42)</f>
        <v>5788371.0020858943</v>
      </c>
      <c r="DK9" s="68">
        <f>SUM(ARR!DK41:DK42)</f>
        <v>10856808.118039064</v>
      </c>
      <c r="DL9" s="68">
        <f>SUM(ARR!DL41:DL42)</f>
        <v>15293288.113930121</v>
      </c>
      <c r="DM9" s="68">
        <f>SUM(ARR!DM41:DM42)</f>
        <v>5062457.3837760594</v>
      </c>
      <c r="DN9" s="68">
        <f>SUM(ARR!DN41:DN42)</f>
        <v>9026862.9001505971</v>
      </c>
      <c r="DO9" s="68">
        <f>SUM(ARR!DO41:DO42)</f>
        <v>15871372.058449123</v>
      </c>
      <c r="DP9" s="68">
        <f>SUM(ARR!DP41:DP42)</f>
        <v>6066631.9277212098</v>
      </c>
      <c r="DQ9" s="68">
        <f>SUM(ARR!DQ41:DQ42)</f>
        <v>17430484.267827541</v>
      </c>
      <c r="DR9" s="68">
        <f>SUM(ARR!DR41:DR42)</f>
        <v>20128562.657245245</v>
      </c>
      <c r="DS9" s="68">
        <f>SUM(ARR!DS41:DS42)</f>
        <v>4714862.7425593585</v>
      </c>
      <c r="DT9" s="68">
        <f>SUM(ARR!DT41:DT42)</f>
        <v>9958787.228683807</v>
      </c>
      <c r="DU9" s="68">
        <f>SUM(ARR!DU41:DU42)</f>
        <v>19455959.306380775</v>
      </c>
      <c r="DV9" s="68">
        <f>SUM(ARR!DV41:DV42)</f>
        <v>8393137.9530245494</v>
      </c>
      <c r="DW9" s="68">
        <f>SUM(ARR!DW41:DW42)</f>
        <v>15742371.771156644</v>
      </c>
      <c r="DX9" s="68">
        <f>SUM(ARR!DX41:DX42)</f>
        <v>22175267.765198678</v>
      </c>
      <c r="DY9" s="68">
        <f>SUM(ARR!DY41:DY42)</f>
        <v>7340563.2064752858</v>
      </c>
      <c r="DZ9" s="68">
        <f>SUM(ARR!DZ41:DZ42)</f>
        <v>13088951.205218364</v>
      </c>
      <c r="EA9" s="68">
        <f>SUM(ARR!EA41:EA42)</f>
        <v>23013489.484751232</v>
      </c>
      <c r="EB9" s="68">
        <f>SUM(ARR!EB41:EB42)</f>
        <v>8796616.2951957546</v>
      </c>
      <c r="EC9" s="68">
        <f>SUM(ARR!EC41:EC42)</f>
        <v>25274202.188349932</v>
      </c>
      <c r="ED9" s="68">
        <f>SUM(ARR!ED41:ED42)</f>
        <v>29186415.853005603</v>
      </c>
      <c r="EE9" s="68">
        <f>SUM(ARR!EE41:EE42)</f>
        <v>6718679.4081470855</v>
      </c>
      <c r="EF9" s="68">
        <f>SUM(ARR!EF41:EF42)</f>
        <v>14191271.800874427</v>
      </c>
      <c r="EG9" s="68">
        <f>SUM(ARR!EG41:EG42)</f>
        <v>27724742.011592608</v>
      </c>
      <c r="EH9" s="68">
        <f>SUM(ARR!EH41:EH42)</f>
        <v>11960221.583059981</v>
      </c>
      <c r="EI9" s="68">
        <f>SUM(ARR!EI41:EI42)</f>
        <v>22432879.773898218</v>
      </c>
      <c r="EJ9" s="68">
        <f>SUM(ARR!EJ41:EJ42)</f>
        <v>31599756.565408118</v>
      </c>
      <c r="EK9" s="68">
        <f>SUM(ARR!EK41:EK42)</f>
        <v>10460302.569227282</v>
      </c>
      <c r="EL9" s="68">
        <f>SUM(ARR!EL41:EL42)</f>
        <v>18651755.467436172</v>
      </c>
      <c r="EM9" s="68">
        <f>SUM(ARR!EM41:EM42)</f>
        <v>32794222.515770506</v>
      </c>
      <c r="EN9" s="68">
        <f>SUM(ARR!EN41:EN42)</f>
        <v>12535178.220653949</v>
      </c>
      <c r="EO9" s="68">
        <f>SUM(ARR!EO41:EO42)</f>
        <v>36015738.118398651</v>
      </c>
      <c r="EP9" s="68">
        <f>SUM(ARR!EP41:EP42)</f>
        <v>41590642.590532988</v>
      </c>
      <c r="EQ9" s="68">
        <f>SUM(ARR!EQ41:EQ42)</f>
        <v>9406151.1714059189</v>
      </c>
      <c r="ER9" s="68">
        <f>SUM(ARR!ER41:ER42)</f>
        <v>19867780.521224193</v>
      </c>
      <c r="ES9" s="68">
        <f>SUM(ARR!ES41:ES42)</f>
        <v>38814638.816229649</v>
      </c>
      <c r="ET9" s="68">
        <f>SUM(ARR!ET41:ET42)</f>
        <v>16744310.216283973</v>
      </c>
      <c r="EU9" s="68">
        <f>SUM(ARR!EU41:EU42)</f>
        <v>31406031.683457505</v>
      </c>
      <c r="EV9" s="68">
        <f>SUM(ARR!EV41:EV42)</f>
        <v>44239659.191571355</v>
      </c>
      <c r="EW9" s="68">
        <f>SUM(ARR!EW41:EW42)</f>
        <v>14644423.596918197</v>
      </c>
      <c r="EX9" s="68">
        <f>SUM(ARR!EX41:EX42)</f>
        <v>26112457.654410638</v>
      </c>
      <c r="EY9" s="68">
        <f>SUM(ARR!EY41:EY42)</f>
        <v>45911911.522078708</v>
      </c>
      <c r="EZ9" s="68">
        <f>SUM(ARR!EZ41:EZ42)</f>
        <v>17549249.508915529</v>
      </c>
      <c r="FA9" s="68">
        <f>SUM(ARR!FA41:FA42)</f>
        <v>50422033.365758114</v>
      </c>
      <c r="FB9" s="68">
        <f>SUM(ARR!FB41:FB42)</f>
        <v>58226899.626746185</v>
      </c>
    </row>
    <row r="10" spans="3:158" x14ac:dyDescent="0.25">
      <c r="C10" t="s">
        <v>725</v>
      </c>
      <c r="D10" s="422">
        <v>0.35</v>
      </c>
      <c r="E10" s="422">
        <v>0.35</v>
      </c>
      <c r="F10" s="422">
        <v>0.3856</v>
      </c>
      <c r="G10" s="422">
        <v>0.378</v>
      </c>
      <c r="H10" s="422">
        <f>G10</f>
        <v>0.378</v>
      </c>
      <c r="I10" s="422">
        <f t="shared" ref="I10:L10" si="37">H10</f>
        <v>0.378</v>
      </c>
      <c r="J10" s="422">
        <f t="shared" si="37"/>
        <v>0.378</v>
      </c>
      <c r="K10" s="422">
        <f t="shared" si="37"/>
        <v>0.378</v>
      </c>
      <c r="L10" s="422">
        <f t="shared" si="37"/>
        <v>0.378</v>
      </c>
      <c r="N10" s="415">
        <f>N11/N9</f>
        <v>0.35</v>
      </c>
      <c r="O10" s="415">
        <f t="shared" ref="O10:AW10" si="38">O11/O9</f>
        <v>0.35</v>
      </c>
      <c r="P10" s="415">
        <f t="shared" si="38"/>
        <v>0.35</v>
      </c>
      <c r="Q10" s="415">
        <f t="shared" si="38"/>
        <v>0.35</v>
      </c>
      <c r="R10" s="415">
        <f t="shared" si="38"/>
        <v>0.34999999999999992</v>
      </c>
      <c r="S10" s="415">
        <f t="shared" si="38"/>
        <v>0.35</v>
      </c>
      <c r="T10" s="415">
        <f t="shared" si="38"/>
        <v>0.35000000000000003</v>
      </c>
      <c r="U10" s="415">
        <f t="shared" si="38"/>
        <v>0.35</v>
      </c>
      <c r="V10" s="415">
        <f t="shared" si="38"/>
        <v>0.3856</v>
      </c>
      <c r="W10" s="415">
        <f t="shared" si="38"/>
        <v>0.3856</v>
      </c>
      <c r="X10" s="415">
        <f t="shared" si="38"/>
        <v>0.38559999999999994</v>
      </c>
      <c r="Y10" s="415">
        <f t="shared" si="38"/>
        <v>0.38560000000000005</v>
      </c>
      <c r="Z10" s="415">
        <f t="shared" si="38"/>
        <v>0.378</v>
      </c>
      <c r="AA10" s="415">
        <f t="shared" si="38"/>
        <v>0.378</v>
      </c>
      <c r="AB10" s="415">
        <f t="shared" si="38"/>
        <v>0.378</v>
      </c>
      <c r="AC10" s="415">
        <f t="shared" si="38"/>
        <v>0.37800000000000006</v>
      </c>
      <c r="AD10" s="415">
        <f t="shared" si="38"/>
        <v>0.378</v>
      </c>
      <c r="AE10" s="415">
        <f t="shared" si="38"/>
        <v>0.37799999999999995</v>
      </c>
      <c r="AF10" s="415">
        <f t="shared" si="38"/>
        <v>0.378</v>
      </c>
      <c r="AG10" s="415">
        <f t="shared" si="38"/>
        <v>0.37800000000000006</v>
      </c>
      <c r="AH10" s="415">
        <f t="shared" si="38"/>
        <v>0.37799999999999995</v>
      </c>
      <c r="AI10" s="415">
        <f t="shared" si="38"/>
        <v>0.37800000000000006</v>
      </c>
      <c r="AJ10" s="415">
        <f t="shared" si="38"/>
        <v>0.378</v>
      </c>
      <c r="AK10" s="415">
        <f t="shared" si="38"/>
        <v>0.378</v>
      </c>
      <c r="AL10" s="415">
        <f t="shared" si="38"/>
        <v>0.37800000000000006</v>
      </c>
      <c r="AM10" s="415">
        <f t="shared" si="38"/>
        <v>0.37800000000000006</v>
      </c>
      <c r="AN10" s="415">
        <f t="shared" si="38"/>
        <v>0.37800000000000006</v>
      </c>
      <c r="AO10" s="415">
        <f t="shared" si="38"/>
        <v>0.378</v>
      </c>
      <c r="AP10" s="415">
        <f t="shared" si="38"/>
        <v>0.37800000000000006</v>
      </c>
      <c r="AQ10" s="415">
        <f t="shared" si="38"/>
        <v>0.378</v>
      </c>
      <c r="AR10" s="415">
        <f t="shared" si="38"/>
        <v>0.378</v>
      </c>
      <c r="AS10" s="415">
        <f t="shared" si="38"/>
        <v>0.378</v>
      </c>
      <c r="AT10" s="415">
        <f t="shared" si="38"/>
        <v>0.378</v>
      </c>
      <c r="AU10" s="415">
        <f t="shared" si="38"/>
        <v>0.37800000000000006</v>
      </c>
      <c r="AV10" s="415">
        <f t="shared" si="38"/>
        <v>0.378</v>
      </c>
      <c r="AW10" s="415">
        <f t="shared" si="38"/>
        <v>0.37800000000000006</v>
      </c>
      <c r="AY10" s="414">
        <f>INDEX($D10:$L10,1,MATCH(AY$2,$D$2:$L$2,))</f>
        <v>0.35</v>
      </c>
      <c r="AZ10" s="414">
        <f t="shared" ref="AZ10:DK10" si="39">INDEX($D10:$L10,1,MATCH(AZ$2,$D$2:$L$2,))</f>
        <v>0.35</v>
      </c>
      <c r="BA10" s="414">
        <f t="shared" si="39"/>
        <v>0.35</v>
      </c>
      <c r="BB10" s="414">
        <f t="shared" si="39"/>
        <v>0.35</v>
      </c>
      <c r="BC10" s="414">
        <f t="shared" si="39"/>
        <v>0.35</v>
      </c>
      <c r="BD10" s="414">
        <f t="shared" si="39"/>
        <v>0.35</v>
      </c>
      <c r="BE10" s="414">
        <f t="shared" si="39"/>
        <v>0.35</v>
      </c>
      <c r="BF10" s="414">
        <f t="shared" si="39"/>
        <v>0.35</v>
      </c>
      <c r="BG10" s="414">
        <f t="shared" si="39"/>
        <v>0.35</v>
      </c>
      <c r="BH10" s="414">
        <f t="shared" si="39"/>
        <v>0.35</v>
      </c>
      <c r="BI10" s="414">
        <f t="shared" si="39"/>
        <v>0.35</v>
      </c>
      <c r="BJ10" s="414">
        <f t="shared" si="39"/>
        <v>0.35</v>
      </c>
      <c r="BK10" s="414">
        <f t="shared" si="39"/>
        <v>0.35</v>
      </c>
      <c r="BL10" s="414">
        <f t="shared" si="39"/>
        <v>0.35</v>
      </c>
      <c r="BM10" s="414">
        <f t="shared" si="39"/>
        <v>0.35</v>
      </c>
      <c r="BN10" s="414">
        <f t="shared" si="39"/>
        <v>0.35</v>
      </c>
      <c r="BO10" s="414">
        <f t="shared" si="39"/>
        <v>0.35</v>
      </c>
      <c r="BP10" s="414">
        <f t="shared" si="39"/>
        <v>0.35</v>
      </c>
      <c r="BQ10" s="414">
        <f t="shared" si="39"/>
        <v>0.35</v>
      </c>
      <c r="BR10" s="414">
        <f t="shared" si="39"/>
        <v>0.35</v>
      </c>
      <c r="BS10" s="414">
        <f t="shared" si="39"/>
        <v>0.35</v>
      </c>
      <c r="BT10" s="414">
        <f t="shared" si="39"/>
        <v>0.35</v>
      </c>
      <c r="BU10" s="414">
        <f t="shared" si="39"/>
        <v>0.35</v>
      </c>
      <c r="BV10" s="414">
        <f t="shared" si="39"/>
        <v>0.35</v>
      </c>
      <c r="BW10" s="414">
        <f t="shared" si="39"/>
        <v>0.3856</v>
      </c>
      <c r="BX10" s="414">
        <f t="shared" si="39"/>
        <v>0.3856</v>
      </c>
      <c r="BY10" s="414">
        <f t="shared" si="39"/>
        <v>0.3856</v>
      </c>
      <c r="BZ10" s="414">
        <f t="shared" si="39"/>
        <v>0.3856</v>
      </c>
      <c r="CA10" s="414">
        <f t="shared" si="39"/>
        <v>0.3856</v>
      </c>
      <c r="CB10" s="414">
        <f t="shared" si="39"/>
        <v>0.3856</v>
      </c>
      <c r="CC10" s="414">
        <f t="shared" si="39"/>
        <v>0.3856</v>
      </c>
      <c r="CD10" s="414">
        <f t="shared" si="39"/>
        <v>0.3856</v>
      </c>
      <c r="CE10" s="414">
        <f t="shared" si="39"/>
        <v>0.3856</v>
      </c>
      <c r="CF10" s="414">
        <f t="shared" si="39"/>
        <v>0.3856</v>
      </c>
      <c r="CG10" s="414">
        <f t="shared" si="39"/>
        <v>0.3856</v>
      </c>
      <c r="CH10" s="414">
        <f t="shared" si="39"/>
        <v>0.3856</v>
      </c>
      <c r="CI10" s="414">
        <f t="shared" si="39"/>
        <v>0.378</v>
      </c>
      <c r="CJ10" s="414">
        <f t="shared" si="39"/>
        <v>0.378</v>
      </c>
      <c r="CK10" s="414">
        <f t="shared" si="39"/>
        <v>0.378</v>
      </c>
      <c r="CL10" s="414">
        <f t="shared" si="39"/>
        <v>0.378</v>
      </c>
      <c r="CM10" s="414">
        <f t="shared" si="39"/>
        <v>0.378</v>
      </c>
      <c r="CN10" s="414">
        <f t="shared" si="39"/>
        <v>0.378</v>
      </c>
      <c r="CO10" s="414">
        <f t="shared" si="39"/>
        <v>0.378</v>
      </c>
      <c r="CP10" s="414">
        <f t="shared" si="39"/>
        <v>0.378</v>
      </c>
      <c r="CQ10" s="414">
        <f t="shared" si="39"/>
        <v>0.378</v>
      </c>
      <c r="CR10" s="414">
        <f t="shared" si="39"/>
        <v>0.378</v>
      </c>
      <c r="CS10" s="414">
        <f t="shared" si="39"/>
        <v>0.378</v>
      </c>
      <c r="CT10" s="414">
        <f t="shared" si="39"/>
        <v>0.378</v>
      </c>
      <c r="CU10" s="414">
        <f t="shared" si="39"/>
        <v>0.378</v>
      </c>
      <c r="CV10" s="414">
        <f t="shared" si="39"/>
        <v>0.378</v>
      </c>
      <c r="CW10" s="414">
        <f t="shared" si="39"/>
        <v>0.378</v>
      </c>
      <c r="CX10" s="414">
        <f t="shared" si="39"/>
        <v>0.378</v>
      </c>
      <c r="CY10" s="414">
        <f t="shared" si="39"/>
        <v>0.378</v>
      </c>
      <c r="CZ10" s="414">
        <f t="shared" si="39"/>
        <v>0.378</v>
      </c>
      <c r="DA10" s="414">
        <f t="shared" si="39"/>
        <v>0.378</v>
      </c>
      <c r="DB10" s="414">
        <f t="shared" si="39"/>
        <v>0.378</v>
      </c>
      <c r="DC10" s="414">
        <f t="shared" si="39"/>
        <v>0.378</v>
      </c>
      <c r="DD10" s="414">
        <f t="shared" si="39"/>
        <v>0.378</v>
      </c>
      <c r="DE10" s="414">
        <f t="shared" si="39"/>
        <v>0.378</v>
      </c>
      <c r="DF10" s="414">
        <f t="shared" si="39"/>
        <v>0.378</v>
      </c>
      <c r="DG10" s="414">
        <f t="shared" si="39"/>
        <v>0.378</v>
      </c>
      <c r="DH10" s="414">
        <f t="shared" si="39"/>
        <v>0.378</v>
      </c>
      <c r="DI10" s="414">
        <f t="shared" si="39"/>
        <v>0.378</v>
      </c>
      <c r="DJ10" s="414">
        <f t="shared" si="39"/>
        <v>0.378</v>
      </c>
      <c r="DK10" s="414">
        <f t="shared" si="39"/>
        <v>0.378</v>
      </c>
      <c r="DL10" s="414">
        <f t="shared" ref="DL10:FB10" si="40">INDEX($D10:$L10,1,MATCH(DL$2,$D$2:$L$2,))</f>
        <v>0.378</v>
      </c>
      <c r="DM10" s="414">
        <f t="shared" si="40"/>
        <v>0.378</v>
      </c>
      <c r="DN10" s="414">
        <f t="shared" si="40"/>
        <v>0.378</v>
      </c>
      <c r="DO10" s="414">
        <f t="shared" si="40"/>
        <v>0.378</v>
      </c>
      <c r="DP10" s="414">
        <f t="shared" si="40"/>
        <v>0.378</v>
      </c>
      <c r="DQ10" s="414">
        <f t="shared" si="40"/>
        <v>0.378</v>
      </c>
      <c r="DR10" s="414">
        <f t="shared" si="40"/>
        <v>0.378</v>
      </c>
      <c r="DS10" s="414">
        <f t="shared" si="40"/>
        <v>0.378</v>
      </c>
      <c r="DT10" s="414">
        <f t="shared" si="40"/>
        <v>0.378</v>
      </c>
      <c r="DU10" s="414">
        <f t="shared" si="40"/>
        <v>0.378</v>
      </c>
      <c r="DV10" s="414">
        <f t="shared" si="40"/>
        <v>0.378</v>
      </c>
      <c r="DW10" s="414">
        <f t="shared" si="40"/>
        <v>0.378</v>
      </c>
      <c r="DX10" s="414">
        <f t="shared" si="40"/>
        <v>0.378</v>
      </c>
      <c r="DY10" s="414">
        <f t="shared" si="40"/>
        <v>0.378</v>
      </c>
      <c r="DZ10" s="414">
        <f t="shared" si="40"/>
        <v>0.378</v>
      </c>
      <c r="EA10" s="414">
        <f t="shared" si="40"/>
        <v>0.378</v>
      </c>
      <c r="EB10" s="414">
        <f t="shared" si="40"/>
        <v>0.378</v>
      </c>
      <c r="EC10" s="414">
        <f t="shared" si="40"/>
        <v>0.378</v>
      </c>
      <c r="ED10" s="414">
        <f t="shared" si="40"/>
        <v>0.378</v>
      </c>
      <c r="EE10" s="414">
        <f t="shared" si="40"/>
        <v>0.378</v>
      </c>
      <c r="EF10" s="414">
        <f t="shared" si="40"/>
        <v>0.378</v>
      </c>
      <c r="EG10" s="414">
        <f t="shared" si="40"/>
        <v>0.378</v>
      </c>
      <c r="EH10" s="414">
        <f t="shared" si="40"/>
        <v>0.378</v>
      </c>
      <c r="EI10" s="414">
        <f t="shared" si="40"/>
        <v>0.378</v>
      </c>
      <c r="EJ10" s="414">
        <f t="shared" si="40"/>
        <v>0.378</v>
      </c>
      <c r="EK10" s="414">
        <f t="shared" si="40"/>
        <v>0.378</v>
      </c>
      <c r="EL10" s="414">
        <f t="shared" si="40"/>
        <v>0.378</v>
      </c>
      <c r="EM10" s="414">
        <f t="shared" si="40"/>
        <v>0.378</v>
      </c>
      <c r="EN10" s="414">
        <f t="shared" si="40"/>
        <v>0.378</v>
      </c>
      <c r="EO10" s="414">
        <f t="shared" si="40"/>
        <v>0.378</v>
      </c>
      <c r="EP10" s="414">
        <f t="shared" si="40"/>
        <v>0.378</v>
      </c>
      <c r="EQ10" s="414">
        <f t="shared" si="40"/>
        <v>0.378</v>
      </c>
      <c r="ER10" s="414">
        <f t="shared" si="40"/>
        <v>0.378</v>
      </c>
      <c r="ES10" s="414">
        <f t="shared" si="40"/>
        <v>0.378</v>
      </c>
      <c r="ET10" s="414">
        <f t="shared" si="40"/>
        <v>0.378</v>
      </c>
      <c r="EU10" s="414">
        <f t="shared" si="40"/>
        <v>0.378</v>
      </c>
      <c r="EV10" s="414">
        <f t="shared" si="40"/>
        <v>0.378</v>
      </c>
      <c r="EW10" s="414">
        <f t="shared" si="40"/>
        <v>0.378</v>
      </c>
      <c r="EX10" s="414">
        <f t="shared" si="40"/>
        <v>0.378</v>
      </c>
      <c r="EY10" s="414">
        <f t="shared" si="40"/>
        <v>0.378</v>
      </c>
      <c r="EZ10" s="414">
        <f t="shared" si="40"/>
        <v>0.378</v>
      </c>
      <c r="FA10" s="414">
        <f t="shared" si="40"/>
        <v>0.378</v>
      </c>
      <c r="FB10" s="414">
        <f t="shared" si="40"/>
        <v>0.378</v>
      </c>
    </row>
    <row r="11" spans="3:158" s="292" customFormat="1" x14ac:dyDescent="0.25">
      <c r="C11" s="292" t="s">
        <v>790</v>
      </c>
      <c r="D11" s="30">
        <f t="shared" si="0"/>
        <v>6618473.8549999995</v>
      </c>
      <c r="E11" s="30">
        <f t="shared" si="0"/>
        <v>9707882.7618202493</v>
      </c>
      <c r="F11" s="30">
        <f t="shared" si="0"/>
        <v>12471063.463917732</v>
      </c>
      <c r="G11" s="30">
        <f t="shared" si="0"/>
        <v>24166387.597123668</v>
      </c>
      <c r="H11" s="30">
        <f t="shared" si="0"/>
        <v>33074999.999999996</v>
      </c>
      <c r="I11" s="30">
        <f t="shared" si="0"/>
        <v>48785625</v>
      </c>
      <c r="J11" s="30">
        <f t="shared" si="0"/>
        <v>70739156.25</v>
      </c>
      <c r="K11" s="30">
        <f t="shared" si="0"/>
        <v>100803297.65624999</v>
      </c>
      <c r="L11" s="30">
        <f t="shared" si="0"/>
        <v>141124616.71875</v>
      </c>
      <c r="N11" s="68">
        <f t="shared" ref="N11" si="41">SUM(AY11:BA11)</f>
        <v>1194412.835</v>
      </c>
      <c r="O11" s="68">
        <f t="shared" ref="O11" si="42">SUM(BB11:BD11)</f>
        <v>1462992.5799999998</v>
      </c>
      <c r="P11" s="68">
        <f t="shared" ref="P11" si="43">SUM(BE11:BG11)</f>
        <v>1506073.2609999999</v>
      </c>
      <c r="Q11" s="68">
        <f t="shared" ref="Q11" si="44">SUM(BH11:BJ11)</f>
        <v>2454995.1789999995</v>
      </c>
      <c r="R11" s="68">
        <f t="shared" ref="R11" si="45">SUM(BK11:BM11)</f>
        <v>1990913.5015</v>
      </c>
      <c r="S11" s="68">
        <f t="shared" ref="S11" si="46">SUM(BN11:BP11)</f>
        <v>2626591.7474999996</v>
      </c>
      <c r="T11" s="68">
        <f t="shared" ref="T11" si="47">SUM(BQ11:BS11)</f>
        <v>2104598.4084999999</v>
      </c>
      <c r="U11" s="68">
        <f t="shared" ref="U11" si="48">SUM(BT11:BV11)</f>
        <v>2985779.1043202495</v>
      </c>
      <c r="V11" s="68">
        <f t="shared" ref="V11" si="49">SUM(BW11:BY11)</f>
        <v>2014996.4012044528</v>
      </c>
      <c r="W11" s="68">
        <f t="shared" ref="W11" si="50">SUM(BZ11:CB11)</f>
        <v>3127565.2183569698</v>
      </c>
      <c r="X11" s="68">
        <f t="shared" ref="X11" si="51">SUM(CC11:CE11)</f>
        <v>3143632.9612430045</v>
      </c>
      <c r="Y11" s="68">
        <f t="shared" ref="Y11" si="52">SUM(CF11:CH11)</f>
        <v>4184868.8831133042</v>
      </c>
      <c r="Z11" s="68">
        <f t="shared" ref="Z11" si="53">SUM(CI11:CK11)</f>
        <v>3427947.525053394</v>
      </c>
      <c r="AA11" s="68">
        <f t="shared" ref="AA11" si="54">SUM(CL11:CN11)</f>
        <v>5362727.7970702797</v>
      </c>
      <c r="AB11" s="68">
        <f t="shared" ref="AB11" si="55">SUM(CO11:CQ11)</f>
        <v>6538908.5999999996</v>
      </c>
      <c r="AC11" s="68">
        <f t="shared" ref="AC11" si="56">SUM(CR11:CT11)</f>
        <v>8836803.6750000007</v>
      </c>
      <c r="AD11" s="68">
        <f t="shared" ref="AD11" si="57">SUM(CU11:CW11)</f>
        <v>5853419.4567816947</v>
      </c>
      <c r="AE11" s="68">
        <f t="shared" ref="AE11" si="58">SUM(CX11:CZ11)</f>
        <v>7788008.8911680132</v>
      </c>
      <c r="AF11" s="68">
        <f t="shared" ref="AF11" si="59">SUM(DA11:DC11)</f>
        <v>7678062.1731647756</v>
      </c>
      <c r="AG11" s="68">
        <f t="shared" ref="AG11" si="60">SUM(DD11:DF11)</f>
        <v>11755509.478885513</v>
      </c>
      <c r="AH11" s="68">
        <f t="shared" ref="AH11" si="61">SUM(DG11:DI11)</f>
        <v>8897236.0737529993</v>
      </c>
      <c r="AI11" s="68">
        <f t="shared" ref="AI11" si="62">SUM(DJ11:DL11)</f>
        <v>12072740.614472821</v>
      </c>
      <c r="AJ11" s="68">
        <f t="shared" ref="AJ11" si="63">SUM(DM11:DO11)</f>
        <v>11325141.705418045</v>
      </c>
      <c r="AK11" s="68">
        <f t="shared" ref="AK11" si="64">SUM(DP11:DR11)</f>
        <v>16490506.606356129</v>
      </c>
      <c r="AL11" s="68">
        <f t="shared" ref="AL11" si="65">SUM(DS11:DU11)</f>
        <v>12900992.30694185</v>
      </c>
      <c r="AM11" s="68">
        <f t="shared" ref="AM11" si="66">SUM(DV11:DX11)</f>
        <v>17505473.890985593</v>
      </c>
      <c r="AN11" s="68">
        <f t="shared" ref="AN11" si="67">SUM(DY11:EA11)</f>
        <v>16421455.472856166</v>
      </c>
      <c r="AO11" s="68">
        <f t="shared" ref="AO11" si="68">SUM(EB11:ED11)</f>
        <v>23911234.579216391</v>
      </c>
      <c r="AP11" s="68">
        <f t="shared" ref="AP11" si="69">SUM(EE11:EG11)</f>
        <v>18383914.037392139</v>
      </c>
      <c r="AQ11" s="68">
        <f t="shared" ref="AQ11" si="70">SUM(EH11:EJ11)</f>
        <v>24945300.294654466</v>
      </c>
      <c r="AR11" s="68">
        <f t="shared" ref="AR11" si="71">SUM(EK11:EM11)</f>
        <v>23400574.048820037</v>
      </c>
      <c r="AS11" s="68">
        <f t="shared" ref="AS11" si="72">SUM(EN11:EP11)</f>
        <v>34073509.275383353</v>
      </c>
      <c r="AT11" s="68">
        <f t="shared" ref="AT11" si="73">SUM(EQ11:ES11)</f>
        <v>25737479.652348988</v>
      </c>
      <c r="AU11" s="68">
        <f t="shared" ref="AU11" si="74">SUM(ET11:EV11)</f>
        <v>34923420.412516251</v>
      </c>
      <c r="AV11" s="68">
        <f t="shared" ref="AV11" si="75">SUM(EW11:EY11)</f>
        <v>32760803.668348052</v>
      </c>
      <c r="AW11" s="68">
        <f t="shared" ref="AW11" si="76">SUM(EZ11:FB11)</f>
        <v>47702912.985536695</v>
      </c>
      <c r="AY11" s="68">
        <f>AY9*AY10</f>
        <v>86673.65</v>
      </c>
      <c r="AZ11" s="68">
        <f t="shared" ref="AZ11:DK11" si="77">AZ9*AZ10</f>
        <v>378711.49050000001</v>
      </c>
      <c r="BA11" s="68">
        <f t="shared" si="77"/>
        <v>729027.69449999998</v>
      </c>
      <c r="BB11" s="68">
        <f t="shared" si="77"/>
        <v>229810.50049999997</v>
      </c>
      <c r="BC11" s="68">
        <f t="shared" si="77"/>
        <v>532582.27749999997</v>
      </c>
      <c r="BD11" s="68">
        <f t="shared" si="77"/>
        <v>700599.80199999991</v>
      </c>
      <c r="BE11" s="68">
        <f t="shared" si="77"/>
        <v>272344.33449999994</v>
      </c>
      <c r="BF11" s="68">
        <f t="shared" si="77"/>
        <v>390075.86099999998</v>
      </c>
      <c r="BG11" s="68">
        <f t="shared" si="77"/>
        <v>843653.06550000003</v>
      </c>
      <c r="BH11" s="68">
        <f t="shared" si="77"/>
        <v>418954.25949999993</v>
      </c>
      <c r="BI11" s="68">
        <f t="shared" si="77"/>
        <v>1081545.3844999999</v>
      </c>
      <c r="BJ11" s="68">
        <f t="shared" si="77"/>
        <v>954495.53499999992</v>
      </c>
      <c r="BK11" s="68">
        <f t="shared" si="77"/>
        <v>275454.6655</v>
      </c>
      <c r="BL11" s="68">
        <f t="shared" si="77"/>
        <v>492691.96549999999</v>
      </c>
      <c r="BM11" s="68">
        <f t="shared" si="77"/>
        <v>1222766.8705</v>
      </c>
      <c r="BN11" s="68">
        <f t="shared" si="77"/>
        <v>464144.01599999989</v>
      </c>
      <c r="BO11" s="68">
        <f t="shared" si="77"/>
        <v>1090449.2829999998</v>
      </c>
      <c r="BP11" s="68">
        <f t="shared" si="77"/>
        <v>1071998.4484999999</v>
      </c>
      <c r="BQ11" s="68">
        <f t="shared" si="77"/>
        <v>427701.88999999996</v>
      </c>
      <c r="BR11" s="68">
        <f t="shared" si="77"/>
        <v>457796.03449999995</v>
      </c>
      <c r="BS11" s="68">
        <f t="shared" si="77"/>
        <v>1219100.4839999999</v>
      </c>
      <c r="BT11" s="68">
        <f t="shared" si="77"/>
        <v>279091.93900000001</v>
      </c>
      <c r="BU11" s="68">
        <f t="shared" si="77"/>
        <v>1171077.7644999998</v>
      </c>
      <c r="BV11" s="68">
        <f t="shared" si="77"/>
        <v>1535609.4008202499</v>
      </c>
      <c r="BW11" s="68">
        <f t="shared" si="77"/>
        <v>425420.71919999999</v>
      </c>
      <c r="BX11" s="68">
        <f t="shared" si="77"/>
        <v>644435.68707750551</v>
      </c>
      <c r="BY11" s="68">
        <f t="shared" si="77"/>
        <v>945139.99492694729</v>
      </c>
      <c r="BZ11" s="68">
        <f t="shared" si="77"/>
        <v>648675.68851833604</v>
      </c>
      <c r="CA11" s="68">
        <f t="shared" si="77"/>
        <v>742856.68004006881</v>
      </c>
      <c r="CB11" s="68">
        <f t="shared" si="77"/>
        <v>1736032.8497985648</v>
      </c>
      <c r="CC11" s="68">
        <f t="shared" si="77"/>
        <v>404913.79675222241</v>
      </c>
      <c r="CD11" s="68">
        <f t="shared" si="77"/>
        <v>1293633.4699869296</v>
      </c>
      <c r="CE11" s="68">
        <f t="shared" si="77"/>
        <v>1445085.6945038529</v>
      </c>
      <c r="CF11" s="68">
        <f t="shared" si="77"/>
        <v>610663.14280536794</v>
      </c>
      <c r="CG11" s="68">
        <f t="shared" si="77"/>
        <v>1510483.4374981218</v>
      </c>
      <c r="CH11" s="68">
        <f t="shared" si="77"/>
        <v>2063722.3028098142</v>
      </c>
      <c r="CI11" s="68">
        <f t="shared" si="77"/>
        <v>554618.58726216597</v>
      </c>
      <c r="CJ11" s="68">
        <f t="shared" si="77"/>
        <v>849945.61287266389</v>
      </c>
      <c r="CK11" s="68">
        <f t="shared" si="77"/>
        <v>2023383.3249185642</v>
      </c>
      <c r="CL11" s="68">
        <f t="shared" si="77"/>
        <v>985154.18605102797</v>
      </c>
      <c r="CM11" s="68">
        <f t="shared" si="77"/>
        <v>1597345.8998802479</v>
      </c>
      <c r="CN11" s="68">
        <f t="shared" si="77"/>
        <v>2780227.7111390037</v>
      </c>
      <c r="CO11" s="68">
        <f t="shared" si="77"/>
        <v>980836.29</v>
      </c>
      <c r="CP11" s="68">
        <f t="shared" si="77"/>
        <v>2288618.0100000002</v>
      </c>
      <c r="CQ11" s="68">
        <f t="shared" si="77"/>
        <v>3269454.3</v>
      </c>
      <c r="CR11" s="68">
        <f t="shared" si="77"/>
        <v>883680.36750000005</v>
      </c>
      <c r="CS11" s="68">
        <f t="shared" si="77"/>
        <v>3534721.47</v>
      </c>
      <c r="CT11" s="68">
        <f t="shared" si="77"/>
        <v>4418401.8375000004</v>
      </c>
      <c r="CU11" s="68">
        <f t="shared" si="77"/>
        <v>773763.94409698993</v>
      </c>
      <c r="CV11" s="68">
        <f t="shared" si="77"/>
        <v>1700568.5990379795</v>
      </c>
      <c r="CW11" s="68">
        <f t="shared" si="77"/>
        <v>3379086.9136467245</v>
      </c>
      <c r="CX11" s="68">
        <f t="shared" si="77"/>
        <v>1351092.7042633684</v>
      </c>
      <c r="CY11" s="68">
        <f t="shared" si="77"/>
        <v>2649987.0973686548</v>
      </c>
      <c r="CZ11" s="68">
        <f t="shared" si="77"/>
        <v>3786929.0895359903</v>
      </c>
      <c r="DA11" s="68">
        <f t="shared" si="77"/>
        <v>1297361.9600456608</v>
      </c>
      <c r="DB11" s="68">
        <f t="shared" si="77"/>
        <v>2313324.8652589326</v>
      </c>
      <c r="DC11" s="68">
        <f t="shared" si="77"/>
        <v>4067375.3478601822</v>
      </c>
      <c r="DD11" s="68">
        <f t="shared" si="77"/>
        <v>1746537.9618160117</v>
      </c>
      <c r="DE11" s="68">
        <f t="shared" si="77"/>
        <v>4658765.8835517354</v>
      </c>
      <c r="DF11" s="68">
        <f t="shared" si="77"/>
        <v>5350205.6335177645</v>
      </c>
      <c r="DG11" s="68">
        <f t="shared" si="77"/>
        <v>1229115.9425430601</v>
      </c>
      <c r="DH11" s="68">
        <f t="shared" si="77"/>
        <v>2596152.8085810198</v>
      </c>
      <c r="DI11" s="68">
        <f t="shared" si="77"/>
        <v>5071967.32262892</v>
      </c>
      <c r="DJ11" s="68">
        <f t="shared" si="77"/>
        <v>2188004.2387884683</v>
      </c>
      <c r="DK11" s="68">
        <f t="shared" si="77"/>
        <v>4103873.4686187664</v>
      </c>
      <c r="DL11" s="68">
        <f t="shared" ref="DL11:FB11" si="78">DL9*DL10</f>
        <v>5780862.9070655862</v>
      </c>
      <c r="DM11" s="68">
        <f t="shared" si="78"/>
        <v>1913608.8910673505</v>
      </c>
      <c r="DN11" s="68">
        <f t="shared" si="78"/>
        <v>3412154.1762569258</v>
      </c>
      <c r="DO11" s="68">
        <f t="shared" si="78"/>
        <v>5999378.6380937686</v>
      </c>
      <c r="DP11" s="68">
        <f t="shared" si="78"/>
        <v>2293186.8686786173</v>
      </c>
      <c r="DQ11" s="68">
        <f t="shared" si="78"/>
        <v>6588723.05323881</v>
      </c>
      <c r="DR11" s="68">
        <f t="shared" si="78"/>
        <v>7608596.6844387027</v>
      </c>
      <c r="DS11" s="68">
        <f t="shared" si="78"/>
        <v>1782218.1166874375</v>
      </c>
      <c r="DT11" s="68">
        <f t="shared" si="78"/>
        <v>3764421.572442479</v>
      </c>
      <c r="DU11" s="68">
        <f t="shared" si="78"/>
        <v>7354352.6178119332</v>
      </c>
      <c r="DV11" s="68">
        <f t="shared" si="78"/>
        <v>3172606.1462432798</v>
      </c>
      <c r="DW11" s="68">
        <f t="shared" si="78"/>
        <v>5950616.5294972118</v>
      </c>
      <c r="DX11" s="68">
        <f t="shared" si="78"/>
        <v>8382251.2152451007</v>
      </c>
      <c r="DY11" s="68">
        <f t="shared" si="78"/>
        <v>2774732.8920476581</v>
      </c>
      <c r="DZ11" s="68">
        <f t="shared" si="78"/>
        <v>4947623.5555725414</v>
      </c>
      <c r="EA11" s="68">
        <f t="shared" si="78"/>
        <v>8699099.0252359658</v>
      </c>
      <c r="EB11" s="68">
        <f t="shared" si="78"/>
        <v>3325120.9595839954</v>
      </c>
      <c r="EC11" s="68">
        <f t="shared" si="78"/>
        <v>9553648.4271962754</v>
      </c>
      <c r="ED11" s="68">
        <f t="shared" si="78"/>
        <v>11032465.192436118</v>
      </c>
      <c r="EE11" s="68">
        <f t="shared" si="78"/>
        <v>2539660.8162795985</v>
      </c>
      <c r="EF11" s="68">
        <f t="shared" si="78"/>
        <v>5364300.7407305334</v>
      </c>
      <c r="EG11" s="68">
        <f t="shared" si="78"/>
        <v>10479952.480382007</v>
      </c>
      <c r="EH11" s="68">
        <f t="shared" si="78"/>
        <v>4520963.758396673</v>
      </c>
      <c r="EI11" s="68">
        <f t="shared" si="78"/>
        <v>8479628.5545335263</v>
      </c>
      <c r="EJ11" s="68">
        <f t="shared" si="78"/>
        <v>11944707.981724268</v>
      </c>
      <c r="EK11" s="68">
        <f t="shared" si="78"/>
        <v>3953994.3711679126</v>
      </c>
      <c r="EL11" s="68">
        <f t="shared" si="78"/>
        <v>7050363.5666908734</v>
      </c>
      <c r="EM11" s="68">
        <f t="shared" si="78"/>
        <v>12396216.110961251</v>
      </c>
      <c r="EN11" s="68">
        <f t="shared" si="78"/>
        <v>4738297.3674071925</v>
      </c>
      <c r="EO11" s="68">
        <f t="shared" si="78"/>
        <v>13613949.008754691</v>
      </c>
      <c r="EP11" s="68">
        <f t="shared" si="78"/>
        <v>15721262.899221471</v>
      </c>
      <c r="EQ11" s="68">
        <f t="shared" si="78"/>
        <v>3555525.1427914375</v>
      </c>
      <c r="ER11" s="68">
        <f t="shared" si="78"/>
        <v>7510021.0370227452</v>
      </c>
      <c r="ES11" s="68">
        <f t="shared" si="78"/>
        <v>14671933.472534807</v>
      </c>
      <c r="ET11" s="68">
        <f t="shared" si="78"/>
        <v>6329349.2617553417</v>
      </c>
      <c r="EU11" s="68">
        <f t="shared" si="78"/>
        <v>11871479.976346936</v>
      </c>
      <c r="EV11" s="68">
        <f t="shared" si="78"/>
        <v>16722591.174413972</v>
      </c>
      <c r="EW11" s="68">
        <f t="shared" si="78"/>
        <v>5535592.1196350791</v>
      </c>
      <c r="EX11" s="68">
        <f t="shared" si="78"/>
        <v>9870508.9933672212</v>
      </c>
      <c r="EY11" s="68">
        <f t="shared" si="78"/>
        <v>17354702.555345751</v>
      </c>
      <c r="EZ11" s="68">
        <f t="shared" si="78"/>
        <v>6633616.3143700697</v>
      </c>
      <c r="FA11" s="68">
        <f t="shared" si="78"/>
        <v>19059528.612256568</v>
      </c>
      <c r="FB11" s="68">
        <f t="shared" si="78"/>
        <v>22009768.058910057</v>
      </c>
    </row>
    <row r="13" spans="3:158" x14ac:dyDescent="0.25">
      <c r="C13" t="s">
        <v>790</v>
      </c>
      <c r="E13" s="248">
        <f>-E11</f>
        <v>-9707882.7618202493</v>
      </c>
      <c r="F13" s="248">
        <f t="shared" ref="F13:L13" si="79">-F11</f>
        <v>-12471063.463917732</v>
      </c>
      <c r="G13" s="248">
        <f t="shared" si="79"/>
        <v>-24166387.597123668</v>
      </c>
      <c r="H13" s="248">
        <f t="shared" si="79"/>
        <v>-33074999.999999996</v>
      </c>
      <c r="I13" s="248">
        <f t="shared" si="79"/>
        <v>-48785625</v>
      </c>
      <c r="J13" s="248">
        <f t="shared" si="79"/>
        <v>-70739156.25</v>
      </c>
      <c r="K13" s="248">
        <f t="shared" si="79"/>
        <v>-100803297.65624999</v>
      </c>
      <c r="L13" s="248">
        <f t="shared" si="79"/>
        <v>-141124616.71875</v>
      </c>
      <c r="N13" s="248"/>
      <c r="O13" s="248"/>
      <c r="P13" s="248"/>
      <c r="Q13" s="248"/>
      <c r="R13" s="248"/>
      <c r="S13" s="248"/>
      <c r="T13" s="248"/>
      <c r="U13" s="248"/>
      <c r="V13" s="248"/>
      <c r="W13" s="248"/>
      <c r="X13" s="248"/>
      <c r="Y13" s="248"/>
      <c r="Z13" s="248"/>
      <c r="AA13" s="248"/>
      <c r="AB13" s="248"/>
      <c r="AC13" s="248"/>
      <c r="AD13" s="248"/>
      <c r="AE13" s="248"/>
      <c r="AF13" s="248"/>
      <c r="AG13" s="248"/>
      <c r="AH13" s="248"/>
      <c r="AI13" s="248"/>
      <c r="AJ13" s="248"/>
      <c r="AK13" s="248"/>
      <c r="AL13" s="248"/>
      <c r="AM13" s="248"/>
      <c r="AN13" s="248"/>
      <c r="AO13" s="248"/>
      <c r="AP13" s="248"/>
      <c r="AQ13" s="248"/>
      <c r="AR13" s="248"/>
      <c r="AS13" s="248"/>
      <c r="AT13" s="248"/>
      <c r="AU13" s="248"/>
      <c r="AV13" s="248"/>
      <c r="AW13" s="248"/>
      <c r="AX13" s="248"/>
      <c r="AY13" s="248">
        <f t="shared" ref="AY13:DJ13" si="80">-AY11</f>
        <v>-86673.65</v>
      </c>
      <c r="AZ13" s="248">
        <f t="shared" si="80"/>
        <v>-378711.49050000001</v>
      </c>
      <c r="BA13" s="248">
        <f t="shared" si="80"/>
        <v>-729027.69449999998</v>
      </c>
      <c r="BB13" s="248">
        <f t="shared" si="80"/>
        <v>-229810.50049999997</v>
      </c>
      <c r="BC13" s="248">
        <f t="shared" si="80"/>
        <v>-532582.27749999997</v>
      </c>
      <c r="BD13" s="248">
        <f t="shared" si="80"/>
        <v>-700599.80199999991</v>
      </c>
      <c r="BE13" s="248">
        <f t="shared" si="80"/>
        <v>-272344.33449999994</v>
      </c>
      <c r="BF13" s="248">
        <f t="shared" si="80"/>
        <v>-390075.86099999998</v>
      </c>
      <c r="BG13" s="248">
        <f t="shared" si="80"/>
        <v>-843653.06550000003</v>
      </c>
      <c r="BH13" s="248">
        <f t="shared" si="80"/>
        <v>-418954.25949999993</v>
      </c>
      <c r="BI13" s="248">
        <f t="shared" si="80"/>
        <v>-1081545.3844999999</v>
      </c>
      <c r="BJ13" s="248">
        <f t="shared" si="80"/>
        <v>-954495.53499999992</v>
      </c>
      <c r="BK13" s="248">
        <f t="shared" si="80"/>
        <v>-275454.6655</v>
      </c>
      <c r="BL13" s="248">
        <f t="shared" si="80"/>
        <v>-492691.96549999999</v>
      </c>
      <c r="BM13" s="248">
        <f t="shared" si="80"/>
        <v>-1222766.8705</v>
      </c>
      <c r="BN13" s="248">
        <f t="shared" si="80"/>
        <v>-464144.01599999989</v>
      </c>
      <c r="BO13" s="248">
        <f t="shared" si="80"/>
        <v>-1090449.2829999998</v>
      </c>
      <c r="BP13" s="248">
        <f t="shared" si="80"/>
        <v>-1071998.4484999999</v>
      </c>
      <c r="BQ13" s="248">
        <f t="shared" si="80"/>
        <v>-427701.88999999996</v>
      </c>
      <c r="BR13" s="248">
        <f t="shared" si="80"/>
        <v>-457796.03449999995</v>
      </c>
      <c r="BS13" s="248">
        <f t="shared" si="80"/>
        <v>-1219100.4839999999</v>
      </c>
      <c r="BT13" s="248">
        <f t="shared" si="80"/>
        <v>-279091.93900000001</v>
      </c>
      <c r="BU13" s="248">
        <f t="shared" si="80"/>
        <v>-1171077.7644999998</v>
      </c>
      <c r="BV13" s="248">
        <f t="shared" si="80"/>
        <v>-1535609.4008202499</v>
      </c>
      <c r="BW13" s="248">
        <f t="shared" si="80"/>
        <v>-425420.71919999999</v>
      </c>
      <c r="BX13" s="248">
        <f t="shared" si="80"/>
        <v>-644435.68707750551</v>
      </c>
      <c r="BY13" s="248">
        <f t="shared" si="80"/>
        <v>-945139.99492694729</v>
      </c>
      <c r="BZ13" s="248">
        <f t="shared" si="80"/>
        <v>-648675.68851833604</v>
      </c>
      <c r="CA13" s="248">
        <f t="shared" si="80"/>
        <v>-742856.68004006881</v>
      </c>
      <c r="CB13" s="248">
        <f t="shared" si="80"/>
        <v>-1736032.8497985648</v>
      </c>
      <c r="CC13" s="248">
        <f t="shared" si="80"/>
        <v>-404913.79675222241</v>
      </c>
      <c r="CD13" s="248">
        <f t="shared" si="80"/>
        <v>-1293633.4699869296</v>
      </c>
      <c r="CE13" s="248">
        <f t="shared" si="80"/>
        <v>-1445085.6945038529</v>
      </c>
      <c r="CF13" s="248">
        <f t="shared" si="80"/>
        <v>-610663.14280536794</v>
      </c>
      <c r="CG13" s="248">
        <f t="shared" si="80"/>
        <v>-1510483.4374981218</v>
      </c>
      <c r="CH13" s="248">
        <f t="shared" si="80"/>
        <v>-2063722.3028098142</v>
      </c>
      <c r="CI13" s="248">
        <f t="shared" si="80"/>
        <v>-554618.58726216597</v>
      </c>
      <c r="CJ13" s="248">
        <f t="shared" si="80"/>
        <v>-849945.61287266389</v>
      </c>
      <c r="CK13" s="248">
        <f t="shared" si="80"/>
        <v>-2023383.3249185642</v>
      </c>
      <c r="CL13" s="248">
        <f t="shared" si="80"/>
        <v>-985154.18605102797</v>
      </c>
      <c r="CM13" s="248">
        <f t="shared" si="80"/>
        <v>-1597345.8998802479</v>
      </c>
      <c r="CN13" s="248">
        <f t="shared" si="80"/>
        <v>-2780227.7111390037</v>
      </c>
      <c r="CO13" s="248">
        <f t="shared" si="80"/>
        <v>-980836.29</v>
      </c>
      <c r="CP13" s="248">
        <f t="shared" si="80"/>
        <v>-2288618.0100000002</v>
      </c>
      <c r="CQ13" s="248">
        <f t="shared" si="80"/>
        <v>-3269454.3</v>
      </c>
      <c r="CR13" s="248">
        <f t="shared" si="80"/>
        <v>-883680.36750000005</v>
      </c>
      <c r="CS13" s="248">
        <f t="shared" si="80"/>
        <v>-3534721.47</v>
      </c>
      <c r="CT13" s="248">
        <f t="shared" si="80"/>
        <v>-4418401.8375000004</v>
      </c>
      <c r="CU13" s="248">
        <f t="shared" si="80"/>
        <v>-773763.94409698993</v>
      </c>
      <c r="CV13" s="248">
        <f t="shared" si="80"/>
        <v>-1700568.5990379795</v>
      </c>
      <c r="CW13" s="248">
        <f t="shared" si="80"/>
        <v>-3379086.9136467245</v>
      </c>
      <c r="CX13" s="248">
        <f t="shared" si="80"/>
        <v>-1351092.7042633684</v>
      </c>
      <c r="CY13" s="248">
        <f t="shared" si="80"/>
        <v>-2649987.0973686548</v>
      </c>
      <c r="CZ13" s="248">
        <f t="shared" si="80"/>
        <v>-3786929.0895359903</v>
      </c>
      <c r="DA13" s="248">
        <f t="shared" si="80"/>
        <v>-1297361.9600456608</v>
      </c>
      <c r="DB13" s="248">
        <f t="shared" si="80"/>
        <v>-2313324.8652589326</v>
      </c>
      <c r="DC13" s="248">
        <f t="shared" si="80"/>
        <v>-4067375.3478601822</v>
      </c>
      <c r="DD13" s="248">
        <f t="shared" si="80"/>
        <v>-1746537.9618160117</v>
      </c>
      <c r="DE13" s="248">
        <f t="shared" si="80"/>
        <v>-4658765.8835517354</v>
      </c>
      <c r="DF13" s="248">
        <f t="shared" si="80"/>
        <v>-5350205.6335177645</v>
      </c>
      <c r="DG13" s="248">
        <f t="shared" si="80"/>
        <v>-1229115.9425430601</v>
      </c>
      <c r="DH13" s="248">
        <f t="shared" si="80"/>
        <v>-2596152.8085810198</v>
      </c>
      <c r="DI13" s="248">
        <f t="shared" si="80"/>
        <v>-5071967.32262892</v>
      </c>
      <c r="DJ13" s="248">
        <f t="shared" si="80"/>
        <v>-2188004.2387884683</v>
      </c>
      <c r="DK13" s="248">
        <f t="shared" ref="DK13:FB13" si="81">-DK11</f>
        <v>-4103873.4686187664</v>
      </c>
      <c r="DL13" s="248">
        <f t="shared" si="81"/>
        <v>-5780862.9070655862</v>
      </c>
      <c r="DM13" s="248">
        <f t="shared" si="81"/>
        <v>-1913608.8910673505</v>
      </c>
      <c r="DN13" s="248">
        <f t="shared" si="81"/>
        <v>-3412154.1762569258</v>
      </c>
      <c r="DO13" s="248">
        <f t="shared" si="81"/>
        <v>-5999378.6380937686</v>
      </c>
      <c r="DP13" s="248">
        <f t="shared" si="81"/>
        <v>-2293186.8686786173</v>
      </c>
      <c r="DQ13" s="248">
        <f t="shared" si="81"/>
        <v>-6588723.05323881</v>
      </c>
      <c r="DR13" s="248">
        <f t="shared" si="81"/>
        <v>-7608596.6844387027</v>
      </c>
      <c r="DS13" s="248">
        <f t="shared" si="81"/>
        <v>-1782218.1166874375</v>
      </c>
      <c r="DT13" s="248">
        <f t="shared" si="81"/>
        <v>-3764421.572442479</v>
      </c>
      <c r="DU13" s="248">
        <f t="shared" si="81"/>
        <v>-7354352.6178119332</v>
      </c>
      <c r="DV13" s="248">
        <f t="shared" si="81"/>
        <v>-3172606.1462432798</v>
      </c>
      <c r="DW13" s="248">
        <f t="shared" si="81"/>
        <v>-5950616.5294972118</v>
      </c>
      <c r="DX13" s="248">
        <f t="shared" si="81"/>
        <v>-8382251.2152451007</v>
      </c>
      <c r="DY13" s="248">
        <f t="shared" si="81"/>
        <v>-2774732.8920476581</v>
      </c>
      <c r="DZ13" s="248">
        <f t="shared" si="81"/>
        <v>-4947623.5555725414</v>
      </c>
      <c r="EA13" s="248">
        <f t="shared" si="81"/>
        <v>-8699099.0252359658</v>
      </c>
      <c r="EB13" s="248">
        <f t="shared" si="81"/>
        <v>-3325120.9595839954</v>
      </c>
      <c r="EC13" s="248">
        <f t="shared" si="81"/>
        <v>-9553648.4271962754</v>
      </c>
      <c r="ED13" s="248">
        <f t="shared" si="81"/>
        <v>-11032465.192436118</v>
      </c>
      <c r="EE13" s="248">
        <f t="shared" si="81"/>
        <v>-2539660.8162795985</v>
      </c>
      <c r="EF13" s="248">
        <f t="shared" si="81"/>
        <v>-5364300.7407305334</v>
      </c>
      <c r="EG13" s="248">
        <f t="shared" si="81"/>
        <v>-10479952.480382007</v>
      </c>
      <c r="EH13" s="248">
        <f t="shared" si="81"/>
        <v>-4520963.758396673</v>
      </c>
      <c r="EI13" s="248">
        <f t="shared" si="81"/>
        <v>-8479628.5545335263</v>
      </c>
      <c r="EJ13" s="248">
        <f t="shared" si="81"/>
        <v>-11944707.981724268</v>
      </c>
      <c r="EK13" s="248">
        <f t="shared" si="81"/>
        <v>-3953994.3711679126</v>
      </c>
      <c r="EL13" s="248">
        <f t="shared" si="81"/>
        <v>-7050363.5666908734</v>
      </c>
      <c r="EM13" s="248">
        <f t="shared" si="81"/>
        <v>-12396216.110961251</v>
      </c>
      <c r="EN13" s="248">
        <f t="shared" si="81"/>
        <v>-4738297.3674071925</v>
      </c>
      <c r="EO13" s="248">
        <f t="shared" si="81"/>
        <v>-13613949.008754691</v>
      </c>
      <c r="EP13" s="248">
        <f t="shared" si="81"/>
        <v>-15721262.899221471</v>
      </c>
      <c r="EQ13" s="248">
        <f t="shared" si="81"/>
        <v>-3555525.1427914375</v>
      </c>
      <c r="ER13" s="248">
        <f t="shared" si="81"/>
        <v>-7510021.0370227452</v>
      </c>
      <c r="ES13" s="248">
        <f t="shared" si="81"/>
        <v>-14671933.472534807</v>
      </c>
      <c r="ET13" s="248">
        <f t="shared" si="81"/>
        <v>-6329349.2617553417</v>
      </c>
      <c r="EU13" s="248">
        <f t="shared" si="81"/>
        <v>-11871479.976346936</v>
      </c>
      <c r="EV13" s="248">
        <f t="shared" si="81"/>
        <v>-16722591.174413972</v>
      </c>
      <c r="EW13" s="248">
        <f t="shared" si="81"/>
        <v>-5535592.1196350791</v>
      </c>
      <c r="EX13" s="248">
        <f t="shared" si="81"/>
        <v>-9870508.9933672212</v>
      </c>
      <c r="EY13" s="248">
        <f t="shared" si="81"/>
        <v>-17354702.555345751</v>
      </c>
      <c r="EZ13" s="248">
        <f t="shared" si="81"/>
        <v>-6633616.3143700697</v>
      </c>
      <c r="FA13" s="248">
        <f t="shared" si="81"/>
        <v>-19059528.612256568</v>
      </c>
      <c r="FB13" s="248">
        <f t="shared" si="81"/>
        <v>-22009768.058910057</v>
      </c>
    </row>
    <row r="14" spans="3:158" x14ac:dyDescent="0.25">
      <c r="C14" t="s">
        <v>786</v>
      </c>
      <c r="D14" s="420">
        <f>D61+D126</f>
        <v>0</v>
      </c>
      <c r="E14" s="27">
        <f>E61+E126</f>
        <v>5815927.3903977843</v>
      </c>
      <c r="F14" s="27">
        <f>F61+F126</f>
        <v>9367689.0661007259</v>
      </c>
      <c r="G14" s="27">
        <f t="shared" ref="G14:L14" si="82">G61+G126</f>
        <v>13690295.03790275</v>
      </c>
      <c r="H14" s="27">
        <f t="shared" si="82"/>
        <v>13629111.113659594</v>
      </c>
      <c r="I14" s="27">
        <f t="shared" si="82"/>
        <v>18193069.09283198</v>
      </c>
      <c r="J14" s="27">
        <f t="shared" si="82"/>
        <v>27663251.904271264</v>
      </c>
      <c r="K14" s="27">
        <f t="shared" si="82"/>
        <v>44555669.142831042</v>
      </c>
      <c r="L14" s="27">
        <f t="shared" si="82"/>
        <v>66365799.194120146</v>
      </c>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Y14" s="27">
        <f t="shared" ref="AY14:DJ14" si="83">AY61+AY126</f>
        <v>0</v>
      </c>
      <c r="AZ14" s="27">
        <f t="shared" si="83"/>
        <v>0</v>
      </c>
      <c r="BA14" s="27">
        <f t="shared" si="83"/>
        <v>0</v>
      </c>
      <c r="BB14" s="27">
        <f t="shared" si="83"/>
        <v>0</v>
      </c>
      <c r="BC14" s="27">
        <f t="shared" si="83"/>
        <v>0</v>
      </c>
      <c r="BD14" s="27">
        <f t="shared" si="83"/>
        <v>0</v>
      </c>
      <c r="BE14" s="27">
        <f t="shared" si="83"/>
        <v>0</v>
      </c>
      <c r="BF14" s="27">
        <f t="shared" si="83"/>
        <v>0</v>
      </c>
      <c r="BG14" s="27">
        <f t="shared" si="83"/>
        <v>0</v>
      </c>
      <c r="BH14" s="27">
        <f t="shared" si="83"/>
        <v>0</v>
      </c>
      <c r="BI14" s="27">
        <f t="shared" si="83"/>
        <v>0</v>
      </c>
      <c r="BJ14" s="27">
        <f t="shared" si="83"/>
        <v>0</v>
      </c>
      <c r="BK14" s="27">
        <f t="shared" si="83"/>
        <v>363135.6295972222</v>
      </c>
      <c r="BL14" s="27">
        <f t="shared" si="83"/>
        <v>376821.51752777776</v>
      </c>
      <c r="BM14" s="27">
        <f t="shared" si="83"/>
        <v>410787.26393055555</v>
      </c>
      <c r="BN14" s="27">
        <f t="shared" si="83"/>
        <v>423680.15326388885</v>
      </c>
      <c r="BO14" s="27">
        <f t="shared" si="83"/>
        <v>453970.41112499998</v>
      </c>
      <c r="BP14" s="27">
        <f t="shared" si="83"/>
        <v>483748.14580555551</v>
      </c>
      <c r="BQ14" s="27">
        <f t="shared" si="83"/>
        <v>495628.75386111106</v>
      </c>
      <c r="BR14" s="27">
        <f t="shared" si="83"/>
        <v>508345.31037499994</v>
      </c>
      <c r="BS14" s="27">
        <f t="shared" si="83"/>
        <v>542209.21270833327</v>
      </c>
      <c r="BT14" s="27">
        <f t="shared" si="83"/>
        <v>549961.76656944444</v>
      </c>
      <c r="BU14" s="27">
        <f t="shared" si="83"/>
        <v>582491.70447222213</v>
      </c>
      <c r="BV14" s="27">
        <f t="shared" si="83"/>
        <v>625147.52116167359</v>
      </c>
      <c r="BW14" s="27">
        <f t="shared" si="83"/>
        <v>636964.76336167357</v>
      </c>
      <c r="BX14" s="27">
        <f t="shared" si="83"/>
        <v>654865.754669382</v>
      </c>
      <c r="BY14" s="27">
        <f t="shared" si="83"/>
        <v>681119.64341735281</v>
      </c>
      <c r="BZ14" s="27">
        <f t="shared" si="83"/>
        <v>699138.41254286212</v>
      </c>
      <c r="CA14" s="27">
        <f t="shared" si="83"/>
        <v>719773.32032175292</v>
      </c>
      <c r="CB14" s="27">
        <f t="shared" si="83"/>
        <v>767996.45503837976</v>
      </c>
      <c r="CC14" s="27">
        <f t="shared" si="83"/>
        <v>779244.06050371914</v>
      </c>
      <c r="CD14" s="27">
        <f t="shared" si="83"/>
        <v>815178.32355891168</v>
      </c>
      <c r="CE14" s="27">
        <f t="shared" si="83"/>
        <v>855319.59285068535</v>
      </c>
      <c r="CF14" s="27">
        <f t="shared" si="83"/>
        <v>872282.45792861236</v>
      </c>
      <c r="CG14" s="27">
        <f t="shared" si="83"/>
        <v>914240.33119244885</v>
      </c>
      <c r="CH14" s="27">
        <f t="shared" si="83"/>
        <v>971565.9507149437</v>
      </c>
      <c r="CI14" s="27">
        <f t="shared" si="83"/>
        <v>980809.59383597982</v>
      </c>
      <c r="CJ14" s="27">
        <f t="shared" si="83"/>
        <v>994975.35405052418</v>
      </c>
      <c r="CK14" s="27">
        <f t="shared" si="83"/>
        <v>1028698.4094658336</v>
      </c>
      <c r="CL14" s="27">
        <f t="shared" si="83"/>
        <v>1045117.6459000173</v>
      </c>
      <c r="CM14" s="27">
        <f t="shared" si="83"/>
        <v>1071740.0775646882</v>
      </c>
      <c r="CN14" s="27">
        <f t="shared" si="83"/>
        <v>1118077.2060836717</v>
      </c>
      <c r="CO14" s="27">
        <f t="shared" si="83"/>
        <v>1134424.4775836715</v>
      </c>
      <c r="CP14" s="27">
        <f t="shared" si="83"/>
        <v>1172568.1110836717</v>
      </c>
      <c r="CQ14" s="27">
        <f t="shared" si="83"/>
        <v>1227059.0160836717</v>
      </c>
      <c r="CR14" s="27">
        <f t="shared" si="83"/>
        <v>1241787.0222086716</v>
      </c>
      <c r="CS14" s="27">
        <f t="shared" si="83"/>
        <v>1300699.0467086716</v>
      </c>
      <c r="CT14" s="27">
        <f t="shared" si="83"/>
        <v>1374339.0773336715</v>
      </c>
      <c r="CU14" s="27">
        <f t="shared" si="83"/>
        <v>1024099.5134713992</v>
      </c>
      <c r="CV14" s="27">
        <f t="shared" si="83"/>
        <v>1038756.4355248101</v>
      </c>
      <c r="CW14" s="27">
        <f t="shared" si="83"/>
        <v>1061108.8043494779</v>
      </c>
      <c r="CX14" s="27">
        <f t="shared" si="83"/>
        <v>1070734.1267538671</v>
      </c>
      <c r="CY14" s="27">
        <f t="shared" si="83"/>
        <v>1084610.320515567</v>
      </c>
      <c r="CZ14" s="27">
        <f t="shared" si="83"/>
        <v>1117948.0706606111</v>
      </c>
      <c r="DA14" s="27">
        <f t="shared" si="83"/>
        <v>1127690.1619391502</v>
      </c>
      <c r="DB14" s="27">
        <f t="shared" si="83"/>
        <v>1153529.0198462433</v>
      </c>
      <c r="DC14" s="27">
        <f t="shared" si="83"/>
        <v>1187454.7066439132</v>
      </c>
      <c r="DD14" s="27">
        <f t="shared" si="83"/>
        <v>1208811.1188130691</v>
      </c>
      <c r="DE14" s="27">
        <f t="shared" si="83"/>
        <v>1253927.2789694867</v>
      </c>
      <c r="DF14" s="27">
        <f t="shared" si="83"/>
        <v>1300441.5561719979</v>
      </c>
      <c r="DG14" s="27">
        <f t="shared" si="83"/>
        <v>1309109.5796810491</v>
      </c>
      <c r="DH14" s="27">
        <f t="shared" si="83"/>
        <v>1334477.8018496907</v>
      </c>
      <c r="DI14" s="27">
        <f t="shared" si="83"/>
        <v>1392756.7018122021</v>
      </c>
      <c r="DJ14" s="27">
        <f t="shared" si="83"/>
        <v>1411204.6699998337</v>
      </c>
      <c r="DK14" s="27">
        <f t="shared" ref="DK14:FB14" si="84">DK61+DK126</f>
        <v>1458967.653364589</v>
      </c>
      <c r="DL14" s="27">
        <f t="shared" si="84"/>
        <v>1507092.233765722</v>
      </c>
      <c r="DM14" s="27">
        <f t="shared" si="84"/>
        <v>1527738.1098181719</v>
      </c>
      <c r="DN14" s="27">
        <f t="shared" si="84"/>
        <v>1548673.0830339282</v>
      </c>
      <c r="DO14" s="27">
        <f t="shared" si="84"/>
        <v>1608521.4577103842</v>
      </c>
      <c r="DP14" s="27">
        <f t="shared" si="84"/>
        <v>1629778.373777101</v>
      </c>
      <c r="DQ14" s="27">
        <f t="shared" si="84"/>
        <v>1697632.5514005779</v>
      </c>
      <c r="DR14" s="27">
        <f t="shared" si="84"/>
        <v>1767116.876618728</v>
      </c>
      <c r="DS14" s="27">
        <f t="shared" si="84"/>
        <v>1796820.5118968519</v>
      </c>
      <c r="DT14" s="27">
        <f t="shared" si="84"/>
        <v>1859560.8714375601</v>
      </c>
      <c r="DU14" s="27">
        <f t="shared" si="84"/>
        <v>1982133.4150677589</v>
      </c>
      <c r="DV14" s="27">
        <f t="shared" si="84"/>
        <v>2035010.1841718133</v>
      </c>
      <c r="DW14" s="27">
        <f t="shared" si="84"/>
        <v>2134187.1263301005</v>
      </c>
      <c r="DX14" s="27">
        <f t="shared" si="84"/>
        <v>2273891.3132508518</v>
      </c>
      <c r="DY14" s="27">
        <f t="shared" si="84"/>
        <v>2320136.8614516458</v>
      </c>
      <c r="DZ14" s="27">
        <f t="shared" si="84"/>
        <v>2402597.2540445211</v>
      </c>
      <c r="EA14" s="27">
        <f t="shared" si="84"/>
        <v>2547582.2377984542</v>
      </c>
      <c r="EB14" s="27">
        <f t="shared" si="84"/>
        <v>2603000.9204581873</v>
      </c>
      <c r="EC14" s="27">
        <f t="shared" si="84"/>
        <v>2762228.3942447919</v>
      </c>
      <c r="ED14" s="27">
        <f t="shared" si="84"/>
        <v>2946102.8141187271</v>
      </c>
      <c r="EE14" s="27">
        <f t="shared" si="84"/>
        <v>2988430.4943900546</v>
      </c>
      <c r="EF14" s="27">
        <f t="shared" si="84"/>
        <v>3077835.5067355633</v>
      </c>
      <c r="EG14" s="27">
        <f t="shared" si="84"/>
        <v>3252501.3814085973</v>
      </c>
      <c r="EH14" s="27">
        <f t="shared" si="84"/>
        <v>3327850.7773818746</v>
      </c>
      <c r="EI14" s="27">
        <f t="shared" si="84"/>
        <v>3469177.9199574338</v>
      </c>
      <c r="EJ14" s="27">
        <f t="shared" si="84"/>
        <v>3668256.3863195051</v>
      </c>
      <c r="EK14" s="27">
        <f t="shared" si="84"/>
        <v>3734156.2925056368</v>
      </c>
      <c r="EL14" s="27">
        <f t="shared" si="84"/>
        <v>3851662.3519504853</v>
      </c>
      <c r="EM14" s="27">
        <f t="shared" si="84"/>
        <v>4058265.9537998391</v>
      </c>
      <c r="EN14" s="27">
        <f t="shared" si="84"/>
        <v>4137237.5765899597</v>
      </c>
      <c r="EO14" s="27">
        <f t="shared" si="84"/>
        <v>4364136.7267358704</v>
      </c>
      <c r="EP14" s="27">
        <f t="shared" si="84"/>
        <v>4626157.7750562299</v>
      </c>
      <c r="EQ14" s="27">
        <f t="shared" si="84"/>
        <v>4676172.8843150511</v>
      </c>
      <c r="ER14" s="27">
        <f t="shared" si="84"/>
        <v>4787174.1413842188</v>
      </c>
      <c r="ES14" s="27">
        <f t="shared" si="84"/>
        <v>4997983.3105111569</v>
      </c>
      <c r="ET14" s="27">
        <f t="shared" si="84"/>
        <v>5087053.2284395611</v>
      </c>
      <c r="EU14" s="27">
        <f t="shared" si="84"/>
        <v>5258288.7963806726</v>
      </c>
      <c r="EV14" s="27">
        <f t="shared" si="84"/>
        <v>5490661.5207685884</v>
      </c>
      <c r="EW14" s="27">
        <f t="shared" si="84"/>
        <v>5566574.1179291718</v>
      </c>
      <c r="EX14" s="27">
        <f t="shared" si="84"/>
        <v>5692938.9676519586</v>
      </c>
      <c r="EY14" s="27">
        <f t="shared" si="84"/>
        <v>5927693.1052410556</v>
      </c>
      <c r="EZ14" s="27">
        <f t="shared" si="84"/>
        <v>6023525.3710222226</v>
      </c>
      <c r="FA14" s="27">
        <f t="shared" si="84"/>
        <v>6282272.1567264972</v>
      </c>
      <c r="FB14" s="27">
        <f t="shared" si="84"/>
        <v>6575461.5937499981</v>
      </c>
    </row>
    <row r="15" spans="3:158" x14ac:dyDescent="0.25">
      <c r="C15" s="1" t="s">
        <v>15</v>
      </c>
      <c r="D15" s="22">
        <f t="shared" ref="D15:L15" si="85">SUMIF($AY$2:$FB$2,D$2,$AY15:$FB15)</f>
        <v>0</v>
      </c>
      <c r="E15" s="22">
        <f t="shared" si="85"/>
        <v>-3891954.665450999</v>
      </c>
      <c r="F15" s="22">
        <f t="shared" si="85"/>
        <v>-3111327.1107220119</v>
      </c>
      <c r="G15" s="22">
        <f t="shared" si="85"/>
        <v>-10302434.208278835</v>
      </c>
      <c r="H15" s="22">
        <f t="shared" si="85"/>
        <v>-19445888.886340402</v>
      </c>
      <c r="I15" s="22">
        <f t="shared" si="85"/>
        <v>-30592555.907168016</v>
      </c>
      <c r="J15" s="22">
        <f t="shared" si="85"/>
        <v>-43075904.345728733</v>
      </c>
      <c r="K15" s="22">
        <f t="shared" si="85"/>
        <v>-56247628.513418943</v>
      </c>
      <c r="L15" s="22">
        <f t="shared" si="85"/>
        <v>-74758817.524629831</v>
      </c>
      <c r="N15" s="22">
        <f t="shared" ref="N15" si="86">SUM(AY15:BA15)</f>
        <v>0</v>
      </c>
      <c r="O15" s="22">
        <f t="shared" ref="O15" si="87">SUM(BB15:BD15)</f>
        <v>0</v>
      </c>
      <c r="P15" s="22">
        <f t="shared" ref="P15" si="88">SUM(BE15:BG15)</f>
        <v>0</v>
      </c>
      <c r="Q15" s="22">
        <f t="shared" ref="Q15" si="89">SUM(BH15:BJ15)</f>
        <v>0</v>
      </c>
      <c r="R15" s="22">
        <f t="shared" ref="R15" si="90">SUM(BK15:BM15)</f>
        <v>-754757.3753819993</v>
      </c>
      <c r="S15" s="22">
        <f t="shared" ref="S15" si="91">SUM(BN15:BP15)</f>
        <v>-1264114.8702439996</v>
      </c>
      <c r="T15" s="22">
        <f t="shared" ref="T15" si="92">SUM(BQ15:BS15)</f>
        <v>-675971</v>
      </c>
      <c r="U15" s="22">
        <f t="shared" ref="U15" si="93">SUM(BT15:BV15)</f>
        <v>-1197111.4198250002</v>
      </c>
      <c r="V15" s="22">
        <f t="shared" ref="V15" si="94">SUM(BW15:BY15)</f>
        <v>-361251.62999999995</v>
      </c>
      <c r="W15" s="22">
        <f t="shared" ref="W15" si="95">SUM(BZ15:CB15)</f>
        <v>-938564</v>
      </c>
      <c r="X15" s="22">
        <f t="shared" ref="X15" si="96">SUM(CC15:CE15)</f>
        <v>-659295.00000000116</v>
      </c>
      <c r="Y15" s="22">
        <f t="shared" ref="Y15" si="97">SUM(CF15:CH15)</f>
        <v>-1152216.4807220106</v>
      </c>
      <c r="Z15" s="22">
        <f t="shared" ref="Z15" si="98">SUM(CI15:CK15)</f>
        <v>-870726.18110277783</v>
      </c>
      <c r="AA15" s="22">
        <f t="shared" ref="AA15" si="99">SUM(CL15:CN15)</f>
        <v>-2342202.415893924</v>
      </c>
      <c r="AB15" s="22">
        <f t="shared" ref="AB15" si="100">SUM(CO15:CQ15)</f>
        <v>-3191173.5350808203</v>
      </c>
      <c r="AC15" s="22">
        <f t="shared" ref="AC15" si="101">SUM(CR15:CT15)</f>
        <v>-3898332.0762013132</v>
      </c>
      <c r="AD15" s="22">
        <f t="shared" ref="AD15" si="102">SUM(CU15:CW15)</f>
        <v>-2729454.7034360068</v>
      </c>
      <c r="AE15" s="22">
        <f t="shared" ref="AE15" si="103">SUM(CX15:CZ15)</f>
        <v>-4514716.3732379684</v>
      </c>
      <c r="AF15" s="22">
        <f t="shared" ref="AF15" si="104">SUM(DA15:DC15)</f>
        <v>-4209388.2847354691</v>
      </c>
      <c r="AG15" s="22">
        <f t="shared" ref="AG15" si="105">SUM(DD15:DF15)</f>
        <v>-7992329.5249309577</v>
      </c>
      <c r="AH15" s="22">
        <f t="shared" ref="AH15" si="106">SUM(DG15:DI15)</f>
        <v>-4860891.9904100578</v>
      </c>
      <c r="AI15" s="22">
        <f t="shared" ref="AI15" si="107">SUM(DJ15:DL15)</f>
        <v>-7695476.0573426764</v>
      </c>
      <c r="AJ15" s="22">
        <f t="shared" ref="AJ15" si="108">SUM(DM15:DO15)</f>
        <v>-6640209.0548555609</v>
      </c>
      <c r="AK15" s="22">
        <f t="shared" ref="AK15" si="109">SUM(DP15:DR15)</f>
        <v>-11395978.804559723</v>
      </c>
      <c r="AL15" s="22">
        <f t="shared" ref="AL15" si="110">SUM(DS15:DU15)</f>
        <v>-7262477.5085396795</v>
      </c>
      <c r="AM15" s="22">
        <f t="shared" ref="AM15" si="111">SUM(DV15:DX15)</f>
        <v>-11062385.267232828</v>
      </c>
      <c r="AN15" s="22">
        <f t="shared" ref="AN15" si="112">SUM(DY15:EA15)</f>
        <v>-9151139.1195615437</v>
      </c>
      <c r="AO15" s="22">
        <f t="shared" ref="AO15" si="113">SUM(EB15:ED15)</f>
        <v>-15599902.450394683</v>
      </c>
      <c r="AP15" s="22">
        <f t="shared" ref="AP15" si="114">SUM(EE15:EG15)</f>
        <v>-9065146.6548579223</v>
      </c>
      <c r="AQ15" s="22">
        <f t="shared" ref="AQ15" si="115">SUM(EH15:EJ15)</f>
        <v>-14480015.210995654</v>
      </c>
      <c r="AR15" s="22">
        <f t="shared" ref="AR15" si="116">SUM(EK15:EM15)</f>
        <v>-11756489.450564075</v>
      </c>
      <c r="AS15" s="22">
        <f t="shared" ref="AS15" si="117">SUM(EN15:EP15)</f>
        <v>-20945977.197001293</v>
      </c>
      <c r="AT15" s="22">
        <f t="shared" ref="AT15" si="118">SUM(EQ15:ES15)</f>
        <v>-11276149.316138564</v>
      </c>
      <c r="AU15" s="22">
        <f t="shared" ref="AU15" si="119">SUM(ET15:EV15)</f>
        <v>-19087416.866927426</v>
      </c>
      <c r="AV15" s="22">
        <f t="shared" ref="AV15" si="120">SUM(EW15:EY15)</f>
        <v>-15573597.477525864</v>
      </c>
      <c r="AW15" s="22">
        <f t="shared" ref="AW15" si="121">SUM(EZ15:FB15)</f>
        <v>-28821653.864037976</v>
      </c>
      <c r="AY15" s="22">
        <f>'Historical P&amp;L Adj'!C10</f>
        <v>0</v>
      </c>
      <c r="AZ15" s="22">
        <f>'Historical P&amp;L Adj'!D10</f>
        <v>0</v>
      </c>
      <c r="BA15" s="22">
        <f>'Historical P&amp;L Adj'!E10</f>
        <v>0</v>
      </c>
      <c r="BB15" s="22">
        <f>'Historical P&amp;L Adj'!F10</f>
        <v>0</v>
      </c>
      <c r="BC15" s="22">
        <f>'Historical P&amp;L Adj'!G10</f>
        <v>0</v>
      </c>
      <c r="BD15" s="22">
        <f>'Historical P&amp;L Adj'!H10</f>
        <v>0</v>
      </c>
      <c r="BE15" s="22">
        <f>'Historical P&amp;L Adj'!I10</f>
        <v>0</v>
      </c>
      <c r="BF15" s="22">
        <f>'Historical P&amp;L Adj'!J10</f>
        <v>0</v>
      </c>
      <c r="BG15" s="22">
        <f>'Historical P&amp;L Adj'!K10</f>
        <v>0</v>
      </c>
      <c r="BH15" s="22">
        <f>'Historical P&amp;L Adj'!L10</f>
        <v>0</v>
      </c>
      <c r="BI15" s="22">
        <f>'Historical P&amp;L Adj'!M10</f>
        <v>0</v>
      </c>
      <c r="BJ15" s="22">
        <f>'Historical P&amp;L Adj'!N10</f>
        <v>0</v>
      </c>
      <c r="BK15" s="22">
        <f>'Historical P&amp;L Adj'!O10</f>
        <v>-251585.79179399976</v>
      </c>
      <c r="BL15" s="22">
        <f>'Historical P&amp;L Adj'!P10</f>
        <v>-251585.79179399976</v>
      </c>
      <c r="BM15" s="22">
        <f>'Historical P&amp;L Adj'!Q10</f>
        <v>-251585.79179399976</v>
      </c>
      <c r="BN15" s="22">
        <f>'Historical P&amp;L Adj'!R10</f>
        <v>-421371.62341466657</v>
      </c>
      <c r="BO15" s="22">
        <f>'Historical P&amp;L Adj'!S10</f>
        <v>-421371.62341466657</v>
      </c>
      <c r="BP15" s="22">
        <f>'Historical P&amp;L Adj'!T10</f>
        <v>-421371.62341466657</v>
      </c>
      <c r="BQ15" s="22">
        <f>'Historical P&amp;L Adj'!U10</f>
        <v>-225323.66666666666</v>
      </c>
      <c r="BR15" s="22">
        <f>'Historical P&amp;L Adj'!V10</f>
        <v>-225323.66666666666</v>
      </c>
      <c r="BS15" s="22">
        <f>'Historical P&amp;L Adj'!W10</f>
        <v>-225323.66666666666</v>
      </c>
      <c r="BT15" s="22">
        <f>'Historical P&amp;L Adj'!X10</f>
        <v>-399037.13994166674</v>
      </c>
      <c r="BU15" s="22">
        <f>'Historical P&amp;L Adj'!Y10</f>
        <v>-399037.13994166674</v>
      </c>
      <c r="BV15" s="22">
        <f>'Historical P&amp;L Adj'!Z10</f>
        <v>-399037.13994166674</v>
      </c>
      <c r="BW15" s="22">
        <f>'Historical P&amp;L Adj'!AA10</f>
        <v>-120417.20999999998</v>
      </c>
      <c r="BX15" s="22">
        <f>'Historical P&amp;L Adj'!AB10</f>
        <v>-120417.20999999998</v>
      </c>
      <c r="BY15" s="22">
        <f>'Historical P&amp;L Adj'!AC10</f>
        <v>-120417.20999999998</v>
      </c>
      <c r="BZ15" s="22">
        <f>'Historical P&amp;L Adj'!AD10</f>
        <v>-312854.66666666669</v>
      </c>
      <c r="CA15" s="22">
        <f>'Historical P&amp;L Adj'!AE10</f>
        <v>-312854.66666666669</v>
      </c>
      <c r="CB15" s="22">
        <f>'Historical P&amp;L Adj'!AF10</f>
        <v>-312854.66666666669</v>
      </c>
      <c r="CC15" s="22">
        <f>'Historical P&amp;L Adj'!AG10</f>
        <v>-219765.00000000038</v>
      </c>
      <c r="CD15" s="22">
        <f>'Historical P&amp;L Adj'!AH10</f>
        <v>-219765.00000000038</v>
      </c>
      <c r="CE15" s="22">
        <f>'Historical P&amp;L Adj'!AI10</f>
        <v>-219765.00000000038</v>
      </c>
      <c r="CF15" s="22">
        <f>'Historical P&amp;L Adj'!AJ10</f>
        <v>-384072.1602406702</v>
      </c>
      <c r="CG15" s="22">
        <f>'Historical P&amp;L Adj'!AK10</f>
        <v>-384072.1602406702</v>
      </c>
      <c r="CH15" s="22">
        <f>'Historical P&amp;L Adj'!AL10</f>
        <v>-384072.1602406702</v>
      </c>
      <c r="CI15" s="22">
        <f>'Historical P&amp;L Adj'!AM10</f>
        <v>-290242.06036759261</v>
      </c>
      <c r="CJ15" s="22">
        <f>'Historical P&amp;L Adj'!AN10</f>
        <v>-290242.06036759261</v>
      </c>
      <c r="CK15" s="22">
        <f>'Historical P&amp;L Adj'!AO10</f>
        <v>-290242.06036759261</v>
      </c>
      <c r="CL15" s="22">
        <f>'Historical P&amp;L Adj'!AP10</f>
        <v>-780734.13863130799</v>
      </c>
      <c r="CM15" s="22">
        <f>'Historical P&amp;L Adj'!AQ10</f>
        <v>-780734.13863130799</v>
      </c>
      <c r="CN15" s="22">
        <f>'Historical P&amp;L Adj'!AR10</f>
        <v>-780734.13863130799</v>
      </c>
      <c r="CO15" s="22">
        <f>'Historical P&amp;L Adj'!AS10</f>
        <v>-1063724.5116936069</v>
      </c>
      <c r="CP15" s="22">
        <f>'Historical P&amp;L Adj'!AT10</f>
        <v>-1063724.5116936069</v>
      </c>
      <c r="CQ15" s="22">
        <f>'Historical P&amp;L Adj'!AU10</f>
        <v>-1063724.5116936069</v>
      </c>
      <c r="CR15" s="22">
        <f>'Historical P&amp;L Adj'!AV10</f>
        <v>-1299444.0254004376</v>
      </c>
      <c r="CS15" s="22">
        <f>'Historical P&amp;L Adj'!AW10</f>
        <v>-1299444.0254004376</v>
      </c>
      <c r="CT15" s="22">
        <f>'Historical P&amp;L Adj'!AX10</f>
        <v>-1299444.0254004376</v>
      </c>
      <c r="CU15" s="22">
        <f>SUM(CU13:CU14)</f>
        <v>250335.56937440927</v>
      </c>
      <c r="CV15" s="22">
        <f t="shared" ref="CV15:FB15" si="122">SUM(CV13:CV14)</f>
        <v>-661812.16351316939</v>
      </c>
      <c r="CW15" s="22">
        <f t="shared" si="122"/>
        <v>-2317978.1092972467</v>
      </c>
      <c r="CX15" s="22">
        <f t="shared" si="122"/>
        <v>-280358.57750950125</v>
      </c>
      <c r="CY15" s="22">
        <f t="shared" si="122"/>
        <v>-1565376.7768530878</v>
      </c>
      <c r="CZ15" s="22">
        <f t="shared" si="122"/>
        <v>-2668981.0188753791</v>
      </c>
      <c r="DA15" s="22">
        <f t="shared" si="122"/>
        <v>-169671.79810651066</v>
      </c>
      <c r="DB15" s="22">
        <f t="shared" si="122"/>
        <v>-1159795.8454126893</v>
      </c>
      <c r="DC15" s="22">
        <f t="shared" si="122"/>
        <v>-2879920.6412162688</v>
      </c>
      <c r="DD15" s="22">
        <f t="shared" si="122"/>
        <v>-537726.84300294262</v>
      </c>
      <c r="DE15" s="22">
        <f t="shared" si="122"/>
        <v>-3404838.6045822487</v>
      </c>
      <c r="DF15" s="22">
        <f t="shared" si="122"/>
        <v>-4049764.0773457666</v>
      </c>
      <c r="DG15" s="22">
        <f t="shared" si="122"/>
        <v>79993.637137989048</v>
      </c>
      <c r="DH15" s="22">
        <f t="shared" si="122"/>
        <v>-1261675.006731329</v>
      </c>
      <c r="DI15" s="22">
        <f t="shared" si="122"/>
        <v>-3679210.6208167179</v>
      </c>
      <c r="DJ15" s="22">
        <f t="shared" si="122"/>
        <v>-776799.56878863461</v>
      </c>
      <c r="DK15" s="22">
        <f t="shared" si="122"/>
        <v>-2644905.8152541774</v>
      </c>
      <c r="DL15" s="22">
        <f t="shared" si="122"/>
        <v>-4273770.6732998639</v>
      </c>
      <c r="DM15" s="22">
        <f t="shared" si="122"/>
        <v>-385870.78124917857</v>
      </c>
      <c r="DN15" s="22">
        <f t="shared" si="122"/>
        <v>-1863481.0932229976</v>
      </c>
      <c r="DO15" s="22">
        <f t="shared" si="122"/>
        <v>-4390857.1803833842</v>
      </c>
      <c r="DP15" s="22">
        <f t="shared" si="122"/>
        <v>-663408.49490151624</v>
      </c>
      <c r="DQ15" s="22">
        <f t="shared" si="122"/>
        <v>-4891090.5018382324</v>
      </c>
      <c r="DR15" s="22">
        <f t="shared" si="122"/>
        <v>-5841479.8078199746</v>
      </c>
      <c r="DS15" s="22">
        <f t="shared" si="122"/>
        <v>14602.395209414419</v>
      </c>
      <c r="DT15" s="22">
        <f t="shared" si="122"/>
        <v>-1904860.7010049189</v>
      </c>
      <c r="DU15" s="22">
        <f t="shared" si="122"/>
        <v>-5372219.2027441747</v>
      </c>
      <c r="DV15" s="22">
        <f t="shared" si="122"/>
        <v>-1137595.9620714665</v>
      </c>
      <c r="DW15" s="22">
        <f t="shared" si="122"/>
        <v>-3816429.4031671113</v>
      </c>
      <c r="DX15" s="22">
        <f t="shared" si="122"/>
        <v>-6108359.9019942489</v>
      </c>
      <c r="DY15" s="22">
        <f t="shared" si="122"/>
        <v>-454596.03059601225</v>
      </c>
      <c r="DZ15" s="22">
        <f t="shared" si="122"/>
        <v>-2545026.3015280203</v>
      </c>
      <c r="EA15" s="22">
        <f t="shared" si="122"/>
        <v>-6151516.7874375116</v>
      </c>
      <c r="EB15" s="22">
        <f t="shared" si="122"/>
        <v>-722120.03912580805</v>
      </c>
      <c r="EC15" s="22">
        <f t="shared" si="122"/>
        <v>-6791420.0329514835</v>
      </c>
      <c r="ED15" s="22">
        <f t="shared" si="122"/>
        <v>-8086362.3783173906</v>
      </c>
      <c r="EE15" s="22">
        <f t="shared" si="122"/>
        <v>448769.67811045609</v>
      </c>
      <c r="EF15" s="22">
        <f t="shared" si="122"/>
        <v>-2286465.2339949701</v>
      </c>
      <c r="EG15" s="22">
        <f t="shared" si="122"/>
        <v>-7227451.0989734093</v>
      </c>
      <c r="EH15" s="22">
        <f t="shared" si="122"/>
        <v>-1193112.9810147984</v>
      </c>
      <c r="EI15" s="22">
        <f t="shared" si="122"/>
        <v>-5010450.6345760925</v>
      </c>
      <c r="EJ15" s="22">
        <f t="shared" si="122"/>
        <v>-8276451.5954047628</v>
      </c>
      <c r="EK15" s="22">
        <f t="shared" si="122"/>
        <v>-219838.0786622758</v>
      </c>
      <c r="EL15" s="22">
        <f t="shared" si="122"/>
        <v>-3198701.2147403881</v>
      </c>
      <c r="EM15" s="22">
        <f t="shared" si="122"/>
        <v>-8337950.1571614118</v>
      </c>
      <c r="EN15" s="22">
        <f t="shared" si="122"/>
        <v>-601059.7908172328</v>
      </c>
      <c r="EO15" s="22">
        <f t="shared" si="122"/>
        <v>-9249812.2820188217</v>
      </c>
      <c r="EP15" s="22">
        <f t="shared" si="122"/>
        <v>-11095105.124165241</v>
      </c>
      <c r="EQ15" s="22">
        <f t="shared" si="122"/>
        <v>1120647.7415236137</v>
      </c>
      <c r="ER15" s="22">
        <f t="shared" si="122"/>
        <v>-2722846.8956385264</v>
      </c>
      <c r="ES15" s="22">
        <f t="shared" si="122"/>
        <v>-9673950.1620236505</v>
      </c>
      <c r="ET15" s="22">
        <f t="shared" si="122"/>
        <v>-1242296.0333157806</v>
      </c>
      <c r="EU15" s="22">
        <f t="shared" si="122"/>
        <v>-6613191.1799662635</v>
      </c>
      <c r="EV15" s="22">
        <f t="shared" si="122"/>
        <v>-11231929.653645383</v>
      </c>
      <c r="EW15" s="22">
        <f t="shared" si="122"/>
        <v>30981.998294092715</v>
      </c>
      <c r="EX15" s="22">
        <f t="shared" si="122"/>
        <v>-4177570.0257152626</v>
      </c>
      <c r="EY15" s="22">
        <f t="shared" si="122"/>
        <v>-11427009.450104695</v>
      </c>
      <c r="EZ15" s="22">
        <f t="shared" si="122"/>
        <v>-610090.94334784709</v>
      </c>
      <c r="FA15" s="22">
        <f t="shared" si="122"/>
        <v>-12777256.45553007</v>
      </c>
      <c r="FB15" s="22">
        <f t="shared" si="122"/>
        <v>-15434306.465160059</v>
      </c>
    </row>
    <row r="16" spans="3:158" hidden="1" outlineLevel="1" x14ac:dyDescent="0.25">
      <c r="C16" t="s">
        <v>51</v>
      </c>
      <c r="E16" s="248">
        <f>SUM(E13:E14)</f>
        <v>-3891955.371422465</v>
      </c>
      <c r="F16" s="248">
        <f>SUM(F13:F14)</f>
        <v>-3103374.3978170063</v>
      </c>
      <c r="G16" s="248">
        <f>SUM(G13:G14)</f>
        <v>-10476092.559220918</v>
      </c>
      <c r="H16" s="248">
        <f t="shared" ref="H16:L16" si="123">SUM(H13:H14)</f>
        <v>-19445888.886340402</v>
      </c>
      <c r="I16" s="248">
        <f t="shared" si="123"/>
        <v>-30592555.90716802</v>
      </c>
      <c r="J16" s="248">
        <f t="shared" si="123"/>
        <v>-43075904.34572874</v>
      </c>
      <c r="K16" s="248">
        <f t="shared" si="123"/>
        <v>-56247628.513418943</v>
      </c>
      <c r="L16" s="248">
        <f t="shared" si="123"/>
        <v>-74758817.524629861</v>
      </c>
    </row>
    <row r="17" spans="3:158" collapsed="1" x14ac:dyDescent="0.25"/>
    <row r="18" spans="3:158" s="292" customFormat="1" x14ac:dyDescent="0.25">
      <c r="C18" s="3" t="s">
        <v>787</v>
      </c>
      <c r="D18" s="375"/>
      <c r="E18" s="375"/>
      <c r="F18" s="376"/>
      <c r="G18" s="376"/>
      <c r="H18" s="376"/>
      <c r="I18" s="376"/>
      <c r="J18" s="376"/>
      <c r="K18" s="376"/>
      <c r="L18" s="376"/>
      <c r="M18" s="376"/>
      <c r="N18" s="376"/>
      <c r="O18" s="376"/>
      <c r="P18" s="376"/>
      <c r="Q18" s="376"/>
      <c r="R18" s="376"/>
      <c r="S18" s="376"/>
      <c r="T18" s="376"/>
      <c r="U18" s="376"/>
      <c r="V18" s="376"/>
      <c r="W18" s="376"/>
      <c r="X18" s="376"/>
      <c r="Y18" s="376"/>
      <c r="Z18" s="376"/>
      <c r="AA18" s="376"/>
      <c r="AB18" s="376"/>
      <c r="AC18" s="376"/>
      <c r="AD18" s="376"/>
      <c r="AE18" s="376"/>
      <c r="AF18" s="376"/>
      <c r="AG18" s="376"/>
      <c r="AH18" s="376"/>
      <c r="AI18" s="376"/>
      <c r="AJ18" s="376"/>
      <c r="AK18" s="376"/>
      <c r="AL18" s="376"/>
      <c r="AM18" s="376"/>
      <c r="AN18" s="376"/>
      <c r="AO18" s="376"/>
      <c r="AP18" s="376"/>
      <c r="AQ18" s="376"/>
      <c r="AR18" s="376"/>
      <c r="AS18" s="376"/>
      <c r="AT18" s="376"/>
      <c r="AU18" s="376"/>
      <c r="AV18" s="376"/>
      <c r="AW18" s="376"/>
      <c r="AX18" s="376"/>
      <c r="AY18" s="376"/>
      <c r="AZ18" s="376"/>
      <c r="BA18" s="376"/>
      <c r="BB18" s="376"/>
      <c r="BC18" s="376"/>
      <c r="BD18" s="376"/>
      <c r="BE18" s="376"/>
      <c r="BF18" s="376"/>
      <c r="BG18" s="376"/>
      <c r="BH18" s="376"/>
      <c r="BI18" s="376"/>
      <c r="BJ18" s="376"/>
      <c r="BK18" s="376"/>
      <c r="BL18" s="376"/>
      <c r="BM18" s="376"/>
      <c r="BN18" s="376"/>
      <c r="BO18" s="376"/>
      <c r="BP18" s="376"/>
      <c r="BQ18" s="376"/>
      <c r="BR18" s="376"/>
      <c r="BS18" s="376"/>
      <c r="BT18" s="376"/>
      <c r="BU18" s="376"/>
      <c r="BV18" s="376"/>
      <c r="BW18" s="376"/>
      <c r="BX18" s="376"/>
      <c r="BY18" s="376"/>
      <c r="BZ18" s="376"/>
      <c r="CA18" s="376"/>
      <c r="CB18" s="376"/>
      <c r="CC18" s="376"/>
      <c r="CD18" s="376"/>
      <c r="CE18" s="376"/>
      <c r="CF18" s="376"/>
      <c r="CG18" s="376"/>
      <c r="CH18" s="376"/>
      <c r="CI18" s="376"/>
      <c r="CJ18" s="376"/>
      <c r="CK18" s="376"/>
      <c r="CL18" s="376"/>
      <c r="CM18" s="376"/>
      <c r="CN18" s="376"/>
      <c r="CO18" s="376"/>
      <c r="CP18" s="376"/>
      <c r="CQ18" s="376"/>
      <c r="CR18" s="376"/>
      <c r="CS18" s="376"/>
      <c r="CT18" s="376"/>
      <c r="CU18" s="376"/>
      <c r="CV18" s="376"/>
      <c r="CW18" s="376"/>
      <c r="CX18" s="376"/>
      <c r="CY18" s="376"/>
      <c r="CZ18" s="376"/>
      <c r="DA18" s="376"/>
      <c r="DB18" s="376"/>
      <c r="DC18" s="376"/>
      <c r="DD18" s="376"/>
      <c r="DE18" s="376"/>
      <c r="DF18" s="376"/>
      <c r="DG18" s="376"/>
      <c r="DH18" s="376"/>
      <c r="DI18" s="376"/>
      <c r="DJ18" s="376"/>
      <c r="DK18" s="376"/>
      <c r="DL18" s="376"/>
      <c r="DM18" s="376"/>
      <c r="DN18" s="376"/>
      <c r="DO18" s="376"/>
      <c r="DP18" s="376"/>
      <c r="DQ18" s="376"/>
      <c r="DR18" s="376"/>
      <c r="DS18" s="376"/>
      <c r="DT18" s="376"/>
      <c r="DU18" s="376"/>
      <c r="DV18" s="376"/>
      <c r="DW18" s="376"/>
      <c r="DX18" s="376"/>
      <c r="DY18" s="376"/>
      <c r="DZ18" s="376"/>
      <c r="EA18" s="376"/>
      <c r="EB18" s="376"/>
      <c r="EC18" s="376"/>
      <c r="ED18" s="376"/>
      <c r="EE18" s="376"/>
      <c r="EF18" s="376"/>
      <c r="EG18" s="376"/>
      <c r="EH18" s="376"/>
      <c r="EI18" s="376"/>
      <c r="EJ18" s="376"/>
      <c r="EK18" s="376"/>
      <c r="EL18" s="376"/>
      <c r="EM18" s="376"/>
      <c r="EN18" s="376"/>
      <c r="EO18" s="376"/>
      <c r="EP18" s="376"/>
      <c r="EQ18" s="376"/>
      <c r="ER18" s="376"/>
      <c r="ES18" s="376"/>
      <c r="ET18" s="376"/>
      <c r="EU18" s="376"/>
      <c r="EV18" s="376"/>
      <c r="EW18" s="376"/>
      <c r="EX18" s="376"/>
      <c r="EY18" s="376"/>
      <c r="EZ18" s="376"/>
      <c r="FA18" s="376"/>
      <c r="FB18" s="376"/>
    </row>
    <row r="19" spans="3:158" s="292" customFormat="1" x14ac:dyDescent="0.25"/>
    <row r="20" spans="3:158" s="292" customFormat="1" x14ac:dyDescent="0.25">
      <c r="C20" s="292" t="s">
        <v>792</v>
      </c>
      <c r="D20" s="30">
        <f t="shared" ref="D20:L22" si="124">SUMIF($AY$2:$FB$2,D$2,$AY20:$FB20)</f>
        <v>0</v>
      </c>
      <c r="E20" s="421">
        <v>12797428</v>
      </c>
      <c r="F20" s="30">
        <f t="shared" si="124"/>
        <v>0</v>
      </c>
      <c r="G20" s="30">
        <f t="shared" si="124"/>
        <v>0</v>
      </c>
      <c r="H20" s="30">
        <f t="shared" si="124"/>
        <v>0</v>
      </c>
      <c r="I20" s="30">
        <f t="shared" si="124"/>
        <v>0</v>
      </c>
      <c r="J20" s="30">
        <f t="shared" si="124"/>
        <v>0</v>
      </c>
      <c r="K20" s="30">
        <f t="shared" si="124"/>
        <v>0</v>
      </c>
      <c r="L20" s="30">
        <f t="shared" si="124"/>
        <v>0</v>
      </c>
      <c r="BK20" s="416">
        <f>E20</f>
        <v>12797428</v>
      </c>
    </row>
    <row r="21" spans="3:158" s="292" customFormat="1" x14ac:dyDescent="0.25">
      <c r="C21" s="292" t="s">
        <v>790</v>
      </c>
      <c r="D21" s="295">
        <f t="shared" si="124"/>
        <v>0</v>
      </c>
      <c r="E21" s="295">
        <f t="shared" si="124"/>
        <v>9707882.7618202493</v>
      </c>
      <c r="F21" s="295">
        <f t="shared" si="124"/>
        <v>12471063.463917732</v>
      </c>
      <c r="G21" s="295">
        <f t="shared" si="124"/>
        <v>0</v>
      </c>
      <c r="H21" s="295">
        <f t="shared" si="124"/>
        <v>0</v>
      </c>
      <c r="I21" s="295">
        <f t="shared" si="124"/>
        <v>0</v>
      </c>
      <c r="J21" s="295">
        <f t="shared" si="124"/>
        <v>0</v>
      </c>
      <c r="K21" s="295">
        <f t="shared" si="124"/>
        <v>0</v>
      </c>
      <c r="L21" s="295">
        <f t="shared" si="124"/>
        <v>0</v>
      </c>
      <c r="BK21" s="419">
        <f>-BK13</f>
        <v>275454.6655</v>
      </c>
      <c r="BL21" s="419">
        <f t="shared" ref="BL21:CH21" si="125">-BL13</f>
        <v>492691.96549999999</v>
      </c>
      <c r="BM21" s="419">
        <f t="shared" si="125"/>
        <v>1222766.8705</v>
      </c>
      <c r="BN21" s="419">
        <f t="shared" si="125"/>
        <v>464144.01599999989</v>
      </c>
      <c r="BO21" s="419">
        <f t="shared" si="125"/>
        <v>1090449.2829999998</v>
      </c>
      <c r="BP21" s="419">
        <f t="shared" si="125"/>
        <v>1071998.4484999999</v>
      </c>
      <c r="BQ21" s="419">
        <f t="shared" si="125"/>
        <v>427701.88999999996</v>
      </c>
      <c r="BR21" s="419">
        <f t="shared" si="125"/>
        <v>457796.03449999995</v>
      </c>
      <c r="BS21" s="419">
        <f t="shared" si="125"/>
        <v>1219100.4839999999</v>
      </c>
      <c r="BT21" s="419">
        <f t="shared" si="125"/>
        <v>279091.93900000001</v>
      </c>
      <c r="BU21" s="419">
        <f t="shared" si="125"/>
        <v>1171077.7644999998</v>
      </c>
      <c r="BV21" s="419">
        <f t="shared" si="125"/>
        <v>1535609.4008202499</v>
      </c>
      <c r="BW21" s="419">
        <f t="shared" si="125"/>
        <v>425420.71919999999</v>
      </c>
      <c r="BX21" s="419">
        <f t="shared" si="125"/>
        <v>644435.68707750551</v>
      </c>
      <c r="BY21" s="419">
        <f t="shared" si="125"/>
        <v>945139.99492694729</v>
      </c>
      <c r="BZ21" s="419">
        <f t="shared" si="125"/>
        <v>648675.68851833604</v>
      </c>
      <c r="CA21" s="419">
        <f t="shared" si="125"/>
        <v>742856.68004006881</v>
      </c>
      <c r="CB21" s="419">
        <f t="shared" si="125"/>
        <v>1736032.8497985648</v>
      </c>
      <c r="CC21" s="419">
        <f t="shared" si="125"/>
        <v>404913.79675222241</v>
      </c>
      <c r="CD21" s="419">
        <f t="shared" si="125"/>
        <v>1293633.4699869296</v>
      </c>
      <c r="CE21" s="419">
        <f t="shared" si="125"/>
        <v>1445085.6945038529</v>
      </c>
      <c r="CF21" s="419">
        <f t="shared" si="125"/>
        <v>610663.14280536794</v>
      </c>
      <c r="CG21" s="419">
        <f t="shared" si="125"/>
        <v>1510483.4374981218</v>
      </c>
      <c r="CH21" s="419">
        <f t="shared" si="125"/>
        <v>2063722.3028098142</v>
      </c>
    </row>
    <row r="22" spans="3:158" s="292" customFormat="1" x14ac:dyDescent="0.25">
      <c r="C22" s="292" t="s">
        <v>793</v>
      </c>
      <c r="D22" s="30">
        <f t="shared" si="124"/>
        <v>0</v>
      </c>
      <c r="E22" s="30">
        <f t="shared" si="124"/>
        <v>22505310.761820253</v>
      </c>
      <c r="F22" s="30">
        <f t="shared" si="124"/>
        <v>12471063.463917732</v>
      </c>
      <c r="G22" s="30">
        <f t="shared" si="124"/>
        <v>0</v>
      </c>
      <c r="H22" s="30">
        <f t="shared" si="124"/>
        <v>0</v>
      </c>
      <c r="I22" s="30">
        <f t="shared" si="124"/>
        <v>0</v>
      </c>
      <c r="J22" s="30">
        <f t="shared" si="124"/>
        <v>0</v>
      </c>
      <c r="K22" s="30">
        <f t="shared" si="124"/>
        <v>0</v>
      </c>
      <c r="L22" s="30">
        <f t="shared" si="124"/>
        <v>0</v>
      </c>
      <c r="N22" s="30">
        <f t="shared" ref="N22" si="126">SUM(AY22:BA22)</f>
        <v>0</v>
      </c>
      <c r="O22" s="30">
        <f t="shared" ref="O22" si="127">SUM(BB22:BD22)</f>
        <v>0</v>
      </c>
      <c r="P22" s="30">
        <f t="shared" ref="P22" si="128">SUM(BE22:BG22)</f>
        <v>0</v>
      </c>
      <c r="Q22" s="30">
        <f t="shared" ref="Q22" si="129">SUM(BH22:BJ22)</f>
        <v>0</v>
      </c>
      <c r="R22" s="30">
        <f t="shared" ref="R22" si="130">SUM(BK22:BM22)</f>
        <v>14788341.501500001</v>
      </c>
      <c r="S22" s="30">
        <f t="shared" ref="S22" si="131">SUM(BN22:BP22)</f>
        <v>2626591.7474999996</v>
      </c>
      <c r="T22" s="30">
        <f t="shared" ref="T22" si="132">SUM(BQ22:BS22)</f>
        <v>2104598.4084999999</v>
      </c>
      <c r="U22" s="30">
        <f t="shared" ref="U22" si="133">SUM(BT22:BV22)</f>
        <v>2985779.1043202495</v>
      </c>
      <c r="V22" s="30">
        <f t="shared" ref="V22" si="134">SUM(BW22:BY22)</f>
        <v>2014996.4012044528</v>
      </c>
      <c r="W22" s="30">
        <f t="shared" ref="W22" si="135">SUM(BZ22:CB22)</f>
        <v>3127565.2183569698</v>
      </c>
      <c r="X22" s="30">
        <f t="shared" ref="X22" si="136">SUM(CC22:CE22)</f>
        <v>3143632.9612430045</v>
      </c>
      <c r="Y22" s="30">
        <f t="shared" ref="Y22" si="137">SUM(CF22:CH22)</f>
        <v>4184868.8831133042</v>
      </c>
      <c r="Z22" s="30">
        <f t="shared" ref="Z22" si="138">SUM(CI22:CK22)</f>
        <v>0</v>
      </c>
      <c r="AA22" s="30">
        <f t="shared" ref="AA22" si="139">SUM(CL22:CN22)</f>
        <v>0</v>
      </c>
      <c r="AB22" s="30">
        <f t="shared" ref="AB22" si="140">SUM(CO22:CQ22)</f>
        <v>0</v>
      </c>
      <c r="AC22" s="30">
        <f t="shared" ref="AC22" si="141">SUM(CR22:CT22)</f>
        <v>0</v>
      </c>
      <c r="AD22" s="30">
        <f t="shared" ref="AD22" si="142">SUM(CU22:CW22)</f>
        <v>0</v>
      </c>
      <c r="AE22" s="30">
        <f t="shared" ref="AE22" si="143">SUM(CX22:CZ22)</f>
        <v>0</v>
      </c>
      <c r="AF22" s="30">
        <f t="shared" ref="AF22" si="144">SUM(DA22:DC22)</f>
        <v>0</v>
      </c>
      <c r="AG22" s="30">
        <f t="shared" ref="AG22" si="145">SUM(DD22:DF22)</f>
        <v>0</v>
      </c>
      <c r="AH22" s="30">
        <f t="shared" ref="AH22" si="146">SUM(DG22:DI22)</f>
        <v>0</v>
      </c>
      <c r="AI22" s="30">
        <f t="shared" ref="AI22" si="147">SUM(DJ22:DL22)</f>
        <v>0</v>
      </c>
      <c r="AJ22" s="30">
        <f t="shared" ref="AJ22" si="148">SUM(DM22:DO22)</f>
        <v>0</v>
      </c>
      <c r="AK22" s="30">
        <f t="shared" ref="AK22" si="149">SUM(DP22:DR22)</f>
        <v>0</v>
      </c>
      <c r="AL22" s="30">
        <f t="shared" ref="AL22" si="150">SUM(DS22:DU22)</f>
        <v>0</v>
      </c>
      <c r="AM22" s="30">
        <f t="shared" ref="AM22" si="151">SUM(DV22:DX22)</f>
        <v>0</v>
      </c>
      <c r="AN22" s="30">
        <f t="shared" ref="AN22" si="152">SUM(DY22:EA22)</f>
        <v>0</v>
      </c>
      <c r="AO22" s="30">
        <f t="shared" ref="AO22" si="153">SUM(EB22:ED22)</f>
        <v>0</v>
      </c>
      <c r="AP22" s="30">
        <f t="shared" ref="AP22" si="154">SUM(EE22:EG22)</f>
        <v>0</v>
      </c>
      <c r="AQ22" s="30">
        <f t="shared" ref="AQ22" si="155">SUM(EH22:EJ22)</f>
        <v>0</v>
      </c>
      <c r="AR22" s="30">
        <f t="shared" ref="AR22" si="156">SUM(EK22:EM22)</f>
        <v>0</v>
      </c>
      <c r="AS22" s="30">
        <f t="shared" ref="AS22" si="157">SUM(EN22:EP22)</f>
        <v>0</v>
      </c>
      <c r="AT22" s="30">
        <f t="shared" ref="AT22" si="158">SUM(EQ22:ES22)</f>
        <v>0</v>
      </c>
      <c r="AU22" s="30">
        <f t="shared" ref="AU22" si="159">SUM(ET22:EV22)</f>
        <v>0</v>
      </c>
      <c r="AV22" s="30">
        <f t="shared" ref="AV22" si="160">SUM(EW22:EY22)</f>
        <v>0</v>
      </c>
      <c r="AW22" s="30">
        <f t="shared" ref="AW22" si="161">SUM(EZ22:FB22)</f>
        <v>0</v>
      </c>
      <c r="BK22" s="416">
        <f>SUM(BK20:BK21)</f>
        <v>13072882.6655</v>
      </c>
      <c r="BL22" s="416">
        <f t="shared" ref="BL22:CH22" si="162">SUM(BL20:BL21)</f>
        <v>492691.96549999999</v>
      </c>
      <c r="BM22" s="416">
        <f t="shared" si="162"/>
        <v>1222766.8705</v>
      </c>
      <c r="BN22" s="416">
        <f t="shared" si="162"/>
        <v>464144.01599999989</v>
      </c>
      <c r="BO22" s="416">
        <f t="shared" si="162"/>
        <v>1090449.2829999998</v>
      </c>
      <c r="BP22" s="416">
        <f t="shared" si="162"/>
        <v>1071998.4484999999</v>
      </c>
      <c r="BQ22" s="416">
        <f t="shared" si="162"/>
        <v>427701.88999999996</v>
      </c>
      <c r="BR22" s="416">
        <f t="shared" si="162"/>
        <v>457796.03449999995</v>
      </c>
      <c r="BS22" s="416">
        <f t="shared" si="162"/>
        <v>1219100.4839999999</v>
      </c>
      <c r="BT22" s="416">
        <f t="shared" si="162"/>
        <v>279091.93900000001</v>
      </c>
      <c r="BU22" s="416">
        <f t="shared" si="162"/>
        <v>1171077.7644999998</v>
      </c>
      <c r="BV22" s="416">
        <f t="shared" si="162"/>
        <v>1535609.4008202499</v>
      </c>
      <c r="BW22" s="416">
        <f t="shared" si="162"/>
        <v>425420.71919999999</v>
      </c>
      <c r="BX22" s="416">
        <f t="shared" si="162"/>
        <v>644435.68707750551</v>
      </c>
      <c r="BY22" s="416">
        <f t="shared" si="162"/>
        <v>945139.99492694729</v>
      </c>
      <c r="BZ22" s="416">
        <f t="shared" si="162"/>
        <v>648675.68851833604</v>
      </c>
      <c r="CA22" s="416">
        <f t="shared" si="162"/>
        <v>742856.68004006881</v>
      </c>
      <c r="CB22" s="416">
        <f t="shared" si="162"/>
        <v>1736032.8497985648</v>
      </c>
      <c r="CC22" s="416">
        <f t="shared" si="162"/>
        <v>404913.79675222241</v>
      </c>
      <c r="CD22" s="416">
        <f t="shared" si="162"/>
        <v>1293633.4699869296</v>
      </c>
      <c r="CE22" s="416">
        <f t="shared" si="162"/>
        <v>1445085.6945038529</v>
      </c>
      <c r="CF22" s="416">
        <f t="shared" si="162"/>
        <v>610663.14280536794</v>
      </c>
      <c r="CG22" s="416">
        <f t="shared" si="162"/>
        <v>1510483.4374981218</v>
      </c>
      <c r="CH22" s="416">
        <f t="shared" si="162"/>
        <v>2063722.3028098142</v>
      </c>
      <c r="CI22" s="416"/>
      <c r="CJ22" s="416"/>
      <c r="CK22" s="416"/>
      <c r="CL22" s="416"/>
      <c r="CM22" s="416"/>
      <c r="CN22" s="416"/>
      <c r="CO22" s="416"/>
      <c r="CP22" s="416"/>
      <c r="CQ22" s="416"/>
      <c r="CR22" s="416"/>
      <c r="CS22" s="416"/>
      <c r="CT22" s="416"/>
    </row>
    <row r="23" spans="3:158" s="292" customFormat="1" x14ac:dyDescent="0.25"/>
    <row r="24" spans="3:158" s="292" customFormat="1" x14ac:dyDescent="0.25">
      <c r="C24" s="7" t="s">
        <v>788</v>
      </c>
    </row>
    <row r="25" spans="3:158" x14ac:dyDescent="0.25">
      <c r="C25" s="248" t="s">
        <v>726</v>
      </c>
      <c r="D25" s="248">
        <f t="shared" ref="D25:L40" si="163">SUMIF($AY$2:$FB$2,D$2,$AY25:$FB25)</f>
        <v>0</v>
      </c>
      <c r="E25" s="248">
        <f t="shared" si="163"/>
        <v>625147.52116167359</v>
      </c>
      <c r="F25" s="248">
        <f t="shared" si="163"/>
        <v>346418.42955327028</v>
      </c>
      <c r="G25" s="248">
        <f t="shared" si="163"/>
        <v>0</v>
      </c>
      <c r="H25" s="248">
        <f t="shared" si="163"/>
        <v>0</v>
      </c>
      <c r="I25" s="248">
        <f t="shared" si="163"/>
        <v>0</v>
      </c>
      <c r="J25" s="248">
        <f t="shared" si="163"/>
        <v>0</v>
      </c>
      <c r="K25" s="248">
        <f t="shared" si="163"/>
        <v>0</v>
      </c>
      <c r="L25" s="248">
        <f t="shared" si="163"/>
        <v>0</v>
      </c>
      <c r="M25" s="248"/>
      <c r="N25" s="248">
        <f t="shared" ref="N25" si="164">SUM(AY25:BA25)</f>
        <v>0</v>
      </c>
      <c r="O25" s="248">
        <f t="shared" ref="O25" si="165">SUM(BB25:BD25)</f>
        <v>0</v>
      </c>
      <c r="P25" s="248">
        <f t="shared" ref="P25" si="166">SUM(BE25:BG25)</f>
        <v>0</v>
      </c>
      <c r="Q25" s="248">
        <f t="shared" ref="Q25" si="167">SUM(BH25:BJ25)</f>
        <v>0</v>
      </c>
      <c r="R25" s="248">
        <f t="shared" ref="R25" si="168">SUM(BK25:BM25)</f>
        <v>410787.26393055555</v>
      </c>
      <c r="S25" s="248">
        <f t="shared" ref="S25" si="169">SUM(BN25:BP25)</f>
        <v>72960.881874999992</v>
      </c>
      <c r="T25" s="248">
        <f t="shared" ref="T25" si="170">SUM(BQ25:BS25)</f>
        <v>58461.066902777777</v>
      </c>
      <c r="U25" s="248">
        <f t="shared" ref="U25" si="171">SUM(BT25:BV25)</f>
        <v>82938.308453340273</v>
      </c>
      <c r="V25" s="248">
        <f t="shared" ref="V25" si="172">SUM(BW25:BY25)</f>
        <v>55972.122255679242</v>
      </c>
      <c r="W25" s="248">
        <f t="shared" ref="W25" si="173">SUM(BZ25:CB25)</f>
        <v>86876.811621026922</v>
      </c>
      <c r="X25" s="248">
        <f t="shared" ref="X25" si="174">SUM(CC25:CE25)</f>
        <v>87323.137812305678</v>
      </c>
      <c r="Y25" s="248">
        <f t="shared" ref="Y25" si="175">SUM(CF25:CH25)</f>
        <v>116246.35786425843</v>
      </c>
      <c r="Z25" s="248">
        <f t="shared" ref="Z25" si="176">SUM(CI25:CK25)</f>
        <v>0</v>
      </c>
      <c r="AA25" s="248">
        <f t="shared" ref="AA25" si="177">SUM(CL25:CN25)</f>
        <v>0</v>
      </c>
      <c r="AB25" s="248">
        <f t="shared" ref="AB25" si="178">SUM(CO25:CQ25)</f>
        <v>0</v>
      </c>
      <c r="AC25" s="248">
        <f t="shared" ref="AC25" si="179">SUM(CR25:CT25)</f>
        <v>0</v>
      </c>
      <c r="AD25" s="248">
        <f t="shared" ref="AD25" si="180">SUM(CU25:CW25)</f>
        <v>0</v>
      </c>
      <c r="AE25" s="248">
        <f t="shared" ref="AE25" si="181">SUM(CX25:CZ25)</f>
        <v>0</v>
      </c>
      <c r="AF25" s="248">
        <f t="shared" ref="AF25" si="182">SUM(DA25:DC25)</f>
        <v>0</v>
      </c>
      <c r="AG25" s="248">
        <f t="shared" ref="AG25" si="183">SUM(DD25:DF25)</f>
        <v>0</v>
      </c>
      <c r="AH25" s="248">
        <f t="shared" ref="AH25" si="184">SUM(DG25:DI25)</f>
        <v>0</v>
      </c>
      <c r="AI25" s="248">
        <f t="shared" ref="AI25" si="185">SUM(DJ25:DL25)</f>
        <v>0</v>
      </c>
      <c r="AJ25" s="248">
        <f t="shared" ref="AJ25" si="186">SUM(DM25:DO25)</f>
        <v>0</v>
      </c>
      <c r="AK25" s="248">
        <f t="shared" ref="AK25" si="187">SUM(DP25:DR25)</f>
        <v>0</v>
      </c>
      <c r="AL25" s="248">
        <f t="shared" ref="AL25" si="188">SUM(DS25:DU25)</f>
        <v>0</v>
      </c>
      <c r="AM25" s="248">
        <f t="shared" ref="AM25" si="189">SUM(DV25:DX25)</f>
        <v>0</v>
      </c>
      <c r="AN25" s="248">
        <f t="shared" ref="AN25" si="190">SUM(DY25:EA25)</f>
        <v>0</v>
      </c>
      <c r="AO25" s="248">
        <f t="shared" ref="AO25" si="191">SUM(EB25:ED25)</f>
        <v>0</v>
      </c>
      <c r="AP25" s="248">
        <f t="shared" ref="AP25" si="192">SUM(EE25:EG25)</f>
        <v>0</v>
      </c>
      <c r="AQ25" s="248">
        <f t="shared" ref="AQ25" si="193">SUM(EH25:EJ25)</f>
        <v>0</v>
      </c>
      <c r="AR25" s="248">
        <f t="shared" ref="AR25" si="194">SUM(EK25:EM25)</f>
        <v>0</v>
      </c>
      <c r="AS25" s="248">
        <f t="shared" ref="AS25" si="195">SUM(EN25:EP25)</f>
        <v>0</v>
      </c>
      <c r="AT25" s="248">
        <f t="shared" ref="AT25" si="196">SUM(EQ25:ES25)</f>
        <v>0</v>
      </c>
      <c r="AU25" s="248">
        <f t="shared" ref="AU25" si="197">SUM(ET25:EV25)</f>
        <v>0</v>
      </c>
      <c r="AV25" s="248">
        <f t="shared" ref="AV25" si="198">SUM(EW25:EY25)</f>
        <v>0</v>
      </c>
      <c r="AW25" s="248">
        <f t="shared" ref="AW25" si="199">SUM(EZ25:FB25)</f>
        <v>0</v>
      </c>
      <c r="AX25" s="248"/>
      <c r="AY25" s="248"/>
      <c r="AZ25" s="248"/>
      <c r="BA25" s="248"/>
      <c r="BB25" s="248"/>
      <c r="BC25" s="248"/>
      <c r="BD25" s="248"/>
      <c r="BE25" s="248"/>
      <c r="BF25" s="248"/>
      <c r="BG25" s="248"/>
      <c r="BH25" s="248"/>
      <c r="BI25" s="248"/>
      <c r="BJ25" s="248"/>
      <c r="BK25" s="248">
        <f>1/36*BK22</f>
        <v>363135.6295972222</v>
      </c>
      <c r="BL25" s="248">
        <f t="shared" ref="BL25:CT25" si="200">1/36*BL22</f>
        <v>13685.887930555555</v>
      </c>
      <c r="BM25" s="248">
        <f t="shared" si="200"/>
        <v>33965.746402777775</v>
      </c>
      <c r="BN25" s="248">
        <f t="shared" si="200"/>
        <v>12892.889333333329</v>
      </c>
      <c r="BO25" s="248">
        <f t="shared" si="200"/>
        <v>30290.257861111106</v>
      </c>
      <c r="BP25" s="248">
        <f t="shared" si="200"/>
        <v>29777.734680555553</v>
      </c>
      <c r="BQ25" s="248">
        <f t="shared" si="200"/>
        <v>11880.608055555555</v>
      </c>
      <c r="BR25" s="248">
        <f t="shared" si="200"/>
        <v>12716.556513888887</v>
      </c>
      <c r="BS25" s="248">
        <f t="shared" si="200"/>
        <v>33863.902333333332</v>
      </c>
      <c r="BT25" s="248">
        <f t="shared" si="200"/>
        <v>7752.5538611111115</v>
      </c>
      <c r="BU25" s="248">
        <f t="shared" si="200"/>
        <v>32529.937902777772</v>
      </c>
      <c r="BV25" s="248">
        <f t="shared" si="200"/>
        <v>42655.816689451385</v>
      </c>
      <c r="BW25" s="248">
        <f t="shared" si="200"/>
        <v>11817.242199999999</v>
      </c>
      <c r="BX25" s="248">
        <f t="shared" si="200"/>
        <v>17900.991307708486</v>
      </c>
      <c r="BY25" s="248">
        <f t="shared" si="200"/>
        <v>26253.888747970756</v>
      </c>
      <c r="BZ25" s="248">
        <f t="shared" si="200"/>
        <v>18018.769125509334</v>
      </c>
      <c r="CA25" s="248">
        <f t="shared" si="200"/>
        <v>20634.9077788908</v>
      </c>
      <c r="CB25" s="248">
        <f t="shared" si="200"/>
        <v>48223.134716626795</v>
      </c>
      <c r="CC25" s="248">
        <f t="shared" si="200"/>
        <v>11247.605465339511</v>
      </c>
      <c r="CD25" s="248">
        <f t="shared" si="200"/>
        <v>35934.263055192489</v>
      </c>
      <c r="CE25" s="248">
        <f t="shared" si="200"/>
        <v>40141.269291773686</v>
      </c>
      <c r="CF25" s="248">
        <f t="shared" si="200"/>
        <v>16962.865077926886</v>
      </c>
      <c r="CG25" s="248">
        <f t="shared" si="200"/>
        <v>41957.873263836715</v>
      </c>
      <c r="CH25" s="248">
        <f t="shared" si="200"/>
        <v>57325.619522494839</v>
      </c>
      <c r="CI25" s="248">
        <f t="shared" si="200"/>
        <v>0</v>
      </c>
      <c r="CJ25" s="248">
        <f t="shared" si="200"/>
        <v>0</v>
      </c>
      <c r="CK25" s="248">
        <f t="shared" si="200"/>
        <v>0</v>
      </c>
      <c r="CL25" s="248">
        <f t="shared" si="200"/>
        <v>0</v>
      </c>
      <c r="CM25" s="248">
        <f t="shared" si="200"/>
        <v>0</v>
      </c>
      <c r="CN25" s="248">
        <f t="shared" si="200"/>
        <v>0</v>
      </c>
      <c r="CO25" s="248">
        <f t="shared" si="200"/>
        <v>0</v>
      </c>
      <c r="CP25" s="248">
        <f t="shared" si="200"/>
        <v>0</v>
      </c>
      <c r="CQ25" s="248">
        <f t="shared" si="200"/>
        <v>0</v>
      </c>
      <c r="CR25" s="248">
        <f t="shared" si="200"/>
        <v>0</v>
      </c>
      <c r="CS25" s="248">
        <f t="shared" si="200"/>
        <v>0</v>
      </c>
      <c r="CT25" s="248">
        <f t="shared" si="200"/>
        <v>0</v>
      </c>
      <c r="CU25" s="248">
        <f t="shared" ref="CU25:FB25" si="201">1/36*CU22</f>
        <v>0</v>
      </c>
      <c r="CV25" s="248">
        <f t="shared" si="201"/>
        <v>0</v>
      </c>
      <c r="CW25" s="248">
        <f t="shared" si="201"/>
        <v>0</v>
      </c>
      <c r="CX25" s="248">
        <f t="shared" si="201"/>
        <v>0</v>
      </c>
      <c r="CY25" s="248">
        <f t="shared" si="201"/>
        <v>0</v>
      </c>
      <c r="CZ25" s="248">
        <f t="shared" si="201"/>
        <v>0</v>
      </c>
      <c r="DA25" s="248">
        <f t="shared" si="201"/>
        <v>0</v>
      </c>
      <c r="DB25" s="248">
        <f t="shared" si="201"/>
        <v>0</v>
      </c>
      <c r="DC25" s="248">
        <f t="shared" si="201"/>
        <v>0</v>
      </c>
      <c r="DD25" s="248">
        <f t="shared" si="201"/>
        <v>0</v>
      </c>
      <c r="DE25" s="248">
        <f t="shared" si="201"/>
        <v>0</v>
      </c>
      <c r="DF25" s="248">
        <f t="shared" si="201"/>
        <v>0</v>
      </c>
      <c r="DG25" s="248">
        <f t="shared" si="201"/>
        <v>0</v>
      </c>
      <c r="DH25" s="248">
        <f t="shared" si="201"/>
        <v>0</v>
      </c>
      <c r="DI25" s="248">
        <f t="shared" si="201"/>
        <v>0</v>
      </c>
      <c r="DJ25" s="248">
        <f t="shared" si="201"/>
        <v>0</v>
      </c>
      <c r="DK25" s="248">
        <f t="shared" si="201"/>
        <v>0</v>
      </c>
      <c r="DL25" s="248">
        <f t="shared" si="201"/>
        <v>0</v>
      </c>
      <c r="DM25" s="248">
        <f t="shared" si="201"/>
        <v>0</v>
      </c>
      <c r="DN25" s="248">
        <f t="shared" si="201"/>
        <v>0</v>
      </c>
      <c r="DO25" s="248">
        <f t="shared" si="201"/>
        <v>0</v>
      </c>
      <c r="DP25" s="248">
        <f t="shared" si="201"/>
        <v>0</v>
      </c>
      <c r="DQ25" s="248">
        <f t="shared" si="201"/>
        <v>0</v>
      </c>
      <c r="DR25" s="248">
        <f t="shared" si="201"/>
        <v>0</v>
      </c>
      <c r="DS25" s="248">
        <f t="shared" si="201"/>
        <v>0</v>
      </c>
      <c r="DT25" s="248">
        <f t="shared" si="201"/>
        <v>0</v>
      </c>
      <c r="DU25" s="248">
        <f t="shared" si="201"/>
        <v>0</v>
      </c>
      <c r="DV25" s="248">
        <f t="shared" si="201"/>
        <v>0</v>
      </c>
      <c r="DW25" s="248">
        <f t="shared" si="201"/>
        <v>0</v>
      </c>
      <c r="DX25" s="248">
        <f t="shared" si="201"/>
        <v>0</v>
      </c>
      <c r="DY25" s="248">
        <f t="shared" si="201"/>
        <v>0</v>
      </c>
      <c r="DZ25" s="248">
        <f t="shared" si="201"/>
        <v>0</v>
      </c>
      <c r="EA25" s="248">
        <f t="shared" si="201"/>
        <v>0</v>
      </c>
      <c r="EB25" s="248">
        <f t="shared" si="201"/>
        <v>0</v>
      </c>
      <c r="EC25" s="248">
        <f t="shared" si="201"/>
        <v>0</v>
      </c>
      <c r="ED25" s="248">
        <f t="shared" si="201"/>
        <v>0</v>
      </c>
      <c r="EE25" s="248">
        <f t="shared" si="201"/>
        <v>0</v>
      </c>
      <c r="EF25" s="248">
        <f t="shared" si="201"/>
        <v>0</v>
      </c>
      <c r="EG25" s="248">
        <f t="shared" si="201"/>
        <v>0</v>
      </c>
      <c r="EH25" s="248">
        <f t="shared" si="201"/>
        <v>0</v>
      </c>
      <c r="EI25" s="248">
        <f t="shared" si="201"/>
        <v>0</v>
      </c>
      <c r="EJ25" s="248">
        <f t="shared" si="201"/>
        <v>0</v>
      </c>
      <c r="EK25" s="248">
        <f t="shared" si="201"/>
        <v>0</v>
      </c>
      <c r="EL25" s="248">
        <f t="shared" si="201"/>
        <v>0</v>
      </c>
      <c r="EM25" s="248">
        <f t="shared" si="201"/>
        <v>0</v>
      </c>
      <c r="EN25" s="248">
        <f t="shared" si="201"/>
        <v>0</v>
      </c>
      <c r="EO25" s="248">
        <f t="shared" si="201"/>
        <v>0</v>
      </c>
      <c r="EP25" s="248">
        <f t="shared" si="201"/>
        <v>0</v>
      </c>
      <c r="EQ25" s="248">
        <f t="shared" si="201"/>
        <v>0</v>
      </c>
      <c r="ER25" s="248">
        <f t="shared" si="201"/>
        <v>0</v>
      </c>
      <c r="ES25" s="248">
        <f t="shared" si="201"/>
        <v>0</v>
      </c>
      <c r="ET25" s="248">
        <f t="shared" si="201"/>
        <v>0</v>
      </c>
      <c r="EU25" s="248">
        <f t="shared" si="201"/>
        <v>0</v>
      </c>
      <c r="EV25" s="248">
        <f t="shared" si="201"/>
        <v>0</v>
      </c>
      <c r="EW25" s="248">
        <f t="shared" si="201"/>
        <v>0</v>
      </c>
      <c r="EX25" s="248">
        <f t="shared" si="201"/>
        <v>0</v>
      </c>
      <c r="EY25" s="248">
        <f t="shared" si="201"/>
        <v>0</v>
      </c>
      <c r="EZ25" s="248">
        <f t="shared" si="201"/>
        <v>0</v>
      </c>
      <c r="FA25" s="248">
        <f t="shared" si="201"/>
        <v>0</v>
      </c>
      <c r="FB25" s="248">
        <f t="shared" si="201"/>
        <v>0</v>
      </c>
    </row>
    <row r="26" spans="3:158" x14ac:dyDescent="0.25">
      <c r="C26" s="248" t="s">
        <v>727</v>
      </c>
      <c r="D26" s="16">
        <f t="shared" si="163"/>
        <v>0</v>
      </c>
      <c r="E26" s="16">
        <f t="shared" si="163"/>
        <v>582491.70447222225</v>
      </c>
      <c r="F26" s="16">
        <f t="shared" si="163"/>
        <v>331748.62672022684</v>
      </c>
      <c r="G26" s="16">
        <f t="shared" si="163"/>
        <v>57325.619522494839</v>
      </c>
      <c r="H26" s="16">
        <f t="shared" si="163"/>
        <v>0</v>
      </c>
      <c r="I26" s="16">
        <f t="shared" si="163"/>
        <v>0</v>
      </c>
      <c r="J26" s="16">
        <f t="shared" si="163"/>
        <v>0</v>
      </c>
      <c r="K26" s="16">
        <f t="shared" si="163"/>
        <v>0</v>
      </c>
      <c r="L26" s="16">
        <f t="shared" si="163"/>
        <v>0</v>
      </c>
      <c r="M26" s="16"/>
      <c r="N26" s="16">
        <f t="shared" ref="N26:N60" si="202">SUM(AY26:BA26)</f>
        <v>0</v>
      </c>
      <c r="O26" s="16">
        <f t="shared" ref="O26:O60" si="203">SUM(BB26:BD26)</f>
        <v>0</v>
      </c>
      <c r="P26" s="16">
        <f t="shared" ref="P26:P60" si="204">SUM(BE26:BG26)</f>
        <v>0</v>
      </c>
      <c r="Q26" s="16">
        <f t="shared" ref="Q26:Q60" si="205">SUM(BH26:BJ26)</f>
        <v>0</v>
      </c>
      <c r="R26" s="16">
        <f t="shared" ref="R26:R60" si="206">SUM(BK26:BM26)</f>
        <v>376821.51752777776</v>
      </c>
      <c r="S26" s="16">
        <f t="shared" ref="S26:S60" si="207">SUM(BN26:BP26)</f>
        <v>77148.89359722221</v>
      </c>
      <c r="T26" s="16">
        <f t="shared" ref="T26:T60" si="208">SUM(BQ26:BS26)</f>
        <v>54374.899249999995</v>
      </c>
      <c r="U26" s="16">
        <f t="shared" ref="U26:U60" si="209">SUM(BT26:BV26)</f>
        <v>74146.394097222219</v>
      </c>
      <c r="V26" s="16">
        <f t="shared" ref="V26:V60" si="210">SUM(BW26:BY26)</f>
        <v>72374.050197159871</v>
      </c>
      <c r="W26" s="16">
        <f t="shared" ref="W26:W60" si="211">SUM(BZ26:CB26)</f>
        <v>64907.565652370889</v>
      </c>
      <c r="X26" s="16">
        <f t="shared" ref="X26:X60" si="212">SUM(CC26:CE26)</f>
        <v>95405.003237158788</v>
      </c>
      <c r="Y26" s="16">
        <f t="shared" ref="Y26:Y60" si="213">SUM(CF26:CH26)</f>
        <v>99062.007633537287</v>
      </c>
      <c r="Z26" s="16">
        <f t="shared" ref="Z26:Z60" si="214">SUM(CI26:CK26)</f>
        <v>57325.619522494839</v>
      </c>
      <c r="AA26" s="16">
        <f t="shared" ref="AA26:AA60" si="215">SUM(CL26:CN26)</f>
        <v>0</v>
      </c>
      <c r="AB26" s="16">
        <f t="shared" ref="AB26:AB60" si="216">SUM(CO26:CQ26)</f>
        <v>0</v>
      </c>
      <c r="AC26" s="16">
        <f t="shared" ref="AC26:AC60" si="217">SUM(CR26:CT26)</f>
        <v>0</v>
      </c>
      <c r="AD26" s="16">
        <f t="shared" ref="AD26:AD60" si="218">SUM(CU26:CW26)</f>
        <v>0</v>
      </c>
      <c r="AE26" s="16">
        <f t="shared" ref="AE26:AE60" si="219">SUM(CX26:CZ26)</f>
        <v>0</v>
      </c>
      <c r="AF26" s="16">
        <f t="shared" ref="AF26:AF60" si="220">SUM(DA26:DC26)</f>
        <v>0</v>
      </c>
      <c r="AG26" s="16">
        <f t="shared" ref="AG26:AG60" si="221">SUM(DD26:DF26)</f>
        <v>0</v>
      </c>
      <c r="AH26" s="16">
        <f t="shared" ref="AH26:AH60" si="222">SUM(DG26:DI26)</f>
        <v>0</v>
      </c>
      <c r="AI26" s="16">
        <f t="shared" ref="AI26:AI60" si="223">SUM(DJ26:DL26)</f>
        <v>0</v>
      </c>
      <c r="AJ26" s="16">
        <f t="shared" ref="AJ26:AJ60" si="224">SUM(DM26:DO26)</f>
        <v>0</v>
      </c>
      <c r="AK26" s="16">
        <f t="shared" ref="AK26:AK60" si="225">SUM(DP26:DR26)</f>
        <v>0</v>
      </c>
      <c r="AL26" s="16">
        <f t="shared" ref="AL26:AL60" si="226">SUM(DS26:DU26)</f>
        <v>0</v>
      </c>
      <c r="AM26" s="16">
        <f t="shared" ref="AM26:AM60" si="227">SUM(DV26:DX26)</f>
        <v>0</v>
      </c>
      <c r="AN26" s="16">
        <f t="shared" ref="AN26:AN60" si="228">SUM(DY26:EA26)</f>
        <v>0</v>
      </c>
      <c r="AO26" s="16">
        <f t="shared" ref="AO26:AO60" si="229">SUM(EB26:ED26)</f>
        <v>0</v>
      </c>
      <c r="AP26" s="16">
        <f t="shared" ref="AP26:AP60" si="230">SUM(EE26:EG26)</f>
        <v>0</v>
      </c>
      <c r="AQ26" s="16">
        <f t="shared" ref="AQ26:AQ60" si="231">SUM(EH26:EJ26)</f>
        <v>0</v>
      </c>
      <c r="AR26" s="16">
        <f t="shared" ref="AR26:AR60" si="232">SUM(EK26:EM26)</f>
        <v>0</v>
      </c>
      <c r="AS26" s="16">
        <f t="shared" ref="AS26:AS60" si="233">SUM(EN26:EP26)</f>
        <v>0</v>
      </c>
      <c r="AT26" s="16">
        <f t="shared" ref="AT26:AT60" si="234">SUM(EQ26:ES26)</f>
        <v>0</v>
      </c>
      <c r="AU26" s="16">
        <f t="shared" ref="AU26:AU60" si="235">SUM(ET26:EV26)</f>
        <v>0</v>
      </c>
      <c r="AV26" s="16">
        <f t="shared" ref="AV26:AV60" si="236">SUM(EW26:EY26)</f>
        <v>0</v>
      </c>
      <c r="AW26" s="16">
        <f t="shared" ref="AW26:AW60" si="237">SUM(EZ26:FB26)</f>
        <v>0</v>
      </c>
      <c r="AX26" s="16"/>
      <c r="AY26" s="16"/>
      <c r="AZ26" s="16"/>
      <c r="BA26" s="16"/>
      <c r="BB26" s="16"/>
      <c r="BC26" s="16"/>
      <c r="BD26" s="16"/>
      <c r="BE26" s="16"/>
      <c r="BF26" s="16"/>
      <c r="BG26" s="16"/>
      <c r="BH26" s="16"/>
      <c r="BI26" s="16"/>
      <c r="BJ26" s="16"/>
      <c r="BK26" s="16"/>
      <c r="BL26" s="16">
        <f>BK25</f>
        <v>363135.6295972222</v>
      </c>
      <c r="BM26" s="16">
        <f>BL25</f>
        <v>13685.887930555555</v>
      </c>
      <c r="BN26" s="16">
        <f t="shared" ref="BN26:BX32" si="238">BM25</f>
        <v>33965.746402777775</v>
      </c>
      <c r="BO26" s="16">
        <f t="shared" si="238"/>
        <v>12892.889333333329</v>
      </c>
      <c r="BP26" s="16">
        <f t="shared" si="238"/>
        <v>30290.257861111106</v>
      </c>
      <c r="BQ26" s="16">
        <f t="shared" si="238"/>
        <v>29777.734680555553</v>
      </c>
      <c r="BR26" s="16">
        <f t="shared" si="238"/>
        <v>11880.608055555555</v>
      </c>
      <c r="BS26" s="16">
        <f t="shared" si="238"/>
        <v>12716.556513888887</v>
      </c>
      <c r="BT26" s="16">
        <f t="shared" si="238"/>
        <v>33863.902333333332</v>
      </c>
      <c r="BU26" s="16">
        <f t="shared" si="238"/>
        <v>7752.5538611111115</v>
      </c>
      <c r="BV26" s="16">
        <f t="shared" si="238"/>
        <v>32529.937902777772</v>
      </c>
      <c r="BW26" s="16">
        <f t="shared" si="238"/>
        <v>42655.816689451385</v>
      </c>
      <c r="BX26" s="16">
        <f t="shared" si="238"/>
        <v>11817.242199999999</v>
      </c>
      <c r="BY26" s="16">
        <f t="shared" ref="BY26:CF39" si="239">BX25</f>
        <v>17900.991307708486</v>
      </c>
      <c r="BZ26" s="16">
        <f t="shared" si="239"/>
        <v>26253.888747970756</v>
      </c>
      <c r="CA26" s="16">
        <f t="shared" si="239"/>
        <v>18018.769125509334</v>
      </c>
      <c r="CB26" s="16">
        <f t="shared" si="239"/>
        <v>20634.9077788908</v>
      </c>
      <c r="CC26" s="16">
        <f t="shared" si="239"/>
        <v>48223.134716626795</v>
      </c>
      <c r="CD26" s="16">
        <f t="shared" si="239"/>
        <v>11247.605465339511</v>
      </c>
      <c r="CE26" s="16">
        <f t="shared" si="239"/>
        <v>35934.263055192489</v>
      </c>
      <c r="CF26" s="16">
        <f t="shared" si="239"/>
        <v>40141.269291773686</v>
      </c>
      <c r="CG26" s="16">
        <f t="shared" ref="CG26:CL41" si="240">CF25</f>
        <v>16962.865077926886</v>
      </c>
      <c r="CH26" s="16">
        <f t="shared" si="240"/>
        <v>41957.873263836715</v>
      </c>
      <c r="CI26" s="16">
        <f t="shared" si="240"/>
        <v>57325.619522494839</v>
      </c>
      <c r="CJ26" s="16">
        <f t="shared" si="240"/>
        <v>0</v>
      </c>
      <c r="CK26" s="16">
        <f t="shared" si="240"/>
        <v>0</v>
      </c>
      <c r="CL26" s="16">
        <f t="shared" si="240"/>
        <v>0</v>
      </c>
      <c r="CM26" s="16">
        <f t="shared" ref="CM26:CM46" si="241">CL25</f>
        <v>0</v>
      </c>
      <c r="CN26" s="16">
        <f t="shared" ref="CN26:CS52" si="242">CM25</f>
        <v>0</v>
      </c>
      <c r="CO26" s="16">
        <f t="shared" si="242"/>
        <v>0</v>
      </c>
      <c r="CP26" s="16">
        <f t="shared" si="242"/>
        <v>0</v>
      </c>
      <c r="CQ26" s="16">
        <f t="shared" si="242"/>
        <v>0</v>
      </c>
      <c r="CR26" s="16">
        <f t="shared" si="242"/>
        <v>0</v>
      </c>
      <c r="CS26" s="16">
        <f t="shared" si="242"/>
        <v>0</v>
      </c>
      <c r="CT26" s="16">
        <f t="shared" ref="CT26:CT59" si="243">CS25</f>
        <v>0</v>
      </c>
      <c r="CU26" s="16">
        <f t="shared" ref="CU26:FB30" si="244">CT25</f>
        <v>0</v>
      </c>
      <c r="CV26" s="16">
        <f t="shared" si="244"/>
        <v>0</v>
      </c>
      <c r="CW26" s="16">
        <f t="shared" si="244"/>
        <v>0</v>
      </c>
      <c r="CX26" s="16">
        <f t="shared" si="244"/>
        <v>0</v>
      </c>
      <c r="CY26" s="16">
        <f t="shared" si="244"/>
        <v>0</v>
      </c>
      <c r="CZ26" s="16">
        <f t="shared" si="244"/>
        <v>0</v>
      </c>
      <c r="DA26" s="16">
        <f t="shared" si="244"/>
        <v>0</v>
      </c>
      <c r="DB26" s="16">
        <f t="shared" si="244"/>
        <v>0</v>
      </c>
      <c r="DC26" s="16">
        <f t="shared" si="244"/>
        <v>0</v>
      </c>
      <c r="DD26" s="16">
        <f t="shared" si="244"/>
        <v>0</v>
      </c>
      <c r="DE26" s="16">
        <f t="shared" si="244"/>
        <v>0</v>
      </c>
      <c r="DF26" s="16">
        <f t="shared" si="244"/>
        <v>0</v>
      </c>
      <c r="DG26" s="16">
        <f t="shared" si="244"/>
        <v>0</v>
      </c>
      <c r="DH26" s="16">
        <f t="shared" si="244"/>
        <v>0</v>
      </c>
      <c r="DI26" s="16">
        <f t="shared" si="244"/>
        <v>0</v>
      </c>
      <c r="DJ26" s="16">
        <f t="shared" si="244"/>
        <v>0</v>
      </c>
      <c r="DK26" s="16">
        <f t="shared" si="244"/>
        <v>0</v>
      </c>
      <c r="DL26" s="16">
        <f t="shared" si="244"/>
        <v>0</v>
      </c>
      <c r="DM26" s="16">
        <f t="shared" si="244"/>
        <v>0</v>
      </c>
      <c r="DN26" s="16">
        <f t="shared" si="244"/>
        <v>0</v>
      </c>
      <c r="DO26" s="16">
        <f t="shared" si="244"/>
        <v>0</v>
      </c>
      <c r="DP26" s="16">
        <f t="shared" si="244"/>
        <v>0</v>
      </c>
      <c r="DQ26" s="16">
        <f t="shared" si="244"/>
        <v>0</v>
      </c>
      <c r="DR26" s="16">
        <f t="shared" si="244"/>
        <v>0</v>
      </c>
      <c r="DS26" s="16">
        <f t="shared" si="244"/>
        <v>0</v>
      </c>
      <c r="DT26" s="16">
        <f t="shared" si="244"/>
        <v>0</v>
      </c>
      <c r="DU26" s="16">
        <f t="shared" si="244"/>
        <v>0</v>
      </c>
      <c r="DV26" s="16">
        <f t="shared" si="244"/>
        <v>0</v>
      </c>
      <c r="DW26" s="16">
        <f t="shared" si="244"/>
        <v>0</v>
      </c>
      <c r="DX26" s="16">
        <f t="shared" si="244"/>
        <v>0</v>
      </c>
      <c r="DY26" s="16">
        <f t="shared" si="244"/>
        <v>0</v>
      </c>
      <c r="DZ26" s="16">
        <f t="shared" si="244"/>
        <v>0</v>
      </c>
      <c r="EA26" s="16">
        <f t="shared" si="244"/>
        <v>0</v>
      </c>
      <c r="EB26" s="16">
        <f t="shared" si="244"/>
        <v>0</v>
      </c>
      <c r="EC26" s="16">
        <f t="shared" si="244"/>
        <v>0</v>
      </c>
      <c r="ED26" s="16">
        <f t="shared" si="244"/>
        <v>0</v>
      </c>
      <c r="EE26" s="16">
        <f t="shared" si="244"/>
        <v>0</v>
      </c>
      <c r="EF26" s="16">
        <f t="shared" si="244"/>
        <v>0</v>
      </c>
      <c r="EG26" s="16">
        <f t="shared" si="244"/>
        <v>0</v>
      </c>
      <c r="EH26" s="16">
        <f t="shared" si="244"/>
        <v>0</v>
      </c>
      <c r="EI26" s="16">
        <f t="shared" si="244"/>
        <v>0</v>
      </c>
      <c r="EJ26" s="16">
        <f t="shared" si="244"/>
        <v>0</v>
      </c>
      <c r="EK26" s="16">
        <f t="shared" si="244"/>
        <v>0</v>
      </c>
      <c r="EL26" s="16">
        <f t="shared" si="244"/>
        <v>0</v>
      </c>
      <c r="EM26" s="16">
        <f t="shared" si="244"/>
        <v>0</v>
      </c>
      <c r="EN26" s="16">
        <f t="shared" si="244"/>
        <v>0</v>
      </c>
      <c r="EO26" s="16">
        <f t="shared" si="244"/>
        <v>0</v>
      </c>
      <c r="EP26" s="16">
        <f t="shared" si="244"/>
        <v>0</v>
      </c>
      <c r="EQ26" s="16">
        <f t="shared" si="244"/>
        <v>0</v>
      </c>
      <c r="ER26" s="16">
        <f t="shared" si="244"/>
        <v>0</v>
      </c>
      <c r="ES26" s="16">
        <f t="shared" si="244"/>
        <v>0</v>
      </c>
      <c r="ET26" s="16">
        <f t="shared" si="244"/>
        <v>0</v>
      </c>
      <c r="EU26" s="16">
        <f t="shared" si="244"/>
        <v>0</v>
      </c>
      <c r="EV26" s="16">
        <f t="shared" si="244"/>
        <v>0</v>
      </c>
      <c r="EW26" s="16">
        <f t="shared" si="244"/>
        <v>0</v>
      </c>
      <c r="EX26" s="16">
        <f t="shared" si="244"/>
        <v>0</v>
      </c>
      <c r="EY26" s="16">
        <f t="shared" si="244"/>
        <v>0</v>
      </c>
      <c r="EZ26" s="16">
        <f t="shared" si="244"/>
        <v>0</v>
      </c>
      <c r="FA26" s="16">
        <f t="shared" si="244"/>
        <v>0</v>
      </c>
      <c r="FB26" s="16">
        <f t="shared" si="244"/>
        <v>0</v>
      </c>
    </row>
    <row r="27" spans="3:158" x14ac:dyDescent="0.25">
      <c r="C27" s="248" t="s">
        <v>728</v>
      </c>
      <c r="D27" s="16">
        <f t="shared" si="163"/>
        <v>0</v>
      </c>
      <c r="E27" s="16">
        <f t="shared" si="163"/>
        <v>549961.76656944444</v>
      </c>
      <c r="F27" s="16">
        <f t="shared" si="163"/>
        <v>322320.69135916786</v>
      </c>
      <c r="G27" s="16">
        <f t="shared" si="163"/>
        <v>99283.492786331553</v>
      </c>
      <c r="H27" s="16">
        <f t="shared" si="163"/>
        <v>0</v>
      </c>
      <c r="I27" s="16">
        <f t="shared" si="163"/>
        <v>0</v>
      </c>
      <c r="J27" s="16">
        <f t="shared" si="163"/>
        <v>0</v>
      </c>
      <c r="K27" s="16">
        <f t="shared" si="163"/>
        <v>0</v>
      </c>
      <c r="L27" s="16">
        <f t="shared" si="163"/>
        <v>0</v>
      </c>
      <c r="M27" s="16"/>
      <c r="N27" s="16">
        <f t="shared" si="202"/>
        <v>0</v>
      </c>
      <c r="O27" s="16">
        <f t="shared" si="203"/>
        <v>0</v>
      </c>
      <c r="P27" s="16">
        <f t="shared" si="204"/>
        <v>0</v>
      </c>
      <c r="Q27" s="16">
        <f t="shared" si="205"/>
        <v>0</v>
      </c>
      <c r="R27" s="16">
        <f t="shared" si="206"/>
        <v>363135.6295972222</v>
      </c>
      <c r="S27" s="16">
        <f t="shared" si="207"/>
        <v>60544.523666666661</v>
      </c>
      <c r="T27" s="16">
        <f t="shared" si="208"/>
        <v>71948.600597222219</v>
      </c>
      <c r="U27" s="16">
        <f t="shared" si="209"/>
        <v>54333.012708333328</v>
      </c>
      <c r="V27" s="16">
        <f t="shared" si="210"/>
        <v>87002.996792229154</v>
      </c>
      <c r="W27" s="16">
        <f t="shared" si="211"/>
        <v>62173.649181188579</v>
      </c>
      <c r="X27" s="16">
        <f t="shared" si="212"/>
        <v>80105.64796085711</v>
      </c>
      <c r="Y27" s="16">
        <f t="shared" si="213"/>
        <v>93038.397424893075</v>
      </c>
      <c r="Z27" s="16">
        <f t="shared" si="214"/>
        <v>99283.492786331553</v>
      </c>
      <c r="AA27" s="16">
        <f t="shared" si="215"/>
        <v>0</v>
      </c>
      <c r="AB27" s="16">
        <f t="shared" si="216"/>
        <v>0</v>
      </c>
      <c r="AC27" s="16">
        <f t="shared" si="217"/>
        <v>0</v>
      </c>
      <c r="AD27" s="16">
        <f t="shared" si="218"/>
        <v>0</v>
      </c>
      <c r="AE27" s="16">
        <f t="shared" si="219"/>
        <v>0</v>
      </c>
      <c r="AF27" s="16">
        <f t="shared" si="220"/>
        <v>0</v>
      </c>
      <c r="AG27" s="16">
        <f t="shared" si="221"/>
        <v>0</v>
      </c>
      <c r="AH27" s="16">
        <f t="shared" si="222"/>
        <v>0</v>
      </c>
      <c r="AI27" s="16">
        <f t="shared" si="223"/>
        <v>0</v>
      </c>
      <c r="AJ27" s="16">
        <f t="shared" si="224"/>
        <v>0</v>
      </c>
      <c r="AK27" s="16">
        <f t="shared" si="225"/>
        <v>0</v>
      </c>
      <c r="AL27" s="16">
        <f t="shared" si="226"/>
        <v>0</v>
      </c>
      <c r="AM27" s="16">
        <f t="shared" si="227"/>
        <v>0</v>
      </c>
      <c r="AN27" s="16">
        <f t="shared" si="228"/>
        <v>0</v>
      </c>
      <c r="AO27" s="16">
        <f t="shared" si="229"/>
        <v>0</v>
      </c>
      <c r="AP27" s="16">
        <f t="shared" si="230"/>
        <v>0</v>
      </c>
      <c r="AQ27" s="16">
        <f t="shared" si="231"/>
        <v>0</v>
      </c>
      <c r="AR27" s="16">
        <f t="shared" si="232"/>
        <v>0</v>
      </c>
      <c r="AS27" s="16">
        <f t="shared" si="233"/>
        <v>0</v>
      </c>
      <c r="AT27" s="16">
        <f t="shared" si="234"/>
        <v>0</v>
      </c>
      <c r="AU27" s="16">
        <f t="shared" si="235"/>
        <v>0</v>
      </c>
      <c r="AV27" s="16">
        <f t="shared" si="236"/>
        <v>0</v>
      </c>
      <c r="AW27" s="16">
        <f t="shared" si="237"/>
        <v>0</v>
      </c>
      <c r="AX27" s="16"/>
      <c r="AY27" s="16"/>
      <c r="AZ27" s="16"/>
      <c r="BA27" s="16"/>
      <c r="BB27" s="16"/>
      <c r="BC27" s="16"/>
      <c r="BD27" s="16"/>
      <c r="BE27" s="16"/>
      <c r="BF27" s="16"/>
      <c r="BG27" s="16"/>
      <c r="BH27" s="16"/>
      <c r="BI27" s="16"/>
      <c r="BJ27" s="16"/>
      <c r="BK27" s="16"/>
      <c r="BL27" s="16"/>
      <c r="BM27" s="16">
        <f>BL26</f>
        <v>363135.6295972222</v>
      </c>
      <c r="BN27" s="16">
        <f t="shared" si="238"/>
        <v>13685.887930555555</v>
      </c>
      <c r="BO27" s="16">
        <f t="shared" si="238"/>
        <v>33965.746402777775</v>
      </c>
      <c r="BP27" s="16">
        <f t="shared" si="238"/>
        <v>12892.889333333329</v>
      </c>
      <c r="BQ27" s="16">
        <f t="shared" si="238"/>
        <v>30290.257861111106</v>
      </c>
      <c r="BR27" s="16">
        <f t="shared" si="238"/>
        <v>29777.734680555553</v>
      </c>
      <c r="BS27" s="16">
        <f t="shared" si="238"/>
        <v>11880.608055555555</v>
      </c>
      <c r="BT27" s="16">
        <f t="shared" si="238"/>
        <v>12716.556513888887</v>
      </c>
      <c r="BU27" s="16">
        <f t="shared" si="238"/>
        <v>33863.902333333332</v>
      </c>
      <c r="BV27" s="16">
        <f t="shared" si="238"/>
        <v>7752.5538611111115</v>
      </c>
      <c r="BW27" s="16">
        <f t="shared" si="238"/>
        <v>32529.937902777772</v>
      </c>
      <c r="BX27" s="16">
        <f t="shared" si="238"/>
        <v>42655.816689451385</v>
      </c>
      <c r="BY27" s="16">
        <f t="shared" si="239"/>
        <v>11817.242199999999</v>
      </c>
      <c r="BZ27" s="16">
        <f t="shared" si="239"/>
        <v>17900.991307708486</v>
      </c>
      <c r="CA27" s="16">
        <f t="shared" si="239"/>
        <v>26253.888747970756</v>
      </c>
      <c r="CB27" s="16">
        <f t="shared" si="239"/>
        <v>18018.769125509334</v>
      </c>
      <c r="CC27" s="16">
        <f t="shared" si="239"/>
        <v>20634.9077788908</v>
      </c>
      <c r="CD27" s="16">
        <f t="shared" si="239"/>
        <v>48223.134716626795</v>
      </c>
      <c r="CE27" s="16">
        <f t="shared" si="239"/>
        <v>11247.605465339511</v>
      </c>
      <c r="CF27" s="16">
        <f t="shared" si="239"/>
        <v>35934.263055192489</v>
      </c>
      <c r="CG27" s="16">
        <f t="shared" si="240"/>
        <v>40141.269291773686</v>
      </c>
      <c r="CH27" s="16">
        <f t="shared" si="240"/>
        <v>16962.865077926886</v>
      </c>
      <c r="CI27" s="16">
        <f t="shared" si="240"/>
        <v>41957.873263836715</v>
      </c>
      <c r="CJ27" s="16">
        <f t="shared" si="240"/>
        <v>57325.619522494839</v>
      </c>
      <c r="CK27" s="16">
        <f t="shared" si="240"/>
        <v>0</v>
      </c>
      <c r="CL27" s="16">
        <f t="shared" si="240"/>
        <v>0</v>
      </c>
      <c r="CM27" s="16">
        <f t="shared" si="241"/>
        <v>0</v>
      </c>
      <c r="CN27" s="16">
        <f t="shared" si="242"/>
        <v>0</v>
      </c>
      <c r="CO27" s="16">
        <f t="shared" si="242"/>
        <v>0</v>
      </c>
      <c r="CP27" s="16">
        <f t="shared" si="242"/>
        <v>0</v>
      </c>
      <c r="CQ27" s="16">
        <f t="shared" si="242"/>
        <v>0</v>
      </c>
      <c r="CR27" s="16">
        <f t="shared" si="242"/>
        <v>0</v>
      </c>
      <c r="CS27" s="16">
        <f t="shared" si="242"/>
        <v>0</v>
      </c>
      <c r="CT27" s="16">
        <f t="shared" si="243"/>
        <v>0</v>
      </c>
      <c r="CU27" s="16">
        <f t="shared" si="244"/>
        <v>0</v>
      </c>
      <c r="CV27" s="16">
        <f t="shared" si="244"/>
        <v>0</v>
      </c>
      <c r="CW27" s="16">
        <f t="shared" si="244"/>
        <v>0</v>
      </c>
      <c r="CX27" s="16">
        <f t="shared" si="244"/>
        <v>0</v>
      </c>
      <c r="CY27" s="16">
        <f t="shared" si="244"/>
        <v>0</v>
      </c>
      <c r="CZ27" s="16">
        <f t="shared" si="244"/>
        <v>0</v>
      </c>
      <c r="DA27" s="16">
        <f t="shared" si="244"/>
        <v>0</v>
      </c>
      <c r="DB27" s="16">
        <f t="shared" si="244"/>
        <v>0</v>
      </c>
      <c r="DC27" s="16">
        <f t="shared" si="244"/>
        <v>0</v>
      </c>
      <c r="DD27" s="16">
        <f t="shared" si="244"/>
        <v>0</v>
      </c>
      <c r="DE27" s="16">
        <f t="shared" si="244"/>
        <v>0</v>
      </c>
      <c r="DF27" s="16">
        <f t="shared" si="244"/>
        <v>0</v>
      </c>
      <c r="DG27" s="16">
        <f t="shared" si="244"/>
        <v>0</v>
      </c>
      <c r="DH27" s="16">
        <f t="shared" si="244"/>
        <v>0</v>
      </c>
      <c r="DI27" s="16">
        <f t="shared" si="244"/>
        <v>0</v>
      </c>
      <c r="DJ27" s="16">
        <f t="shared" si="244"/>
        <v>0</v>
      </c>
      <c r="DK27" s="16">
        <f t="shared" si="244"/>
        <v>0</v>
      </c>
      <c r="DL27" s="16">
        <f t="shared" si="244"/>
        <v>0</v>
      </c>
      <c r="DM27" s="16">
        <f t="shared" si="244"/>
        <v>0</v>
      </c>
      <c r="DN27" s="16">
        <f t="shared" si="244"/>
        <v>0</v>
      </c>
      <c r="DO27" s="16">
        <f t="shared" si="244"/>
        <v>0</v>
      </c>
      <c r="DP27" s="16">
        <f t="shared" si="244"/>
        <v>0</v>
      </c>
      <c r="DQ27" s="16">
        <f t="shared" si="244"/>
        <v>0</v>
      </c>
      <c r="DR27" s="16">
        <f t="shared" si="244"/>
        <v>0</v>
      </c>
      <c r="DS27" s="16">
        <f t="shared" si="244"/>
        <v>0</v>
      </c>
      <c r="DT27" s="16">
        <f t="shared" si="244"/>
        <v>0</v>
      </c>
      <c r="DU27" s="16">
        <f t="shared" si="244"/>
        <v>0</v>
      </c>
      <c r="DV27" s="16">
        <f t="shared" si="244"/>
        <v>0</v>
      </c>
      <c r="DW27" s="16">
        <f t="shared" si="244"/>
        <v>0</v>
      </c>
      <c r="DX27" s="16">
        <f t="shared" si="244"/>
        <v>0</v>
      </c>
      <c r="DY27" s="16">
        <f t="shared" si="244"/>
        <v>0</v>
      </c>
      <c r="DZ27" s="16">
        <f t="shared" si="244"/>
        <v>0</v>
      </c>
      <c r="EA27" s="16">
        <f t="shared" si="244"/>
        <v>0</v>
      </c>
      <c r="EB27" s="16">
        <f t="shared" si="244"/>
        <v>0</v>
      </c>
      <c r="EC27" s="16">
        <f t="shared" si="244"/>
        <v>0</v>
      </c>
      <c r="ED27" s="16">
        <f t="shared" si="244"/>
        <v>0</v>
      </c>
      <c r="EE27" s="16">
        <f t="shared" si="244"/>
        <v>0</v>
      </c>
      <c r="EF27" s="16">
        <f t="shared" si="244"/>
        <v>0</v>
      </c>
      <c r="EG27" s="16">
        <f t="shared" si="244"/>
        <v>0</v>
      </c>
      <c r="EH27" s="16">
        <f t="shared" si="244"/>
        <v>0</v>
      </c>
      <c r="EI27" s="16">
        <f t="shared" si="244"/>
        <v>0</v>
      </c>
      <c r="EJ27" s="16">
        <f t="shared" si="244"/>
        <v>0</v>
      </c>
      <c r="EK27" s="16">
        <f t="shared" si="244"/>
        <v>0</v>
      </c>
      <c r="EL27" s="16">
        <f t="shared" si="244"/>
        <v>0</v>
      </c>
      <c r="EM27" s="16">
        <f t="shared" si="244"/>
        <v>0</v>
      </c>
      <c r="EN27" s="16">
        <f t="shared" si="244"/>
        <v>0</v>
      </c>
      <c r="EO27" s="16">
        <f t="shared" si="244"/>
        <v>0</v>
      </c>
      <c r="EP27" s="16">
        <f t="shared" si="244"/>
        <v>0</v>
      </c>
      <c r="EQ27" s="16">
        <f t="shared" si="244"/>
        <v>0</v>
      </c>
      <c r="ER27" s="16">
        <f t="shared" si="244"/>
        <v>0</v>
      </c>
      <c r="ES27" s="16">
        <f t="shared" si="244"/>
        <v>0</v>
      </c>
      <c r="ET27" s="16">
        <f t="shared" si="244"/>
        <v>0</v>
      </c>
      <c r="EU27" s="16">
        <f t="shared" si="244"/>
        <v>0</v>
      </c>
      <c r="EV27" s="16">
        <f t="shared" si="244"/>
        <v>0</v>
      </c>
      <c r="EW27" s="16">
        <f t="shared" si="244"/>
        <v>0</v>
      </c>
      <c r="EX27" s="16">
        <f t="shared" si="244"/>
        <v>0</v>
      </c>
      <c r="EY27" s="16">
        <f t="shared" si="244"/>
        <v>0</v>
      </c>
      <c r="EZ27" s="16">
        <f t="shared" si="244"/>
        <v>0</v>
      </c>
      <c r="FA27" s="16">
        <f t="shared" si="244"/>
        <v>0</v>
      </c>
      <c r="FB27" s="16">
        <f t="shared" si="244"/>
        <v>0</v>
      </c>
    </row>
    <row r="28" spans="3:158" x14ac:dyDescent="0.25">
      <c r="C28" s="248" t="s">
        <v>729</v>
      </c>
      <c r="D28" s="16">
        <f t="shared" si="163"/>
        <v>0</v>
      </c>
      <c r="E28" s="16">
        <f t="shared" si="163"/>
        <v>542209.21270833327</v>
      </c>
      <c r="F28" s="16">
        <f t="shared" si="163"/>
        <v>313110.38014235208</v>
      </c>
      <c r="G28" s="16">
        <f t="shared" si="163"/>
        <v>116246.35786425843</v>
      </c>
      <c r="H28" s="16">
        <f t="shared" si="163"/>
        <v>0</v>
      </c>
      <c r="I28" s="16">
        <f t="shared" si="163"/>
        <v>0</v>
      </c>
      <c r="J28" s="16">
        <f t="shared" si="163"/>
        <v>0</v>
      </c>
      <c r="K28" s="16">
        <f t="shared" si="163"/>
        <v>0</v>
      </c>
      <c r="L28" s="16">
        <f t="shared" si="163"/>
        <v>0</v>
      </c>
      <c r="M28" s="16"/>
      <c r="N28" s="16">
        <f t="shared" si="202"/>
        <v>0</v>
      </c>
      <c r="O28" s="16">
        <f t="shared" si="203"/>
        <v>0</v>
      </c>
      <c r="P28" s="16">
        <f t="shared" si="204"/>
        <v>0</v>
      </c>
      <c r="Q28" s="16">
        <f t="shared" si="205"/>
        <v>0</v>
      </c>
      <c r="R28" s="16">
        <f t="shared" si="206"/>
        <v>0</v>
      </c>
      <c r="S28" s="16">
        <f t="shared" si="207"/>
        <v>410787.26393055555</v>
      </c>
      <c r="T28" s="16">
        <f t="shared" si="208"/>
        <v>72960.881874999992</v>
      </c>
      <c r="U28" s="16">
        <f t="shared" si="209"/>
        <v>58461.066902777777</v>
      </c>
      <c r="V28" s="16">
        <f t="shared" si="210"/>
        <v>82938.308453340273</v>
      </c>
      <c r="W28" s="16">
        <f t="shared" si="211"/>
        <v>55972.122255679242</v>
      </c>
      <c r="X28" s="16">
        <f t="shared" si="212"/>
        <v>86876.811621026922</v>
      </c>
      <c r="Y28" s="16">
        <f t="shared" si="213"/>
        <v>87323.137812305678</v>
      </c>
      <c r="Z28" s="16">
        <f t="shared" si="214"/>
        <v>116246.35786425843</v>
      </c>
      <c r="AA28" s="16">
        <f t="shared" si="215"/>
        <v>0</v>
      </c>
      <c r="AB28" s="16">
        <f t="shared" si="216"/>
        <v>0</v>
      </c>
      <c r="AC28" s="16">
        <f t="shared" si="217"/>
        <v>0</v>
      </c>
      <c r="AD28" s="16">
        <f t="shared" si="218"/>
        <v>0</v>
      </c>
      <c r="AE28" s="16">
        <f t="shared" si="219"/>
        <v>0</v>
      </c>
      <c r="AF28" s="16">
        <f t="shared" si="220"/>
        <v>0</v>
      </c>
      <c r="AG28" s="16">
        <f t="shared" si="221"/>
        <v>0</v>
      </c>
      <c r="AH28" s="16">
        <f t="shared" si="222"/>
        <v>0</v>
      </c>
      <c r="AI28" s="16">
        <f t="shared" si="223"/>
        <v>0</v>
      </c>
      <c r="AJ28" s="16">
        <f t="shared" si="224"/>
        <v>0</v>
      </c>
      <c r="AK28" s="16">
        <f t="shared" si="225"/>
        <v>0</v>
      </c>
      <c r="AL28" s="16">
        <f t="shared" si="226"/>
        <v>0</v>
      </c>
      <c r="AM28" s="16">
        <f t="shared" si="227"/>
        <v>0</v>
      </c>
      <c r="AN28" s="16">
        <f t="shared" si="228"/>
        <v>0</v>
      </c>
      <c r="AO28" s="16">
        <f t="shared" si="229"/>
        <v>0</v>
      </c>
      <c r="AP28" s="16">
        <f t="shared" si="230"/>
        <v>0</v>
      </c>
      <c r="AQ28" s="16">
        <f t="shared" si="231"/>
        <v>0</v>
      </c>
      <c r="AR28" s="16">
        <f t="shared" si="232"/>
        <v>0</v>
      </c>
      <c r="AS28" s="16">
        <f t="shared" si="233"/>
        <v>0</v>
      </c>
      <c r="AT28" s="16">
        <f t="shared" si="234"/>
        <v>0</v>
      </c>
      <c r="AU28" s="16">
        <f t="shared" si="235"/>
        <v>0</v>
      </c>
      <c r="AV28" s="16">
        <f t="shared" si="236"/>
        <v>0</v>
      </c>
      <c r="AW28" s="16">
        <f t="shared" si="237"/>
        <v>0</v>
      </c>
      <c r="AX28" s="16"/>
      <c r="AY28" s="16"/>
      <c r="AZ28" s="16"/>
      <c r="BA28" s="16"/>
      <c r="BB28" s="16"/>
      <c r="BC28" s="16"/>
      <c r="BD28" s="16"/>
      <c r="BE28" s="16"/>
      <c r="BF28" s="16"/>
      <c r="BG28" s="16"/>
      <c r="BH28" s="16"/>
      <c r="BI28" s="16"/>
      <c r="BJ28" s="16"/>
      <c r="BK28" s="16"/>
      <c r="BL28" s="16"/>
      <c r="BM28" s="16"/>
      <c r="BN28" s="16">
        <f>BM27</f>
        <v>363135.6295972222</v>
      </c>
      <c r="BO28" s="16">
        <f t="shared" si="238"/>
        <v>13685.887930555555</v>
      </c>
      <c r="BP28" s="16">
        <f t="shared" si="238"/>
        <v>33965.746402777775</v>
      </c>
      <c r="BQ28" s="16">
        <f t="shared" si="238"/>
        <v>12892.889333333329</v>
      </c>
      <c r="BR28" s="16">
        <f t="shared" si="238"/>
        <v>30290.257861111106</v>
      </c>
      <c r="BS28" s="16">
        <f t="shared" si="238"/>
        <v>29777.734680555553</v>
      </c>
      <c r="BT28" s="16">
        <f t="shared" si="238"/>
        <v>11880.608055555555</v>
      </c>
      <c r="BU28" s="16">
        <f t="shared" si="238"/>
        <v>12716.556513888887</v>
      </c>
      <c r="BV28" s="16">
        <f t="shared" si="238"/>
        <v>33863.902333333332</v>
      </c>
      <c r="BW28" s="16">
        <f t="shared" si="238"/>
        <v>7752.5538611111115</v>
      </c>
      <c r="BX28" s="16">
        <f t="shared" si="238"/>
        <v>32529.937902777772</v>
      </c>
      <c r="BY28" s="16">
        <f t="shared" si="239"/>
        <v>42655.816689451385</v>
      </c>
      <c r="BZ28" s="16">
        <f t="shared" si="239"/>
        <v>11817.242199999999</v>
      </c>
      <c r="CA28" s="16">
        <f t="shared" si="239"/>
        <v>17900.991307708486</v>
      </c>
      <c r="CB28" s="16">
        <f t="shared" si="239"/>
        <v>26253.888747970756</v>
      </c>
      <c r="CC28" s="16">
        <f t="shared" si="239"/>
        <v>18018.769125509334</v>
      </c>
      <c r="CD28" s="16">
        <f t="shared" si="239"/>
        <v>20634.9077788908</v>
      </c>
      <c r="CE28" s="16">
        <f t="shared" si="239"/>
        <v>48223.134716626795</v>
      </c>
      <c r="CF28" s="16">
        <f t="shared" si="239"/>
        <v>11247.605465339511</v>
      </c>
      <c r="CG28" s="16">
        <f t="shared" si="240"/>
        <v>35934.263055192489</v>
      </c>
      <c r="CH28" s="16">
        <f t="shared" si="240"/>
        <v>40141.269291773686</v>
      </c>
      <c r="CI28" s="16">
        <f t="shared" si="240"/>
        <v>16962.865077926886</v>
      </c>
      <c r="CJ28" s="16">
        <f t="shared" si="240"/>
        <v>41957.873263836715</v>
      </c>
      <c r="CK28" s="16">
        <f t="shared" si="240"/>
        <v>57325.619522494839</v>
      </c>
      <c r="CL28" s="16">
        <f t="shared" si="240"/>
        <v>0</v>
      </c>
      <c r="CM28" s="16">
        <f t="shared" si="241"/>
        <v>0</v>
      </c>
      <c r="CN28" s="16">
        <f t="shared" si="242"/>
        <v>0</v>
      </c>
      <c r="CO28" s="16">
        <f t="shared" si="242"/>
        <v>0</v>
      </c>
      <c r="CP28" s="16">
        <f t="shared" si="242"/>
        <v>0</v>
      </c>
      <c r="CQ28" s="16">
        <f t="shared" si="242"/>
        <v>0</v>
      </c>
      <c r="CR28" s="16">
        <f t="shared" si="242"/>
        <v>0</v>
      </c>
      <c r="CS28" s="16">
        <f t="shared" si="242"/>
        <v>0</v>
      </c>
      <c r="CT28" s="16">
        <f t="shared" si="243"/>
        <v>0</v>
      </c>
      <c r="CU28" s="16">
        <f t="shared" si="244"/>
        <v>0</v>
      </c>
      <c r="CV28" s="16">
        <f t="shared" si="244"/>
        <v>0</v>
      </c>
      <c r="CW28" s="16">
        <f t="shared" si="244"/>
        <v>0</v>
      </c>
      <c r="CX28" s="16">
        <f t="shared" si="244"/>
        <v>0</v>
      </c>
      <c r="CY28" s="16">
        <f t="shared" si="244"/>
        <v>0</v>
      </c>
      <c r="CZ28" s="16">
        <f t="shared" si="244"/>
        <v>0</v>
      </c>
      <c r="DA28" s="16">
        <f t="shared" si="244"/>
        <v>0</v>
      </c>
      <c r="DB28" s="16">
        <f t="shared" si="244"/>
        <v>0</v>
      </c>
      <c r="DC28" s="16">
        <f t="shared" si="244"/>
        <v>0</v>
      </c>
      <c r="DD28" s="16">
        <f t="shared" si="244"/>
        <v>0</v>
      </c>
      <c r="DE28" s="16">
        <f t="shared" si="244"/>
        <v>0</v>
      </c>
      <c r="DF28" s="16">
        <f t="shared" si="244"/>
        <v>0</v>
      </c>
      <c r="DG28" s="16">
        <f t="shared" si="244"/>
        <v>0</v>
      </c>
      <c r="DH28" s="16">
        <f t="shared" si="244"/>
        <v>0</v>
      </c>
      <c r="DI28" s="16">
        <f t="shared" si="244"/>
        <v>0</v>
      </c>
      <c r="DJ28" s="16">
        <f t="shared" si="244"/>
        <v>0</v>
      </c>
      <c r="DK28" s="16">
        <f t="shared" si="244"/>
        <v>0</v>
      </c>
      <c r="DL28" s="16">
        <f t="shared" si="244"/>
        <v>0</v>
      </c>
      <c r="DM28" s="16">
        <f t="shared" si="244"/>
        <v>0</v>
      </c>
      <c r="DN28" s="16">
        <f t="shared" si="244"/>
        <v>0</v>
      </c>
      <c r="DO28" s="16">
        <f t="shared" si="244"/>
        <v>0</v>
      </c>
      <c r="DP28" s="16">
        <f t="shared" si="244"/>
        <v>0</v>
      </c>
      <c r="DQ28" s="16">
        <f t="shared" si="244"/>
        <v>0</v>
      </c>
      <c r="DR28" s="16">
        <f t="shared" si="244"/>
        <v>0</v>
      </c>
      <c r="DS28" s="16">
        <f t="shared" si="244"/>
        <v>0</v>
      </c>
      <c r="DT28" s="16">
        <f t="shared" si="244"/>
        <v>0</v>
      </c>
      <c r="DU28" s="16">
        <f t="shared" si="244"/>
        <v>0</v>
      </c>
      <c r="DV28" s="16">
        <f t="shared" si="244"/>
        <v>0</v>
      </c>
      <c r="DW28" s="16">
        <f t="shared" si="244"/>
        <v>0</v>
      </c>
      <c r="DX28" s="16">
        <f t="shared" si="244"/>
        <v>0</v>
      </c>
      <c r="DY28" s="16">
        <f t="shared" si="244"/>
        <v>0</v>
      </c>
      <c r="DZ28" s="16">
        <f t="shared" si="244"/>
        <v>0</v>
      </c>
      <c r="EA28" s="16">
        <f t="shared" si="244"/>
        <v>0</v>
      </c>
      <c r="EB28" s="16">
        <f t="shared" si="244"/>
        <v>0</v>
      </c>
      <c r="EC28" s="16">
        <f t="shared" si="244"/>
        <v>0</v>
      </c>
      <c r="ED28" s="16">
        <f t="shared" si="244"/>
        <v>0</v>
      </c>
      <c r="EE28" s="16">
        <f t="shared" si="244"/>
        <v>0</v>
      </c>
      <c r="EF28" s="16">
        <f t="shared" si="244"/>
        <v>0</v>
      </c>
      <c r="EG28" s="16">
        <f t="shared" si="244"/>
        <v>0</v>
      </c>
      <c r="EH28" s="16">
        <f t="shared" si="244"/>
        <v>0</v>
      </c>
      <c r="EI28" s="16">
        <f t="shared" si="244"/>
        <v>0</v>
      </c>
      <c r="EJ28" s="16">
        <f t="shared" si="244"/>
        <v>0</v>
      </c>
      <c r="EK28" s="16">
        <f t="shared" si="244"/>
        <v>0</v>
      </c>
      <c r="EL28" s="16">
        <f t="shared" si="244"/>
        <v>0</v>
      </c>
      <c r="EM28" s="16">
        <f t="shared" si="244"/>
        <v>0</v>
      </c>
      <c r="EN28" s="16">
        <f t="shared" si="244"/>
        <v>0</v>
      </c>
      <c r="EO28" s="16">
        <f t="shared" si="244"/>
        <v>0</v>
      </c>
      <c r="EP28" s="16">
        <f t="shared" si="244"/>
        <v>0</v>
      </c>
      <c r="EQ28" s="16">
        <f t="shared" si="244"/>
        <v>0</v>
      </c>
      <c r="ER28" s="16">
        <f t="shared" si="244"/>
        <v>0</v>
      </c>
      <c r="ES28" s="16">
        <f t="shared" si="244"/>
        <v>0</v>
      </c>
      <c r="ET28" s="16">
        <f t="shared" si="244"/>
        <v>0</v>
      </c>
      <c r="EU28" s="16">
        <f t="shared" si="244"/>
        <v>0</v>
      </c>
      <c r="EV28" s="16">
        <f t="shared" si="244"/>
        <v>0</v>
      </c>
      <c r="EW28" s="16">
        <f t="shared" si="244"/>
        <v>0</v>
      </c>
      <c r="EX28" s="16">
        <f t="shared" si="244"/>
        <v>0</v>
      </c>
      <c r="EY28" s="16">
        <f t="shared" si="244"/>
        <v>0</v>
      </c>
      <c r="EZ28" s="16">
        <f t="shared" si="244"/>
        <v>0</v>
      </c>
      <c r="FA28" s="16">
        <f t="shared" si="244"/>
        <v>0</v>
      </c>
      <c r="FB28" s="16">
        <f t="shared" si="244"/>
        <v>0</v>
      </c>
    </row>
    <row r="29" spans="3:158" x14ac:dyDescent="0.25">
      <c r="C29" s="248" t="s">
        <v>730</v>
      </c>
      <c r="D29" s="16">
        <f t="shared" si="163"/>
        <v>0</v>
      </c>
      <c r="E29" s="16">
        <f t="shared" si="163"/>
        <v>508345.31037499994</v>
      </c>
      <c r="F29" s="16">
        <f t="shared" si="163"/>
        <v>306833.01318391174</v>
      </c>
      <c r="G29" s="16">
        <f t="shared" si="163"/>
        <v>156387.62715603213</v>
      </c>
      <c r="H29" s="16">
        <f t="shared" si="163"/>
        <v>0</v>
      </c>
      <c r="I29" s="16">
        <f t="shared" si="163"/>
        <v>0</v>
      </c>
      <c r="J29" s="16">
        <f t="shared" si="163"/>
        <v>0</v>
      </c>
      <c r="K29" s="16">
        <f t="shared" si="163"/>
        <v>0</v>
      </c>
      <c r="L29" s="16">
        <f t="shared" si="163"/>
        <v>0</v>
      </c>
      <c r="M29" s="16"/>
      <c r="N29" s="16">
        <f t="shared" si="202"/>
        <v>0</v>
      </c>
      <c r="O29" s="16">
        <f t="shared" si="203"/>
        <v>0</v>
      </c>
      <c r="P29" s="16">
        <f t="shared" si="204"/>
        <v>0</v>
      </c>
      <c r="Q29" s="16">
        <f t="shared" si="205"/>
        <v>0</v>
      </c>
      <c r="R29" s="16">
        <f t="shared" si="206"/>
        <v>0</v>
      </c>
      <c r="S29" s="16">
        <f t="shared" si="207"/>
        <v>376821.51752777776</v>
      </c>
      <c r="T29" s="16">
        <f t="shared" si="208"/>
        <v>77148.89359722221</v>
      </c>
      <c r="U29" s="16">
        <f t="shared" si="209"/>
        <v>54374.899249999995</v>
      </c>
      <c r="V29" s="16">
        <f t="shared" si="210"/>
        <v>74146.394097222219</v>
      </c>
      <c r="W29" s="16">
        <f t="shared" si="211"/>
        <v>72374.050197159871</v>
      </c>
      <c r="X29" s="16">
        <f t="shared" si="212"/>
        <v>64907.565652370889</v>
      </c>
      <c r="Y29" s="16">
        <f t="shared" si="213"/>
        <v>95405.003237158788</v>
      </c>
      <c r="Z29" s="16">
        <f t="shared" si="214"/>
        <v>99062.007633537287</v>
      </c>
      <c r="AA29" s="16">
        <f t="shared" si="215"/>
        <v>57325.619522494839</v>
      </c>
      <c r="AB29" s="16">
        <f t="shared" si="216"/>
        <v>0</v>
      </c>
      <c r="AC29" s="16">
        <f t="shared" si="217"/>
        <v>0</v>
      </c>
      <c r="AD29" s="16">
        <f t="shared" si="218"/>
        <v>0</v>
      </c>
      <c r="AE29" s="16">
        <f t="shared" si="219"/>
        <v>0</v>
      </c>
      <c r="AF29" s="16">
        <f t="shared" si="220"/>
        <v>0</v>
      </c>
      <c r="AG29" s="16">
        <f t="shared" si="221"/>
        <v>0</v>
      </c>
      <c r="AH29" s="16">
        <f t="shared" si="222"/>
        <v>0</v>
      </c>
      <c r="AI29" s="16">
        <f t="shared" si="223"/>
        <v>0</v>
      </c>
      <c r="AJ29" s="16">
        <f t="shared" si="224"/>
        <v>0</v>
      </c>
      <c r="AK29" s="16">
        <f t="shared" si="225"/>
        <v>0</v>
      </c>
      <c r="AL29" s="16">
        <f t="shared" si="226"/>
        <v>0</v>
      </c>
      <c r="AM29" s="16">
        <f t="shared" si="227"/>
        <v>0</v>
      </c>
      <c r="AN29" s="16">
        <f t="shared" si="228"/>
        <v>0</v>
      </c>
      <c r="AO29" s="16">
        <f t="shared" si="229"/>
        <v>0</v>
      </c>
      <c r="AP29" s="16">
        <f t="shared" si="230"/>
        <v>0</v>
      </c>
      <c r="AQ29" s="16">
        <f t="shared" si="231"/>
        <v>0</v>
      </c>
      <c r="AR29" s="16">
        <f t="shared" si="232"/>
        <v>0</v>
      </c>
      <c r="AS29" s="16">
        <f t="shared" si="233"/>
        <v>0</v>
      </c>
      <c r="AT29" s="16">
        <f t="shared" si="234"/>
        <v>0</v>
      </c>
      <c r="AU29" s="16">
        <f t="shared" si="235"/>
        <v>0</v>
      </c>
      <c r="AV29" s="16">
        <f t="shared" si="236"/>
        <v>0</v>
      </c>
      <c r="AW29" s="16">
        <f t="shared" si="237"/>
        <v>0</v>
      </c>
      <c r="AX29" s="16"/>
      <c r="AY29" s="16"/>
      <c r="AZ29" s="16"/>
      <c r="BA29" s="16"/>
      <c r="BB29" s="16"/>
      <c r="BC29" s="16"/>
      <c r="BD29" s="16"/>
      <c r="BE29" s="16"/>
      <c r="BF29" s="16"/>
      <c r="BG29" s="16"/>
      <c r="BH29" s="16"/>
      <c r="BI29" s="16"/>
      <c r="BJ29" s="16"/>
      <c r="BK29" s="16"/>
      <c r="BL29" s="16"/>
      <c r="BM29" s="16"/>
      <c r="BN29" s="16"/>
      <c r="BO29" s="16">
        <f>BN28</f>
        <v>363135.6295972222</v>
      </c>
      <c r="BP29" s="16">
        <f t="shared" si="238"/>
        <v>13685.887930555555</v>
      </c>
      <c r="BQ29" s="16">
        <f t="shared" si="238"/>
        <v>33965.746402777775</v>
      </c>
      <c r="BR29" s="16">
        <f t="shared" si="238"/>
        <v>12892.889333333329</v>
      </c>
      <c r="BS29" s="16">
        <f t="shared" si="238"/>
        <v>30290.257861111106</v>
      </c>
      <c r="BT29" s="16">
        <f t="shared" si="238"/>
        <v>29777.734680555553</v>
      </c>
      <c r="BU29" s="16">
        <f t="shared" si="238"/>
        <v>11880.608055555555</v>
      </c>
      <c r="BV29" s="16">
        <f t="shared" si="238"/>
        <v>12716.556513888887</v>
      </c>
      <c r="BW29" s="16">
        <f t="shared" si="238"/>
        <v>33863.902333333332</v>
      </c>
      <c r="BX29" s="16">
        <f t="shared" si="238"/>
        <v>7752.5538611111115</v>
      </c>
      <c r="BY29" s="16">
        <f t="shared" si="239"/>
        <v>32529.937902777772</v>
      </c>
      <c r="BZ29" s="16">
        <f t="shared" si="239"/>
        <v>42655.816689451385</v>
      </c>
      <c r="CA29" s="16">
        <f t="shared" si="239"/>
        <v>11817.242199999999</v>
      </c>
      <c r="CB29" s="16">
        <f t="shared" si="239"/>
        <v>17900.991307708486</v>
      </c>
      <c r="CC29" s="16">
        <f t="shared" si="239"/>
        <v>26253.888747970756</v>
      </c>
      <c r="CD29" s="16">
        <f t="shared" si="239"/>
        <v>18018.769125509334</v>
      </c>
      <c r="CE29" s="16">
        <f t="shared" si="239"/>
        <v>20634.9077788908</v>
      </c>
      <c r="CF29" s="16">
        <f t="shared" si="239"/>
        <v>48223.134716626795</v>
      </c>
      <c r="CG29" s="16">
        <f t="shared" si="240"/>
        <v>11247.605465339511</v>
      </c>
      <c r="CH29" s="16">
        <f t="shared" si="240"/>
        <v>35934.263055192489</v>
      </c>
      <c r="CI29" s="16">
        <f t="shared" si="240"/>
        <v>40141.269291773686</v>
      </c>
      <c r="CJ29" s="16">
        <f t="shared" si="240"/>
        <v>16962.865077926886</v>
      </c>
      <c r="CK29" s="16">
        <f t="shared" si="240"/>
        <v>41957.873263836715</v>
      </c>
      <c r="CL29" s="16">
        <f t="shared" si="240"/>
        <v>57325.619522494839</v>
      </c>
      <c r="CM29" s="16">
        <f t="shared" si="241"/>
        <v>0</v>
      </c>
      <c r="CN29" s="16">
        <f t="shared" si="242"/>
        <v>0</v>
      </c>
      <c r="CO29" s="16">
        <f t="shared" si="242"/>
        <v>0</v>
      </c>
      <c r="CP29" s="16">
        <f t="shared" si="242"/>
        <v>0</v>
      </c>
      <c r="CQ29" s="16">
        <f t="shared" si="242"/>
        <v>0</v>
      </c>
      <c r="CR29" s="16">
        <f t="shared" si="242"/>
        <v>0</v>
      </c>
      <c r="CS29" s="16">
        <f t="shared" si="242"/>
        <v>0</v>
      </c>
      <c r="CT29" s="16">
        <f t="shared" si="243"/>
        <v>0</v>
      </c>
      <c r="CU29" s="16">
        <f t="shared" si="244"/>
        <v>0</v>
      </c>
      <c r="CV29" s="16">
        <f t="shared" si="244"/>
        <v>0</v>
      </c>
      <c r="CW29" s="16">
        <f t="shared" si="244"/>
        <v>0</v>
      </c>
      <c r="CX29" s="16">
        <f t="shared" si="244"/>
        <v>0</v>
      </c>
      <c r="CY29" s="16">
        <f t="shared" si="244"/>
        <v>0</v>
      </c>
      <c r="CZ29" s="16">
        <f t="shared" si="244"/>
        <v>0</v>
      </c>
      <c r="DA29" s="16">
        <f t="shared" si="244"/>
        <v>0</v>
      </c>
      <c r="DB29" s="16">
        <f t="shared" si="244"/>
        <v>0</v>
      </c>
      <c r="DC29" s="16">
        <f t="shared" si="244"/>
        <v>0</v>
      </c>
      <c r="DD29" s="16">
        <f t="shared" si="244"/>
        <v>0</v>
      </c>
      <c r="DE29" s="16">
        <f t="shared" si="244"/>
        <v>0</v>
      </c>
      <c r="DF29" s="16">
        <f t="shared" si="244"/>
        <v>0</v>
      </c>
      <c r="DG29" s="16">
        <f t="shared" si="244"/>
        <v>0</v>
      </c>
      <c r="DH29" s="16">
        <f t="shared" si="244"/>
        <v>0</v>
      </c>
      <c r="DI29" s="16">
        <f t="shared" si="244"/>
        <v>0</v>
      </c>
      <c r="DJ29" s="16">
        <f t="shared" si="244"/>
        <v>0</v>
      </c>
      <c r="DK29" s="16">
        <f t="shared" si="244"/>
        <v>0</v>
      </c>
      <c r="DL29" s="16">
        <f t="shared" si="244"/>
        <v>0</v>
      </c>
      <c r="DM29" s="16">
        <f t="shared" si="244"/>
        <v>0</v>
      </c>
      <c r="DN29" s="16">
        <f t="shared" si="244"/>
        <v>0</v>
      </c>
      <c r="DO29" s="16">
        <f t="shared" si="244"/>
        <v>0</v>
      </c>
      <c r="DP29" s="16">
        <f t="shared" si="244"/>
        <v>0</v>
      </c>
      <c r="DQ29" s="16">
        <f t="shared" si="244"/>
        <v>0</v>
      </c>
      <c r="DR29" s="16">
        <f t="shared" si="244"/>
        <v>0</v>
      </c>
      <c r="DS29" s="16">
        <f t="shared" si="244"/>
        <v>0</v>
      </c>
      <c r="DT29" s="16">
        <f t="shared" si="244"/>
        <v>0</v>
      </c>
      <c r="DU29" s="16">
        <f t="shared" si="244"/>
        <v>0</v>
      </c>
      <c r="DV29" s="16">
        <f t="shared" si="244"/>
        <v>0</v>
      </c>
      <c r="DW29" s="16">
        <f t="shared" si="244"/>
        <v>0</v>
      </c>
      <c r="DX29" s="16">
        <f t="shared" si="244"/>
        <v>0</v>
      </c>
      <c r="DY29" s="16">
        <f t="shared" si="244"/>
        <v>0</v>
      </c>
      <c r="DZ29" s="16">
        <f t="shared" si="244"/>
        <v>0</v>
      </c>
      <c r="EA29" s="16">
        <f t="shared" si="244"/>
        <v>0</v>
      </c>
      <c r="EB29" s="16">
        <f t="shared" si="244"/>
        <v>0</v>
      </c>
      <c r="EC29" s="16">
        <f t="shared" si="244"/>
        <v>0</v>
      </c>
      <c r="ED29" s="16">
        <f t="shared" si="244"/>
        <v>0</v>
      </c>
      <c r="EE29" s="16">
        <f t="shared" si="244"/>
        <v>0</v>
      </c>
      <c r="EF29" s="16">
        <f t="shared" si="244"/>
        <v>0</v>
      </c>
      <c r="EG29" s="16">
        <f t="shared" si="244"/>
        <v>0</v>
      </c>
      <c r="EH29" s="16">
        <f t="shared" si="244"/>
        <v>0</v>
      </c>
      <c r="EI29" s="16">
        <f t="shared" si="244"/>
        <v>0</v>
      </c>
      <c r="EJ29" s="16">
        <f t="shared" si="244"/>
        <v>0</v>
      </c>
      <c r="EK29" s="16">
        <f t="shared" si="244"/>
        <v>0</v>
      </c>
      <c r="EL29" s="16">
        <f t="shared" si="244"/>
        <v>0</v>
      </c>
      <c r="EM29" s="16">
        <f t="shared" si="244"/>
        <v>0</v>
      </c>
      <c r="EN29" s="16">
        <f t="shared" si="244"/>
        <v>0</v>
      </c>
      <c r="EO29" s="16">
        <f t="shared" si="244"/>
        <v>0</v>
      </c>
      <c r="EP29" s="16">
        <f t="shared" si="244"/>
        <v>0</v>
      </c>
      <c r="EQ29" s="16">
        <f t="shared" si="244"/>
        <v>0</v>
      </c>
      <c r="ER29" s="16">
        <f t="shared" si="244"/>
        <v>0</v>
      </c>
      <c r="ES29" s="16">
        <f t="shared" si="244"/>
        <v>0</v>
      </c>
      <c r="ET29" s="16">
        <f t="shared" si="244"/>
        <v>0</v>
      </c>
      <c r="EU29" s="16">
        <f t="shared" si="244"/>
        <v>0</v>
      </c>
      <c r="EV29" s="16">
        <f t="shared" si="244"/>
        <v>0</v>
      </c>
      <c r="EW29" s="16">
        <f t="shared" si="244"/>
        <v>0</v>
      </c>
      <c r="EX29" s="16">
        <f t="shared" si="244"/>
        <v>0</v>
      </c>
      <c r="EY29" s="16">
        <f t="shared" si="244"/>
        <v>0</v>
      </c>
      <c r="EZ29" s="16">
        <f t="shared" si="244"/>
        <v>0</v>
      </c>
      <c r="FA29" s="16">
        <f t="shared" si="244"/>
        <v>0</v>
      </c>
      <c r="FB29" s="16">
        <f t="shared" si="244"/>
        <v>0</v>
      </c>
    </row>
    <row r="30" spans="3:158" x14ac:dyDescent="0.25">
      <c r="C30" s="248" t="s">
        <v>731</v>
      </c>
      <c r="D30" s="16">
        <f t="shared" si="163"/>
        <v>0</v>
      </c>
      <c r="E30" s="16">
        <f t="shared" si="163"/>
        <v>495628.75386111106</v>
      </c>
      <c r="F30" s="16">
        <f t="shared" si="163"/>
        <v>283615.30664260814</v>
      </c>
      <c r="G30" s="16">
        <f t="shared" si="163"/>
        <v>192321.89021122464</v>
      </c>
      <c r="H30" s="16">
        <f t="shared" si="163"/>
        <v>0</v>
      </c>
      <c r="I30" s="16">
        <f t="shared" si="163"/>
        <v>0</v>
      </c>
      <c r="J30" s="16">
        <f t="shared" si="163"/>
        <v>0</v>
      </c>
      <c r="K30" s="16">
        <f t="shared" si="163"/>
        <v>0</v>
      </c>
      <c r="L30" s="16">
        <f t="shared" si="163"/>
        <v>0</v>
      </c>
      <c r="M30" s="16"/>
      <c r="N30" s="16">
        <f t="shared" si="202"/>
        <v>0</v>
      </c>
      <c r="O30" s="16">
        <f t="shared" si="203"/>
        <v>0</v>
      </c>
      <c r="P30" s="16">
        <f t="shared" si="204"/>
        <v>0</v>
      </c>
      <c r="Q30" s="16">
        <f t="shared" si="205"/>
        <v>0</v>
      </c>
      <c r="R30" s="16">
        <f t="shared" si="206"/>
        <v>0</v>
      </c>
      <c r="S30" s="16">
        <f t="shared" si="207"/>
        <v>363135.6295972222</v>
      </c>
      <c r="T30" s="16">
        <f t="shared" si="208"/>
        <v>60544.523666666661</v>
      </c>
      <c r="U30" s="16">
        <f t="shared" si="209"/>
        <v>71948.600597222219</v>
      </c>
      <c r="V30" s="16">
        <f t="shared" si="210"/>
        <v>54333.012708333328</v>
      </c>
      <c r="W30" s="16">
        <f t="shared" si="211"/>
        <v>87002.996792229154</v>
      </c>
      <c r="X30" s="16">
        <f t="shared" si="212"/>
        <v>62173.649181188579</v>
      </c>
      <c r="Y30" s="16">
        <f t="shared" si="213"/>
        <v>80105.64796085711</v>
      </c>
      <c r="Z30" s="16">
        <f t="shared" si="214"/>
        <v>93038.397424893075</v>
      </c>
      <c r="AA30" s="16">
        <f t="shared" si="215"/>
        <v>99283.492786331553</v>
      </c>
      <c r="AB30" s="16">
        <f t="shared" si="216"/>
        <v>0</v>
      </c>
      <c r="AC30" s="16">
        <f t="shared" si="217"/>
        <v>0</v>
      </c>
      <c r="AD30" s="16">
        <f t="shared" si="218"/>
        <v>0</v>
      </c>
      <c r="AE30" s="16">
        <f t="shared" si="219"/>
        <v>0</v>
      </c>
      <c r="AF30" s="16">
        <f t="shared" si="220"/>
        <v>0</v>
      </c>
      <c r="AG30" s="16">
        <f t="shared" si="221"/>
        <v>0</v>
      </c>
      <c r="AH30" s="16">
        <f t="shared" si="222"/>
        <v>0</v>
      </c>
      <c r="AI30" s="16">
        <f t="shared" si="223"/>
        <v>0</v>
      </c>
      <c r="AJ30" s="16">
        <f t="shared" si="224"/>
        <v>0</v>
      </c>
      <c r="AK30" s="16">
        <f t="shared" si="225"/>
        <v>0</v>
      </c>
      <c r="AL30" s="16">
        <f t="shared" si="226"/>
        <v>0</v>
      </c>
      <c r="AM30" s="16">
        <f t="shared" si="227"/>
        <v>0</v>
      </c>
      <c r="AN30" s="16">
        <f t="shared" si="228"/>
        <v>0</v>
      </c>
      <c r="AO30" s="16">
        <f t="shared" si="229"/>
        <v>0</v>
      </c>
      <c r="AP30" s="16">
        <f t="shared" si="230"/>
        <v>0</v>
      </c>
      <c r="AQ30" s="16">
        <f t="shared" si="231"/>
        <v>0</v>
      </c>
      <c r="AR30" s="16">
        <f t="shared" si="232"/>
        <v>0</v>
      </c>
      <c r="AS30" s="16">
        <f t="shared" si="233"/>
        <v>0</v>
      </c>
      <c r="AT30" s="16">
        <f t="shared" si="234"/>
        <v>0</v>
      </c>
      <c r="AU30" s="16">
        <f t="shared" si="235"/>
        <v>0</v>
      </c>
      <c r="AV30" s="16">
        <f t="shared" si="236"/>
        <v>0</v>
      </c>
      <c r="AW30" s="16">
        <f t="shared" si="237"/>
        <v>0</v>
      </c>
      <c r="AX30" s="16"/>
      <c r="AY30" s="16"/>
      <c r="AZ30" s="16"/>
      <c r="BA30" s="16"/>
      <c r="BB30" s="16"/>
      <c r="BC30" s="16"/>
      <c r="BD30" s="16"/>
      <c r="BE30" s="16"/>
      <c r="BF30" s="16"/>
      <c r="BG30" s="16"/>
      <c r="BH30" s="16"/>
      <c r="BI30" s="16"/>
      <c r="BJ30" s="16"/>
      <c r="BK30" s="16"/>
      <c r="BL30" s="16"/>
      <c r="BM30" s="16"/>
      <c r="BN30" s="16"/>
      <c r="BO30" s="16"/>
      <c r="BP30" s="16">
        <f>BO29</f>
        <v>363135.6295972222</v>
      </c>
      <c r="BQ30" s="16">
        <f>BP29</f>
        <v>13685.887930555555</v>
      </c>
      <c r="BR30" s="16">
        <f t="shared" si="238"/>
        <v>33965.746402777775</v>
      </c>
      <c r="BS30" s="16">
        <f t="shared" si="238"/>
        <v>12892.889333333329</v>
      </c>
      <c r="BT30" s="16">
        <f t="shared" si="238"/>
        <v>30290.257861111106</v>
      </c>
      <c r="BU30" s="16">
        <f t="shared" si="238"/>
        <v>29777.734680555553</v>
      </c>
      <c r="BV30" s="16">
        <f t="shared" si="238"/>
        <v>11880.608055555555</v>
      </c>
      <c r="BW30" s="16">
        <f t="shared" si="238"/>
        <v>12716.556513888887</v>
      </c>
      <c r="BX30" s="16">
        <f t="shared" si="238"/>
        <v>33863.902333333332</v>
      </c>
      <c r="BY30" s="16">
        <f t="shared" si="239"/>
        <v>7752.5538611111115</v>
      </c>
      <c r="BZ30" s="16">
        <f t="shared" si="239"/>
        <v>32529.937902777772</v>
      </c>
      <c r="CA30" s="16">
        <f t="shared" si="239"/>
        <v>42655.816689451385</v>
      </c>
      <c r="CB30" s="16">
        <f t="shared" si="239"/>
        <v>11817.242199999999</v>
      </c>
      <c r="CC30" s="16">
        <f t="shared" si="239"/>
        <v>17900.991307708486</v>
      </c>
      <c r="CD30" s="16">
        <f t="shared" si="239"/>
        <v>26253.888747970756</v>
      </c>
      <c r="CE30" s="16">
        <f t="shared" si="239"/>
        <v>18018.769125509334</v>
      </c>
      <c r="CF30" s="16">
        <f t="shared" si="239"/>
        <v>20634.9077788908</v>
      </c>
      <c r="CG30" s="16">
        <f t="shared" si="240"/>
        <v>48223.134716626795</v>
      </c>
      <c r="CH30" s="16">
        <f t="shared" si="240"/>
        <v>11247.605465339511</v>
      </c>
      <c r="CI30" s="16">
        <f t="shared" si="240"/>
        <v>35934.263055192489</v>
      </c>
      <c r="CJ30" s="16">
        <f t="shared" si="240"/>
        <v>40141.269291773686</v>
      </c>
      <c r="CK30" s="16">
        <f t="shared" si="240"/>
        <v>16962.865077926886</v>
      </c>
      <c r="CL30" s="16">
        <f t="shared" si="240"/>
        <v>41957.873263836715</v>
      </c>
      <c r="CM30" s="16">
        <f t="shared" si="241"/>
        <v>57325.619522494839</v>
      </c>
      <c r="CN30" s="16">
        <f t="shared" si="242"/>
        <v>0</v>
      </c>
      <c r="CO30" s="16">
        <f t="shared" si="242"/>
        <v>0</v>
      </c>
      <c r="CP30" s="16">
        <f t="shared" si="242"/>
        <v>0</v>
      </c>
      <c r="CQ30" s="16">
        <f t="shared" si="242"/>
        <v>0</v>
      </c>
      <c r="CR30" s="16">
        <f t="shared" si="242"/>
        <v>0</v>
      </c>
      <c r="CS30" s="16">
        <f t="shared" si="242"/>
        <v>0</v>
      </c>
      <c r="CT30" s="16">
        <f t="shared" si="243"/>
        <v>0</v>
      </c>
      <c r="CU30" s="16">
        <f t="shared" si="244"/>
        <v>0</v>
      </c>
      <c r="CV30" s="16">
        <f t="shared" si="244"/>
        <v>0</v>
      </c>
      <c r="CW30" s="16">
        <f t="shared" si="244"/>
        <v>0</v>
      </c>
      <c r="CX30" s="16">
        <f t="shared" si="244"/>
        <v>0</v>
      </c>
      <c r="CY30" s="16">
        <f t="shared" si="244"/>
        <v>0</v>
      </c>
      <c r="CZ30" s="16">
        <f t="shared" si="244"/>
        <v>0</v>
      </c>
      <c r="DA30" s="16">
        <f t="shared" si="244"/>
        <v>0</v>
      </c>
      <c r="DB30" s="16">
        <f t="shared" si="244"/>
        <v>0</v>
      </c>
      <c r="DC30" s="16">
        <f t="shared" si="244"/>
        <v>0</v>
      </c>
      <c r="DD30" s="16">
        <f t="shared" si="244"/>
        <v>0</v>
      </c>
      <c r="DE30" s="16">
        <f t="shared" si="244"/>
        <v>0</v>
      </c>
      <c r="DF30" s="16">
        <f t="shared" si="244"/>
        <v>0</v>
      </c>
      <c r="DG30" s="16">
        <f t="shared" si="244"/>
        <v>0</v>
      </c>
      <c r="DH30" s="16">
        <f t="shared" si="244"/>
        <v>0</v>
      </c>
      <c r="DI30" s="16">
        <f t="shared" si="244"/>
        <v>0</v>
      </c>
      <c r="DJ30" s="16">
        <f t="shared" ref="CU30:FB34" si="245">DI29</f>
        <v>0</v>
      </c>
      <c r="DK30" s="16">
        <f t="shared" si="245"/>
        <v>0</v>
      </c>
      <c r="DL30" s="16">
        <f t="shared" si="245"/>
        <v>0</v>
      </c>
      <c r="DM30" s="16">
        <f t="shared" si="245"/>
        <v>0</v>
      </c>
      <c r="DN30" s="16">
        <f t="shared" si="245"/>
        <v>0</v>
      </c>
      <c r="DO30" s="16">
        <f t="shared" si="245"/>
        <v>0</v>
      </c>
      <c r="DP30" s="16">
        <f t="shared" si="245"/>
        <v>0</v>
      </c>
      <c r="DQ30" s="16">
        <f t="shared" si="245"/>
        <v>0</v>
      </c>
      <c r="DR30" s="16">
        <f t="shared" si="245"/>
        <v>0</v>
      </c>
      <c r="DS30" s="16">
        <f t="shared" si="245"/>
        <v>0</v>
      </c>
      <c r="DT30" s="16">
        <f t="shared" si="245"/>
        <v>0</v>
      </c>
      <c r="DU30" s="16">
        <f t="shared" si="245"/>
        <v>0</v>
      </c>
      <c r="DV30" s="16">
        <f t="shared" si="245"/>
        <v>0</v>
      </c>
      <c r="DW30" s="16">
        <f t="shared" si="245"/>
        <v>0</v>
      </c>
      <c r="DX30" s="16">
        <f t="shared" si="245"/>
        <v>0</v>
      </c>
      <c r="DY30" s="16">
        <f t="shared" si="245"/>
        <v>0</v>
      </c>
      <c r="DZ30" s="16">
        <f t="shared" si="245"/>
        <v>0</v>
      </c>
      <c r="EA30" s="16">
        <f t="shared" si="245"/>
        <v>0</v>
      </c>
      <c r="EB30" s="16">
        <f t="shared" si="245"/>
        <v>0</v>
      </c>
      <c r="EC30" s="16">
        <f t="shared" si="245"/>
        <v>0</v>
      </c>
      <c r="ED30" s="16">
        <f t="shared" si="245"/>
        <v>0</v>
      </c>
      <c r="EE30" s="16">
        <f t="shared" si="245"/>
        <v>0</v>
      </c>
      <c r="EF30" s="16">
        <f t="shared" si="245"/>
        <v>0</v>
      </c>
      <c r="EG30" s="16">
        <f t="shared" si="245"/>
        <v>0</v>
      </c>
      <c r="EH30" s="16">
        <f t="shared" si="245"/>
        <v>0</v>
      </c>
      <c r="EI30" s="16">
        <f t="shared" si="245"/>
        <v>0</v>
      </c>
      <c r="EJ30" s="16">
        <f t="shared" si="245"/>
        <v>0</v>
      </c>
      <c r="EK30" s="16">
        <f t="shared" si="245"/>
        <v>0</v>
      </c>
      <c r="EL30" s="16">
        <f t="shared" si="245"/>
        <v>0</v>
      </c>
      <c r="EM30" s="16">
        <f t="shared" si="245"/>
        <v>0</v>
      </c>
      <c r="EN30" s="16">
        <f t="shared" si="245"/>
        <v>0</v>
      </c>
      <c r="EO30" s="16">
        <f t="shared" si="245"/>
        <v>0</v>
      </c>
      <c r="EP30" s="16">
        <f t="shared" si="245"/>
        <v>0</v>
      </c>
      <c r="EQ30" s="16">
        <f t="shared" si="245"/>
        <v>0</v>
      </c>
      <c r="ER30" s="16">
        <f t="shared" si="245"/>
        <v>0</v>
      </c>
      <c r="ES30" s="16">
        <f t="shared" si="245"/>
        <v>0</v>
      </c>
      <c r="ET30" s="16">
        <f t="shared" si="245"/>
        <v>0</v>
      </c>
      <c r="EU30" s="16">
        <f t="shared" si="245"/>
        <v>0</v>
      </c>
      <c r="EV30" s="16">
        <f t="shared" si="245"/>
        <v>0</v>
      </c>
      <c r="EW30" s="16">
        <f t="shared" si="245"/>
        <v>0</v>
      </c>
      <c r="EX30" s="16">
        <f t="shared" si="245"/>
        <v>0</v>
      </c>
      <c r="EY30" s="16">
        <f t="shared" si="245"/>
        <v>0</v>
      </c>
      <c r="EZ30" s="16">
        <f t="shared" si="245"/>
        <v>0</v>
      </c>
      <c r="FA30" s="16">
        <f t="shared" si="245"/>
        <v>0</v>
      </c>
      <c r="FB30" s="16">
        <f t="shared" si="245"/>
        <v>0</v>
      </c>
    </row>
    <row r="31" spans="3:158" x14ac:dyDescent="0.25">
      <c r="C31" s="248" t="s">
        <v>732</v>
      </c>
      <c r="D31" s="16">
        <f t="shared" si="163"/>
        <v>0</v>
      </c>
      <c r="E31" s="16">
        <f t="shared" si="163"/>
        <v>483748.14580555551</v>
      </c>
      <c r="F31" s="16">
        <f t="shared" si="163"/>
        <v>284248.30923282425</v>
      </c>
      <c r="G31" s="16">
        <f t="shared" si="163"/>
        <v>203569.49567656414</v>
      </c>
      <c r="H31" s="16">
        <f t="shared" si="163"/>
        <v>0</v>
      </c>
      <c r="I31" s="16">
        <f t="shared" si="163"/>
        <v>0</v>
      </c>
      <c r="J31" s="16">
        <f t="shared" si="163"/>
        <v>0</v>
      </c>
      <c r="K31" s="16">
        <f t="shared" si="163"/>
        <v>0</v>
      </c>
      <c r="L31" s="16">
        <f t="shared" si="163"/>
        <v>0</v>
      </c>
      <c r="M31" s="16"/>
      <c r="N31" s="16">
        <f t="shared" si="202"/>
        <v>0</v>
      </c>
      <c r="O31" s="16">
        <f t="shared" si="203"/>
        <v>0</v>
      </c>
      <c r="P31" s="16">
        <f t="shared" si="204"/>
        <v>0</v>
      </c>
      <c r="Q31" s="16">
        <f t="shared" si="205"/>
        <v>0</v>
      </c>
      <c r="R31" s="16">
        <f t="shared" si="206"/>
        <v>0</v>
      </c>
      <c r="S31" s="16">
        <f t="shared" si="207"/>
        <v>0</v>
      </c>
      <c r="T31" s="16">
        <f t="shared" si="208"/>
        <v>410787.26393055555</v>
      </c>
      <c r="U31" s="16">
        <f t="shared" si="209"/>
        <v>72960.881874999992</v>
      </c>
      <c r="V31" s="16">
        <f t="shared" si="210"/>
        <v>58461.066902777777</v>
      </c>
      <c r="W31" s="16">
        <f t="shared" si="211"/>
        <v>82938.308453340273</v>
      </c>
      <c r="X31" s="16">
        <f t="shared" si="212"/>
        <v>55972.122255679242</v>
      </c>
      <c r="Y31" s="16">
        <f t="shared" si="213"/>
        <v>86876.811621026922</v>
      </c>
      <c r="Z31" s="16">
        <f t="shared" si="214"/>
        <v>87323.137812305678</v>
      </c>
      <c r="AA31" s="16">
        <f t="shared" si="215"/>
        <v>116246.35786425843</v>
      </c>
      <c r="AB31" s="16">
        <f t="shared" si="216"/>
        <v>0</v>
      </c>
      <c r="AC31" s="16">
        <f t="shared" si="217"/>
        <v>0</v>
      </c>
      <c r="AD31" s="16">
        <f t="shared" si="218"/>
        <v>0</v>
      </c>
      <c r="AE31" s="16">
        <f t="shared" si="219"/>
        <v>0</v>
      </c>
      <c r="AF31" s="16">
        <f t="shared" si="220"/>
        <v>0</v>
      </c>
      <c r="AG31" s="16">
        <f t="shared" si="221"/>
        <v>0</v>
      </c>
      <c r="AH31" s="16">
        <f t="shared" si="222"/>
        <v>0</v>
      </c>
      <c r="AI31" s="16">
        <f t="shared" si="223"/>
        <v>0</v>
      </c>
      <c r="AJ31" s="16">
        <f t="shared" si="224"/>
        <v>0</v>
      </c>
      <c r="AK31" s="16">
        <f t="shared" si="225"/>
        <v>0</v>
      </c>
      <c r="AL31" s="16">
        <f t="shared" si="226"/>
        <v>0</v>
      </c>
      <c r="AM31" s="16">
        <f t="shared" si="227"/>
        <v>0</v>
      </c>
      <c r="AN31" s="16">
        <f t="shared" si="228"/>
        <v>0</v>
      </c>
      <c r="AO31" s="16">
        <f t="shared" si="229"/>
        <v>0</v>
      </c>
      <c r="AP31" s="16">
        <f t="shared" si="230"/>
        <v>0</v>
      </c>
      <c r="AQ31" s="16">
        <f t="shared" si="231"/>
        <v>0</v>
      </c>
      <c r="AR31" s="16">
        <f t="shared" si="232"/>
        <v>0</v>
      </c>
      <c r="AS31" s="16">
        <f t="shared" si="233"/>
        <v>0</v>
      </c>
      <c r="AT31" s="16">
        <f t="shared" si="234"/>
        <v>0</v>
      </c>
      <c r="AU31" s="16">
        <f t="shared" si="235"/>
        <v>0</v>
      </c>
      <c r="AV31" s="16">
        <f t="shared" si="236"/>
        <v>0</v>
      </c>
      <c r="AW31" s="16">
        <f t="shared" si="237"/>
        <v>0</v>
      </c>
      <c r="AX31" s="16"/>
      <c r="AY31" s="16"/>
      <c r="AZ31" s="16"/>
      <c r="BA31" s="16"/>
      <c r="BB31" s="16"/>
      <c r="BC31" s="16"/>
      <c r="BD31" s="16"/>
      <c r="BE31" s="16"/>
      <c r="BF31" s="16"/>
      <c r="BG31" s="16"/>
      <c r="BH31" s="16"/>
      <c r="BI31" s="16"/>
      <c r="BJ31" s="16"/>
      <c r="BK31" s="16"/>
      <c r="BL31" s="16"/>
      <c r="BM31" s="16"/>
      <c r="BN31" s="16"/>
      <c r="BO31" s="16"/>
      <c r="BP31" s="16"/>
      <c r="BQ31" s="16">
        <f>BP30</f>
        <v>363135.6295972222</v>
      </c>
      <c r="BR31" s="16">
        <f t="shared" si="238"/>
        <v>13685.887930555555</v>
      </c>
      <c r="BS31" s="16">
        <f t="shared" si="238"/>
        <v>33965.746402777775</v>
      </c>
      <c r="BT31" s="16">
        <f t="shared" si="238"/>
        <v>12892.889333333329</v>
      </c>
      <c r="BU31" s="16">
        <f t="shared" si="238"/>
        <v>30290.257861111106</v>
      </c>
      <c r="BV31" s="16">
        <f t="shared" si="238"/>
        <v>29777.734680555553</v>
      </c>
      <c r="BW31" s="16">
        <f t="shared" si="238"/>
        <v>11880.608055555555</v>
      </c>
      <c r="BX31" s="16">
        <f t="shared" si="238"/>
        <v>12716.556513888887</v>
      </c>
      <c r="BY31" s="16">
        <f t="shared" si="239"/>
        <v>33863.902333333332</v>
      </c>
      <c r="BZ31" s="16">
        <f t="shared" si="239"/>
        <v>7752.5538611111115</v>
      </c>
      <c r="CA31" s="16">
        <f t="shared" si="239"/>
        <v>32529.937902777772</v>
      </c>
      <c r="CB31" s="16">
        <f t="shared" si="239"/>
        <v>42655.816689451385</v>
      </c>
      <c r="CC31" s="16">
        <f t="shared" si="239"/>
        <v>11817.242199999999</v>
      </c>
      <c r="CD31" s="16">
        <f t="shared" si="239"/>
        <v>17900.991307708486</v>
      </c>
      <c r="CE31" s="16">
        <f t="shared" si="239"/>
        <v>26253.888747970756</v>
      </c>
      <c r="CF31" s="16">
        <f t="shared" si="239"/>
        <v>18018.769125509334</v>
      </c>
      <c r="CG31" s="16">
        <f t="shared" si="240"/>
        <v>20634.9077788908</v>
      </c>
      <c r="CH31" s="16">
        <f t="shared" si="240"/>
        <v>48223.134716626795</v>
      </c>
      <c r="CI31" s="16">
        <f t="shared" si="240"/>
        <v>11247.605465339511</v>
      </c>
      <c r="CJ31" s="16">
        <f t="shared" si="240"/>
        <v>35934.263055192489</v>
      </c>
      <c r="CK31" s="16">
        <f t="shared" si="240"/>
        <v>40141.269291773686</v>
      </c>
      <c r="CL31" s="16">
        <f t="shared" si="240"/>
        <v>16962.865077926886</v>
      </c>
      <c r="CM31" s="16">
        <f t="shared" si="241"/>
        <v>41957.873263836715</v>
      </c>
      <c r="CN31" s="16">
        <f t="shared" si="242"/>
        <v>57325.619522494839</v>
      </c>
      <c r="CO31" s="16">
        <f t="shared" si="242"/>
        <v>0</v>
      </c>
      <c r="CP31" s="16">
        <f t="shared" si="242"/>
        <v>0</v>
      </c>
      <c r="CQ31" s="16">
        <f t="shared" si="242"/>
        <v>0</v>
      </c>
      <c r="CR31" s="16">
        <f t="shared" si="242"/>
        <v>0</v>
      </c>
      <c r="CS31" s="16">
        <f t="shared" si="242"/>
        <v>0</v>
      </c>
      <c r="CT31" s="16">
        <f t="shared" si="243"/>
        <v>0</v>
      </c>
      <c r="CU31" s="16">
        <f t="shared" si="245"/>
        <v>0</v>
      </c>
      <c r="CV31" s="16">
        <f t="shared" si="245"/>
        <v>0</v>
      </c>
      <c r="CW31" s="16">
        <f t="shared" si="245"/>
        <v>0</v>
      </c>
      <c r="CX31" s="16">
        <f t="shared" si="245"/>
        <v>0</v>
      </c>
      <c r="CY31" s="16">
        <f t="shared" si="245"/>
        <v>0</v>
      </c>
      <c r="CZ31" s="16">
        <f t="shared" si="245"/>
        <v>0</v>
      </c>
      <c r="DA31" s="16">
        <f t="shared" si="245"/>
        <v>0</v>
      </c>
      <c r="DB31" s="16">
        <f t="shared" si="245"/>
        <v>0</v>
      </c>
      <c r="DC31" s="16">
        <f t="shared" si="245"/>
        <v>0</v>
      </c>
      <c r="DD31" s="16">
        <f t="shared" si="245"/>
        <v>0</v>
      </c>
      <c r="DE31" s="16">
        <f t="shared" si="245"/>
        <v>0</v>
      </c>
      <c r="DF31" s="16">
        <f t="shared" si="245"/>
        <v>0</v>
      </c>
      <c r="DG31" s="16">
        <f t="shared" si="245"/>
        <v>0</v>
      </c>
      <c r="DH31" s="16">
        <f t="shared" si="245"/>
        <v>0</v>
      </c>
      <c r="DI31" s="16">
        <f t="shared" si="245"/>
        <v>0</v>
      </c>
      <c r="DJ31" s="16">
        <f t="shared" si="245"/>
        <v>0</v>
      </c>
      <c r="DK31" s="16">
        <f t="shared" si="245"/>
        <v>0</v>
      </c>
      <c r="DL31" s="16">
        <f t="shared" si="245"/>
        <v>0</v>
      </c>
      <c r="DM31" s="16">
        <f t="shared" si="245"/>
        <v>0</v>
      </c>
      <c r="DN31" s="16">
        <f t="shared" si="245"/>
        <v>0</v>
      </c>
      <c r="DO31" s="16">
        <f t="shared" si="245"/>
        <v>0</v>
      </c>
      <c r="DP31" s="16">
        <f t="shared" si="245"/>
        <v>0</v>
      </c>
      <c r="DQ31" s="16">
        <f t="shared" si="245"/>
        <v>0</v>
      </c>
      <c r="DR31" s="16">
        <f t="shared" si="245"/>
        <v>0</v>
      </c>
      <c r="DS31" s="16">
        <f t="shared" si="245"/>
        <v>0</v>
      </c>
      <c r="DT31" s="16">
        <f t="shared" si="245"/>
        <v>0</v>
      </c>
      <c r="DU31" s="16">
        <f t="shared" si="245"/>
        <v>0</v>
      </c>
      <c r="DV31" s="16">
        <f t="shared" si="245"/>
        <v>0</v>
      </c>
      <c r="DW31" s="16">
        <f t="shared" si="245"/>
        <v>0</v>
      </c>
      <c r="DX31" s="16">
        <f t="shared" si="245"/>
        <v>0</v>
      </c>
      <c r="DY31" s="16">
        <f t="shared" si="245"/>
        <v>0</v>
      </c>
      <c r="DZ31" s="16">
        <f t="shared" si="245"/>
        <v>0</v>
      </c>
      <c r="EA31" s="16">
        <f t="shared" si="245"/>
        <v>0</v>
      </c>
      <c r="EB31" s="16">
        <f t="shared" si="245"/>
        <v>0</v>
      </c>
      <c r="EC31" s="16">
        <f t="shared" si="245"/>
        <v>0</v>
      </c>
      <c r="ED31" s="16">
        <f t="shared" si="245"/>
        <v>0</v>
      </c>
      <c r="EE31" s="16">
        <f t="shared" si="245"/>
        <v>0</v>
      </c>
      <c r="EF31" s="16">
        <f t="shared" si="245"/>
        <v>0</v>
      </c>
      <c r="EG31" s="16">
        <f t="shared" si="245"/>
        <v>0</v>
      </c>
      <c r="EH31" s="16">
        <f t="shared" si="245"/>
        <v>0</v>
      </c>
      <c r="EI31" s="16">
        <f t="shared" si="245"/>
        <v>0</v>
      </c>
      <c r="EJ31" s="16">
        <f t="shared" si="245"/>
        <v>0</v>
      </c>
      <c r="EK31" s="16">
        <f t="shared" si="245"/>
        <v>0</v>
      </c>
      <c r="EL31" s="16">
        <f t="shared" si="245"/>
        <v>0</v>
      </c>
      <c r="EM31" s="16">
        <f t="shared" si="245"/>
        <v>0</v>
      </c>
      <c r="EN31" s="16">
        <f t="shared" si="245"/>
        <v>0</v>
      </c>
      <c r="EO31" s="16">
        <f t="shared" si="245"/>
        <v>0</v>
      </c>
      <c r="EP31" s="16">
        <f t="shared" si="245"/>
        <v>0</v>
      </c>
      <c r="EQ31" s="16">
        <f t="shared" si="245"/>
        <v>0</v>
      </c>
      <c r="ER31" s="16">
        <f t="shared" si="245"/>
        <v>0</v>
      </c>
      <c r="ES31" s="16">
        <f t="shared" si="245"/>
        <v>0</v>
      </c>
      <c r="ET31" s="16">
        <f t="shared" si="245"/>
        <v>0</v>
      </c>
      <c r="EU31" s="16">
        <f t="shared" si="245"/>
        <v>0</v>
      </c>
      <c r="EV31" s="16">
        <f t="shared" si="245"/>
        <v>0</v>
      </c>
      <c r="EW31" s="16">
        <f t="shared" si="245"/>
        <v>0</v>
      </c>
      <c r="EX31" s="16">
        <f t="shared" si="245"/>
        <v>0</v>
      </c>
      <c r="EY31" s="16">
        <f t="shared" si="245"/>
        <v>0</v>
      </c>
      <c r="EZ31" s="16">
        <f t="shared" si="245"/>
        <v>0</v>
      </c>
      <c r="FA31" s="16">
        <f t="shared" si="245"/>
        <v>0</v>
      </c>
      <c r="FB31" s="16">
        <f t="shared" si="245"/>
        <v>0</v>
      </c>
    </row>
    <row r="32" spans="3:158" x14ac:dyDescent="0.25">
      <c r="C32" s="248" t="s">
        <v>733</v>
      </c>
      <c r="D32" s="16">
        <f t="shared" si="163"/>
        <v>0</v>
      </c>
      <c r="E32" s="16">
        <f t="shared" si="163"/>
        <v>453970.41112499998</v>
      </c>
      <c r="F32" s="16">
        <f t="shared" si="163"/>
        <v>265802.909196753</v>
      </c>
      <c r="G32" s="16">
        <f t="shared" si="163"/>
        <v>251792.63039319095</v>
      </c>
      <c r="H32" s="16">
        <f t="shared" si="163"/>
        <v>0</v>
      </c>
      <c r="I32" s="16">
        <f t="shared" si="163"/>
        <v>0</v>
      </c>
      <c r="J32" s="16">
        <f t="shared" si="163"/>
        <v>0</v>
      </c>
      <c r="K32" s="16">
        <f t="shared" si="163"/>
        <v>0</v>
      </c>
      <c r="L32" s="16">
        <f t="shared" si="163"/>
        <v>0</v>
      </c>
      <c r="M32" s="16"/>
      <c r="N32" s="16">
        <f t="shared" si="202"/>
        <v>0</v>
      </c>
      <c r="O32" s="16">
        <f t="shared" si="203"/>
        <v>0</v>
      </c>
      <c r="P32" s="16">
        <f t="shared" si="204"/>
        <v>0</v>
      </c>
      <c r="Q32" s="16">
        <f t="shared" si="205"/>
        <v>0</v>
      </c>
      <c r="R32" s="16">
        <f t="shared" si="206"/>
        <v>0</v>
      </c>
      <c r="S32" s="16">
        <f t="shared" si="207"/>
        <v>0</v>
      </c>
      <c r="T32" s="16">
        <f t="shared" si="208"/>
        <v>376821.51752777776</v>
      </c>
      <c r="U32" s="16">
        <f t="shared" si="209"/>
        <v>77148.89359722221</v>
      </c>
      <c r="V32" s="16">
        <f t="shared" si="210"/>
        <v>54374.899249999995</v>
      </c>
      <c r="W32" s="16">
        <f t="shared" si="211"/>
        <v>74146.394097222219</v>
      </c>
      <c r="X32" s="16">
        <f t="shared" si="212"/>
        <v>72374.050197159871</v>
      </c>
      <c r="Y32" s="16">
        <f t="shared" si="213"/>
        <v>64907.565652370889</v>
      </c>
      <c r="Z32" s="16">
        <f t="shared" si="214"/>
        <v>95405.003237158788</v>
      </c>
      <c r="AA32" s="16">
        <f t="shared" si="215"/>
        <v>99062.007633537287</v>
      </c>
      <c r="AB32" s="16">
        <f t="shared" si="216"/>
        <v>57325.619522494839</v>
      </c>
      <c r="AC32" s="16">
        <f t="shared" si="217"/>
        <v>0</v>
      </c>
      <c r="AD32" s="16">
        <f t="shared" si="218"/>
        <v>0</v>
      </c>
      <c r="AE32" s="16">
        <f t="shared" si="219"/>
        <v>0</v>
      </c>
      <c r="AF32" s="16">
        <f t="shared" si="220"/>
        <v>0</v>
      </c>
      <c r="AG32" s="16">
        <f t="shared" si="221"/>
        <v>0</v>
      </c>
      <c r="AH32" s="16">
        <f t="shared" si="222"/>
        <v>0</v>
      </c>
      <c r="AI32" s="16">
        <f t="shared" si="223"/>
        <v>0</v>
      </c>
      <c r="AJ32" s="16">
        <f t="shared" si="224"/>
        <v>0</v>
      </c>
      <c r="AK32" s="16">
        <f t="shared" si="225"/>
        <v>0</v>
      </c>
      <c r="AL32" s="16">
        <f t="shared" si="226"/>
        <v>0</v>
      </c>
      <c r="AM32" s="16">
        <f t="shared" si="227"/>
        <v>0</v>
      </c>
      <c r="AN32" s="16">
        <f t="shared" si="228"/>
        <v>0</v>
      </c>
      <c r="AO32" s="16">
        <f t="shared" si="229"/>
        <v>0</v>
      </c>
      <c r="AP32" s="16">
        <f t="shared" si="230"/>
        <v>0</v>
      </c>
      <c r="AQ32" s="16">
        <f t="shared" si="231"/>
        <v>0</v>
      </c>
      <c r="AR32" s="16">
        <f t="shared" si="232"/>
        <v>0</v>
      </c>
      <c r="AS32" s="16">
        <f t="shared" si="233"/>
        <v>0</v>
      </c>
      <c r="AT32" s="16">
        <f t="shared" si="234"/>
        <v>0</v>
      </c>
      <c r="AU32" s="16">
        <f t="shared" si="235"/>
        <v>0</v>
      </c>
      <c r="AV32" s="16">
        <f t="shared" si="236"/>
        <v>0</v>
      </c>
      <c r="AW32" s="16">
        <f t="shared" si="237"/>
        <v>0</v>
      </c>
      <c r="AX32" s="16"/>
      <c r="AY32" s="16"/>
      <c r="AZ32" s="16"/>
      <c r="BA32" s="16"/>
      <c r="BB32" s="16"/>
      <c r="BC32" s="16"/>
      <c r="BD32" s="16"/>
      <c r="BE32" s="16"/>
      <c r="BF32" s="16"/>
      <c r="BG32" s="16"/>
      <c r="BH32" s="16"/>
      <c r="BI32" s="16"/>
      <c r="BJ32" s="16"/>
      <c r="BK32" s="16"/>
      <c r="BL32" s="16"/>
      <c r="BM32" s="16"/>
      <c r="BN32" s="16"/>
      <c r="BO32" s="16"/>
      <c r="BP32" s="16"/>
      <c r="BQ32" s="16"/>
      <c r="BR32" s="16">
        <f t="shared" si="238"/>
        <v>363135.6295972222</v>
      </c>
      <c r="BS32" s="16">
        <f t="shared" si="238"/>
        <v>13685.887930555555</v>
      </c>
      <c r="BT32" s="16">
        <f t="shared" si="238"/>
        <v>33965.746402777775</v>
      </c>
      <c r="BU32" s="16">
        <f t="shared" si="238"/>
        <v>12892.889333333329</v>
      </c>
      <c r="BV32" s="16">
        <f t="shared" si="238"/>
        <v>30290.257861111106</v>
      </c>
      <c r="BW32" s="16">
        <f t="shared" si="238"/>
        <v>29777.734680555553</v>
      </c>
      <c r="BX32" s="16">
        <f t="shared" si="238"/>
        <v>11880.608055555555</v>
      </c>
      <c r="BY32" s="16">
        <f t="shared" si="239"/>
        <v>12716.556513888887</v>
      </c>
      <c r="BZ32" s="16">
        <f t="shared" si="239"/>
        <v>33863.902333333332</v>
      </c>
      <c r="CA32" s="16">
        <f t="shared" si="239"/>
        <v>7752.5538611111115</v>
      </c>
      <c r="CB32" s="16">
        <f t="shared" si="239"/>
        <v>32529.937902777772</v>
      </c>
      <c r="CC32" s="16">
        <f t="shared" si="239"/>
        <v>42655.816689451385</v>
      </c>
      <c r="CD32" s="16">
        <f t="shared" si="239"/>
        <v>11817.242199999999</v>
      </c>
      <c r="CE32" s="16">
        <f t="shared" si="239"/>
        <v>17900.991307708486</v>
      </c>
      <c r="CF32" s="16">
        <f t="shared" si="239"/>
        <v>26253.888747970756</v>
      </c>
      <c r="CG32" s="16">
        <f t="shared" si="240"/>
        <v>18018.769125509334</v>
      </c>
      <c r="CH32" s="16">
        <f t="shared" si="240"/>
        <v>20634.9077788908</v>
      </c>
      <c r="CI32" s="16">
        <f t="shared" si="240"/>
        <v>48223.134716626795</v>
      </c>
      <c r="CJ32" s="16">
        <f t="shared" si="240"/>
        <v>11247.605465339511</v>
      </c>
      <c r="CK32" s="16">
        <f t="shared" si="240"/>
        <v>35934.263055192489</v>
      </c>
      <c r="CL32" s="16">
        <f t="shared" si="240"/>
        <v>40141.269291773686</v>
      </c>
      <c r="CM32" s="16">
        <f t="shared" si="241"/>
        <v>16962.865077926886</v>
      </c>
      <c r="CN32" s="16">
        <f t="shared" si="242"/>
        <v>41957.873263836715</v>
      </c>
      <c r="CO32" s="16">
        <f t="shared" si="242"/>
        <v>57325.619522494839</v>
      </c>
      <c r="CP32" s="16">
        <f t="shared" si="242"/>
        <v>0</v>
      </c>
      <c r="CQ32" s="16">
        <f t="shared" si="242"/>
        <v>0</v>
      </c>
      <c r="CR32" s="16">
        <f t="shared" si="242"/>
        <v>0</v>
      </c>
      <c r="CS32" s="16">
        <f t="shared" si="242"/>
        <v>0</v>
      </c>
      <c r="CT32" s="16">
        <f t="shared" si="243"/>
        <v>0</v>
      </c>
      <c r="CU32" s="16">
        <f t="shared" si="245"/>
        <v>0</v>
      </c>
      <c r="CV32" s="16">
        <f t="shared" si="245"/>
        <v>0</v>
      </c>
      <c r="CW32" s="16">
        <f t="shared" si="245"/>
        <v>0</v>
      </c>
      <c r="CX32" s="16">
        <f t="shared" si="245"/>
        <v>0</v>
      </c>
      <c r="CY32" s="16">
        <f t="shared" si="245"/>
        <v>0</v>
      </c>
      <c r="CZ32" s="16">
        <f t="shared" si="245"/>
        <v>0</v>
      </c>
      <c r="DA32" s="16">
        <f t="shared" si="245"/>
        <v>0</v>
      </c>
      <c r="DB32" s="16">
        <f t="shared" si="245"/>
        <v>0</v>
      </c>
      <c r="DC32" s="16">
        <f t="shared" si="245"/>
        <v>0</v>
      </c>
      <c r="DD32" s="16">
        <f t="shared" si="245"/>
        <v>0</v>
      </c>
      <c r="DE32" s="16">
        <f t="shared" si="245"/>
        <v>0</v>
      </c>
      <c r="DF32" s="16">
        <f t="shared" si="245"/>
        <v>0</v>
      </c>
      <c r="DG32" s="16">
        <f t="shared" si="245"/>
        <v>0</v>
      </c>
      <c r="DH32" s="16">
        <f t="shared" si="245"/>
        <v>0</v>
      </c>
      <c r="DI32" s="16">
        <f t="shared" si="245"/>
        <v>0</v>
      </c>
      <c r="DJ32" s="16">
        <f t="shared" si="245"/>
        <v>0</v>
      </c>
      <c r="DK32" s="16">
        <f t="shared" si="245"/>
        <v>0</v>
      </c>
      <c r="DL32" s="16">
        <f t="shared" si="245"/>
        <v>0</v>
      </c>
      <c r="DM32" s="16">
        <f t="shared" si="245"/>
        <v>0</v>
      </c>
      <c r="DN32" s="16">
        <f t="shared" si="245"/>
        <v>0</v>
      </c>
      <c r="DO32" s="16">
        <f t="shared" si="245"/>
        <v>0</v>
      </c>
      <c r="DP32" s="16">
        <f t="shared" si="245"/>
        <v>0</v>
      </c>
      <c r="DQ32" s="16">
        <f t="shared" si="245"/>
        <v>0</v>
      </c>
      <c r="DR32" s="16">
        <f t="shared" si="245"/>
        <v>0</v>
      </c>
      <c r="DS32" s="16">
        <f t="shared" si="245"/>
        <v>0</v>
      </c>
      <c r="DT32" s="16">
        <f t="shared" si="245"/>
        <v>0</v>
      </c>
      <c r="DU32" s="16">
        <f t="shared" si="245"/>
        <v>0</v>
      </c>
      <c r="DV32" s="16">
        <f t="shared" si="245"/>
        <v>0</v>
      </c>
      <c r="DW32" s="16">
        <f t="shared" si="245"/>
        <v>0</v>
      </c>
      <c r="DX32" s="16">
        <f t="shared" si="245"/>
        <v>0</v>
      </c>
      <c r="DY32" s="16">
        <f t="shared" si="245"/>
        <v>0</v>
      </c>
      <c r="DZ32" s="16">
        <f t="shared" si="245"/>
        <v>0</v>
      </c>
      <c r="EA32" s="16">
        <f t="shared" si="245"/>
        <v>0</v>
      </c>
      <c r="EB32" s="16">
        <f t="shared" si="245"/>
        <v>0</v>
      </c>
      <c r="EC32" s="16">
        <f t="shared" si="245"/>
        <v>0</v>
      </c>
      <c r="ED32" s="16">
        <f t="shared" si="245"/>
        <v>0</v>
      </c>
      <c r="EE32" s="16">
        <f t="shared" si="245"/>
        <v>0</v>
      </c>
      <c r="EF32" s="16">
        <f t="shared" si="245"/>
        <v>0</v>
      </c>
      <c r="EG32" s="16">
        <f t="shared" si="245"/>
        <v>0</v>
      </c>
      <c r="EH32" s="16">
        <f t="shared" si="245"/>
        <v>0</v>
      </c>
      <c r="EI32" s="16">
        <f t="shared" si="245"/>
        <v>0</v>
      </c>
      <c r="EJ32" s="16">
        <f t="shared" si="245"/>
        <v>0</v>
      </c>
      <c r="EK32" s="16">
        <f t="shared" si="245"/>
        <v>0</v>
      </c>
      <c r="EL32" s="16">
        <f t="shared" si="245"/>
        <v>0</v>
      </c>
      <c r="EM32" s="16">
        <f t="shared" si="245"/>
        <v>0</v>
      </c>
      <c r="EN32" s="16">
        <f t="shared" si="245"/>
        <v>0</v>
      </c>
      <c r="EO32" s="16">
        <f t="shared" si="245"/>
        <v>0</v>
      </c>
      <c r="EP32" s="16">
        <f t="shared" si="245"/>
        <v>0</v>
      </c>
      <c r="EQ32" s="16">
        <f t="shared" si="245"/>
        <v>0</v>
      </c>
      <c r="ER32" s="16">
        <f t="shared" si="245"/>
        <v>0</v>
      </c>
      <c r="ES32" s="16">
        <f t="shared" si="245"/>
        <v>0</v>
      </c>
      <c r="ET32" s="16">
        <f t="shared" si="245"/>
        <v>0</v>
      </c>
      <c r="EU32" s="16">
        <f t="shared" si="245"/>
        <v>0</v>
      </c>
      <c r="EV32" s="16">
        <f t="shared" si="245"/>
        <v>0</v>
      </c>
      <c r="EW32" s="16">
        <f t="shared" si="245"/>
        <v>0</v>
      </c>
      <c r="EX32" s="16">
        <f t="shared" si="245"/>
        <v>0</v>
      </c>
      <c r="EY32" s="16">
        <f t="shared" si="245"/>
        <v>0</v>
      </c>
      <c r="EZ32" s="16">
        <f t="shared" si="245"/>
        <v>0</v>
      </c>
      <c r="FA32" s="16">
        <f t="shared" si="245"/>
        <v>0</v>
      </c>
      <c r="FB32" s="16">
        <f t="shared" si="245"/>
        <v>0</v>
      </c>
    </row>
    <row r="33" spans="3:158" x14ac:dyDescent="0.25">
      <c r="C33" s="248" t="s">
        <v>734</v>
      </c>
      <c r="D33" s="16">
        <f t="shared" si="163"/>
        <v>0</v>
      </c>
      <c r="E33" s="16">
        <f t="shared" si="163"/>
        <v>423680.1532638889</v>
      </c>
      <c r="F33" s="16">
        <f t="shared" si="163"/>
        <v>275458.25927897327</v>
      </c>
      <c r="G33" s="16">
        <f t="shared" si="163"/>
        <v>272427.53817208175</v>
      </c>
      <c r="H33" s="16">
        <f t="shared" si="163"/>
        <v>0</v>
      </c>
      <c r="I33" s="16">
        <f t="shared" si="163"/>
        <v>0</v>
      </c>
      <c r="J33" s="16">
        <f t="shared" si="163"/>
        <v>0</v>
      </c>
      <c r="K33" s="16">
        <f t="shared" si="163"/>
        <v>0</v>
      </c>
      <c r="L33" s="16">
        <f t="shared" si="163"/>
        <v>0</v>
      </c>
      <c r="M33" s="16"/>
      <c r="N33" s="16">
        <f t="shared" si="202"/>
        <v>0</v>
      </c>
      <c r="O33" s="16">
        <f t="shared" si="203"/>
        <v>0</v>
      </c>
      <c r="P33" s="16">
        <f t="shared" si="204"/>
        <v>0</v>
      </c>
      <c r="Q33" s="16">
        <f t="shared" si="205"/>
        <v>0</v>
      </c>
      <c r="R33" s="16">
        <f t="shared" si="206"/>
        <v>0</v>
      </c>
      <c r="S33" s="16">
        <f t="shared" si="207"/>
        <v>0</v>
      </c>
      <c r="T33" s="16">
        <f t="shared" si="208"/>
        <v>363135.6295972222</v>
      </c>
      <c r="U33" s="16">
        <f t="shared" si="209"/>
        <v>60544.523666666661</v>
      </c>
      <c r="V33" s="16">
        <f t="shared" si="210"/>
        <v>71948.600597222219</v>
      </c>
      <c r="W33" s="16">
        <f t="shared" si="211"/>
        <v>54333.012708333328</v>
      </c>
      <c r="X33" s="16">
        <f t="shared" si="212"/>
        <v>87002.996792229154</v>
      </c>
      <c r="Y33" s="16">
        <f t="shared" si="213"/>
        <v>62173.649181188579</v>
      </c>
      <c r="Z33" s="16">
        <f t="shared" si="214"/>
        <v>80105.64796085711</v>
      </c>
      <c r="AA33" s="16">
        <f t="shared" si="215"/>
        <v>93038.397424893075</v>
      </c>
      <c r="AB33" s="16">
        <f t="shared" si="216"/>
        <v>99283.492786331553</v>
      </c>
      <c r="AC33" s="16">
        <f t="shared" si="217"/>
        <v>0</v>
      </c>
      <c r="AD33" s="16">
        <f t="shared" si="218"/>
        <v>0</v>
      </c>
      <c r="AE33" s="16">
        <f t="shared" si="219"/>
        <v>0</v>
      </c>
      <c r="AF33" s="16">
        <f t="shared" si="220"/>
        <v>0</v>
      </c>
      <c r="AG33" s="16">
        <f t="shared" si="221"/>
        <v>0</v>
      </c>
      <c r="AH33" s="16">
        <f t="shared" si="222"/>
        <v>0</v>
      </c>
      <c r="AI33" s="16">
        <f t="shared" si="223"/>
        <v>0</v>
      </c>
      <c r="AJ33" s="16">
        <f t="shared" si="224"/>
        <v>0</v>
      </c>
      <c r="AK33" s="16">
        <f t="shared" si="225"/>
        <v>0</v>
      </c>
      <c r="AL33" s="16">
        <f t="shared" si="226"/>
        <v>0</v>
      </c>
      <c r="AM33" s="16">
        <f t="shared" si="227"/>
        <v>0</v>
      </c>
      <c r="AN33" s="16">
        <f t="shared" si="228"/>
        <v>0</v>
      </c>
      <c r="AO33" s="16">
        <f t="shared" si="229"/>
        <v>0</v>
      </c>
      <c r="AP33" s="16">
        <f t="shared" si="230"/>
        <v>0</v>
      </c>
      <c r="AQ33" s="16">
        <f t="shared" si="231"/>
        <v>0</v>
      </c>
      <c r="AR33" s="16">
        <f t="shared" si="232"/>
        <v>0</v>
      </c>
      <c r="AS33" s="16">
        <f t="shared" si="233"/>
        <v>0</v>
      </c>
      <c r="AT33" s="16">
        <f t="shared" si="234"/>
        <v>0</v>
      </c>
      <c r="AU33" s="16">
        <f t="shared" si="235"/>
        <v>0</v>
      </c>
      <c r="AV33" s="16">
        <f t="shared" si="236"/>
        <v>0</v>
      </c>
      <c r="AW33" s="16">
        <f t="shared" si="237"/>
        <v>0</v>
      </c>
      <c r="AX33" s="16"/>
      <c r="AY33" s="16"/>
      <c r="AZ33" s="16"/>
      <c r="BA33" s="16"/>
      <c r="BB33" s="16"/>
      <c r="BC33" s="16"/>
      <c r="BD33" s="16"/>
      <c r="BE33" s="16"/>
      <c r="BF33" s="16"/>
      <c r="BG33" s="16"/>
      <c r="BH33" s="16"/>
      <c r="BI33" s="16"/>
      <c r="BJ33" s="16"/>
      <c r="BK33" s="16"/>
      <c r="BL33" s="16"/>
      <c r="BM33" s="16"/>
      <c r="BN33" s="16"/>
      <c r="BO33" s="16"/>
      <c r="BP33" s="16"/>
      <c r="BQ33" s="16"/>
      <c r="BR33" s="16"/>
      <c r="BS33" s="16">
        <f>BR32</f>
        <v>363135.6295972222</v>
      </c>
      <c r="BT33" s="16">
        <f>BS32</f>
        <v>13685.887930555555</v>
      </c>
      <c r="BU33" s="16">
        <f t="shared" ref="BU33:BX36" si="246">BT32</f>
        <v>33965.746402777775</v>
      </c>
      <c r="BV33" s="16">
        <f t="shared" si="246"/>
        <v>12892.889333333329</v>
      </c>
      <c r="BW33" s="16">
        <f t="shared" si="246"/>
        <v>30290.257861111106</v>
      </c>
      <c r="BX33" s="16">
        <f t="shared" si="246"/>
        <v>29777.734680555553</v>
      </c>
      <c r="BY33" s="16">
        <f t="shared" si="239"/>
        <v>11880.608055555555</v>
      </c>
      <c r="BZ33" s="16">
        <f t="shared" si="239"/>
        <v>12716.556513888887</v>
      </c>
      <c r="CA33" s="16">
        <f t="shared" si="239"/>
        <v>33863.902333333332</v>
      </c>
      <c r="CB33" s="16">
        <f t="shared" si="239"/>
        <v>7752.5538611111115</v>
      </c>
      <c r="CC33" s="16">
        <f t="shared" si="239"/>
        <v>32529.937902777772</v>
      </c>
      <c r="CD33" s="16">
        <f t="shared" si="239"/>
        <v>42655.816689451385</v>
      </c>
      <c r="CE33" s="16">
        <f t="shared" si="239"/>
        <v>11817.242199999999</v>
      </c>
      <c r="CF33" s="16">
        <f t="shared" si="239"/>
        <v>17900.991307708486</v>
      </c>
      <c r="CG33" s="16">
        <f t="shared" si="240"/>
        <v>26253.888747970756</v>
      </c>
      <c r="CH33" s="16">
        <f t="shared" si="240"/>
        <v>18018.769125509334</v>
      </c>
      <c r="CI33" s="16">
        <f t="shared" si="240"/>
        <v>20634.9077788908</v>
      </c>
      <c r="CJ33" s="16">
        <f t="shared" si="240"/>
        <v>48223.134716626795</v>
      </c>
      <c r="CK33" s="16">
        <f t="shared" si="240"/>
        <v>11247.605465339511</v>
      </c>
      <c r="CL33" s="16">
        <f t="shared" si="240"/>
        <v>35934.263055192489</v>
      </c>
      <c r="CM33" s="16">
        <f t="shared" si="241"/>
        <v>40141.269291773686</v>
      </c>
      <c r="CN33" s="16">
        <f t="shared" si="242"/>
        <v>16962.865077926886</v>
      </c>
      <c r="CO33" s="16">
        <f t="shared" si="242"/>
        <v>41957.873263836715</v>
      </c>
      <c r="CP33" s="16">
        <f t="shared" si="242"/>
        <v>57325.619522494839</v>
      </c>
      <c r="CQ33" s="16">
        <f t="shared" si="242"/>
        <v>0</v>
      </c>
      <c r="CR33" s="16">
        <f t="shared" si="242"/>
        <v>0</v>
      </c>
      <c r="CS33" s="16">
        <f t="shared" si="242"/>
        <v>0</v>
      </c>
      <c r="CT33" s="16">
        <f t="shared" si="243"/>
        <v>0</v>
      </c>
      <c r="CU33" s="16">
        <f t="shared" si="245"/>
        <v>0</v>
      </c>
      <c r="CV33" s="16">
        <f t="shared" si="245"/>
        <v>0</v>
      </c>
      <c r="CW33" s="16">
        <f t="shared" si="245"/>
        <v>0</v>
      </c>
      <c r="CX33" s="16">
        <f t="shared" si="245"/>
        <v>0</v>
      </c>
      <c r="CY33" s="16">
        <f t="shared" si="245"/>
        <v>0</v>
      </c>
      <c r="CZ33" s="16">
        <f t="shared" si="245"/>
        <v>0</v>
      </c>
      <c r="DA33" s="16">
        <f t="shared" si="245"/>
        <v>0</v>
      </c>
      <c r="DB33" s="16">
        <f t="shared" si="245"/>
        <v>0</v>
      </c>
      <c r="DC33" s="16">
        <f t="shared" si="245"/>
        <v>0</v>
      </c>
      <c r="DD33" s="16">
        <f t="shared" si="245"/>
        <v>0</v>
      </c>
      <c r="DE33" s="16">
        <f t="shared" si="245"/>
        <v>0</v>
      </c>
      <c r="DF33" s="16">
        <f t="shared" si="245"/>
        <v>0</v>
      </c>
      <c r="DG33" s="16">
        <f t="shared" si="245"/>
        <v>0</v>
      </c>
      <c r="DH33" s="16">
        <f t="shared" si="245"/>
        <v>0</v>
      </c>
      <c r="DI33" s="16">
        <f t="shared" si="245"/>
        <v>0</v>
      </c>
      <c r="DJ33" s="16">
        <f t="shared" si="245"/>
        <v>0</v>
      </c>
      <c r="DK33" s="16">
        <f t="shared" si="245"/>
        <v>0</v>
      </c>
      <c r="DL33" s="16">
        <f t="shared" si="245"/>
        <v>0</v>
      </c>
      <c r="DM33" s="16">
        <f t="shared" si="245"/>
        <v>0</v>
      </c>
      <c r="DN33" s="16">
        <f t="shared" si="245"/>
        <v>0</v>
      </c>
      <c r="DO33" s="16">
        <f t="shared" si="245"/>
        <v>0</v>
      </c>
      <c r="DP33" s="16">
        <f t="shared" si="245"/>
        <v>0</v>
      </c>
      <c r="DQ33" s="16">
        <f t="shared" si="245"/>
        <v>0</v>
      </c>
      <c r="DR33" s="16">
        <f t="shared" si="245"/>
        <v>0</v>
      </c>
      <c r="DS33" s="16">
        <f t="shared" si="245"/>
        <v>0</v>
      </c>
      <c r="DT33" s="16">
        <f t="shared" si="245"/>
        <v>0</v>
      </c>
      <c r="DU33" s="16">
        <f t="shared" si="245"/>
        <v>0</v>
      </c>
      <c r="DV33" s="16">
        <f t="shared" si="245"/>
        <v>0</v>
      </c>
      <c r="DW33" s="16">
        <f t="shared" si="245"/>
        <v>0</v>
      </c>
      <c r="DX33" s="16">
        <f t="shared" si="245"/>
        <v>0</v>
      </c>
      <c r="DY33" s="16">
        <f t="shared" si="245"/>
        <v>0</v>
      </c>
      <c r="DZ33" s="16">
        <f t="shared" si="245"/>
        <v>0</v>
      </c>
      <c r="EA33" s="16">
        <f t="shared" si="245"/>
        <v>0</v>
      </c>
      <c r="EB33" s="16">
        <f t="shared" si="245"/>
        <v>0</v>
      </c>
      <c r="EC33" s="16">
        <f t="shared" si="245"/>
        <v>0</v>
      </c>
      <c r="ED33" s="16">
        <f t="shared" si="245"/>
        <v>0</v>
      </c>
      <c r="EE33" s="16">
        <f t="shared" si="245"/>
        <v>0</v>
      </c>
      <c r="EF33" s="16">
        <f t="shared" si="245"/>
        <v>0</v>
      </c>
      <c r="EG33" s="16">
        <f t="shared" si="245"/>
        <v>0</v>
      </c>
      <c r="EH33" s="16">
        <f t="shared" si="245"/>
        <v>0</v>
      </c>
      <c r="EI33" s="16">
        <f t="shared" si="245"/>
        <v>0</v>
      </c>
      <c r="EJ33" s="16">
        <f t="shared" si="245"/>
        <v>0</v>
      </c>
      <c r="EK33" s="16">
        <f t="shared" si="245"/>
        <v>0</v>
      </c>
      <c r="EL33" s="16">
        <f t="shared" si="245"/>
        <v>0</v>
      </c>
      <c r="EM33" s="16">
        <f t="shared" si="245"/>
        <v>0</v>
      </c>
      <c r="EN33" s="16">
        <f t="shared" si="245"/>
        <v>0</v>
      </c>
      <c r="EO33" s="16">
        <f t="shared" si="245"/>
        <v>0</v>
      </c>
      <c r="EP33" s="16">
        <f t="shared" si="245"/>
        <v>0</v>
      </c>
      <c r="EQ33" s="16">
        <f t="shared" si="245"/>
        <v>0</v>
      </c>
      <c r="ER33" s="16">
        <f t="shared" si="245"/>
        <v>0</v>
      </c>
      <c r="ES33" s="16">
        <f t="shared" si="245"/>
        <v>0</v>
      </c>
      <c r="ET33" s="16">
        <f t="shared" si="245"/>
        <v>0</v>
      </c>
      <c r="EU33" s="16">
        <f t="shared" si="245"/>
        <v>0</v>
      </c>
      <c r="EV33" s="16">
        <f t="shared" si="245"/>
        <v>0</v>
      </c>
      <c r="EW33" s="16">
        <f t="shared" si="245"/>
        <v>0</v>
      </c>
      <c r="EX33" s="16">
        <f t="shared" si="245"/>
        <v>0</v>
      </c>
      <c r="EY33" s="16">
        <f t="shared" si="245"/>
        <v>0</v>
      </c>
      <c r="EZ33" s="16">
        <f t="shared" si="245"/>
        <v>0</v>
      </c>
      <c r="FA33" s="16">
        <f t="shared" si="245"/>
        <v>0</v>
      </c>
      <c r="FB33" s="16">
        <f t="shared" si="245"/>
        <v>0</v>
      </c>
    </row>
    <row r="34" spans="3:158" x14ac:dyDescent="0.25">
      <c r="C34" s="248" t="s">
        <v>735</v>
      </c>
      <c r="D34" s="16">
        <f t="shared" si="163"/>
        <v>0</v>
      </c>
      <c r="E34" s="16">
        <f t="shared" si="163"/>
        <v>410787.26393055555</v>
      </c>
      <c r="F34" s="16">
        <f t="shared" si="163"/>
        <v>270332.37948679732</v>
      </c>
      <c r="G34" s="16">
        <f t="shared" si="163"/>
        <v>290446.30729759106</v>
      </c>
      <c r="H34" s="16">
        <f t="shared" si="163"/>
        <v>0</v>
      </c>
      <c r="I34" s="16">
        <f t="shared" si="163"/>
        <v>0</v>
      </c>
      <c r="J34" s="16">
        <f t="shared" si="163"/>
        <v>0</v>
      </c>
      <c r="K34" s="16">
        <f t="shared" si="163"/>
        <v>0</v>
      </c>
      <c r="L34" s="16">
        <f t="shared" si="163"/>
        <v>0</v>
      </c>
      <c r="M34" s="16"/>
      <c r="N34" s="16">
        <f t="shared" si="202"/>
        <v>0</v>
      </c>
      <c r="O34" s="16">
        <f t="shared" si="203"/>
        <v>0</v>
      </c>
      <c r="P34" s="16">
        <f t="shared" si="204"/>
        <v>0</v>
      </c>
      <c r="Q34" s="16">
        <f t="shared" si="205"/>
        <v>0</v>
      </c>
      <c r="R34" s="16">
        <f t="shared" si="206"/>
        <v>0</v>
      </c>
      <c r="S34" s="16">
        <f t="shared" si="207"/>
        <v>0</v>
      </c>
      <c r="T34" s="16">
        <f t="shared" si="208"/>
        <v>0</v>
      </c>
      <c r="U34" s="16">
        <f t="shared" si="209"/>
        <v>410787.26393055555</v>
      </c>
      <c r="V34" s="16">
        <f t="shared" si="210"/>
        <v>72960.881874999992</v>
      </c>
      <c r="W34" s="16">
        <f t="shared" si="211"/>
        <v>58461.066902777777</v>
      </c>
      <c r="X34" s="16">
        <f t="shared" si="212"/>
        <v>82938.308453340273</v>
      </c>
      <c r="Y34" s="16">
        <f t="shared" si="213"/>
        <v>55972.122255679242</v>
      </c>
      <c r="Z34" s="16">
        <f t="shared" si="214"/>
        <v>86876.811621026922</v>
      </c>
      <c r="AA34" s="16">
        <f t="shared" si="215"/>
        <v>87323.137812305678</v>
      </c>
      <c r="AB34" s="16">
        <f t="shared" si="216"/>
        <v>116246.35786425843</v>
      </c>
      <c r="AC34" s="16">
        <f t="shared" si="217"/>
        <v>0</v>
      </c>
      <c r="AD34" s="16">
        <f t="shared" si="218"/>
        <v>0</v>
      </c>
      <c r="AE34" s="16">
        <f t="shared" si="219"/>
        <v>0</v>
      </c>
      <c r="AF34" s="16">
        <f t="shared" si="220"/>
        <v>0</v>
      </c>
      <c r="AG34" s="16">
        <f t="shared" si="221"/>
        <v>0</v>
      </c>
      <c r="AH34" s="16">
        <f t="shared" si="222"/>
        <v>0</v>
      </c>
      <c r="AI34" s="16">
        <f t="shared" si="223"/>
        <v>0</v>
      </c>
      <c r="AJ34" s="16">
        <f t="shared" si="224"/>
        <v>0</v>
      </c>
      <c r="AK34" s="16">
        <f t="shared" si="225"/>
        <v>0</v>
      </c>
      <c r="AL34" s="16">
        <f t="shared" si="226"/>
        <v>0</v>
      </c>
      <c r="AM34" s="16">
        <f t="shared" si="227"/>
        <v>0</v>
      </c>
      <c r="AN34" s="16">
        <f t="shared" si="228"/>
        <v>0</v>
      </c>
      <c r="AO34" s="16">
        <f t="shared" si="229"/>
        <v>0</v>
      </c>
      <c r="AP34" s="16">
        <f t="shared" si="230"/>
        <v>0</v>
      </c>
      <c r="AQ34" s="16">
        <f t="shared" si="231"/>
        <v>0</v>
      </c>
      <c r="AR34" s="16">
        <f t="shared" si="232"/>
        <v>0</v>
      </c>
      <c r="AS34" s="16">
        <f t="shared" si="233"/>
        <v>0</v>
      </c>
      <c r="AT34" s="16">
        <f t="shared" si="234"/>
        <v>0</v>
      </c>
      <c r="AU34" s="16">
        <f t="shared" si="235"/>
        <v>0</v>
      </c>
      <c r="AV34" s="16">
        <f t="shared" si="236"/>
        <v>0</v>
      </c>
      <c r="AW34" s="16">
        <f t="shared" si="237"/>
        <v>0</v>
      </c>
      <c r="AX34" s="16"/>
      <c r="AY34" s="16"/>
      <c r="AZ34" s="16"/>
      <c r="BA34" s="16"/>
      <c r="BB34" s="16"/>
      <c r="BC34" s="16"/>
      <c r="BD34" s="16"/>
      <c r="BE34" s="16"/>
      <c r="BF34" s="16"/>
      <c r="BG34" s="16"/>
      <c r="BH34" s="16"/>
      <c r="BI34" s="16"/>
      <c r="BJ34" s="16"/>
      <c r="BK34" s="16"/>
      <c r="BL34" s="16"/>
      <c r="BM34" s="16"/>
      <c r="BN34" s="16"/>
      <c r="BO34" s="16"/>
      <c r="BP34" s="16"/>
      <c r="BQ34" s="16"/>
      <c r="BR34" s="16"/>
      <c r="BS34" s="16"/>
      <c r="BT34" s="16">
        <f>BS33</f>
        <v>363135.6295972222</v>
      </c>
      <c r="BU34" s="16">
        <f t="shared" si="246"/>
        <v>13685.887930555555</v>
      </c>
      <c r="BV34" s="16">
        <f t="shared" si="246"/>
        <v>33965.746402777775</v>
      </c>
      <c r="BW34" s="16">
        <f t="shared" si="246"/>
        <v>12892.889333333329</v>
      </c>
      <c r="BX34" s="16">
        <f t="shared" si="246"/>
        <v>30290.257861111106</v>
      </c>
      <c r="BY34" s="16">
        <f t="shared" si="239"/>
        <v>29777.734680555553</v>
      </c>
      <c r="BZ34" s="16">
        <f t="shared" si="239"/>
        <v>11880.608055555555</v>
      </c>
      <c r="CA34" s="16">
        <f t="shared" si="239"/>
        <v>12716.556513888887</v>
      </c>
      <c r="CB34" s="16">
        <f t="shared" si="239"/>
        <v>33863.902333333332</v>
      </c>
      <c r="CC34" s="16">
        <f t="shared" si="239"/>
        <v>7752.5538611111115</v>
      </c>
      <c r="CD34" s="16">
        <f t="shared" si="239"/>
        <v>32529.937902777772</v>
      </c>
      <c r="CE34" s="16">
        <f t="shared" si="239"/>
        <v>42655.816689451385</v>
      </c>
      <c r="CF34" s="16">
        <f t="shared" si="239"/>
        <v>11817.242199999999</v>
      </c>
      <c r="CG34" s="16">
        <f t="shared" si="240"/>
        <v>17900.991307708486</v>
      </c>
      <c r="CH34" s="16">
        <f t="shared" si="240"/>
        <v>26253.888747970756</v>
      </c>
      <c r="CI34" s="16">
        <f t="shared" si="240"/>
        <v>18018.769125509334</v>
      </c>
      <c r="CJ34" s="16">
        <f t="shared" si="240"/>
        <v>20634.9077788908</v>
      </c>
      <c r="CK34" s="16">
        <f t="shared" si="240"/>
        <v>48223.134716626795</v>
      </c>
      <c r="CL34" s="16">
        <f t="shared" si="240"/>
        <v>11247.605465339511</v>
      </c>
      <c r="CM34" s="16">
        <f t="shared" si="241"/>
        <v>35934.263055192489</v>
      </c>
      <c r="CN34" s="16">
        <f t="shared" si="242"/>
        <v>40141.269291773686</v>
      </c>
      <c r="CO34" s="16">
        <f t="shared" si="242"/>
        <v>16962.865077926886</v>
      </c>
      <c r="CP34" s="16">
        <f t="shared" si="242"/>
        <v>41957.873263836715</v>
      </c>
      <c r="CQ34" s="16">
        <f t="shared" si="242"/>
        <v>57325.619522494839</v>
      </c>
      <c r="CR34" s="16">
        <f t="shared" si="242"/>
        <v>0</v>
      </c>
      <c r="CS34" s="16">
        <f t="shared" si="242"/>
        <v>0</v>
      </c>
      <c r="CT34" s="16">
        <f t="shared" si="243"/>
        <v>0</v>
      </c>
      <c r="CU34" s="16">
        <f t="shared" si="245"/>
        <v>0</v>
      </c>
      <c r="CV34" s="16">
        <f t="shared" si="245"/>
        <v>0</v>
      </c>
      <c r="CW34" s="16">
        <f t="shared" si="245"/>
        <v>0</v>
      </c>
      <c r="CX34" s="16">
        <f t="shared" si="245"/>
        <v>0</v>
      </c>
      <c r="CY34" s="16">
        <f t="shared" si="245"/>
        <v>0</v>
      </c>
      <c r="CZ34" s="16">
        <f t="shared" si="245"/>
        <v>0</v>
      </c>
      <c r="DA34" s="16">
        <f t="shared" si="245"/>
        <v>0</v>
      </c>
      <c r="DB34" s="16">
        <f t="shared" si="245"/>
        <v>0</v>
      </c>
      <c r="DC34" s="16">
        <f t="shared" si="245"/>
        <v>0</v>
      </c>
      <c r="DD34" s="16">
        <f t="shared" si="245"/>
        <v>0</v>
      </c>
      <c r="DE34" s="16">
        <f t="shared" si="245"/>
        <v>0</v>
      </c>
      <c r="DF34" s="16">
        <f t="shared" si="245"/>
        <v>0</v>
      </c>
      <c r="DG34" s="16">
        <f t="shared" si="245"/>
        <v>0</v>
      </c>
      <c r="DH34" s="16">
        <f t="shared" si="245"/>
        <v>0</v>
      </c>
      <c r="DI34" s="16">
        <f t="shared" si="245"/>
        <v>0</v>
      </c>
      <c r="DJ34" s="16">
        <f t="shared" si="245"/>
        <v>0</v>
      </c>
      <c r="DK34" s="16">
        <f t="shared" si="245"/>
        <v>0</v>
      </c>
      <c r="DL34" s="16">
        <f t="shared" si="245"/>
        <v>0</v>
      </c>
      <c r="DM34" s="16">
        <f t="shared" si="245"/>
        <v>0</v>
      </c>
      <c r="DN34" s="16">
        <f t="shared" si="245"/>
        <v>0</v>
      </c>
      <c r="DO34" s="16">
        <f t="shared" si="245"/>
        <v>0</v>
      </c>
      <c r="DP34" s="16">
        <f t="shared" si="245"/>
        <v>0</v>
      </c>
      <c r="DQ34" s="16">
        <f t="shared" si="245"/>
        <v>0</v>
      </c>
      <c r="DR34" s="16">
        <f t="shared" si="245"/>
        <v>0</v>
      </c>
      <c r="DS34" s="16">
        <f t="shared" si="245"/>
        <v>0</v>
      </c>
      <c r="DT34" s="16">
        <f t="shared" si="245"/>
        <v>0</v>
      </c>
      <c r="DU34" s="16">
        <f t="shared" si="245"/>
        <v>0</v>
      </c>
      <c r="DV34" s="16">
        <f t="shared" si="245"/>
        <v>0</v>
      </c>
      <c r="DW34" s="16">
        <f t="shared" si="245"/>
        <v>0</v>
      </c>
      <c r="DX34" s="16">
        <f t="shared" si="245"/>
        <v>0</v>
      </c>
      <c r="DY34" s="16">
        <f t="shared" ref="CU34:FB38" si="247">DX33</f>
        <v>0</v>
      </c>
      <c r="DZ34" s="16">
        <f t="shared" si="247"/>
        <v>0</v>
      </c>
      <c r="EA34" s="16">
        <f t="shared" si="247"/>
        <v>0</v>
      </c>
      <c r="EB34" s="16">
        <f t="shared" si="247"/>
        <v>0</v>
      </c>
      <c r="EC34" s="16">
        <f t="shared" si="247"/>
        <v>0</v>
      </c>
      <c r="ED34" s="16">
        <f t="shared" si="247"/>
        <v>0</v>
      </c>
      <c r="EE34" s="16">
        <f t="shared" si="247"/>
        <v>0</v>
      </c>
      <c r="EF34" s="16">
        <f t="shared" si="247"/>
        <v>0</v>
      </c>
      <c r="EG34" s="16">
        <f t="shared" si="247"/>
        <v>0</v>
      </c>
      <c r="EH34" s="16">
        <f t="shared" si="247"/>
        <v>0</v>
      </c>
      <c r="EI34" s="16">
        <f t="shared" si="247"/>
        <v>0</v>
      </c>
      <c r="EJ34" s="16">
        <f t="shared" si="247"/>
        <v>0</v>
      </c>
      <c r="EK34" s="16">
        <f t="shared" si="247"/>
        <v>0</v>
      </c>
      <c r="EL34" s="16">
        <f t="shared" si="247"/>
        <v>0</v>
      </c>
      <c r="EM34" s="16">
        <f t="shared" si="247"/>
        <v>0</v>
      </c>
      <c r="EN34" s="16">
        <f t="shared" si="247"/>
        <v>0</v>
      </c>
      <c r="EO34" s="16">
        <f t="shared" si="247"/>
        <v>0</v>
      </c>
      <c r="EP34" s="16">
        <f t="shared" si="247"/>
        <v>0</v>
      </c>
      <c r="EQ34" s="16">
        <f t="shared" si="247"/>
        <v>0</v>
      </c>
      <c r="ER34" s="16">
        <f t="shared" si="247"/>
        <v>0</v>
      </c>
      <c r="ES34" s="16">
        <f t="shared" si="247"/>
        <v>0</v>
      </c>
      <c r="ET34" s="16">
        <f t="shared" si="247"/>
        <v>0</v>
      </c>
      <c r="EU34" s="16">
        <f t="shared" si="247"/>
        <v>0</v>
      </c>
      <c r="EV34" s="16">
        <f t="shared" si="247"/>
        <v>0</v>
      </c>
      <c r="EW34" s="16">
        <f t="shared" si="247"/>
        <v>0</v>
      </c>
      <c r="EX34" s="16">
        <f t="shared" si="247"/>
        <v>0</v>
      </c>
      <c r="EY34" s="16">
        <f t="shared" si="247"/>
        <v>0</v>
      </c>
      <c r="EZ34" s="16">
        <f t="shared" si="247"/>
        <v>0</v>
      </c>
      <c r="FA34" s="16">
        <f t="shared" si="247"/>
        <v>0</v>
      </c>
      <c r="FB34" s="16">
        <f t="shared" si="247"/>
        <v>0</v>
      </c>
    </row>
    <row r="35" spans="3:158" x14ac:dyDescent="0.25">
      <c r="C35" s="248" t="s">
        <v>736</v>
      </c>
      <c r="D35" s="16">
        <f t="shared" si="163"/>
        <v>0</v>
      </c>
      <c r="E35" s="16">
        <f t="shared" si="163"/>
        <v>376821.51752777776</v>
      </c>
      <c r="F35" s="16">
        <f t="shared" si="163"/>
        <v>278044.2371416043</v>
      </c>
      <c r="G35" s="16">
        <f t="shared" si="163"/>
        <v>316700.19604556181</v>
      </c>
      <c r="H35" s="16">
        <f t="shared" si="163"/>
        <v>0</v>
      </c>
      <c r="I35" s="16">
        <f t="shared" si="163"/>
        <v>0</v>
      </c>
      <c r="J35" s="16">
        <f t="shared" si="163"/>
        <v>0</v>
      </c>
      <c r="K35" s="16">
        <f t="shared" si="163"/>
        <v>0</v>
      </c>
      <c r="L35" s="16">
        <f t="shared" si="163"/>
        <v>0</v>
      </c>
      <c r="M35" s="16"/>
      <c r="N35" s="16">
        <f t="shared" si="202"/>
        <v>0</v>
      </c>
      <c r="O35" s="16">
        <f t="shared" si="203"/>
        <v>0</v>
      </c>
      <c r="P35" s="16">
        <f t="shared" si="204"/>
        <v>0</v>
      </c>
      <c r="Q35" s="16">
        <f t="shared" si="205"/>
        <v>0</v>
      </c>
      <c r="R35" s="16">
        <f t="shared" si="206"/>
        <v>0</v>
      </c>
      <c r="S35" s="16">
        <f t="shared" si="207"/>
        <v>0</v>
      </c>
      <c r="T35" s="16">
        <f t="shared" si="208"/>
        <v>0</v>
      </c>
      <c r="U35" s="16">
        <f t="shared" si="209"/>
        <v>376821.51752777776</v>
      </c>
      <c r="V35" s="16">
        <f t="shared" si="210"/>
        <v>77148.89359722221</v>
      </c>
      <c r="W35" s="16">
        <f t="shared" si="211"/>
        <v>54374.899249999995</v>
      </c>
      <c r="X35" s="16">
        <f t="shared" si="212"/>
        <v>74146.394097222219</v>
      </c>
      <c r="Y35" s="16">
        <f t="shared" si="213"/>
        <v>72374.050197159871</v>
      </c>
      <c r="Z35" s="16">
        <f t="shared" si="214"/>
        <v>64907.565652370889</v>
      </c>
      <c r="AA35" s="16">
        <f t="shared" si="215"/>
        <v>95405.003237158788</v>
      </c>
      <c r="AB35" s="16">
        <f t="shared" si="216"/>
        <v>99062.007633537287</v>
      </c>
      <c r="AC35" s="16">
        <f t="shared" si="217"/>
        <v>57325.619522494839</v>
      </c>
      <c r="AD35" s="16">
        <f t="shared" si="218"/>
        <v>0</v>
      </c>
      <c r="AE35" s="16">
        <f t="shared" si="219"/>
        <v>0</v>
      </c>
      <c r="AF35" s="16">
        <f t="shared" si="220"/>
        <v>0</v>
      </c>
      <c r="AG35" s="16">
        <f t="shared" si="221"/>
        <v>0</v>
      </c>
      <c r="AH35" s="16">
        <f t="shared" si="222"/>
        <v>0</v>
      </c>
      <c r="AI35" s="16">
        <f t="shared" si="223"/>
        <v>0</v>
      </c>
      <c r="AJ35" s="16">
        <f t="shared" si="224"/>
        <v>0</v>
      </c>
      <c r="AK35" s="16">
        <f t="shared" si="225"/>
        <v>0</v>
      </c>
      <c r="AL35" s="16">
        <f t="shared" si="226"/>
        <v>0</v>
      </c>
      <c r="AM35" s="16">
        <f t="shared" si="227"/>
        <v>0</v>
      </c>
      <c r="AN35" s="16">
        <f t="shared" si="228"/>
        <v>0</v>
      </c>
      <c r="AO35" s="16">
        <f t="shared" si="229"/>
        <v>0</v>
      </c>
      <c r="AP35" s="16">
        <f t="shared" si="230"/>
        <v>0</v>
      </c>
      <c r="AQ35" s="16">
        <f t="shared" si="231"/>
        <v>0</v>
      </c>
      <c r="AR35" s="16">
        <f t="shared" si="232"/>
        <v>0</v>
      </c>
      <c r="AS35" s="16">
        <f t="shared" si="233"/>
        <v>0</v>
      </c>
      <c r="AT35" s="16">
        <f t="shared" si="234"/>
        <v>0</v>
      </c>
      <c r="AU35" s="16">
        <f t="shared" si="235"/>
        <v>0</v>
      </c>
      <c r="AV35" s="16">
        <f t="shared" si="236"/>
        <v>0</v>
      </c>
      <c r="AW35" s="16">
        <f t="shared" si="237"/>
        <v>0</v>
      </c>
      <c r="AX35" s="16"/>
      <c r="AY35" s="16"/>
      <c r="AZ35" s="16"/>
      <c r="BA35" s="16"/>
      <c r="BB35" s="16"/>
      <c r="BC35" s="16"/>
      <c r="BD35" s="16"/>
      <c r="BE35" s="16"/>
      <c r="BF35" s="16"/>
      <c r="BG35" s="16"/>
      <c r="BH35" s="16"/>
      <c r="BI35" s="16"/>
      <c r="BJ35" s="16"/>
      <c r="BK35" s="16"/>
      <c r="BL35" s="16"/>
      <c r="BM35" s="16"/>
      <c r="BN35" s="16"/>
      <c r="BO35" s="16"/>
      <c r="BP35" s="16"/>
      <c r="BQ35" s="16"/>
      <c r="BR35" s="16"/>
      <c r="BS35" s="16"/>
      <c r="BT35" s="16"/>
      <c r="BU35" s="16">
        <f>BT34</f>
        <v>363135.6295972222</v>
      </c>
      <c r="BV35" s="16">
        <f t="shared" si="246"/>
        <v>13685.887930555555</v>
      </c>
      <c r="BW35" s="16">
        <f t="shared" si="246"/>
        <v>33965.746402777775</v>
      </c>
      <c r="BX35" s="16">
        <f t="shared" si="246"/>
        <v>12892.889333333329</v>
      </c>
      <c r="BY35" s="16">
        <f t="shared" si="239"/>
        <v>30290.257861111106</v>
      </c>
      <c r="BZ35" s="16">
        <f t="shared" si="239"/>
        <v>29777.734680555553</v>
      </c>
      <c r="CA35" s="16">
        <f t="shared" si="239"/>
        <v>11880.608055555555</v>
      </c>
      <c r="CB35" s="16">
        <f t="shared" si="239"/>
        <v>12716.556513888887</v>
      </c>
      <c r="CC35" s="16">
        <f t="shared" si="239"/>
        <v>33863.902333333332</v>
      </c>
      <c r="CD35" s="16">
        <f t="shared" si="239"/>
        <v>7752.5538611111115</v>
      </c>
      <c r="CE35" s="16">
        <f t="shared" si="239"/>
        <v>32529.937902777772</v>
      </c>
      <c r="CF35" s="16">
        <f t="shared" si="239"/>
        <v>42655.816689451385</v>
      </c>
      <c r="CG35" s="16">
        <f t="shared" si="240"/>
        <v>11817.242199999999</v>
      </c>
      <c r="CH35" s="16">
        <f t="shared" si="240"/>
        <v>17900.991307708486</v>
      </c>
      <c r="CI35" s="16">
        <f t="shared" si="240"/>
        <v>26253.888747970756</v>
      </c>
      <c r="CJ35" s="16">
        <f t="shared" si="240"/>
        <v>18018.769125509334</v>
      </c>
      <c r="CK35" s="16">
        <f t="shared" si="240"/>
        <v>20634.9077788908</v>
      </c>
      <c r="CL35" s="16">
        <f t="shared" si="240"/>
        <v>48223.134716626795</v>
      </c>
      <c r="CM35" s="16">
        <f t="shared" si="241"/>
        <v>11247.605465339511</v>
      </c>
      <c r="CN35" s="16">
        <f t="shared" si="242"/>
        <v>35934.263055192489</v>
      </c>
      <c r="CO35" s="16">
        <f t="shared" si="242"/>
        <v>40141.269291773686</v>
      </c>
      <c r="CP35" s="16">
        <f t="shared" si="242"/>
        <v>16962.865077926886</v>
      </c>
      <c r="CQ35" s="16">
        <f t="shared" si="242"/>
        <v>41957.873263836715</v>
      </c>
      <c r="CR35" s="16">
        <f t="shared" si="242"/>
        <v>57325.619522494839</v>
      </c>
      <c r="CS35" s="16">
        <f t="shared" si="242"/>
        <v>0</v>
      </c>
      <c r="CT35" s="16">
        <f t="shared" si="243"/>
        <v>0</v>
      </c>
      <c r="CU35" s="16">
        <f t="shared" si="247"/>
        <v>0</v>
      </c>
      <c r="CV35" s="16">
        <f t="shared" si="247"/>
        <v>0</v>
      </c>
      <c r="CW35" s="16">
        <f t="shared" si="247"/>
        <v>0</v>
      </c>
      <c r="CX35" s="16">
        <f t="shared" si="247"/>
        <v>0</v>
      </c>
      <c r="CY35" s="16">
        <f t="shared" si="247"/>
        <v>0</v>
      </c>
      <c r="CZ35" s="16">
        <f t="shared" si="247"/>
        <v>0</v>
      </c>
      <c r="DA35" s="16">
        <f t="shared" si="247"/>
        <v>0</v>
      </c>
      <c r="DB35" s="16">
        <f t="shared" si="247"/>
        <v>0</v>
      </c>
      <c r="DC35" s="16">
        <f t="shared" si="247"/>
        <v>0</v>
      </c>
      <c r="DD35" s="16">
        <f t="shared" si="247"/>
        <v>0</v>
      </c>
      <c r="DE35" s="16">
        <f t="shared" si="247"/>
        <v>0</v>
      </c>
      <c r="DF35" s="16">
        <f t="shared" si="247"/>
        <v>0</v>
      </c>
      <c r="DG35" s="16">
        <f t="shared" si="247"/>
        <v>0</v>
      </c>
      <c r="DH35" s="16">
        <f t="shared" si="247"/>
        <v>0</v>
      </c>
      <c r="DI35" s="16">
        <f t="shared" si="247"/>
        <v>0</v>
      </c>
      <c r="DJ35" s="16">
        <f t="shared" si="247"/>
        <v>0</v>
      </c>
      <c r="DK35" s="16">
        <f t="shared" si="247"/>
        <v>0</v>
      </c>
      <c r="DL35" s="16">
        <f t="shared" si="247"/>
        <v>0</v>
      </c>
      <c r="DM35" s="16">
        <f t="shared" si="247"/>
        <v>0</v>
      </c>
      <c r="DN35" s="16">
        <f t="shared" si="247"/>
        <v>0</v>
      </c>
      <c r="DO35" s="16">
        <f t="shared" si="247"/>
        <v>0</v>
      </c>
      <c r="DP35" s="16">
        <f t="shared" si="247"/>
        <v>0</v>
      </c>
      <c r="DQ35" s="16">
        <f t="shared" si="247"/>
        <v>0</v>
      </c>
      <c r="DR35" s="16">
        <f t="shared" si="247"/>
        <v>0</v>
      </c>
      <c r="DS35" s="16">
        <f t="shared" si="247"/>
        <v>0</v>
      </c>
      <c r="DT35" s="16">
        <f t="shared" si="247"/>
        <v>0</v>
      </c>
      <c r="DU35" s="16">
        <f t="shared" si="247"/>
        <v>0</v>
      </c>
      <c r="DV35" s="16">
        <f t="shared" si="247"/>
        <v>0</v>
      </c>
      <c r="DW35" s="16">
        <f t="shared" si="247"/>
        <v>0</v>
      </c>
      <c r="DX35" s="16">
        <f t="shared" si="247"/>
        <v>0</v>
      </c>
      <c r="DY35" s="16">
        <f t="shared" si="247"/>
        <v>0</v>
      </c>
      <c r="DZ35" s="16">
        <f t="shared" si="247"/>
        <v>0</v>
      </c>
      <c r="EA35" s="16">
        <f t="shared" si="247"/>
        <v>0</v>
      </c>
      <c r="EB35" s="16">
        <f t="shared" si="247"/>
        <v>0</v>
      </c>
      <c r="EC35" s="16">
        <f t="shared" si="247"/>
        <v>0</v>
      </c>
      <c r="ED35" s="16">
        <f t="shared" si="247"/>
        <v>0</v>
      </c>
      <c r="EE35" s="16">
        <f t="shared" si="247"/>
        <v>0</v>
      </c>
      <c r="EF35" s="16">
        <f t="shared" si="247"/>
        <v>0</v>
      </c>
      <c r="EG35" s="16">
        <f t="shared" si="247"/>
        <v>0</v>
      </c>
      <c r="EH35" s="16">
        <f t="shared" si="247"/>
        <v>0</v>
      </c>
      <c r="EI35" s="16">
        <f t="shared" si="247"/>
        <v>0</v>
      </c>
      <c r="EJ35" s="16">
        <f t="shared" si="247"/>
        <v>0</v>
      </c>
      <c r="EK35" s="16">
        <f t="shared" si="247"/>
        <v>0</v>
      </c>
      <c r="EL35" s="16">
        <f t="shared" si="247"/>
        <v>0</v>
      </c>
      <c r="EM35" s="16">
        <f t="shared" si="247"/>
        <v>0</v>
      </c>
      <c r="EN35" s="16">
        <f t="shared" si="247"/>
        <v>0</v>
      </c>
      <c r="EO35" s="16">
        <f t="shared" si="247"/>
        <v>0</v>
      </c>
      <c r="EP35" s="16">
        <f t="shared" si="247"/>
        <v>0</v>
      </c>
      <c r="EQ35" s="16">
        <f t="shared" si="247"/>
        <v>0</v>
      </c>
      <c r="ER35" s="16">
        <f t="shared" si="247"/>
        <v>0</v>
      </c>
      <c r="ES35" s="16">
        <f t="shared" si="247"/>
        <v>0</v>
      </c>
      <c r="ET35" s="16">
        <f t="shared" si="247"/>
        <v>0</v>
      </c>
      <c r="EU35" s="16">
        <f t="shared" si="247"/>
        <v>0</v>
      </c>
      <c r="EV35" s="16">
        <f t="shared" si="247"/>
        <v>0</v>
      </c>
      <c r="EW35" s="16">
        <f t="shared" si="247"/>
        <v>0</v>
      </c>
      <c r="EX35" s="16">
        <f t="shared" si="247"/>
        <v>0</v>
      </c>
      <c r="EY35" s="16">
        <f t="shared" si="247"/>
        <v>0</v>
      </c>
      <c r="EZ35" s="16">
        <f t="shared" si="247"/>
        <v>0</v>
      </c>
      <c r="FA35" s="16">
        <f t="shared" si="247"/>
        <v>0</v>
      </c>
      <c r="FB35" s="16">
        <f t="shared" si="247"/>
        <v>0</v>
      </c>
    </row>
    <row r="36" spans="3:158" x14ac:dyDescent="0.25">
      <c r="C36" s="248" t="s">
        <v>737</v>
      </c>
      <c r="D36" s="16">
        <f t="shared" si="163"/>
        <v>0</v>
      </c>
      <c r="E36" s="16">
        <f t="shared" si="163"/>
        <v>363135.6295972222</v>
      </c>
      <c r="F36" s="16">
        <f t="shared" si="163"/>
        <v>273829.13376445137</v>
      </c>
      <c r="G36" s="16">
        <f t="shared" si="163"/>
        <v>334601.1873532703</v>
      </c>
      <c r="H36" s="16">
        <f t="shared" si="163"/>
        <v>0</v>
      </c>
      <c r="I36" s="16">
        <f t="shared" si="163"/>
        <v>0</v>
      </c>
      <c r="J36" s="16">
        <f t="shared" si="163"/>
        <v>0</v>
      </c>
      <c r="K36" s="16">
        <f t="shared" si="163"/>
        <v>0</v>
      </c>
      <c r="L36" s="16">
        <f t="shared" si="163"/>
        <v>0</v>
      </c>
      <c r="M36" s="16"/>
      <c r="N36" s="16">
        <f t="shared" si="202"/>
        <v>0</v>
      </c>
      <c r="O36" s="16">
        <f t="shared" si="203"/>
        <v>0</v>
      </c>
      <c r="P36" s="16">
        <f t="shared" si="204"/>
        <v>0</v>
      </c>
      <c r="Q36" s="16">
        <f t="shared" si="205"/>
        <v>0</v>
      </c>
      <c r="R36" s="16">
        <f t="shared" si="206"/>
        <v>0</v>
      </c>
      <c r="S36" s="16">
        <f t="shared" si="207"/>
        <v>0</v>
      </c>
      <c r="T36" s="16">
        <f t="shared" si="208"/>
        <v>0</v>
      </c>
      <c r="U36" s="16">
        <f t="shared" si="209"/>
        <v>363135.6295972222</v>
      </c>
      <c r="V36" s="16">
        <f t="shared" si="210"/>
        <v>60544.523666666661</v>
      </c>
      <c r="W36" s="16">
        <f t="shared" si="211"/>
        <v>71948.600597222219</v>
      </c>
      <c r="X36" s="16">
        <f t="shared" si="212"/>
        <v>54333.012708333328</v>
      </c>
      <c r="Y36" s="16">
        <f t="shared" si="213"/>
        <v>87002.996792229154</v>
      </c>
      <c r="Z36" s="16">
        <f t="shared" si="214"/>
        <v>62173.649181188579</v>
      </c>
      <c r="AA36" s="16">
        <f t="shared" si="215"/>
        <v>80105.64796085711</v>
      </c>
      <c r="AB36" s="16">
        <f t="shared" si="216"/>
        <v>93038.397424893075</v>
      </c>
      <c r="AC36" s="16">
        <f t="shared" si="217"/>
        <v>99283.492786331553</v>
      </c>
      <c r="AD36" s="16">
        <f t="shared" si="218"/>
        <v>0</v>
      </c>
      <c r="AE36" s="16">
        <f t="shared" si="219"/>
        <v>0</v>
      </c>
      <c r="AF36" s="16">
        <f t="shared" si="220"/>
        <v>0</v>
      </c>
      <c r="AG36" s="16">
        <f t="shared" si="221"/>
        <v>0</v>
      </c>
      <c r="AH36" s="16">
        <f t="shared" si="222"/>
        <v>0</v>
      </c>
      <c r="AI36" s="16">
        <f t="shared" si="223"/>
        <v>0</v>
      </c>
      <c r="AJ36" s="16">
        <f t="shared" si="224"/>
        <v>0</v>
      </c>
      <c r="AK36" s="16">
        <f t="shared" si="225"/>
        <v>0</v>
      </c>
      <c r="AL36" s="16">
        <f t="shared" si="226"/>
        <v>0</v>
      </c>
      <c r="AM36" s="16">
        <f t="shared" si="227"/>
        <v>0</v>
      </c>
      <c r="AN36" s="16">
        <f t="shared" si="228"/>
        <v>0</v>
      </c>
      <c r="AO36" s="16">
        <f t="shared" si="229"/>
        <v>0</v>
      </c>
      <c r="AP36" s="16">
        <f t="shared" si="230"/>
        <v>0</v>
      </c>
      <c r="AQ36" s="16">
        <f t="shared" si="231"/>
        <v>0</v>
      </c>
      <c r="AR36" s="16">
        <f t="shared" si="232"/>
        <v>0</v>
      </c>
      <c r="AS36" s="16">
        <f t="shared" si="233"/>
        <v>0</v>
      </c>
      <c r="AT36" s="16">
        <f t="shared" si="234"/>
        <v>0</v>
      </c>
      <c r="AU36" s="16">
        <f t="shared" si="235"/>
        <v>0</v>
      </c>
      <c r="AV36" s="16">
        <f t="shared" si="236"/>
        <v>0</v>
      </c>
      <c r="AW36" s="16">
        <f t="shared" si="237"/>
        <v>0</v>
      </c>
      <c r="AX36" s="16"/>
      <c r="AY36" s="16"/>
      <c r="AZ36" s="16"/>
      <c r="BA36" s="16"/>
      <c r="BB36" s="16"/>
      <c r="BC36" s="16"/>
      <c r="BD36" s="16"/>
      <c r="BE36" s="16"/>
      <c r="BF36" s="16"/>
      <c r="BG36" s="16"/>
      <c r="BH36" s="16"/>
      <c r="BI36" s="16"/>
      <c r="BJ36" s="16"/>
      <c r="BK36" s="16"/>
      <c r="BL36" s="16"/>
      <c r="BM36" s="16"/>
      <c r="BN36" s="16"/>
      <c r="BO36" s="16"/>
      <c r="BP36" s="16"/>
      <c r="BQ36" s="16"/>
      <c r="BR36" s="16"/>
      <c r="BS36" s="16"/>
      <c r="BT36" s="16"/>
      <c r="BU36" s="16"/>
      <c r="BV36" s="16">
        <f>BU35</f>
        <v>363135.6295972222</v>
      </c>
      <c r="BW36" s="16">
        <f t="shared" si="246"/>
        <v>13685.887930555555</v>
      </c>
      <c r="BX36" s="16">
        <f t="shared" si="246"/>
        <v>33965.746402777775</v>
      </c>
      <c r="BY36" s="16">
        <f t="shared" si="239"/>
        <v>12892.889333333329</v>
      </c>
      <c r="BZ36" s="16">
        <f t="shared" si="239"/>
        <v>30290.257861111106</v>
      </c>
      <c r="CA36" s="16">
        <f t="shared" si="239"/>
        <v>29777.734680555553</v>
      </c>
      <c r="CB36" s="16">
        <f t="shared" si="239"/>
        <v>11880.608055555555</v>
      </c>
      <c r="CC36" s="16">
        <f t="shared" si="239"/>
        <v>12716.556513888887</v>
      </c>
      <c r="CD36" s="16">
        <f t="shared" si="239"/>
        <v>33863.902333333332</v>
      </c>
      <c r="CE36" s="16">
        <f t="shared" si="239"/>
        <v>7752.5538611111115</v>
      </c>
      <c r="CF36" s="16">
        <f t="shared" si="239"/>
        <v>32529.937902777772</v>
      </c>
      <c r="CG36" s="16">
        <f t="shared" si="240"/>
        <v>42655.816689451385</v>
      </c>
      <c r="CH36" s="16">
        <f t="shared" si="240"/>
        <v>11817.242199999999</v>
      </c>
      <c r="CI36" s="16">
        <f t="shared" si="240"/>
        <v>17900.991307708486</v>
      </c>
      <c r="CJ36" s="16">
        <f t="shared" si="240"/>
        <v>26253.888747970756</v>
      </c>
      <c r="CK36" s="16">
        <f t="shared" si="240"/>
        <v>18018.769125509334</v>
      </c>
      <c r="CL36" s="16">
        <f t="shared" si="240"/>
        <v>20634.9077788908</v>
      </c>
      <c r="CM36" s="16">
        <f t="shared" si="241"/>
        <v>48223.134716626795</v>
      </c>
      <c r="CN36" s="16">
        <f t="shared" si="242"/>
        <v>11247.605465339511</v>
      </c>
      <c r="CO36" s="16">
        <f t="shared" si="242"/>
        <v>35934.263055192489</v>
      </c>
      <c r="CP36" s="16">
        <f t="shared" si="242"/>
        <v>40141.269291773686</v>
      </c>
      <c r="CQ36" s="16">
        <f t="shared" si="242"/>
        <v>16962.865077926886</v>
      </c>
      <c r="CR36" s="16">
        <f t="shared" si="242"/>
        <v>41957.873263836715</v>
      </c>
      <c r="CS36" s="16">
        <f t="shared" si="242"/>
        <v>57325.619522494839</v>
      </c>
      <c r="CT36" s="16">
        <f t="shared" si="243"/>
        <v>0</v>
      </c>
      <c r="CU36" s="16">
        <f t="shared" si="247"/>
        <v>0</v>
      </c>
      <c r="CV36" s="16">
        <f t="shared" si="247"/>
        <v>0</v>
      </c>
      <c r="CW36" s="16">
        <f t="shared" si="247"/>
        <v>0</v>
      </c>
      <c r="CX36" s="16">
        <f t="shared" si="247"/>
        <v>0</v>
      </c>
      <c r="CY36" s="16">
        <f t="shared" si="247"/>
        <v>0</v>
      </c>
      <c r="CZ36" s="16">
        <f t="shared" si="247"/>
        <v>0</v>
      </c>
      <c r="DA36" s="16">
        <f t="shared" si="247"/>
        <v>0</v>
      </c>
      <c r="DB36" s="16">
        <f t="shared" si="247"/>
        <v>0</v>
      </c>
      <c r="DC36" s="16">
        <f t="shared" si="247"/>
        <v>0</v>
      </c>
      <c r="DD36" s="16">
        <f t="shared" si="247"/>
        <v>0</v>
      </c>
      <c r="DE36" s="16">
        <f t="shared" si="247"/>
        <v>0</v>
      </c>
      <c r="DF36" s="16">
        <f t="shared" si="247"/>
        <v>0</v>
      </c>
      <c r="DG36" s="16">
        <f t="shared" si="247"/>
        <v>0</v>
      </c>
      <c r="DH36" s="16">
        <f t="shared" si="247"/>
        <v>0</v>
      </c>
      <c r="DI36" s="16">
        <f t="shared" si="247"/>
        <v>0</v>
      </c>
      <c r="DJ36" s="16">
        <f t="shared" si="247"/>
        <v>0</v>
      </c>
      <c r="DK36" s="16">
        <f t="shared" si="247"/>
        <v>0</v>
      </c>
      <c r="DL36" s="16">
        <f t="shared" si="247"/>
        <v>0</v>
      </c>
      <c r="DM36" s="16">
        <f t="shared" si="247"/>
        <v>0</v>
      </c>
      <c r="DN36" s="16">
        <f t="shared" si="247"/>
        <v>0</v>
      </c>
      <c r="DO36" s="16">
        <f t="shared" si="247"/>
        <v>0</v>
      </c>
      <c r="DP36" s="16">
        <f t="shared" si="247"/>
        <v>0</v>
      </c>
      <c r="DQ36" s="16">
        <f t="shared" si="247"/>
        <v>0</v>
      </c>
      <c r="DR36" s="16">
        <f t="shared" si="247"/>
        <v>0</v>
      </c>
      <c r="DS36" s="16">
        <f t="shared" si="247"/>
        <v>0</v>
      </c>
      <c r="DT36" s="16">
        <f t="shared" si="247"/>
        <v>0</v>
      </c>
      <c r="DU36" s="16">
        <f t="shared" si="247"/>
        <v>0</v>
      </c>
      <c r="DV36" s="16">
        <f t="shared" si="247"/>
        <v>0</v>
      </c>
      <c r="DW36" s="16">
        <f t="shared" si="247"/>
        <v>0</v>
      </c>
      <c r="DX36" s="16">
        <f t="shared" si="247"/>
        <v>0</v>
      </c>
      <c r="DY36" s="16">
        <f t="shared" si="247"/>
        <v>0</v>
      </c>
      <c r="DZ36" s="16">
        <f t="shared" si="247"/>
        <v>0</v>
      </c>
      <c r="EA36" s="16">
        <f t="shared" si="247"/>
        <v>0</v>
      </c>
      <c r="EB36" s="16">
        <f t="shared" si="247"/>
        <v>0</v>
      </c>
      <c r="EC36" s="16">
        <f t="shared" si="247"/>
        <v>0</v>
      </c>
      <c r="ED36" s="16">
        <f t="shared" si="247"/>
        <v>0</v>
      </c>
      <c r="EE36" s="16">
        <f t="shared" si="247"/>
        <v>0</v>
      </c>
      <c r="EF36" s="16">
        <f t="shared" si="247"/>
        <v>0</v>
      </c>
      <c r="EG36" s="16">
        <f t="shared" si="247"/>
        <v>0</v>
      </c>
      <c r="EH36" s="16">
        <f t="shared" si="247"/>
        <v>0</v>
      </c>
      <c r="EI36" s="16">
        <f t="shared" si="247"/>
        <v>0</v>
      </c>
      <c r="EJ36" s="16">
        <f t="shared" si="247"/>
        <v>0</v>
      </c>
      <c r="EK36" s="16">
        <f t="shared" si="247"/>
        <v>0</v>
      </c>
      <c r="EL36" s="16">
        <f t="shared" si="247"/>
        <v>0</v>
      </c>
      <c r="EM36" s="16">
        <f t="shared" si="247"/>
        <v>0</v>
      </c>
      <c r="EN36" s="16">
        <f t="shared" si="247"/>
        <v>0</v>
      </c>
      <c r="EO36" s="16">
        <f t="shared" si="247"/>
        <v>0</v>
      </c>
      <c r="EP36" s="16">
        <f t="shared" si="247"/>
        <v>0</v>
      </c>
      <c r="EQ36" s="16">
        <f t="shared" si="247"/>
        <v>0</v>
      </c>
      <c r="ER36" s="16">
        <f t="shared" si="247"/>
        <v>0</v>
      </c>
      <c r="ES36" s="16">
        <f t="shared" si="247"/>
        <v>0</v>
      </c>
      <c r="ET36" s="16">
        <f t="shared" si="247"/>
        <v>0</v>
      </c>
      <c r="EU36" s="16">
        <f t="shared" si="247"/>
        <v>0</v>
      </c>
      <c r="EV36" s="16">
        <f t="shared" si="247"/>
        <v>0</v>
      </c>
      <c r="EW36" s="16">
        <f t="shared" si="247"/>
        <v>0</v>
      </c>
      <c r="EX36" s="16">
        <f t="shared" si="247"/>
        <v>0</v>
      </c>
      <c r="EY36" s="16">
        <f t="shared" si="247"/>
        <v>0</v>
      </c>
      <c r="EZ36" s="16">
        <f t="shared" si="247"/>
        <v>0</v>
      </c>
      <c r="FA36" s="16">
        <f t="shared" si="247"/>
        <v>0</v>
      </c>
      <c r="FB36" s="16">
        <f t="shared" si="247"/>
        <v>0</v>
      </c>
    </row>
    <row r="37" spans="3:158" x14ac:dyDescent="0.25">
      <c r="C37" s="248" t="s">
        <v>738</v>
      </c>
      <c r="D37" s="16">
        <f t="shared" si="163"/>
        <v>0</v>
      </c>
      <c r="E37" s="16">
        <f t="shared" si="163"/>
        <v>0</v>
      </c>
      <c r="F37" s="16">
        <f t="shared" si="163"/>
        <v>625147.52116167359</v>
      </c>
      <c r="G37" s="16">
        <f t="shared" si="163"/>
        <v>346418.42955327028</v>
      </c>
      <c r="H37" s="16">
        <f t="shared" si="163"/>
        <v>0</v>
      </c>
      <c r="I37" s="16">
        <f t="shared" si="163"/>
        <v>0</v>
      </c>
      <c r="J37" s="16">
        <f t="shared" si="163"/>
        <v>0</v>
      </c>
      <c r="K37" s="16">
        <f t="shared" si="163"/>
        <v>0</v>
      </c>
      <c r="L37" s="16">
        <f t="shared" si="163"/>
        <v>0</v>
      </c>
      <c r="M37" s="16"/>
      <c r="N37" s="16">
        <f t="shared" si="202"/>
        <v>0</v>
      </c>
      <c r="O37" s="16">
        <f t="shared" si="203"/>
        <v>0</v>
      </c>
      <c r="P37" s="16">
        <f t="shared" si="204"/>
        <v>0</v>
      </c>
      <c r="Q37" s="16">
        <f t="shared" si="205"/>
        <v>0</v>
      </c>
      <c r="R37" s="16">
        <f t="shared" si="206"/>
        <v>0</v>
      </c>
      <c r="S37" s="16">
        <f t="shared" si="207"/>
        <v>0</v>
      </c>
      <c r="T37" s="16">
        <f t="shared" si="208"/>
        <v>0</v>
      </c>
      <c r="U37" s="16">
        <f t="shared" si="209"/>
        <v>0</v>
      </c>
      <c r="V37" s="16">
        <f t="shared" si="210"/>
        <v>410787.26393055555</v>
      </c>
      <c r="W37" s="16">
        <f t="shared" si="211"/>
        <v>72960.881874999992</v>
      </c>
      <c r="X37" s="16">
        <f t="shared" si="212"/>
        <v>58461.066902777777</v>
      </c>
      <c r="Y37" s="16">
        <f t="shared" si="213"/>
        <v>82938.308453340273</v>
      </c>
      <c r="Z37" s="16">
        <f t="shared" si="214"/>
        <v>55972.122255679242</v>
      </c>
      <c r="AA37" s="16">
        <f t="shared" si="215"/>
        <v>86876.811621026922</v>
      </c>
      <c r="AB37" s="16">
        <f t="shared" si="216"/>
        <v>87323.137812305678</v>
      </c>
      <c r="AC37" s="16">
        <f t="shared" si="217"/>
        <v>116246.35786425843</v>
      </c>
      <c r="AD37" s="16">
        <f t="shared" si="218"/>
        <v>0</v>
      </c>
      <c r="AE37" s="16">
        <f t="shared" si="219"/>
        <v>0</v>
      </c>
      <c r="AF37" s="16">
        <f t="shared" si="220"/>
        <v>0</v>
      </c>
      <c r="AG37" s="16">
        <f t="shared" si="221"/>
        <v>0</v>
      </c>
      <c r="AH37" s="16">
        <f t="shared" si="222"/>
        <v>0</v>
      </c>
      <c r="AI37" s="16">
        <f t="shared" si="223"/>
        <v>0</v>
      </c>
      <c r="AJ37" s="16">
        <f t="shared" si="224"/>
        <v>0</v>
      </c>
      <c r="AK37" s="16">
        <f t="shared" si="225"/>
        <v>0</v>
      </c>
      <c r="AL37" s="16">
        <f t="shared" si="226"/>
        <v>0</v>
      </c>
      <c r="AM37" s="16">
        <f t="shared" si="227"/>
        <v>0</v>
      </c>
      <c r="AN37" s="16">
        <f t="shared" si="228"/>
        <v>0</v>
      </c>
      <c r="AO37" s="16">
        <f t="shared" si="229"/>
        <v>0</v>
      </c>
      <c r="AP37" s="16">
        <f t="shared" si="230"/>
        <v>0</v>
      </c>
      <c r="AQ37" s="16">
        <f t="shared" si="231"/>
        <v>0</v>
      </c>
      <c r="AR37" s="16">
        <f t="shared" si="232"/>
        <v>0</v>
      </c>
      <c r="AS37" s="16">
        <f t="shared" si="233"/>
        <v>0</v>
      </c>
      <c r="AT37" s="16">
        <f t="shared" si="234"/>
        <v>0</v>
      </c>
      <c r="AU37" s="16">
        <f t="shared" si="235"/>
        <v>0</v>
      </c>
      <c r="AV37" s="16">
        <f t="shared" si="236"/>
        <v>0</v>
      </c>
      <c r="AW37" s="16">
        <f t="shared" si="237"/>
        <v>0</v>
      </c>
      <c r="AX37" s="16"/>
      <c r="AY37" s="16"/>
      <c r="AZ37" s="16"/>
      <c r="BA37" s="16"/>
      <c r="BB37" s="16"/>
      <c r="BC37" s="16"/>
      <c r="BD37" s="16"/>
      <c r="BE37" s="16"/>
      <c r="BF37" s="16"/>
      <c r="BG37" s="16"/>
      <c r="BH37" s="16"/>
      <c r="BI37" s="16"/>
      <c r="BJ37" s="16"/>
      <c r="BK37" s="16"/>
      <c r="BL37" s="16"/>
      <c r="BM37" s="16"/>
      <c r="BN37" s="16"/>
      <c r="BO37" s="16"/>
      <c r="BP37" s="16"/>
      <c r="BQ37" s="16"/>
      <c r="BR37" s="16"/>
      <c r="BS37" s="16"/>
      <c r="BT37" s="16"/>
      <c r="BU37" s="16"/>
      <c r="BV37" s="16"/>
      <c r="BW37" s="16">
        <f>BV36</f>
        <v>363135.6295972222</v>
      </c>
      <c r="BX37" s="16">
        <f>BW36</f>
        <v>13685.887930555555</v>
      </c>
      <c r="BY37" s="16">
        <f t="shared" si="239"/>
        <v>33965.746402777775</v>
      </c>
      <c r="BZ37" s="16">
        <f t="shared" si="239"/>
        <v>12892.889333333329</v>
      </c>
      <c r="CA37" s="16">
        <f t="shared" si="239"/>
        <v>30290.257861111106</v>
      </c>
      <c r="CB37" s="16">
        <f t="shared" si="239"/>
        <v>29777.734680555553</v>
      </c>
      <c r="CC37" s="16">
        <f t="shared" si="239"/>
        <v>11880.608055555555</v>
      </c>
      <c r="CD37" s="16">
        <f t="shared" si="239"/>
        <v>12716.556513888887</v>
      </c>
      <c r="CE37" s="16">
        <f t="shared" si="239"/>
        <v>33863.902333333332</v>
      </c>
      <c r="CF37" s="16">
        <f t="shared" si="239"/>
        <v>7752.5538611111115</v>
      </c>
      <c r="CG37" s="16">
        <f t="shared" si="240"/>
        <v>32529.937902777772</v>
      </c>
      <c r="CH37" s="16">
        <f t="shared" si="240"/>
        <v>42655.816689451385</v>
      </c>
      <c r="CI37" s="16">
        <f t="shared" si="240"/>
        <v>11817.242199999999</v>
      </c>
      <c r="CJ37" s="16">
        <f t="shared" si="240"/>
        <v>17900.991307708486</v>
      </c>
      <c r="CK37" s="16">
        <f t="shared" si="240"/>
        <v>26253.888747970756</v>
      </c>
      <c r="CL37" s="16">
        <f t="shared" si="240"/>
        <v>18018.769125509334</v>
      </c>
      <c r="CM37" s="16">
        <f t="shared" si="241"/>
        <v>20634.9077788908</v>
      </c>
      <c r="CN37" s="16">
        <f t="shared" si="242"/>
        <v>48223.134716626795</v>
      </c>
      <c r="CO37" s="16">
        <f t="shared" si="242"/>
        <v>11247.605465339511</v>
      </c>
      <c r="CP37" s="16">
        <f t="shared" si="242"/>
        <v>35934.263055192489</v>
      </c>
      <c r="CQ37" s="16">
        <f t="shared" si="242"/>
        <v>40141.269291773686</v>
      </c>
      <c r="CR37" s="16">
        <f t="shared" si="242"/>
        <v>16962.865077926886</v>
      </c>
      <c r="CS37" s="16">
        <f t="shared" si="242"/>
        <v>41957.873263836715</v>
      </c>
      <c r="CT37" s="16">
        <f t="shared" si="243"/>
        <v>57325.619522494839</v>
      </c>
      <c r="CU37" s="16">
        <f t="shared" si="247"/>
        <v>0</v>
      </c>
      <c r="CV37" s="16">
        <f t="shared" si="247"/>
        <v>0</v>
      </c>
      <c r="CW37" s="16">
        <f t="shared" si="247"/>
        <v>0</v>
      </c>
      <c r="CX37" s="16">
        <f t="shared" si="247"/>
        <v>0</v>
      </c>
      <c r="CY37" s="16">
        <f t="shared" si="247"/>
        <v>0</v>
      </c>
      <c r="CZ37" s="16">
        <f t="shared" si="247"/>
        <v>0</v>
      </c>
      <c r="DA37" s="16">
        <f t="shared" si="247"/>
        <v>0</v>
      </c>
      <c r="DB37" s="16">
        <f t="shared" si="247"/>
        <v>0</v>
      </c>
      <c r="DC37" s="16">
        <f t="shared" si="247"/>
        <v>0</v>
      </c>
      <c r="DD37" s="16">
        <f t="shared" si="247"/>
        <v>0</v>
      </c>
      <c r="DE37" s="16">
        <f t="shared" si="247"/>
        <v>0</v>
      </c>
      <c r="DF37" s="16">
        <f t="shared" si="247"/>
        <v>0</v>
      </c>
      <c r="DG37" s="16">
        <f t="shared" si="247"/>
        <v>0</v>
      </c>
      <c r="DH37" s="16">
        <f t="shared" si="247"/>
        <v>0</v>
      </c>
      <c r="DI37" s="16">
        <f t="shared" si="247"/>
        <v>0</v>
      </c>
      <c r="DJ37" s="16">
        <f t="shared" si="247"/>
        <v>0</v>
      </c>
      <c r="DK37" s="16">
        <f t="shared" si="247"/>
        <v>0</v>
      </c>
      <c r="DL37" s="16">
        <f t="shared" si="247"/>
        <v>0</v>
      </c>
      <c r="DM37" s="16">
        <f t="shared" si="247"/>
        <v>0</v>
      </c>
      <c r="DN37" s="16">
        <f t="shared" si="247"/>
        <v>0</v>
      </c>
      <c r="DO37" s="16">
        <f t="shared" si="247"/>
        <v>0</v>
      </c>
      <c r="DP37" s="16">
        <f t="shared" si="247"/>
        <v>0</v>
      </c>
      <c r="DQ37" s="16">
        <f t="shared" si="247"/>
        <v>0</v>
      </c>
      <c r="DR37" s="16">
        <f t="shared" si="247"/>
        <v>0</v>
      </c>
      <c r="DS37" s="16">
        <f t="shared" si="247"/>
        <v>0</v>
      </c>
      <c r="DT37" s="16">
        <f t="shared" si="247"/>
        <v>0</v>
      </c>
      <c r="DU37" s="16">
        <f t="shared" si="247"/>
        <v>0</v>
      </c>
      <c r="DV37" s="16">
        <f t="shared" si="247"/>
        <v>0</v>
      </c>
      <c r="DW37" s="16">
        <f t="shared" si="247"/>
        <v>0</v>
      </c>
      <c r="DX37" s="16">
        <f t="shared" si="247"/>
        <v>0</v>
      </c>
      <c r="DY37" s="16">
        <f t="shared" si="247"/>
        <v>0</v>
      </c>
      <c r="DZ37" s="16">
        <f t="shared" si="247"/>
        <v>0</v>
      </c>
      <c r="EA37" s="16">
        <f t="shared" si="247"/>
        <v>0</v>
      </c>
      <c r="EB37" s="16">
        <f t="shared" si="247"/>
        <v>0</v>
      </c>
      <c r="EC37" s="16">
        <f t="shared" si="247"/>
        <v>0</v>
      </c>
      <c r="ED37" s="16">
        <f t="shared" si="247"/>
        <v>0</v>
      </c>
      <c r="EE37" s="16">
        <f t="shared" si="247"/>
        <v>0</v>
      </c>
      <c r="EF37" s="16">
        <f t="shared" si="247"/>
        <v>0</v>
      </c>
      <c r="EG37" s="16">
        <f t="shared" si="247"/>
        <v>0</v>
      </c>
      <c r="EH37" s="16">
        <f t="shared" si="247"/>
        <v>0</v>
      </c>
      <c r="EI37" s="16">
        <f t="shared" si="247"/>
        <v>0</v>
      </c>
      <c r="EJ37" s="16">
        <f t="shared" si="247"/>
        <v>0</v>
      </c>
      <c r="EK37" s="16">
        <f t="shared" si="247"/>
        <v>0</v>
      </c>
      <c r="EL37" s="16">
        <f t="shared" si="247"/>
        <v>0</v>
      </c>
      <c r="EM37" s="16">
        <f t="shared" si="247"/>
        <v>0</v>
      </c>
      <c r="EN37" s="16">
        <f t="shared" si="247"/>
        <v>0</v>
      </c>
      <c r="EO37" s="16">
        <f t="shared" si="247"/>
        <v>0</v>
      </c>
      <c r="EP37" s="16">
        <f t="shared" si="247"/>
        <v>0</v>
      </c>
      <c r="EQ37" s="16">
        <f t="shared" si="247"/>
        <v>0</v>
      </c>
      <c r="ER37" s="16">
        <f t="shared" si="247"/>
        <v>0</v>
      </c>
      <c r="ES37" s="16">
        <f t="shared" si="247"/>
        <v>0</v>
      </c>
      <c r="ET37" s="16">
        <f t="shared" si="247"/>
        <v>0</v>
      </c>
      <c r="EU37" s="16">
        <f t="shared" si="247"/>
        <v>0</v>
      </c>
      <c r="EV37" s="16">
        <f t="shared" si="247"/>
        <v>0</v>
      </c>
      <c r="EW37" s="16">
        <f t="shared" si="247"/>
        <v>0</v>
      </c>
      <c r="EX37" s="16">
        <f t="shared" si="247"/>
        <v>0</v>
      </c>
      <c r="EY37" s="16">
        <f t="shared" si="247"/>
        <v>0</v>
      </c>
      <c r="EZ37" s="16">
        <f t="shared" si="247"/>
        <v>0</v>
      </c>
      <c r="FA37" s="16">
        <f t="shared" si="247"/>
        <v>0</v>
      </c>
      <c r="FB37" s="16">
        <f t="shared" si="247"/>
        <v>0</v>
      </c>
    </row>
    <row r="38" spans="3:158" x14ac:dyDescent="0.25">
      <c r="C38" s="248" t="s">
        <v>739</v>
      </c>
      <c r="D38" s="16">
        <f t="shared" si="163"/>
        <v>0</v>
      </c>
      <c r="E38" s="16">
        <f t="shared" si="163"/>
        <v>0</v>
      </c>
      <c r="F38" s="16">
        <f t="shared" si="163"/>
        <v>582491.70447222225</v>
      </c>
      <c r="G38" s="16">
        <f t="shared" si="163"/>
        <v>331748.62672022684</v>
      </c>
      <c r="H38" s="16">
        <f t="shared" si="163"/>
        <v>57325.619522494839</v>
      </c>
      <c r="I38" s="16">
        <f t="shared" si="163"/>
        <v>0</v>
      </c>
      <c r="J38" s="16">
        <f t="shared" si="163"/>
        <v>0</v>
      </c>
      <c r="K38" s="16">
        <f t="shared" si="163"/>
        <v>0</v>
      </c>
      <c r="L38" s="16">
        <f t="shared" si="163"/>
        <v>0</v>
      </c>
      <c r="M38" s="16"/>
      <c r="N38" s="16">
        <f t="shared" si="202"/>
        <v>0</v>
      </c>
      <c r="O38" s="16">
        <f t="shared" si="203"/>
        <v>0</v>
      </c>
      <c r="P38" s="16">
        <f t="shared" si="204"/>
        <v>0</v>
      </c>
      <c r="Q38" s="16">
        <f t="shared" si="205"/>
        <v>0</v>
      </c>
      <c r="R38" s="16">
        <f t="shared" si="206"/>
        <v>0</v>
      </c>
      <c r="S38" s="16">
        <f t="shared" si="207"/>
        <v>0</v>
      </c>
      <c r="T38" s="16">
        <f t="shared" si="208"/>
        <v>0</v>
      </c>
      <c r="U38" s="16">
        <f t="shared" si="209"/>
        <v>0</v>
      </c>
      <c r="V38" s="16">
        <f t="shared" si="210"/>
        <v>376821.51752777776</v>
      </c>
      <c r="W38" s="16">
        <f t="shared" si="211"/>
        <v>77148.89359722221</v>
      </c>
      <c r="X38" s="16">
        <f t="shared" si="212"/>
        <v>54374.899249999995</v>
      </c>
      <c r="Y38" s="16">
        <f t="shared" si="213"/>
        <v>74146.394097222219</v>
      </c>
      <c r="Z38" s="16">
        <f t="shared" si="214"/>
        <v>72374.050197159871</v>
      </c>
      <c r="AA38" s="16">
        <f t="shared" si="215"/>
        <v>64907.565652370889</v>
      </c>
      <c r="AB38" s="16">
        <f t="shared" si="216"/>
        <v>95405.003237158788</v>
      </c>
      <c r="AC38" s="16">
        <f t="shared" si="217"/>
        <v>99062.007633537287</v>
      </c>
      <c r="AD38" s="16">
        <f t="shared" si="218"/>
        <v>57325.619522494839</v>
      </c>
      <c r="AE38" s="16">
        <f t="shared" si="219"/>
        <v>0</v>
      </c>
      <c r="AF38" s="16">
        <f t="shared" si="220"/>
        <v>0</v>
      </c>
      <c r="AG38" s="16">
        <f t="shared" si="221"/>
        <v>0</v>
      </c>
      <c r="AH38" s="16">
        <f t="shared" si="222"/>
        <v>0</v>
      </c>
      <c r="AI38" s="16">
        <f t="shared" si="223"/>
        <v>0</v>
      </c>
      <c r="AJ38" s="16">
        <f t="shared" si="224"/>
        <v>0</v>
      </c>
      <c r="AK38" s="16">
        <f t="shared" si="225"/>
        <v>0</v>
      </c>
      <c r="AL38" s="16">
        <f t="shared" si="226"/>
        <v>0</v>
      </c>
      <c r="AM38" s="16">
        <f t="shared" si="227"/>
        <v>0</v>
      </c>
      <c r="AN38" s="16">
        <f t="shared" si="228"/>
        <v>0</v>
      </c>
      <c r="AO38" s="16">
        <f t="shared" si="229"/>
        <v>0</v>
      </c>
      <c r="AP38" s="16">
        <f t="shared" si="230"/>
        <v>0</v>
      </c>
      <c r="AQ38" s="16">
        <f t="shared" si="231"/>
        <v>0</v>
      </c>
      <c r="AR38" s="16">
        <f t="shared" si="232"/>
        <v>0</v>
      </c>
      <c r="AS38" s="16">
        <f t="shared" si="233"/>
        <v>0</v>
      </c>
      <c r="AT38" s="16">
        <f t="shared" si="234"/>
        <v>0</v>
      </c>
      <c r="AU38" s="16">
        <f t="shared" si="235"/>
        <v>0</v>
      </c>
      <c r="AV38" s="16">
        <f t="shared" si="236"/>
        <v>0</v>
      </c>
      <c r="AW38" s="16">
        <f t="shared" si="237"/>
        <v>0</v>
      </c>
      <c r="AX38" s="16"/>
      <c r="AY38" s="16"/>
      <c r="AZ38" s="16"/>
      <c r="BA38" s="16"/>
      <c r="BB38" s="16"/>
      <c r="BC38" s="16"/>
      <c r="BD38" s="16"/>
      <c r="BE38" s="16"/>
      <c r="BF38" s="16"/>
      <c r="BG38" s="16"/>
      <c r="BH38" s="16"/>
      <c r="BI38" s="16"/>
      <c r="BJ38" s="16"/>
      <c r="BK38" s="16"/>
      <c r="BL38" s="16"/>
      <c r="BM38" s="16"/>
      <c r="BN38" s="16"/>
      <c r="BO38" s="16"/>
      <c r="BP38" s="16"/>
      <c r="BQ38" s="16"/>
      <c r="BR38" s="16"/>
      <c r="BS38" s="16"/>
      <c r="BT38" s="16"/>
      <c r="BU38" s="16"/>
      <c r="BV38" s="16"/>
      <c r="BW38" s="16"/>
      <c r="BX38" s="16">
        <f>BW37</f>
        <v>363135.6295972222</v>
      </c>
      <c r="BY38" s="16">
        <f t="shared" si="239"/>
        <v>13685.887930555555</v>
      </c>
      <c r="BZ38" s="16">
        <f t="shared" si="239"/>
        <v>33965.746402777775</v>
      </c>
      <c r="CA38" s="16">
        <f t="shared" si="239"/>
        <v>12892.889333333329</v>
      </c>
      <c r="CB38" s="16">
        <f t="shared" si="239"/>
        <v>30290.257861111106</v>
      </c>
      <c r="CC38" s="16">
        <f t="shared" si="239"/>
        <v>29777.734680555553</v>
      </c>
      <c r="CD38" s="16">
        <f t="shared" si="239"/>
        <v>11880.608055555555</v>
      </c>
      <c r="CE38" s="16">
        <f t="shared" si="239"/>
        <v>12716.556513888887</v>
      </c>
      <c r="CF38" s="16">
        <f t="shared" si="239"/>
        <v>33863.902333333332</v>
      </c>
      <c r="CG38" s="16">
        <f t="shared" si="240"/>
        <v>7752.5538611111115</v>
      </c>
      <c r="CH38" s="16">
        <f t="shared" si="240"/>
        <v>32529.937902777772</v>
      </c>
      <c r="CI38" s="16">
        <f t="shared" si="240"/>
        <v>42655.816689451385</v>
      </c>
      <c r="CJ38" s="16">
        <f t="shared" si="240"/>
        <v>11817.242199999999</v>
      </c>
      <c r="CK38" s="16">
        <f t="shared" si="240"/>
        <v>17900.991307708486</v>
      </c>
      <c r="CL38" s="16">
        <f t="shared" si="240"/>
        <v>26253.888747970756</v>
      </c>
      <c r="CM38" s="16">
        <f t="shared" si="241"/>
        <v>18018.769125509334</v>
      </c>
      <c r="CN38" s="16">
        <f t="shared" si="242"/>
        <v>20634.9077788908</v>
      </c>
      <c r="CO38" s="16">
        <f t="shared" si="242"/>
        <v>48223.134716626795</v>
      </c>
      <c r="CP38" s="16">
        <f t="shared" si="242"/>
        <v>11247.605465339511</v>
      </c>
      <c r="CQ38" s="16">
        <f t="shared" si="242"/>
        <v>35934.263055192489</v>
      </c>
      <c r="CR38" s="16">
        <f t="shared" si="242"/>
        <v>40141.269291773686</v>
      </c>
      <c r="CS38" s="16">
        <f t="shared" si="242"/>
        <v>16962.865077926886</v>
      </c>
      <c r="CT38" s="16">
        <f t="shared" si="243"/>
        <v>41957.873263836715</v>
      </c>
      <c r="CU38" s="16">
        <f t="shared" si="247"/>
        <v>57325.619522494839</v>
      </c>
      <c r="CV38" s="16">
        <f t="shared" si="247"/>
        <v>0</v>
      </c>
      <c r="CW38" s="16">
        <f t="shared" si="247"/>
        <v>0</v>
      </c>
      <c r="CX38" s="16">
        <f t="shared" si="247"/>
        <v>0</v>
      </c>
      <c r="CY38" s="16">
        <f t="shared" si="247"/>
        <v>0</v>
      </c>
      <c r="CZ38" s="16">
        <f t="shared" si="247"/>
        <v>0</v>
      </c>
      <c r="DA38" s="16">
        <f t="shared" si="247"/>
        <v>0</v>
      </c>
      <c r="DB38" s="16">
        <f t="shared" si="247"/>
        <v>0</v>
      </c>
      <c r="DC38" s="16">
        <f t="shared" si="247"/>
        <v>0</v>
      </c>
      <c r="DD38" s="16">
        <f t="shared" si="247"/>
        <v>0</v>
      </c>
      <c r="DE38" s="16">
        <f t="shared" si="247"/>
        <v>0</v>
      </c>
      <c r="DF38" s="16">
        <f t="shared" si="247"/>
        <v>0</v>
      </c>
      <c r="DG38" s="16">
        <f t="shared" si="247"/>
        <v>0</v>
      </c>
      <c r="DH38" s="16">
        <f t="shared" si="247"/>
        <v>0</v>
      </c>
      <c r="DI38" s="16">
        <f t="shared" si="247"/>
        <v>0</v>
      </c>
      <c r="DJ38" s="16">
        <f t="shared" si="247"/>
        <v>0</v>
      </c>
      <c r="DK38" s="16">
        <f t="shared" si="247"/>
        <v>0</v>
      </c>
      <c r="DL38" s="16">
        <f t="shared" si="247"/>
        <v>0</v>
      </c>
      <c r="DM38" s="16">
        <f t="shared" si="247"/>
        <v>0</v>
      </c>
      <c r="DN38" s="16">
        <f t="shared" si="247"/>
        <v>0</v>
      </c>
      <c r="DO38" s="16">
        <f t="shared" si="247"/>
        <v>0</v>
      </c>
      <c r="DP38" s="16">
        <f t="shared" si="247"/>
        <v>0</v>
      </c>
      <c r="DQ38" s="16">
        <f t="shared" si="247"/>
        <v>0</v>
      </c>
      <c r="DR38" s="16">
        <f t="shared" si="247"/>
        <v>0</v>
      </c>
      <c r="DS38" s="16">
        <f t="shared" si="247"/>
        <v>0</v>
      </c>
      <c r="DT38" s="16">
        <f t="shared" si="247"/>
        <v>0</v>
      </c>
      <c r="DU38" s="16">
        <f t="shared" si="247"/>
        <v>0</v>
      </c>
      <c r="DV38" s="16">
        <f t="shared" si="247"/>
        <v>0</v>
      </c>
      <c r="DW38" s="16">
        <f t="shared" si="247"/>
        <v>0</v>
      </c>
      <c r="DX38" s="16">
        <f t="shared" si="247"/>
        <v>0</v>
      </c>
      <c r="DY38" s="16">
        <f t="shared" si="247"/>
        <v>0</v>
      </c>
      <c r="DZ38" s="16">
        <f t="shared" si="247"/>
        <v>0</v>
      </c>
      <c r="EA38" s="16">
        <f t="shared" si="247"/>
        <v>0</v>
      </c>
      <c r="EB38" s="16">
        <f t="shared" si="247"/>
        <v>0</v>
      </c>
      <c r="EC38" s="16">
        <f t="shared" si="247"/>
        <v>0</v>
      </c>
      <c r="ED38" s="16">
        <f t="shared" si="247"/>
        <v>0</v>
      </c>
      <c r="EE38" s="16">
        <f t="shared" si="247"/>
        <v>0</v>
      </c>
      <c r="EF38" s="16">
        <f t="shared" si="247"/>
        <v>0</v>
      </c>
      <c r="EG38" s="16">
        <f t="shared" si="247"/>
        <v>0</v>
      </c>
      <c r="EH38" s="16">
        <f t="shared" si="247"/>
        <v>0</v>
      </c>
      <c r="EI38" s="16">
        <f t="shared" si="247"/>
        <v>0</v>
      </c>
      <c r="EJ38" s="16">
        <f t="shared" si="247"/>
        <v>0</v>
      </c>
      <c r="EK38" s="16">
        <f t="shared" si="247"/>
        <v>0</v>
      </c>
      <c r="EL38" s="16">
        <f t="shared" si="247"/>
        <v>0</v>
      </c>
      <c r="EM38" s="16">
        <f t="shared" si="247"/>
        <v>0</v>
      </c>
      <c r="EN38" s="16">
        <f t="shared" ref="CU38:FB42" si="248">EM37</f>
        <v>0</v>
      </c>
      <c r="EO38" s="16">
        <f t="shared" si="248"/>
        <v>0</v>
      </c>
      <c r="EP38" s="16">
        <f t="shared" si="248"/>
        <v>0</v>
      </c>
      <c r="EQ38" s="16">
        <f t="shared" si="248"/>
        <v>0</v>
      </c>
      <c r="ER38" s="16">
        <f t="shared" si="248"/>
        <v>0</v>
      </c>
      <c r="ES38" s="16">
        <f t="shared" si="248"/>
        <v>0</v>
      </c>
      <c r="ET38" s="16">
        <f t="shared" si="248"/>
        <v>0</v>
      </c>
      <c r="EU38" s="16">
        <f t="shared" si="248"/>
        <v>0</v>
      </c>
      <c r="EV38" s="16">
        <f t="shared" si="248"/>
        <v>0</v>
      </c>
      <c r="EW38" s="16">
        <f t="shared" si="248"/>
        <v>0</v>
      </c>
      <c r="EX38" s="16">
        <f t="shared" si="248"/>
        <v>0</v>
      </c>
      <c r="EY38" s="16">
        <f t="shared" si="248"/>
        <v>0</v>
      </c>
      <c r="EZ38" s="16">
        <f t="shared" si="248"/>
        <v>0</v>
      </c>
      <c r="FA38" s="16">
        <f t="shared" si="248"/>
        <v>0</v>
      </c>
      <c r="FB38" s="16">
        <f t="shared" si="248"/>
        <v>0</v>
      </c>
    </row>
    <row r="39" spans="3:158" x14ac:dyDescent="0.25">
      <c r="C39" s="248" t="s">
        <v>740</v>
      </c>
      <c r="D39" s="16">
        <f t="shared" si="163"/>
        <v>0</v>
      </c>
      <c r="E39" s="16">
        <f t="shared" si="163"/>
        <v>0</v>
      </c>
      <c r="F39" s="16">
        <f t="shared" si="163"/>
        <v>549961.76656944444</v>
      </c>
      <c r="G39" s="16">
        <f t="shared" si="163"/>
        <v>322320.69135916786</v>
      </c>
      <c r="H39" s="16">
        <f t="shared" si="163"/>
        <v>99283.492786331553</v>
      </c>
      <c r="I39" s="16">
        <f t="shared" si="163"/>
        <v>0</v>
      </c>
      <c r="J39" s="16">
        <f t="shared" si="163"/>
        <v>0</v>
      </c>
      <c r="K39" s="16">
        <f t="shared" si="163"/>
        <v>0</v>
      </c>
      <c r="L39" s="16">
        <f t="shared" si="163"/>
        <v>0</v>
      </c>
      <c r="M39" s="16"/>
      <c r="N39" s="16">
        <f t="shared" si="202"/>
        <v>0</v>
      </c>
      <c r="O39" s="16">
        <f t="shared" si="203"/>
        <v>0</v>
      </c>
      <c r="P39" s="16">
        <f t="shared" si="204"/>
        <v>0</v>
      </c>
      <c r="Q39" s="16">
        <f t="shared" si="205"/>
        <v>0</v>
      </c>
      <c r="R39" s="16">
        <f t="shared" si="206"/>
        <v>0</v>
      </c>
      <c r="S39" s="16">
        <f t="shared" si="207"/>
        <v>0</v>
      </c>
      <c r="T39" s="16">
        <f t="shared" si="208"/>
        <v>0</v>
      </c>
      <c r="U39" s="16">
        <f t="shared" si="209"/>
        <v>0</v>
      </c>
      <c r="V39" s="16">
        <f t="shared" si="210"/>
        <v>363135.6295972222</v>
      </c>
      <c r="W39" s="16">
        <f t="shared" si="211"/>
        <v>60544.523666666661</v>
      </c>
      <c r="X39" s="16">
        <f t="shared" si="212"/>
        <v>71948.600597222219</v>
      </c>
      <c r="Y39" s="16">
        <f t="shared" si="213"/>
        <v>54333.012708333328</v>
      </c>
      <c r="Z39" s="16">
        <f t="shared" si="214"/>
        <v>87002.996792229154</v>
      </c>
      <c r="AA39" s="16">
        <f t="shared" si="215"/>
        <v>62173.649181188579</v>
      </c>
      <c r="AB39" s="16">
        <f t="shared" si="216"/>
        <v>80105.64796085711</v>
      </c>
      <c r="AC39" s="16">
        <f t="shared" si="217"/>
        <v>93038.397424893075</v>
      </c>
      <c r="AD39" s="16">
        <f t="shared" si="218"/>
        <v>99283.492786331553</v>
      </c>
      <c r="AE39" s="16">
        <f t="shared" si="219"/>
        <v>0</v>
      </c>
      <c r="AF39" s="16">
        <f t="shared" si="220"/>
        <v>0</v>
      </c>
      <c r="AG39" s="16">
        <f t="shared" si="221"/>
        <v>0</v>
      </c>
      <c r="AH39" s="16">
        <f t="shared" si="222"/>
        <v>0</v>
      </c>
      <c r="AI39" s="16">
        <f t="shared" si="223"/>
        <v>0</v>
      </c>
      <c r="AJ39" s="16">
        <f t="shared" si="224"/>
        <v>0</v>
      </c>
      <c r="AK39" s="16">
        <f t="shared" si="225"/>
        <v>0</v>
      </c>
      <c r="AL39" s="16">
        <f t="shared" si="226"/>
        <v>0</v>
      </c>
      <c r="AM39" s="16">
        <f t="shared" si="227"/>
        <v>0</v>
      </c>
      <c r="AN39" s="16">
        <f t="shared" si="228"/>
        <v>0</v>
      </c>
      <c r="AO39" s="16">
        <f t="shared" si="229"/>
        <v>0</v>
      </c>
      <c r="AP39" s="16">
        <f t="shared" si="230"/>
        <v>0</v>
      </c>
      <c r="AQ39" s="16">
        <f t="shared" si="231"/>
        <v>0</v>
      </c>
      <c r="AR39" s="16">
        <f t="shared" si="232"/>
        <v>0</v>
      </c>
      <c r="AS39" s="16">
        <f t="shared" si="233"/>
        <v>0</v>
      </c>
      <c r="AT39" s="16">
        <f t="shared" si="234"/>
        <v>0</v>
      </c>
      <c r="AU39" s="16">
        <f t="shared" si="235"/>
        <v>0</v>
      </c>
      <c r="AV39" s="16">
        <f t="shared" si="236"/>
        <v>0</v>
      </c>
      <c r="AW39" s="16">
        <f t="shared" si="237"/>
        <v>0</v>
      </c>
      <c r="AX39" s="16"/>
      <c r="AY39" s="16"/>
      <c r="AZ39" s="16"/>
      <c r="BA39" s="16"/>
      <c r="BB39" s="16"/>
      <c r="BC39" s="16"/>
      <c r="BD39" s="16"/>
      <c r="BE39" s="16"/>
      <c r="BF39" s="16"/>
      <c r="BG39" s="16"/>
      <c r="BH39" s="16"/>
      <c r="BI39" s="16"/>
      <c r="BJ39" s="16"/>
      <c r="BK39" s="16"/>
      <c r="BL39" s="16"/>
      <c r="BM39" s="16"/>
      <c r="BN39" s="16"/>
      <c r="BO39" s="16"/>
      <c r="BP39" s="16"/>
      <c r="BQ39" s="16"/>
      <c r="BR39" s="16"/>
      <c r="BS39" s="16"/>
      <c r="BT39" s="16"/>
      <c r="BU39" s="16"/>
      <c r="BV39" s="16"/>
      <c r="BW39" s="16"/>
      <c r="BX39" s="16"/>
      <c r="BY39" s="16">
        <f t="shared" si="239"/>
        <v>363135.6295972222</v>
      </c>
      <c r="BZ39" s="16">
        <f t="shared" si="239"/>
        <v>13685.887930555555</v>
      </c>
      <c r="CA39" s="16">
        <f t="shared" si="239"/>
        <v>33965.746402777775</v>
      </c>
      <c r="CB39" s="16">
        <f t="shared" si="239"/>
        <v>12892.889333333329</v>
      </c>
      <c r="CC39" s="16">
        <f t="shared" si="239"/>
        <v>30290.257861111106</v>
      </c>
      <c r="CD39" s="16">
        <f t="shared" si="239"/>
        <v>29777.734680555553</v>
      </c>
      <c r="CE39" s="16">
        <f t="shared" si="239"/>
        <v>11880.608055555555</v>
      </c>
      <c r="CF39" s="16">
        <f t="shared" si="239"/>
        <v>12716.556513888887</v>
      </c>
      <c r="CG39" s="16">
        <f t="shared" si="240"/>
        <v>33863.902333333332</v>
      </c>
      <c r="CH39" s="16">
        <f t="shared" si="240"/>
        <v>7752.5538611111115</v>
      </c>
      <c r="CI39" s="16">
        <f t="shared" si="240"/>
        <v>32529.937902777772</v>
      </c>
      <c r="CJ39" s="16">
        <f t="shared" si="240"/>
        <v>42655.816689451385</v>
      </c>
      <c r="CK39" s="16">
        <f t="shared" si="240"/>
        <v>11817.242199999999</v>
      </c>
      <c r="CL39" s="16">
        <f t="shared" si="240"/>
        <v>17900.991307708486</v>
      </c>
      <c r="CM39" s="16">
        <f t="shared" si="241"/>
        <v>26253.888747970756</v>
      </c>
      <c r="CN39" s="16">
        <f t="shared" si="242"/>
        <v>18018.769125509334</v>
      </c>
      <c r="CO39" s="16">
        <f t="shared" si="242"/>
        <v>20634.9077788908</v>
      </c>
      <c r="CP39" s="16">
        <f t="shared" si="242"/>
        <v>48223.134716626795</v>
      </c>
      <c r="CQ39" s="16">
        <f t="shared" si="242"/>
        <v>11247.605465339511</v>
      </c>
      <c r="CR39" s="16">
        <f t="shared" si="242"/>
        <v>35934.263055192489</v>
      </c>
      <c r="CS39" s="16">
        <f t="shared" si="242"/>
        <v>40141.269291773686</v>
      </c>
      <c r="CT39" s="16">
        <f t="shared" si="243"/>
        <v>16962.865077926886</v>
      </c>
      <c r="CU39" s="16">
        <f t="shared" si="248"/>
        <v>41957.873263836715</v>
      </c>
      <c r="CV39" s="16">
        <f t="shared" si="248"/>
        <v>57325.619522494839</v>
      </c>
      <c r="CW39" s="16">
        <f t="shared" si="248"/>
        <v>0</v>
      </c>
      <c r="CX39" s="16">
        <f t="shared" si="248"/>
        <v>0</v>
      </c>
      <c r="CY39" s="16">
        <f t="shared" si="248"/>
        <v>0</v>
      </c>
      <c r="CZ39" s="16">
        <f t="shared" si="248"/>
        <v>0</v>
      </c>
      <c r="DA39" s="16">
        <f t="shared" si="248"/>
        <v>0</v>
      </c>
      <c r="DB39" s="16">
        <f t="shared" si="248"/>
        <v>0</v>
      </c>
      <c r="DC39" s="16">
        <f t="shared" si="248"/>
        <v>0</v>
      </c>
      <c r="DD39" s="16">
        <f t="shared" si="248"/>
        <v>0</v>
      </c>
      <c r="DE39" s="16">
        <f t="shared" si="248"/>
        <v>0</v>
      </c>
      <c r="DF39" s="16">
        <f t="shared" si="248"/>
        <v>0</v>
      </c>
      <c r="DG39" s="16">
        <f t="shared" si="248"/>
        <v>0</v>
      </c>
      <c r="DH39" s="16">
        <f t="shared" si="248"/>
        <v>0</v>
      </c>
      <c r="DI39" s="16">
        <f t="shared" si="248"/>
        <v>0</v>
      </c>
      <c r="DJ39" s="16">
        <f t="shared" si="248"/>
        <v>0</v>
      </c>
      <c r="DK39" s="16">
        <f t="shared" si="248"/>
        <v>0</v>
      </c>
      <c r="DL39" s="16">
        <f t="shared" si="248"/>
        <v>0</v>
      </c>
      <c r="DM39" s="16">
        <f t="shared" si="248"/>
        <v>0</v>
      </c>
      <c r="DN39" s="16">
        <f t="shared" si="248"/>
        <v>0</v>
      </c>
      <c r="DO39" s="16">
        <f t="shared" si="248"/>
        <v>0</v>
      </c>
      <c r="DP39" s="16">
        <f t="shared" si="248"/>
        <v>0</v>
      </c>
      <c r="DQ39" s="16">
        <f t="shared" si="248"/>
        <v>0</v>
      </c>
      <c r="DR39" s="16">
        <f t="shared" si="248"/>
        <v>0</v>
      </c>
      <c r="DS39" s="16">
        <f t="shared" si="248"/>
        <v>0</v>
      </c>
      <c r="DT39" s="16">
        <f t="shared" si="248"/>
        <v>0</v>
      </c>
      <c r="DU39" s="16">
        <f t="shared" si="248"/>
        <v>0</v>
      </c>
      <c r="DV39" s="16">
        <f t="shared" si="248"/>
        <v>0</v>
      </c>
      <c r="DW39" s="16">
        <f t="shared" si="248"/>
        <v>0</v>
      </c>
      <c r="DX39" s="16">
        <f t="shared" si="248"/>
        <v>0</v>
      </c>
      <c r="DY39" s="16">
        <f t="shared" si="248"/>
        <v>0</v>
      </c>
      <c r="DZ39" s="16">
        <f t="shared" si="248"/>
        <v>0</v>
      </c>
      <c r="EA39" s="16">
        <f t="shared" si="248"/>
        <v>0</v>
      </c>
      <c r="EB39" s="16">
        <f t="shared" si="248"/>
        <v>0</v>
      </c>
      <c r="EC39" s="16">
        <f t="shared" si="248"/>
        <v>0</v>
      </c>
      <c r="ED39" s="16">
        <f t="shared" si="248"/>
        <v>0</v>
      </c>
      <c r="EE39" s="16">
        <f t="shared" si="248"/>
        <v>0</v>
      </c>
      <c r="EF39" s="16">
        <f t="shared" si="248"/>
        <v>0</v>
      </c>
      <c r="EG39" s="16">
        <f t="shared" si="248"/>
        <v>0</v>
      </c>
      <c r="EH39" s="16">
        <f t="shared" si="248"/>
        <v>0</v>
      </c>
      <c r="EI39" s="16">
        <f t="shared" si="248"/>
        <v>0</v>
      </c>
      <c r="EJ39" s="16">
        <f t="shared" si="248"/>
        <v>0</v>
      </c>
      <c r="EK39" s="16">
        <f t="shared" si="248"/>
        <v>0</v>
      </c>
      <c r="EL39" s="16">
        <f t="shared" si="248"/>
        <v>0</v>
      </c>
      <c r="EM39" s="16">
        <f t="shared" si="248"/>
        <v>0</v>
      </c>
      <c r="EN39" s="16">
        <f t="shared" si="248"/>
        <v>0</v>
      </c>
      <c r="EO39" s="16">
        <f t="shared" si="248"/>
        <v>0</v>
      </c>
      <c r="EP39" s="16">
        <f t="shared" si="248"/>
        <v>0</v>
      </c>
      <c r="EQ39" s="16">
        <f t="shared" si="248"/>
        <v>0</v>
      </c>
      <c r="ER39" s="16">
        <f t="shared" si="248"/>
        <v>0</v>
      </c>
      <c r="ES39" s="16">
        <f t="shared" si="248"/>
        <v>0</v>
      </c>
      <c r="ET39" s="16">
        <f t="shared" si="248"/>
        <v>0</v>
      </c>
      <c r="EU39" s="16">
        <f t="shared" si="248"/>
        <v>0</v>
      </c>
      <c r="EV39" s="16">
        <f t="shared" si="248"/>
        <v>0</v>
      </c>
      <c r="EW39" s="16">
        <f t="shared" si="248"/>
        <v>0</v>
      </c>
      <c r="EX39" s="16">
        <f t="shared" si="248"/>
        <v>0</v>
      </c>
      <c r="EY39" s="16">
        <f t="shared" si="248"/>
        <v>0</v>
      </c>
      <c r="EZ39" s="16">
        <f t="shared" si="248"/>
        <v>0</v>
      </c>
      <c r="FA39" s="16">
        <f t="shared" si="248"/>
        <v>0</v>
      </c>
      <c r="FB39" s="16">
        <f t="shared" si="248"/>
        <v>0</v>
      </c>
    </row>
    <row r="40" spans="3:158" x14ac:dyDescent="0.25">
      <c r="C40" s="248" t="s">
        <v>741</v>
      </c>
      <c r="D40" s="16">
        <f t="shared" si="163"/>
        <v>0</v>
      </c>
      <c r="E40" s="16">
        <f t="shared" si="163"/>
        <v>0</v>
      </c>
      <c r="F40" s="16">
        <f t="shared" si="163"/>
        <v>542209.21270833327</v>
      </c>
      <c r="G40" s="16">
        <f t="shared" si="163"/>
        <v>313110.38014235208</v>
      </c>
      <c r="H40" s="16">
        <f t="shared" si="163"/>
        <v>116246.35786425843</v>
      </c>
      <c r="I40" s="16">
        <f t="shared" si="163"/>
        <v>0</v>
      </c>
      <c r="J40" s="16">
        <f t="shared" si="163"/>
        <v>0</v>
      </c>
      <c r="K40" s="16">
        <f t="shared" si="163"/>
        <v>0</v>
      </c>
      <c r="L40" s="16">
        <f t="shared" si="163"/>
        <v>0</v>
      </c>
      <c r="M40" s="16"/>
      <c r="N40" s="16">
        <f t="shared" si="202"/>
        <v>0</v>
      </c>
      <c r="O40" s="16">
        <f t="shared" si="203"/>
        <v>0</v>
      </c>
      <c r="P40" s="16">
        <f t="shared" si="204"/>
        <v>0</v>
      </c>
      <c r="Q40" s="16">
        <f t="shared" si="205"/>
        <v>0</v>
      </c>
      <c r="R40" s="16">
        <f t="shared" si="206"/>
        <v>0</v>
      </c>
      <c r="S40" s="16">
        <f t="shared" si="207"/>
        <v>0</v>
      </c>
      <c r="T40" s="16">
        <f t="shared" si="208"/>
        <v>0</v>
      </c>
      <c r="U40" s="16">
        <f t="shared" si="209"/>
        <v>0</v>
      </c>
      <c r="V40" s="16">
        <f t="shared" si="210"/>
        <v>0</v>
      </c>
      <c r="W40" s="16">
        <f t="shared" si="211"/>
        <v>410787.26393055555</v>
      </c>
      <c r="X40" s="16">
        <f t="shared" si="212"/>
        <v>72960.881874999992</v>
      </c>
      <c r="Y40" s="16">
        <f t="shared" si="213"/>
        <v>58461.066902777777</v>
      </c>
      <c r="Z40" s="16">
        <f t="shared" si="214"/>
        <v>82938.308453340273</v>
      </c>
      <c r="AA40" s="16">
        <f t="shared" si="215"/>
        <v>55972.122255679242</v>
      </c>
      <c r="AB40" s="16">
        <f t="shared" si="216"/>
        <v>86876.811621026922</v>
      </c>
      <c r="AC40" s="16">
        <f t="shared" si="217"/>
        <v>87323.137812305678</v>
      </c>
      <c r="AD40" s="16">
        <f t="shared" si="218"/>
        <v>116246.35786425843</v>
      </c>
      <c r="AE40" s="16">
        <f t="shared" si="219"/>
        <v>0</v>
      </c>
      <c r="AF40" s="16">
        <f t="shared" si="220"/>
        <v>0</v>
      </c>
      <c r="AG40" s="16">
        <f t="shared" si="221"/>
        <v>0</v>
      </c>
      <c r="AH40" s="16">
        <f t="shared" si="222"/>
        <v>0</v>
      </c>
      <c r="AI40" s="16">
        <f t="shared" si="223"/>
        <v>0</v>
      </c>
      <c r="AJ40" s="16">
        <f t="shared" si="224"/>
        <v>0</v>
      </c>
      <c r="AK40" s="16">
        <f t="shared" si="225"/>
        <v>0</v>
      </c>
      <c r="AL40" s="16">
        <f t="shared" si="226"/>
        <v>0</v>
      </c>
      <c r="AM40" s="16">
        <f t="shared" si="227"/>
        <v>0</v>
      </c>
      <c r="AN40" s="16">
        <f t="shared" si="228"/>
        <v>0</v>
      </c>
      <c r="AO40" s="16">
        <f t="shared" si="229"/>
        <v>0</v>
      </c>
      <c r="AP40" s="16">
        <f t="shared" si="230"/>
        <v>0</v>
      </c>
      <c r="AQ40" s="16">
        <f t="shared" si="231"/>
        <v>0</v>
      </c>
      <c r="AR40" s="16">
        <f t="shared" si="232"/>
        <v>0</v>
      </c>
      <c r="AS40" s="16">
        <f t="shared" si="233"/>
        <v>0</v>
      </c>
      <c r="AT40" s="16">
        <f t="shared" si="234"/>
        <v>0</v>
      </c>
      <c r="AU40" s="16">
        <f t="shared" si="235"/>
        <v>0</v>
      </c>
      <c r="AV40" s="16">
        <f t="shared" si="236"/>
        <v>0</v>
      </c>
      <c r="AW40" s="16">
        <f t="shared" si="237"/>
        <v>0</v>
      </c>
      <c r="AX40" s="16"/>
      <c r="AY40" s="16"/>
      <c r="AZ40" s="16"/>
      <c r="BA40" s="16"/>
      <c r="BB40" s="16"/>
      <c r="BC40" s="16"/>
      <c r="BD40" s="16"/>
      <c r="BE40" s="16"/>
      <c r="BF40" s="16"/>
      <c r="BG40" s="16"/>
      <c r="BH40" s="16"/>
      <c r="BI40" s="16"/>
      <c r="BJ40" s="16"/>
      <c r="BK40" s="16"/>
      <c r="BL40" s="16"/>
      <c r="BM40" s="16"/>
      <c r="BN40" s="16"/>
      <c r="BO40" s="16"/>
      <c r="BP40" s="16"/>
      <c r="BQ40" s="16"/>
      <c r="BR40" s="16"/>
      <c r="BS40" s="16"/>
      <c r="BT40" s="16"/>
      <c r="BU40" s="16"/>
      <c r="BV40" s="16"/>
      <c r="BW40" s="16"/>
      <c r="BX40" s="16"/>
      <c r="BY40" s="16"/>
      <c r="BZ40" s="16">
        <f>BY39</f>
        <v>363135.6295972222</v>
      </c>
      <c r="CA40" s="16">
        <f>BZ39</f>
        <v>13685.887930555555</v>
      </c>
      <c r="CB40" s="16">
        <f t="shared" ref="CB40:CL46" si="249">CA39</f>
        <v>33965.746402777775</v>
      </c>
      <c r="CC40" s="16">
        <f t="shared" si="249"/>
        <v>12892.889333333329</v>
      </c>
      <c r="CD40" s="16">
        <f t="shared" si="249"/>
        <v>30290.257861111106</v>
      </c>
      <c r="CE40" s="16">
        <f t="shared" si="249"/>
        <v>29777.734680555553</v>
      </c>
      <c r="CF40" s="16">
        <f t="shared" si="249"/>
        <v>11880.608055555555</v>
      </c>
      <c r="CG40" s="16">
        <f t="shared" si="240"/>
        <v>12716.556513888887</v>
      </c>
      <c r="CH40" s="16">
        <f t="shared" si="240"/>
        <v>33863.902333333332</v>
      </c>
      <c r="CI40" s="16">
        <f t="shared" si="240"/>
        <v>7752.5538611111115</v>
      </c>
      <c r="CJ40" s="16">
        <f t="shared" si="240"/>
        <v>32529.937902777772</v>
      </c>
      <c r="CK40" s="16">
        <f t="shared" si="240"/>
        <v>42655.816689451385</v>
      </c>
      <c r="CL40" s="16">
        <f t="shared" si="240"/>
        <v>11817.242199999999</v>
      </c>
      <c r="CM40" s="16">
        <f t="shared" si="241"/>
        <v>17900.991307708486</v>
      </c>
      <c r="CN40" s="16">
        <f t="shared" si="242"/>
        <v>26253.888747970756</v>
      </c>
      <c r="CO40" s="16">
        <f t="shared" si="242"/>
        <v>18018.769125509334</v>
      </c>
      <c r="CP40" s="16">
        <f t="shared" si="242"/>
        <v>20634.9077788908</v>
      </c>
      <c r="CQ40" s="16">
        <f t="shared" si="242"/>
        <v>48223.134716626795</v>
      </c>
      <c r="CR40" s="16">
        <f t="shared" si="242"/>
        <v>11247.605465339511</v>
      </c>
      <c r="CS40" s="16">
        <f t="shared" si="242"/>
        <v>35934.263055192489</v>
      </c>
      <c r="CT40" s="16">
        <f t="shared" si="243"/>
        <v>40141.269291773686</v>
      </c>
      <c r="CU40" s="16">
        <f t="shared" si="248"/>
        <v>16962.865077926886</v>
      </c>
      <c r="CV40" s="16">
        <f t="shared" si="248"/>
        <v>41957.873263836715</v>
      </c>
      <c r="CW40" s="16">
        <f t="shared" si="248"/>
        <v>57325.619522494839</v>
      </c>
      <c r="CX40" s="16">
        <f t="shared" si="248"/>
        <v>0</v>
      </c>
      <c r="CY40" s="16">
        <f t="shared" si="248"/>
        <v>0</v>
      </c>
      <c r="CZ40" s="16">
        <f t="shared" si="248"/>
        <v>0</v>
      </c>
      <c r="DA40" s="16">
        <f t="shared" si="248"/>
        <v>0</v>
      </c>
      <c r="DB40" s="16">
        <f t="shared" si="248"/>
        <v>0</v>
      </c>
      <c r="DC40" s="16">
        <f t="shared" si="248"/>
        <v>0</v>
      </c>
      <c r="DD40" s="16">
        <f t="shared" si="248"/>
        <v>0</v>
      </c>
      <c r="DE40" s="16">
        <f t="shared" si="248"/>
        <v>0</v>
      </c>
      <c r="DF40" s="16">
        <f t="shared" si="248"/>
        <v>0</v>
      </c>
      <c r="DG40" s="16">
        <f t="shared" si="248"/>
        <v>0</v>
      </c>
      <c r="DH40" s="16">
        <f t="shared" si="248"/>
        <v>0</v>
      </c>
      <c r="DI40" s="16">
        <f t="shared" si="248"/>
        <v>0</v>
      </c>
      <c r="DJ40" s="16">
        <f t="shared" si="248"/>
        <v>0</v>
      </c>
      <c r="DK40" s="16">
        <f t="shared" si="248"/>
        <v>0</v>
      </c>
      <c r="DL40" s="16">
        <f t="shared" si="248"/>
        <v>0</v>
      </c>
      <c r="DM40" s="16">
        <f t="shared" si="248"/>
        <v>0</v>
      </c>
      <c r="DN40" s="16">
        <f t="shared" si="248"/>
        <v>0</v>
      </c>
      <c r="DO40" s="16">
        <f t="shared" si="248"/>
        <v>0</v>
      </c>
      <c r="DP40" s="16">
        <f t="shared" si="248"/>
        <v>0</v>
      </c>
      <c r="DQ40" s="16">
        <f t="shared" si="248"/>
        <v>0</v>
      </c>
      <c r="DR40" s="16">
        <f t="shared" si="248"/>
        <v>0</v>
      </c>
      <c r="DS40" s="16">
        <f t="shared" si="248"/>
        <v>0</v>
      </c>
      <c r="DT40" s="16">
        <f t="shared" si="248"/>
        <v>0</v>
      </c>
      <c r="DU40" s="16">
        <f t="shared" si="248"/>
        <v>0</v>
      </c>
      <c r="DV40" s="16">
        <f t="shared" si="248"/>
        <v>0</v>
      </c>
      <c r="DW40" s="16">
        <f t="shared" si="248"/>
        <v>0</v>
      </c>
      <c r="DX40" s="16">
        <f t="shared" si="248"/>
        <v>0</v>
      </c>
      <c r="DY40" s="16">
        <f t="shared" si="248"/>
        <v>0</v>
      </c>
      <c r="DZ40" s="16">
        <f t="shared" si="248"/>
        <v>0</v>
      </c>
      <c r="EA40" s="16">
        <f t="shared" si="248"/>
        <v>0</v>
      </c>
      <c r="EB40" s="16">
        <f t="shared" si="248"/>
        <v>0</v>
      </c>
      <c r="EC40" s="16">
        <f t="shared" si="248"/>
        <v>0</v>
      </c>
      <c r="ED40" s="16">
        <f t="shared" si="248"/>
        <v>0</v>
      </c>
      <c r="EE40" s="16">
        <f t="shared" si="248"/>
        <v>0</v>
      </c>
      <c r="EF40" s="16">
        <f t="shared" si="248"/>
        <v>0</v>
      </c>
      <c r="EG40" s="16">
        <f t="shared" si="248"/>
        <v>0</v>
      </c>
      <c r="EH40" s="16">
        <f t="shared" si="248"/>
        <v>0</v>
      </c>
      <c r="EI40" s="16">
        <f t="shared" si="248"/>
        <v>0</v>
      </c>
      <c r="EJ40" s="16">
        <f t="shared" si="248"/>
        <v>0</v>
      </c>
      <c r="EK40" s="16">
        <f t="shared" si="248"/>
        <v>0</v>
      </c>
      <c r="EL40" s="16">
        <f t="shared" si="248"/>
        <v>0</v>
      </c>
      <c r="EM40" s="16">
        <f t="shared" si="248"/>
        <v>0</v>
      </c>
      <c r="EN40" s="16">
        <f t="shared" si="248"/>
        <v>0</v>
      </c>
      <c r="EO40" s="16">
        <f t="shared" si="248"/>
        <v>0</v>
      </c>
      <c r="EP40" s="16">
        <f t="shared" si="248"/>
        <v>0</v>
      </c>
      <c r="EQ40" s="16">
        <f t="shared" si="248"/>
        <v>0</v>
      </c>
      <c r="ER40" s="16">
        <f t="shared" si="248"/>
        <v>0</v>
      </c>
      <c r="ES40" s="16">
        <f t="shared" si="248"/>
        <v>0</v>
      </c>
      <c r="ET40" s="16">
        <f t="shared" si="248"/>
        <v>0</v>
      </c>
      <c r="EU40" s="16">
        <f t="shared" si="248"/>
        <v>0</v>
      </c>
      <c r="EV40" s="16">
        <f t="shared" si="248"/>
        <v>0</v>
      </c>
      <c r="EW40" s="16">
        <f t="shared" si="248"/>
        <v>0</v>
      </c>
      <c r="EX40" s="16">
        <f t="shared" si="248"/>
        <v>0</v>
      </c>
      <c r="EY40" s="16">
        <f t="shared" si="248"/>
        <v>0</v>
      </c>
      <c r="EZ40" s="16">
        <f t="shared" si="248"/>
        <v>0</v>
      </c>
      <c r="FA40" s="16">
        <f t="shared" si="248"/>
        <v>0</v>
      </c>
      <c r="FB40" s="16">
        <f t="shared" si="248"/>
        <v>0</v>
      </c>
    </row>
    <row r="41" spans="3:158" x14ac:dyDescent="0.25">
      <c r="C41" s="248" t="s">
        <v>742</v>
      </c>
      <c r="D41" s="16">
        <f t="shared" ref="D41:L60" si="250">SUMIF($AY$2:$FB$2,D$2,$AY41:$FB41)</f>
        <v>0</v>
      </c>
      <c r="E41" s="16">
        <f t="shared" si="250"/>
        <v>0</v>
      </c>
      <c r="F41" s="16">
        <f t="shared" si="250"/>
        <v>508345.31037499994</v>
      </c>
      <c r="G41" s="16">
        <f t="shared" si="250"/>
        <v>306833.01318391174</v>
      </c>
      <c r="H41" s="16">
        <f t="shared" si="250"/>
        <v>156387.62715603213</v>
      </c>
      <c r="I41" s="16">
        <f t="shared" si="250"/>
        <v>0</v>
      </c>
      <c r="J41" s="16">
        <f t="shared" si="250"/>
        <v>0</v>
      </c>
      <c r="K41" s="16">
        <f t="shared" si="250"/>
        <v>0</v>
      </c>
      <c r="L41" s="16">
        <f t="shared" si="250"/>
        <v>0</v>
      </c>
      <c r="M41" s="16"/>
      <c r="N41" s="16">
        <f t="shared" si="202"/>
        <v>0</v>
      </c>
      <c r="O41" s="16">
        <f t="shared" si="203"/>
        <v>0</v>
      </c>
      <c r="P41" s="16">
        <f t="shared" si="204"/>
        <v>0</v>
      </c>
      <c r="Q41" s="16">
        <f t="shared" si="205"/>
        <v>0</v>
      </c>
      <c r="R41" s="16">
        <f t="shared" si="206"/>
        <v>0</v>
      </c>
      <c r="S41" s="16">
        <f t="shared" si="207"/>
        <v>0</v>
      </c>
      <c r="T41" s="16">
        <f t="shared" si="208"/>
        <v>0</v>
      </c>
      <c r="U41" s="16">
        <f t="shared" si="209"/>
        <v>0</v>
      </c>
      <c r="V41" s="16">
        <f t="shared" si="210"/>
        <v>0</v>
      </c>
      <c r="W41" s="16">
        <f t="shared" si="211"/>
        <v>376821.51752777776</v>
      </c>
      <c r="X41" s="16">
        <f t="shared" si="212"/>
        <v>77148.89359722221</v>
      </c>
      <c r="Y41" s="16">
        <f t="shared" si="213"/>
        <v>54374.899249999995</v>
      </c>
      <c r="Z41" s="16">
        <f t="shared" si="214"/>
        <v>74146.394097222219</v>
      </c>
      <c r="AA41" s="16">
        <f t="shared" si="215"/>
        <v>72374.050197159871</v>
      </c>
      <c r="AB41" s="16">
        <f t="shared" si="216"/>
        <v>64907.565652370889</v>
      </c>
      <c r="AC41" s="16">
        <f t="shared" si="217"/>
        <v>95405.003237158788</v>
      </c>
      <c r="AD41" s="16">
        <f t="shared" si="218"/>
        <v>99062.007633537287</v>
      </c>
      <c r="AE41" s="16">
        <f t="shared" si="219"/>
        <v>57325.619522494839</v>
      </c>
      <c r="AF41" s="16">
        <f t="shared" si="220"/>
        <v>0</v>
      </c>
      <c r="AG41" s="16">
        <f t="shared" si="221"/>
        <v>0</v>
      </c>
      <c r="AH41" s="16">
        <f t="shared" si="222"/>
        <v>0</v>
      </c>
      <c r="AI41" s="16">
        <f t="shared" si="223"/>
        <v>0</v>
      </c>
      <c r="AJ41" s="16">
        <f t="shared" si="224"/>
        <v>0</v>
      </c>
      <c r="AK41" s="16">
        <f t="shared" si="225"/>
        <v>0</v>
      </c>
      <c r="AL41" s="16">
        <f t="shared" si="226"/>
        <v>0</v>
      </c>
      <c r="AM41" s="16">
        <f t="shared" si="227"/>
        <v>0</v>
      </c>
      <c r="AN41" s="16">
        <f t="shared" si="228"/>
        <v>0</v>
      </c>
      <c r="AO41" s="16">
        <f t="shared" si="229"/>
        <v>0</v>
      </c>
      <c r="AP41" s="16">
        <f t="shared" si="230"/>
        <v>0</v>
      </c>
      <c r="AQ41" s="16">
        <f t="shared" si="231"/>
        <v>0</v>
      </c>
      <c r="AR41" s="16">
        <f t="shared" si="232"/>
        <v>0</v>
      </c>
      <c r="AS41" s="16">
        <f t="shared" si="233"/>
        <v>0</v>
      </c>
      <c r="AT41" s="16">
        <f t="shared" si="234"/>
        <v>0</v>
      </c>
      <c r="AU41" s="16">
        <f t="shared" si="235"/>
        <v>0</v>
      </c>
      <c r="AV41" s="16">
        <f t="shared" si="236"/>
        <v>0</v>
      </c>
      <c r="AW41" s="16">
        <f t="shared" si="237"/>
        <v>0</v>
      </c>
      <c r="AX41" s="16"/>
      <c r="AY41" s="16"/>
      <c r="AZ41" s="16"/>
      <c r="BA41" s="16"/>
      <c r="BB41" s="16"/>
      <c r="BC41" s="16"/>
      <c r="BD41" s="16"/>
      <c r="BE41" s="16"/>
      <c r="BF41" s="16"/>
      <c r="BG41" s="16"/>
      <c r="BH41" s="16"/>
      <c r="BI41" s="16"/>
      <c r="BJ41" s="16"/>
      <c r="BK41" s="16"/>
      <c r="BL41" s="16"/>
      <c r="BM41" s="16"/>
      <c r="BN41" s="16"/>
      <c r="BO41" s="16"/>
      <c r="BP41" s="16"/>
      <c r="BQ41" s="16"/>
      <c r="BR41" s="16"/>
      <c r="BS41" s="16"/>
      <c r="BT41" s="16"/>
      <c r="BU41" s="16"/>
      <c r="BV41" s="16"/>
      <c r="BW41" s="16"/>
      <c r="BX41" s="16"/>
      <c r="BY41" s="16"/>
      <c r="BZ41" s="16"/>
      <c r="CA41" s="16">
        <f>BZ40</f>
        <v>363135.6295972222</v>
      </c>
      <c r="CB41" s="16">
        <f t="shared" si="249"/>
        <v>13685.887930555555</v>
      </c>
      <c r="CC41" s="16">
        <f t="shared" si="249"/>
        <v>33965.746402777775</v>
      </c>
      <c r="CD41" s="16">
        <f t="shared" si="249"/>
        <v>12892.889333333329</v>
      </c>
      <c r="CE41" s="16">
        <f t="shared" si="249"/>
        <v>30290.257861111106</v>
      </c>
      <c r="CF41" s="16">
        <f t="shared" si="249"/>
        <v>29777.734680555553</v>
      </c>
      <c r="CG41" s="16">
        <f t="shared" si="240"/>
        <v>11880.608055555555</v>
      </c>
      <c r="CH41" s="16">
        <f t="shared" si="240"/>
        <v>12716.556513888887</v>
      </c>
      <c r="CI41" s="16">
        <f t="shared" si="240"/>
        <v>33863.902333333332</v>
      </c>
      <c r="CJ41" s="16">
        <f t="shared" si="240"/>
        <v>7752.5538611111115</v>
      </c>
      <c r="CK41" s="16">
        <f t="shared" si="240"/>
        <v>32529.937902777772</v>
      </c>
      <c r="CL41" s="16">
        <f t="shared" si="240"/>
        <v>42655.816689451385</v>
      </c>
      <c r="CM41" s="16">
        <f t="shared" si="241"/>
        <v>11817.242199999999</v>
      </c>
      <c r="CN41" s="16">
        <f t="shared" si="242"/>
        <v>17900.991307708486</v>
      </c>
      <c r="CO41" s="16">
        <f t="shared" si="242"/>
        <v>26253.888747970756</v>
      </c>
      <c r="CP41" s="16">
        <f t="shared" si="242"/>
        <v>18018.769125509334</v>
      </c>
      <c r="CQ41" s="16">
        <f t="shared" si="242"/>
        <v>20634.9077788908</v>
      </c>
      <c r="CR41" s="16">
        <f t="shared" si="242"/>
        <v>48223.134716626795</v>
      </c>
      <c r="CS41" s="16">
        <f t="shared" si="242"/>
        <v>11247.605465339511</v>
      </c>
      <c r="CT41" s="16">
        <f t="shared" si="243"/>
        <v>35934.263055192489</v>
      </c>
      <c r="CU41" s="16">
        <f t="shared" si="248"/>
        <v>40141.269291773686</v>
      </c>
      <c r="CV41" s="16">
        <f t="shared" si="248"/>
        <v>16962.865077926886</v>
      </c>
      <c r="CW41" s="16">
        <f t="shared" si="248"/>
        <v>41957.873263836715</v>
      </c>
      <c r="CX41" s="16">
        <f t="shared" si="248"/>
        <v>57325.619522494839</v>
      </c>
      <c r="CY41" s="16">
        <f t="shared" si="248"/>
        <v>0</v>
      </c>
      <c r="CZ41" s="16">
        <f t="shared" si="248"/>
        <v>0</v>
      </c>
      <c r="DA41" s="16">
        <f t="shared" si="248"/>
        <v>0</v>
      </c>
      <c r="DB41" s="16">
        <f t="shared" si="248"/>
        <v>0</v>
      </c>
      <c r="DC41" s="16">
        <f t="shared" si="248"/>
        <v>0</v>
      </c>
      <c r="DD41" s="16">
        <f t="shared" si="248"/>
        <v>0</v>
      </c>
      <c r="DE41" s="16">
        <f t="shared" si="248"/>
        <v>0</v>
      </c>
      <c r="DF41" s="16">
        <f t="shared" si="248"/>
        <v>0</v>
      </c>
      <c r="DG41" s="16">
        <f t="shared" si="248"/>
        <v>0</v>
      </c>
      <c r="DH41" s="16">
        <f t="shared" si="248"/>
        <v>0</v>
      </c>
      <c r="DI41" s="16">
        <f t="shared" si="248"/>
        <v>0</v>
      </c>
      <c r="DJ41" s="16">
        <f t="shared" si="248"/>
        <v>0</v>
      </c>
      <c r="DK41" s="16">
        <f t="shared" si="248"/>
        <v>0</v>
      </c>
      <c r="DL41" s="16">
        <f t="shared" si="248"/>
        <v>0</v>
      </c>
      <c r="DM41" s="16">
        <f t="shared" si="248"/>
        <v>0</v>
      </c>
      <c r="DN41" s="16">
        <f t="shared" si="248"/>
        <v>0</v>
      </c>
      <c r="DO41" s="16">
        <f t="shared" si="248"/>
        <v>0</v>
      </c>
      <c r="DP41" s="16">
        <f t="shared" si="248"/>
        <v>0</v>
      </c>
      <c r="DQ41" s="16">
        <f t="shared" si="248"/>
        <v>0</v>
      </c>
      <c r="DR41" s="16">
        <f t="shared" si="248"/>
        <v>0</v>
      </c>
      <c r="DS41" s="16">
        <f t="shared" si="248"/>
        <v>0</v>
      </c>
      <c r="DT41" s="16">
        <f t="shared" si="248"/>
        <v>0</v>
      </c>
      <c r="DU41" s="16">
        <f t="shared" si="248"/>
        <v>0</v>
      </c>
      <c r="DV41" s="16">
        <f t="shared" si="248"/>
        <v>0</v>
      </c>
      <c r="DW41" s="16">
        <f t="shared" si="248"/>
        <v>0</v>
      </c>
      <c r="DX41" s="16">
        <f t="shared" si="248"/>
        <v>0</v>
      </c>
      <c r="DY41" s="16">
        <f t="shared" si="248"/>
        <v>0</v>
      </c>
      <c r="DZ41" s="16">
        <f t="shared" si="248"/>
        <v>0</v>
      </c>
      <c r="EA41" s="16">
        <f t="shared" si="248"/>
        <v>0</v>
      </c>
      <c r="EB41" s="16">
        <f t="shared" si="248"/>
        <v>0</v>
      </c>
      <c r="EC41" s="16">
        <f t="shared" si="248"/>
        <v>0</v>
      </c>
      <c r="ED41" s="16">
        <f t="shared" si="248"/>
        <v>0</v>
      </c>
      <c r="EE41" s="16">
        <f t="shared" si="248"/>
        <v>0</v>
      </c>
      <c r="EF41" s="16">
        <f t="shared" si="248"/>
        <v>0</v>
      </c>
      <c r="EG41" s="16">
        <f t="shared" si="248"/>
        <v>0</v>
      </c>
      <c r="EH41" s="16">
        <f t="shared" si="248"/>
        <v>0</v>
      </c>
      <c r="EI41" s="16">
        <f t="shared" si="248"/>
        <v>0</v>
      </c>
      <c r="EJ41" s="16">
        <f t="shared" si="248"/>
        <v>0</v>
      </c>
      <c r="EK41" s="16">
        <f t="shared" si="248"/>
        <v>0</v>
      </c>
      <c r="EL41" s="16">
        <f t="shared" si="248"/>
        <v>0</v>
      </c>
      <c r="EM41" s="16">
        <f t="shared" si="248"/>
        <v>0</v>
      </c>
      <c r="EN41" s="16">
        <f t="shared" si="248"/>
        <v>0</v>
      </c>
      <c r="EO41" s="16">
        <f t="shared" si="248"/>
        <v>0</v>
      </c>
      <c r="EP41" s="16">
        <f t="shared" si="248"/>
        <v>0</v>
      </c>
      <c r="EQ41" s="16">
        <f t="shared" si="248"/>
        <v>0</v>
      </c>
      <c r="ER41" s="16">
        <f t="shared" si="248"/>
        <v>0</v>
      </c>
      <c r="ES41" s="16">
        <f t="shared" si="248"/>
        <v>0</v>
      </c>
      <c r="ET41" s="16">
        <f t="shared" si="248"/>
        <v>0</v>
      </c>
      <c r="EU41" s="16">
        <f t="shared" si="248"/>
        <v>0</v>
      </c>
      <c r="EV41" s="16">
        <f t="shared" si="248"/>
        <v>0</v>
      </c>
      <c r="EW41" s="16">
        <f t="shared" si="248"/>
        <v>0</v>
      </c>
      <c r="EX41" s="16">
        <f t="shared" si="248"/>
        <v>0</v>
      </c>
      <c r="EY41" s="16">
        <f t="shared" si="248"/>
        <v>0</v>
      </c>
      <c r="EZ41" s="16">
        <f t="shared" si="248"/>
        <v>0</v>
      </c>
      <c r="FA41" s="16">
        <f t="shared" si="248"/>
        <v>0</v>
      </c>
      <c r="FB41" s="16">
        <f t="shared" si="248"/>
        <v>0</v>
      </c>
    </row>
    <row r="42" spans="3:158" x14ac:dyDescent="0.25">
      <c r="C42" s="248" t="s">
        <v>743</v>
      </c>
      <c r="D42" s="16">
        <f t="shared" si="250"/>
        <v>0</v>
      </c>
      <c r="E42" s="16">
        <f t="shared" si="250"/>
        <v>0</v>
      </c>
      <c r="F42" s="16">
        <f t="shared" si="250"/>
        <v>495628.75386111106</v>
      </c>
      <c r="G42" s="16">
        <f t="shared" si="250"/>
        <v>283615.30664260814</v>
      </c>
      <c r="H42" s="16">
        <f t="shared" si="250"/>
        <v>192321.89021122464</v>
      </c>
      <c r="I42" s="16">
        <f t="shared" si="250"/>
        <v>0</v>
      </c>
      <c r="J42" s="16">
        <f t="shared" si="250"/>
        <v>0</v>
      </c>
      <c r="K42" s="16">
        <f t="shared" si="250"/>
        <v>0</v>
      </c>
      <c r="L42" s="16">
        <f t="shared" si="250"/>
        <v>0</v>
      </c>
      <c r="M42" s="16"/>
      <c r="N42" s="16">
        <f t="shared" si="202"/>
        <v>0</v>
      </c>
      <c r="O42" s="16">
        <f t="shared" si="203"/>
        <v>0</v>
      </c>
      <c r="P42" s="16">
        <f t="shared" si="204"/>
        <v>0</v>
      </c>
      <c r="Q42" s="16">
        <f t="shared" si="205"/>
        <v>0</v>
      </c>
      <c r="R42" s="16">
        <f t="shared" si="206"/>
        <v>0</v>
      </c>
      <c r="S42" s="16">
        <f t="shared" si="207"/>
        <v>0</v>
      </c>
      <c r="T42" s="16">
        <f t="shared" si="208"/>
        <v>0</v>
      </c>
      <c r="U42" s="16">
        <f t="shared" si="209"/>
        <v>0</v>
      </c>
      <c r="V42" s="16">
        <f t="shared" si="210"/>
        <v>0</v>
      </c>
      <c r="W42" s="16">
        <f t="shared" si="211"/>
        <v>363135.6295972222</v>
      </c>
      <c r="X42" s="16">
        <f t="shared" si="212"/>
        <v>60544.523666666661</v>
      </c>
      <c r="Y42" s="16">
        <f t="shared" si="213"/>
        <v>71948.600597222219</v>
      </c>
      <c r="Z42" s="16">
        <f t="shared" si="214"/>
        <v>54333.012708333328</v>
      </c>
      <c r="AA42" s="16">
        <f t="shared" si="215"/>
        <v>87002.996792229154</v>
      </c>
      <c r="AB42" s="16">
        <f t="shared" si="216"/>
        <v>62173.649181188579</v>
      </c>
      <c r="AC42" s="16">
        <f t="shared" si="217"/>
        <v>80105.64796085711</v>
      </c>
      <c r="AD42" s="16">
        <f t="shared" si="218"/>
        <v>93038.397424893075</v>
      </c>
      <c r="AE42" s="16">
        <f t="shared" si="219"/>
        <v>99283.492786331553</v>
      </c>
      <c r="AF42" s="16">
        <f t="shared" si="220"/>
        <v>0</v>
      </c>
      <c r="AG42" s="16">
        <f t="shared" si="221"/>
        <v>0</v>
      </c>
      <c r="AH42" s="16">
        <f t="shared" si="222"/>
        <v>0</v>
      </c>
      <c r="AI42" s="16">
        <f t="shared" si="223"/>
        <v>0</v>
      </c>
      <c r="AJ42" s="16">
        <f t="shared" si="224"/>
        <v>0</v>
      </c>
      <c r="AK42" s="16">
        <f t="shared" si="225"/>
        <v>0</v>
      </c>
      <c r="AL42" s="16">
        <f t="shared" si="226"/>
        <v>0</v>
      </c>
      <c r="AM42" s="16">
        <f t="shared" si="227"/>
        <v>0</v>
      </c>
      <c r="AN42" s="16">
        <f t="shared" si="228"/>
        <v>0</v>
      </c>
      <c r="AO42" s="16">
        <f t="shared" si="229"/>
        <v>0</v>
      </c>
      <c r="AP42" s="16">
        <f t="shared" si="230"/>
        <v>0</v>
      </c>
      <c r="AQ42" s="16">
        <f t="shared" si="231"/>
        <v>0</v>
      </c>
      <c r="AR42" s="16">
        <f t="shared" si="232"/>
        <v>0</v>
      </c>
      <c r="AS42" s="16">
        <f t="shared" si="233"/>
        <v>0</v>
      </c>
      <c r="AT42" s="16">
        <f t="shared" si="234"/>
        <v>0</v>
      </c>
      <c r="AU42" s="16">
        <f t="shared" si="235"/>
        <v>0</v>
      </c>
      <c r="AV42" s="16">
        <f t="shared" si="236"/>
        <v>0</v>
      </c>
      <c r="AW42" s="16">
        <f t="shared" si="237"/>
        <v>0</v>
      </c>
      <c r="AX42" s="16"/>
      <c r="AY42" s="16"/>
      <c r="AZ42" s="16"/>
      <c r="BA42" s="16"/>
      <c r="BB42" s="16"/>
      <c r="BC42" s="16"/>
      <c r="BD42" s="16"/>
      <c r="BE42" s="16"/>
      <c r="BF42" s="16"/>
      <c r="BG42" s="16"/>
      <c r="BH42" s="16"/>
      <c r="BI42" s="16"/>
      <c r="BJ42" s="16"/>
      <c r="BK42" s="16"/>
      <c r="BL42" s="16"/>
      <c r="BM42" s="16"/>
      <c r="BN42" s="16"/>
      <c r="BO42" s="16"/>
      <c r="BP42" s="16"/>
      <c r="BQ42" s="16"/>
      <c r="BR42" s="16"/>
      <c r="BS42" s="16"/>
      <c r="BT42" s="16"/>
      <c r="BU42" s="16"/>
      <c r="BV42" s="16"/>
      <c r="BW42" s="16"/>
      <c r="BX42" s="16"/>
      <c r="BY42" s="16"/>
      <c r="BZ42" s="16"/>
      <c r="CA42" s="16"/>
      <c r="CB42" s="16">
        <f>CA41</f>
        <v>363135.6295972222</v>
      </c>
      <c r="CC42" s="16">
        <f t="shared" si="249"/>
        <v>13685.887930555555</v>
      </c>
      <c r="CD42" s="16">
        <f t="shared" si="249"/>
        <v>33965.746402777775</v>
      </c>
      <c r="CE42" s="16">
        <f t="shared" si="249"/>
        <v>12892.889333333329</v>
      </c>
      <c r="CF42" s="16">
        <f t="shared" si="249"/>
        <v>30290.257861111106</v>
      </c>
      <c r="CG42" s="16">
        <f t="shared" si="249"/>
        <v>29777.734680555553</v>
      </c>
      <c r="CH42" s="16">
        <f t="shared" si="249"/>
        <v>11880.608055555555</v>
      </c>
      <c r="CI42" s="16">
        <f t="shared" si="249"/>
        <v>12716.556513888887</v>
      </c>
      <c r="CJ42" s="16">
        <f t="shared" si="249"/>
        <v>33863.902333333332</v>
      </c>
      <c r="CK42" s="16">
        <f t="shared" si="249"/>
        <v>7752.5538611111115</v>
      </c>
      <c r="CL42" s="16">
        <f t="shared" si="249"/>
        <v>32529.937902777772</v>
      </c>
      <c r="CM42" s="16">
        <f t="shared" si="241"/>
        <v>42655.816689451385</v>
      </c>
      <c r="CN42" s="16">
        <f t="shared" si="242"/>
        <v>11817.242199999999</v>
      </c>
      <c r="CO42" s="16">
        <f t="shared" si="242"/>
        <v>17900.991307708486</v>
      </c>
      <c r="CP42" s="16">
        <f t="shared" si="242"/>
        <v>26253.888747970756</v>
      </c>
      <c r="CQ42" s="16">
        <f t="shared" si="242"/>
        <v>18018.769125509334</v>
      </c>
      <c r="CR42" s="16">
        <f t="shared" si="242"/>
        <v>20634.9077788908</v>
      </c>
      <c r="CS42" s="16">
        <f t="shared" si="242"/>
        <v>48223.134716626795</v>
      </c>
      <c r="CT42" s="16">
        <f t="shared" si="243"/>
        <v>11247.605465339511</v>
      </c>
      <c r="CU42" s="16">
        <f t="shared" si="248"/>
        <v>35934.263055192489</v>
      </c>
      <c r="CV42" s="16">
        <f t="shared" si="248"/>
        <v>40141.269291773686</v>
      </c>
      <c r="CW42" s="16">
        <f t="shared" si="248"/>
        <v>16962.865077926886</v>
      </c>
      <c r="CX42" s="16">
        <f t="shared" si="248"/>
        <v>41957.873263836715</v>
      </c>
      <c r="CY42" s="16">
        <f t="shared" si="248"/>
        <v>57325.619522494839</v>
      </c>
      <c r="CZ42" s="16">
        <f t="shared" si="248"/>
        <v>0</v>
      </c>
      <c r="DA42" s="16">
        <f t="shared" si="248"/>
        <v>0</v>
      </c>
      <c r="DB42" s="16">
        <f t="shared" si="248"/>
        <v>0</v>
      </c>
      <c r="DC42" s="16">
        <f t="shared" si="248"/>
        <v>0</v>
      </c>
      <c r="DD42" s="16">
        <f t="shared" si="248"/>
        <v>0</v>
      </c>
      <c r="DE42" s="16">
        <f t="shared" si="248"/>
        <v>0</v>
      </c>
      <c r="DF42" s="16">
        <f t="shared" si="248"/>
        <v>0</v>
      </c>
      <c r="DG42" s="16">
        <f t="shared" si="248"/>
        <v>0</v>
      </c>
      <c r="DH42" s="16">
        <f t="shared" si="248"/>
        <v>0</v>
      </c>
      <c r="DI42" s="16">
        <f t="shared" si="248"/>
        <v>0</v>
      </c>
      <c r="DJ42" s="16">
        <f t="shared" si="248"/>
        <v>0</v>
      </c>
      <c r="DK42" s="16">
        <f t="shared" si="248"/>
        <v>0</v>
      </c>
      <c r="DL42" s="16">
        <f t="shared" si="248"/>
        <v>0</v>
      </c>
      <c r="DM42" s="16">
        <f t="shared" si="248"/>
        <v>0</v>
      </c>
      <c r="DN42" s="16">
        <f t="shared" si="248"/>
        <v>0</v>
      </c>
      <c r="DO42" s="16">
        <f t="shared" si="248"/>
        <v>0</v>
      </c>
      <c r="DP42" s="16">
        <f t="shared" si="248"/>
        <v>0</v>
      </c>
      <c r="DQ42" s="16">
        <f t="shared" si="248"/>
        <v>0</v>
      </c>
      <c r="DR42" s="16">
        <f t="shared" si="248"/>
        <v>0</v>
      </c>
      <c r="DS42" s="16">
        <f t="shared" si="248"/>
        <v>0</v>
      </c>
      <c r="DT42" s="16">
        <f t="shared" si="248"/>
        <v>0</v>
      </c>
      <c r="DU42" s="16">
        <f t="shared" si="248"/>
        <v>0</v>
      </c>
      <c r="DV42" s="16">
        <f t="shared" si="248"/>
        <v>0</v>
      </c>
      <c r="DW42" s="16">
        <f t="shared" si="248"/>
        <v>0</v>
      </c>
      <c r="DX42" s="16">
        <f t="shared" si="248"/>
        <v>0</v>
      </c>
      <c r="DY42" s="16">
        <f t="shared" si="248"/>
        <v>0</v>
      </c>
      <c r="DZ42" s="16">
        <f t="shared" si="248"/>
        <v>0</v>
      </c>
      <c r="EA42" s="16">
        <f t="shared" si="248"/>
        <v>0</v>
      </c>
      <c r="EB42" s="16">
        <f t="shared" si="248"/>
        <v>0</v>
      </c>
      <c r="EC42" s="16">
        <f t="shared" si="248"/>
        <v>0</v>
      </c>
      <c r="ED42" s="16">
        <f t="shared" si="248"/>
        <v>0</v>
      </c>
      <c r="EE42" s="16">
        <f t="shared" si="248"/>
        <v>0</v>
      </c>
      <c r="EF42" s="16">
        <f t="shared" si="248"/>
        <v>0</v>
      </c>
      <c r="EG42" s="16">
        <f t="shared" si="248"/>
        <v>0</v>
      </c>
      <c r="EH42" s="16">
        <f t="shared" si="248"/>
        <v>0</v>
      </c>
      <c r="EI42" s="16">
        <f t="shared" si="248"/>
        <v>0</v>
      </c>
      <c r="EJ42" s="16">
        <f t="shared" si="248"/>
        <v>0</v>
      </c>
      <c r="EK42" s="16">
        <f t="shared" si="248"/>
        <v>0</v>
      </c>
      <c r="EL42" s="16">
        <f t="shared" si="248"/>
        <v>0</v>
      </c>
      <c r="EM42" s="16">
        <f t="shared" si="248"/>
        <v>0</v>
      </c>
      <c r="EN42" s="16">
        <f t="shared" si="248"/>
        <v>0</v>
      </c>
      <c r="EO42" s="16">
        <f t="shared" si="248"/>
        <v>0</v>
      </c>
      <c r="EP42" s="16">
        <f t="shared" si="248"/>
        <v>0</v>
      </c>
      <c r="EQ42" s="16">
        <f t="shared" si="248"/>
        <v>0</v>
      </c>
      <c r="ER42" s="16">
        <f t="shared" si="248"/>
        <v>0</v>
      </c>
      <c r="ES42" s="16">
        <f t="shared" si="248"/>
        <v>0</v>
      </c>
      <c r="ET42" s="16">
        <f t="shared" si="248"/>
        <v>0</v>
      </c>
      <c r="EU42" s="16">
        <f t="shared" si="248"/>
        <v>0</v>
      </c>
      <c r="EV42" s="16">
        <f t="shared" si="248"/>
        <v>0</v>
      </c>
      <c r="EW42" s="16">
        <f t="shared" si="248"/>
        <v>0</v>
      </c>
      <c r="EX42" s="16">
        <f t="shared" si="248"/>
        <v>0</v>
      </c>
      <c r="EY42" s="16">
        <f t="shared" si="248"/>
        <v>0</v>
      </c>
      <c r="EZ42" s="16">
        <f t="shared" si="248"/>
        <v>0</v>
      </c>
      <c r="FA42" s="16">
        <f t="shared" si="248"/>
        <v>0</v>
      </c>
      <c r="FB42" s="16">
        <f t="shared" si="248"/>
        <v>0</v>
      </c>
    </row>
    <row r="43" spans="3:158" x14ac:dyDescent="0.25">
      <c r="C43" s="248" t="s">
        <v>744</v>
      </c>
      <c r="D43" s="16">
        <f t="shared" si="250"/>
        <v>0</v>
      </c>
      <c r="E43" s="16">
        <f t="shared" si="250"/>
        <v>0</v>
      </c>
      <c r="F43" s="16">
        <f t="shared" si="250"/>
        <v>483748.14580555551</v>
      </c>
      <c r="G43" s="16">
        <f t="shared" si="250"/>
        <v>284248.30923282425</v>
      </c>
      <c r="H43" s="16">
        <f t="shared" si="250"/>
        <v>203569.49567656414</v>
      </c>
      <c r="I43" s="16">
        <f t="shared" si="250"/>
        <v>0</v>
      </c>
      <c r="J43" s="16">
        <f t="shared" si="250"/>
        <v>0</v>
      </c>
      <c r="K43" s="16">
        <f t="shared" si="250"/>
        <v>0</v>
      </c>
      <c r="L43" s="16">
        <f t="shared" si="250"/>
        <v>0</v>
      </c>
      <c r="M43" s="16"/>
      <c r="N43" s="16">
        <f t="shared" si="202"/>
        <v>0</v>
      </c>
      <c r="O43" s="16">
        <f t="shared" si="203"/>
        <v>0</v>
      </c>
      <c r="P43" s="16">
        <f t="shared" si="204"/>
        <v>0</v>
      </c>
      <c r="Q43" s="16">
        <f t="shared" si="205"/>
        <v>0</v>
      </c>
      <c r="R43" s="16">
        <f t="shared" si="206"/>
        <v>0</v>
      </c>
      <c r="S43" s="16">
        <f t="shared" si="207"/>
        <v>0</v>
      </c>
      <c r="T43" s="16">
        <f t="shared" si="208"/>
        <v>0</v>
      </c>
      <c r="U43" s="16">
        <f t="shared" si="209"/>
        <v>0</v>
      </c>
      <c r="V43" s="16">
        <f t="shared" si="210"/>
        <v>0</v>
      </c>
      <c r="W43" s="16">
        <f t="shared" si="211"/>
        <v>0</v>
      </c>
      <c r="X43" s="16">
        <f t="shared" si="212"/>
        <v>410787.26393055555</v>
      </c>
      <c r="Y43" s="16">
        <f t="shared" si="213"/>
        <v>72960.881874999992</v>
      </c>
      <c r="Z43" s="16">
        <f t="shared" si="214"/>
        <v>58461.066902777777</v>
      </c>
      <c r="AA43" s="16">
        <f t="shared" si="215"/>
        <v>82938.308453340273</v>
      </c>
      <c r="AB43" s="16">
        <f t="shared" si="216"/>
        <v>55972.122255679242</v>
      </c>
      <c r="AC43" s="16">
        <f t="shared" si="217"/>
        <v>86876.811621026922</v>
      </c>
      <c r="AD43" s="16">
        <f t="shared" si="218"/>
        <v>87323.137812305678</v>
      </c>
      <c r="AE43" s="16">
        <f t="shared" si="219"/>
        <v>116246.35786425843</v>
      </c>
      <c r="AF43" s="16">
        <f t="shared" si="220"/>
        <v>0</v>
      </c>
      <c r="AG43" s="16">
        <f t="shared" si="221"/>
        <v>0</v>
      </c>
      <c r="AH43" s="16">
        <f t="shared" si="222"/>
        <v>0</v>
      </c>
      <c r="AI43" s="16">
        <f t="shared" si="223"/>
        <v>0</v>
      </c>
      <c r="AJ43" s="16">
        <f t="shared" si="224"/>
        <v>0</v>
      </c>
      <c r="AK43" s="16">
        <f t="shared" si="225"/>
        <v>0</v>
      </c>
      <c r="AL43" s="16">
        <f t="shared" si="226"/>
        <v>0</v>
      </c>
      <c r="AM43" s="16">
        <f t="shared" si="227"/>
        <v>0</v>
      </c>
      <c r="AN43" s="16">
        <f t="shared" si="228"/>
        <v>0</v>
      </c>
      <c r="AO43" s="16">
        <f t="shared" si="229"/>
        <v>0</v>
      </c>
      <c r="AP43" s="16">
        <f t="shared" si="230"/>
        <v>0</v>
      </c>
      <c r="AQ43" s="16">
        <f t="shared" si="231"/>
        <v>0</v>
      </c>
      <c r="AR43" s="16">
        <f t="shared" si="232"/>
        <v>0</v>
      </c>
      <c r="AS43" s="16">
        <f t="shared" si="233"/>
        <v>0</v>
      </c>
      <c r="AT43" s="16">
        <f t="shared" si="234"/>
        <v>0</v>
      </c>
      <c r="AU43" s="16">
        <f t="shared" si="235"/>
        <v>0</v>
      </c>
      <c r="AV43" s="16">
        <f t="shared" si="236"/>
        <v>0</v>
      </c>
      <c r="AW43" s="16">
        <f t="shared" si="237"/>
        <v>0</v>
      </c>
      <c r="AX43" s="16"/>
      <c r="AY43" s="16"/>
      <c r="AZ43" s="16"/>
      <c r="BA43" s="16"/>
      <c r="BB43" s="16"/>
      <c r="BC43" s="16"/>
      <c r="BD43" s="16"/>
      <c r="BE43" s="16"/>
      <c r="BF43" s="16"/>
      <c r="BG43" s="16"/>
      <c r="BH43" s="16"/>
      <c r="BI43" s="16"/>
      <c r="BJ43" s="16"/>
      <c r="BK43" s="16"/>
      <c r="BL43" s="16"/>
      <c r="BM43" s="16"/>
      <c r="BN43" s="16"/>
      <c r="BO43" s="16"/>
      <c r="BP43" s="16"/>
      <c r="BQ43" s="16"/>
      <c r="BR43" s="16"/>
      <c r="BS43" s="16"/>
      <c r="BT43" s="16"/>
      <c r="BU43" s="16"/>
      <c r="BV43" s="16"/>
      <c r="BW43" s="16"/>
      <c r="BX43" s="16"/>
      <c r="BY43" s="16"/>
      <c r="BZ43" s="16"/>
      <c r="CA43" s="16"/>
      <c r="CB43" s="16"/>
      <c r="CC43" s="16">
        <f>CB42</f>
        <v>363135.6295972222</v>
      </c>
      <c r="CD43" s="16">
        <f t="shared" si="249"/>
        <v>13685.887930555555</v>
      </c>
      <c r="CE43" s="16">
        <f t="shared" si="249"/>
        <v>33965.746402777775</v>
      </c>
      <c r="CF43" s="16">
        <f t="shared" si="249"/>
        <v>12892.889333333329</v>
      </c>
      <c r="CG43" s="16">
        <f t="shared" si="249"/>
        <v>30290.257861111106</v>
      </c>
      <c r="CH43" s="16">
        <f t="shared" si="249"/>
        <v>29777.734680555553</v>
      </c>
      <c r="CI43" s="16">
        <f t="shared" si="249"/>
        <v>11880.608055555555</v>
      </c>
      <c r="CJ43" s="16">
        <f t="shared" si="249"/>
        <v>12716.556513888887</v>
      </c>
      <c r="CK43" s="16">
        <f t="shared" si="249"/>
        <v>33863.902333333332</v>
      </c>
      <c r="CL43" s="16">
        <f t="shared" si="249"/>
        <v>7752.5538611111115</v>
      </c>
      <c r="CM43" s="16">
        <f t="shared" si="241"/>
        <v>32529.937902777772</v>
      </c>
      <c r="CN43" s="16">
        <f t="shared" si="242"/>
        <v>42655.816689451385</v>
      </c>
      <c r="CO43" s="16">
        <f t="shared" si="242"/>
        <v>11817.242199999999</v>
      </c>
      <c r="CP43" s="16">
        <f t="shared" si="242"/>
        <v>17900.991307708486</v>
      </c>
      <c r="CQ43" s="16">
        <f t="shared" si="242"/>
        <v>26253.888747970756</v>
      </c>
      <c r="CR43" s="16">
        <f t="shared" si="242"/>
        <v>18018.769125509334</v>
      </c>
      <c r="CS43" s="16">
        <f t="shared" si="242"/>
        <v>20634.9077788908</v>
      </c>
      <c r="CT43" s="16">
        <f t="shared" si="243"/>
        <v>48223.134716626795</v>
      </c>
      <c r="CU43" s="16">
        <f t="shared" ref="CU43:FB47" si="251">CT42</f>
        <v>11247.605465339511</v>
      </c>
      <c r="CV43" s="16">
        <f t="shared" si="251"/>
        <v>35934.263055192489</v>
      </c>
      <c r="CW43" s="16">
        <f t="shared" si="251"/>
        <v>40141.269291773686</v>
      </c>
      <c r="CX43" s="16">
        <f t="shared" si="251"/>
        <v>16962.865077926886</v>
      </c>
      <c r="CY43" s="16">
        <f t="shared" si="251"/>
        <v>41957.873263836715</v>
      </c>
      <c r="CZ43" s="16">
        <f t="shared" si="251"/>
        <v>57325.619522494839</v>
      </c>
      <c r="DA43" s="16">
        <f t="shared" si="251"/>
        <v>0</v>
      </c>
      <c r="DB43" s="16">
        <f t="shared" si="251"/>
        <v>0</v>
      </c>
      <c r="DC43" s="16">
        <f t="shared" si="251"/>
        <v>0</v>
      </c>
      <c r="DD43" s="16">
        <f t="shared" si="251"/>
        <v>0</v>
      </c>
      <c r="DE43" s="16">
        <f t="shared" si="251"/>
        <v>0</v>
      </c>
      <c r="DF43" s="16">
        <f t="shared" si="251"/>
        <v>0</v>
      </c>
      <c r="DG43" s="16">
        <f t="shared" si="251"/>
        <v>0</v>
      </c>
      <c r="DH43" s="16">
        <f t="shared" si="251"/>
        <v>0</v>
      </c>
      <c r="DI43" s="16">
        <f t="shared" si="251"/>
        <v>0</v>
      </c>
      <c r="DJ43" s="16">
        <f t="shared" si="251"/>
        <v>0</v>
      </c>
      <c r="DK43" s="16">
        <f t="shared" si="251"/>
        <v>0</v>
      </c>
      <c r="DL43" s="16">
        <f t="shared" si="251"/>
        <v>0</v>
      </c>
      <c r="DM43" s="16">
        <f t="shared" si="251"/>
        <v>0</v>
      </c>
      <c r="DN43" s="16">
        <f t="shared" si="251"/>
        <v>0</v>
      </c>
      <c r="DO43" s="16">
        <f t="shared" si="251"/>
        <v>0</v>
      </c>
      <c r="DP43" s="16">
        <f t="shared" si="251"/>
        <v>0</v>
      </c>
      <c r="DQ43" s="16">
        <f t="shared" si="251"/>
        <v>0</v>
      </c>
      <c r="DR43" s="16">
        <f t="shared" si="251"/>
        <v>0</v>
      </c>
      <c r="DS43" s="16">
        <f t="shared" si="251"/>
        <v>0</v>
      </c>
      <c r="DT43" s="16">
        <f t="shared" si="251"/>
        <v>0</v>
      </c>
      <c r="DU43" s="16">
        <f t="shared" si="251"/>
        <v>0</v>
      </c>
      <c r="DV43" s="16">
        <f t="shared" si="251"/>
        <v>0</v>
      </c>
      <c r="DW43" s="16">
        <f t="shared" si="251"/>
        <v>0</v>
      </c>
      <c r="DX43" s="16">
        <f t="shared" si="251"/>
        <v>0</v>
      </c>
      <c r="DY43" s="16">
        <f t="shared" si="251"/>
        <v>0</v>
      </c>
      <c r="DZ43" s="16">
        <f t="shared" si="251"/>
        <v>0</v>
      </c>
      <c r="EA43" s="16">
        <f t="shared" si="251"/>
        <v>0</v>
      </c>
      <c r="EB43" s="16">
        <f t="shared" si="251"/>
        <v>0</v>
      </c>
      <c r="EC43" s="16">
        <f t="shared" si="251"/>
        <v>0</v>
      </c>
      <c r="ED43" s="16">
        <f t="shared" si="251"/>
        <v>0</v>
      </c>
      <c r="EE43" s="16">
        <f t="shared" si="251"/>
        <v>0</v>
      </c>
      <c r="EF43" s="16">
        <f t="shared" si="251"/>
        <v>0</v>
      </c>
      <c r="EG43" s="16">
        <f t="shared" si="251"/>
        <v>0</v>
      </c>
      <c r="EH43" s="16">
        <f t="shared" si="251"/>
        <v>0</v>
      </c>
      <c r="EI43" s="16">
        <f t="shared" si="251"/>
        <v>0</v>
      </c>
      <c r="EJ43" s="16">
        <f t="shared" si="251"/>
        <v>0</v>
      </c>
      <c r="EK43" s="16">
        <f t="shared" si="251"/>
        <v>0</v>
      </c>
      <c r="EL43" s="16">
        <f t="shared" si="251"/>
        <v>0</v>
      </c>
      <c r="EM43" s="16">
        <f t="shared" si="251"/>
        <v>0</v>
      </c>
      <c r="EN43" s="16">
        <f t="shared" si="251"/>
        <v>0</v>
      </c>
      <c r="EO43" s="16">
        <f t="shared" si="251"/>
        <v>0</v>
      </c>
      <c r="EP43" s="16">
        <f t="shared" si="251"/>
        <v>0</v>
      </c>
      <c r="EQ43" s="16">
        <f t="shared" si="251"/>
        <v>0</v>
      </c>
      <c r="ER43" s="16">
        <f t="shared" si="251"/>
        <v>0</v>
      </c>
      <c r="ES43" s="16">
        <f t="shared" si="251"/>
        <v>0</v>
      </c>
      <c r="ET43" s="16">
        <f t="shared" si="251"/>
        <v>0</v>
      </c>
      <c r="EU43" s="16">
        <f t="shared" si="251"/>
        <v>0</v>
      </c>
      <c r="EV43" s="16">
        <f t="shared" si="251"/>
        <v>0</v>
      </c>
      <c r="EW43" s="16">
        <f t="shared" si="251"/>
        <v>0</v>
      </c>
      <c r="EX43" s="16">
        <f t="shared" si="251"/>
        <v>0</v>
      </c>
      <c r="EY43" s="16">
        <f t="shared" si="251"/>
        <v>0</v>
      </c>
      <c r="EZ43" s="16">
        <f t="shared" si="251"/>
        <v>0</v>
      </c>
      <c r="FA43" s="16">
        <f t="shared" si="251"/>
        <v>0</v>
      </c>
      <c r="FB43" s="16">
        <f t="shared" si="251"/>
        <v>0</v>
      </c>
    </row>
    <row r="44" spans="3:158" x14ac:dyDescent="0.25">
      <c r="C44" s="248" t="s">
        <v>745</v>
      </c>
      <c r="D44" s="16">
        <f t="shared" si="250"/>
        <v>0</v>
      </c>
      <c r="E44" s="16">
        <f t="shared" si="250"/>
        <v>0</v>
      </c>
      <c r="F44" s="16">
        <f t="shared" si="250"/>
        <v>453970.41112499998</v>
      </c>
      <c r="G44" s="16">
        <f t="shared" si="250"/>
        <v>265802.909196753</v>
      </c>
      <c r="H44" s="16">
        <f t="shared" si="250"/>
        <v>251792.63039319095</v>
      </c>
      <c r="I44" s="16">
        <f t="shared" si="250"/>
        <v>0</v>
      </c>
      <c r="J44" s="16">
        <f t="shared" si="250"/>
        <v>0</v>
      </c>
      <c r="K44" s="16">
        <f t="shared" si="250"/>
        <v>0</v>
      </c>
      <c r="L44" s="16">
        <f t="shared" si="250"/>
        <v>0</v>
      </c>
      <c r="M44" s="16"/>
      <c r="N44" s="16">
        <f t="shared" si="202"/>
        <v>0</v>
      </c>
      <c r="O44" s="16">
        <f t="shared" si="203"/>
        <v>0</v>
      </c>
      <c r="P44" s="16">
        <f t="shared" si="204"/>
        <v>0</v>
      </c>
      <c r="Q44" s="16">
        <f t="shared" si="205"/>
        <v>0</v>
      </c>
      <c r="R44" s="16">
        <f t="shared" si="206"/>
        <v>0</v>
      </c>
      <c r="S44" s="16">
        <f t="shared" si="207"/>
        <v>0</v>
      </c>
      <c r="T44" s="16">
        <f t="shared" si="208"/>
        <v>0</v>
      </c>
      <c r="U44" s="16">
        <f t="shared" si="209"/>
        <v>0</v>
      </c>
      <c r="V44" s="16">
        <f t="shared" si="210"/>
        <v>0</v>
      </c>
      <c r="W44" s="16">
        <f t="shared" si="211"/>
        <v>0</v>
      </c>
      <c r="X44" s="16">
        <f t="shared" si="212"/>
        <v>376821.51752777776</v>
      </c>
      <c r="Y44" s="16">
        <f t="shared" si="213"/>
        <v>77148.89359722221</v>
      </c>
      <c r="Z44" s="16">
        <f t="shared" si="214"/>
        <v>54374.899249999995</v>
      </c>
      <c r="AA44" s="16">
        <f t="shared" si="215"/>
        <v>74146.394097222219</v>
      </c>
      <c r="AB44" s="16">
        <f t="shared" si="216"/>
        <v>72374.050197159871</v>
      </c>
      <c r="AC44" s="16">
        <f t="shared" si="217"/>
        <v>64907.565652370889</v>
      </c>
      <c r="AD44" s="16">
        <f t="shared" si="218"/>
        <v>95405.003237158788</v>
      </c>
      <c r="AE44" s="16">
        <f t="shared" si="219"/>
        <v>99062.007633537287</v>
      </c>
      <c r="AF44" s="16">
        <f t="shared" si="220"/>
        <v>57325.619522494839</v>
      </c>
      <c r="AG44" s="16">
        <f t="shared" si="221"/>
        <v>0</v>
      </c>
      <c r="AH44" s="16">
        <f t="shared" si="222"/>
        <v>0</v>
      </c>
      <c r="AI44" s="16">
        <f t="shared" si="223"/>
        <v>0</v>
      </c>
      <c r="AJ44" s="16">
        <f t="shared" si="224"/>
        <v>0</v>
      </c>
      <c r="AK44" s="16">
        <f t="shared" si="225"/>
        <v>0</v>
      </c>
      <c r="AL44" s="16">
        <f t="shared" si="226"/>
        <v>0</v>
      </c>
      <c r="AM44" s="16">
        <f t="shared" si="227"/>
        <v>0</v>
      </c>
      <c r="AN44" s="16">
        <f t="shared" si="228"/>
        <v>0</v>
      </c>
      <c r="AO44" s="16">
        <f t="shared" si="229"/>
        <v>0</v>
      </c>
      <c r="AP44" s="16">
        <f t="shared" si="230"/>
        <v>0</v>
      </c>
      <c r="AQ44" s="16">
        <f t="shared" si="231"/>
        <v>0</v>
      </c>
      <c r="AR44" s="16">
        <f t="shared" si="232"/>
        <v>0</v>
      </c>
      <c r="AS44" s="16">
        <f t="shared" si="233"/>
        <v>0</v>
      </c>
      <c r="AT44" s="16">
        <f t="shared" si="234"/>
        <v>0</v>
      </c>
      <c r="AU44" s="16">
        <f t="shared" si="235"/>
        <v>0</v>
      </c>
      <c r="AV44" s="16">
        <f t="shared" si="236"/>
        <v>0</v>
      </c>
      <c r="AW44" s="16">
        <f t="shared" si="237"/>
        <v>0</v>
      </c>
      <c r="AX44" s="16"/>
      <c r="AY44" s="16"/>
      <c r="AZ44" s="16"/>
      <c r="BA44" s="16"/>
      <c r="BB44" s="16"/>
      <c r="BC44" s="16"/>
      <c r="BD44" s="16"/>
      <c r="BE44" s="16"/>
      <c r="BF44" s="16"/>
      <c r="BG44" s="16"/>
      <c r="BH44" s="16"/>
      <c r="BI44" s="16"/>
      <c r="BJ44" s="16"/>
      <c r="BK44" s="16"/>
      <c r="BL44" s="16"/>
      <c r="BM44" s="16"/>
      <c r="BN44" s="16"/>
      <c r="BO44" s="16"/>
      <c r="BP44" s="16"/>
      <c r="BQ44" s="16"/>
      <c r="BR44" s="16"/>
      <c r="BS44" s="16"/>
      <c r="BT44" s="16"/>
      <c r="BU44" s="16"/>
      <c r="BV44" s="16"/>
      <c r="BW44" s="16"/>
      <c r="BX44" s="16"/>
      <c r="BY44" s="16"/>
      <c r="BZ44" s="16"/>
      <c r="CA44" s="16"/>
      <c r="CB44" s="16"/>
      <c r="CC44" s="16"/>
      <c r="CD44" s="16">
        <f>CC43</f>
        <v>363135.6295972222</v>
      </c>
      <c r="CE44" s="16">
        <f>CD43</f>
        <v>13685.887930555555</v>
      </c>
      <c r="CF44" s="16">
        <f t="shared" si="249"/>
        <v>33965.746402777775</v>
      </c>
      <c r="CG44" s="16">
        <f t="shared" si="249"/>
        <v>12892.889333333329</v>
      </c>
      <c r="CH44" s="16">
        <f t="shared" si="249"/>
        <v>30290.257861111106</v>
      </c>
      <c r="CI44" s="16">
        <f t="shared" si="249"/>
        <v>29777.734680555553</v>
      </c>
      <c r="CJ44" s="16">
        <f t="shared" si="249"/>
        <v>11880.608055555555</v>
      </c>
      <c r="CK44" s="16">
        <f t="shared" si="249"/>
        <v>12716.556513888887</v>
      </c>
      <c r="CL44" s="16">
        <f t="shared" si="249"/>
        <v>33863.902333333332</v>
      </c>
      <c r="CM44" s="16">
        <f t="shared" si="241"/>
        <v>7752.5538611111115</v>
      </c>
      <c r="CN44" s="16">
        <f t="shared" si="242"/>
        <v>32529.937902777772</v>
      </c>
      <c r="CO44" s="16">
        <f t="shared" si="242"/>
        <v>42655.816689451385</v>
      </c>
      <c r="CP44" s="16">
        <f t="shared" si="242"/>
        <v>11817.242199999999</v>
      </c>
      <c r="CQ44" s="16">
        <f t="shared" si="242"/>
        <v>17900.991307708486</v>
      </c>
      <c r="CR44" s="16">
        <f t="shared" si="242"/>
        <v>26253.888747970756</v>
      </c>
      <c r="CS44" s="16">
        <f t="shared" si="242"/>
        <v>18018.769125509334</v>
      </c>
      <c r="CT44" s="16">
        <f t="shared" si="243"/>
        <v>20634.9077788908</v>
      </c>
      <c r="CU44" s="16">
        <f t="shared" si="251"/>
        <v>48223.134716626795</v>
      </c>
      <c r="CV44" s="16">
        <f t="shared" si="251"/>
        <v>11247.605465339511</v>
      </c>
      <c r="CW44" s="16">
        <f t="shared" si="251"/>
        <v>35934.263055192489</v>
      </c>
      <c r="CX44" s="16">
        <f t="shared" si="251"/>
        <v>40141.269291773686</v>
      </c>
      <c r="CY44" s="16">
        <f t="shared" si="251"/>
        <v>16962.865077926886</v>
      </c>
      <c r="CZ44" s="16">
        <f t="shared" si="251"/>
        <v>41957.873263836715</v>
      </c>
      <c r="DA44" s="16">
        <f t="shared" si="251"/>
        <v>57325.619522494839</v>
      </c>
      <c r="DB44" s="16">
        <f t="shared" si="251"/>
        <v>0</v>
      </c>
      <c r="DC44" s="16">
        <f t="shared" si="251"/>
        <v>0</v>
      </c>
      <c r="DD44" s="16">
        <f t="shared" si="251"/>
        <v>0</v>
      </c>
      <c r="DE44" s="16">
        <f t="shared" si="251"/>
        <v>0</v>
      </c>
      <c r="DF44" s="16">
        <f t="shared" si="251"/>
        <v>0</v>
      </c>
      <c r="DG44" s="16">
        <f t="shared" si="251"/>
        <v>0</v>
      </c>
      <c r="DH44" s="16">
        <f t="shared" si="251"/>
        <v>0</v>
      </c>
      <c r="DI44" s="16">
        <f t="shared" si="251"/>
        <v>0</v>
      </c>
      <c r="DJ44" s="16">
        <f t="shared" si="251"/>
        <v>0</v>
      </c>
      <c r="DK44" s="16">
        <f t="shared" si="251"/>
        <v>0</v>
      </c>
      <c r="DL44" s="16">
        <f t="shared" si="251"/>
        <v>0</v>
      </c>
      <c r="DM44" s="16">
        <f t="shared" si="251"/>
        <v>0</v>
      </c>
      <c r="DN44" s="16">
        <f t="shared" si="251"/>
        <v>0</v>
      </c>
      <c r="DO44" s="16">
        <f t="shared" si="251"/>
        <v>0</v>
      </c>
      <c r="DP44" s="16">
        <f t="shared" si="251"/>
        <v>0</v>
      </c>
      <c r="DQ44" s="16">
        <f t="shared" si="251"/>
        <v>0</v>
      </c>
      <c r="DR44" s="16">
        <f t="shared" si="251"/>
        <v>0</v>
      </c>
      <c r="DS44" s="16">
        <f t="shared" si="251"/>
        <v>0</v>
      </c>
      <c r="DT44" s="16">
        <f t="shared" si="251"/>
        <v>0</v>
      </c>
      <c r="DU44" s="16">
        <f t="shared" si="251"/>
        <v>0</v>
      </c>
      <c r="DV44" s="16">
        <f t="shared" si="251"/>
        <v>0</v>
      </c>
      <c r="DW44" s="16">
        <f t="shared" si="251"/>
        <v>0</v>
      </c>
      <c r="DX44" s="16">
        <f t="shared" si="251"/>
        <v>0</v>
      </c>
      <c r="DY44" s="16">
        <f t="shared" si="251"/>
        <v>0</v>
      </c>
      <c r="DZ44" s="16">
        <f t="shared" si="251"/>
        <v>0</v>
      </c>
      <c r="EA44" s="16">
        <f t="shared" si="251"/>
        <v>0</v>
      </c>
      <c r="EB44" s="16">
        <f t="shared" si="251"/>
        <v>0</v>
      </c>
      <c r="EC44" s="16">
        <f t="shared" si="251"/>
        <v>0</v>
      </c>
      <c r="ED44" s="16">
        <f t="shared" si="251"/>
        <v>0</v>
      </c>
      <c r="EE44" s="16">
        <f t="shared" si="251"/>
        <v>0</v>
      </c>
      <c r="EF44" s="16">
        <f t="shared" si="251"/>
        <v>0</v>
      </c>
      <c r="EG44" s="16">
        <f t="shared" si="251"/>
        <v>0</v>
      </c>
      <c r="EH44" s="16">
        <f t="shared" si="251"/>
        <v>0</v>
      </c>
      <c r="EI44" s="16">
        <f t="shared" si="251"/>
        <v>0</v>
      </c>
      <c r="EJ44" s="16">
        <f t="shared" si="251"/>
        <v>0</v>
      </c>
      <c r="EK44" s="16">
        <f t="shared" si="251"/>
        <v>0</v>
      </c>
      <c r="EL44" s="16">
        <f t="shared" si="251"/>
        <v>0</v>
      </c>
      <c r="EM44" s="16">
        <f t="shared" si="251"/>
        <v>0</v>
      </c>
      <c r="EN44" s="16">
        <f t="shared" si="251"/>
        <v>0</v>
      </c>
      <c r="EO44" s="16">
        <f t="shared" si="251"/>
        <v>0</v>
      </c>
      <c r="EP44" s="16">
        <f t="shared" si="251"/>
        <v>0</v>
      </c>
      <c r="EQ44" s="16">
        <f t="shared" si="251"/>
        <v>0</v>
      </c>
      <c r="ER44" s="16">
        <f t="shared" si="251"/>
        <v>0</v>
      </c>
      <c r="ES44" s="16">
        <f t="shared" si="251"/>
        <v>0</v>
      </c>
      <c r="ET44" s="16">
        <f t="shared" si="251"/>
        <v>0</v>
      </c>
      <c r="EU44" s="16">
        <f t="shared" si="251"/>
        <v>0</v>
      </c>
      <c r="EV44" s="16">
        <f t="shared" si="251"/>
        <v>0</v>
      </c>
      <c r="EW44" s="16">
        <f t="shared" si="251"/>
        <v>0</v>
      </c>
      <c r="EX44" s="16">
        <f t="shared" si="251"/>
        <v>0</v>
      </c>
      <c r="EY44" s="16">
        <f t="shared" si="251"/>
        <v>0</v>
      </c>
      <c r="EZ44" s="16">
        <f t="shared" si="251"/>
        <v>0</v>
      </c>
      <c r="FA44" s="16">
        <f t="shared" si="251"/>
        <v>0</v>
      </c>
      <c r="FB44" s="16">
        <f t="shared" si="251"/>
        <v>0</v>
      </c>
    </row>
    <row r="45" spans="3:158" x14ac:dyDescent="0.25">
      <c r="C45" s="248" t="s">
        <v>746</v>
      </c>
      <c r="D45" s="16">
        <f t="shared" si="250"/>
        <v>0</v>
      </c>
      <c r="E45" s="16">
        <f t="shared" si="250"/>
        <v>0</v>
      </c>
      <c r="F45" s="16">
        <f t="shared" si="250"/>
        <v>423680.1532638889</v>
      </c>
      <c r="G45" s="16">
        <f t="shared" si="250"/>
        <v>275458.25927897327</v>
      </c>
      <c r="H45" s="16">
        <f t="shared" si="250"/>
        <v>272427.53817208175</v>
      </c>
      <c r="I45" s="16">
        <f t="shared" si="250"/>
        <v>0</v>
      </c>
      <c r="J45" s="16">
        <f t="shared" si="250"/>
        <v>0</v>
      </c>
      <c r="K45" s="16">
        <f t="shared" si="250"/>
        <v>0</v>
      </c>
      <c r="L45" s="16">
        <f t="shared" si="250"/>
        <v>0</v>
      </c>
      <c r="M45" s="16"/>
      <c r="N45" s="16">
        <f t="shared" si="202"/>
        <v>0</v>
      </c>
      <c r="O45" s="16">
        <f t="shared" si="203"/>
        <v>0</v>
      </c>
      <c r="P45" s="16">
        <f t="shared" si="204"/>
        <v>0</v>
      </c>
      <c r="Q45" s="16">
        <f t="shared" si="205"/>
        <v>0</v>
      </c>
      <c r="R45" s="16">
        <f t="shared" si="206"/>
        <v>0</v>
      </c>
      <c r="S45" s="16">
        <f t="shared" si="207"/>
        <v>0</v>
      </c>
      <c r="T45" s="16">
        <f t="shared" si="208"/>
        <v>0</v>
      </c>
      <c r="U45" s="16">
        <f t="shared" si="209"/>
        <v>0</v>
      </c>
      <c r="V45" s="16">
        <f t="shared" si="210"/>
        <v>0</v>
      </c>
      <c r="W45" s="16">
        <f t="shared" si="211"/>
        <v>0</v>
      </c>
      <c r="X45" s="16">
        <f t="shared" si="212"/>
        <v>363135.6295972222</v>
      </c>
      <c r="Y45" s="16">
        <f t="shared" si="213"/>
        <v>60544.523666666661</v>
      </c>
      <c r="Z45" s="16">
        <f t="shared" si="214"/>
        <v>71948.600597222219</v>
      </c>
      <c r="AA45" s="16">
        <f t="shared" si="215"/>
        <v>54333.012708333328</v>
      </c>
      <c r="AB45" s="16">
        <f t="shared" si="216"/>
        <v>87002.996792229154</v>
      </c>
      <c r="AC45" s="16">
        <f t="shared" si="217"/>
        <v>62173.649181188579</v>
      </c>
      <c r="AD45" s="16">
        <f t="shared" si="218"/>
        <v>80105.64796085711</v>
      </c>
      <c r="AE45" s="16">
        <f t="shared" si="219"/>
        <v>93038.397424893075</v>
      </c>
      <c r="AF45" s="16">
        <f t="shared" si="220"/>
        <v>99283.492786331553</v>
      </c>
      <c r="AG45" s="16">
        <f t="shared" si="221"/>
        <v>0</v>
      </c>
      <c r="AH45" s="16">
        <f t="shared" si="222"/>
        <v>0</v>
      </c>
      <c r="AI45" s="16">
        <f t="shared" si="223"/>
        <v>0</v>
      </c>
      <c r="AJ45" s="16">
        <f t="shared" si="224"/>
        <v>0</v>
      </c>
      <c r="AK45" s="16">
        <f t="shared" si="225"/>
        <v>0</v>
      </c>
      <c r="AL45" s="16">
        <f t="shared" si="226"/>
        <v>0</v>
      </c>
      <c r="AM45" s="16">
        <f t="shared" si="227"/>
        <v>0</v>
      </c>
      <c r="AN45" s="16">
        <f t="shared" si="228"/>
        <v>0</v>
      </c>
      <c r="AO45" s="16">
        <f t="shared" si="229"/>
        <v>0</v>
      </c>
      <c r="AP45" s="16">
        <f t="shared" si="230"/>
        <v>0</v>
      </c>
      <c r="AQ45" s="16">
        <f t="shared" si="231"/>
        <v>0</v>
      </c>
      <c r="AR45" s="16">
        <f t="shared" si="232"/>
        <v>0</v>
      </c>
      <c r="AS45" s="16">
        <f t="shared" si="233"/>
        <v>0</v>
      </c>
      <c r="AT45" s="16">
        <f t="shared" si="234"/>
        <v>0</v>
      </c>
      <c r="AU45" s="16">
        <f t="shared" si="235"/>
        <v>0</v>
      </c>
      <c r="AV45" s="16">
        <f t="shared" si="236"/>
        <v>0</v>
      </c>
      <c r="AW45" s="16">
        <f t="shared" si="237"/>
        <v>0</v>
      </c>
      <c r="AX45" s="16"/>
      <c r="AY45" s="16"/>
      <c r="AZ45" s="16"/>
      <c r="BA45" s="16"/>
      <c r="BB45" s="16"/>
      <c r="BC45" s="16"/>
      <c r="BD45" s="16"/>
      <c r="BE45" s="16"/>
      <c r="BF45" s="16"/>
      <c r="BG45" s="16"/>
      <c r="BH45" s="16"/>
      <c r="BI45" s="16"/>
      <c r="BJ45" s="16"/>
      <c r="BK45" s="16"/>
      <c r="BL45" s="16"/>
      <c r="BM45" s="16"/>
      <c r="BN45" s="16"/>
      <c r="BO45" s="16"/>
      <c r="BP45" s="16"/>
      <c r="BQ45" s="16"/>
      <c r="BR45" s="16"/>
      <c r="BS45" s="16"/>
      <c r="BT45" s="16"/>
      <c r="BU45" s="16"/>
      <c r="BV45" s="16"/>
      <c r="BW45" s="16"/>
      <c r="BX45" s="16"/>
      <c r="BY45" s="16"/>
      <c r="BZ45" s="16"/>
      <c r="CA45" s="16"/>
      <c r="CB45" s="16"/>
      <c r="CC45" s="16"/>
      <c r="CD45" s="16"/>
      <c r="CE45" s="16">
        <f>CD44</f>
        <v>363135.6295972222</v>
      </c>
      <c r="CF45" s="16">
        <f t="shared" si="249"/>
        <v>13685.887930555555</v>
      </c>
      <c r="CG45" s="16">
        <f t="shared" si="249"/>
        <v>33965.746402777775</v>
      </c>
      <c r="CH45" s="16">
        <f t="shared" si="249"/>
        <v>12892.889333333329</v>
      </c>
      <c r="CI45" s="16">
        <f t="shared" si="249"/>
        <v>30290.257861111106</v>
      </c>
      <c r="CJ45" s="16">
        <f t="shared" si="249"/>
        <v>29777.734680555553</v>
      </c>
      <c r="CK45" s="16">
        <f t="shared" si="249"/>
        <v>11880.608055555555</v>
      </c>
      <c r="CL45" s="16">
        <f t="shared" si="249"/>
        <v>12716.556513888887</v>
      </c>
      <c r="CM45" s="16">
        <f t="shared" si="241"/>
        <v>33863.902333333332</v>
      </c>
      <c r="CN45" s="16">
        <f t="shared" si="242"/>
        <v>7752.5538611111115</v>
      </c>
      <c r="CO45" s="16">
        <f t="shared" si="242"/>
        <v>32529.937902777772</v>
      </c>
      <c r="CP45" s="16">
        <f t="shared" si="242"/>
        <v>42655.816689451385</v>
      </c>
      <c r="CQ45" s="16">
        <f t="shared" si="242"/>
        <v>11817.242199999999</v>
      </c>
      <c r="CR45" s="16">
        <f t="shared" si="242"/>
        <v>17900.991307708486</v>
      </c>
      <c r="CS45" s="16">
        <f t="shared" si="242"/>
        <v>26253.888747970756</v>
      </c>
      <c r="CT45" s="16">
        <f t="shared" si="243"/>
        <v>18018.769125509334</v>
      </c>
      <c r="CU45" s="16">
        <f t="shared" si="251"/>
        <v>20634.9077788908</v>
      </c>
      <c r="CV45" s="16">
        <f t="shared" si="251"/>
        <v>48223.134716626795</v>
      </c>
      <c r="CW45" s="16">
        <f t="shared" si="251"/>
        <v>11247.605465339511</v>
      </c>
      <c r="CX45" s="16">
        <f t="shared" si="251"/>
        <v>35934.263055192489</v>
      </c>
      <c r="CY45" s="16">
        <f t="shared" si="251"/>
        <v>40141.269291773686</v>
      </c>
      <c r="CZ45" s="16">
        <f t="shared" si="251"/>
        <v>16962.865077926886</v>
      </c>
      <c r="DA45" s="16">
        <f t="shared" si="251"/>
        <v>41957.873263836715</v>
      </c>
      <c r="DB45" s="16">
        <f t="shared" si="251"/>
        <v>57325.619522494839</v>
      </c>
      <c r="DC45" s="16">
        <f t="shared" si="251"/>
        <v>0</v>
      </c>
      <c r="DD45" s="16">
        <f t="shared" si="251"/>
        <v>0</v>
      </c>
      <c r="DE45" s="16">
        <f t="shared" si="251"/>
        <v>0</v>
      </c>
      <c r="DF45" s="16">
        <f t="shared" si="251"/>
        <v>0</v>
      </c>
      <c r="DG45" s="16">
        <f t="shared" si="251"/>
        <v>0</v>
      </c>
      <c r="DH45" s="16">
        <f t="shared" si="251"/>
        <v>0</v>
      </c>
      <c r="DI45" s="16">
        <f t="shared" si="251"/>
        <v>0</v>
      </c>
      <c r="DJ45" s="16">
        <f t="shared" si="251"/>
        <v>0</v>
      </c>
      <c r="DK45" s="16">
        <f t="shared" si="251"/>
        <v>0</v>
      </c>
      <c r="DL45" s="16">
        <f t="shared" si="251"/>
        <v>0</v>
      </c>
      <c r="DM45" s="16">
        <f t="shared" si="251"/>
        <v>0</v>
      </c>
      <c r="DN45" s="16">
        <f t="shared" si="251"/>
        <v>0</v>
      </c>
      <c r="DO45" s="16">
        <f t="shared" si="251"/>
        <v>0</v>
      </c>
      <c r="DP45" s="16">
        <f t="shared" si="251"/>
        <v>0</v>
      </c>
      <c r="DQ45" s="16">
        <f t="shared" si="251"/>
        <v>0</v>
      </c>
      <c r="DR45" s="16">
        <f t="shared" si="251"/>
        <v>0</v>
      </c>
      <c r="DS45" s="16">
        <f t="shared" si="251"/>
        <v>0</v>
      </c>
      <c r="DT45" s="16">
        <f t="shared" si="251"/>
        <v>0</v>
      </c>
      <c r="DU45" s="16">
        <f t="shared" si="251"/>
        <v>0</v>
      </c>
      <c r="DV45" s="16">
        <f t="shared" si="251"/>
        <v>0</v>
      </c>
      <c r="DW45" s="16">
        <f t="shared" si="251"/>
        <v>0</v>
      </c>
      <c r="DX45" s="16">
        <f t="shared" si="251"/>
        <v>0</v>
      </c>
      <c r="DY45" s="16">
        <f t="shared" si="251"/>
        <v>0</v>
      </c>
      <c r="DZ45" s="16">
        <f t="shared" si="251"/>
        <v>0</v>
      </c>
      <c r="EA45" s="16">
        <f t="shared" si="251"/>
        <v>0</v>
      </c>
      <c r="EB45" s="16">
        <f t="shared" si="251"/>
        <v>0</v>
      </c>
      <c r="EC45" s="16">
        <f t="shared" si="251"/>
        <v>0</v>
      </c>
      <c r="ED45" s="16">
        <f t="shared" si="251"/>
        <v>0</v>
      </c>
      <c r="EE45" s="16">
        <f t="shared" si="251"/>
        <v>0</v>
      </c>
      <c r="EF45" s="16">
        <f t="shared" si="251"/>
        <v>0</v>
      </c>
      <c r="EG45" s="16">
        <f t="shared" si="251"/>
        <v>0</v>
      </c>
      <c r="EH45" s="16">
        <f t="shared" si="251"/>
        <v>0</v>
      </c>
      <c r="EI45" s="16">
        <f t="shared" si="251"/>
        <v>0</v>
      </c>
      <c r="EJ45" s="16">
        <f t="shared" si="251"/>
        <v>0</v>
      </c>
      <c r="EK45" s="16">
        <f t="shared" si="251"/>
        <v>0</v>
      </c>
      <c r="EL45" s="16">
        <f t="shared" si="251"/>
        <v>0</v>
      </c>
      <c r="EM45" s="16">
        <f t="shared" si="251"/>
        <v>0</v>
      </c>
      <c r="EN45" s="16">
        <f t="shared" si="251"/>
        <v>0</v>
      </c>
      <c r="EO45" s="16">
        <f t="shared" si="251"/>
        <v>0</v>
      </c>
      <c r="EP45" s="16">
        <f t="shared" si="251"/>
        <v>0</v>
      </c>
      <c r="EQ45" s="16">
        <f t="shared" si="251"/>
        <v>0</v>
      </c>
      <c r="ER45" s="16">
        <f t="shared" si="251"/>
        <v>0</v>
      </c>
      <c r="ES45" s="16">
        <f t="shared" si="251"/>
        <v>0</v>
      </c>
      <c r="ET45" s="16">
        <f t="shared" si="251"/>
        <v>0</v>
      </c>
      <c r="EU45" s="16">
        <f t="shared" si="251"/>
        <v>0</v>
      </c>
      <c r="EV45" s="16">
        <f t="shared" si="251"/>
        <v>0</v>
      </c>
      <c r="EW45" s="16">
        <f t="shared" si="251"/>
        <v>0</v>
      </c>
      <c r="EX45" s="16">
        <f t="shared" si="251"/>
        <v>0</v>
      </c>
      <c r="EY45" s="16">
        <f t="shared" si="251"/>
        <v>0</v>
      </c>
      <c r="EZ45" s="16">
        <f t="shared" si="251"/>
        <v>0</v>
      </c>
      <c r="FA45" s="16">
        <f t="shared" si="251"/>
        <v>0</v>
      </c>
      <c r="FB45" s="16">
        <f t="shared" si="251"/>
        <v>0</v>
      </c>
    </row>
    <row r="46" spans="3:158" x14ac:dyDescent="0.25">
      <c r="C46" s="248" t="s">
        <v>747</v>
      </c>
      <c r="D46" s="16">
        <f t="shared" si="250"/>
        <v>0</v>
      </c>
      <c r="E46" s="16">
        <f t="shared" si="250"/>
        <v>0</v>
      </c>
      <c r="F46" s="16">
        <f t="shared" si="250"/>
        <v>410787.26393055555</v>
      </c>
      <c r="G46" s="16">
        <f t="shared" si="250"/>
        <v>270332.37948679732</v>
      </c>
      <c r="H46" s="16">
        <f t="shared" si="250"/>
        <v>290446.30729759106</v>
      </c>
      <c r="I46" s="16">
        <f t="shared" si="250"/>
        <v>0</v>
      </c>
      <c r="J46" s="16">
        <f t="shared" si="250"/>
        <v>0</v>
      </c>
      <c r="K46" s="16">
        <f t="shared" si="250"/>
        <v>0</v>
      </c>
      <c r="L46" s="16">
        <f t="shared" si="250"/>
        <v>0</v>
      </c>
      <c r="M46" s="16"/>
      <c r="N46" s="16">
        <f t="shared" si="202"/>
        <v>0</v>
      </c>
      <c r="O46" s="16">
        <f t="shared" si="203"/>
        <v>0</v>
      </c>
      <c r="P46" s="16">
        <f t="shared" si="204"/>
        <v>0</v>
      </c>
      <c r="Q46" s="16">
        <f t="shared" si="205"/>
        <v>0</v>
      </c>
      <c r="R46" s="16">
        <f t="shared" si="206"/>
        <v>0</v>
      </c>
      <c r="S46" s="16">
        <f t="shared" si="207"/>
        <v>0</v>
      </c>
      <c r="T46" s="16">
        <f t="shared" si="208"/>
        <v>0</v>
      </c>
      <c r="U46" s="16">
        <f t="shared" si="209"/>
        <v>0</v>
      </c>
      <c r="V46" s="16">
        <f t="shared" si="210"/>
        <v>0</v>
      </c>
      <c r="W46" s="16">
        <f t="shared" si="211"/>
        <v>0</v>
      </c>
      <c r="X46" s="16">
        <f t="shared" si="212"/>
        <v>0</v>
      </c>
      <c r="Y46" s="16">
        <f t="shared" si="213"/>
        <v>410787.26393055555</v>
      </c>
      <c r="Z46" s="16">
        <f t="shared" si="214"/>
        <v>72960.881874999992</v>
      </c>
      <c r="AA46" s="16">
        <f t="shared" si="215"/>
        <v>58461.066902777777</v>
      </c>
      <c r="AB46" s="16">
        <f t="shared" si="216"/>
        <v>82938.308453340273</v>
      </c>
      <c r="AC46" s="16">
        <f t="shared" si="217"/>
        <v>55972.122255679242</v>
      </c>
      <c r="AD46" s="16">
        <f t="shared" si="218"/>
        <v>86876.811621026922</v>
      </c>
      <c r="AE46" s="16">
        <f t="shared" si="219"/>
        <v>87323.137812305678</v>
      </c>
      <c r="AF46" s="16">
        <f t="shared" si="220"/>
        <v>116246.35786425843</v>
      </c>
      <c r="AG46" s="16">
        <f t="shared" si="221"/>
        <v>0</v>
      </c>
      <c r="AH46" s="16">
        <f t="shared" si="222"/>
        <v>0</v>
      </c>
      <c r="AI46" s="16">
        <f t="shared" si="223"/>
        <v>0</v>
      </c>
      <c r="AJ46" s="16">
        <f t="shared" si="224"/>
        <v>0</v>
      </c>
      <c r="AK46" s="16">
        <f t="shared" si="225"/>
        <v>0</v>
      </c>
      <c r="AL46" s="16">
        <f t="shared" si="226"/>
        <v>0</v>
      </c>
      <c r="AM46" s="16">
        <f t="shared" si="227"/>
        <v>0</v>
      </c>
      <c r="AN46" s="16">
        <f t="shared" si="228"/>
        <v>0</v>
      </c>
      <c r="AO46" s="16">
        <f t="shared" si="229"/>
        <v>0</v>
      </c>
      <c r="AP46" s="16">
        <f t="shared" si="230"/>
        <v>0</v>
      </c>
      <c r="AQ46" s="16">
        <f t="shared" si="231"/>
        <v>0</v>
      </c>
      <c r="AR46" s="16">
        <f t="shared" si="232"/>
        <v>0</v>
      </c>
      <c r="AS46" s="16">
        <f t="shared" si="233"/>
        <v>0</v>
      </c>
      <c r="AT46" s="16">
        <f t="shared" si="234"/>
        <v>0</v>
      </c>
      <c r="AU46" s="16">
        <f t="shared" si="235"/>
        <v>0</v>
      </c>
      <c r="AV46" s="16">
        <f t="shared" si="236"/>
        <v>0</v>
      </c>
      <c r="AW46" s="16">
        <f t="shared" si="237"/>
        <v>0</v>
      </c>
      <c r="AX46" s="16"/>
      <c r="AY46" s="16"/>
      <c r="AZ46" s="16"/>
      <c r="BA46" s="16"/>
      <c r="BB46" s="16"/>
      <c r="BC46" s="16"/>
      <c r="BD46" s="16"/>
      <c r="BE46" s="16"/>
      <c r="BF46" s="16"/>
      <c r="BG46" s="16"/>
      <c r="BH46" s="16"/>
      <c r="BI46" s="16"/>
      <c r="BJ46" s="16"/>
      <c r="BK46" s="16"/>
      <c r="BL46" s="16"/>
      <c r="BM46" s="16"/>
      <c r="BN46" s="16"/>
      <c r="BO46" s="16"/>
      <c r="BP46" s="16"/>
      <c r="BQ46" s="16"/>
      <c r="BR46" s="16"/>
      <c r="BS46" s="16"/>
      <c r="BT46" s="16"/>
      <c r="BU46" s="16"/>
      <c r="BV46" s="16"/>
      <c r="BW46" s="16"/>
      <c r="BX46" s="16"/>
      <c r="BY46" s="16"/>
      <c r="BZ46" s="16"/>
      <c r="CA46" s="16"/>
      <c r="CB46" s="16"/>
      <c r="CC46" s="16"/>
      <c r="CD46" s="16"/>
      <c r="CE46" s="16"/>
      <c r="CF46" s="16">
        <f>CE45</f>
        <v>363135.6295972222</v>
      </c>
      <c r="CG46" s="16">
        <f t="shared" si="249"/>
        <v>13685.887930555555</v>
      </c>
      <c r="CH46" s="16">
        <f t="shared" si="249"/>
        <v>33965.746402777775</v>
      </c>
      <c r="CI46" s="16">
        <f t="shared" si="249"/>
        <v>12892.889333333329</v>
      </c>
      <c r="CJ46" s="16">
        <f t="shared" si="249"/>
        <v>30290.257861111106</v>
      </c>
      <c r="CK46" s="16">
        <f t="shared" si="249"/>
        <v>29777.734680555553</v>
      </c>
      <c r="CL46" s="16">
        <f t="shared" si="249"/>
        <v>11880.608055555555</v>
      </c>
      <c r="CM46" s="16">
        <f t="shared" si="241"/>
        <v>12716.556513888887</v>
      </c>
      <c r="CN46" s="16">
        <f t="shared" si="242"/>
        <v>33863.902333333332</v>
      </c>
      <c r="CO46" s="16">
        <f t="shared" si="242"/>
        <v>7752.5538611111115</v>
      </c>
      <c r="CP46" s="16">
        <f t="shared" si="242"/>
        <v>32529.937902777772</v>
      </c>
      <c r="CQ46" s="16">
        <f t="shared" si="242"/>
        <v>42655.816689451385</v>
      </c>
      <c r="CR46" s="16">
        <f t="shared" si="242"/>
        <v>11817.242199999999</v>
      </c>
      <c r="CS46" s="16">
        <f t="shared" si="242"/>
        <v>17900.991307708486</v>
      </c>
      <c r="CT46" s="16">
        <f t="shared" si="243"/>
        <v>26253.888747970756</v>
      </c>
      <c r="CU46" s="16">
        <f t="shared" si="251"/>
        <v>18018.769125509334</v>
      </c>
      <c r="CV46" s="16">
        <f t="shared" si="251"/>
        <v>20634.9077788908</v>
      </c>
      <c r="CW46" s="16">
        <f t="shared" si="251"/>
        <v>48223.134716626795</v>
      </c>
      <c r="CX46" s="16">
        <f t="shared" si="251"/>
        <v>11247.605465339511</v>
      </c>
      <c r="CY46" s="16">
        <f t="shared" si="251"/>
        <v>35934.263055192489</v>
      </c>
      <c r="CZ46" s="16">
        <f t="shared" si="251"/>
        <v>40141.269291773686</v>
      </c>
      <c r="DA46" s="16">
        <f t="shared" si="251"/>
        <v>16962.865077926886</v>
      </c>
      <c r="DB46" s="16">
        <f t="shared" si="251"/>
        <v>41957.873263836715</v>
      </c>
      <c r="DC46" s="16">
        <f t="shared" si="251"/>
        <v>57325.619522494839</v>
      </c>
      <c r="DD46" s="16">
        <f t="shared" si="251"/>
        <v>0</v>
      </c>
      <c r="DE46" s="16">
        <f t="shared" si="251"/>
        <v>0</v>
      </c>
      <c r="DF46" s="16">
        <f t="shared" si="251"/>
        <v>0</v>
      </c>
      <c r="DG46" s="16">
        <f t="shared" si="251"/>
        <v>0</v>
      </c>
      <c r="DH46" s="16">
        <f t="shared" si="251"/>
        <v>0</v>
      </c>
      <c r="DI46" s="16">
        <f t="shared" si="251"/>
        <v>0</v>
      </c>
      <c r="DJ46" s="16">
        <f t="shared" si="251"/>
        <v>0</v>
      </c>
      <c r="DK46" s="16">
        <f t="shared" si="251"/>
        <v>0</v>
      </c>
      <c r="DL46" s="16">
        <f t="shared" si="251"/>
        <v>0</v>
      </c>
      <c r="DM46" s="16">
        <f t="shared" si="251"/>
        <v>0</v>
      </c>
      <c r="DN46" s="16">
        <f t="shared" si="251"/>
        <v>0</v>
      </c>
      <c r="DO46" s="16">
        <f t="shared" si="251"/>
        <v>0</v>
      </c>
      <c r="DP46" s="16">
        <f t="shared" si="251"/>
        <v>0</v>
      </c>
      <c r="DQ46" s="16">
        <f t="shared" si="251"/>
        <v>0</v>
      </c>
      <c r="DR46" s="16">
        <f t="shared" si="251"/>
        <v>0</v>
      </c>
      <c r="DS46" s="16">
        <f t="shared" si="251"/>
        <v>0</v>
      </c>
      <c r="DT46" s="16">
        <f t="shared" si="251"/>
        <v>0</v>
      </c>
      <c r="DU46" s="16">
        <f t="shared" si="251"/>
        <v>0</v>
      </c>
      <c r="DV46" s="16">
        <f t="shared" si="251"/>
        <v>0</v>
      </c>
      <c r="DW46" s="16">
        <f t="shared" si="251"/>
        <v>0</v>
      </c>
      <c r="DX46" s="16">
        <f t="shared" si="251"/>
        <v>0</v>
      </c>
      <c r="DY46" s="16">
        <f t="shared" si="251"/>
        <v>0</v>
      </c>
      <c r="DZ46" s="16">
        <f t="shared" si="251"/>
        <v>0</v>
      </c>
      <c r="EA46" s="16">
        <f t="shared" si="251"/>
        <v>0</v>
      </c>
      <c r="EB46" s="16">
        <f t="shared" si="251"/>
        <v>0</v>
      </c>
      <c r="EC46" s="16">
        <f t="shared" si="251"/>
        <v>0</v>
      </c>
      <c r="ED46" s="16">
        <f t="shared" si="251"/>
        <v>0</v>
      </c>
      <c r="EE46" s="16">
        <f t="shared" si="251"/>
        <v>0</v>
      </c>
      <c r="EF46" s="16">
        <f t="shared" si="251"/>
        <v>0</v>
      </c>
      <c r="EG46" s="16">
        <f t="shared" si="251"/>
        <v>0</v>
      </c>
      <c r="EH46" s="16">
        <f t="shared" si="251"/>
        <v>0</v>
      </c>
      <c r="EI46" s="16">
        <f t="shared" si="251"/>
        <v>0</v>
      </c>
      <c r="EJ46" s="16">
        <f t="shared" si="251"/>
        <v>0</v>
      </c>
      <c r="EK46" s="16">
        <f t="shared" si="251"/>
        <v>0</v>
      </c>
      <c r="EL46" s="16">
        <f t="shared" si="251"/>
        <v>0</v>
      </c>
      <c r="EM46" s="16">
        <f t="shared" si="251"/>
        <v>0</v>
      </c>
      <c r="EN46" s="16">
        <f t="shared" si="251"/>
        <v>0</v>
      </c>
      <c r="EO46" s="16">
        <f t="shared" si="251"/>
        <v>0</v>
      </c>
      <c r="EP46" s="16">
        <f t="shared" si="251"/>
        <v>0</v>
      </c>
      <c r="EQ46" s="16">
        <f t="shared" si="251"/>
        <v>0</v>
      </c>
      <c r="ER46" s="16">
        <f t="shared" si="251"/>
        <v>0</v>
      </c>
      <c r="ES46" s="16">
        <f t="shared" si="251"/>
        <v>0</v>
      </c>
      <c r="ET46" s="16">
        <f t="shared" si="251"/>
        <v>0</v>
      </c>
      <c r="EU46" s="16">
        <f t="shared" si="251"/>
        <v>0</v>
      </c>
      <c r="EV46" s="16">
        <f t="shared" si="251"/>
        <v>0</v>
      </c>
      <c r="EW46" s="16">
        <f t="shared" si="251"/>
        <v>0</v>
      </c>
      <c r="EX46" s="16">
        <f t="shared" si="251"/>
        <v>0</v>
      </c>
      <c r="EY46" s="16">
        <f t="shared" si="251"/>
        <v>0</v>
      </c>
      <c r="EZ46" s="16">
        <f t="shared" si="251"/>
        <v>0</v>
      </c>
      <c r="FA46" s="16">
        <f t="shared" si="251"/>
        <v>0</v>
      </c>
      <c r="FB46" s="16">
        <f t="shared" si="251"/>
        <v>0</v>
      </c>
    </row>
    <row r="47" spans="3:158" x14ac:dyDescent="0.25">
      <c r="C47" s="248" t="s">
        <v>748</v>
      </c>
      <c r="D47" s="16">
        <f t="shared" si="250"/>
        <v>0</v>
      </c>
      <c r="E47" s="16">
        <f t="shared" si="250"/>
        <v>0</v>
      </c>
      <c r="F47" s="16">
        <f t="shared" si="250"/>
        <v>376821.51752777776</v>
      </c>
      <c r="G47" s="16">
        <f t="shared" si="250"/>
        <v>278044.2371416043</v>
      </c>
      <c r="H47" s="16">
        <f t="shared" si="250"/>
        <v>316700.19604556181</v>
      </c>
      <c r="I47" s="16">
        <f t="shared" si="250"/>
        <v>0</v>
      </c>
      <c r="J47" s="16">
        <f t="shared" si="250"/>
        <v>0</v>
      </c>
      <c r="K47" s="16">
        <f t="shared" si="250"/>
        <v>0</v>
      </c>
      <c r="L47" s="16">
        <f t="shared" si="250"/>
        <v>0</v>
      </c>
      <c r="M47" s="16"/>
      <c r="N47" s="16">
        <f t="shared" si="202"/>
        <v>0</v>
      </c>
      <c r="O47" s="16">
        <f t="shared" si="203"/>
        <v>0</v>
      </c>
      <c r="P47" s="16">
        <f t="shared" si="204"/>
        <v>0</v>
      </c>
      <c r="Q47" s="16">
        <f t="shared" si="205"/>
        <v>0</v>
      </c>
      <c r="R47" s="16">
        <f t="shared" si="206"/>
        <v>0</v>
      </c>
      <c r="S47" s="16">
        <f t="shared" si="207"/>
        <v>0</v>
      </c>
      <c r="T47" s="16">
        <f t="shared" si="208"/>
        <v>0</v>
      </c>
      <c r="U47" s="16">
        <f t="shared" si="209"/>
        <v>0</v>
      </c>
      <c r="V47" s="16">
        <f t="shared" si="210"/>
        <v>0</v>
      </c>
      <c r="W47" s="16">
        <f t="shared" si="211"/>
        <v>0</v>
      </c>
      <c r="X47" s="16">
        <f t="shared" si="212"/>
        <v>0</v>
      </c>
      <c r="Y47" s="16">
        <f t="shared" si="213"/>
        <v>376821.51752777776</v>
      </c>
      <c r="Z47" s="16">
        <f t="shared" si="214"/>
        <v>77148.89359722221</v>
      </c>
      <c r="AA47" s="16">
        <f t="shared" si="215"/>
        <v>54374.899249999995</v>
      </c>
      <c r="AB47" s="16">
        <f t="shared" si="216"/>
        <v>74146.394097222219</v>
      </c>
      <c r="AC47" s="16">
        <f t="shared" si="217"/>
        <v>72374.050197159871</v>
      </c>
      <c r="AD47" s="16">
        <f t="shared" si="218"/>
        <v>64907.565652370889</v>
      </c>
      <c r="AE47" s="16">
        <f t="shared" si="219"/>
        <v>95405.003237158788</v>
      </c>
      <c r="AF47" s="16">
        <f t="shared" si="220"/>
        <v>99062.007633537287</v>
      </c>
      <c r="AG47" s="16">
        <f t="shared" si="221"/>
        <v>57325.619522494839</v>
      </c>
      <c r="AH47" s="16">
        <f t="shared" si="222"/>
        <v>0</v>
      </c>
      <c r="AI47" s="16">
        <f t="shared" si="223"/>
        <v>0</v>
      </c>
      <c r="AJ47" s="16">
        <f t="shared" si="224"/>
        <v>0</v>
      </c>
      <c r="AK47" s="16">
        <f t="shared" si="225"/>
        <v>0</v>
      </c>
      <c r="AL47" s="16">
        <f t="shared" si="226"/>
        <v>0</v>
      </c>
      <c r="AM47" s="16">
        <f t="shared" si="227"/>
        <v>0</v>
      </c>
      <c r="AN47" s="16">
        <f t="shared" si="228"/>
        <v>0</v>
      </c>
      <c r="AO47" s="16">
        <f t="shared" si="229"/>
        <v>0</v>
      </c>
      <c r="AP47" s="16">
        <f t="shared" si="230"/>
        <v>0</v>
      </c>
      <c r="AQ47" s="16">
        <f t="shared" si="231"/>
        <v>0</v>
      </c>
      <c r="AR47" s="16">
        <f t="shared" si="232"/>
        <v>0</v>
      </c>
      <c r="AS47" s="16">
        <f t="shared" si="233"/>
        <v>0</v>
      </c>
      <c r="AT47" s="16">
        <f t="shared" si="234"/>
        <v>0</v>
      </c>
      <c r="AU47" s="16">
        <f t="shared" si="235"/>
        <v>0</v>
      </c>
      <c r="AV47" s="16">
        <f t="shared" si="236"/>
        <v>0</v>
      </c>
      <c r="AW47" s="16">
        <f t="shared" si="237"/>
        <v>0</v>
      </c>
      <c r="AX47" s="16"/>
      <c r="AY47" s="16"/>
      <c r="AZ47" s="16"/>
      <c r="BA47" s="16"/>
      <c r="BB47" s="16"/>
      <c r="BC47" s="16"/>
      <c r="BD47" s="16"/>
      <c r="BE47" s="16"/>
      <c r="BF47" s="16"/>
      <c r="BG47" s="16"/>
      <c r="BH47" s="16"/>
      <c r="BI47" s="16"/>
      <c r="BJ47" s="16"/>
      <c r="BK47" s="16"/>
      <c r="BL47" s="16"/>
      <c r="BM47" s="16"/>
      <c r="BN47" s="16"/>
      <c r="BO47" s="16"/>
      <c r="BP47" s="16"/>
      <c r="BQ47" s="16"/>
      <c r="BR47" s="16"/>
      <c r="BS47" s="16"/>
      <c r="BT47" s="16"/>
      <c r="BU47" s="16"/>
      <c r="BV47" s="16"/>
      <c r="BW47" s="16"/>
      <c r="BX47" s="16"/>
      <c r="BY47" s="16"/>
      <c r="BZ47" s="16"/>
      <c r="CA47" s="16"/>
      <c r="CB47" s="16"/>
      <c r="CC47" s="16"/>
      <c r="CD47" s="16"/>
      <c r="CE47" s="16"/>
      <c r="CF47" s="16"/>
      <c r="CG47" s="16">
        <f t="shared" ref="CG47:CV58" si="252">CF46</f>
        <v>363135.6295972222</v>
      </c>
      <c r="CH47" s="16">
        <f t="shared" si="252"/>
        <v>13685.887930555555</v>
      </c>
      <c r="CI47" s="16">
        <f t="shared" si="252"/>
        <v>33965.746402777775</v>
      </c>
      <c r="CJ47" s="16">
        <f t="shared" si="252"/>
        <v>12892.889333333329</v>
      </c>
      <c r="CK47" s="16">
        <f t="shared" si="252"/>
        <v>30290.257861111106</v>
      </c>
      <c r="CL47" s="16">
        <f t="shared" si="252"/>
        <v>29777.734680555553</v>
      </c>
      <c r="CM47" s="16">
        <f t="shared" si="252"/>
        <v>11880.608055555555</v>
      </c>
      <c r="CN47" s="16">
        <f t="shared" si="242"/>
        <v>12716.556513888887</v>
      </c>
      <c r="CO47" s="16">
        <f t="shared" si="242"/>
        <v>33863.902333333332</v>
      </c>
      <c r="CP47" s="16">
        <f t="shared" si="242"/>
        <v>7752.5538611111115</v>
      </c>
      <c r="CQ47" s="16">
        <f t="shared" si="242"/>
        <v>32529.937902777772</v>
      </c>
      <c r="CR47" s="16">
        <f t="shared" si="242"/>
        <v>42655.816689451385</v>
      </c>
      <c r="CS47" s="16">
        <f t="shared" si="242"/>
        <v>11817.242199999999</v>
      </c>
      <c r="CT47" s="16">
        <f t="shared" si="243"/>
        <v>17900.991307708486</v>
      </c>
      <c r="CU47" s="16">
        <f t="shared" si="251"/>
        <v>26253.888747970756</v>
      </c>
      <c r="CV47" s="16">
        <f t="shared" si="251"/>
        <v>18018.769125509334</v>
      </c>
      <c r="CW47" s="16">
        <f t="shared" si="251"/>
        <v>20634.9077788908</v>
      </c>
      <c r="CX47" s="16">
        <f t="shared" si="251"/>
        <v>48223.134716626795</v>
      </c>
      <c r="CY47" s="16">
        <f t="shared" si="251"/>
        <v>11247.605465339511</v>
      </c>
      <c r="CZ47" s="16">
        <f t="shared" si="251"/>
        <v>35934.263055192489</v>
      </c>
      <c r="DA47" s="16">
        <f t="shared" si="251"/>
        <v>40141.269291773686</v>
      </c>
      <c r="DB47" s="16">
        <f t="shared" si="251"/>
        <v>16962.865077926886</v>
      </c>
      <c r="DC47" s="16">
        <f t="shared" si="251"/>
        <v>41957.873263836715</v>
      </c>
      <c r="DD47" s="16">
        <f t="shared" si="251"/>
        <v>57325.619522494839</v>
      </c>
      <c r="DE47" s="16">
        <f t="shared" si="251"/>
        <v>0</v>
      </c>
      <c r="DF47" s="16">
        <f t="shared" si="251"/>
        <v>0</v>
      </c>
      <c r="DG47" s="16">
        <f t="shared" si="251"/>
        <v>0</v>
      </c>
      <c r="DH47" s="16">
        <f t="shared" si="251"/>
        <v>0</v>
      </c>
      <c r="DI47" s="16">
        <f t="shared" si="251"/>
        <v>0</v>
      </c>
      <c r="DJ47" s="16">
        <f t="shared" ref="CU47:FB51" si="253">DI46</f>
        <v>0</v>
      </c>
      <c r="DK47" s="16">
        <f t="shared" si="253"/>
        <v>0</v>
      </c>
      <c r="DL47" s="16">
        <f t="shared" si="253"/>
        <v>0</v>
      </c>
      <c r="DM47" s="16">
        <f t="shared" si="253"/>
        <v>0</v>
      </c>
      <c r="DN47" s="16">
        <f t="shared" si="253"/>
        <v>0</v>
      </c>
      <c r="DO47" s="16">
        <f t="shared" si="253"/>
        <v>0</v>
      </c>
      <c r="DP47" s="16">
        <f t="shared" si="253"/>
        <v>0</v>
      </c>
      <c r="DQ47" s="16">
        <f t="shared" si="253"/>
        <v>0</v>
      </c>
      <c r="DR47" s="16">
        <f t="shared" si="253"/>
        <v>0</v>
      </c>
      <c r="DS47" s="16">
        <f t="shared" si="253"/>
        <v>0</v>
      </c>
      <c r="DT47" s="16">
        <f t="shared" si="253"/>
        <v>0</v>
      </c>
      <c r="DU47" s="16">
        <f t="shared" si="253"/>
        <v>0</v>
      </c>
      <c r="DV47" s="16">
        <f t="shared" si="253"/>
        <v>0</v>
      </c>
      <c r="DW47" s="16">
        <f t="shared" si="253"/>
        <v>0</v>
      </c>
      <c r="DX47" s="16">
        <f t="shared" si="253"/>
        <v>0</v>
      </c>
      <c r="DY47" s="16">
        <f t="shared" si="253"/>
        <v>0</v>
      </c>
      <c r="DZ47" s="16">
        <f t="shared" si="253"/>
        <v>0</v>
      </c>
      <c r="EA47" s="16">
        <f t="shared" si="253"/>
        <v>0</v>
      </c>
      <c r="EB47" s="16">
        <f t="shared" si="253"/>
        <v>0</v>
      </c>
      <c r="EC47" s="16">
        <f t="shared" si="253"/>
        <v>0</v>
      </c>
      <c r="ED47" s="16">
        <f t="shared" si="253"/>
        <v>0</v>
      </c>
      <c r="EE47" s="16">
        <f t="shared" si="253"/>
        <v>0</v>
      </c>
      <c r="EF47" s="16">
        <f t="shared" si="253"/>
        <v>0</v>
      </c>
      <c r="EG47" s="16">
        <f t="shared" si="253"/>
        <v>0</v>
      </c>
      <c r="EH47" s="16">
        <f t="shared" si="253"/>
        <v>0</v>
      </c>
      <c r="EI47" s="16">
        <f t="shared" si="253"/>
        <v>0</v>
      </c>
      <c r="EJ47" s="16">
        <f t="shared" si="253"/>
        <v>0</v>
      </c>
      <c r="EK47" s="16">
        <f t="shared" si="253"/>
        <v>0</v>
      </c>
      <c r="EL47" s="16">
        <f t="shared" si="253"/>
        <v>0</v>
      </c>
      <c r="EM47" s="16">
        <f t="shared" si="253"/>
        <v>0</v>
      </c>
      <c r="EN47" s="16">
        <f t="shared" si="253"/>
        <v>0</v>
      </c>
      <c r="EO47" s="16">
        <f t="shared" si="253"/>
        <v>0</v>
      </c>
      <c r="EP47" s="16">
        <f t="shared" si="253"/>
        <v>0</v>
      </c>
      <c r="EQ47" s="16">
        <f t="shared" si="253"/>
        <v>0</v>
      </c>
      <c r="ER47" s="16">
        <f t="shared" si="253"/>
        <v>0</v>
      </c>
      <c r="ES47" s="16">
        <f t="shared" si="253"/>
        <v>0</v>
      </c>
      <c r="ET47" s="16">
        <f t="shared" si="253"/>
        <v>0</v>
      </c>
      <c r="EU47" s="16">
        <f t="shared" si="253"/>
        <v>0</v>
      </c>
      <c r="EV47" s="16">
        <f t="shared" si="253"/>
        <v>0</v>
      </c>
      <c r="EW47" s="16">
        <f t="shared" si="253"/>
        <v>0</v>
      </c>
      <c r="EX47" s="16">
        <f t="shared" si="253"/>
        <v>0</v>
      </c>
      <c r="EY47" s="16">
        <f t="shared" si="253"/>
        <v>0</v>
      </c>
      <c r="EZ47" s="16">
        <f t="shared" si="253"/>
        <v>0</v>
      </c>
      <c r="FA47" s="16">
        <f t="shared" si="253"/>
        <v>0</v>
      </c>
      <c r="FB47" s="16">
        <f t="shared" si="253"/>
        <v>0</v>
      </c>
    </row>
    <row r="48" spans="3:158" x14ac:dyDescent="0.25">
      <c r="C48" s="248" t="s">
        <v>749</v>
      </c>
      <c r="D48" s="16">
        <f t="shared" si="250"/>
        <v>0</v>
      </c>
      <c r="E48" s="16">
        <f t="shared" si="250"/>
        <v>0</v>
      </c>
      <c r="F48" s="16">
        <f t="shared" si="250"/>
        <v>363135.6295972222</v>
      </c>
      <c r="G48" s="16">
        <f t="shared" si="250"/>
        <v>273829.13376445137</v>
      </c>
      <c r="H48" s="16">
        <f t="shared" si="250"/>
        <v>334601.1873532703</v>
      </c>
      <c r="I48" s="16">
        <f t="shared" si="250"/>
        <v>0</v>
      </c>
      <c r="J48" s="16">
        <f t="shared" si="250"/>
        <v>0</v>
      </c>
      <c r="K48" s="16">
        <f t="shared" si="250"/>
        <v>0</v>
      </c>
      <c r="L48" s="16">
        <f t="shared" si="250"/>
        <v>0</v>
      </c>
      <c r="M48" s="16"/>
      <c r="N48" s="16">
        <f t="shared" si="202"/>
        <v>0</v>
      </c>
      <c r="O48" s="16">
        <f t="shared" si="203"/>
        <v>0</v>
      </c>
      <c r="P48" s="16">
        <f t="shared" si="204"/>
        <v>0</v>
      </c>
      <c r="Q48" s="16">
        <f t="shared" si="205"/>
        <v>0</v>
      </c>
      <c r="R48" s="16">
        <f t="shared" si="206"/>
        <v>0</v>
      </c>
      <c r="S48" s="16">
        <f t="shared" si="207"/>
        <v>0</v>
      </c>
      <c r="T48" s="16">
        <f t="shared" si="208"/>
        <v>0</v>
      </c>
      <c r="U48" s="16">
        <f t="shared" si="209"/>
        <v>0</v>
      </c>
      <c r="V48" s="16">
        <f t="shared" si="210"/>
        <v>0</v>
      </c>
      <c r="W48" s="16">
        <f t="shared" si="211"/>
        <v>0</v>
      </c>
      <c r="X48" s="16">
        <f t="shared" si="212"/>
        <v>0</v>
      </c>
      <c r="Y48" s="16">
        <f t="shared" si="213"/>
        <v>363135.6295972222</v>
      </c>
      <c r="Z48" s="16">
        <f t="shared" si="214"/>
        <v>60544.523666666661</v>
      </c>
      <c r="AA48" s="16">
        <f t="shared" si="215"/>
        <v>71948.600597222219</v>
      </c>
      <c r="AB48" s="16">
        <f t="shared" si="216"/>
        <v>54333.012708333328</v>
      </c>
      <c r="AC48" s="16">
        <f t="shared" si="217"/>
        <v>87002.996792229154</v>
      </c>
      <c r="AD48" s="16">
        <f t="shared" si="218"/>
        <v>62173.649181188579</v>
      </c>
      <c r="AE48" s="16">
        <f t="shared" si="219"/>
        <v>80105.64796085711</v>
      </c>
      <c r="AF48" s="16">
        <f t="shared" si="220"/>
        <v>93038.397424893075</v>
      </c>
      <c r="AG48" s="16">
        <f t="shared" si="221"/>
        <v>99283.492786331553</v>
      </c>
      <c r="AH48" s="16">
        <f t="shared" si="222"/>
        <v>0</v>
      </c>
      <c r="AI48" s="16">
        <f t="shared" si="223"/>
        <v>0</v>
      </c>
      <c r="AJ48" s="16">
        <f t="shared" si="224"/>
        <v>0</v>
      </c>
      <c r="AK48" s="16">
        <f t="shared" si="225"/>
        <v>0</v>
      </c>
      <c r="AL48" s="16">
        <f t="shared" si="226"/>
        <v>0</v>
      </c>
      <c r="AM48" s="16">
        <f t="shared" si="227"/>
        <v>0</v>
      </c>
      <c r="AN48" s="16">
        <f t="shared" si="228"/>
        <v>0</v>
      </c>
      <c r="AO48" s="16">
        <f t="shared" si="229"/>
        <v>0</v>
      </c>
      <c r="AP48" s="16">
        <f t="shared" si="230"/>
        <v>0</v>
      </c>
      <c r="AQ48" s="16">
        <f t="shared" si="231"/>
        <v>0</v>
      </c>
      <c r="AR48" s="16">
        <f t="shared" si="232"/>
        <v>0</v>
      </c>
      <c r="AS48" s="16">
        <f t="shared" si="233"/>
        <v>0</v>
      </c>
      <c r="AT48" s="16">
        <f t="shared" si="234"/>
        <v>0</v>
      </c>
      <c r="AU48" s="16">
        <f t="shared" si="235"/>
        <v>0</v>
      </c>
      <c r="AV48" s="16">
        <f t="shared" si="236"/>
        <v>0</v>
      </c>
      <c r="AW48" s="16">
        <f t="shared" si="237"/>
        <v>0</v>
      </c>
      <c r="AX48" s="16"/>
      <c r="AY48" s="16"/>
      <c r="AZ48" s="16"/>
      <c r="BA48" s="16"/>
      <c r="BB48" s="16"/>
      <c r="BC48" s="16"/>
      <c r="BD48" s="16"/>
      <c r="BE48" s="16"/>
      <c r="BF48" s="16"/>
      <c r="BG48" s="16"/>
      <c r="BH48" s="16"/>
      <c r="BI48" s="16"/>
      <c r="BJ48" s="16"/>
      <c r="BK48" s="16"/>
      <c r="BL48" s="16"/>
      <c r="BM48" s="16"/>
      <c r="BN48" s="16"/>
      <c r="BO48" s="16"/>
      <c r="BP48" s="16"/>
      <c r="BQ48" s="16"/>
      <c r="BR48" s="16"/>
      <c r="BS48" s="16"/>
      <c r="BT48" s="16"/>
      <c r="BU48" s="16"/>
      <c r="BV48" s="16"/>
      <c r="BW48" s="16"/>
      <c r="BX48" s="16"/>
      <c r="BY48" s="16"/>
      <c r="BZ48" s="16"/>
      <c r="CA48" s="16"/>
      <c r="CB48" s="16"/>
      <c r="CC48" s="16"/>
      <c r="CD48" s="16"/>
      <c r="CE48" s="16"/>
      <c r="CF48" s="16"/>
      <c r="CG48" s="16"/>
      <c r="CH48" s="16">
        <f>CG47</f>
        <v>363135.6295972222</v>
      </c>
      <c r="CI48" s="16">
        <f t="shared" si="252"/>
        <v>13685.887930555555</v>
      </c>
      <c r="CJ48" s="16">
        <f t="shared" si="252"/>
        <v>33965.746402777775</v>
      </c>
      <c r="CK48" s="16">
        <f t="shared" si="252"/>
        <v>12892.889333333329</v>
      </c>
      <c r="CL48" s="16">
        <f t="shared" si="252"/>
        <v>30290.257861111106</v>
      </c>
      <c r="CM48" s="16">
        <f t="shared" si="252"/>
        <v>29777.734680555553</v>
      </c>
      <c r="CN48" s="16">
        <f t="shared" si="242"/>
        <v>11880.608055555555</v>
      </c>
      <c r="CO48" s="16">
        <f t="shared" si="242"/>
        <v>12716.556513888887</v>
      </c>
      <c r="CP48" s="16">
        <f t="shared" si="242"/>
        <v>33863.902333333332</v>
      </c>
      <c r="CQ48" s="16">
        <f t="shared" si="242"/>
        <v>7752.5538611111115</v>
      </c>
      <c r="CR48" s="16">
        <f t="shared" si="242"/>
        <v>32529.937902777772</v>
      </c>
      <c r="CS48" s="16">
        <f t="shared" si="242"/>
        <v>42655.816689451385</v>
      </c>
      <c r="CT48" s="16">
        <f t="shared" si="243"/>
        <v>11817.242199999999</v>
      </c>
      <c r="CU48" s="16">
        <f t="shared" si="253"/>
        <v>17900.991307708486</v>
      </c>
      <c r="CV48" s="16">
        <f t="shared" si="253"/>
        <v>26253.888747970756</v>
      </c>
      <c r="CW48" s="16">
        <f t="shared" si="253"/>
        <v>18018.769125509334</v>
      </c>
      <c r="CX48" s="16">
        <f t="shared" si="253"/>
        <v>20634.9077788908</v>
      </c>
      <c r="CY48" s="16">
        <f t="shared" si="253"/>
        <v>48223.134716626795</v>
      </c>
      <c r="CZ48" s="16">
        <f t="shared" si="253"/>
        <v>11247.605465339511</v>
      </c>
      <c r="DA48" s="16">
        <f t="shared" si="253"/>
        <v>35934.263055192489</v>
      </c>
      <c r="DB48" s="16">
        <f t="shared" si="253"/>
        <v>40141.269291773686</v>
      </c>
      <c r="DC48" s="16">
        <f t="shared" si="253"/>
        <v>16962.865077926886</v>
      </c>
      <c r="DD48" s="16">
        <f t="shared" si="253"/>
        <v>41957.873263836715</v>
      </c>
      <c r="DE48" s="16">
        <f t="shared" si="253"/>
        <v>57325.619522494839</v>
      </c>
      <c r="DF48" s="16">
        <f t="shared" si="253"/>
        <v>0</v>
      </c>
      <c r="DG48" s="16">
        <f t="shared" si="253"/>
        <v>0</v>
      </c>
      <c r="DH48" s="16">
        <f t="shared" si="253"/>
        <v>0</v>
      </c>
      <c r="DI48" s="16">
        <f t="shared" si="253"/>
        <v>0</v>
      </c>
      <c r="DJ48" s="16">
        <f t="shared" si="253"/>
        <v>0</v>
      </c>
      <c r="DK48" s="16">
        <f t="shared" si="253"/>
        <v>0</v>
      </c>
      <c r="DL48" s="16">
        <f t="shared" si="253"/>
        <v>0</v>
      </c>
      <c r="DM48" s="16">
        <f t="shared" si="253"/>
        <v>0</v>
      </c>
      <c r="DN48" s="16">
        <f t="shared" si="253"/>
        <v>0</v>
      </c>
      <c r="DO48" s="16">
        <f t="shared" si="253"/>
        <v>0</v>
      </c>
      <c r="DP48" s="16">
        <f t="shared" si="253"/>
        <v>0</v>
      </c>
      <c r="DQ48" s="16">
        <f t="shared" si="253"/>
        <v>0</v>
      </c>
      <c r="DR48" s="16">
        <f t="shared" si="253"/>
        <v>0</v>
      </c>
      <c r="DS48" s="16">
        <f t="shared" si="253"/>
        <v>0</v>
      </c>
      <c r="DT48" s="16">
        <f t="shared" si="253"/>
        <v>0</v>
      </c>
      <c r="DU48" s="16">
        <f t="shared" si="253"/>
        <v>0</v>
      </c>
      <c r="DV48" s="16">
        <f t="shared" si="253"/>
        <v>0</v>
      </c>
      <c r="DW48" s="16">
        <f t="shared" si="253"/>
        <v>0</v>
      </c>
      <c r="DX48" s="16">
        <f t="shared" si="253"/>
        <v>0</v>
      </c>
      <c r="DY48" s="16">
        <f t="shared" si="253"/>
        <v>0</v>
      </c>
      <c r="DZ48" s="16">
        <f t="shared" si="253"/>
        <v>0</v>
      </c>
      <c r="EA48" s="16">
        <f t="shared" si="253"/>
        <v>0</v>
      </c>
      <c r="EB48" s="16">
        <f t="shared" si="253"/>
        <v>0</v>
      </c>
      <c r="EC48" s="16">
        <f t="shared" si="253"/>
        <v>0</v>
      </c>
      <c r="ED48" s="16">
        <f t="shared" si="253"/>
        <v>0</v>
      </c>
      <c r="EE48" s="16">
        <f t="shared" si="253"/>
        <v>0</v>
      </c>
      <c r="EF48" s="16">
        <f t="shared" si="253"/>
        <v>0</v>
      </c>
      <c r="EG48" s="16">
        <f t="shared" si="253"/>
        <v>0</v>
      </c>
      <c r="EH48" s="16">
        <f t="shared" si="253"/>
        <v>0</v>
      </c>
      <c r="EI48" s="16">
        <f t="shared" si="253"/>
        <v>0</v>
      </c>
      <c r="EJ48" s="16">
        <f t="shared" si="253"/>
        <v>0</v>
      </c>
      <c r="EK48" s="16">
        <f t="shared" si="253"/>
        <v>0</v>
      </c>
      <c r="EL48" s="16">
        <f t="shared" si="253"/>
        <v>0</v>
      </c>
      <c r="EM48" s="16">
        <f t="shared" si="253"/>
        <v>0</v>
      </c>
      <c r="EN48" s="16">
        <f t="shared" si="253"/>
        <v>0</v>
      </c>
      <c r="EO48" s="16">
        <f t="shared" si="253"/>
        <v>0</v>
      </c>
      <c r="EP48" s="16">
        <f t="shared" si="253"/>
        <v>0</v>
      </c>
      <c r="EQ48" s="16">
        <f t="shared" si="253"/>
        <v>0</v>
      </c>
      <c r="ER48" s="16">
        <f t="shared" si="253"/>
        <v>0</v>
      </c>
      <c r="ES48" s="16">
        <f t="shared" si="253"/>
        <v>0</v>
      </c>
      <c r="ET48" s="16">
        <f t="shared" si="253"/>
        <v>0</v>
      </c>
      <c r="EU48" s="16">
        <f t="shared" si="253"/>
        <v>0</v>
      </c>
      <c r="EV48" s="16">
        <f t="shared" si="253"/>
        <v>0</v>
      </c>
      <c r="EW48" s="16">
        <f t="shared" si="253"/>
        <v>0</v>
      </c>
      <c r="EX48" s="16">
        <f t="shared" si="253"/>
        <v>0</v>
      </c>
      <c r="EY48" s="16">
        <f t="shared" si="253"/>
        <v>0</v>
      </c>
      <c r="EZ48" s="16">
        <f t="shared" si="253"/>
        <v>0</v>
      </c>
      <c r="FA48" s="16">
        <f t="shared" si="253"/>
        <v>0</v>
      </c>
      <c r="FB48" s="16">
        <f t="shared" si="253"/>
        <v>0</v>
      </c>
    </row>
    <row r="49" spans="3:158" x14ac:dyDescent="0.25">
      <c r="C49" s="248" t="s">
        <v>750</v>
      </c>
      <c r="D49" s="16">
        <f t="shared" si="250"/>
        <v>0</v>
      </c>
      <c r="E49" s="16">
        <f t="shared" si="250"/>
        <v>0</v>
      </c>
      <c r="F49" s="16">
        <f t="shared" si="250"/>
        <v>0</v>
      </c>
      <c r="G49" s="16">
        <f t="shared" si="250"/>
        <v>625147.52116167359</v>
      </c>
      <c r="H49" s="16">
        <f t="shared" si="250"/>
        <v>346418.42955327028</v>
      </c>
      <c r="I49" s="16">
        <f t="shared" si="250"/>
        <v>0</v>
      </c>
      <c r="J49" s="16">
        <f t="shared" si="250"/>
        <v>0</v>
      </c>
      <c r="K49" s="16">
        <f t="shared" si="250"/>
        <v>0</v>
      </c>
      <c r="L49" s="16">
        <f t="shared" si="250"/>
        <v>0</v>
      </c>
      <c r="M49" s="16"/>
      <c r="N49" s="16">
        <f t="shared" si="202"/>
        <v>0</v>
      </c>
      <c r="O49" s="16">
        <f t="shared" si="203"/>
        <v>0</v>
      </c>
      <c r="P49" s="16">
        <f t="shared" si="204"/>
        <v>0</v>
      </c>
      <c r="Q49" s="16">
        <f t="shared" si="205"/>
        <v>0</v>
      </c>
      <c r="R49" s="16">
        <f t="shared" si="206"/>
        <v>0</v>
      </c>
      <c r="S49" s="16">
        <f t="shared" si="207"/>
        <v>0</v>
      </c>
      <c r="T49" s="16">
        <f t="shared" si="208"/>
        <v>0</v>
      </c>
      <c r="U49" s="16">
        <f t="shared" si="209"/>
        <v>0</v>
      </c>
      <c r="V49" s="16">
        <f t="shared" si="210"/>
        <v>0</v>
      </c>
      <c r="W49" s="16">
        <f t="shared" si="211"/>
        <v>0</v>
      </c>
      <c r="X49" s="16">
        <f t="shared" si="212"/>
        <v>0</v>
      </c>
      <c r="Y49" s="16">
        <f t="shared" si="213"/>
        <v>0</v>
      </c>
      <c r="Z49" s="16">
        <f t="shared" si="214"/>
        <v>410787.26393055555</v>
      </c>
      <c r="AA49" s="16">
        <f t="shared" si="215"/>
        <v>72960.881874999992</v>
      </c>
      <c r="AB49" s="16">
        <f t="shared" si="216"/>
        <v>58461.066902777777</v>
      </c>
      <c r="AC49" s="16">
        <f t="shared" si="217"/>
        <v>82938.308453340273</v>
      </c>
      <c r="AD49" s="16">
        <f t="shared" si="218"/>
        <v>55972.122255679242</v>
      </c>
      <c r="AE49" s="16">
        <f t="shared" si="219"/>
        <v>86876.811621026922</v>
      </c>
      <c r="AF49" s="16">
        <f t="shared" si="220"/>
        <v>87323.137812305678</v>
      </c>
      <c r="AG49" s="16">
        <f t="shared" si="221"/>
        <v>116246.35786425843</v>
      </c>
      <c r="AH49" s="16">
        <f t="shared" si="222"/>
        <v>0</v>
      </c>
      <c r="AI49" s="16">
        <f t="shared" si="223"/>
        <v>0</v>
      </c>
      <c r="AJ49" s="16">
        <f t="shared" si="224"/>
        <v>0</v>
      </c>
      <c r="AK49" s="16">
        <f t="shared" si="225"/>
        <v>0</v>
      </c>
      <c r="AL49" s="16">
        <f t="shared" si="226"/>
        <v>0</v>
      </c>
      <c r="AM49" s="16">
        <f t="shared" si="227"/>
        <v>0</v>
      </c>
      <c r="AN49" s="16">
        <f t="shared" si="228"/>
        <v>0</v>
      </c>
      <c r="AO49" s="16">
        <f t="shared" si="229"/>
        <v>0</v>
      </c>
      <c r="AP49" s="16">
        <f t="shared" si="230"/>
        <v>0</v>
      </c>
      <c r="AQ49" s="16">
        <f t="shared" si="231"/>
        <v>0</v>
      </c>
      <c r="AR49" s="16">
        <f t="shared" si="232"/>
        <v>0</v>
      </c>
      <c r="AS49" s="16">
        <f t="shared" si="233"/>
        <v>0</v>
      </c>
      <c r="AT49" s="16">
        <f t="shared" si="234"/>
        <v>0</v>
      </c>
      <c r="AU49" s="16">
        <f t="shared" si="235"/>
        <v>0</v>
      </c>
      <c r="AV49" s="16">
        <f t="shared" si="236"/>
        <v>0</v>
      </c>
      <c r="AW49" s="16">
        <f t="shared" si="237"/>
        <v>0</v>
      </c>
      <c r="AX49" s="16"/>
      <c r="AY49" s="16"/>
      <c r="AZ49" s="16"/>
      <c r="BA49" s="16"/>
      <c r="BB49" s="16"/>
      <c r="BC49" s="16"/>
      <c r="BD49" s="16"/>
      <c r="BE49" s="16"/>
      <c r="BF49" s="16"/>
      <c r="BG49" s="16"/>
      <c r="BH49" s="16"/>
      <c r="BI49" s="16"/>
      <c r="BJ49" s="16"/>
      <c r="BK49" s="16"/>
      <c r="BL49" s="16"/>
      <c r="BM49" s="16"/>
      <c r="BN49" s="16"/>
      <c r="BO49" s="16"/>
      <c r="BP49" s="16"/>
      <c r="BQ49" s="16"/>
      <c r="BR49" s="16"/>
      <c r="BS49" s="16"/>
      <c r="BT49" s="16"/>
      <c r="BU49" s="16"/>
      <c r="BV49" s="16"/>
      <c r="BW49" s="16"/>
      <c r="BX49" s="16"/>
      <c r="BY49" s="16"/>
      <c r="BZ49" s="16"/>
      <c r="CA49" s="16"/>
      <c r="CB49" s="16"/>
      <c r="CC49" s="16"/>
      <c r="CD49" s="16"/>
      <c r="CE49" s="16"/>
      <c r="CF49" s="16"/>
      <c r="CG49" s="16"/>
      <c r="CH49" s="16"/>
      <c r="CI49" s="16">
        <f>CH48</f>
        <v>363135.6295972222</v>
      </c>
      <c r="CJ49" s="16">
        <f t="shared" si="252"/>
        <v>13685.887930555555</v>
      </c>
      <c r="CK49" s="16">
        <f t="shared" si="252"/>
        <v>33965.746402777775</v>
      </c>
      <c r="CL49" s="16">
        <f t="shared" si="252"/>
        <v>12892.889333333329</v>
      </c>
      <c r="CM49" s="16">
        <f t="shared" si="252"/>
        <v>30290.257861111106</v>
      </c>
      <c r="CN49" s="16">
        <f t="shared" si="242"/>
        <v>29777.734680555553</v>
      </c>
      <c r="CO49" s="16">
        <f t="shared" si="242"/>
        <v>11880.608055555555</v>
      </c>
      <c r="CP49" s="16">
        <f t="shared" si="242"/>
        <v>12716.556513888887</v>
      </c>
      <c r="CQ49" s="16">
        <f t="shared" si="242"/>
        <v>33863.902333333332</v>
      </c>
      <c r="CR49" s="16">
        <f t="shared" si="242"/>
        <v>7752.5538611111115</v>
      </c>
      <c r="CS49" s="16">
        <f t="shared" si="242"/>
        <v>32529.937902777772</v>
      </c>
      <c r="CT49" s="16">
        <f t="shared" si="243"/>
        <v>42655.816689451385</v>
      </c>
      <c r="CU49" s="16">
        <f t="shared" si="253"/>
        <v>11817.242199999999</v>
      </c>
      <c r="CV49" s="16">
        <f t="shared" si="253"/>
        <v>17900.991307708486</v>
      </c>
      <c r="CW49" s="16">
        <f t="shared" si="253"/>
        <v>26253.888747970756</v>
      </c>
      <c r="CX49" s="16">
        <f t="shared" si="253"/>
        <v>18018.769125509334</v>
      </c>
      <c r="CY49" s="16">
        <f t="shared" si="253"/>
        <v>20634.9077788908</v>
      </c>
      <c r="CZ49" s="16">
        <f t="shared" si="253"/>
        <v>48223.134716626795</v>
      </c>
      <c r="DA49" s="16">
        <f t="shared" si="253"/>
        <v>11247.605465339511</v>
      </c>
      <c r="DB49" s="16">
        <f t="shared" si="253"/>
        <v>35934.263055192489</v>
      </c>
      <c r="DC49" s="16">
        <f t="shared" si="253"/>
        <v>40141.269291773686</v>
      </c>
      <c r="DD49" s="16">
        <f t="shared" si="253"/>
        <v>16962.865077926886</v>
      </c>
      <c r="DE49" s="16">
        <f t="shared" si="253"/>
        <v>41957.873263836715</v>
      </c>
      <c r="DF49" s="16">
        <f t="shared" si="253"/>
        <v>57325.619522494839</v>
      </c>
      <c r="DG49" s="16">
        <f t="shared" si="253"/>
        <v>0</v>
      </c>
      <c r="DH49" s="16">
        <f t="shared" si="253"/>
        <v>0</v>
      </c>
      <c r="DI49" s="16">
        <f t="shared" si="253"/>
        <v>0</v>
      </c>
      <c r="DJ49" s="16">
        <f t="shared" si="253"/>
        <v>0</v>
      </c>
      <c r="DK49" s="16">
        <f t="shared" si="253"/>
        <v>0</v>
      </c>
      <c r="DL49" s="16">
        <f t="shared" si="253"/>
        <v>0</v>
      </c>
      <c r="DM49" s="16">
        <f t="shared" si="253"/>
        <v>0</v>
      </c>
      <c r="DN49" s="16">
        <f t="shared" si="253"/>
        <v>0</v>
      </c>
      <c r="DO49" s="16">
        <f t="shared" si="253"/>
        <v>0</v>
      </c>
      <c r="DP49" s="16">
        <f t="shared" si="253"/>
        <v>0</v>
      </c>
      <c r="DQ49" s="16">
        <f t="shared" si="253"/>
        <v>0</v>
      </c>
      <c r="DR49" s="16">
        <f t="shared" si="253"/>
        <v>0</v>
      </c>
      <c r="DS49" s="16">
        <f t="shared" si="253"/>
        <v>0</v>
      </c>
      <c r="DT49" s="16">
        <f t="shared" si="253"/>
        <v>0</v>
      </c>
      <c r="DU49" s="16">
        <f t="shared" si="253"/>
        <v>0</v>
      </c>
      <c r="DV49" s="16">
        <f t="shared" si="253"/>
        <v>0</v>
      </c>
      <c r="DW49" s="16">
        <f t="shared" si="253"/>
        <v>0</v>
      </c>
      <c r="DX49" s="16">
        <f t="shared" si="253"/>
        <v>0</v>
      </c>
      <c r="DY49" s="16">
        <f t="shared" si="253"/>
        <v>0</v>
      </c>
      <c r="DZ49" s="16">
        <f t="shared" si="253"/>
        <v>0</v>
      </c>
      <c r="EA49" s="16">
        <f t="shared" si="253"/>
        <v>0</v>
      </c>
      <c r="EB49" s="16">
        <f t="shared" si="253"/>
        <v>0</v>
      </c>
      <c r="EC49" s="16">
        <f t="shared" si="253"/>
        <v>0</v>
      </c>
      <c r="ED49" s="16">
        <f t="shared" si="253"/>
        <v>0</v>
      </c>
      <c r="EE49" s="16">
        <f t="shared" si="253"/>
        <v>0</v>
      </c>
      <c r="EF49" s="16">
        <f t="shared" si="253"/>
        <v>0</v>
      </c>
      <c r="EG49" s="16">
        <f t="shared" si="253"/>
        <v>0</v>
      </c>
      <c r="EH49" s="16">
        <f t="shared" si="253"/>
        <v>0</v>
      </c>
      <c r="EI49" s="16">
        <f t="shared" si="253"/>
        <v>0</v>
      </c>
      <c r="EJ49" s="16">
        <f t="shared" si="253"/>
        <v>0</v>
      </c>
      <c r="EK49" s="16">
        <f t="shared" si="253"/>
        <v>0</v>
      </c>
      <c r="EL49" s="16">
        <f t="shared" si="253"/>
        <v>0</v>
      </c>
      <c r="EM49" s="16">
        <f t="shared" si="253"/>
        <v>0</v>
      </c>
      <c r="EN49" s="16">
        <f t="shared" si="253"/>
        <v>0</v>
      </c>
      <c r="EO49" s="16">
        <f t="shared" si="253"/>
        <v>0</v>
      </c>
      <c r="EP49" s="16">
        <f t="shared" si="253"/>
        <v>0</v>
      </c>
      <c r="EQ49" s="16">
        <f t="shared" si="253"/>
        <v>0</v>
      </c>
      <c r="ER49" s="16">
        <f t="shared" si="253"/>
        <v>0</v>
      </c>
      <c r="ES49" s="16">
        <f t="shared" si="253"/>
        <v>0</v>
      </c>
      <c r="ET49" s="16">
        <f t="shared" si="253"/>
        <v>0</v>
      </c>
      <c r="EU49" s="16">
        <f t="shared" si="253"/>
        <v>0</v>
      </c>
      <c r="EV49" s="16">
        <f t="shared" si="253"/>
        <v>0</v>
      </c>
      <c r="EW49" s="16">
        <f t="shared" si="253"/>
        <v>0</v>
      </c>
      <c r="EX49" s="16">
        <f t="shared" si="253"/>
        <v>0</v>
      </c>
      <c r="EY49" s="16">
        <f t="shared" si="253"/>
        <v>0</v>
      </c>
      <c r="EZ49" s="16">
        <f t="shared" si="253"/>
        <v>0</v>
      </c>
      <c r="FA49" s="16">
        <f t="shared" si="253"/>
        <v>0</v>
      </c>
      <c r="FB49" s="16">
        <f t="shared" si="253"/>
        <v>0</v>
      </c>
    </row>
    <row r="50" spans="3:158" x14ac:dyDescent="0.25">
      <c r="C50" s="248" t="s">
        <v>751</v>
      </c>
      <c r="D50" s="16">
        <f t="shared" si="250"/>
        <v>0</v>
      </c>
      <c r="E50" s="16">
        <f t="shared" si="250"/>
        <v>0</v>
      </c>
      <c r="F50" s="16">
        <f t="shared" si="250"/>
        <v>0</v>
      </c>
      <c r="G50" s="16">
        <f t="shared" si="250"/>
        <v>582491.70447222225</v>
      </c>
      <c r="H50" s="16">
        <f t="shared" si="250"/>
        <v>331748.62672022684</v>
      </c>
      <c r="I50" s="16">
        <f t="shared" si="250"/>
        <v>57325.619522494839</v>
      </c>
      <c r="J50" s="16">
        <f t="shared" si="250"/>
        <v>0</v>
      </c>
      <c r="K50" s="16">
        <f t="shared" si="250"/>
        <v>0</v>
      </c>
      <c r="L50" s="16">
        <f t="shared" si="250"/>
        <v>0</v>
      </c>
      <c r="M50" s="16"/>
      <c r="N50" s="16">
        <f t="shared" si="202"/>
        <v>0</v>
      </c>
      <c r="O50" s="16">
        <f t="shared" si="203"/>
        <v>0</v>
      </c>
      <c r="P50" s="16">
        <f t="shared" si="204"/>
        <v>0</v>
      </c>
      <c r="Q50" s="16">
        <f t="shared" si="205"/>
        <v>0</v>
      </c>
      <c r="R50" s="16">
        <f t="shared" si="206"/>
        <v>0</v>
      </c>
      <c r="S50" s="16">
        <f t="shared" si="207"/>
        <v>0</v>
      </c>
      <c r="T50" s="16">
        <f t="shared" si="208"/>
        <v>0</v>
      </c>
      <c r="U50" s="16">
        <f t="shared" si="209"/>
        <v>0</v>
      </c>
      <c r="V50" s="16">
        <f t="shared" si="210"/>
        <v>0</v>
      </c>
      <c r="W50" s="16">
        <f t="shared" si="211"/>
        <v>0</v>
      </c>
      <c r="X50" s="16">
        <f t="shared" si="212"/>
        <v>0</v>
      </c>
      <c r="Y50" s="16">
        <f t="shared" si="213"/>
        <v>0</v>
      </c>
      <c r="Z50" s="16">
        <f t="shared" si="214"/>
        <v>376821.51752777776</v>
      </c>
      <c r="AA50" s="16">
        <f t="shared" si="215"/>
        <v>77148.89359722221</v>
      </c>
      <c r="AB50" s="16">
        <f t="shared" si="216"/>
        <v>54374.899249999995</v>
      </c>
      <c r="AC50" s="16">
        <f t="shared" si="217"/>
        <v>74146.394097222219</v>
      </c>
      <c r="AD50" s="16">
        <f t="shared" si="218"/>
        <v>72374.050197159871</v>
      </c>
      <c r="AE50" s="16">
        <f t="shared" si="219"/>
        <v>64907.565652370889</v>
      </c>
      <c r="AF50" s="16">
        <f t="shared" si="220"/>
        <v>95405.003237158788</v>
      </c>
      <c r="AG50" s="16">
        <f t="shared" si="221"/>
        <v>99062.007633537287</v>
      </c>
      <c r="AH50" s="16">
        <f t="shared" si="222"/>
        <v>57325.619522494839</v>
      </c>
      <c r="AI50" s="16">
        <f t="shared" si="223"/>
        <v>0</v>
      </c>
      <c r="AJ50" s="16">
        <f t="shared" si="224"/>
        <v>0</v>
      </c>
      <c r="AK50" s="16">
        <f t="shared" si="225"/>
        <v>0</v>
      </c>
      <c r="AL50" s="16">
        <f t="shared" si="226"/>
        <v>0</v>
      </c>
      <c r="AM50" s="16">
        <f t="shared" si="227"/>
        <v>0</v>
      </c>
      <c r="AN50" s="16">
        <f t="shared" si="228"/>
        <v>0</v>
      </c>
      <c r="AO50" s="16">
        <f t="shared" si="229"/>
        <v>0</v>
      </c>
      <c r="AP50" s="16">
        <f t="shared" si="230"/>
        <v>0</v>
      </c>
      <c r="AQ50" s="16">
        <f t="shared" si="231"/>
        <v>0</v>
      </c>
      <c r="AR50" s="16">
        <f t="shared" si="232"/>
        <v>0</v>
      </c>
      <c r="AS50" s="16">
        <f t="shared" si="233"/>
        <v>0</v>
      </c>
      <c r="AT50" s="16">
        <f t="shared" si="234"/>
        <v>0</v>
      </c>
      <c r="AU50" s="16">
        <f t="shared" si="235"/>
        <v>0</v>
      </c>
      <c r="AV50" s="16">
        <f t="shared" si="236"/>
        <v>0</v>
      </c>
      <c r="AW50" s="16">
        <f t="shared" si="237"/>
        <v>0</v>
      </c>
      <c r="AX50" s="16"/>
      <c r="AY50" s="16"/>
      <c r="AZ50" s="16"/>
      <c r="BA50" s="16"/>
      <c r="BB50" s="16"/>
      <c r="BC50" s="16"/>
      <c r="BD50" s="16"/>
      <c r="BE50" s="16"/>
      <c r="BF50" s="16"/>
      <c r="BG50" s="16"/>
      <c r="BH50" s="16"/>
      <c r="BI50" s="16"/>
      <c r="BJ50" s="16"/>
      <c r="BK50" s="16"/>
      <c r="BL50" s="16"/>
      <c r="BM50" s="16"/>
      <c r="BN50" s="16"/>
      <c r="BO50" s="16"/>
      <c r="BP50" s="16"/>
      <c r="BQ50" s="16"/>
      <c r="BR50" s="16"/>
      <c r="BS50" s="16"/>
      <c r="BT50" s="16"/>
      <c r="BU50" s="16"/>
      <c r="BV50" s="16"/>
      <c r="BW50" s="16"/>
      <c r="BX50" s="16"/>
      <c r="BY50" s="16"/>
      <c r="BZ50" s="16"/>
      <c r="CA50" s="16"/>
      <c r="CB50" s="16"/>
      <c r="CC50" s="16"/>
      <c r="CD50" s="16"/>
      <c r="CE50" s="16"/>
      <c r="CF50" s="16"/>
      <c r="CG50" s="16"/>
      <c r="CH50" s="16"/>
      <c r="CI50" s="16"/>
      <c r="CJ50" s="16">
        <f>CI49</f>
        <v>363135.6295972222</v>
      </c>
      <c r="CK50" s="16">
        <f t="shared" si="252"/>
        <v>13685.887930555555</v>
      </c>
      <c r="CL50" s="16">
        <f t="shared" si="252"/>
        <v>33965.746402777775</v>
      </c>
      <c r="CM50" s="16">
        <f t="shared" si="252"/>
        <v>12892.889333333329</v>
      </c>
      <c r="CN50" s="16">
        <f t="shared" si="242"/>
        <v>30290.257861111106</v>
      </c>
      <c r="CO50" s="16">
        <f t="shared" si="242"/>
        <v>29777.734680555553</v>
      </c>
      <c r="CP50" s="16">
        <f t="shared" si="242"/>
        <v>11880.608055555555</v>
      </c>
      <c r="CQ50" s="16">
        <f t="shared" si="242"/>
        <v>12716.556513888887</v>
      </c>
      <c r="CR50" s="16">
        <f t="shared" si="242"/>
        <v>33863.902333333332</v>
      </c>
      <c r="CS50" s="16">
        <f t="shared" si="242"/>
        <v>7752.5538611111115</v>
      </c>
      <c r="CT50" s="16">
        <f t="shared" si="243"/>
        <v>32529.937902777772</v>
      </c>
      <c r="CU50" s="16">
        <f t="shared" si="253"/>
        <v>42655.816689451385</v>
      </c>
      <c r="CV50" s="16">
        <f t="shared" si="253"/>
        <v>11817.242199999999</v>
      </c>
      <c r="CW50" s="16">
        <f t="shared" si="253"/>
        <v>17900.991307708486</v>
      </c>
      <c r="CX50" s="16">
        <f t="shared" si="253"/>
        <v>26253.888747970756</v>
      </c>
      <c r="CY50" s="16">
        <f t="shared" si="253"/>
        <v>18018.769125509334</v>
      </c>
      <c r="CZ50" s="16">
        <f t="shared" si="253"/>
        <v>20634.9077788908</v>
      </c>
      <c r="DA50" s="16">
        <f t="shared" si="253"/>
        <v>48223.134716626795</v>
      </c>
      <c r="DB50" s="16">
        <f t="shared" si="253"/>
        <v>11247.605465339511</v>
      </c>
      <c r="DC50" s="16">
        <f t="shared" si="253"/>
        <v>35934.263055192489</v>
      </c>
      <c r="DD50" s="16">
        <f t="shared" si="253"/>
        <v>40141.269291773686</v>
      </c>
      <c r="DE50" s="16">
        <f t="shared" si="253"/>
        <v>16962.865077926886</v>
      </c>
      <c r="DF50" s="16">
        <f t="shared" si="253"/>
        <v>41957.873263836715</v>
      </c>
      <c r="DG50" s="16">
        <f t="shared" si="253"/>
        <v>57325.619522494839</v>
      </c>
      <c r="DH50" s="16">
        <f t="shared" si="253"/>
        <v>0</v>
      </c>
      <c r="DI50" s="16">
        <f t="shared" si="253"/>
        <v>0</v>
      </c>
      <c r="DJ50" s="16">
        <f t="shared" si="253"/>
        <v>0</v>
      </c>
      <c r="DK50" s="16">
        <f t="shared" si="253"/>
        <v>0</v>
      </c>
      <c r="DL50" s="16">
        <f t="shared" si="253"/>
        <v>0</v>
      </c>
      <c r="DM50" s="16">
        <f t="shared" si="253"/>
        <v>0</v>
      </c>
      <c r="DN50" s="16">
        <f t="shared" si="253"/>
        <v>0</v>
      </c>
      <c r="DO50" s="16">
        <f t="shared" si="253"/>
        <v>0</v>
      </c>
      <c r="DP50" s="16">
        <f t="shared" si="253"/>
        <v>0</v>
      </c>
      <c r="DQ50" s="16">
        <f t="shared" si="253"/>
        <v>0</v>
      </c>
      <c r="DR50" s="16">
        <f t="shared" si="253"/>
        <v>0</v>
      </c>
      <c r="DS50" s="16">
        <f t="shared" si="253"/>
        <v>0</v>
      </c>
      <c r="DT50" s="16">
        <f t="shared" si="253"/>
        <v>0</v>
      </c>
      <c r="DU50" s="16">
        <f t="shared" si="253"/>
        <v>0</v>
      </c>
      <c r="DV50" s="16">
        <f t="shared" si="253"/>
        <v>0</v>
      </c>
      <c r="DW50" s="16">
        <f t="shared" si="253"/>
        <v>0</v>
      </c>
      <c r="DX50" s="16">
        <f t="shared" si="253"/>
        <v>0</v>
      </c>
      <c r="DY50" s="16">
        <f t="shared" si="253"/>
        <v>0</v>
      </c>
      <c r="DZ50" s="16">
        <f t="shared" si="253"/>
        <v>0</v>
      </c>
      <c r="EA50" s="16">
        <f t="shared" si="253"/>
        <v>0</v>
      </c>
      <c r="EB50" s="16">
        <f t="shared" si="253"/>
        <v>0</v>
      </c>
      <c r="EC50" s="16">
        <f t="shared" si="253"/>
        <v>0</v>
      </c>
      <c r="ED50" s="16">
        <f t="shared" si="253"/>
        <v>0</v>
      </c>
      <c r="EE50" s="16">
        <f t="shared" si="253"/>
        <v>0</v>
      </c>
      <c r="EF50" s="16">
        <f t="shared" si="253"/>
        <v>0</v>
      </c>
      <c r="EG50" s="16">
        <f t="shared" si="253"/>
        <v>0</v>
      </c>
      <c r="EH50" s="16">
        <f t="shared" si="253"/>
        <v>0</v>
      </c>
      <c r="EI50" s="16">
        <f t="shared" si="253"/>
        <v>0</v>
      </c>
      <c r="EJ50" s="16">
        <f t="shared" si="253"/>
        <v>0</v>
      </c>
      <c r="EK50" s="16">
        <f t="shared" si="253"/>
        <v>0</v>
      </c>
      <c r="EL50" s="16">
        <f t="shared" si="253"/>
        <v>0</v>
      </c>
      <c r="EM50" s="16">
        <f t="shared" si="253"/>
        <v>0</v>
      </c>
      <c r="EN50" s="16">
        <f t="shared" si="253"/>
        <v>0</v>
      </c>
      <c r="EO50" s="16">
        <f t="shared" si="253"/>
        <v>0</v>
      </c>
      <c r="EP50" s="16">
        <f t="shared" si="253"/>
        <v>0</v>
      </c>
      <c r="EQ50" s="16">
        <f t="shared" si="253"/>
        <v>0</v>
      </c>
      <c r="ER50" s="16">
        <f t="shared" si="253"/>
        <v>0</v>
      </c>
      <c r="ES50" s="16">
        <f t="shared" si="253"/>
        <v>0</v>
      </c>
      <c r="ET50" s="16">
        <f t="shared" si="253"/>
        <v>0</v>
      </c>
      <c r="EU50" s="16">
        <f t="shared" si="253"/>
        <v>0</v>
      </c>
      <c r="EV50" s="16">
        <f t="shared" si="253"/>
        <v>0</v>
      </c>
      <c r="EW50" s="16">
        <f t="shared" si="253"/>
        <v>0</v>
      </c>
      <c r="EX50" s="16">
        <f t="shared" si="253"/>
        <v>0</v>
      </c>
      <c r="EY50" s="16">
        <f t="shared" si="253"/>
        <v>0</v>
      </c>
      <c r="EZ50" s="16">
        <f t="shared" si="253"/>
        <v>0</v>
      </c>
      <c r="FA50" s="16">
        <f t="shared" si="253"/>
        <v>0</v>
      </c>
      <c r="FB50" s="16">
        <f t="shared" si="253"/>
        <v>0</v>
      </c>
    </row>
    <row r="51" spans="3:158" x14ac:dyDescent="0.25">
      <c r="C51" s="248" t="s">
        <v>752</v>
      </c>
      <c r="D51" s="16">
        <f t="shared" si="250"/>
        <v>0</v>
      </c>
      <c r="E51" s="16">
        <f t="shared" si="250"/>
        <v>0</v>
      </c>
      <c r="F51" s="16">
        <f t="shared" si="250"/>
        <v>0</v>
      </c>
      <c r="G51" s="16">
        <f t="shared" si="250"/>
        <v>549961.76656944444</v>
      </c>
      <c r="H51" s="16">
        <f t="shared" si="250"/>
        <v>322320.69135916786</v>
      </c>
      <c r="I51" s="16">
        <f t="shared" si="250"/>
        <v>99283.492786331553</v>
      </c>
      <c r="J51" s="16">
        <f t="shared" si="250"/>
        <v>0</v>
      </c>
      <c r="K51" s="16">
        <f t="shared" si="250"/>
        <v>0</v>
      </c>
      <c r="L51" s="16">
        <f t="shared" si="250"/>
        <v>0</v>
      </c>
      <c r="M51" s="16"/>
      <c r="N51" s="16">
        <f t="shared" si="202"/>
        <v>0</v>
      </c>
      <c r="O51" s="16">
        <f t="shared" si="203"/>
        <v>0</v>
      </c>
      <c r="P51" s="16">
        <f t="shared" si="204"/>
        <v>0</v>
      </c>
      <c r="Q51" s="16">
        <f t="shared" si="205"/>
        <v>0</v>
      </c>
      <c r="R51" s="16">
        <f t="shared" si="206"/>
        <v>0</v>
      </c>
      <c r="S51" s="16">
        <f t="shared" si="207"/>
        <v>0</v>
      </c>
      <c r="T51" s="16">
        <f t="shared" si="208"/>
        <v>0</v>
      </c>
      <c r="U51" s="16">
        <f t="shared" si="209"/>
        <v>0</v>
      </c>
      <c r="V51" s="16">
        <f t="shared" si="210"/>
        <v>0</v>
      </c>
      <c r="W51" s="16">
        <f t="shared" si="211"/>
        <v>0</v>
      </c>
      <c r="X51" s="16">
        <f t="shared" si="212"/>
        <v>0</v>
      </c>
      <c r="Y51" s="16">
        <f t="shared" si="213"/>
        <v>0</v>
      </c>
      <c r="Z51" s="16">
        <f t="shared" si="214"/>
        <v>363135.6295972222</v>
      </c>
      <c r="AA51" s="16">
        <f t="shared" si="215"/>
        <v>60544.523666666661</v>
      </c>
      <c r="AB51" s="16">
        <f t="shared" si="216"/>
        <v>71948.600597222219</v>
      </c>
      <c r="AC51" s="16">
        <f t="shared" si="217"/>
        <v>54333.012708333328</v>
      </c>
      <c r="AD51" s="16">
        <f t="shared" si="218"/>
        <v>87002.996792229154</v>
      </c>
      <c r="AE51" s="16">
        <f t="shared" si="219"/>
        <v>62173.649181188579</v>
      </c>
      <c r="AF51" s="16">
        <f t="shared" si="220"/>
        <v>80105.64796085711</v>
      </c>
      <c r="AG51" s="16">
        <f t="shared" si="221"/>
        <v>93038.397424893075</v>
      </c>
      <c r="AH51" s="16">
        <f t="shared" si="222"/>
        <v>99283.492786331553</v>
      </c>
      <c r="AI51" s="16">
        <f t="shared" si="223"/>
        <v>0</v>
      </c>
      <c r="AJ51" s="16">
        <f t="shared" si="224"/>
        <v>0</v>
      </c>
      <c r="AK51" s="16">
        <f t="shared" si="225"/>
        <v>0</v>
      </c>
      <c r="AL51" s="16">
        <f t="shared" si="226"/>
        <v>0</v>
      </c>
      <c r="AM51" s="16">
        <f t="shared" si="227"/>
        <v>0</v>
      </c>
      <c r="AN51" s="16">
        <f t="shared" si="228"/>
        <v>0</v>
      </c>
      <c r="AO51" s="16">
        <f t="shared" si="229"/>
        <v>0</v>
      </c>
      <c r="AP51" s="16">
        <f t="shared" si="230"/>
        <v>0</v>
      </c>
      <c r="AQ51" s="16">
        <f t="shared" si="231"/>
        <v>0</v>
      </c>
      <c r="AR51" s="16">
        <f t="shared" si="232"/>
        <v>0</v>
      </c>
      <c r="AS51" s="16">
        <f t="shared" si="233"/>
        <v>0</v>
      </c>
      <c r="AT51" s="16">
        <f t="shared" si="234"/>
        <v>0</v>
      </c>
      <c r="AU51" s="16">
        <f t="shared" si="235"/>
        <v>0</v>
      </c>
      <c r="AV51" s="16">
        <f t="shared" si="236"/>
        <v>0</v>
      </c>
      <c r="AW51" s="16">
        <f t="shared" si="237"/>
        <v>0</v>
      </c>
      <c r="AX51" s="16"/>
      <c r="AY51" s="16"/>
      <c r="AZ51" s="16"/>
      <c r="BA51" s="16"/>
      <c r="BB51" s="16"/>
      <c r="BC51" s="16"/>
      <c r="BD51" s="16"/>
      <c r="BE51" s="16"/>
      <c r="BF51" s="16"/>
      <c r="BG51" s="16"/>
      <c r="BH51" s="16"/>
      <c r="BI51" s="16"/>
      <c r="BJ51" s="16"/>
      <c r="BK51" s="16"/>
      <c r="BL51" s="16"/>
      <c r="BM51" s="16"/>
      <c r="BN51" s="16"/>
      <c r="BO51" s="16"/>
      <c r="BP51" s="16"/>
      <c r="BQ51" s="16"/>
      <c r="BR51" s="16"/>
      <c r="BS51" s="16"/>
      <c r="BT51" s="16"/>
      <c r="BU51" s="16"/>
      <c r="BV51" s="16"/>
      <c r="BW51" s="16"/>
      <c r="BX51" s="16"/>
      <c r="BY51" s="16"/>
      <c r="BZ51" s="16"/>
      <c r="CA51" s="16"/>
      <c r="CB51" s="16"/>
      <c r="CC51" s="16"/>
      <c r="CD51" s="16"/>
      <c r="CE51" s="16"/>
      <c r="CF51" s="16"/>
      <c r="CG51" s="16"/>
      <c r="CH51" s="16"/>
      <c r="CI51" s="16"/>
      <c r="CJ51" s="16"/>
      <c r="CK51" s="16">
        <f>CJ50</f>
        <v>363135.6295972222</v>
      </c>
      <c r="CL51" s="16">
        <f>CK50</f>
        <v>13685.887930555555</v>
      </c>
      <c r="CM51" s="16">
        <f t="shared" si="252"/>
        <v>33965.746402777775</v>
      </c>
      <c r="CN51" s="16">
        <f t="shared" si="242"/>
        <v>12892.889333333329</v>
      </c>
      <c r="CO51" s="16">
        <f t="shared" si="242"/>
        <v>30290.257861111106</v>
      </c>
      <c r="CP51" s="16">
        <f t="shared" si="242"/>
        <v>29777.734680555553</v>
      </c>
      <c r="CQ51" s="16">
        <f t="shared" si="242"/>
        <v>11880.608055555555</v>
      </c>
      <c r="CR51" s="16">
        <f t="shared" si="242"/>
        <v>12716.556513888887</v>
      </c>
      <c r="CS51" s="16">
        <f t="shared" si="242"/>
        <v>33863.902333333332</v>
      </c>
      <c r="CT51" s="16">
        <f t="shared" si="243"/>
        <v>7752.5538611111115</v>
      </c>
      <c r="CU51" s="16">
        <f t="shared" si="253"/>
        <v>32529.937902777772</v>
      </c>
      <c r="CV51" s="16">
        <f t="shared" si="253"/>
        <v>42655.816689451385</v>
      </c>
      <c r="CW51" s="16">
        <f t="shared" si="253"/>
        <v>11817.242199999999</v>
      </c>
      <c r="CX51" s="16">
        <f t="shared" si="253"/>
        <v>17900.991307708486</v>
      </c>
      <c r="CY51" s="16">
        <f t="shared" si="253"/>
        <v>26253.888747970756</v>
      </c>
      <c r="CZ51" s="16">
        <f t="shared" si="253"/>
        <v>18018.769125509334</v>
      </c>
      <c r="DA51" s="16">
        <f t="shared" si="253"/>
        <v>20634.9077788908</v>
      </c>
      <c r="DB51" s="16">
        <f t="shared" si="253"/>
        <v>48223.134716626795</v>
      </c>
      <c r="DC51" s="16">
        <f t="shared" si="253"/>
        <v>11247.605465339511</v>
      </c>
      <c r="DD51" s="16">
        <f t="shared" si="253"/>
        <v>35934.263055192489</v>
      </c>
      <c r="DE51" s="16">
        <f t="shared" si="253"/>
        <v>40141.269291773686</v>
      </c>
      <c r="DF51" s="16">
        <f t="shared" si="253"/>
        <v>16962.865077926886</v>
      </c>
      <c r="DG51" s="16">
        <f t="shared" si="253"/>
        <v>41957.873263836715</v>
      </c>
      <c r="DH51" s="16">
        <f t="shared" si="253"/>
        <v>57325.619522494839</v>
      </c>
      <c r="DI51" s="16">
        <f t="shared" si="253"/>
        <v>0</v>
      </c>
      <c r="DJ51" s="16">
        <f t="shared" si="253"/>
        <v>0</v>
      </c>
      <c r="DK51" s="16">
        <f t="shared" si="253"/>
        <v>0</v>
      </c>
      <c r="DL51" s="16">
        <f t="shared" si="253"/>
        <v>0</v>
      </c>
      <c r="DM51" s="16">
        <f t="shared" si="253"/>
        <v>0</v>
      </c>
      <c r="DN51" s="16">
        <f t="shared" si="253"/>
        <v>0</v>
      </c>
      <c r="DO51" s="16">
        <f t="shared" si="253"/>
        <v>0</v>
      </c>
      <c r="DP51" s="16">
        <f t="shared" si="253"/>
        <v>0</v>
      </c>
      <c r="DQ51" s="16">
        <f t="shared" si="253"/>
        <v>0</v>
      </c>
      <c r="DR51" s="16">
        <f t="shared" si="253"/>
        <v>0</v>
      </c>
      <c r="DS51" s="16">
        <f t="shared" si="253"/>
        <v>0</v>
      </c>
      <c r="DT51" s="16">
        <f t="shared" si="253"/>
        <v>0</v>
      </c>
      <c r="DU51" s="16">
        <f t="shared" si="253"/>
        <v>0</v>
      </c>
      <c r="DV51" s="16">
        <f t="shared" si="253"/>
        <v>0</v>
      </c>
      <c r="DW51" s="16">
        <f t="shared" si="253"/>
        <v>0</v>
      </c>
      <c r="DX51" s="16">
        <f t="shared" si="253"/>
        <v>0</v>
      </c>
      <c r="DY51" s="16">
        <f t="shared" ref="CU51:FB55" si="254">DX50</f>
        <v>0</v>
      </c>
      <c r="DZ51" s="16">
        <f t="shared" si="254"/>
        <v>0</v>
      </c>
      <c r="EA51" s="16">
        <f t="shared" si="254"/>
        <v>0</v>
      </c>
      <c r="EB51" s="16">
        <f t="shared" si="254"/>
        <v>0</v>
      </c>
      <c r="EC51" s="16">
        <f t="shared" si="254"/>
        <v>0</v>
      </c>
      <c r="ED51" s="16">
        <f t="shared" si="254"/>
        <v>0</v>
      </c>
      <c r="EE51" s="16">
        <f t="shared" si="254"/>
        <v>0</v>
      </c>
      <c r="EF51" s="16">
        <f t="shared" si="254"/>
        <v>0</v>
      </c>
      <c r="EG51" s="16">
        <f t="shared" si="254"/>
        <v>0</v>
      </c>
      <c r="EH51" s="16">
        <f t="shared" si="254"/>
        <v>0</v>
      </c>
      <c r="EI51" s="16">
        <f t="shared" si="254"/>
        <v>0</v>
      </c>
      <c r="EJ51" s="16">
        <f t="shared" si="254"/>
        <v>0</v>
      </c>
      <c r="EK51" s="16">
        <f t="shared" si="254"/>
        <v>0</v>
      </c>
      <c r="EL51" s="16">
        <f t="shared" si="254"/>
        <v>0</v>
      </c>
      <c r="EM51" s="16">
        <f t="shared" si="254"/>
        <v>0</v>
      </c>
      <c r="EN51" s="16">
        <f t="shared" si="254"/>
        <v>0</v>
      </c>
      <c r="EO51" s="16">
        <f t="shared" si="254"/>
        <v>0</v>
      </c>
      <c r="EP51" s="16">
        <f t="shared" si="254"/>
        <v>0</v>
      </c>
      <c r="EQ51" s="16">
        <f t="shared" si="254"/>
        <v>0</v>
      </c>
      <c r="ER51" s="16">
        <f t="shared" si="254"/>
        <v>0</v>
      </c>
      <c r="ES51" s="16">
        <f t="shared" si="254"/>
        <v>0</v>
      </c>
      <c r="ET51" s="16">
        <f t="shared" si="254"/>
        <v>0</v>
      </c>
      <c r="EU51" s="16">
        <f t="shared" si="254"/>
        <v>0</v>
      </c>
      <c r="EV51" s="16">
        <f t="shared" si="254"/>
        <v>0</v>
      </c>
      <c r="EW51" s="16">
        <f t="shared" si="254"/>
        <v>0</v>
      </c>
      <c r="EX51" s="16">
        <f t="shared" si="254"/>
        <v>0</v>
      </c>
      <c r="EY51" s="16">
        <f t="shared" si="254"/>
        <v>0</v>
      </c>
      <c r="EZ51" s="16">
        <f t="shared" si="254"/>
        <v>0</v>
      </c>
      <c r="FA51" s="16">
        <f t="shared" si="254"/>
        <v>0</v>
      </c>
      <c r="FB51" s="16">
        <f t="shared" si="254"/>
        <v>0</v>
      </c>
    </row>
    <row r="52" spans="3:158" x14ac:dyDescent="0.25">
      <c r="C52" s="248" t="s">
        <v>753</v>
      </c>
      <c r="D52" s="16">
        <f t="shared" si="250"/>
        <v>0</v>
      </c>
      <c r="E52" s="16">
        <f t="shared" si="250"/>
        <v>0</v>
      </c>
      <c r="F52" s="16">
        <f t="shared" si="250"/>
        <v>0</v>
      </c>
      <c r="G52" s="16">
        <f t="shared" si="250"/>
        <v>542209.21270833327</v>
      </c>
      <c r="H52" s="16">
        <f t="shared" si="250"/>
        <v>313110.38014235208</v>
      </c>
      <c r="I52" s="16">
        <f t="shared" si="250"/>
        <v>116246.35786425843</v>
      </c>
      <c r="J52" s="16">
        <f t="shared" si="250"/>
        <v>0</v>
      </c>
      <c r="K52" s="16">
        <f t="shared" si="250"/>
        <v>0</v>
      </c>
      <c r="L52" s="16">
        <f t="shared" si="250"/>
        <v>0</v>
      </c>
      <c r="M52" s="16"/>
      <c r="N52" s="16">
        <f t="shared" si="202"/>
        <v>0</v>
      </c>
      <c r="O52" s="16">
        <f t="shared" si="203"/>
        <v>0</v>
      </c>
      <c r="P52" s="16">
        <f t="shared" si="204"/>
        <v>0</v>
      </c>
      <c r="Q52" s="16">
        <f t="shared" si="205"/>
        <v>0</v>
      </c>
      <c r="R52" s="16">
        <f t="shared" si="206"/>
        <v>0</v>
      </c>
      <c r="S52" s="16">
        <f t="shared" si="207"/>
        <v>0</v>
      </c>
      <c r="T52" s="16">
        <f t="shared" si="208"/>
        <v>0</v>
      </c>
      <c r="U52" s="16">
        <f t="shared" si="209"/>
        <v>0</v>
      </c>
      <c r="V52" s="16">
        <f t="shared" si="210"/>
        <v>0</v>
      </c>
      <c r="W52" s="16">
        <f t="shared" si="211"/>
        <v>0</v>
      </c>
      <c r="X52" s="16">
        <f t="shared" si="212"/>
        <v>0</v>
      </c>
      <c r="Y52" s="16">
        <f t="shared" si="213"/>
        <v>0</v>
      </c>
      <c r="Z52" s="16">
        <f t="shared" si="214"/>
        <v>0</v>
      </c>
      <c r="AA52" s="16">
        <f t="shared" si="215"/>
        <v>410787.26393055555</v>
      </c>
      <c r="AB52" s="16">
        <f t="shared" si="216"/>
        <v>72960.881874999992</v>
      </c>
      <c r="AC52" s="16">
        <f t="shared" si="217"/>
        <v>58461.066902777777</v>
      </c>
      <c r="AD52" s="16">
        <f t="shared" si="218"/>
        <v>82938.308453340273</v>
      </c>
      <c r="AE52" s="16">
        <f t="shared" si="219"/>
        <v>55972.122255679242</v>
      </c>
      <c r="AF52" s="16">
        <f t="shared" si="220"/>
        <v>86876.811621026922</v>
      </c>
      <c r="AG52" s="16">
        <f t="shared" si="221"/>
        <v>87323.137812305678</v>
      </c>
      <c r="AH52" s="16">
        <f t="shared" si="222"/>
        <v>116246.35786425843</v>
      </c>
      <c r="AI52" s="16">
        <f t="shared" si="223"/>
        <v>0</v>
      </c>
      <c r="AJ52" s="16">
        <f t="shared" si="224"/>
        <v>0</v>
      </c>
      <c r="AK52" s="16">
        <f t="shared" si="225"/>
        <v>0</v>
      </c>
      <c r="AL52" s="16">
        <f t="shared" si="226"/>
        <v>0</v>
      </c>
      <c r="AM52" s="16">
        <f t="shared" si="227"/>
        <v>0</v>
      </c>
      <c r="AN52" s="16">
        <f t="shared" si="228"/>
        <v>0</v>
      </c>
      <c r="AO52" s="16">
        <f t="shared" si="229"/>
        <v>0</v>
      </c>
      <c r="AP52" s="16">
        <f t="shared" si="230"/>
        <v>0</v>
      </c>
      <c r="AQ52" s="16">
        <f t="shared" si="231"/>
        <v>0</v>
      </c>
      <c r="AR52" s="16">
        <f t="shared" si="232"/>
        <v>0</v>
      </c>
      <c r="AS52" s="16">
        <f t="shared" si="233"/>
        <v>0</v>
      </c>
      <c r="AT52" s="16">
        <f t="shared" si="234"/>
        <v>0</v>
      </c>
      <c r="AU52" s="16">
        <f t="shared" si="235"/>
        <v>0</v>
      </c>
      <c r="AV52" s="16">
        <f t="shared" si="236"/>
        <v>0</v>
      </c>
      <c r="AW52" s="16">
        <f t="shared" si="237"/>
        <v>0</v>
      </c>
      <c r="AX52" s="16"/>
      <c r="AY52" s="16"/>
      <c r="AZ52" s="16"/>
      <c r="BA52" s="16"/>
      <c r="BB52" s="16"/>
      <c r="BC52" s="16"/>
      <c r="BD52" s="16"/>
      <c r="BE52" s="16"/>
      <c r="BF52" s="16"/>
      <c r="BG52" s="16"/>
      <c r="BH52" s="16"/>
      <c r="BI52" s="16"/>
      <c r="BJ52" s="16"/>
      <c r="BK52" s="16"/>
      <c r="BL52" s="16"/>
      <c r="BM52" s="16"/>
      <c r="BN52" s="16"/>
      <c r="BO52" s="16"/>
      <c r="BP52" s="16"/>
      <c r="BQ52" s="16"/>
      <c r="BR52" s="16"/>
      <c r="BS52" s="16"/>
      <c r="BT52" s="16"/>
      <c r="BU52" s="16"/>
      <c r="BV52" s="16"/>
      <c r="BW52" s="16"/>
      <c r="BX52" s="16"/>
      <c r="BY52" s="16"/>
      <c r="BZ52" s="16"/>
      <c r="CA52" s="16"/>
      <c r="CB52" s="16"/>
      <c r="CC52" s="16"/>
      <c r="CD52" s="16"/>
      <c r="CE52" s="16"/>
      <c r="CF52" s="16"/>
      <c r="CG52" s="16"/>
      <c r="CH52" s="16"/>
      <c r="CI52" s="16"/>
      <c r="CJ52" s="16"/>
      <c r="CK52" s="16"/>
      <c r="CL52" s="16">
        <f>CK51</f>
        <v>363135.6295972222</v>
      </c>
      <c r="CM52" s="16">
        <f t="shared" si="252"/>
        <v>13685.887930555555</v>
      </c>
      <c r="CN52" s="16">
        <f t="shared" si="242"/>
        <v>33965.746402777775</v>
      </c>
      <c r="CO52" s="16">
        <f t="shared" si="242"/>
        <v>12892.889333333329</v>
      </c>
      <c r="CP52" s="16">
        <f t="shared" si="242"/>
        <v>30290.257861111106</v>
      </c>
      <c r="CQ52" s="16">
        <f t="shared" si="242"/>
        <v>29777.734680555553</v>
      </c>
      <c r="CR52" s="16">
        <f t="shared" si="242"/>
        <v>11880.608055555555</v>
      </c>
      <c r="CS52" s="16">
        <f t="shared" si="242"/>
        <v>12716.556513888887</v>
      </c>
      <c r="CT52" s="16">
        <f t="shared" si="243"/>
        <v>33863.902333333332</v>
      </c>
      <c r="CU52" s="16">
        <f t="shared" si="254"/>
        <v>7752.5538611111115</v>
      </c>
      <c r="CV52" s="16">
        <f t="shared" si="254"/>
        <v>32529.937902777772</v>
      </c>
      <c r="CW52" s="16">
        <f t="shared" si="254"/>
        <v>42655.816689451385</v>
      </c>
      <c r="CX52" s="16">
        <f t="shared" si="254"/>
        <v>11817.242199999999</v>
      </c>
      <c r="CY52" s="16">
        <f t="shared" si="254"/>
        <v>17900.991307708486</v>
      </c>
      <c r="CZ52" s="16">
        <f t="shared" si="254"/>
        <v>26253.888747970756</v>
      </c>
      <c r="DA52" s="16">
        <f t="shared" si="254"/>
        <v>18018.769125509334</v>
      </c>
      <c r="DB52" s="16">
        <f t="shared" si="254"/>
        <v>20634.9077788908</v>
      </c>
      <c r="DC52" s="16">
        <f t="shared" si="254"/>
        <v>48223.134716626795</v>
      </c>
      <c r="DD52" s="16">
        <f t="shared" si="254"/>
        <v>11247.605465339511</v>
      </c>
      <c r="DE52" s="16">
        <f t="shared" si="254"/>
        <v>35934.263055192489</v>
      </c>
      <c r="DF52" s="16">
        <f t="shared" si="254"/>
        <v>40141.269291773686</v>
      </c>
      <c r="DG52" s="16">
        <f t="shared" si="254"/>
        <v>16962.865077926886</v>
      </c>
      <c r="DH52" s="16">
        <f t="shared" si="254"/>
        <v>41957.873263836715</v>
      </c>
      <c r="DI52" s="16">
        <f t="shared" si="254"/>
        <v>57325.619522494839</v>
      </c>
      <c r="DJ52" s="16">
        <f t="shared" si="254"/>
        <v>0</v>
      </c>
      <c r="DK52" s="16">
        <f t="shared" si="254"/>
        <v>0</v>
      </c>
      <c r="DL52" s="16">
        <f t="shared" si="254"/>
        <v>0</v>
      </c>
      <c r="DM52" s="16">
        <f t="shared" si="254"/>
        <v>0</v>
      </c>
      <c r="DN52" s="16">
        <f t="shared" si="254"/>
        <v>0</v>
      </c>
      <c r="DO52" s="16">
        <f t="shared" si="254"/>
        <v>0</v>
      </c>
      <c r="DP52" s="16">
        <f t="shared" si="254"/>
        <v>0</v>
      </c>
      <c r="DQ52" s="16">
        <f t="shared" si="254"/>
        <v>0</v>
      </c>
      <c r="DR52" s="16">
        <f t="shared" si="254"/>
        <v>0</v>
      </c>
      <c r="DS52" s="16">
        <f t="shared" si="254"/>
        <v>0</v>
      </c>
      <c r="DT52" s="16">
        <f t="shared" si="254"/>
        <v>0</v>
      </c>
      <c r="DU52" s="16">
        <f t="shared" si="254"/>
        <v>0</v>
      </c>
      <c r="DV52" s="16">
        <f t="shared" si="254"/>
        <v>0</v>
      </c>
      <c r="DW52" s="16">
        <f t="shared" si="254"/>
        <v>0</v>
      </c>
      <c r="DX52" s="16">
        <f t="shared" si="254"/>
        <v>0</v>
      </c>
      <c r="DY52" s="16">
        <f t="shared" si="254"/>
        <v>0</v>
      </c>
      <c r="DZ52" s="16">
        <f t="shared" si="254"/>
        <v>0</v>
      </c>
      <c r="EA52" s="16">
        <f t="shared" si="254"/>
        <v>0</v>
      </c>
      <c r="EB52" s="16">
        <f t="shared" si="254"/>
        <v>0</v>
      </c>
      <c r="EC52" s="16">
        <f t="shared" si="254"/>
        <v>0</v>
      </c>
      <c r="ED52" s="16">
        <f t="shared" si="254"/>
        <v>0</v>
      </c>
      <c r="EE52" s="16">
        <f t="shared" si="254"/>
        <v>0</v>
      </c>
      <c r="EF52" s="16">
        <f t="shared" si="254"/>
        <v>0</v>
      </c>
      <c r="EG52" s="16">
        <f t="shared" si="254"/>
        <v>0</v>
      </c>
      <c r="EH52" s="16">
        <f t="shared" si="254"/>
        <v>0</v>
      </c>
      <c r="EI52" s="16">
        <f t="shared" si="254"/>
        <v>0</v>
      </c>
      <c r="EJ52" s="16">
        <f t="shared" si="254"/>
        <v>0</v>
      </c>
      <c r="EK52" s="16">
        <f t="shared" si="254"/>
        <v>0</v>
      </c>
      <c r="EL52" s="16">
        <f t="shared" si="254"/>
        <v>0</v>
      </c>
      <c r="EM52" s="16">
        <f t="shared" si="254"/>
        <v>0</v>
      </c>
      <c r="EN52" s="16">
        <f t="shared" si="254"/>
        <v>0</v>
      </c>
      <c r="EO52" s="16">
        <f t="shared" si="254"/>
        <v>0</v>
      </c>
      <c r="EP52" s="16">
        <f t="shared" si="254"/>
        <v>0</v>
      </c>
      <c r="EQ52" s="16">
        <f t="shared" si="254"/>
        <v>0</v>
      </c>
      <c r="ER52" s="16">
        <f t="shared" si="254"/>
        <v>0</v>
      </c>
      <c r="ES52" s="16">
        <f t="shared" si="254"/>
        <v>0</v>
      </c>
      <c r="ET52" s="16">
        <f t="shared" si="254"/>
        <v>0</v>
      </c>
      <c r="EU52" s="16">
        <f t="shared" si="254"/>
        <v>0</v>
      </c>
      <c r="EV52" s="16">
        <f t="shared" si="254"/>
        <v>0</v>
      </c>
      <c r="EW52" s="16">
        <f t="shared" si="254"/>
        <v>0</v>
      </c>
      <c r="EX52" s="16">
        <f t="shared" si="254"/>
        <v>0</v>
      </c>
      <c r="EY52" s="16">
        <f t="shared" si="254"/>
        <v>0</v>
      </c>
      <c r="EZ52" s="16">
        <f t="shared" si="254"/>
        <v>0</v>
      </c>
      <c r="FA52" s="16">
        <f t="shared" si="254"/>
        <v>0</v>
      </c>
      <c r="FB52" s="16">
        <f t="shared" si="254"/>
        <v>0</v>
      </c>
    </row>
    <row r="53" spans="3:158" x14ac:dyDescent="0.25">
      <c r="C53" s="248" t="s">
        <v>754</v>
      </c>
      <c r="D53" s="16">
        <f t="shared" si="250"/>
        <v>0</v>
      </c>
      <c r="E53" s="16">
        <f t="shared" si="250"/>
        <v>0</v>
      </c>
      <c r="F53" s="16">
        <f t="shared" si="250"/>
        <v>0</v>
      </c>
      <c r="G53" s="16">
        <f t="shared" si="250"/>
        <v>508345.31037499994</v>
      </c>
      <c r="H53" s="16">
        <f t="shared" si="250"/>
        <v>306833.01318391174</v>
      </c>
      <c r="I53" s="16">
        <f t="shared" si="250"/>
        <v>156387.62715603213</v>
      </c>
      <c r="J53" s="16">
        <f t="shared" si="250"/>
        <v>0</v>
      </c>
      <c r="K53" s="16">
        <f t="shared" si="250"/>
        <v>0</v>
      </c>
      <c r="L53" s="16">
        <f t="shared" si="250"/>
        <v>0</v>
      </c>
      <c r="M53" s="16"/>
      <c r="N53" s="16">
        <f t="shared" si="202"/>
        <v>0</v>
      </c>
      <c r="O53" s="16">
        <f t="shared" si="203"/>
        <v>0</v>
      </c>
      <c r="P53" s="16">
        <f t="shared" si="204"/>
        <v>0</v>
      </c>
      <c r="Q53" s="16">
        <f t="shared" si="205"/>
        <v>0</v>
      </c>
      <c r="R53" s="16">
        <f t="shared" si="206"/>
        <v>0</v>
      </c>
      <c r="S53" s="16">
        <f t="shared" si="207"/>
        <v>0</v>
      </c>
      <c r="T53" s="16">
        <f t="shared" si="208"/>
        <v>0</v>
      </c>
      <c r="U53" s="16">
        <f t="shared" si="209"/>
        <v>0</v>
      </c>
      <c r="V53" s="16">
        <f t="shared" si="210"/>
        <v>0</v>
      </c>
      <c r="W53" s="16">
        <f t="shared" si="211"/>
        <v>0</v>
      </c>
      <c r="X53" s="16">
        <f t="shared" si="212"/>
        <v>0</v>
      </c>
      <c r="Y53" s="16">
        <f t="shared" si="213"/>
        <v>0</v>
      </c>
      <c r="Z53" s="16">
        <f t="shared" si="214"/>
        <v>0</v>
      </c>
      <c r="AA53" s="16">
        <f t="shared" si="215"/>
        <v>376821.51752777776</v>
      </c>
      <c r="AB53" s="16">
        <f t="shared" si="216"/>
        <v>77148.89359722221</v>
      </c>
      <c r="AC53" s="16">
        <f t="shared" si="217"/>
        <v>54374.899249999995</v>
      </c>
      <c r="AD53" s="16">
        <f t="shared" si="218"/>
        <v>74146.394097222219</v>
      </c>
      <c r="AE53" s="16">
        <f t="shared" si="219"/>
        <v>72374.050197159871</v>
      </c>
      <c r="AF53" s="16">
        <f t="shared" si="220"/>
        <v>64907.565652370889</v>
      </c>
      <c r="AG53" s="16">
        <f t="shared" si="221"/>
        <v>95405.003237158788</v>
      </c>
      <c r="AH53" s="16">
        <f t="shared" si="222"/>
        <v>99062.007633537287</v>
      </c>
      <c r="AI53" s="16">
        <f t="shared" si="223"/>
        <v>57325.619522494839</v>
      </c>
      <c r="AJ53" s="16">
        <f t="shared" si="224"/>
        <v>0</v>
      </c>
      <c r="AK53" s="16">
        <f t="shared" si="225"/>
        <v>0</v>
      </c>
      <c r="AL53" s="16">
        <f t="shared" si="226"/>
        <v>0</v>
      </c>
      <c r="AM53" s="16">
        <f t="shared" si="227"/>
        <v>0</v>
      </c>
      <c r="AN53" s="16">
        <f t="shared" si="228"/>
        <v>0</v>
      </c>
      <c r="AO53" s="16">
        <f t="shared" si="229"/>
        <v>0</v>
      </c>
      <c r="AP53" s="16">
        <f t="shared" si="230"/>
        <v>0</v>
      </c>
      <c r="AQ53" s="16">
        <f t="shared" si="231"/>
        <v>0</v>
      </c>
      <c r="AR53" s="16">
        <f t="shared" si="232"/>
        <v>0</v>
      </c>
      <c r="AS53" s="16">
        <f t="shared" si="233"/>
        <v>0</v>
      </c>
      <c r="AT53" s="16">
        <f t="shared" si="234"/>
        <v>0</v>
      </c>
      <c r="AU53" s="16">
        <f t="shared" si="235"/>
        <v>0</v>
      </c>
      <c r="AV53" s="16">
        <f t="shared" si="236"/>
        <v>0</v>
      </c>
      <c r="AW53" s="16">
        <f t="shared" si="237"/>
        <v>0</v>
      </c>
      <c r="AX53" s="16"/>
      <c r="AY53" s="16"/>
      <c r="AZ53" s="16"/>
      <c r="BA53" s="16"/>
      <c r="BB53" s="16"/>
      <c r="BC53" s="16"/>
      <c r="BD53" s="16"/>
      <c r="BE53" s="16"/>
      <c r="BF53" s="16"/>
      <c r="BG53" s="16"/>
      <c r="BH53" s="16"/>
      <c r="BI53" s="16"/>
      <c r="BJ53" s="16"/>
      <c r="BK53" s="16"/>
      <c r="BL53" s="16"/>
      <c r="BM53" s="16"/>
      <c r="BN53" s="16"/>
      <c r="BO53" s="16"/>
      <c r="BP53" s="16"/>
      <c r="BQ53" s="16"/>
      <c r="BR53" s="16"/>
      <c r="BS53" s="16"/>
      <c r="BT53" s="16"/>
      <c r="BU53" s="16"/>
      <c r="BV53" s="16"/>
      <c r="BW53" s="16"/>
      <c r="BX53" s="16"/>
      <c r="BY53" s="16"/>
      <c r="BZ53" s="16"/>
      <c r="CA53" s="16"/>
      <c r="CB53" s="16"/>
      <c r="CC53" s="16"/>
      <c r="CD53" s="16"/>
      <c r="CE53" s="16"/>
      <c r="CF53" s="16"/>
      <c r="CG53" s="16"/>
      <c r="CH53" s="16"/>
      <c r="CI53" s="16"/>
      <c r="CJ53" s="16"/>
      <c r="CK53" s="16"/>
      <c r="CL53" s="16"/>
      <c r="CM53" s="16">
        <f>CL52</f>
        <v>363135.6295972222</v>
      </c>
      <c r="CN53" s="16">
        <f t="shared" ref="CN53:CS53" si="255">CM52</f>
        <v>13685.887930555555</v>
      </c>
      <c r="CO53" s="16">
        <f t="shared" si="255"/>
        <v>33965.746402777775</v>
      </c>
      <c r="CP53" s="16">
        <f t="shared" si="255"/>
        <v>12892.889333333329</v>
      </c>
      <c r="CQ53" s="16">
        <f t="shared" si="255"/>
        <v>30290.257861111106</v>
      </c>
      <c r="CR53" s="16">
        <f t="shared" si="255"/>
        <v>29777.734680555553</v>
      </c>
      <c r="CS53" s="16">
        <f t="shared" si="255"/>
        <v>11880.608055555555</v>
      </c>
      <c r="CT53" s="16">
        <f t="shared" si="243"/>
        <v>12716.556513888887</v>
      </c>
      <c r="CU53" s="16">
        <f t="shared" si="254"/>
        <v>33863.902333333332</v>
      </c>
      <c r="CV53" s="16">
        <f t="shared" si="254"/>
        <v>7752.5538611111115</v>
      </c>
      <c r="CW53" s="16">
        <f t="shared" si="254"/>
        <v>32529.937902777772</v>
      </c>
      <c r="CX53" s="16">
        <f t="shared" si="254"/>
        <v>42655.816689451385</v>
      </c>
      <c r="CY53" s="16">
        <f t="shared" si="254"/>
        <v>11817.242199999999</v>
      </c>
      <c r="CZ53" s="16">
        <f t="shared" si="254"/>
        <v>17900.991307708486</v>
      </c>
      <c r="DA53" s="16">
        <f t="shared" si="254"/>
        <v>26253.888747970756</v>
      </c>
      <c r="DB53" s="16">
        <f t="shared" si="254"/>
        <v>18018.769125509334</v>
      </c>
      <c r="DC53" s="16">
        <f t="shared" si="254"/>
        <v>20634.9077788908</v>
      </c>
      <c r="DD53" s="16">
        <f t="shared" si="254"/>
        <v>48223.134716626795</v>
      </c>
      <c r="DE53" s="16">
        <f t="shared" si="254"/>
        <v>11247.605465339511</v>
      </c>
      <c r="DF53" s="16">
        <f t="shared" si="254"/>
        <v>35934.263055192489</v>
      </c>
      <c r="DG53" s="16">
        <f t="shared" si="254"/>
        <v>40141.269291773686</v>
      </c>
      <c r="DH53" s="16">
        <f t="shared" si="254"/>
        <v>16962.865077926886</v>
      </c>
      <c r="DI53" s="16">
        <f t="shared" si="254"/>
        <v>41957.873263836715</v>
      </c>
      <c r="DJ53" s="16">
        <f t="shared" si="254"/>
        <v>57325.619522494839</v>
      </c>
      <c r="DK53" s="16">
        <f t="shared" si="254"/>
        <v>0</v>
      </c>
      <c r="DL53" s="16">
        <f t="shared" si="254"/>
        <v>0</v>
      </c>
      <c r="DM53" s="16">
        <f t="shared" si="254"/>
        <v>0</v>
      </c>
      <c r="DN53" s="16">
        <f t="shared" si="254"/>
        <v>0</v>
      </c>
      <c r="DO53" s="16">
        <f t="shared" si="254"/>
        <v>0</v>
      </c>
      <c r="DP53" s="16">
        <f t="shared" si="254"/>
        <v>0</v>
      </c>
      <c r="DQ53" s="16">
        <f t="shared" si="254"/>
        <v>0</v>
      </c>
      <c r="DR53" s="16">
        <f t="shared" si="254"/>
        <v>0</v>
      </c>
      <c r="DS53" s="16">
        <f t="shared" si="254"/>
        <v>0</v>
      </c>
      <c r="DT53" s="16">
        <f t="shared" si="254"/>
        <v>0</v>
      </c>
      <c r="DU53" s="16">
        <f t="shared" si="254"/>
        <v>0</v>
      </c>
      <c r="DV53" s="16">
        <f t="shared" si="254"/>
        <v>0</v>
      </c>
      <c r="DW53" s="16">
        <f t="shared" si="254"/>
        <v>0</v>
      </c>
      <c r="DX53" s="16">
        <f t="shared" si="254"/>
        <v>0</v>
      </c>
      <c r="DY53" s="16">
        <f t="shared" si="254"/>
        <v>0</v>
      </c>
      <c r="DZ53" s="16">
        <f t="shared" si="254"/>
        <v>0</v>
      </c>
      <c r="EA53" s="16">
        <f t="shared" si="254"/>
        <v>0</v>
      </c>
      <c r="EB53" s="16">
        <f t="shared" si="254"/>
        <v>0</v>
      </c>
      <c r="EC53" s="16">
        <f t="shared" si="254"/>
        <v>0</v>
      </c>
      <c r="ED53" s="16">
        <f t="shared" si="254"/>
        <v>0</v>
      </c>
      <c r="EE53" s="16">
        <f t="shared" si="254"/>
        <v>0</v>
      </c>
      <c r="EF53" s="16">
        <f t="shared" si="254"/>
        <v>0</v>
      </c>
      <c r="EG53" s="16">
        <f t="shared" si="254"/>
        <v>0</v>
      </c>
      <c r="EH53" s="16">
        <f t="shared" si="254"/>
        <v>0</v>
      </c>
      <c r="EI53" s="16">
        <f t="shared" si="254"/>
        <v>0</v>
      </c>
      <c r="EJ53" s="16">
        <f t="shared" si="254"/>
        <v>0</v>
      </c>
      <c r="EK53" s="16">
        <f t="shared" si="254"/>
        <v>0</v>
      </c>
      <c r="EL53" s="16">
        <f t="shared" si="254"/>
        <v>0</v>
      </c>
      <c r="EM53" s="16">
        <f t="shared" si="254"/>
        <v>0</v>
      </c>
      <c r="EN53" s="16">
        <f t="shared" si="254"/>
        <v>0</v>
      </c>
      <c r="EO53" s="16">
        <f t="shared" si="254"/>
        <v>0</v>
      </c>
      <c r="EP53" s="16">
        <f t="shared" si="254"/>
        <v>0</v>
      </c>
      <c r="EQ53" s="16">
        <f t="shared" si="254"/>
        <v>0</v>
      </c>
      <c r="ER53" s="16">
        <f t="shared" si="254"/>
        <v>0</v>
      </c>
      <c r="ES53" s="16">
        <f t="shared" si="254"/>
        <v>0</v>
      </c>
      <c r="ET53" s="16">
        <f t="shared" si="254"/>
        <v>0</v>
      </c>
      <c r="EU53" s="16">
        <f t="shared" si="254"/>
        <v>0</v>
      </c>
      <c r="EV53" s="16">
        <f t="shared" si="254"/>
        <v>0</v>
      </c>
      <c r="EW53" s="16">
        <f t="shared" si="254"/>
        <v>0</v>
      </c>
      <c r="EX53" s="16">
        <f t="shared" si="254"/>
        <v>0</v>
      </c>
      <c r="EY53" s="16">
        <f t="shared" si="254"/>
        <v>0</v>
      </c>
      <c r="EZ53" s="16">
        <f t="shared" si="254"/>
        <v>0</v>
      </c>
      <c r="FA53" s="16">
        <f t="shared" si="254"/>
        <v>0</v>
      </c>
      <c r="FB53" s="16">
        <f t="shared" si="254"/>
        <v>0</v>
      </c>
    </row>
    <row r="54" spans="3:158" x14ac:dyDescent="0.25">
      <c r="C54" s="248" t="s">
        <v>755</v>
      </c>
      <c r="D54" s="16">
        <f t="shared" si="250"/>
        <v>0</v>
      </c>
      <c r="E54" s="16">
        <f t="shared" si="250"/>
        <v>0</v>
      </c>
      <c r="F54" s="16">
        <f t="shared" si="250"/>
        <v>0</v>
      </c>
      <c r="G54" s="16">
        <f t="shared" si="250"/>
        <v>495628.75386111106</v>
      </c>
      <c r="H54" s="16">
        <f t="shared" si="250"/>
        <v>283615.30664260814</v>
      </c>
      <c r="I54" s="16">
        <f t="shared" si="250"/>
        <v>192321.89021122464</v>
      </c>
      <c r="J54" s="16">
        <f t="shared" si="250"/>
        <v>0</v>
      </c>
      <c r="K54" s="16">
        <f t="shared" si="250"/>
        <v>0</v>
      </c>
      <c r="L54" s="16">
        <f t="shared" si="250"/>
        <v>0</v>
      </c>
      <c r="M54" s="16"/>
      <c r="N54" s="16">
        <f t="shared" si="202"/>
        <v>0</v>
      </c>
      <c r="O54" s="16">
        <f t="shared" si="203"/>
        <v>0</v>
      </c>
      <c r="P54" s="16">
        <f t="shared" si="204"/>
        <v>0</v>
      </c>
      <c r="Q54" s="16">
        <f t="shared" si="205"/>
        <v>0</v>
      </c>
      <c r="R54" s="16">
        <f t="shared" si="206"/>
        <v>0</v>
      </c>
      <c r="S54" s="16">
        <f t="shared" si="207"/>
        <v>0</v>
      </c>
      <c r="T54" s="16">
        <f t="shared" si="208"/>
        <v>0</v>
      </c>
      <c r="U54" s="16">
        <f t="shared" si="209"/>
        <v>0</v>
      </c>
      <c r="V54" s="16">
        <f t="shared" si="210"/>
        <v>0</v>
      </c>
      <c r="W54" s="16">
        <f t="shared" si="211"/>
        <v>0</v>
      </c>
      <c r="X54" s="16">
        <f t="shared" si="212"/>
        <v>0</v>
      </c>
      <c r="Y54" s="16">
        <f t="shared" si="213"/>
        <v>0</v>
      </c>
      <c r="Z54" s="16">
        <f t="shared" si="214"/>
        <v>0</v>
      </c>
      <c r="AA54" s="16">
        <f t="shared" si="215"/>
        <v>363135.6295972222</v>
      </c>
      <c r="AB54" s="16">
        <f t="shared" si="216"/>
        <v>60544.523666666661</v>
      </c>
      <c r="AC54" s="16">
        <f t="shared" si="217"/>
        <v>71948.600597222219</v>
      </c>
      <c r="AD54" s="16">
        <f t="shared" si="218"/>
        <v>54333.012708333328</v>
      </c>
      <c r="AE54" s="16">
        <f t="shared" si="219"/>
        <v>87002.996792229154</v>
      </c>
      <c r="AF54" s="16">
        <f t="shared" si="220"/>
        <v>62173.649181188579</v>
      </c>
      <c r="AG54" s="16">
        <f t="shared" si="221"/>
        <v>80105.64796085711</v>
      </c>
      <c r="AH54" s="16">
        <f t="shared" si="222"/>
        <v>93038.397424893075</v>
      </c>
      <c r="AI54" s="16">
        <f t="shared" si="223"/>
        <v>99283.492786331553</v>
      </c>
      <c r="AJ54" s="16">
        <f t="shared" si="224"/>
        <v>0</v>
      </c>
      <c r="AK54" s="16">
        <f t="shared" si="225"/>
        <v>0</v>
      </c>
      <c r="AL54" s="16">
        <f t="shared" si="226"/>
        <v>0</v>
      </c>
      <c r="AM54" s="16">
        <f t="shared" si="227"/>
        <v>0</v>
      </c>
      <c r="AN54" s="16">
        <f t="shared" si="228"/>
        <v>0</v>
      </c>
      <c r="AO54" s="16">
        <f t="shared" si="229"/>
        <v>0</v>
      </c>
      <c r="AP54" s="16">
        <f t="shared" si="230"/>
        <v>0</v>
      </c>
      <c r="AQ54" s="16">
        <f t="shared" si="231"/>
        <v>0</v>
      </c>
      <c r="AR54" s="16">
        <f t="shared" si="232"/>
        <v>0</v>
      </c>
      <c r="AS54" s="16">
        <f t="shared" si="233"/>
        <v>0</v>
      </c>
      <c r="AT54" s="16">
        <f t="shared" si="234"/>
        <v>0</v>
      </c>
      <c r="AU54" s="16">
        <f t="shared" si="235"/>
        <v>0</v>
      </c>
      <c r="AV54" s="16">
        <f t="shared" si="236"/>
        <v>0</v>
      </c>
      <c r="AW54" s="16">
        <f t="shared" si="237"/>
        <v>0</v>
      </c>
      <c r="AX54" s="16"/>
      <c r="AY54" s="16"/>
      <c r="AZ54" s="16"/>
      <c r="BA54" s="16"/>
      <c r="BB54" s="16"/>
      <c r="BC54" s="16"/>
      <c r="BD54" s="16"/>
      <c r="BE54" s="16"/>
      <c r="BF54" s="16"/>
      <c r="BG54" s="16"/>
      <c r="BH54" s="16"/>
      <c r="BI54" s="16"/>
      <c r="BJ54" s="16"/>
      <c r="BK54" s="16"/>
      <c r="BL54" s="16"/>
      <c r="BM54" s="16"/>
      <c r="BN54" s="16"/>
      <c r="BO54" s="16"/>
      <c r="BP54" s="16"/>
      <c r="BQ54" s="16"/>
      <c r="BR54" s="16"/>
      <c r="BS54" s="16"/>
      <c r="BT54" s="16"/>
      <c r="BU54" s="16"/>
      <c r="BV54" s="16"/>
      <c r="BW54" s="16"/>
      <c r="BX54" s="16"/>
      <c r="BY54" s="16"/>
      <c r="BZ54" s="16"/>
      <c r="CA54" s="16"/>
      <c r="CB54" s="16"/>
      <c r="CC54" s="16"/>
      <c r="CD54" s="16"/>
      <c r="CE54" s="16"/>
      <c r="CF54" s="16"/>
      <c r="CG54" s="16"/>
      <c r="CH54" s="16"/>
      <c r="CI54" s="16"/>
      <c r="CJ54" s="16"/>
      <c r="CK54" s="16"/>
      <c r="CL54" s="16"/>
      <c r="CM54" s="16"/>
      <c r="CN54" s="16">
        <f>CM53</f>
        <v>363135.6295972222</v>
      </c>
      <c r="CO54" s="16">
        <f t="shared" si="252"/>
        <v>13685.887930555555</v>
      </c>
      <c r="CP54" s="16">
        <f t="shared" si="252"/>
        <v>33965.746402777775</v>
      </c>
      <c r="CQ54" s="16">
        <f t="shared" si="252"/>
        <v>12892.889333333329</v>
      </c>
      <c r="CR54" s="16">
        <f t="shared" si="252"/>
        <v>30290.257861111106</v>
      </c>
      <c r="CS54" s="16">
        <f t="shared" si="252"/>
        <v>29777.734680555553</v>
      </c>
      <c r="CT54" s="16">
        <f t="shared" si="252"/>
        <v>11880.608055555555</v>
      </c>
      <c r="CU54" s="16">
        <f t="shared" si="252"/>
        <v>12716.556513888887</v>
      </c>
      <c r="CV54" s="16">
        <f t="shared" si="252"/>
        <v>33863.902333333332</v>
      </c>
      <c r="CW54" s="16">
        <f t="shared" si="254"/>
        <v>7752.5538611111115</v>
      </c>
      <c r="CX54" s="16">
        <f t="shared" si="254"/>
        <v>32529.937902777772</v>
      </c>
      <c r="CY54" s="16">
        <f t="shared" si="254"/>
        <v>42655.816689451385</v>
      </c>
      <c r="CZ54" s="16">
        <f t="shared" si="254"/>
        <v>11817.242199999999</v>
      </c>
      <c r="DA54" s="16">
        <f t="shared" si="254"/>
        <v>17900.991307708486</v>
      </c>
      <c r="DB54" s="16">
        <f t="shared" si="254"/>
        <v>26253.888747970756</v>
      </c>
      <c r="DC54" s="16">
        <f t="shared" si="254"/>
        <v>18018.769125509334</v>
      </c>
      <c r="DD54" s="16">
        <f t="shared" si="254"/>
        <v>20634.9077788908</v>
      </c>
      <c r="DE54" s="16">
        <f t="shared" si="254"/>
        <v>48223.134716626795</v>
      </c>
      <c r="DF54" s="16">
        <f t="shared" si="254"/>
        <v>11247.605465339511</v>
      </c>
      <c r="DG54" s="16">
        <f t="shared" si="254"/>
        <v>35934.263055192489</v>
      </c>
      <c r="DH54" s="16">
        <f t="shared" si="254"/>
        <v>40141.269291773686</v>
      </c>
      <c r="DI54" s="16">
        <f t="shared" si="254"/>
        <v>16962.865077926886</v>
      </c>
      <c r="DJ54" s="16">
        <f t="shared" si="254"/>
        <v>41957.873263836715</v>
      </c>
      <c r="DK54" s="16">
        <f t="shared" si="254"/>
        <v>57325.619522494839</v>
      </c>
      <c r="DL54" s="16">
        <f t="shared" si="254"/>
        <v>0</v>
      </c>
      <c r="DM54" s="16">
        <f t="shared" si="254"/>
        <v>0</v>
      </c>
      <c r="DN54" s="16">
        <f t="shared" si="254"/>
        <v>0</v>
      </c>
      <c r="DO54" s="16">
        <f t="shared" si="254"/>
        <v>0</v>
      </c>
      <c r="DP54" s="16">
        <f t="shared" si="254"/>
        <v>0</v>
      </c>
      <c r="DQ54" s="16">
        <f t="shared" si="254"/>
        <v>0</v>
      </c>
      <c r="DR54" s="16">
        <f t="shared" si="254"/>
        <v>0</v>
      </c>
      <c r="DS54" s="16">
        <f t="shared" si="254"/>
        <v>0</v>
      </c>
      <c r="DT54" s="16">
        <f t="shared" si="254"/>
        <v>0</v>
      </c>
      <c r="DU54" s="16">
        <f t="shared" si="254"/>
        <v>0</v>
      </c>
      <c r="DV54" s="16">
        <f t="shared" si="254"/>
        <v>0</v>
      </c>
      <c r="DW54" s="16">
        <f t="shared" si="254"/>
        <v>0</v>
      </c>
      <c r="DX54" s="16">
        <f t="shared" si="254"/>
        <v>0</v>
      </c>
      <c r="DY54" s="16">
        <f t="shared" si="254"/>
        <v>0</v>
      </c>
      <c r="DZ54" s="16">
        <f t="shared" si="254"/>
        <v>0</v>
      </c>
      <c r="EA54" s="16">
        <f t="shared" si="254"/>
        <v>0</v>
      </c>
      <c r="EB54" s="16">
        <f t="shared" si="254"/>
        <v>0</v>
      </c>
      <c r="EC54" s="16">
        <f t="shared" si="254"/>
        <v>0</v>
      </c>
      <c r="ED54" s="16">
        <f t="shared" si="254"/>
        <v>0</v>
      </c>
      <c r="EE54" s="16">
        <f t="shared" si="254"/>
        <v>0</v>
      </c>
      <c r="EF54" s="16">
        <f t="shared" si="254"/>
        <v>0</v>
      </c>
      <c r="EG54" s="16">
        <f t="shared" si="254"/>
        <v>0</v>
      </c>
      <c r="EH54" s="16">
        <f t="shared" si="254"/>
        <v>0</v>
      </c>
      <c r="EI54" s="16">
        <f t="shared" si="254"/>
        <v>0</v>
      </c>
      <c r="EJ54" s="16">
        <f t="shared" si="254"/>
        <v>0</v>
      </c>
      <c r="EK54" s="16">
        <f t="shared" si="254"/>
        <v>0</v>
      </c>
      <c r="EL54" s="16">
        <f t="shared" si="254"/>
        <v>0</v>
      </c>
      <c r="EM54" s="16">
        <f t="shared" si="254"/>
        <v>0</v>
      </c>
      <c r="EN54" s="16">
        <f t="shared" si="254"/>
        <v>0</v>
      </c>
      <c r="EO54" s="16">
        <f t="shared" si="254"/>
        <v>0</v>
      </c>
      <c r="EP54" s="16">
        <f t="shared" si="254"/>
        <v>0</v>
      </c>
      <c r="EQ54" s="16">
        <f t="shared" si="254"/>
        <v>0</v>
      </c>
      <c r="ER54" s="16">
        <f t="shared" si="254"/>
        <v>0</v>
      </c>
      <c r="ES54" s="16">
        <f t="shared" si="254"/>
        <v>0</v>
      </c>
      <c r="ET54" s="16">
        <f t="shared" si="254"/>
        <v>0</v>
      </c>
      <c r="EU54" s="16">
        <f t="shared" si="254"/>
        <v>0</v>
      </c>
      <c r="EV54" s="16">
        <f t="shared" si="254"/>
        <v>0</v>
      </c>
      <c r="EW54" s="16">
        <f t="shared" si="254"/>
        <v>0</v>
      </c>
      <c r="EX54" s="16">
        <f t="shared" si="254"/>
        <v>0</v>
      </c>
      <c r="EY54" s="16">
        <f t="shared" si="254"/>
        <v>0</v>
      </c>
      <c r="EZ54" s="16">
        <f t="shared" si="254"/>
        <v>0</v>
      </c>
      <c r="FA54" s="16">
        <f t="shared" si="254"/>
        <v>0</v>
      </c>
      <c r="FB54" s="16">
        <f t="shared" si="254"/>
        <v>0</v>
      </c>
    </row>
    <row r="55" spans="3:158" x14ac:dyDescent="0.25">
      <c r="C55" s="248" t="s">
        <v>756</v>
      </c>
      <c r="D55" s="16">
        <f t="shared" si="250"/>
        <v>0</v>
      </c>
      <c r="E55" s="16">
        <f t="shared" si="250"/>
        <v>0</v>
      </c>
      <c r="F55" s="16">
        <f t="shared" si="250"/>
        <v>0</v>
      </c>
      <c r="G55" s="16">
        <f t="shared" si="250"/>
        <v>483748.14580555551</v>
      </c>
      <c r="H55" s="16">
        <f t="shared" si="250"/>
        <v>284248.30923282425</v>
      </c>
      <c r="I55" s="16">
        <f t="shared" si="250"/>
        <v>203569.49567656414</v>
      </c>
      <c r="J55" s="16">
        <f t="shared" si="250"/>
        <v>0</v>
      </c>
      <c r="K55" s="16">
        <f t="shared" si="250"/>
        <v>0</v>
      </c>
      <c r="L55" s="16">
        <f t="shared" si="250"/>
        <v>0</v>
      </c>
      <c r="M55" s="16"/>
      <c r="N55" s="16">
        <f t="shared" si="202"/>
        <v>0</v>
      </c>
      <c r="O55" s="16">
        <f t="shared" si="203"/>
        <v>0</v>
      </c>
      <c r="P55" s="16">
        <f t="shared" si="204"/>
        <v>0</v>
      </c>
      <c r="Q55" s="16">
        <f t="shared" si="205"/>
        <v>0</v>
      </c>
      <c r="R55" s="16">
        <f t="shared" si="206"/>
        <v>0</v>
      </c>
      <c r="S55" s="16">
        <f t="shared" si="207"/>
        <v>0</v>
      </c>
      <c r="T55" s="16">
        <f t="shared" si="208"/>
        <v>0</v>
      </c>
      <c r="U55" s="16">
        <f t="shared" si="209"/>
        <v>0</v>
      </c>
      <c r="V55" s="16">
        <f t="shared" si="210"/>
        <v>0</v>
      </c>
      <c r="W55" s="16">
        <f t="shared" si="211"/>
        <v>0</v>
      </c>
      <c r="X55" s="16">
        <f t="shared" si="212"/>
        <v>0</v>
      </c>
      <c r="Y55" s="16">
        <f t="shared" si="213"/>
        <v>0</v>
      </c>
      <c r="Z55" s="16">
        <f t="shared" si="214"/>
        <v>0</v>
      </c>
      <c r="AA55" s="16">
        <f t="shared" si="215"/>
        <v>0</v>
      </c>
      <c r="AB55" s="16">
        <f t="shared" si="216"/>
        <v>410787.26393055555</v>
      </c>
      <c r="AC55" s="16">
        <f t="shared" si="217"/>
        <v>72960.881874999992</v>
      </c>
      <c r="AD55" s="16">
        <f t="shared" si="218"/>
        <v>58461.066902777777</v>
      </c>
      <c r="AE55" s="16">
        <f t="shared" si="219"/>
        <v>82938.308453340273</v>
      </c>
      <c r="AF55" s="16">
        <f t="shared" si="220"/>
        <v>55972.122255679242</v>
      </c>
      <c r="AG55" s="16">
        <f t="shared" si="221"/>
        <v>86876.811621026922</v>
      </c>
      <c r="AH55" s="16">
        <f t="shared" si="222"/>
        <v>87323.137812305678</v>
      </c>
      <c r="AI55" s="16">
        <f t="shared" si="223"/>
        <v>116246.35786425843</v>
      </c>
      <c r="AJ55" s="16">
        <f t="shared" si="224"/>
        <v>0</v>
      </c>
      <c r="AK55" s="16">
        <f t="shared" si="225"/>
        <v>0</v>
      </c>
      <c r="AL55" s="16">
        <f t="shared" si="226"/>
        <v>0</v>
      </c>
      <c r="AM55" s="16">
        <f t="shared" si="227"/>
        <v>0</v>
      </c>
      <c r="AN55" s="16">
        <f t="shared" si="228"/>
        <v>0</v>
      </c>
      <c r="AO55" s="16">
        <f t="shared" si="229"/>
        <v>0</v>
      </c>
      <c r="AP55" s="16">
        <f t="shared" si="230"/>
        <v>0</v>
      </c>
      <c r="AQ55" s="16">
        <f t="shared" si="231"/>
        <v>0</v>
      </c>
      <c r="AR55" s="16">
        <f t="shared" si="232"/>
        <v>0</v>
      </c>
      <c r="AS55" s="16">
        <f t="shared" si="233"/>
        <v>0</v>
      </c>
      <c r="AT55" s="16">
        <f t="shared" si="234"/>
        <v>0</v>
      </c>
      <c r="AU55" s="16">
        <f t="shared" si="235"/>
        <v>0</v>
      </c>
      <c r="AV55" s="16">
        <f t="shared" si="236"/>
        <v>0</v>
      </c>
      <c r="AW55" s="16">
        <f t="shared" si="237"/>
        <v>0</v>
      </c>
      <c r="AX55" s="16"/>
      <c r="AY55" s="16"/>
      <c r="AZ55" s="16"/>
      <c r="BA55" s="16"/>
      <c r="BB55" s="16"/>
      <c r="BC55" s="16"/>
      <c r="BD55" s="16"/>
      <c r="BE55" s="16"/>
      <c r="BF55" s="16"/>
      <c r="BG55" s="16"/>
      <c r="BH55" s="16"/>
      <c r="BI55" s="16"/>
      <c r="BJ55" s="16"/>
      <c r="BK55" s="16"/>
      <c r="BL55" s="16"/>
      <c r="BM55" s="16"/>
      <c r="BN55" s="16"/>
      <c r="BO55" s="16"/>
      <c r="BP55" s="16"/>
      <c r="BQ55" s="16"/>
      <c r="BR55" s="16"/>
      <c r="BS55" s="16"/>
      <c r="BT55" s="16"/>
      <c r="BU55" s="16"/>
      <c r="BV55" s="16"/>
      <c r="BW55" s="16"/>
      <c r="BX55" s="16"/>
      <c r="BY55" s="16"/>
      <c r="BZ55" s="16"/>
      <c r="CA55" s="16"/>
      <c r="CB55" s="16"/>
      <c r="CC55" s="16"/>
      <c r="CD55" s="16"/>
      <c r="CE55" s="16"/>
      <c r="CF55" s="16"/>
      <c r="CG55" s="16"/>
      <c r="CH55" s="16"/>
      <c r="CI55" s="16"/>
      <c r="CJ55" s="16"/>
      <c r="CK55" s="16"/>
      <c r="CL55" s="16"/>
      <c r="CM55" s="16"/>
      <c r="CN55" s="16"/>
      <c r="CO55" s="16">
        <f>CN54</f>
        <v>363135.6295972222</v>
      </c>
      <c r="CP55" s="16">
        <f>CO54</f>
        <v>13685.887930555555</v>
      </c>
      <c r="CQ55" s="16">
        <f t="shared" si="252"/>
        <v>33965.746402777775</v>
      </c>
      <c r="CR55" s="16">
        <f t="shared" si="252"/>
        <v>12892.889333333329</v>
      </c>
      <c r="CS55" s="16">
        <f t="shared" si="252"/>
        <v>30290.257861111106</v>
      </c>
      <c r="CT55" s="16">
        <f t="shared" si="243"/>
        <v>29777.734680555553</v>
      </c>
      <c r="CU55" s="16">
        <f t="shared" si="254"/>
        <v>11880.608055555555</v>
      </c>
      <c r="CV55" s="16">
        <f t="shared" si="254"/>
        <v>12716.556513888887</v>
      </c>
      <c r="CW55" s="16">
        <f t="shared" si="254"/>
        <v>33863.902333333332</v>
      </c>
      <c r="CX55" s="16">
        <f t="shared" si="254"/>
        <v>7752.5538611111115</v>
      </c>
      <c r="CY55" s="16">
        <f t="shared" si="254"/>
        <v>32529.937902777772</v>
      </c>
      <c r="CZ55" s="16">
        <f t="shared" si="254"/>
        <v>42655.816689451385</v>
      </c>
      <c r="DA55" s="16">
        <f t="shared" si="254"/>
        <v>11817.242199999999</v>
      </c>
      <c r="DB55" s="16">
        <f t="shared" si="254"/>
        <v>17900.991307708486</v>
      </c>
      <c r="DC55" s="16">
        <f t="shared" si="254"/>
        <v>26253.888747970756</v>
      </c>
      <c r="DD55" s="16">
        <f t="shared" si="254"/>
        <v>18018.769125509334</v>
      </c>
      <c r="DE55" s="16">
        <f t="shared" si="254"/>
        <v>20634.9077788908</v>
      </c>
      <c r="DF55" s="16">
        <f t="shared" si="254"/>
        <v>48223.134716626795</v>
      </c>
      <c r="DG55" s="16">
        <f t="shared" si="254"/>
        <v>11247.605465339511</v>
      </c>
      <c r="DH55" s="16">
        <f t="shared" si="254"/>
        <v>35934.263055192489</v>
      </c>
      <c r="DI55" s="16">
        <f t="shared" si="254"/>
        <v>40141.269291773686</v>
      </c>
      <c r="DJ55" s="16">
        <f t="shared" si="254"/>
        <v>16962.865077926886</v>
      </c>
      <c r="DK55" s="16">
        <f t="shared" si="254"/>
        <v>41957.873263836715</v>
      </c>
      <c r="DL55" s="16">
        <f t="shared" si="254"/>
        <v>57325.619522494839</v>
      </c>
      <c r="DM55" s="16">
        <f t="shared" si="254"/>
        <v>0</v>
      </c>
      <c r="DN55" s="16">
        <f t="shared" si="254"/>
        <v>0</v>
      </c>
      <c r="DO55" s="16">
        <f t="shared" si="254"/>
        <v>0</v>
      </c>
      <c r="DP55" s="16">
        <f t="shared" si="254"/>
        <v>0</v>
      </c>
      <c r="DQ55" s="16">
        <f t="shared" si="254"/>
        <v>0</v>
      </c>
      <c r="DR55" s="16">
        <f t="shared" si="254"/>
        <v>0</v>
      </c>
      <c r="DS55" s="16">
        <f t="shared" si="254"/>
        <v>0</v>
      </c>
      <c r="DT55" s="16">
        <f t="shared" si="254"/>
        <v>0</v>
      </c>
      <c r="DU55" s="16">
        <f t="shared" si="254"/>
        <v>0</v>
      </c>
      <c r="DV55" s="16">
        <f t="shared" si="254"/>
        <v>0</v>
      </c>
      <c r="DW55" s="16">
        <f t="shared" si="254"/>
        <v>0</v>
      </c>
      <c r="DX55" s="16">
        <f t="shared" si="254"/>
        <v>0</v>
      </c>
      <c r="DY55" s="16">
        <f t="shared" si="254"/>
        <v>0</v>
      </c>
      <c r="DZ55" s="16">
        <f t="shared" si="254"/>
        <v>0</v>
      </c>
      <c r="EA55" s="16">
        <f t="shared" si="254"/>
        <v>0</v>
      </c>
      <c r="EB55" s="16">
        <f t="shared" si="254"/>
        <v>0</v>
      </c>
      <c r="EC55" s="16">
        <f t="shared" si="254"/>
        <v>0</v>
      </c>
      <c r="ED55" s="16">
        <f t="shared" si="254"/>
        <v>0</v>
      </c>
      <c r="EE55" s="16">
        <f t="shared" si="254"/>
        <v>0</v>
      </c>
      <c r="EF55" s="16">
        <f t="shared" si="254"/>
        <v>0</v>
      </c>
      <c r="EG55" s="16">
        <f t="shared" si="254"/>
        <v>0</v>
      </c>
      <c r="EH55" s="16">
        <f t="shared" si="254"/>
        <v>0</v>
      </c>
      <c r="EI55" s="16">
        <f t="shared" si="254"/>
        <v>0</v>
      </c>
      <c r="EJ55" s="16">
        <f t="shared" si="254"/>
        <v>0</v>
      </c>
      <c r="EK55" s="16">
        <f t="shared" si="254"/>
        <v>0</v>
      </c>
      <c r="EL55" s="16">
        <f t="shared" si="254"/>
        <v>0</v>
      </c>
      <c r="EM55" s="16">
        <f t="shared" si="254"/>
        <v>0</v>
      </c>
      <c r="EN55" s="16">
        <f t="shared" si="254"/>
        <v>0</v>
      </c>
      <c r="EO55" s="16">
        <f t="shared" si="254"/>
        <v>0</v>
      </c>
      <c r="EP55" s="16">
        <f t="shared" ref="CU55:FB60" si="256">EO54</f>
        <v>0</v>
      </c>
      <c r="EQ55" s="16">
        <f t="shared" si="256"/>
        <v>0</v>
      </c>
      <c r="ER55" s="16">
        <f t="shared" si="256"/>
        <v>0</v>
      </c>
      <c r="ES55" s="16">
        <f t="shared" si="256"/>
        <v>0</v>
      </c>
      <c r="ET55" s="16">
        <f t="shared" si="256"/>
        <v>0</v>
      </c>
      <c r="EU55" s="16">
        <f t="shared" si="256"/>
        <v>0</v>
      </c>
      <c r="EV55" s="16">
        <f t="shared" si="256"/>
        <v>0</v>
      </c>
      <c r="EW55" s="16">
        <f t="shared" si="256"/>
        <v>0</v>
      </c>
      <c r="EX55" s="16">
        <f t="shared" si="256"/>
        <v>0</v>
      </c>
      <c r="EY55" s="16">
        <f t="shared" si="256"/>
        <v>0</v>
      </c>
      <c r="EZ55" s="16">
        <f t="shared" si="256"/>
        <v>0</v>
      </c>
      <c r="FA55" s="16">
        <f t="shared" si="256"/>
        <v>0</v>
      </c>
      <c r="FB55" s="16">
        <f t="shared" si="256"/>
        <v>0</v>
      </c>
    </row>
    <row r="56" spans="3:158" x14ac:dyDescent="0.25">
      <c r="C56" s="248" t="s">
        <v>757</v>
      </c>
      <c r="D56" s="16">
        <f t="shared" si="250"/>
        <v>0</v>
      </c>
      <c r="E56" s="16">
        <f t="shared" si="250"/>
        <v>0</v>
      </c>
      <c r="F56" s="16">
        <f t="shared" si="250"/>
        <v>0</v>
      </c>
      <c r="G56" s="16">
        <f t="shared" si="250"/>
        <v>453970.41112499998</v>
      </c>
      <c r="H56" s="16">
        <f t="shared" si="250"/>
        <v>265802.909196753</v>
      </c>
      <c r="I56" s="16">
        <f t="shared" si="250"/>
        <v>251792.63039319095</v>
      </c>
      <c r="J56" s="16">
        <f t="shared" si="250"/>
        <v>0</v>
      </c>
      <c r="K56" s="16">
        <f t="shared" si="250"/>
        <v>0</v>
      </c>
      <c r="L56" s="16">
        <f t="shared" si="250"/>
        <v>0</v>
      </c>
      <c r="M56" s="16"/>
      <c r="N56" s="16">
        <f t="shared" si="202"/>
        <v>0</v>
      </c>
      <c r="O56" s="16">
        <f t="shared" si="203"/>
        <v>0</v>
      </c>
      <c r="P56" s="16">
        <f t="shared" si="204"/>
        <v>0</v>
      </c>
      <c r="Q56" s="16">
        <f t="shared" si="205"/>
        <v>0</v>
      </c>
      <c r="R56" s="16">
        <f t="shared" si="206"/>
        <v>0</v>
      </c>
      <c r="S56" s="16">
        <f t="shared" si="207"/>
        <v>0</v>
      </c>
      <c r="T56" s="16">
        <f t="shared" si="208"/>
        <v>0</v>
      </c>
      <c r="U56" s="16">
        <f t="shared" si="209"/>
        <v>0</v>
      </c>
      <c r="V56" s="16">
        <f t="shared" si="210"/>
        <v>0</v>
      </c>
      <c r="W56" s="16">
        <f t="shared" si="211"/>
        <v>0</v>
      </c>
      <c r="X56" s="16">
        <f t="shared" si="212"/>
        <v>0</v>
      </c>
      <c r="Y56" s="16">
        <f t="shared" si="213"/>
        <v>0</v>
      </c>
      <c r="Z56" s="16">
        <f t="shared" si="214"/>
        <v>0</v>
      </c>
      <c r="AA56" s="16">
        <f t="shared" si="215"/>
        <v>0</v>
      </c>
      <c r="AB56" s="16">
        <f t="shared" si="216"/>
        <v>376821.51752777776</v>
      </c>
      <c r="AC56" s="16">
        <f t="shared" si="217"/>
        <v>77148.89359722221</v>
      </c>
      <c r="AD56" s="16">
        <f t="shared" si="218"/>
        <v>54374.899249999995</v>
      </c>
      <c r="AE56" s="16">
        <f t="shared" si="219"/>
        <v>74146.394097222219</v>
      </c>
      <c r="AF56" s="16">
        <f t="shared" si="220"/>
        <v>72374.050197159871</v>
      </c>
      <c r="AG56" s="16">
        <f t="shared" si="221"/>
        <v>64907.565652370889</v>
      </c>
      <c r="AH56" s="16">
        <f t="shared" si="222"/>
        <v>95405.003237158788</v>
      </c>
      <c r="AI56" s="16">
        <f t="shared" si="223"/>
        <v>99062.007633537287</v>
      </c>
      <c r="AJ56" s="16">
        <f t="shared" si="224"/>
        <v>57325.619522494839</v>
      </c>
      <c r="AK56" s="16">
        <f t="shared" si="225"/>
        <v>0</v>
      </c>
      <c r="AL56" s="16">
        <f t="shared" si="226"/>
        <v>0</v>
      </c>
      <c r="AM56" s="16">
        <f t="shared" si="227"/>
        <v>0</v>
      </c>
      <c r="AN56" s="16">
        <f t="shared" si="228"/>
        <v>0</v>
      </c>
      <c r="AO56" s="16">
        <f t="shared" si="229"/>
        <v>0</v>
      </c>
      <c r="AP56" s="16">
        <f t="shared" si="230"/>
        <v>0</v>
      </c>
      <c r="AQ56" s="16">
        <f t="shared" si="231"/>
        <v>0</v>
      </c>
      <c r="AR56" s="16">
        <f t="shared" si="232"/>
        <v>0</v>
      </c>
      <c r="AS56" s="16">
        <f t="shared" si="233"/>
        <v>0</v>
      </c>
      <c r="AT56" s="16">
        <f t="shared" si="234"/>
        <v>0</v>
      </c>
      <c r="AU56" s="16">
        <f t="shared" si="235"/>
        <v>0</v>
      </c>
      <c r="AV56" s="16">
        <f t="shared" si="236"/>
        <v>0</v>
      </c>
      <c r="AW56" s="16">
        <f t="shared" si="237"/>
        <v>0</v>
      </c>
      <c r="AX56" s="16"/>
      <c r="AY56" s="16"/>
      <c r="AZ56" s="16"/>
      <c r="BA56" s="16"/>
      <c r="BB56" s="16"/>
      <c r="BC56" s="16"/>
      <c r="BD56" s="16"/>
      <c r="BE56" s="16"/>
      <c r="BF56" s="16"/>
      <c r="BG56" s="16"/>
      <c r="BH56" s="16"/>
      <c r="BI56" s="16"/>
      <c r="BJ56" s="16"/>
      <c r="BK56" s="16"/>
      <c r="BL56" s="16"/>
      <c r="BM56" s="16"/>
      <c r="BN56" s="16"/>
      <c r="BO56" s="16"/>
      <c r="BP56" s="16"/>
      <c r="BQ56" s="16"/>
      <c r="BR56" s="16"/>
      <c r="BS56" s="16"/>
      <c r="BT56" s="16"/>
      <c r="BU56" s="16"/>
      <c r="BV56" s="16"/>
      <c r="BW56" s="16"/>
      <c r="BX56" s="16"/>
      <c r="BY56" s="16"/>
      <c r="BZ56" s="16"/>
      <c r="CA56" s="16"/>
      <c r="CB56" s="16"/>
      <c r="CC56" s="16"/>
      <c r="CD56" s="16"/>
      <c r="CE56" s="16"/>
      <c r="CF56" s="16"/>
      <c r="CG56" s="16"/>
      <c r="CH56" s="16"/>
      <c r="CI56" s="16"/>
      <c r="CJ56" s="16"/>
      <c r="CK56" s="16"/>
      <c r="CL56" s="16"/>
      <c r="CM56" s="16"/>
      <c r="CN56" s="16"/>
      <c r="CO56" s="16"/>
      <c r="CP56" s="16">
        <f>CO55</f>
        <v>363135.6295972222</v>
      </c>
      <c r="CQ56" s="16">
        <f t="shared" si="252"/>
        <v>13685.887930555555</v>
      </c>
      <c r="CR56" s="16">
        <f t="shared" si="252"/>
        <v>33965.746402777775</v>
      </c>
      <c r="CS56" s="16">
        <f t="shared" si="252"/>
        <v>12892.889333333329</v>
      </c>
      <c r="CT56" s="16">
        <f t="shared" si="243"/>
        <v>30290.257861111106</v>
      </c>
      <c r="CU56" s="16">
        <f t="shared" si="256"/>
        <v>29777.734680555553</v>
      </c>
      <c r="CV56" s="16">
        <f t="shared" si="256"/>
        <v>11880.608055555555</v>
      </c>
      <c r="CW56" s="16">
        <f t="shared" si="256"/>
        <v>12716.556513888887</v>
      </c>
      <c r="CX56" s="16">
        <f t="shared" si="256"/>
        <v>33863.902333333332</v>
      </c>
      <c r="CY56" s="16">
        <f t="shared" si="256"/>
        <v>7752.5538611111115</v>
      </c>
      <c r="CZ56" s="16">
        <f t="shared" si="256"/>
        <v>32529.937902777772</v>
      </c>
      <c r="DA56" s="16">
        <f t="shared" si="256"/>
        <v>42655.816689451385</v>
      </c>
      <c r="DB56" s="16">
        <f t="shared" si="256"/>
        <v>11817.242199999999</v>
      </c>
      <c r="DC56" s="16">
        <f t="shared" si="256"/>
        <v>17900.991307708486</v>
      </c>
      <c r="DD56" s="16">
        <f t="shared" si="256"/>
        <v>26253.888747970756</v>
      </c>
      <c r="DE56" s="16">
        <f t="shared" si="256"/>
        <v>18018.769125509334</v>
      </c>
      <c r="DF56" s="16">
        <f t="shared" si="256"/>
        <v>20634.9077788908</v>
      </c>
      <c r="DG56" s="16">
        <f t="shared" si="256"/>
        <v>48223.134716626795</v>
      </c>
      <c r="DH56" s="16">
        <f t="shared" si="256"/>
        <v>11247.605465339511</v>
      </c>
      <c r="DI56" s="16">
        <f t="shared" si="256"/>
        <v>35934.263055192489</v>
      </c>
      <c r="DJ56" s="16">
        <f t="shared" si="256"/>
        <v>40141.269291773686</v>
      </c>
      <c r="DK56" s="16">
        <f t="shared" si="256"/>
        <v>16962.865077926886</v>
      </c>
      <c r="DL56" s="16">
        <f t="shared" si="256"/>
        <v>41957.873263836715</v>
      </c>
      <c r="DM56" s="16">
        <f t="shared" si="256"/>
        <v>57325.619522494839</v>
      </c>
      <c r="DN56" s="16">
        <f t="shared" si="256"/>
        <v>0</v>
      </c>
      <c r="DO56" s="16">
        <f t="shared" si="256"/>
        <v>0</v>
      </c>
      <c r="DP56" s="16">
        <f t="shared" si="256"/>
        <v>0</v>
      </c>
      <c r="DQ56" s="16">
        <f t="shared" si="256"/>
        <v>0</v>
      </c>
      <c r="DR56" s="16">
        <f t="shared" si="256"/>
        <v>0</v>
      </c>
      <c r="DS56" s="16">
        <f t="shared" si="256"/>
        <v>0</v>
      </c>
      <c r="DT56" s="16">
        <f t="shared" si="256"/>
        <v>0</v>
      </c>
      <c r="DU56" s="16">
        <f t="shared" si="256"/>
        <v>0</v>
      </c>
      <c r="DV56" s="16">
        <f t="shared" si="256"/>
        <v>0</v>
      </c>
      <c r="DW56" s="16">
        <f t="shared" si="256"/>
        <v>0</v>
      </c>
      <c r="DX56" s="16">
        <f t="shared" si="256"/>
        <v>0</v>
      </c>
      <c r="DY56" s="16">
        <f t="shared" si="256"/>
        <v>0</v>
      </c>
      <c r="DZ56" s="16">
        <f t="shared" si="256"/>
        <v>0</v>
      </c>
      <c r="EA56" s="16">
        <f t="shared" si="256"/>
        <v>0</v>
      </c>
      <c r="EB56" s="16">
        <f t="shared" si="256"/>
        <v>0</v>
      </c>
      <c r="EC56" s="16">
        <f t="shared" si="256"/>
        <v>0</v>
      </c>
      <c r="ED56" s="16">
        <f t="shared" si="256"/>
        <v>0</v>
      </c>
      <c r="EE56" s="16">
        <f t="shared" si="256"/>
        <v>0</v>
      </c>
      <c r="EF56" s="16">
        <f t="shared" si="256"/>
        <v>0</v>
      </c>
      <c r="EG56" s="16">
        <f t="shared" si="256"/>
        <v>0</v>
      </c>
      <c r="EH56" s="16">
        <f t="shared" si="256"/>
        <v>0</v>
      </c>
      <c r="EI56" s="16">
        <f t="shared" si="256"/>
        <v>0</v>
      </c>
      <c r="EJ56" s="16">
        <f t="shared" si="256"/>
        <v>0</v>
      </c>
      <c r="EK56" s="16">
        <f t="shared" si="256"/>
        <v>0</v>
      </c>
      <c r="EL56" s="16">
        <f t="shared" si="256"/>
        <v>0</v>
      </c>
      <c r="EM56" s="16">
        <f t="shared" si="256"/>
        <v>0</v>
      </c>
      <c r="EN56" s="16">
        <f t="shared" si="256"/>
        <v>0</v>
      </c>
      <c r="EO56" s="16">
        <f t="shared" si="256"/>
        <v>0</v>
      </c>
      <c r="EP56" s="16">
        <f t="shared" si="256"/>
        <v>0</v>
      </c>
      <c r="EQ56" s="16">
        <f t="shared" si="256"/>
        <v>0</v>
      </c>
      <c r="ER56" s="16">
        <f t="shared" si="256"/>
        <v>0</v>
      </c>
      <c r="ES56" s="16">
        <f t="shared" si="256"/>
        <v>0</v>
      </c>
      <c r="ET56" s="16">
        <f t="shared" si="256"/>
        <v>0</v>
      </c>
      <c r="EU56" s="16">
        <f t="shared" si="256"/>
        <v>0</v>
      </c>
      <c r="EV56" s="16">
        <f t="shared" si="256"/>
        <v>0</v>
      </c>
      <c r="EW56" s="16">
        <f t="shared" si="256"/>
        <v>0</v>
      </c>
      <c r="EX56" s="16">
        <f t="shared" si="256"/>
        <v>0</v>
      </c>
      <c r="EY56" s="16">
        <f t="shared" si="256"/>
        <v>0</v>
      </c>
      <c r="EZ56" s="16">
        <f t="shared" si="256"/>
        <v>0</v>
      </c>
      <c r="FA56" s="16">
        <f t="shared" si="256"/>
        <v>0</v>
      </c>
      <c r="FB56" s="16">
        <f t="shared" si="256"/>
        <v>0</v>
      </c>
    </row>
    <row r="57" spans="3:158" x14ac:dyDescent="0.25">
      <c r="C57" s="248" t="s">
        <v>758</v>
      </c>
      <c r="D57" s="16">
        <f t="shared" si="250"/>
        <v>0</v>
      </c>
      <c r="E57" s="16">
        <f t="shared" si="250"/>
        <v>0</v>
      </c>
      <c r="F57" s="16">
        <f t="shared" si="250"/>
        <v>0</v>
      </c>
      <c r="G57" s="16">
        <f t="shared" si="250"/>
        <v>423680.1532638889</v>
      </c>
      <c r="H57" s="16">
        <f t="shared" si="250"/>
        <v>275458.25927897327</v>
      </c>
      <c r="I57" s="16">
        <f t="shared" si="250"/>
        <v>272427.53817208175</v>
      </c>
      <c r="J57" s="16">
        <f t="shared" si="250"/>
        <v>0</v>
      </c>
      <c r="K57" s="16">
        <f t="shared" si="250"/>
        <v>0</v>
      </c>
      <c r="L57" s="16">
        <f t="shared" si="250"/>
        <v>0</v>
      </c>
      <c r="M57" s="16"/>
      <c r="N57" s="16">
        <f t="shared" si="202"/>
        <v>0</v>
      </c>
      <c r="O57" s="16">
        <f t="shared" si="203"/>
        <v>0</v>
      </c>
      <c r="P57" s="16">
        <f t="shared" si="204"/>
        <v>0</v>
      </c>
      <c r="Q57" s="16">
        <f t="shared" si="205"/>
        <v>0</v>
      </c>
      <c r="R57" s="16">
        <f t="shared" si="206"/>
        <v>0</v>
      </c>
      <c r="S57" s="16">
        <f t="shared" si="207"/>
        <v>0</v>
      </c>
      <c r="T57" s="16">
        <f t="shared" si="208"/>
        <v>0</v>
      </c>
      <c r="U57" s="16">
        <f t="shared" si="209"/>
        <v>0</v>
      </c>
      <c r="V57" s="16">
        <f t="shared" si="210"/>
        <v>0</v>
      </c>
      <c r="W57" s="16">
        <f t="shared" si="211"/>
        <v>0</v>
      </c>
      <c r="X57" s="16">
        <f t="shared" si="212"/>
        <v>0</v>
      </c>
      <c r="Y57" s="16">
        <f t="shared" si="213"/>
        <v>0</v>
      </c>
      <c r="Z57" s="16">
        <f t="shared" si="214"/>
        <v>0</v>
      </c>
      <c r="AA57" s="16">
        <f t="shared" si="215"/>
        <v>0</v>
      </c>
      <c r="AB57" s="16">
        <f t="shared" si="216"/>
        <v>363135.6295972222</v>
      </c>
      <c r="AC57" s="16">
        <f t="shared" si="217"/>
        <v>60544.523666666661</v>
      </c>
      <c r="AD57" s="16">
        <f t="shared" si="218"/>
        <v>71948.600597222219</v>
      </c>
      <c r="AE57" s="16">
        <f t="shared" si="219"/>
        <v>54333.012708333328</v>
      </c>
      <c r="AF57" s="16">
        <f t="shared" si="220"/>
        <v>87002.996792229154</v>
      </c>
      <c r="AG57" s="16">
        <f t="shared" si="221"/>
        <v>62173.649181188579</v>
      </c>
      <c r="AH57" s="16">
        <f t="shared" si="222"/>
        <v>80105.64796085711</v>
      </c>
      <c r="AI57" s="16">
        <f t="shared" si="223"/>
        <v>93038.397424893075</v>
      </c>
      <c r="AJ57" s="16">
        <f t="shared" si="224"/>
        <v>99283.492786331553</v>
      </c>
      <c r="AK57" s="16">
        <f t="shared" si="225"/>
        <v>0</v>
      </c>
      <c r="AL57" s="16">
        <f t="shared" si="226"/>
        <v>0</v>
      </c>
      <c r="AM57" s="16">
        <f t="shared" si="227"/>
        <v>0</v>
      </c>
      <c r="AN57" s="16">
        <f t="shared" si="228"/>
        <v>0</v>
      </c>
      <c r="AO57" s="16">
        <f t="shared" si="229"/>
        <v>0</v>
      </c>
      <c r="AP57" s="16">
        <f t="shared" si="230"/>
        <v>0</v>
      </c>
      <c r="AQ57" s="16">
        <f t="shared" si="231"/>
        <v>0</v>
      </c>
      <c r="AR57" s="16">
        <f t="shared" si="232"/>
        <v>0</v>
      </c>
      <c r="AS57" s="16">
        <f t="shared" si="233"/>
        <v>0</v>
      </c>
      <c r="AT57" s="16">
        <f t="shared" si="234"/>
        <v>0</v>
      </c>
      <c r="AU57" s="16">
        <f t="shared" si="235"/>
        <v>0</v>
      </c>
      <c r="AV57" s="16">
        <f t="shared" si="236"/>
        <v>0</v>
      </c>
      <c r="AW57" s="16">
        <f t="shared" si="237"/>
        <v>0</v>
      </c>
      <c r="AX57" s="16"/>
      <c r="AY57" s="16"/>
      <c r="AZ57" s="16"/>
      <c r="BA57" s="16"/>
      <c r="BB57" s="16"/>
      <c r="BC57" s="16"/>
      <c r="BD57" s="16"/>
      <c r="BE57" s="16"/>
      <c r="BF57" s="16"/>
      <c r="BG57" s="16"/>
      <c r="BH57" s="16"/>
      <c r="BI57" s="16"/>
      <c r="BJ57" s="16"/>
      <c r="BK57" s="16"/>
      <c r="BL57" s="16"/>
      <c r="BM57" s="16"/>
      <c r="BN57" s="16"/>
      <c r="BO57" s="16"/>
      <c r="BP57" s="16"/>
      <c r="BQ57" s="16"/>
      <c r="BR57" s="16"/>
      <c r="BS57" s="16"/>
      <c r="BT57" s="16"/>
      <c r="BU57" s="16"/>
      <c r="BV57" s="16"/>
      <c r="BW57" s="16"/>
      <c r="BX57" s="16"/>
      <c r="BY57" s="16"/>
      <c r="BZ57" s="16"/>
      <c r="CA57" s="16"/>
      <c r="CB57" s="16"/>
      <c r="CC57" s="16"/>
      <c r="CD57" s="16"/>
      <c r="CE57" s="16"/>
      <c r="CF57" s="16"/>
      <c r="CG57" s="16"/>
      <c r="CH57" s="16"/>
      <c r="CI57" s="16"/>
      <c r="CJ57" s="16"/>
      <c r="CK57" s="16"/>
      <c r="CL57" s="16"/>
      <c r="CM57" s="16"/>
      <c r="CN57" s="16"/>
      <c r="CO57" s="16"/>
      <c r="CP57" s="16"/>
      <c r="CQ57" s="16">
        <f>CP56</f>
        <v>363135.6295972222</v>
      </c>
      <c r="CR57" s="16">
        <f>CQ56</f>
        <v>13685.887930555555</v>
      </c>
      <c r="CS57" s="16">
        <f t="shared" si="252"/>
        <v>33965.746402777775</v>
      </c>
      <c r="CT57" s="16">
        <f t="shared" si="243"/>
        <v>12892.889333333329</v>
      </c>
      <c r="CU57" s="16">
        <f t="shared" si="256"/>
        <v>30290.257861111106</v>
      </c>
      <c r="CV57" s="16">
        <f t="shared" si="256"/>
        <v>29777.734680555553</v>
      </c>
      <c r="CW57" s="16">
        <f t="shared" si="256"/>
        <v>11880.608055555555</v>
      </c>
      <c r="CX57" s="16">
        <f t="shared" si="256"/>
        <v>12716.556513888887</v>
      </c>
      <c r="CY57" s="16">
        <f t="shared" si="256"/>
        <v>33863.902333333332</v>
      </c>
      <c r="CZ57" s="16">
        <f t="shared" si="256"/>
        <v>7752.5538611111115</v>
      </c>
      <c r="DA57" s="16">
        <f t="shared" si="256"/>
        <v>32529.937902777772</v>
      </c>
      <c r="DB57" s="16">
        <f t="shared" si="256"/>
        <v>42655.816689451385</v>
      </c>
      <c r="DC57" s="16">
        <f t="shared" si="256"/>
        <v>11817.242199999999</v>
      </c>
      <c r="DD57" s="16">
        <f t="shared" si="256"/>
        <v>17900.991307708486</v>
      </c>
      <c r="DE57" s="16">
        <f t="shared" si="256"/>
        <v>26253.888747970756</v>
      </c>
      <c r="DF57" s="16">
        <f t="shared" si="256"/>
        <v>18018.769125509334</v>
      </c>
      <c r="DG57" s="16">
        <f t="shared" si="256"/>
        <v>20634.9077788908</v>
      </c>
      <c r="DH57" s="16">
        <f t="shared" si="256"/>
        <v>48223.134716626795</v>
      </c>
      <c r="DI57" s="16">
        <f t="shared" si="256"/>
        <v>11247.605465339511</v>
      </c>
      <c r="DJ57" s="16">
        <f t="shared" si="256"/>
        <v>35934.263055192489</v>
      </c>
      <c r="DK57" s="16">
        <f t="shared" si="256"/>
        <v>40141.269291773686</v>
      </c>
      <c r="DL57" s="16">
        <f t="shared" si="256"/>
        <v>16962.865077926886</v>
      </c>
      <c r="DM57" s="16">
        <f t="shared" si="256"/>
        <v>41957.873263836715</v>
      </c>
      <c r="DN57" s="16">
        <f t="shared" si="256"/>
        <v>57325.619522494839</v>
      </c>
      <c r="DO57" s="16">
        <f t="shared" si="256"/>
        <v>0</v>
      </c>
      <c r="DP57" s="16">
        <f t="shared" si="256"/>
        <v>0</v>
      </c>
      <c r="DQ57" s="16">
        <f t="shared" si="256"/>
        <v>0</v>
      </c>
      <c r="DR57" s="16">
        <f t="shared" si="256"/>
        <v>0</v>
      </c>
      <c r="DS57" s="16">
        <f t="shared" si="256"/>
        <v>0</v>
      </c>
      <c r="DT57" s="16">
        <f t="shared" si="256"/>
        <v>0</v>
      </c>
      <c r="DU57" s="16">
        <f t="shared" si="256"/>
        <v>0</v>
      </c>
      <c r="DV57" s="16">
        <f t="shared" si="256"/>
        <v>0</v>
      </c>
      <c r="DW57" s="16">
        <f t="shared" si="256"/>
        <v>0</v>
      </c>
      <c r="DX57" s="16">
        <f t="shared" si="256"/>
        <v>0</v>
      </c>
      <c r="DY57" s="16">
        <f t="shared" si="256"/>
        <v>0</v>
      </c>
      <c r="DZ57" s="16">
        <f t="shared" si="256"/>
        <v>0</v>
      </c>
      <c r="EA57" s="16">
        <f t="shared" si="256"/>
        <v>0</v>
      </c>
      <c r="EB57" s="16">
        <f t="shared" si="256"/>
        <v>0</v>
      </c>
      <c r="EC57" s="16">
        <f t="shared" si="256"/>
        <v>0</v>
      </c>
      <c r="ED57" s="16">
        <f t="shared" si="256"/>
        <v>0</v>
      </c>
      <c r="EE57" s="16">
        <f t="shared" si="256"/>
        <v>0</v>
      </c>
      <c r="EF57" s="16">
        <f t="shared" si="256"/>
        <v>0</v>
      </c>
      <c r="EG57" s="16">
        <f t="shared" si="256"/>
        <v>0</v>
      </c>
      <c r="EH57" s="16">
        <f t="shared" si="256"/>
        <v>0</v>
      </c>
      <c r="EI57" s="16">
        <f t="shared" si="256"/>
        <v>0</v>
      </c>
      <c r="EJ57" s="16">
        <f t="shared" si="256"/>
        <v>0</v>
      </c>
      <c r="EK57" s="16">
        <f t="shared" si="256"/>
        <v>0</v>
      </c>
      <c r="EL57" s="16">
        <f t="shared" si="256"/>
        <v>0</v>
      </c>
      <c r="EM57" s="16">
        <f t="shared" si="256"/>
        <v>0</v>
      </c>
      <c r="EN57" s="16">
        <f t="shared" si="256"/>
        <v>0</v>
      </c>
      <c r="EO57" s="16">
        <f t="shared" si="256"/>
        <v>0</v>
      </c>
      <c r="EP57" s="16">
        <f t="shared" si="256"/>
        <v>0</v>
      </c>
      <c r="EQ57" s="16">
        <f t="shared" si="256"/>
        <v>0</v>
      </c>
      <c r="ER57" s="16">
        <f t="shared" si="256"/>
        <v>0</v>
      </c>
      <c r="ES57" s="16">
        <f t="shared" si="256"/>
        <v>0</v>
      </c>
      <c r="ET57" s="16">
        <f t="shared" si="256"/>
        <v>0</v>
      </c>
      <c r="EU57" s="16">
        <f t="shared" si="256"/>
        <v>0</v>
      </c>
      <c r="EV57" s="16">
        <f t="shared" si="256"/>
        <v>0</v>
      </c>
      <c r="EW57" s="16">
        <f t="shared" si="256"/>
        <v>0</v>
      </c>
      <c r="EX57" s="16">
        <f t="shared" si="256"/>
        <v>0</v>
      </c>
      <c r="EY57" s="16">
        <f t="shared" si="256"/>
        <v>0</v>
      </c>
      <c r="EZ57" s="16">
        <f t="shared" si="256"/>
        <v>0</v>
      </c>
      <c r="FA57" s="16">
        <f t="shared" si="256"/>
        <v>0</v>
      </c>
      <c r="FB57" s="16">
        <f t="shared" si="256"/>
        <v>0</v>
      </c>
    </row>
    <row r="58" spans="3:158" x14ac:dyDescent="0.25">
      <c r="C58" s="248" t="s">
        <v>759</v>
      </c>
      <c r="D58" s="16">
        <f t="shared" si="250"/>
        <v>0</v>
      </c>
      <c r="E58" s="16">
        <f t="shared" si="250"/>
        <v>0</v>
      </c>
      <c r="F58" s="16">
        <f t="shared" si="250"/>
        <v>0</v>
      </c>
      <c r="G58" s="16">
        <f t="shared" si="250"/>
        <v>410787.26393055555</v>
      </c>
      <c r="H58" s="16">
        <f t="shared" si="250"/>
        <v>270332.37948679732</v>
      </c>
      <c r="I58" s="16">
        <f t="shared" si="250"/>
        <v>290446.30729759106</v>
      </c>
      <c r="J58" s="16">
        <f t="shared" si="250"/>
        <v>0</v>
      </c>
      <c r="K58" s="16">
        <f t="shared" si="250"/>
        <v>0</v>
      </c>
      <c r="L58" s="16">
        <f t="shared" si="250"/>
        <v>0</v>
      </c>
      <c r="M58" s="16"/>
      <c r="N58" s="16">
        <f t="shared" si="202"/>
        <v>0</v>
      </c>
      <c r="O58" s="16">
        <f t="shared" si="203"/>
        <v>0</v>
      </c>
      <c r="P58" s="16">
        <f t="shared" si="204"/>
        <v>0</v>
      </c>
      <c r="Q58" s="16">
        <f t="shared" si="205"/>
        <v>0</v>
      </c>
      <c r="R58" s="16">
        <f t="shared" si="206"/>
        <v>0</v>
      </c>
      <c r="S58" s="16">
        <f t="shared" si="207"/>
        <v>0</v>
      </c>
      <c r="T58" s="16">
        <f t="shared" si="208"/>
        <v>0</v>
      </c>
      <c r="U58" s="16">
        <f t="shared" si="209"/>
        <v>0</v>
      </c>
      <c r="V58" s="16">
        <f t="shared" si="210"/>
        <v>0</v>
      </c>
      <c r="W58" s="16">
        <f t="shared" si="211"/>
        <v>0</v>
      </c>
      <c r="X58" s="16">
        <f t="shared" si="212"/>
        <v>0</v>
      </c>
      <c r="Y58" s="16">
        <f t="shared" si="213"/>
        <v>0</v>
      </c>
      <c r="Z58" s="16">
        <f t="shared" si="214"/>
        <v>0</v>
      </c>
      <c r="AA58" s="16">
        <f t="shared" si="215"/>
        <v>0</v>
      </c>
      <c r="AB58" s="16">
        <f t="shared" si="216"/>
        <v>0</v>
      </c>
      <c r="AC58" s="16">
        <f t="shared" si="217"/>
        <v>410787.26393055555</v>
      </c>
      <c r="AD58" s="16">
        <f t="shared" si="218"/>
        <v>72960.881874999992</v>
      </c>
      <c r="AE58" s="16">
        <f t="shared" si="219"/>
        <v>58461.066902777777</v>
      </c>
      <c r="AF58" s="16">
        <f t="shared" si="220"/>
        <v>82938.308453340273</v>
      </c>
      <c r="AG58" s="16">
        <f t="shared" si="221"/>
        <v>55972.122255679242</v>
      </c>
      <c r="AH58" s="16">
        <f t="shared" si="222"/>
        <v>86876.811621026922</v>
      </c>
      <c r="AI58" s="16">
        <f t="shared" si="223"/>
        <v>87323.137812305678</v>
      </c>
      <c r="AJ58" s="16">
        <f t="shared" si="224"/>
        <v>116246.35786425843</v>
      </c>
      <c r="AK58" s="16">
        <f t="shared" si="225"/>
        <v>0</v>
      </c>
      <c r="AL58" s="16">
        <f t="shared" si="226"/>
        <v>0</v>
      </c>
      <c r="AM58" s="16">
        <f t="shared" si="227"/>
        <v>0</v>
      </c>
      <c r="AN58" s="16">
        <f t="shared" si="228"/>
        <v>0</v>
      </c>
      <c r="AO58" s="16">
        <f t="shared" si="229"/>
        <v>0</v>
      </c>
      <c r="AP58" s="16">
        <f t="shared" si="230"/>
        <v>0</v>
      </c>
      <c r="AQ58" s="16">
        <f t="shared" si="231"/>
        <v>0</v>
      </c>
      <c r="AR58" s="16">
        <f t="shared" si="232"/>
        <v>0</v>
      </c>
      <c r="AS58" s="16">
        <f t="shared" si="233"/>
        <v>0</v>
      </c>
      <c r="AT58" s="16">
        <f t="shared" si="234"/>
        <v>0</v>
      </c>
      <c r="AU58" s="16">
        <f t="shared" si="235"/>
        <v>0</v>
      </c>
      <c r="AV58" s="16">
        <f t="shared" si="236"/>
        <v>0</v>
      </c>
      <c r="AW58" s="16">
        <f t="shared" si="237"/>
        <v>0</v>
      </c>
      <c r="AX58" s="16"/>
      <c r="AY58" s="16"/>
      <c r="AZ58" s="16"/>
      <c r="BA58" s="16"/>
      <c r="BB58" s="16"/>
      <c r="BC58" s="16"/>
      <c r="BD58" s="16"/>
      <c r="BE58" s="16"/>
      <c r="BF58" s="16"/>
      <c r="BG58" s="16"/>
      <c r="BH58" s="16"/>
      <c r="BI58" s="16"/>
      <c r="BJ58" s="16"/>
      <c r="BK58" s="16"/>
      <c r="BL58" s="16"/>
      <c r="BM58" s="16"/>
      <c r="BN58" s="16"/>
      <c r="BO58" s="16"/>
      <c r="BP58" s="16"/>
      <c r="BQ58" s="16"/>
      <c r="BR58" s="16"/>
      <c r="BS58" s="16"/>
      <c r="BT58" s="16"/>
      <c r="BU58" s="16"/>
      <c r="BV58" s="16"/>
      <c r="BW58" s="16"/>
      <c r="BX58" s="16"/>
      <c r="BY58" s="16"/>
      <c r="BZ58" s="16"/>
      <c r="CA58" s="16"/>
      <c r="CB58" s="16"/>
      <c r="CC58" s="16"/>
      <c r="CD58" s="16"/>
      <c r="CE58" s="16"/>
      <c r="CF58" s="16"/>
      <c r="CG58" s="16"/>
      <c r="CH58" s="16"/>
      <c r="CI58" s="16"/>
      <c r="CJ58" s="16"/>
      <c r="CK58" s="16"/>
      <c r="CL58" s="16"/>
      <c r="CM58" s="16"/>
      <c r="CN58" s="16"/>
      <c r="CO58" s="16"/>
      <c r="CP58" s="16"/>
      <c r="CQ58" s="16"/>
      <c r="CR58" s="16">
        <f>CQ57</f>
        <v>363135.6295972222</v>
      </c>
      <c r="CS58" s="16">
        <f t="shared" si="252"/>
        <v>13685.887930555555</v>
      </c>
      <c r="CT58" s="16">
        <f t="shared" si="243"/>
        <v>33965.746402777775</v>
      </c>
      <c r="CU58" s="16">
        <f t="shared" si="256"/>
        <v>12892.889333333329</v>
      </c>
      <c r="CV58" s="16">
        <f t="shared" si="256"/>
        <v>30290.257861111106</v>
      </c>
      <c r="CW58" s="16">
        <f t="shared" si="256"/>
        <v>29777.734680555553</v>
      </c>
      <c r="CX58" s="16">
        <f t="shared" si="256"/>
        <v>11880.608055555555</v>
      </c>
      <c r="CY58" s="16">
        <f t="shared" si="256"/>
        <v>12716.556513888887</v>
      </c>
      <c r="CZ58" s="16">
        <f t="shared" si="256"/>
        <v>33863.902333333332</v>
      </c>
      <c r="DA58" s="16">
        <f t="shared" si="256"/>
        <v>7752.5538611111115</v>
      </c>
      <c r="DB58" s="16">
        <f t="shared" si="256"/>
        <v>32529.937902777772</v>
      </c>
      <c r="DC58" s="16">
        <f t="shared" si="256"/>
        <v>42655.816689451385</v>
      </c>
      <c r="DD58" s="16">
        <f t="shared" si="256"/>
        <v>11817.242199999999</v>
      </c>
      <c r="DE58" s="16">
        <f t="shared" si="256"/>
        <v>17900.991307708486</v>
      </c>
      <c r="DF58" s="16">
        <f t="shared" si="256"/>
        <v>26253.888747970756</v>
      </c>
      <c r="DG58" s="16">
        <f t="shared" si="256"/>
        <v>18018.769125509334</v>
      </c>
      <c r="DH58" s="16">
        <f t="shared" si="256"/>
        <v>20634.9077788908</v>
      </c>
      <c r="DI58" s="16">
        <f t="shared" si="256"/>
        <v>48223.134716626795</v>
      </c>
      <c r="DJ58" s="16">
        <f t="shared" si="256"/>
        <v>11247.605465339511</v>
      </c>
      <c r="DK58" s="16">
        <f t="shared" si="256"/>
        <v>35934.263055192489</v>
      </c>
      <c r="DL58" s="16">
        <f t="shared" si="256"/>
        <v>40141.269291773686</v>
      </c>
      <c r="DM58" s="16">
        <f t="shared" si="256"/>
        <v>16962.865077926886</v>
      </c>
      <c r="DN58" s="16">
        <f t="shared" si="256"/>
        <v>41957.873263836715</v>
      </c>
      <c r="DO58" s="16">
        <f t="shared" si="256"/>
        <v>57325.619522494839</v>
      </c>
      <c r="DP58" s="16">
        <f t="shared" si="256"/>
        <v>0</v>
      </c>
      <c r="DQ58" s="16">
        <f t="shared" si="256"/>
        <v>0</v>
      </c>
      <c r="DR58" s="16">
        <f t="shared" si="256"/>
        <v>0</v>
      </c>
      <c r="DS58" s="16">
        <f t="shared" si="256"/>
        <v>0</v>
      </c>
      <c r="DT58" s="16">
        <f t="shared" si="256"/>
        <v>0</v>
      </c>
      <c r="DU58" s="16">
        <f t="shared" si="256"/>
        <v>0</v>
      </c>
      <c r="DV58" s="16">
        <f t="shared" si="256"/>
        <v>0</v>
      </c>
      <c r="DW58" s="16">
        <f t="shared" si="256"/>
        <v>0</v>
      </c>
      <c r="DX58" s="16">
        <f t="shared" si="256"/>
        <v>0</v>
      </c>
      <c r="DY58" s="16">
        <f t="shared" si="256"/>
        <v>0</v>
      </c>
      <c r="DZ58" s="16">
        <f t="shared" si="256"/>
        <v>0</v>
      </c>
      <c r="EA58" s="16">
        <f t="shared" si="256"/>
        <v>0</v>
      </c>
      <c r="EB58" s="16">
        <f t="shared" si="256"/>
        <v>0</v>
      </c>
      <c r="EC58" s="16">
        <f t="shared" si="256"/>
        <v>0</v>
      </c>
      <c r="ED58" s="16">
        <f t="shared" si="256"/>
        <v>0</v>
      </c>
      <c r="EE58" s="16">
        <f t="shared" si="256"/>
        <v>0</v>
      </c>
      <c r="EF58" s="16">
        <f t="shared" si="256"/>
        <v>0</v>
      </c>
      <c r="EG58" s="16">
        <f t="shared" si="256"/>
        <v>0</v>
      </c>
      <c r="EH58" s="16">
        <f t="shared" si="256"/>
        <v>0</v>
      </c>
      <c r="EI58" s="16">
        <f t="shared" si="256"/>
        <v>0</v>
      </c>
      <c r="EJ58" s="16">
        <f t="shared" si="256"/>
        <v>0</v>
      </c>
      <c r="EK58" s="16">
        <f t="shared" si="256"/>
        <v>0</v>
      </c>
      <c r="EL58" s="16">
        <f t="shared" si="256"/>
        <v>0</v>
      </c>
      <c r="EM58" s="16">
        <f t="shared" si="256"/>
        <v>0</v>
      </c>
      <c r="EN58" s="16">
        <f t="shared" si="256"/>
        <v>0</v>
      </c>
      <c r="EO58" s="16">
        <f t="shared" si="256"/>
        <v>0</v>
      </c>
      <c r="EP58" s="16">
        <f t="shared" si="256"/>
        <v>0</v>
      </c>
      <c r="EQ58" s="16">
        <f t="shared" si="256"/>
        <v>0</v>
      </c>
      <c r="ER58" s="16">
        <f t="shared" si="256"/>
        <v>0</v>
      </c>
      <c r="ES58" s="16">
        <f t="shared" si="256"/>
        <v>0</v>
      </c>
      <c r="ET58" s="16">
        <f t="shared" si="256"/>
        <v>0</v>
      </c>
      <c r="EU58" s="16">
        <f t="shared" si="256"/>
        <v>0</v>
      </c>
      <c r="EV58" s="16">
        <f t="shared" si="256"/>
        <v>0</v>
      </c>
      <c r="EW58" s="16">
        <f t="shared" si="256"/>
        <v>0</v>
      </c>
      <c r="EX58" s="16">
        <f t="shared" si="256"/>
        <v>0</v>
      </c>
      <c r="EY58" s="16">
        <f t="shared" si="256"/>
        <v>0</v>
      </c>
      <c r="EZ58" s="16">
        <f t="shared" si="256"/>
        <v>0</v>
      </c>
      <c r="FA58" s="16">
        <f t="shared" si="256"/>
        <v>0</v>
      </c>
      <c r="FB58" s="16">
        <f t="shared" si="256"/>
        <v>0</v>
      </c>
    </row>
    <row r="59" spans="3:158" x14ac:dyDescent="0.25">
      <c r="C59" s="248" t="s">
        <v>760</v>
      </c>
      <c r="D59" s="16">
        <f t="shared" si="250"/>
        <v>0</v>
      </c>
      <c r="E59" s="16">
        <f t="shared" si="250"/>
        <v>0</v>
      </c>
      <c r="F59" s="16">
        <f t="shared" si="250"/>
        <v>0</v>
      </c>
      <c r="G59" s="16">
        <f t="shared" si="250"/>
        <v>376821.51752777776</v>
      </c>
      <c r="H59" s="16">
        <f t="shared" si="250"/>
        <v>278044.2371416043</v>
      </c>
      <c r="I59" s="16">
        <f t="shared" si="250"/>
        <v>316700.19604556181</v>
      </c>
      <c r="J59" s="16">
        <f t="shared" si="250"/>
        <v>0</v>
      </c>
      <c r="K59" s="16">
        <f t="shared" si="250"/>
        <v>0</v>
      </c>
      <c r="L59" s="16">
        <f t="shared" si="250"/>
        <v>0</v>
      </c>
      <c r="M59" s="16"/>
      <c r="N59" s="16">
        <f t="shared" si="202"/>
        <v>0</v>
      </c>
      <c r="O59" s="16">
        <f t="shared" si="203"/>
        <v>0</v>
      </c>
      <c r="P59" s="16">
        <f t="shared" si="204"/>
        <v>0</v>
      </c>
      <c r="Q59" s="16">
        <f t="shared" si="205"/>
        <v>0</v>
      </c>
      <c r="R59" s="16">
        <f t="shared" si="206"/>
        <v>0</v>
      </c>
      <c r="S59" s="16">
        <f t="shared" si="207"/>
        <v>0</v>
      </c>
      <c r="T59" s="16">
        <f t="shared" si="208"/>
        <v>0</v>
      </c>
      <c r="U59" s="16">
        <f t="shared" si="209"/>
        <v>0</v>
      </c>
      <c r="V59" s="16">
        <f t="shared" si="210"/>
        <v>0</v>
      </c>
      <c r="W59" s="16">
        <f t="shared" si="211"/>
        <v>0</v>
      </c>
      <c r="X59" s="16">
        <f t="shared" si="212"/>
        <v>0</v>
      </c>
      <c r="Y59" s="16">
        <f t="shared" si="213"/>
        <v>0</v>
      </c>
      <c r="Z59" s="16">
        <f t="shared" si="214"/>
        <v>0</v>
      </c>
      <c r="AA59" s="16">
        <f t="shared" si="215"/>
        <v>0</v>
      </c>
      <c r="AB59" s="16">
        <f t="shared" si="216"/>
        <v>0</v>
      </c>
      <c r="AC59" s="16">
        <f t="shared" si="217"/>
        <v>376821.51752777776</v>
      </c>
      <c r="AD59" s="16">
        <f t="shared" si="218"/>
        <v>77148.89359722221</v>
      </c>
      <c r="AE59" s="16">
        <f t="shared" si="219"/>
        <v>54374.899249999995</v>
      </c>
      <c r="AF59" s="16">
        <f t="shared" si="220"/>
        <v>74146.394097222219</v>
      </c>
      <c r="AG59" s="16">
        <f t="shared" si="221"/>
        <v>72374.050197159871</v>
      </c>
      <c r="AH59" s="16">
        <f t="shared" si="222"/>
        <v>64907.565652370889</v>
      </c>
      <c r="AI59" s="16">
        <f t="shared" si="223"/>
        <v>95405.003237158788</v>
      </c>
      <c r="AJ59" s="16">
        <f t="shared" si="224"/>
        <v>99062.007633537287</v>
      </c>
      <c r="AK59" s="16">
        <f t="shared" si="225"/>
        <v>57325.619522494839</v>
      </c>
      <c r="AL59" s="16">
        <f t="shared" si="226"/>
        <v>0</v>
      </c>
      <c r="AM59" s="16">
        <f t="shared" si="227"/>
        <v>0</v>
      </c>
      <c r="AN59" s="16">
        <f t="shared" si="228"/>
        <v>0</v>
      </c>
      <c r="AO59" s="16">
        <f t="shared" si="229"/>
        <v>0</v>
      </c>
      <c r="AP59" s="16">
        <f t="shared" si="230"/>
        <v>0</v>
      </c>
      <c r="AQ59" s="16">
        <f t="shared" si="231"/>
        <v>0</v>
      </c>
      <c r="AR59" s="16">
        <f t="shared" si="232"/>
        <v>0</v>
      </c>
      <c r="AS59" s="16">
        <f t="shared" si="233"/>
        <v>0</v>
      </c>
      <c r="AT59" s="16">
        <f t="shared" si="234"/>
        <v>0</v>
      </c>
      <c r="AU59" s="16">
        <f t="shared" si="235"/>
        <v>0</v>
      </c>
      <c r="AV59" s="16">
        <f t="shared" si="236"/>
        <v>0</v>
      </c>
      <c r="AW59" s="16">
        <f t="shared" si="237"/>
        <v>0</v>
      </c>
      <c r="AX59" s="16"/>
      <c r="AY59" s="16"/>
      <c r="AZ59" s="16"/>
      <c r="BA59" s="16"/>
      <c r="BB59" s="16"/>
      <c r="BC59" s="16"/>
      <c r="BD59" s="16"/>
      <c r="BE59" s="16"/>
      <c r="BF59" s="16"/>
      <c r="BG59" s="16"/>
      <c r="BH59" s="16"/>
      <c r="BI59" s="16"/>
      <c r="BJ59" s="16"/>
      <c r="BK59" s="16"/>
      <c r="BL59" s="16"/>
      <c r="BM59" s="16"/>
      <c r="BN59" s="16"/>
      <c r="BO59" s="16"/>
      <c r="BP59" s="16"/>
      <c r="BQ59" s="16"/>
      <c r="BR59" s="16"/>
      <c r="BS59" s="16"/>
      <c r="BT59" s="16"/>
      <c r="BU59" s="16"/>
      <c r="BV59" s="16"/>
      <c r="BW59" s="16"/>
      <c r="BX59" s="16"/>
      <c r="BY59" s="16"/>
      <c r="BZ59" s="16"/>
      <c r="CA59" s="16"/>
      <c r="CB59" s="16"/>
      <c r="CC59" s="16"/>
      <c r="CD59" s="16"/>
      <c r="CE59" s="16"/>
      <c r="CF59" s="16"/>
      <c r="CG59" s="16"/>
      <c r="CH59" s="16"/>
      <c r="CI59" s="16"/>
      <c r="CJ59" s="16"/>
      <c r="CK59" s="16"/>
      <c r="CL59" s="16"/>
      <c r="CM59" s="16"/>
      <c r="CN59" s="16"/>
      <c r="CO59" s="16"/>
      <c r="CP59" s="16"/>
      <c r="CQ59" s="16"/>
      <c r="CR59" s="16"/>
      <c r="CS59" s="16">
        <f>CR58</f>
        <v>363135.6295972222</v>
      </c>
      <c r="CT59" s="16">
        <f t="shared" si="243"/>
        <v>13685.887930555555</v>
      </c>
      <c r="CU59" s="16">
        <f t="shared" si="256"/>
        <v>33965.746402777775</v>
      </c>
      <c r="CV59" s="16">
        <f t="shared" si="256"/>
        <v>12892.889333333329</v>
      </c>
      <c r="CW59" s="16">
        <f t="shared" si="256"/>
        <v>30290.257861111106</v>
      </c>
      <c r="CX59" s="16">
        <f t="shared" si="256"/>
        <v>29777.734680555553</v>
      </c>
      <c r="CY59" s="16">
        <f t="shared" si="256"/>
        <v>11880.608055555555</v>
      </c>
      <c r="CZ59" s="16">
        <f t="shared" si="256"/>
        <v>12716.556513888887</v>
      </c>
      <c r="DA59" s="16">
        <f t="shared" si="256"/>
        <v>33863.902333333332</v>
      </c>
      <c r="DB59" s="16">
        <f t="shared" si="256"/>
        <v>7752.5538611111115</v>
      </c>
      <c r="DC59" s="16">
        <f t="shared" si="256"/>
        <v>32529.937902777772</v>
      </c>
      <c r="DD59" s="16">
        <f t="shared" si="256"/>
        <v>42655.816689451385</v>
      </c>
      <c r="DE59" s="16">
        <f t="shared" si="256"/>
        <v>11817.242199999999</v>
      </c>
      <c r="DF59" s="16">
        <f t="shared" si="256"/>
        <v>17900.991307708486</v>
      </c>
      <c r="DG59" s="16">
        <f t="shared" si="256"/>
        <v>26253.888747970756</v>
      </c>
      <c r="DH59" s="16">
        <f t="shared" si="256"/>
        <v>18018.769125509334</v>
      </c>
      <c r="DI59" s="16">
        <f t="shared" si="256"/>
        <v>20634.9077788908</v>
      </c>
      <c r="DJ59" s="16">
        <f t="shared" si="256"/>
        <v>48223.134716626795</v>
      </c>
      <c r="DK59" s="16">
        <f t="shared" si="256"/>
        <v>11247.605465339511</v>
      </c>
      <c r="DL59" s="16">
        <f t="shared" si="256"/>
        <v>35934.263055192489</v>
      </c>
      <c r="DM59" s="16">
        <f t="shared" si="256"/>
        <v>40141.269291773686</v>
      </c>
      <c r="DN59" s="16">
        <f t="shared" si="256"/>
        <v>16962.865077926886</v>
      </c>
      <c r="DO59" s="16">
        <f t="shared" si="256"/>
        <v>41957.873263836715</v>
      </c>
      <c r="DP59" s="16">
        <f t="shared" si="256"/>
        <v>57325.619522494839</v>
      </c>
      <c r="DQ59" s="16">
        <f t="shared" si="256"/>
        <v>0</v>
      </c>
      <c r="DR59" s="16">
        <f t="shared" si="256"/>
        <v>0</v>
      </c>
      <c r="DS59" s="16">
        <f t="shared" si="256"/>
        <v>0</v>
      </c>
      <c r="DT59" s="16">
        <f t="shared" si="256"/>
        <v>0</v>
      </c>
      <c r="DU59" s="16">
        <f t="shared" si="256"/>
        <v>0</v>
      </c>
      <c r="DV59" s="16">
        <f t="shared" si="256"/>
        <v>0</v>
      </c>
      <c r="DW59" s="16">
        <f t="shared" si="256"/>
        <v>0</v>
      </c>
      <c r="DX59" s="16">
        <f t="shared" si="256"/>
        <v>0</v>
      </c>
      <c r="DY59" s="16">
        <f t="shared" si="256"/>
        <v>0</v>
      </c>
      <c r="DZ59" s="16">
        <f t="shared" si="256"/>
        <v>0</v>
      </c>
      <c r="EA59" s="16">
        <f t="shared" si="256"/>
        <v>0</v>
      </c>
      <c r="EB59" s="16">
        <f t="shared" si="256"/>
        <v>0</v>
      </c>
      <c r="EC59" s="16">
        <f t="shared" si="256"/>
        <v>0</v>
      </c>
      <c r="ED59" s="16">
        <f t="shared" si="256"/>
        <v>0</v>
      </c>
      <c r="EE59" s="16">
        <f t="shared" si="256"/>
        <v>0</v>
      </c>
      <c r="EF59" s="16">
        <f t="shared" si="256"/>
        <v>0</v>
      </c>
      <c r="EG59" s="16">
        <f t="shared" si="256"/>
        <v>0</v>
      </c>
      <c r="EH59" s="16">
        <f t="shared" si="256"/>
        <v>0</v>
      </c>
      <c r="EI59" s="16">
        <f t="shared" si="256"/>
        <v>0</v>
      </c>
      <c r="EJ59" s="16">
        <f t="shared" si="256"/>
        <v>0</v>
      </c>
      <c r="EK59" s="16">
        <f t="shared" si="256"/>
        <v>0</v>
      </c>
      <c r="EL59" s="16">
        <f t="shared" si="256"/>
        <v>0</v>
      </c>
      <c r="EM59" s="16">
        <f t="shared" si="256"/>
        <v>0</v>
      </c>
      <c r="EN59" s="16">
        <f t="shared" si="256"/>
        <v>0</v>
      </c>
      <c r="EO59" s="16">
        <f t="shared" si="256"/>
        <v>0</v>
      </c>
      <c r="EP59" s="16">
        <f t="shared" si="256"/>
        <v>0</v>
      </c>
      <c r="EQ59" s="16">
        <f t="shared" si="256"/>
        <v>0</v>
      </c>
      <c r="ER59" s="16">
        <f t="shared" si="256"/>
        <v>0</v>
      </c>
      <c r="ES59" s="16">
        <f t="shared" si="256"/>
        <v>0</v>
      </c>
      <c r="ET59" s="16">
        <f t="shared" si="256"/>
        <v>0</v>
      </c>
      <c r="EU59" s="16">
        <f t="shared" si="256"/>
        <v>0</v>
      </c>
      <c r="EV59" s="16">
        <f t="shared" si="256"/>
        <v>0</v>
      </c>
      <c r="EW59" s="16">
        <f t="shared" si="256"/>
        <v>0</v>
      </c>
      <c r="EX59" s="16">
        <f t="shared" si="256"/>
        <v>0</v>
      </c>
      <c r="EY59" s="16">
        <f t="shared" si="256"/>
        <v>0</v>
      </c>
      <c r="EZ59" s="16">
        <f t="shared" si="256"/>
        <v>0</v>
      </c>
      <c r="FA59" s="16">
        <f t="shared" si="256"/>
        <v>0</v>
      </c>
      <c r="FB59" s="16">
        <f t="shared" si="256"/>
        <v>0</v>
      </c>
    </row>
    <row r="60" spans="3:158" x14ac:dyDescent="0.25">
      <c r="C60" s="248" t="s">
        <v>761</v>
      </c>
      <c r="D60" s="16">
        <f t="shared" si="250"/>
        <v>0</v>
      </c>
      <c r="E60" s="16">
        <f t="shared" si="250"/>
        <v>0</v>
      </c>
      <c r="F60" s="16">
        <f t="shared" si="250"/>
        <v>0</v>
      </c>
      <c r="G60" s="16">
        <f t="shared" si="250"/>
        <v>363135.6295972222</v>
      </c>
      <c r="H60" s="16">
        <f t="shared" si="250"/>
        <v>273829.13376445137</v>
      </c>
      <c r="I60" s="16">
        <f t="shared" si="250"/>
        <v>334601.1873532703</v>
      </c>
      <c r="J60" s="16">
        <f t="shared" si="250"/>
        <v>0</v>
      </c>
      <c r="K60" s="16">
        <f t="shared" si="250"/>
        <v>0</v>
      </c>
      <c r="L60" s="16">
        <f t="shared" si="250"/>
        <v>0</v>
      </c>
      <c r="M60" s="16"/>
      <c r="N60" s="16">
        <f t="shared" si="202"/>
        <v>0</v>
      </c>
      <c r="O60" s="16">
        <f t="shared" si="203"/>
        <v>0</v>
      </c>
      <c r="P60" s="16">
        <f t="shared" si="204"/>
        <v>0</v>
      </c>
      <c r="Q60" s="16">
        <f t="shared" si="205"/>
        <v>0</v>
      </c>
      <c r="R60" s="16">
        <f t="shared" si="206"/>
        <v>0</v>
      </c>
      <c r="S60" s="16">
        <f t="shared" si="207"/>
        <v>0</v>
      </c>
      <c r="T60" s="16">
        <f t="shared" si="208"/>
        <v>0</v>
      </c>
      <c r="U60" s="16">
        <f t="shared" si="209"/>
        <v>0</v>
      </c>
      <c r="V60" s="16">
        <f t="shared" si="210"/>
        <v>0</v>
      </c>
      <c r="W60" s="16">
        <f t="shared" si="211"/>
        <v>0</v>
      </c>
      <c r="X60" s="16">
        <f t="shared" si="212"/>
        <v>0</v>
      </c>
      <c r="Y60" s="16">
        <f t="shared" si="213"/>
        <v>0</v>
      </c>
      <c r="Z60" s="16">
        <f t="shared" si="214"/>
        <v>0</v>
      </c>
      <c r="AA60" s="16">
        <f t="shared" si="215"/>
        <v>0</v>
      </c>
      <c r="AB60" s="16">
        <f t="shared" si="216"/>
        <v>0</v>
      </c>
      <c r="AC60" s="16">
        <f t="shared" si="217"/>
        <v>363135.6295972222</v>
      </c>
      <c r="AD60" s="16">
        <f t="shared" si="218"/>
        <v>60544.523666666661</v>
      </c>
      <c r="AE60" s="16">
        <f t="shared" si="219"/>
        <v>71948.600597222219</v>
      </c>
      <c r="AF60" s="16">
        <f t="shared" si="220"/>
        <v>54333.012708333328</v>
      </c>
      <c r="AG60" s="16">
        <f t="shared" si="221"/>
        <v>87002.996792229154</v>
      </c>
      <c r="AH60" s="16">
        <f t="shared" si="222"/>
        <v>62173.649181188579</v>
      </c>
      <c r="AI60" s="16">
        <f t="shared" si="223"/>
        <v>80105.64796085711</v>
      </c>
      <c r="AJ60" s="16">
        <f t="shared" si="224"/>
        <v>93038.397424893075</v>
      </c>
      <c r="AK60" s="16">
        <f t="shared" si="225"/>
        <v>99283.492786331553</v>
      </c>
      <c r="AL60" s="16">
        <f t="shared" si="226"/>
        <v>0</v>
      </c>
      <c r="AM60" s="16">
        <f t="shared" si="227"/>
        <v>0</v>
      </c>
      <c r="AN60" s="16">
        <f t="shared" si="228"/>
        <v>0</v>
      </c>
      <c r="AO60" s="16">
        <f t="shared" si="229"/>
        <v>0</v>
      </c>
      <c r="AP60" s="16">
        <f t="shared" si="230"/>
        <v>0</v>
      </c>
      <c r="AQ60" s="16">
        <f t="shared" si="231"/>
        <v>0</v>
      </c>
      <c r="AR60" s="16">
        <f t="shared" si="232"/>
        <v>0</v>
      </c>
      <c r="AS60" s="16">
        <f t="shared" si="233"/>
        <v>0</v>
      </c>
      <c r="AT60" s="16">
        <f t="shared" si="234"/>
        <v>0</v>
      </c>
      <c r="AU60" s="16">
        <f t="shared" si="235"/>
        <v>0</v>
      </c>
      <c r="AV60" s="16">
        <f t="shared" si="236"/>
        <v>0</v>
      </c>
      <c r="AW60" s="16">
        <f t="shared" si="237"/>
        <v>0</v>
      </c>
      <c r="AX60" s="16"/>
      <c r="AY60" s="16"/>
      <c r="AZ60" s="16"/>
      <c r="BA60" s="16"/>
      <c r="BB60" s="16"/>
      <c r="BC60" s="16"/>
      <c r="BD60" s="16"/>
      <c r="BE60" s="16"/>
      <c r="BF60" s="16"/>
      <c r="BG60" s="16"/>
      <c r="BH60" s="16"/>
      <c r="BI60" s="16"/>
      <c r="BJ60" s="16"/>
      <c r="BK60" s="16"/>
      <c r="BL60" s="16"/>
      <c r="BM60" s="16"/>
      <c r="BN60" s="16"/>
      <c r="BO60" s="16"/>
      <c r="BP60" s="16"/>
      <c r="BQ60" s="16"/>
      <c r="BR60" s="16"/>
      <c r="BS60" s="16"/>
      <c r="BT60" s="16"/>
      <c r="BU60" s="16"/>
      <c r="BV60" s="16"/>
      <c r="BW60" s="16"/>
      <c r="BX60" s="16"/>
      <c r="BY60" s="16"/>
      <c r="BZ60" s="16"/>
      <c r="CA60" s="16"/>
      <c r="CB60" s="16"/>
      <c r="CC60" s="16"/>
      <c r="CD60" s="16"/>
      <c r="CE60" s="16"/>
      <c r="CF60" s="16"/>
      <c r="CG60" s="16"/>
      <c r="CH60" s="16"/>
      <c r="CI60" s="16"/>
      <c r="CJ60" s="16"/>
      <c r="CK60" s="16"/>
      <c r="CL60" s="16"/>
      <c r="CM60" s="16"/>
      <c r="CN60" s="16"/>
      <c r="CO60" s="16"/>
      <c r="CP60" s="16"/>
      <c r="CQ60" s="16"/>
      <c r="CR60" s="16"/>
      <c r="CS60" s="16"/>
      <c r="CT60" s="16">
        <f>CS59</f>
        <v>363135.6295972222</v>
      </c>
      <c r="CU60" s="16">
        <f t="shared" si="256"/>
        <v>13685.887930555555</v>
      </c>
      <c r="CV60" s="16">
        <f t="shared" si="256"/>
        <v>33965.746402777775</v>
      </c>
      <c r="CW60" s="16">
        <f t="shared" ref="CW60:FB60" si="257">CV59</f>
        <v>12892.889333333329</v>
      </c>
      <c r="CX60" s="16">
        <f t="shared" si="257"/>
        <v>30290.257861111106</v>
      </c>
      <c r="CY60" s="16">
        <f t="shared" si="257"/>
        <v>29777.734680555553</v>
      </c>
      <c r="CZ60" s="16">
        <f t="shared" si="257"/>
        <v>11880.608055555555</v>
      </c>
      <c r="DA60" s="16">
        <f t="shared" si="257"/>
        <v>12716.556513888887</v>
      </c>
      <c r="DB60" s="16">
        <f t="shared" si="257"/>
        <v>33863.902333333332</v>
      </c>
      <c r="DC60" s="16">
        <f t="shared" si="257"/>
        <v>7752.5538611111115</v>
      </c>
      <c r="DD60" s="16">
        <f t="shared" si="257"/>
        <v>32529.937902777772</v>
      </c>
      <c r="DE60" s="16">
        <f t="shared" si="257"/>
        <v>42655.816689451385</v>
      </c>
      <c r="DF60" s="16">
        <f t="shared" si="257"/>
        <v>11817.242199999999</v>
      </c>
      <c r="DG60" s="16">
        <f t="shared" si="257"/>
        <v>17900.991307708486</v>
      </c>
      <c r="DH60" s="16">
        <f t="shared" si="257"/>
        <v>26253.888747970756</v>
      </c>
      <c r="DI60" s="16">
        <f t="shared" si="257"/>
        <v>18018.769125509334</v>
      </c>
      <c r="DJ60" s="16">
        <f t="shared" si="257"/>
        <v>20634.9077788908</v>
      </c>
      <c r="DK60" s="16">
        <f t="shared" si="257"/>
        <v>48223.134716626795</v>
      </c>
      <c r="DL60" s="16">
        <f t="shared" si="257"/>
        <v>11247.605465339511</v>
      </c>
      <c r="DM60" s="16">
        <f t="shared" si="257"/>
        <v>35934.263055192489</v>
      </c>
      <c r="DN60" s="16">
        <f t="shared" si="257"/>
        <v>40141.269291773686</v>
      </c>
      <c r="DO60" s="16">
        <f t="shared" si="257"/>
        <v>16962.865077926886</v>
      </c>
      <c r="DP60" s="16">
        <f t="shared" si="257"/>
        <v>41957.873263836715</v>
      </c>
      <c r="DQ60" s="16">
        <f t="shared" si="257"/>
        <v>57325.619522494839</v>
      </c>
      <c r="DR60" s="16">
        <f t="shared" si="257"/>
        <v>0</v>
      </c>
      <c r="DS60" s="16">
        <f t="shared" si="257"/>
        <v>0</v>
      </c>
      <c r="DT60" s="16">
        <f t="shared" si="257"/>
        <v>0</v>
      </c>
      <c r="DU60" s="16">
        <f t="shared" si="257"/>
        <v>0</v>
      </c>
      <c r="DV60" s="16">
        <f t="shared" si="257"/>
        <v>0</v>
      </c>
      <c r="DW60" s="16">
        <f t="shared" si="257"/>
        <v>0</v>
      </c>
      <c r="DX60" s="16">
        <f t="shared" si="257"/>
        <v>0</v>
      </c>
      <c r="DY60" s="16">
        <f t="shared" si="257"/>
        <v>0</v>
      </c>
      <c r="DZ60" s="16">
        <f t="shared" si="257"/>
        <v>0</v>
      </c>
      <c r="EA60" s="16">
        <f t="shared" si="257"/>
        <v>0</v>
      </c>
      <c r="EB60" s="16">
        <f t="shared" si="257"/>
        <v>0</v>
      </c>
      <c r="EC60" s="16">
        <f t="shared" si="257"/>
        <v>0</v>
      </c>
      <c r="ED60" s="16">
        <f t="shared" si="257"/>
        <v>0</v>
      </c>
      <c r="EE60" s="16">
        <f t="shared" si="257"/>
        <v>0</v>
      </c>
      <c r="EF60" s="16">
        <f t="shared" si="257"/>
        <v>0</v>
      </c>
      <c r="EG60" s="16">
        <f t="shared" si="257"/>
        <v>0</v>
      </c>
      <c r="EH60" s="16">
        <f t="shared" si="257"/>
        <v>0</v>
      </c>
      <c r="EI60" s="16">
        <f t="shared" si="257"/>
        <v>0</v>
      </c>
      <c r="EJ60" s="16">
        <f t="shared" si="257"/>
        <v>0</v>
      </c>
      <c r="EK60" s="16">
        <f t="shared" si="257"/>
        <v>0</v>
      </c>
      <c r="EL60" s="16">
        <f t="shared" si="257"/>
        <v>0</v>
      </c>
      <c r="EM60" s="16">
        <f t="shared" si="257"/>
        <v>0</v>
      </c>
      <c r="EN60" s="16">
        <f t="shared" si="257"/>
        <v>0</v>
      </c>
      <c r="EO60" s="16">
        <f t="shared" si="257"/>
        <v>0</v>
      </c>
      <c r="EP60" s="16">
        <f t="shared" si="257"/>
        <v>0</v>
      </c>
      <c r="EQ60" s="16">
        <f t="shared" si="257"/>
        <v>0</v>
      </c>
      <c r="ER60" s="16">
        <f t="shared" si="257"/>
        <v>0</v>
      </c>
      <c r="ES60" s="16">
        <f t="shared" si="257"/>
        <v>0</v>
      </c>
      <c r="ET60" s="16">
        <f t="shared" si="257"/>
        <v>0</v>
      </c>
      <c r="EU60" s="16">
        <f t="shared" si="257"/>
        <v>0</v>
      </c>
      <c r="EV60" s="16">
        <f t="shared" si="257"/>
        <v>0</v>
      </c>
      <c r="EW60" s="16">
        <f t="shared" si="257"/>
        <v>0</v>
      </c>
      <c r="EX60" s="16">
        <f t="shared" si="257"/>
        <v>0</v>
      </c>
      <c r="EY60" s="16">
        <f t="shared" si="257"/>
        <v>0</v>
      </c>
      <c r="EZ60" s="16">
        <f t="shared" si="257"/>
        <v>0</v>
      </c>
      <c r="FA60" s="16">
        <f t="shared" si="257"/>
        <v>0</v>
      </c>
      <c r="FB60" s="16">
        <f t="shared" si="257"/>
        <v>0</v>
      </c>
    </row>
    <row r="61" spans="3:158" x14ac:dyDescent="0.25">
      <c r="C61" s="417" t="s">
        <v>791</v>
      </c>
      <c r="D61" s="418">
        <f t="shared" ref="D61" si="258">SUM(D25:D60)</f>
        <v>0</v>
      </c>
      <c r="E61" s="418">
        <f t="shared" ref="E61" si="259">SUM(E25:E60)</f>
        <v>5815927.3903977843</v>
      </c>
      <c r="F61" s="418">
        <f t="shared" ref="F61" si="260">SUM(F25:F60)</f>
        <v>9367689.0661007259</v>
      </c>
      <c r="G61" s="418">
        <f t="shared" ref="G61" si="261">SUM(G25:G60)</f>
        <v>11658791.408579329</v>
      </c>
      <c r="H61" s="418">
        <f t="shared" ref="H61" si="262">SUM(H25:H60)</f>
        <v>5842864.0181815429</v>
      </c>
      <c r="I61" s="418">
        <f t="shared" ref="I61" si="263">SUM(I25:I60)</f>
        <v>2291102.3424786017</v>
      </c>
      <c r="J61" s="418">
        <f t="shared" ref="J61" si="264">SUM(J25:J60)</f>
        <v>0</v>
      </c>
      <c r="K61" s="418">
        <f t="shared" ref="K61" si="265">SUM(K25:K60)</f>
        <v>0</v>
      </c>
      <c r="L61" s="418">
        <f t="shared" ref="L61" si="266">SUM(L25:L60)</f>
        <v>0</v>
      </c>
      <c r="M61" s="16"/>
      <c r="N61" s="418">
        <f t="shared" ref="N61" si="267">SUM(N25:N60)</f>
        <v>0</v>
      </c>
      <c r="O61" s="418">
        <f t="shared" ref="O61" si="268">SUM(O25:O60)</f>
        <v>0</v>
      </c>
      <c r="P61" s="418">
        <f t="shared" ref="P61" si="269">SUM(P25:P60)</f>
        <v>0</v>
      </c>
      <c r="Q61" s="418">
        <f t="shared" ref="Q61" si="270">SUM(Q25:Q60)</f>
        <v>0</v>
      </c>
      <c r="R61" s="418">
        <f t="shared" ref="R61" si="271">SUM(R25:R60)</f>
        <v>1150744.4110555556</v>
      </c>
      <c r="S61" s="418">
        <f t="shared" ref="S61" si="272">SUM(S25:S60)</f>
        <v>1361398.7101944443</v>
      </c>
      <c r="T61" s="418">
        <f t="shared" ref="T61" si="273">SUM(T25:T60)</f>
        <v>1546183.2769444443</v>
      </c>
      <c r="U61" s="418">
        <f t="shared" ref="U61" si="274">SUM(U25:U60)</f>
        <v>1757600.9922033402</v>
      </c>
      <c r="V61" s="418">
        <f t="shared" ref="V61" si="275">SUM(V25:V60)</f>
        <v>1972950.1614484084</v>
      </c>
      <c r="W61" s="418">
        <f t="shared" ref="W61" si="276">SUM(W25:W60)</f>
        <v>2186908.1879029945</v>
      </c>
      <c r="X61" s="418">
        <f t="shared" ref="X61" si="277">SUM(X25:X60)</f>
        <v>2449741.9769133162</v>
      </c>
      <c r="Y61" s="418">
        <f t="shared" ref="Y61" si="278">SUM(Y25:Y60)</f>
        <v>2758088.7398360046</v>
      </c>
      <c r="Z61" s="418">
        <f t="shared" ref="Z61" si="279">SUM(Z25:Z60)</f>
        <v>2914697.8521448318</v>
      </c>
      <c r="AA61" s="418">
        <f t="shared" ref="AA61" si="280">SUM(AA25:AA60)</f>
        <v>2914697.8521448318</v>
      </c>
      <c r="AB61" s="418">
        <f t="shared" ref="AB61" si="281">SUM(AB25:AB60)</f>
        <v>2914697.8521448318</v>
      </c>
      <c r="AC61" s="418">
        <f t="shared" ref="AC61" si="282">SUM(AC25:AC60)</f>
        <v>2914697.8521448318</v>
      </c>
      <c r="AD61" s="418">
        <f t="shared" ref="AD61" si="283">SUM(AD25:AD60)</f>
        <v>1763953.4410892762</v>
      </c>
      <c r="AE61" s="418">
        <f t="shared" ref="AE61" si="284">SUM(AE25:AE60)</f>
        <v>1553299.1419503875</v>
      </c>
      <c r="AF61" s="418">
        <f t="shared" ref="AF61" si="285">SUM(AF25:AF60)</f>
        <v>1368514.5752003873</v>
      </c>
      <c r="AG61" s="418">
        <f t="shared" ref="AG61" si="286">SUM(AG25:AG60)</f>
        <v>1157096.8599414914</v>
      </c>
      <c r="AH61" s="418">
        <f t="shared" ref="AH61" si="287">SUM(AH25:AH60)</f>
        <v>941747.69069642317</v>
      </c>
      <c r="AI61" s="418">
        <f t="shared" ref="AI61" si="288">SUM(AI25:AI60)</f>
        <v>727789.66424183676</v>
      </c>
      <c r="AJ61" s="418">
        <f t="shared" ref="AJ61" si="289">SUM(AJ25:AJ60)</f>
        <v>464955.87523151515</v>
      </c>
      <c r="AK61" s="418">
        <f t="shared" ref="AK61" si="290">SUM(AK25:AK60)</f>
        <v>156609.11230882638</v>
      </c>
      <c r="AL61" s="418">
        <f t="shared" ref="AL61" si="291">SUM(AL25:AL60)</f>
        <v>0</v>
      </c>
      <c r="AM61" s="418">
        <f t="shared" ref="AM61" si="292">SUM(AM25:AM60)</f>
        <v>0</v>
      </c>
      <c r="AN61" s="418">
        <f t="shared" ref="AN61" si="293">SUM(AN25:AN60)</f>
        <v>0</v>
      </c>
      <c r="AO61" s="418">
        <f t="shared" ref="AO61" si="294">SUM(AO25:AO60)</f>
        <v>0</v>
      </c>
      <c r="AP61" s="418">
        <f t="shared" ref="AP61" si="295">SUM(AP25:AP60)</f>
        <v>0</v>
      </c>
      <c r="AQ61" s="418">
        <f t="shared" ref="AQ61" si="296">SUM(AQ25:AQ60)</f>
        <v>0</v>
      </c>
      <c r="AR61" s="418">
        <f t="shared" ref="AR61" si="297">SUM(AR25:AR60)</f>
        <v>0</v>
      </c>
      <c r="AS61" s="418">
        <f t="shared" ref="AS61" si="298">SUM(AS25:AS60)</f>
        <v>0</v>
      </c>
      <c r="AT61" s="418">
        <f t="shared" ref="AT61" si="299">SUM(AT25:AT60)</f>
        <v>0</v>
      </c>
      <c r="AU61" s="418">
        <f t="shared" ref="AU61" si="300">SUM(AU25:AU60)</f>
        <v>0</v>
      </c>
      <c r="AV61" s="418">
        <f t="shared" ref="AV61" si="301">SUM(AV25:AV60)</f>
        <v>0</v>
      </c>
      <c r="AW61" s="418">
        <f t="shared" ref="AW61" si="302">SUM(AW25:AW60)</f>
        <v>0</v>
      </c>
      <c r="AX61" s="418"/>
      <c r="AY61" s="418">
        <f t="shared" ref="AY61:DJ61" si="303">SUM(AY25:AY60)</f>
        <v>0</v>
      </c>
      <c r="AZ61" s="418">
        <f t="shared" si="303"/>
        <v>0</v>
      </c>
      <c r="BA61" s="418">
        <f t="shared" si="303"/>
        <v>0</v>
      </c>
      <c r="BB61" s="418">
        <f t="shared" si="303"/>
        <v>0</v>
      </c>
      <c r="BC61" s="418">
        <f t="shared" si="303"/>
        <v>0</v>
      </c>
      <c r="BD61" s="418">
        <f t="shared" si="303"/>
        <v>0</v>
      </c>
      <c r="BE61" s="418">
        <f t="shared" si="303"/>
        <v>0</v>
      </c>
      <c r="BF61" s="418">
        <f t="shared" si="303"/>
        <v>0</v>
      </c>
      <c r="BG61" s="418">
        <f t="shared" si="303"/>
        <v>0</v>
      </c>
      <c r="BH61" s="418">
        <f t="shared" si="303"/>
        <v>0</v>
      </c>
      <c r="BI61" s="418">
        <f t="shared" si="303"/>
        <v>0</v>
      </c>
      <c r="BJ61" s="418">
        <f t="shared" si="303"/>
        <v>0</v>
      </c>
      <c r="BK61" s="418">
        <f t="shared" si="303"/>
        <v>363135.6295972222</v>
      </c>
      <c r="BL61" s="418">
        <f t="shared" si="303"/>
        <v>376821.51752777776</v>
      </c>
      <c r="BM61" s="418">
        <f t="shared" si="303"/>
        <v>410787.26393055555</v>
      </c>
      <c r="BN61" s="418">
        <f t="shared" si="303"/>
        <v>423680.15326388885</v>
      </c>
      <c r="BO61" s="418">
        <f t="shared" si="303"/>
        <v>453970.41112499998</v>
      </c>
      <c r="BP61" s="418">
        <f t="shared" si="303"/>
        <v>483748.14580555551</v>
      </c>
      <c r="BQ61" s="418">
        <f t="shared" si="303"/>
        <v>495628.75386111106</v>
      </c>
      <c r="BR61" s="418">
        <f t="shared" si="303"/>
        <v>508345.31037499994</v>
      </c>
      <c r="BS61" s="418">
        <f t="shared" si="303"/>
        <v>542209.21270833327</v>
      </c>
      <c r="BT61" s="418">
        <f t="shared" si="303"/>
        <v>549961.76656944444</v>
      </c>
      <c r="BU61" s="418">
        <f t="shared" si="303"/>
        <v>582491.70447222213</v>
      </c>
      <c r="BV61" s="418">
        <f t="shared" si="303"/>
        <v>625147.52116167359</v>
      </c>
      <c r="BW61" s="418">
        <f t="shared" si="303"/>
        <v>636964.76336167357</v>
      </c>
      <c r="BX61" s="418">
        <f t="shared" si="303"/>
        <v>654865.754669382</v>
      </c>
      <c r="BY61" s="418">
        <f t="shared" si="303"/>
        <v>681119.64341735281</v>
      </c>
      <c r="BZ61" s="418">
        <f t="shared" si="303"/>
        <v>699138.41254286212</v>
      </c>
      <c r="CA61" s="418">
        <f t="shared" si="303"/>
        <v>719773.32032175292</v>
      </c>
      <c r="CB61" s="418">
        <f t="shared" si="303"/>
        <v>767996.45503837976</v>
      </c>
      <c r="CC61" s="418">
        <f t="shared" si="303"/>
        <v>779244.06050371914</v>
      </c>
      <c r="CD61" s="418">
        <f t="shared" si="303"/>
        <v>815178.32355891168</v>
      </c>
      <c r="CE61" s="418">
        <f t="shared" si="303"/>
        <v>855319.59285068535</v>
      </c>
      <c r="CF61" s="418">
        <f t="shared" si="303"/>
        <v>872282.45792861236</v>
      </c>
      <c r="CG61" s="418">
        <f t="shared" si="303"/>
        <v>914240.33119244885</v>
      </c>
      <c r="CH61" s="418">
        <f t="shared" si="303"/>
        <v>971565.9507149437</v>
      </c>
      <c r="CI61" s="418">
        <f t="shared" si="303"/>
        <v>971565.9507149437</v>
      </c>
      <c r="CJ61" s="418">
        <f t="shared" si="303"/>
        <v>971565.9507149437</v>
      </c>
      <c r="CK61" s="418">
        <f t="shared" si="303"/>
        <v>971565.9507149437</v>
      </c>
      <c r="CL61" s="418">
        <f t="shared" si="303"/>
        <v>971565.9507149437</v>
      </c>
      <c r="CM61" s="418">
        <f t="shared" si="303"/>
        <v>971565.9507149437</v>
      </c>
      <c r="CN61" s="418">
        <f t="shared" si="303"/>
        <v>971565.9507149437</v>
      </c>
      <c r="CO61" s="418">
        <f t="shared" si="303"/>
        <v>971565.9507149437</v>
      </c>
      <c r="CP61" s="418">
        <f t="shared" si="303"/>
        <v>971565.9507149437</v>
      </c>
      <c r="CQ61" s="418">
        <f t="shared" si="303"/>
        <v>971565.9507149437</v>
      </c>
      <c r="CR61" s="418">
        <f t="shared" si="303"/>
        <v>971565.9507149437</v>
      </c>
      <c r="CS61" s="418">
        <f t="shared" si="303"/>
        <v>971565.9507149437</v>
      </c>
      <c r="CT61" s="418">
        <f t="shared" si="303"/>
        <v>971565.9507149437</v>
      </c>
      <c r="CU61" s="418">
        <f t="shared" si="303"/>
        <v>608430.3211177215</v>
      </c>
      <c r="CV61" s="418">
        <f t="shared" si="303"/>
        <v>594744.433187166</v>
      </c>
      <c r="CW61" s="418">
        <f t="shared" si="303"/>
        <v>560778.68678438826</v>
      </c>
      <c r="CX61" s="418">
        <f t="shared" si="303"/>
        <v>547885.79745105491</v>
      </c>
      <c r="CY61" s="418">
        <f t="shared" si="303"/>
        <v>517595.53958994377</v>
      </c>
      <c r="CZ61" s="418">
        <f t="shared" si="303"/>
        <v>487817.80490938824</v>
      </c>
      <c r="DA61" s="418">
        <f t="shared" si="303"/>
        <v>475937.19685383269</v>
      </c>
      <c r="DB61" s="418">
        <f t="shared" si="303"/>
        <v>463220.64033994381</v>
      </c>
      <c r="DC61" s="418">
        <f t="shared" si="303"/>
        <v>429356.73800661048</v>
      </c>
      <c r="DD61" s="418">
        <f t="shared" si="303"/>
        <v>421604.18414549937</v>
      </c>
      <c r="DE61" s="418">
        <f t="shared" si="303"/>
        <v>389074.24624272162</v>
      </c>
      <c r="DF61" s="418">
        <f t="shared" si="303"/>
        <v>346418.42955327022</v>
      </c>
      <c r="DG61" s="418">
        <f t="shared" si="303"/>
        <v>334601.18735327024</v>
      </c>
      <c r="DH61" s="418">
        <f t="shared" si="303"/>
        <v>316700.19604556175</v>
      </c>
      <c r="DI61" s="418">
        <f t="shared" si="303"/>
        <v>290446.307297591</v>
      </c>
      <c r="DJ61" s="418">
        <f t="shared" si="303"/>
        <v>272427.53817208169</v>
      </c>
      <c r="DK61" s="418">
        <f t="shared" ref="DK61:FB61" si="304">SUM(DK25:DK60)</f>
        <v>251792.63039319089</v>
      </c>
      <c r="DL61" s="418">
        <f t="shared" si="304"/>
        <v>203569.49567656411</v>
      </c>
      <c r="DM61" s="418">
        <f t="shared" si="304"/>
        <v>192321.89021122461</v>
      </c>
      <c r="DN61" s="418">
        <f t="shared" si="304"/>
        <v>156387.62715603213</v>
      </c>
      <c r="DO61" s="418">
        <f t="shared" si="304"/>
        <v>116246.35786425843</v>
      </c>
      <c r="DP61" s="418">
        <f t="shared" si="304"/>
        <v>99283.492786331553</v>
      </c>
      <c r="DQ61" s="418">
        <f t="shared" si="304"/>
        <v>57325.619522494839</v>
      </c>
      <c r="DR61" s="418">
        <f t="shared" si="304"/>
        <v>0</v>
      </c>
      <c r="DS61" s="418">
        <f t="shared" si="304"/>
        <v>0</v>
      </c>
      <c r="DT61" s="418">
        <f t="shared" si="304"/>
        <v>0</v>
      </c>
      <c r="DU61" s="418">
        <f t="shared" si="304"/>
        <v>0</v>
      </c>
      <c r="DV61" s="418">
        <f t="shared" si="304"/>
        <v>0</v>
      </c>
      <c r="DW61" s="418">
        <f t="shared" si="304"/>
        <v>0</v>
      </c>
      <c r="DX61" s="418">
        <f t="shared" si="304"/>
        <v>0</v>
      </c>
      <c r="DY61" s="418">
        <f t="shared" si="304"/>
        <v>0</v>
      </c>
      <c r="DZ61" s="418">
        <f t="shared" si="304"/>
        <v>0</v>
      </c>
      <c r="EA61" s="418">
        <f t="shared" si="304"/>
        <v>0</v>
      </c>
      <c r="EB61" s="418">
        <f t="shared" si="304"/>
        <v>0</v>
      </c>
      <c r="EC61" s="418">
        <f t="shared" si="304"/>
        <v>0</v>
      </c>
      <c r="ED61" s="418">
        <f t="shared" si="304"/>
        <v>0</v>
      </c>
      <c r="EE61" s="418">
        <f t="shared" si="304"/>
        <v>0</v>
      </c>
      <c r="EF61" s="418">
        <f t="shared" si="304"/>
        <v>0</v>
      </c>
      <c r="EG61" s="418">
        <f t="shared" si="304"/>
        <v>0</v>
      </c>
      <c r="EH61" s="418">
        <f t="shared" si="304"/>
        <v>0</v>
      </c>
      <c r="EI61" s="418">
        <f t="shared" si="304"/>
        <v>0</v>
      </c>
      <c r="EJ61" s="418">
        <f t="shared" si="304"/>
        <v>0</v>
      </c>
      <c r="EK61" s="418">
        <f t="shared" si="304"/>
        <v>0</v>
      </c>
      <c r="EL61" s="418">
        <f t="shared" si="304"/>
        <v>0</v>
      </c>
      <c r="EM61" s="418">
        <f t="shared" si="304"/>
        <v>0</v>
      </c>
      <c r="EN61" s="418">
        <f t="shared" si="304"/>
        <v>0</v>
      </c>
      <c r="EO61" s="418">
        <f t="shared" si="304"/>
        <v>0</v>
      </c>
      <c r="EP61" s="418">
        <f t="shared" si="304"/>
        <v>0</v>
      </c>
      <c r="EQ61" s="418">
        <f t="shared" si="304"/>
        <v>0</v>
      </c>
      <c r="ER61" s="418">
        <f t="shared" si="304"/>
        <v>0</v>
      </c>
      <c r="ES61" s="418">
        <f t="shared" si="304"/>
        <v>0</v>
      </c>
      <c r="ET61" s="418">
        <f t="shared" si="304"/>
        <v>0</v>
      </c>
      <c r="EU61" s="418">
        <f t="shared" si="304"/>
        <v>0</v>
      </c>
      <c r="EV61" s="418">
        <f t="shared" si="304"/>
        <v>0</v>
      </c>
      <c r="EW61" s="418">
        <f t="shared" si="304"/>
        <v>0</v>
      </c>
      <c r="EX61" s="418">
        <f t="shared" si="304"/>
        <v>0</v>
      </c>
      <c r="EY61" s="418">
        <f t="shared" si="304"/>
        <v>0</v>
      </c>
      <c r="EZ61" s="418">
        <f t="shared" si="304"/>
        <v>0</v>
      </c>
      <c r="FA61" s="418">
        <f t="shared" si="304"/>
        <v>0</v>
      </c>
      <c r="FB61" s="418">
        <f t="shared" si="304"/>
        <v>0</v>
      </c>
    </row>
    <row r="62" spans="3:158" x14ac:dyDescent="0.25">
      <c r="M62" s="16"/>
    </row>
    <row r="63" spans="3:158" s="292" customFormat="1" x14ac:dyDescent="0.25">
      <c r="C63" s="292" t="s">
        <v>790</v>
      </c>
      <c r="D63" s="30">
        <f t="shared" ref="D63:L63" si="305">SUMIF($AY$2:$FB$2,D$2,$AY63:$FB63)</f>
        <v>0</v>
      </c>
      <c r="E63" s="30">
        <f t="shared" si="305"/>
        <v>0</v>
      </c>
      <c r="F63" s="30">
        <f t="shared" si="305"/>
        <v>0</v>
      </c>
      <c r="G63" s="30">
        <f t="shared" si="305"/>
        <v>24166387.597123668</v>
      </c>
      <c r="H63" s="30">
        <f t="shared" si="305"/>
        <v>33074999.999999996</v>
      </c>
      <c r="I63" s="30">
        <f t="shared" si="305"/>
        <v>48785625</v>
      </c>
      <c r="J63" s="30">
        <f t="shared" si="305"/>
        <v>70739156.25</v>
      </c>
      <c r="K63" s="30">
        <f t="shared" si="305"/>
        <v>100803297.65624999</v>
      </c>
      <c r="L63" s="30">
        <f t="shared" si="305"/>
        <v>141124616.71875</v>
      </c>
      <c r="M63" s="16"/>
      <c r="N63" s="68">
        <f t="shared" ref="N63" si="306">SUM(AY63:BA63)</f>
        <v>0</v>
      </c>
      <c r="O63" s="68">
        <f t="shared" ref="O63" si="307">SUM(BB63:BD63)</f>
        <v>0</v>
      </c>
      <c r="P63" s="68">
        <f t="shared" ref="P63" si="308">SUM(BE63:BG63)</f>
        <v>0</v>
      </c>
      <c r="Q63" s="68">
        <f t="shared" ref="Q63" si="309">SUM(BH63:BJ63)</f>
        <v>0</v>
      </c>
      <c r="R63" s="68">
        <f t="shared" ref="R63" si="310">SUM(BK63:BM63)</f>
        <v>0</v>
      </c>
      <c r="S63" s="68">
        <f t="shared" ref="S63" si="311">SUM(BN63:BP63)</f>
        <v>0</v>
      </c>
      <c r="T63" s="68">
        <f t="shared" ref="T63" si="312">SUM(BQ63:BS63)</f>
        <v>0</v>
      </c>
      <c r="U63" s="68">
        <f t="shared" ref="U63" si="313">SUM(BT63:BV63)</f>
        <v>0</v>
      </c>
      <c r="V63" s="68">
        <f t="shared" ref="V63" si="314">SUM(BW63:BY63)</f>
        <v>0</v>
      </c>
      <c r="W63" s="68">
        <f t="shared" ref="W63" si="315">SUM(BZ63:CB63)</f>
        <v>0</v>
      </c>
      <c r="X63" s="68">
        <f t="shared" ref="X63" si="316">SUM(CC63:CE63)</f>
        <v>0</v>
      </c>
      <c r="Y63" s="68">
        <f t="shared" ref="Y63" si="317">SUM(CF63:CH63)</f>
        <v>0</v>
      </c>
      <c r="Z63" s="68">
        <f t="shared" ref="Z63" si="318">SUM(CI63:CK63)</f>
        <v>3427947.525053394</v>
      </c>
      <c r="AA63" s="68">
        <f t="shared" ref="AA63" si="319">SUM(CL63:CN63)</f>
        <v>5362727.7970702797</v>
      </c>
      <c r="AB63" s="68">
        <f t="shared" ref="AB63" si="320">SUM(CO63:CQ63)</f>
        <v>6538908.5999999996</v>
      </c>
      <c r="AC63" s="68">
        <f t="shared" ref="AC63" si="321">SUM(CR63:CT63)</f>
        <v>8836803.6750000007</v>
      </c>
      <c r="AD63" s="68">
        <f t="shared" ref="AD63" si="322">SUM(CU63:CW63)</f>
        <v>5853419.4567816947</v>
      </c>
      <c r="AE63" s="68">
        <f t="shared" ref="AE63" si="323">SUM(CX63:CZ63)</f>
        <v>7788008.8911680132</v>
      </c>
      <c r="AF63" s="68">
        <f t="shared" ref="AF63" si="324">SUM(DA63:DC63)</f>
        <v>7678062.1731647756</v>
      </c>
      <c r="AG63" s="68">
        <f t="shared" ref="AG63" si="325">SUM(DD63:DF63)</f>
        <v>11755509.478885513</v>
      </c>
      <c r="AH63" s="68">
        <f t="shared" ref="AH63" si="326">SUM(DG63:DI63)</f>
        <v>8897236.0737529993</v>
      </c>
      <c r="AI63" s="68">
        <f t="shared" ref="AI63" si="327">SUM(DJ63:DL63)</f>
        <v>12072740.614472821</v>
      </c>
      <c r="AJ63" s="68">
        <f t="shared" ref="AJ63" si="328">SUM(DM63:DO63)</f>
        <v>11325141.705418045</v>
      </c>
      <c r="AK63" s="68">
        <f t="shared" ref="AK63" si="329">SUM(DP63:DR63)</f>
        <v>16490506.606356129</v>
      </c>
      <c r="AL63" s="68">
        <f t="shared" ref="AL63" si="330">SUM(DS63:DU63)</f>
        <v>12900992.30694185</v>
      </c>
      <c r="AM63" s="68">
        <f t="shared" ref="AM63" si="331">SUM(DV63:DX63)</f>
        <v>17505473.890985593</v>
      </c>
      <c r="AN63" s="68">
        <f t="shared" ref="AN63" si="332">SUM(DY63:EA63)</f>
        <v>16421455.472856166</v>
      </c>
      <c r="AO63" s="68">
        <f t="shared" ref="AO63" si="333">SUM(EB63:ED63)</f>
        <v>23911234.579216391</v>
      </c>
      <c r="AP63" s="68">
        <f t="shared" ref="AP63" si="334">SUM(EE63:EG63)</f>
        <v>18383914.037392139</v>
      </c>
      <c r="AQ63" s="68">
        <f t="shared" ref="AQ63" si="335">SUM(EH63:EJ63)</f>
        <v>24945300.294654466</v>
      </c>
      <c r="AR63" s="68">
        <f t="shared" ref="AR63" si="336">SUM(EK63:EM63)</f>
        <v>23400574.048820037</v>
      </c>
      <c r="AS63" s="68">
        <f t="shared" ref="AS63" si="337">SUM(EN63:EP63)</f>
        <v>34073509.275383353</v>
      </c>
      <c r="AT63" s="68">
        <f t="shared" ref="AT63" si="338">SUM(EQ63:ES63)</f>
        <v>25737479.652348988</v>
      </c>
      <c r="AU63" s="68">
        <f t="shared" ref="AU63" si="339">SUM(ET63:EV63)</f>
        <v>34923420.412516251</v>
      </c>
      <c r="AV63" s="68">
        <f t="shared" ref="AV63" si="340">SUM(EW63:EY63)</f>
        <v>32760803.668348052</v>
      </c>
      <c r="AW63" s="68">
        <f t="shared" ref="AW63" si="341">SUM(EZ63:FB63)</f>
        <v>47702912.985536695</v>
      </c>
      <c r="AY63" s="68"/>
      <c r="AZ63" s="68"/>
      <c r="BA63" s="68"/>
      <c r="BB63" s="68"/>
      <c r="BC63" s="68"/>
      <c r="BD63" s="68"/>
      <c r="BE63" s="68"/>
      <c r="BF63" s="68"/>
      <c r="BG63" s="68"/>
      <c r="BH63" s="68"/>
      <c r="BI63" s="68"/>
      <c r="BJ63" s="68"/>
      <c r="BK63" s="68"/>
      <c r="BL63" s="68"/>
      <c r="BM63" s="68"/>
      <c r="BN63" s="68"/>
      <c r="BO63" s="68"/>
      <c r="BP63" s="68"/>
      <c r="BQ63" s="68"/>
      <c r="BR63" s="68"/>
      <c r="BS63" s="68"/>
      <c r="BT63" s="68"/>
      <c r="BU63" s="68"/>
      <c r="BV63" s="68"/>
      <c r="BW63" s="68"/>
      <c r="BX63" s="68"/>
      <c r="BY63" s="68"/>
      <c r="BZ63" s="68"/>
      <c r="CA63" s="68"/>
      <c r="CB63" s="68"/>
      <c r="CC63" s="68"/>
      <c r="CD63" s="68"/>
      <c r="CE63" s="68"/>
      <c r="CF63" s="68"/>
      <c r="CG63" s="68"/>
      <c r="CH63" s="68"/>
      <c r="CI63" s="68">
        <f>CI11</f>
        <v>554618.58726216597</v>
      </c>
      <c r="CJ63" s="68">
        <f t="shared" ref="CJ63:EU63" si="342">CJ11</f>
        <v>849945.61287266389</v>
      </c>
      <c r="CK63" s="68">
        <f t="shared" si="342"/>
        <v>2023383.3249185642</v>
      </c>
      <c r="CL63" s="68">
        <f t="shared" si="342"/>
        <v>985154.18605102797</v>
      </c>
      <c r="CM63" s="68">
        <f t="shared" si="342"/>
        <v>1597345.8998802479</v>
      </c>
      <c r="CN63" s="68">
        <f t="shared" si="342"/>
        <v>2780227.7111390037</v>
      </c>
      <c r="CO63" s="68">
        <f t="shared" si="342"/>
        <v>980836.29</v>
      </c>
      <c r="CP63" s="68">
        <f t="shared" si="342"/>
        <v>2288618.0100000002</v>
      </c>
      <c r="CQ63" s="68">
        <f t="shared" si="342"/>
        <v>3269454.3</v>
      </c>
      <c r="CR63" s="68">
        <f t="shared" si="342"/>
        <v>883680.36750000005</v>
      </c>
      <c r="CS63" s="68">
        <f t="shared" si="342"/>
        <v>3534721.47</v>
      </c>
      <c r="CT63" s="68">
        <f t="shared" si="342"/>
        <v>4418401.8375000004</v>
      </c>
      <c r="CU63" s="68">
        <f t="shared" si="342"/>
        <v>773763.94409698993</v>
      </c>
      <c r="CV63" s="68">
        <f t="shared" si="342"/>
        <v>1700568.5990379795</v>
      </c>
      <c r="CW63" s="68">
        <f t="shared" si="342"/>
        <v>3379086.9136467245</v>
      </c>
      <c r="CX63" s="68">
        <f t="shared" si="342"/>
        <v>1351092.7042633684</v>
      </c>
      <c r="CY63" s="68">
        <f t="shared" si="342"/>
        <v>2649987.0973686548</v>
      </c>
      <c r="CZ63" s="68">
        <f t="shared" si="342"/>
        <v>3786929.0895359903</v>
      </c>
      <c r="DA63" s="68">
        <f t="shared" si="342"/>
        <v>1297361.9600456608</v>
      </c>
      <c r="DB63" s="68">
        <f t="shared" si="342"/>
        <v>2313324.8652589326</v>
      </c>
      <c r="DC63" s="68">
        <f t="shared" si="342"/>
        <v>4067375.3478601822</v>
      </c>
      <c r="DD63" s="68">
        <f t="shared" si="342"/>
        <v>1746537.9618160117</v>
      </c>
      <c r="DE63" s="68">
        <f t="shared" si="342"/>
        <v>4658765.8835517354</v>
      </c>
      <c r="DF63" s="68">
        <f t="shared" si="342"/>
        <v>5350205.6335177645</v>
      </c>
      <c r="DG63" s="68">
        <f t="shared" si="342"/>
        <v>1229115.9425430601</v>
      </c>
      <c r="DH63" s="68">
        <f t="shared" si="342"/>
        <v>2596152.8085810198</v>
      </c>
      <c r="DI63" s="68">
        <f t="shared" si="342"/>
        <v>5071967.32262892</v>
      </c>
      <c r="DJ63" s="68">
        <f t="shared" si="342"/>
        <v>2188004.2387884683</v>
      </c>
      <c r="DK63" s="68">
        <f t="shared" si="342"/>
        <v>4103873.4686187664</v>
      </c>
      <c r="DL63" s="68">
        <f t="shared" si="342"/>
        <v>5780862.9070655862</v>
      </c>
      <c r="DM63" s="68">
        <f t="shared" si="342"/>
        <v>1913608.8910673505</v>
      </c>
      <c r="DN63" s="68">
        <f t="shared" si="342"/>
        <v>3412154.1762569258</v>
      </c>
      <c r="DO63" s="68">
        <f t="shared" si="342"/>
        <v>5999378.6380937686</v>
      </c>
      <c r="DP63" s="68">
        <f t="shared" si="342"/>
        <v>2293186.8686786173</v>
      </c>
      <c r="DQ63" s="68">
        <f t="shared" si="342"/>
        <v>6588723.05323881</v>
      </c>
      <c r="DR63" s="68">
        <f t="shared" si="342"/>
        <v>7608596.6844387027</v>
      </c>
      <c r="DS63" s="68">
        <f t="shared" si="342"/>
        <v>1782218.1166874375</v>
      </c>
      <c r="DT63" s="68">
        <f t="shared" si="342"/>
        <v>3764421.572442479</v>
      </c>
      <c r="DU63" s="68">
        <f t="shared" si="342"/>
        <v>7354352.6178119332</v>
      </c>
      <c r="DV63" s="68">
        <f t="shared" si="342"/>
        <v>3172606.1462432798</v>
      </c>
      <c r="DW63" s="68">
        <f t="shared" si="342"/>
        <v>5950616.5294972118</v>
      </c>
      <c r="DX63" s="68">
        <f t="shared" si="342"/>
        <v>8382251.2152451007</v>
      </c>
      <c r="DY63" s="68">
        <f t="shared" si="342"/>
        <v>2774732.8920476581</v>
      </c>
      <c r="DZ63" s="68">
        <f t="shared" si="342"/>
        <v>4947623.5555725414</v>
      </c>
      <c r="EA63" s="68">
        <f t="shared" si="342"/>
        <v>8699099.0252359658</v>
      </c>
      <c r="EB63" s="68">
        <f t="shared" si="342"/>
        <v>3325120.9595839954</v>
      </c>
      <c r="EC63" s="68">
        <f t="shared" si="342"/>
        <v>9553648.4271962754</v>
      </c>
      <c r="ED63" s="68">
        <f t="shared" si="342"/>
        <v>11032465.192436118</v>
      </c>
      <c r="EE63" s="68">
        <f t="shared" si="342"/>
        <v>2539660.8162795985</v>
      </c>
      <c r="EF63" s="68">
        <f t="shared" si="342"/>
        <v>5364300.7407305334</v>
      </c>
      <c r="EG63" s="68">
        <f t="shared" si="342"/>
        <v>10479952.480382007</v>
      </c>
      <c r="EH63" s="68">
        <f t="shared" si="342"/>
        <v>4520963.758396673</v>
      </c>
      <c r="EI63" s="68">
        <f t="shared" si="342"/>
        <v>8479628.5545335263</v>
      </c>
      <c r="EJ63" s="68">
        <f t="shared" si="342"/>
        <v>11944707.981724268</v>
      </c>
      <c r="EK63" s="68">
        <f t="shared" si="342"/>
        <v>3953994.3711679126</v>
      </c>
      <c r="EL63" s="68">
        <f t="shared" si="342"/>
        <v>7050363.5666908734</v>
      </c>
      <c r="EM63" s="68">
        <f t="shared" si="342"/>
        <v>12396216.110961251</v>
      </c>
      <c r="EN63" s="68">
        <f t="shared" si="342"/>
        <v>4738297.3674071925</v>
      </c>
      <c r="EO63" s="68">
        <f t="shared" si="342"/>
        <v>13613949.008754691</v>
      </c>
      <c r="EP63" s="68">
        <f t="shared" si="342"/>
        <v>15721262.899221471</v>
      </c>
      <c r="EQ63" s="68">
        <f t="shared" si="342"/>
        <v>3555525.1427914375</v>
      </c>
      <c r="ER63" s="68">
        <f t="shared" si="342"/>
        <v>7510021.0370227452</v>
      </c>
      <c r="ES63" s="68">
        <f t="shared" si="342"/>
        <v>14671933.472534807</v>
      </c>
      <c r="ET63" s="68">
        <f t="shared" si="342"/>
        <v>6329349.2617553417</v>
      </c>
      <c r="EU63" s="68">
        <f t="shared" si="342"/>
        <v>11871479.976346936</v>
      </c>
      <c r="EV63" s="68">
        <f t="shared" ref="EV63:FB63" si="343">EV11</f>
        <v>16722591.174413972</v>
      </c>
      <c r="EW63" s="68">
        <f t="shared" si="343"/>
        <v>5535592.1196350791</v>
      </c>
      <c r="EX63" s="68">
        <f t="shared" si="343"/>
        <v>9870508.9933672212</v>
      </c>
      <c r="EY63" s="68">
        <f t="shared" si="343"/>
        <v>17354702.555345751</v>
      </c>
      <c r="EZ63" s="68">
        <f t="shared" si="343"/>
        <v>6633616.3143700697</v>
      </c>
      <c r="FA63" s="68">
        <f t="shared" si="343"/>
        <v>19059528.612256568</v>
      </c>
      <c r="FB63" s="68">
        <f t="shared" si="343"/>
        <v>22009768.058910057</v>
      </c>
    </row>
    <row r="64" spans="3:158" s="292" customFormat="1" x14ac:dyDescent="0.25">
      <c r="M64" s="16"/>
    </row>
    <row r="65" spans="3:182" x14ac:dyDescent="0.25">
      <c r="C65" s="7" t="s">
        <v>789</v>
      </c>
      <c r="M65" s="16"/>
    </row>
    <row r="66" spans="3:182" x14ac:dyDescent="0.25">
      <c r="C66" t="s">
        <v>726</v>
      </c>
      <c r="D66" s="248">
        <f t="shared" ref="D66:L81" si="344">SUMIF($AY$2:$FB$2,D$2,$AY66:$FB66)</f>
        <v>0</v>
      </c>
      <c r="E66" s="248">
        <f t="shared" si="344"/>
        <v>0</v>
      </c>
      <c r="F66" s="248">
        <f t="shared" si="344"/>
        <v>0</v>
      </c>
      <c r="G66" s="248">
        <f t="shared" si="344"/>
        <v>402773.12661872793</v>
      </c>
      <c r="H66" s="248">
        <f t="shared" si="344"/>
        <v>551249.99999999988</v>
      </c>
      <c r="I66" s="248">
        <f t="shared" si="344"/>
        <v>813093.74999999988</v>
      </c>
      <c r="J66" s="248">
        <f t="shared" si="344"/>
        <v>1178985.9375</v>
      </c>
      <c r="K66" s="248">
        <f t="shared" si="344"/>
        <v>1680054.9609375</v>
      </c>
      <c r="L66" s="248">
        <f t="shared" si="344"/>
        <v>2352076.9453124995</v>
      </c>
      <c r="M66" s="248"/>
      <c r="N66" s="248">
        <f t="shared" ref="N66:N67" si="345">SUM(AY66:BA66)</f>
        <v>0</v>
      </c>
      <c r="O66" s="248">
        <f t="shared" ref="O66:O67" si="346">SUM(BB66:BD66)</f>
        <v>0</v>
      </c>
      <c r="P66" s="248">
        <f t="shared" ref="P66:P67" si="347">SUM(BE66:BG66)</f>
        <v>0</v>
      </c>
      <c r="Q66" s="248">
        <f t="shared" ref="Q66:Q67" si="348">SUM(BH66:BJ66)</f>
        <v>0</v>
      </c>
      <c r="R66" s="248">
        <f t="shared" ref="R66:R67" si="349">SUM(BK66:BM66)</f>
        <v>0</v>
      </c>
      <c r="S66" s="248">
        <f t="shared" ref="S66:S67" si="350">SUM(BN66:BP66)</f>
        <v>0</v>
      </c>
      <c r="T66" s="248">
        <f t="shared" ref="T66:T67" si="351">SUM(BQ66:BS66)</f>
        <v>0</v>
      </c>
      <c r="U66" s="248">
        <f t="shared" ref="U66:U67" si="352">SUM(BT66:BV66)</f>
        <v>0</v>
      </c>
      <c r="V66" s="248">
        <f t="shared" ref="V66:V67" si="353">SUM(BW66:BY66)</f>
        <v>0</v>
      </c>
      <c r="W66" s="248">
        <f t="shared" ref="W66:W67" si="354">SUM(BZ66:CB66)</f>
        <v>0</v>
      </c>
      <c r="X66" s="248">
        <f t="shared" ref="X66:X67" si="355">SUM(CC66:CE66)</f>
        <v>0</v>
      </c>
      <c r="Y66" s="248">
        <f t="shared" ref="Y66:Y67" si="356">SUM(CF66:CH66)</f>
        <v>0</v>
      </c>
      <c r="Z66" s="248">
        <f t="shared" ref="Z66:Z67" si="357">SUM(CI66:CK66)</f>
        <v>57132.458750889899</v>
      </c>
      <c r="AA66" s="248">
        <f t="shared" ref="AA66:AA67" si="358">SUM(CL66:CN66)</f>
        <v>89378.796617838001</v>
      </c>
      <c r="AB66" s="248">
        <f t="shared" ref="AB66:AB67" si="359">SUM(CO66:CQ66)</f>
        <v>108981.81</v>
      </c>
      <c r="AC66" s="248">
        <f t="shared" ref="AC66:AC67" si="360">SUM(CR66:CT66)</f>
        <v>147280.06125</v>
      </c>
      <c r="AD66" s="248">
        <f t="shared" ref="AD66:AD67" si="361">SUM(CU66:CW66)</f>
        <v>97556.990946361562</v>
      </c>
      <c r="AE66" s="248">
        <f t="shared" ref="AE66:AE67" si="362">SUM(CX66:CZ66)</f>
        <v>129800.14818613355</v>
      </c>
      <c r="AF66" s="248">
        <f t="shared" ref="AF66:AF67" si="363">SUM(DA66:DC66)</f>
        <v>127967.7028860796</v>
      </c>
      <c r="AG66" s="248">
        <f t="shared" ref="AG66:AG67" si="364">SUM(DD66:DF66)</f>
        <v>195925.15798142517</v>
      </c>
      <c r="AH66" s="248">
        <f t="shared" ref="AH66:AH67" si="365">SUM(DG66:DI66)</f>
        <v>148287.26789588333</v>
      </c>
      <c r="AI66" s="248">
        <f t="shared" ref="AI66:AI67" si="366">SUM(DJ66:DL66)</f>
        <v>201212.34357454701</v>
      </c>
      <c r="AJ66" s="248">
        <f t="shared" ref="AJ66:AJ67" si="367">SUM(DM66:DO66)</f>
        <v>188752.36175696741</v>
      </c>
      <c r="AK66" s="248">
        <f t="shared" ref="AK66:AK67" si="368">SUM(DP66:DR66)</f>
        <v>274841.77677260217</v>
      </c>
      <c r="AL66" s="248">
        <f t="shared" ref="AL66:AL67" si="369">SUM(DS66:DU66)</f>
        <v>215016.53844903084</v>
      </c>
      <c r="AM66" s="248">
        <f t="shared" ref="AM66:AM67" si="370">SUM(DV66:DX66)</f>
        <v>291757.89818309317</v>
      </c>
      <c r="AN66" s="248">
        <f t="shared" ref="AN66:AN67" si="371">SUM(DY66:EA66)</f>
        <v>273690.92454760277</v>
      </c>
      <c r="AO66" s="248">
        <f t="shared" ref="AO66:AO67" si="372">SUM(EB66:ED66)</f>
        <v>398520.5763202731</v>
      </c>
      <c r="AP66" s="248">
        <f t="shared" ref="AP66:AP67" si="373">SUM(EE66:EG66)</f>
        <v>306398.56728986895</v>
      </c>
      <c r="AQ66" s="248">
        <f t="shared" ref="AQ66:AQ67" si="374">SUM(EH66:EJ66)</f>
        <v>415755.00491090782</v>
      </c>
      <c r="AR66" s="248">
        <f t="shared" ref="AR66:AR67" si="375">SUM(EK66:EM66)</f>
        <v>390009.56748033396</v>
      </c>
      <c r="AS66" s="248">
        <f t="shared" ref="AS66:AS67" si="376">SUM(EN66:EP66)</f>
        <v>567891.82125638926</v>
      </c>
      <c r="AT66" s="248">
        <f t="shared" ref="AT66:AT67" si="377">SUM(EQ66:ES66)</f>
        <v>428957.99420581647</v>
      </c>
      <c r="AU66" s="248">
        <f t="shared" ref="AU66:AU67" si="378">SUM(ET66:EV66)</f>
        <v>582057.00687527074</v>
      </c>
      <c r="AV66" s="248">
        <f t="shared" ref="AV66:AV67" si="379">SUM(EW66:EY66)</f>
        <v>546013.39447246748</v>
      </c>
      <c r="AW66" s="248">
        <f t="shared" ref="AW66:AW67" si="380">SUM(EZ66:FB66)</f>
        <v>795048.54975894489</v>
      </c>
      <c r="CI66" s="248">
        <f t="shared" ref="CI66:DN66" si="381">1/60*CI63</f>
        <v>9243.6431210360988</v>
      </c>
      <c r="CJ66" s="248">
        <f t="shared" si="381"/>
        <v>14165.760214544398</v>
      </c>
      <c r="CK66" s="248">
        <f t="shared" si="381"/>
        <v>33723.055415309405</v>
      </c>
      <c r="CL66" s="248">
        <f t="shared" si="381"/>
        <v>16419.2364341838</v>
      </c>
      <c r="CM66" s="248">
        <f t="shared" si="381"/>
        <v>26622.431664670799</v>
      </c>
      <c r="CN66" s="248">
        <f t="shared" si="381"/>
        <v>46337.128518983394</v>
      </c>
      <c r="CO66" s="248">
        <f t="shared" si="381"/>
        <v>16347.271500000001</v>
      </c>
      <c r="CP66" s="248">
        <f t="shared" si="381"/>
        <v>38143.633500000004</v>
      </c>
      <c r="CQ66" s="248">
        <f t="shared" si="381"/>
        <v>54490.904999999999</v>
      </c>
      <c r="CR66" s="248">
        <f t="shared" si="381"/>
        <v>14728.006125</v>
      </c>
      <c r="CS66" s="248">
        <f t="shared" si="381"/>
        <v>58912.0245</v>
      </c>
      <c r="CT66" s="248">
        <f t="shared" si="381"/>
        <v>73640.030624999999</v>
      </c>
      <c r="CU66" s="248">
        <f t="shared" si="381"/>
        <v>12896.065734949832</v>
      </c>
      <c r="CV66" s="248">
        <f t="shared" si="381"/>
        <v>28342.809983966323</v>
      </c>
      <c r="CW66" s="248">
        <f t="shared" si="381"/>
        <v>56318.115227445407</v>
      </c>
      <c r="CX66" s="248">
        <f t="shared" si="381"/>
        <v>22518.211737722806</v>
      </c>
      <c r="CY66" s="248">
        <f t="shared" si="381"/>
        <v>44166.451622810913</v>
      </c>
      <c r="CZ66" s="248">
        <f t="shared" si="381"/>
        <v>63115.484825599837</v>
      </c>
      <c r="DA66" s="248">
        <f t="shared" si="381"/>
        <v>21622.699334094348</v>
      </c>
      <c r="DB66" s="248">
        <f t="shared" si="381"/>
        <v>38555.414420982212</v>
      </c>
      <c r="DC66" s="248">
        <f t="shared" si="381"/>
        <v>67789.589131003042</v>
      </c>
      <c r="DD66" s="248">
        <f t="shared" si="381"/>
        <v>29108.96603026686</v>
      </c>
      <c r="DE66" s="248">
        <f t="shared" si="381"/>
        <v>77646.098059195589</v>
      </c>
      <c r="DF66" s="248">
        <f t="shared" si="381"/>
        <v>89170.093891962737</v>
      </c>
      <c r="DG66" s="248">
        <f t="shared" si="381"/>
        <v>20485.265709051</v>
      </c>
      <c r="DH66" s="248">
        <f t="shared" si="381"/>
        <v>43269.213476350327</v>
      </c>
      <c r="DI66" s="248">
        <f t="shared" si="381"/>
        <v>84532.788710481997</v>
      </c>
      <c r="DJ66" s="248">
        <f t="shared" si="381"/>
        <v>36466.737313141137</v>
      </c>
      <c r="DK66" s="248">
        <f t="shared" si="381"/>
        <v>68397.891143646106</v>
      </c>
      <c r="DL66" s="248">
        <f t="shared" si="381"/>
        <v>96347.71511775977</v>
      </c>
      <c r="DM66" s="248">
        <f t="shared" si="381"/>
        <v>31893.481517789176</v>
      </c>
      <c r="DN66" s="248">
        <f t="shared" si="381"/>
        <v>56869.236270948764</v>
      </c>
      <c r="DO66" s="248">
        <f t="shared" ref="DO66:ET66" si="382">1/60*DO63</f>
        <v>99989.643968229473</v>
      </c>
      <c r="DP66" s="248">
        <f t="shared" si="382"/>
        <v>38219.781144643624</v>
      </c>
      <c r="DQ66" s="248">
        <f t="shared" si="382"/>
        <v>109812.0508873135</v>
      </c>
      <c r="DR66" s="248">
        <f t="shared" si="382"/>
        <v>126809.94474064505</v>
      </c>
      <c r="DS66" s="248">
        <f t="shared" si="382"/>
        <v>29703.635278123958</v>
      </c>
      <c r="DT66" s="248">
        <f t="shared" si="382"/>
        <v>62740.359540707985</v>
      </c>
      <c r="DU66" s="248">
        <f t="shared" si="382"/>
        <v>122572.54363019888</v>
      </c>
      <c r="DV66" s="248">
        <f t="shared" si="382"/>
        <v>52876.769104054663</v>
      </c>
      <c r="DW66" s="248">
        <f t="shared" si="382"/>
        <v>99176.942158286867</v>
      </c>
      <c r="DX66" s="248">
        <f t="shared" si="382"/>
        <v>139704.18692075167</v>
      </c>
      <c r="DY66" s="248">
        <f t="shared" si="382"/>
        <v>46245.548200794299</v>
      </c>
      <c r="DZ66" s="248">
        <f t="shared" si="382"/>
        <v>82460.392592875694</v>
      </c>
      <c r="EA66" s="248">
        <f t="shared" si="382"/>
        <v>144984.98375393276</v>
      </c>
      <c r="EB66" s="248">
        <f t="shared" si="382"/>
        <v>55418.682659733255</v>
      </c>
      <c r="EC66" s="248">
        <f t="shared" si="382"/>
        <v>159227.47378660459</v>
      </c>
      <c r="ED66" s="248">
        <f t="shared" si="382"/>
        <v>183874.41987393529</v>
      </c>
      <c r="EE66" s="248">
        <f t="shared" si="382"/>
        <v>42327.680271326644</v>
      </c>
      <c r="EF66" s="248">
        <f t="shared" si="382"/>
        <v>89405.012345508891</v>
      </c>
      <c r="EG66" s="248">
        <f t="shared" si="382"/>
        <v>174665.87467303345</v>
      </c>
      <c r="EH66" s="248">
        <f t="shared" si="382"/>
        <v>75349.395973277889</v>
      </c>
      <c r="EI66" s="248">
        <f t="shared" si="382"/>
        <v>141327.14257555877</v>
      </c>
      <c r="EJ66" s="248">
        <f t="shared" si="382"/>
        <v>199078.46636207114</v>
      </c>
      <c r="EK66" s="248">
        <f t="shared" si="382"/>
        <v>65899.906186131877</v>
      </c>
      <c r="EL66" s="248">
        <f t="shared" si="382"/>
        <v>117506.05944484788</v>
      </c>
      <c r="EM66" s="248">
        <f t="shared" si="382"/>
        <v>206603.60184935419</v>
      </c>
      <c r="EN66" s="248">
        <f t="shared" si="382"/>
        <v>78971.622790119873</v>
      </c>
      <c r="EO66" s="248">
        <f t="shared" si="382"/>
        <v>226899.15014591152</v>
      </c>
      <c r="EP66" s="248">
        <f t="shared" si="382"/>
        <v>262021.04832035783</v>
      </c>
      <c r="EQ66" s="248">
        <f t="shared" si="382"/>
        <v>59258.752379857287</v>
      </c>
      <c r="ER66" s="248">
        <f t="shared" si="382"/>
        <v>125167.01728371241</v>
      </c>
      <c r="ES66" s="248">
        <f t="shared" si="382"/>
        <v>244532.22454224678</v>
      </c>
      <c r="ET66" s="248">
        <f t="shared" si="382"/>
        <v>105489.15436258902</v>
      </c>
      <c r="EU66" s="248">
        <f t="shared" ref="EU66:FB66" si="383">1/60*EU63</f>
        <v>197857.99960578227</v>
      </c>
      <c r="EV66" s="248">
        <f t="shared" si="383"/>
        <v>278709.85290689953</v>
      </c>
      <c r="EW66" s="248">
        <f t="shared" si="383"/>
        <v>92259.868660584645</v>
      </c>
      <c r="EX66" s="248">
        <f t="shared" si="383"/>
        <v>164508.48322278701</v>
      </c>
      <c r="EY66" s="248">
        <f t="shared" si="383"/>
        <v>289245.04258909583</v>
      </c>
      <c r="EZ66" s="248">
        <f t="shared" si="383"/>
        <v>110560.27190616782</v>
      </c>
      <c r="FA66" s="248">
        <f t="shared" si="383"/>
        <v>317658.81020427612</v>
      </c>
      <c r="FB66" s="248">
        <f t="shared" si="383"/>
        <v>366829.46764850093</v>
      </c>
      <c r="FC66" s="248"/>
      <c r="FD66" s="248"/>
      <c r="FE66" s="248"/>
      <c r="FF66" s="248"/>
      <c r="FG66" s="248"/>
      <c r="FH66" s="248"/>
      <c r="FI66" s="248"/>
      <c r="FJ66" s="248"/>
      <c r="FK66" s="248"/>
      <c r="FL66" s="248"/>
      <c r="FM66" s="248"/>
      <c r="FN66" s="248"/>
      <c r="FO66" s="248"/>
      <c r="FP66" s="248"/>
      <c r="FQ66" s="248"/>
      <c r="FR66" s="248"/>
      <c r="FS66" s="248"/>
      <c r="FT66" s="248"/>
      <c r="FU66" s="248"/>
      <c r="FV66" s="248"/>
      <c r="FW66" s="248"/>
      <c r="FX66" s="248"/>
      <c r="FY66" s="248"/>
      <c r="FZ66" s="248"/>
    </row>
    <row r="67" spans="3:182" x14ac:dyDescent="0.25">
      <c r="C67" t="s">
        <v>727</v>
      </c>
      <c r="D67" s="16">
        <f t="shared" si="344"/>
        <v>0</v>
      </c>
      <c r="E67" s="16">
        <f t="shared" si="344"/>
        <v>0</v>
      </c>
      <c r="F67" s="16">
        <f t="shared" si="344"/>
        <v>0</v>
      </c>
      <c r="G67" s="16">
        <f t="shared" si="344"/>
        <v>329133.09599372791</v>
      </c>
      <c r="H67" s="16">
        <f t="shared" si="344"/>
        <v>535719.93673303712</v>
      </c>
      <c r="I67" s="16">
        <f t="shared" si="344"/>
        <v>775453.89915131754</v>
      </c>
      <c r="J67" s="16">
        <f t="shared" si="344"/>
        <v>1121921.4623667097</v>
      </c>
      <c r="K67" s="16">
        <f t="shared" si="344"/>
        <v>1601908.3324910772</v>
      </c>
      <c r="L67" s="16">
        <f t="shared" si="344"/>
        <v>2247268.5259843562</v>
      </c>
      <c r="M67" s="16"/>
      <c r="N67" s="16">
        <f t="shared" si="345"/>
        <v>0</v>
      </c>
      <c r="O67" s="16">
        <f t="shared" si="346"/>
        <v>0</v>
      </c>
      <c r="P67" s="16">
        <f t="shared" si="347"/>
        <v>0</v>
      </c>
      <c r="Q67" s="16">
        <f t="shared" si="348"/>
        <v>0</v>
      </c>
      <c r="R67" s="16">
        <f t="shared" si="349"/>
        <v>0</v>
      </c>
      <c r="S67" s="16">
        <f t="shared" si="350"/>
        <v>0</v>
      </c>
      <c r="T67" s="16">
        <f t="shared" si="351"/>
        <v>0</v>
      </c>
      <c r="U67" s="16">
        <f t="shared" si="352"/>
        <v>0</v>
      </c>
      <c r="V67" s="16">
        <f t="shared" si="353"/>
        <v>0</v>
      </c>
      <c r="W67" s="16">
        <f t="shared" si="354"/>
        <v>0</v>
      </c>
      <c r="X67" s="16">
        <f t="shared" si="355"/>
        <v>0</v>
      </c>
      <c r="Y67" s="16">
        <f t="shared" si="356"/>
        <v>0</v>
      </c>
      <c r="Z67" s="16">
        <f t="shared" si="357"/>
        <v>23409.403335580497</v>
      </c>
      <c r="AA67" s="16">
        <f t="shared" si="358"/>
        <v>76764.723514164012</v>
      </c>
      <c r="AB67" s="16">
        <f t="shared" si="359"/>
        <v>100828.0335189834</v>
      </c>
      <c r="AC67" s="16">
        <f t="shared" si="360"/>
        <v>128130.935625</v>
      </c>
      <c r="AD67" s="16">
        <f t="shared" si="361"/>
        <v>114878.90634391615</v>
      </c>
      <c r="AE67" s="16">
        <f t="shared" si="362"/>
        <v>123002.77858797912</v>
      </c>
      <c r="AF67" s="16">
        <f t="shared" si="363"/>
        <v>123293.59858067639</v>
      </c>
      <c r="AG67" s="16">
        <f t="shared" si="364"/>
        <v>174544.65322046549</v>
      </c>
      <c r="AH67" s="16">
        <f t="shared" si="365"/>
        <v>152924.57307736407</v>
      </c>
      <c r="AI67" s="16">
        <f t="shared" si="366"/>
        <v>189397.41716726922</v>
      </c>
      <c r="AJ67" s="16">
        <f t="shared" si="367"/>
        <v>185110.43290649771</v>
      </c>
      <c r="AK67" s="16">
        <f t="shared" si="368"/>
        <v>248021.47600018658</v>
      </c>
      <c r="AL67" s="16">
        <f t="shared" si="369"/>
        <v>219253.939559477</v>
      </c>
      <c r="AM67" s="16">
        <f t="shared" si="370"/>
        <v>274626.2548925404</v>
      </c>
      <c r="AN67" s="16">
        <f t="shared" si="371"/>
        <v>268410.12771442166</v>
      </c>
      <c r="AO67" s="16">
        <f t="shared" si="372"/>
        <v>359631.14020027057</v>
      </c>
      <c r="AP67" s="16">
        <f t="shared" si="373"/>
        <v>315607.11249077081</v>
      </c>
      <c r="AQ67" s="16">
        <f t="shared" si="374"/>
        <v>391342.41322187008</v>
      </c>
      <c r="AR67" s="16">
        <f t="shared" si="375"/>
        <v>382484.43199305085</v>
      </c>
      <c r="AS67" s="16">
        <f t="shared" si="376"/>
        <v>512474.37478538556</v>
      </c>
      <c r="AT67" s="16">
        <f t="shared" si="377"/>
        <v>446446.8179839275</v>
      </c>
      <c r="AU67" s="16">
        <f t="shared" si="378"/>
        <v>547879.37851061812</v>
      </c>
      <c r="AV67" s="16">
        <f t="shared" si="379"/>
        <v>535478.20479027124</v>
      </c>
      <c r="AW67" s="16">
        <f t="shared" si="380"/>
        <v>717464.12469953974</v>
      </c>
      <c r="CI67" s="16"/>
      <c r="CJ67" s="16">
        <f>CI66</f>
        <v>9243.6431210360988</v>
      </c>
      <c r="CK67" s="16">
        <f>CJ66</f>
        <v>14165.760214544398</v>
      </c>
      <c r="CL67" s="16">
        <f t="shared" ref="CL67:DA82" si="384">CK66</f>
        <v>33723.055415309405</v>
      </c>
      <c r="CM67" s="16">
        <f t="shared" si="384"/>
        <v>16419.2364341838</v>
      </c>
      <c r="CN67" s="16">
        <f t="shared" si="384"/>
        <v>26622.431664670799</v>
      </c>
      <c r="CO67" s="16">
        <f t="shared" si="384"/>
        <v>46337.128518983394</v>
      </c>
      <c r="CP67" s="16">
        <f t="shared" si="384"/>
        <v>16347.271500000001</v>
      </c>
      <c r="CQ67" s="16">
        <f t="shared" si="384"/>
        <v>38143.633500000004</v>
      </c>
      <c r="CR67" s="16">
        <f t="shared" si="384"/>
        <v>54490.904999999999</v>
      </c>
      <c r="CS67" s="16">
        <f t="shared" si="384"/>
        <v>14728.006125</v>
      </c>
      <c r="CT67" s="16">
        <f t="shared" si="384"/>
        <v>58912.0245</v>
      </c>
      <c r="CU67" s="16">
        <f t="shared" si="384"/>
        <v>73640.030624999999</v>
      </c>
      <c r="CV67" s="16">
        <f t="shared" si="384"/>
        <v>12896.065734949832</v>
      </c>
      <c r="CW67" s="16">
        <f t="shared" si="384"/>
        <v>28342.809983966323</v>
      </c>
      <c r="CX67" s="16">
        <f t="shared" si="384"/>
        <v>56318.115227445407</v>
      </c>
      <c r="CY67" s="16">
        <f t="shared" si="384"/>
        <v>22518.211737722806</v>
      </c>
      <c r="CZ67" s="16">
        <f t="shared" si="384"/>
        <v>44166.451622810913</v>
      </c>
      <c r="DA67" s="16">
        <f t="shared" si="384"/>
        <v>63115.484825599837</v>
      </c>
      <c r="DB67" s="16">
        <f t="shared" ref="DB67:DQ82" si="385">DA66</f>
        <v>21622.699334094348</v>
      </c>
      <c r="DC67" s="16">
        <f t="shared" si="385"/>
        <v>38555.414420982212</v>
      </c>
      <c r="DD67" s="16">
        <f t="shared" si="385"/>
        <v>67789.589131003042</v>
      </c>
      <c r="DE67" s="16">
        <f t="shared" si="385"/>
        <v>29108.96603026686</v>
      </c>
      <c r="DF67" s="16">
        <f t="shared" si="385"/>
        <v>77646.098059195589</v>
      </c>
      <c r="DG67" s="16">
        <f t="shared" si="385"/>
        <v>89170.093891962737</v>
      </c>
      <c r="DH67" s="16">
        <f t="shared" si="385"/>
        <v>20485.265709051</v>
      </c>
      <c r="DI67" s="16">
        <f t="shared" si="385"/>
        <v>43269.213476350327</v>
      </c>
      <c r="DJ67" s="16">
        <f t="shared" si="385"/>
        <v>84532.788710481997</v>
      </c>
      <c r="DK67" s="16">
        <f t="shared" si="385"/>
        <v>36466.737313141137</v>
      </c>
      <c r="DL67" s="16">
        <f t="shared" si="385"/>
        <v>68397.891143646106</v>
      </c>
      <c r="DM67" s="16">
        <f t="shared" si="385"/>
        <v>96347.71511775977</v>
      </c>
      <c r="DN67" s="16">
        <f t="shared" si="385"/>
        <v>31893.481517789176</v>
      </c>
      <c r="DO67" s="16">
        <f t="shared" si="385"/>
        <v>56869.236270948764</v>
      </c>
      <c r="DP67" s="16">
        <f t="shared" si="385"/>
        <v>99989.643968229473</v>
      </c>
      <c r="DQ67" s="16">
        <f t="shared" si="385"/>
        <v>38219.781144643624</v>
      </c>
      <c r="DR67" s="16">
        <f t="shared" ref="DR67:EG82" si="386">DQ66</f>
        <v>109812.0508873135</v>
      </c>
      <c r="DS67" s="16">
        <f t="shared" si="386"/>
        <v>126809.94474064505</v>
      </c>
      <c r="DT67" s="16">
        <f t="shared" si="386"/>
        <v>29703.635278123958</v>
      </c>
      <c r="DU67" s="16">
        <f t="shared" si="386"/>
        <v>62740.359540707985</v>
      </c>
      <c r="DV67" s="16">
        <f t="shared" si="386"/>
        <v>122572.54363019888</v>
      </c>
      <c r="DW67" s="16">
        <f t="shared" si="386"/>
        <v>52876.769104054663</v>
      </c>
      <c r="DX67" s="16">
        <f t="shared" si="386"/>
        <v>99176.942158286867</v>
      </c>
      <c r="DY67" s="16">
        <f t="shared" si="386"/>
        <v>139704.18692075167</v>
      </c>
      <c r="DZ67" s="16">
        <f t="shared" si="386"/>
        <v>46245.548200794299</v>
      </c>
      <c r="EA67" s="16">
        <f t="shared" si="386"/>
        <v>82460.392592875694</v>
      </c>
      <c r="EB67" s="16">
        <f t="shared" si="386"/>
        <v>144984.98375393276</v>
      </c>
      <c r="EC67" s="16">
        <f t="shared" si="386"/>
        <v>55418.682659733255</v>
      </c>
      <c r="ED67" s="16">
        <f t="shared" si="386"/>
        <v>159227.47378660459</v>
      </c>
      <c r="EE67" s="16">
        <f t="shared" si="386"/>
        <v>183874.41987393529</v>
      </c>
      <c r="EF67" s="16">
        <f t="shared" si="386"/>
        <v>42327.680271326644</v>
      </c>
      <c r="EG67" s="16">
        <f t="shared" si="386"/>
        <v>89405.012345508891</v>
      </c>
      <c r="EH67" s="16">
        <f t="shared" ref="EH67:FB72" si="387">EG66</f>
        <v>174665.87467303345</v>
      </c>
      <c r="EI67" s="16">
        <f t="shared" si="387"/>
        <v>75349.395973277889</v>
      </c>
      <c r="EJ67" s="16">
        <f t="shared" si="387"/>
        <v>141327.14257555877</v>
      </c>
      <c r="EK67" s="16">
        <f t="shared" si="387"/>
        <v>199078.46636207114</v>
      </c>
      <c r="EL67" s="16">
        <f t="shared" si="387"/>
        <v>65899.906186131877</v>
      </c>
      <c r="EM67" s="16">
        <f t="shared" si="387"/>
        <v>117506.05944484788</v>
      </c>
      <c r="EN67" s="16">
        <f t="shared" si="387"/>
        <v>206603.60184935419</v>
      </c>
      <c r="EO67" s="16">
        <f t="shared" si="387"/>
        <v>78971.622790119873</v>
      </c>
      <c r="EP67" s="16">
        <f t="shared" si="387"/>
        <v>226899.15014591152</v>
      </c>
      <c r="EQ67" s="16">
        <f t="shared" si="387"/>
        <v>262021.04832035783</v>
      </c>
      <c r="ER67" s="16">
        <f t="shared" si="387"/>
        <v>59258.752379857287</v>
      </c>
      <c r="ES67" s="16">
        <f t="shared" si="387"/>
        <v>125167.01728371241</v>
      </c>
      <c r="ET67" s="16">
        <f t="shared" si="387"/>
        <v>244532.22454224678</v>
      </c>
      <c r="EU67" s="16">
        <f t="shared" si="387"/>
        <v>105489.15436258902</v>
      </c>
      <c r="EV67" s="16">
        <f t="shared" si="387"/>
        <v>197857.99960578227</v>
      </c>
      <c r="EW67" s="16">
        <f t="shared" si="387"/>
        <v>278709.85290689953</v>
      </c>
      <c r="EX67" s="16">
        <f t="shared" si="387"/>
        <v>92259.868660584645</v>
      </c>
      <c r="EY67" s="16">
        <f t="shared" si="387"/>
        <v>164508.48322278701</v>
      </c>
      <c r="EZ67" s="16">
        <f t="shared" si="387"/>
        <v>289245.04258909583</v>
      </c>
      <c r="FA67" s="16">
        <f t="shared" si="387"/>
        <v>110560.27190616782</v>
      </c>
      <c r="FB67" s="16">
        <f t="shared" si="387"/>
        <v>317658.81020427612</v>
      </c>
      <c r="FC67" s="16"/>
      <c r="FD67" s="16"/>
      <c r="FE67" s="16"/>
      <c r="FF67" s="16"/>
      <c r="FG67" s="16"/>
      <c r="FH67" s="16"/>
      <c r="FI67" s="16"/>
      <c r="FJ67" s="16"/>
      <c r="FK67" s="16"/>
      <c r="FL67" s="16"/>
      <c r="FM67" s="16"/>
      <c r="FN67" s="16"/>
      <c r="FO67" s="16"/>
      <c r="FP67" s="16"/>
      <c r="FQ67" s="16"/>
      <c r="FR67" s="16"/>
      <c r="FS67" s="16"/>
      <c r="FT67" s="16"/>
      <c r="FU67" s="16"/>
      <c r="FV67" s="16"/>
      <c r="FW67" s="16"/>
      <c r="FX67" s="16"/>
      <c r="FY67" s="16"/>
      <c r="FZ67" s="16"/>
    </row>
    <row r="68" spans="3:182" x14ac:dyDescent="0.25">
      <c r="C68" t="s">
        <v>728</v>
      </c>
      <c r="D68" s="16">
        <f t="shared" si="344"/>
        <v>0</v>
      </c>
      <c r="E68" s="16">
        <f t="shared" si="344"/>
        <v>0</v>
      </c>
      <c r="F68" s="16">
        <f t="shared" si="344"/>
        <v>0</v>
      </c>
      <c r="G68" s="16">
        <f t="shared" si="344"/>
        <v>270221.07149372791</v>
      </c>
      <c r="H68" s="16">
        <f t="shared" si="344"/>
        <v>516985.8631738415</v>
      </c>
      <c r="I68" s="16">
        <f t="shared" si="344"/>
        <v>743287.94632319966</v>
      </c>
      <c r="J68" s="16">
        <f t="shared" si="344"/>
        <v>1072506.0394674186</v>
      </c>
      <c r="K68" s="16">
        <f t="shared" si="344"/>
        <v>1534236.6561317705</v>
      </c>
      <c r="L68" s="16">
        <f t="shared" si="344"/>
        <v>2156508.8659259919</v>
      </c>
      <c r="M68" s="16"/>
      <c r="N68" s="16">
        <f t="shared" ref="N68:N125" si="388">SUM(AY68:BA68)</f>
        <v>0</v>
      </c>
      <c r="O68" s="16">
        <f t="shared" ref="O68:O125" si="389">SUM(BB68:BD68)</f>
        <v>0</v>
      </c>
      <c r="P68" s="16">
        <f t="shared" ref="P68:P125" si="390">SUM(BE68:BG68)</f>
        <v>0</v>
      </c>
      <c r="Q68" s="16">
        <f t="shared" ref="Q68:Q125" si="391">SUM(BH68:BJ68)</f>
        <v>0</v>
      </c>
      <c r="R68" s="16">
        <f t="shared" ref="R68:R125" si="392">SUM(BK68:BM68)</f>
        <v>0</v>
      </c>
      <c r="S68" s="16">
        <f t="shared" ref="S68:S125" si="393">SUM(BN68:BP68)</f>
        <v>0</v>
      </c>
      <c r="T68" s="16">
        <f t="shared" ref="T68:T125" si="394">SUM(BQ68:BS68)</f>
        <v>0</v>
      </c>
      <c r="U68" s="16">
        <f t="shared" ref="U68:U125" si="395">SUM(BT68:BV68)</f>
        <v>0</v>
      </c>
      <c r="V68" s="16">
        <f t="shared" ref="V68:V125" si="396">SUM(BW68:BY68)</f>
        <v>0</v>
      </c>
      <c r="W68" s="16">
        <f t="shared" ref="W68:W125" si="397">SUM(BZ68:CB68)</f>
        <v>0</v>
      </c>
      <c r="X68" s="16">
        <f t="shared" ref="X68:X125" si="398">SUM(CC68:CE68)</f>
        <v>0</v>
      </c>
      <c r="Y68" s="16">
        <f t="shared" ref="Y68:Y125" si="399">SUM(CF68:CH68)</f>
        <v>0</v>
      </c>
      <c r="Z68" s="16">
        <f t="shared" ref="Z68:Z125" si="400">SUM(CI68:CK68)</f>
        <v>9243.6431210360988</v>
      </c>
      <c r="AA68" s="16">
        <f t="shared" ref="AA68:AA125" si="401">SUM(CL68:CN68)</f>
        <v>64308.052064037605</v>
      </c>
      <c r="AB68" s="16">
        <f t="shared" ref="AB68:AB125" si="402">SUM(CO68:CQ68)</f>
        <v>89306.831683654193</v>
      </c>
      <c r="AC68" s="16">
        <f t="shared" ref="AC68:AC125" si="403">SUM(CR68:CT68)</f>
        <v>107362.54462499999</v>
      </c>
      <c r="AD68" s="16">
        <f t="shared" ref="AD68:AD125" si="404">SUM(CU68:CW68)</f>
        <v>145448.12085994985</v>
      </c>
      <c r="AE68" s="16">
        <f t="shared" ref="AE68:AE125" si="405">SUM(CX68:CZ68)</f>
        <v>107179.13694913452</v>
      </c>
      <c r="AF68" s="16">
        <f t="shared" ref="AF68:AF125" si="406">SUM(DA68:DC68)</f>
        <v>128904.63578250509</v>
      </c>
      <c r="AG68" s="16">
        <f t="shared" ref="AG68:AG125" si="407">SUM(DD68:DF68)</f>
        <v>135453.96958225212</v>
      </c>
      <c r="AH68" s="16">
        <f t="shared" ref="AH68:AH125" si="408">SUM(DG68:DI68)</f>
        <v>187301.45766020933</v>
      </c>
      <c r="AI68" s="16">
        <f t="shared" ref="AI68:AI125" si="409">SUM(DJ68:DL68)</f>
        <v>164268.73949997345</v>
      </c>
      <c r="AJ68" s="16">
        <f t="shared" ref="AJ68:AJ125" si="410">SUM(DM68:DO68)</f>
        <v>196639.08777919505</v>
      </c>
      <c r="AK68" s="16">
        <f t="shared" ref="AK68:AK125" si="411">SUM(DP68:DR68)</f>
        <v>195078.66138382186</v>
      </c>
      <c r="AL68" s="16">
        <f t="shared" ref="AL68:AL125" si="412">SUM(DS68:DU68)</f>
        <v>266325.63090608252</v>
      </c>
      <c r="AM68" s="16">
        <f t="shared" ref="AM68:AM125" si="413">SUM(DV68:DX68)</f>
        <v>238189.67227496154</v>
      </c>
      <c r="AN68" s="16">
        <f t="shared" ref="AN68:AN125" si="414">SUM(DY68:EA68)</f>
        <v>285126.67727983283</v>
      </c>
      <c r="AO68" s="16">
        <f t="shared" ref="AO68:AO125" si="415">SUM(EB68:ED68)</f>
        <v>282864.05900654173</v>
      </c>
      <c r="AP68" s="16">
        <f t="shared" ref="AP68:AP125" si="416">SUM(EE68:EG68)</f>
        <v>385429.5739318665</v>
      </c>
      <c r="AQ68" s="16">
        <f t="shared" ref="AQ68:AQ125" si="417">SUM(EH68:EJ68)</f>
        <v>339420.28299182025</v>
      </c>
      <c r="AR68" s="16">
        <f t="shared" ref="AR68:AR125" si="418">SUM(EK68:EM68)</f>
        <v>406305.51512376178</v>
      </c>
      <c r="AS68" s="16">
        <f t="shared" ref="AS68:AS125" si="419">SUM(EN68:EP68)</f>
        <v>403081.28408432193</v>
      </c>
      <c r="AT68" s="16">
        <f t="shared" ref="AT68:AT125" si="420">SUM(EQ68:ES68)</f>
        <v>548178.95084612665</v>
      </c>
      <c r="AU68" s="16">
        <f t="shared" ref="AU68:AU125" si="421">SUM(ET68:EV68)</f>
        <v>475188.39618854818</v>
      </c>
      <c r="AV68" s="16">
        <f t="shared" ref="AV68:AV125" si="422">SUM(EW68:EY68)</f>
        <v>568827.72117326641</v>
      </c>
      <c r="AW68" s="16">
        <f t="shared" ref="AW68:AW125" si="423">SUM(EZ68:FB68)</f>
        <v>564313.79771805066</v>
      </c>
      <c r="CI68" s="16"/>
      <c r="CJ68" s="16"/>
      <c r="CK68" s="16">
        <f>CJ67</f>
        <v>9243.6431210360988</v>
      </c>
      <c r="CL68" s="16">
        <f t="shared" si="384"/>
        <v>14165.760214544398</v>
      </c>
      <c r="CM68" s="16">
        <f t="shared" si="384"/>
        <v>33723.055415309405</v>
      </c>
      <c r="CN68" s="16">
        <f t="shared" si="384"/>
        <v>16419.2364341838</v>
      </c>
      <c r="CO68" s="16">
        <f t="shared" si="384"/>
        <v>26622.431664670799</v>
      </c>
      <c r="CP68" s="16">
        <f t="shared" si="384"/>
        <v>46337.128518983394</v>
      </c>
      <c r="CQ68" s="16">
        <f t="shared" si="384"/>
        <v>16347.271500000001</v>
      </c>
      <c r="CR68" s="16">
        <f t="shared" si="384"/>
        <v>38143.633500000004</v>
      </c>
      <c r="CS68" s="16">
        <f t="shared" si="384"/>
        <v>54490.904999999999</v>
      </c>
      <c r="CT68" s="16">
        <f t="shared" si="384"/>
        <v>14728.006125</v>
      </c>
      <c r="CU68" s="16">
        <f t="shared" si="384"/>
        <v>58912.0245</v>
      </c>
      <c r="CV68" s="16">
        <f t="shared" si="384"/>
        <v>73640.030624999999</v>
      </c>
      <c r="CW68" s="16">
        <f t="shared" si="384"/>
        <v>12896.065734949832</v>
      </c>
      <c r="CX68" s="16">
        <f t="shared" si="384"/>
        <v>28342.809983966323</v>
      </c>
      <c r="CY68" s="16">
        <f t="shared" si="384"/>
        <v>56318.115227445407</v>
      </c>
      <c r="CZ68" s="16">
        <f t="shared" si="384"/>
        <v>22518.211737722806</v>
      </c>
      <c r="DA68" s="16">
        <f t="shared" si="384"/>
        <v>44166.451622810913</v>
      </c>
      <c r="DB68" s="16">
        <f t="shared" si="385"/>
        <v>63115.484825599837</v>
      </c>
      <c r="DC68" s="16">
        <f t="shared" si="385"/>
        <v>21622.699334094348</v>
      </c>
      <c r="DD68" s="16">
        <f t="shared" si="385"/>
        <v>38555.414420982212</v>
      </c>
      <c r="DE68" s="16">
        <f t="shared" si="385"/>
        <v>67789.589131003042</v>
      </c>
      <c r="DF68" s="16">
        <f t="shared" si="385"/>
        <v>29108.96603026686</v>
      </c>
      <c r="DG68" s="16">
        <f t="shared" si="385"/>
        <v>77646.098059195589</v>
      </c>
      <c r="DH68" s="16">
        <f t="shared" si="385"/>
        <v>89170.093891962737</v>
      </c>
      <c r="DI68" s="16">
        <f t="shared" si="385"/>
        <v>20485.265709051</v>
      </c>
      <c r="DJ68" s="16">
        <f t="shared" si="385"/>
        <v>43269.213476350327</v>
      </c>
      <c r="DK68" s="16">
        <f t="shared" si="385"/>
        <v>84532.788710481997</v>
      </c>
      <c r="DL68" s="16">
        <f t="shared" si="385"/>
        <v>36466.737313141137</v>
      </c>
      <c r="DM68" s="16">
        <f t="shared" si="385"/>
        <v>68397.891143646106</v>
      </c>
      <c r="DN68" s="16">
        <f t="shared" si="385"/>
        <v>96347.71511775977</v>
      </c>
      <c r="DO68" s="16">
        <f t="shared" si="385"/>
        <v>31893.481517789176</v>
      </c>
      <c r="DP68" s="16">
        <f t="shared" si="385"/>
        <v>56869.236270948764</v>
      </c>
      <c r="DQ68" s="16">
        <f t="shared" si="385"/>
        <v>99989.643968229473</v>
      </c>
      <c r="DR68" s="16">
        <f t="shared" si="386"/>
        <v>38219.781144643624</v>
      </c>
      <c r="DS68" s="16">
        <f t="shared" si="386"/>
        <v>109812.0508873135</v>
      </c>
      <c r="DT68" s="16">
        <f t="shared" si="386"/>
        <v>126809.94474064505</v>
      </c>
      <c r="DU68" s="16">
        <f t="shared" si="386"/>
        <v>29703.635278123958</v>
      </c>
      <c r="DV68" s="16">
        <f t="shared" si="386"/>
        <v>62740.359540707985</v>
      </c>
      <c r="DW68" s="16">
        <f t="shared" si="386"/>
        <v>122572.54363019888</v>
      </c>
      <c r="DX68" s="16">
        <f t="shared" si="386"/>
        <v>52876.769104054663</v>
      </c>
      <c r="DY68" s="16">
        <f t="shared" si="386"/>
        <v>99176.942158286867</v>
      </c>
      <c r="DZ68" s="16">
        <f t="shared" si="386"/>
        <v>139704.18692075167</v>
      </c>
      <c r="EA68" s="16">
        <f t="shared" si="386"/>
        <v>46245.548200794299</v>
      </c>
      <c r="EB68" s="16">
        <f t="shared" si="386"/>
        <v>82460.392592875694</v>
      </c>
      <c r="EC68" s="16">
        <f t="shared" si="386"/>
        <v>144984.98375393276</v>
      </c>
      <c r="ED68" s="16">
        <f t="shared" si="386"/>
        <v>55418.682659733255</v>
      </c>
      <c r="EE68" s="16">
        <f t="shared" si="386"/>
        <v>159227.47378660459</v>
      </c>
      <c r="EF68" s="16">
        <f t="shared" si="386"/>
        <v>183874.41987393529</v>
      </c>
      <c r="EG68" s="16">
        <f t="shared" si="386"/>
        <v>42327.680271326644</v>
      </c>
      <c r="EH68" s="16">
        <f t="shared" si="387"/>
        <v>89405.012345508891</v>
      </c>
      <c r="EI68" s="16">
        <f t="shared" si="387"/>
        <v>174665.87467303345</v>
      </c>
      <c r="EJ68" s="16">
        <f t="shared" si="387"/>
        <v>75349.395973277889</v>
      </c>
      <c r="EK68" s="16">
        <f t="shared" si="387"/>
        <v>141327.14257555877</v>
      </c>
      <c r="EL68" s="16">
        <f t="shared" si="387"/>
        <v>199078.46636207114</v>
      </c>
      <c r="EM68" s="16">
        <f t="shared" si="387"/>
        <v>65899.906186131877</v>
      </c>
      <c r="EN68" s="16">
        <f t="shared" si="387"/>
        <v>117506.05944484788</v>
      </c>
      <c r="EO68" s="16">
        <f t="shared" si="387"/>
        <v>206603.60184935419</v>
      </c>
      <c r="EP68" s="16">
        <f t="shared" si="387"/>
        <v>78971.622790119873</v>
      </c>
      <c r="EQ68" s="16">
        <f t="shared" si="387"/>
        <v>226899.15014591152</v>
      </c>
      <c r="ER68" s="16">
        <f t="shared" si="387"/>
        <v>262021.04832035783</v>
      </c>
      <c r="ES68" s="16">
        <f t="shared" si="387"/>
        <v>59258.752379857287</v>
      </c>
      <c r="ET68" s="16">
        <f t="shared" si="387"/>
        <v>125167.01728371241</v>
      </c>
      <c r="EU68" s="16">
        <f t="shared" si="387"/>
        <v>244532.22454224678</v>
      </c>
      <c r="EV68" s="16">
        <f t="shared" si="387"/>
        <v>105489.15436258902</v>
      </c>
      <c r="EW68" s="16">
        <f t="shared" si="387"/>
        <v>197857.99960578227</v>
      </c>
      <c r="EX68" s="16">
        <f t="shared" si="387"/>
        <v>278709.85290689953</v>
      </c>
      <c r="EY68" s="16">
        <f t="shared" si="387"/>
        <v>92259.868660584645</v>
      </c>
      <c r="EZ68" s="16">
        <f t="shared" si="387"/>
        <v>164508.48322278701</v>
      </c>
      <c r="FA68" s="16">
        <f t="shared" si="387"/>
        <v>289245.04258909583</v>
      </c>
      <c r="FB68" s="16">
        <f t="shared" si="387"/>
        <v>110560.27190616782</v>
      </c>
      <c r="FC68" s="16"/>
      <c r="FD68" s="16"/>
      <c r="FE68" s="16"/>
      <c r="FF68" s="16"/>
      <c r="FG68" s="16"/>
      <c r="FH68" s="16"/>
      <c r="FI68" s="16"/>
      <c r="FJ68" s="16"/>
      <c r="FK68" s="16"/>
      <c r="FL68" s="16"/>
      <c r="FM68" s="16"/>
      <c r="FN68" s="16"/>
      <c r="FO68" s="16"/>
      <c r="FP68" s="16"/>
      <c r="FQ68" s="16"/>
      <c r="FR68" s="16"/>
      <c r="FS68" s="16"/>
      <c r="FT68" s="16"/>
      <c r="FU68" s="16"/>
      <c r="FV68" s="16"/>
      <c r="FW68" s="16"/>
      <c r="FX68" s="16"/>
      <c r="FY68" s="16"/>
      <c r="FZ68" s="16"/>
    </row>
    <row r="69" spans="3:182" x14ac:dyDescent="0.25">
      <c r="C69" t="s">
        <v>729</v>
      </c>
      <c r="D69" s="16">
        <f t="shared" si="344"/>
        <v>0</v>
      </c>
      <c r="E69" s="16">
        <f t="shared" si="344"/>
        <v>0</v>
      </c>
      <c r="F69" s="16">
        <f t="shared" si="344"/>
        <v>0</v>
      </c>
      <c r="G69" s="16">
        <f t="shared" si="344"/>
        <v>255493.0653687279</v>
      </c>
      <c r="H69" s="16">
        <f t="shared" si="344"/>
        <v>502604.90326857474</v>
      </c>
      <c r="I69" s="16">
        <f t="shared" si="344"/>
        <v>734177.13120882283</v>
      </c>
      <c r="J69" s="16">
        <f t="shared" si="344"/>
        <v>1055307.1379523291</v>
      </c>
      <c r="K69" s="16">
        <f t="shared" si="344"/>
        <v>1510683.7160013837</v>
      </c>
      <c r="L69" s="16">
        <f t="shared" si="344"/>
        <v>2124920.2168099438</v>
      </c>
      <c r="M69" s="16"/>
      <c r="N69" s="16">
        <f t="shared" si="388"/>
        <v>0</v>
      </c>
      <c r="O69" s="16">
        <f t="shared" si="389"/>
        <v>0</v>
      </c>
      <c r="P69" s="16">
        <f t="shared" si="390"/>
        <v>0</v>
      </c>
      <c r="Q69" s="16">
        <f t="shared" si="391"/>
        <v>0</v>
      </c>
      <c r="R69" s="16">
        <f t="shared" si="392"/>
        <v>0</v>
      </c>
      <c r="S69" s="16">
        <f t="shared" si="393"/>
        <v>0</v>
      </c>
      <c r="T69" s="16">
        <f t="shared" si="394"/>
        <v>0</v>
      </c>
      <c r="U69" s="16">
        <f t="shared" si="395"/>
        <v>0</v>
      </c>
      <c r="V69" s="16">
        <f t="shared" si="396"/>
        <v>0</v>
      </c>
      <c r="W69" s="16">
        <f t="shared" si="397"/>
        <v>0</v>
      </c>
      <c r="X69" s="16">
        <f t="shared" si="398"/>
        <v>0</v>
      </c>
      <c r="Y69" s="16">
        <f t="shared" si="399"/>
        <v>0</v>
      </c>
      <c r="Z69" s="16">
        <f t="shared" si="400"/>
        <v>0</v>
      </c>
      <c r="AA69" s="16">
        <f t="shared" si="401"/>
        <v>57132.458750889899</v>
      </c>
      <c r="AB69" s="16">
        <f t="shared" si="402"/>
        <v>89378.796617838001</v>
      </c>
      <c r="AC69" s="16">
        <f t="shared" si="403"/>
        <v>108981.81</v>
      </c>
      <c r="AD69" s="16">
        <f t="shared" si="404"/>
        <v>147280.06125</v>
      </c>
      <c r="AE69" s="16">
        <f t="shared" si="405"/>
        <v>97556.990946361562</v>
      </c>
      <c r="AF69" s="16">
        <f t="shared" si="406"/>
        <v>129800.14818613355</v>
      </c>
      <c r="AG69" s="16">
        <f t="shared" si="407"/>
        <v>127967.7028860796</v>
      </c>
      <c r="AH69" s="16">
        <f t="shared" si="408"/>
        <v>195925.15798142517</v>
      </c>
      <c r="AI69" s="16">
        <f t="shared" si="409"/>
        <v>148287.26789588333</v>
      </c>
      <c r="AJ69" s="16">
        <f t="shared" si="410"/>
        <v>201212.34357454701</v>
      </c>
      <c r="AK69" s="16">
        <f t="shared" si="411"/>
        <v>188752.36175696741</v>
      </c>
      <c r="AL69" s="16">
        <f t="shared" si="412"/>
        <v>274841.77677260217</v>
      </c>
      <c r="AM69" s="16">
        <f t="shared" si="413"/>
        <v>215016.53844903084</v>
      </c>
      <c r="AN69" s="16">
        <f t="shared" si="414"/>
        <v>291757.89818309317</v>
      </c>
      <c r="AO69" s="16">
        <f t="shared" si="415"/>
        <v>273690.92454760277</v>
      </c>
      <c r="AP69" s="16">
        <f t="shared" si="416"/>
        <v>398520.5763202731</v>
      </c>
      <c r="AQ69" s="16">
        <f t="shared" si="417"/>
        <v>306398.56728986895</v>
      </c>
      <c r="AR69" s="16">
        <f t="shared" si="418"/>
        <v>415755.00491090782</v>
      </c>
      <c r="AS69" s="16">
        <f t="shared" si="419"/>
        <v>390009.56748033396</v>
      </c>
      <c r="AT69" s="16">
        <f t="shared" si="420"/>
        <v>567891.82125638926</v>
      </c>
      <c r="AU69" s="16">
        <f t="shared" si="421"/>
        <v>428957.99420581647</v>
      </c>
      <c r="AV69" s="16">
        <f t="shared" si="422"/>
        <v>582057.00687527074</v>
      </c>
      <c r="AW69" s="16">
        <f t="shared" si="423"/>
        <v>546013.39447246748</v>
      </c>
      <c r="CI69" s="16"/>
      <c r="CJ69" s="16"/>
      <c r="CK69" s="16"/>
      <c r="CL69" s="16">
        <f>CK68</f>
        <v>9243.6431210360988</v>
      </c>
      <c r="CM69" s="16">
        <f t="shared" si="384"/>
        <v>14165.760214544398</v>
      </c>
      <c r="CN69" s="16">
        <f t="shared" si="384"/>
        <v>33723.055415309405</v>
      </c>
      <c r="CO69" s="16">
        <f t="shared" si="384"/>
        <v>16419.2364341838</v>
      </c>
      <c r="CP69" s="16">
        <f t="shared" si="384"/>
        <v>26622.431664670799</v>
      </c>
      <c r="CQ69" s="16">
        <f t="shared" si="384"/>
        <v>46337.128518983394</v>
      </c>
      <c r="CR69" s="16">
        <f t="shared" si="384"/>
        <v>16347.271500000001</v>
      </c>
      <c r="CS69" s="16">
        <f t="shared" si="384"/>
        <v>38143.633500000004</v>
      </c>
      <c r="CT69" s="16">
        <f t="shared" si="384"/>
        <v>54490.904999999999</v>
      </c>
      <c r="CU69" s="16">
        <f t="shared" si="384"/>
        <v>14728.006125</v>
      </c>
      <c r="CV69" s="16">
        <f t="shared" si="384"/>
        <v>58912.0245</v>
      </c>
      <c r="CW69" s="16">
        <f t="shared" si="384"/>
        <v>73640.030624999999</v>
      </c>
      <c r="CX69" s="16">
        <f t="shared" si="384"/>
        <v>12896.065734949832</v>
      </c>
      <c r="CY69" s="16">
        <f t="shared" si="384"/>
        <v>28342.809983966323</v>
      </c>
      <c r="CZ69" s="16">
        <f t="shared" si="384"/>
        <v>56318.115227445407</v>
      </c>
      <c r="DA69" s="16">
        <f t="shared" si="384"/>
        <v>22518.211737722806</v>
      </c>
      <c r="DB69" s="16">
        <f t="shared" si="385"/>
        <v>44166.451622810913</v>
      </c>
      <c r="DC69" s="16">
        <f t="shared" si="385"/>
        <v>63115.484825599837</v>
      </c>
      <c r="DD69" s="16">
        <f t="shared" si="385"/>
        <v>21622.699334094348</v>
      </c>
      <c r="DE69" s="16">
        <f t="shared" si="385"/>
        <v>38555.414420982212</v>
      </c>
      <c r="DF69" s="16">
        <f t="shared" si="385"/>
        <v>67789.589131003042</v>
      </c>
      <c r="DG69" s="16">
        <f t="shared" si="385"/>
        <v>29108.96603026686</v>
      </c>
      <c r="DH69" s="16">
        <f t="shared" si="385"/>
        <v>77646.098059195589</v>
      </c>
      <c r="DI69" s="16">
        <f t="shared" si="385"/>
        <v>89170.093891962737</v>
      </c>
      <c r="DJ69" s="16">
        <f t="shared" si="385"/>
        <v>20485.265709051</v>
      </c>
      <c r="DK69" s="16">
        <f t="shared" si="385"/>
        <v>43269.213476350327</v>
      </c>
      <c r="DL69" s="16">
        <f t="shared" si="385"/>
        <v>84532.788710481997</v>
      </c>
      <c r="DM69" s="16">
        <f t="shared" si="385"/>
        <v>36466.737313141137</v>
      </c>
      <c r="DN69" s="16">
        <f t="shared" si="385"/>
        <v>68397.891143646106</v>
      </c>
      <c r="DO69" s="16">
        <f t="shared" si="385"/>
        <v>96347.71511775977</v>
      </c>
      <c r="DP69" s="16">
        <f t="shared" si="385"/>
        <v>31893.481517789176</v>
      </c>
      <c r="DQ69" s="16">
        <f t="shared" si="385"/>
        <v>56869.236270948764</v>
      </c>
      <c r="DR69" s="16">
        <f t="shared" si="386"/>
        <v>99989.643968229473</v>
      </c>
      <c r="DS69" s="16">
        <f t="shared" si="386"/>
        <v>38219.781144643624</v>
      </c>
      <c r="DT69" s="16">
        <f t="shared" si="386"/>
        <v>109812.0508873135</v>
      </c>
      <c r="DU69" s="16">
        <f t="shared" si="386"/>
        <v>126809.94474064505</v>
      </c>
      <c r="DV69" s="16">
        <f t="shared" si="386"/>
        <v>29703.635278123958</v>
      </c>
      <c r="DW69" s="16">
        <f t="shared" si="386"/>
        <v>62740.359540707985</v>
      </c>
      <c r="DX69" s="16">
        <f t="shared" si="386"/>
        <v>122572.54363019888</v>
      </c>
      <c r="DY69" s="16">
        <f t="shared" si="386"/>
        <v>52876.769104054663</v>
      </c>
      <c r="DZ69" s="16">
        <f t="shared" si="386"/>
        <v>99176.942158286867</v>
      </c>
      <c r="EA69" s="16">
        <f t="shared" si="386"/>
        <v>139704.18692075167</v>
      </c>
      <c r="EB69" s="16">
        <f t="shared" si="386"/>
        <v>46245.548200794299</v>
      </c>
      <c r="EC69" s="16">
        <f t="shared" si="386"/>
        <v>82460.392592875694</v>
      </c>
      <c r="ED69" s="16">
        <f t="shared" si="386"/>
        <v>144984.98375393276</v>
      </c>
      <c r="EE69" s="16">
        <f t="shared" si="386"/>
        <v>55418.682659733255</v>
      </c>
      <c r="EF69" s="16">
        <f t="shared" si="386"/>
        <v>159227.47378660459</v>
      </c>
      <c r="EG69" s="16">
        <f t="shared" si="386"/>
        <v>183874.41987393529</v>
      </c>
      <c r="EH69" s="16">
        <f t="shared" si="387"/>
        <v>42327.680271326644</v>
      </c>
      <c r="EI69" s="16">
        <f t="shared" si="387"/>
        <v>89405.012345508891</v>
      </c>
      <c r="EJ69" s="16">
        <f t="shared" si="387"/>
        <v>174665.87467303345</v>
      </c>
      <c r="EK69" s="16">
        <f t="shared" si="387"/>
        <v>75349.395973277889</v>
      </c>
      <c r="EL69" s="16">
        <f t="shared" si="387"/>
        <v>141327.14257555877</v>
      </c>
      <c r="EM69" s="16">
        <f t="shared" si="387"/>
        <v>199078.46636207114</v>
      </c>
      <c r="EN69" s="16">
        <f t="shared" si="387"/>
        <v>65899.906186131877</v>
      </c>
      <c r="EO69" s="16">
        <f t="shared" si="387"/>
        <v>117506.05944484788</v>
      </c>
      <c r="EP69" s="16">
        <f t="shared" si="387"/>
        <v>206603.60184935419</v>
      </c>
      <c r="EQ69" s="16">
        <f t="shared" si="387"/>
        <v>78971.622790119873</v>
      </c>
      <c r="ER69" s="16">
        <f t="shared" si="387"/>
        <v>226899.15014591152</v>
      </c>
      <c r="ES69" s="16">
        <f t="shared" si="387"/>
        <v>262021.04832035783</v>
      </c>
      <c r="ET69" s="16">
        <f t="shared" si="387"/>
        <v>59258.752379857287</v>
      </c>
      <c r="EU69" s="16">
        <f t="shared" si="387"/>
        <v>125167.01728371241</v>
      </c>
      <c r="EV69" s="16">
        <f t="shared" si="387"/>
        <v>244532.22454224678</v>
      </c>
      <c r="EW69" s="16">
        <f t="shared" si="387"/>
        <v>105489.15436258902</v>
      </c>
      <c r="EX69" s="16">
        <f t="shared" si="387"/>
        <v>197857.99960578227</v>
      </c>
      <c r="EY69" s="16">
        <f t="shared" si="387"/>
        <v>278709.85290689953</v>
      </c>
      <c r="EZ69" s="16">
        <f t="shared" si="387"/>
        <v>92259.868660584645</v>
      </c>
      <c r="FA69" s="16">
        <f t="shared" si="387"/>
        <v>164508.48322278701</v>
      </c>
      <c r="FB69" s="16">
        <f t="shared" si="387"/>
        <v>289245.04258909583</v>
      </c>
      <c r="FC69" s="16"/>
      <c r="FD69" s="16"/>
      <c r="FE69" s="16"/>
      <c r="FF69" s="16"/>
      <c r="FG69" s="16"/>
      <c r="FH69" s="16"/>
      <c r="FI69" s="16"/>
      <c r="FJ69" s="16"/>
      <c r="FK69" s="16"/>
      <c r="FL69" s="16"/>
      <c r="FM69" s="16"/>
      <c r="FN69" s="16"/>
      <c r="FO69" s="16"/>
      <c r="FP69" s="16"/>
      <c r="FQ69" s="16"/>
      <c r="FR69" s="16"/>
      <c r="FS69" s="16"/>
      <c r="FT69" s="16"/>
      <c r="FU69" s="16"/>
      <c r="FV69" s="16"/>
      <c r="FW69" s="16"/>
      <c r="FX69" s="16"/>
      <c r="FY69" s="16"/>
      <c r="FZ69" s="16"/>
    </row>
    <row r="70" spans="3:182" x14ac:dyDescent="0.25">
      <c r="C70" t="s">
        <v>730</v>
      </c>
      <c r="D70" s="16">
        <f t="shared" si="344"/>
        <v>0</v>
      </c>
      <c r="E70" s="16">
        <f t="shared" si="344"/>
        <v>0</v>
      </c>
      <c r="F70" s="16">
        <f t="shared" si="344"/>
        <v>0</v>
      </c>
      <c r="G70" s="16">
        <f t="shared" si="344"/>
        <v>201002.1603687279</v>
      </c>
      <c r="H70" s="16">
        <f t="shared" si="344"/>
        <v>489306.21913757164</v>
      </c>
      <c r="I70" s="16">
        <f t="shared" si="344"/>
        <v>701977.07637159643</v>
      </c>
      <c r="J70" s="16">
        <f t="shared" si="344"/>
        <v>1010311.7981666257</v>
      </c>
      <c r="K70" s="16">
        <f t="shared" si="344"/>
        <v>1449065.0979059627</v>
      </c>
      <c r="L70" s="16">
        <f t="shared" si="344"/>
        <v>2042278.7760702025</v>
      </c>
      <c r="M70" s="16"/>
      <c r="N70" s="16">
        <f t="shared" si="388"/>
        <v>0</v>
      </c>
      <c r="O70" s="16">
        <f t="shared" si="389"/>
        <v>0</v>
      </c>
      <c r="P70" s="16">
        <f t="shared" si="390"/>
        <v>0</v>
      </c>
      <c r="Q70" s="16">
        <f t="shared" si="391"/>
        <v>0</v>
      </c>
      <c r="R70" s="16">
        <f t="shared" si="392"/>
        <v>0</v>
      </c>
      <c r="S70" s="16">
        <f t="shared" si="393"/>
        <v>0</v>
      </c>
      <c r="T70" s="16">
        <f t="shared" si="394"/>
        <v>0</v>
      </c>
      <c r="U70" s="16">
        <f t="shared" si="395"/>
        <v>0</v>
      </c>
      <c r="V70" s="16">
        <f t="shared" si="396"/>
        <v>0</v>
      </c>
      <c r="W70" s="16">
        <f t="shared" si="397"/>
        <v>0</v>
      </c>
      <c r="X70" s="16">
        <f t="shared" si="398"/>
        <v>0</v>
      </c>
      <c r="Y70" s="16">
        <f t="shared" si="399"/>
        <v>0</v>
      </c>
      <c r="Z70" s="16">
        <f t="shared" si="400"/>
        <v>0</v>
      </c>
      <c r="AA70" s="16">
        <f t="shared" si="401"/>
        <v>23409.403335580497</v>
      </c>
      <c r="AB70" s="16">
        <f t="shared" si="402"/>
        <v>76764.723514164012</v>
      </c>
      <c r="AC70" s="16">
        <f t="shared" si="403"/>
        <v>100828.0335189834</v>
      </c>
      <c r="AD70" s="16">
        <f t="shared" si="404"/>
        <v>128130.935625</v>
      </c>
      <c r="AE70" s="16">
        <f t="shared" si="405"/>
        <v>114878.90634391615</v>
      </c>
      <c r="AF70" s="16">
        <f t="shared" si="406"/>
        <v>123002.77858797912</v>
      </c>
      <c r="AG70" s="16">
        <f t="shared" si="407"/>
        <v>123293.59858067639</v>
      </c>
      <c r="AH70" s="16">
        <f t="shared" si="408"/>
        <v>174544.65322046549</v>
      </c>
      <c r="AI70" s="16">
        <f t="shared" si="409"/>
        <v>152924.57307736407</v>
      </c>
      <c r="AJ70" s="16">
        <f t="shared" si="410"/>
        <v>189397.41716726922</v>
      </c>
      <c r="AK70" s="16">
        <f t="shared" si="411"/>
        <v>185110.43290649771</v>
      </c>
      <c r="AL70" s="16">
        <f t="shared" si="412"/>
        <v>248021.47600018658</v>
      </c>
      <c r="AM70" s="16">
        <f t="shared" si="413"/>
        <v>219253.939559477</v>
      </c>
      <c r="AN70" s="16">
        <f t="shared" si="414"/>
        <v>274626.2548925404</v>
      </c>
      <c r="AO70" s="16">
        <f t="shared" si="415"/>
        <v>268410.12771442166</v>
      </c>
      <c r="AP70" s="16">
        <f t="shared" si="416"/>
        <v>359631.14020027057</v>
      </c>
      <c r="AQ70" s="16">
        <f t="shared" si="417"/>
        <v>315607.11249077081</v>
      </c>
      <c r="AR70" s="16">
        <f t="shared" si="418"/>
        <v>391342.41322187008</v>
      </c>
      <c r="AS70" s="16">
        <f t="shared" si="419"/>
        <v>382484.43199305085</v>
      </c>
      <c r="AT70" s="16">
        <f t="shared" si="420"/>
        <v>512474.37478538556</v>
      </c>
      <c r="AU70" s="16">
        <f t="shared" si="421"/>
        <v>446446.8179839275</v>
      </c>
      <c r="AV70" s="16">
        <f t="shared" si="422"/>
        <v>547879.37851061812</v>
      </c>
      <c r="AW70" s="16">
        <f t="shared" si="423"/>
        <v>535478.20479027124</v>
      </c>
      <c r="CI70" s="16"/>
      <c r="CJ70" s="16"/>
      <c r="CK70" s="16"/>
      <c r="CL70" s="16"/>
      <c r="CM70" s="16">
        <f>CL69</f>
        <v>9243.6431210360988</v>
      </c>
      <c r="CN70" s="16">
        <f t="shared" si="384"/>
        <v>14165.760214544398</v>
      </c>
      <c r="CO70" s="16">
        <f t="shared" si="384"/>
        <v>33723.055415309405</v>
      </c>
      <c r="CP70" s="16">
        <f t="shared" si="384"/>
        <v>16419.2364341838</v>
      </c>
      <c r="CQ70" s="16">
        <f t="shared" si="384"/>
        <v>26622.431664670799</v>
      </c>
      <c r="CR70" s="16">
        <f t="shared" si="384"/>
        <v>46337.128518983394</v>
      </c>
      <c r="CS70" s="16">
        <f t="shared" si="384"/>
        <v>16347.271500000001</v>
      </c>
      <c r="CT70" s="16">
        <f t="shared" si="384"/>
        <v>38143.633500000004</v>
      </c>
      <c r="CU70" s="16">
        <f t="shared" si="384"/>
        <v>54490.904999999999</v>
      </c>
      <c r="CV70" s="16">
        <f t="shared" si="384"/>
        <v>14728.006125</v>
      </c>
      <c r="CW70" s="16">
        <f t="shared" si="384"/>
        <v>58912.0245</v>
      </c>
      <c r="CX70" s="16">
        <f t="shared" si="384"/>
        <v>73640.030624999999</v>
      </c>
      <c r="CY70" s="16">
        <f t="shared" si="384"/>
        <v>12896.065734949832</v>
      </c>
      <c r="CZ70" s="16">
        <f t="shared" si="384"/>
        <v>28342.809983966323</v>
      </c>
      <c r="DA70" s="16">
        <f t="shared" si="384"/>
        <v>56318.115227445407</v>
      </c>
      <c r="DB70" s="16">
        <f t="shared" si="385"/>
        <v>22518.211737722806</v>
      </c>
      <c r="DC70" s="16">
        <f t="shared" si="385"/>
        <v>44166.451622810913</v>
      </c>
      <c r="DD70" s="16">
        <f t="shared" si="385"/>
        <v>63115.484825599837</v>
      </c>
      <c r="DE70" s="16">
        <f t="shared" si="385"/>
        <v>21622.699334094348</v>
      </c>
      <c r="DF70" s="16">
        <f t="shared" si="385"/>
        <v>38555.414420982212</v>
      </c>
      <c r="DG70" s="16">
        <f t="shared" si="385"/>
        <v>67789.589131003042</v>
      </c>
      <c r="DH70" s="16">
        <f t="shared" si="385"/>
        <v>29108.96603026686</v>
      </c>
      <c r="DI70" s="16">
        <f t="shared" si="385"/>
        <v>77646.098059195589</v>
      </c>
      <c r="DJ70" s="16">
        <f t="shared" si="385"/>
        <v>89170.093891962737</v>
      </c>
      <c r="DK70" s="16">
        <f t="shared" si="385"/>
        <v>20485.265709051</v>
      </c>
      <c r="DL70" s="16">
        <f t="shared" si="385"/>
        <v>43269.213476350327</v>
      </c>
      <c r="DM70" s="16">
        <f t="shared" si="385"/>
        <v>84532.788710481997</v>
      </c>
      <c r="DN70" s="16">
        <f t="shared" si="385"/>
        <v>36466.737313141137</v>
      </c>
      <c r="DO70" s="16">
        <f t="shared" si="385"/>
        <v>68397.891143646106</v>
      </c>
      <c r="DP70" s="16">
        <f t="shared" si="385"/>
        <v>96347.71511775977</v>
      </c>
      <c r="DQ70" s="16">
        <f t="shared" si="385"/>
        <v>31893.481517789176</v>
      </c>
      <c r="DR70" s="16">
        <f t="shared" si="386"/>
        <v>56869.236270948764</v>
      </c>
      <c r="DS70" s="16">
        <f t="shared" si="386"/>
        <v>99989.643968229473</v>
      </c>
      <c r="DT70" s="16">
        <f t="shared" si="386"/>
        <v>38219.781144643624</v>
      </c>
      <c r="DU70" s="16">
        <f t="shared" si="386"/>
        <v>109812.0508873135</v>
      </c>
      <c r="DV70" s="16">
        <f t="shared" si="386"/>
        <v>126809.94474064505</v>
      </c>
      <c r="DW70" s="16">
        <f t="shared" si="386"/>
        <v>29703.635278123958</v>
      </c>
      <c r="DX70" s="16">
        <f t="shared" si="386"/>
        <v>62740.359540707985</v>
      </c>
      <c r="DY70" s="16">
        <f t="shared" si="386"/>
        <v>122572.54363019888</v>
      </c>
      <c r="DZ70" s="16">
        <f t="shared" si="386"/>
        <v>52876.769104054663</v>
      </c>
      <c r="EA70" s="16">
        <f t="shared" si="386"/>
        <v>99176.942158286867</v>
      </c>
      <c r="EB70" s="16">
        <f t="shared" si="386"/>
        <v>139704.18692075167</v>
      </c>
      <c r="EC70" s="16">
        <f t="shared" si="386"/>
        <v>46245.548200794299</v>
      </c>
      <c r="ED70" s="16">
        <f t="shared" si="386"/>
        <v>82460.392592875694</v>
      </c>
      <c r="EE70" s="16">
        <f t="shared" si="386"/>
        <v>144984.98375393276</v>
      </c>
      <c r="EF70" s="16">
        <f t="shared" si="386"/>
        <v>55418.682659733255</v>
      </c>
      <c r="EG70" s="16">
        <f t="shared" si="386"/>
        <v>159227.47378660459</v>
      </c>
      <c r="EH70" s="16">
        <f t="shared" si="387"/>
        <v>183874.41987393529</v>
      </c>
      <c r="EI70" s="16">
        <f t="shared" si="387"/>
        <v>42327.680271326644</v>
      </c>
      <c r="EJ70" s="16">
        <f t="shared" si="387"/>
        <v>89405.012345508891</v>
      </c>
      <c r="EK70" s="16">
        <f t="shared" si="387"/>
        <v>174665.87467303345</v>
      </c>
      <c r="EL70" s="16">
        <f t="shared" si="387"/>
        <v>75349.395973277889</v>
      </c>
      <c r="EM70" s="16">
        <f t="shared" si="387"/>
        <v>141327.14257555877</v>
      </c>
      <c r="EN70" s="16">
        <f t="shared" si="387"/>
        <v>199078.46636207114</v>
      </c>
      <c r="EO70" s="16">
        <f t="shared" si="387"/>
        <v>65899.906186131877</v>
      </c>
      <c r="EP70" s="16">
        <f t="shared" si="387"/>
        <v>117506.05944484788</v>
      </c>
      <c r="EQ70" s="16">
        <f t="shared" si="387"/>
        <v>206603.60184935419</v>
      </c>
      <c r="ER70" s="16">
        <f t="shared" si="387"/>
        <v>78971.622790119873</v>
      </c>
      <c r="ES70" s="16">
        <f t="shared" si="387"/>
        <v>226899.15014591152</v>
      </c>
      <c r="ET70" s="16">
        <f t="shared" si="387"/>
        <v>262021.04832035783</v>
      </c>
      <c r="EU70" s="16">
        <f t="shared" si="387"/>
        <v>59258.752379857287</v>
      </c>
      <c r="EV70" s="16">
        <f t="shared" si="387"/>
        <v>125167.01728371241</v>
      </c>
      <c r="EW70" s="16">
        <f t="shared" si="387"/>
        <v>244532.22454224678</v>
      </c>
      <c r="EX70" s="16">
        <f t="shared" si="387"/>
        <v>105489.15436258902</v>
      </c>
      <c r="EY70" s="16">
        <f t="shared" si="387"/>
        <v>197857.99960578227</v>
      </c>
      <c r="EZ70" s="16">
        <f t="shared" si="387"/>
        <v>278709.85290689953</v>
      </c>
      <c r="FA70" s="16">
        <f t="shared" si="387"/>
        <v>92259.868660584645</v>
      </c>
      <c r="FB70" s="16">
        <f t="shared" si="387"/>
        <v>164508.48322278701</v>
      </c>
      <c r="FC70" s="16"/>
      <c r="FD70" s="16"/>
      <c r="FE70" s="16"/>
      <c r="FF70" s="16"/>
      <c r="FG70" s="16"/>
      <c r="FH70" s="16"/>
      <c r="FI70" s="16"/>
      <c r="FJ70" s="16"/>
      <c r="FK70" s="16"/>
      <c r="FL70" s="16"/>
      <c r="FM70" s="16"/>
      <c r="FN70" s="16"/>
      <c r="FO70" s="16"/>
      <c r="FP70" s="16"/>
      <c r="FQ70" s="16"/>
      <c r="FR70" s="16"/>
      <c r="FS70" s="16"/>
      <c r="FT70" s="16"/>
      <c r="FU70" s="16"/>
      <c r="FV70" s="16"/>
      <c r="FW70" s="16"/>
      <c r="FX70" s="16"/>
      <c r="FY70" s="16"/>
      <c r="FZ70" s="16"/>
    </row>
    <row r="71" spans="3:182" x14ac:dyDescent="0.25">
      <c r="C71" t="s">
        <v>731</v>
      </c>
      <c r="D71" s="16">
        <f t="shared" si="344"/>
        <v>0</v>
      </c>
      <c r="E71" s="16">
        <f t="shared" si="344"/>
        <v>0</v>
      </c>
      <c r="F71" s="16">
        <f t="shared" si="344"/>
        <v>0</v>
      </c>
      <c r="G71" s="16">
        <f t="shared" si="344"/>
        <v>162858.5268687279</v>
      </c>
      <c r="H71" s="16">
        <f t="shared" si="344"/>
        <v>488894.43821658951</v>
      </c>
      <c r="I71" s="16">
        <f t="shared" si="344"/>
        <v>683663.25452163001</v>
      </c>
      <c r="J71" s="16">
        <f t="shared" si="344"/>
        <v>984720.64184469881</v>
      </c>
      <c r="K71" s="16">
        <f t="shared" si="344"/>
        <v>1414019.4310539905</v>
      </c>
      <c r="L71" s="16">
        <f t="shared" si="344"/>
        <v>1995276.3522922634</v>
      </c>
      <c r="M71" s="16"/>
      <c r="N71" s="16">
        <f t="shared" si="388"/>
        <v>0</v>
      </c>
      <c r="O71" s="16">
        <f t="shared" si="389"/>
        <v>0</v>
      </c>
      <c r="P71" s="16">
        <f t="shared" si="390"/>
        <v>0</v>
      </c>
      <c r="Q71" s="16">
        <f t="shared" si="391"/>
        <v>0</v>
      </c>
      <c r="R71" s="16">
        <f t="shared" si="392"/>
        <v>0</v>
      </c>
      <c r="S71" s="16">
        <f t="shared" si="393"/>
        <v>0</v>
      </c>
      <c r="T71" s="16">
        <f t="shared" si="394"/>
        <v>0</v>
      </c>
      <c r="U71" s="16">
        <f t="shared" si="395"/>
        <v>0</v>
      </c>
      <c r="V71" s="16">
        <f t="shared" si="396"/>
        <v>0</v>
      </c>
      <c r="W71" s="16">
        <f t="shared" si="397"/>
        <v>0</v>
      </c>
      <c r="X71" s="16">
        <f t="shared" si="398"/>
        <v>0</v>
      </c>
      <c r="Y71" s="16">
        <f t="shared" si="399"/>
        <v>0</v>
      </c>
      <c r="Z71" s="16">
        <f t="shared" si="400"/>
        <v>0</v>
      </c>
      <c r="AA71" s="16">
        <f t="shared" si="401"/>
        <v>9243.6431210360988</v>
      </c>
      <c r="AB71" s="16">
        <f t="shared" si="402"/>
        <v>64308.052064037605</v>
      </c>
      <c r="AC71" s="16">
        <f t="shared" si="403"/>
        <v>89306.831683654193</v>
      </c>
      <c r="AD71" s="16">
        <f t="shared" si="404"/>
        <v>107362.54462499999</v>
      </c>
      <c r="AE71" s="16">
        <f t="shared" si="405"/>
        <v>145448.12085994985</v>
      </c>
      <c r="AF71" s="16">
        <f t="shared" si="406"/>
        <v>107179.13694913452</v>
      </c>
      <c r="AG71" s="16">
        <f t="shared" si="407"/>
        <v>128904.63578250509</v>
      </c>
      <c r="AH71" s="16">
        <f t="shared" si="408"/>
        <v>135453.96958225212</v>
      </c>
      <c r="AI71" s="16">
        <f t="shared" si="409"/>
        <v>187301.45766020933</v>
      </c>
      <c r="AJ71" s="16">
        <f t="shared" si="410"/>
        <v>164268.73949997345</v>
      </c>
      <c r="AK71" s="16">
        <f t="shared" si="411"/>
        <v>196639.08777919505</v>
      </c>
      <c r="AL71" s="16">
        <f t="shared" si="412"/>
        <v>195078.66138382186</v>
      </c>
      <c r="AM71" s="16">
        <f t="shared" si="413"/>
        <v>266325.63090608252</v>
      </c>
      <c r="AN71" s="16">
        <f t="shared" si="414"/>
        <v>238189.67227496154</v>
      </c>
      <c r="AO71" s="16">
        <f t="shared" si="415"/>
        <v>285126.67727983283</v>
      </c>
      <c r="AP71" s="16">
        <f t="shared" si="416"/>
        <v>282864.05900654173</v>
      </c>
      <c r="AQ71" s="16">
        <f t="shared" si="417"/>
        <v>385429.5739318665</v>
      </c>
      <c r="AR71" s="16">
        <f t="shared" si="418"/>
        <v>339420.28299182025</v>
      </c>
      <c r="AS71" s="16">
        <f t="shared" si="419"/>
        <v>406305.51512376178</v>
      </c>
      <c r="AT71" s="16">
        <f t="shared" si="420"/>
        <v>403081.28408432193</v>
      </c>
      <c r="AU71" s="16">
        <f t="shared" si="421"/>
        <v>548178.95084612665</v>
      </c>
      <c r="AV71" s="16">
        <f t="shared" si="422"/>
        <v>475188.39618854818</v>
      </c>
      <c r="AW71" s="16">
        <f t="shared" si="423"/>
        <v>568827.72117326641</v>
      </c>
      <c r="CI71" s="16"/>
      <c r="CJ71" s="16"/>
      <c r="CK71" s="16"/>
      <c r="CL71" s="16"/>
      <c r="CM71" s="16"/>
      <c r="CN71" s="16">
        <f>CM70</f>
        <v>9243.6431210360988</v>
      </c>
      <c r="CO71" s="16">
        <f>CN70</f>
        <v>14165.760214544398</v>
      </c>
      <c r="CP71" s="16">
        <f t="shared" si="384"/>
        <v>33723.055415309405</v>
      </c>
      <c r="CQ71" s="16">
        <f t="shared" si="384"/>
        <v>16419.2364341838</v>
      </c>
      <c r="CR71" s="16">
        <f t="shared" si="384"/>
        <v>26622.431664670799</v>
      </c>
      <c r="CS71" s="16">
        <f t="shared" si="384"/>
        <v>46337.128518983394</v>
      </c>
      <c r="CT71" s="16">
        <f t="shared" si="384"/>
        <v>16347.271500000001</v>
      </c>
      <c r="CU71" s="16">
        <f t="shared" si="384"/>
        <v>38143.633500000004</v>
      </c>
      <c r="CV71" s="16">
        <f t="shared" si="384"/>
        <v>54490.904999999999</v>
      </c>
      <c r="CW71" s="16">
        <f t="shared" si="384"/>
        <v>14728.006125</v>
      </c>
      <c r="CX71" s="16">
        <f t="shared" si="384"/>
        <v>58912.0245</v>
      </c>
      <c r="CY71" s="16">
        <f t="shared" si="384"/>
        <v>73640.030624999999</v>
      </c>
      <c r="CZ71" s="16">
        <f t="shared" si="384"/>
        <v>12896.065734949832</v>
      </c>
      <c r="DA71" s="16">
        <f t="shared" si="384"/>
        <v>28342.809983966323</v>
      </c>
      <c r="DB71" s="16">
        <f t="shared" si="385"/>
        <v>56318.115227445407</v>
      </c>
      <c r="DC71" s="16">
        <f t="shared" si="385"/>
        <v>22518.211737722806</v>
      </c>
      <c r="DD71" s="16">
        <f t="shared" si="385"/>
        <v>44166.451622810913</v>
      </c>
      <c r="DE71" s="16">
        <f t="shared" si="385"/>
        <v>63115.484825599837</v>
      </c>
      <c r="DF71" s="16">
        <f t="shared" si="385"/>
        <v>21622.699334094348</v>
      </c>
      <c r="DG71" s="16">
        <f t="shared" si="385"/>
        <v>38555.414420982212</v>
      </c>
      <c r="DH71" s="16">
        <f t="shared" si="385"/>
        <v>67789.589131003042</v>
      </c>
      <c r="DI71" s="16">
        <f t="shared" si="385"/>
        <v>29108.96603026686</v>
      </c>
      <c r="DJ71" s="16">
        <f t="shared" si="385"/>
        <v>77646.098059195589</v>
      </c>
      <c r="DK71" s="16">
        <f t="shared" si="385"/>
        <v>89170.093891962737</v>
      </c>
      <c r="DL71" s="16">
        <f t="shared" si="385"/>
        <v>20485.265709051</v>
      </c>
      <c r="DM71" s="16">
        <f t="shared" si="385"/>
        <v>43269.213476350327</v>
      </c>
      <c r="DN71" s="16">
        <f t="shared" si="385"/>
        <v>84532.788710481997</v>
      </c>
      <c r="DO71" s="16">
        <f t="shared" si="385"/>
        <v>36466.737313141137</v>
      </c>
      <c r="DP71" s="16">
        <f t="shared" si="385"/>
        <v>68397.891143646106</v>
      </c>
      <c r="DQ71" s="16">
        <f t="shared" si="385"/>
        <v>96347.71511775977</v>
      </c>
      <c r="DR71" s="16">
        <f t="shared" si="386"/>
        <v>31893.481517789176</v>
      </c>
      <c r="DS71" s="16">
        <f t="shared" si="386"/>
        <v>56869.236270948764</v>
      </c>
      <c r="DT71" s="16">
        <f t="shared" si="386"/>
        <v>99989.643968229473</v>
      </c>
      <c r="DU71" s="16">
        <f t="shared" si="386"/>
        <v>38219.781144643624</v>
      </c>
      <c r="DV71" s="16">
        <f t="shared" si="386"/>
        <v>109812.0508873135</v>
      </c>
      <c r="DW71" s="16">
        <f t="shared" si="386"/>
        <v>126809.94474064505</v>
      </c>
      <c r="DX71" s="16">
        <f t="shared" si="386"/>
        <v>29703.635278123958</v>
      </c>
      <c r="DY71" s="16">
        <f t="shared" si="386"/>
        <v>62740.359540707985</v>
      </c>
      <c r="DZ71" s="16">
        <f t="shared" si="386"/>
        <v>122572.54363019888</v>
      </c>
      <c r="EA71" s="16">
        <f t="shared" si="386"/>
        <v>52876.769104054663</v>
      </c>
      <c r="EB71" s="16">
        <f t="shared" si="386"/>
        <v>99176.942158286867</v>
      </c>
      <c r="EC71" s="16">
        <f t="shared" si="386"/>
        <v>139704.18692075167</v>
      </c>
      <c r="ED71" s="16">
        <f t="shared" si="386"/>
        <v>46245.548200794299</v>
      </c>
      <c r="EE71" s="16">
        <f t="shared" si="386"/>
        <v>82460.392592875694</v>
      </c>
      <c r="EF71" s="16">
        <f t="shared" si="386"/>
        <v>144984.98375393276</v>
      </c>
      <c r="EG71" s="16">
        <f t="shared" si="386"/>
        <v>55418.682659733255</v>
      </c>
      <c r="EH71" s="16">
        <f t="shared" si="387"/>
        <v>159227.47378660459</v>
      </c>
      <c r="EI71" s="16">
        <f t="shared" si="387"/>
        <v>183874.41987393529</v>
      </c>
      <c r="EJ71" s="16">
        <f t="shared" si="387"/>
        <v>42327.680271326644</v>
      </c>
      <c r="EK71" s="16">
        <f t="shared" si="387"/>
        <v>89405.012345508891</v>
      </c>
      <c r="EL71" s="16">
        <f t="shared" si="387"/>
        <v>174665.87467303345</v>
      </c>
      <c r="EM71" s="16">
        <f t="shared" si="387"/>
        <v>75349.395973277889</v>
      </c>
      <c r="EN71" s="16">
        <f t="shared" si="387"/>
        <v>141327.14257555877</v>
      </c>
      <c r="EO71" s="16">
        <f t="shared" si="387"/>
        <v>199078.46636207114</v>
      </c>
      <c r="EP71" s="16">
        <f t="shared" si="387"/>
        <v>65899.906186131877</v>
      </c>
      <c r="EQ71" s="16">
        <f t="shared" si="387"/>
        <v>117506.05944484788</v>
      </c>
      <c r="ER71" s="16">
        <f t="shared" si="387"/>
        <v>206603.60184935419</v>
      </c>
      <c r="ES71" s="16">
        <f t="shared" si="387"/>
        <v>78971.622790119873</v>
      </c>
      <c r="ET71" s="16">
        <f t="shared" si="387"/>
        <v>226899.15014591152</v>
      </c>
      <c r="EU71" s="16">
        <f t="shared" si="387"/>
        <v>262021.04832035783</v>
      </c>
      <c r="EV71" s="16">
        <f t="shared" si="387"/>
        <v>59258.752379857287</v>
      </c>
      <c r="EW71" s="16">
        <f t="shared" si="387"/>
        <v>125167.01728371241</v>
      </c>
      <c r="EX71" s="16">
        <f t="shared" si="387"/>
        <v>244532.22454224678</v>
      </c>
      <c r="EY71" s="16">
        <f t="shared" si="387"/>
        <v>105489.15436258902</v>
      </c>
      <c r="EZ71" s="16">
        <f t="shared" si="387"/>
        <v>197857.99960578227</v>
      </c>
      <c r="FA71" s="16">
        <f t="shared" si="387"/>
        <v>278709.85290689953</v>
      </c>
      <c r="FB71" s="16">
        <f t="shared" si="387"/>
        <v>92259.868660584645</v>
      </c>
      <c r="FC71" s="16"/>
      <c r="FD71" s="16"/>
      <c r="FE71" s="16"/>
      <c r="FF71" s="16"/>
      <c r="FG71" s="16"/>
      <c r="FH71" s="16"/>
      <c r="FI71" s="16"/>
      <c r="FJ71" s="16"/>
      <c r="FK71" s="16"/>
      <c r="FL71" s="16"/>
      <c r="FM71" s="16"/>
      <c r="FN71" s="16"/>
      <c r="FO71" s="16"/>
      <c r="FP71" s="16"/>
      <c r="FQ71" s="16"/>
      <c r="FR71" s="16"/>
      <c r="FS71" s="16"/>
      <c r="FT71" s="16"/>
      <c r="FU71" s="16"/>
      <c r="FV71" s="16"/>
      <c r="FW71" s="16"/>
      <c r="FX71" s="16"/>
      <c r="FY71" s="16"/>
      <c r="FZ71" s="16"/>
    </row>
    <row r="72" spans="3:182" x14ac:dyDescent="0.25">
      <c r="C72" t="s">
        <v>732</v>
      </c>
      <c r="D72" s="16">
        <f t="shared" si="344"/>
        <v>0</v>
      </c>
      <c r="E72" s="16">
        <f t="shared" si="344"/>
        <v>0</v>
      </c>
      <c r="F72" s="16">
        <f t="shared" si="344"/>
        <v>0</v>
      </c>
      <c r="G72" s="16">
        <f t="shared" si="344"/>
        <v>146511.2553687279</v>
      </c>
      <c r="H72" s="16">
        <f t="shared" si="344"/>
        <v>483619.01038249518</v>
      </c>
      <c r="I72" s="16">
        <f t="shared" si="344"/>
        <v>673392.47233793512</v>
      </c>
      <c r="J72" s="16">
        <f t="shared" si="344"/>
        <v>970368.57516169373</v>
      </c>
      <c r="K72" s="16">
        <f t="shared" si="344"/>
        <v>1394365.0730686528</v>
      </c>
      <c r="L72" s="16">
        <f t="shared" si="344"/>
        <v>1968916.3898178106</v>
      </c>
      <c r="M72" s="16"/>
      <c r="N72" s="16">
        <f t="shared" si="388"/>
        <v>0</v>
      </c>
      <c r="O72" s="16">
        <f t="shared" si="389"/>
        <v>0</v>
      </c>
      <c r="P72" s="16">
        <f t="shared" si="390"/>
        <v>0</v>
      </c>
      <c r="Q72" s="16">
        <f t="shared" si="391"/>
        <v>0</v>
      </c>
      <c r="R72" s="16">
        <f t="shared" si="392"/>
        <v>0</v>
      </c>
      <c r="S72" s="16">
        <f t="shared" si="393"/>
        <v>0</v>
      </c>
      <c r="T72" s="16">
        <f t="shared" si="394"/>
        <v>0</v>
      </c>
      <c r="U72" s="16">
        <f t="shared" si="395"/>
        <v>0</v>
      </c>
      <c r="V72" s="16">
        <f t="shared" si="396"/>
        <v>0</v>
      </c>
      <c r="W72" s="16">
        <f t="shared" si="397"/>
        <v>0</v>
      </c>
      <c r="X72" s="16">
        <f t="shared" si="398"/>
        <v>0</v>
      </c>
      <c r="Y72" s="16">
        <f t="shared" si="399"/>
        <v>0</v>
      </c>
      <c r="Z72" s="16">
        <f t="shared" si="400"/>
        <v>0</v>
      </c>
      <c r="AA72" s="16">
        <f t="shared" si="401"/>
        <v>0</v>
      </c>
      <c r="AB72" s="16">
        <f t="shared" si="402"/>
        <v>57132.458750889899</v>
      </c>
      <c r="AC72" s="16">
        <f t="shared" si="403"/>
        <v>89378.796617838001</v>
      </c>
      <c r="AD72" s="16">
        <f t="shared" si="404"/>
        <v>108981.81</v>
      </c>
      <c r="AE72" s="16">
        <f t="shared" si="405"/>
        <v>147280.06125</v>
      </c>
      <c r="AF72" s="16">
        <f t="shared" si="406"/>
        <v>97556.990946361562</v>
      </c>
      <c r="AG72" s="16">
        <f t="shared" si="407"/>
        <v>129800.14818613355</v>
      </c>
      <c r="AH72" s="16">
        <f t="shared" si="408"/>
        <v>127967.7028860796</v>
      </c>
      <c r="AI72" s="16">
        <f t="shared" si="409"/>
        <v>195925.15798142517</v>
      </c>
      <c r="AJ72" s="16">
        <f t="shared" si="410"/>
        <v>148287.26789588333</v>
      </c>
      <c r="AK72" s="16">
        <f t="shared" si="411"/>
        <v>201212.34357454701</v>
      </c>
      <c r="AL72" s="16">
        <f t="shared" si="412"/>
        <v>188752.36175696741</v>
      </c>
      <c r="AM72" s="16">
        <f t="shared" si="413"/>
        <v>274841.77677260217</v>
      </c>
      <c r="AN72" s="16">
        <f t="shared" si="414"/>
        <v>215016.53844903084</v>
      </c>
      <c r="AO72" s="16">
        <f t="shared" si="415"/>
        <v>291757.89818309317</v>
      </c>
      <c r="AP72" s="16">
        <f t="shared" si="416"/>
        <v>273690.92454760277</v>
      </c>
      <c r="AQ72" s="16">
        <f t="shared" si="417"/>
        <v>398520.5763202731</v>
      </c>
      <c r="AR72" s="16">
        <f t="shared" si="418"/>
        <v>306398.56728986895</v>
      </c>
      <c r="AS72" s="16">
        <f t="shared" si="419"/>
        <v>415755.00491090782</v>
      </c>
      <c r="AT72" s="16">
        <f t="shared" si="420"/>
        <v>390009.56748033396</v>
      </c>
      <c r="AU72" s="16">
        <f t="shared" si="421"/>
        <v>567891.82125638926</v>
      </c>
      <c r="AV72" s="16">
        <f t="shared" si="422"/>
        <v>428957.99420581647</v>
      </c>
      <c r="AW72" s="16">
        <f t="shared" si="423"/>
        <v>582057.00687527074</v>
      </c>
      <c r="CI72" s="16"/>
      <c r="CJ72" s="16"/>
      <c r="CK72" s="16"/>
      <c r="CL72" s="16"/>
      <c r="CM72" s="16"/>
      <c r="CN72" s="16"/>
      <c r="CO72" s="16">
        <f>CN71</f>
        <v>9243.6431210360988</v>
      </c>
      <c r="CP72" s="16">
        <f t="shared" si="384"/>
        <v>14165.760214544398</v>
      </c>
      <c r="CQ72" s="16">
        <f t="shared" si="384"/>
        <v>33723.055415309405</v>
      </c>
      <c r="CR72" s="16">
        <f t="shared" si="384"/>
        <v>16419.2364341838</v>
      </c>
      <c r="CS72" s="16">
        <f t="shared" si="384"/>
        <v>26622.431664670799</v>
      </c>
      <c r="CT72" s="16">
        <f t="shared" si="384"/>
        <v>46337.128518983394</v>
      </c>
      <c r="CU72" s="16">
        <f t="shared" si="384"/>
        <v>16347.271500000001</v>
      </c>
      <c r="CV72" s="16">
        <f t="shared" si="384"/>
        <v>38143.633500000004</v>
      </c>
      <c r="CW72" s="16">
        <f t="shared" si="384"/>
        <v>54490.904999999999</v>
      </c>
      <c r="CX72" s="16">
        <f t="shared" si="384"/>
        <v>14728.006125</v>
      </c>
      <c r="CY72" s="16">
        <f t="shared" si="384"/>
        <v>58912.0245</v>
      </c>
      <c r="CZ72" s="16">
        <f t="shared" si="384"/>
        <v>73640.030624999999</v>
      </c>
      <c r="DA72" s="16">
        <f t="shared" si="384"/>
        <v>12896.065734949832</v>
      </c>
      <c r="DB72" s="16">
        <f t="shared" si="385"/>
        <v>28342.809983966323</v>
      </c>
      <c r="DC72" s="16">
        <f t="shared" si="385"/>
        <v>56318.115227445407</v>
      </c>
      <c r="DD72" s="16">
        <f t="shared" si="385"/>
        <v>22518.211737722806</v>
      </c>
      <c r="DE72" s="16">
        <f t="shared" si="385"/>
        <v>44166.451622810913</v>
      </c>
      <c r="DF72" s="16">
        <f t="shared" si="385"/>
        <v>63115.484825599837</v>
      </c>
      <c r="DG72" s="16">
        <f t="shared" si="385"/>
        <v>21622.699334094348</v>
      </c>
      <c r="DH72" s="16">
        <f t="shared" si="385"/>
        <v>38555.414420982212</v>
      </c>
      <c r="DI72" s="16">
        <f t="shared" si="385"/>
        <v>67789.589131003042</v>
      </c>
      <c r="DJ72" s="16">
        <f t="shared" si="385"/>
        <v>29108.96603026686</v>
      </c>
      <c r="DK72" s="16">
        <f t="shared" si="385"/>
        <v>77646.098059195589</v>
      </c>
      <c r="DL72" s="16">
        <f t="shared" si="385"/>
        <v>89170.093891962737</v>
      </c>
      <c r="DM72" s="16">
        <f t="shared" si="385"/>
        <v>20485.265709051</v>
      </c>
      <c r="DN72" s="16">
        <f t="shared" si="385"/>
        <v>43269.213476350327</v>
      </c>
      <c r="DO72" s="16">
        <f t="shared" si="385"/>
        <v>84532.788710481997</v>
      </c>
      <c r="DP72" s="16">
        <f t="shared" si="385"/>
        <v>36466.737313141137</v>
      </c>
      <c r="DQ72" s="16">
        <f t="shared" si="385"/>
        <v>68397.891143646106</v>
      </c>
      <c r="DR72" s="16">
        <f t="shared" si="386"/>
        <v>96347.71511775977</v>
      </c>
      <c r="DS72" s="16">
        <f t="shared" si="386"/>
        <v>31893.481517789176</v>
      </c>
      <c r="DT72" s="16">
        <f t="shared" si="386"/>
        <v>56869.236270948764</v>
      </c>
      <c r="DU72" s="16">
        <f t="shared" si="386"/>
        <v>99989.643968229473</v>
      </c>
      <c r="DV72" s="16">
        <f t="shared" si="386"/>
        <v>38219.781144643624</v>
      </c>
      <c r="DW72" s="16">
        <f t="shared" si="386"/>
        <v>109812.0508873135</v>
      </c>
      <c r="DX72" s="16">
        <f t="shared" si="386"/>
        <v>126809.94474064505</v>
      </c>
      <c r="DY72" s="16">
        <f t="shared" si="386"/>
        <v>29703.635278123958</v>
      </c>
      <c r="DZ72" s="16">
        <f t="shared" si="386"/>
        <v>62740.359540707985</v>
      </c>
      <c r="EA72" s="16">
        <f t="shared" si="386"/>
        <v>122572.54363019888</v>
      </c>
      <c r="EB72" s="16">
        <f t="shared" si="386"/>
        <v>52876.769104054663</v>
      </c>
      <c r="EC72" s="16">
        <f t="shared" si="386"/>
        <v>99176.942158286867</v>
      </c>
      <c r="ED72" s="16">
        <f t="shared" si="386"/>
        <v>139704.18692075167</v>
      </c>
      <c r="EE72" s="16">
        <f t="shared" si="386"/>
        <v>46245.548200794299</v>
      </c>
      <c r="EF72" s="16">
        <f t="shared" si="386"/>
        <v>82460.392592875694</v>
      </c>
      <c r="EG72" s="16">
        <f t="shared" si="386"/>
        <v>144984.98375393276</v>
      </c>
      <c r="EH72" s="16">
        <f t="shared" si="387"/>
        <v>55418.682659733255</v>
      </c>
      <c r="EI72" s="16">
        <f t="shared" si="387"/>
        <v>159227.47378660459</v>
      </c>
      <c r="EJ72" s="16">
        <f t="shared" si="387"/>
        <v>183874.41987393529</v>
      </c>
      <c r="EK72" s="16">
        <f t="shared" si="387"/>
        <v>42327.680271326644</v>
      </c>
      <c r="EL72" s="16">
        <f t="shared" si="387"/>
        <v>89405.012345508891</v>
      </c>
      <c r="EM72" s="16">
        <f t="shared" si="387"/>
        <v>174665.87467303345</v>
      </c>
      <c r="EN72" s="16">
        <f t="shared" si="387"/>
        <v>75349.395973277889</v>
      </c>
      <c r="EO72" s="16">
        <f t="shared" si="387"/>
        <v>141327.14257555877</v>
      </c>
      <c r="EP72" s="16">
        <f t="shared" si="387"/>
        <v>199078.46636207114</v>
      </c>
      <c r="EQ72" s="16">
        <f t="shared" si="387"/>
        <v>65899.906186131877</v>
      </c>
      <c r="ER72" s="16">
        <f t="shared" si="387"/>
        <v>117506.05944484788</v>
      </c>
      <c r="ES72" s="16">
        <f t="shared" si="387"/>
        <v>206603.60184935419</v>
      </c>
      <c r="ET72" s="16">
        <f t="shared" si="387"/>
        <v>78971.622790119873</v>
      </c>
      <c r="EU72" s="16">
        <f t="shared" si="387"/>
        <v>226899.15014591152</v>
      </c>
      <c r="EV72" s="16">
        <f t="shared" si="387"/>
        <v>262021.04832035783</v>
      </c>
      <c r="EW72" s="16">
        <f t="shared" si="387"/>
        <v>59258.752379857287</v>
      </c>
      <c r="EX72" s="16">
        <f t="shared" si="387"/>
        <v>125167.01728371241</v>
      </c>
      <c r="EY72" s="16">
        <f t="shared" si="387"/>
        <v>244532.22454224678</v>
      </c>
      <c r="EZ72" s="16">
        <f t="shared" si="387"/>
        <v>105489.15436258902</v>
      </c>
      <c r="FA72" s="16">
        <f t="shared" si="387"/>
        <v>197857.99960578227</v>
      </c>
      <c r="FB72" s="16">
        <f t="shared" si="387"/>
        <v>278709.85290689953</v>
      </c>
      <c r="FC72" s="16"/>
      <c r="FD72" s="16"/>
      <c r="FE72" s="16"/>
      <c r="FF72" s="16"/>
      <c r="FG72" s="16"/>
      <c r="FH72" s="16"/>
      <c r="FI72" s="16"/>
      <c r="FJ72" s="16"/>
      <c r="FK72" s="16"/>
      <c r="FL72" s="16"/>
      <c r="FM72" s="16"/>
      <c r="FN72" s="16"/>
      <c r="FO72" s="16"/>
      <c r="FP72" s="16"/>
      <c r="FQ72" s="16"/>
      <c r="FR72" s="16"/>
      <c r="FS72" s="16"/>
      <c r="FT72" s="16"/>
      <c r="FU72" s="16"/>
      <c r="FV72" s="16"/>
      <c r="FW72" s="16"/>
      <c r="FX72" s="16"/>
      <c r="FY72" s="16"/>
      <c r="FZ72" s="16"/>
    </row>
    <row r="73" spans="3:182" x14ac:dyDescent="0.25">
      <c r="C73" t="s">
        <v>733</v>
      </c>
      <c r="D73" s="16">
        <f t="shared" si="344"/>
        <v>0</v>
      </c>
      <c r="E73" s="16">
        <f t="shared" si="344"/>
        <v>0</v>
      </c>
      <c r="F73" s="16">
        <f t="shared" si="344"/>
        <v>0</v>
      </c>
      <c r="G73" s="16">
        <f t="shared" si="344"/>
        <v>100174.1268497445</v>
      </c>
      <c r="H73" s="16">
        <f t="shared" si="344"/>
        <v>466840.65407587873</v>
      </c>
      <c r="I73" s="16">
        <f t="shared" si="344"/>
        <v>640160.24204577506</v>
      </c>
      <c r="J73" s="16">
        <f t="shared" si="344"/>
        <v>927012.1033587018</v>
      </c>
      <c r="K73" s="16">
        <f t="shared" si="344"/>
        <v>1334990.7936273334</v>
      </c>
      <c r="L73" s="16">
        <f t="shared" si="344"/>
        <v>1889285.0032729823</v>
      </c>
      <c r="M73" s="16"/>
      <c r="N73" s="16">
        <f t="shared" si="388"/>
        <v>0</v>
      </c>
      <c r="O73" s="16">
        <f t="shared" si="389"/>
        <v>0</v>
      </c>
      <c r="P73" s="16">
        <f t="shared" si="390"/>
        <v>0</v>
      </c>
      <c r="Q73" s="16">
        <f t="shared" si="391"/>
        <v>0</v>
      </c>
      <c r="R73" s="16">
        <f t="shared" si="392"/>
        <v>0</v>
      </c>
      <c r="S73" s="16">
        <f t="shared" si="393"/>
        <v>0</v>
      </c>
      <c r="T73" s="16">
        <f t="shared" si="394"/>
        <v>0</v>
      </c>
      <c r="U73" s="16">
        <f t="shared" si="395"/>
        <v>0</v>
      </c>
      <c r="V73" s="16">
        <f t="shared" si="396"/>
        <v>0</v>
      </c>
      <c r="W73" s="16">
        <f t="shared" si="397"/>
        <v>0</v>
      </c>
      <c r="X73" s="16">
        <f t="shared" si="398"/>
        <v>0</v>
      </c>
      <c r="Y73" s="16">
        <f t="shared" si="399"/>
        <v>0</v>
      </c>
      <c r="Z73" s="16">
        <f t="shared" si="400"/>
        <v>0</v>
      </c>
      <c r="AA73" s="16">
        <f t="shared" si="401"/>
        <v>0</v>
      </c>
      <c r="AB73" s="16">
        <f t="shared" si="402"/>
        <v>23409.403335580497</v>
      </c>
      <c r="AC73" s="16">
        <f t="shared" si="403"/>
        <v>76764.723514164012</v>
      </c>
      <c r="AD73" s="16">
        <f t="shared" si="404"/>
        <v>100828.0335189834</v>
      </c>
      <c r="AE73" s="16">
        <f t="shared" si="405"/>
        <v>128130.935625</v>
      </c>
      <c r="AF73" s="16">
        <f t="shared" si="406"/>
        <v>114878.90634391615</v>
      </c>
      <c r="AG73" s="16">
        <f t="shared" si="407"/>
        <v>123002.77858797912</v>
      </c>
      <c r="AH73" s="16">
        <f t="shared" si="408"/>
        <v>123293.59858067639</v>
      </c>
      <c r="AI73" s="16">
        <f t="shared" si="409"/>
        <v>174544.65322046549</v>
      </c>
      <c r="AJ73" s="16">
        <f t="shared" si="410"/>
        <v>152924.57307736407</v>
      </c>
      <c r="AK73" s="16">
        <f t="shared" si="411"/>
        <v>189397.41716726922</v>
      </c>
      <c r="AL73" s="16">
        <f t="shared" si="412"/>
        <v>185110.43290649771</v>
      </c>
      <c r="AM73" s="16">
        <f t="shared" si="413"/>
        <v>248021.47600018658</v>
      </c>
      <c r="AN73" s="16">
        <f t="shared" si="414"/>
        <v>219253.939559477</v>
      </c>
      <c r="AO73" s="16">
        <f t="shared" si="415"/>
        <v>274626.2548925404</v>
      </c>
      <c r="AP73" s="16">
        <f t="shared" si="416"/>
        <v>268410.12771442166</v>
      </c>
      <c r="AQ73" s="16">
        <f t="shared" si="417"/>
        <v>359631.14020027057</v>
      </c>
      <c r="AR73" s="16">
        <f t="shared" si="418"/>
        <v>315607.11249077081</v>
      </c>
      <c r="AS73" s="16">
        <f t="shared" si="419"/>
        <v>391342.41322187008</v>
      </c>
      <c r="AT73" s="16">
        <f t="shared" si="420"/>
        <v>382484.43199305085</v>
      </c>
      <c r="AU73" s="16">
        <f t="shared" si="421"/>
        <v>512474.37478538556</v>
      </c>
      <c r="AV73" s="16">
        <f t="shared" si="422"/>
        <v>446446.8179839275</v>
      </c>
      <c r="AW73" s="16">
        <f t="shared" si="423"/>
        <v>547879.37851061812</v>
      </c>
      <c r="CI73" s="16"/>
      <c r="CJ73" s="16"/>
      <c r="CK73" s="16"/>
      <c r="CL73" s="16"/>
      <c r="CM73" s="16"/>
      <c r="CN73" s="16"/>
      <c r="CO73" s="16"/>
      <c r="CP73" s="16">
        <f t="shared" si="384"/>
        <v>9243.6431210360988</v>
      </c>
      <c r="CQ73" s="16">
        <f t="shared" si="384"/>
        <v>14165.760214544398</v>
      </c>
      <c r="CR73" s="16">
        <f t="shared" si="384"/>
        <v>33723.055415309405</v>
      </c>
      <c r="CS73" s="16">
        <f t="shared" si="384"/>
        <v>16419.2364341838</v>
      </c>
      <c r="CT73" s="16">
        <f t="shared" si="384"/>
        <v>26622.431664670799</v>
      </c>
      <c r="CU73" s="16">
        <f t="shared" si="384"/>
        <v>46337.128518983394</v>
      </c>
      <c r="CV73" s="16">
        <f t="shared" si="384"/>
        <v>16347.271500000001</v>
      </c>
      <c r="CW73" s="16">
        <f t="shared" si="384"/>
        <v>38143.633500000004</v>
      </c>
      <c r="CX73" s="16">
        <f t="shared" si="384"/>
        <v>54490.904999999999</v>
      </c>
      <c r="CY73" s="16">
        <f t="shared" si="384"/>
        <v>14728.006125</v>
      </c>
      <c r="CZ73" s="16">
        <f t="shared" si="384"/>
        <v>58912.0245</v>
      </c>
      <c r="DA73" s="16">
        <f t="shared" si="384"/>
        <v>73640.030624999999</v>
      </c>
      <c r="DB73" s="16">
        <f t="shared" si="385"/>
        <v>12896.065734949832</v>
      </c>
      <c r="DC73" s="16">
        <f t="shared" si="385"/>
        <v>28342.809983966323</v>
      </c>
      <c r="DD73" s="16">
        <f t="shared" si="385"/>
        <v>56318.115227445407</v>
      </c>
      <c r="DE73" s="16">
        <f t="shared" si="385"/>
        <v>22518.211737722806</v>
      </c>
      <c r="DF73" s="16">
        <f t="shared" si="385"/>
        <v>44166.451622810913</v>
      </c>
      <c r="DG73" s="16">
        <f t="shared" si="385"/>
        <v>63115.484825599837</v>
      </c>
      <c r="DH73" s="16">
        <f t="shared" si="385"/>
        <v>21622.699334094348</v>
      </c>
      <c r="DI73" s="16">
        <f t="shared" si="385"/>
        <v>38555.414420982212</v>
      </c>
      <c r="DJ73" s="16">
        <f t="shared" si="385"/>
        <v>67789.589131003042</v>
      </c>
      <c r="DK73" s="16">
        <f t="shared" si="385"/>
        <v>29108.96603026686</v>
      </c>
      <c r="DL73" s="16">
        <f t="shared" si="385"/>
        <v>77646.098059195589</v>
      </c>
      <c r="DM73" s="16">
        <f t="shared" si="385"/>
        <v>89170.093891962737</v>
      </c>
      <c r="DN73" s="16">
        <f t="shared" si="385"/>
        <v>20485.265709051</v>
      </c>
      <c r="DO73" s="16">
        <f t="shared" si="385"/>
        <v>43269.213476350327</v>
      </c>
      <c r="DP73" s="16">
        <f t="shared" si="385"/>
        <v>84532.788710481997</v>
      </c>
      <c r="DQ73" s="16">
        <f t="shared" si="385"/>
        <v>36466.737313141137</v>
      </c>
      <c r="DR73" s="16">
        <f t="shared" si="386"/>
        <v>68397.891143646106</v>
      </c>
      <c r="DS73" s="16">
        <f t="shared" si="386"/>
        <v>96347.71511775977</v>
      </c>
      <c r="DT73" s="16">
        <f t="shared" si="386"/>
        <v>31893.481517789176</v>
      </c>
      <c r="DU73" s="16">
        <f t="shared" si="386"/>
        <v>56869.236270948764</v>
      </c>
      <c r="DV73" s="16">
        <f t="shared" si="386"/>
        <v>99989.643968229473</v>
      </c>
      <c r="DW73" s="16">
        <f t="shared" si="386"/>
        <v>38219.781144643624</v>
      </c>
      <c r="DX73" s="16">
        <f t="shared" si="386"/>
        <v>109812.0508873135</v>
      </c>
      <c r="DY73" s="16">
        <f t="shared" si="386"/>
        <v>126809.94474064505</v>
      </c>
      <c r="DZ73" s="16">
        <f t="shared" si="386"/>
        <v>29703.635278123958</v>
      </c>
      <c r="EA73" s="16">
        <f t="shared" si="386"/>
        <v>62740.359540707985</v>
      </c>
      <c r="EB73" s="16">
        <f t="shared" si="386"/>
        <v>122572.54363019888</v>
      </c>
      <c r="EC73" s="16">
        <f t="shared" si="386"/>
        <v>52876.769104054663</v>
      </c>
      <c r="ED73" s="16">
        <f t="shared" si="386"/>
        <v>99176.942158286867</v>
      </c>
      <c r="EE73" s="16">
        <f t="shared" si="386"/>
        <v>139704.18692075167</v>
      </c>
      <c r="EF73" s="16">
        <f t="shared" si="386"/>
        <v>46245.548200794299</v>
      </c>
      <c r="EG73" s="16">
        <f t="shared" si="386"/>
        <v>82460.392592875694</v>
      </c>
      <c r="EH73" s="16">
        <f t="shared" ref="EH73:FB78" si="424">EG72</f>
        <v>144984.98375393276</v>
      </c>
      <c r="EI73" s="16">
        <f t="shared" si="424"/>
        <v>55418.682659733255</v>
      </c>
      <c r="EJ73" s="16">
        <f t="shared" si="424"/>
        <v>159227.47378660459</v>
      </c>
      <c r="EK73" s="16">
        <f t="shared" si="424"/>
        <v>183874.41987393529</v>
      </c>
      <c r="EL73" s="16">
        <f t="shared" si="424"/>
        <v>42327.680271326644</v>
      </c>
      <c r="EM73" s="16">
        <f t="shared" si="424"/>
        <v>89405.012345508891</v>
      </c>
      <c r="EN73" s="16">
        <f t="shared" si="424"/>
        <v>174665.87467303345</v>
      </c>
      <c r="EO73" s="16">
        <f t="shared" si="424"/>
        <v>75349.395973277889</v>
      </c>
      <c r="EP73" s="16">
        <f t="shared" si="424"/>
        <v>141327.14257555877</v>
      </c>
      <c r="EQ73" s="16">
        <f t="shared" si="424"/>
        <v>199078.46636207114</v>
      </c>
      <c r="ER73" s="16">
        <f t="shared" si="424"/>
        <v>65899.906186131877</v>
      </c>
      <c r="ES73" s="16">
        <f t="shared" si="424"/>
        <v>117506.05944484788</v>
      </c>
      <c r="ET73" s="16">
        <f t="shared" si="424"/>
        <v>206603.60184935419</v>
      </c>
      <c r="EU73" s="16">
        <f t="shared" si="424"/>
        <v>78971.622790119873</v>
      </c>
      <c r="EV73" s="16">
        <f t="shared" si="424"/>
        <v>226899.15014591152</v>
      </c>
      <c r="EW73" s="16">
        <f t="shared" si="424"/>
        <v>262021.04832035783</v>
      </c>
      <c r="EX73" s="16">
        <f t="shared" si="424"/>
        <v>59258.752379857287</v>
      </c>
      <c r="EY73" s="16">
        <f t="shared" si="424"/>
        <v>125167.01728371241</v>
      </c>
      <c r="EZ73" s="16">
        <f t="shared" si="424"/>
        <v>244532.22454224678</v>
      </c>
      <c r="FA73" s="16">
        <f t="shared" si="424"/>
        <v>105489.15436258902</v>
      </c>
      <c r="FB73" s="16">
        <f t="shared" si="424"/>
        <v>197857.99960578227</v>
      </c>
      <c r="FC73" s="16"/>
      <c r="FD73" s="16"/>
      <c r="FE73" s="16"/>
      <c r="FF73" s="16"/>
      <c r="FG73" s="16"/>
      <c r="FH73" s="16"/>
      <c r="FI73" s="16"/>
      <c r="FJ73" s="16"/>
      <c r="FK73" s="16"/>
      <c r="FL73" s="16"/>
      <c r="FM73" s="16"/>
      <c r="FN73" s="16"/>
      <c r="FO73" s="16"/>
      <c r="FP73" s="16"/>
      <c r="FQ73" s="16"/>
      <c r="FR73" s="16"/>
      <c r="FS73" s="16"/>
      <c r="FT73" s="16"/>
      <c r="FU73" s="16"/>
      <c r="FV73" s="16"/>
      <c r="FW73" s="16"/>
      <c r="FX73" s="16"/>
      <c r="FY73" s="16"/>
      <c r="FZ73" s="16"/>
    </row>
    <row r="74" spans="3:182" x14ac:dyDescent="0.25">
      <c r="C74" t="s">
        <v>734</v>
      </c>
      <c r="D74" s="16">
        <f t="shared" si="344"/>
        <v>0</v>
      </c>
      <c r="E74" s="16">
        <f t="shared" si="344"/>
        <v>0</v>
      </c>
      <c r="F74" s="16">
        <f t="shared" si="344"/>
        <v>0</v>
      </c>
      <c r="G74" s="16">
        <f t="shared" si="344"/>
        <v>73551.695185073695</v>
      </c>
      <c r="H74" s="16">
        <f t="shared" si="344"/>
        <v>449296.63411773863</v>
      </c>
      <c r="I74" s="16">
        <f t="shared" si="344"/>
        <v>615928.80252493988</v>
      </c>
      <c r="J74" s="16">
        <f t="shared" si="344"/>
        <v>896233.05234406109</v>
      </c>
      <c r="K74" s="16">
        <f t="shared" si="344"/>
        <v>1292840.5932100613</v>
      </c>
      <c r="L74" s="16">
        <f t="shared" si="344"/>
        <v>1832754.1462427587</v>
      </c>
      <c r="M74" s="16"/>
      <c r="N74" s="16">
        <f t="shared" si="388"/>
        <v>0</v>
      </c>
      <c r="O74" s="16">
        <f t="shared" si="389"/>
        <v>0</v>
      </c>
      <c r="P74" s="16">
        <f t="shared" si="390"/>
        <v>0</v>
      </c>
      <c r="Q74" s="16">
        <f t="shared" si="391"/>
        <v>0</v>
      </c>
      <c r="R74" s="16">
        <f t="shared" si="392"/>
        <v>0</v>
      </c>
      <c r="S74" s="16">
        <f t="shared" si="393"/>
        <v>0</v>
      </c>
      <c r="T74" s="16">
        <f t="shared" si="394"/>
        <v>0</v>
      </c>
      <c r="U74" s="16">
        <f t="shared" si="395"/>
        <v>0</v>
      </c>
      <c r="V74" s="16">
        <f t="shared" si="396"/>
        <v>0</v>
      </c>
      <c r="W74" s="16">
        <f t="shared" si="397"/>
        <v>0</v>
      </c>
      <c r="X74" s="16">
        <f t="shared" si="398"/>
        <v>0</v>
      </c>
      <c r="Y74" s="16">
        <f t="shared" si="399"/>
        <v>0</v>
      </c>
      <c r="Z74" s="16">
        <f t="shared" si="400"/>
        <v>0</v>
      </c>
      <c r="AA74" s="16">
        <f t="shared" si="401"/>
        <v>0</v>
      </c>
      <c r="AB74" s="16">
        <f t="shared" si="402"/>
        <v>9243.6431210360988</v>
      </c>
      <c r="AC74" s="16">
        <f t="shared" si="403"/>
        <v>64308.052064037605</v>
      </c>
      <c r="AD74" s="16">
        <f t="shared" si="404"/>
        <v>89306.831683654193</v>
      </c>
      <c r="AE74" s="16">
        <f t="shared" si="405"/>
        <v>107362.54462499999</v>
      </c>
      <c r="AF74" s="16">
        <f t="shared" si="406"/>
        <v>145448.12085994985</v>
      </c>
      <c r="AG74" s="16">
        <f t="shared" si="407"/>
        <v>107179.13694913452</v>
      </c>
      <c r="AH74" s="16">
        <f t="shared" si="408"/>
        <v>128904.63578250509</v>
      </c>
      <c r="AI74" s="16">
        <f t="shared" si="409"/>
        <v>135453.96958225212</v>
      </c>
      <c r="AJ74" s="16">
        <f t="shared" si="410"/>
        <v>187301.45766020933</v>
      </c>
      <c r="AK74" s="16">
        <f t="shared" si="411"/>
        <v>164268.73949997345</v>
      </c>
      <c r="AL74" s="16">
        <f t="shared" si="412"/>
        <v>196639.08777919505</v>
      </c>
      <c r="AM74" s="16">
        <f t="shared" si="413"/>
        <v>195078.66138382186</v>
      </c>
      <c r="AN74" s="16">
        <f t="shared" si="414"/>
        <v>266325.63090608252</v>
      </c>
      <c r="AO74" s="16">
        <f t="shared" si="415"/>
        <v>238189.67227496154</v>
      </c>
      <c r="AP74" s="16">
        <f t="shared" si="416"/>
        <v>285126.67727983283</v>
      </c>
      <c r="AQ74" s="16">
        <f t="shared" si="417"/>
        <v>282864.05900654173</v>
      </c>
      <c r="AR74" s="16">
        <f t="shared" si="418"/>
        <v>385429.5739318665</v>
      </c>
      <c r="AS74" s="16">
        <f t="shared" si="419"/>
        <v>339420.28299182025</v>
      </c>
      <c r="AT74" s="16">
        <f t="shared" si="420"/>
        <v>406305.51512376178</v>
      </c>
      <c r="AU74" s="16">
        <f t="shared" si="421"/>
        <v>403081.28408432193</v>
      </c>
      <c r="AV74" s="16">
        <f t="shared" si="422"/>
        <v>548178.95084612665</v>
      </c>
      <c r="AW74" s="16">
        <f t="shared" si="423"/>
        <v>475188.39618854818</v>
      </c>
      <c r="CI74" s="16"/>
      <c r="CJ74" s="16"/>
      <c r="CK74" s="16"/>
      <c r="CL74" s="16"/>
      <c r="CM74" s="16"/>
      <c r="CN74" s="16"/>
      <c r="CO74" s="16"/>
      <c r="CP74" s="16"/>
      <c r="CQ74" s="16">
        <f>CP73</f>
        <v>9243.6431210360988</v>
      </c>
      <c r="CR74" s="16">
        <f>CQ73</f>
        <v>14165.760214544398</v>
      </c>
      <c r="CS74" s="16">
        <f t="shared" si="384"/>
        <v>33723.055415309405</v>
      </c>
      <c r="CT74" s="16">
        <f t="shared" si="384"/>
        <v>16419.2364341838</v>
      </c>
      <c r="CU74" s="16">
        <f t="shared" si="384"/>
        <v>26622.431664670799</v>
      </c>
      <c r="CV74" s="16">
        <f t="shared" si="384"/>
        <v>46337.128518983394</v>
      </c>
      <c r="CW74" s="16">
        <f t="shared" si="384"/>
        <v>16347.271500000001</v>
      </c>
      <c r="CX74" s="16">
        <f t="shared" si="384"/>
        <v>38143.633500000004</v>
      </c>
      <c r="CY74" s="16">
        <f t="shared" si="384"/>
        <v>54490.904999999999</v>
      </c>
      <c r="CZ74" s="16">
        <f t="shared" si="384"/>
        <v>14728.006125</v>
      </c>
      <c r="DA74" s="16">
        <f t="shared" si="384"/>
        <v>58912.0245</v>
      </c>
      <c r="DB74" s="16">
        <f t="shared" si="385"/>
        <v>73640.030624999999</v>
      </c>
      <c r="DC74" s="16">
        <f t="shared" si="385"/>
        <v>12896.065734949832</v>
      </c>
      <c r="DD74" s="16">
        <f t="shared" si="385"/>
        <v>28342.809983966323</v>
      </c>
      <c r="DE74" s="16">
        <f t="shared" si="385"/>
        <v>56318.115227445407</v>
      </c>
      <c r="DF74" s="16">
        <f t="shared" si="385"/>
        <v>22518.211737722806</v>
      </c>
      <c r="DG74" s="16">
        <f t="shared" si="385"/>
        <v>44166.451622810913</v>
      </c>
      <c r="DH74" s="16">
        <f t="shared" si="385"/>
        <v>63115.484825599837</v>
      </c>
      <c r="DI74" s="16">
        <f t="shared" si="385"/>
        <v>21622.699334094348</v>
      </c>
      <c r="DJ74" s="16">
        <f t="shared" si="385"/>
        <v>38555.414420982212</v>
      </c>
      <c r="DK74" s="16">
        <f t="shared" si="385"/>
        <v>67789.589131003042</v>
      </c>
      <c r="DL74" s="16">
        <f t="shared" si="385"/>
        <v>29108.96603026686</v>
      </c>
      <c r="DM74" s="16">
        <f t="shared" si="385"/>
        <v>77646.098059195589</v>
      </c>
      <c r="DN74" s="16">
        <f t="shared" si="385"/>
        <v>89170.093891962737</v>
      </c>
      <c r="DO74" s="16">
        <f t="shared" si="385"/>
        <v>20485.265709051</v>
      </c>
      <c r="DP74" s="16">
        <f t="shared" si="385"/>
        <v>43269.213476350327</v>
      </c>
      <c r="DQ74" s="16">
        <f t="shared" si="385"/>
        <v>84532.788710481997</v>
      </c>
      <c r="DR74" s="16">
        <f t="shared" si="386"/>
        <v>36466.737313141137</v>
      </c>
      <c r="DS74" s="16">
        <f t="shared" si="386"/>
        <v>68397.891143646106</v>
      </c>
      <c r="DT74" s="16">
        <f t="shared" si="386"/>
        <v>96347.71511775977</v>
      </c>
      <c r="DU74" s="16">
        <f t="shared" si="386"/>
        <v>31893.481517789176</v>
      </c>
      <c r="DV74" s="16">
        <f t="shared" si="386"/>
        <v>56869.236270948764</v>
      </c>
      <c r="DW74" s="16">
        <f t="shared" si="386"/>
        <v>99989.643968229473</v>
      </c>
      <c r="DX74" s="16">
        <f t="shared" si="386"/>
        <v>38219.781144643624</v>
      </c>
      <c r="DY74" s="16">
        <f t="shared" si="386"/>
        <v>109812.0508873135</v>
      </c>
      <c r="DZ74" s="16">
        <f t="shared" si="386"/>
        <v>126809.94474064505</v>
      </c>
      <c r="EA74" s="16">
        <f t="shared" si="386"/>
        <v>29703.635278123958</v>
      </c>
      <c r="EB74" s="16">
        <f t="shared" si="386"/>
        <v>62740.359540707985</v>
      </c>
      <c r="EC74" s="16">
        <f t="shared" si="386"/>
        <v>122572.54363019888</v>
      </c>
      <c r="ED74" s="16">
        <f t="shared" si="386"/>
        <v>52876.769104054663</v>
      </c>
      <c r="EE74" s="16">
        <f t="shared" si="386"/>
        <v>99176.942158286867</v>
      </c>
      <c r="EF74" s="16">
        <f t="shared" si="386"/>
        <v>139704.18692075167</v>
      </c>
      <c r="EG74" s="16">
        <f t="shared" si="386"/>
        <v>46245.548200794299</v>
      </c>
      <c r="EH74" s="16">
        <f t="shared" si="424"/>
        <v>82460.392592875694</v>
      </c>
      <c r="EI74" s="16">
        <f t="shared" si="424"/>
        <v>144984.98375393276</v>
      </c>
      <c r="EJ74" s="16">
        <f t="shared" si="424"/>
        <v>55418.682659733255</v>
      </c>
      <c r="EK74" s="16">
        <f t="shared" si="424"/>
        <v>159227.47378660459</v>
      </c>
      <c r="EL74" s="16">
        <f t="shared" si="424"/>
        <v>183874.41987393529</v>
      </c>
      <c r="EM74" s="16">
        <f t="shared" si="424"/>
        <v>42327.680271326644</v>
      </c>
      <c r="EN74" s="16">
        <f t="shared" si="424"/>
        <v>89405.012345508891</v>
      </c>
      <c r="EO74" s="16">
        <f t="shared" si="424"/>
        <v>174665.87467303345</v>
      </c>
      <c r="EP74" s="16">
        <f t="shared" si="424"/>
        <v>75349.395973277889</v>
      </c>
      <c r="EQ74" s="16">
        <f t="shared" si="424"/>
        <v>141327.14257555877</v>
      </c>
      <c r="ER74" s="16">
        <f t="shared" si="424"/>
        <v>199078.46636207114</v>
      </c>
      <c r="ES74" s="16">
        <f t="shared" si="424"/>
        <v>65899.906186131877</v>
      </c>
      <c r="ET74" s="16">
        <f t="shared" si="424"/>
        <v>117506.05944484788</v>
      </c>
      <c r="EU74" s="16">
        <f t="shared" si="424"/>
        <v>206603.60184935419</v>
      </c>
      <c r="EV74" s="16">
        <f t="shared" si="424"/>
        <v>78971.622790119873</v>
      </c>
      <c r="EW74" s="16">
        <f t="shared" si="424"/>
        <v>226899.15014591152</v>
      </c>
      <c r="EX74" s="16">
        <f t="shared" si="424"/>
        <v>262021.04832035783</v>
      </c>
      <c r="EY74" s="16">
        <f t="shared" si="424"/>
        <v>59258.752379857287</v>
      </c>
      <c r="EZ74" s="16">
        <f t="shared" si="424"/>
        <v>125167.01728371241</v>
      </c>
      <c r="FA74" s="16">
        <f t="shared" si="424"/>
        <v>244532.22454224678</v>
      </c>
      <c r="FB74" s="16">
        <f t="shared" si="424"/>
        <v>105489.15436258902</v>
      </c>
      <c r="FC74" s="16"/>
      <c r="FD74" s="16"/>
      <c r="FE74" s="16"/>
      <c r="FF74" s="16"/>
      <c r="FG74" s="16"/>
      <c r="FH74" s="16"/>
      <c r="FI74" s="16"/>
      <c r="FJ74" s="16"/>
      <c r="FK74" s="16"/>
      <c r="FL74" s="16"/>
      <c r="FM74" s="16"/>
      <c r="FN74" s="16"/>
      <c r="FO74" s="16"/>
      <c r="FP74" s="16"/>
      <c r="FQ74" s="16"/>
      <c r="FR74" s="16"/>
      <c r="FS74" s="16"/>
      <c r="FT74" s="16"/>
      <c r="FU74" s="16"/>
      <c r="FV74" s="16"/>
      <c r="FW74" s="16"/>
      <c r="FX74" s="16"/>
      <c r="FY74" s="16"/>
      <c r="FZ74" s="16"/>
    </row>
    <row r="75" spans="3:182" x14ac:dyDescent="0.25">
      <c r="C75" t="s">
        <v>735</v>
      </c>
      <c r="D75" s="16">
        <f t="shared" si="344"/>
        <v>0</v>
      </c>
      <c r="E75" s="16">
        <f t="shared" si="344"/>
        <v>0</v>
      </c>
      <c r="F75" s="16">
        <f t="shared" si="344"/>
        <v>0</v>
      </c>
      <c r="G75" s="16">
        <f t="shared" si="344"/>
        <v>57132.458750889899</v>
      </c>
      <c r="H75" s="16">
        <f t="shared" si="344"/>
        <v>443197.65881419962</v>
      </c>
      <c r="I75" s="16">
        <f t="shared" si="344"/>
        <v>601980.2769495215</v>
      </c>
      <c r="J75" s="16">
        <f t="shared" si="344"/>
        <v>879823.02055314742</v>
      </c>
      <c r="K75" s="16">
        <f t="shared" si="344"/>
        <v>1270367.966340838</v>
      </c>
      <c r="L75" s="16">
        <f t="shared" si="344"/>
        <v>1802614.3878534478</v>
      </c>
      <c r="M75" s="16"/>
      <c r="N75" s="16">
        <f t="shared" si="388"/>
        <v>0</v>
      </c>
      <c r="O75" s="16">
        <f t="shared" si="389"/>
        <v>0</v>
      </c>
      <c r="P75" s="16">
        <f t="shared" si="390"/>
        <v>0</v>
      </c>
      <c r="Q75" s="16">
        <f t="shared" si="391"/>
        <v>0</v>
      </c>
      <c r="R75" s="16">
        <f t="shared" si="392"/>
        <v>0</v>
      </c>
      <c r="S75" s="16">
        <f t="shared" si="393"/>
        <v>0</v>
      </c>
      <c r="T75" s="16">
        <f t="shared" si="394"/>
        <v>0</v>
      </c>
      <c r="U75" s="16">
        <f t="shared" si="395"/>
        <v>0</v>
      </c>
      <c r="V75" s="16">
        <f t="shared" si="396"/>
        <v>0</v>
      </c>
      <c r="W75" s="16">
        <f t="shared" si="397"/>
        <v>0</v>
      </c>
      <c r="X75" s="16">
        <f t="shared" si="398"/>
        <v>0</v>
      </c>
      <c r="Y75" s="16">
        <f t="shared" si="399"/>
        <v>0</v>
      </c>
      <c r="Z75" s="16">
        <f t="shared" si="400"/>
        <v>0</v>
      </c>
      <c r="AA75" s="16">
        <f t="shared" si="401"/>
        <v>0</v>
      </c>
      <c r="AB75" s="16">
        <f t="shared" si="402"/>
        <v>0</v>
      </c>
      <c r="AC75" s="16">
        <f t="shared" si="403"/>
        <v>57132.458750889899</v>
      </c>
      <c r="AD75" s="16">
        <f t="shared" si="404"/>
        <v>89378.796617838001</v>
      </c>
      <c r="AE75" s="16">
        <f t="shared" si="405"/>
        <v>108981.81</v>
      </c>
      <c r="AF75" s="16">
        <f t="shared" si="406"/>
        <v>147280.06125</v>
      </c>
      <c r="AG75" s="16">
        <f t="shared" si="407"/>
        <v>97556.990946361562</v>
      </c>
      <c r="AH75" s="16">
        <f t="shared" si="408"/>
        <v>129800.14818613355</v>
      </c>
      <c r="AI75" s="16">
        <f t="shared" si="409"/>
        <v>127967.7028860796</v>
      </c>
      <c r="AJ75" s="16">
        <f t="shared" si="410"/>
        <v>195925.15798142517</v>
      </c>
      <c r="AK75" s="16">
        <f t="shared" si="411"/>
        <v>148287.26789588333</v>
      </c>
      <c r="AL75" s="16">
        <f t="shared" si="412"/>
        <v>201212.34357454701</v>
      </c>
      <c r="AM75" s="16">
        <f t="shared" si="413"/>
        <v>188752.36175696741</v>
      </c>
      <c r="AN75" s="16">
        <f t="shared" si="414"/>
        <v>274841.77677260217</v>
      </c>
      <c r="AO75" s="16">
        <f t="shared" si="415"/>
        <v>215016.53844903084</v>
      </c>
      <c r="AP75" s="16">
        <f t="shared" si="416"/>
        <v>291757.89818309317</v>
      </c>
      <c r="AQ75" s="16">
        <f t="shared" si="417"/>
        <v>273690.92454760277</v>
      </c>
      <c r="AR75" s="16">
        <f t="shared" si="418"/>
        <v>398520.5763202731</v>
      </c>
      <c r="AS75" s="16">
        <f t="shared" si="419"/>
        <v>306398.56728986895</v>
      </c>
      <c r="AT75" s="16">
        <f t="shared" si="420"/>
        <v>415755.00491090782</v>
      </c>
      <c r="AU75" s="16">
        <f t="shared" si="421"/>
        <v>390009.56748033396</v>
      </c>
      <c r="AV75" s="16">
        <f t="shared" si="422"/>
        <v>567891.82125638926</v>
      </c>
      <c r="AW75" s="16">
        <f t="shared" si="423"/>
        <v>428957.99420581647</v>
      </c>
      <c r="CI75" s="16"/>
      <c r="CJ75" s="16"/>
      <c r="CK75" s="16"/>
      <c r="CL75" s="16"/>
      <c r="CM75" s="16"/>
      <c r="CN75" s="16"/>
      <c r="CO75" s="16"/>
      <c r="CP75" s="16"/>
      <c r="CQ75" s="16"/>
      <c r="CR75" s="16">
        <f>CQ74</f>
        <v>9243.6431210360988</v>
      </c>
      <c r="CS75" s="16">
        <f t="shared" si="384"/>
        <v>14165.760214544398</v>
      </c>
      <c r="CT75" s="16">
        <f t="shared" si="384"/>
        <v>33723.055415309405</v>
      </c>
      <c r="CU75" s="16">
        <f t="shared" si="384"/>
        <v>16419.2364341838</v>
      </c>
      <c r="CV75" s="16">
        <f t="shared" si="384"/>
        <v>26622.431664670799</v>
      </c>
      <c r="CW75" s="16">
        <f t="shared" si="384"/>
        <v>46337.128518983394</v>
      </c>
      <c r="CX75" s="16">
        <f t="shared" si="384"/>
        <v>16347.271500000001</v>
      </c>
      <c r="CY75" s="16">
        <f t="shared" si="384"/>
        <v>38143.633500000004</v>
      </c>
      <c r="CZ75" s="16">
        <f t="shared" si="384"/>
        <v>54490.904999999999</v>
      </c>
      <c r="DA75" s="16">
        <f t="shared" si="384"/>
        <v>14728.006125</v>
      </c>
      <c r="DB75" s="16">
        <f t="shared" si="385"/>
        <v>58912.0245</v>
      </c>
      <c r="DC75" s="16">
        <f t="shared" si="385"/>
        <v>73640.030624999999</v>
      </c>
      <c r="DD75" s="16">
        <f t="shared" si="385"/>
        <v>12896.065734949832</v>
      </c>
      <c r="DE75" s="16">
        <f t="shared" si="385"/>
        <v>28342.809983966323</v>
      </c>
      <c r="DF75" s="16">
        <f t="shared" si="385"/>
        <v>56318.115227445407</v>
      </c>
      <c r="DG75" s="16">
        <f t="shared" si="385"/>
        <v>22518.211737722806</v>
      </c>
      <c r="DH75" s="16">
        <f t="shared" si="385"/>
        <v>44166.451622810913</v>
      </c>
      <c r="DI75" s="16">
        <f t="shared" si="385"/>
        <v>63115.484825599837</v>
      </c>
      <c r="DJ75" s="16">
        <f t="shared" si="385"/>
        <v>21622.699334094348</v>
      </c>
      <c r="DK75" s="16">
        <f t="shared" si="385"/>
        <v>38555.414420982212</v>
      </c>
      <c r="DL75" s="16">
        <f t="shared" si="385"/>
        <v>67789.589131003042</v>
      </c>
      <c r="DM75" s="16">
        <f t="shared" si="385"/>
        <v>29108.96603026686</v>
      </c>
      <c r="DN75" s="16">
        <f t="shared" si="385"/>
        <v>77646.098059195589</v>
      </c>
      <c r="DO75" s="16">
        <f t="shared" si="385"/>
        <v>89170.093891962737</v>
      </c>
      <c r="DP75" s="16">
        <f t="shared" si="385"/>
        <v>20485.265709051</v>
      </c>
      <c r="DQ75" s="16">
        <f t="shared" si="385"/>
        <v>43269.213476350327</v>
      </c>
      <c r="DR75" s="16">
        <f t="shared" si="386"/>
        <v>84532.788710481997</v>
      </c>
      <c r="DS75" s="16">
        <f t="shared" si="386"/>
        <v>36466.737313141137</v>
      </c>
      <c r="DT75" s="16">
        <f t="shared" si="386"/>
        <v>68397.891143646106</v>
      </c>
      <c r="DU75" s="16">
        <f t="shared" si="386"/>
        <v>96347.71511775977</v>
      </c>
      <c r="DV75" s="16">
        <f t="shared" si="386"/>
        <v>31893.481517789176</v>
      </c>
      <c r="DW75" s="16">
        <f t="shared" si="386"/>
        <v>56869.236270948764</v>
      </c>
      <c r="DX75" s="16">
        <f t="shared" si="386"/>
        <v>99989.643968229473</v>
      </c>
      <c r="DY75" s="16">
        <f t="shared" si="386"/>
        <v>38219.781144643624</v>
      </c>
      <c r="DZ75" s="16">
        <f t="shared" si="386"/>
        <v>109812.0508873135</v>
      </c>
      <c r="EA75" s="16">
        <f t="shared" si="386"/>
        <v>126809.94474064505</v>
      </c>
      <c r="EB75" s="16">
        <f t="shared" si="386"/>
        <v>29703.635278123958</v>
      </c>
      <c r="EC75" s="16">
        <f t="shared" si="386"/>
        <v>62740.359540707985</v>
      </c>
      <c r="ED75" s="16">
        <f t="shared" si="386"/>
        <v>122572.54363019888</v>
      </c>
      <c r="EE75" s="16">
        <f t="shared" si="386"/>
        <v>52876.769104054663</v>
      </c>
      <c r="EF75" s="16">
        <f t="shared" si="386"/>
        <v>99176.942158286867</v>
      </c>
      <c r="EG75" s="16">
        <f t="shared" si="386"/>
        <v>139704.18692075167</v>
      </c>
      <c r="EH75" s="16">
        <f t="shared" si="424"/>
        <v>46245.548200794299</v>
      </c>
      <c r="EI75" s="16">
        <f t="shared" si="424"/>
        <v>82460.392592875694</v>
      </c>
      <c r="EJ75" s="16">
        <f t="shared" si="424"/>
        <v>144984.98375393276</v>
      </c>
      <c r="EK75" s="16">
        <f t="shared" si="424"/>
        <v>55418.682659733255</v>
      </c>
      <c r="EL75" s="16">
        <f t="shared" si="424"/>
        <v>159227.47378660459</v>
      </c>
      <c r="EM75" s="16">
        <f t="shared" si="424"/>
        <v>183874.41987393529</v>
      </c>
      <c r="EN75" s="16">
        <f t="shared" si="424"/>
        <v>42327.680271326644</v>
      </c>
      <c r="EO75" s="16">
        <f t="shared" si="424"/>
        <v>89405.012345508891</v>
      </c>
      <c r="EP75" s="16">
        <f t="shared" si="424"/>
        <v>174665.87467303345</v>
      </c>
      <c r="EQ75" s="16">
        <f t="shared" si="424"/>
        <v>75349.395973277889</v>
      </c>
      <c r="ER75" s="16">
        <f t="shared" si="424"/>
        <v>141327.14257555877</v>
      </c>
      <c r="ES75" s="16">
        <f t="shared" si="424"/>
        <v>199078.46636207114</v>
      </c>
      <c r="ET75" s="16">
        <f t="shared" si="424"/>
        <v>65899.906186131877</v>
      </c>
      <c r="EU75" s="16">
        <f t="shared" si="424"/>
        <v>117506.05944484788</v>
      </c>
      <c r="EV75" s="16">
        <f t="shared" si="424"/>
        <v>206603.60184935419</v>
      </c>
      <c r="EW75" s="16">
        <f t="shared" si="424"/>
        <v>78971.622790119873</v>
      </c>
      <c r="EX75" s="16">
        <f t="shared" si="424"/>
        <v>226899.15014591152</v>
      </c>
      <c r="EY75" s="16">
        <f t="shared" si="424"/>
        <v>262021.04832035783</v>
      </c>
      <c r="EZ75" s="16">
        <f t="shared" si="424"/>
        <v>59258.752379857287</v>
      </c>
      <c r="FA75" s="16">
        <f t="shared" si="424"/>
        <v>125167.01728371241</v>
      </c>
      <c r="FB75" s="16">
        <f t="shared" si="424"/>
        <v>244532.22454224678</v>
      </c>
      <c r="FC75" s="16"/>
      <c r="FD75" s="16"/>
      <c r="FE75" s="16"/>
      <c r="FF75" s="16"/>
      <c r="FG75" s="16"/>
      <c r="FH75" s="16"/>
      <c r="FI75" s="16"/>
      <c r="FJ75" s="16"/>
      <c r="FK75" s="16"/>
      <c r="FL75" s="16"/>
      <c r="FM75" s="16"/>
      <c r="FN75" s="16"/>
      <c r="FO75" s="16"/>
      <c r="FP75" s="16"/>
      <c r="FQ75" s="16"/>
      <c r="FR75" s="16"/>
      <c r="FS75" s="16"/>
      <c r="FT75" s="16"/>
      <c r="FU75" s="16"/>
      <c r="FV75" s="16"/>
      <c r="FW75" s="16"/>
      <c r="FX75" s="16"/>
      <c r="FY75" s="16"/>
      <c r="FZ75" s="16"/>
    </row>
    <row r="76" spans="3:182" x14ac:dyDescent="0.25">
      <c r="C76" t="s">
        <v>736</v>
      </c>
      <c r="D76" s="16">
        <f t="shared" si="344"/>
        <v>0</v>
      </c>
      <c r="E76" s="16">
        <f t="shared" si="344"/>
        <v>0</v>
      </c>
      <c r="F76" s="16">
        <f t="shared" si="344"/>
        <v>0</v>
      </c>
      <c r="G76" s="16">
        <f t="shared" si="344"/>
        <v>23409.403335580497</v>
      </c>
      <c r="H76" s="16">
        <f t="shared" si="344"/>
        <v>420602.59900206362</v>
      </c>
      <c r="I76" s="16">
        <f t="shared" si="344"/>
        <v>573765.60346648504</v>
      </c>
      <c r="J76" s="16">
        <f t="shared" si="344"/>
        <v>841783.26563343056</v>
      </c>
      <c r="K76" s="16">
        <f t="shared" si="344"/>
        <v>1218274.6352980034</v>
      </c>
      <c r="L76" s="16">
        <f t="shared" si="344"/>
        <v>1732748.0379842343</v>
      </c>
      <c r="M76" s="16"/>
      <c r="N76" s="16">
        <f t="shared" si="388"/>
        <v>0</v>
      </c>
      <c r="O76" s="16">
        <f t="shared" si="389"/>
        <v>0</v>
      </c>
      <c r="P76" s="16">
        <f t="shared" si="390"/>
        <v>0</v>
      </c>
      <c r="Q76" s="16">
        <f t="shared" si="391"/>
        <v>0</v>
      </c>
      <c r="R76" s="16">
        <f t="shared" si="392"/>
        <v>0</v>
      </c>
      <c r="S76" s="16">
        <f t="shared" si="393"/>
        <v>0</v>
      </c>
      <c r="T76" s="16">
        <f t="shared" si="394"/>
        <v>0</v>
      </c>
      <c r="U76" s="16">
        <f t="shared" si="395"/>
        <v>0</v>
      </c>
      <c r="V76" s="16">
        <f t="shared" si="396"/>
        <v>0</v>
      </c>
      <c r="W76" s="16">
        <f t="shared" si="397"/>
        <v>0</v>
      </c>
      <c r="X76" s="16">
        <f t="shared" si="398"/>
        <v>0</v>
      </c>
      <c r="Y76" s="16">
        <f t="shared" si="399"/>
        <v>0</v>
      </c>
      <c r="Z76" s="16">
        <f t="shared" si="400"/>
        <v>0</v>
      </c>
      <c r="AA76" s="16">
        <f t="shared" si="401"/>
        <v>0</v>
      </c>
      <c r="AB76" s="16">
        <f t="shared" si="402"/>
        <v>0</v>
      </c>
      <c r="AC76" s="16">
        <f t="shared" si="403"/>
        <v>23409.403335580497</v>
      </c>
      <c r="AD76" s="16">
        <f t="shared" si="404"/>
        <v>76764.723514164012</v>
      </c>
      <c r="AE76" s="16">
        <f t="shared" si="405"/>
        <v>100828.0335189834</v>
      </c>
      <c r="AF76" s="16">
        <f t="shared" si="406"/>
        <v>128130.935625</v>
      </c>
      <c r="AG76" s="16">
        <f t="shared" si="407"/>
        <v>114878.90634391615</v>
      </c>
      <c r="AH76" s="16">
        <f t="shared" si="408"/>
        <v>123002.77858797912</v>
      </c>
      <c r="AI76" s="16">
        <f t="shared" si="409"/>
        <v>123293.59858067639</v>
      </c>
      <c r="AJ76" s="16">
        <f t="shared" si="410"/>
        <v>174544.65322046549</v>
      </c>
      <c r="AK76" s="16">
        <f t="shared" si="411"/>
        <v>152924.57307736407</v>
      </c>
      <c r="AL76" s="16">
        <f t="shared" si="412"/>
        <v>189397.41716726922</v>
      </c>
      <c r="AM76" s="16">
        <f t="shared" si="413"/>
        <v>185110.43290649771</v>
      </c>
      <c r="AN76" s="16">
        <f t="shared" si="414"/>
        <v>248021.47600018658</v>
      </c>
      <c r="AO76" s="16">
        <f t="shared" si="415"/>
        <v>219253.939559477</v>
      </c>
      <c r="AP76" s="16">
        <f t="shared" si="416"/>
        <v>274626.2548925404</v>
      </c>
      <c r="AQ76" s="16">
        <f t="shared" si="417"/>
        <v>268410.12771442166</v>
      </c>
      <c r="AR76" s="16">
        <f t="shared" si="418"/>
        <v>359631.14020027057</v>
      </c>
      <c r="AS76" s="16">
        <f t="shared" si="419"/>
        <v>315607.11249077081</v>
      </c>
      <c r="AT76" s="16">
        <f t="shared" si="420"/>
        <v>391342.41322187008</v>
      </c>
      <c r="AU76" s="16">
        <f t="shared" si="421"/>
        <v>382484.43199305085</v>
      </c>
      <c r="AV76" s="16">
        <f t="shared" si="422"/>
        <v>512474.37478538556</v>
      </c>
      <c r="AW76" s="16">
        <f t="shared" si="423"/>
        <v>446446.8179839275</v>
      </c>
      <c r="CI76" s="16"/>
      <c r="CJ76" s="16"/>
      <c r="CK76" s="16"/>
      <c r="CL76" s="16"/>
      <c r="CM76" s="16"/>
      <c r="CN76" s="16"/>
      <c r="CO76" s="16"/>
      <c r="CP76" s="16"/>
      <c r="CQ76" s="16"/>
      <c r="CR76" s="16"/>
      <c r="CS76" s="16">
        <f>CR75</f>
        <v>9243.6431210360988</v>
      </c>
      <c r="CT76" s="16">
        <f t="shared" si="384"/>
        <v>14165.760214544398</v>
      </c>
      <c r="CU76" s="16">
        <f t="shared" si="384"/>
        <v>33723.055415309405</v>
      </c>
      <c r="CV76" s="16">
        <f t="shared" si="384"/>
        <v>16419.2364341838</v>
      </c>
      <c r="CW76" s="16">
        <f t="shared" si="384"/>
        <v>26622.431664670799</v>
      </c>
      <c r="CX76" s="16">
        <f t="shared" si="384"/>
        <v>46337.128518983394</v>
      </c>
      <c r="CY76" s="16">
        <f t="shared" si="384"/>
        <v>16347.271500000001</v>
      </c>
      <c r="CZ76" s="16">
        <f t="shared" si="384"/>
        <v>38143.633500000004</v>
      </c>
      <c r="DA76" s="16">
        <f t="shared" si="384"/>
        <v>54490.904999999999</v>
      </c>
      <c r="DB76" s="16">
        <f t="shared" si="385"/>
        <v>14728.006125</v>
      </c>
      <c r="DC76" s="16">
        <f t="shared" si="385"/>
        <v>58912.0245</v>
      </c>
      <c r="DD76" s="16">
        <f t="shared" si="385"/>
        <v>73640.030624999999</v>
      </c>
      <c r="DE76" s="16">
        <f t="shared" si="385"/>
        <v>12896.065734949832</v>
      </c>
      <c r="DF76" s="16">
        <f t="shared" si="385"/>
        <v>28342.809983966323</v>
      </c>
      <c r="DG76" s="16">
        <f t="shared" si="385"/>
        <v>56318.115227445407</v>
      </c>
      <c r="DH76" s="16">
        <f t="shared" si="385"/>
        <v>22518.211737722806</v>
      </c>
      <c r="DI76" s="16">
        <f t="shared" si="385"/>
        <v>44166.451622810913</v>
      </c>
      <c r="DJ76" s="16">
        <f t="shared" si="385"/>
        <v>63115.484825599837</v>
      </c>
      <c r="DK76" s="16">
        <f t="shared" si="385"/>
        <v>21622.699334094348</v>
      </c>
      <c r="DL76" s="16">
        <f t="shared" si="385"/>
        <v>38555.414420982212</v>
      </c>
      <c r="DM76" s="16">
        <f t="shared" si="385"/>
        <v>67789.589131003042</v>
      </c>
      <c r="DN76" s="16">
        <f t="shared" si="385"/>
        <v>29108.96603026686</v>
      </c>
      <c r="DO76" s="16">
        <f t="shared" si="385"/>
        <v>77646.098059195589</v>
      </c>
      <c r="DP76" s="16">
        <f t="shared" si="385"/>
        <v>89170.093891962737</v>
      </c>
      <c r="DQ76" s="16">
        <f t="shared" si="385"/>
        <v>20485.265709051</v>
      </c>
      <c r="DR76" s="16">
        <f t="shared" si="386"/>
        <v>43269.213476350327</v>
      </c>
      <c r="DS76" s="16">
        <f t="shared" si="386"/>
        <v>84532.788710481997</v>
      </c>
      <c r="DT76" s="16">
        <f t="shared" si="386"/>
        <v>36466.737313141137</v>
      </c>
      <c r="DU76" s="16">
        <f t="shared" si="386"/>
        <v>68397.891143646106</v>
      </c>
      <c r="DV76" s="16">
        <f t="shared" si="386"/>
        <v>96347.71511775977</v>
      </c>
      <c r="DW76" s="16">
        <f t="shared" si="386"/>
        <v>31893.481517789176</v>
      </c>
      <c r="DX76" s="16">
        <f t="shared" si="386"/>
        <v>56869.236270948764</v>
      </c>
      <c r="DY76" s="16">
        <f t="shared" si="386"/>
        <v>99989.643968229473</v>
      </c>
      <c r="DZ76" s="16">
        <f t="shared" si="386"/>
        <v>38219.781144643624</v>
      </c>
      <c r="EA76" s="16">
        <f t="shared" si="386"/>
        <v>109812.0508873135</v>
      </c>
      <c r="EB76" s="16">
        <f t="shared" si="386"/>
        <v>126809.94474064505</v>
      </c>
      <c r="EC76" s="16">
        <f t="shared" si="386"/>
        <v>29703.635278123958</v>
      </c>
      <c r="ED76" s="16">
        <f t="shared" si="386"/>
        <v>62740.359540707985</v>
      </c>
      <c r="EE76" s="16">
        <f t="shared" si="386"/>
        <v>122572.54363019888</v>
      </c>
      <c r="EF76" s="16">
        <f t="shared" si="386"/>
        <v>52876.769104054663</v>
      </c>
      <c r="EG76" s="16">
        <f t="shared" si="386"/>
        <v>99176.942158286867</v>
      </c>
      <c r="EH76" s="16">
        <f t="shared" si="424"/>
        <v>139704.18692075167</v>
      </c>
      <c r="EI76" s="16">
        <f t="shared" si="424"/>
        <v>46245.548200794299</v>
      </c>
      <c r="EJ76" s="16">
        <f t="shared" si="424"/>
        <v>82460.392592875694</v>
      </c>
      <c r="EK76" s="16">
        <f t="shared" si="424"/>
        <v>144984.98375393276</v>
      </c>
      <c r="EL76" s="16">
        <f t="shared" si="424"/>
        <v>55418.682659733255</v>
      </c>
      <c r="EM76" s="16">
        <f t="shared" si="424"/>
        <v>159227.47378660459</v>
      </c>
      <c r="EN76" s="16">
        <f t="shared" si="424"/>
        <v>183874.41987393529</v>
      </c>
      <c r="EO76" s="16">
        <f t="shared" si="424"/>
        <v>42327.680271326644</v>
      </c>
      <c r="EP76" s="16">
        <f t="shared" si="424"/>
        <v>89405.012345508891</v>
      </c>
      <c r="EQ76" s="16">
        <f t="shared" si="424"/>
        <v>174665.87467303345</v>
      </c>
      <c r="ER76" s="16">
        <f t="shared" si="424"/>
        <v>75349.395973277889</v>
      </c>
      <c r="ES76" s="16">
        <f t="shared" si="424"/>
        <v>141327.14257555877</v>
      </c>
      <c r="ET76" s="16">
        <f t="shared" si="424"/>
        <v>199078.46636207114</v>
      </c>
      <c r="EU76" s="16">
        <f t="shared" si="424"/>
        <v>65899.906186131877</v>
      </c>
      <c r="EV76" s="16">
        <f t="shared" si="424"/>
        <v>117506.05944484788</v>
      </c>
      <c r="EW76" s="16">
        <f t="shared" si="424"/>
        <v>206603.60184935419</v>
      </c>
      <c r="EX76" s="16">
        <f t="shared" si="424"/>
        <v>78971.622790119873</v>
      </c>
      <c r="EY76" s="16">
        <f t="shared" si="424"/>
        <v>226899.15014591152</v>
      </c>
      <c r="EZ76" s="16">
        <f t="shared" si="424"/>
        <v>262021.04832035783</v>
      </c>
      <c r="FA76" s="16">
        <f t="shared" si="424"/>
        <v>59258.752379857287</v>
      </c>
      <c r="FB76" s="16">
        <f t="shared" si="424"/>
        <v>125167.01728371241</v>
      </c>
      <c r="FC76" s="16"/>
      <c r="FD76" s="16"/>
      <c r="FE76" s="16"/>
      <c r="FF76" s="16"/>
      <c r="FG76" s="16"/>
      <c r="FH76" s="16"/>
      <c r="FI76" s="16"/>
      <c r="FJ76" s="16"/>
      <c r="FK76" s="16"/>
      <c r="FL76" s="16"/>
      <c r="FM76" s="16"/>
      <c r="FN76" s="16"/>
      <c r="FO76" s="16"/>
      <c r="FP76" s="16"/>
      <c r="FQ76" s="16"/>
      <c r="FR76" s="16"/>
      <c r="FS76" s="16"/>
      <c r="FT76" s="16"/>
      <c r="FU76" s="16"/>
      <c r="FV76" s="16"/>
      <c r="FW76" s="16"/>
      <c r="FX76" s="16"/>
      <c r="FY76" s="16"/>
      <c r="FZ76" s="16"/>
    </row>
    <row r="77" spans="3:182" x14ac:dyDescent="0.25">
      <c r="C77" t="s">
        <v>737</v>
      </c>
      <c r="D77" s="16">
        <f t="shared" si="344"/>
        <v>0</v>
      </c>
      <c r="E77" s="16">
        <f t="shared" si="344"/>
        <v>0</v>
      </c>
      <c r="F77" s="16">
        <f t="shared" si="344"/>
        <v>0</v>
      </c>
      <c r="G77" s="16">
        <f t="shared" si="344"/>
        <v>9243.6431210360988</v>
      </c>
      <c r="H77" s="16">
        <f t="shared" si="344"/>
        <v>406425.54923264164</v>
      </c>
      <c r="I77" s="16">
        <f t="shared" si="344"/>
        <v>558839.19997410104</v>
      </c>
      <c r="J77" s="16">
        <f t="shared" si="344"/>
        <v>822312.11956907297</v>
      </c>
      <c r="K77" s="16">
        <f t="shared" si="344"/>
        <v>1191609.9824932027</v>
      </c>
      <c r="L77" s="16">
        <f t="shared" si="344"/>
        <v>1696986.0330460307</v>
      </c>
      <c r="M77" s="16"/>
      <c r="N77" s="16">
        <f t="shared" si="388"/>
        <v>0</v>
      </c>
      <c r="O77" s="16">
        <f t="shared" si="389"/>
        <v>0</v>
      </c>
      <c r="P77" s="16">
        <f t="shared" si="390"/>
        <v>0</v>
      </c>
      <c r="Q77" s="16">
        <f t="shared" si="391"/>
        <v>0</v>
      </c>
      <c r="R77" s="16">
        <f t="shared" si="392"/>
        <v>0</v>
      </c>
      <c r="S77" s="16">
        <f t="shared" si="393"/>
        <v>0</v>
      </c>
      <c r="T77" s="16">
        <f t="shared" si="394"/>
        <v>0</v>
      </c>
      <c r="U77" s="16">
        <f t="shared" si="395"/>
        <v>0</v>
      </c>
      <c r="V77" s="16">
        <f t="shared" si="396"/>
        <v>0</v>
      </c>
      <c r="W77" s="16">
        <f t="shared" si="397"/>
        <v>0</v>
      </c>
      <c r="X77" s="16">
        <f t="shared" si="398"/>
        <v>0</v>
      </c>
      <c r="Y77" s="16">
        <f t="shared" si="399"/>
        <v>0</v>
      </c>
      <c r="Z77" s="16">
        <f t="shared" si="400"/>
        <v>0</v>
      </c>
      <c r="AA77" s="16">
        <f t="shared" si="401"/>
        <v>0</v>
      </c>
      <c r="AB77" s="16">
        <f t="shared" si="402"/>
        <v>0</v>
      </c>
      <c r="AC77" s="16">
        <f t="shared" si="403"/>
        <v>9243.6431210360988</v>
      </c>
      <c r="AD77" s="16">
        <f t="shared" si="404"/>
        <v>64308.052064037605</v>
      </c>
      <c r="AE77" s="16">
        <f t="shared" si="405"/>
        <v>89306.831683654193</v>
      </c>
      <c r="AF77" s="16">
        <f t="shared" si="406"/>
        <v>107362.54462499999</v>
      </c>
      <c r="AG77" s="16">
        <f t="shared" si="407"/>
        <v>145448.12085994985</v>
      </c>
      <c r="AH77" s="16">
        <f t="shared" si="408"/>
        <v>107179.13694913452</v>
      </c>
      <c r="AI77" s="16">
        <f t="shared" si="409"/>
        <v>128904.63578250509</v>
      </c>
      <c r="AJ77" s="16">
        <f t="shared" si="410"/>
        <v>135453.96958225212</v>
      </c>
      <c r="AK77" s="16">
        <f t="shared" si="411"/>
        <v>187301.45766020933</v>
      </c>
      <c r="AL77" s="16">
        <f t="shared" si="412"/>
        <v>164268.73949997345</v>
      </c>
      <c r="AM77" s="16">
        <f t="shared" si="413"/>
        <v>196639.08777919505</v>
      </c>
      <c r="AN77" s="16">
        <f t="shared" si="414"/>
        <v>195078.66138382186</v>
      </c>
      <c r="AO77" s="16">
        <f t="shared" si="415"/>
        <v>266325.63090608252</v>
      </c>
      <c r="AP77" s="16">
        <f t="shared" si="416"/>
        <v>238189.67227496154</v>
      </c>
      <c r="AQ77" s="16">
        <f t="shared" si="417"/>
        <v>285126.67727983283</v>
      </c>
      <c r="AR77" s="16">
        <f t="shared" si="418"/>
        <v>282864.05900654173</v>
      </c>
      <c r="AS77" s="16">
        <f t="shared" si="419"/>
        <v>385429.5739318665</v>
      </c>
      <c r="AT77" s="16">
        <f t="shared" si="420"/>
        <v>339420.28299182025</v>
      </c>
      <c r="AU77" s="16">
        <f t="shared" si="421"/>
        <v>406305.51512376178</v>
      </c>
      <c r="AV77" s="16">
        <f t="shared" si="422"/>
        <v>403081.28408432193</v>
      </c>
      <c r="AW77" s="16">
        <f t="shared" si="423"/>
        <v>548178.95084612665</v>
      </c>
      <c r="CI77" s="16"/>
      <c r="CJ77" s="16"/>
      <c r="CK77" s="16"/>
      <c r="CL77" s="16"/>
      <c r="CM77" s="16"/>
      <c r="CN77" s="16"/>
      <c r="CO77" s="16"/>
      <c r="CP77" s="16"/>
      <c r="CQ77" s="16"/>
      <c r="CR77" s="16"/>
      <c r="CS77" s="16"/>
      <c r="CT77" s="16">
        <f>CS76</f>
        <v>9243.6431210360988</v>
      </c>
      <c r="CU77" s="16">
        <f t="shared" si="384"/>
        <v>14165.760214544398</v>
      </c>
      <c r="CV77" s="16">
        <f t="shared" si="384"/>
        <v>33723.055415309405</v>
      </c>
      <c r="CW77" s="16">
        <f t="shared" si="384"/>
        <v>16419.2364341838</v>
      </c>
      <c r="CX77" s="16">
        <f t="shared" si="384"/>
        <v>26622.431664670799</v>
      </c>
      <c r="CY77" s="16">
        <f t="shared" si="384"/>
        <v>46337.128518983394</v>
      </c>
      <c r="CZ77" s="16">
        <f t="shared" si="384"/>
        <v>16347.271500000001</v>
      </c>
      <c r="DA77" s="16">
        <f t="shared" si="384"/>
        <v>38143.633500000004</v>
      </c>
      <c r="DB77" s="16">
        <f t="shared" si="385"/>
        <v>54490.904999999999</v>
      </c>
      <c r="DC77" s="16">
        <f t="shared" si="385"/>
        <v>14728.006125</v>
      </c>
      <c r="DD77" s="16">
        <f t="shared" si="385"/>
        <v>58912.0245</v>
      </c>
      <c r="DE77" s="16">
        <f t="shared" si="385"/>
        <v>73640.030624999999</v>
      </c>
      <c r="DF77" s="16">
        <f t="shared" si="385"/>
        <v>12896.065734949832</v>
      </c>
      <c r="DG77" s="16">
        <f t="shared" si="385"/>
        <v>28342.809983966323</v>
      </c>
      <c r="DH77" s="16">
        <f t="shared" si="385"/>
        <v>56318.115227445407</v>
      </c>
      <c r="DI77" s="16">
        <f t="shared" si="385"/>
        <v>22518.211737722806</v>
      </c>
      <c r="DJ77" s="16">
        <f t="shared" si="385"/>
        <v>44166.451622810913</v>
      </c>
      <c r="DK77" s="16">
        <f t="shared" si="385"/>
        <v>63115.484825599837</v>
      </c>
      <c r="DL77" s="16">
        <f t="shared" si="385"/>
        <v>21622.699334094348</v>
      </c>
      <c r="DM77" s="16">
        <f t="shared" si="385"/>
        <v>38555.414420982212</v>
      </c>
      <c r="DN77" s="16">
        <f t="shared" si="385"/>
        <v>67789.589131003042</v>
      </c>
      <c r="DO77" s="16">
        <f t="shared" si="385"/>
        <v>29108.96603026686</v>
      </c>
      <c r="DP77" s="16">
        <f t="shared" si="385"/>
        <v>77646.098059195589</v>
      </c>
      <c r="DQ77" s="16">
        <f t="shared" si="385"/>
        <v>89170.093891962737</v>
      </c>
      <c r="DR77" s="16">
        <f t="shared" si="386"/>
        <v>20485.265709051</v>
      </c>
      <c r="DS77" s="16">
        <f t="shared" si="386"/>
        <v>43269.213476350327</v>
      </c>
      <c r="DT77" s="16">
        <f t="shared" si="386"/>
        <v>84532.788710481997</v>
      </c>
      <c r="DU77" s="16">
        <f t="shared" si="386"/>
        <v>36466.737313141137</v>
      </c>
      <c r="DV77" s="16">
        <f t="shared" si="386"/>
        <v>68397.891143646106</v>
      </c>
      <c r="DW77" s="16">
        <f t="shared" si="386"/>
        <v>96347.71511775977</v>
      </c>
      <c r="DX77" s="16">
        <f t="shared" si="386"/>
        <v>31893.481517789176</v>
      </c>
      <c r="DY77" s="16">
        <f t="shared" si="386"/>
        <v>56869.236270948764</v>
      </c>
      <c r="DZ77" s="16">
        <f t="shared" si="386"/>
        <v>99989.643968229473</v>
      </c>
      <c r="EA77" s="16">
        <f t="shared" si="386"/>
        <v>38219.781144643624</v>
      </c>
      <c r="EB77" s="16">
        <f t="shared" si="386"/>
        <v>109812.0508873135</v>
      </c>
      <c r="EC77" s="16">
        <f t="shared" si="386"/>
        <v>126809.94474064505</v>
      </c>
      <c r="ED77" s="16">
        <f t="shared" si="386"/>
        <v>29703.635278123958</v>
      </c>
      <c r="EE77" s="16">
        <f t="shared" si="386"/>
        <v>62740.359540707985</v>
      </c>
      <c r="EF77" s="16">
        <f t="shared" si="386"/>
        <v>122572.54363019888</v>
      </c>
      <c r="EG77" s="16">
        <f t="shared" si="386"/>
        <v>52876.769104054663</v>
      </c>
      <c r="EH77" s="16">
        <f t="shared" si="424"/>
        <v>99176.942158286867</v>
      </c>
      <c r="EI77" s="16">
        <f t="shared" si="424"/>
        <v>139704.18692075167</v>
      </c>
      <c r="EJ77" s="16">
        <f t="shared" si="424"/>
        <v>46245.548200794299</v>
      </c>
      <c r="EK77" s="16">
        <f t="shared" si="424"/>
        <v>82460.392592875694</v>
      </c>
      <c r="EL77" s="16">
        <f t="shared" si="424"/>
        <v>144984.98375393276</v>
      </c>
      <c r="EM77" s="16">
        <f t="shared" si="424"/>
        <v>55418.682659733255</v>
      </c>
      <c r="EN77" s="16">
        <f t="shared" si="424"/>
        <v>159227.47378660459</v>
      </c>
      <c r="EO77" s="16">
        <f t="shared" si="424"/>
        <v>183874.41987393529</v>
      </c>
      <c r="EP77" s="16">
        <f t="shared" si="424"/>
        <v>42327.680271326644</v>
      </c>
      <c r="EQ77" s="16">
        <f t="shared" si="424"/>
        <v>89405.012345508891</v>
      </c>
      <c r="ER77" s="16">
        <f t="shared" si="424"/>
        <v>174665.87467303345</v>
      </c>
      <c r="ES77" s="16">
        <f t="shared" si="424"/>
        <v>75349.395973277889</v>
      </c>
      <c r="ET77" s="16">
        <f t="shared" si="424"/>
        <v>141327.14257555877</v>
      </c>
      <c r="EU77" s="16">
        <f t="shared" si="424"/>
        <v>199078.46636207114</v>
      </c>
      <c r="EV77" s="16">
        <f t="shared" si="424"/>
        <v>65899.906186131877</v>
      </c>
      <c r="EW77" s="16">
        <f t="shared" si="424"/>
        <v>117506.05944484788</v>
      </c>
      <c r="EX77" s="16">
        <f t="shared" si="424"/>
        <v>206603.60184935419</v>
      </c>
      <c r="EY77" s="16">
        <f t="shared" si="424"/>
        <v>78971.622790119873</v>
      </c>
      <c r="EZ77" s="16">
        <f t="shared" si="424"/>
        <v>226899.15014591152</v>
      </c>
      <c r="FA77" s="16">
        <f t="shared" si="424"/>
        <v>262021.04832035783</v>
      </c>
      <c r="FB77" s="16">
        <f t="shared" si="424"/>
        <v>59258.752379857287</v>
      </c>
      <c r="FC77" s="16"/>
      <c r="FD77" s="16"/>
      <c r="FE77" s="16"/>
      <c r="FF77" s="16"/>
      <c r="FG77" s="16"/>
      <c r="FH77" s="16"/>
      <c r="FI77" s="16"/>
      <c r="FJ77" s="16"/>
      <c r="FK77" s="16"/>
      <c r="FL77" s="16"/>
      <c r="FM77" s="16"/>
      <c r="FN77" s="16"/>
      <c r="FO77" s="16"/>
      <c r="FP77" s="16"/>
      <c r="FQ77" s="16"/>
      <c r="FR77" s="16"/>
      <c r="FS77" s="16"/>
      <c r="FT77" s="16"/>
      <c r="FU77" s="16"/>
      <c r="FV77" s="16"/>
      <c r="FW77" s="16"/>
      <c r="FX77" s="16"/>
      <c r="FY77" s="16"/>
      <c r="FZ77" s="16"/>
    </row>
    <row r="78" spans="3:182" x14ac:dyDescent="0.25">
      <c r="C78" t="s">
        <v>738</v>
      </c>
      <c r="D78" s="16">
        <f t="shared" si="344"/>
        <v>0</v>
      </c>
      <c r="E78" s="16">
        <f t="shared" si="344"/>
        <v>0</v>
      </c>
      <c r="F78" s="16">
        <f t="shared" si="344"/>
        <v>0</v>
      </c>
      <c r="G78" s="16">
        <f t="shared" si="344"/>
        <v>0</v>
      </c>
      <c r="H78" s="16">
        <f t="shared" si="344"/>
        <v>402773.12661872793</v>
      </c>
      <c r="I78" s="16">
        <f t="shared" si="344"/>
        <v>551249.99999999988</v>
      </c>
      <c r="J78" s="16">
        <f t="shared" si="344"/>
        <v>813093.74999999988</v>
      </c>
      <c r="K78" s="16">
        <f t="shared" si="344"/>
        <v>1178985.9375</v>
      </c>
      <c r="L78" s="16">
        <f t="shared" si="344"/>
        <v>1680054.9609375</v>
      </c>
      <c r="M78" s="16"/>
      <c r="N78" s="16">
        <f t="shared" si="388"/>
        <v>0</v>
      </c>
      <c r="O78" s="16">
        <f t="shared" si="389"/>
        <v>0</v>
      </c>
      <c r="P78" s="16">
        <f t="shared" si="390"/>
        <v>0</v>
      </c>
      <c r="Q78" s="16">
        <f t="shared" si="391"/>
        <v>0</v>
      </c>
      <c r="R78" s="16">
        <f t="shared" si="392"/>
        <v>0</v>
      </c>
      <c r="S78" s="16">
        <f t="shared" si="393"/>
        <v>0</v>
      </c>
      <c r="T78" s="16">
        <f t="shared" si="394"/>
        <v>0</v>
      </c>
      <c r="U78" s="16">
        <f t="shared" si="395"/>
        <v>0</v>
      </c>
      <c r="V78" s="16">
        <f t="shared" si="396"/>
        <v>0</v>
      </c>
      <c r="W78" s="16">
        <f t="shared" si="397"/>
        <v>0</v>
      </c>
      <c r="X78" s="16">
        <f t="shared" si="398"/>
        <v>0</v>
      </c>
      <c r="Y78" s="16">
        <f t="shared" si="399"/>
        <v>0</v>
      </c>
      <c r="Z78" s="16">
        <f t="shared" si="400"/>
        <v>0</v>
      </c>
      <c r="AA78" s="16">
        <f t="shared" si="401"/>
        <v>0</v>
      </c>
      <c r="AB78" s="16">
        <f t="shared" si="402"/>
        <v>0</v>
      </c>
      <c r="AC78" s="16">
        <f t="shared" si="403"/>
        <v>0</v>
      </c>
      <c r="AD78" s="16">
        <f t="shared" si="404"/>
        <v>57132.458750889899</v>
      </c>
      <c r="AE78" s="16">
        <f t="shared" si="405"/>
        <v>89378.796617838001</v>
      </c>
      <c r="AF78" s="16">
        <f t="shared" si="406"/>
        <v>108981.81</v>
      </c>
      <c r="AG78" s="16">
        <f t="shared" si="407"/>
        <v>147280.06125</v>
      </c>
      <c r="AH78" s="16">
        <f t="shared" si="408"/>
        <v>97556.990946361562</v>
      </c>
      <c r="AI78" s="16">
        <f t="shared" si="409"/>
        <v>129800.14818613355</v>
      </c>
      <c r="AJ78" s="16">
        <f t="shared" si="410"/>
        <v>127967.7028860796</v>
      </c>
      <c r="AK78" s="16">
        <f t="shared" si="411"/>
        <v>195925.15798142517</v>
      </c>
      <c r="AL78" s="16">
        <f t="shared" si="412"/>
        <v>148287.26789588333</v>
      </c>
      <c r="AM78" s="16">
        <f t="shared" si="413"/>
        <v>201212.34357454701</v>
      </c>
      <c r="AN78" s="16">
        <f t="shared" si="414"/>
        <v>188752.36175696741</v>
      </c>
      <c r="AO78" s="16">
        <f t="shared" si="415"/>
        <v>274841.77677260217</v>
      </c>
      <c r="AP78" s="16">
        <f t="shared" si="416"/>
        <v>215016.53844903084</v>
      </c>
      <c r="AQ78" s="16">
        <f t="shared" si="417"/>
        <v>291757.89818309317</v>
      </c>
      <c r="AR78" s="16">
        <f t="shared" si="418"/>
        <v>273690.92454760277</v>
      </c>
      <c r="AS78" s="16">
        <f t="shared" si="419"/>
        <v>398520.5763202731</v>
      </c>
      <c r="AT78" s="16">
        <f t="shared" si="420"/>
        <v>306398.56728986895</v>
      </c>
      <c r="AU78" s="16">
        <f t="shared" si="421"/>
        <v>415755.00491090782</v>
      </c>
      <c r="AV78" s="16">
        <f t="shared" si="422"/>
        <v>390009.56748033396</v>
      </c>
      <c r="AW78" s="16">
        <f t="shared" si="423"/>
        <v>567891.82125638926</v>
      </c>
      <c r="CI78" s="16"/>
      <c r="CJ78" s="16"/>
      <c r="CK78" s="16"/>
      <c r="CL78" s="16"/>
      <c r="CM78" s="16"/>
      <c r="CN78" s="16"/>
      <c r="CO78" s="16"/>
      <c r="CP78" s="16"/>
      <c r="CQ78" s="16"/>
      <c r="CR78" s="16"/>
      <c r="CS78" s="16"/>
      <c r="CT78" s="16"/>
      <c r="CU78" s="16">
        <f>CT77</f>
        <v>9243.6431210360988</v>
      </c>
      <c r="CV78" s="16">
        <f>CU77</f>
        <v>14165.760214544398</v>
      </c>
      <c r="CW78" s="16">
        <f t="shared" si="384"/>
        <v>33723.055415309405</v>
      </c>
      <c r="CX78" s="16">
        <f t="shared" si="384"/>
        <v>16419.2364341838</v>
      </c>
      <c r="CY78" s="16">
        <f t="shared" si="384"/>
        <v>26622.431664670799</v>
      </c>
      <c r="CZ78" s="16">
        <f t="shared" si="384"/>
        <v>46337.128518983394</v>
      </c>
      <c r="DA78" s="16">
        <f t="shared" si="384"/>
        <v>16347.271500000001</v>
      </c>
      <c r="DB78" s="16">
        <f t="shared" si="385"/>
        <v>38143.633500000004</v>
      </c>
      <c r="DC78" s="16">
        <f t="shared" si="385"/>
        <v>54490.904999999999</v>
      </c>
      <c r="DD78" s="16">
        <f t="shared" si="385"/>
        <v>14728.006125</v>
      </c>
      <c r="DE78" s="16">
        <f t="shared" si="385"/>
        <v>58912.0245</v>
      </c>
      <c r="DF78" s="16">
        <f t="shared" si="385"/>
        <v>73640.030624999999</v>
      </c>
      <c r="DG78" s="16">
        <f t="shared" si="385"/>
        <v>12896.065734949832</v>
      </c>
      <c r="DH78" s="16">
        <f t="shared" si="385"/>
        <v>28342.809983966323</v>
      </c>
      <c r="DI78" s="16">
        <f t="shared" si="385"/>
        <v>56318.115227445407</v>
      </c>
      <c r="DJ78" s="16">
        <f t="shared" si="385"/>
        <v>22518.211737722806</v>
      </c>
      <c r="DK78" s="16">
        <f t="shared" si="385"/>
        <v>44166.451622810913</v>
      </c>
      <c r="DL78" s="16">
        <f t="shared" si="385"/>
        <v>63115.484825599837</v>
      </c>
      <c r="DM78" s="16">
        <f t="shared" si="385"/>
        <v>21622.699334094348</v>
      </c>
      <c r="DN78" s="16">
        <f t="shared" si="385"/>
        <v>38555.414420982212</v>
      </c>
      <c r="DO78" s="16">
        <f t="shared" si="385"/>
        <v>67789.589131003042</v>
      </c>
      <c r="DP78" s="16">
        <f t="shared" si="385"/>
        <v>29108.96603026686</v>
      </c>
      <c r="DQ78" s="16">
        <f t="shared" si="385"/>
        <v>77646.098059195589</v>
      </c>
      <c r="DR78" s="16">
        <f t="shared" si="386"/>
        <v>89170.093891962737</v>
      </c>
      <c r="DS78" s="16">
        <f t="shared" si="386"/>
        <v>20485.265709051</v>
      </c>
      <c r="DT78" s="16">
        <f t="shared" si="386"/>
        <v>43269.213476350327</v>
      </c>
      <c r="DU78" s="16">
        <f t="shared" si="386"/>
        <v>84532.788710481997</v>
      </c>
      <c r="DV78" s="16">
        <f t="shared" si="386"/>
        <v>36466.737313141137</v>
      </c>
      <c r="DW78" s="16">
        <f t="shared" si="386"/>
        <v>68397.891143646106</v>
      </c>
      <c r="DX78" s="16">
        <f t="shared" si="386"/>
        <v>96347.71511775977</v>
      </c>
      <c r="DY78" s="16">
        <f t="shared" si="386"/>
        <v>31893.481517789176</v>
      </c>
      <c r="DZ78" s="16">
        <f t="shared" si="386"/>
        <v>56869.236270948764</v>
      </c>
      <c r="EA78" s="16">
        <f t="shared" si="386"/>
        <v>99989.643968229473</v>
      </c>
      <c r="EB78" s="16">
        <f t="shared" si="386"/>
        <v>38219.781144643624</v>
      </c>
      <c r="EC78" s="16">
        <f t="shared" si="386"/>
        <v>109812.0508873135</v>
      </c>
      <c r="ED78" s="16">
        <f t="shared" si="386"/>
        <v>126809.94474064505</v>
      </c>
      <c r="EE78" s="16">
        <f t="shared" si="386"/>
        <v>29703.635278123958</v>
      </c>
      <c r="EF78" s="16">
        <f t="shared" si="386"/>
        <v>62740.359540707985</v>
      </c>
      <c r="EG78" s="16">
        <f t="shared" si="386"/>
        <v>122572.54363019888</v>
      </c>
      <c r="EH78" s="16">
        <f t="shared" si="424"/>
        <v>52876.769104054663</v>
      </c>
      <c r="EI78" s="16">
        <f t="shared" si="424"/>
        <v>99176.942158286867</v>
      </c>
      <c r="EJ78" s="16">
        <f t="shared" si="424"/>
        <v>139704.18692075167</v>
      </c>
      <c r="EK78" s="16">
        <f t="shared" si="424"/>
        <v>46245.548200794299</v>
      </c>
      <c r="EL78" s="16">
        <f t="shared" si="424"/>
        <v>82460.392592875694</v>
      </c>
      <c r="EM78" s="16">
        <f t="shared" si="424"/>
        <v>144984.98375393276</v>
      </c>
      <c r="EN78" s="16">
        <f t="shared" si="424"/>
        <v>55418.682659733255</v>
      </c>
      <c r="EO78" s="16">
        <f t="shared" si="424"/>
        <v>159227.47378660459</v>
      </c>
      <c r="EP78" s="16">
        <f t="shared" si="424"/>
        <v>183874.41987393529</v>
      </c>
      <c r="EQ78" s="16">
        <f t="shared" si="424"/>
        <v>42327.680271326644</v>
      </c>
      <c r="ER78" s="16">
        <f t="shared" si="424"/>
        <v>89405.012345508891</v>
      </c>
      <c r="ES78" s="16">
        <f t="shared" si="424"/>
        <v>174665.87467303345</v>
      </c>
      <c r="ET78" s="16">
        <f t="shared" si="424"/>
        <v>75349.395973277889</v>
      </c>
      <c r="EU78" s="16">
        <f t="shared" si="424"/>
        <v>141327.14257555877</v>
      </c>
      <c r="EV78" s="16">
        <f t="shared" si="424"/>
        <v>199078.46636207114</v>
      </c>
      <c r="EW78" s="16">
        <f t="shared" si="424"/>
        <v>65899.906186131877</v>
      </c>
      <c r="EX78" s="16">
        <f t="shared" si="424"/>
        <v>117506.05944484788</v>
      </c>
      <c r="EY78" s="16">
        <f t="shared" si="424"/>
        <v>206603.60184935419</v>
      </c>
      <c r="EZ78" s="16">
        <f t="shared" si="424"/>
        <v>78971.622790119873</v>
      </c>
      <c r="FA78" s="16">
        <f t="shared" si="424"/>
        <v>226899.15014591152</v>
      </c>
      <c r="FB78" s="16">
        <f t="shared" si="424"/>
        <v>262021.04832035783</v>
      </c>
      <c r="FC78" s="16"/>
      <c r="FD78" s="16"/>
      <c r="FE78" s="16"/>
      <c r="FF78" s="16"/>
      <c r="FG78" s="16"/>
      <c r="FH78" s="16"/>
      <c r="FI78" s="16"/>
      <c r="FJ78" s="16"/>
      <c r="FK78" s="16"/>
      <c r="FL78" s="16"/>
      <c r="FM78" s="16"/>
      <c r="FN78" s="16"/>
      <c r="FO78" s="16"/>
      <c r="FP78" s="16"/>
      <c r="FQ78" s="16"/>
      <c r="FR78" s="16"/>
      <c r="FS78" s="16"/>
      <c r="FT78" s="16"/>
      <c r="FU78" s="16"/>
      <c r="FV78" s="16"/>
      <c r="FW78" s="16"/>
      <c r="FX78" s="16"/>
      <c r="FY78" s="16"/>
      <c r="FZ78" s="16"/>
    </row>
    <row r="79" spans="3:182" x14ac:dyDescent="0.25">
      <c r="C79" t="s">
        <v>739</v>
      </c>
      <c r="D79" s="16">
        <f t="shared" si="344"/>
        <v>0</v>
      </c>
      <c r="E79" s="16">
        <f t="shared" si="344"/>
        <v>0</v>
      </c>
      <c r="F79" s="16">
        <f t="shared" si="344"/>
        <v>0</v>
      </c>
      <c r="G79" s="16">
        <f t="shared" si="344"/>
        <v>0</v>
      </c>
      <c r="H79" s="16">
        <f t="shared" si="344"/>
        <v>329133.09599372791</v>
      </c>
      <c r="I79" s="16">
        <f t="shared" si="344"/>
        <v>535719.93673303712</v>
      </c>
      <c r="J79" s="16">
        <f t="shared" si="344"/>
        <v>775453.89915131754</v>
      </c>
      <c r="K79" s="16">
        <f t="shared" si="344"/>
        <v>1121921.4623667097</v>
      </c>
      <c r="L79" s="16">
        <f t="shared" si="344"/>
        <v>1601908.3324910772</v>
      </c>
      <c r="M79" s="16"/>
      <c r="N79" s="16">
        <f t="shared" si="388"/>
        <v>0</v>
      </c>
      <c r="O79" s="16">
        <f t="shared" si="389"/>
        <v>0</v>
      </c>
      <c r="P79" s="16">
        <f t="shared" si="390"/>
        <v>0</v>
      </c>
      <c r="Q79" s="16">
        <f t="shared" si="391"/>
        <v>0</v>
      </c>
      <c r="R79" s="16">
        <f t="shared" si="392"/>
        <v>0</v>
      </c>
      <c r="S79" s="16">
        <f t="shared" si="393"/>
        <v>0</v>
      </c>
      <c r="T79" s="16">
        <f t="shared" si="394"/>
        <v>0</v>
      </c>
      <c r="U79" s="16">
        <f t="shared" si="395"/>
        <v>0</v>
      </c>
      <c r="V79" s="16">
        <f t="shared" si="396"/>
        <v>0</v>
      </c>
      <c r="W79" s="16">
        <f t="shared" si="397"/>
        <v>0</v>
      </c>
      <c r="X79" s="16">
        <f t="shared" si="398"/>
        <v>0</v>
      </c>
      <c r="Y79" s="16">
        <f t="shared" si="399"/>
        <v>0</v>
      </c>
      <c r="Z79" s="16">
        <f t="shared" si="400"/>
        <v>0</v>
      </c>
      <c r="AA79" s="16">
        <f t="shared" si="401"/>
        <v>0</v>
      </c>
      <c r="AB79" s="16">
        <f t="shared" si="402"/>
        <v>0</v>
      </c>
      <c r="AC79" s="16">
        <f t="shared" si="403"/>
        <v>0</v>
      </c>
      <c r="AD79" s="16">
        <f t="shared" si="404"/>
        <v>23409.403335580497</v>
      </c>
      <c r="AE79" s="16">
        <f t="shared" si="405"/>
        <v>76764.723514164012</v>
      </c>
      <c r="AF79" s="16">
        <f t="shared" si="406"/>
        <v>100828.0335189834</v>
      </c>
      <c r="AG79" s="16">
        <f t="shared" si="407"/>
        <v>128130.935625</v>
      </c>
      <c r="AH79" s="16">
        <f t="shared" si="408"/>
        <v>114878.90634391615</v>
      </c>
      <c r="AI79" s="16">
        <f t="shared" si="409"/>
        <v>123002.77858797912</v>
      </c>
      <c r="AJ79" s="16">
        <f t="shared" si="410"/>
        <v>123293.59858067639</v>
      </c>
      <c r="AK79" s="16">
        <f t="shared" si="411"/>
        <v>174544.65322046549</v>
      </c>
      <c r="AL79" s="16">
        <f t="shared" si="412"/>
        <v>152924.57307736407</v>
      </c>
      <c r="AM79" s="16">
        <f t="shared" si="413"/>
        <v>189397.41716726922</v>
      </c>
      <c r="AN79" s="16">
        <f t="shared" si="414"/>
        <v>185110.43290649771</v>
      </c>
      <c r="AO79" s="16">
        <f t="shared" si="415"/>
        <v>248021.47600018658</v>
      </c>
      <c r="AP79" s="16">
        <f t="shared" si="416"/>
        <v>219253.939559477</v>
      </c>
      <c r="AQ79" s="16">
        <f t="shared" si="417"/>
        <v>274626.2548925404</v>
      </c>
      <c r="AR79" s="16">
        <f t="shared" si="418"/>
        <v>268410.12771442166</v>
      </c>
      <c r="AS79" s="16">
        <f t="shared" si="419"/>
        <v>359631.14020027057</v>
      </c>
      <c r="AT79" s="16">
        <f t="shared" si="420"/>
        <v>315607.11249077081</v>
      </c>
      <c r="AU79" s="16">
        <f t="shared" si="421"/>
        <v>391342.41322187008</v>
      </c>
      <c r="AV79" s="16">
        <f t="shared" si="422"/>
        <v>382484.43199305085</v>
      </c>
      <c r="AW79" s="16">
        <f t="shared" si="423"/>
        <v>512474.37478538556</v>
      </c>
      <c r="CI79" s="16"/>
      <c r="CJ79" s="16"/>
      <c r="CK79" s="16"/>
      <c r="CL79" s="16"/>
      <c r="CM79" s="16"/>
      <c r="CN79" s="16"/>
      <c r="CO79" s="16"/>
      <c r="CP79" s="16"/>
      <c r="CQ79" s="16"/>
      <c r="CR79" s="16"/>
      <c r="CS79" s="16"/>
      <c r="CT79" s="16"/>
      <c r="CU79" s="16"/>
      <c r="CV79" s="16">
        <f>CU78</f>
        <v>9243.6431210360988</v>
      </c>
      <c r="CW79" s="16">
        <f t="shared" si="384"/>
        <v>14165.760214544398</v>
      </c>
      <c r="CX79" s="16">
        <f t="shared" si="384"/>
        <v>33723.055415309405</v>
      </c>
      <c r="CY79" s="16">
        <f t="shared" si="384"/>
        <v>16419.2364341838</v>
      </c>
      <c r="CZ79" s="16">
        <f t="shared" si="384"/>
        <v>26622.431664670799</v>
      </c>
      <c r="DA79" s="16">
        <f t="shared" si="384"/>
        <v>46337.128518983394</v>
      </c>
      <c r="DB79" s="16">
        <f t="shared" si="385"/>
        <v>16347.271500000001</v>
      </c>
      <c r="DC79" s="16">
        <f t="shared" si="385"/>
        <v>38143.633500000004</v>
      </c>
      <c r="DD79" s="16">
        <f t="shared" si="385"/>
        <v>54490.904999999999</v>
      </c>
      <c r="DE79" s="16">
        <f t="shared" si="385"/>
        <v>14728.006125</v>
      </c>
      <c r="DF79" s="16">
        <f t="shared" si="385"/>
        <v>58912.0245</v>
      </c>
      <c r="DG79" s="16">
        <f t="shared" si="385"/>
        <v>73640.030624999999</v>
      </c>
      <c r="DH79" s="16">
        <f t="shared" si="385"/>
        <v>12896.065734949832</v>
      </c>
      <c r="DI79" s="16">
        <f t="shared" si="385"/>
        <v>28342.809983966323</v>
      </c>
      <c r="DJ79" s="16">
        <f t="shared" si="385"/>
        <v>56318.115227445407</v>
      </c>
      <c r="DK79" s="16">
        <f t="shared" si="385"/>
        <v>22518.211737722806</v>
      </c>
      <c r="DL79" s="16">
        <f t="shared" si="385"/>
        <v>44166.451622810913</v>
      </c>
      <c r="DM79" s="16">
        <f t="shared" si="385"/>
        <v>63115.484825599837</v>
      </c>
      <c r="DN79" s="16">
        <f t="shared" si="385"/>
        <v>21622.699334094348</v>
      </c>
      <c r="DO79" s="16">
        <f t="shared" si="385"/>
        <v>38555.414420982212</v>
      </c>
      <c r="DP79" s="16">
        <f t="shared" si="385"/>
        <v>67789.589131003042</v>
      </c>
      <c r="DQ79" s="16">
        <f t="shared" si="385"/>
        <v>29108.96603026686</v>
      </c>
      <c r="DR79" s="16">
        <f t="shared" si="386"/>
        <v>77646.098059195589</v>
      </c>
      <c r="DS79" s="16">
        <f t="shared" si="386"/>
        <v>89170.093891962737</v>
      </c>
      <c r="DT79" s="16">
        <f t="shared" si="386"/>
        <v>20485.265709051</v>
      </c>
      <c r="DU79" s="16">
        <f t="shared" si="386"/>
        <v>43269.213476350327</v>
      </c>
      <c r="DV79" s="16">
        <f t="shared" si="386"/>
        <v>84532.788710481997</v>
      </c>
      <c r="DW79" s="16">
        <f t="shared" si="386"/>
        <v>36466.737313141137</v>
      </c>
      <c r="DX79" s="16">
        <f t="shared" si="386"/>
        <v>68397.891143646106</v>
      </c>
      <c r="DY79" s="16">
        <f t="shared" si="386"/>
        <v>96347.71511775977</v>
      </c>
      <c r="DZ79" s="16">
        <f t="shared" si="386"/>
        <v>31893.481517789176</v>
      </c>
      <c r="EA79" s="16">
        <f t="shared" si="386"/>
        <v>56869.236270948764</v>
      </c>
      <c r="EB79" s="16">
        <f t="shared" si="386"/>
        <v>99989.643968229473</v>
      </c>
      <c r="EC79" s="16">
        <f t="shared" si="386"/>
        <v>38219.781144643624</v>
      </c>
      <c r="ED79" s="16">
        <f t="shared" si="386"/>
        <v>109812.0508873135</v>
      </c>
      <c r="EE79" s="16">
        <f t="shared" si="386"/>
        <v>126809.94474064505</v>
      </c>
      <c r="EF79" s="16">
        <f t="shared" si="386"/>
        <v>29703.635278123958</v>
      </c>
      <c r="EG79" s="16">
        <f t="shared" si="386"/>
        <v>62740.359540707985</v>
      </c>
      <c r="EH79" s="16">
        <f t="shared" ref="EH79:FB81" si="425">EG78</f>
        <v>122572.54363019888</v>
      </c>
      <c r="EI79" s="16">
        <f t="shared" si="425"/>
        <v>52876.769104054663</v>
      </c>
      <c r="EJ79" s="16">
        <f t="shared" si="425"/>
        <v>99176.942158286867</v>
      </c>
      <c r="EK79" s="16">
        <f t="shared" si="425"/>
        <v>139704.18692075167</v>
      </c>
      <c r="EL79" s="16">
        <f t="shared" si="425"/>
        <v>46245.548200794299</v>
      </c>
      <c r="EM79" s="16">
        <f t="shared" si="425"/>
        <v>82460.392592875694</v>
      </c>
      <c r="EN79" s="16">
        <f t="shared" si="425"/>
        <v>144984.98375393276</v>
      </c>
      <c r="EO79" s="16">
        <f t="shared" si="425"/>
        <v>55418.682659733255</v>
      </c>
      <c r="EP79" s="16">
        <f t="shared" si="425"/>
        <v>159227.47378660459</v>
      </c>
      <c r="EQ79" s="16">
        <f t="shared" si="425"/>
        <v>183874.41987393529</v>
      </c>
      <c r="ER79" s="16">
        <f t="shared" si="425"/>
        <v>42327.680271326644</v>
      </c>
      <c r="ES79" s="16">
        <f t="shared" si="425"/>
        <v>89405.012345508891</v>
      </c>
      <c r="ET79" s="16">
        <f t="shared" si="425"/>
        <v>174665.87467303345</v>
      </c>
      <c r="EU79" s="16">
        <f t="shared" si="425"/>
        <v>75349.395973277889</v>
      </c>
      <c r="EV79" s="16">
        <f t="shared" si="425"/>
        <v>141327.14257555877</v>
      </c>
      <c r="EW79" s="16">
        <f t="shared" si="425"/>
        <v>199078.46636207114</v>
      </c>
      <c r="EX79" s="16">
        <f t="shared" si="425"/>
        <v>65899.906186131877</v>
      </c>
      <c r="EY79" s="16">
        <f t="shared" si="425"/>
        <v>117506.05944484788</v>
      </c>
      <c r="EZ79" s="16">
        <f t="shared" si="425"/>
        <v>206603.60184935419</v>
      </c>
      <c r="FA79" s="16">
        <f t="shared" si="425"/>
        <v>78971.622790119873</v>
      </c>
      <c r="FB79" s="16">
        <f t="shared" si="425"/>
        <v>226899.15014591152</v>
      </c>
      <c r="FC79" s="16"/>
      <c r="FD79" s="16"/>
      <c r="FE79" s="16"/>
      <c r="FF79" s="16"/>
      <c r="FG79" s="16"/>
      <c r="FH79" s="16"/>
      <c r="FI79" s="16"/>
      <c r="FJ79" s="16"/>
      <c r="FK79" s="16"/>
      <c r="FL79" s="16"/>
      <c r="FM79" s="16"/>
      <c r="FN79" s="16"/>
      <c r="FO79" s="16"/>
      <c r="FP79" s="16"/>
      <c r="FQ79" s="16"/>
      <c r="FR79" s="16"/>
      <c r="FS79" s="16"/>
      <c r="FT79" s="16"/>
      <c r="FU79" s="16"/>
      <c r="FV79" s="16"/>
      <c r="FW79" s="16"/>
      <c r="FX79" s="16"/>
      <c r="FY79" s="16"/>
      <c r="FZ79" s="16"/>
    </row>
    <row r="80" spans="3:182" x14ac:dyDescent="0.25">
      <c r="C80" t="s">
        <v>740</v>
      </c>
      <c r="D80" s="16">
        <f t="shared" si="344"/>
        <v>0</v>
      </c>
      <c r="E80" s="16">
        <f t="shared" si="344"/>
        <v>0</v>
      </c>
      <c r="F80" s="16">
        <f t="shared" si="344"/>
        <v>0</v>
      </c>
      <c r="G80" s="16">
        <f t="shared" si="344"/>
        <v>0</v>
      </c>
      <c r="H80" s="16">
        <f t="shared" si="344"/>
        <v>270221.07149372791</v>
      </c>
      <c r="I80" s="16">
        <f t="shared" si="344"/>
        <v>516985.8631738415</v>
      </c>
      <c r="J80" s="16">
        <f t="shared" si="344"/>
        <v>743287.94632319966</v>
      </c>
      <c r="K80" s="16">
        <f t="shared" si="344"/>
        <v>1072506.0394674186</v>
      </c>
      <c r="L80" s="16">
        <f t="shared" si="344"/>
        <v>1534236.6561317705</v>
      </c>
      <c r="M80" s="16"/>
      <c r="N80" s="16">
        <f t="shared" si="388"/>
        <v>0</v>
      </c>
      <c r="O80" s="16">
        <f t="shared" si="389"/>
        <v>0</v>
      </c>
      <c r="P80" s="16">
        <f t="shared" si="390"/>
        <v>0</v>
      </c>
      <c r="Q80" s="16">
        <f t="shared" si="391"/>
        <v>0</v>
      </c>
      <c r="R80" s="16">
        <f t="shared" si="392"/>
        <v>0</v>
      </c>
      <c r="S80" s="16">
        <f t="shared" si="393"/>
        <v>0</v>
      </c>
      <c r="T80" s="16">
        <f t="shared" si="394"/>
        <v>0</v>
      </c>
      <c r="U80" s="16">
        <f t="shared" si="395"/>
        <v>0</v>
      </c>
      <c r="V80" s="16">
        <f t="shared" si="396"/>
        <v>0</v>
      </c>
      <c r="W80" s="16">
        <f t="shared" si="397"/>
        <v>0</v>
      </c>
      <c r="X80" s="16">
        <f t="shared" si="398"/>
        <v>0</v>
      </c>
      <c r="Y80" s="16">
        <f t="shared" si="399"/>
        <v>0</v>
      </c>
      <c r="Z80" s="16">
        <f t="shared" si="400"/>
        <v>0</v>
      </c>
      <c r="AA80" s="16">
        <f t="shared" si="401"/>
        <v>0</v>
      </c>
      <c r="AB80" s="16">
        <f t="shared" si="402"/>
        <v>0</v>
      </c>
      <c r="AC80" s="16">
        <f t="shared" si="403"/>
        <v>0</v>
      </c>
      <c r="AD80" s="16">
        <f t="shared" si="404"/>
        <v>9243.6431210360988</v>
      </c>
      <c r="AE80" s="16">
        <f t="shared" si="405"/>
        <v>64308.052064037605</v>
      </c>
      <c r="AF80" s="16">
        <f t="shared" si="406"/>
        <v>89306.831683654193</v>
      </c>
      <c r="AG80" s="16">
        <f t="shared" si="407"/>
        <v>107362.54462499999</v>
      </c>
      <c r="AH80" s="16">
        <f t="shared" si="408"/>
        <v>145448.12085994985</v>
      </c>
      <c r="AI80" s="16">
        <f t="shared" si="409"/>
        <v>107179.13694913452</v>
      </c>
      <c r="AJ80" s="16">
        <f t="shared" si="410"/>
        <v>128904.63578250509</v>
      </c>
      <c r="AK80" s="16">
        <f t="shared" si="411"/>
        <v>135453.96958225212</v>
      </c>
      <c r="AL80" s="16">
        <f t="shared" si="412"/>
        <v>187301.45766020933</v>
      </c>
      <c r="AM80" s="16">
        <f t="shared" si="413"/>
        <v>164268.73949997345</v>
      </c>
      <c r="AN80" s="16">
        <f t="shared" si="414"/>
        <v>196639.08777919505</v>
      </c>
      <c r="AO80" s="16">
        <f t="shared" si="415"/>
        <v>195078.66138382186</v>
      </c>
      <c r="AP80" s="16">
        <f t="shared" si="416"/>
        <v>266325.63090608252</v>
      </c>
      <c r="AQ80" s="16">
        <f t="shared" si="417"/>
        <v>238189.67227496154</v>
      </c>
      <c r="AR80" s="16">
        <f t="shared" si="418"/>
        <v>285126.67727983283</v>
      </c>
      <c r="AS80" s="16">
        <f t="shared" si="419"/>
        <v>282864.05900654173</v>
      </c>
      <c r="AT80" s="16">
        <f t="shared" si="420"/>
        <v>385429.5739318665</v>
      </c>
      <c r="AU80" s="16">
        <f t="shared" si="421"/>
        <v>339420.28299182025</v>
      </c>
      <c r="AV80" s="16">
        <f t="shared" si="422"/>
        <v>406305.51512376178</v>
      </c>
      <c r="AW80" s="16">
        <f t="shared" si="423"/>
        <v>403081.28408432193</v>
      </c>
      <c r="CI80" s="16"/>
      <c r="CJ80" s="16"/>
      <c r="CK80" s="16"/>
      <c r="CL80" s="16"/>
      <c r="CM80" s="16"/>
      <c r="CN80" s="16"/>
      <c r="CO80" s="16"/>
      <c r="CP80" s="16"/>
      <c r="CQ80" s="16"/>
      <c r="CR80" s="16"/>
      <c r="CS80" s="16"/>
      <c r="CT80" s="16"/>
      <c r="CU80" s="16"/>
      <c r="CV80" s="16"/>
      <c r="CW80" s="16">
        <f t="shared" si="384"/>
        <v>9243.6431210360988</v>
      </c>
      <c r="CX80" s="16">
        <f t="shared" si="384"/>
        <v>14165.760214544398</v>
      </c>
      <c r="CY80" s="16">
        <f t="shared" si="384"/>
        <v>33723.055415309405</v>
      </c>
      <c r="CZ80" s="16">
        <f t="shared" si="384"/>
        <v>16419.2364341838</v>
      </c>
      <c r="DA80" s="16">
        <f t="shared" si="384"/>
        <v>26622.431664670799</v>
      </c>
      <c r="DB80" s="16">
        <f t="shared" si="385"/>
        <v>46337.128518983394</v>
      </c>
      <c r="DC80" s="16">
        <f t="shared" si="385"/>
        <v>16347.271500000001</v>
      </c>
      <c r="DD80" s="16">
        <f t="shared" si="385"/>
        <v>38143.633500000004</v>
      </c>
      <c r="DE80" s="16">
        <f t="shared" si="385"/>
        <v>54490.904999999999</v>
      </c>
      <c r="DF80" s="16">
        <f t="shared" si="385"/>
        <v>14728.006125</v>
      </c>
      <c r="DG80" s="16">
        <f t="shared" si="385"/>
        <v>58912.0245</v>
      </c>
      <c r="DH80" s="16">
        <f t="shared" si="385"/>
        <v>73640.030624999999</v>
      </c>
      <c r="DI80" s="16">
        <f t="shared" si="385"/>
        <v>12896.065734949832</v>
      </c>
      <c r="DJ80" s="16">
        <f t="shared" si="385"/>
        <v>28342.809983966323</v>
      </c>
      <c r="DK80" s="16">
        <f t="shared" si="385"/>
        <v>56318.115227445407</v>
      </c>
      <c r="DL80" s="16">
        <f t="shared" si="385"/>
        <v>22518.211737722806</v>
      </c>
      <c r="DM80" s="16">
        <f t="shared" si="385"/>
        <v>44166.451622810913</v>
      </c>
      <c r="DN80" s="16">
        <f t="shared" si="385"/>
        <v>63115.484825599837</v>
      </c>
      <c r="DO80" s="16">
        <f t="shared" si="385"/>
        <v>21622.699334094348</v>
      </c>
      <c r="DP80" s="16">
        <f t="shared" si="385"/>
        <v>38555.414420982212</v>
      </c>
      <c r="DQ80" s="16">
        <f t="shared" si="385"/>
        <v>67789.589131003042</v>
      </c>
      <c r="DR80" s="16">
        <f t="shared" si="386"/>
        <v>29108.96603026686</v>
      </c>
      <c r="DS80" s="16">
        <f t="shared" si="386"/>
        <v>77646.098059195589</v>
      </c>
      <c r="DT80" s="16">
        <f t="shared" si="386"/>
        <v>89170.093891962737</v>
      </c>
      <c r="DU80" s="16">
        <f t="shared" si="386"/>
        <v>20485.265709051</v>
      </c>
      <c r="DV80" s="16">
        <f t="shared" si="386"/>
        <v>43269.213476350327</v>
      </c>
      <c r="DW80" s="16">
        <f t="shared" si="386"/>
        <v>84532.788710481997</v>
      </c>
      <c r="DX80" s="16">
        <f t="shared" si="386"/>
        <v>36466.737313141137</v>
      </c>
      <c r="DY80" s="16">
        <f t="shared" si="386"/>
        <v>68397.891143646106</v>
      </c>
      <c r="DZ80" s="16">
        <f t="shared" si="386"/>
        <v>96347.71511775977</v>
      </c>
      <c r="EA80" s="16">
        <f t="shared" si="386"/>
        <v>31893.481517789176</v>
      </c>
      <c r="EB80" s="16">
        <f t="shared" si="386"/>
        <v>56869.236270948764</v>
      </c>
      <c r="EC80" s="16">
        <f t="shared" si="386"/>
        <v>99989.643968229473</v>
      </c>
      <c r="ED80" s="16">
        <f t="shared" si="386"/>
        <v>38219.781144643624</v>
      </c>
      <c r="EE80" s="16">
        <f t="shared" si="386"/>
        <v>109812.0508873135</v>
      </c>
      <c r="EF80" s="16">
        <f t="shared" si="386"/>
        <v>126809.94474064505</v>
      </c>
      <c r="EG80" s="16">
        <f t="shared" si="386"/>
        <v>29703.635278123958</v>
      </c>
      <c r="EH80" s="16">
        <f t="shared" si="425"/>
        <v>62740.359540707985</v>
      </c>
      <c r="EI80" s="16">
        <f t="shared" si="425"/>
        <v>122572.54363019888</v>
      </c>
      <c r="EJ80" s="16">
        <f t="shared" si="425"/>
        <v>52876.769104054663</v>
      </c>
      <c r="EK80" s="16">
        <f t="shared" si="425"/>
        <v>99176.942158286867</v>
      </c>
      <c r="EL80" s="16">
        <f t="shared" si="425"/>
        <v>139704.18692075167</v>
      </c>
      <c r="EM80" s="16">
        <f t="shared" si="425"/>
        <v>46245.548200794299</v>
      </c>
      <c r="EN80" s="16">
        <f t="shared" si="425"/>
        <v>82460.392592875694</v>
      </c>
      <c r="EO80" s="16">
        <f t="shared" si="425"/>
        <v>144984.98375393276</v>
      </c>
      <c r="EP80" s="16">
        <f t="shared" si="425"/>
        <v>55418.682659733255</v>
      </c>
      <c r="EQ80" s="16">
        <f t="shared" si="425"/>
        <v>159227.47378660459</v>
      </c>
      <c r="ER80" s="16">
        <f t="shared" si="425"/>
        <v>183874.41987393529</v>
      </c>
      <c r="ES80" s="16">
        <f t="shared" si="425"/>
        <v>42327.680271326644</v>
      </c>
      <c r="ET80" s="16">
        <f t="shared" si="425"/>
        <v>89405.012345508891</v>
      </c>
      <c r="EU80" s="16">
        <f t="shared" si="425"/>
        <v>174665.87467303345</v>
      </c>
      <c r="EV80" s="16">
        <f t="shared" si="425"/>
        <v>75349.395973277889</v>
      </c>
      <c r="EW80" s="16">
        <f t="shared" si="425"/>
        <v>141327.14257555877</v>
      </c>
      <c r="EX80" s="16">
        <f t="shared" si="425"/>
        <v>199078.46636207114</v>
      </c>
      <c r="EY80" s="16">
        <f t="shared" si="425"/>
        <v>65899.906186131877</v>
      </c>
      <c r="EZ80" s="16">
        <f t="shared" si="425"/>
        <v>117506.05944484788</v>
      </c>
      <c r="FA80" s="16">
        <f t="shared" si="425"/>
        <v>206603.60184935419</v>
      </c>
      <c r="FB80" s="16">
        <f t="shared" si="425"/>
        <v>78971.622790119873</v>
      </c>
      <c r="FC80" s="16"/>
      <c r="FD80" s="16"/>
      <c r="FE80" s="16"/>
      <c r="FF80" s="16"/>
      <c r="FG80" s="16"/>
      <c r="FH80" s="16"/>
      <c r="FI80" s="16"/>
      <c r="FJ80" s="16"/>
      <c r="FK80" s="16"/>
      <c r="FL80" s="16"/>
      <c r="FM80" s="16"/>
      <c r="FN80" s="16"/>
      <c r="FO80" s="16"/>
      <c r="FP80" s="16"/>
      <c r="FQ80" s="16"/>
      <c r="FR80" s="16"/>
      <c r="FS80" s="16"/>
      <c r="FT80" s="16"/>
      <c r="FU80" s="16"/>
      <c r="FV80" s="16"/>
      <c r="FW80" s="16"/>
      <c r="FX80" s="16"/>
      <c r="FY80" s="16"/>
      <c r="FZ80" s="16"/>
    </row>
    <row r="81" spans="3:182" x14ac:dyDescent="0.25">
      <c r="C81" t="s">
        <v>741</v>
      </c>
      <c r="D81" s="16">
        <f t="shared" si="344"/>
        <v>0</v>
      </c>
      <c r="E81" s="16">
        <f t="shared" si="344"/>
        <v>0</v>
      </c>
      <c r="F81" s="16">
        <f t="shared" si="344"/>
        <v>0</v>
      </c>
      <c r="G81" s="16">
        <f t="shared" si="344"/>
        <v>0</v>
      </c>
      <c r="H81" s="16">
        <f t="shared" si="344"/>
        <v>255493.0653687279</v>
      </c>
      <c r="I81" s="16">
        <f t="shared" si="344"/>
        <v>502604.90326857474</v>
      </c>
      <c r="J81" s="16">
        <f t="shared" si="344"/>
        <v>734177.13120882283</v>
      </c>
      <c r="K81" s="16">
        <f t="shared" si="344"/>
        <v>1055307.1379523291</v>
      </c>
      <c r="L81" s="16">
        <f t="shared" si="344"/>
        <v>1510683.7160013837</v>
      </c>
      <c r="M81" s="16"/>
      <c r="N81" s="16">
        <f t="shared" si="388"/>
        <v>0</v>
      </c>
      <c r="O81" s="16">
        <f t="shared" si="389"/>
        <v>0</v>
      </c>
      <c r="P81" s="16">
        <f t="shared" si="390"/>
        <v>0</v>
      </c>
      <c r="Q81" s="16">
        <f t="shared" si="391"/>
        <v>0</v>
      </c>
      <c r="R81" s="16">
        <f t="shared" si="392"/>
        <v>0</v>
      </c>
      <c r="S81" s="16">
        <f t="shared" si="393"/>
        <v>0</v>
      </c>
      <c r="T81" s="16">
        <f t="shared" si="394"/>
        <v>0</v>
      </c>
      <c r="U81" s="16">
        <f t="shared" si="395"/>
        <v>0</v>
      </c>
      <c r="V81" s="16">
        <f t="shared" si="396"/>
        <v>0</v>
      </c>
      <c r="W81" s="16">
        <f t="shared" si="397"/>
        <v>0</v>
      </c>
      <c r="X81" s="16">
        <f t="shared" si="398"/>
        <v>0</v>
      </c>
      <c r="Y81" s="16">
        <f t="shared" si="399"/>
        <v>0</v>
      </c>
      <c r="Z81" s="16">
        <f t="shared" si="400"/>
        <v>0</v>
      </c>
      <c r="AA81" s="16">
        <f t="shared" si="401"/>
        <v>0</v>
      </c>
      <c r="AB81" s="16">
        <f t="shared" si="402"/>
        <v>0</v>
      </c>
      <c r="AC81" s="16">
        <f t="shared" si="403"/>
        <v>0</v>
      </c>
      <c r="AD81" s="16">
        <f t="shared" si="404"/>
        <v>0</v>
      </c>
      <c r="AE81" s="16">
        <f t="shared" si="405"/>
        <v>57132.458750889899</v>
      </c>
      <c r="AF81" s="16">
        <f t="shared" si="406"/>
        <v>89378.796617838001</v>
      </c>
      <c r="AG81" s="16">
        <f t="shared" si="407"/>
        <v>108981.81</v>
      </c>
      <c r="AH81" s="16">
        <f t="shared" si="408"/>
        <v>147280.06125</v>
      </c>
      <c r="AI81" s="16">
        <f t="shared" si="409"/>
        <v>97556.990946361562</v>
      </c>
      <c r="AJ81" s="16">
        <f t="shared" si="410"/>
        <v>129800.14818613355</v>
      </c>
      <c r="AK81" s="16">
        <f t="shared" si="411"/>
        <v>127967.7028860796</v>
      </c>
      <c r="AL81" s="16">
        <f t="shared" si="412"/>
        <v>195925.15798142517</v>
      </c>
      <c r="AM81" s="16">
        <f t="shared" si="413"/>
        <v>148287.26789588333</v>
      </c>
      <c r="AN81" s="16">
        <f t="shared" si="414"/>
        <v>201212.34357454701</v>
      </c>
      <c r="AO81" s="16">
        <f t="shared" si="415"/>
        <v>188752.36175696741</v>
      </c>
      <c r="AP81" s="16">
        <f t="shared" si="416"/>
        <v>274841.77677260217</v>
      </c>
      <c r="AQ81" s="16">
        <f t="shared" si="417"/>
        <v>215016.53844903084</v>
      </c>
      <c r="AR81" s="16">
        <f t="shared" si="418"/>
        <v>291757.89818309317</v>
      </c>
      <c r="AS81" s="16">
        <f t="shared" si="419"/>
        <v>273690.92454760277</v>
      </c>
      <c r="AT81" s="16">
        <f t="shared" si="420"/>
        <v>398520.5763202731</v>
      </c>
      <c r="AU81" s="16">
        <f t="shared" si="421"/>
        <v>306398.56728986895</v>
      </c>
      <c r="AV81" s="16">
        <f t="shared" si="422"/>
        <v>415755.00491090782</v>
      </c>
      <c r="AW81" s="16">
        <f t="shared" si="423"/>
        <v>390009.56748033396</v>
      </c>
      <c r="CI81" s="16"/>
      <c r="CJ81" s="16"/>
      <c r="CK81" s="16"/>
      <c r="CL81" s="16"/>
      <c r="CM81" s="16"/>
      <c r="CN81" s="16"/>
      <c r="CO81" s="16"/>
      <c r="CP81" s="16"/>
      <c r="CQ81" s="16"/>
      <c r="CR81" s="16"/>
      <c r="CS81" s="16"/>
      <c r="CT81" s="16"/>
      <c r="CU81" s="16"/>
      <c r="CV81" s="16"/>
      <c r="CW81" s="16"/>
      <c r="CX81" s="16">
        <f>CW80</f>
        <v>9243.6431210360988</v>
      </c>
      <c r="CY81" s="16">
        <f>CX80</f>
        <v>14165.760214544398</v>
      </c>
      <c r="CZ81" s="16">
        <f t="shared" si="384"/>
        <v>33723.055415309405</v>
      </c>
      <c r="DA81" s="16">
        <f t="shared" si="384"/>
        <v>16419.2364341838</v>
      </c>
      <c r="DB81" s="16">
        <f t="shared" si="385"/>
        <v>26622.431664670799</v>
      </c>
      <c r="DC81" s="16">
        <f t="shared" si="385"/>
        <v>46337.128518983394</v>
      </c>
      <c r="DD81" s="16">
        <f t="shared" si="385"/>
        <v>16347.271500000001</v>
      </c>
      <c r="DE81" s="16">
        <f t="shared" si="385"/>
        <v>38143.633500000004</v>
      </c>
      <c r="DF81" s="16">
        <f t="shared" si="385"/>
        <v>54490.904999999999</v>
      </c>
      <c r="DG81" s="16">
        <f t="shared" si="385"/>
        <v>14728.006125</v>
      </c>
      <c r="DH81" s="16">
        <f t="shared" si="385"/>
        <v>58912.0245</v>
      </c>
      <c r="DI81" s="16">
        <f t="shared" si="385"/>
        <v>73640.030624999999</v>
      </c>
      <c r="DJ81" s="16">
        <f t="shared" si="385"/>
        <v>12896.065734949832</v>
      </c>
      <c r="DK81" s="16">
        <f t="shared" si="385"/>
        <v>28342.809983966323</v>
      </c>
      <c r="DL81" s="16">
        <f t="shared" si="385"/>
        <v>56318.115227445407</v>
      </c>
      <c r="DM81" s="16">
        <f t="shared" si="385"/>
        <v>22518.211737722806</v>
      </c>
      <c r="DN81" s="16">
        <f t="shared" si="385"/>
        <v>44166.451622810913</v>
      </c>
      <c r="DO81" s="16">
        <f t="shared" si="385"/>
        <v>63115.484825599837</v>
      </c>
      <c r="DP81" s="16">
        <f t="shared" si="385"/>
        <v>21622.699334094348</v>
      </c>
      <c r="DQ81" s="16">
        <f t="shared" si="385"/>
        <v>38555.414420982212</v>
      </c>
      <c r="DR81" s="16">
        <f t="shared" si="386"/>
        <v>67789.589131003042</v>
      </c>
      <c r="DS81" s="16">
        <f t="shared" si="386"/>
        <v>29108.96603026686</v>
      </c>
      <c r="DT81" s="16">
        <f t="shared" si="386"/>
        <v>77646.098059195589</v>
      </c>
      <c r="DU81" s="16">
        <f t="shared" si="386"/>
        <v>89170.093891962737</v>
      </c>
      <c r="DV81" s="16">
        <f t="shared" si="386"/>
        <v>20485.265709051</v>
      </c>
      <c r="DW81" s="16">
        <f t="shared" si="386"/>
        <v>43269.213476350327</v>
      </c>
      <c r="DX81" s="16">
        <f t="shared" si="386"/>
        <v>84532.788710481997</v>
      </c>
      <c r="DY81" s="16">
        <f t="shared" si="386"/>
        <v>36466.737313141137</v>
      </c>
      <c r="DZ81" s="16">
        <f t="shared" si="386"/>
        <v>68397.891143646106</v>
      </c>
      <c r="EA81" s="16">
        <f t="shared" si="386"/>
        <v>96347.71511775977</v>
      </c>
      <c r="EB81" s="16">
        <f t="shared" si="386"/>
        <v>31893.481517789176</v>
      </c>
      <c r="EC81" s="16">
        <f t="shared" si="386"/>
        <v>56869.236270948764</v>
      </c>
      <c r="ED81" s="16">
        <f t="shared" si="386"/>
        <v>99989.643968229473</v>
      </c>
      <c r="EE81" s="16">
        <f t="shared" si="386"/>
        <v>38219.781144643624</v>
      </c>
      <c r="EF81" s="16">
        <f t="shared" si="386"/>
        <v>109812.0508873135</v>
      </c>
      <c r="EG81" s="16">
        <f t="shared" si="386"/>
        <v>126809.94474064505</v>
      </c>
      <c r="EH81" s="16">
        <f t="shared" si="425"/>
        <v>29703.635278123958</v>
      </c>
      <c r="EI81" s="16">
        <f t="shared" si="425"/>
        <v>62740.359540707985</v>
      </c>
      <c r="EJ81" s="16">
        <f t="shared" si="425"/>
        <v>122572.54363019888</v>
      </c>
      <c r="EK81" s="16">
        <f t="shared" si="425"/>
        <v>52876.769104054663</v>
      </c>
      <c r="EL81" s="16">
        <f t="shared" si="425"/>
        <v>99176.942158286867</v>
      </c>
      <c r="EM81" s="16">
        <f t="shared" si="425"/>
        <v>139704.18692075167</v>
      </c>
      <c r="EN81" s="16">
        <f t="shared" si="425"/>
        <v>46245.548200794299</v>
      </c>
      <c r="EO81" s="16">
        <f t="shared" si="425"/>
        <v>82460.392592875694</v>
      </c>
      <c r="EP81" s="16">
        <f t="shared" si="425"/>
        <v>144984.98375393276</v>
      </c>
      <c r="EQ81" s="16">
        <f t="shared" si="425"/>
        <v>55418.682659733255</v>
      </c>
      <c r="ER81" s="16">
        <f t="shared" si="425"/>
        <v>159227.47378660459</v>
      </c>
      <c r="ES81" s="16">
        <f t="shared" si="425"/>
        <v>183874.41987393529</v>
      </c>
      <c r="ET81" s="16">
        <f t="shared" si="425"/>
        <v>42327.680271326644</v>
      </c>
      <c r="EU81" s="16">
        <f t="shared" si="425"/>
        <v>89405.012345508891</v>
      </c>
      <c r="EV81" s="16">
        <f t="shared" si="425"/>
        <v>174665.87467303345</v>
      </c>
      <c r="EW81" s="16">
        <f t="shared" si="425"/>
        <v>75349.395973277889</v>
      </c>
      <c r="EX81" s="16">
        <f t="shared" si="425"/>
        <v>141327.14257555877</v>
      </c>
      <c r="EY81" s="16">
        <f t="shared" si="425"/>
        <v>199078.46636207114</v>
      </c>
      <c r="EZ81" s="16">
        <f t="shared" si="425"/>
        <v>65899.906186131877</v>
      </c>
      <c r="FA81" s="16">
        <f t="shared" si="425"/>
        <v>117506.05944484788</v>
      </c>
      <c r="FB81" s="16">
        <f t="shared" si="425"/>
        <v>206603.60184935419</v>
      </c>
      <c r="FC81" s="16"/>
      <c r="FD81" s="16"/>
      <c r="FE81" s="16"/>
      <c r="FF81" s="16"/>
      <c r="FG81" s="16"/>
      <c r="FH81" s="16"/>
      <c r="FI81" s="16"/>
      <c r="FJ81" s="16"/>
      <c r="FK81" s="16"/>
      <c r="FL81" s="16"/>
      <c r="FM81" s="16"/>
      <c r="FN81" s="16"/>
      <c r="FO81" s="16"/>
      <c r="FP81" s="16"/>
      <c r="FQ81" s="16"/>
      <c r="FR81" s="16"/>
      <c r="FS81" s="16"/>
      <c r="FT81" s="16"/>
      <c r="FU81" s="16"/>
      <c r="FV81" s="16"/>
      <c r="FW81" s="16"/>
      <c r="FX81" s="16"/>
      <c r="FY81" s="16"/>
      <c r="FZ81" s="16"/>
    </row>
    <row r="82" spans="3:182" x14ac:dyDescent="0.25">
      <c r="C82" t="s">
        <v>742</v>
      </c>
      <c r="D82" s="16">
        <f t="shared" ref="D82:L110" si="426">SUMIF($AY$2:$FB$2,D$2,$AY82:$FB82)</f>
        <v>0</v>
      </c>
      <c r="E82" s="16">
        <f t="shared" si="426"/>
        <v>0</v>
      </c>
      <c r="F82" s="16">
        <f t="shared" si="426"/>
        <v>0</v>
      </c>
      <c r="G82" s="16">
        <f t="shared" si="426"/>
        <v>0</v>
      </c>
      <c r="H82" s="16">
        <f t="shared" si="426"/>
        <v>201002.1603687279</v>
      </c>
      <c r="I82" s="16">
        <f t="shared" si="426"/>
        <v>489306.21913757164</v>
      </c>
      <c r="J82" s="16">
        <f t="shared" si="426"/>
        <v>701977.07637159643</v>
      </c>
      <c r="K82" s="16">
        <f t="shared" si="426"/>
        <v>1010311.7981666257</v>
      </c>
      <c r="L82" s="16">
        <f t="shared" si="426"/>
        <v>1449065.0979059627</v>
      </c>
      <c r="M82" s="16"/>
      <c r="N82" s="16">
        <f t="shared" si="388"/>
        <v>0</v>
      </c>
      <c r="O82" s="16">
        <f t="shared" si="389"/>
        <v>0</v>
      </c>
      <c r="P82" s="16">
        <f t="shared" si="390"/>
        <v>0</v>
      </c>
      <c r="Q82" s="16">
        <f t="shared" si="391"/>
        <v>0</v>
      </c>
      <c r="R82" s="16">
        <f t="shared" si="392"/>
        <v>0</v>
      </c>
      <c r="S82" s="16">
        <f t="shared" si="393"/>
        <v>0</v>
      </c>
      <c r="T82" s="16">
        <f t="shared" si="394"/>
        <v>0</v>
      </c>
      <c r="U82" s="16">
        <f t="shared" si="395"/>
        <v>0</v>
      </c>
      <c r="V82" s="16">
        <f t="shared" si="396"/>
        <v>0</v>
      </c>
      <c r="W82" s="16">
        <f t="shared" si="397"/>
        <v>0</v>
      </c>
      <c r="X82" s="16">
        <f t="shared" si="398"/>
        <v>0</v>
      </c>
      <c r="Y82" s="16">
        <f t="shared" si="399"/>
        <v>0</v>
      </c>
      <c r="Z82" s="16">
        <f t="shared" si="400"/>
        <v>0</v>
      </c>
      <c r="AA82" s="16">
        <f t="shared" si="401"/>
        <v>0</v>
      </c>
      <c r="AB82" s="16">
        <f t="shared" si="402"/>
        <v>0</v>
      </c>
      <c r="AC82" s="16">
        <f t="shared" si="403"/>
        <v>0</v>
      </c>
      <c r="AD82" s="16">
        <f t="shared" si="404"/>
        <v>0</v>
      </c>
      <c r="AE82" s="16">
        <f t="shared" si="405"/>
        <v>23409.403335580497</v>
      </c>
      <c r="AF82" s="16">
        <f t="shared" si="406"/>
        <v>76764.723514164012</v>
      </c>
      <c r="AG82" s="16">
        <f t="shared" si="407"/>
        <v>100828.0335189834</v>
      </c>
      <c r="AH82" s="16">
        <f t="shared" si="408"/>
        <v>128130.935625</v>
      </c>
      <c r="AI82" s="16">
        <f t="shared" si="409"/>
        <v>114878.90634391615</v>
      </c>
      <c r="AJ82" s="16">
        <f t="shared" si="410"/>
        <v>123002.77858797912</v>
      </c>
      <c r="AK82" s="16">
        <f t="shared" si="411"/>
        <v>123293.59858067639</v>
      </c>
      <c r="AL82" s="16">
        <f t="shared" si="412"/>
        <v>174544.65322046549</v>
      </c>
      <c r="AM82" s="16">
        <f t="shared" si="413"/>
        <v>152924.57307736407</v>
      </c>
      <c r="AN82" s="16">
        <f t="shared" si="414"/>
        <v>189397.41716726922</v>
      </c>
      <c r="AO82" s="16">
        <f t="shared" si="415"/>
        <v>185110.43290649771</v>
      </c>
      <c r="AP82" s="16">
        <f t="shared" si="416"/>
        <v>248021.47600018658</v>
      </c>
      <c r="AQ82" s="16">
        <f t="shared" si="417"/>
        <v>219253.939559477</v>
      </c>
      <c r="AR82" s="16">
        <f t="shared" si="418"/>
        <v>274626.2548925404</v>
      </c>
      <c r="AS82" s="16">
        <f t="shared" si="419"/>
        <v>268410.12771442166</v>
      </c>
      <c r="AT82" s="16">
        <f t="shared" si="420"/>
        <v>359631.14020027057</v>
      </c>
      <c r="AU82" s="16">
        <f t="shared" si="421"/>
        <v>315607.11249077081</v>
      </c>
      <c r="AV82" s="16">
        <f t="shared" si="422"/>
        <v>391342.41322187008</v>
      </c>
      <c r="AW82" s="16">
        <f t="shared" si="423"/>
        <v>382484.43199305085</v>
      </c>
      <c r="CI82" s="16"/>
      <c r="CJ82" s="16"/>
      <c r="CK82" s="16"/>
      <c r="CL82" s="16"/>
      <c r="CM82" s="16"/>
      <c r="CN82" s="16"/>
      <c r="CO82" s="16"/>
      <c r="CP82" s="16"/>
      <c r="CQ82" s="16"/>
      <c r="CR82" s="16"/>
      <c r="CS82" s="16"/>
      <c r="CT82" s="16"/>
      <c r="CU82" s="16"/>
      <c r="CV82" s="16"/>
      <c r="CW82" s="16"/>
      <c r="CX82" s="16"/>
      <c r="CY82" s="16">
        <f>CX81</f>
        <v>9243.6431210360988</v>
      </c>
      <c r="CZ82" s="16">
        <f t="shared" si="384"/>
        <v>14165.760214544398</v>
      </c>
      <c r="DA82" s="16">
        <f t="shared" si="384"/>
        <v>33723.055415309405</v>
      </c>
      <c r="DB82" s="16">
        <f t="shared" si="385"/>
        <v>16419.2364341838</v>
      </c>
      <c r="DC82" s="16">
        <f t="shared" si="385"/>
        <v>26622.431664670799</v>
      </c>
      <c r="DD82" s="16">
        <f t="shared" si="385"/>
        <v>46337.128518983394</v>
      </c>
      <c r="DE82" s="16">
        <f t="shared" si="385"/>
        <v>16347.271500000001</v>
      </c>
      <c r="DF82" s="16">
        <f t="shared" si="385"/>
        <v>38143.633500000004</v>
      </c>
      <c r="DG82" s="16">
        <f t="shared" si="385"/>
        <v>54490.904999999999</v>
      </c>
      <c r="DH82" s="16">
        <f t="shared" si="385"/>
        <v>14728.006125</v>
      </c>
      <c r="DI82" s="16">
        <f t="shared" si="385"/>
        <v>58912.0245</v>
      </c>
      <c r="DJ82" s="16">
        <f t="shared" si="385"/>
        <v>73640.030624999999</v>
      </c>
      <c r="DK82" s="16">
        <f t="shared" si="385"/>
        <v>12896.065734949832</v>
      </c>
      <c r="DL82" s="16">
        <f t="shared" si="385"/>
        <v>28342.809983966323</v>
      </c>
      <c r="DM82" s="16">
        <f t="shared" si="385"/>
        <v>56318.115227445407</v>
      </c>
      <c r="DN82" s="16">
        <f t="shared" si="385"/>
        <v>22518.211737722806</v>
      </c>
      <c r="DO82" s="16">
        <f t="shared" si="385"/>
        <v>44166.451622810913</v>
      </c>
      <c r="DP82" s="16">
        <f t="shared" si="385"/>
        <v>63115.484825599837</v>
      </c>
      <c r="DQ82" s="16">
        <f t="shared" ref="DL82:EA100" si="427">DP81</f>
        <v>21622.699334094348</v>
      </c>
      <c r="DR82" s="16">
        <f t="shared" si="386"/>
        <v>38555.414420982212</v>
      </c>
      <c r="DS82" s="16">
        <f t="shared" si="386"/>
        <v>67789.589131003042</v>
      </c>
      <c r="DT82" s="16">
        <f t="shared" si="386"/>
        <v>29108.96603026686</v>
      </c>
      <c r="DU82" s="16">
        <f t="shared" si="386"/>
        <v>77646.098059195589</v>
      </c>
      <c r="DV82" s="16">
        <f t="shared" si="386"/>
        <v>89170.093891962737</v>
      </c>
      <c r="DW82" s="16">
        <f t="shared" si="386"/>
        <v>20485.265709051</v>
      </c>
      <c r="DX82" s="16">
        <f t="shared" si="386"/>
        <v>43269.213476350327</v>
      </c>
      <c r="DY82" s="16">
        <f t="shared" si="386"/>
        <v>84532.788710481997</v>
      </c>
      <c r="DZ82" s="16">
        <f t="shared" si="386"/>
        <v>36466.737313141137</v>
      </c>
      <c r="EA82" s="16">
        <f t="shared" si="386"/>
        <v>68397.891143646106</v>
      </c>
      <c r="EB82" s="16">
        <f t="shared" si="386"/>
        <v>96347.71511775977</v>
      </c>
      <c r="EC82" s="16">
        <f t="shared" si="386"/>
        <v>31893.481517789176</v>
      </c>
      <c r="ED82" s="16">
        <f t="shared" si="386"/>
        <v>56869.236270948764</v>
      </c>
      <c r="EE82" s="16">
        <f t="shared" si="386"/>
        <v>99989.643968229473</v>
      </c>
      <c r="EF82" s="16">
        <f t="shared" si="386"/>
        <v>38219.781144643624</v>
      </c>
      <c r="EG82" s="16">
        <f t="shared" ref="EG82:FB82" si="428">EF81</f>
        <v>109812.0508873135</v>
      </c>
      <c r="EH82" s="16">
        <f t="shared" si="428"/>
        <v>126809.94474064505</v>
      </c>
      <c r="EI82" s="16">
        <f t="shared" si="428"/>
        <v>29703.635278123958</v>
      </c>
      <c r="EJ82" s="16">
        <f t="shared" si="428"/>
        <v>62740.359540707985</v>
      </c>
      <c r="EK82" s="16">
        <f t="shared" si="428"/>
        <v>122572.54363019888</v>
      </c>
      <c r="EL82" s="16">
        <f t="shared" si="428"/>
        <v>52876.769104054663</v>
      </c>
      <c r="EM82" s="16">
        <f t="shared" si="428"/>
        <v>99176.942158286867</v>
      </c>
      <c r="EN82" s="16">
        <f t="shared" si="428"/>
        <v>139704.18692075167</v>
      </c>
      <c r="EO82" s="16">
        <f t="shared" si="428"/>
        <v>46245.548200794299</v>
      </c>
      <c r="EP82" s="16">
        <f t="shared" si="428"/>
        <v>82460.392592875694</v>
      </c>
      <c r="EQ82" s="16">
        <f t="shared" si="428"/>
        <v>144984.98375393276</v>
      </c>
      <c r="ER82" s="16">
        <f t="shared" si="428"/>
        <v>55418.682659733255</v>
      </c>
      <c r="ES82" s="16">
        <f t="shared" si="428"/>
        <v>159227.47378660459</v>
      </c>
      <c r="ET82" s="16">
        <f t="shared" si="428"/>
        <v>183874.41987393529</v>
      </c>
      <c r="EU82" s="16">
        <f t="shared" si="428"/>
        <v>42327.680271326644</v>
      </c>
      <c r="EV82" s="16">
        <f t="shared" si="428"/>
        <v>89405.012345508891</v>
      </c>
      <c r="EW82" s="16">
        <f t="shared" si="428"/>
        <v>174665.87467303345</v>
      </c>
      <c r="EX82" s="16">
        <f t="shared" si="428"/>
        <v>75349.395973277889</v>
      </c>
      <c r="EY82" s="16">
        <f t="shared" si="428"/>
        <v>141327.14257555877</v>
      </c>
      <c r="EZ82" s="16">
        <f t="shared" si="428"/>
        <v>199078.46636207114</v>
      </c>
      <c r="FA82" s="16">
        <f t="shared" si="428"/>
        <v>65899.906186131877</v>
      </c>
      <c r="FB82" s="16">
        <f t="shared" si="428"/>
        <v>117506.05944484788</v>
      </c>
      <c r="FC82" s="16"/>
      <c r="FD82" s="16"/>
      <c r="FE82" s="16"/>
      <c r="FF82" s="16"/>
      <c r="FG82" s="16"/>
      <c r="FH82" s="16"/>
      <c r="FI82" s="16"/>
      <c r="FJ82" s="16"/>
      <c r="FK82" s="16"/>
      <c r="FL82" s="16"/>
      <c r="FM82" s="16"/>
      <c r="FN82" s="16"/>
      <c r="FO82" s="16"/>
      <c r="FP82" s="16"/>
      <c r="FQ82" s="16"/>
      <c r="FR82" s="16"/>
      <c r="FS82" s="16"/>
      <c r="FT82" s="16"/>
      <c r="FU82" s="16"/>
      <c r="FV82" s="16"/>
      <c r="FW82" s="16"/>
      <c r="FX82" s="16"/>
      <c r="FY82" s="16"/>
      <c r="FZ82" s="16"/>
    </row>
    <row r="83" spans="3:182" x14ac:dyDescent="0.25">
      <c r="C83" t="s">
        <v>743</v>
      </c>
      <c r="D83" s="16">
        <f t="shared" si="426"/>
        <v>0</v>
      </c>
      <c r="E83" s="16">
        <f t="shared" si="426"/>
        <v>0</v>
      </c>
      <c r="F83" s="16">
        <f t="shared" si="426"/>
        <v>0</v>
      </c>
      <c r="G83" s="16">
        <f t="shared" si="426"/>
        <v>0</v>
      </c>
      <c r="H83" s="16">
        <f t="shared" si="426"/>
        <v>162858.5268687279</v>
      </c>
      <c r="I83" s="16">
        <f t="shared" si="426"/>
        <v>488894.43821658951</v>
      </c>
      <c r="J83" s="16">
        <f t="shared" si="426"/>
        <v>683663.25452163001</v>
      </c>
      <c r="K83" s="16">
        <f t="shared" si="426"/>
        <v>984720.64184469881</v>
      </c>
      <c r="L83" s="16">
        <f t="shared" si="426"/>
        <v>1414019.4310539905</v>
      </c>
      <c r="M83" s="16"/>
      <c r="N83" s="16">
        <f t="shared" si="388"/>
        <v>0</v>
      </c>
      <c r="O83" s="16">
        <f t="shared" si="389"/>
        <v>0</v>
      </c>
      <c r="P83" s="16">
        <f t="shared" si="390"/>
        <v>0</v>
      </c>
      <c r="Q83" s="16">
        <f t="shared" si="391"/>
        <v>0</v>
      </c>
      <c r="R83" s="16">
        <f t="shared" si="392"/>
        <v>0</v>
      </c>
      <c r="S83" s="16">
        <f t="shared" si="393"/>
        <v>0</v>
      </c>
      <c r="T83" s="16">
        <f t="shared" si="394"/>
        <v>0</v>
      </c>
      <c r="U83" s="16">
        <f t="shared" si="395"/>
        <v>0</v>
      </c>
      <c r="V83" s="16">
        <f t="shared" si="396"/>
        <v>0</v>
      </c>
      <c r="W83" s="16">
        <f t="shared" si="397"/>
        <v>0</v>
      </c>
      <c r="X83" s="16">
        <f t="shared" si="398"/>
        <v>0</v>
      </c>
      <c r="Y83" s="16">
        <f t="shared" si="399"/>
        <v>0</v>
      </c>
      <c r="Z83" s="16">
        <f t="shared" si="400"/>
        <v>0</v>
      </c>
      <c r="AA83" s="16">
        <f t="shared" si="401"/>
        <v>0</v>
      </c>
      <c r="AB83" s="16">
        <f t="shared" si="402"/>
        <v>0</v>
      </c>
      <c r="AC83" s="16">
        <f t="shared" si="403"/>
        <v>0</v>
      </c>
      <c r="AD83" s="16">
        <f t="shared" si="404"/>
        <v>0</v>
      </c>
      <c r="AE83" s="16">
        <f t="shared" si="405"/>
        <v>9243.6431210360988</v>
      </c>
      <c r="AF83" s="16">
        <f t="shared" si="406"/>
        <v>64308.052064037605</v>
      </c>
      <c r="AG83" s="16">
        <f t="shared" si="407"/>
        <v>89306.831683654193</v>
      </c>
      <c r="AH83" s="16">
        <f t="shared" si="408"/>
        <v>107362.54462499999</v>
      </c>
      <c r="AI83" s="16">
        <f t="shared" si="409"/>
        <v>145448.12085994985</v>
      </c>
      <c r="AJ83" s="16">
        <f t="shared" si="410"/>
        <v>107179.13694913452</v>
      </c>
      <c r="AK83" s="16">
        <f t="shared" si="411"/>
        <v>128904.63578250509</v>
      </c>
      <c r="AL83" s="16">
        <f t="shared" si="412"/>
        <v>135453.96958225212</v>
      </c>
      <c r="AM83" s="16">
        <f t="shared" si="413"/>
        <v>187301.45766020933</v>
      </c>
      <c r="AN83" s="16">
        <f t="shared" si="414"/>
        <v>164268.73949997345</v>
      </c>
      <c r="AO83" s="16">
        <f t="shared" si="415"/>
        <v>196639.08777919505</v>
      </c>
      <c r="AP83" s="16">
        <f t="shared" si="416"/>
        <v>195078.66138382186</v>
      </c>
      <c r="AQ83" s="16">
        <f t="shared" si="417"/>
        <v>266325.63090608252</v>
      </c>
      <c r="AR83" s="16">
        <f t="shared" si="418"/>
        <v>238189.67227496154</v>
      </c>
      <c r="AS83" s="16">
        <f t="shared" si="419"/>
        <v>285126.67727983283</v>
      </c>
      <c r="AT83" s="16">
        <f t="shared" si="420"/>
        <v>282864.05900654173</v>
      </c>
      <c r="AU83" s="16">
        <f t="shared" si="421"/>
        <v>385429.5739318665</v>
      </c>
      <c r="AV83" s="16">
        <f t="shared" si="422"/>
        <v>339420.28299182025</v>
      </c>
      <c r="AW83" s="16">
        <f t="shared" si="423"/>
        <v>406305.51512376178</v>
      </c>
      <c r="CI83" s="16"/>
      <c r="CJ83" s="16"/>
      <c r="CK83" s="16"/>
      <c r="CL83" s="16"/>
      <c r="CM83" s="16"/>
      <c r="CN83" s="16"/>
      <c r="CO83" s="16"/>
      <c r="CP83" s="16"/>
      <c r="CQ83" s="16"/>
      <c r="CR83" s="16"/>
      <c r="CS83" s="16"/>
      <c r="CT83" s="16"/>
      <c r="CU83" s="16"/>
      <c r="CV83" s="16"/>
      <c r="CW83" s="16"/>
      <c r="CX83" s="16"/>
      <c r="CY83" s="16"/>
      <c r="CZ83" s="16">
        <f>CY82</f>
        <v>9243.6431210360988</v>
      </c>
      <c r="DA83" s="16">
        <f t="shared" ref="DA83:DP95" si="429">CZ82</f>
        <v>14165.760214544398</v>
      </c>
      <c r="DB83" s="16">
        <f t="shared" si="429"/>
        <v>33723.055415309405</v>
      </c>
      <c r="DC83" s="16">
        <f t="shared" si="429"/>
        <v>16419.2364341838</v>
      </c>
      <c r="DD83" s="16">
        <f t="shared" si="429"/>
        <v>26622.431664670799</v>
      </c>
      <c r="DE83" s="16">
        <f t="shared" si="429"/>
        <v>46337.128518983394</v>
      </c>
      <c r="DF83" s="16">
        <f t="shared" si="429"/>
        <v>16347.271500000001</v>
      </c>
      <c r="DG83" s="16">
        <f t="shared" si="429"/>
        <v>38143.633500000004</v>
      </c>
      <c r="DH83" s="16">
        <f t="shared" si="429"/>
        <v>54490.904999999999</v>
      </c>
      <c r="DI83" s="16">
        <f t="shared" si="429"/>
        <v>14728.006125</v>
      </c>
      <c r="DJ83" s="16">
        <f t="shared" si="429"/>
        <v>58912.0245</v>
      </c>
      <c r="DK83" s="16">
        <f t="shared" si="429"/>
        <v>73640.030624999999</v>
      </c>
      <c r="DL83" s="16">
        <f t="shared" si="427"/>
        <v>12896.065734949832</v>
      </c>
      <c r="DM83" s="16">
        <f t="shared" si="427"/>
        <v>28342.809983966323</v>
      </c>
      <c r="DN83" s="16">
        <f t="shared" si="427"/>
        <v>56318.115227445407</v>
      </c>
      <c r="DO83" s="16">
        <f t="shared" si="427"/>
        <v>22518.211737722806</v>
      </c>
      <c r="DP83" s="16">
        <f t="shared" si="427"/>
        <v>44166.451622810913</v>
      </c>
      <c r="DQ83" s="16">
        <f t="shared" si="427"/>
        <v>63115.484825599837</v>
      </c>
      <c r="DR83" s="16">
        <f t="shared" si="427"/>
        <v>21622.699334094348</v>
      </c>
      <c r="DS83" s="16">
        <f t="shared" si="427"/>
        <v>38555.414420982212</v>
      </c>
      <c r="DT83" s="16">
        <f t="shared" si="427"/>
        <v>67789.589131003042</v>
      </c>
      <c r="DU83" s="16">
        <f t="shared" si="427"/>
        <v>29108.96603026686</v>
      </c>
      <c r="DV83" s="16">
        <f t="shared" si="427"/>
        <v>77646.098059195589</v>
      </c>
      <c r="DW83" s="16">
        <f t="shared" si="427"/>
        <v>89170.093891962737</v>
      </c>
      <c r="DX83" s="16">
        <f t="shared" si="427"/>
        <v>20485.265709051</v>
      </c>
      <c r="DY83" s="16">
        <f t="shared" si="427"/>
        <v>43269.213476350327</v>
      </c>
      <c r="DZ83" s="16">
        <f t="shared" si="427"/>
        <v>84532.788710481997</v>
      </c>
      <c r="EA83" s="16">
        <f t="shared" si="427"/>
        <v>36466.737313141137</v>
      </c>
      <c r="EB83" s="16">
        <f t="shared" ref="EB83:FB87" si="430">EA82</f>
        <v>68397.891143646106</v>
      </c>
      <c r="EC83" s="16">
        <f t="shared" si="430"/>
        <v>96347.71511775977</v>
      </c>
      <c r="ED83" s="16">
        <f t="shared" si="430"/>
        <v>31893.481517789176</v>
      </c>
      <c r="EE83" s="16">
        <f t="shared" si="430"/>
        <v>56869.236270948764</v>
      </c>
      <c r="EF83" s="16">
        <f t="shared" si="430"/>
        <v>99989.643968229473</v>
      </c>
      <c r="EG83" s="16">
        <f t="shared" si="430"/>
        <v>38219.781144643624</v>
      </c>
      <c r="EH83" s="16">
        <f t="shared" si="430"/>
        <v>109812.0508873135</v>
      </c>
      <c r="EI83" s="16">
        <f t="shared" si="430"/>
        <v>126809.94474064505</v>
      </c>
      <c r="EJ83" s="16">
        <f t="shared" si="430"/>
        <v>29703.635278123958</v>
      </c>
      <c r="EK83" s="16">
        <f t="shared" si="430"/>
        <v>62740.359540707985</v>
      </c>
      <c r="EL83" s="16">
        <f t="shared" si="430"/>
        <v>122572.54363019888</v>
      </c>
      <c r="EM83" s="16">
        <f t="shared" si="430"/>
        <v>52876.769104054663</v>
      </c>
      <c r="EN83" s="16">
        <f t="shared" si="430"/>
        <v>99176.942158286867</v>
      </c>
      <c r="EO83" s="16">
        <f t="shared" si="430"/>
        <v>139704.18692075167</v>
      </c>
      <c r="EP83" s="16">
        <f t="shared" si="430"/>
        <v>46245.548200794299</v>
      </c>
      <c r="EQ83" s="16">
        <f t="shared" si="430"/>
        <v>82460.392592875694</v>
      </c>
      <c r="ER83" s="16">
        <f t="shared" si="430"/>
        <v>144984.98375393276</v>
      </c>
      <c r="ES83" s="16">
        <f t="shared" si="430"/>
        <v>55418.682659733255</v>
      </c>
      <c r="ET83" s="16">
        <f t="shared" si="430"/>
        <v>159227.47378660459</v>
      </c>
      <c r="EU83" s="16">
        <f t="shared" si="430"/>
        <v>183874.41987393529</v>
      </c>
      <c r="EV83" s="16">
        <f t="shared" si="430"/>
        <v>42327.680271326644</v>
      </c>
      <c r="EW83" s="16">
        <f t="shared" si="430"/>
        <v>89405.012345508891</v>
      </c>
      <c r="EX83" s="16">
        <f t="shared" si="430"/>
        <v>174665.87467303345</v>
      </c>
      <c r="EY83" s="16">
        <f t="shared" si="430"/>
        <v>75349.395973277889</v>
      </c>
      <c r="EZ83" s="16">
        <f t="shared" si="430"/>
        <v>141327.14257555877</v>
      </c>
      <c r="FA83" s="16">
        <f t="shared" si="430"/>
        <v>199078.46636207114</v>
      </c>
      <c r="FB83" s="16">
        <f t="shared" si="430"/>
        <v>65899.906186131877</v>
      </c>
      <c r="FC83" s="16"/>
      <c r="FD83" s="16"/>
      <c r="FE83" s="16"/>
      <c r="FF83" s="16"/>
      <c r="FG83" s="16"/>
      <c r="FH83" s="16"/>
      <c r="FI83" s="16"/>
      <c r="FJ83" s="16"/>
      <c r="FK83" s="16"/>
      <c r="FL83" s="16"/>
      <c r="FM83" s="16"/>
      <c r="FN83" s="16"/>
      <c r="FO83" s="16"/>
      <c r="FP83" s="16"/>
      <c r="FQ83" s="16"/>
      <c r="FR83" s="16"/>
      <c r="FS83" s="16"/>
      <c r="FT83" s="16"/>
      <c r="FU83" s="16"/>
      <c r="FV83" s="16"/>
      <c r="FW83" s="16"/>
      <c r="FX83" s="16"/>
      <c r="FY83" s="16"/>
      <c r="FZ83" s="16"/>
    </row>
    <row r="84" spans="3:182" x14ac:dyDescent="0.25">
      <c r="C84" t="s">
        <v>744</v>
      </c>
      <c r="D84" s="16">
        <f t="shared" si="426"/>
        <v>0</v>
      </c>
      <c r="E84" s="16">
        <f t="shared" si="426"/>
        <v>0</v>
      </c>
      <c r="F84" s="16">
        <f t="shared" si="426"/>
        <v>0</v>
      </c>
      <c r="G84" s="16">
        <f t="shared" si="426"/>
        <v>0</v>
      </c>
      <c r="H84" s="16">
        <f t="shared" si="426"/>
        <v>146511.2553687279</v>
      </c>
      <c r="I84" s="16">
        <f t="shared" si="426"/>
        <v>483619.01038249518</v>
      </c>
      <c r="J84" s="16">
        <f t="shared" si="426"/>
        <v>673392.47233793512</v>
      </c>
      <c r="K84" s="16">
        <f t="shared" si="426"/>
        <v>970368.57516169373</v>
      </c>
      <c r="L84" s="16">
        <f t="shared" si="426"/>
        <v>1394365.0730686528</v>
      </c>
      <c r="M84" s="16"/>
      <c r="N84" s="16">
        <f t="shared" si="388"/>
        <v>0</v>
      </c>
      <c r="O84" s="16">
        <f t="shared" si="389"/>
        <v>0</v>
      </c>
      <c r="P84" s="16">
        <f t="shared" si="390"/>
        <v>0</v>
      </c>
      <c r="Q84" s="16">
        <f t="shared" si="391"/>
        <v>0</v>
      </c>
      <c r="R84" s="16">
        <f t="shared" si="392"/>
        <v>0</v>
      </c>
      <c r="S84" s="16">
        <f t="shared" si="393"/>
        <v>0</v>
      </c>
      <c r="T84" s="16">
        <f t="shared" si="394"/>
        <v>0</v>
      </c>
      <c r="U84" s="16">
        <f t="shared" si="395"/>
        <v>0</v>
      </c>
      <c r="V84" s="16">
        <f t="shared" si="396"/>
        <v>0</v>
      </c>
      <c r="W84" s="16">
        <f t="shared" si="397"/>
        <v>0</v>
      </c>
      <c r="X84" s="16">
        <f t="shared" si="398"/>
        <v>0</v>
      </c>
      <c r="Y84" s="16">
        <f t="shared" si="399"/>
        <v>0</v>
      </c>
      <c r="Z84" s="16">
        <f t="shared" si="400"/>
        <v>0</v>
      </c>
      <c r="AA84" s="16">
        <f t="shared" si="401"/>
        <v>0</v>
      </c>
      <c r="AB84" s="16">
        <f t="shared" si="402"/>
        <v>0</v>
      </c>
      <c r="AC84" s="16">
        <f t="shared" si="403"/>
        <v>0</v>
      </c>
      <c r="AD84" s="16">
        <f t="shared" si="404"/>
        <v>0</v>
      </c>
      <c r="AE84" s="16">
        <f t="shared" si="405"/>
        <v>0</v>
      </c>
      <c r="AF84" s="16">
        <f t="shared" si="406"/>
        <v>57132.458750889899</v>
      </c>
      <c r="AG84" s="16">
        <f t="shared" si="407"/>
        <v>89378.796617838001</v>
      </c>
      <c r="AH84" s="16">
        <f t="shared" si="408"/>
        <v>108981.81</v>
      </c>
      <c r="AI84" s="16">
        <f t="shared" si="409"/>
        <v>147280.06125</v>
      </c>
      <c r="AJ84" s="16">
        <f t="shared" si="410"/>
        <v>97556.990946361562</v>
      </c>
      <c r="AK84" s="16">
        <f t="shared" si="411"/>
        <v>129800.14818613355</v>
      </c>
      <c r="AL84" s="16">
        <f t="shared" si="412"/>
        <v>127967.7028860796</v>
      </c>
      <c r="AM84" s="16">
        <f t="shared" si="413"/>
        <v>195925.15798142517</v>
      </c>
      <c r="AN84" s="16">
        <f t="shared" si="414"/>
        <v>148287.26789588333</v>
      </c>
      <c r="AO84" s="16">
        <f t="shared" si="415"/>
        <v>201212.34357454701</v>
      </c>
      <c r="AP84" s="16">
        <f t="shared" si="416"/>
        <v>188752.36175696741</v>
      </c>
      <c r="AQ84" s="16">
        <f t="shared" si="417"/>
        <v>274841.77677260217</v>
      </c>
      <c r="AR84" s="16">
        <f t="shared" si="418"/>
        <v>215016.53844903084</v>
      </c>
      <c r="AS84" s="16">
        <f t="shared" si="419"/>
        <v>291757.89818309317</v>
      </c>
      <c r="AT84" s="16">
        <f t="shared" si="420"/>
        <v>273690.92454760277</v>
      </c>
      <c r="AU84" s="16">
        <f t="shared" si="421"/>
        <v>398520.5763202731</v>
      </c>
      <c r="AV84" s="16">
        <f t="shared" si="422"/>
        <v>306398.56728986895</v>
      </c>
      <c r="AW84" s="16">
        <f t="shared" si="423"/>
        <v>415755.00491090782</v>
      </c>
      <c r="CI84" s="16"/>
      <c r="CJ84" s="16"/>
      <c r="CK84" s="16"/>
      <c r="CL84" s="16"/>
      <c r="CM84" s="16"/>
      <c r="CN84" s="16"/>
      <c r="CO84" s="16"/>
      <c r="CP84" s="16"/>
      <c r="CQ84" s="16"/>
      <c r="CR84" s="16"/>
      <c r="CS84" s="16"/>
      <c r="CT84" s="16"/>
      <c r="CU84" s="16"/>
      <c r="CV84" s="16"/>
      <c r="CW84" s="16"/>
      <c r="CX84" s="16"/>
      <c r="CY84" s="16"/>
      <c r="CZ84" s="16"/>
      <c r="DA84" s="16">
        <f>CZ83</f>
        <v>9243.6431210360988</v>
      </c>
      <c r="DB84" s="16">
        <f t="shared" si="429"/>
        <v>14165.760214544398</v>
      </c>
      <c r="DC84" s="16">
        <f t="shared" si="429"/>
        <v>33723.055415309405</v>
      </c>
      <c r="DD84" s="16">
        <f t="shared" si="429"/>
        <v>16419.2364341838</v>
      </c>
      <c r="DE84" s="16">
        <f t="shared" si="429"/>
        <v>26622.431664670799</v>
      </c>
      <c r="DF84" s="16">
        <f t="shared" si="429"/>
        <v>46337.128518983394</v>
      </c>
      <c r="DG84" s="16">
        <f t="shared" si="429"/>
        <v>16347.271500000001</v>
      </c>
      <c r="DH84" s="16">
        <f t="shared" si="429"/>
        <v>38143.633500000004</v>
      </c>
      <c r="DI84" s="16">
        <f t="shared" si="429"/>
        <v>54490.904999999999</v>
      </c>
      <c r="DJ84" s="16">
        <f t="shared" si="429"/>
        <v>14728.006125</v>
      </c>
      <c r="DK84" s="16">
        <f t="shared" si="429"/>
        <v>58912.0245</v>
      </c>
      <c r="DL84" s="16">
        <f t="shared" si="427"/>
        <v>73640.030624999999</v>
      </c>
      <c r="DM84" s="16">
        <f t="shared" si="427"/>
        <v>12896.065734949832</v>
      </c>
      <c r="DN84" s="16">
        <f t="shared" si="427"/>
        <v>28342.809983966323</v>
      </c>
      <c r="DO84" s="16">
        <f t="shared" si="427"/>
        <v>56318.115227445407</v>
      </c>
      <c r="DP84" s="16">
        <f t="shared" si="427"/>
        <v>22518.211737722806</v>
      </c>
      <c r="DQ84" s="16">
        <f t="shared" si="427"/>
        <v>44166.451622810913</v>
      </c>
      <c r="DR84" s="16">
        <f t="shared" si="427"/>
        <v>63115.484825599837</v>
      </c>
      <c r="DS84" s="16">
        <f t="shared" si="427"/>
        <v>21622.699334094348</v>
      </c>
      <c r="DT84" s="16">
        <f t="shared" si="427"/>
        <v>38555.414420982212</v>
      </c>
      <c r="DU84" s="16">
        <f t="shared" si="427"/>
        <v>67789.589131003042</v>
      </c>
      <c r="DV84" s="16">
        <f t="shared" si="427"/>
        <v>29108.96603026686</v>
      </c>
      <c r="DW84" s="16">
        <f t="shared" si="427"/>
        <v>77646.098059195589</v>
      </c>
      <c r="DX84" s="16">
        <f t="shared" si="427"/>
        <v>89170.093891962737</v>
      </c>
      <c r="DY84" s="16">
        <f t="shared" si="427"/>
        <v>20485.265709051</v>
      </c>
      <c r="DZ84" s="16">
        <f t="shared" si="427"/>
        <v>43269.213476350327</v>
      </c>
      <c r="EA84" s="16">
        <f t="shared" si="427"/>
        <v>84532.788710481997</v>
      </c>
      <c r="EB84" s="16">
        <f t="shared" si="430"/>
        <v>36466.737313141137</v>
      </c>
      <c r="EC84" s="16">
        <f t="shared" si="430"/>
        <v>68397.891143646106</v>
      </c>
      <c r="ED84" s="16">
        <f t="shared" si="430"/>
        <v>96347.71511775977</v>
      </c>
      <c r="EE84" s="16">
        <f t="shared" si="430"/>
        <v>31893.481517789176</v>
      </c>
      <c r="EF84" s="16">
        <f t="shared" si="430"/>
        <v>56869.236270948764</v>
      </c>
      <c r="EG84" s="16">
        <f t="shared" si="430"/>
        <v>99989.643968229473</v>
      </c>
      <c r="EH84" s="16">
        <f t="shared" si="430"/>
        <v>38219.781144643624</v>
      </c>
      <c r="EI84" s="16">
        <f t="shared" si="430"/>
        <v>109812.0508873135</v>
      </c>
      <c r="EJ84" s="16">
        <f t="shared" si="430"/>
        <v>126809.94474064505</v>
      </c>
      <c r="EK84" s="16">
        <f t="shared" si="430"/>
        <v>29703.635278123958</v>
      </c>
      <c r="EL84" s="16">
        <f t="shared" si="430"/>
        <v>62740.359540707985</v>
      </c>
      <c r="EM84" s="16">
        <f t="shared" si="430"/>
        <v>122572.54363019888</v>
      </c>
      <c r="EN84" s="16">
        <f t="shared" si="430"/>
        <v>52876.769104054663</v>
      </c>
      <c r="EO84" s="16">
        <f t="shared" si="430"/>
        <v>99176.942158286867</v>
      </c>
      <c r="EP84" s="16">
        <f t="shared" si="430"/>
        <v>139704.18692075167</v>
      </c>
      <c r="EQ84" s="16">
        <f t="shared" si="430"/>
        <v>46245.548200794299</v>
      </c>
      <c r="ER84" s="16">
        <f t="shared" si="430"/>
        <v>82460.392592875694</v>
      </c>
      <c r="ES84" s="16">
        <f t="shared" si="430"/>
        <v>144984.98375393276</v>
      </c>
      <c r="ET84" s="16">
        <f t="shared" si="430"/>
        <v>55418.682659733255</v>
      </c>
      <c r="EU84" s="16">
        <f t="shared" si="430"/>
        <v>159227.47378660459</v>
      </c>
      <c r="EV84" s="16">
        <f t="shared" si="430"/>
        <v>183874.41987393529</v>
      </c>
      <c r="EW84" s="16">
        <f t="shared" si="430"/>
        <v>42327.680271326644</v>
      </c>
      <c r="EX84" s="16">
        <f t="shared" si="430"/>
        <v>89405.012345508891</v>
      </c>
      <c r="EY84" s="16">
        <f t="shared" si="430"/>
        <v>174665.87467303345</v>
      </c>
      <c r="EZ84" s="16">
        <f t="shared" si="430"/>
        <v>75349.395973277889</v>
      </c>
      <c r="FA84" s="16">
        <f t="shared" si="430"/>
        <v>141327.14257555877</v>
      </c>
      <c r="FB84" s="16">
        <f t="shared" si="430"/>
        <v>199078.46636207114</v>
      </c>
      <c r="FC84" s="16"/>
      <c r="FD84" s="16"/>
      <c r="FE84" s="16"/>
      <c r="FF84" s="16"/>
      <c r="FG84" s="16"/>
      <c r="FH84" s="16"/>
      <c r="FI84" s="16"/>
      <c r="FJ84" s="16"/>
      <c r="FK84" s="16"/>
      <c r="FL84" s="16"/>
      <c r="FM84" s="16"/>
      <c r="FN84" s="16"/>
      <c r="FO84" s="16"/>
      <c r="FP84" s="16"/>
      <c r="FQ84" s="16"/>
      <c r="FR84" s="16"/>
      <c r="FS84" s="16"/>
      <c r="FT84" s="16"/>
      <c r="FU84" s="16"/>
      <c r="FV84" s="16"/>
      <c r="FW84" s="16"/>
      <c r="FX84" s="16"/>
      <c r="FY84" s="16"/>
      <c r="FZ84" s="16"/>
    </row>
    <row r="85" spans="3:182" x14ac:dyDescent="0.25">
      <c r="C85" t="s">
        <v>745</v>
      </c>
      <c r="D85" s="16">
        <f t="shared" si="426"/>
        <v>0</v>
      </c>
      <c r="E85" s="16">
        <f t="shared" si="426"/>
        <v>0</v>
      </c>
      <c r="F85" s="16">
        <f t="shared" si="426"/>
        <v>0</v>
      </c>
      <c r="G85" s="16">
        <f t="shared" si="426"/>
        <v>0</v>
      </c>
      <c r="H85" s="16">
        <f t="shared" si="426"/>
        <v>100174.1268497445</v>
      </c>
      <c r="I85" s="16">
        <f t="shared" si="426"/>
        <v>466840.65407587873</v>
      </c>
      <c r="J85" s="16">
        <f t="shared" si="426"/>
        <v>640160.24204577506</v>
      </c>
      <c r="K85" s="16">
        <f t="shared" si="426"/>
        <v>927012.1033587018</v>
      </c>
      <c r="L85" s="16">
        <f t="shared" si="426"/>
        <v>1334990.7936273334</v>
      </c>
      <c r="M85" s="16"/>
      <c r="N85" s="16">
        <f t="shared" si="388"/>
        <v>0</v>
      </c>
      <c r="O85" s="16">
        <f t="shared" si="389"/>
        <v>0</v>
      </c>
      <c r="P85" s="16">
        <f t="shared" si="390"/>
        <v>0</v>
      </c>
      <c r="Q85" s="16">
        <f t="shared" si="391"/>
        <v>0</v>
      </c>
      <c r="R85" s="16">
        <f t="shared" si="392"/>
        <v>0</v>
      </c>
      <c r="S85" s="16">
        <f t="shared" si="393"/>
        <v>0</v>
      </c>
      <c r="T85" s="16">
        <f t="shared" si="394"/>
        <v>0</v>
      </c>
      <c r="U85" s="16">
        <f t="shared" si="395"/>
        <v>0</v>
      </c>
      <c r="V85" s="16">
        <f t="shared" si="396"/>
        <v>0</v>
      </c>
      <c r="W85" s="16">
        <f t="shared" si="397"/>
        <v>0</v>
      </c>
      <c r="X85" s="16">
        <f t="shared" si="398"/>
        <v>0</v>
      </c>
      <c r="Y85" s="16">
        <f t="shared" si="399"/>
        <v>0</v>
      </c>
      <c r="Z85" s="16">
        <f t="shared" si="400"/>
        <v>0</v>
      </c>
      <c r="AA85" s="16">
        <f t="shared" si="401"/>
        <v>0</v>
      </c>
      <c r="AB85" s="16">
        <f t="shared" si="402"/>
        <v>0</v>
      </c>
      <c r="AC85" s="16">
        <f t="shared" si="403"/>
        <v>0</v>
      </c>
      <c r="AD85" s="16">
        <f t="shared" si="404"/>
        <v>0</v>
      </c>
      <c r="AE85" s="16">
        <f t="shared" si="405"/>
        <v>0</v>
      </c>
      <c r="AF85" s="16">
        <f t="shared" si="406"/>
        <v>23409.403335580497</v>
      </c>
      <c r="AG85" s="16">
        <f t="shared" si="407"/>
        <v>76764.723514164012</v>
      </c>
      <c r="AH85" s="16">
        <f t="shared" si="408"/>
        <v>100828.0335189834</v>
      </c>
      <c r="AI85" s="16">
        <f t="shared" si="409"/>
        <v>128130.935625</v>
      </c>
      <c r="AJ85" s="16">
        <f t="shared" si="410"/>
        <v>114878.90634391615</v>
      </c>
      <c r="AK85" s="16">
        <f t="shared" si="411"/>
        <v>123002.77858797912</v>
      </c>
      <c r="AL85" s="16">
        <f t="shared" si="412"/>
        <v>123293.59858067639</v>
      </c>
      <c r="AM85" s="16">
        <f t="shared" si="413"/>
        <v>174544.65322046549</v>
      </c>
      <c r="AN85" s="16">
        <f t="shared" si="414"/>
        <v>152924.57307736407</v>
      </c>
      <c r="AO85" s="16">
        <f t="shared" si="415"/>
        <v>189397.41716726922</v>
      </c>
      <c r="AP85" s="16">
        <f t="shared" si="416"/>
        <v>185110.43290649771</v>
      </c>
      <c r="AQ85" s="16">
        <f t="shared" si="417"/>
        <v>248021.47600018658</v>
      </c>
      <c r="AR85" s="16">
        <f t="shared" si="418"/>
        <v>219253.939559477</v>
      </c>
      <c r="AS85" s="16">
        <f t="shared" si="419"/>
        <v>274626.2548925404</v>
      </c>
      <c r="AT85" s="16">
        <f t="shared" si="420"/>
        <v>268410.12771442166</v>
      </c>
      <c r="AU85" s="16">
        <f t="shared" si="421"/>
        <v>359631.14020027057</v>
      </c>
      <c r="AV85" s="16">
        <f t="shared" si="422"/>
        <v>315607.11249077081</v>
      </c>
      <c r="AW85" s="16">
        <f t="shared" si="423"/>
        <v>391342.41322187008</v>
      </c>
      <c r="CI85" s="16"/>
      <c r="CJ85" s="16"/>
      <c r="CK85" s="16"/>
      <c r="CL85" s="16"/>
      <c r="CM85" s="16"/>
      <c r="CN85" s="16"/>
      <c r="CO85" s="16"/>
      <c r="CP85" s="16"/>
      <c r="CQ85" s="16"/>
      <c r="CR85" s="16"/>
      <c r="CS85" s="16"/>
      <c r="CT85" s="16"/>
      <c r="CU85" s="16"/>
      <c r="CV85" s="16"/>
      <c r="CW85" s="16"/>
      <c r="CX85" s="16"/>
      <c r="CY85" s="16"/>
      <c r="CZ85" s="16"/>
      <c r="DA85" s="16"/>
      <c r="DB85" s="16">
        <f>DA84</f>
        <v>9243.6431210360988</v>
      </c>
      <c r="DC85" s="16">
        <f>DB84</f>
        <v>14165.760214544398</v>
      </c>
      <c r="DD85" s="16">
        <f t="shared" si="429"/>
        <v>33723.055415309405</v>
      </c>
      <c r="DE85" s="16">
        <f t="shared" si="429"/>
        <v>16419.2364341838</v>
      </c>
      <c r="DF85" s="16">
        <f t="shared" si="429"/>
        <v>26622.431664670799</v>
      </c>
      <c r="DG85" s="16">
        <f t="shared" si="429"/>
        <v>46337.128518983394</v>
      </c>
      <c r="DH85" s="16">
        <f t="shared" si="429"/>
        <v>16347.271500000001</v>
      </c>
      <c r="DI85" s="16">
        <f t="shared" si="429"/>
        <v>38143.633500000004</v>
      </c>
      <c r="DJ85" s="16">
        <f t="shared" si="429"/>
        <v>54490.904999999999</v>
      </c>
      <c r="DK85" s="16">
        <f t="shared" si="429"/>
        <v>14728.006125</v>
      </c>
      <c r="DL85" s="16">
        <f t="shared" si="427"/>
        <v>58912.0245</v>
      </c>
      <c r="DM85" s="16">
        <f t="shared" si="427"/>
        <v>73640.030624999999</v>
      </c>
      <c r="DN85" s="16">
        <f t="shared" si="427"/>
        <v>12896.065734949832</v>
      </c>
      <c r="DO85" s="16">
        <f t="shared" si="427"/>
        <v>28342.809983966323</v>
      </c>
      <c r="DP85" s="16">
        <f t="shared" si="427"/>
        <v>56318.115227445407</v>
      </c>
      <c r="DQ85" s="16">
        <f t="shared" si="427"/>
        <v>22518.211737722806</v>
      </c>
      <c r="DR85" s="16">
        <f t="shared" si="427"/>
        <v>44166.451622810913</v>
      </c>
      <c r="DS85" s="16">
        <f t="shared" si="427"/>
        <v>63115.484825599837</v>
      </c>
      <c r="DT85" s="16">
        <f t="shared" si="427"/>
        <v>21622.699334094348</v>
      </c>
      <c r="DU85" s="16">
        <f t="shared" si="427"/>
        <v>38555.414420982212</v>
      </c>
      <c r="DV85" s="16">
        <f t="shared" si="427"/>
        <v>67789.589131003042</v>
      </c>
      <c r="DW85" s="16">
        <f t="shared" si="427"/>
        <v>29108.96603026686</v>
      </c>
      <c r="DX85" s="16">
        <f t="shared" si="427"/>
        <v>77646.098059195589</v>
      </c>
      <c r="DY85" s="16">
        <f t="shared" si="427"/>
        <v>89170.093891962737</v>
      </c>
      <c r="DZ85" s="16">
        <f t="shared" si="427"/>
        <v>20485.265709051</v>
      </c>
      <c r="EA85" s="16">
        <f t="shared" si="427"/>
        <v>43269.213476350327</v>
      </c>
      <c r="EB85" s="16">
        <f t="shared" si="430"/>
        <v>84532.788710481997</v>
      </c>
      <c r="EC85" s="16">
        <f t="shared" si="430"/>
        <v>36466.737313141137</v>
      </c>
      <c r="ED85" s="16">
        <f t="shared" si="430"/>
        <v>68397.891143646106</v>
      </c>
      <c r="EE85" s="16">
        <f t="shared" si="430"/>
        <v>96347.71511775977</v>
      </c>
      <c r="EF85" s="16">
        <f t="shared" si="430"/>
        <v>31893.481517789176</v>
      </c>
      <c r="EG85" s="16">
        <f t="shared" si="430"/>
        <v>56869.236270948764</v>
      </c>
      <c r="EH85" s="16">
        <f t="shared" si="430"/>
        <v>99989.643968229473</v>
      </c>
      <c r="EI85" s="16">
        <f t="shared" si="430"/>
        <v>38219.781144643624</v>
      </c>
      <c r="EJ85" s="16">
        <f t="shared" si="430"/>
        <v>109812.0508873135</v>
      </c>
      <c r="EK85" s="16">
        <f t="shared" si="430"/>
        <v>126809.94474064505</v>
      </c>
      <c r="EL85" s="16">
        <f t="shared" si="430"/>
        <v>29703.635278123958</v>
      </c>
      <c r="EM85" s="16">
        <f t="shared" si="430"/>
        <v>62740.359540707985</v>
      </c>
      <c r="EN85" s="16">
        <f t="shared" si="430"/>
        <v>122572.54363019888</v>
      </c>
      <c r="EO85" s="16">
        <f t="shared" si="430"/>
        <v>52876.769104054663</v>
      </c>
      <c r="EP85" s="16">
        <f t="shared" si="430"/>
        <v>99176.942158286867</v>
      </c>
      <c r="EQ85" s="16">
        <f t="shared" si="430"/>
        <v>139704.18692075167</v>
      </c>
      <c r="ER85" s="16">
        <f t="shared" si="430"/>
        <v>46245.548200794299</v>
      </c>
      <c r="ES85" s="16">
        <f t="shared" si="430"/>
        <v>82460.392592875694</v>
      </c>
      <c r="ET85" s="16">
        <f t="shared" si="430"/>
        <v>144984.98375393276</v>
      </c>
      <c r="EU85" s="16">
        <f t="shared" si="430"/>
        <v>55418.682659733255</v>
      </c>
      <c r="EV85" s="16">
        <f t="shared" si="430"/>
        <v>159227.47378660459</v>
      </c>
      <c r="EW85" s="16">
        <f t="shared" si="430"/>
        <v>183874.41987393529</v>
      </c>
      <c r="EX85" s="16">
        <f t="shared" si="430"/>
        <v>42327.680271326644</v>
      </c>
      <c r="EY85" s="16">
        <f t="shared" si="430"/>
        <v>89405.012345508891</v>
      </c>
      <c r="EZ85" s="16">
        <f t="shared" si="430"/>
        <v>174665.87467303345</v>
      </c>
      <c r="FA85" s="16">
        <f t="shared" si="430"/>
        <v>75349.395973277889</v>
      </c>
      <c r="FB85" s="16">
        <f t="shared" si="430"/>
        <v>141327.14257555877</v>
      </c>
      <c r="FC85" s="16"/>
      <c r="FD85" s="16"/>
      <c r="FE85" s="16"/>
      <c r="FF85" s="16"/>
      <c r="FG85" s="16"/>
      <c r="FH85" s="16"/>
      <c r="FI85" s="16"/>
      <c r="FJ85" s="16"/>
      <c r="FK85" s="16"/>
      <c r="FL85" s="16"/>
      <c r="FM85" s="16"/>
      <c r="FN85" s="16"/>
      <c r="FO85" s="16"/>
      <c r="FP85" s="16"/>
      <c r="FQ85" s="16"/>
      <c r="FR85" s="16"/>
      <c r="FS85" s="16"/>
      <c r="FT85" s="16"/>
      <c r="FU85" s="16"/>
      <c r="FV85" s="16"/>
      <c r="FW85" s="16"/>
      <c r="FX85" s="16"/>
      <c r="FY85" s="16"/>
      <c r="FZ85" s="16"/>
    </row>
    <row r="86" spans="3:182" x14ac:dyDescent="0.25">
      <c r="C86" t="s">
        <v>746</v>
      </c>
      <c r="D86" s="16">
        <f t="shared" si="426"/>
        <v>0</v>
      </c>
      <c r="E86" s="16">
        <f t="shared" si="426"/>
        <v>0</v>
      </c>
      <c r="F86" s="16">
        <f t="shared" si="426"/>
        <v>0</v>
      </c>
      <c r="G86" s="16">
        <f t="shared" si="426"/>
        <v>0</v>
      </c>
      <c r="H86" s="16">
        <f t="shared" si="426"/>
        <v>73551.695185073695</v>
      </c>
      <c r="I86" s="16">
        <f t="shared" si="426"/>
        <v>449296.63411773863</v>
      </c>
      <c r="J86" s="16">
        <f t="shared" si="426"/>
        <v>615928.80252493988</v>
      </c>
      <c r="K86" s="16">
        <f t="shared" si="426"/>
        <v>896233.05234406109</v>
      </c>
      <c r="L86" s="16">
        <f t="shared" si="426"/>
        <v>1292840.5932100613</v>
      </c>
      <c r="M86" s="16"/>
      <c r="N86" s="16">
        <f t="shared" si="388"/>
        <v>0</v>
      </c>
      <c r="O86" s="16">
        <f t="shared" si="389"/>
        <v>0</v>
      </c>
      <c r="P86" s="16">
        <f t="shared" si="390"/>
        <v>0</v>
      </c>
      <c r="Q86" s="16">
        <f t="shared" si="391"/>
        <v>0</v>
      </c>
      <c r="R86" s="16">
        <f t="shared" si="392"/>
        <v>0</v>
      </c>
      <c r="S86" s="16">
        <f t="shared" si="393"/>
        <v>0</v>
      </c>
      <c r="T86" s="16">
        <f t="shared" si="394"/>
        <v>0</v>
      </c>
      <c r="U86" s="16">
        <f t="shared" si="395"/>
        <v>0</v>
      </c>
      <c r="V86" s="16">
        <f t="shared" si="396"/>
        <v>0</v>
      </c>
      <c r="W86" s="16">
        <f t="shared" si="397"/>
        <v>0</v>
      </c>
      <c r="X86" s="16">
        <f t="shared" si="398"/>
        <v>0</v>
      </c>
      <c r="Y86" s="16">
        <f t="shared" si="399"/>
        <v>0</v>
      </c>
      <c r="Z86" s="16">
        <f t="shared" si="400"/>
        <v>0</v>
      </c>
      <c r="AA86" s="16">
        <f t="shared" si="401"/>
        <v>0</v>
      </c>
      <c r="AB86" s="16">
        <f t="shared" si="402"/>
        <v>0</v>
      </c>
      <c r="AC86" s="16">
        <f t="shared" si="403"/>
        <v>0</v>
      </c>
      <c r="AD86" s="16">
        <f t="shared" si="404"/>
        <v>0</v>
      </c>
      <c r="AE86" s="16">
        <f t="shared" si="405"/>
        <v>0</v>
      </c>
      <c r="AF86" s="16">
        <f t="shared" si="406"/>
        <v>9243.6431210360988</v>
      </c>
      <c r="AG86" s="16">
        <f t="shared" si="407"/>
        <v>64308.052064037605</v>
      </c>
      <c r="AH86" s="16">
        <f t="shared" si="408"/>
        <v>89306.831683654193</v>
      </c>
      <c r="AI86" s="16">
        <f t="shared" si="409"/>
        <v>107362.54462499999</v>
      </c>
      <c r="AJ86" s="16">
        <f t="shared" si="410"/>
        <v>145448.12085994985</v>
      </c>
      <c r="AK86" s="16">
        <f t="shared" si="411"/>
        <v>107179.13694913452</v>
      </c>
      <c r="AL86" s="16">
        <f t="shared" si="412"/>
        <v>128904.63578250509</v>
      </c>
      <c r="AM86" s="16">
        <f t="shared" si="413"/>
        <v>135453.96958225212</v>
      </c>
      <c r="AN86" s="16">
        <f t="shared" si="414"/>
        <v>187301.45766020933</v>
      </c>
      <c r="AO86" s="16">
        <f t="shared" si="415"/>
        <v>164268.73949997345</v>
      </c>
      <c r="AP86" s="16">
        <f t="shared" si="416"/>
        <v>196639.08777919505</v>
      </c>
      <c r="AQ86" s="16">
        <f t="shared" si="417"/>
        <v>195078.66138382186</v>
      </c>
      <c r="AR86" s="16">
        <f t="shared" si="418"/>
        <v>266325.63090608252</v>
      </c>
      <c r="AS86" s="16">
        <f t="shared" si="419"/>
        <v>238189.67227496154</v>
      </c>
      <c r="AT86" s="16">
        <f t="shared" si="420"/>
        <v>285126.67727983283</v>
      </c>
      <c r="AU86" s="16">
        <f t="shared" si="421"/>
        <v>282864.05900654173</v>
      </c>
      <c r="AV86" s="16">
        <f t="shared" si="422"/>
        <v>385429.5739318665</v>
      </c>
      <c r="AW86" s="16">
        <f t="shared" si="423"/>
        <v>339420.28299182025</v>
      </c>
      <c r="CI86" s="16"/>
      <c r="CJ86" s="16"/>
      <c r="CK86" s="16"/>
      <c r="CL86" s="16"/>
      <c r="CM86" s="16"/>
      <c r="CN86" s="16"/>
      <c r="CO86" s="16"/>
      <c r="CP86" s="16"/>
      <c r="CQ86" s="16"/>
      <c r="CR86" s="16"/>
      <c r="CS86" s="16"/>
      <c r="CT86" s="16"/>
      <c r="CU86" s="16"/>
      <c r="CV86" s="16"/>
      <c r="CW86" s="16"/>
      <c r="CX86" s="16"/>
      <c r="CY86" s="16"/>
      <c r="CZ86" s="16"/>
      <c r="DA86" s="16"/>
      <c r="DB86" s="16"/>
      <c r="DC86" s="16">
        <f>DB85</f>
        <v>9243.6431210360988</v>
      </c>
      <c r="DD86" s="16">
        <f t="shared" si="429"/>
        <v>14165.760214544398</v>
      </c>
      <c r="DE86" s="16">
        <f t="shared" si="429"/>
        <v>33723.055415309405</v>
      </c>
      <c r="DF86" s="16">
        <f t="shared" si="429"/>
        <v>16419.2364341838</v>
      </c>
      <c r="DG86" s="16">
        <f t="shared" si="429"/>
        <v>26622.431664670799</v>
      </c>
      <c r="DH86" s="16">
        <f t="shared" si="429"/>
        <v>46337.128518983394</v>
      </c>
      <c r="DI86" s="16">
        <f t="shared" si="429"/>
        <v>16347.271500000001</v>
      </c>
      <c r="DJ86" s="16">
        <f t="shared" si="429"/>
        <v>38143.633500000004</v>
      </c>
      <c r="DK86" s="16">
        <f t="shared" si="429"/>
        <v>54490.904999999999</v>
      </c>
      <c r="DL86" s="16">
        <f t="shared" si="427"/>
        <v>14728.006125</v>
      </c>
      <c r="DM86" s="16">
        <f t="shared" si="427"/>
        <v>58912.0245</v>
      </c>
      <c r="DN86" s="16">
        <f t="shared" si="427"/>
        <v>73640.030624999999</v>
      </c>
      <c r="DO86" s="16">
        <f t="shared" si="427"/>
        <v>12896.065734949832</v>
      </c>
      <c r="DP86" s="16">
        <f t="shared" si="427"/>
        <v>28342.809983966323</v>
      </c>
      <c r="DQ86" s="16">
        <f t="shared" si="427"/>
        <v>56318.115227445407</v>
      </c>
      <c r="DR86" s="16">
        <f t="shared" si="427"/>
        <v>22518.211737722806</v>
      </c>
      <c r="DS86" s="16">
        <f t="shared" si="427"/>
        <v>44166.451622810913</v>
      </c>
      <c r="DT86" s="16">
        <f t="shared" si="427"/>
        <v>63115.484825599837</v>
      </c>
      <c r="DU86" s="16">
        <f t="shared" si="427"/>
        <v>21622.699334094348</v>
      </c>
      <c r="DV86" s="16">
        <f t="shared" si="427"/>
        <v>38555.414420982212</v>
      </c>
      <c r="DW86" s="16">
        <f t="shared" si="427"/>
        <v>67789.589131003042</v>
      </c>
      <c r="DX86" s="16">
        <f t="shared" si="427"/>
        <v>29108.96603026686</v>
      </c>
      <c r="DY86" s="16">
        <f t="shared" si="427"/>
        <v>77646.098059195589</v>
      </c>
      <c r="DZ86" s="16">
        <f t="shared" si="427"/>
        <v>89170.093891962737</v>
      </c>
      <c r="EA86" s="16">
        <f t="shared" si="427"/>
        <v>20485.265709051</v>
      </c>
      <c r="EB86" s="16">
        <f t="shared" si="430"/>
        <v>43269.213476350327</v>
      </c>
      <c r="EC86" s="16">
        <f t="shared" si="430"/>
        <v>84532.788710481997</v>
      </c>
      <c r="ED86" s="16">
        <f t="shared" si="430"/>
        <v>36466.737313141137</v>
      </c>
      <c r="EE86" s="16">
        <f t="shared" si="430"/>
        <v>68397.891143646106</v>
      </c>
      <c r="EF86" s="16">
        <f t="shared" si="430"/>
        <v>96347.71511775977</v>
      </c>
      <c r="EG86" s="16">
        <f t="shared" si="430"/>
        <v>31893.481517789176</v>
      </c>
      <c r="EH86" s="16">
        <f t="shared" si="430"/>
        <v>56869.236270948764</v>
      </c>
      <c r="EI86" s="16">
        <f t="shared" si="430"/>
        <v>99989.643968229473</v>
      </c>
      <c r="EJ86" s="16">
        <f t="shared" si="430"/>
        <v>38219.781144643624</v>
      </c>
      <c r="EK86" s="16">
        <f t="shared" si="430"/>
        <v>109812.0508873135</v>
      </c>
      <c r="EL86" s="16">
        <f t="shared" si="430"/>
        <v>126809.94474064505</v>
      </c>
      <c r="EM86" s="16">
        <f t="shared" si="430"/>
        <v>29703.635278123958</v>
      </c>
      <c r="EN86" s="16">
        <f t="shared" si="430"/>
        <v>62740.359540707985</v>
      </c>
      <c r="EO86" s="16">
        <f t="shared" si="430"/>
        <v>122572.54363019888</v>
      </c>
      <c r="EP86" s="16">
        <f t="shared" si="430"/>
        <v>52876.769104054663</v>
      </c>
      <c r="EQ86" s="16">
        <f t="shared" si="430"/>
        <v>99176.942158286867</v>
      </c>
      <c r="ER86" s="16">
        <f t="shared" si="430"/>
        <v>139704.18692075167</v>
      </c>
      <c r="ES86" s="16">
        <f t="shared" si="430"/>
        <v>46245.548200794299</v>
      </c>
      <c r="ET86" s="16">
        <f t="shared" si="430"/>
        <v>82460.392592875694</v>
      </c>
      <c r="EU86" s="16">
        <f t="shared" si="430"/>
        <v>144984.98375393276</v>
      </c>
      <c r="EV86" s="16">
        <f t="shared" si="430"/>
        <v>55418.682659733255</v>
      </c>
      <c r="EW86" s="16">
        <f t="shared" si="430"/>
        <v>159227.47378660459</v>
      </c>
      <c r="EX86" s="16">
        <f t="shared" si="430"/>
        <v>183874.41987393529</v>
      </c>
      <c r="EY86" s="16">
        <f t="shared" si="430"/>
        <v>42327.680271326644</v>
      </c>
      <c r="EZ86" s="16">
        <f t="shared" si="430"/>
        <v>89405.012345508891</v>
      </c>
      <c r="FA86" s="16">
        <f t="shared" si="430"/>
        <v>174665.87467303345</v>
      </c>
      <c r="FB86" s="16">
        <f t="shared" si="430"/>
        <v>75349.395973277889</v>
      </c>
      <c r="FC86" s="16"/>
      <c r="FD86" s="16"/>
      <c r="FE86" s="16"/>
      <c r="FF86" s="16"/>
      <c r="FG86" s="16"/>
      <c r="FH86" s="16"/>
      <c r="FI86" s="16"/>
      <c r="FJ86" s="16"/>
      <c r="FK86" s="16"/>
      <c r="FL86" s="16"/>
      <c r="FM86" s="16"/>
      <c r="FN86" s="16"/>
      <c r="FO86" s="16"/>
      <c r="FP86" s="16"/>
      <c r="FQ86" s="16"/>
      <c r="FR86" s="16"/>
      <c r="FS86" s="16"/>
      <c r="FT86" s="16"/>
      <c r="FU86" s="16"/>
      <c r="FV86" s="16"/>
      <c r="FW86" s="16"/>
      <c r="FX86" s="16"/>
      <c r="FY86" s="16"/>
      <c r="FZ86" s="16"/>
    </row>
    <row r="87" spans="3:182" x14ac:dyDescent="0.25">
      <c r="C87" t="s">
        <v>747</v>
      </c>
      <c r="D87" s="16">
        <f t="shared" si="426"/>
        <v>0</v>
      </c>
      <c r="E87" s="16">
        <f t="shared" si="426"/>
        <v>0</v>
      </c>
      <c r="F87" s="16">
        <f t="shared" si="426"/>
        <v>0</v>
      </c>
      <c r="G87" s="16">
        <f t="shared" si="426"/>
        <v>0</v>
      </c>
      <c r="H87" s="16">
        <f t="shared" si="426"/>
        <v>57132.458750889899</v>
      </c>
      <c r="I87" s="16">
        <f t="shared" si="426"/>
        <v>443197.65881419962</v>
      </c>
      <c r="J87" s="16">
        <f t="shared" si="426"/>
        <v>601980.2769495215</v>
      </c>
      <c r="K87" s="16">
        <f t="shared" si="426"/>
        <v>879823.02055314742</v>
      </c>
      <c r="L87" s="16">
        <f t="shared" si="426"/>
        <v>1270367.966340838</v>
      </c>
      <c r="M87" s="16"/>
      <c r="N87" s="16">
        <f t="shared" si="388"/>
        <v>0</v>
      </c>
      <c r="O87" s="16">
        <f t="shared" si="389"/>
        <v>0</v>
      </c>
      <c r="P87" s="16">
        <f t="shared" si="390"/>
        <v>0</v>
      </c>
      <c r="Q87" s="16">
        <f t="shared" si="391"/>
        <v>0</v>
      </c>
      <c r="R87" s="16">
        <f t="shared" si="392"/>
        <v>0</v>
      </c>
      <c r="S87" s="16">
        <f t="shared" si="393"/>
        <v>0</v>
      </c>
      <c r="T87" s="16">
        <f t="shared" si="394"/>
        <v>0</v>
      </c>
      <c r="U87" s="16">
        <f t="shared" si="395"/>
        <v>0</v>
      </c>
      <c r="V87" s="16">
        <f t="shared" si="396"/>
        <v>0</v>
      </c>
      <c r="W87" s="16">
        <f t="shared" si="397"/>
        <v>0</v>
      </c>
      <c r="X87" s="16">
        <f t="shared" si="398"/>
        <v>0</v>
      </c>
      <c r="Y87" s="16">
        <f t="shared" si="399"/>
        <v>0</v>
      </c>
      <c r="Z87" s="16">
        <f t="shared" si="400"/>
        <v>0</v>
      </c>
      <c r="AA87" s="16">
        <f t="shared" si="401"/>
        <v>0</v>
      </c>
      <c r="AB87" s="16">
        <f t="shared" si="402"/>
        <v>0</v>
      </c>
      <c r="AC87" s="16">
        <f t="shared" si="403"/>
        <v>0</v>
      </c>
      <c r="AD87" s="16">
        <f t="shared" si="404"/>
        <v>0</v>
      </c>
      <c r="AE87" s="16">
        <f t="shared" si="405"/>
        <v>0</v>
      </c>
      <c r="AF87" s="16">
        <f t="shared" si="406"/>
        <v>0</v>
      </c>
      <c r="AG87" s="16">
        <f t="shared" si="407"/>
        <v>57132.458750889899</v>
      </c>
      <c r="AH87" s="16">
        <f t="shared" si="408"/>
        <v>89378.796617838001</v>
      </c>
      <c r="AI87" s="16">
        <f t="shared" si="409"/>
        <v>108981.81</v>
      </c>
      <c r="AJ87" s="16">
        <f t="shared" si="410"/>
        <v>147280.06125</v>
      </c>
      <c r="AK87" s="16">
        <f t="shared" si="411"/>
        <v>97556.990946361562</v>
      </c>
      <c r="AL87" s="16">
        <f t="shared" si="412"/>
        <v>129800.14818613355</v>
      </c>
      <c r="AM87" s="16">
        <f t="shared" si="413"/>
        <v>127967.7028860796</v>
      </c>
      <c r="AN87" s="16">
        <f t="shared" si="414"/>
        <v>195925.15798142517</v>
      </c>
      <c r="AO87" s="16">
        <f t="shared" si="415"/>
        <v>148287.26789588333</v>
      </c>
      <c r="AP87" s="16">
        <f t="shared" si="416"/>
        <v>201212.34357454701</v>
      </c>
      <c r="AQ87" s="16">
        <f t="shared" si="417"/>
        <v>188752.36175696741</v>
      </c>
      <c r="AR87" s="16">
        <f t="shared" si="418"/>
        <v>274841.77677260217</v>
      </c>
      <c r="AS87" s="16">
        <f t="shared" si="419"/>
        <v>215016.53844903084</v>
      </c>
      <c r="AT87" s="16">
        <f t="shared" si="420"/>
        <v>291757.89818309317</v>
      </c>
      <c r="AU87" s="16">
        <f t="shared" si="421"/>
        <v>273690.92454760277</v>
      </c>
      <c r="AV87" s="16">
        <f t="shared" si="422"/>
        <v>398520.5763202731</v>
      </c>
      <c r="AW87" s="16">
        <f t="shared" si="423"/>
        <v>306398.56728986895</v>
      </c>
      <c r="CI87" s="16"/>
      <c r="CJ87" s="16"/>
      <c r="CK87" s="16"/>
      <c r="CL87" s="16"/>
      <c r="CM87" s="16"/>
      <c r="CN87" s="16"/>
      <c r="CO87" s="16"/>
      <c r="CP87" s="16"/>
      <c r="CQ87" s="16"/>
      <c r="CR87" s="16"/>
      <c r="CS87" s="16"/>
      <c r="CT87" s="16"/>
      <c r="CU87" s="16"/>
      <c r="CV87" s="16"/>
      <c r="CW87" s="16"/>
      <c r="CX87" s="16"/>
      <c r="CY87" s="16"/>
      <c r="CZ87" s="16"/>
      <c r="DA87" s="16"/>
      <c r="DB87" s="16"/>
      <c r="DC87" s="16"/>
      <c r="DD87" s="16">
        <f>DC86</f>
        <v>9243.6431210360988</v>
      </c>
      <c r="DE87" s="16">
        <f t="shared" si="429"/>
        <v>14165.760214544398</v>
      </c>
      <c r="DF87" s="16">
        <f t="shared" si="429"/>
        <v>33723.055415309405</v>
      </c>
      <c r="DG87" s="16">
        <f t="shared" si="429"/>
        <v>16419.2364341838</v>
      </c>
      <c r="DH87" s="16">
        <f t="shared" si="429"/>
        <v>26622.431664670799</v>
      </c>
      <c r="DI87" s="16">
        <f t="shared" si="429"/>
        <v>46337.128518983394</v>
      </c>
      <c r="DJ87" s="16">
        <f t="shared" si="429"/>
        <v>16347.271500000001</v>
      </c>
      <c r="DK87" s="16">
        <f t="shared" si="429"/>
        <v>38143.633500000004</v>
      </c>
      <c r="DL87" s="16">
        <f t="shared" si="427"/>
        <v>54490.904999999999</v>
      </c>
      <c r="DM87" s="16">
        <f t="shared" si="427"/>
        <v>14728.006125</v>
      </c>
      <c r="DN87" s="16">
        <f t="shared" si="427"/>
        <v>58912.0245</v>
      </c>
      <c r="DO87" s="16">
        <f t="shared" si="427"/>
        <v>73640.030624999999</v>
      </c>
      <c r="DP87" s="16">
        <f t="shared" si="427"/>
        <v>12896.065734949832</v>
      </c>
      <c r="DQ87" s="16">
        <f t="shared" si="427"/>
        <v>28342.809983966323</v>
      </c>
      <c r="DR87" s="16">
        <f t="shared" si="427"/>
        <v>56318.115227445407</v>
      </c>
      <c r="DS87" s="16">
        <f t="shared" si="427"/>
        <v>22518.211737722806</v>
      </c>
      <c r="DT87" s="16">
        <f t="shared" si="427"/>
        <v>44166.451622810913</v>
      </c>
      <c r="DU87" s="16">
        <f t="shared" si="427"/>
        <v>63115.484825599837</v>
      </c>
      <c r="DV87" s="16">
        <f t="shared" si="427"/>
        <v>21622.699334094348</v>
      </c>
      <c r="DW87" s="16">
        <f t="shared" si="427"/>
        <v>38555.414420982212</v>
      </c>
      <c r="DX87" s="16">
        <f t="shared" si="427"/>
        <v>67789.589131003042</v>
      </c>
      <c r="DY87" s="16">
        <f t="shared" si="427"/>
        <v>29108.96603026686</v>
      </c>
      <c r="DZ87" s="16">
        <f t="shared" si="427"/>
        <v>77646.098059195589</v>
      </c>
      <c r="EA87" s="16">
        <f t="shared" si="427"/>
        <v>89170.093891962737</v>
      </c>
      <c r="EB87" s="16">
        <f t="shared" si="430"/>
        <v>20485.265709051</v>
      </c>
      <c r="EC87" s="16">
        <f t="shared" si="430"/>
        <v>43269.213476350327</v>
      </c>
      <c r="ED87" s="16">
        <f t="shared" si="430"/>
        <v>84532.788710481997</v>
      </c>
      <c r="EE87" s="16">
        <f t="shared" si="430"/>
        <v>36466.737313141137</v>
      </c>
      <c r="EF87" s="16">
        <f t="shared" si="430"/>
        <v>68397.891143646106</v>
      </c>
      <c r="EG87" s="16">
        <f t="shared" si="430"/>
        <v>96347.71511775977</v>
      </c>
      <c r="EH87" s="16">
        <f t="shared" si="430"/>
        <v>31893.481517789176</v>
      </c>
      <c r="EI87" s="16">
        <f t="shared" si="430"/>
        <v>56869.236270948764</v>
      </c>
      <c r="EJ87" s="16">
        <f t="shared" si="430"/>
        <v>99989.643968229473</v>
      </c>
      <c r="EK87" s="16">
        <f t="shared" si="430"/>
        <v>38219.781144643624</v>
      </c>
      <c r="EL87" s="16">
        <f t="shared" si="430"/>
        <v>109812.0508873135</v>
      </c>
      <c r="EM87" s="16">
        <f t="shared" si="430"/>
        <v>126809.94474064505</v>
      </c>
      <c r="EN87" s="16">
        <f t="shared" si="430"/>
        <v>29703.635278123958</v>
      </c>
      <c r="EO87" s="16">
        <f t="shared" si="430"/>
        <v>62740.359540707985</v>
      </c>
      <c r="EP87" s="16">
        <f t="shared" si="430"/>
        <v>122572.54363019888</v>
      </c>
      <c r="EQ87" s="16">
        <f t="shared" si="430"/>
        <v>52876.769104054663</v>
      </c>
      <c r="ER87" s="16">
        <f t="shared" si="430"/>
        <v>99176.942158286867</v>
      </c>
      <c r="ES87" s="16">
        <f t="shared" si="430"/>
        <v>139704.18692075167</v>
      </c>
      <c r="ET87" s="16">
        <f t="shared" si="430"/>
        <v>46245.548200794299</v>
      </c>
      <c r="EU87" s="16">
        <f t="shared" si="430"/>
        <v>82460.392592875694</v>
      </c>
      <c r="EV87" s="16">
        <f t="shared" si="430"/>
        <v>144984.98375393276</v>
      </c>
      <c r="EW87" s="16">
        <f t="shared" si="430"/>
        <v>55418.682659733255</v>
      </c>
      <c r="EX87" s="16">
        <f t="shared" si="430"/>
        <v>159227.47378660459</v>
      </c>
      <c r="EY87" s="16">
        <f t="shared" si="430"/>
        <v>183874.41987393529</v>
      </c>
      <c r="EZ87" s="16">
        <f t="shared" si="430"/>
        <v>42327.680271326644</v>
      </c>
      <c r="FA87" s="16">
        <f t="shared" si="430"/>
        <v>89405.012345508891</v>
      </c>
      <c r="FB87" s="16">
        <f t="shared" si="430"/>
        <v>174665.87467303345</v>
      </c>
      <c r="FC87" s="16"/>
      <c r="FD87" s="16"/>
      <c r="FE87" s="16"/>
      <c r="FF87" s="16"/>
      <c r="FG87" s="16"/>
      <c r="FH87" s="16"/>
      <c r="FI87" s="16"/>
      <c r="FJ87" s="16"/>
      <c r="FK87" s="16"/>
      <c r="FL87" s="16"/>
      <c r="FM87" s="16"/>
      <c r="FN87" s="16"/>
      <c r="FO87" s="16"/>
      <c r="FP87" s="16"/>
      <c r="FQ87" s="16"/>
      <c r="FR87" s="16"/>
      <c r="FS87" s="16"/>
      <c r="FT87" s="16"/>
      <c r="FU87" s="16"/>
      <c r="FV87" s="16"/>
      <c r="FW87" s="16"/>
      <c r="FX87" s="16"/>
      <c r="FY87" s="16"/>
      <c r="FZ87" s="16"/>
    </row>
    <row r="88" spans="3:182" x14ac:dyDescent="0.25">
      <c r="C88" t="s">
        <v>748</v>
      </c>
      <c r="D88" s="16">
        <f t="shared" si="426"/>
        <v>0</v>
      </c>
      <c r="E88" s="16">
        <f t="shared" si="426"/>
        <v>0</v>
      </c>
      <c r="F88" s="16">
        <f t="shared" si="426"/>
        <v>0</v>
      </c>
      <c r="G88" s="16">
        <f t="shared" si="426"/>
        <v>0</v>
      </c>
      <c r="H88" s="16">
        <f t="shared" si="426"/>
        <v>23409.403335580497</v>
      </c>
      <c r="I88" s="16">
        <f t="shared" si="426"/>
        <v>420602.59900206362</v>
      </c>
      <c r="J88" s="16">
        <f t="shared" si="426"/>
        <v>573765.60346648504</v>
      </c>
      <c r="K88" s="16">
        <f t="shared" si="426"/>
        <v>841783.26563343056</v>
      </c>
      <c r="L88" s="16">
        <f t="shared" si="426"/>
        <v>1218274.6352980034</v>
      </c>
      <c r="M88" s="16"/>
      <c r="N88" s="16">
        <f t="shared" si="388"/>
        <v>0</v>
      </c>
      <c r="O88" s="16">
        <f t="shared" si="389"/>
        <v>0</v>
      </c>
      <c r="P88" s="16">
        <f t="shared" si="390"/>
        <v>0</v>
      </c>
      <c r="Q88" s="16">
        <f t="shared" si="391"/>
        <v>0</v>
      </c>
      <c r="R88" s="16">
        <f t="shared" si="392"/>
        <v>0</v>
      </c>
      <c r="S88" s="16">
        <f t="shared" si="393"/>
        <v>0</v>
      </c>
      <c r="T88" s="16">
        <f t="shared" si="394"/>
        <v>0</v>
      </c>
      <c r="U88" s="16">
        <f t="shared" si="395"/>
        <v>0</v>
      </c>
      <c r="V88" s="16">
        <f t="shared" si="396"/>
        <v>0</v>
      </c>
      <c r="W88" s="16">
        <f t="shared" si="397"/>
        <v>0</v>
      </c>
      <c r="X88" s="16">
        <f t="shared" si="398"/>
        <v>0</v>
      </c>
      <c r="Y88" s="16">
        <f t="shared" si="399"/>
        <v>0</v>
      </c>
      <c r="Z88" s="16">
        <f t="shared" si="400"/>
        <v>0</v>
      </c>
      <c r="AA88" s="16">
        <f t="shared" si="401"/>
        <v>0</v>
      </c>
      <c r="AB88" s="16">
        <f t="shared" si="402"/>
        <v>0</v>
      </c>
      <c r="AC88" s="16">
        <f t="shared" si="403"/>
        <v>0</v>
      </c>
      <c r="AD88" s="16">
        <f t="shared" si="404"/>
        <v>0</v>
      </c>
      <c r="AE88" s="16">
        <f t="shared" si="405"/>
        <v>0</v>
      </c>
      <c r="AF88" s="16">
        <f t="shared" si="406"/>
        <v>0</v>
      </c>
      <c r="AG88" s="16">
        <f t="shared" si="407"/>
        <v>23409.403335580497</v>
      </c>
      <c r="AH88" s="16">
        <f t="shared" si="408"/>
        <v>76764.723514164012</v>
      </c>
      <c r="AI88" s="16">
        <f t="shared" si="409"/>
        <v>100828.0335189834</v>
      </c>
      <c r="AJ88" s="16">
        <f t="shared" si="410"/>
        <v>128130.935625</v>
      </c>
      <c r="AK88" s="16">
        <f t="shared" si="411"/>
        <v>114878.90634391615</v>
      </c>
      <c r="AL88" s="16">
        <f t="shared" si="412"/>
        <v>123002.77858797912</v>
      </c>
      <c r="AM88" s="16">
        <f t="shared" si="413"/>
        <v>123293.59858067639</v>
      </c>
      <c r="AN88" s="16">
        <f t="shared" si="414"/>
        <v>174544.65322046549</v>
      </c>
      <c r="AO88" s="16">
        <f t="shared" si="415"/>
        <v>152924.57307736407</v>
      </c>
      <c r="AP88" s="16">
        <f t="shared" si="416"/>
        <v>189397.41716726922</v>
      </c>
      <c r="AQ88" s="16">
        <f t="shared" si="417"/>
        <v>185110.43290649771</v>
      </c>
      <c r="AR88" s="16">
        <f t="shared" si="418"/>
        <v>248021.47600018658</v>
      </c>
      <c r="AS88" s="16">
        <f t="shared" si="419"/>
        <v>219253.939559477</v>
      </c>
      <c r="AT88" s="16">
        <f t="shared" si="420"/>
        <v>274626.2548925404</v>
      </c>
      <c r="AU88" s="16">
        <f t="shared" si="421"/>
        <v>268410.12771442166</v>
      </c>
      <c r="AV88" s="16">
        <f t="shared" si="422"/>
        <v>359631.14020027057</v>
      </c>
      <c r="AW88" s="16">
        <f t="shared" si="423"/>
        <v>315607.11249077081</v>
      </c>
      <c r="CI88" s="16"/>
      <c r="CJ88" s="16"/>
      <c r="CK88" s="16"/>
      <c r="CL88" s="16"/>
      <c r="CM88" s="16"/>
      <c r="CN88" s="16"/>
      <c r="CO88" s="16"/>
      <c r="CP88" s="16"/>
      <c r="CQ88" s="16"/>
      <c r="CR88" s="16"/>
      <c r="CS88" s="16"/>
      <c r="CT88" s="16"/>
      <c r="CU88" s="16"/>
      <c r="CV88" s="16"/>
      <c r="CW88" s="16"/>
      <c r="CX88" s="16"/>
      <c r="CY88" s="16"/>
      <c r="CZ88" s="16"/>
      <c r="DA88" s="16"/>
      <c r="DB88" s="16"/>
      <c r="DC88" s="16"/>
      <c r="DD88" s="16"/>
      <c r="DE88" s="16">
        <f t="shared" si="429"/>
        <v>9243.6431210360988</v>
      </c>
      <c r="DF88" s="16">
        <f t="shared" si="429"/>
        <v>14165.760214544398</v>
      </c>
      <c r="DG88" s="16">
        <f t="shared" si="429"/>
        <v>33723.055415309405</v>
      </c>
      <c r="DH88" s="16">
        <f t="shared" si="429"/>
        <v>16419.2364341838</v>
      </c>
      <c r="DI88" s="16">
        <f t="shared" si="429"/>
        <v>26622.431664670799</v>
      </c>
      <c r="DJ88" s="16">
        <f t="shared" si="429"/>
        <v>46337.128518983394</v>
      </c>
      <c r="DK88" s="16">
        <f t="shared" si="429"/>
        <v>16347.271500000001</v>
      </c>
      <c r="DL88" s="16">
        <f t="shared" si="427"/>
        <v>38143.633500000004</v>
      </c>
      <c r="DM88" s="16">
        <f t="shared" si="427"/>
        <v>54490.904999999999</v>
      </c>
      <c r="DN88" s="16">
        <f t="shared" si="427"/>
        <v>14728.006125</v>
      </c>
      <c r="DO88" s="16">
        <f t="shared" si="427"/>
        <v>58912.0245</v>
      </c>
      <c r="DP88" s="16">
        <f t="shared" si="427"/>
        <v>73640.030624999999</v>
      </c>
      <c r="DQ88" s="16">
        <f t="shared" si="427"/>
        <v>12896.065734949832</v>
      </c>
      <c r="DR88" s="16">
        <f t="shared" si="427"/>
        <v>28342.809983966323</v>
      </c>
      <c r="DS88" s="16">
        <f t="shared" si="427"/>
        <v>56318.115227445407</v>
      </c>
      <c r="DT88" s="16">
        <f t="shared" si="427"/>
        <v>22518.211737722806</v>
      </c>
      <c r="DU88" s="16">
        <f t="shared" si="427"/>
        <v>44166.451622810913</v>
      </c>
      <c r="DV88" s="16">
        <f t="shared" si="427"/>
        <v>63115.484825599837</v>
      </c>
      <c r="DW88" s="16">
        <f t="shared" si="427"/>
        <v>21622.699334094348</v>
      </c>
      <c r="DX88" s="16">
        <f t="shared" si="427"/>
        <v>38555.414420982212</v>
      </c>
      <c r="DY88" s="16">
        <f t="shared" si="427"/>
        <v>67789.589131003042</v>
      </c>
      <c r="DZ88" s="16">
        <f t="shared" si="427"/>
        <v>29108.96603026686</v>
      </c>
      <c r="EA88" s="16">
        <f t="shared" si="427"/>
        <v>77646.098059195589</v>
      </c>
      <c r="EB88" s="16">
        <f t="shared" ref="EB88:FB92" si="431">EA87</f>
        <v>89170.093891962737</v>
      </c>
      <c r="EC88" s="16">
        <f t="shared" si="431"/>
        <v>20485.265709051</v>
      </c>
      <c r="ED88" s="16">
        <f t="shared" si="431"/>
        <v>43269.213476350327</v>
      </c>
      <c r="EE88" s="16">
        <f t="shared" si="431"/>
        <v>84532.788710481997</v>
      </c>
      <c r="EF88" s="16">
        <f t="shared" si="431"/>
        <v>36466.737313141137</v>
      </c>
      <c r="EG88" s="16">
        <f t="shared" si="431"/>
        <v>68397.891143646106</v>
      </c>
      <c r="EH88" s="16">
        <f t="shared" si="431"/>
        <v>96347.71511775977</v>
      </c>
      <c r="EI88" s="16">
        <f t="shared" si="431"/>
        <v>31893.481517789176</v>
      </c>
      <c r="EJ88" s="16">
        <f t="shared" si="431"/>
        <v>56869.236270948764</v>
      </c>
      <c r="EK88" s="16">
        <f t="shared" si="431"/>
        <v>99989.643968229473</v>
      </c>
      <c r="EL88" s="16">
        <f t="shared" si="431"/>
        <v>38219.781144643624</v>
      </c>
      <c r="EM88" s="16">
        <f t="shared" si="431"/>
        <v>109812.0508873135</v>
      </c>
      <c r="EN88" s="16">
        <f t="shared" si="431"/>
        <v>126809.94474064505</v>
      </c>
      <c r="EO88" s="16">
        <f t="shared" si="431"/>
        <v>29703.635278123958</v>
      </c>
      <c r="EP88" s="16">
        <f t="shared" si="431"/>
        <v>62740.359540707985</v>
      </c>
      <c r="EQ88" s="16">
        <f t="shared" si="431"/>
        <v>122572.54363019888</v>
      </c>
      <c r="ER88" s="16">
        <f t="shared" si="431"/>
        <v>52876.769104054663</v>
      </c>
      <c r="ES88" s="16">
        <f t="shared" si="431"/>
        <v>99176.942158286867</v>
      </c>
      <c r="ET88" s="16">
        <f t="shared" si="431"/>
        <v>139704.18692075167</v>
      </c>
      <c r="EU88" s="16">
        <f t="shared" si="431"/>
        <v>46245.548200794299</v>
      </c>
      <c r="EV88" s="16">
        <f t="shared" si="431"/>
        <v>82460.392592875694</v>
      </c>
      <c r="EW88" s="16">
        <f t="shared" si="431"/>
        <v>144984.98375393276</v>
      </c>
      <c r="EX88" s="16">
        <f t="shared" si="431"/>
        <v>55418.682659733255</v>
      </c>
      <c r="EY88" s="16">
        <f t="shared" si="431"/>
        <v>159227.47378660459</v>
      </c>
      <c r="EZ88" s="16">
        <f t="shared" si="431"/>
        <v>183874.41987393529</v>
      </c>
      <c r="FA88" s="16">
        <f t="shared" si="431"/>
        <v>42327.680271326644</v>
      </c>
      <c r="FB88" s="16">
        <f t="shared" si="431"/>
        <v>89405.012345508891</v>
      </c>
      <c r="FC88" s="16"/>
      <c r="FD88" s="16"/>
      <c r="FE88" s="16"/>
      <c r="FF88" s="16"/>
      <c r="FG88" s="16"/>
      <c r="FH88" s="16"/>
      <c r="FI88" s="16"/>
      <c r="FJ88" s="16"/>
      <c r="FK88" s="16"/>
      <c r="FL88" s="16"/>
      <c r="FM88" s="16"/>
      <c r="FN88" s="16"/>
      <c r="FO88" s="16"/>
      <c r="FP88" s="16"/>
      <c r="FQ88" s="16"/>
      <c r="FR88" s="16"/>
      <c r="FS88" s="16"/>
      <c r="FT88" s="16"/>
      <c r="FU88" s="16"/>
      <c r="FV88" s="16"/>
      <c r="FW88" s="16"/>
      <c r="FX88" s="16"/>
      <c r="FY88" s="16"/>
      <c r="FZ88" s="16"/>
    </row>
    <row r="89" spans="3:182" x14ac:dyDescent="0.25">
      <c r="C89" t="s">
        <v>749</v>
      </c>
      <c r="D89" s="16">
        <f t="shared" si="426"/>
        <v>0</v>
      </c>
      <c r="E89" s="16">
        <f t="shared" si="426"/>
        <v>0</v>
      </c>
      <c r="F89" s="16">
        <f t="shared" si="426"/>
        <v>0</v>
      </c>
      <c r="G89" s="16">
        <f t="shared" si="426"/>
        <v>0</v>
      </c>
      <c r="H89" s="16">
        <f t="shared" si="426"/>
        <v>9243.6431210360988</v>
      </c>
      <c r="I89" s="16">
        <f t="shared" si="426"/>
        <v>406425.54923264164</v>
      </c>
      <c r="J89" s="16">
        <f t="shared" si="426"/>
        <v>558839.19997410104</v>
      </c>
      <c r="K89" s="16">
        <f t="shared" si="426"/>
        <v>822312.11956907297</v>
      </c>
      <c r="L89" s="16">
        <f t="shared" si="426"/>
        <v>1191609.9824932027</v>
      </c>
      <c r="M89" s="16"/>
      <c r="N89" s="16">
        <f t="shared" si="388"/>
        <v>0</v>
      </c>
      <c r="O89" s="16">
        <f t="shared" si="389"/>
        <v>0</v>
      </c>
      <c r="P89" s="16">
        <f t="shared" si="390"/>
        <v>0</v>
      </c>
      <c r="Q89" s="16">
        <f t="shared" si="391"/>
        <v>0</v>
      </c>
      <c r="R89" s="16">
        <f t="shared" si="392"/>
        <v>0</v>
      </c>
      <c r="S89" s="16">
        <f t="shared" si="393"/>
        <v>0</v>
      </c>
      <c r="T89" s="16">
        <f t="shared" si="394"/>
        <v>0</v>
      </c>
      <c r="U89" s="16">
        <f t="shared" si="395"/>
        <v>0</v>
      </c>
      <c r="V89" s="16">
        <f t="shared" si="396"/>
        <v>0</v>
      </c>
      <c r="W89" s="16">
        <f t="shared" si="397"/>
        <v>0</v>
      </c>
      <c r="X89" s="16">
        <f t="shared" si="398"/>
        <v>0</v>
      </c>
      <c r="Y89" s="16">
        <f t="shared" si="399"/>
        <v>0</v>
      </c>
      <c r="Z89" s="16">
        <f t="shared" si="400"/>
        <v>0</v>
      </c>
      <c r="AA89" s="16">
        <f t="shared" si="401"/>
        <v>0</v>
      </c>
      <c r="AB89" s="16">
        <f t="shared" si="402"/>
        <v>0</v>
      </c>
      <c r="AC89" s="16">
        <f t="shared" si="403"/>
        <v>0</v>
      </c>
      <c r="AD89" s="16">
        <f t="shared" si="404"/>
        <v>0</v>
      </c>
      <c r="AE89" s="16">
        <f t="shared" si="405"/>
        <v>0</v>
      </c>
      <c r="AF89" s="16">
        <f t="shared" si="406"/>
        <v>0</v>
      </c>
      <c r="AG89" s="16">
        <f t="shared" si="407"/>
        <v>9243.6431210360988</v>
      </c>
      <c r="AH89" s="16">
        <f t="shared" si="408"/>
        <v>64308.052064037605</v>
      </c>
      <c r="AI89" s="16">
        <f t="shared" si="409"/>
        <v>89306.831683654193</v>
      </c>
      <c r="AJ89" s="16">
        <f t="shared" si="410"/>
        <v>107362.54462499999</v>
      </c>
      <c r="AK89" s="16">
        <f t="shared" si="411"/>
        <v>145448.12085994985</v>
      </c>
      <c r="AL89" s="16">
        <f t="shared" si="412"/>
        <v>107179.13694913452</v>
      </c>
      <c r="AM89" s="16">
        <f t="shared" si="413"/>
        <v>128904.63578250509</v>
      </c>
      <c r="AN89" s="16">
        <f t="shared" si="414"/>
        <v>135453.96958225212</v>
      </c>
      <c r="AO89" s="16">
        <f t="shared" si="415"/>
        <v>187301.45766020933</v>
      </c>
      <c r="AP89" s="16">
        <f t="shared" si="416"/>
        <v>164268.73949997345</v>
      </c>
      <c r="AQ89" s="16">
        <f t="shared" si="417"/>
        <v>196639.08777919505</v>
      </c>
      <c r="AR89" s="16">
        <f t="shared" si="418"/>
        <v>195078.66138382186</v>
      </c>
      <c r="AS89" s="16">
        <f t="shared" si="419"/>
        <v>266325.63090608252</v>
      </c>
      <c r="AT89" s="16">
        <f t="shared" si="420"/>
        <v>238189.67227496154</v>
      </c>
      <c r="AU89" s="16">
        <f t="shared" si="421"/>
        <v>285126.67727983283</v>
      </c>
      <c r="AV89" s="16">
        <f t="shared" si="422"/>
        <v>282864.05900654173</v>
      </c>
      <c r="AW89" s="16">
        <f t="shared" si="423"/>
        <v>385429.5739318665</v>
      </c>
      <c r="CI89" s="16"/>
      <c r="CJ89" s="16"/>
      <c r="CK89" s="16"/>
      <c r="CL89" s="16"/>
      <c r="CM89" s="16"/>
      <c r="CN89" s="16"/>
      <c r="CO89" s="16"/>
      <c r="CP89" s="16"/>
      <c r="CQ89" s="16"/>
      <c r="CR89" s="16"/>
      <c r="CS89" s="16"/>
      <c r="CT89" s="16"/>
      <c r="CU89" s="16"/>
      <c r="CV89" s="16"/>
      <c r="CW89" s="16"/>
      <c r="CX89" s="16"/>
      <c r="CY89" s="16"/>
      <c r="CZ89" s="16"/>
      <c r="DA89" s="16"/>
      <c r="DB89" s="16"/>
      <c r="DC89" s="16"/>
      <c r="DD89" s="16"/>
      <c r="DE89" s="16"/>
      <c r="DF89" s="16">
        <f>DE88</f>
        <v>9243.6431210360988</v>
      </c>
      <c r="DG89" s="16">
        <f t="shared" si="429"/>
        <v>14165.760214544398</v>
      </c>
      <c r="DH89" s="16">
        <f t="shared" si="429"/>
        <v>33723.055415309405</v>
      </c>
      <c r="DI89" s="16">
        <f t="shared" si="429"/>
        <v>16419.2364341838</v>
      </c>
      <c r="DJ89" s="16">
        <f t="shared" si="429"/>
        <v>26622.431664670799</v>
      </c>
      <c r="DK89" s="16">
        <f t="shared" si="429"/>
        <v>46337.128518983394</v>
      </c>
      <c r="DL89" s="16">
        <f t="shared" si="427"/>
        <v>16347.271500000001</v>
      </c>
      <c r="DM89" s="16">
        <f t="shared" si="427"/>
        <v>38143.633500000004</v>
      </c>
      <c r="DN89" s="16">
        <f t="shared" si="427"/>
        <v>54490.904999999999</v>
      </c>
      <c r="DO89" s="16">
        <f t="shared" si="427"/>
        <v>14728.006125</v>
      </c>
      <c r="DP89" s="16">
        <f t="shared" si="427"/>
        <v>58912.0245</v>
      </c>
      <c r="DQ89" s="16">
        <f t="shared" si="427"/>
        <v>73640.030624999999</v>
      </c>
      <c r="DR89" s="16">
        <f t="shared" si="427"/>
        <v>12896.065734949832</v>
      </c>
      <c r="DS89" s="16">
        <f t="shared" si="427"/>
        <v>28342.809983966323</v>
      </c>
      <c r="DT89" s="16">
        <f t="shared" si="427"/>
        <v>56318.115227445407</v>
      </c>
      <c r="DU89" s="16">
        <f t="shared" si="427"/>
        <v>22518.211737722806</v>
      </c>
      <c r="DV89" s="16">
        <f t="shared" si="427"/>
        <v>44166.451622810913</v>
      </c>
      <c r="DW89" s="16">
        <f t="shared" si="427"/>
        <v>63115.484825599837</v>
      </c>
      <c r="DX89" s="16">
        <f t="shared" si="427"/>
        <v>21622.699334094348</v>
      </c>
      <c r="DY89" s="16">
        <f t="shared" si="427"/>
        <v>38555.414420982212</v>
      </c>
      <c r="DZ89" s="16">
        <f t="shared" si="427"/>
        <v>67789.589131003042</v>
      </c>
      <c r="EA89" s="16">
        <f t="shared" si="427"/>
        <v>29108.96603026686</v>
      </c>
      <c r="EB89" s="16">
        <f t="shared" si="431"/>
        <v>77646.098059195589</v>
      </c>
      <c r="EC89" s="16">
        <f t="shared" si="431"/>
        <v>89170.093891962737</v>
      </c>
      <c r="ED89" s="16">
        <f t="shared" si="431"/>
        <v>20485.265709051</v>
      </c>
      <c r="EE89" s="16">
        <f t="shared" si="431"/>
        <v>43269.213476350327</v>
      </c>
      <c r="EF89" s="16">
        <f t="shared" si="431"/>
        <v>84532.788710481997</v>
      </c>
      <c r="EG89" s="16">
        <f t="shared" si="431"/>
        <v>36466.737313141137</v>
      </c>
      <c r="EH89" s="16">
        <f t="shared" si="431"/>
        <v>68397.891143646106</v>
      </c>
      <c r="EI89" s="16">
        <f t="shared" si="431"/>
        <v>96347.71511775977</v>
      </c>
      <c r="EJ89" s="16">
        <f t="shared" si="431"/>
        <v>31893.481517789176</v>
      </c>
      <c r="EK89" s="16">
        <f t="shared" si="431"/>
        <v>56869.236270948764</v>
      </c>
      <c r="EL89" s="16">
        <f t="shared" si="431"/>
        <v>99989.643968229473</v>
      </c>
      <c r="EM89" s="16">
        <f t="shared" si="431"/>
        <v>38219.781144643624</v>
      </c>
      <c r="EN89" s="16">
        <f t="shared" si="431"/>
        <v>109812.0508873135</v>
      </c>
      <c r="EO89" s="16">
        <f t="shared" si="431"/>
        <v>126809.94474064505</v>
      </c>
      <c r="EP89" s="16">
        <f t="shared" si="431"/>
        <v>29703.635278123958</v>
      </c>
      <c r="EQ89" s="16">
        <f t="shared" si="431"/>
        <v>62740.359540707985</v>
      </c>
      <c r="ER89" s="16">
        <f t="shared" si="431"/>
        <v>122572.54363019888</v>
      </c>
      <c r="ES89" s="16">
        <f t="shared" si="431"/>
        <v>52876.769104054663</v>
      </c>
      <c r="ET89" s="16">
        <f t="shared" si="431"/>
        <v>99176.942158286867</v>
      </c>
      <c r="EU89" s="16">
        <f t="shared" si="431"/>
        <v>139704.18692075167</v>
      </c>
      <c r="EV89" s="16">
        <f t="shared" si="431"/>
        <v>46245.548200794299</v>
      </c>
      <c r="EW89" s="16">
        <f t="shared" si="431"/>
        <v>82460.392592875694</v>
      </c>
      <c r="EX89" s="16">
        <f t="shared" si="431"/>
        <v>144984.98375393276</v>
      </c>
      <c r="EY89" s="16">
        <f t="shared" si="431"/>
        <v>55418.682659733255</v>
      </c>
      <c r="EZ89" s="16">
        <f t="shared" si="431"/>
        <v>159227.47378660459</v>
      </c>
      <c r="FA89" s="16">
        <f t="shared" si="431"/>
        <v>183874.41987393529</v>
      </c>
      <c r="FB89" s="16">
        <f t="shared" si="431"/>
        <v>42327.680271326644</v>
      </c>
      <c r="FC89" s="16"/>
      <c r="FD89" s="16"/>
      <c r="FE89" s="16"/>
      <c r="FF89" s="16"/>
      <c r="FG89" s="16"/>
      <c r="FH89" s="16"/>
      <c r="FI89" s="16"/>
      <c r="FJ89" s="16"/>
      <c r="FK89" s="16"/>
      <c r="FL89" s="16"/>
      <c r="FM89" s="16"/>
      <c r="FN89" s="16"/>
      <c r="FO89" s="16"/>
      <c r="FP89" s="16"/>
      <c r="FQ89" s="16"/>
      <c r="FR89" s="16"/>
      <c r="FS89" s="16"/>
      <c r="FT89" s="16"/>
      <c r="FU89" s="16"/>
      <c r="FV89" s="16"/>
      <c r="FW89" s="16"/>
      <c r="FX89" s="16"/>
      <c r="FY89" s="16"/>
      <c r="FZ89" s="16"/>
    </row>
    <row r="90" spans="3:182" x14ac:dyDescent="0.25">
      <c r="C90" t="s">
        <v>750</v>
      </c>
      <c r="D90" s="16">
        <f t="shared" si="426"/>
        <v>0</v>
      </c>
      <c r="E90" s="16">
        <f t="shared" si="426"/>
        <v>0</v>
      </c>
      <c r="F90" s="16">
        <f t="shared" si="426"/>
        <v>0</v>
      </c>
      <c r="G90" s="16">
        <f t="shared" si="426"/>
        <v>0</v>
      </c>
      <c r="H90" s="16">
        <f t="shared" si="426"/>
        <v>0</v>
      </c>
      <c r="I90" s="16">
        <f t="shared" si="426"/>
        <v>402773.12661872793</v>
      </c>
      <c r="J90" s="16">
        <f t="shared" si="426"/>
        <v>551249.99999999988</v>
      </c>
      <c r="K90" s="16">
        <f t="shared" si="426"/>
        <v>813093.74999999988</v>
      </c>
      <c r="L90" s="16">
        <f t="shared" si="426"/>
        <v>1178985.9375</v>
      </c>
      <c r="M90" s="16"/>
      <c r="N90" s="16">
        <f t="shared" si="388"/>
        <v>0</v>
      </c>
      <c r="O90" s="16">
        <f t="shared" si="389"/>
        <v>0</v>
      </c>
      <c r="P90" s="16">
        <f t="shared" si="390"/>
        <v>0</v>
      </c>
      <c r="Q90" s="16">
        <f t="shared" si="391"/>
        <v>0</v>
      </c>
      <c r="R90" s="16">
        <f t="shared" si="392"/>
        <v>0</v>
      </c>
      <c r="S90" s="16">
        <f t="shared" si="393"/>
        <v>0</v>
      </c>
      <c r="T90" s="16">
        <f t="shared" si="394"/>
        <v>0</v>
      </c>
      <c r="U90" s="16">
        <f t="shared" si="395"/>
        <v>0</v>
      </c>
      <c r="V90" s="16">
        <f t="shared" si="396"/>
        <v>0</v>
      </c>
      <c r="W90" s="16">
        <f t="shared" si="397"/>
        <v>0</v>
      </c>
      <c r="X90" s="16">
        <f t="shared" si="398"/>
        <v>0</v>
      </c>
      <c r="Y90" s="16">
        <f t="shared" si="399"/>
        <v>0</v>
      </c>
      <c r="Z90" s="16">
        <f t="shared" si="400"/>
        <v>0</v>
      </c>
      <c r="AA90" s="16">
        <f t="shared" si="401"/>
        <v>0</v>
      </c>
      <c r="AB90" s="16">
        <f t="shared" si="402"/>
        <v>0</v>
      </c>
      <c r="AC90" s="16">
        <f t="shared" si="403"/>
        <v>0</v>
      </c>
      <c r="AD90" s="16">
        <f t="shared" si="404"/>
        <v>0</v>
      </c>
      <c r="AE90" s="16">
        <f t="shared" si="405"/>
        <v>0</v>
      </c>
      <c r="AF90" s="16">
        <f t="shared" si="406"/>
        <v>0</v>
      </c>
      <c r="AG90" s="16">
        <f t="shared" si="407"/>
        <v>0</v>
      </c>
      <c r="AH90" s="16">
        <f t="shared" si="408"/>
        <v>57132.458750889899</v>
      </c>
      <c r="AI90" s="16">
        <f t="shared" si="409"/>
        <v>89378.796617838001</v>
      </c>
      <c r="AJ90" s="16">
        <f t="shared" si="410"/>
        <v>108981.81</v>
      </c>
      <c r="AK90" s="16">
        <f t="shared" si="411"/>
        <v>147280.06125</v>
      </c>
      <c r="AL90" s="16">
        <f t="shared" si="412"/>
        <v>97556.990946361562</v>
      </c>
      <c r="AM90" s="16">
        <f t="shared" si="413"/>
        <v>129800.14818613355</v>
      </c>
      <c r="AN90" s="16">
        <f t="shared" si="414"/>
        <v>127967.7028860796</v>
      </c>
      <c r="AO90" s="16">
        <f t="shared" si="415"/>
        <v>195925.15798142517</v>
      </c>
      <c r="AP90" s="16">
        <f t="shared" si="416"/>
        <v>148287.26789588333</v>
      </c>
      <c r="AQ90" s="16">
        <f t="shared" si="417"/>
        <v>201212.34357454701</v>
      </c>
      <c r="AR90" s="16">
        <f t="shared" si="418"/>
        <v>188752.36175696741</v>
      </c>
      <c r="AS90" s="16">
        <f t="shared" si="419"/>
        <v>274841.77677260217</v>
      </c>
      <c r="AT90" s="16">
        <f t="shared" si="420"/>
        <v>215016.53844903084</v>
      </c>
      <c r="AU90" s="16">
        <f t="shared" si="421"/>
        <v>291757.89818309317</v>
      </c>
      <c r="AV90" s="16">
        <f t="shared" si="422"/>
        <v>273690.92454760277</v>
      </c>
      <c r="AW90" s="16">
        <f t="shared" si="423"/>
        <v>398520.5763202731</v>
      </c>
      <c r="CI90" s="16"/>
      <c r="CJ90" s="16"/>
      <c r="CK90" s="16"/>
      <c r="CL90" s="16"/>
      <c r="CM90" s="16"/>
      <c r="CN90" s="16"/>
      <c r="CO90" s="16"/>
      <c r="CP90" s="16"/>
      <c r="CQ90" s="16"/>
      <c r="CR90" s="16"/>
      <c r="CS90" s="16"/>
      <c r="CT90" s="16"/>
      <c r="CU90" s="16"/>
      <c r="CV90" s="16"/>
      <c r="CW90" s="16"/>
      <c r="CX90" s="16"/>
      <c r="CY90" s="16"/>
      <c r="CZ90" s="16"/>
      <c r="DA90" s="16"/>
      <c r="DB90" s="16"/>
      <c r="DC90" s="16"/>
      <c r="DD90" s="16"/>
      <c r="DE90" s="16"/>
      <c r="DF90" s="16"/>
      <c r="DG90" s="16">
        <f>DF89</f>
        <v>9243.6431210360988</v>
      </c>
      <c r="DH90" s="16">
        <f t="shared" si="429"/>
        <v>14165.760214544398</v>
      </c>
      <c r="DI90" s="16">
        <f t="shared" si="429"/>
        <v>33723.055415309405</v>
      </c>
      <c r="DJ90" s="16">
        <f t="shared" si="429"/>
        <v>16419.2364341838</v>
      </c>
      <c r="DK90" s="16">
        <f t="shared" si="429"/>
        <v>26622.431664670799</v>
      </c>
      <c r="DL90" s="16">
        <f t="shared" si="427"/>
        <v>46337.128518983394</v>
      </c>
      <c r="DM90" s="16">
        <f t="shared" si="427"/>
        <v>16347.271500000001</v>
      </c>
      <c r="DN90" s="16">
        <f t="shared" si="427"/>
        <v>38143.633500000004</v>
      </c>
      <c r="DO90" s="16">
        <f t="shared" si="427"/>
        <v>54490.904999999999</v>
      </c>
      <c r="DP90" s="16">
        <f t="shared" si="427"/>
        <v>14728.006125</v>
      </c>
      <c r="DQ90" s="16">
        <f t="shared" si="427"/>
        <v>58912.0245</v>
      </c>
      <c r="DR90" s="16">
        <f t="shared" si="427"/>
        <v>73640.030624999999</v>
      </c>
      <c r="DS90" s="16">
        <f t="shared" si="427"/>
        <v>12896.065734949832</v>
      </c>
      <c r="DT90" s="16">
        <f t="shared" si="427"/>
        <v>28342.809983966323</v>
      </c>
      <c r="DU90" s="16">
        <f t="shared" si="427"/>
        <v>56318.115227445407</v>
      </c>
      <c r="DV90" s="16">
        <f t="shared" si="427"/>
        <v>22518.211737722806</v>
      </c>
      <c r="DW90" s="16">
        <f t="shared" si="427"/>
        <v>44166.451622810913</v>
      </c>
      <c r="DX90" s="16">
        <f t="shared" si="427"/>
        <v>63115.484825599837</v>
      </c>
      <c r="DY90" s="16">
        <f t="shared" si="427"/>
        <v>21622.699334094348</v>
      </c>
      <c r="DZ90" s="16">
        <f t="shared" si="427"/>
        <v>38555.414420982212</v>
      </c>
      <c r="EA90" s="16">
        <f t="shared" si="427"/>
        <v>67789.589131003042</v>
      </c>
      <c r="EB90" s="16">
        <f t="shared" si="431"/>
        <v>29108.96603026686</v>
      </c>
      <c r="EC90" s="16">
        <f t="shared" si="431"/>
        <v>77646.098059195589</v>
      </c>
      <c r="ED90" s="16">
        <f t="shared" si="431"/>
        <v>89170.093891962737</v>
      </c>
      <c r="EE90" s="16">
        <f t="shared" si="431"/>
        <v>20485.265709051</v>
      </c>
      <c r="EF90" s="16">
        <f t="shared" si="431"/>
        <v>43269.213476350327</v>
      </c>
      <c r="EG90" s="16">
        <f t="shared" si="431"/>
        <v>84532.788710481997</v>
      </c>
      <c r="EH90" s="16">
        <f t="shared" si="431"/>
        <v>36466.737313141137</v>
      </c>
      <c r="EI90" s="16">
        <f t="shared" si="431"/>
        <v>68397.891143646106</v>
      </c>
      <c r="EJ90" s="16">
        <f t="shared" si="431"/>
        <v>96347.71511775977</v>
      </c>
      <c r="EK90" s="16">
        <f t="shared" si="431"/>
        <v>31893.481517789176</v>
      </c>
      <c r="EL90" s="16">
        <f t="shared" si="431"/>
        <v>56869.236270948764</v>
      </c>
      <c r="EM90" s="16">
        <f t="shared" si="431"/>
        <v>99989.643968229473</v>
      </c>
      <c r="EN90" s="16">
        <f t="shared" si="431"/>
        <v>38219.781144643624</v>
      </c>
      <c r="EO90" s="16">
        <f t="shared" si="431"/>
        <v>109812.0508873135</v>
      </c>
      <c r="EP90" s="16">
        <f t="shared" si="431"/>
        <v>126809.94474064505</v>
      </c>
      <c r="EQ90" s="16">
        <f t="shared" si="431"/>
        <v>29703.635278123958</v>
      </c>
      <c r="ER90" s="16">
        <f t="shared" si="431"/>
        <v>62740.359540707985</v>
      </c>
      <c r="ES90" s="16">
        <f t="shared" si="431"/>
        <v>122572.54363019888</v>
      </c>
      <c r="ET90" s="16">
        <f t="shared" si="431"/>
        <v>52876.769104054663</v>
      </c>
      <c r="EU90" s="16">
        <f t="shared" si="431"/>
        <v>99176.942158286867</v>
      </c>
      <c r="EV90" s="16">
        <f t="shared" si="431"/>
        <v>139704.18692075167</v>
      </c>
      <c r="EW90" s="16">
        <f t="shared" si="431"/>
        <v>46245.548200794299</v>
      </c>
      <c r="EX90" s="16">
        <f t="shared" si="431"/>
        <v>82460.392592875694</v>
      </c>
      <c r="EY90" s="16">
        <f t="shared" si="431"/>
        <v>144984.98375393276</v>
      </c>
      <c r="EZ90" s="16">
        <f t="shared" si="431"/>
        <v>55418.682659733255</v>
      </c>
      <c r="FA90" s="16">
        <f t="shared" si="431"/>
        <v>159227.47378660459</v>
      </c>
      <c r="FB90" s="16">
        <f t="shared" si="431"/>
        <v>183874.41987393529</v>
      </c>
      <c r="FC90" s="16"/>
      <c r="FD90" s="16"/>
      <c r="FE90" s="16"/>
      <c r="FF90" s="16"/>
      <c r="FG90" s="16"/>
      <c r="FH90" s="16"/>
      <c r="FI90" s="16"/>
      <c r="FJ90" s="16"/>
      <c r="FK90" s="16"/>
      <c r="FL90" s="16"/>
      <c r="FM90" s="16"/>
      <c r="FN90" s="16"/>
      <c r="FO90" s="16"/>
      <c r="FP90" s="16"/>
      <c r="FQ90" s="16"/>
      <c r="FR90" s="16"/>
      <c r="FS90" s="16"/>
      <c r="FT90" s="16"/>
      <c r="FU90" s="16"/>
      <c r="FV90" s="16"/>
      <c r="FW90" s="16"/>
      <c r="FX90" s="16"/>
      <c r="FY90" s="16"/>
      <c r="FZ90" s="16"/>
    </row>
    <row r="91" spans="3:182" x14ac:dyDescent="0.25">
      <c r="C91" t="s">
        <v>751</v>
      </c>
      <c r="D91" s="16">
        <f t="shared" si="426"/>
        <v>0</v>
      </c>
      <c r="E91" s="16">
        <f t="shared" si="426"/>
        <v>0</v>
      </c>
      <c r="F91" s="16">
        <f t="shared" si="426"/>
        <v>0</v>
      </c>
      <c r="G91" s="16">
        <f t="shared" si="426"/>
        <v>0</v>
      </c>
      <c r="H91" s="16">
        <f t="shared" si="426"/>
        <v>0</v>
      </c>
      <c r="I91" s="16">
        <f t="shared" si="426"/>
        <v>329133.09599372791</v>
      </c>
      <c r="J91" s="16">
        <f t="shared" si="426"/>
        <v>535719.93673303712</v>
      </c>
      <c r="K91" s="16">
        <f t="shared" si="426"/>
        <v>775453.89915131754</v>
      </c>
      <c r="L91" s="16">
        <f t="shared" si="426"/>
        <v>1121921.4623667097</v>
      </c>
      <c r="M91" s="16"/>
      <c r="N91" s="16">
        <f t="shared" si="388"/>
        <v>0</v>
      </c>
      <c r="O91" s="16">
        <f t="shared" si="389"/>
        <v>0</v>
      </c>
      <c r="P91" s="16">
        <f t="shared" si="390"/>
        <v>0</v>
      </c>
      <c r="Q91" s="16">
        <f t="shared" si="391"/>
        <v>0</v>
      </c>
      <c r="R91" s="16">
        <f t="shared" si="392"/>
        <v>0</v>
      </c>
      <c r="S91" s="16">
        <f t="shared" si="393"/>
        <v>0</v>
      </c>
      <c r="T91" s="16">
        <f t="shared" si="394"/>
        <v>0</v>
      </c>
      <c r="U91" s="16">
        <f t="shared" si="395"/>
        <v>0</v>
      </c>
      <c r="V91" s="16">
        <f t="shared" si="396"/>
        <v>0</v>
      </c>
      <c r="W91" s="16">
        <f t="shared" si="397"/>
        <v>0</v>
      </c>
      <c r="X91" s="16">
        <f t="shared" si="398"/>
        <v>0</v>
      </c>
      <c r="Y91" s="16">
        <f t="shared" si="399"/>
        <v>0</v>
      </c>
      <c r="Z91" s="16">
        <f t="shared" si="400"/>
        <v>0</v>
      </c>
      <c r="AA91" s="16">
        <f t="shared" si="401"/>
        <v>0</v>
      </c>
      <c r="AB91" s="16">
        <f t="shared" si="402"/>
        <v>0</v>
      </c>
      <c r="AC91" s="16">
        <f t="shared" si="403"/>
        <v>0</v>
      </c>
      <c r="AD91" s="16">
        <f t="shared" si="404"/>
        <v>0</v>
      </c>
      <c r="AE91" s="16">
        <f t="shared" si="405"/>
        <v>0</v>
      </c>
      <c r="AF91" s="16">
        <f t="shared" si="406"/>
        <v>0</v>
      </c>
      <c r="AG91" s="16">
        <f t="shared" si="407"/>
        <v>0</v>
      </c>
      <c r="AH91" s="16">
        <f t="shared" si="408"/>
        <v>23409.403335580497</v>
      </c>
      <c r="AI91" s="16">
        <f t="shared" si="409"/>
        <v>76764.723514164012</v>
      </c>
      <c r="AJ91" s="16">
        <f t="shared" si="410"/>
        <v>100828.0335189834</v>
      </c>
      <c r="AK91" s="16">
        <f t="shared" si="411"/>
        <v>128130.935625</v>
      </c>
      <c r="AL91" s="16">
        <f t="shared" si="412"/>
        <v>114878.90634391615</v>
      </c>
      <c r="AM91" s="16">
        <f t="shared" si="413"/>
        <v>123002.77858797912</v>
      </c>
      <c r="AN91" s="16">
        <f t="shared" si="414"/>
        <v>123293.59858067639</v>
      </c>
      <c r="AO91" s="16">
        <f t="shared" si="415"/>
        <v>174544.65322046549</v>
      </c>
      <c r="AP91" s="16">
        <f t="shared" si="416"/>
        <v>152924.57307736407</v>
      </c>
      <c r="AQ91" s="16">
        <f t="shared" si="417"/>
        <v>189397.41716726922</v>
      </c>
      <c r="AR91" s="16">
        <f t="shared" si="418"/>
        <v>185110.43290649771</v>
      </c>
      <c r="AS91" s="16">
        <f t="shared" si="419"/>
        <v>248021.47600018658</v>
      </c>
      <c r="AT91" s="16">
        <f t="shared" si="420"/>
        <v>219253.939559477</v>
      </c>
      <c r="AU91" s="16">
        <f t="shared" si="421"/>
        <v>274626.2548925404</v>
      </c>
      <c r="AV91" s="16">
        <f t="shared" si="422"/>
        <v>268410.12771442166</v>
      </c>
      <c r="AW91" s="16">
        <f t="shared" si="423"/>
        <v>359631.14020027057</v>
      </c>
      <c r="CI91" s="16"/>
      <c r="CJ91" s="16"/>
      <c r="CK91" s="16"/>
      <c r="CL91" s="16"/>
      <c r="CM91" s="16"/>
      <c r="CN91" s="16"/>
      <c r="CO91" s="16"/>
      <c r="CP91" s="16"/>
      <c r="CQ91" s="16"/>
      <c r="CR91" s="16"/>
      <c r="CS91" s="16"/>
      <c r="CT91" s="16"/>
      <c r="CU91" s="16"/>
      <c r="CV91" s="16"/>
      <c r="CW91" s="16"/>
      <c r="CX91" s="16"/>
      <c r="CY91" s="16"/>
      <c r="CZ91" s="16"/>
      <c r="DA91" s="16"/>
      <c r="DB91" s="16"/>
      <c r="DC91" s="16"/>
      <c r="DD91" s="16"/>
      <c r="DE91" s="16"/>
      <c r="DF91" s="16"/>
      <c r="DG91" s="16"/>
      <c r="DH91" s="16">
        <f>DG90</f>
        <v>9243.6431210360988</v>
      </c>
      <c r="DI91" s="16">
        <f t="shared" si="429"/>
        <v>14165.760214544398</v>
      </c>
      <c r="DJ91" s="16">
        <f t="shared" si="429"/>
        <v>33723.055415309405</v>
      </c>
      <c r="DK91" s="16">
        <f t="shared" si="429"/>
        <v>16419.2364341838</v>
      </c>
      <c r="DL91" s="16">
        <f t="shared" si="427"/>
        <v>26622.431664670799</v>
      </c>
      <c r="DM91" s="16">
        <f t="shared" si="427"/>
        <v>46337.128518983394</v>
      </c>
      <c r="DN91" s="16">
        <f t="shared" si="427"/>
        <v>16347.271500000001</v>
      </c>
      <c r="DO91" s="16">
        <f t="shared" si="427"/>
        <v>38143.633500000004</v>
      </c>
      <c r="DP91" s="16">
        <f t="shared" si="427"/>
        <v>54490.904999999999</v>
      </c>
      <c r="DQ91" s="16">
        <f t="shared" si="427"/>
        <v>14728.006125</v>
      </c>
      <c r="DR91" s="16">
        <f t="shared" si="427"/>
        <v>58912.0245</v>
      </c>
      <c r="DS91" s="16">
        <f t="shared" si="427"/>
        <v>73640.030624999999</v>
      </c>
      <c r="DT91" s="16">
        <f t="shared" si="427"/>
        <v>12896.065734949832</v>
      </c>
      <c r="DU91" s="16">
        <f t="shared" si="427"/>
        <v>28342.809983966323</v>
      </c>
      <c r="DV91" s="16">
        <f t="shared" si="427"/>
        <v>56318.115227445407</v>
      </c>
      <c r="DW91" s="16">
        <f t="shared" si="427"/>
        <v>22518.211737722806</v>
      </c>
      <c r="DX91" s="16">
        <f t="shared" si="427"/>
        <v>44166.451622810913</v>
      </c>
      <c r="DY91" s="16">
        <f t="shared" si="427"/>
        <v>63115.484825599837</v>
      </c>
      <c r="DZ91" s="16">
        <f t="shared" si="427"/>
        <v>21622.699334094348</v>
      </c>
      <c r="EA91" s="16">
        <f t="shared" si="427"/>
        <v>38555.414420982212</v>
      </c>
      <c r="EB91" s="16">
        <f t="shared" si="431"/>
        <v>67789.589131003042</v>
      </c>
      <c r="EC91" s="16">
        <f t="shared" si="431"/>
        <v>29108.96603026686</v>
      </c>
      <c r="ED91" s="16">
        <f t="shared" si="431"/>
        <v>77646.098059195589</v>
      </c>
      <c r="EE91" s="16">
        <f t="shared" si="431"/>
        <v>89170.093891962737</v>
      </c>
      <c r="EF91" s="16">
        <f t="shared" si="431"/>
        <v>20485.265709051</v>
      </c>
      <c r="EG91" s="16">
        <f t="shared" si="431"/>
        <v>43269.213476350327</v>
      </c>
      <c r="EH91" s="16">
        <f t="shared" si="431"/>
        <v>84532.788710481997</v>
      </c>
      <c r="EI91" s="16">
        <f t="shared" si="431"/>
        <v>36466.737313141137</v>
      </c>
      <c r="EJ91" s="16">
        <f t="shared" si="431"/>
        <v>68397.891143646106</v>
      </c>
      <c r="EK91" s="16">
        <f t="shared" si="431"/>
        <v>96347.71511775977</v>
      </c>
      <c r="EL91" s="16">
        <f t="shared" si="431"/>
        <v>31893.481517789176</v>
      </c>
      <c r="EM91" s="16">
        <f t="shared" si="431"/>
        <v>56869.236270948764</v>
      </c>
      <c r="EN91" s="16">
        <f t="shared" si="431"/>
        <v>99989.643968229473</v>
      </c>
      <c r="EO91" s="16">
        <f t="shared" si="431"/>
        <v>38219.781144643624</v>
      </c>
      <c r="EP91" s="16">
        <f t="shared" si="431"/>
        <v>109812.0508873135</v>
      </c>
      <c r="EQ91" s="16">
        <f t="shared" si="431"/>
        <v>126809.94474064505</v>
      </c>
      <c r="ER91" s="16">
        <f t="shared" si="431"/>
        <v>29703.635278123958</v>
      </c>
      <c r="ES91" s="16">
        <f t="shared" si="431"/>
        <v>62740.359540707985</v>
      </c>
      <c r="ET91" s="16">
        <f t="shared" si="431"/>
        <v>122572.54363019888</v>
      </c>
      <c r="EU91" s="16">
        <f t="shared" si="431"/>
        <v>52876.769104054663</v>
      </c>
      <c r="EV91" s="16">
        <f t="shared" si="431"/>
        <v>99176.942158286867</v>
      </c>
      <c r="EW91" s="16">
        <f t="shared" si="431"/>
        <v>139704.18692075167</v>
      </c>
      <c r="EX91" s="16">
        <f t="shared" si="431"/>
        <v>46245.548200794299</v>
      </c>
      <c r="EY91" s="16">
        <f t="shared" si="431"/>
        <v>82460.392592875694</v>
      </c>
      <c r="EZ91" s="16">
        <f t="shared" si="431"/>
        <v>144984.98375393276</v>
      </c>
      <c r="FA91" s="16">
        <f t="shared" si="431"/>
        <v>55418.682659733255</v>
      </c>
      <c r="FB91" s="16">
        <f t="shared" si="431"/>
        <v>159227.47378660459</v>
      </c>
      <c r="FC91" s="16"/>
      <c r="FD91" s="16"/>
      <c r="FE91" s="16"/>
      <c r="FF91" s="16"/>
      <c r="FG91" s="16"/>
      <c r="FH91" s="16"/>
      <c r="FI91" s="16"/>
      <c r="FJ91" s="16"/>
      <c r="FK91" s="16"/>
      <c r="FL91" s="16"/>
      <c r="FM91" s="16"/>
      <c r="FN91" s="16"/>
      <c r="FO91" s="16"/>
      <c r="FP91" s="16"/>
      <c r="FQ91" s="16"/>
      <c r="FR91" s="16"/>
      <c r="FS91" s="16"/>
      <c r="FT91" s="16"/>
      <c r="FU91" s="16"/>
      <c r="FV91" s="16"/>
      <c r="FW91" s="16"/>
      <c r="FX91" s="16"/>
      <c r="FY91" s="16"/>
      <c r="FZ91" s="16"/>
    </row>
    <row r="92" spans="3:182" x14ac:dyDescent="0.25">
      <c r="C92" t="s">
        <v>752</v>
      </c>
      <c r="D92" s="16">
        <f t="shared" si="426"/>
        <v>0</v>
      </c>
      <c r="E92" s="16">
        <f t="shared" si="426"/>
        <v>0</v>
      </c>
      <c r="F92" s="16">
        <f t="shared" si="426"/>
        <v>0</v>
      </c>
      <c r="G92" s="16">
        <f t="shared" si="426"/>
        <v>0</v>
      </c>
      <c r="H92" s="16">
        <f t="shared" si="426"/>
        <v>0</v>
      </c>
      <c r="I92" s="16">
        <f t="shared" si="426"/>
        <v>270221.07149372791</v>
      </c>
      <c r="J92" s="16">
        <f t="shared" si="426"/>
        <v>516985.8631738415</v>
      </c>
      <c r="K92" s="16">
        <f t="shared" si="426"/>
        <v>743287.94632319966</v>
      </c>
      <c r="L92" s="16">
        <f t="shared" si="426"/>
        <v>1072506.0394674186</v>
      </c>
      <c r="M92" s="16"/>
      <c r="N92" s="16">
        <f t="shared" si="388"/>
        <v>0</v>
      </c>
      <c r="O92" s="16">
        <f t="shared" si="389"/>
        <v>0</v>
      </c>
      <c r="P92" s="16">
        <f t="shared" si="390"/>
        <v>0</v>
      </c>
      <c r="Q92" s="16">
        <f t="shared" si="391"/>
        <v>0</v>
      </c>
      <c r="R92" s="16">
        <f t="shared" si="392"/>
        <v>0</v>
      </c>
      <c r="S92" s="16">
        <f t="shared" si="393"/>
        <v>0</v>
      </c>
      <c r="T92" s="16">
        <f t="shared" si="394"/>
        <v>0</v>
      </c>
      <c r="U92" s="16">
        <f t="shared" si="395"/>
        <v>0</v>
      </c>
      <c r="V92" s="16">
        <f t="shared" si="396"/>
        <v>0</v>
      </c>
      <c r="W92" s="16">
        <f t="shared" si="397"/>
        <v>0</v>
      </c>
      <c r="X92" s="16">
        <f t="shared" si="398"/>
        <v>0</v>
      </c>
      <c r="Y92" s="16">
        <f t="shared" si="399"/>
        <v>0</v>
      </c>
      <c r="Z92" s="16">
        <f t="shared" si="400"/>
        <v>0</v>
      </c>
      <c r="AA92" s="16">
        <f t="shared" si="401"/>
        <v>0</v>
      </c>
      <c r="AB92" s="16">
        <f t="shared" si="402"/>
        <v>0</v>
      </c>
      <c r="AC92" s="16">
        <f t="shared" si="403"/>
        <v>0</v>
      </c>
      <c r="AD92" s="16">
        <f t="shared" si="404"/>
        <v>0</v>
      </c>
      <c r="AE92" s="16">
        <f t="shared" si="405"/>
        <v>0</v>
      </c>
      <c r="AF92" s="16">
        <f t="shared" si="406"/>
        <v>0</v>
      </c>
      <c r="AG92" s="16">
        <f t="shared" si="407"/>
        <v>0</v>
      </c>
      <c r="AH92" s="16">
        <f t="shared" si="408"/>
        <v>9243.6431210360988</v>
      </c>
      <c r="AI92" s="16">
        <f t="shared" si="409"/>
        <v>64308.052064037605</v>
      </c>
      <c r="AJ92" s="16">
        <f t="shared" si="410"/>
        <v>89306.831683654193</v>
      </c>
      <c r="AK92" s="16">
        <f t="shared" si="411"/>
        <v>107362.54462499999</v>
      </c>
      <c r="AL92" s="16">
        <f t="shared" si="412"/>
        <v>145448.12085994985</v>
      </c>
      <c r="AM92" s="16">
        <f t="shared" si="413"/>
        <v>107179.13694913452</v>
      </c>
      <c r="AN92" s="16">
        <f t="shared" si="414"/>
        <v>128904.63578250509</v>
      </c>
      <c r="AO92" s="16">
        <f t="shared" si="415"/>
        <v>135453.96958225212</v>
      </c>
      <c r="AP92" s="16">
        <f t="shared" si="416"/>
        <v>187301.45766020933</v>
      </c>
      <c r="AQ92" s="16">
        <f t="shared" si="417"/>
        <v>164268.73949997345</v>
      </c>
      <c r="AR92" s="16">
        <f t="shared" si="418"/>
        <v>196639.08777919505</v>
      </c>
      <c r="AS92" s="16">
        <f t="shared" si="419"/>
        <v>195078.66138382186</v>
      </c>
      <c r="AT92" s="16">
        <f t="shared" si="420"/>
        <v>266325.63090608252</v>
      </c>
      <c r="AU92" s="16">
        <f t="shared" si="421"/>
        <v>238189.67227496154</v>
      </c>
      <c r="AV92" s="16">
        <f t="shared" si="422"/>
        <v>285126.67727983283</v>
      </c>
      <c r="AW92" s="16">
        <f t="shared" si="423"/>
        <v>282864.05900654173</v>
      </c>
      <c r="CI92" s="16"/>
      <c r="CJ92" s="16"/>
      <c r="CK92" s="16"/>
      <c r="CL92" s="16"/>
      <c r="CM92" s="16"/>
      <c r="CN92" s="16"/>
      <c r="CO92" s="16"/>
      <c r="CP92" s="16"/>
      <c r="CQ92" s="16"/>
      <c r="CR92" s="16"/>
      <c r="CS92" s="16"/>
      <c r="CT92" s="16"/>
      <c r="CU92" s="16"/>
      <c r="CV92" s="16"/>
      <c r="CW92" s="16"/>
      <c r="CX92" s="16"/>
      <c r="CY92" s="16"/>
      <c r="CZ92" s="16"/>
      <c r="DA92" s="16"/>
      <c r="DB92" s="16"/>
      <c r="DC92" s="16"/>
      <c r="DD92" s="16"/>
      <c r="DE92" s="16"/>
      <c r="DF92" s="16"/>
      <c r="DG92" s="16"/>
      <c r="DH92" s="16"/>
      <c r="DI92" s="16">
        <f>DH91</f>
        <v>9243.6431210360988</v>
      </c>
      <c r="DJ92" s="16">
        <f>DI91</f>
        <v>14165.760214544398</v>
      </c>
      <c r="DK92" s="16">
        <f t="shared" si="429"/>
        <v>33723.055415309405</v>
      </c>
      <c r="DL92" s="16">
        <f t="shared" si="427"/>
        <v>16419.2364341838</v>
      </c>
      <c r="DM92" s="16">
        <f t="shared" si="427"/>
        <v>26622.431664670799</v>
      </c>
      <c r="DN92" s="16">
        <f t="shared" si="427"/>
        <v>46337.128518983394</v>
      </c>
      <c r="DO92" s="16">
        <f t="shared" si="427"/>
        <v>16347.271500000001</v>
      </c>
      <c r="DP92" s="16">
        <f t="shared" si="427"/>
        <v>38143.633500000004</v>
      </c>
      <c r="DQ92" s="16">
        <f t="shared" si="427"/>
        <v>54490.904999999999</v>
      </c>
      <c r="DR92" s="16">
        <f t="shared" si="427"/>
        <v>14728.006125</v>
      </c>
      <c r="DS92" s="16">
        <f t="shared" si="427"/>
        <v>58912.0245</v>
      </c>
      <c r="DT92" s="16">
        <f t="shared" si="427"/>
        <v>73640.030624999999</v>
      </c>
      <c r="DU92" s="16">
        <f t="shared" si="427"/>
        <v>12896.065734949832</v>
      </c>
      <c r="DV92" s="16">
        <f t="shared" si="427"/>
        <v>28342.809983966323</v>
      </c>
      <c r="DW92" s="16">
        <f t="shared" si="427"/>
        <v>56318.115227445407</v>
      </c>
      <c r="DX92" s="16">
        <f t="shared" si="427"/>
        <v>22518.211737722806</v>
      </c>
      <c r="DY92" s="16">
        <f t="shared" si="427"/>
        <v>44166.451622810913</v>
      </c>
      <c r="DZ92" s="16">
        <f t="shared" si="427"/>
        <v>63115.484825599837</v>
      </c>
      <c r="EA92" s="16">
        <f t="shared" si="427"/>
        <v>21622.699334094348</v>
      </c>
      <c r="EB92" s="16">
        <f t="shared" si="431"/>
        <v>38555.414420982212</v>
      </c>
      <c r="EC92" s="16">
        <f t="shared" si="431"/>
        <v>67789.589131003042</v>
      </c>
      <c r="ED92" s="16">
        <f t="shared" si="431"/>
        <v>29108.96603026686</v>
      </c>
      <c r="EE92" s="16">
        <f t="shared" si="431"/>
        <v>77646.098059195589</v>
      </c>
      <c r="EF92" s="16">
        <f t="shared" si="431"/>
        <v>89170.093891962737</v>
      </c>
      <c r="EG92" s="16">
        <f t="shared" si="431"/>
        <v>20485.265709051</v>
      </c>
      <c r="EH92" s="16">
        <f t="shared" si="431"/>
        <v>43269.213476350327</v>
      </c>
      <c r="EI92" s="16">
        <f t="shared" si="431"/>
        <v>84532.788710481997</v>
      </c>
      <c r="EJ92" s="16">
        <f t="shared" si="431"/>
        <v>36466.737313141137</v>
      </c>
      <c r="EK92" s="16">
        <f t="shared" si="431"/>
        <v>68397.891143646106</v>
      </c>
      <c r="EL92" s="16">
        <f t="shared" si="431"/>
        <v>96347.71511775977</v>
      </c>
      <c r="EM92" s="16">
        <f t="shared" si="431"/>
        <v>31893.481517789176</v>
      </c>
      <c r="EN92" s="16">
        <f t="shared" si="431"/>
        <v>56869.236270948764</v>
      </c>
      <c r="EO92" s="16">
        <f t="shared" si="431"/>
        <v>99989.643968229473</v>
      </c>
      <c r="EP92" s="16">
        <f t="shared" si="431"/>
        <v>38219.781144643624</v>
      </c>
      <c r="EQ92" s="16">
        <f t="shared" si="431"/>
        <v>109812.0508873135</v>
      </c>
      <c r="ER92" s="16">
        <f t="shared" si="431"/>
        <v>126809.94474064505</v>
      </c>
      <c r="ES92" s="16">
        <f t="shared" si="431"/>
        <v>29703.635278123958</v>
      </c>
      <c r="ET92" s="16">
        <f t="shared" si="431"/>
        <v>62740.359540707985</v>
      </c>
      <c r="EU92" s="16">
        <f t="shared" si="431"/>
        <v>122572.54363019888</v>
      </c>
      <c r="EV92" s="16">
        <f t="shared" si="431"/>
        <v>52876.769104054663</v>
      </c>
      <c r="EW92" s="16">
        <f t="shared" si="431"/>
        <v>99176.942158286867</v>
      </c>
      <c r="EX92" s="16">
        <f t="shared" si="431"/>
        <v>139704.18692075167</v>
      </c>
      <c r="EY92" s="16">
        <f t="shared" si="431"/>
        <v>46245.548200794299</v>
      </c>
      <c r="EZ92" s="16">
        <f t="shared" si="431"/>
        <v>82460.392592875694</v>
      </c>
      <c r="FA92" s="16">
        <f t="shared" si="431"/>
        <v>144984.98375393276</v>
      </c>
      <c r="FB92" s="16">
        <f t="shared" si="431"/>
        <v>55418.682659733255</v>
      </c>
      <c r="FC92" s="16"/>
      <c r="FD92" s="16"/>
      <c r="FE92" s="16"/>
      <c r="FF92" s="16"/>
      <c r="FG92" s="16"/>
      <c r="FH92" s="16"/>
      <c r="FI92" s="16"/>
      <c r="FJ92" s="16"/>
      <c r="FK92" s="16"/>
      <c r="FL92" s="16"/>
      <c r="FM92" s="16"/>
      <c r="FN92" s="16"/>
      <c r="FO92" s="16"/>
      <c r="FP92" s="16"/>
      <c r="FQ92" s="16"/>
      <c r="FR92" s="16"/>
      <c r="FS92" s="16"/>
      <c r="FT92" s="16"/>
      <c r="FU92" s="16"/>
      <c r="FV92" s="16"/>
      <c r="FW92" s="16"/>
      <c r="FX92" s="16"/>
      <c r="FY92" s="16"/>
      <c r="FZ92" s="16"/>
    </row>
    <row r="93" spans="3:182" x14ac:dyDescent="0.25">
      <c r="C93" t="s">
        <v>753</v>
      </c>
      <c r="D93" s="16">
        <f t="shared" si="426"/>
        <v>0</v>
      </c>
      <c r="E93" s="16">
        <f t="shared" si="426"/>
        <v>0</v>
      </c>
      <c r="F93" s="16">
        <f t="shared" si="426"/>
        <v>0</v>
      </c>
      <c r="G93" s="16">
        <f t="shared" si="426"/>
        <v>0</v>
      </c>
      <c r="H93" s="16">
        <f t="shared" si="426"/>
        <v>0</v>
      </c>
      <c r="I93" s="16">
        <f t="shared" si="426"/>
        <v>255493.0653687279</v>
      </c>
      <c r="J93" s="16">
        <f t="shared" si="426"/>
        <v>502604.90326857474</v>
      </c>
      <c r="K93" s="16">
        <f t="shared" si="426"/>
        <v>734177.13120882283</v>
      </c>
      <c r="L93" s="16">
        <f t="shared" si="426"/>
        <v>1055307.1379523291</v>
      </c>
      <c r="M93" s="16"/>
      <c r="N93" s="16">
        <f t="shared" si="388"/>
        <v>0</v>
      </c>
      <c r="O93" s="16">
        <f t="shared" si="389"/>
        <v>0</v>
      </c>
      <c r="P93" s="16">
        <f t="shared" si="390"/>
        <v>0</v>
      </c>
      <c r="Q93" s="16">
        <f t="shared" si="391"/>
        <v>0</v>
      </c>
      <c r="R93" s="16">
        <f t="shared" si="392"/>
        <v>0</v>
      </c>
      <c r="S93" s="16">
        <f t="shared" si="393"/>
        <v>0</v>
      </c>
      <c r="T93" s="16">
        <f t="shared" si="394"/>
        <v>0</v>
      </c>
      <c r="U93" s="16">
        <f t="shared" si="395"/>
        <v>0</v>
      </c>
      <c r="V93" s="16">
        <f t="shared" si="396"/>
        <v>0</v>
      </c>
      <c r="W93" s="16">
        <f t="shared" si="397"/>
        <v>0</v>
      </c>
      <c r="X93" s="16">
        <f t="shared" si="398"/>
        <v>0</v>
      </c>
      <c r="Y93" s="16">
        <f t="shared" si="399"/>
        <v>0</v>
      </c>
      <c r="Z93" s="16">
        <f t="shared" si="400"/>
        <v>0</v>
      </c>
      <c r="AA93" s="16">
        <f t="shared" si="401"/>
        <v>0</v>
      </c>
      <c r="AB93" s="16">
        <f t="shared" si="402"/>
        <v>0</v>
      </c>
      <c r="AC93" s="16">
        <f t="shared" si="403"/>
        <v>0</v>
      </c>
      <c r="AD93" s="16">
        <f t="shared" si="404"/>
        <v>0</v>
      </c>
      <c r="AE93" s="16">
        <f t="shared" si="405"/>
        <v>0</v>
      </c>
      <c r="AF93" s="16">
        <f t="shared" si="406"/>
        <v>0</v>
      </c>
      <c r="AG93" s="16">
        <f t="shared" si="407"/>
        <v>0</v>
      </c>
      <c r="AH93" s="16">
        <f t="shared" si="408"/>
        <v>0</v>
      </c>
      <c r="AI93" s="16">
        <f t="shared" si="409"/>
        <v>57132.458750889899</v>
      </c>
      <c r="AJ93" s="16">
        <f t="shared" si="410"/>
        <v>89378.796617838001</v>
      </c>
      <c r="AK93" s="16">
        <f t="shared" si="411"/>
        <v>108981.81</v>
      </c>
      <c r="AL93" s="16">
        <f t="shared" si="412"/>
        <v>147280.06125</v>
      </c>
      <c r="AM93" s="16">
        <f t="shared" si="413"/>
        <v>97556.990946361562</v>
      </c>
      <c r="AN93" s="16">
        <f t="shared" si="414"/>
        <v>129800.14818613355</v>
      </c>
      <c r="AO93" s="16">
        <f t="shared" si="415"/>
        <v>127967.7028860796</v>
      </c>
      <c r="AP93" s="16">
        <f t="shared" si="416"/>
        <v>195925.15798142517</v>
      </c>
      <c r="AQ93" s="16">
        <f t="shared" si="417"/>
        <v>148287.26789588333</v>
      </c>
      <c r="AR93" s="16">
        <f t="shared" si="418"/>
        <v>201212.34357454701</v>
      </c>
      <c r="AS93" s="16">
        <f t="shared" si="419"/>
        <v>188752.36175696741</v>
      </c>
      <c r="AT93" s="16">
        <f t="shared" si="420"/>
        <v>274841.77677260217</v>
      </c>
      <c r="AU93" s="16">
        <f t="shared" si="421"/>
        <v>215016.53844903084</v>
      </c>
      <c r="AV93" s="16">
        <f t="shared" si="422"/>
        <v>291757.89818309317</v>
      </c>
      <c r="AW93" s="16">
        <f t="shared" si="423"/>
        <v>273690.92454760277</v>
      </c>
      <c r="CI93" s="16"/>
      <c r="CJ93" s="16"/>
      <c r="CK93" s="16"/>
      <c r="CL93" s="16"/>
      <c r="CM93" s="16"/>
      <c r="CN93" s="16"/>
      <c r="CO93" s="16"/>
      <c r="CP93" s="16"/>
      <c r="CQ93" s="16"/>
      <c r="CR93" s="16"/>
      <c r="CS93" s="16"/>
      <c r="CT93" s="16"/>
      <c r="CU93" s="16"/>
      <c r="CV93" s="16"/>
      <c r="CW93" s="16"/>
      <c r="CX93" s="16"/>
      <c r="CY93" s="16"/>
      <c r="CZ93" s="16"/>
      <c r="DA93" s="16"/>
      <c r="DB93" s="16"/>
      <c r="DC93" s="16"/>
      <c r="DD93" s="16"/>
      <c r="DE93" s="16"/>
      <c r="DF93" s="16"/>
      <c r="DG93" s="16"/>
      <c r="DH93" s="16"/>
      <c r="DI93" s="16"/>
      <c r="DJ93" s="16">
        <f>DI92</f>
        <v>9243.6431210360988</v>
      </c>
      <c r="DK93" s="16">
        <f t="shared" si="429"/>
        <v>14165.760214544398</v>
      </c>
      <c r="DL93" s="16">
        <f t="shared" si="427"/>
        <v>33723.055415309405</v>
      </c>
      <c r="DM93" s="16">
        <f t="shared" si="427"/>
        <v>16419.2364341838</v>
      </c>
      <c r="DN93" s="16">
        <f t="shared" si="427"/>
        <v>26622.431664670799</v>
      </c>
      <c r="DO93" s="16">
        <f t="shared" si="427"/>
        <v>46337.128518983394</v>
      </c>
      <c r="DP93" s="16">
        <f t="shared" si="427"/>
        <v>16347.271500000001</v>
      </c>
      <c r="DQ93" s="16">
        <f t="shared" si="427"/>
        <v>38143.633500000004</v>
      </c>
      <c r="DR93" s="16">
        <f t="shared" si="427"/>
        <v>54490.904999999999</v>
      </c>
      <c r="DS93" s="16">
        <f t="shared" si="427"/>
        <v>14728.006125</v>
      </c>
      <c r="DT93" s="16">
        <f t="shared" si="427"/>
        <v>58912.0245</v>
      </c>
      <c r="DU93" s="16">
        <f t="shared" si="427"/>
        <v>73640.030624999999</v>
      </c>
      <c r="DV93" s="16">
        <f t="shared" si="427"/>
        <v>12896.065734949832</v>
      </c>
      <c r="DW93" s="16">
        <f t="shared" si="427"/>
        <v>28342.809983966323</v>
      </c>
      <c r="DX93" s="16">
        <f t="shared" si="427"/>
        <v>56318.115227445407</v>
      </c>
      <c r="DY93" s="16">
        <f t="shared" si="427"/>
        <v>22518.211737722806</v>
      </c>
      <c r="DZ93" s="16">
        <f t="shared" si="427"/>
        <v>44166.451622810913</v>
      </c>
      <c r="EA93" s="16">
        <f t="shared" si="427"/>
        <v>63115.484825599837</v>
      </c>
      <c r="EB93" s="16">
        <f t="shared" ref="EB93:FB97" si="432">EA92</f>
        <v>21622.699334094348</v>
      </c>
      <c r="EC93" s="16">
        <f t="shared" si="432"/>
        <v>38555.414420982212</v>
      </c>
      <c r="ED93" s="16">
        <f t="shared" si="432"/>
        <v>67789.589131003042</v>
      </c>
      <c r="EE93" s="16">
        <f t="shared" si="432"/>
        <v>29108.96603026686</v>
      </c>
      <c r="EF93" s="16">
        <f t="shared" si="432"/>
        <v>77646.098059195589</v>
      </c>
      <c r="EG93" s="16">
        <f t="shared" si="432"/>
        <v>89170.093891962737</v>
      </c>
      <c r="EH93" s="16">
        <f t="shared" si="432"/>
        <v>20485.265709051</v>
      </c>
      <c r="EI93" s="16">
        <f t="shared" si="432"/>
        <v>43269.213476350327</v>
      </c>
      <c r="EJ93" s="16">
        <f t="shared" si="432"/>
        <v>84532.788710481997</v>
      </c>
      <c r="EK93" s="16">
        <f t="shared" si="432"/>
        <v>36466.737313141137</v>
      </c>
      <c r="EL93" s="16">
        <f t="shared" si="432"/>
        <v>68397.891143646106</v>
      </c>
      <c r="EM93" s="16">
        <f t="shared" si="432"/>
        <v>96347.71511775977</v>
      </c>
      <c r="EN93" s="16">
        <f t="shared" si="432"/>
        <v>31893.481517789176</v>
      </c>
      <c r="EO93" s="16">
        <f t="shared" si="432"/>
        <v>56869.236270948764</v>
      </c>
      <c r="EP93" s="16">
        <f t="shared" si="432"/>
        <v>99989.643968229473</v>
      </c>
      <c r="EQ93" s="16">
        <f t="shared" si="432"/>
        <v>38219.781144643624</v>
      </c>
      <c r="ER93" s="16">
        <f t="shared" si="432"/>
        <v>109812.0508873135</v>
      </c>
      <c r="ES93" s="16">
        <f t="shared" si="432"/>
        <v>126809.94474064505</v>
      </c>
      <c r="ET93" s="16">
        <f t="shared" si="432"/>
        <v>29703.635278123958</v>
      </c>
      <c r="EU93" s="16">
        <f t="shared" si="432"/>
        <v>62740.359540707985</v>
      </c>
      <c r="EV93" s="16">
        <f t="shared" si="432"/>
        <v>122572.54363019888</v>
      </c>
      <c r="EW93" s="16">
        <f t="shared" si="432"/>
        <v>52876.769104054663</v>
      </c>
      <c r="EX93" s="16">
        <f t="shared" si="432"/>
        <v>99176.942158286867</v>
      </c>
      <c r="EY93" s="16">
        <f t="shared" si="432"/>
        <v>139704.18692075167</v>
      </c>
      <c r="EZ93" s="16">
        <f t="shared" si="432"/>
        <v>46245.548200794299</v>
      </c>
      <c r="FA93" s="16">
        <f t="shared" si="432"/>
        <v>82460.392592875694</v>
      </c>
      <c r="FB93" s="16">
        <f t="shared" si="432"/>
        <v>144984.98375393276</v>
      </c>
      <c r="FC93" s="16"/>
      <c r="FD93" s="16"/>
      <c r="FE93" s="16"/>
      <c r="FF93" s="16"/>
      <c r="FG93" s="16"/>
      <c r="FH93" s="16"/>
      <c r="FI93" s="16"/>
      <c r="FJ93" s="16"/>
      <c r="FK93" s="16"/>
      <c r="FL93" s="16"/>
      <c r="FM93" s="16"/>
      <c r="FN93" s="16"/>
      <c r="FO93" s="16"/>
      <c r="FP93" s="16"/>
      <c r="FQ93" s="16"/>
      <c r="FR93" s="16"/>
      <c r="FS93" s="16"/>
      <c r="FT93" s="16"/>
      <c r="FU93" s="16"/>
      <c r="FV93" s="16"/>
      <c r="FW93" s="16"/>
      <c r="FX93" s="16"/>
      <c r="FY93" s="16"/>
      <c r="FZ93" s="16"/>
    </row>
    <row r="94" spans="3:182" x14ac:dyDescent="0.25">
      <c r="C94" t="s">
        <v>754</v>
      </c>
      <c r="D94" s="16">
        <f t="shared" si="426"/>
        <v>0</v>
      </c>
      <c r="E94" s="16">
        <f t="shared" si="426"/>
        <v>0</v>
      </c>
      <c r="F94" s="16">
        <f t="shared" si="426"/>
        <v>0</v>
      </c>
      <c r="G94" s="16">
        <f t="shared" si="426"/>
        <v>0</v>
      </c>
      <c r="H94" s="16">
        <f t="shared" si="426"/>
        <v>0</v>
      </c>
      <c r="I94" s="16">
        <f t="shared" si="426"/>
        <v>201002.1603687279</v>
      </c>
      <c r="J94" s="16">
        <f t="shared" si="426"/>
        <v>489306.21913757164</v>
      </c>
      <c r="K94" s="16">
        <f t="shared" si="426"/>
        <v>701977.07637159643</v>
      </c>
      <c r="L94" s="16">
        <f t="shared" si="426"/>
        <v>1010311.7981666257</v>
      </c>
      <c r="M94" s="16"/>
      <c r="N94" s="16">
        <f t="shared" si="388"/>
        <v>0</v>
      </c>
      <c r="O94" s="16">
        <f t="shared" si="389"/>
        <v>0</v>
      </c>
      <c r="P94" s="16">
        <f t="shared" si="390"/>
        <v>0</v>
      </c>
      <c r="Q94" s="16">
        <f t="shared" si="391"/>
        <v>0</v>
      </c>
      <c r="R94" s="16">
        <f t="shared" si="392"/>
        <v>0</v>
      </c>
      <c r="S94" s="16">
        <f t="shared" si="393"/>
        <v>0</v>
      </c>
      <c r="T94" s="16">
        <f t="shared" si="394"/>
        <v>0</v>
      </c>
      <c r="U94" s="16">
        <f t="shared" si="395"/>
        <v>0</v>
      </c>
      <c r="V94" s="16">
        <f t="shared" si="396"/>
        <v>0</v>
      </c>
      <c r="W94" s="16">
        <f t="shared" si="397"/>
        <v>0</v>
      </c>
      <c r="X94" s="16">
        <f t="shared" si="398"/>
        <v>0</v>
      </c>
      <c r="Y94" s="16">
        <f t="shared" si="399"/>
        <v>0</v>
      </c>
      <c r="Z94" s="16">
        <f t="shared" si="400"/>
        <v>0</v>
      </c>
      <c r="AA94" s="16">
        <f t="shared" si="401"/>
        <v>0</v>
      </c>
      <c r="AB94" s="16">
        <f t="shared" si="402"/>
        <v>0</v>
      </c>
      <c r="AC94" s="16">
        <f t="shared" si="403"/>
        <v>0</v>
      </c>
      <c r="AD94" s="16">
        <f t="shared" si="404"/>
        <v>0</v>
      </c>
      <c r="AE94" s="16">
        <f t="shared" si="405"/>
        <v>0</v>
      </c>
      <c r="AF94" s="16">
        <f t="shared" si="406"/>
        <v>0</v>
      </c>
      <c r="AG94" s="16">
        <f t="shared" si="407"/>
        <v>0</v>
      </c>
      <c r="AH94" s="16">
        <f t="shared" si="408"/>
        <v>0</v>
      </c>
      <c r="AI94" s="16">
        <f t="shared" si="409"/>
        <v>23409.403335580497</v>
      </c>
      <c r="AJ94" s="16">
        <f t="shared" si="410"/>
        <v>76764.723514164012</v>
      </c>
      <c r="AK94" s="16">
        <f t="shared" si="411"/>
        <v>100828.0335189834</v>
      </c>
      <c r="AL94" s="16">
        <f t="shared" si="412"/>
        <v>128130.935625</v>
      </c>
      <c r="AM94" s="16">
        <f t="shared" si="413"/>
        <v>114878.90634391615</v>
      </c>
      <c r="AN94" s="16">
        <f t="shared" si="414"/>
        <v>123002.77858797912</v>
      </c>
      <c r="AO94" s="16">
        <f t="shared" si="415"/>
        <v>123293.59858067639</v>
      </c>
      <c r="AP94" s="16">
        <f t="shared" si="416"/>
        <v>174544.65322046549</v>
      </c>
      <c r="AQ94" s="16">
        <f t="shared" si="417"/>
        <v>152924.57307736407</v>
      </c>
      <c r="AR94" s="16">
        <f t="shared" si="418"/>
        <v>189397.41716726922</v>
      </c>
      <c r="AS94" s="16">
        <f t="shared" si="419"/>
        <v>185110.43290649771</v>
      </c>
      <c r="AT94" s="16">
        <f t="shared" si="420"/>
        <v>248021.47600018658</v>
      </c>
      <c r="AU94" s="16">
        <f t="shared" si="421"/>
        <v>219253.939559477</v>
      </c>
      <c r="AV94" s="16">
        <f t="shared" si="422"/>
        <v>274626.2548925404</v>
      </c>
      <c r="AW94" s="16">
        <f t="shared" si="423"/>
        <v>268410.12771442166</v>
      </c>
      <c r="CI94" s="16"/>
      <c r="CJ94" s="16"/>
      <c r="CK94" s="16"/>
      <c r="CL94" s="16"/>
      <c r="CM94" s="16"/>
      <c r="CN94" s="16"/>
      <c r="CO94" s="16"/>
      <c r="CP94" s="16"/>
      <c r="CQ94" s="16"/>
      <c r="CR94" s="16"/>
      <c r="CS94" s="16"/>
      <c r="CT94" s="16"/>
      <c r="CU94" s="16"/>
      <c r="CV94" s="16"/>
      <c r="CW94" s="16"/>
      <c r="CX94" s="16"/>
      <c r="CY94" s="16"/>
      <c r="CZ94" s="16"/>
      <c r="DA94" s="16"/>
      <c r="DB94" s="16"/>
      <c r="DC94" s="16"/>
      <c r="DD94" s="16"/>
      <c r="DE94" s="16"/>
      <c r="DF94" s="16"/>
      <c r="DG94" s="16"/>
      <c r="DH94" s="16"/>
      <c r="DI94" s="16"/>
      <c r="DJ94" s="16"/>
      <c r="DK94" s="16">
        <f>DJ93</f>
        <v>9243.6431210360988</v>
      </c>
      <c r="DL94" s="16">
        <f t="shared" si="427"/>
        <v>14165.760214544398</v>
      </c>
      <c r="DM94" s="16">
        <f t="shared" si="427"/>
        <v>33723.055415309405</v>
      </c>
      <c r="DN94" s="16">
        <f t="shared" si="427"/>
        <v>16419.2364341838</v>
      </c>
      <c r="DO94" s="16">
        <f t="shared" si="427"/>
        <v>26622.431664670799</v>
      </c>
      <c r="DP94" s="16">
        <f t="shared" si="427"/>
        <v>46337.128518983394</v>
      </c>
      <c r="DQ94" s="16">
        <f t="shared" si="427"/>
        <v>16347.271500000001</v>
      </c>
      <c r="DR94" s="16">
        <f t="shared" si="427"/>
        <v>38143.633500000004</v>
      </c>
      <c r="DS94" s="16">
        <f t="shared" si="427"/>
        <v>54490.904999999999</v>
      </c>
      <c r="DT94" s="16">
        <f t="shared" si="427"/>
        <v>14728.006125</v>
      </c>
      <c r="DU94" s="16">
        <f t="shared" si="427"/>
        <v>58912.0245</v>
      </c>
      <c r="DV94" s="16">
        <f t="shared" si="427"/>
        <v>73640.030624999999</v>
      </c>
      <c r="DW94" s="16">
        <f t="shared" si="427"/>
        <v>12896.065734949832</v>
      </c>
      <c r="DX94" s="16">
        <f t="shared" si="427"/>
        <v>28342.809983966323</v>
      </c>
      <c r="DY94" s="16">
        <f t="shared" si="427"/>
        <v>56318.115227445407</v>
      </c>
      <c r="DZ94" s="16">
        <f t="shared" si="427"/>
        <v>22518.211737722806</v>
      </c>
      <c r="EA94" s="16">
        <f t="shared" si="427"/>
        <v>44166.451622810913</v>
      </c>
      <c r="EB94" s="16">
        <f t="shared" si="432"/>
        <v>63115.484825599837</v>
      </c>
      <c r="EC94" s="16">
        <f t="shared" si="432"/>
        <v>21622.699334094348</v>
      </c>
      <c r="ED94" s="16">
        <f t="shared" si="432"/>
        <v>38555.414420982212</v>
      </c>
      <c r="EE94" s="16">
        <f t="shared" si="432"/>
        <v>67789.589131003042</v>
      </c>
      <c r="EF94" s="16">
        <f t="shared" si="432"/>
        <v>29108.96603026686</v>
      </c>
      <c r="EG94" s="16">
        <f t="shared" si="432"/>
        <v>77646.098059195589</v>
      </c>
      <c r="EH94" s="16">
        <f t="shared" si="432"/>
        <v>89170.093891962737</v>
      </c>
      <c r="EI94" s="16">
        <f t="shared" si="432"/>
        <v>20485.265709051</v>
      </c>
      <c r="EJ94" s="16">
        <f t="shared" si="432"/>
        <v>43269.213476350327</v>
      </c>
      <c r="EK94" s="16">
        <f t="shared" si="432"/>
        <v>84532.788710481997</v>
      </c>
      <c r="EL94" s="16">
        <f t="shared" si="432"/>
        <v>36466.737313141137</v>
      </c>
      <c r="EM94" s="16">
        <f t="shared" si="432"/>
        <v>68397.891143646106</v>
      </c>
      <c r="EN94" s="16">
        <f t="shared" si="432"/>
        <v>96347.71511775977</v>
      </c>
      <c r="EO94" s="16">
        <f t="shared" si="432"/>
        <v>31893.481517789176</v>
      </c>
      <c r="EP94" s="16">
        <f t="shared" si="432"/>
        <v>56869.236270948764</v>
      </c>
      <c r="EQ94" s="16">
        <f t="shared" si="432"/>
        <v>99989.643968229473</v>
      </c>
      <c r="ER94" s="16">
        <f t="shared" si="432"/>
        <v>38219.781144643624</v>
      </c>
      <c r="ES94" s="16">
        <f t="shared" si="432"/>
        <v>109812.0508873135</v>
      </c>
      <c r="ET94" s="16">
        <f t="shared" si="432"/>
        <v>126809.94474064505</v>
      </c>
      <c r="EU94" s="16">
        <f t="shared" si="432"/>
        <v>29703.635278123958</v>
      </c>
      <c r="EV94" s="16">
        <f t="shared" si="432"/>
        <v>62740.359540707985</v>
      </c>
      <c r="EW94" s="16">
        <f t="shared" si="432"/>
        <v>122572.54363019888</v>
      </c>
      <c r="EX94" s="16">
        <f t="shared" si="432"/>
        <v>52876.769104054663</v>
      </c>
      <c r="EY94" s="16">
        <f t="shared" si="432"/>
        <v>99176.942158286867</v>
      </c>
      <c r="EZ94" s="16">
        <f t="shared" si="432"/>
        <v>139704.18692075167</v>
      </c>
      <c r="FA94" s="16">
        <f t="shared" si="432"/>
        <v>46245.548200794299</v>
      </c>
      <c r="FB94" s="16">
        <f t="shared" si="432"/>
        <v>82460.392592875694</v>
      </c>
      <c r="FC94" s="16"/>
      <c r="FD94" s="16"/>
      <c r="FE94" s="16"/>
      <c r="FF94" s="16"/>
      <c r="FG94" s="16"/>
      <c r="FH94" s="16"/>
      <c r="FI94" s="16"/>
      <c r="FJ94" s="16"/>
      <c r="FK94" s="16"/>
      <c r="FL94" s="16"/>
      <c r="FM94" s="16"/>
      <c r="FN94" s="16"/>
      <c r="FO94" s="16"/>
      <c r="FP94" s="16"/>
      <c r="FQ94" s="16"/>
      <c r="FR94" s="16"/>
      <c r="FS94" s="16"/>
      <c r="FT94" s="16"/>
      <c r="FU94" s="16"/>
      <c r="FV94" s="16"/>
      <c r="FW94" s="16"/>
      <c r="FX94" s="16"/>
      <c r="FY94" s="16"/>
      <c r="FZ94" s="16"/>
    </row>
    <row r="95" spans="3:182" x14ac:dyDescent="0.25">
      <c r="C95" t="s">
        <v>755</v>
      </c>
      <c r="D95" s="16">
        <f t="shared" si="426"/>
        <v>0</v>
      </c>
      <c r="E95" s="16">
        <f t="shared" si="426"/>
        <v>0</v>
      </c>
      <c r="F95" s="16">
        <f t="shared" si="426"/>
        <v>0</v>
      </c>
      <c r="G95" s="16">
        <f t="shared" si="426"/>
        <v>0</v>
      </c>
      <c r="H95" s="16">
        <f t="shared" si="426"/>
        <v>0</v>
      </c>
      <c r="I95" s="16">
        <f t="shared" si="426"/>
        <v>162858.5268687279</v>
      </c>
      <c r="J95" s="16">
        <f t="shared" si="426"/>
        <v>488894.43821658951</v>
      </c>
      <c r="K95" s="16">
        <f t="shared" si="426"/>
        <v>683663.25452163001</v>
      </c>
      <c r="L95" s="16">
        <f t="shared" si="426"/>
        <v>984720.64184469881</v>
      </c>
      <c r="M95" s="16"/>
      <c r="N95" s="16">
        <f t="shared" si="388"/>
        <v>0</v>
      </c>
      <c r="O95" s="16">
        <f t="shared" si="389"/>
        <v>0</v>
      </c>
      <c r="P95" s="16">
        <f t="shared" si="390"/>
        <v>0</v>
      </c>
      <c r="Q95" s="16">
        <f t="shared" si="391"/>
        <v>0</v>
      </c>
      <c r="R95" s="16">
        <f t="shared" si="392"/>
        <v>0</v>
      </c>
      <c r="S95" s="16">
        <f t="shared" si="393"/>
        <v>0</v>
      </c>
      <c r="T95" s="16">
        <f t="shared" si="394"/>
        <v>0</v>
      </c>
      <c r="U95" s="16">
        <f t="shared" si="395"/>
        <v>0</v>
      </c>
      <c r="V95" s="16">
        <f t="shared" si="396"/>
        <v>0</v>
      </c>
      <c r="W95" s="16">
        <f t="shared" si="397"/>
        <v>0</v>
      </c>
      <c r="X95" s="16">
        <f t="shared" si="398"/>
        <v>0</v>
      </c>
      <c r="Y95" s="16">
        <f t="shared" si="399"/>
        <v>0</v>
      </c>
      <c r="Z95" s="16">
        <f t="shared" si="400"/>
        <v>0</v>
      </c>
      <c r="AA95" s="16">
        <f t="shared" si="401"/>
        <v>0</v>
      </c>
      <c r="AB95" s="16">
        <f t="shared" si="402"/>
        <v>0</v>
      </c>
      <c r="AC95" s="16">
        <f t="shared" si="403"/>
        <v>0</v>
      </c>
      <c r="AD95" s="16">
        <f t="shared" si="404"/>
        <v>0</v>
      </c>
      <c r="AE95" s="16">
        <f t="shared" si="405"/>
        <v>0</v>
      </c>
      <c r="AF95" s="16">
        <f t="shared" si="406"/>
        <v>0</v>
      </c>
      <c r="AG95" s="16">
        <f t="shared" si="407"/>
        <v>0</v>
      </c>
      <c r="AH95" s="16">
        <f t="shared" si="408"/>
        <v>0</v>
      </c>
      <c r="AI95" s="16">
        <f t="shared" si="409"/>
        <v>9243.6431210360988</v>
      </c>
      <c r="AJ95" s="16">
        <f t="shared" si="410"/>
        <v>64308.052064037605</v>
      </c>
      <c r="AK95" s="16">
        <f t="shared" si="411"/>
        <v>89306.831683654193</v>
      </c>
      <c r="AL95" s="16">
        <f t="shared" si="412"/>
        <v>107362.54462499999</v>
      </c>
      <c r="AM95" s="16">
        <f t="shared" si="413"/>
        <v>145448.12085994985</v>
      </c>
      <c r="AN95" s="16">
        <f t="shared" si="414"/>
        <v>107179.13694913452</v>
      </c>
      <c r="AO95" s="16">
        <f t="shared" si="415"/>
        <v>128904.63578250509</v>
      </c>
      <c r="AP95" s="16">
        <f t="shared" si="416"/>
        <v>135453.96958225212</v>
      </c>
      <c r="AQ95" s="16">
        <f t="shared" si="417"/>
        <v>187301.45766020933</v>
      </c>
      <c r="AR95" s="16">
        <f t="shared" si="418"/>
        <v>164268.73949997345</v>
      </c>
      <c r="AS95" s="16">
        <f t="shared" si="419"/>
        <v>196639.08777919505</v>
      </c>
      <c r="AT95" s="16">
        <f t="shared" si="420"/>
        <v>195078.66138382186</v>
      </c>
      <c r="AU95" s="16">
        <f t="shared" si="421"/>
        <v>266325.63090608252</v>
      </c>
      <c r="AV95" s="16">
        <f t="shared" si="422"/>
        <v>238189.67227496154</v>
      </c>
      <c r="AW95" s="16">
        <f t="shared" si="423"/>
        <v>285126.67727983283</v>
      </c>
      <c r="CI95" s="16"/>
      <c r="CJ95" s="16"/>
      <c r="CK95" s="16"/>
      <c r="CL95" s="16"/>
      <c r="CM95" s="16"/>
      <c r="CN95" s="16"/>
      <c r="CO95" s="16"/>
      <c r="CP95" s="16"/>
      <c r="CQ95" s="16"/>
      <c r="CR95" s="16"/>
      <c r="CS95" s="16"/>
      <c r="CT95" s="16"/>
      <c r="CU95" s="16"/>
      <c r="CV95" s="16"/>
      <c r="CW95" s="16"/>
      <c r="CX95" s="16"/>
      <c r="CY95" s="16"/>
      <c r="CZ95" s="16"/>
      <c r="DA95" s="16"/>
      <c r="DB95" s="16"/>
      <c r="DC95" s="16"/>
      <c r="DD95" s="16"/>
      <c r="DE95" s="16"/>
      <c r="DF95" s="16"/>
      <c r="DG95" s="16"/>
      <c r="DH95" s="16"/>
      <c r="DI95" s="16"/>
      <c r="DJ95" s="16"/>
      <c r="DK95" s="16"/>
      <c r="DL95" s="16">
        <f>DK94</f>
        <v>9243.6431210360988</v>
      </c>
      <c r="DM95" s="16">
        <f t="shared" si="429"/>
        <v>14165.760214544398</v>
      </c>
      <c r="DN95" s="16">
        <f t="shared" si="429"/>
        <v>33723.055415309405</v>
      </c>
      <c r="DO95" s="16">
        <f t="shared" si="429"/>
        <v>16419.2364341838</v>
      </c>
      <c r="DP95" s="16">
        <f t="shared" si="429"/>
        <v>26622.431664670799</v>
      </c>
      <c r="DQ95" s="16">
        <f t="shared" si="427"/>
        <v>46337.128518983394</v>
      </c>
      <c r="DR95" s="16">
        <f t="shared" si="427"/>
        <v>16347.271500000001</v>
      </c>
      <c r="DS95" s="16">
        <f t="shared" si="427"/>
        <v>38143.633500000004</v>
      </c>
      <c r="DT95" s="16">
        <f t="shared" si="427"/>
        <v>54490.904999999999</v>
      </c>
      <c r="DU95" s="16">
        <f t="shared" si="427"/>
        <v>14728.006125</v>
      </c>
      <c r="DV95" s="16">
        <f t="shared" si="427"/>
        <v>58912.0245</v>
      </c>
      <c r="DW95" s="16">
        <f t="shared" si="427"/>
        <v>73640.030624999999</v>
      </c>
      <c r="DX95" s="16">
        <f t="shared" si="427"/>
        <v>12896.065734949832</v>
      </c>
      <c r="DY95" s="16">
        <f t="shared" si="427"/>
        <v>28342.809983966323</v>
      </c>
      <c r="DZ95" s="16">
        <f t="shared" si="427"/>
        <v>56318.115227445407</v>
      </c>
      <c r="EA95" s="16">
        <f t="shared" si="427"/>
        <v>22518.211737722806</v>
      </c>
      <c r="EB95" s="16">
        <f t="shared" si="432"/>
        <v>44166.451622810913</v>
      </c>
      <c r="EC95" s="16">
        <f t="shared" si="432"/>
        <v>63115.484825599837</v>
      </c>
      <c r="ED95" s="16">
        <f t="shared" si="432"/>
        <v>21622.699334094348</v>
      </c>
      <c r="EE95" s="16">
        <f t="shared" si="432"/>
        <v>38555.414420982212</v>
      </c>
      <c r="EF95" s="16">
        <f t="shared" si="432"/>
        <v>67789.589131003042</v>
      </c>
      <c r="EG95" s="16">
        <f t="shared" si="432"/>
        <v>29108.96603026686</v>
      </c>
      <c r="EH95" s="16">
        <f t="shared" si="432"/>
        <v>77646.098059195589</v>
      </c>
      <c r="EI95" s="16">
        <f t="shared" si="432"/>
        <v>89170.093891962737</v>
      </c>
      <c r="EJ95" s="16">
        <f t="shared" si="432"/>
        <v>20485.265709051</v>
      </c>
      <c r="EK95" s="16">
        <f t="shared" si="432"/>
        <v>43269.213476350327</v>
      </c>
      <c r="EL95" s="16">
        <f t="shared" si="432"/>
        <v>84532.788710481997</v>
      </c>
      <c r="EM95" s="16">
        <f t="shared" si="432"/>
        <v>36466.737313141137</v>
      </c>
      <c r="EN95" s="16">
        <f t="shared" si="432"/>
        <v>68397.891143646106</v>
      </c>
      <c r="EO95" s="16">
        <f t="shared" si="432"/>
        <v>96347.71511775977</v>
      </c>
      <c r="EP95" s="16">
        <f t="shared" si="432"/>
        <v>31893.481517789176</v>
      </c>
      <c r="EQ95" s="16">
        <f t="shared" si="432"/>
        <v>56869.236270948764</v>
      </c>
      <c r="ER95" s="16">
        <f t="shared" si="432"/>
        <v>99989.643968229473</v>
      </c>
      <c r="ES95" s="16">
        <f t="shared" si="432"/>
        <v>38219.781144643624</v>
      </c>
      <c r="ET95" s="16">
        <f t="shared" si="432"/>
        <v>109812.0508873135</v>
      </c>
      <c r="EU95" s="16">
        <f t="shared" si="432"/>
        <v>126809.94474064505</v>
      </c>
      <c r="EV95" s="16">
        <f t="shared" si="432"/>
        <v>29703.635278123958</v>
      </c>
      <c r="EW95" s="16">
        <f t="shared" si="432"/>
        <v>62740.359540707985</v>
      </c>
      <c r="EX95" s="16">
        <f t="shared" si="432"/>
        <v>122572.54363019888</v>
      </c>
      <c r="EY95" s="16">
        <f t="shared" si="432"/>
        <v>52876.769104054663</v>
      </c>
      <c r="EZ95" s="16">
        <f t="shared" si="432"/>
        <v>99176.942158286867</v>
      </c>
      <c r="FA95" s="16">
        <f t="shared" si="432"/>
        <v>139704.18692075167</v>
      </c>
      <c r="FB95" s="16">
        <f t="shared" si="432"/>
        <v>46245.548200794299</v>
      </c>
      <c r="FC95" s="16"/>
      <c r="FD95" s="16"/>
      <c r="FE95" s="16"/>
      <c r="FF95" s="16"/>
      <c r="FG95" s="16"/>
      <c r="FH95" s="16"/>
      <c r="FI95" s="16"/>
      <c r="FJ95" s="16"/>
      <c r="FK95" s="16"/>
      <c r="FL95" s="16"/>
      <c r="FM95" s="16"/>
      <c r="FN95" s="16"/>
      <c r="FO95" s="16"/>
      <c r="FP95" s="16"/>
      <c r="FQ95" s="16"/>
      <c r="FR95" s="16"/>
      <c r="FS95" s="16"/>
      <c r="FT95" s="16"/>
      <c r="FU95" s="16"/>
      <c r="FV95" s="16"/>
      <c r="FW95" s="16"/>
      <c r="FX95" s="16"/>
      <c r="FY95" s="16"/>
      <c r="FZ95" s="16"/>
    </row>
    <row r="96" spans="3:182" x14ac:dyDescent="0.25">
      <c r="C96" t="s">
        <v>756</v>
      </c>
      <c r="D96" s="16">
        <f t="shared" si="426"/>
        <v>0</v>
      </c>
      <c r="E96" s="16">
        <f t="shared" si="426"/>
        <v>0</v>
      </c>
      <c r="F96" s="16">
        <f t="shared" si="426"/>
        <v>0</v>
      </c>
      <c r="G96" s="16">
        <f t="shared" si="426"/>
        <v>0</v>
      </c>
      <c r="H96" s="16">
        <f t="shared" si="426"/>
        <v>0</v>
      </c>
      <c r="I96" s="16">
        <f t="shared" si="426"/>
        <v>146511.2553687279</v>
      </c>
      <c r="J96" s="16">
        <f t="shared" si="426"/>
        <v>483619.01038249518</v>
      </c>
      <c r="K96" s="16">
        <f t="shared" si="426"/>
        <v>673392.47233793512</v>
      </c>
      <c r="L96" s="16">
        <f t="shared" si="426"/>
        <v>970368.57516169373</v>
      </c>
      <c r="M96" s="16"/>
      <c r="N96" s="16">
        <f t="shared" si="388"/>
        <v>0</v>
      </c>
      <c r="O96" s="16">
        <f t="shared" si="389"/>
        <v>0</v>
      </c>
      <c r="P96" s="16">
        <f t="shared" si="390"/>
        <v>0</v>
      </c>
      <c r="Q96" s="16">
        <f t="shared" si="391"/>
        <v>0</v>
      </c>
      <c r="R96" s="16">
        <f t="shared" si="392"/>
        <v>0</v>
      </c>
      <c r="S96" s="16">
        <f t="shared" si="393"/>
        <v>0</v>
      </c>
      <c r="T96" s="16">
        <f t="shared" si="394"/>
        <v>0</v>
      </c>
      <c r="U96" s="16">
        <f t="shared" si="395"/>
        <v>0</v>
      </c>
      <c r="V96" s="16">
        <f t="shared" si="396"/>
        <v>0</v>
      </c>
      <c r="W96" s="16">
        <f t="shared" si="397"/>
        <v>0</v>
      </c>
      <c r="X96" s="16">
        <f t="shared" si="398"/>
        <v>0</v>
      </c>
      <c r="Y96" s="16">
        <f t="shared" si="399"/>
        <v>0</v>
      </c>
      <c r="Z96" s="16">
        <f t="shared" si="400"/>
        <v>0</v>
      </c>
      <c r="AA96" s="16">
        <f t="shared" si="401"/>
        <v>0</v>
      </c>
      <c r="AB96" s="16">
        <f t="shared" si="402"/>
        <v>0</v>
      </c>
      <c r="AC96" s="16">
        <f t="shared" si="403"/>
        <v>0</v>
      </c>
      <c r="AD96" s="16">
        <f t="shared" si="404"/>
        <v>0</v>
      </c>
      <c r="AE96" s="16">
        <f t="shared" si="405"/>
        <v>0</v>
      </c>
      <c r="AF96" s="16">
        <f t="shared" si="406"/>
        <v>0</v>
      </c>
      <c r="AG96" s="16">
        <f t="shared" si="407"/>
        <v>0</v>
      </c>
      <c r="AH96" s="16">
        <f t="shared" si="408"/>
        <v>0</v>
      </c>
      <c r="AI96" s="16">
        <f t="shared" si="409"/>
        <v>0</v>
      </c>
      <c r="AJ96" s="16">
        <f t="shared" si="410"/>
        <v>57132.458750889899</v>
      </c>
      <c r="AK96" s="16">
        <f t="shared" si="411"/>
        <v>89378.796617838001</v>
      </c>
      <c r="AL96" s="16">
        <f t="shared" si="412"/>
        <v>108981.81</v>
      </c>
      <c r="AM96" s="16">
        <f t="shared" si="413"/>
        <v>147280.06125</v>
      </c>
      <c r="AN96" s="16">
        <f t="shared" si="414"/>
        <v>97556.990946361562</v>
      </c>
      <c r="AO96" s="16">
        <f t="shared" si="415"/>
        <v>129800.14818613355</v>
      </c>
      <c r="AP96" s="16">
        <f t="shared" si="416"/>
        <v>127967.7028860796</v>
      </c>
      <c r="AQ96" s="16">
        <f t="shared" si="417"/>
        <v>195925.15798142517</v>
      </c>
      <c r="AR96" s="16">
        <f t="shared" si="418"/>
        <v>148287.26789588333</v>
      </c>
      <c r="AS96" s="16">
        <f t="shared" si="419"/>
        <v>201212.34357454701</v>
      </c>
      <c r="AT96" s="16">
        <f t="shared" si="420"/>
        <v>188752.36175696741</v>
      </c>
      <c r="AU96" s="16">
        <f t="shared" si="421"/>
        <v>274841.77677260217</v>
      </c>
      <c r="AV96" s="16">
        <f t="shared" si="422"/>
        <v>215016.53844903084</v>
      </c>
      <c r="AW96" s="16">
        <f t="shared" si="423"/>
        <v>291757.89818309317</v>
      </c>
      <c r="CI96" s="16"/>
      <c r="CJ96" s="16"/>
      <c r="CK96" s="16"/>
      <c r="CL96" s="16"/>
      <c r="CM96" s="16"/>
      <c r="CN96" s="16"/>
      <c r="CO96" s="16"/>
      <c r="CP96" s="16"/>
      <c r="CQ96" s="16"/>
      <c r="CR96" s="16"/>
      <c r="CS96" s="16"/>
      <c r="CT96" s="16"/>
      <c r="CU96" s="16"/>
      <c r="CV96" s="16"/>
      <c r="CW96" s="16"/>
      <c r="CX96" s="16"/>
      <c r="CY96" s="16"/>
      <c r="CZ96" s="16"/>
      <c r="DA96" s="16"/>
      <c r="DB96" s="16"/>
      <c r="DC96" s="16"/>
      <c r="DD96" s="16"/>
      <c r="DE96" s="16"/>
      <c r="DF96" s="16"/>
      <c r="DG96" s="16"/>
      <c r="DH96" s="16"/>
      <c r="DI96" s="16"/>
      <c r="DJ96" s="16"/>
      <c r="DK96" s="16"/>
      <c r="DL96" s="16"/>
      <c r="DM96" s="16">
        <f>DL95</f>
        <v>9243.6431210360988</v>
      </c>
      <c r="DN96" s="16">
        <f>DM95</f>
        <v>14165.760214544398</v>
      </c>
      <c r="DO96" s="16">
        <f t="shared" si="427"/>
        <v>33723.055415309405</v>
      </c>
      <c r="DP96" s="16">
        <f t="shared" si="427"/>
        <v>16419.2364341838</v>
      </c>
      <c r="DQ96" s="16">
        <f t="shared" si="427"/>
        <v>26622.431664670799</v>
      </c>
      <c r="DR96" s="16">
        <f t="shared" si="427"/>
        <v>46337.128518983394</v>
      </c>
      <c r="DS96" s="16">
        <f t="shared" si="427"/>
        <v>16347.271500000001</v>
      </c>
      <c r="DT96" s="16">
        <f t="shared" si="427"/>
        <v>38143.633500000004</v>
      </c>
      <c r="DU96" s="16">
        <f t="shared" si="427"/>
        <v>54490.904999999999</v>
      </c>
      <c r="DV96" s="16">
        <f t="shared" si="427"/>
        <v>14728.006125</v>
      </c>
      <c r="DW96" s="16">
        <f t="shared" si="427"/>
        <v>58912.0245</v>
      </c>
      <c r="DX96" s="16">
        <f t="shared" si="427"/>
        <v>73640.030624999999</v>
      </c>
      <c r="DY96" s="16">
        <f t="shared" si="427"/>
        <v>12896.065734949832</v>
      </c>
      <c r="DZ96" s="16">
        <f t="shared" si="427"/>
        <v>28342.809983966323</v>
      </c>
      <c r="EA96" s="16">
        <f t="shared" si="427"/>
        <v>56318.115227445407</v>
      </c>
      <c r="EB96" s="16">
        <f t="shared" si="432"/>
        <v>22518.211737722806</v>
      </c>
      <c r="EC96" s="16">
        <f t="shared" si="432"/>
        <v>44166.451622810913</v>
      </c>
      <c r="ED96" s="16">
        <f t="shared" si="432"/>
        <v>63115.484825599837</v>
      </c>
      <c r="EE96" s="16">
        <f t="shared" si="432"/>
        <v>21622.699334094348</v>
      </c>
      <c r="EF96" s="16">
        <f t="shared" si="432"/>
        <v>38555.414420982212</v>
      </c>
      <c r="EG96" s="16">
        <f t="shared" si="432"/>
        <v>67789.589131003042</v>
      </c>
      <c r="EH96" s="16">
        <f t="shared" si="432"/>
        <v>29108.96603026686</v>
      </c>
      <c r="EI96" s="16">
        <f t="shared" si="432"/>
        <v>77646.098059195589</v>
      </c>
      <c r="EJ96" s="16">
        <f t="shared" si="432"/>
        <v>89170.093891962737</v>
      </c>
      <c r="EK96" s="16">
        <f t="shared" si="432"/>
        <v>20485.265709051</v>
      </c>
      <c r="EL96" s="16">
        <f t="shared" si="432"/>
        <v>43269.213476350327</v>
      </c>
      <c r="EM96" s="16">
        <f t="shared" si="432"/>
        <v>84532.788710481997</v>
      </c>
      <c r="EN96" s="16">
        <f t="shared" si="432"/>
        <v>36466.737313141137</v>
      </c>
      <c r="EO96" s="16">
        <f t="shared" si="432"/>
        <v>68397.891143646106</v>
      </c>
      <c r="EP96" s="16">
        <f t="shared" si="432"/>
        <v>96347.71511775977</v>
      </c>
      <c r="EQ96" s="16">
        <f t="shared" si="432"/>
        <v>31893.481517789176</v>
      </c>
      <c r="ER96" s="16">
        <f t="shared" si="432"/>
        <v>56869.236270948764</v>
      </c>
      <c r="ES96" s="16">
        <f t="shared" si="432"/>
        <v>99989.643968229473</v>
      </c>
      <c r="ET96" s="16">
        <f t="shared" si="432"/>
        <v>38219.781144643624</v>
      </c>
      <c r="EU96" s="16">
        <f t="shared" si="432"/>
        <v>109812.0508873135</v>
      </c>
      <c r="EV96" s="16">
        <f t="shared" si="432"/>
        <v>126809.94474064505</v>
      </c>
      <c r="EW96" s="16">
        <f t="shared" si="432"/>
        <v>29703.635278123958</v>
      </c>
      <c r="EX96" s="16">
        <f t="shared" si="432"/>
        <v>62740.359540707985</v>
      </c>
      <c r="EY96" s="16">
        <f t="shared" si="432"/>
        <v>122572.54363019888</v>
      </c>
      <c r="EZ96" s="16">
        <f t="shared" si="432"/>
        <v>52876.769104054663</v>
      </c>
      <c r="FA96" s="16">
        <f t="shared" si="432"/>
        <v>99176.942158286867</v>
      </c>
      <c r="FB96" s="16">
        <f t="shared" si="432"/>
        <v>139704.18692075167</v>
      </c>
      <c r="FC96" s="16"/>
      <c r="FD96" s="16"/>
      <c r="FE96" s="16"/>
      <c r="FF96" s="16"/>
      <c r="FG96" s="16"/>
      <c r="FH96" s="16"/>
      <c r="FI96" s="16"/>
      <c r="FJ96" s="16"/>
      <c r="FK96" s="16"/>
      <c r="FL96" s="16"/>
      <c r="FM96" s="16"/>
      <c r="FN96" s="16"/>
      <c r="FO96" s="16"/>
      <c r="FP96" s="16"/>
      <c r="FQ96" s="16"/>
      <c r="FR96" s="16"/>
      <c r="FS96" s="16"/>
      <c r="FT96" s="16"/>
      <c r="FU96" s="16"/>
      <c r="FV96" s="16"/>
      <c r="FW96" s="16"/>
      <c r="FX96" s="16"/>
      <c r="FY96" s="16"/>
      <c r="FZ96" s="16"/>
    </row>
    <row r="97" spans="3:182" x14ac:dyDescent="0.25">
      <c r="C97" t="s">
        <v>757</v>
      </c>
      <c r="D97" s="16">
        <f t="shared" si="426"/>
        <v>0</v>
      </c>
      <c r="E97" s="16">
        <f t="shared" si="426"/>
        <v>0</v>
      </c>
      <c r="F97" s="16">
        <f t="shared" si="426"/>
        <v>0</v>
      </c>
      <c r="G97" s="16">
        <f t="shared" si="426"/>
        <v>0</v>
      </c>
      <c r="H97" s="16">
        <f t="shared" si="426"/>
        <v>0</v>
      </c>
      <c r="I97" s="16">
        <f t="shared" si="426"/>
        <v>100174.1268497445</v>
      </c>
      <c r="J97" s="16">
        <f t="shared" si="426"/>
        <v>466840.65407587873</v>
      </c>
      <c r="K97" s="16">
        <f t="shared" si="426"/>
        <v>640160.24204577506</v>
      </c>
      <c r="L97" s="16">
        <f t="shared" si="426"/>
        <v>927012.1033587018</v>
      </c>
      <c r="M97" s="16"/>
      <c r="N97" s="16">
        <f t="shared" si="388"/>
        <v>0</v>
      </c>
      <c r="O97" s="16">
        <f t="shared" si="389"/>
        <v>0</v>
      </c>
      <c r="P97" s="16">
        <f t="shared" si="390"/>
        <v>0</v>
      </c>
      <c r="Q97" s="16">
        <f t="shared" si="391"/>
        <v>0</v>
      </c>
      <c r="R97" s="16">
        <f t="shared" si="392"/>
        <v>0</v>
      </c>
      <c r="S97" s="16">
        <f t="shared" si="393"/>
        <v>0</v>
      </c>
      <c r="T97" s="16">
        <f t="shared" si="394"/>
        <v>0</v>
      </c>
      <c r="U97" s="16">
        <f t="shared" si="395"/>
        <v>0</v>
      </c>
      <c r="V97" s="16">
        <f t="shared" si="396"/>
        <v>0</v>
      </c>
      <c r="W97" s="16">
        <f t="shared" si="397"/>
        <v>0</v>
      </c>
      <c r="X97" s="16">
        <f t="shared" si="398"/>
        <v>0</v>
      </c>
      <c r="Y97" s="16">
        <f t="shared" si="399"/>
        <v>0</v>
      </c>
      <c r="Z97" s="16">
        <f t="shared" si="400"/>
        <v>0</v>
      </c>
      <c r="AA97" s="16">
        <f t="shared" si="401"/>
        <v>0</v>
      </c>
      <c r="AB97" s="16">
        <f t="shared" si="402"/>
        <v>0</v>
      </c>
      <c r="AC97" s="16">
        <f t="shared" si="403"/>
        <v>0</v>
      </c>
      <c r="AD97" s="16">
        <f t="shared" si="404"/>
        <v>0</v>
      </c>
      <c r="AE97" s="16">
        <f t="shared" si="405"/>
        <v>0</v>
      </c>
      <c r="AF97" s="16">
        <f t="shared" si="406"/>
        <v>0</v>
      </c>
      <c r="AG97" s="16">
        <f t="shared" si="407"/>
        <v>0</v>
      </c>
      <c r="AH97" s="16">
        <f t="shared" si="408"/>
        <v>0</v>
      </c>
      <c r="AI97" s="16">
        <f t="shared" si="409"/>
        <v>0</v>
      </c>
      <c r="AJ97" s="16">
        <f t="shared" si="410"/>
        <v>23409.403335580497</v>
      </c>
      <c r="AK97" s="16">
        <f t="shared" si="411"/>
        <v>76764.723514164012</v>
      </c>
      <c r="AL97" s="16">
        <f t="shared" si="412"/>
        <v>100828.0335189834</v>
      </c>
      <c r="AM97" s="16">
        <f t="shared" si="413"/>
        <v>128130.935625</v>
      </c>
      <c r="AN97" s="16">
        <f t="shared" si="414"/>
        <v>114878.90634391615</v>
      </c>
      <c r="AO97" s="16">
        <f t="shared" si="415"/>
        <v>123002.77858797912</v>
      </c>
      <c r="AP97" s="16">
        <f t="shared" si="416"/>
        <v>123293.59858067639</v>
      </c>
      <c r="AQ97" s="16">
        <f t="shared" si="417"/>
        <v>174544.65322046549</v>
      </c>
      <c r="AR97" s="16">
        <f t="shared" si="418"/>
        <v>152924.57307736407</v>
      </c>
      <c r="AS97" s="16">
        <f t="shared" si="419"/>
        <v>189397.41716726922</v>
      </c>
      <c r="AT97" s="16">
        <f t="shared" si="420"/>
        <v>185110.43290649771</v>
      </c>
      <c r="AU97" s="16">
        <f t="shared" si="421"/>
        <v>248021.47600018658</v>
      </c>
      <c r="AV97" s="16">
        <f t="shared" si="422"/>
        <v>219253.939559477</v>
      </c>
      <c r="AW97" s="16">
        <f t="shared" si="423"/>
        <v>274626.2548925404</v>
      </c>
      <c r="CI97" s="16"/>
      <c r="CJ97" s="16"/>
      <c r="CK97" s="16"/>
      <c r="CL97" s="16"/>
      <c r="CM97" s="16"/>
      <c r="CN97" s="16"/>
      <c r="CO97" s="16"/>
      <c r="CP97" s="16"/>
      <c r="CQ97" s="16"/>
      <c r="CR97" s="16"/>
      <c r="CS97" s="16"/>
      <c r="CT97" s="16"/>
      <c r="CU97" s="16"/>
      <c r="CV97" s="16"/>
      <c r="CW97" s="16"/>
      <c r="CX97" s="16"/>
      <c r="CY97" s="16"/>
      <c r="CZ97" s="16"/>
      <c r="DA97" s="16"/>
      <c r="DB97" s="16"/>
      <c r="DC97" s="16"/>
      <c r="DD97" s="16"/>
      <c r="DE97" s="16"/>
      <c r="DF97" s="16"/>
      <c r="DG97" s="16"/>
      <c r="DH97" s="16"/>
      <c r="DI97" s="16"/>
      <c r="DJ97" s="16"/>
      <c r="DK97" s="16"/>
      <c r="DL97" s="16"/>
      <c r="DM97" s="16"/>
      <c r="DN97" s="16">
        <f>DM96</f>
        <v>9243.6431210360988</v>
      </c>
      <c r="DO97" s="16">
        <f t="shared" si="427"/>
        <v>14165.760214544398</v>
      </c>
      <c r="DP97" s="16">
        <f t="shared" si="427"/>
        <v>33723.055415309405</v>
      </c>
      <c r="DQ97" s="16">
        <f t="shared" si="427"/>
        <v>16419.2364341838</v>
      </c>
      <c r="DR97" s="16">
        <f t="shared" si="427"/>
        <v>26622.431664670799</v>
      </c>
      <c r="DS97" s="16">
        <f t="shared" si="427"/>
        <v>46337.128518983394</v>
      </c>
      <c r="DT97" s="16">
        <f t="shared" si="427"/>
        <v>16347.271500000001</v>
      </c>
      <c r="DU97" s="16">
        <f t="shared" si="427"/>
        <v>38143.633500000004</v>
      </c>
      <c r="DV97" s="16">
        <f t="shared" si="427"/>
        <v>54490.904999999999</v>
      </c>
      <c r="DW97" s="16">
        <f t="shared" si="427"/>
        <v>14728.006125</v>
      </c>
      <c r="DX97" s="16">
        <f t="shared" si="427"/>
        <v>58912.0245</v>
      </c>
      <c r="DY97" s="16">
        <f t="shared" si="427"/>
        <v>73640.030624999999</v>
      </c>
      <c r="DZ97" s="16">
        <f t="shared" si="427"/>
        <v>12896.065734949832</v>
      </c>
      <c r="EA97" s="16">
        <f t="shared" si="427"/>
        <v>28342.809983966323</v>
      </c>
      <c r="EB97" s="16">
        <f t="shared" si="432"/>
        <v>56318.115227445407</v>
      </c>
      <c r="EC97" s="16">
        <f t="shared" si="432"/>
        <v>22518.211737722806</v>
      </c>
      <c r="ED97" s="16">
        <f t="shared" si="432"/>
        <v>44166.451622810913</v>
      </c>
      <c r="EE97" s="16">
        <f t="shared" si="432"/>
        <v>63115.484825599837</v>
      </c>
      <c r="EF97" s="16">
        <f t="shared" si="432"/>
        <v>21622.699334094348</v>
      </c>
      <c r="EG97" s="16">
        <f t="shared" si="432"/>
        <v>38555.414420982212</v>
      </c>
      <c r="EH97" s="16">
        <f t="shared" si="432"/>
        <v>67789.589131003042</v>
      </c>
      <c r="EI97" s="16">
        <f t="shared" si="432"/>
        <v>29108.96603026686</v>
      </c>
      <c r="EJ97" s="16">
        <f t="shared" si="432"/>
        <v>77646.098059195589</v>
      </c>
      <c r="EK97" s="16">
        <f t="shared" si="432"/>
        <v>89170.093891962737</v>
      </c>
      <c r="EL97" s="16">
        <f t="shared" si="432"/>
        <v>20485.265709051</v>
      </c>
      <c r="EM97" s="16">
        <f t="shared" si="432"/>
        <v>43269.213476350327</v>
      </c>
      <c r="EN97" s="16">
        <f t="shared" si="432"/>
        <v>84532.788710481997</v>
      </c>
      <c r="EO97" s="16">
        <f t="shared" si="432"/>
        <v>36466.737313141137</v>
      </c>
      <c r="EP97" s="16">
        <f t="shared" si="432"/>
        <v>68397.891143646106</v>
      </c>
      <c r="EQ97" s="16">
        <f t="shared" si="432"/>
        <v>96347.71511775977</v>
      </c>
      <c r="ER97" s="16">
        <f t="shared" si="432"/>
        <v>31893.481517789176</v>
      </c>
      <c r="ES97" s="16">
        <f t="shared" si="432"/>
        <v>56869.236270948764</v>
      </c>
      <c r="ET97" s="16">
        <f t="shared" si="432"/>
        <v>99989.643968229473</v>
      </c>
      <c r="EU97" s="16">
        <f t="shared" si="432"/>
        <v>38219.781144643624</v>
      </c>
      <c r="EV97" s="16">
        <f t="shared" si="432"/>
        <v>109812.0508873135</v>
      </c>
      <c r="EW97" s="16">
        <f t="shared" si="432"/>
        <v>126809.94474064505</v>
      </c>
      <c r="EX97" s="16">
        <f t="shared" si="432"/>
        <v>29703.635278123958</v>
      </c>
      <c r="EY97" s="16">
        <f t="shared" si="432"/>
        <v>62740.359540707985</v>
      </c>
      <c r="EZ97" s="16">
        <f t="shared" si="432"/>
        <v>122572.54363019888</v>
      </c>
      <c r="FA97" s="16">
        <f t="shared" si="432"/>
        <v>52876.769104054663</v>
      </c>
      <c r="FB97" s="16">
        <f t="shared" si="432"/>
        <v>99176.942158286867</v>
      </c>
      <c r="FC97" s="16"/>
      <c r="FD97" s="16"/>
      <c r="FE97" s="16"/>
      <c r="FF97" s="16"/>
      <c r="FG97" s="16"/>
      <c r="FH97" s="16"/>
      <c r="FI97" s="16"/>
      <c r="FJ97" s="16"/>
      <c r="FK97" s="16"/>
      <c r="FL97" s="16"/>
      <c r="FM97" s="16"/>
      <c r="FN97" s="16"/>
      <c r="FO97" s="16"/>
      <c r="FP97" s="16"/>
      <c r="FQ97" s="16"/>
      <c r="FR97" s="16"/>
      <c r="FS97" s="16"/>
      <c r="FT97" s="16"/>
      <c r="FU97" s="16"/>
      <c r="FV97" s="16"/>
      <c r="FW97" s="16"/>
      <c r="FX97" s="16"/>
      <c r="FY97" s="16"/>
      <c r="FZ97" s="16"/>
    </row>
    <row r="98" spans="3:182" x14ac:dyDescent="0.25">
      <c r="C98" t="s">
        <v>758</v>
      </c>
      <c r="D98" s="16">
        <f t="shared" si="426"/>
        <v>0</v>
      </c>
      <c r="E98" s="16">
        <f t="shared" si="426"/>
        <v>0</v>
      </c>
      <c r="F98" s="16">
        <f t="shared" si="426"/>
        <v>0</v>
      </c>
      <c r="G98" s="16">
        <f t="shared" si="426"/>
        <v>0</v>
      </c>
      <c r="H98" s="16">
        <f t="shared" si="426"/>
        <v>0</v>
      </c>
      <c r="I98" s="16">
        <f t="shared" si="426"/>
        <v>73551.695185073695</v>
      </c>
      <c r="J98" s="16">
        <f t="shared" si="426"/>
        <v>449296.63411773863</v>
      </c>
      <c r="K98" s="16">
        <f t="shared" si="426"/>
        <v>615928.80252493988</v>
      </c>
      <c r="L98" s="16">
        <f t="shared" si="426"/>
        <v>896233.05234406109</v>
      </c>
      <c r="M98" s="16"/>
      <c r="N98" s="16">
        <f t="shared" si="388"/>
        <v>0</v>
      </c>
      <c r="O98" s="16">
        <f t="shared" si="389"/>
        <v>0</v>
      </c>
      <c r="P98" s="16">
        <f t="shared" si="390"/>
        <v>0</v>
      </c>
      <c r="Q98" s="16">
        <f t="shared" si="391"/>
        <v>0</v>
      </c>
      <c r="R98" s="16">
        <f t="shared" si="392"/>
        <v>0</v>
      </c>
      <c r="S98" s="16">
        <f t="shared" si="393"/>
        <v>0</v>
      </c>
      <c r="T98" s="16">
        <f t="shared" si="394"/>
        <v>0</v>
      </c>
      <c r="U98" s="16">
        <f t="shared" si="395"/>
        <v>0</v>
      </c>
      <c r="V98" s="16">
        <f t="shared" si="396"/>
        <v>0</v>
      </c>
      <c r="W98" s="16">
        <f t="shared" si="397"/>
        <v>0</v>
      </c>
      <c r="X98" s="16">
        <f t="shared" si="398"/>
        <v>0</v>
      </c>
      <c r="Y98" s="16">
        <f t="shared" si="399"/>
        <v>0</v>
      </c>
      <c r="Z98" s="16">
        <f t="shared" si="400"/>
        <v>0</v>
      </c>
      <c r="AA98" s="16">
        <f t="shared" si="401"/>
        <v>0</v>
      </c>
      <c r="AB98" s="16">
        <f t="shared" si="402"/>
        <v>0</v>
      </c>
      <c r="AC98" s="16">
        <f t="shared" si="403"/>
        <v>0</v>
      </c>
      <c r="AD98" s="16">
        <f t="shared" si="404"/>
        <v>0</v>
      </c>
      <c r="AE98" s="16">
        <f t="shared" si="405"/>
        <v>0</v>
      </c>
      <c r="AF98" s="16">
        <f t="shared" si="406"/>
        <v>0</v>
      </c>
      <c r="AG98" s="16">
        <f t="shared" si="407"/>
        <v>0</v>
      </c>
      <c r="AH98" s="16">
        <f t="shared" si="408"/>
        <v>0</v>
      </c>
      <c r="AI98" s="16">
        <f t="shared" si="409"/>
        <v>0</v>
      </c>
      <c r="AJ98" s="16">
        <f t="shared" si="410"/>
        <v>9243.6431210360988</v>
      </c>
      <c r="AK98" s="16">
        <f t="shared" si="411"/>
        <v>64308.052064037605</v>
      </c>
      <c r="AL98" s="16">
        <f t="shared" si="412"/>
        <v>89306.831683654193</v>
      </c>
      <c r="AM98" s="16">
        <f t="shared" si="413"/>
        <v>107362.54462499999</v>
      </c>
      <c r="AN98" s="16">
        <f t="shared" si="414"/>
        <v>145448.12085994985</v>
      </c>
      <c r="AO98" s="16">
        <f t="shared" si="415"/>
        <v>107179.13694913452</v>
      </c>
      <c r="AP98" s="16">
        <f t="shared" si="416"/>
        <v>128904.63578250509</v>
      </c>
      <c r="AQ98" s="16">
        <f t="shared" si="417"/>
        <v>135453.96958225212</v>
      </c>
      <c r="AR98" s="16">
        <f t="shared" si="418"/>
        <v>187301.45766020933</v>
      </c>
      <c r="AS98" s="16">
        <f t="shared" si="419"/>
        <v>164268.73949997345</v>
      </c>
      <c r="AT98" s="16">
        <f t="shared" si="420"/>
        <v>196639.08777919505</v>
      </c>
      <c r="AU98" s="16">
        <f t="shared" si="421"/>
        <v>195078.66138382186</v>
      </c>
      <c r="AV98" s="16">
        <f t="shared" si="422"/>
        <v>266325.63090608252</v>
      </c>
      <c r="AW98" s="16">
        <f t="shared" si="423"/>
        <v>238189.67227496154</v>
      </c>
      <c r="CI98" s="16"/>
      <c r="CJ98" s="16"/>
      <c r="CK98" s="16"/>
      <c r="CL98" s="16"/>
      <c r="CM98" s="16"/>
      <c r="CN98" s="16"/>
      <c r="CO98" s="16"/>
      <c r="CP98" s="16"/>
      <c r="CQ98" s="16"/>
      <c r="CR98" s="16"/>
      <c r="CS98" s="16"/>
      <c r="CT98" s="16"/>
      <c r="CU98" s="16"/>
      <c r="CV98" s="16"/>
      <c r="CW98" s="16"/>
      <c r="CX98" s="16"/>
      <c r="CY98" s="16"/>
      <c r="CZ98" s="16"/>
      <c r="DA98" s="16"/>
      <c r="DB98" s="16"/>
      <c r="DC98" s="16"/>
      <c r="DD98" s="16"/>
      <c r="DE98" s="16"/>
      <c r="DF98" s="16"/>
      <c r="DG98" s="16"/>
      <c r="DH98" s="16"/>
      <c r="DI98" s="16"/>
      <c r="DJ98" s="16"/>
      <c r="DK98" s="16"/>
      <c r="DL98" s="16"/>
      <c r="DM98" s="16"/>
      <c r="DN98" s="16"/>
      <c r="DO98" s="16">
        <f>DN97</f>
        <v>9243.6431210360988</v>
      </c>
      <c r="DP98" s="16">
        <f>DO97</f>
        <v>14165.760214544398</v>
      </c>
      <c r="DQ98" s="16">
        <f t="shared" si="427"/>
        <v>33723.055415309405</v>
      </c>
      <c r="DR98" s="16">
        <f t="shared" si="427"/>
        <v>16419.2364341838</v>
      </c>
      <c r="DS98" s="16">
        <f t="shared" si="427"/>
        <v>26622.431664670799</v>
      </c>
      <c r="DT98" s="16">
        <f t="shared" si="427"/>
        <v>46337.128518983394</v>
      </c>
      <c r="DU98" s="16">
        <f t="shared" si="427"/>
        <v>16347.271500000001</v>
      </c>
      <c r="DV98" s="16">
        <f t="shared" si="427"/>
        <v>38143.633500000004</v>
      </c>
      <c r="DW98" s="16">
        <f t="shared" si="427"/>
        <v>54490.904999999999</v>
      </c>
      <c r="DX98" s="16">
        <f t="shared" si="427"/>
        <v>14728.006125</v>
      </c>
      <c r="DY98" s="16">
        <f t="shared" si="427"/>
        <v>58912.0245</v>
      </c>
      <c r="DZ98" s="16">
        <f t="shared" si="427"/>
        <v>73640.030624999999</v>
      </c>
      <c r="EA98" s="16">
        <f t="shared" si="427"/>
        <v>12896.065734949832</v>
      </c>
      <c r="EB98" s="16">
        <f t="shared" ref="EB98:FB99" si="433">EA97</f>
        <v>28342.809983966323</v>
      </c>
      <c r="EC98" s="16">
        <f t="shared" si="433"/>
        <v>56318.115227445407</v>
      </c>
      <c r="ED98" s="16">
        <f t="shared" si="433"/>
        <v>22518.211737722806</v>
      </c>
      <c r="EE98" s="16">
        <f t="shared" si="433"/>
        <v>44166.451622810913</v>
      </c>
      <c r="EF98" s="16">
        <f t="shared" si="433"/>
        <v>63115.484825599837</v>
      </c>
      <c r="EG98" s="16">
        <f t="shared" si="433"/>
        <v>21622.699334094348</v>
      </c>
      <c r="EH98" s="16">
        <f t="shared" si="433"/>
        <v>38555.414420982212</v>
      </c>
      <c r="EI98" s="16">
        <f t="shared" si="433"/>
        <v>67789.589131003042</v>
      </c>
      <c r="EJ98" s="16">
        <f t="shared" si="433"/>
        <v>29108.96603026686</v>
      </c>
      <c r="EK98" s="16">
        <f t="shared" si="433"/>
        <v>77646.098059195589</v>
      </c>
      <c r="EL98" s="16">
        <f t="shared" si="433"/>
        <v>89170.093891962737</v>
      </c>
      <c r="EM98" s="16">
        <f t="shared" si="433"/>
        <v>20485.265709051</v>
      </c>
      <c r="EN98" s="16">
        <f t="shared" si="433"/>
        <v>43269.213476350327</v>
      </c>
      <c r="EO98" s="16">
        <f t="shared" si="433"/>
        <v>84532.788710481997</v>
      </c>
      <c r="EP98" s="16">
        <f t="shared" si="433"/>
        <v>36466.737313141137</v>
      </c>
      <c r="EQ98" s="16">
        <f t="shared" si="433"/>
        <v>68397.891143646106</v>
      </c>
      <c r="ER98" s="16">
        <f t="shared" si="433"/>
        <v>96347.71511775977</v>
      </c>
      <c r="ES98" s="16">
        <f t="shared" si="433"/>
        <v>31893.481517789176</v>
      </c>
      <c r="ET98" s="16">
        <f t="shared" si="433"/>
        <v>56869.236270948764</v>
      </c>
      <c r="EU98" s="16">
        <f t="shared" si="433"/>
        <v>99989.643968229473</v>
      </c>
      <c r="EV98" s="16">
        <f t="shared" si="433"/>
        <v>38219.781144643624</v>
      </c>
      <c r="EW98" s="16">
        <f t="shared" si="433"/>
        <v>109812.0508873135</v>
      </c>
      <c r="EX98" s="16">
        <f t="shared" si="433"/>
        <v>126809.94474064505</v>
      </c>
      <c r="EY98" s="16">
        <f t="shared" si="433"/>
        <v>29703.635278123958</v>
      </c>
      <c r="EZ98" s="16">
        <f t="shared" si="433"/>
        <v>62740.359540707985</v>
      </c>
      <c r="FA98" s="16">
        <f t="shared" si="433"/>
        <v>122572.54363019888</v>
      </c>
      <c r="FB98" s="16">
        <f t="shared" si="433"/>
        <v>52876.769104054663</v>
      </c>
      <c r="FC98" s="16"/>
      <c r="FD98" s="16"/>
      <c r="FE98" s="16"/>
      <c r="FF98" s="16"/>
      <c r="FG98" s="16"/>
      <c r="FH98" s="16"/>
      <c r="FI98" s="16"/>
      <c r="FJ98" s="16"/>
      <c r="FK98" s="16"/>
      <c r="FL98" s="16"/>
      <c r="FM98" s="16"/>
      <c r="FN98" s="16"/>
      <c r="FO98" s="16"/>
      <c r="FP98" s="16"/>
      <c r="FQ98" s="16"/>
      <c r="FR98" s="16"/>
      <c r="FS98" s="16"/>
      <c r="FT98" s="16"/>
      <c r="FU98" s="16"/>
      <c r="FV98" s="16"/>
      <c r="FW98" s="16"/>
      <c r="FX98" s="16"/>
      <c r="FY98" s="16"/>
      <c r="FZ98" s="16"/>
    </row>
    <row r="99" spans="3:182" x14ac:dyDescent="0.25">
      <c r="C99" t="s">
        <v>759</v>
      </c>
      <c r="D99" s="16">
        <f t="shared" si="426"/>
        <v>0</v>
      </c>
      <c r="E99" s="16">
        <f t="shared" si="426"/>
        <v>0</v>
      </c>
      <c r="F99" s="16">
        <f t="shared" si="426"/>
        <v>0</v>
      </c>
      <c r="G99" s="16">
        <f t="shared" si="426"/>
        <v>0</v>
      </c>
      <c r="H99" s="16">
        <f t="shared" si="426"/>
        <v>0</v>
      </c>
      <c r="I99" s="16">
        <f t="shared" si="426"/>
        <v>57132.458750889899</v>
      </c>
      <c r="J99" s="16">
        <f t="shared" si="426"/>
        <v>443197.65881419962</v>
      </c>
      <c r="K99" s="16">
        <f t="shared" si="426"/>
        <v>601980.2769495215</v>
      </c>
      <c r="L99" s="16">
        <f t="shared" si="426"/>
        <v>879823.02055314742</v>
      </c>
      <c r="M99" s="16"/>
      <c r="N99" s="16">
        <f t="shared" si="388"/>
        <v>0</v>
      </c>
      <c r="O99" s="16">
        <f t="shared" si="389"/>
        <v>0</v>
      </c>
      <c r="P99" s="16">
        <f t="shared" si="390"/>
        <v>0</v>
      </c>
      <c r="Q99" s="16">
        <f t="shared" si="391"/>
        <v>0</v>
      </c>
      <c r="R99" s="16">
        <f t="shared" si="392"/>
        <v>0</v>
      </c>
      <c r="S99" s="16">
        <f t="shared" si="393"/>
        <v>0</v>
      </c>
      <c r="T99" s="16">
        <f t="shared" si="394"/>
        <v>0</v>
      </c>
      <c r="U99" s="16">
        <f t="shared" si="395"/>
        <v>0</v>
      </c>
      <c r="V99" s="16">
        <f t="shared" si="396"/>
        <v>0</v>
      </c>
      <c r="W99" s="16">
        <f t="shared" si="397"/>
        <v>0</v>
      </c>
      <c r="X99" s="16">
        <f t="shared" si="398"/>
        <v>0</v>
      </c>
      <c r="Y99" s="16">
        <f t="shared" si="399"/>
        <v>0</v>
      </c>
      <c r="Z99" s="16">
        <f t="shared" si="400"/>
        <v>0</v>
      </c>
      <c r="AA99" s="16">
        <f t="shared" si="401"/>
        <v>0</v>
      </c>
      <c r="AB99" s="16">
        <f t="shared" si="402"/>
        <v>0</v>
      </c>
      <c r="AC99" s="16">
        <f t="shared" si="403"/>
        <v>0</v>
      </c>
      <c r="AD99" s="16">
        <f t="shared" si="404"/>
        <v>0</v>
      </c>
      <c r="AE99" s="16">
        <f t="shared" si="405"/>
        <v>0</v>
      </c>
      <c r="AF99" s="16">
        <f t="shared" si="406"/>
        <v>0</v>
      </c>
      <c r="AG99" s="16">
        <f t="shared" si="407"/>
        <v>0</v>
      </c>
      <c r="AH99" s="16">
        <f t="shared" si="408"/>
        <v>0</v>
      </c>
      <c r="AI99" s="16">
        <f t="shared" si="409"/>
        <v>0</v>
      </c>
      <c r="AJ99" s="16">
        <f t="shared" si="410"/>
        <v>0</v>
      </c>
      <c r="AK99" s="16">
        <f t="shared" si="411"/>
        <v>57132.458750889899</v>
      </c>
      <c r="AL99" s="16">
        <f t="shared" si="412"/>
        <v>89378.796617838001</v>
      </c>
      <c r="AM99" s="16">
        <f t="shared" si="413"/>
        <v>108981.81</v>
      </c>
      <c r="AN99" s="16">
        <f t="shared" si="414"/>
        <v>147280.06125</v>
      </c>
      <c r="AO99" s="16">
        <f t="shared" si="415"/>
        <v>97556.990946361562</v>
      </c>
      <c r="AP99" s="16">
        <f t="shared" si="416"/>
        <v>129800.14818613355</v>
      </c>
      <c r="AQ99" s="16">
        <f t="shared" si="417"/>
        <v>127967.7028860796</v>
      </c>
      <c r="AR99" s="16">
        <f t="shared" si="418"/>
        <v>195925.15798142517</v>
      </c>
      <c r="AS99" s="16">
        <f t="shared" si="419"/>
        <v>148287.26789588333</v>
      </c>
      <c r="AT99" s="16">
        <f t="shared" si="420"/>
        <v>201212.34357454701</v>
      </c>
      <c r="AU99" s="16">
        <f t="shared" si="421"/>
        <v>188752.36175696741</v>
      </c>
      <c r="AV99" s="16">
        <f t="shared" si="422"/>
        <v>274841.77677260217</v>
      </c>
      <c r="AW99" s="16">
        <f t="shared" si="423"/>
        <v>215016.53844903084</v>
      </c>
      <c r="CI99" s="16"/>
      <c r="CJ99" s="16"/>
      <c r="CK99" s="16"/>
      <c r="CL99" s="16"/>
      <c r="CM99" s="16"/>
      <c r="CN99" s="16"/>
      <c r="CO99" s="16"/>
      <c r="CP99" s="16"/>
      <c r="CQ99" s="16"/>
      <c r="CR99" s="16"/>
      <c r="CS99" s="16"/>
      <c r="CT99" s="16"/>
      <c r="CU99" s="16"/>
      <c r="CV99" s="16"/>
      <c r="CW99" s="16"/>
      <c r="CX99" s="16"/>
      <c r="CY99" s="16"/>
      <c r="CZ99" s="16"/>
      <c r="DA99" s="16"/>
      <c r="DB99" s="16"/>
      <c r="DC99" s="16"/>
      <c r="DD99" s="16"/>
      <c r="DE99" s="16"/>
      <c r="DF99" s="16"/>
      <c r="DG99" s="16"/>
      <c r="DH99" s="16"/>
      <c r="DI99" s="16"/>
      <c r="DJ99" s="16"/>
      <c r="DK99" s="16"/>
      <c r="DL99" s="16"/>
      <c r="DM99" s="16"/>
      <c r="DN99" s="16"/>
      <c r="DO99" s="16"/>
      <c r="DP99" s="16">
        <f>DO98</f>
        <v>9243.6431210360988</v>
      </c>
      <c r="DQ99" s="16">
        <f t="shared" si="427"/>
        <v>14165.760214544398</v>
      </c>
      <c r="DR99" s="16">
        <f t="shared" si="427"/>
        <v>33723.055415309405</v>
      </c>
      <c r="DS99" s="16">
        <f t="shared" si="427"/>
        <v>16419.2364341838</v>
      </c>
      <c r="DT99" s="16">
        <f t="shared" si="427"/>
        <v>26622.431664670799</v>
      </c>
      <c r="DU99" s="16">
        <f t="shared" si="427"/>
        <v>46337.128518983394</v>
      </c>
      <c r="DV99" s="16">
        <f t="shared" si="427"/>
        <v>16347.271500000001</v>
      </c>
      <c r="DW99" s="16">
        <f t="shared" si="427"/>
        <v>38143.633500000004</v>
      </c>
      <c r="DX99" s="16">
        <f t="shared" si="427"/>
        <v>54490.904999999999</v>
      </c>
      <c r="DY99" s="16">
        <f t="shared" si="427"/>
        <v>14728.006125</v>
      </c>
      <c r="DZ99" s="16">
        <f t="shared" si="427"/>
        <v>58912.0245</v>
      </c>
      <c r="EA99" s="16">
        <f t="shared" si="427"/>
        <v>73640.030624999999</v>
      </c>
      <c r="EB99" s="16">
        <f t="shared" si="433"/>
        <v>12896.065734949832</v>
      </c>
      <c r="EC99" s="16">
        <f t="shared" si="433"/>
        <v>28342.809983966323</v>
      </c>
      <c r="ED99" s="16">
        <f t="shared" si="433"/>
        <v>56318.115227445407</v>
      </c>
      <c r="EE99" s="16">
        <f t="shared" si="433"/>
        <v>22518.211737722806</v>
      </c>
      <c r="EF99" s="16">
        <f t="shared" si="433"/>
        <v>44166.451622810913</v>
      </c>
      <c r="EG99" s="16">
        <f t="shared" si="433"/>
        <v>63115.484825599837</v>
      </c>
      <c r="EH99" s="16">
        <f t="shared" si="433"/>
        <v>21622.699334094348</v>
      </c>
      <c r="EI99" s="16">
        <f t="shared" si="433"/>
        <v>38555.414420982212</v>
      </c>
      <c r="EJ99" s="16">
        <f t="shared" si="433"/>
        <v>67789.589131003042</v>
      </c>
      <c r="EK99" s="16">
        <f t="shared" si="433"/>
        <v>29108.96603026686</v>
      </c>
      <c r="EL99" s="16">
        <f t="shared" si="433"/>
        <v>77646.098059195589</v>
      </c>
      <c r="EM99" s="16">
        <f t="shared" si="433"/>
        <v>89170.093891962737</v>
      </c>
      <c r="EN99" s="16">
        <f t="shared" si="433"/>
        <v>20485.265709051</v>
      </c>
      <c r="EO99" s="16">
        <f t="shared" si="433"/>
        <v>43269.213476350327</v>
      </c>
      <c r="EP99" s="16">
        <f t="shared" si="433"/>
        <v>84532.788710481997</v>
      </c>
      <c r="EQ99" s="16">
        <f t="shared" si="433"/>
        <v>36466.737313141137</v>
      </c>
      <c r="ER99" s="16">
        <f t="shared" si="433"/>
        <v>68397.891143646106</v>
      </c>
      <c r="ES99" s="16">
        <f t="shared" si="433"/>
        <v>96347.71511775977</v>
      </c>
      <c r="ET99" s="16">
        <f t="shared" si="433"/>
        <v>31893.481517789176</v>
      </c>
      <c r="EU99" s="16">
        <f t="shared" si="433"/>
        <v>56869.236270948764</v>
      </c>
      <c r="EV99" s="16">
        <f t="shared" si="433"/>
        <v>99989.643968229473</v>
      </c>
      <c r="EW99" s="16">
        <f t="shared" si="433"/>
        <v>38219.781144643624</v>
      </c>
      <c r="EX99" s="16">
        <f t="shared" si="433"/>
        <v>109812.0508873135</v>
      </c>
      <c r="EY99" s="16">
        <f t="shared" si="433"/>
        <v>126809.94474064505</v>
      </c>
      <c r="EZ99" s="16">
        <f t="shared" si="433"/>
        <v>29703.635278123958</v>
      </c>
      <c r="FA99" s="16">
        <f t="shared" si="433"/>
        <v>62740.359540707985</v>
      </c>
      <c r="FB99" s="16">
        <f t="shared" si="433"/>
        <v>122572.54363019888</v>
      </c>
      <c r="FC99" s="16"/>
      <c r="FD99" s="16"/>
      <c r="FE99" s="16"/>
      <c r="FF99" s="16"/>
      <c r="FG99" s="16"/>
      <c r="FH99" s="16"/>
      <c r="FI99" s="16"/>
      <c r="FJ99" s="16"/>
      <c r="FK99" s="16"/>
      <c r="FL99" s="16"/>
      <c r="FM99" s="16"/>
      <c r="FN99" s="16"/>
      <c r="FO99" s="16"/>
      <c r="FP99" s="16"/>
      <c r="FQ99" s="16"/>
      <c r="FR99" s="16"/>
      <c r="FS99" s="16"/>
      <c r="FT99" s="16"/>
      <c r="FU99" s="16"/>
      <c r="FV99" s="16"/>
      <c r="FW99" s="16"/>
      <c r="FX99" s="16"/>
      <c r="FY99" s="16"/>
      <c r="FZ99" s="16"/>
    </row>
    <row r="100" spans="3:182" x14ac:dyDescent="0.25">
      <c r="C100" t="s">
        <v>760</v>
      </c>
      <c r="D100" s="16">
        <f t="shared" si="426"/>
        <v>0</v>
      </c>
      <c r="E100" s="16">
        <f t="shared" si="426"/>
        <v>0</v>
      </c>
      <c r="F100" s="16">
        <f t="shared" si="426"/>
        <v>0</v>
      </c>
      <c r="G100" s="16">
        <f t="shared" si="426"/>
        <v>0</v>
      </c>
      <c r="H100" s="16">
        <f t="shared" si="426"/>
        <v>0</v>
      </c>
      <c r="I100" s="16">
        <f t="shared" si="426"/>
        <v>23409.403335580497</v>
      </c>
      <c r="J100" s="16">
        <f t="shared" si="426"/>
        <v>420602.59900206362</v>
      </c>
      <c r="K100" s="16">
        <f t="shared" si="426"/>
        <v>573765.60346648504</v>
      </c>
      <c r="L100" s="16">
        <f t="shared" si="426"/>
        <v>841783.26563343056</v>
      </c>
      <c r="M100" s="16"/>
      <c r="N100" s="16">
        <f t="shared" si="388"/>
        <v>0</v>
      </c>
      <c r="O100" s="16">
        <f t="shared" si="389"/>
        <v>0</v>
      </c>
      <c r="P100" s="16">
        <f t="shared" si="390"/>
        <v>0</v>
      </c>
      <c r="Q100" s="16">
        <f t="shared" si="391"/>
        <v>0</v>
      </c>
      <c r="R100" s="16">
        <f t="shared" si="392"/>
        <v>0</v>
      </c>
      <c r="S100" s="16">
        <f t="shared" si="393"/>
        <v>0</v>
      </c>
      <c r="T100" s="16">
        <f t="shared" si="394"/>
        <v>0</v>
      </c>
      <c r="U100" s="16">
        <f t="shared" si="395"/>
        <v>0</v>
      </c>
      <c r="V100" s="16">
        <f t="shared" si="396"/>
        <v>0</v>
      </c>
      <c r="W100" s="16">
        <f t="shared" si="397"/>
        <v>0</v>
      </c>
      <c r="X100" s="16">
        <f t="shared" si="398"/>
        <v>0</v>
      </c>
      <c r="Y100" s="16">
        <f t="shared" si="399"/>
        <v>0</v>
      </c>
      <c r="Z100" s="16">
        <f t="shared" si="400"/>
        <v>0</v>
      </c>
      <c r="AA100" s="16">
        <f t="shared" si="401"/>
        <v>0</v>
      </c>
      <c r="AB100" s="16">
        <f t="shared" si="402"/>
        <v>0</v>
      </c>
      <c r="AC100" s="16">
        <f t="shared" si="403"/>
        <v>0</v>
      </c>
      <c r="AD100" s="16">
        <f t="shared" si="404"/>
        <v>0</v>
      </c>
      <c r="AE100" s="16">
        <f t="shared" si="405"/>
        <v>0</v>
      </c>
      <c r="AF100" s="16">
        <f t="shared" si="406"/>
        <v>0</v>
      </c>
      <c r="AG100" s="16">
        <f t="shared" si="407"/>
        <v>0</v>
      </c>
      <c r="AH100" s="16">
        <f t="shared" si="408"/>
        <v>0</v>
      </c>
      <c r="AI100" s="16">
        <f t="shared" si="409"/>
        <v>0</v>
      </c>
      <c r="AJ100" s="16">
        <f t="shared" si="410"/>
        <v>0</v>
      </c>
      <c r="AK100" s="16">
        <f t="shared" si="411"/>
        <v>23409.403335580497</v>
      </c>
      <c r="AL100" s="16">
        <f t="shared" si="412"/>
        <v>76764.723514164012</v>
      </c>
      <c r="AM100" s="16">
        <f t="shared" si="413"/>
        <v>100828.0335189834</v>
      </c>
      <c r="AN100" s="16">
        <f t="shared" si="414"/>
        <v>128130.935625</v>
      </c>
      <c r="AO100" s="16">
        <f t="shared" si="415"/>
        <v>114878.90634391615</v>
      </c>
      <c r="AP100" s="16">
        <f t="shared" si="416"/>
        <v>123002.77858797912</v>
      </c>
      <c r="AQ100" s="16">
        <f t="shared" si="417"/>
        <v>123293.59858067639</v>
      </c>
      <c r="AR100" s="16">
        <f t="shared" si="418"/>
        <v>174544.65322046549</v>
      </c>
      <c r="AS100" s="16">
        <f t="shared" si="419"/>
        <v>152924.57307736407</v>
      </c>
      <c r="AT100" s="16">
        <f t="shared" si="420"/>
        <v>189397.41716726922</v>
      </c>
      <c r="AU100" s="16">
        <f t="shared" si="421"/>
        <v>185110.43290649771</v>
      </c>
      <c r="AV100" s="16">
        <f t="shared" si="422"/>
        <v>248021.47600018658</v>
      </c>
      <c r="AW100" s="16">
        <f t="shared" si="423"/>
        <v>219253.939559477</v>
      </c>
      <c r="CI100" s="16"/>
      <c r="CJ100" s="16"/>
      <c r="CK100" s="16"/>
      <c r="CL100" s="16"/>
      <c r="CM100" s="16"/>
      <c r="CN100" s="16"/>
      <c r="CO100" s="16"/>
      <c r="CP100" s="16"/>
      <c r="CQ100" s="16"/>
      <c r="CR100" s="16"/>
      <c r="CS100" s="16"/>
      <c r="CT100" s="16"/>
      <c r="CU100" s="16"/>
      <c r="CV100" s="16"/>
      <c r="CW100" s="16"/>
      <c r="CX100" s="16"/>
      <c r="CY100" s="16"/>
      <c r="CZ100" s="16"/>
      <c r="DA100" s="16"/>
      <c r="DB100" s="16"/>
      <c r="DC100" s="16"/>
      <c r="DD100" s="16"/>
      <c r="DE100" s="16"/>
      <c r="DF100" s="16"/>
      <c r="DG100" s="16"/>
      <c r="DH100" s="16"/>
      <c r="DI100" s="16"/>
      <c r="DJ100" s="16"/>
      <c r="DK100" s="16"/>
      <c r="DL100" s="16"/>
      <c r="DM100" s="16"/>
      <c r="DN100" s="16"/>
      <c r="DO100" s="16"/>
      <c r="DP100" s="16"/>
      <c r="DQ100" s="16">
        <f>DP99</f>
        <v>9243.6431210360988</v>
      </c>
      <c r="DR100" s="16">
        <f t="shared" si="427"/>
        <v>14165.760214544398</v>
      </c>
      <c r="DS100" s="16">
        <f t="shared" si="427"/>
        <v>33723.055415309405</v>
      </c>
      <c r="DT100" s="16">
        <f t="shared" si="427"/>
        <v>16419.2364341838</v>
      </c>
      <c r="DU100" s="16">
        <f t="shared" ref="DU100:FB106" si="434">DT99</f>
        <v>26622.431664670799</v>
      </c>
      <c r="DV100" s="16">
        <f t="shared" si="434"/>
        <v>46337.128518983394</v>
      </c>
      <c r="DW100" s="16">
        <f t="shared" si="434"/>
        <v>16347.271500000001</v>
      </c>
      <c r="DX100" s="16">
        <f t="shared" si="434"/>
        <v>38143.633500000004</v>
      </c>
      <c r="DY100" s="16">
        <f t="shared" si="434"/>
        <v>54490.904999999999</v>
      </c>
      <c r="DZ100" s="16">
        <f t="shared" si="434"/>
        <v>14728.006125</v>
      </c>
      <c r="EA100" s="16">
        <f t="shared" si="434"/>
        <v>58912.0245</v>
      </c>
      <c r="EB100" s="16">
        <f t="shared" si="434"/>
        <v>73640.030624999999</v>
      </c>
      <c r="EC100" s="16">
        <f t="shared" si="434"/>
        <v>12896.065734949832</v>
      </c>
      <c r="ED100" s="16">
        <f t="shared" si="434"/>
        <v>28342.809983966323</v>
      </c>
      <c r="EE100" s="16">
        <f t="shared" si="434"/>
        <v>56318.115227445407</v>
      </c>
      <c r="EF100" s="16">
        <f t="shared" si="434"/>
        <v>22518.211737722806</v>
      </c>
      <c r="EG100" s="16">
        <f t="shared" si="434"/>
        <v>44166.451622810913</v>
      </c>
      <c r="EH100" s="16">
        <f t="shared" si="434"/>
        <v>63115.484825599837</v>
      </c>
      <c r="EI100" s="16">
        <f t="shared" si="434"/>
        <v>21622.699334094348</v>
      </c>
      <c r="EJ100" s="16">
        <f t="shared" si="434"/>
        <v>38555.414420982212</v>
      </c>
      <c r="EK100" s="16">
        <f t="shared" si="434"/>
        <v>67789.589131003042</v>
      </c>
      <c r="EL100" s="16">
        <f t="shared" si="434"/>
        <v>29108.96603026686</v>
      </c>
      <c r="EM100" s="16">
        <f t="shared" si="434"/>
        <v>77646.098059195589</v>
      </c>
      <c r="EN100" s="16">
        <f t="shared" si="434"/>
        <v>89170.093891962737</v>
      </c>
      <c r="EO100" s="16">
        <f t="shared" si="434"/>
        <v>20485.265709051</v>
      </c>
      <c r="EP100" s="16">
        <f t="shared" si="434"/>
        <v>43269.213476350327</v>
      </c>
      <c r="EQ100" s="16">
        <f t="shared" si="434"/>
        <v>84532.788710481997</v>
      </c>
      <c r="ER100" s="16">
        <f t="shared" si="434"/>
        <v>36466.737313141137</v>
      </c>
      <c r="ES100" s="16">
        <f t="shared" si="434"/>
        <v>68397.891143646106</v>
      </c>
      <c r="ET100" s="16">
        <f t="shared" si="434"/>
        <v>96347.71511775977</v>
      </c>
      <c r="EU100" s="16">
        <f t="shared" si="434"/>
        <v>31893.481517789176</v>
      </c>
      <c r="EV100" s="16">
        <f t="shared" si="434"/>
        <v>56869.236270948764</v>
      </c>
      <c r="EW100" s="16">
        <f t="shared" si="434"/>
        <v>99989.643968229473</v>
      </c>
      <c r="EX100" s="16">
        <f t="shared" si="434"/>
        <v>38219.781144643624</v>
      </c>
      <c r="EY100" s="16">
        <f t="shared" si="434"/>
        <v>109812.0508873135</v>
      </c>
      <c r="EZ100" s="16">
        <f t="shared" si="434"/>
        <v>126809.94474064505</v>
      </c>
      <c r="FA100" s="16">
        <f t="shared" si="434"/>
        <v>29703.635278123958</v>
      </c>
      <c r="FB100" s="16">
        <f t="shared" si="434"/>
        <v>62740.359540707985</v>
      </c>
      <c r="FC100" s="16"/>
      <c r="FD100" s="16"/>
      <c r="FE100" s="16"/>
      <c r="FF100" s="16"/>
      <c r="FG100" s="16"/>
      <c r="FH100" s="16"/>
      <c r="FI100" s="16"/>
      <c r="FJ100" s="16"/>
      <c r="FK100" s="16"/>
      <c r="FL100" s="16"/>
      <c r="FM100" s="16"/>
      <c r="FN100" s="16"/>
      <c r="FO100" s="16"/>
      <c r="FP100" s="16"/>
      <c r="FQ100" s="16"/>
      <c r="FR100" s="16"/>
      <c r="FS100" s="16"/>
      <c r="FT100" s="16"/>
      <c r="FU100" s="16"/>
      <c r="FV100" s="16"/>
      <c r="FW100" s="16"/>
      <c r="FX100" s="16"/>
      <c r="FY100" s="16"/>
      <c r="FZ100" s="16"/>
    </row>
    <row r="101" spans="3:182" x14ac:dyDescent="0.25">
      <c r="C101" t="s">
        <v>761</v>
      </c>
      <c r="D101" s="16">
        <f t="shared" si="426"/>
        <v>0</v>
      </c>
      <c r="E101" s="16">
        <f t="shared" si="426"/>
        <v>0</v>
      </c>
      <c r="F101" s="16">
        <f t="shared" si="426"/>
        <v>0</v>
      </c>
      <c r="G101" s="16">
        <f t="shared" si="426"/>
        <v>0</v>
      </c>
      <c r="H101" s="16">
        <f t="shared" si="426"/>
        <v>0</v>
      </c>
      <c r="I101" s="16">
        <f t="shared" si="426"/>
        <v>9243.6431210360988</v>
      </c>
      <c r="J101" s="16">
        <f t="shared" si="426"/>
        <v>406425.54923264164</v>
      </c>
      <c r="K101" s="16">
        <f t="shared" si="426"/>
        <v>558839.19997410104</v>
      </c>
      <c r="L101" s="16">
        <f t="shared" si="426"/>
        <v>822312.11956907297</v>
      </c>
      <c r="M101" s="16"/>
      <c r="N101" s="16">
        <f t="shared" si="388"/>
        <v>0</v>
      </c>
      <c r="O101" s="16">
        <f t="shared" si="389"/>
        <v>0</v>
      </c>
      <c r="P101" s="16">
        <f t="shared" si="390"/>
        <v>0</v>
      </c>
      <c r="Q101" s="16">
        <f t="shared" si="391"/>
        <v>0</v>
      </c>
      <c r="R101" s="16">
        <f t="shared" si="392"/>
        <v>0</v>
      </c>
      <c r="S101" s="16">
        <f t="shared" si="393"/>
        <v>0</v>
      </c>
      <c r="T101" s="16">
        <f t="shared" si="394"/>
        <v>0</v>
      </c>
      <c r="U101" s="16">
        <f t="shared" si="395"/>
        <v>0</v>
      </c>
      <c r="V101" s="16">
        <f t="shared" si="396"/>
        <v>0</v>
      </c>
      <c r="W101" s="16">
        <f t="shared" si="397"/>
        <v>0</v>
      </c>
      <c r="X101" s="16">
        <f t="shared" si="398"/>
        <v>0</v>
      </c>
      <c r="Y101" s="16">
        <f t="shared" si="399"/>
        <v>0</v>
      </c>
      <c r="Z101" s="16">
        <f t="shared" si="400"/>
        <v>0</v>
      </c>
      <c r="AA101" s="16">
        <f t="shared" si="401"/>
        <v>0</v>
      </c>
      <c r="AB101" s="16">
        <f t="shared" si="402"/>
        <v>0</v>
      </c>
      <c r="AC101" s="16">
        <f t="shared" si="403"/>
        <v>0</v>
      </c>
      <c r="AD101" s="16">
        <f t="shared" si="404"/>
        <v>0</v>
      </c>
      <c r="AE101" s="16">
        <f t="shared" si="405"/>
        <v>0</v>
      </c>
      <c r="AF101" s="16">
        <f t="shared" si="406"/>
        <v>0</v>
      </c>
      <c r="AG101" s="16">
        <f t="shared" si="407"/>
        <v>0</v>
      </c>
      <c r="AH101" s="16">
        <f t="shared" si="408"/>
        <v>0</v>
      </c>
      <c r="AI101" s="16">
        <f t="shared" si="409"/>
        <v>0</v>
      </c>
      <c r="AJ101" s="16">
        <f t="shared" si="410"/>
        <v>0</v>
      </c>
      <c r="AK101" s="16">
        <f t="shared" si="411"/>
        <v>9243.6431210360988</v>
      </c>
      <c r="AL101" s="16">
        <f t="shared" si="412"/>
        <v>64308.052064037605</v>
      </c>
      <c r="AM101" s="16">
        <f t="shared" si="413"/>
        <v>89306.831683654193</v>
      </c>
      <c r="AN101" s="16">
        <f t="shared" si="414"/>
        <v>107362.54462499999</v>
      </c>
      <c r="AO101" s="16">
        <f t="shared" si="415"/>
        <v>145448.12085994985</v>
      </c>
      <c r="AP101" s="16">
        <f t="shared" si="416"/>
        <v>107179.13694913452</v>
      </c>
      <c r="AQ101" s="16">
        <f t="shared" si="417"/>
        <v>128904.63578250509</v>
      </c>
      <c r="AR101" s="16">
        <f t="shared" si="418"/>
        <v>135453.96958225212</v>
      </c>
      <c r="AS101" s="16">
        <f t="shared" si="419"/>
        <v>187301.45766020933</v>
      </c>
      <c r="AT101" s="16">
        <f t="shared" si="420"/>
        <v>164268.73949997345</v>
      </c>
      <c r="AU101" s="16">
        <f t="shared" si="421"/>
        <v>196639.08777919505</v>
      </c>
      <c r="AV101" s="16">
        <f t="shared" si="422"/>
        <v>195078.66138382186</v>
      </c>
      <c r="AW101" s="16">
        <f t="shared" si="423"/>
        <v>266325.63090608252</v>
      </c>
      <c r="CI101" s="16"/>
      <c r="CJ101" s="16"/>
      <c r="CK101" s="16"/>
      <c r="CL101" s="16"/>
      <c r="CM101" s="16"/>
      <c r="CN101" s="16"/>
      <c r="CO101" s="16"/>
      <c r="CP101" s="16"/>
      <c r="CQ101" s="16"/>
      <c r="CR101" s="16"/>
      <c r="CS101" s="16"/>
      <c r="CT101" s="16"/>
      <c r="CU101" s="16"/>
      <c r="CV101" s="16"/>
      <c r="CW101" s="16"/>
      <c r="CX101" s="16"/>
      <c r="CY101" s="16"/>
      <c r="CZ101" s="16"/>
      <c r="DA101" s="16"/>
      <c r="DB101" s="16"/>
      <c r="DC101" s="16"/>
      <c r="DD101" s="16"/>
      <c r="DE101" s="16"/>
      <c r="DF101" s="16"/>
      <c r="DG101" s="16"/>
      <c r="DH101" s="16"/>
      <c r="DI101" s="16"/>
      <c r="DJ101" s="16"/>
      <c r="DK101" s="16"/>
      <c r="DL101" s="16"/>
      <c r="DM101" s="16"/>
      <c r="DN101" s="16"/>
      <c r="DO101" s="16"/>
      <c r="DP101" s="16"/>
      <c r="DQ101" s="16"/>
      <c r="DR101" s="16">
        <f>DQ100</f>
        <v>9243.6431210360988</v>
      </c>
      <c r="DS101" s="16">
        <f t="shared" ref="DS101:DT101" si="435">DR100</f>
        <v>14165.760214544398</v>
      </c>
      <c r="DT101" s="16">
        <f t="shared" si="435"/>
        <v>33723.055415309405</v>
      </c>
      <c r="DU101" s="16">
        <f t="shared" si="434"/>
        <v>16419.2364341838</v>
      </c>
      <c r="DV101" s="16">
        <f t="shared" si="434"/>
        <v>26622.431664670799</v>
      </c>
      <c r="DW101" s="16">
        <f t="shared" si="434"/>
        <v>46337.128518983394</v>
      </c>
      <c r="DX101" s="16">
        <f t="shared" si="434"/>
        <v>16347.271500000001</v>
      </c>
      <c r="DY101" s="16">
        <f t="shared" si="434"/>
        <v>38143.633500000004</v>
      </c>
      <c r="DZ101" s="16">
        <f t="shared" si="434"/>
        <v>54490.904999999999</v>
      </c>
      <c r="EA101" s="16">
        <f t="shared" si="434"/>
        <v>14728.006125</v>
      </c>
      <c r="EB101" s="16">
        <f t="shared" si="434"/>
        <v>58912.0245</v>
      </c>
      <c r="EC101" s="16">
        <f t="shared" si="434"/>
        <v>73640.030624999999</v>
      </c>
      <c r="ED101" s="16">
        <f t="shared" si="434"/>
        <v>12896.065734949832</v>
      </c>
      <c r="EE101" s="16">
        <f t="shared" si="434"/>
        <v>28342.809983966323</v>
      </c>
      <c r="EF101" s="16">
        <f t="shared" si="434"/>
        <v>56318.115227445407</v>
      </c>
      <c r="EG101" s="16">
        <f t="shared" si="434"/>
        <v>22518.211737722806</v>
      </c>
      <c r="EH101" s="16">
        <f t="shared" si="434"/>
        <v>44166.451622810913</v>
      </c>
      <c r="EI101" s="16">
        <f t="shared" si="434"/>
        <v>63115.484825599837</v>
      </c>
      <c r="EJ101" s="16">
        <f t="shared" si="434"/>
        <v>21622.699334094348</v>
      </c>
      <c r="EK101" s="16">
        <f t="shared" si="434"/>
        <v>38555.414420982212</v>
      </c>
      <c r="EL101" s="16">
        <f t="shared" si="434"/>
        <v>67789.589131003042</v>
      </c>
      <c r="EM101" s="16">
        <f t="shared" si="434"/>
        <v>29108.96603026686</v>
      </c>
      <c r="EN101" s="16">
        <f t="shared" si="434"/>
        <v>77646.098059195589</v>
      </c>
      <c r="EO101" s="16">
        <f t="shared" si="434"/>
        <v>89170.093891962737</v>
      </c>
      <c r="EP101" s="16">
        <f t="shared" si="434"/>
        <v>20485.265709051</v>
      </c>
      <c r="EQ101" s="16">
        <f t="shared" si="434"/>
        <v>43269.213476350327</v>
      </c>
      <c r="ER101" s="16">
        <f t="shared" si="434"/>
        <v>84532.788710481997</v>
      </c>
      <c r="ES101" s="16">
        <f t="shared" si="434"/>
        <v>36466.737313141137</v>
      </c>
      <c r="ET101" s="16">
        <f t="shared" si="434"/>
        <v>68397.891143646106</v>
      </c>
      <c r="EU101" s="16">
        <f t="shared" si="434"/>
        <v>96347.71511775977</v>
      </c>
      <c r="EV101" s="16">
        <f t="shared" si="434"/>
        <v>31893.481517789176</v>
      </c>
      <c r="EW101" s="16">
        <f t="shared" si="434"/>
        <v>56869.236270948764</v>
      </c>
      <c r="EX101" s="16">
        <f t="shared" si="434"/>
        <v>99989.643968229473</v>
      </c>
      <c r="EY101" s="16">
        <f t="shared" si="434"/>
        <v>38219.781144643624</v>
      </c>
      <c r="EZ101" s="16">
        <f t="shared" si="434"/>
        <v>109812.0508873135</v>
      </c>
      <c r="FA101" s="16">
        <f t="shared" si="434"/>
        <v>126809.94474064505</v>
      </c>
      <c r="FB101" s="16">
        <f t="shared" si="434"/>
        <v>29703.635278123958</v>
      </c>
      <c r="FC101" s="16"/>
      <c r="FD101" s="16"/>
      <c r="FE101" s="16"/>
      <c r="FF101" s="16"/>
      <c r="FG101" s="16"/>
      <c r="FH101" s="16"/>
      <c r="FI101" s="16"/>
      <c r="FJ101" s="16"/>
      <c r="FK101" s="16"/>
      <c r="FL101" s="16"/>
      <c r="FM101" s="16"/>
      <c r="FN101" s="16"/>
      <c r="FO101" s="16"/>
      <c r="FP101" s="16"/>
      <c r="FQ101" s="16"/>
      <c r="FR101" s="16"/>
      <c r="FS101" s="16"/>
      <c r="FT101" s="16"/>
      <c r="FU101" s="16"/>
      <c r="FV101" s="16"/>
      <c r="FW101" s="16"/>
      <c r="FX101" s="16"/>
      <c r="FY101" s="16"/>
      <c r="FZ101" s="16"/>
    </row>
    <row r="102" spans="3:182" x14ac:dyDescent="0.25">
      <c r="C102" t="s">
        <v>762</v>
      </c>
      <c r="D102" s="16">
        <f t="shared" si="426"/>
        <v>0</v>
      </c>
      <c r="E102" s="16">
        <f t="shared" si="426"/>
        <v>0</v>
      </c>
      <c r="F102" s="16">
        <f t="shared" si="426"/>
        <v>0</v>
      </c>
      <c r="G102" s="16">
        <f t="shared" si="426"/>
        <v>0</v>
      </c>
      <c r="H102" s="16">
        <f t="shared" si="426"/>
        <v>0</v>
      </c>
      <c r="I102" s="16">
        <f t="shared" si="426"/>
        <v>0</v>
      </c>
      <c r="J102" s="16">
        <f t="shared" si="426"/>
        <v>402773.12661872793</v>
      </c>
      <c r="K102" s="16">
        <f t="shared" si="426"/>
        <v>551249.99999999988</v>
      </c>
      <c r="L102" s="16">
        <f t="shared" si="426"/>
        <v>813093.74999999988</v>
      </c>
      <c r="M102" s="16"/>
      <c r="N102" s="16">
        <f t="shared" si="388"/>
        <v>0</v>
      </c>
      <c r="O102" s="16">
        <f t="shared" si="389"/>
        <v>0</v>
      </c>
      <c r="P102" s="16">
        <f t="shared" si="390"/>
        <v>0</v>
      </c>
      <c r="Q102" s="16">
        <f t="shared" si="391"/>
        <v>0</v>
      </c>
      <c r="R102" s="16">
        <f t="shared" si="392"/>
        <v>0</v>
      </c>
      <c r="S102" s="16">
        <f t="shared" si="393"/>
        <v>0</v>
      </c>
      <c r="T102" s="16">
        <f t="shared" si="394"/>
        <v>0</v>
      </c>
      <c r="U102" s="16">
        <f t="shared" si="395"/>
        <v>0</v>
      </c>
      <c r="V102" s="16">
        <f t="shared" si="396"/>
        <v>0</v>
      </c>
      <c r="W102" s="16">
        <f t="shared" si="397"/>
        <v>0</v>
      </c>
      <c r="X102" s="16">
        <f t="shared" si="398"/>
        <v>0</v>
      </c>
      <c r="Y102" s="16">
        <f t="shared" si="399"/>
        <v>0</v>
      </c>
      <c r="Z102" s="16">
        <f t="shared" si="400"/>
        <v>0</v>
      </c>
      <c r="AA102" s="16">
        <f t="shared" si="401"/>
        <v>0</v>
      </c>
      <c r="AB102" s="16">
        <f t="shared" si="402"/>
        <v>0</v>
      </c>
      <c r="AC102" s="16">
        <f t="shared" si="403"/>
        <v>0</v>
      </c>
      <c r="AD102" s="16">
        <f t="shared" si="404"/>
        <v>0</v>
      </c>
      <c r="AE102" s="16">
        <f t="shared" si="405"/>
        <v>0</v>
      </c>
      <c r="AF102" s="16">
        <f t="shared" si="406"/>
        <v>0</v>
      </c>
      <c r="AG102" s="16">
        <f t="shared" si="407"/>
        <v>0</v>
      </c>
      <c r="AH102" s="16">
        <f t="shared" si="408"/>
        <v>0</v>
      </c>
      <c r="AI102" s="16">
        <f t="shared" si="409"/>
        <v>0</v>
      </c>
      <c r="AJ102" s="16">
        <f t="shared" si="410"/>
        <v>0</v>
      </c>
      <c r="AK102" s="16">
        <f t="shared" si="411"/>
        <v>0</v>
      </c>
      <c r="AL102" s="16">
        <f t="shared" si="412"/>
        <v>57132.458750889899</v>
      </c>
      <c r="AM102" s="16">
        <f t="shared" si="413"/>
        <v>89378.796617838001</v>
      </c>
      <c r="AN102" s="16">
        <f t="shared" si="414"/>
        <v>108981.81</v>
      </c>
      <c r="AO102" s="16">
        <f t="shared" si="415"/>
        <v>147280.06125</v>
      </c>
      <c r="AP102" s="16">
        <f t="shared" si="416"/>
        <v>97556.990946361562</v>
      </c>
      <c r="AQ102" s="16">
        <f t="shared" si="417"/>
        <v>129800.14818613355</v>
      </c>
      <c r="AR102" s="16">
        <f t="shared" si="418"/>
        <v>127967.7028860796</v>
      </c>
      <c r="AS102" s="16">
        <f t="shared" si="419"/>
        <v>195925.15798142517</v>
      </c>
      <c r="AT102" s="16">
        <f t="shared" si="420"/>
        <v>148287.26789588333</v>
      </c>
      <c r="AU102" s="16">
        <f t="shared" si="421"/>
        <v>201212.34357454701</v>
      </c>
      <c r="AV102" s="16">
        <f t="shared" si="422"/>
        <v>188752.36175696741</v>
      </c>
      <c r="AW102" s="16">
        <f t="shared" si="423"/>
        <v>274841.77677260217</v>
      </c>
      <c r="DS102" s="16">
        <f>DR101</f>
        <v>9243.6431210360988</v>
      </c>
      <c r="DT102" s="16">
        <f>DS101</f>
        <v>14165.760214544398</v>
      </c>
      <c r="DU102" s="16">
        <f t="shared" si="434"/>
        <v>33723.055415309405</v>
      </c>
      <c r="DV102" s="16">
        <f t="shared" si="434"/>
        <v>16419.2364341838</v>
      </c>
      <c r="DW102" s="16">
        <f t="shared" si="434"/>
        <v>26622.431664670799</v>
      </c>
      <c r="DX102" s="16">
        <f t="shared" si="434"/>
        <v>46337.128518983394</v>
      </c>
      <c r="DY102" s="16">
        <f t="shared" si="434"/>
        <v>16347.271500000001</v>
      </c>
      <c r="DZ102" s="16">
        <f t="shared" si="434"/>
        <v>38143.633500000004</v>
      </c>
      <c r="EA102" s="16">
        <f t="shared" si="434"/>
        <v>54490.904999999999</v>
      </c>
      <c r="EB102" s="16">
        <f t="shared" si="434"/>
        <v>14728.006125</v>
      </c>
      <c r="EC102" s="16">
        <f t="shared" si="434"/>
        <v>58912.0245</v>
      </c>
      <c r="ED102" s="16">
        <f t="shared" si="434"/>
        <v>73640.030624999999</v>
      </c>
      <c r="EE102" s="16">
        <f t="shared" si="434"/>
        <v>12896.065734949832</v>
      </c>
      <c r="EF102" s="16">
        <f t="shared" si="434"/>
        <v>28342.809983966323</v>
      </c>
      <c r="EG102" s="16">
        <f t="shared" si="434"/>
        <v>56318.115227445407</v>
      </c>
      <c r="EH102" s="16">
        <f t="shared" si="434"/>
        <v>22518.211737722806</v>
      </c>
      <c r="EI102" s="16">
        <f t="shared" si="434"/>
        <v>44166.451622810913</v>
      </c>
      <c r="EJ102" s="16">
        <f t="shared" si="434"/>
        <v>63115.484825599837</v>
      </c>
      <c r="EK102" s="16">
        <f t="shared" si="434"/>
        <v>21622.699334094348</v>
      </c>
      <c r="EL102" s="16">
        <f t="shared" si="434"/>
        <v>38555.414420982212</v>
      </c>
      <c r="EM102" s="16">
        <f t="shared" si="434"/>
        <v>67789.589131003042</v>
      </c>
      <c r="EN102" s="16">
        <f t="shared" si="434"/>
        <v>29108.96603026686</v>
      </c>
      <c r="EO102" s="16">
        <f t="shared" si="434"/>
        <v>77646.098059195589</v>
      </c>
      <c r="EP102" s="16">
        <f t="shared" si="434"/>
        <v>89170.093891962737</v>
      </c>
      <c r="EQ102" s="16">
        <f t="shared" si="434"/>
        <v>20485.265709051</v>
      </c>
      <c r="ER102" s="16">
        <f t="shared" si="434"/>
        <v>43269.213476350327</v>
      </c>
      <c r="ES102" s="16">
        <f t="shared" si="434"/>
        <v>84532.788710481997</v>
      </c>
      <c r="ET102" s="16">
        <f t="shared" si="434"/>
        <v>36466.737313141137</v>
      </c>
      <c r="EU102" s="16">
        <f t="shared" si="434"/>
        <v>68397.891143646106</v>
      </c>
      <c r="EV102" s="16">
        <f t="shared" si="434"/>
        <v>96347.71511775977</v>
      </c>
      <c r="EW102" s="16">
        <f t="shared" si="434"/>
        <v>31893.481517789176</v>
      </c>
      <c r="EX102" s="16">
        <f t="shared" si="434"/>
        <v>56869.236270948764</v>
      </c>
      <c r="EY102" s="16">
        <f t="shared" si="434"/>
        <v>99989.643968229473</v>
      </c>
      <c r="EZ102" s="16">
        <f t="shared" si="434"/>
        <v>38219.781144643624</v>
      </c>
      <c r="FA102" s="16">
        <f t="shared" si="434"/>
        <v>109812.0508873135</v>
      </c>
      <c r="FB102" s="16">
        <f t="shared" ref="FB102:FB105" si="436">FA101</f>
        <v>126809.94474064505</v>
      </c>
    </row>
    <row r="103" spans="3:182" x14ac:dyDescent="0.25">
      <c r="C103" t="s">
        <v>763</v>
      </c>
      <c r="D103" s="16">
        <f t="shared" si="426"/>
        <v>0</v>
      </c>
      <c r="E103" s="16">
        <f t="shared" si="426"/>
        <v>0</v>
      </c>
      <c r="F103" s="16">
        <f t="shared" si="426"/>
        <v>0</v>
      </c>
      <c r="G103" s="16">
        <f t="shared" si="426"/>
        <v>0</v>
      </c>
      <c r="H103" s="16">
        <f t="shared" si="426"/>
        <v>0</v>
      </c>
      <c r="I103" s="16">
        <f t="shared" si="426"/>
        <v>0</v>
      </c>
      <c r="J103" s="16">
        <f t="shared" si="426"/>
        <v>329133.09599372791</v>
      </c>
      <c r="K103" s="16">
        <f t="shared" si="426"/>
        <v>535719.93673303712</v>
      </c>
      <c r="L103" s="16">
        <f t="shared" si="426"/>
        <v>775453.89915131754</v>
      </c>
      <c r="M103" s="16"/>
      <c r="N103" s="16">
        <f t="shared" si="388"/>
        <v>0</v>
      </c>
      <c r="O103" s="16">
        <f t="shared" si="389"/>
        <v>0</v>
      </c>
      <c r="P103" s="16">
        <f t="shared" si="390"/>
        <v>0</v>
      </c>
      <c r="Q103" s="16">
        <f t="shared" si="391"/>
        <v>0</v>
      </c>
      <c r="R103" s="16">
        <f t="shared" si="392"/>
        <v>0</v>
      </c>
      <c r="S103" s="16">
        <f t="shared" si="393"/>
        <v>0</v>
      </c>
      <c r="T103" s="16">
        <f t="shared" si="394"/>
        <v>0</v>
      </c>
      <c r="U103" s="16">
        <f t="shared" si="395"/>
        <v>0</v>
      </c>
      <c r="V103" s="16">
        <f t="shared" si="396"/>
        <v>0</v>
      </c>
      <c r="W103" s="16">
        <f t="shared" si="397"/>
        <v>0</v>
      </c>
      <c r="X103" s="16">
        <f t="shared" si="398"/>
        <v>0</v>
      </c>
      <c r="Y103" s="16">
        <f t="shared" si="399"/>
        <v>0</v>
      </c>
      <c r="Z103" s="16">
        <f t="shared" si="400"/>
        <v>0</v>
      </c>
      <c r="AA103" s="16">
        <f t="shared" si="401"/>
        <v>0</v>
      </c>
      <c r="AB103" s="16">
        <f t="shared" si="402"/>
        <v>0</v>
      </c>
      <c r="AC103" s="16">
        <f t="shared" si="403"/>
        <v>0</v>
      </c>
      <c r="AD103" s="16">
        <f t="shared" si="404"/>
        <v>0</v>
      </c>
      <c r="AE103" s="16">
        <f t="shared" si="405"/>
        <v>0</v>
      </c>
      <c r="AF103" s="16">
        <f t="shared" si="406"/>
        <v>0</v>
      </c>
      <c r="AG103" s="16">
        <f t="shared" si="407"/>
        <v>0</v>
      </c>
      <c r="AH103" s="16">
        <f t="shared" si="408"/>
        <v>0</v>
      </c>
      <c r="AI103" s="16">
        <f t="shared" si="409"/>
        <v>0</v>
      </c>
      <c r="AJ103" s="16">
        <f t="shared" si="410"/>
        <v>0</v>
      </c>
      <c r="AK103" s="16">
        <f t="shared" si="411"/>
        <v>0</v>
      </c>
      <c r="AL103" s="16">
        <f t="shared" si="412"/>
        <v>23409.403335580497</v>
      </c>
      <c r="AM103" s="16">
        <f t="shared" si="413"/>
        <v>76764.723514164012</v>
      </c>
      <c r="AN103" s="16">
        <f t="shared" si="414"/>
        <v>100828.0335189834</v>
      </c>
      <c r="AO103" s="16">
        <f t="shared" si="415"/>
        <v>128130.935625</v>
      </c>
      <c r="AP103" s="16">
        <f t="shared" si="416"/>
        <v>114878.90634391615</v>
      </c>
      <c r="AQ103" s="16">
        <f t="shared" si="417"/>
        <v>123002.77858797912</v>
      </c>
      <c r="AR103" s="16">
        <f t="shared" si="418"/>
        <v>123293.59858067639</v>
      </c>
      <c r="AS103" s="16">
        <f t="shared" si="419"/>
        <v>174544.65322046549</v>
      </c>
      <c r="AT103" s="16">
        <f t="shared" si="420"/>
        <v>152924.57307736407</v>
      </c>
      <c r="AU103" s="16">
        <f t="shared" si="421"/>
        <v>189397.41716726922</v>
      </c>
      <c r="AV103" s="16">
        <f t="shared" si="422"/>
        <v>185110.43290649771</v>
      </c>
      <c r="AW103" s="16">
        <f t="shared" si="423"/>
        <v>248021.47600018658</v>
      </c>
      <c r="DS103" s="16"/>
      <c r="DT103" s="16">
        <f>DS102</f>
        <v>9243.6431210360988</v>
      </c>
      <c r="DU103" s="16">
        <f t="shared" si="434"/>
        <v>14165.760214544398</v>
      </c>
      <c r="DV103" s="16">
        <f t="shared" si="434"/>
        <v>33723.055415309405</v>
      </c>
      <c r="DW103" s="16">
        <f t="shared" si="434"/>
        <v>16419.2364341838</v>
      </c>
      <c r="DX103" s="16">
        <f t="shared" si="434"/>
        <v>26622.431664670799</v>
      </c>
      <c r="DY103" s="16">
        <f t="shared" si="434"/>
        <v>46337.128518983394</v>
      </c>
      <c r="DZ103" s="16">
        <f t="shared" si="434"/>
        <v>16347.271500000001</v>
      </c>
      <c r="EA103" s="16">
        <f t="shared" si="434"/>
        <v>38143.633500000004</v>
      </c>
      <c r="EB103" s="16">
        <f t="shared" si="434"/>
        <v>54490.904999999999</v>
      </c>
      <c r="EC103" s="16">
        <f t="shared" si="434"/>
        <v>14728.006125</v>
      </c>
      <c r="ED103" s="16">
        <f t="shared" si="434"/>
        <v>58912.0245</v>
      </c>
      <c r="EE103" s="16">
        <f t="shared" si="434"/>
        <v>73640.030624999999</v>
      </c>
      <c r="EF103" s="16">
        <f t="shared" si="434"/>
        <v>12896.065734949832</v>
      </c>
      <c r="EG103" s="16">
        <f t="shared" si="434"/>
        <v>28342.809983966323</v>
      </c>
      <c r="EH103" s="16">
        <f t="shared" si="434"/>
        <v>56318.115227445407</v>
      </c>
      <c r="EI103" s="16">
        <f t="shared" si="434"/>
        <v>22518.211737722806</v>
      </c>
      <c r="EJ103" s="16">
        <f t="shared" si="434"/>
        <v>44166.451622810913</v>
      </c>
      <c r="EK103" s="16">
        <f t="shared" si="434"/>
        <v>63115.484825599837</v>
      </c>
      <c r="EL103" s="16">
        <f t="shared" si="434"/>
        <v>21622.699334094348</v>
      </c>
      <c r="EM103" s="16">
        <f t="shared" si="434"/>
        <v>38555.414420982212</v>
      </c>
      <c r="EN103" s="16">
        <f t="shared" si="434"/>
        <v>67789.589131003042</v>
      </c>
      <c r="EO103" s="16">
        <f t="shared" si="434"/>
        <v>29108.96603026686</v>
      </c>
      <c r="EP103" s="16">
        <f t="shared" si="434"/>
        <v>77646.098059195589</v>
      </c>
      <c r="EQ103" s="16">
        <f t="shared" si="434"/>
        <v>89170.093891962737</v>
      </c>
      <c r="ER103" s="16">
        <f t="shared" si="434"/>
        <v>20485.265709051</v>
      </c>
      <c r="ES103" s="16">
        <f t="shared" si="434"/>
        <v>43269.213476350327</v>
      </c>
      <c r="ET103" s="16">
        <f t="shared" si="434"/>
        <v>84532.788710481997</v>
      </c>
      <c r="EU103" s="16">
        <f t="shared" si="434"/>
        <v>36466.737313141137</v>
      </c>
      <c r="EV103" s="16">
        <f t="shared" si="434"/>
        <v>68397.891143646106</v>
      </c>
      <c r="EW103" s="16">
        <f t="shared" si="434"/>
        <v>96347.71511775977</v>
      </c>
      <c r="EX103" s="16">
        <f t="shared" si="434"/>
        <v>31893.481517789176</v>
      </c>
      <c r="EY103" s="16">
        <f t="shared" si="434"/>
        <v>56869.236270948764</v>
      </c>
      <c r="EZ103" s="16">
        <f t="shared" si="434"/>
        <v>99989.643968229473</v>
      </c>
      <c r="FA103" s="16">
        <f t="shared" si="434"/>
        <v>38219.781144643624</v>
      </c>
      <c r="FB103" s="16">
        <f t="shared" si="436"/>
        <v>109812.0508873135</v>
      </c>
    </row>
    <row r="104" spans="3:182" x14ac:dyDescent="0.25">
      <c r="C104" t="s">
        <v>764</v>
      </c>
      <c r="D104" s="16">
        <f t="shared" si="426"/>
        <v>0</v>
      </c>
      <c r="E104" s="16">
        <f t="shared" si="426"/>
        <v>0</v>
      </c>
      <c r="F104" s="16">
        <f t="shared" si="426"/>
        <v>0</v>
      </c>
      <c r="G104" s="16">
        <f t="shared" si="426"/>
        <v>0</v>
      </c>
      <c r="H104" s="16">
        <f t="shared" si="426"/>
        <v>0</v>
      </c>
      <c r="I104" s="16">
        <f t="shared" si="426"/>
        <v>0</v>
      </c>
      <c r="J104" s="16">
        <f t="shared" si="426"/>
        <v>270221.07149372791</v>
      </c>
      <c r="K104" s="16">
        <f t="shared" si="426"/>
        <v>516985.8631738415</v>
      </c>
      <c r="L104" s="16">
        <f t="shared" si="426"/>
        <v>743287.94632319966</v>
      </c>
      <c r="M104" s="16"/>
      <c r="N104" s="16">
        <f t="shared" si="388"/>
        <v>0</v>
      </c>
      <c r="O104" s="16">
        <f t="shared" si="389"/>
        <v>0</v>
      </c>
      <c r="P104" s="16">
        <f t="shared" si="390"/>
        <v>0</v>
      </c>
      <c r="Q104" s="16">
        <f t="shared" si="391"/>
        <v>0</v>
      </c>
      <c r="R104" s="16">
        <f t="shared" si="392"/>
        <v>0</v>
      </c>
      <c r="S104" s="16">
        <f t="shared" si="393"/>
        <v>0</v>
      </c>
      <c r="T104" s="16">
        <f t="shared" si="394"/>
        <v>0</v>
      </c>
      <c r="U104" s="16">
        <f t="shared" si="395"/>
        <v>0</v>
      </c>
      <c r="V104" s="16">
        <f t="shared" si="396"/>
        <v>0</v>
      </c>
      <c r="W104" s="16">
        <f t="shared" si="397"/>
        <v>0</v>
      </c>
      <c r="X104" s="16">
        <f t="shared" si="398"/>
        <v>0</v>
      </c>
      <c r="Y104" s="16">
        <f t="shared" si="399"/>
        <v>0</v>
      </c>
      <c r="Z104" s="16">
        <f t="shared" si="400"/>
        <v>0</v>
      </c>
      <c r="AA104" s="16">
        <f t="shared" si="401"/>
        <v>0</v>
      </c>
      <c r="AB104" s="16">
        <f t="shared" si="402"/>
        <v>0</v>
      </c>
      <c r="AC104" s="16">
        <f t="shared" si="403"/>
        <v>0</v>
      </c>
      <c r="AD104" s="16">
        <f t="shared" si="404"/>
        <v>0</v>
      </c>
      <c r="AE104" s="16">
        <f t="shared" si="405"/>
        <v>0</v>
      </c>
      <c r="AF104" s="16">
        <f t="shared" si="406"/>
        <v>0</v>
      </c>
      <c r="AG104" s="16">
        <f t="shared" si="407"/>
        <v>0</v>
      </c>
      <c r="AH104" s="16">
        <f t="shared" si="408"/>
        <v>0</v>
      </c>
      <c r="AI104" s="16">
        <f t="shared" si="409"/>
        <v>0</v>
      </c>
      <c r="AJ104" s="16">
        <f t="shared" si="410"/>
        <v>0</v>
      </c>
      <c r="AK104" s="16">
        <f t="shared" si="411"/>
        <v>0</v>
      </c>
      <c r="AL104" s="16">
        <f t="shared" si="412"/>
        <v>9243.6431210360988</v>
      </c>
      <c r="AM104" s="16">
        <f t="shared" si="413"/>
        <v>64308.052064037605</v>
      </c>
      <c r="AN104" s="16">
        <f t="shared" si="414"/>
        <v>89306.831683654193</v>
      </c>
      <c r="AO104" s="16">
        <f t="shared" si="415"/>
        <v>107362.54462499999</v>
      </c>
      <c r="AP104" s="16">
        <f t="shared" si="416"/>
        <v>145448.12085994985</v>
      </c>
      <c r="AQ104" s="16">
        <f t="shared" si="417"/>
        <v>107179.13694913452</v>
      </c>
      <c r="AR104" s="16">
        <f t="shared" si="418"/>
        <v>128904.63578250509</v>
      </c>
      <c r="AS104" s="16">
        <f t="shared" si="419"/>
        <v>135453.96958225212</v>
      </c>
      <c r="AT104" s="16">
        <f t="shared" si="420"/>
        <v>187301.45766020933</v>
      </c>
      <c r="AU104" s="16">
        <f t="shared" si="421"/>
        <v>164268.73949997345</v>
      </c>
      <c r="AV104" s="16">
        <f t="shared" si="422"/>
        <v>196639.08777919505</v>
      </c>
      <c r="AW104" s="16">
        <f t="shared" si="423"/>
        <v>195078.66138382186</v>
      </c>
      <c r="DS104" s="16"/>
      <c r="DT104" s="16"/>
      <c r="DU104" s="16">
        <f>DT103</f>
        <v>9243.6431210360988</v>
      </c>
      <c r="DV104" s="16">
        <f t="shared" si="434"/>
        <v>14165.760214544398</v>
      </c>
      <c r="DW104" s="16">
        <f t="shared" si="434"/>
        <v>33723.055415309405</v>
      </c>
      <c r="DX104" s="16">
        <f t="shared" si="434"/>
        <v>16419.2364341838</v>
      </c>
      <c r="DY104" s="16">
        <f t="shared" si="434"/>
        <v>26622.431664670799</v>
      </c>
      <c r="DZ104" s="16">
        <f t="shared" si="434"/>
        <v>46337.128518983394</v>
      </c>
      <c r="EA104" s="16">
        <f t="shared" si="434"/>
        <v>16347.271500000001</v>
      </c>
      <c r="EB104" s="16">
        <f t="shared" si="434"/>
        <v>38143.633500000004</v>
      </c>
      <c r="EC104" s="16">
        <f t="shared" si="434"/>
        <v>54490.904999999999</v>
      </c>
      <c r="ED104" s="16">
        <f t="shared" si="434"/>
        <v>14728.006125</v>
      </c>
      <c r="EE104" s="16">
        <f t="shared" si="434"/>
        <v>58912.0245</v>
      </c>
      <c r="EF104" s="16">
        <f t="shared" si="434"/>
        <v>73640.030624999999</v>
      </c>
      <c r="EG104" s="16">
        <f t="shared" si="434"/>
        <v>12896.065734949832</v>
      </c>
      <c r="EH104" s="16">
        <f t="shared" si="434"/>
        <v>28342.809983966323</v>
      </c>
      <c r="EI104" s="16">
        <f t="shared" si="434"/>
        <v>56318.115227445407</v>
      </c>
      <c r="EJ104" s="16">
        <f t="shared" si="434"/>
        <v>22518.211737722806</v>
      </c>
      <c r="EK104" s="16">
        <f t="shared" si="434"/>
        <v>44166.451622810913</v>
      </c>
      <c r="EL104" s="16">
        <f t="shared" si="434"/>
        <v>63115.484825599837</v>
      </c>
      <c r="EM104" s="16">
        <f t="shared" si="434"/>
        <v>21622.699334094348</v>
      </c>
      <c r="EN104" s="16">
        <f t="shared" si="434"/>
        <v>38555.414420982212</v>
      </c>
      <c r="EO104" s="16">
        <f t="shared" si="434"/>
        <v>67789.589131003042</v>
      </c>
      <c r="EP104" s="16">
        <f t="shared" si="434"/>
        <v>29108.96603026686</v>
      </c>
      <c r="EQ104" s="16">
        <f t="shared" si="434"/>
        <v>77646.098059195589</v>
      </c>
      <c r="ER104" s="16">
        <f t="shared" si="434"/>
        <v>89170.093891962737</v>
      </c>
      <c r="ES104" s="16">
        <f t="shared" si="434"/>
        <v>20485.265709051</v>
      </c>
      <c r="ET104" s="16">
        <f t="shared" si="434"/>
        <v>43269.213476350327</v>
      </c>
      <c r="EU104" s="16">
        <f t="shared" si="434"/>
        <v>84532.788710481997</v>
      </c>
      <c r="EV104" s="16">
        <f t="shared" si="434"/>
        <v>36466.737313141137</v>
      </c>
      <c r="EW104" s="16">
        <f t="shared" si="434"/>
        <v>68397.891143646106</v>
      </c>
      <c r="EX104" s="16">
        <f t="shared" si="434"/>
        <v>96347.71511775977</v>
      </c>
      <c r="EY104" s="16">
        <f t="shared" si="434"/>
        <v>31893.481517789176</v>
      </c>
      <c r="EZ104" s="16">
        <f t="shared" si="434"/>
        <v>56869.236270948764</v>
      </c>
      <c r="FA104" s="16">
        <f t="shared" si="434"/>
        <v>99989.643968229473</v>
      </c>
      <c r="FB104" s="16">
        <f t="shared" si="436"/>
        <v>38219.781144643624</v>
      </c>
    </row>
    <row r="105" spans="3:182" x14ac:dyDescent="0.25">
      <c r="C105" t="s">
        <v>765</v>
      </c>
      <c r="D105" s="16">
        <f t="shared" si="426"/>
        <v>0</v>
      </c>
      <c r="E105" s="16">
        <f t="shared" si="426"/>
        <v>0</v>
      </c>
      <c r="F105" s="16">
        <f t="shared" si="426"/>
        <v>0</v>
      </c>
      <c r="G105" s="16">
        <f t="shared" si="426"/>
        <v>0</v>
      </c>
      <c r="H105" s="16">
        <f t="shared" si="426"/>
        <v>0</v>
      </c>
      <c r="I105" s="16">
        <f t="shared" si="426"/>
        <v>0</v>
      </c>
      <c r="J105" s="16">
        <f t="shared" si="426"/>
        <v>255493.0653687279</v>
      </c>
      <c r="K105" s="16">
        <f t="shared" si="426"/>
        <v>502604.90326857474</v>
      </c>
      <c r="L105" s="16">
        <f t="shared" si="426"/>
        <v>734177.13120882283</v>
      </c>
      <c r="M105" s="16"/>
      <c r="N105" s="16">
        <f t="shared" si="388"/>
        <v>0</v>
      </c>
      <c r="O105" s="16">
        <f t="shared" si="389"/>
        <v>0</v>
      </c>
      <c r="P105" s="16">
        <f t="shared" si="390"/>
        <v>0</v>
      </c>
      <c r="Q105" s="16">
        <f t="shared" si="391"/>
        <v>0</v>
      </c>
      <c r="R105" s="16">
        <f t="shared" si="392"/>
        <v>0</v>
      </c>
      <c r="S105" s="16">
        <f t="shared" si="393"/>
        <v>0</v>
      </c>
      <c r="T105" s="16">
        <f t="shared" si="394"/>
        <v>0</v>
      </c>
      <c r="U105" s="16">
        <f t="shared" si="395"/>
        <v>0</v>
      </c>
      <c r="V105" s="16">
        <f t="shared" si="396"/>
        <v>0</v>
      </c>
      <c r="W105" s="16">
        <f t="shared" si="397"/>
        <v>0</v>
      </c>
      <c r="X105" s="16">
        <f t="shared" si="398"/>
        <v>0</v>
      </c>
      <c r="Y105" s="16">
        <f t="shared" si="399"/>
        <v>0</v>
      </c>
      <c r="Z105" s="16">
        <f t="shared" si="400"/>
        <v>0</v>
      </c>
      <c r="AA105" s="16">
        <f t="shared" si="401"/>
        <v>0</v>
      </c>
      <c r="AB105" s="16">
        <f t="shared" si="402"/>
        <v>0</v>
      </c>
      <c r="AC105" s="16">
        <f t="shared" si="403"/>
        <v>0</v>
      </c>
      <c r="AD105" s="16">
        <f t="shared" si="404"/>
        <v>0</v>
      </c>
      <c r="AE105" s="16">
        <f t="shared" si="405"/>
        <v>0</v>
      </c>
      <c r="AF105" s="16">
        <f t="shared" si="406"/>
        <v>0</v>
      </c>
      <c r="AG105" s="16">
        <f t="shared" si="407"/>
        <v>0</v>
      </c>
      <c r="AH105" s="16">
        <f t="shared" si="408"/>
        <v>0</v>
      </c>
      <c r="AI105" s="16">
        <f t="shared" si="409"/>
        <v>0</v>
      </c>
      <c r="AJ105" s="16">
        <f t="shared" si="410"/>
        <v>0</v>
      </c>
      <c r="AK105" s="16">
        <f t="shared" si="411"/>
        <v>0</v>
      </c>
      <c r="AL105" s="16">
        <f t="shared" si="412"/>
        <v>0</v>
      </c>
      <c r="AM105" s="16">
        <f t="shared" si="413"/>
        <v>57132.458750889899</v>
      </c>
      <c r="AN105" s="16">
        <f t="shared" si="414"/>
        <v>89378.796617838001</v>
      </c>
      <c r="AO105" s="16">
        <f t="shared" si="415"/>
        <v>108981.81</v>
      </c>
      <c r="AP105" s="16">
        <f t="shared" si="416"/>
        <v>147280.06125</v>
      </c>
      <c r="AQ105" s="16">
        <f t="shared" si="417"/>
        <v>97556.990946361562</v>
      </c>
      <c r="AR105" s="16">
        <f t="shared" si="418"/>
        <v>129800.14818613355</v>
      </c>
      <c r="AS105" s="16">
        <f t="shared" si="419"/>
        <v>127967.7028860796</v>
      </c>
      <c r="AT105" s="16">
        <f t="shared" si="420"/>
        <v>195925.15798142517</v>
      </c>
      <c r="AU105" s="16">
        <f t="shared" si="421"/>
        <v>148287.26789588333</v>
      </c>
      <c r="AV105" s="16">
        <f t="shared" si="422"/>
        <v>201212.34357454701</v>
      </c>
      <c r="AW105" s="16">
        <f t="shared" si="423"/>
        <v>188752.36175696741</v>
      </c>
      <c r="DS105" s="16"/>
      <c r="DT105" s="16"/>
      <c r="DU105" s="16"/>
      <c r="DV105" s="16">
        <f>DU104</f>
        <v>9243.6431210360988</v>
      </c>
      <c r="DW105" s="16">
        <f t="shared" si="434"/>
        <v>14165.760214544398</v>
      </c>
      <c r="DX105" s="16">
        <f t="shared" si="434"/>
        <v>33723.055415309405</v>
      </c>
      <c r="DY105" s="16">
        <f t="shared" si="434"/>
        <v>16419.2364341838</v>
      </c>
      <c r="DZ105" s="16">
        <f t="shared" si="434"/>
        <v>26622.431664670799</v>
      </c>
      <c r="EA105" s="16">
        <f t="shared" si="434"/>
        <v>46337.128518983394</v>
      </c>
      <c r="EB105" s="16">
        <f t="shared" si="434"/>
        <v>16347.271500000001</v>
      </c>
      <c r="EC105" s="16">
        <f t="shared" si="434"/>
        <v>38143.633500000004</v>
      </c>
      <c r="ED105" s="16">
        <f t="shared" si="434"/>
        <v>54490.904999999999</v>
      </c>
      <c r="EE105" s="16">
        <f t="shared" si="434"/>
        <v>14728.006125</v>
      </c>
      <c r="EF105" s="16">
        <f t="shared" si="434"/>
        <v>58912.0245</v>
      </c>
      <c r="EG105" s="16">
        <f t="shared" si="434"/>
        <v>73640.030624999999</v>
      </c>
      <c r="EH105" s="16">
        <f t="shared" si="434"/>
        <v>12896.065734949832</v>
      </c>
      <c r="EI105" s="16">
        <f t="shared" si="434"/>
        <v>28342.809983966323</v>
      </c>
      <c r="EJ105" s="16">
        <f t="shared" si="434"/>
        <v>56318.115227445407</v>
      </c>
      <c r="EK105" s="16">
        <f t="shared" si="434"/>
        <v>22518.211737722806</v>
      </c>
      <c r="EL105" s="16">
        <f t="shared" si="434"/>
        <v>44166.451622810913</v>
      </c>
      <c r="EM105" s="16">
        <f t="shared" si="434"/>
        <v>63115.484825599837</v>
      </c>
      <c r="EN105" s="16">
        <f t="shared" si="434"/>
        <v>21622.699334094348</v>
      </c>
      <c r="EO105" s="16">
        <f t="shared" si="434"/>
        <v>38555.414420982212</v>
      </c>
      <c r="EP105" s="16">
        <f t="shared" si="434"/>
        <v>67789.589131003042</v>
      </c>
      <c r="EQ105" s="16">
        <f t="shared" si="434"/>
        <v>29108.96603026686</v>
      </c>
      <c r="ER105" s="16">
        <f t="shared" si="434"/>
        <v>77646.098059195589</v>
      </c>
      <c r="ES105" s="16">
        <f t="shared" si="434"/>
        <v>89170.093891962737</v>
      </c>
      <c r="ET105" s="16">
        <f t="shared" si="434"/>
        <v>20485.265709051</v>
      </c>
      <c r="EU105" s="16">
        <f t="shared" si="434"/>
        <v>43269.213476350327</v>
      </c>
      <c r="EV105" s="16">
        <f t="shared" si="434"/>
        <v>84532.788710481997</v>
      </c>
      <c r="EW105" s="16">
        <f t="shared" si="434"/>
        <v>36466.737313141137</v>
      </c>
      <c r="EX105" s="16">
        <f t="shared" si="434"/>
        <v>68397.891143646106</v>
      </c>
      <c r="EY105" s="16">
        <f t="shared" si="434"/>
        <v>96347.71511775977</v>
      </c>
      <c r="EZ105" s="16">
        <f t="shared" si="434"/>
        <v>31893.481517789176</v>
      </c>
      <c r="FA105" s="16">
        <f t="shared" si="434"/>
        <v>56869.236270948764</v>
      </c>
      <c r="FB105" s="16">
        <f t="shared" si="436"/>
        <v>99989.643968229473</v>
      </c>
    </row>
    <row r="106" spans="3:182" x14ac:dyDescent="0.25">
      <c r="C106" t="s">
        <v>766</v>
      </c>
      <c r="D106" s="16">
        <f t="shared" si="426"/>
        <v>0</v>
      </c>
      <c r="E106" s="16">
        <f t="shared" si="426"/>
        <v>0</v>
      </c>
      <c r="F106" s="16">
        <f t="shared" si="426"/>
        <v>0</v>
      </c>
      <c r="G106" s="16">
        <f t="shared" si="426"/>
        <v>0</v>
      </c>
      <c r="H106" s="16">
        <f t="shared" si="426"/>
        <v>0</v>
      </c>
      <c r="I106" s="16">
        <f t="shared" si="426"/>
        <v>0</v>
      </c>
      <c r="J106" s="16">
        <f t="shared" si="426"/>
        <v>201002.1603687279</v>
      </c>
      <c r="K106" s="16">
        <f t="shared" si="426"/>
        <v>489306.21913757164</v>
      </c>
      <c r="L106" s="16">
        <f t="shared" si="426"/>
        <v>701977.07637159643</v>
      </c>
      <c r="M106" s="16"/>
      <c r="N106" s="16">
        <f t="shared" si="388"/>
        <v>0</v>
      </c>
      <c r="O106" s="16">
        <f t="shared" si="389"/>
        <v>0</v>
      </c>
      <c r="P106" s="16">
        <f t="shared" si="390"/>
        <v>0</v>
      </c>
      <c r="Q106" s="16">
        <f t="shared" si="391"/>
        <v>0</v>
      </c>
      <c r="R106" s="16">
        <f t="shared" si="392"/>
        <v>0</v>
      </c>
      <c r="S106" s="16">
        <f t="shared" si="393"/>
        <v>0</v>
      </c>
      <c r="T106" s="16">
        <f t="shared" si="394"/>
        <v>0</v>
      </c>
      <c r="U106" s="16">
        <f t="shared" si="395"/>
        <v>0</v>
      </c>
      <c r="V106" s="16">
        <f t="shared" si="396"/>
        <v>0</v>
      </c>
      <c r="W106" s="16">
        <f t="shared" si="397"/>
        <v>0</v>
      </c>
      <c r="X106" s="16">
        <f t="shared" si="398"/>
        <v>0</v>
      </c>
      <c r="Y106" s="16">
        <f t="shared" si="399"/>
        <v>0</v>
      </c>
      <c r="Z106" s="16">
        <f t="shared" si="400"/>
        <v>0</v>
      </c>
      <c r="AA106" s="16">
        <f t="shared" si="401"/>
        <v>0</v>
      </c>
      <c r="AB106" s="16">
        <f t="shared" si="402"/>
        <v>0</v>
      </c>
      <c r="AC106" s="16">
        <f t="shared" si="403"/>
        <v>0</v>
      </c>
      <c r="AD106" s="16">
        <f t="shared" si="404"/>
        <v>0</v>
      </c>
      <c r="AE106" s="16">
        <f t="shared" si="405"/>
        <v>0</v>
      </c>
      <c r="AF106" s="16">
        <f t="shared" si="406"/>
        <v>0</v>
      </c>
      <c r="AG106" s="16">
        <f t="shared" si="407"/>
        <v>0</v>
      </c>
      <c r="AH106" s="16">
        <f t="shared" si="408"/>
        <v>0</v>
      </c>
      <c r="AI106" s="16">
        <f t="shared" si="409"/>
        <v>0</v>
      </c>
      <c r="AJ106" s="16">
        <f t="shared" si="410"/>
        <v>0</v>
      </c>
      <c r="AK106" s="16">
        <f t="shared" si="411"/>
        <v>0</v>
      </c>
      <c r="AL106" s="16">
        <f t="shared" si="412"/>
        <v>0</v>
      </c>
      <c r="AM106" s="16">
        <f t="shared" si="413"/>
        <v>23409.403335580497</v>
      </c>
      <c r="AN106" s="16">
        <f t="shared" si="414"/>
        <v>76764.723514164012</v>
      </c>
      <c r="AO106" s="16">
        <f t="shared" si="415"/>
        <v>100828.0335189834</v>
      </c>
      <c r="AP106" s="16">
        <f t="shared" si="416"/>
        <v>128130.935625</v>
      </c>
      <c r="AQ106" s="16">
        <f t="shared" si="417"/>
        <v>114878.90634391615</v>
      </c>
      <c r="AR106" s="16">
        <f t="shared" si="418"/>
        <v>123002.77858797912</v>
      </c>
      <c r="AS106" s="16">
        <f t="shared" si="419"/>
        <v>123293.59858067639</v>
      </c>
      <c r="AT106" s="16">
        <f t="shared" si="420"/>
        <v>174544.65322046549</v>
      </c>
      <c r="AU106" s="16">
        <f t="shared" si="421"/>
        <v>152924.57307736407</v>
      </c>
      <c r="AV106" s="16">
        <f t="shared" si="422"/>
        <v>189397.41716726922</v>
      </c>
      <c r="AW106" s="16">
        <f t="shared" si="423"/>
        <v>185110.43290649771</v>
      </c>
      <c r="DS106" s="16"/>
      <c r="DT106" s="16"/>
      <c r="DU106" s="16"/>
      <c r="DV106" s="16"/>
      <c r="DW106" s="16">
        <f>DV105</f>
        <v>9243.6431210360988</v>
      </c>
      <c r="DX106" s="16">
        <f>DW105</f>
        <v>14165.760214544398</v>
      </c>
      <c r="DY106" s="16">
        <f t="shared" si="434"/>
        <v>33723.055415309405</v>
      </c>
      <c r="DZ106" s="16">
        <f t="shared" si="434"/>
        <v>16419.2364341838</v>
      </c>
      <c r="EA106" s="16">
        <f t="shared" si="434"/>
        <v>26622.431664670799</v>
      </c>
      <c r="EB106" s="16">
        <f t="shared" si="434"/>
        <v>46337.128518983394</v>
      </c>
      <c r="EC106" s="16">
        <f t="shared" si="434"/>
        <v>16347.271500000001</v>
      </c>
      <c r="ED106" s="16">
        <f t="shared" si="434"/>
        <v>38143.633500000004</v>
      </c>
      <c r="EE106" s="16">
        <f t="shared" si="434"/>
        <v>54490.904999999999</v>
      </c>
      <c r="EF106" s="16">
        <f t="shared" si="434"/>
        <v>14728.006125</v>
      </c>
      <c r="EG106" s="16">
        <f t="shared" si="434"/>
        <v>58912.0245</v>
      </c>
      <c r="EH106" s="16">
        <f t="shared" si="434"/>
        <v>73640.030624999999</v>
      </c>
      <c r="EI106" s="16">
        <f t="shared" ref="EI106:EX121" si="437">EH105</f>
        <v>12896.065734949832</v>
      </c>
      <c r="EJ106" s="16">
        <f t="shared" si="437"/>
        <v>28342.809983966323</v>
      </c>
      <c r="EK106" s="16">
        <f t="shared" si="437"/>
        <v>56318.115227445407</v>
      </c>
      <c r="EL106" s="16">
        <f t="shared" si="437"/>
        <v>22518.211737722806</v>
      </c>
      <c r="EM106" s="16">
        <f t="shared" si="437"/>
        <v>44166.451622810913</v>
      </c>
      <c r="EN106" s="16">
        <f t="shared" si="437"/>
        <v>63115.484825599837</v>
      </c>
      <c r="EO106" s="16">
        <f t="shared" si="437"/>
        <v>21622.699334094348</v>
      </c>
      <c r="EP106" s="16">
        <f t="shared" si="437"/>
        <v>38555.414420982212</v>
      </c>
      <c r="EQ106" s="16">
        <f t="shared" si="437"/>
        <v>67789.589131003042</v>
      </c>
      <c r="ER106" s="16">
        <f t="shared" si="437"/>
        <v>29108.96603026686</v>
      </c>
      <c r="ES106" s="16">
        <f t="shared" si="437"/>
        <v>77646.098059195589</v>
      </c>
      <c r="ET106" s="16">
        <f t="shared" si="437"/>
        <v>89170.093891962737</v>
      </c>
      <c r="EU106" s="16">
        <f t="shared" si="437"/>
        <v>20485.265709051</v>
      </c>
      <c r="EV106" s="16">
        <f t="shared" si="437"/>
        <v>43269.213476350327</v>
      </c>
      <c r="EW106" s="16">
        <f t="shared" si="437"/>
        <v>84532.788710481997</v>
      </c>
      <c r="EX106" s="16">
        <f t="shared" si="437"/>
        <v>36466.737313141137</v>
      </c>
      <c r="EY106" s="16">
        <f t="shared" ref="EU106:FB121" si="438">EX105</f>
        <v>68397.891143646106</v>
      </c>
      <c r="EZ106" s="16">
        <f t="shared" si="438"/>
        <v>96347.71511775977</v>
      </c>
      <c r="FA106" s="16">
        <f t="shared" si="438"/>
        <v>31893.481517789176</v>
      </c>
      <c r="FB106" s="16">
        <f t="shared" si="438"/>
        <v>56869.236270948764</v>
      </c>
    </row>
    <row r="107" spans="3:182" x14ac:dyDescent="0.25">
      <c r="C107" t="s">
        <v>767</v>
      </c>
      <c r="D107" s="16">
        <f t="shared" si="426"/>
        <v>0</v>
      </c>
      <c r="E107" s="16">
        <f t="shared" si="426"/>
        <v>0</v>
      </c>
      <c r="F107" s="16">
        <f t="shared" si="426"/>
        <v>0</v>
      </c>
      <c r="G107" s="16">
        <f t="shared" si="426"/>
        <v>0</v>
      </c>
      <c r="H107" s="16">
        <f t="shared" si="426"/>
        <v>0</v>
      </c>
      <c r="I107" s="16">
        <f t="shared" si="426"/>
        <v>0</v>
      </c>
      <c r="J107" s="16">
        <f t="shared" si="426"/>
        <v>162858.5268687279</v>
      </c>
      <c r="K107" s="16">
        <f t="shared" si="426"/>
        <v>488894.43821658951</v>
      </c>
      <c r="L107" s="16">
        <f t="shared" si="426"/>
        <v>683663.25452163001</v>
      </c>
      <c r="M107" s="16"/>
      <c r="N107" s="16">
        <f t="shared" si="388"/>
        <v>0</v>
      </c>
      <c r="O107" s="16">
        <f t="shared" si="389"/>
        <v>0</v>
      </c>
      <c r="P107" s="16">
        <f t="shared" si="390"/>
        <v>0</v>
      </c>
      <c r="Q107" s="16">
        <f t="shared" si="391"/>
        <v>0</v>
      </c>
      <c r="R107" s="16">
        <f t="shared" si="392"/>
        <v>0</v>
      </c>
      <c r="S107" s="16">
        <f t="shared" si="393"/>
        <v>0</v>
      </c>
      <c r="T107" s="16">
        <f t="shared" si="394"/>
        <v>0</v>
      </c>
      <c r="U107" s="16">
        <f t="shared" si="395"/>
        <v>0</v>
      </c>
      <c r="V107" s="16">
        <f t="shared" si="396"/>
        <v>0</v>
      </c>
      <c r="W107" s="16">
        <f t="shared" si="397"/>
        <v>0</v>
      </c>
      <c r="X107" s="16">
        <f t="shared" si="398"/>
        <v>0</v>
      </c>
      <c r="Y107" s="16">
        <f t="shared" si="399"/>
        <v>0</v>
      </c>
      <c r="Z107" s="16">
        <f t="shared" si="400"/>
        <v>0</v>
      </c>
      <c r="AA107" s="16">
        <f t="shared" si="401"/>
        <v>0</v>
      </c>
      <c r="AB107" s="16">
        <f t="shared" si="402"/>
        <v>0</v>
      </c>
      <c r="AC107" s="16">
        <f t="shared" si="403"/>
        <v>0</v>
      </c>
      <c r="AD107" s="16">
        <f t="shared" si="404"/>
        <v>0</v>
      </c>
      <c r="AE107" s="16">
        <f t="shared" si="405"/>
        <v>0</v>
      </c>
      <c r="AF107" s="16">
        <f t="shared" si="406"/>
        <v>0</v>
      </c>
      <c r="AG107" s="16">
        <f t="shared" si="407"/>
        <v>0</v>
      </c>
      <c r="AH107" s="16">
        <f t="shared" si="408"/>
        <v>0</v>
      </c>
      <c r="AI107" s="16">
        <f t="shared" si="409"/>
        <v>0</v>
      </c>
      <c r="AJ107" s="16">
        <f t="shared" si="410"/>
        <v>0</v>
      </c>
      <c r="AK107" s="16">
        <f t="shared" si="411"/>
        <v>0</v>
      </c>
      <c r="AL107" s="16">
        <f t="shared" si="412"/>
        <v>0</v>
      </c>
      <c r="AM107" s="16">
        <f t="shared" si="413"/>
        <v>9243.6431210360988</v>
      </c>
      <c r="AN107" s="16">
        <f t="shared" si="414"/>
        <v>64308.052064037605</v>
      </c>
      <c r="AO107" s="16">
        <f t="shared" si="415"/>
        <v>89306.831683654193</v>
      </c>
      <c r="AP107" s="16">
        <f t="shared" si="416"/>
        <v>107362.54462499999</v>
      </c>
      <c r="AQ107" s="16">
        <f t="shared" si="417"/>
        <v>145448.12085994985</v>
      </c>
      <c r="AR107" s="16">
        <f t="shared" si="418"/>
        <v>107179.13694913452</v>
      </c>
      <c r="AS107" s="16">
        <f t="shared" si="419"/>
        <v>128904.63578250509</v>
      </c>
      <c r="AT107" s="16">
        <f t="shared" si="420"/>
        <v>135453.96958225212</v>
      </c>
      <c r="AU107" s="16">
        <f t="shared" si="421"/>
        <v>187301.45766020933</v>
      </c>
      <c r="AV107" s="16">
        <f t="shared" si="422"/>
        <v>164268.73949997345</v>
      </c>
      <c r="AW107" s="16">
        <f t="shared" si="423"/>
        <v>196639.08777919505</v>
      </c>
      <c r="DS107" s="16"/>
      <c r="DT107" s="16"/>
      <c r="DU107" s="16"/>
      <c r="DV107" s="16"/>
      <c r="DW107" s="16"/>
      <c r="DX107" s="16">
        <f>DW106</f>
        <v>9243.6431210360988</v>
      </c>
      <c r="DY107" s="16">
        <f t="shared" ref="DY107:EN118" si="439">DX106</f>
        <v>14165.760214544398</v>
      </c>
      <c r="DZ107" s="16">
        <f t="shared" si="439"/>
        <v>33723.055415309405</v>
      </c>
      <c r="EA107" s="16">
        <f t="shared" si="439"/>
        <v>16419.2364341838</v>
      </c>
      <c r="EB107" s="16">
        <f t="shared" si="439"/>
        <v>26622.431664670799</v>
      </c>
      <c r="EC107" s="16">
        <f t="shared" si="439"/>
        <v>46337.128518983394</v>
      </c>
      <c r="ED107" s="16">
        <f t="shared" si="439"/>
        <v>16347.271500000001</v>
      </c>
      <c r="EE107" s="16">
        <f t="shared" si="439"/>
        <v>38143.633500000004</v>
      </c>
      <c r="EF107" s="16">
        <f t="shared" si="439"/>
        <v>54490.904999999999</v>
      </c>
      <c r="EG107" s="16">
        <f t="shared" si="439"/>
        <v>14728.006125</v>
      </c>
      <c r="EH107" s="16">
        <f t="shared" si="439"/>
        <v>58912.0245</v>
      </c>
      <c r="EI107" s="16">
        <f t="shared" si="439"/>
        <v>73640.030624999999</v>
      </c>
      <c r="EJ107" s="16">
        <f t="shared" si="439"/>
        <v>12896.065734949832</v>
      </c>
      <c r="EK107" s="16">
        <f t="shared" si="437"/>
        <v>28342.809983966323</v>
      </c>
      <c r="EL107" s="16">
        <f t="shared" si="437"/>
        <v>56318.115227445407</v>
      </c>
      <c r="EM107" s="16">
        <f t="shared" si="437"/>
        <v>22518.211737722806</v>
      </c>
      <c r="EN107" s="16">
        <f t="shared" si="437"/>
        <v>44166.451622810913</v>
      </c>
      <c r="EO107" s="16">
        <f t="shared" si="437"/>
        <v>63115.484825599837</v>
      </c>
      <c r="EP107" s="16">
        <f t="shared" si="437"/>
        <v>21622.699334094348</v>
      </c>
      <c r="EQ107" s="16">
        <f t="shared" si="437"/>
        <v>38555.414420982212</v>
      </c>
      <c r="ER107" s="16">
        <f t="shared" si="437"/>
        <v>67789.589131003042</v>
      </c>
      <c r="ES107" s="16">
        <f t="shared" si="437"/>
        <v>29108.96603026686</v>
      </c>
      <c r="ET107" s="16">
        <f t="shared" si="437"/>
        <v>77646.098059195589</v>
      </c>
      <c r="EU107" s="16">
        <f t="shared" si="437"/>
        <v>89170.093891962737</v>
      </c>
      <c r="EV107" s="16">
        <f t="shared" si="437"/>
        <v>20485.265709051</v>
      </c>
      <c r="EW107" s="16">
        <f t="shared" si="437"/>
        <v>43269.213476350327</v>
      </c>
      <c r="EX107" s="16">
        <f t="shared" si="437"/>
        <v>84532.788710481997</v>
      </c>
      <c r="EY107" s="16">
        <f t="shared" si="438"/>
        <v>36466.737313141137</v>
      </c>
      <c r="EZ107" s="16">
        <f t="shared" si="438"/>
        <v>68397.891143646106</v>
      </c>
      <c r="FA107" s="16">
        <f t="shared" si="438"/>
        <v>96347.71511775977</v>
      </c>
      <c r="FB107" s="16">
        <f t="shared" si="438"/>
        <v>31893.481517789176</v>
      </c>
    </row>
    <row r="108" spans="3:182" x14ac:dyDescent="0.25">
      <c r="C108" t="s">
        <v>768</v>
      </c>
      <c r="D108" s="16">
        <f t="shared" si="426"/>
        <v>0</v>
      </c>
      <c r="E108" s="16">
        <f t="shared" si="426"/>
        <v>0</v>
      </c>
      <c r="F108" s="16">
        <f t="shared" si="426"/>
        <v>0</v>
      </c>
      <c r="G108" s="16">
        <f t="shared" si="426"/>
        <v>0</v>
      </c>
      <c r="H108" s="16">
        <f t="shared" si="426"/>
        <v>0</v>
      </c>
      <c r="I108" s="16">
        <f t="shared" si="426"/>
        <v>0</v>
      </c>
      <c r="J108" s="16">
        <f t="shared" si="426"/>
        <v>146511.2553687279</v>
      </c>
      <c r="K108" s="16">
        <f t="shared" si="426"/>
        <v>483619.01038249518</v>
      </c>
      <c r="L108" s="16">
        <f t="shared" si="426"/>
        <v>673392.47233793512</v>
      </c>
      <c r="M108" s="16"/>
      <c r="N108" s="16">
        <f t="shared" si="388"/>
        <v>0</v>
      </c>
      <c r="O108" s="16">
        <f t="shared" si="389"/>
        <v>0</v>
      </c>
      <c r="P108" s="16">
        <f t="shared" si="390"/>
        <v>0</v>
      </c>
      <c r="Q108" s="16">
        <f t="shared" si="391"/>
        <v>0</v>
      </c>
      <c r="R108" s="16">
        <f t="shared" si="392"/>
        <v>0</v>
      </c>
      <c r="S108" s="16">
        <f t="shared" si="393"/>
        <v>0</v>
      </c>
      <c r="T108" s="16">
        <f t="shared" si="394"/>
        <v>0</v>
      </c>
      <c r="U108" s="16">
        <f t="shared" si="395"/>
        <v>0</v>
      </c>
      <c r="V108" s="16">
        <f t="shared" si="396"/>
        <v>0</v>
      </c>
      <c r="W108" s="16">
        <f t="shared" si="397"/>
        <v>0</v>
      </c>
      <c r="X108" s="16">
        <f t="shared" si="398"/>
        <v>0</v>
      </c>
      <c r="Y108" s="16">
        <f t="shared" si="399"/>
        <v>0</v>
      </c>
      <c r="Z108" s="16">
        <f t="shared" si="400"/>
        <v>0</v>
      </c>
      <c r="AA108" s="16">
        <f t="shared" si="401"/>
        <v>0</v>
      </c>
      <c r="AB108" s="16">
        <f t="shared" si="402"/>
        <v>0</v>
      </c>
      <c r="AC108" s="16">
        <f t="shared" si="403"/>
        <v>0</v>
      </c>
      <c r="AD108" s="16">
        <f t="shared" si="404"/>
        <v>0</v>
      </c>
      <c r="AE108" s="16">
        <f t="shared" si="405"/>
        <v>0</v>
      </c>
      <c r="AF108" s="16">
        <f t="shared" si="406"/>
        <v>0</v>
      </c>
      <c r="AG108" s="16">
        <f t="shared" si="407"/>
        <v>0</v>
      </c>
      <c r="AH108" s="16">
        <f t="shared" si="408"/>
        <v>0</v>
      </c>
      <c r="AI108" s="16">
        <f t="shared" si="409"/>
        <v>0</v>
      </c>
      <c r="AJ108" s="16">
        <f t="shared" si="410"/>
        <v>0</v>
      </c>
      <c r="AK108" s="16">
        <f t="shared" si="411"/>
        <v>0</v>
      </c>
      <c r="AL108" s="16">
        <f t="shared" si="412"/>
        <v>0</v>
      </c>
      <c r="AM108" s="16">
        <f t="shared" si="413"/>
        <v>0</v>
      </c>
      <c r="AN108" s="16">
        <f t="shared" si="414"/>
        <v>57132.458750889899</v>
      </c>
      <c r="AO108" s="16">
        <f t="shared" si="415"/>
        <v>89378.796617838001</v>
      </c>
      <c r="AP108" s="16">
        <f t="shared" si="416"/>
        <v>108981.81</v>
      </c>
      <c r="AQ108" s="16">
        <f t="shared" si="417"/>
        <v>147280.06125</v>
      </c>
      <c r="AR108" s="16">
        <f t="shared" si="418"/>
        <v>97556.990946361562</v>
      </c>
      <c r="AS108" s="16">
        <f t="shared" si="419"/>
        <v>129800.14818613355</v>
      </c>
      <c r="AT108" s="16">
        <f t="shared" si="420"/>
        <v>127967.7028860796</v>
      </c>
      <c r="AU108" s="16">
        <f t="shared" si="421"/>
        <v>195925.15798142517</v>
      </c>
      <c r="AV108" s="16">
        <f t="shared" si="422"/>
        <v>148287.26789588333</v>
      </c>
      <c r="AW108" s="16">
        <f t="shared" si="423"/>
        <v>201212.34357454701</v>
      </c>
      <c r="DS108" s="16"/>
      <c r="DT108" s="16"/>
      <c r="DU108" s="16"/>
      <c r="DV108" s="16"/>
      <c r="DW108" s="16"/>
      <c r="DX108" s="16"/>
      <c r="DY108" s="16">
        <f t="shared" si="439"/>
        <v>9243.6431210360988</v>
      </c>
      <c r="DZ108" s="16">
        <f t="shared" si="439"/>
        <v>14165.760214544398</v>
      </c>
      <c r="EA108" s="16">
        <f t="shared" si="439"/>
        <v>33723.055415309405</v>
      </c>
      <c r="EB108" s="16">
        <f t="shared" si="439"/>
        <v>16419.2364341838</v>
      </c>
      <c r="EC108" s="16">
        <f t="shared" si="439"/>
        <v>26622.431664670799</v>
      </c>
      <c r="ED108" s="16">
        <f t="shared" si="439"/>
        <v>46337.128518983394</v>
      </c>
      <c r="EE108" s="16">
        <f t="shared" si="439"/>
        <v>16347.271500000001</v>
      </c>
      <c r="EF108" s="16">
        <f t="shared" si="439"/>
        <v>38143.633500000004</v>
      </c>
      <c r="EG108" s="16">
        <f t="shared" si="439"/>
        <v>54490.904999999999</v>
      </c>
      <c r="EH108" s="16">
        <f t="shared" si="439"/>
        <v>14728.006125</v>
      </c>
      <c r="EI108" s="16">
        <f t="shared" si="439"/>
        <v>58912.0245</v>
      </c>
      <c r="EJ108" s="16">
        <f t="shared" si="439"/>
        <v>73640.030624999999</v>
      </c>
      <c r="EK108" s="16">
        <f t="shared" si="437"/>
        <v>12896.065734949832</v>
      </c>
      <c r="EL108" s="16">
        <f t="shared" si="437"/>
        <v>28342.809983966323</v>
      </c>
      <c r="EM108" s="16">
        <f t="shared" si="437"/>
        <v>56318.115227445407</v>
      </c>
      <c r="EN108" s="16">
        <f t="shared" si="437"/>
        <v>22518.211737722806</v>
      </c>
      <c r="EO108" s="16">
        <f t="shared" si="437"/>
        <v>44166.451622810913</v>
      </c>
      <c r="EP108" s="16">
        <f t="shared" si="437"/>
        <v>63115.484825599837</v>
      </c>
      <c r="EQ108" s="16">
        <f t="shared" si="437"/>
        <v>21622.699334094348</v>
      </c>
      <c r="ER108" s="16">
        <f t="shared" si="437"/>
        <v>38555.414420982212</v>
      </c>
      <c r="ES108" s="16">
        <f t="shared" si="437"/>
        <v>67789.589131003042</v>
      </c>
      <c r="ET108" s="16">
        <f t="shared" si="437"/>
        <v>29108.96603026686</v>
      </c>
      <c r="EU108" s="16">
        <f t="shared" si="437"/>
        <v>77646.098059195589</v>
      </c>
      <c r="EV108" s="16">
        <f t="shared" si="437"/>
        <v>89170.093891962737</v>
      </c>
      <c r="EW108" s="16">
        <f t="shared" si="437"/>
        <v>20485.265709051</v>
      </c>
      <c r="EX108" s="16">
        <f t="shared" si="437"/>
        <v>43269.213476350327</v>
      </c>
      <c r="EY108" s="16">
        <f t="shared" si="438"/>
        <v>84532.788710481997</v>
      </c>
      <c r="EZ108" s="16">
        <f t="shared" si="438"/>
        <v>36466.737313141137</v>
      </c>
      <c r="FA108" s="16">
        <f t="shared" si="438"/>
        <v>68397.891143646106</v>
      </c>
      <c r="FB108" s="16">
        <f t="shared" si="438"/>
        <v>96347.71511775977</v>
      </c>
    </row>
    <row r="109" spans="3:182" x14ac:dyDescent="0.25">
      <c r="C109" t="s">
        <v>769</v>
      </c>
      <c r="D109" s="16">
        <f t="shared" si="426"/>
        <v>0</v>
      </c>
      <c r="E109" s="16">
        <f t="shared" si="426"/>
        <v>0</v>
      </c>
      <c r="F109" s="16">
        <f t="shared" si="426"/>
        <v>0</v>
      </c>
      <c r="G109" s="16">
        <f t="shared" si="426"/>
        <v>0</v>
      </c>
      <c r="H109" s="16">
        <f t="shared" si="426"/>
        <v>0</v>
      </c>
      <c r="I109" s="16">
        <f t="shared" si="426"/>
        <v>0</v>
      </c>
      <c r="J109" s="16">
        <f t="shared" si="426"/>
        <v>100174.1268497445</v>
      </c>
      <c r="K109" s="16">
        <f t="shared" si="426"/>
        <v>466840.65407587873</v>
      </c>
      <c r="L109" s="16">
        <f t="shared" si="426"/>
        <v>640160.24204577506</v>
      </c>
      <c r="M109" s="16"/>
      <c r="N109" s="16">
        <f t="shared" si="388"/>
        <v>0</v>
      </c>
      <c r="O109" s="16">
        <f t="shared" si="389"/>
        <v>0</v>
      </c>
      <c r="P109" s="16">
        <f t="shared" si="390"/>
        <v>0</v>
      </c>
      <c r="Q109" s="16">
        <f t="shared" si="391"/>
        <v>0</v>
      </c>
      <c r="R109" s="16">
        <f t="shared" si="392"/>
        <v>0</v>
      </c>
      <c r="S109" s="16">
        <f t="shared" si="393"/>
        <v>0</v>
      </c>
      <c r="T109" s="16">
        <f t="shared" si="394"/>
        <v>0</v>
      </c>
      <c r="U109" s="16">
        <f t="shared" si="395"/>
        <v>0</v>
      </c>
      <c r="V109" s="16">
        <f t="shared" si="396"/>
        <v>0</v>
      </c>
      <c r="W109" s="16">
        <f t="shared" si="397"/>
        <v>0</v>
      </c>
      <c r="X109" s="16">
        <f t="shared" si="398"/>
        <v>0</v>
      </c>
      <c r="Y109" s="16">
        <f t="shared" si="399"/>
        <v>0</v>
      </c>
      <c r="Z109" s="16">
        <f t="shared" si="400"/>
        <v>0</v>
      </c>
      <c r="AA109" s="16">
        <f t="shared" si="401"/>
        <v>0</v>
      </c>
      <c r="AB109" s="16">
        <f t="shared" si="402"/>
        <v>0</v>
      </c>
      <c r="AC109" s="16">
        <f t="shared" si="403"/>
        <v>0</v>
      </c>
      <c r="AD109" s="16">
        <f t="shared" si="404"/>
        <v>0</v>
      </c>
      <c r="AE109" s="16">
        <f t="shared" si="405"/>
        <v>0</v>
      </c>
      <c r="AF109" s="16">
        <f t="shared" si="406"/>
        <v>0</v>
      </c>
      <c r="AG109" s="16">
        <f t="shared" si="407"/>
        <v>0</v>
      </c>
      <c r="AH109" s="16">
        <f t="shared" si="408"/>
        <v>0</v>
      </c>
      <c r="AI109" s="16">
        <f t="shared" si="409"/>
        <v>0</v>
      </c>
      <c r="AJ109" s="16">
        <f t="shared" si="410"/>
        <v>0</v>
      </c>
      <c r="AK109" s="16">
        <f t="shared" si="411"/>
        <v>0</v>
      </c>
      <c r="AL109" s="16">
        <f t="shared" si="412"/>
        <v>0</v>
      </c>
      <c r="AM109" s="16">
        <f t="shared" si="413"/>
        <v>0</v>
      </c>
      <c r="AN109" s="16">
        <f t="shared" si="414"/>
        <v>23409.403335580497</v>
      </c>
      <c r="AO109" s="16">
        <f t="shared" si="415"/>
        <v>76764.723514164012</v>
      </c>
      <c r="AP109" s="16">
        <f t="shared" si="416"/>
        <v>100828.0335189834</v>
      </c>
      <c r="AQ109" s="16">
        <f t="shared" si="417"/>
        <v>128130.935625</v>
      </c>
      <c r="AR109" s="16">
        <f t="shared" si="418"/>
        <v>114878.90634391615</v>
      </c>
      <c r="AS109" s="16">
        <f t="shared" si="419"/>
        <v>123002.77858797912</v>
      </c>
      <c r="AT109" s="16">
        <f t="shared" si="420"/>
        <v>123293.59858067639</v>
      </c>
      <c r="AU109" s="16">
        <f t="shared" si="421"/>
        <v>174544.65322046549</v>
      </c>
      <c r="AV109" s="16">
        <f t="shared" si="422"/>
        <v>152924.57307736407</v>
      </c>
      <c r="AW109" s="16">
        <f t="shared" si="423"/>
        <v>189397.41716726922</v>
      </c>
      <c r="DS109" s="16"/>
      <c r="DT109" s="16"/>
      <c r="DU109" s="16"/>
      <c r="DV109" s="16"/>
      <c r="DW109" s="16"/>
      <c r="DX109" s="16"/>
      <c r="DY109" s="16"/>
      <c r="DZ109" s="16">
        <f>DY108</f>
        <v>9243.6431210360988</v>
      </c>
      <c r="EA109" s="16">
        <f>DZ108</f>
        <v>14165.760214544398</v>
      </c>
      <c r="EB109" s="16">
        <f t="shared" si="439"/>
        <v>33723.055415309405</v>
      </c>
      <c r="EC109" s="16">
        <f t="shared" si="439"/>
        <v>16419.2364341838</v>
      </c>
      <c r="ED109" s="16">
        <f t="shared" si="439"/>
        <v>26622.431664670799</v>
      </c>
      <c r="EE109" s="16">
        <f t="shared" si="439"/>
        <v>46337.128518983394</v>
      </c>
      <c r="EF109" s="16">
        <f t="shared" si="439"/>
        <v>16347.271500000001</v>
      </c>
      <c r="EG109" s="16">
        <f t="shared" si="439"/>
        <v>38143.633500000004</v>
      </c>
      <c r="EH109" s="16">
        <f t="shared" si="439"/>
        <v>54490.904999999999</v>
      </c>
      <c r="EI109" s="16">
        <f t="shared" si="439"/>
        <v>14728.006125</v>
      </c>
      <c r="EJ109" s="16">
        <f t="shared" si="439"/>
        <v>58912.0245</v>
      </c>
      <c r="EK109" s="16">
        <f t="shared" si="437"/>
        <v>73640.030624999999</v>
      </c>
      <c r="EL109" s="16">
        <f t="shared" si="437"/>
        <v>12896.065734949832</v>
      </c>
      <c r="EM109" s="16">
        <f t="shared" si="437"/>
        <v>28342.809983966323</v>
      </c>
      <c r="EN109" s="16">
        <f t="shared" si="437"/>
        <v>56318.115227445407</v>
      </c>
      <c r="EO109" s="16">
        <f t="shared" si="437"/>
        <v>22518.211737722806</v>
      </c>
      <c r="EP109" s="16">
        <f t="shared" si="437"/>
        <v>44166.451622810913</v>
      </c>
      <c r="EQ109" s="16">
        <f t="shared" si="437"/>
        <v>63115.484825599837</v>
      </c>
      <c r="ER109" s="16">
        <f t="shared" si="437"/>
        <v>21622.699334094348</v>
      </c>
      <c r="ES109" s="16">
        <f t="shared" si="437"/>
        <v>38555.414420982212</v>
      </c>
      <c r="ET109" s="16">
        <f t="shared" si="437"/>
        <v>67789.589131003042</v>
      </c>
      <c r="EU109" s="16">
        <f t="shared" si="437"/>
        <v>29108.96603026686</v>
      </c>
      <c r="EV109" s="16">
        <f t="shared" si="437"/>
        <v>77646.098059195589</v>
      </c>
      <c r="EW109" s="16">
        <f t="shared" si="437"/>
        <v>89170.093891962737</v>
      </c>
      <c r="EX109" s="16">
        <f t="shared" si="437"/>
        <v>20485.265709051</v>
      </c>
      <c r="EY109" s="16">
        <f t="shared" si="438"/>
        <v>43269.213476350327</v>
      </c>
      <c r="EZ109" s="16">
        <f t="shared" si="438"/>
        <v>84532.788710481997</v>
      </c>
      <c r="FA109" s="16">
        <f t="shared" si="438"/>
        <v>36466.737313141137</v>
      </c>
      <c r="FB109" s="16">
        <f t="shared" si="438"/>
        <v>68397.891143646106</v>
      </c>
    </row>
    <row r="110" spans="3:182" x14ac:dyDescent="0.25">
      <c r="C110" t="s">
        <v>770</v>
      </c>
      <c r="D110" s="16">
        <f t="shared" si="426"/>
        <v>0</v>
      </c>
      <c r="E110" s="16">
        <f t="shared" si="426"/>
        <v>0</v>
      </c>
      <c r="F110" s="16">
        <f t="shared" si="426"/>
        <v>0</v>
      </c>
      <c r="G110" s="16">
        <f t="shared" ref="D110:L125" si="440">SUMIF($AY$2:$FB$2,G$2,$AY110:$FB110)</f>
        <v>0</v>
      </c>
      <c r="H110" s="16">
        <f t="shared" si="440"/>
        <v>0</v>
      </c>
      <c r="I110" s="16">
        <f t="shared" si="440"/>
        <v>0</v>
      </c>
      <c r="J110" s="16">
        <f t="shared" si="440"/>
        <v>73551.695185073695</v>
      </c>
      <c r="K110" s="16">
        <f t="shared" si="440"/>
        <v>449296.63411773863</v>
      </c>
      <c r="L110" s="16">
        <f t="shared" si="440"/>
        <v>615928.80252493988</v>
      </c>
      <c r="M110" s="16"/>
      <c r="N110" s="16">
        <f t="shared" si="388"/>
        <v>0</v>
      </c>
      <c r="O110" s="16">
        <f t="shared" si="389"/>
        <v>0</v>
      </c>
      <c r="P110" s="16">
        <f t="shared" si="390"/>
        <v>0</v>
      </c>
      <c r="Q110" s="16">
        <f t="shared" si="391"/>
        <v>0</v>
      </c>
      <c r="R110" s="16">
        <f t="shared" si="392"/>
        <v>0</v>
      </c>
      <c r="S110" s="16">
        <f t="shared" si="393"/>
        <v>0</v>
      </c>
      <c r="T110" s="16">
        <f t="shared" si="394"/>
        <v>0</v>
      </c>
      <c r="U110" s="16">
        <f t="shared" si="395"/>
        <v>0</v>
      </c>
      <c r="V110" s="16">
        <f t="shared" si="396"/>
        <v>0</v>
      </c>
      <c r="W110" s="16">
        <f t="shared" si="397"/>
        <v>0</v>
      </c>
      <c r="X110" s="16">
        <f t="shared" si="398"/>
        <v>0</v>
      </c>
      <c r="Y110" s="16">
        <f t="shared" si="399"/>
        <v>0</v>
      </c>
      <c r="Z110" s="16">
        <f t="shared" si="400"/>
        <v>0</v>
      </c>
      <c r="AA110" s="16">
        <f t="shared" si="401"/>
        <v>0</v>
      </c>
      <c r="AB110" s="16">
        <f t="shared" si="402"/>
        <v>0</v>
      </c>
      <c r="AC110" s="16">
        <f t="shared" si="403"/>
        <v>0</v>
      </c>
      <c r="AD110" s="16">
        <f t="shared" si="404"/>
        <v>0</v>
      </c>
      <c r="AE110" s="16">
        <f t="shared" si="405"/>
        <v>0</v>
      </c>
      <c r="AF110" s="16">
        <f t="shared" si="406"/>
        <v>0</v>
      </c>
      <c r="AG110" s="16">
        <f t="shared" si="407"/>
        <v>0</v>
      </c>
      <c r="AH110" s="16">
        <f t="shared" si="408"/>
        <v>0</v>
      </c>
      <c r="AI110" s="16">
        <f t="shared" si="409"/>
        <v>0</v>
      </c>
      <c r="AJ110" s="16">
        <f t="shared" si="410"/>
        <v>0</v>
      </c>
      <c r="AK110" s="16">
        <f t="shared" si="411"/>
        <v>0</v>
      </c>
      <c r="AL110" s="16">
        <f t="shared" si="412"/>
        <v>0</v>
      </c>
      <c r="AM110" s="16">
        <f t="shared" si="413"/>
        <v>0</v>
      </c>
      <c r="AN110" s="16">
        <f t="shared" si="414"/>
        <v>9243.6431210360988</v>
      </c>
      <c r="AO110" s="16">
        <f t="shared" si="415"/>
        <v>64308.052064037605</v>
      </c>
      <c r="AP110" s="16">
        <f t="shared" si="416"/>
        <v>89306.831683654193</v>
      </c>
      <c r="AQ110" s="16">
        <f t="shared" si="417"/>
        <v>107362.54462499999</v>
      </c>
      <c r="AR110" s="16">
        <f t="shared" si="418"/>
        <v>145448.12085994985</v>
      </c>
      <c r="AS110" s="16">
        <f t="shared" si="419"/>
        <v>107179.13694913452</v>
      </c>
      <c r="AT110" s="16">
        <f t="shared" si="420"/>
        <v>128904.63578250509</v>
      </c>
      <c r="AU110" s="16">
        <f t="shared" si="421"/>
        <v>135453.96958225212</v>
      </c>
      <c r="AV110" s="16">
        <f t="shared" si="422"/>
        <v>187301.45766020933</v>
      </c>
      <c r="AW110" s="16">
        <f t="shared" si="423"/>
        <v>164268.73949997345</v>
      </c>
      <c r="DS110" s="16"/>
      <c r="DT110" s="16"/>
      <c r="DU110" s="16"/>
      <c r="DV110" s="16"/>
      <c r="DW110" s="16"/>
      <c r="DX110" s="16"/>
      <c r="DY110" s="16"/>
      <c r="DZ110" s="16"/>
      <c r="EA110" s="16">
        <f>DZ109</f>
        <v>9243.6431210360988</v>
      </c>
      <c r="EB110" s="16">
        <f t="shared" si="439"/>
        <v>14165.760214544398</v>
      </c>
      <c r="EC110" s="16">
        <f t="shared" si="439"/>
        <v>33723.055415309405</v>
      </c>
      <c r="ED110" s="16">
        <f t="shared" si="439"/>
        <v>16419.2364341838</v>
      </c>
      <c r="EE110" s="16">
        <f t="shared" si="439"/>
        <v>26622.431664670799</v>
      </c>
      <c r="EF110" s="16">
        <f t="shared" si="439"/>
        <v>46337.128518983394</v>
      </c>
      <c r="EG110" s="16">
        <f t="shared" si="439"/>
        <v>16347.271500000001</v>
      </c>
      <c r="EH110" s="16">
        <f t="shared" si="439"/>
        <v>38143.633500000004</v>
      </c>
      <c r="EI110" s="16">
        <f t="shared" si="439"/>
        <v>54490.904999999999</v>
      </c>
      <c r="EJ110" s="16">
        <f t="shared" si="439"/>
        <v>14728.006125</v>
      </c>
      <c r="EK110" s="16">
        <f t="shared" si="437"/>
        <v>58912.0245</v>
      </c>
      <c r="EL110" s="16">
        <f t="shared" si="437"/>
        <v>73640.030624999999</v>
      </c>
      <c r="EM110" s="16">
        <f t="shared" si="437"/>
        <v>12896.065734949832</v>
      </c>
      <c r="EN110" s="16">
        <f t="shared" si="437"/>
        <v>28342.809983966323</v>
      </c>
      <c r="EO110" s="16">
        <f t="shared" si="437"/>
        <v>56318.115227445407</v>
      </c>
      <c r="EP110" s="16">
        <f t="shared" si="437"/>
        <v>22518.211737722806</v>
      </c>
      <c r="EQ110" s="16">
        <f t="shared" si="437"/>
        <v>44166.451622810913</v>
      </c>
      <c r="ER110" s="16">
        <f t="shared" si="437"/>
        <v>63115.484825599837</v>
      </c>
      <c r="ES110" s="16">
        <f t="shared" si="437"/>
        <v>21622.699334094348</v>
      </c>
      <c r="ET110" s="16">
        <f t="shared" si="437"/>
        <v>38555.414420982212</v>
      </c>
      <c r="EU110" s="16">
        <f t="shared" si="437"/>
        <v>67789.589131003042</v>
      </c>
      <c r="EV110" s="16">
        <f t="shared" si="437"/>
        <v>29108.96603026686</v>
      </c>
      <c r="EW110" s="16">
        <f t="shared" si="437"/>
        <v>77646.098059195589</v>
      </c>
      <c r="EX110" s="16">
        <f t="shared" si="437"/>
        <v>89170.093891962737</v>
      </c>
      <c r="EY110" s="16">
        <f t="shared" si="438"/>
        <v>20485.265709051</v>
      </c>
      <c r="EZ110" s="16">
        <f t="shared" si="438"/>
        <v>43269.213476350327</v>
      </c>
      <c r="FA110" s="16">
        <f t="shared" si="438"/>
        <v>84532.788710481997</v>
      </c>
      <c r="FB110" s="16">
        <f t="shared" si="438"/>
        <v>36466.737313141137</v>
      </c>
    </row>
    <row r="111" spans="3:182" x14ac:dyDescent="0.25">
      <c r="C111" t="s">
        <v>771</v>
      </c>
      <c r="D111" s="16">
        <f t="shared" si="440"/>
        <v>0</v>
      </c>
      <c r="E111" s="16">
        <f t="shared" si="440"/>
        <v>0</v>
      </c>
      <c r="F111" s="16">
        <f t="shared" si="440"/>
        <v>0</v>
      </c>
      <c r="G111" s="16">
        <f t="shared" si="440"/>
        <v>0</v>
      </c>
      <c r="H111" s="16">
        <f t="shared" si="440"/>
        <v>0</v>
      </c>
      <c r="I111" s="16">
        <f t="shared" si="440"/>
        <v>0</v>
      </c>
      <c r="J111" s="16">
        <f t="shared" si="440"/>
        <v>57132.458750889899</v>
      </c>
      <c r="K111" s="16">
        <f t="shared" si="440"/>
        <v>443197.65881419962</v>
      </c>
      <c r="L111" s="16">
        <f t="shared" si="440"/>
        <v>601980.2769495215</v>
      </c>
      <c r="M111" s="16"/>
      <c r="N111" s="16">
        <f t="shared" si="388"/>
        <v>0</v>
      </c>
      <c r="O111" s="16">
        <f t="shared" si="389"/>
        <v>0</v>
      </c>
      <c r="P111" s="16">
        <f t="shared" si="390"/>
        <v>0</v>
      </c>
      <c r="Q111" s="16">
        <f t="shared" si="391"/>
        <v>0</v>
      </c>
      <c r="R111" s="16">
        <f t="shared" si="392"/>
        <v>0</v>
      </c>
      <c r="S111" s="16">
        <f t="shared" si="393"/>
        <v>0</v>
      </c>
      <c r="T111" s="16">
        <f t="shared" si="394"/>
        <v>0</v>
      </c>
      <c r="U111" s="16">
        <f t="shared" si="395"/>
        <v>0</v>
      </c>
      <c r="V111" s="16">
        <f t="shared" si="396"/>
        <v>0</v>
      </c>
      <c r="W111" s="16">
        <f t="shared" si="397"/>
        <v>0</v>
      </c>
      <c r="X111" s="16">
        <f t="shared" si="398"/>
        <v>0</v>
      </c>
      <c r="Y111" s="16">
        <f t="shared" si="399"/>
        <v>0</v>
      </c>
      <c r="Z111" s="16">
        <f t="shared" si="400"/>
        <v>0</v>
      </c>
      <c r="AA111" s="16">
        <f t="shared" si="401"/>
        <v>0</v>
      </c>
      <c r="AB111" s="16">
        <f t="shared" si="402"/>
        <v>0</v>
      </c>
      <c r="AC111" s="16">
        <f t="shared" si="403"/>
        <v>0</v>
      </c>
      <c r="AD111" s="16">
        <f t="shared" si="404"/>
        <v>0</v>
      </c>
      <c r="AE111" s="16">
        <f t="shared" si="405"/>
        <v>0</v>
      </c>
      <c r="AF111" s="16">
        <f t="shared" si="406"/>
        <v>0</v>
      </c>
      <c r="AG111" s="16">
        <f t="shared" si="407"/>
        <v>0</v>
      </c>
      <c r="AH111" s="16">
        <f t="shared" si="408"/>
        <v>0</v>
      </c>
      <c r="AI111" s="16">
        <f t="shared" si="409"/>
        <v>0</v>
      </c>
      <c r="AJ111" s="16">
        <f t="shared" si="410"/>
        <v>0</v>
      </c>
      <c r="AK111" s="16">
        <f t="shared" si="411"/>
        <v>0</v>
      </c>
      <c r="AL111" s="16">
        <f t="shared" si="412"/>
        <v>0</v>
      </c>
      <c r="AM111" s="16">
        <f t="shared" si="413"/>
        <v>0</v>
      </c>
      <c r="AN111" s="16">
        <f t="shared" si="414"/>
        <v>0</v>
      </c>
      <c r="AO111" s="16">
        <f t="shared" si="415"/>
        <v>57132.458750889899</v>
      </c>
      <c r="AP111" s="16">
        <f t="shared" si="416"/>
        <v>89378.796617838001</v>
      </c>
      <c r="AQ111" s="16">
        <f t="shared" si="417"/>
        <v>108981.81</v>
      </c>
      <c r="AR111" s="16">
        <f t="shared" si="418"/>
        <v>147280.06125</v>
      </c>
      <c r="AS111" s="16">
        <f t="shared" si="419"/>
        <v>97556.990946361562</v>
      </c>
      <c r="AT111" s="16">
        <f t="shared" si="420"/>
        <v>129800.14818613355</v>
      </c>
      <c r="AU111" s="16">
        <f t="shared" si="421"/>
        <v>127967.7028860796</v>
      </c>
      <c r="AV111" s="16">
        <f t="shared" si="422"/>
        <v>195925.15798142517</v>
      </c>
      <c r="AW111" s="16">
        <f t="shared" si="423"/>
        <v>148287.26789588333</v>
      </c>
      <c r="DS111" s="16"/>
      <c r="DT111" s="16"/>
      <c r="DU111" s="16"/>
      <c r="DV111" s="16"/>
      <c r="DW111" s="16"/>
      <c r="DX111" s="16"/>
      <c r="DY111" s="16"/>
      <c r="DZ111" s="16"/>
      <c r="EA111" s="16"/>
      <c r="EB111" s="16">
        <f>EA110</f>
        <v>9243.6431210360988</v>
      </c>
      <c r="EC111" s="16">
        <f t="shared" si="439"/>
        <v>14165.760214544398</v>
      </c>
      <c r="ED111" s="16">
        <f t="shared" si="439"/>
        <v>33723.055415309405</v>
      </c>
      <c r="EE111" s="16">
        <f t="shared" si="439"/>
        <v>16419.2364341838</v>
      </c>
      <c r="EF111" s="16">
        <f t="shared" si="439"/>
        <v>26622.431664670799</v>
      </c>
      <c r="EG111" s="16">
        <f t="shared" si="439"/>
        <v>46337.128518983394</v>
      </c>
      <c r="EH111" s="16">
        <f t="shared" si="439"/>
        <v>16347.271500000001</v>
      </c>
      <c r="EI111" s="16">
        <f t="shared" si="439"/>
        <v>38143.633500000004</v>
      </c>
      <c r="EJ111" s="16">
        <f t="shared" si="439"/>
        <v>54490.904999999999</v>
      </c>
      <c r="EK111" s="16">
        <f t="shared" si="437"/>
        <v>14728.006125</v>
      </c>
      <c r="EL111" s="16">
        <f t="shared" si="437"/>
        <v>58912.0245</v>
      </c>
      <c r="EM111" s="16">
        <f t="shared" si="437"/>
        <v>73640.030624999999</v>
      </c>
      <c r="EN111" s="16">
        <f t="shared" si="437"/>
        <v>12896.065734949832</v>
      </c>
      <c r="EO111" s="16">
        <f t="shared" si="437"/>
        <v>28342.809983966323</v>
      </c>
      <c r="EP111" s="16">
        <f t="shared" si="437"/>
        <v>56318.115227445407</v>
      </c>
      <c r="EQ111" s="16">
        <f t="shared" si="437"/>
        <v>22518.211737722806</v>
      </c>
      <c r="ER111" s="16">
        <f t="shared" si="437"/>
        <v>44166.451622810913</v>
      </c>
      <c r="ES111" s="16">
        <f t="shared" si="437"/>
        <v>63115.484825599837</v>
      </c>
      <c r="ET111" s="16">
        <f t="shared" si="437"/>
        <v>21622.699334094348</v>
      </c>
      <c r="EU111" s="16">
        <f t="shared" si="437"/>
        <v>38555.414420982212</v>
      </c>
      <c r="EV111" s="16">
        <f t="shared" si="437"/>
        <v>67789.589131003042</v>
      </c>
      <c r="EW111" s="16">
        <f t="shared" si="437"/>
        <v>29108.96603026686</v>
      </c>
      <c r="EX111" s="16">
        <f t="shared" si="437"/>
        <v>77646.098059195589</v>
      </c>
      <c r="EY111" s="16">
        <f t="shared" si="438"/>
        <v>89170.093891962737</v>
      </c>
      <c r="EZ111" s="16">
        <f t="shared" si="438"/>
        <v>20485.265709051</v>
      </c>
      <c r="FA111" s="16">
        <f t="shared" si="438"/>
        <v>43269.213476350327</v>
      </c>
      <c r="FB111" s="16">
        <f t="shared" si="438"/>
        <v>84532.788710481997</v>
      </c>
    </row>
    <row r="112" spans="3:182" x14ac:dyDescent="0.25">
      <c r="C112" t="s">
        <v>772</v>
      </c>
      <c r="D112" s="16">
        <f t="shared" si="440"/>
        <v>0</v>
      </c>
      <c r="E112" s="16">
        <f t="shared" si="440"/>
        <v>0</v>
      </c>
      <c r="F112" s="16">
        <f t="shared" si="440"/>
        <v>0</v>
      </c>
      <c r="G112" s="16">
        <f t="shared" si="440"/>
        <v>0</v>
      </c>
      <c r="H112" s="16">
        <f t="shared" si="440"/>
        <v>0</v>
      </c>
      <c r="I112" s="16">
        <f t="shared" si="440"/>
        <v>0</v>
      </c>
      <c r="J112" s="16">
        <f t="shared" si="440"/>
        <v>23409.403335580497</v>
      </c>
      <c r="K112" s="16">
        <f t="shared" si="440"/>
        <v>420602.59900206362</v>
      </c>
      <c r="L112" s="16">
        <f t="shared" si="440"/>
        <v>573765.60346648504</v>
      </c>
      <c r="M112" s="16"/>
      <c r="N112" s="16">
        <f t="shared" si="388"/>
        <v>0</v>
      </c>
      <c r="O112" s="16">
        <f t="shared" si="389"/>
        <v>0</v>
      </c>
      <c r="P112" s="16">
        <f t="shared" si="390"/>
        <v>0</v>
      </c>
      <c r="Q112" s="16">
        <f t="shared" si="391"/>
        <v>0</v>
      </c>
      <c r="R112" s="16">
        <f t="shared" si="392"/>
        <v>0</v>
      </c>
      <c r="S112" s="16">
        <f t="shared" si="393"/>
        <v>0</v>
      </c>
      <c r="T112" s="16">
        <f t="shared" si="394"/>
        <v>0</v>
      </c>
      <c r="U112" s="16">
        <f t="shared" si="395"/>
        <v>0</v>
      </c>
      <c r="V112" s="16">
        <f t="shared" si="396"/>
        <v>0</v>
      </c>
      <c r="W112" s="16">
        <f t="shared" si="397"/>
        <v>0</v>
      </c>
      <c r="X112" s="16">
        <f t="shared" si="398"/>
        <v>0</v>
      </c>
      <c r="Y112" s="16">
        <f t="shared" si="399"/>
        <v>0</v>
      </c>
      <c r="Z112" s="16">
        <f t="shared" si="400"/>
        <v>0</v>
      </c>
      <c r="AA112" s="16">
        <f t="shared" si="401"/>
        <v>0</v>
      </c>
      <c r="AB112" s="16">
        <f t="shared" si="402"/>
        <v>0</v>
      </c>
      <c r="AC112" s="16">
        <f t="shared" si="403"/>
        <v>0</v>
      </c>
      <c r="AD112" s="16">
        <f t="shared" si="404"/>
        <v>0</v>
      </c>
      <c r="AE112" s="16">
        <f t="shared" si="405"/>
        <v>0</v>
      </c>
      <c r="AF112" s="16">
        <f t="shared" si="406"/>
        <v>0</v>
      </c>
      <c r="AG112" s="16">
        <f t="shared" si="407"/>
        <v>0</v>
      </c>
      <c r="AH112" s="16">
        <f t="shared" si="408"/>
        <v>0</v>
      </c>
      <c r="AI112" s="16">
        <f t="shared" si="409"/>
        <v>0</v>
      </c>
      <c r="AJ112" s="16">
        <f t="shared" si="410"/>
        <v>0</v>
      </c>
      <c r="AK112" s="16">
        <f t="shared" si="411"/>
        <v>0</v>
      </c>
      <c r="AL112" s="16">
        <f t="shared" si="412"/>
        <v>0</v>
      </c>
      <c r="AM112" s="16">
        <f t="shared" si="413"/>
        <v>0</v>
      </c>
      <c r="AN112" s="16">
        <f t="shared" si="414"/>
        <v>0</v>
      </c>
      <c r="AO112" s="16">
        <f t="shared" si="415"/>
        <v>23409.403335580497</v>
      </c>
      <c r="AP112" s="16">
        <f t="shared" si="416"/>
        <v>76764.723514164012</v>
      </c>
      <c r="AQ112" s="16">
        <f t="shared" si="417"/>
        <v>100828.0335189834</v>
      </c>
      <c r="AR112" s="16">
        <f t="shared" si="418"/>
        <v>128130.935625</v>
      </c>
      <c r="AS112" s="16">
        <f t="shared" si="419"/>
        <v>114878.90634391615</v>
      </c>
      <c r="AT112" s="16">
        <f t="shared" si="420"/>
        <v>123002.77858797912</v>
      </c>
      <c r="AU112" s="16">
        <f t="shared" si="421"/>
        <v>123293.59858067639</v>
      </c>
      <c r="AV112" s="16">
        <f t="shared" si="422"/>
        <v>174544.65322046549</v>
      </c>
      <c r="AW112" s="16">
        <f t="shared" si="423"/>
        <v>152924.57307736407</v>
      </c>
      <c r="DS112" s="16"/>
      <c r="DT112" s="16"/>
      <c r="DU112" s="16"/>
      <c r="DV112" s="16"/>
      <c r="DW112" s="16"/>
      <c r="DX112" s="16"/>
      <c r="DY112" s="16"/>
      <c r="DZ112" s="16"/>
      <c r="EA112" s="16"/>
      <c r="EB112" s="16"/>
      <c r="EC112" s="16">
        <f>EB111</f>
        <v>9243.6431210360988</v>
      </c>
      <c r="ED112" s="16">
        <f t="shared" si="439"/>
        <v>14165.760214544398</v>
      </c>
      <c r="EE112" s="16">
        <f t="shared" si="439"/>
        <v>33723.055415309405</v>
      </c>
      <c r="EF112" s="16">
        <f t="shared" si="439"/>
        <v>16419.2364341838</v>
      </c>
      <c r="EG112" s="16">
        <f t="shared" si="439"/>
        <v>26622.431664670799</v>
      </c>
      <c r="EH112" s="16">
        <f t="shared" si="439"/>
        <v>46337.128518983394</v>
      </c>
      <c r="EI112" s="16">
        <f t="shared" si="439"/>
        <v>16347.271500000001</v>
      </c>
      <c r="EJ112" s="16">
        <f t="shared" si="439"/>
        <v>38143.633500000004</v>
      </c>
      <c r="EK112" s="16">
        <f t="shared" si="437"/>
        <v>54490.904999999999</v>
      </c>
      <c r="EL112" s="16">
        <f t="shared" si="437"/>
        <v>14728.006125</v>
      </c>
      <c r="EM112" s="16">
        <f t="shared" si="437"/>
        <v>58912.0245</v>
      </c>
      <c r="EN112" s="16">
        <f t="shared" si="437"/>
        <v>73640.030624999999</v>
      </c>
      <c r="EO112" s="16">
        <f t="shared" si="437"/>
        <v>12896.065734949832</v>
      </c>
      <c r="EP112" s="16">
        <f t="shared" si="437"/>
        <v>28342.809983966323</v>
      </c>
      <c r="EQ112" s="16">
        <f t="shared" si="437"/>
        <v>56318.115227445407</v>
      </c>
      <c r="ER112" s="16">
        <f t="shared" si="437"/>
        <v>22518.211737722806</v>
      </c>
      <c r="ES112" s="16">
        <f t="shared" si="437"/>
        <v>44166.451622810913</v>
      </c>
      <c r="ET112" s="16">
        <f t="shared" si="437"/>
        <v>63115.484825599837</v>
      </c>
      <c r="EU112" s="16">
        <f t="shared" si="437"/>
        <v>21622.699334094348</v>
      </c>
      <c r="EV112" s="16">
        <f t="shared" si="437"/>
        <v>38555.414420982212</v>
      </c>
      <c r="EW112" s="16">
        <f t="shared" si="437"/>
        <v>67789.589131003042</v>
      </c>
      <c r="EX112" s="16">
        <f t="shared" si="437"/>
        <v>29108.96603026686</v>
      </c>
      <c r="EY112" s="16">
        <f t="shared" si="438"/>
        <v>77646.098059195589</v>
      </c>
      <c r="EZ112" s="16">
        <f t="shared" si="438"/>
        <v>89170.093891962737</v>
      </c>
      <c r="FA112" s="16">
        <f t="shared" si="438"/>
        <v>20485.265709051</v>
      </c>
      <c r="FB112" s="16">
        <f t="shared" si="438"/>
        <v>43269.213476350327</v>
      </c>
    </row>
    <row r="113" spans="3:158" x14ac:dyDescent="0.25">
      <c r="C113" t="s">
        <v>773</v>
      </c>
      <c r="D113" s="16">
        <f t="shared" si="440"/>
        <v>0</v>
      </c>
      <c r="E113" s="16">
        <f t="shared" si="440"/>
        <v>0</v>
      </c>
      <c r="F113" s="16">
        <f t="shared" si="440"/>
        <v>0</v>
      </c>
      <c r="G113" s="16">
        <f t="shared" si="440"/>
        <v>0</v>
      </c>
      <c r="H113" s="16">
        <f t="shared" si="440"/>
        <v>0</v>
      </c>
      <c r="I113" s="16">
        <f t="shared" si="440"/>
        <v>0</v>
      </c>
      <c r="J113" s="16">
        <f t="shared" si="440"/>
        <v>9243.6431210360988</v>
      </c>
      <c r="K113" s="16">
        <f t="shared" si="440"/>
        <v>406425.54923264164</v>
      </c>
      <c r="L113" s="16">
        <f t="shared" si="440"/>
        <v>558839.19997410104</v>
      </c>
      <c r="M113" s="16"/>
      <c r="N113" s="16">
        <f t="shared" si="388"/>
        <v>0</v>
      </c>
      <c r="O113" s="16">
        <f t="shared" si="389"/>
        <v>0</v>
      </c>
      <c r="P113" s="16">
        <f t="shared" si="390"/>
        <v>0</v>
      </c>
      <c r="Q113" s="16">
        <f t="shared" si="391"/>
        <v>0</v>
      </c>
      <c r="R113" s="16">
        <f t="shared" si="392"/>
        <v>0</v>
      </c>
      <c r="S113" s="16">
        <f t="shared" si="393"/>
        <v>0</v>
      </c>
      <c r="T113" s="16">
        <f t="shared" si="394"/>
        <v>0</v>
      </c>
      <c r="U113" s="16">
        <f t="shared" si="395"/>
        <v>0</v>
      </c>
      <c r="V113" s="16">
        <f t="shared" si="396"/>
        <v>0</v>
      </c>
      <c r="W113" s="16">
        <f t="shared" si="397"/>
        <v>0</v>
      </c>
      <c r="X113" s="16">
        <f t="shared" si="398"/>
        <v>0</v>
      </c>
      <c r="Y113" s="16">
        <f t="shared" si="399"/>
        <v>0</v>
      </c>
      <c r="Z113" s="16">
        <f t="shared" si="400"/>
        <v>0</v>
      </c>
      <c r="AA113" s="16">
        <f t="shared" si="401"/>
        <v>0</v>
      </c>
      <c r="AB113" s="16">
        <f t="shared" si="402"/>
        <v>0</v>
      </c>
      <c r="AC113" s="16">
        <f t="shared" si="403"/>
        <v>0</v>
      </c>
      <c r="AD113" s="16">
        <f t="shared" si="404"/>
        <v>0</v>
      </c>
      <c r="AE113" s="16">
        <f t="shared" si="405"/>
        <v>0</v>
      </c>
      <c r="AF113" s="16">
        <f t="shared" si="406"/>
        <v>0</v>
      </c>
      <c r="AG113" s="16">
        <f t="shared" si="407"/>
        <v>0</v>
      </c>
      <c r="AH113" s="16">
        <f t="shared" si="408"/>
        <v>0</v>
      </c>
      <c r="AI113" s="16">
        <f t="shared" si="409"/>
        <v>0</v>
      </c>
      <c r="AJ113" s="16">
        <f t="shared" si="410"/>
        <v>0</v>
      </c>
      <c r="AK113" s="16">
        <f t="shared" si="411"/>
        <v>0</v>
      </c>
      <c r="AL113" s="16">
        <f t="shared" si="412"/>
        <v>0</v>
      </c>
      <c r="AM113" s="16">
        <f t="shared" si="413"/>
        <v>0</v>
      </c>
      <c r="AN113" s="16">
        <f t="shared" si="414"/>
        <v>0</v>
      </c>
      <c r="AO113" s="16">
        <f t="shared" si="415"/>
        <v>9243.6431210360988</v>
      </c>
      <c r="AP113" s="16">
        <f t="shared" si="416"/>
        <v>64308.052064037605</v>
      </c>
      <c r="AQ113" s="16">
        <f t="shared" si="417"/>
        <v>89306.831683654193</v>
      </c>
      <c r="AR113" s="16">
        <f t="shared" si="418"/>
        <v>107362.54462499999</v>
      </c>
      <c r="AS113" s="16">
        <f t="shared" si="419"/>
        <v>145448.12085994985</v>
      </c>
      <c r="AT113" s="16">
        <f t="shared" si="420"/>
        <v>107179.13694913452</v>
      </c>
      <c r="AU113" s="16">
        <f t="shared" si="421"/>
        <v>128904.63578250509</v>
      </c>
      <c r="AV113" s="16">
        <f t="shared" si="422"/>
        <v>135453.96958225212</v>
      </c>
      <c r="AW113" s="16">
        <f t="shared" si="423"/>
        <v>187301.45766020933</v>
      </c>
      <c r="DS113" s="16"/>
      <c r="DT113" s="16"/>
      <c r="DU113" s="16"/>
      <c r="DV113" s="16"/>
      <c r="DW113" s="16"/>
      <c r="DX113" s="16"/>
      <c r="DY113" s="16"/>
      <c r="DZ113" s="16"/>
      <c r="EA113" s="16"/>
      <c r="EB113" s="16"/>
      <c r="EC113" s="16"/>
      <c r="ED113" s="16">
        <f>EC112</f>
        <v>9243.6431210360988</v>
      </c>
      <c r="EE113" s="16">
        <f>ED112</f>
        <v>14165.760214544398</v>
      </c>
      <c r="EF113" s="16">
        <f t="shared" si="439"/>
        <v>33723.055415309405</v>
      </c>
      <c r="EG113" s="16">
        <f t="shared" si="439"/>
        <v>16419.2364341838</v>
      </c>
      <c r="EH113" s="16">
        <f t="shared" si="439"/>
        <v>26622.431664670799</v>
      </c>
      <c r="EI113" s="16">
        <f t="shared" si="439"/>
        <v>46337.128518983394</v>
      </c>
      <c r="EJ113" s="16">
        <f t="shared" si="439"/>
        <v>16347.271500000001</v>
      </c>
      <c r="EK113" s="16">
        <f t="shared" si="437"/>
        <v>38143.633500000004</v>
      </c>
      <c r="EL113" s="16">
        <f t="shared" si="437"/>
        <v>54490.904999999999</v>
      </c>
      <c r="EM113" s="16">
        <f t="shared" si="437"/>
        <v>14728.006125</v>
      </c>
      <c r="EN113" s="16">
        <f t="shared" si="437"/>
        <v>58912.0245</v>
      </c>
      <c r="EO113" s="16">
        <f t="shared" si="437"/>
        <v>73640.030624999999</v>
      </c>
      <c r="EP113" s="16">
        <f t="shared" si="437"/>
        <v>12896.065734949832</v>
      </c>
      <c r="EQ113" s="16">
        <f t="shared" si="437"/>
        <v>28342.809983966323</v>
      </c>
      <c r="ER113" s="16">
        <f t="shared" si="437"/>
        <v>56318.115227445407</v>
      </c>
      <c r="ES113" s="16">
        <f t="shared" si="437"/>
        <v>22518.211737722806</v>
      </c>
      <c r="ET113" s="16">
        <f t="shared" si="437"/>
        <v>44166.451622810913</v>
      </c>
      <c r="EU113" s="16">
        <f t="shared" si="437"/>
        <v>63115.484825599837</v>
      </c>
      <c r="EV113" s="16">
        <f t="shared" si="437"/>
        <v>21622.699334094348</v>
      </c>
      <c r="EW113" s="16">
        <f t="shared" si="437"/>
        <v>38555.414420982212</v>
      </c>
      <c r="EX113" s="16">
        <f t="shared" si="437"/>
        <v>67789.589131003042</v>
      </c>
      <c r="EY113" s="16">
        <f t="shared" si="438"/>
        <v>29108.96603026686</v>
      </c>
      <c r="EZ113" s="16">
        <f t="shared" si="438"/>
        <v>77646.098059195589</v>
      </c>
      <c r="FA113" s="16">
        <f t="shared" si="438"/>
        <v>89170.093891962737</v>
      </c>
      <c r="FB113" s="16">
        <f t="shared" si="438"/>
        <v>20485.265709051</v>
      </c>
    </row>
    <row r="114" spans="3:158" x14ac:dyDescent="0.25">
      <c r="C114" t="s">
        <v>774</v>
      </c>
      <c r="D114" s="16">
        <f t="shared" si="440"/>
        <v>0</v>
      </c>
      <c r="E114" s="16">
        <f t="shared" si="440"/>
        <v>0</v>
      </c>
      <c r="F114" s="16">
        <f t="shared" si="440"/>
        <v>0</v>
      </c>
      <c r="G114" s="16">
        <f t="shared" si="440"/>
        <v>0</v>
      </c>
      <c r="H114" s="16">
        <f t="shared" si="440"/>
        <v>0</v>
      </c>
      <c r="I114" s="16">
        <f t="shared" si="440"/>
        <v>0</v>
      </c>
      <c r="J114" s="16">
        <f t="shared" si="440"/>
        <v>0</v>
      </c>
      <c r="K114" s="16">
        <f t="shared" si="440"/>
        <v>402773.12661872793</v>
      </c>
      <c r="L114" s="16">
        <f t="shared" si="440"/>
        <v>551249.99999999988</v>
      </c>
      <c r="M114" s="16"/>
      <c r="N114" s="16">
        <f t="shared" si="388"/>
        <v>0</v>
      </c>
      <c r="O114" s="16">
        <f t="shared" si="389"/>
        <v>0</v>
      </c>
      <c r="P114" s="16">
        <f t="shared" si="390"/>
        <v>0</v>
      </c>
      <c r="Q114" s="16">
        <f t="shared" si="391"/>
        <v>0</v>
      </c>
      <c r="R114" s="16">
        <f t="shared" si="392"/>
        <v>0</v>
      </c>
      <c r="S114" s="16">
        <f t="shared" si="393"/>
        <v>0</v>
      </c>
      <c r="T114" s="16">
        <f t="shared" si="394"/>
        <v>0</v>
      </c>
      <c r="U114" s="16">
        <f t="shared" si="395"/>
        <v>0</v>
      </c>
      <c r="V114" s="16">
        <f t="shared" si="396"/>
        <v>0</v>
      </c>
      <c r="W114" s="16">
        <f t="shared" si="397"/>
        <v>0</v>
      </c>
      <c r="X114" s="16">
        <f t="shared" si="398"/>
        <v>0</v>
      </c>
      <c r="Y114" s="16">
        <f t="shared" si="399"/>
        <v>0</v>
      </c>
      <c r="Z114" s="16">
        <f t="shared" si="400"/>
        <v>0</v>
      </c>
      <c r="AA114" s="16">
        <f t="shared" si="401"/>
        <v>0</v>
      </c>
      <c r="AB114" s="16">
        <f t="shared" si="402"/>
        <v>0</v>
      </c>
      <c r="AC114" s="16">
        <f t="shared" si="403"/>
        <v>0</v>
      </c>
      <c r="AD114" s="16">
        <f t="shared" si="404"/>
        <v>0</v>
      </c>
      <c r="AE114" s="16">
        <f t="shared" si="405"/>
        <v>0</v>
      </c>
      <c r="AF114" s="16">
        <f t="shared" si="406"/>
        <v>0</v>
      </c>
      <c r="AG114" s="16">
        <f t="shared" si="407"/>
        <v>0</v>
      </c>
      <c r="AH114" s="16">
        <f t="shared" si="408"/>
        <v>0</v>
      </c>
      <c r="AI114" s="16">
        <f t="shared" si="409"/>
        <v>0</v>
      </c>
      <c r="AJ114" s="16">
        <f t="shared" si="410"/>
        <v>0</v>
      </c>
      <c r="AK114" s="16">
        <f t="shared" si="411"/>
        <v>0</v>
      </c>
      <c r="AL114" s="16">
        <f t="shared" si="412"/>
        <v>0</v>
      </c>
      <c r="AM114" s="16">
        <f t="shared" si="413"/>
        <v>0</v>
      </c>
      <c r="AN114" s="16">
        <f t="shared" si="414"/>
        <v>0</v>
      </c>
      <c r="AO114" s="16">
        <f t="shared" si="415"/>
        <v>0</v>
      </c>
      <c r="AP114" s="16">
        <f t="shared" si="416"/>
        <v>57132.458750889899</v>
      </c>
      <c r="AQ114" s="16">
        <f t="shared" si="417"/>
        <v>89378.796617838001</v>
      </c>
      <c r="AR114" s="16">
        <f t="shared" si="418"/>
        <v>108981.81</v>
      </c>
      <c r="AS114" s="16">
        <f t="shared" si="419"/>
        <v>147280.06125</v>
      </c>
      <c r="AT114" s="16">
        <f t="shared" si="420"/>
        <v>97556.990946361562</v>
      </c>
      <c r="AU114" s="16">
        <f t="shared" si="421"/>
        <v>129800.14818613355</v>
      </c>
      <c r="AV114" s="16">
        <f t="shared" si="422"/>
        <v>127967.7028860796</v>
      </c>
      <c r="AW114" s="16">
        <f t="shared" si="423"/>
        <v>195925.15798142517</v>
      </c>
      <c r="DS114" s="16"/>
      <c r="DT114" s="16"/>
      <c r="DU114" s="16"/>
      <c r="DV114" s="16"/>
      <c r="DW114" s="16"/>
      <c r="DX114" s="16"/>
      <c r="DY114" s="16"/>
      <c r="DZ114" s="16"/>
      <c r="EA114" s="16"/>
      <c r="EB114" s="16"/>
      <c r="EC114" s="16"/>
      <c r="ED114" s="16"/>
      <c r="EE114" s="16">
        <f>ED113</f>
        <v>9243.6431210360988</v>
      </c>
      <c r="EF114" s="16">
        <f t="shared" si="439"/>
        <v>14165.760214544398</v>
      </c>
      <c r="EG114" s="16">
        <f t="shared" si="439"/>
        <v>33723.055415309405</v>
      </c>
      <c r="EH114" s="16">
        <f t="shared" si="439"/>
        <v>16419.2364341838</v>
      </c>
      <c r="EI114" s="16">
        <f t="shared" si="439"/>
        <v>26622.431664670799</v>
      </c>
      <c r="EJ114" s="16">
        <f t="shared" si="439"/>
        <v>46337.128518983394</v>
      </c>
      <c r="EK114" s="16">
        <f t="shared" si="437"/>
        <v>16347.271500000001</v>
      </c>
      <c r="EL114" s="16">
        <f t="shared" si="437"/>
        <v>38143.633500000004</v>
      </c>
      <c r="EM114" s="16">
        <f t="shared" si="437"/>
        <v>54490.904999999999</v>
      </c>
      <c r="EN114" s="16">
        <f t="shared" si="437"/>
        <v>14728.006125</v>
      </c>
      <c r="EO114" s="16">
        <f t="shared" si="437"/>
        <v>58912.0245</v>
      </c>
      <c r="EP114" s="16">
        <f t="shared" si="437"/>
        <v>73640.030624999999</v>
      </c>
      <c r="EQ114" s="16">
        <f t="shared" si="437"/>
        <v>12896.065734949832</v>
      </c>
      <c r="ER114" s="16">
        <f t="shared" si="437"/>
        <v>28342.809983966323</v>
      </c>
      <c r="ES114" s="16">
        <f t="shared" si="437"/>
        <v>56318.115227445407</v>
      </c>
      <c r="ET114" s="16">
        <f t="shared" si="437"/>
        <v>22518.211737722806</v>
      </c>
      <c r="EU114" s="16">
        <f t="shared" si="437"/>
        <v>44166.451622810913</v>
      </c>
      <c r="EV114" s="16">
        <f t="shared" si="437"/>
        <v>63115.484825599837</v>
      </c>
      <c r="EW114" s="16">
        <f t="shared" si="437"/>
        <v>21622.699334094348</v>
      </c>
      <c r="EX114" s="16">
        <f t="shared" si="437"/>
        <v>38555.414420982212</v>
      </c>
      <c r="EY114" s="16">
        <f t="shared" si="438"/>
        <v>67789.589131003042</v>
      </c>
      <c r="EZ114" s="16">
        <f t="shared" si="438"/>
        <v>29108.96603026686</v>
      </c>
      <c r="FA114" s="16">
        <f t="shared" si="438"/>
        <v>77646.098059195589</v>
      </c>
      <c r="FB114" s="16">
        <f t="shared" si="438"/>
        <v>89170.093891962737</v>
      </c>
    </row>
    <row r="115" spans="3:158" x14ac:dyDescent="0.25">
      <c r="C115" t="s">
        <v>775</v>
      </c>
      <c r="D115" s="16">
        <f t="shared" si="440"/>
        <v>0</v>
      </c>
      <c r="E115" s="16">
        <f t="shared" si="440"/>
        <v>0</v>
      </c>
      <c r="F115" s="16">
        <f t="shared" si="440"/>
        <v>0</v>
      </c>
      <c r="G115" s="16">
        <f t="shared" si="440"/>
        <v>0</v>
      </c>
      <c r="H115" s="16">
        <f t="shared" si="440"/>
        <v>0</v>
      </c>
      <c r="I115" s="16">
        <f t="shared" si="440"/>
        <v>0</v>
      </c>
      <c r="J115" s="16">
        <f t="shared" si="440"/>
        <v>0</v>
      </c>
      <c r="K115" s="16">
        <f t="shared" si="440"/>
        <v>329133.09599372791</v>
      </c>
      <c r="L115" s="16">
        <f t="shared" si="440"/>
        <v>535719.93673303712</v>
      </c>
      <c r="M115" s="16"/>
      <c r="N115" s="16">
        <f t="shared" si="388"/>
        <v>0</v>
      </c>
      <c r="O115" s="16">
        <f t="shared" si="389"/>
        <v>0</v>
      </c>
      <c r="P115" s="16">
        <f t="shared" si="390"/>
        <v>0</v>
      </c>
      <c r="Q115" s="16">
        <f t="shared" si="391"/>
        <v>0</v>
      </c>
      <c r="R115" s="16">
        <f t="shared" si="392"/>
        <v>0</v>
      </c>
      <c r="S115" s="16">
        <f t="shared" si="393"/>
        <v>0</v>
      </c>
      <c r="T115" s="16">
        <f t="shared" si="394"/>
        <v>0</v>
      </c>
      <c r="U115" s="16">
        <f t="shared" si="395"/>
        <v>0</v>
      </c>
      <c r="V115" s="16">
        <f t="shared" si="396"/>
        <v>0</v>
      </c>
      <c r="W115" s="16">
        <f t="shared" si="397"/>
        <v>0</v>
      </c>
      <c r="X115" s="16">
        <f t="shared" si="398"/>
        <v>0</v>
      </c>
      <c r="Y115" s="16">
        <f t="shared" si="399"/>
        <v>0</v>
      </c>
      <c r="Z115" s="16">
        <f t="shared" si="400"/>
        <v>0</v>
      </c>
      <c r="AA115" s="16">
        <f t="shared" si="401"/>
        <v>0</v>
      </c>
      <c r="AB115" s="16">
        <f t="shared" si="402"/>
        <v>0</v>
      </c>
      <c r="AC115" s="16">
        <f t="shared" si="403"/>
        <v>0</v>
      </c>
      <c r="AD115" s="16">
        <f t="shared" si="404"/>
        <v>0</v>
      </c>
      <c r="AE115" s="16">
        <f t="shared" si="405"/>
        <v>0</v>
      </c>
      <c r="AF115" s="16">
        <f t="shared" si="406"/>
        <v>0</v>
      </c>
      <c r="AG115" s="16">
        <f t="shared" si="407"/>
        <v>0</v>
      </c>
      <c r="AH115" s="16">
        <f t="shared" si="408"/>
        <v>0</v>
      </c>
      <c r="AI115" s="16">
        <f t="shared" si="409"/>
        <v>0</v>
      </c>
      <c r="AJ115" s="16">
        <f t="shared" si="410"/>
        <v>0</v>
      </c>
      <c r="AK115" s="16">
        <f t="shared" si="411"/>
        <v>0</v>
      </c>
      <c r="AL115" s="16">
        <f t="shared" si="412"/>
        <v>0</v>
      </c>
      <c r="AM115" s="16">
        <f t="shared" si="413"/>
        <v>0</v>
      </c>
      <c r="AN115" s="16">
        <f t="shared" si="414"/>
        <v>0</v>
      </c>
      <c r="AO115" s="16">
        <f t="shared" si="415"/>
        <v>0</v>
      </c>
      <c r="AP115" s="16">
        <f t="shared" si="416"/>
        <v>23409.403335580497</v>
      </c>
      <c r="AQ115" s="16">
        <f t="shared" si="417"/>
        <v>76764.723514164012</v>
      </c>
      <c r="AR115" s="16">
        <f t="shared" si="418"/>
        <v>100828.0335189834</v>
      </c>
      <c r="AS115" s="16">
        <f t="shared" si="419"/>
        <v>128130.935625</v>
      </c>
      <c r="AT115" s="16">
        <f t="shared" si="420"/>
        <v>114878.90634391615</v>
      </c>
      <c r="AU115" s="16">
        <f t="shared" si="421"/>
        <v>123002.77858797912</v>
      </c>
      <c r="AV115" s="16">
        <f t="shared" si="422"/>
        <v>123293.59858067639</v>
      </c>
      <c r="AW115" s="16">
        <f t="shared" si="423"/>
        <v>174544.65322046549</v>
      </c>
      <c r="DS115" s="16"/>
      <c r="DT115" s="16"/>
      <c r="DU115" s="16"/>
      <c r="DV115" s="16"/>
      <c r="DW115" s="16"/>
      <c r="DX115" s="16"/>
      <c r="DY115" s="16"/>
      <c r="DZ115" s="16"/>
      <c r="EA115" s="16"/>
      <c r="EB115" s="16"/>
      <c r="EC115" s="16"/>
      <c r="ED115" s="16"/>
      <c r="EE115" s="16"/>
      <c r="EF115" s="16">
        <f t="shared" si="439"/>
        <v>9243.6431210360988</v>
      </c>
      <c r="EG115" s="16">
        <f t="shared" si="439"/>
        <v>14165.760214544398</v>
      </c>
      <c r="EH115" s="16">
        <f t="shared" si="439"/>
        <v>33723.055415309405</v>
      </c>
      <c r="EI115" s="16">
        <f t="shared" si="439"/>
        <v>16419.2364341838</v>
      </c>
      <c r="EJ115" s="16">
        <f t="shared" si="439"/>
        <v>26622.431664670799</v>
      </c>
      <c r="EK115" s="16">
        <f t="shared" si="437"/>
        <v>46337.128518983394</v>
      </c>
      <c r="EL115" s="16">
        <f t="shared" si="437"/>
        <v>16347.271500000001</v>
      </c>
      <c r="EM115" s="16">
        <f t="shared" si="437"/>
        <v>38143.633500000004</v>
      </c>
      <c r="EN115" s="16">
        <f t="shared" si="437"/>
        <v>54490.904999999999</v>
      </c>
      <c r="EO115" s="16">
        <f t="shared" si="437"/>
        <v>14728.006125</v>
      </c>
      <c r="EP115" s="16">
        <f t="shared" si="437"/>
        <v>58912.0245</v>
      </c>
      <c r="EQ115" s="16">
        <f t="shared" si="437"/>
        <v>73640.030624999999</v>
      </c>
      <c r="ER115" s="16">
        <f t="shared" si="437"/>
        <v>12896.065734949832</v>
      </c>
      <c r="ES115" s="16">
        <f t="shared" si="437"/>
        <v>28342.809983966323</v>
      </c>
      <c r="ET115" s="16">
        <f t="shared" si="437"/>
        <v>56318.115227445407</v>
      </c>
      <c r="EU115" s="16">
        <f t="shared" si="437"/>
        <v>22518.211737722806</v>
      </c>
      <c r="EV115" s="16">
        <f t="shared" si="437"/>
        <v>44166.451622810913</v>
      </c>
      <c r="EW115" s="16">
        <f t="shared" si="437"/>
        <v>63115.484825599837</v>
      </c>
      <c r="EX115" s="16">
        <f t="shared" si="437"/>
        <v>21622.699334094348</v>
      </c>
      <c r="EY115" s="16">
        <f t="shared" si="438"/>
        <v>38555.414420982212</v>
      </c>
      <c r="EZ115" s="16">
        <f t="shared" si="438"/>
        <v>67789.589131003042</v>
      </c>
      <c r="FA115" s="16">
        <f t="shared" si="438"/>
        <v>29108.96603026686</v>
      </c>
      <c r="FB115" s="16">
        <f t="shared" si="438"/>
        <v>77646.098059195589</v>
      </c>
    </row>
    <row r="116" spans="3:158" x14ac:dyDescent="0.25">
      <c r="C116" t="s">
        <v>776</v>
      </c>
      <c r="D116" s="16">
        <f t="shared" si="440"/>
        <v>0</v>
      </c>
      <c r="E116" s="16">
        <f t="shared" si="440"/>
        <v>0</v>
      </c>
      <c r="F116" s="16">
        <f t="shared" si="440"/>
        <v>0</v>
      </c>
      <c r="G116" s="16">
        <f t="shared" si="440"/>
        <v>0</v>
      </c>
      <c r="H116" s="16">
        <f t="shared" si="440"/>
        <v>0</v>
      </c>
      <c r="I116" s="16">
        <f t="shared" si="440"/>
        <v>0</v>
      </c>
      <c r="J116" s="16">
        <f t="shared" si="440"/>
        <v>0</v>
      </c>
      <c r="K116" s="16">
        <f t="shared" si="440"/>
        <v>270221.07149372791</v>
      </c>
      <c r="L116" s="16">
        <f t="shared" si="440"/>
        <v>516985.8631738415</v>
      </c>
      <c r="M116" s="16"/>
      <c r="N116" s="16">
        <f t="shared" si="388"/>
        <v>0</v>
      </c>
      <c r="O116" s="16">
        <f t="shared" si="389"/>
        <v>0</v>
      </c>
      <c r="P116" s="16">
        <f t="shared" si="390"/>
        <v>0</v>
      </c>
      <c r="Q116" s="16">
        <f t="shared" si="391"/>
        <v>0</v>
      </c>
      <c r="R116" s="16">
        <f t="shared" si="392"/>
        <v>0</v>
      </c>
      <c r="S116" s="16">
        <f t="shared" si="393"/>
        <v>0</v>
      </c>
      <c r="T116" s="16">
        <f t="shared" si="394"/>
        <v>0</v>
      </c>
      <c r="U116" s="16">
        <f t="shared" si="395"/>
        <v>0</v>
      </c>
      <c r="V116" s="16">
        <f t="shared" si="396"/>
        <v>0</v>
      </c>
      <c r="W116" s="16">
        <f t="shared" si="397"/>
        <v>0</v>
      </c>
      <c r="X116" s="16">
        <f t="shared" si="398"/>
        <v>0</v>
      </c>
      <c r="Y116" s="16">
        <f t="shared" si="399"/>
        <v>0</v>
      </c>
      <c r="Z116" s="16">
        <f t="shared" si="400"/>
        <v>0</v>
      </c>
      <c r="AA116" s="16">
        <f t="shared" si="401"/>
        <v>0</v>
      </c>
      <c r="AB116" s="16">
        <f t="shared" si="402"/>
        <v>0</v>
      </c>
      <c r="AC116" s="16">
        <f t="shared" si="403"/>
        <v>0</v>
      </c>
      <c r="AD116" s="16">
        <f t="shared" si="404"/>
        <v>0</v>
      </c>
      <c r="AE116" s="16">
        <f t="shared" si="405"/>
        <v>0</v>
      </c>
      <c r="AF116" s="16">
        <f t="shared" si="406"/>
        <v>0</v>
      </c>
      <c r="AG116" s="16">
        <f t="shared" si="407"/>
        <v>0</v>
      </c>
      <c r="AH116" s="16">
        <f t="shared" si="408"/>
        <v>0</v>
      </c>
      <c r="AI116" s="16">
        <f t="shared" si="409"/>
        <v>0</v>
      </c>
      <c r="AJ116" s="16">
        <f t="shared" si="410"/>
        <v>0</v>
      </c>
      <c r="AK116" s="16">
        <f t="shared" si="411"/>
        <v>0</v>
      </c>
      <c r="AL116" s="16">
        <f t="shared" si="412"/>
        <v>0</v>
      </c>
      <c r="AM116" s="16">
        <f t="shared" si="413"/>
        <v>0</v>
      </c>
      <c r="AN116" s="16">
        <f t="shared" si="414"/>
        <v>0</v>
      </c>
      <c r="AO116" s="16">
        <f t="shared" si="415"/>
        <v>0</v>
      </c>
      <c r="AP116" s="16">
        <f t="shared" si="416"/>
        <v>9243.6431210360988</v>
      </c>
      <c r="AQ116" s="16">
        <f t="shared" si="417"/>
        <v>64308.052064037605</v>
      </c>
      <c r="AR116" s="16">
        <f t="shared" si="418"/>
        <v>89306.831683654193</v>
      </c>
      <c r="AS116" s="16">
        <f t="shared" si="419"/>
        <v>107362.54462499999</v>
      </c>
      <c r="AT116" s="16">
        <f t="shared" si="420"/>
        <v>145448.12085994985</v>
      </c>
      <c r="AU116" s="16">
        <f t="shared" si="421"/>
        <v>107179.13694913452</v>
      </c>
      <c r="AV116" s="16">
        <f t="shared" si="422"/>
        <v>128904.63578250509</v>
      </c>
      <c r="AW116" s="16">
        <f t="shared" si="423"/>
        <v>135453.96958225212</v>
      </c>
      <c r="DS116" s="16"/>
      <c r="DT116" s="16"/>
      <c r="DU116" s="16"/>
      <c r="DV116" s="16"/>
      <c r="DW116" s="16"/>
      <c r="DX116" s="16"/>
      <c r="DY116" s="16"/>
      <c r="DZ116" s="16"/>
      <c r="EA116" s="16"/>
      <c r="EB116" s="16"/>
      <c r="EC116" s="16"/>
      <c r="ED116" s="16"/>
      <c r="EE116" s="16"/>
      <c r="EF116" s="16"/>
      <c r="EG116" s="16">
        <f>EF115</f>
        <v>9243.6431210360988</v>
      </c>
      <c r="EH116" s="16">
        <f>EG115</f>
        <v>14165.760214544398</v>
      </c>
      <c r="EI116" s="16">
        <f t="shared" si="439"/>
        <v>33723.055415309405</v>
      </c>
      <c r="EJ116" s="16">
        <f t="shared" si="439"/>
        <v>16419.2364341838</v>
      </c>
      <c r="EK116" s="16">
        <f t="shared" si="437"/>
        <v>26622.431664670799</v>
      </c>
      <c r="EL116" s="16">
        <f t="shared" si="437"/>
        <v>46337.128518983394</v>
      </c>
      <c r="EM116" s="16">
        <f t="shared" si="437"/>
        <v>16347.271500000001</v>
      </c>
      <c r="EN116" s="16">
        <f t="shared" si="437"/>
        <v>38143.633500000004</v>
      </c>
      <c r="EO116" s="16">
        <f t="shared" si="437"/>
        <v>54490.904999999999</v>
      </c>
      <c r="EP116" s="16">
        <f t="shared" si="437"/>
        <v>14728.006125</v>
      </c>
      <c r="EQ116" s="16">
        <f t="shared" si="437"/>
        <v>58912.0245</v>
      </c>
      <c r="ER116" s="16">
        <f t="shared" si="437"/>
        <v>73640.030624999999</v>
      </c>
      <c r="ES116" s="16">
        <f t="shared" si="437"/>
        <v>12896.065734949832</v>
      </c>
      <c r="ET116" s="16">
        <f t="shared" si="437"/>
        <v>28342.809983966323</v>
      </c>
      <c r="EU116" s="16">
        <f t="shared" si="437"/>
        <v>56318.115227445407</v>
      </c>
      <c r="EV116" s="16">
        <f t="shared" si="437"/>
        <v>22518.211737722806</v>
      </c>
      <c r="EW116" s="16">
        <f t="shared" si="437"/>
        <v>44166.451622810913</v>
      </c>
      <c r="EX116" s="16">
        <f t="shared" si="437"/>
        <v>63115.484825599837</v>
      </c>
      <c r="EY116" s="16">
        <f t="shared" si="438"/>
        <v>21622.699334094348</v>
      </c>
      <c r="EZ116" s="16">
        <f t="shared" si="438"/>
        <v>38555.414420982212</v>
      </c>
      <c r="FA116" s="16">
        <f t="shared" si="438"/>
        <v>67789.589131003042</v>
      </c>
      <c r="FB116" s="16">
        <f t="shared" si="438"/>
        <v>29108.96603026686</v>
      </c>
    </row>
    <row r="117" spans="3:158" x14ac:dyDescent="0.25">
      <c r="C117" t="s">
        <v>777</v>
      </c>
      <c r="D117" s="16">
        <f t="shared" si="440"/>
        <v>0</v>
      </c>
      <c r="E117" s="16">
        <f t="shared" si="440"/>
        <v>0</v>
      </c>
      <c r="F117" s="16">
        <f t="shared" si="440"/>
        <v>0</v>
      </c>
      <c r="G117" s="16">
        <f t="shared" si="440"/>
        <v>0</v>
      </c>
      <c r="H117" s="16">
        <f t="shared" si="440"/>
        <v>0</v>
      </c>
      <c r="I117" s="16">
        <f t="shared" si="440"/>
        <v>0</v>
      </c>
      <c r="J117" s="16">
        <f t="shared" si="440"/>
        <v>0</v>
      </c>
      <c r="K117" s="16">
        <f t="shared" si="440"/>
        <v>255493.0653687279</v>
      </c>
      <c r="L117" s="16">
        <f t="shared" si="440"/>
        <v>502604.90326857474</v>
      </c>
      <c r="M117" s="16"/>
      <c r="N117" s="16">
        <f t="shared" si="388"/>
        <v>0</v>
      </c>
      <c r="O117" s="16">
        <f t="shared" si="389"/>
        <v>0</v>
      </c>
      <c r="P117" s="16">
        <f t="shared" si="390"/>
        <v>0</v>
      </c>
      <c r="Q117" s="16">
        <f t="shared" si="391"/>
        <v>0</v>
      </c>
      <c r="R117" s="16">
        <f t="shared" si="392"/>
        <v>0</v>
      </c>
      <c r="S117" s="16">
        <f t="shared" si="393"/>
        <v>0</v>
      </c>
      <c r="T117" s="16">
        <f t="shared" si="394"/>
        <v>0</v>
      </c>
      <c r="U117" s="16">
        <f t="shared" si="395"/>
        <v>0</v>
      </c>
      <c r="V117" s="16">
        <f t="shared" si="396"/>
        <v>0</v>
      </c>
      <c r="W117" s="16">
        <f t="shared" si="397"/>
        <v>0</v>
      </c>
      <c r="X117" s="16">
        <f t="shared" si="398"/>
        <v>0</v>
      </c>
      <c r="Y117" s="16">
        <f t="shared" si="399"/>
        <v>0</v>
      </c>
      <c r="Z117" s="16">
        <f t="shared" si="400"/>
        <v>0</v>
      </c>
      <c r="AA117" s="16">
        <f t="shared" si="401"/>
        <v>0</v>
      </c>
      <c r="AB117" s="16">
        <f t="shared" si="402"/>
        <v>0</v>
      </c>
      <c r="AC117" s="16">
        <f t="shared" si="403"/>
        <v>0</v>
      </c>
      <c r="AD117" s="16">
        <f t="shared" si="404"/>
        <v>0</v>
      </c>
      <c r="AE117" s="16">
        <f t="shared" si="405"/>
        <v>0</v>
      </c>
      <c r="AF117" s="16">
        <f t="shared" si="406"/>
        <v>0</v>
      </c>
      <c r="AG117" s="16">
        <f t="shared" si="407"/>
        <v>0</v>
      </c>
      <c r="AH117" s="16">
        <f t="shared" si="408"/>
        <v>0</v>
      </c>
      <c r="AI117" s="16">
        <f t="shared" si="409"/>
        <v>0</v>
      </c>
      <c r="AJ117" s="16">
        <f t="shared" si="410"/>
        <v>0</v>
      </c>
      <c r="AK117" s="16">
        <f t="shared" si="411"/>
        <v>0</v>
      </c>
      <c r="AL117" s="16">
        <f t="shared" si="412"/>
        <v>0</v>
      </c>
      <c r="AM117" s="16">
        <f t="shared" si="413"/>
        <v>0</v>
      </c>
      <c r="AN117" s="16">
        <f t="shared" si="414"/>
        <v>0</v>
      </c>
      <c r="AO117" s="16">
        <f t="shared" si="415"/>
        <v>0</v>
      </c>
      <c r="AP117" s="16">
        <f t="shared" si="416"/>
        <v>0</v>
      </c>
      <c r="AQ117" s="16">
        <f t="shared" si="417"/>
        <v>57132.458750889899</v>
      </c>
      <c r="AR117" s="16">
        <f t="shared" si="418"/>
        <v>89378.796617838001</v>
      </c>
      <c r="AS117" s="16">
        <f t="shared" si="419"/>
        <v>108981.81</v>
      </c>
      <c r="AT117" s="16">
        <f t="shared" si="420"/>
        <v>147280.06125</v>
      </c>
      <c r="AU117" s="16">
        <f t="shared" si="421"/>
        <v>97556.990946361562</v>
      </c>
      <c r="AV117" s="16">
        <f t="shared" si="422"/>
        <v>129800.14818613355</v>
      </c>
      <c r="AW117" s="16">
        <f t="shared" si="423"/>
        <v>127967.7028860796</v>
      </c>
      <c r="DS117" s="16"/>
      <c r="DT117" s="16"/>
      <c r="DU117" s="16"/>
      <c r="DV117" s="16"/>
      <c r="DW117" s="16"/>
      <c r="DX117" s="16"/>
      <c r="DY117" s="16"/>
      <c r="DZ117" s="16"/>
      <c r="EA117" s="16"/>
      <c r="EB117" s="16"/>
      <c r="EC117" s="16"/>
      <c r="ED117" s="16"/>
      <c r="EE117" s="16"/>
      <c r="EF117" s="16"/>
      <c r="EG117" s="16"/>
      <c r="EH117" s="16">
        <f>EG116</f>
        <v>9243.6431210360988</v>
      </c>
      <c r="EI117" s="16">
        <f t="shared" si="439"/>
        <v>14165.760214544398</v>
      </c>
      <c r="EJ117" s="16">
        <f t="shared" si="439"/>
        <v>33723.055415309405</v>
      </c>
      <c r="EK117" s="16">
        <f t="shared" si="437"/>
        <v>16419.2364341838</v>
      </c>
      <c r="EL117" s="16">
        <f t="shared" si="437"/>
        <v>26622.431664670799</v>
      </c>
      <c r="EM117" s="16">
        <f t="shared" si="437"/>
        <v>46337.128518983394</v>
      </c>
      <c r="EN117" s="16">
        <f t="shared" si="437"/>
        <v>16347.271500000001</v>
      </c>
      <c r="EO117" s="16">
        <f t="shared" si="437"/>
        <v>38143.633500000004</v>
      </c>
      <c r="EP117" s="16">
        <f t="shared" si="437"/>
        <v>54490.904999999999</v>
      </c>
      <c r="EQ117" s="16">
        <f t="shared" si="437"/>
        <v>14728.006125</v>
      </c>
      <c r="ER117" s="16">
        <f t="shared" si="437"/>
        <v>58912.0245</v>
      </c>
      <c r="ES117" s="16">
        <f t="shared" si="437"/>
        <v>73640.030624999999</v>
      </c>
      <c r="ET117" s="16">
        <f t="shared" si="437"/>
        <v>12896.065734949832</v>
      </c>
      <c r="EU117" s="16">
        <f t="shared" si="437"/>
        <v>28342.809983966323</v>
      </c>
      <c r="EV117" s="16">
        <f t="shared" si="437"/>
        <v>56318.115227445407</v>
      </c>
      <c r="EW117" s="16">
        <f t="shared" si="437"/>
        <v>22518.211737722806</v>
      </c>
      <c r="EX117" s="16">
        <f t="shared" si="437"/>
        <v>44166.451622810913</v>
      </c>
      <c r="EY117" s="16">
        <f t="shared" si="438"/>
        <v>63115.484825599837</v>
      </c>
      <c r="EZ117" s="16">
        <f t="shared" si="438"/>
        <v>21622.699334094348</v>
      </c>
      <c r="FA117" s="16">
        <f t="shared" si="438"/>
        <v>38555.414420982212</v>
      </c>
      <c r="FB117" s="16">
        <f t="shared" si="438"/>
        <v>67789.589131003042</v>
      </c>
    </row>
    <row r="118" spans="3:158" x14ac:dyDescent="0.25">
      <c r="C118" t="s">
        <v>778</v>
      </c>
      <c r="D118" s="16">
        <f t="shared" si="440"/>
        <v>0</v>
      </c>
      <c r="E118" s="16">
        <f t="shared" si="440"/>
        <v>0</v>
      </c>
      <c r="F118" s="16">
        <f t="shared" si="440"/>
        <v>0</v>
      </c>
      <c r="G118" s="16">
        <f t="shared" si="440"/>
        <v>0</v>
      </c>
      <c r="H118" s="16">
        <f t="shared" si="440"/>
        <v>0</v>
      </c>
      <c r="I118" s="16">
        <f t="shared" si="440"/>
        <v>0</v>
      </c>
      <c r="J118" s="16">
        <f t="shared" si="440"/>
        <v>0</v>
      </c>
      <c r="K118" s="16">
        <f t="shared" si="440"/>
        <v>201002.1603687279</v>
      </c>
      <c r="L118" s="16">
        <f t="shared" si="440"/>
        <v>489306.21913757164</v>
      </c>
      <c r="M118" s="16"/>
      <c r="N118" s="16">
        <f t="shared" si="388"/>
        <v>0</v>
      </c>
      <c r="O118" s="16">
        <f t="shared" si="389"/>
        <v>0</v>
      </c>
      <c r="P118" s="16">
        <f t="shared" si="390"/>
        <v>0</v>
      </c>
      <c r="Q118" s="16">
        <f t="shared" si="391"/>
        <v>0</v>
      </c>
      <c r="R118" s="16">
        <f t="shared" si="392"/>
        <v>0</v>
      </c>
      <c r="S118" s="16">
        <f t="shared" si="393"/>
        <v>0</v>
      </c>
      <c r="T118" s="16">
        <f t="shared" si="394"/>
        <v>0</v>
      </c>
      <c r="U118" s="16">
        <f t="shared" si="395"/>
        <v>0</v>
      </c>
      <c r="V118" s="16">
        <f t="shared" si="396"/>
        <v>0</v>
      </c>
      <c r="W118" s="16">
        <f t="shared" si="397"/>
        <v>0</v>
      </c>
      <c r="X118" s="16">
        <f t="shared" si="398"/>
        <v>0</v>
      </c>
      <c r="Y118" s="16">
        <f t="shared" si="399"/>
        <v>0</v>
      </c>
      <c r="Z118" s="16">
        <f t="shared" si="400"/>
        <v>0</v>
      </c>
      <c r="AA118" s="16">
        <f t="shared" si="401"/>
        <v>0</v>
      </c>
      <c r="AB118" s="16">
        <f t="shared" si="402"/>
        <v>0</v>
      </c>
      <c r="AC118" s="16">
        <f t="shared" si="403"/>
        <v>0</v>
      </c>
      <c r="AD118" s="16">
        <f t="shared" si="404"/>
        <v>0</v>
      </c>
      <c r="AE118" s="16">
        <f t="shared" si="405"/>
        <v>0</v>
      </c>
      <c r="AF118" s="16">
        <f t="shared" si="406"/>
        <v>0</v>
      </c>
      <c r="AG118" s="16">
        <f t="shared" si="407"/>
        <v>0</v>
      </c>
      <c r="AH118" s="16">
        <f t="shared" si="408"/>
        <v>0</v>
      </c>
      <c r="AI118" s="16">
        <f t="shared" si="409"/>
        <v>0</v>
      </c>
      <c r="AJ118" s="16">
        <f t="shared" si="410"/>
        <v>0</v>
      </c>
      <c r="AK118" s="16">
        <f t="shared" si="411"/>
        <v>0</v>
      </c>
      <c r="AL118" s="16">
        <f t="shared" si="412"/>
        <v>0</v>
      </c>
      <c r="AM118" s="16">
        <f t="shared" si="413"/>
        <v>0</v>
      </c>
      <c r="AN118" s="16">
        <f t="shared" si="414"/>
        <v>0</v>
      </c>
      <c r="AO118" s="16">
        <f t="shared" si="415"/>
        <v>0</v>
      </c>
      <c r="AP118" s="16">
        <f t="shared" si="416"/>
        <v>0</v>
      </c>
      <c r="AQ118" s="16">
        <f t="shared" si="417"/>
        <v>23409.403335580497</v>
      </c>
      <c r="AR118" s="16">
        <f t="shared" si="418"/>
        <v>76764.723514164012</v>
      </c>
      <c r="AS118" s="16">
        <f t="shared" si="419"/>
        <v>100828.0335189834</v>
      </c>
      <c r="AT118" s="16">
        <f t="shared" si="420"/>
        <v>128130.935625</v>
      </c>
      <c r="AU118" s="16">
        <f t="shared" si="421"/>
        <v>114878.90634391615</v>
      </c>
      <c r="AV118" s="16">
        <f t="shared" si="422"/>
        <v>123002.77858797912</v>
      </c>
      <c r="AW118" s="16">
        <f t="shared" si="423"/>
        <v>123293.59858067639</v>
      </c>
      <c r="DS118" s="16"/>
      <c r="DT118" s="16"/>
      <c r="DU118" s="16"/>
      <c r="DV118" s="16"/>
      <c r="DW118" s="16"/>
      <c r="DX118" s="16"/>
      <c r="DY118" s="16"/>
      <c r="DZ118" s="16"/>
      <c r="EA118" s="16"/>
      <c r="EB118" s="16"/>
      <c r="EC118" s="16"/>
      <c r="ED118" s="16"/>
      <c r="EE118" s="16"/>
      <c r="EF118" s="16"/>
      <c r="EG118" s="16"/>
      <c r="EH118" s="16"/>
      <c r="EI118" s="16">
        <f>EH117</f>
        <v>9243.6431210360988</v>
      </c>
      <c r="EJ118" s="16">
        <f t="shared" si="439"/>
        <v>14165.760214544398</v>
      </c>
      <c r="EK118" s="16">
        <f t="shared" si="439"/>
        <v>33723.055415309405</v>
      </c>
      <c r="EL118" s="16">
        <f t="shared" si="439"/>
        <v>16419.2364341838</v>
      </c>
      <c r="EM118" s="16">
        <f t="shared" si="439"/>
        <v>26622.431664670799</v>
      </c>
      <c r="EN118" s="16">
        <f t="shared" si="439"/>
        <v>46337.128518983394</v>
      </c>
      <c r="EO118" s="16">
        <f t="shared" si="437"/>
        <v>16347.271500000001</v>
      </c>
      <c r="EP118" s="16">
        <f t="shared" si="437"/>
        <v>38143.633500000004</v>
      </c>
      <c r="EQ118" s="16">
        <f t="shared" si="437"/>
        <v>54490.904999999999</v>
      </c>
      <c r="ER118" s="16">
        <f t="shared" si="437"/>
        <v>14728.006125</v>
      </c>
      <c r="ES118" s="16">
        <f t="shared" si="437"/>
        <v>58912.0245</v>
      </c>
      <c r="ET118" s="16">
        <f t="shared" si="437"/>
        <v>73640.030624999999</v>
      </c>
      <c r="EU118" s="16">
        <f t="shared" si="438"/>
        <v>12896.065734949832</v>
      </c>
      <c r="EV118" s="16">
        <f t="shared" si="438"/>
        <v>28342.809983966323</v>
      </c>
      <c r="EW118" s="16">
        <f t="shared" si="438"/>
        <v>56318.115227445407</v>
      </c>
      <c r="EX118" s="16">
        <f t="shared" si="438"/>
        <v>22518.211737722806</v>
      </c>
      <c r="EY118" s="16">
        <f t="shared" si="438"/>
        <v>44166.451622810913</v>
      </c>
      <c r="EZ118" s="16">
        <f t="shared" si="438"/>
        <v>63115.484825599837</v>
      </c>
      <c r="FA118" s="16">
        <f t="shared" si="438"/>
        <v>21622.699334094348</v>
      </c>
      <c r="FB118" s="16">
        <f t="shared" si="438"/>
        <v>38555.414420982212</v>
      </c>
    </row>
    <row r="119" spans="3:158" x14ac:dyDescent="0.25">
      <c r="C119" t="s">
        <v>779</v>
      </c>
      <c r="D119" s="16">
        <f t="shared" si="440"/>
        <v>0</v>
      </c>
      <c r="E119" s="16">
        <f t="shared" si="440"/>
        <v>0</v>
      </c>
      <c r="F119" s="16">
        <f t="shared" si="440"/>
        <v>0</v>
      </c>
      <c r="G119" s="16">
        <f t="shared" si="440"/>
        <v>0</v>
      </c>
      <c r="H119" s="16">
        <f t="shared" si="440"/>
        <v>0</v>
      </c>
      <c r="I119" s="16">
        <f t="shared" si="440"/>
        <v>0</v>
      </c>
      <c r="J119" s="16">
        <f t="shared" si="440"/>
        <v>0</v>
      </c>
      <c r="K119" s="16">
        <f t="shared" si="440"/>
        <v>162858.5268687279</v>
      </c>
      <c r="L119" s="16">
        <f t="shared" si="440"/>
        <v>488894.43821658951</v>
      </c>
      <c r="M119" s="16"/>
      <c r="N119" s="16">
        <f t="shared" si="388"/>
        <v>0</v>
      </c>
      <c r="O119" s="16">
        <f t="shared" si="389"/>
        <v>0</v>
      </c>
      <c r="P119" s="16">
        <f t="shared" si="390"/>
        <v>0</v>
      </c>
      <c r="Q119" s="16">
        <f t="shared" si="391"/>
        <v>0</v>
      </c>
      <c r="R119" s="16">
        <f t="shared" si="392"/>
        <v>0</v>
      </c>
      <c r="S119" s="16">
        <f t="shared" si="393"/>
        <v>0</v>
      </c>
      <c r="T119" s="16">
        <f t="shared" si="394"/>
        <v>0</v>
      </c>
      <c r="U119" s="16">
        <f t="shared" si="395"/>
        <v>0</v>
      </c>
      <c r="V119" s="16">
        <f t="shared" si="396"/>
        <v>0</v>
      </c>
      <c r="W119" s="16">
        <f t="shared" si="397"/>
        <v>0</v>
      </c>
      <c r="X119" s="16">
        <f t="shared" si="398"/>
        <v>0</v>
      </c>
      <c r="Y119" s="16">
        <f t="shared" si="399"/>
        <v>0</v>
      </c>
      <c r="Z119" s="16">
        <f t="shared" si="400"/>
        <v>0</v>
      </c>
      <c r="AA119" s="16">
        <f t="shared" si="401"/>
        <v>0</v>
      </c>
      <c r="AB119" s="16">
        <f t="shared" si="402"/>
        <v>0</v>
      </c>
      <c r="AC119" s="16">
        <f t="shared" si="403"/>
        <v>0</v>
      </c>
      <c r="AD119" s="16">
        <f t="shared" si="404"/>
        <v>0</v>
      </c>
      <c r="AE119" s="16">
        <f t="shared" si="405"/>
        <v>0</v>
      </c>
      <c r="AF119" s="16">
        <f t="shared" si="406"/>
        <v>0</v>
      </c>
      <c r="AG119" s="16">
        <f t="shared" si="407"/>
        <v>0</v>
      </c>
      <c r="AH119" s="16">
        <f t="shared" si="408"/>
        <v>0</v>
      </c>
      <c r="AI119" s="16">
        <f t="shared" si="409"/>
        <v>0</v>
      </c>
      <c r="AJ119" s="16">
        <f t="shared" si="410"/>
        <v>0</v>
      </c>
      <c r="AK119" s="16">
        <f t="shared" si="411"/>
        <v>0</v>
      </c>
      <c r="AL119" s="16">
        <f t="shared" si="412"/>
        <v>0</v>
      </c>
      <c r="AM119" s="16">
        <f t="shared" si="413"/>
        <v>0</v>
      </c>
      <c r="AN119" s="16">
        <f t="shared" si="414"/>
        <v>0</v>
      </c>
      <c r="AO119" s="16">
        <f t="shared" si="415"/>
        <v>0</v>
      </c>
      <c r="AP119" s="16">
        <f t="shared" si="416"/>
        <v>0</v>
      </c>
      <c r="AQ119" s="16">
        <f t="shared" si="417"/>
        <v>9243.6431210360988</v>
      </c>
      <c r="AR119" s="16">
        <f t="shared" si="418"/>
        <v>64308.052064037605</v>
      </c>
      <c r="AS119" s="16">
        <f t="shared" si="419"/>
        <v>89306.831683654193</v>
      </c>
      <c r="AT119" s="16">
        <f t="shared" si="420"/>
        <v>107362.54462499999</v>
      </c>
      <c r="AU119" s="16">
        <f t="shared" si="421"/>
        <v>145448.12085994985</v>
      </c>
      <c r="AV119" s="16">
        <f t="shared" si="422"/>
        <v>107179.13694913452</v>
      </c>
      <c r="AW119" s="16">
        <f t="shared" si="423"/>
        <v>128904.63578250509</v>
      </c>
      <c r="DS119" s="16"/>
      <c r="DT119" s="16"/>
      <c r="DU119" s="16"/>
      <c r="DV119" s="16"/>
      <c r="DW119" s="16"/>
      <c r="DX119" s="16"/>
      <c r="DY119" s="16"/>
      <c r="DZ119" s="16"/>
      <c r="EA119" s="16"/>
      <c r="EB119" s="16"/>
      <c r="EC119" s="16"/>
      <c r="ED119" s="16"/>
      <c r="EE119" s="16"/>
      <c r="EF119" s="16"/>
      <c r="EG119" s="16"/>
      <c r="EH119" s="16"/>
      <c r="EI119" s="16"/>
      <c r="EJ119" s="16">
        <f>EI118</f>
        <v>9243.6431210360988</v>
      </c>
      <c r="EK119" s="16">
        <f t="shared" si="437"/>
        <v>14165.760214544398</v>
      </c>
      <c r="EL119" s="16">
        <f t="shared" si="437"/>
        <v>33723.055415309405</v>
      </c>
      <c r="EM119" s="16">
        <f t="shared" si="437"/>
        <v>16419.2364341838</v>
      </c>
      <c r="EN119" s="16">
        <f t="shared" si="437"/>
        <v>26622.431664670799</v>
      </c>
      <c r="EO119" s="16">
        <f t="shared" si="437"/>
        <v>46337.128518983394</v>
      </c>
      <c r="EP119" s="16">
        <f t="shared" si="437"/>
        <v>16347.271500000001</v>
      </c>
      <c r="EQ119" s="16">
        <f t="shared" si="437"/>
        <v>38143.633500000004</v>
      </c>
      <c r="ER119" s="16">
        <f t="shared" si="437"/>
        <v>54490.904999999999</v>
      </c>
      <c r="ES119" s="16">
        <f t="shared" si="437"/>
        <v>14728.006125</v>
      </c>
      <c r="ET119" s="16">
        <f t="shared" si="437"/>
        <v>58912.0245</v>
      </c>
      <c r="EU119" s="16">
        <f t="shared" si="438"/>
        <v>73640.030624999999</v>
      </c>
      <c r="EV119" s="16">
        <f t="shared" si="438"/>
        <v>12896.065734949832</v>
      </c>
      <c r="EW119" s="16">
        <f t="shared" si="438"/>
        <v>28342.809983966323</v>
      </c>
      <c r="EX119" s="16">
        <f t="shared" si="438"/>
        <v>56318.115227445407</v>
      </c>
      <c r="EY119" s="16">
        <f t="shared" si="438"/>
        <v>22518.211737722806</v>
      </c>
      <c r="EZ119" s="16">
        <f t="shared" si="438"/>
        <v>44166.451622810913</v>
      </c>
      <c r="FA119" s="16">
        <f t="shared" si="438"/>
        <v>63115.484825599837</v>
      </c>
      <c r="FB119" s="16">
        <f t="shared" si="438"/>
        <v>21622.699334094348</v>
      </c>
    </row>
    <row r="120" spans="3:158" x14ac:dyDescent="0.25">
      <c r="C120" t="s">
        <v>780</v>
      </c>
      <c r="D120" s="16">
        <f t="shared" si="440"/>
        <v>0</v>
      </c>
      <c r="E120" s="16">
        <f t="shared" si="440"/>
        <v>0</v>
      </c>
      <c r="F120" s="16">
        <f t="shared" si="440"/>
        <v>0</v>
      </c>
      <c r="G120" s="16">
        <f t="shared" si="440"/>
        <v>0</v>
      </c>
      <c r="H120" s="16">
        <f t="shared" si="440"/>
        <v>0</v>
      </c>
      <c r="I120" s="16">
        <f t="shared" si="440"/>
        <v>0</v>
      </c>
      <c r="J120" s="16">
        <f t="shared" si="440"/>
        <v>0</v>
      </c>
      <c r="K120" s="16">
        <f t="shared" si="440"/>
        <v>146511.2553687279</v>
      </c>
      <c r="L120" s="16">
        <f t="shared" si="440"/>
        <v>483619.01038249518</v>
      </c>
      <c r="M120" s="16"/>
      <c r="N120" s="16">
        <f t="shared" si="388"/>
        <v>0</v>
      </c>
      <c r="O120" s="16">
        <f t="shared" si="389"/>
        <v>0</v>
      </c>
      <c r="P120" s="16">
        <f t="shared" si="390"/>
        <v>0</v>
      </c>
      <c r="Q120" s="16">
        <f t="shared" si="391"/>
        <v>0</v>
      </c>
      <c r="R120" s="16">
        <f t="shared" si="392"/>
        <v>0</v>
      </c>
      <c r="S120" s="16">
        <f t="shared" si="393"/>
        <v>0</v>
      </c>
      <c r="T120" s="16">
        <f t="shared" si="394"/>
        <v>0</v>
      </c>
      <c r="U120" s="16">
        <f t="shared" si="395"/>
        <v>0</v>
      </c>
      <c r="V120" s="16">
        <f t="shared" si="396"/>
        <v>0</v>
      </c>
      <c r="W120" s="16">
        <f t="shared" si="397"/>
        <v>0</v>
      </c>
      <c r="X120" s="16">
        <f t="shared" si="398"/>
        <v>0</v>
      </c>
      <c r="Y120" s="16">
        <f t="shared" si="399"/>
        <v>0</v>
      </c>
      <c r="Z120" s="16">
        <f t="shared" si="400"/>
        <v>0</v>
      </c>
      <c r="AA120" s="16">
        <f t="shared" si="401"/>
        <v>0</v>
      </c>
      <c r="AB120" s="16">
        <f t="shared" si="402"/>
        <v>0</v>
      </c>
      <c r="AC120" s="16">
        <f t="shared" si="403"/>
        <v>0</v>
      </c>
      <c r="AD120" s="16">
        <f t="shared" si="404"/>
        <v>0</v>
      </c>
      <c r="AE120" s="16">
        <f t="shared" si="405"/>
        <v>0</v>
      </c>
      <c r="AF120" s="16">
        <f t="shared" si="406"/>
        <v>0</v>
      </c>
      <c r="AG120" s="16">
        <f t="shared" si="407"/>
        <v>0</v>
      </c>
      <c r="AH120" s="16">
        <f t="shared" si="408"/>
        <v>0</v>
      </c>
      <c r="AI120" s="16">
        <f t="shared" si="409"/>
        <v>0</v>
      </c>
      <c r="AJ120" s="16">
        <f t="shared" si="410"/>
        <v>0</v>
      </c>
      <c r="AK120" s="16">
        <f t="shared" si="411"/>
        <v>0</v>
      </c>
      <c r="AL120" s="16">
        <f t="shared" si="412"/>
        <v>0</v>
      </c>
      <c r="AM120" s="16">
        <f t="shared" si="413"/>
        <v>0</v>
      </c>
      <c r="AN120" s="16">
        <f t="shared" si="414"/>
        <v>0</v>
      </c>
      <c r="AO120" s="16">
        <f t="shared" si="415"/>
        <v>0</v>
      </c>
      <c r="AP120" s="16">
        <f t="shared" si="416"/>
        <v>0</v>
      </c>
      <c r="AQ120" s="16">
        <f t="shared" si="417"/>
        <v>0</v>
      </c>
      <c r="AR120" s="16">
        <f t="shared" si="418"/>
        <v>57132.458750889899</v>
      </c>
      <c r="AS120" s="16">
        <f t="shared" si="419"/>
        <v>89378.796617838001</v>
      </c>
      <c r="AT120" s="16">
        <f t="shared" si="420"/>
        <v>108981.81</v>
      </c>
      <c r="AU120" s="16">
        <f t="shared" si="421"/>
        <v>147280.06125</v>
      </c>
      <c r="AV120" s="16">
        <f t="shared" si="422"/>
        <v>97556.990946361562</v>
      </c>
      <c r="AW120" s="16">
        <f t="shared" si="423"/>
        <v>129800.14818613355</v>
      </c>
      <c r="DS120" s="16"/>
      <c r="DT120" s="16"/>
      <c r="DU120" s="16"/>
      <c r="DV120" s="16"/>
      <c r="DW120" s="16"/>
      <c r="DX120" s="16"/>
      <c r="DY120" s="16"/>
      <c r="DZ120" s="16"/>
      <c r="EA120" s="16"/>
      <c r="EB120" s="16"/>
      <c r="EC120" s="16"/>
      <c r="ED120" s="16"/>
      <c r="EE120" s="16"/>
      <c r="EF120" s="16"/>
      <c r="EG120" s="16"/>
      <c r="EH120" s="16"/>
      <c r="EI120" s="16"/>
      <c r="EJ120" s="16"/>
      <c r="EK120" s="16">
        <f>EJ119</f>
        <v>9243.6431210360988</v>
      </c>
      <c r="EL120" s="16">
        <f>EK119</f>
        <v>14165.760214544398</v>
      </c>
      <c r="EM120" s="16">
        <f t="shared" si="437"/>
        <v>33723.055415309405</v>
      </c>
      <c r="EN120" s="16">
        <f t="shared" si="437"/>
        <v>16419.2364341838</v>
      </c>
      <c r="EO120" s="16">
        <f t="shared" si="437"/>
        <v>26622.431664670799</v>
      </c>
      <c r="EP120" s="16">
        <f t="shared" si="437"/>
        <v>46337.128518983394</v>
      </c>
      <c r="EQ120" s="16">
        <f t="shared" si="437"/>
        <v>16347.271500000001</v>
      </c>
      <c r="ER120" s="16">
        <f t="shared" si="437"/>
        <v>38143.633500000004</v>
      </c>
      <c r="ES120" s="16">
        <f t="shared" si="437"/>
        <v>54490.904999999999</v>
      </c>
      <c r="ET120" s="16">
        <f t="shared" si="437"/>
        <v>14728.006125</v>
      </c>
      <c r="EU120" s="16">
        <f t="shared" si="438"/>
        <v>58912.0245</v>
      </c>
      <c r="EV120" s="16">
        <f t="shared" si="438"/>
        <v>73640.030624999999</v>
      </c>
      <c r="EW120" s="16">
        <f t="shared" si="438"/>
        <v>12896.065734949832</v>
      </c>
      <c r="EX120" s="16">
        <f t="shared" si="438"/>
        <v>28342.809983966323</v>
      </c>
      <c r="EY120" s="16">
        <f t="shared" si="438"/>
        <v>56318.115227445407</v>
      </c>
      <c r="EZ120" s="16">
        <f t="shared" si="438"/>
        <v>22518.211737722806</v>
      </c>
      <c r="FA120" s="16">
        <f t="shared" si="438"/>
        <v>44166.451622810913</v>
      </c>
      <c r="FB120" s="16">
        <f t="shared" si="438"/>
        <v>63115.484825599837</v>
      </c>
    </row>
    <row r="121" spans="3:158" x14ac:dyDescent="0.25">
      <c r="C121" t="s">
        <v>781</v>
      </c>
      <c r="D121" s="16">
        <f t="shared" si="440"/>
        <v>0</v>
      </c>
      <c r="E121" s="16">
        <f t="shared" si="440"/>
        <v>0</v>
      </c>
      <c r="F121" s="16">
        <f t="shared" si="440"/>
        <v>0</v>
      </c>
      <c r="G121" s="16">
        <f t="shared" si="440"/>
        <v>0</v>
      </c>
      <c r="H121" s="16">
        <f t="shared" si="440"/>
        <v>0</v>
      </c>
      <c r="I121" s="16">
        <f t="shared" si="440"/>
        <v>0</v>
      </c>
      <c r="J121" s="16">
        <f t="shared" si="440"/>
        <v>0</v>
      </c>
      <c r="K121" s="16">
        <f t="shared" si="440"/>
        <v>100174.1268497445</v>
      </c>
      <c r="L121" s="16">
        <f t="shared" si="440"/>
        <v>466840.65407587873</v>
      </c>
      <c r="M121" s="16"/>
      <c r="N121" s="16">
        <f t="shared" si="388"/>
        <v>0</v>
      </c>
      <c r="O121" s="16">
        <f t="shared" si="389"/>
        <v>0</v>
      </c>
      <c r="P121" s="16">
        <f t="shared" si="390"/>
        <v>0</v>
      </c>
      <c r="Q121" s="16">
        <f t="shared" si="391"/>
        <v>0</v>
      </c>
      <c r="R121" s="16">
        <f t="shared" si="392"/>
        <v>0</v>
      </c>
      <c r="S121" s="16">
        <f t="shared" si="393"/>
        <v>0</v>
      </c>
      <c r="T121" s="16">
        <f t="shared" si="394"/>
        <v>0</v>
      </c>
      <c r="U121" s="16">
        <f t="shared" si="395"/>
        <v>0</v>
      </c>
      <c r="V121" s="16">
        <f t="shared" si="396"/>
        <v>0</v>
      </c>
      <c r="W121" s="16">
        <f t="shared" si="397"/>
        <v>0</v>
      </c>
      <c r="X121" s="16">
        <f t="shared" si="398"/>
        <v>0</v>
      </c>
      <c r="Y121" s="16">
        <f t="shared" si="399"/>
        <v>0</v>
      </c>
      <c r="Z121" s="16">
        <f t="shared" si="400"/>
        <v>0</v>
      </c>
      <c r="AA121" s="16">
        <f t="shared" si="401"/>
        <v>0</v>
      </c>
      <c r="AB121" s="16">
        <f t="shared" si="402"/>
        <v>0</v>
      </c>
      <c r="AC121" s="16">
        <f t="shared" si="403"/>
        <v>0</v>
      </c>
      <c r="AD121" s="16">
        <f t="shared" si="404"/>
        <v>0</v>
      </c>
      <c r="AE121" s="16">
        <f t="shared" si="405"/>
        <v>0</v>
      </c>
      <c r="AF121" s="16">
        <f t="shared" si="406"/>
        <v>0</v>
      </c>
      <c r="AG121" s="16">
        <f t="shared" si="407"/>
        <v>0</v>
      </c>
      <c r="AH121" s="16">
        <f t="shared" si="408"/>
        <v>0</v>
      </c>
      <c r="AI121" s="16">
        <f t="shared" si="409"/>
        <v>0</v>
      </c>
      <c r="AJ121" s="16">
        <f t="shared" si="410"/>
        <v>0</v>
      </c>
      <c r="AK121" s="16">
        <f t="shared" si="411"/>
        <v>0</v>
      </c>
      <c r="AL121" s="16">
        <f t="shared" si="412"/>
        <v>0</v>
      </c>
      <c r="AM121" s="16">
        <f t="shared" si="413"/>
        <v>0</v>
      </c>
      <c r="AN121" s="16">
        <f t="shared" si="414"/>
        <v>0</v>
      </c>
      <c r="AO121" s="16">
        <f t="shared" si="415"/>
        <v>0</v>
      </c>
      <c r="AP121" s="16">
        <f t="shared" si="416"/>
        <v>0</v>
      </c>
      <c r="AQ121" s="16">
        <f t="shared" si="417"/>
        <v>0</v>
      </c>
      <c r="AR121" s="16">
        <f t="shared" si="418"/>
        <v>23409.403335580497</v>
      </c>
      <c r="AS121" s="16">
        <f t="shared" si="419"/>
        <v>76764.723514164012</v>
      </c>
      <c r="AT121" s="16">
        <f t="shared" si="420"/>
        <v>100828.0335189834</v>
      </c>
      <c r="AU121" s="16">
        <f t="shared" si="421"/>
        <v>128130.935625</v>
      </c>
      <c r="AV121" s="16">
        <f t="shared" si="422"/>
        <v>114878.90634391615</v>
      </c>
      <c r="AW121" s="16">
        <f t="shared" si="423"/>
        <v>123002.77858797912</v>
      </c>
      <c r="DS121" s="16"/>
      <c r="DT121" s="16"/>
      <c r="DU121" s="16"/>
      <c r="DV121" s="16"/>
      <c r="DW121" s="16"/>
      <c r="DX121" s="16"/>
      <c r="DY121" s="16"/>
      <c r="DZ121" s="16"/>
      <c r="EA121" s="16"/>
      <c r="EB121" s="16"/>
      <c r="EC121" s="16"/>
      <c r="ED121" s="16"/>
      <c r="EE121" s="16"/>
      <c r="EF121" s="16"/>
      <c r="EG121" s="16"/>
      <c r="EH121" s="16"/>
      <c r="EI121" s="16"/>
      <c r="EJ121" s="16"/>
      <c r="EK121" s="16"/>
      <c r="EL121" s="16">
        <f>EK120</f>
        <v>9243.6431210360988</v>
      </c>
      <c r="EM121" s="16">
        <f t="shared" si="437"/>
        <v>14165.760214544398</v>
      </c>
      <c r="EN121" s="16">
        <f t="shared" si="437"/>
        <v>33723.055415309405</v>
      </c>
      <c r="EO121" s="16">
        <f t="shared" si="437"/>
        <v>16419.2364341838</v>
      </c>
      <c r="EP121" s="16">
        <f t="shared" si="437"/>
        <v>26622.431664670799</v>
      </c>
      <c r="EQ121" s="16">
        <f t="shared" si="437"/>
        <v>46337.128518983394</v>
      </c>
      <c r="ER121" s="16">
        <f t="shared" si="437"/>
        <v>16347.271500000001</v>
      </c>
      <c r="ES121" s="16">
        <f t="shared" si="437"/>
        <v>38143.633500000004</v>
      </c>
      <c r="ET121" s="16">
        <f t="shared" si="437"/>
        <v>54490.904999999999</v>
      </c>
      <c r="EU121" s="16">
        <f t="shared" si="438"/>
        <v>14728.006125</v>
      </c>
      <c r="EV121" s="16">
        <f t="shared" si="438"/>
        <v>58912.0245</v>
      </c>
      <c r="EW121" s="16">
        <f t="shared" si="438"/>
        <v>73640.030624999999</v>
      </c>
      <c r="EX121" s="16">
        <f t="shared" si="438"/>
        <v>12896.065734949832</v>
      </c>
      <c r="EY121" s="16">
        <f t="shared" si="438"/>
        <v>28342.809983966323</v>
      </c>
      <c r="EZ121" s="16">
        <f t="shared" si="438"/>
        <v>56318.115227445407</v>
      </c>
      <c r="FA121" s="16">
        <f t="shared" si="438"/>
        <v>22518.211737722806</v>
      </c>
      <c r="FB121" s="16">
        <f t="shared" si="438"/>
        <v>44166.451622810913</v>
      </c>
    </row>
    <row r="122" spans="3:158" x14ac:dyDescent="0.25">
      <c r="C122" t="s">
        <v>782</v>
      </c>
      <c r="D122" s="16">
        <f t="shared" si="440"/>
        <v>0</v>
      </c>
      <c r="E122" s="16">
        <f t="shared" si="440"/>
        <v>0</v>
      </c>
      <c r="F122" s="16">
        <f t="shared" si="440"/>
        <v>0</v>
      </c>
      <c r="G122" s="16">
        <f t="shared" si="440"/>
        <v>0</v>
      </c>
      <c r="H122" s="16">
        <f t="shared" si="440"/>
        <v>0</v>
      </c>
      <c r="I122" s="16">
        <f t="shared" si="440"/>
        <v>0</v>
      </c>
      <c r="J122" s="16">
        <f t="shared" si="440"/>
        <v>0</v>
      </c>
      <c r="K122" s="16">
        <f t="shared" si="440"/>
        <v>73551.695185073695</v>
      </c>
      <c r="L122" s="16">
        <f t="shared" si="440"/>
        <v>449296.63411773863</v>
      </c>
      <c r="M122" s="16"/>
      <c r="N122" s="16">
        <f t="shared" si="388"/>
        <v>0</v>
      </c>
      <c r="O122" s="16">
        <f t="shared" si="389"/>
        <v>0</v>
      </c>
      <c r="P122" s="16">
        <f t="shared" si="390"/>
        <v>0</v>
      </c>
      <c r="Q122" s="16">
        <f t="shared" si="391"/>
        <v>0</v>
      </c>
      <c r="R122" s="16">
        <f t="shared" si="392"/>
        <v>0</v>
      </c>
      <c r="S122" s="16">
        <f t="shared" si="393"/>
        <v>0</v>
      </c>
      <c r="T122" s="16">
        <f t="shared" si="394"/>
        <v>0</v>
      </c>
      <c r="U122" s="16">
        <f t="shared" si="395"/>
        <v>0</v>
      </c>
      <c r="V122" s="16">
        <f t="shared" si="396"/>
        <v>0</v>
      </c>
      <c r="W122" s="16">
        <f t="shared" si="397"/>
        <v>0</v>
      </c>
      <c r="X122" s="16">
        <f t="shared" si="398"/>
        <v>0</v>
      </c>
      <c r="Y122" s="16">
        <f t="shared" si="399"/>
        <v>0</v>
      </c>
      <c r="Z122" s="16">
        <f t="shared" si="400"/>
        <v>0</v>
      </c>
      <c r="AA122" s="16">
        <f t="shared" si="401"/>
        <v>0</v>
      </c>
      <c r="AB122" s="16">
        <f t="shared" si="402"/>
        <v>0</v>
      </c>
      <c r="AC122" s="16">
        <f t="shared" si="403"/>
        <v>0</v>
      </c>
      <c r="AD122" s="16">
        <f t="shared" si="404"/>
        <v>0</v>
      </c>
      <c r="AE122" s="16">
        <f t="shared" si="405"/>
        <v>0</v>
      </c>
      <c r="AF122" s="16">
        <f t="shared" si="406"/>
        <v>0</v>
      </c>
      <c r="AG122" s="16">
        <f t="shared" si="407"/>
        <v>0</v>
      </c>
      <c r="AH122" s="16">
        <f t="shared" si="408"/>
        <v>0</v>
      </c>
      <c r="AI122" s="16">
        <f t="shared" si="409"/>
        <v>0</v>
      </c>
      <c r="AJ122" s="16">
        <f t="shared" si="410"/>
        <v>0</v>
      </c>
      <c r="AK122" s="16">
        <f t="shared" si="411"/>
        <v>0</v>
      </c>
      <c r="AL122" s="16">
        <f t="shared" si="412"/>
        <v>0</v>
      </c>
      <c r="AM122" s="16">
        <f t="shared" si="413"/>
        <v>0</v>
      </c>
      <c r="AN122" s="16">
        <f t="shared" si="414"/>
        <v>0</v>
      </c>
      <c r="AO122" s="16">
        <f t="shared" si="415"/>
        <v>0</v>
      </c>
      <c r="AP122" s="16">
        <f t="shared" si="416"/>
        <v>0</v>
      </c>
      <c r="AQ122" s="16">
        <f t="shared" si="417"/>
        <v>0</v>
      </c>
      <c r="AR122" s="16">
        <f t="shared" si="418"/>
        <v>9243.6431210360988</v>
      </c>
      <c r="AS122" s="16">
        <f t="shared" si="419"/>
        <v>64308.052064037605</v>
      </c>
      <c r="AT122" s="16">
        <f t="shared" si="420"/>
        <v>89306.831683654193</v>
      </c>
      <c r="AU122" s="16">
        <f t="shared" si="421"/>
        <v>107362.54462499999</v>
      </c>
      <c r="AV122" s="16">
        <f t="shared" si="422"/>
        <v>145448.12085994985</v>
      </c>
      <c r="AW122" s="16">
        <f t="shared" si="423"/>
        <v>107179.13694913452</v>
      </c>
      <c r="DS122" s="16"/>
      <c r="DT122" s="16"/>
      <c r="DU122" s="16"/>
      <c r="DV122" s="16"/>
      <c r="DW122" s="16"/>
      <c r="DX122" s="16"/>
      <c r="DY122" s="16"/>
      <c r="DZ122" s="16"/>
      <c r="EA122" s="16"/>
      <c r="EB122" s="16"/>
      <c r="EC122" s="16"/>
      <c r="ED122" s="16"/>
      <c r="EE122" s="16"/>
      <c r="EF122" s="16"/>
      <c r="EG122" s="16"/>
      <c r="EH122" s="16"/>
      <c r="EI122" s="16"/>
      <c r="EJ122" s="16"/>
      <c r="EK122" s="16"/>
      <c r="EL122" s="16"/>
      <c r="EM122" s="16">
        <f>EL121</f>
        <v>9243.6431210360988</v>
      </c>
      <c r="EN122" s="16">
        <f t="shared" ref="EN122:FB125" si="441">EM121</f>
        <v>14165.760214544398</v>
      </c>
      <c r="EO122" s="16">
        <f t="shared" si="441"/>
        <v>33723.055415309405</v>
      </c>
      <c r="EP122" s="16">
        <f t="shared" si="441"/>
        <v>16419.2364341838</v>
      </c>
      <c r="EQ122" s="16">
        <f t="shared" si="441"/>
        <v>26622.431664670799</v>
      </c>
      <c r="ER122" s="16">
        <f t="shared" si="441"/>
        <v>46337.128518983394</v>
      </c>
      <c r="ES122" s="16">
        <f t="shared" si="441"/>
        <v>16347.271500000001</v>
      </c>
      <c r="ET122" s="16">
        <f t="shared" si="441"/>
        <v>38143.633500000004</v>
      </c>
      <c r="EU122" s="16">
        <f t="shared" si="441"/>
        <v>54490.904999999999</v>
      </c>
      <c r="EV122" s="16">
        <f t="shared" si="441"/>
        <v>14728.006125</v>
      </c>
      <c r="EW122" s="16">
        <f t="shared" si="441"/>
        <v>58912.0245</v>
      </c>
      <c r="EX122" s="16">
        <f t="shared" si="441"/>
        <v>73640.030624999999</v>
      </c>
      <c r="EY122" s="16">
        <f t="shared" si="441"/>
        <v>12896.065734949832</v>
      </c>
      <c r="EZ122" s="16">
        <f t="shared" si="441"/>
        <v>28342.809983966323</v>
      </c>
      <c r="FA122" s="16">
        <f t="shared" si="441"/>
        <v>56318.115227445407</v>
      </c>
      <c r="FB122" s="16">
        <f t="shared" si="441"/>
        <v>22518.211737722806</v>
      </c>
    </row>
    <row r="123" spans="3:158" x14ac:dyDescent="0.25">
      <c r="C123" t="s">
        <v>783</v>
      </c>
      <c r="D123" s="16">
        <f t="shared" si="440"/>
        <v>0</v>
      </c>
      <c r="E123" s="16">
        <f t="shared" si="440"/>
        <v>0</v>
      </c>
      <c r="F123" s="16">
        <f t="shared" si="440"/>
        <v>0</v>
      </c>
      <c r="G123" s="16">
        <f t="shared" si="440"/>
        <v>0</v>
      </c>
      <c r="H123" s="16">
        <f t="shared" si="440"/>
        <v>0</v>
      </c>
      <c r="I123" s="16">
        <f t="shared" si="440"/>
        <v>0</v>
      </c>
      <c r="J123" s="16">
        <f t="shared" si="440"/>
        <v>0</v>
      </c>
      <c r="K123" s="16">
        <f t="shared" si="440"/>
        <v>57132.458750889899</v>
      </c>
      <c r="L123" s="16">
        <f t="shared" si="440"/>
        <v>443197.65881419962</v>
      </c>
      <c r="M123" s="16"/>
      <c r="N123" s="16">
        <f t="shared" si="388"/>
        <v>0</v>
      </c>
      <c r="O123" s="16">
        <f t="shared" si="389"/>
        <v>0</v>
      </c>
      <c r="P123" s="16">
        <f t="shared" si="390"/>
        <v>0</v>
      </c>
      <c r="Q123" s="16">
        <f t="shared" si="391"/>
        <v>0</v>
      </c>
      <c r="R123" s="16">
        <f t="shared" si="392"/>
        <v>0</v>
      </c>
      <c r="S123" s="16">
        <f t="shared" si="393"/>
        <v>0</v>
      </c>
      <c r="T123" s="16">
        <f t="shared" si="394"/>
        <v>0</v>
      </c>
      <c r="U123" s="16">
        <f t="shared" si="395"/>
        <v>0</v>
      </c>
      <c r="V123" s="16">
        <f t="shared" si="396"/>
        <v>0</v>
      </c>
      <c r="W123" s="16">
        <f t="shared" si="397"/>
        <v>0</v>
      </c>
      <c r="X123" s="16">
        <f t="shared" si="398"/>
        <v>0</v>
      </c>
      <c r="Y123" s="16">
        <f t="shared" si="399"/>
        <v>0</v>
      </c>
      <c r="Z123" s="16">
        <f t="shared" si="400"/>
        <v>0</v>
      </c>
      <c r="AA123" s="16">
        <f t="shared" si="401"/>
        <v>0</v>
      </c>
      <c r="AB123" s="16">
        <f t="shared" si="402"/>
        <v>0</v>
      </c>
      <c r="AC123" s="16">
        <f t="shared" si="403"/>
        <v>0</v>
      </c>
      <c r="AD123" s="16">
        <f t="shared" si="404"/>
        <v>0</v>
      </c>
      <c r="AE123" s="16">
        <f t="shared" si="405"/>
        <v>0</v>
      </c>
      <c r="AF123" s="16">
        <f t="shared" si="406"/>
        <v>0</v>
      </c>
      <c r="AG123" s="16">
        <f t="shared" si="407"/>
        <v>0</v>
      </c>
      <c r="AH123" s="16">
        <f t="shared" si="408"/>
        <v>0</v>
      </c>
      <c r="AI123" s="16">
        <f t="shared" si="409"/>
        <v>0</v>
      </c>
      <c r="AJ123" s="16">
        <f t="shared" si="410"/>
        <v>0</v>
      </c>
      <c r="AK123" s="16">
        <f t="shared" si="411"/>
        <v>0</v>
      </c>
      <c r="AL123" s="16">
        <f t="shared" si="412"/>
        <v>0</v>
      </c>
      <c r="AM123" s="16">
        <f t="shared" si="413"/>
        <v>0</v>
      </c>
      <c r="AN123" s="16">
        <f t="shared" si="414"/>
        <v>0</v>
      </c>
      <c r="AO123" s="16">
        <f t="shared" si="415"/>
        <v>0</v>
      </c>
      <c r="AP123" s="16">
        <f t="shared" si="416"/>
        <v>0</v>
      </c>
      <c r="AQ123" s="16">
        <f t="shared" si="417"/>
        <v>0</v>
      </c>
      <c r="AR123" s="16">
        <f t="shared" si="418"/>
        <v>0</v>
      </c>
      <c r="AS123" s="16">
        <f t="shared" si="419"/>
        <v>57132.458750889899</v>
      </c>
      <c r="AT123" s="16">
        <f t="shared" si="420"/>
        <v>89378.796617838001</v>
      </c>
      <c r="AU123" s="16">
        <f t="shared" si="421"/>
        <v>108981.81</v>
      </c>
      <c r="AV123" s="16">
        <f t="shared" si="422"/>
        <v>147280.06125</v>
      </c>
      <c r="AW123" s="16">
        <f t="shared" si="423"/>
        <v>97556.990946361562</v>
      </c>
      <c r="DS123" s="16"/>
      <c r="DT123" s="16"/>
      <c r="DU123" s="16"/>
      <c r="DV123" s="16"/>
      <c r="DW123" s="16"/>
      <c r="DX123" s="16"/>
      <c r="DY123" s="16"/>
      <c r="DZ123" s="16"/>
      <c r="EA123" s="16"/>
      <c r="EB123" s="16"/>
      <c r="EC123" s="16"/>
      <c r="ED123" s="16"/>
      <c r="EE123" s="16"/>
      <c r="EF123" s="16"/>
      <c r="EG123" s="16"/>
      <c r="EH123" s="16"/>
      <c r="EI123" s="16"/>
      <c r="EJ123" s="16"/>
      <c r="EK123" s="16"/>
      <c r="EL123" s="16"/>
      <c r="EM123" s="16"/>
      <c r="EN123" s="16">
        <f t="shared" si="441"/>
        <v>9243.6431210360988</v>
      </c>
      <c r="EO123" s="16">
        <f t="shared" si="441"/>
        <v>14165.760214544398</v>
      </c>
      <c r="EP123" s="16">
        <f t="shared" si="441"/>
        <v>33723.055415309405</v>
      </c>
      <c r="EQ123" s="16">
        <f t="shared" si="441"/>
        <v>16419.2364341838</v>
      </c>
      <c r="ER123" s="16">
        <f t="shared" si="441"/>
        <v>26622.431664670799</v>
      </c>
      <c r="ES123" s="16">
        <f t="shared" si="441"/>
        <v>46337.128518983394</v>
      </c>
      <c r="ET123" s="16">
        <f t="shared" si="441"/>
        <v>16347.271500000001</v>
      </c>
      <c r="EU123" s="16">
        <f t="shared" si="441"/>
        <v>38143.633500000004</v>
      </c>
      <c r="EV123" s="16">
        <f t="shared" si="441"/>
        <v>54490.904999999999</v>
      </c>
      <c r="EW123" s="16">
        <f t="shared" si="441"/>
        <v>14728.006125</v>
      </c>
      <c r="EX123" s="16">
        <f t="shared" si="441"/>
        <v>58912.0245</v>
      </c>
      <c r="EY123" s="16">
        <f t="shared" si="441"/>
        <v>73640.030624999999</v>
      </c>
      <c r="EZ123" s="16">
        <f t="shared" si="441"/>
        <v>12896.065734949832</v>
      </c>
      <c r="FA123" s="16">
        <f t="shared" si="441"/>
        <v>28342.809983966323</v>
      </c>
      <c r="FB123" s="16">
        <f t="shared" si="441"/>
        <v>56318.115227445407</v>
      </c>
    </row>
    <row r="124" spans="3:158" x14ac:dyDescent="0.25">
      <c r="C124" t="s">
        <v>784</v>
      </c>
      <c r="D124" s="16">
        <f t="shared" si="440"/>
        <v>0</v>
      </c>
      <c r="E124" s="16">
        <f t="shared" si="440"/>
        <v>0</v>
      </c>
      <c r="F124" s="16">
        <f t="shared" si="440"/>
        <v>0</v>
      </c>
      <c r="G124" s="16">
        <f t="shared" si="440"/>
        <v>0</v>
      </c>
      <c r="H124" s="16">
        <f t="shared" si="440"/>
        <v>0</v>
      </c>
      <c r="I124" s="16">
        <f t="shared" si="440"/>
        <v>0</v>
      </c>
      <c r="J124" s="16">
        <f t="shared" si="440"/>
        <v>0</v>
      </c>
      <c r="K124" s="16">
        <f t="shared" si="440"/>
        <v>23409.403335580497</v>
      </c>
      <c r="L124" s="16">
        <f t="shared" si="440"/>
        <v>420602.59900206362</v>
      </c>
      <c r="M124" s="16"/>
      <c r="N124" s="16">
        <f t="shared" si="388"/>
        <v>0</v>
      </c>
      <c r="O124" s="16">
        <f t="shared" si="389"/>
        <v>0</v>
      </c>
      <c r="P124" s="16">
        <f t="shared" si="390"/>
        <v>0</v>
      </c>
      <c r="Q124" s="16">
        <f t="shared" si="391"/>
        <v>0</v>
      </c>
      <c r="R124" s="16">
        <f t="shared" si="392"/>
        <v>0</v>
      </c>
      <c r="S124" s="16">
        <f t="shared" si="393"/>
        <v>0</v>
      </c>
      <c r="T124" s="16">
        <f t="shared" si="394"/>
        <v>0</v>
      </c>
      <c r="U124" s="16">
        <f t="shared" si="395"/>
        <v>0</v>
      </c>
      <c r="V124" s="16">
        <f t="shared" si="396"/>
        <v>0</v>
      </c>
      <c r="W124" s="16">
        <f t="shared" si="397"/>
        <v>0</v>
      </c>
      <c r="X124" s="16">
        <f t="shared" si="398"/>
        <v>0</v>
      </c>
      <c r="Y124" s="16">
        <f t="shared" si="399"/>
        <v>0</v>
      </c>
      <c r="Z124" s="16">
        <f t="shared" si="400"/>
        <v>0</v>
      </c>
      <c r="AA124" s="16">
        <f t="shared" si="401"/>
        <v>0</v>
      </c>
      <c r="AB124" s="16">
        <f t="shared" si="402"/>
        <v>0</v>
      </c>
      <c r="AC124" s="16">
        <f t="shared" si="403"/>
        <v>0</v>
      </c>
      <c r="AD124" s="16">
        <f t="shared" si="404"/>
        <v>0</v>
      </c>
      <c r="AE124" s="16">
        <f t="shared" si="405"/>
        <v>0</v>
      </c>
      <c r="AF124" s="16">
        <f t="shared" si="406"/>
        <v>0</v>
      </c>
      <c r="AG124" s="16">
        <f t="shared" si="407"/>
        <v>0</v>
      </c>
      <c r="AH124" s="16">
        <f t="shared" si="408"/>
        <v>0</v>
      </c>
      <c r="AI124" s="16">
        <f t="shared" si="409"/>
        <v>0</v>
      </c>
      <c r="AJ124" s="16">
        <f t="shared" si="410"/>
        <v>0</v>
      </c>
      <c r="AK124" s="16">
        <f t="shared" si="411"/>
        <v>0</v>
      </c>
      <c r="AL124" s="16">
        <f t="shared" si="412"/>
        <v>0</v>
      </c>
      <c r="AM124" s="16">
        <f t="shared" si="413"/>
        <v>0</v>
      </c>
      <c r="AN124" s="16">
        <f t="shared" si="414"/>
        <v>0</v>
      </c>
      <c r="AO124" s="16">
        <f t="shared" si="415"/>
        <v>0</v>
      </c>
      <c r="AP124" s="16">
        <f t="shared" si="416"/>
        <v>0</v>
      </c>
      <c r="AQ124" s="16">
        <f t="shared" si="417"/>
        <v>0</v>
      </c>
      <c r="AR124" s="16">
        <f t="shared" si="418"/>
        <v>0</v>
      </c>
      <c r="AS124" s="16">
        <f t="shared" si="419"/>
        <v>23409.403335580497</v>
      </c>
      <c r="AT124" s="16">
        <f t="shared" si="420"/>
        <v>76764.723514164012</v>
      </c>
      <c r="AU124" s="16">
        <f t="shared" si="421"/>
        <v>100828.0335189834</v>
      </c>
      <c r="AV124" s="16">
        <f t="shared" si="422"/>
        <v>128130.935625</v>
      </c>
      <c r="AW124" s="16">
        <f t="shared" si="423"/>
        <v>114878.90634391615</v>
      </c>
      <c r="DS124" s="16"/>
      <c r="DT124" s="16"/>
      <c r="DU124" s="16"/>
      <c r="DV124" s="16"/>
      <c r="DW124" s="16"/>
      <c r="DX124" s="16"/>
      <c r="DY124" s="16"/>
      <c r="DZ124" s="16"/>
      <c r="EA124" s="16"/>
      <c r="EB124" s="16"/>
      <c r="EC124" s="16"/>
      <c r="ED124" s="16"/>
      <c r="EE124" s="16"/>
      <c r="EF124" s="16"/>
      <c r="EG124" s="16"/>
      <c r="EH124" s="16"/>
      <c r="EI124" s="16"/>
      <c r="EJ124" s="16"/>
      <c r="EK124" s="16"/>
      <c r="EL124" s="16"/>
      <c r="EM124" s="16"/>
      <c r="EN124" s="16"/>
      <c r="EO124" s="16">
        <f>EN123</f>
        <v>9243.6431210360988</v>
      </c>
      <c r="EP124" s="16">
        <f t="shared" si="441"/>
        <v>14165.760214544398</v>
      </c>
      <c r="EQ124" s="16">
        <f t="shared" si="441"/>
        <v>33723.055415309405</v>
      </c>
      <c r="ER124" s="16">
        <f t="shared" si="441"/>
        <v>16419.2364341838</v>
      </c>
      <c r="ES124" s="16">
        <f t="shared" si="441"/>
        <v>26622.431664670799</v>
      </c>
      <c r="ET124" s="16">
        <f t="shared" si="441"/>
        <v>46337.128518983394</v>
      </c>
      <c r="EU124" s="16">
        <f t="shared" si="441"/>
        <v>16347.271500000001</v>
      </c>
      <c r="EV124" s="16">
        <f t="shared" si="441"/>
        <v>38143.633500000004</v>
      </c>
      <c r="EW124" s="16">
        <f t="shared" si="441"/>
        <v>54490.904999999999</v>
      </c>
      <c r="EX124" s="16">
        <f t="shared" si="441"/>
        <v>14728.006125</v>
      </c>
      <c r="EY124" s="16">
        <f t="shared" si="441"/>
        <v>58912.0245</v>
      </c>
      <c r="EZ124" s="16">
        <f t="shared" si="441"/>
        <v>73640.030624999999</v>
      </c>
      <c r="FA124" s="16">
        <f t="shared" si="441"/>
        <v>12896.065734949832</v>
      </c>
      <c r="FB124" s="16">
        <f t="shared" si="441"/>
        <v>28342.809983966323</v>
      </c>
    </row>
    <row r="125" spans="3:158" x14ac:dyDescent="0.25">
      <c r="C125" t="s">
        <v>785</v>
      </c>
      <c r="D125" s="16">
        <f t="shared" si="440"/>
        <v>0</v>
      </c>
      <c r="E125" s="16">
        <f t="shared" si="440"/>
        <v>0</v>
      </c>
      <c r="F125" s="16">
        <f t="shared" si="440"/>
        <v>0</v>
      </c>
      <c r="G125" s="16">
        <f t="shared" si="440"/>
        <v>0</v>
      </c>
      <c r="H125" s="16">
        <f t="shared" si="440"/>
        <v>0</v>
      </c>
      <c r="I125" s="16">
        <f t="shared" si="440"/>
        <v>0</v>
      </c>
      <c r="J125" s="16">
        <f t="shared" si="440"/>
        <v>0</v>
      </c>
      <c r="K125" s="16">
        <f t="shared" si="440"/>
        <v>9243.6431210360988</v>
      </c>
      <c r="L125" s="16">
        <f t="shared" si="440"/>
        <v>406425.54923264164</v>
      </c>
      <c r="M125" s="16"/>
      <c r="N125" s="16">
        <f t="shared" si="388"/>
        <v>0</v>
      </c>
      <c r="O125" s="16">
        <f t="shared" si="389"/>
        <v>0</v>
      </c>
      <c r="P125" s="16">
        <f t="shared" si="390"/>
        <v>0</v>
      </c>
      <c r="Q125" s="16">
        <f t="shared" si="391"/>
        <v>0</v>
      </c>
      <c r="R125" s="16">
        <f t="shared" si="392"/>
        <v>0</v>
      </c>
      <c r="S125" s="16">
        <f t="shared" si="393"/>
        <v>0</v>
      </c>
      <c r="T125" s="16">
        <f t="shared" si="394"/>
        <v>0</v>
      </c>
      <c r="U125" s="16">
        <f t="shared" si="395"/>
        <v>0</v>
      </c>
      <c r="V125" s="16">
        <f t="shared" si="396"/>
        <v>0</v>
      </c>
      <c r="W125" s="16">
        <f t="shared" si="397"/>
        <v>0</v>
      </c>
      <c r="X125" s="16">
        <f t="shared" si="398"/>
        <v>0</v>
      </c>
      <c r="Y125" s="16">
        <f t="shared" si="399"/>
        <v>0</v>
      </c>
      <c r="Z125" s="16">
        <f t="shared" si="400"/>
        <v>0</v>
      </c>
      <c r="AA125" s="16">
        <f t="shared" si="401"/>
        <v>0</v>
      </c>
      <c r="AB125" s="16">
        <f t="shared" si="402"/>
        <v>0</v>
      </c>
      <c r="AC125" s="16">
        <f t="shared" si="403"/>
        <v>0</v>
      </c>
      <c r="AD125" s="16">
        <f t="shared" si="404"/>
        <v>0</v>
      </c>
      <c r="AE125" s="16">
        <f t="shared" si="405"/>
        <v>0</v>
      </c>
      <c r="AF125" s="16">
        <f t="shared" si="406"/>
        <v>0</v>
      </c>
      <c r="AG125" s="16">
        <f t="shared" si="407"/>
        <v>0</v>
      </c>
      <c r="AH125" s="16">
        <f t="shared" si="408"/>
        <v>0</v>
      </c>
      <c r="AI125" s="16">
        <f t="shared" si="409"/>
        <v>0</v>
      </c>
      <c r="AJ125" s="16">
        <f t="shared" si="410"/>
        <v>0</v>
      </c>
      <c r="AK125" s="16">
        <f t="shared" si="411"/>
        <v>0</v>
      </c>
      <c r="AL125" s="16">
        <f t="shared" si="412"/>
        <v>0</v>
      </c>
      <c r="AM125" s="16">
        <f t="shared" si="413"/>
        <v>0</v>
      </c>
      <c r="AN125" s="16">
        <f t="shared" si="414"/>
        <v>0</v>
      </c>
      <c r="AO125" s="16">
        <f t="shared" si="415"/>
        <v>0</v>
      </c>
      <c r="AP125" s="16">
        <f t="shared" si="416"/>
        <v>0</v>
      </c>
      <c r="AQ125" s="16">
        <f t="shared" si="417"/>
        <v>0</v>
      </c>
      <c r="AR125" s="16">
        <f t="shared" si="418"/>
        <v>0</v>
      </c>
      <c r="AS125" s="16">
        <f t="shared" si="419"/>
        <v>9243.6431210360988</v>
      </c>
      <c r="AT125" s="16">
        <f t="shared" si="420"/>
        <v>64308.052064037605</v>
      </c>
      <c r="AU125" s="16">
        <f t="shared" si="421"/>
        <v>89306.831683654193</v>
      </c>
      <c r="AV125" s="16">
        <f t="shared" si="422"/>
        <v>107362.54462499999</v>
      </c>
      <c r="AW125" s="16">
        <f t="shared" si="423"/>
        <v>145448.12085994985</v>
      </c>
      <c r="DS125" s="16"/>
      <c r="DT125" s="16"/>
      <c r="DU125" s="16"/>
      <c r="DV125" s="16"/>
      <c r="DW125" s="16"/>
      <c r="DX125" s="16"/>
      <c r="DY125" s="16"/>
      <c r="DZ125" s="16"/>
      <c r="EA125" s="16"/>
      <c r="EB125" s="16"/>
      <c r="EC125" s="16"/>
      <c r="ED125" s="16"/>
      <c r="EE125" s="16"/>
      <c r="EF125" s="16"/>
      <c r="EG125" s="16"/>
      <c r="EH125" s="16"/>
      <c r="EI125" s="16"/>
      <c r="EJ125" s="16"/>
      <c r="EK125" s="16"/>
      <c r="EL125" s="16"/>
      <c r="EM125" s="16"/>
      <c r="EN125" s="16"/>
      <c r="EO125" s="16"/>
      <c r="EP125" s="16">
        <f>EO124</f>
        <v>9243.6431210360988</v>
      </c>
      <c r="EQ125" s="16">
        <f t="shared" si="441"/>
        <v>14165.760214544398</v>
      </c>
      <c r="ER125" s="16">
        <f t="shared" si="441"/>
        <v>33723.055415309405</v>
      </c>
      <c r="ES125" s="16">
        <f t="shared" si="441"/>
        <v>16419.2364341838</v>
      </c>
      <c r="ET125" s="16">
        <f t="shared" si="441"/>
        <v>26622.431664670799</v>
      </c>
      <c r="EU125" s="16">
        <f t="shared" si="441"/>
        <v>46337.128518983394</v>
      </c>
      <c r="EV125" s="16">
        <f t="shared" si="441"/>
        <v>16347.271500000001</v>
      </c>
      <c r="EW125" s="16">
        <f t="shared" si="441"/>
        <v>38143.633500000004</v>
      </c>
      <c r="EX125" s="16">
        <f t="shared" si="441"/>
        <v>54490.904999999999</v>
      </c>
      <c r="EY125" s="16">
        <f t="shared" si="441"/>
        <v>14728.006125</v>
      </c>
      <c r="EZ125" s="16">
        <f t="shared" si="441"/>
        <v>58912.0245</v>
      </c>
      <c r="FA125" s="16">
        <f t="shared" si="441"/>
        <v>73640.030624999999</v>
      </c>
      <c r="FB125" s="16">
        <f t="shared" si="441"/>
        <v>12896.065734949832</v>
      </c>
    </row>
    <row r="126" spans="3:158" x14ac:dyDescent="0.25">
      <c r="C126" s="417" t="s">
        <v>794</v>
      </c>
      <c r="D126" s="418">
        <f>SUM(D66:D125)</f>
        <v>0</v>
      </c>
      <c r="E126" s="418">
        <f t="shared" ref="E126:L126" si="442">SUM(E66:E125)</f>
        <v>0</v>
      </c>
      <c r="F126" s="418">
        <f t="shared" si="442"/>
        <v>0</v>
      </c>
      <c r="G126" s="418">
        <f t="shared" si="442"/>
        <v>2031503.6293234203</v>
      </c>
      <c r="H126" s="418">
        <f t="shared" si="442"/>
        <v>7786247.0954780504</v>
      </c>
      <c r="I126" s="418">
        <f t="shared" si="442"/>
        <v>15901966.750353379</v>
      </c>
      <c r="J126" s="418">
        <f t="shared" si="442"/>
        <v>27663251.904271264</v>
      </c>
      <c r="K126" s="418">
        <f t="shared" si="442"/>
        <v>44555669.142831042</v>
      </c>
      <c r="L126" s="418">
        <f t="shared" si="442"/>
        <v>66365799.194120146</v>
      </c>
      <c r="N126" s="418">
        <f t="shared" ref="N126:AW126" si="443">SUM(N66:N125)</f>
        <v>0</v>
      </c>
      <c r="O126" s="418">
        <f t="shared" si="443"/>
        <v>0</v>
      </c>
      <c r="P126" s="418">
        <f t="shared" si="443"/>
        <v>0</v>
      </c>
      <c r="Q126" s="418">
        <f t="shared" si="443"/>
        <v>0</v>
      </c>
      <c r="R126" s="418">
        <f t="shared" si="443"/>
        <v>0</v>
      </c>
      <c r="S126" s="418">
        <f t="shared" si="443"/>
        <v>0</v>
      </c>
      <c r="T126" s="418">
        <f t="shared" si="443"/>
        <v>0</v>
      </c>
      <c r="U126" s="418">
        <f t="shared" si="443"/>
        <v>0</v>
      </c>
      <c r="V126" s="418">
        <f t="shared" si="443"/>
        <v>0</v>
      </c>
      <c r="W126" s="418">
        <f t="shared" si="443"/>
        <v>0</v>
      </c>
      <c r="X126" s="418">
        <f t="shared" si="443"/>
        <v>0</v>
      </c>
      <c r="Y126" s="418">
        <f t="shared" si="443"/>
        <v>0</v>
      </c>
      <c r="Z126" s="418">
        <f t="shared" si="443"/>
        <v>89785.505207506503</v>
      </c>
      <c r="AA126" s="418">
        <f t="shared" si="443"/>
        <v>320237.07740354608</v>
      </c>
      <c r="AB126" s="418">
        <f t="shared" si="443"/>
        <v>619353.75260618364</v>
      </c>
      <c r="AC126" s="418">
        <f t="shared" si="443"/>
        <v>1002127.2941061837</v>
      </c>
      <c r="AD126" s="418">
        <f t="shared" si="443"/>
        <v>1360011.3122564114</v>
      </c>
      <c r="AE126" s="418">
        <f t="shared" si="443"/>
        <v>1719993.3759796589</v>
      </c>
      <c r="AF126" s="418">
        <f t="shared" si="443"/>
        <v>2100159.3132289201</v>
      </c>
      <c r="AG126" s="418">
        <f t="shared" si="443"/>
        <v>2606083.0940130628</v>
      </c>
      <c r="AH126" s="418">
        <f t="shared" si="443"/>
        <v>3094596.3926465195</v>
      </c>
      <c r="AI126" s="418">
        <f t="shared" si="443"/>
        <v>3649474.8928883094</v>
      </c>
      <c r="AJ126" s="418">
        <f t="shared" si="443"/>
        <v>4219976.7753309682</v>
      </c>
      <c r="AK126" s="418">
        <f t="shared" si="443"/>
        <v>4937918.6894875774</v>
      </c>
      <c r="AL126" s="418">
        <f t="shared" si="443"/>
        <v>5638514.7984021697</v>
      </c>
      <c r="AM126" s="418">
        <f t="shared" si="443"/>
        <v>6443088.6237527654</v>
      </c>
      <c r="AN126" s="418">
        <f t="shared" si="443"/>
        <v>7270316.3532946222</v>
      </c>
      <c r="AO126" s="418">
        <f t="shared" si="443"/>
        <v>8311332.1288217064</v>
      </c>
      <c r="AP126" s="418">
        <f t="shared" si="443"/>
        <v>9318767.3825342134</v>
      </c>
      <c r="AQ126" s="418">
        <f t="shared" si="443"/>
        <v>10465285.083658811</v>
      </c>
      <c r="AR126" s="418">
        <f t="shared" si="443"/>
        <v>11644084.598255958</v>
      </c>
      <c r="AS126" s="418">
        <f t="shared" si="443"/>
        <v>13127532.078382052</v>
      </c>
      <c r="AT126" s="418">
        <f t="shared" si="443"/>
        <v>14461330.336210417</v>
      </c>
      <c r="AU126" s="418">
        <f t="shared" si="443"/>
        <v>15836003.545588817</v>
      </c>
      <c r="AV126" s="418">
        <f t="shared" si="443"/>
        <v>17187206.190822188</v>
      </c>
      <c r="AW126" s="418">
        <f t="shared" si="443"/>
        <v>18881259.121498723</v>
      </c>
      <c r="AX126" s="418"/>
      <c r="AY126" s="418">
        <f t="shared" ref="AY126:DJ126" si="444">SUM(AY66:AY125)</f>
        <v>0</v>
      </c>
      <c r="AZ126" s="418">
        <f t="shared" si="444"/>
        <v>0</v>
      </c>
      <c r="BA126" s="418">
        <f t="shared" si="444"/>
        <v>0</v>
      </c>
      <c r="BB126" s="418">
        <f t="shared" si="444"/>
        <v>0</v>
      </c>
      <c r="BC126" s="418">
        <f t="shared" si="444"/>
        <v>0</v>
      </c>
      <c r="BD126" s="418">
        <f t="shared" si="444"/>
        <v>0</v>
      </c>
      <c r="BE126" s="418">
        <f t="shared" si="444"/>
        <v>0</v>
      </c>
      <c r="BF126" s="418">
        <f t="shared" si="444"/>
        <v>0</v>
      </c>
      <c r="BG126" s="418">
        <f t="shared" si="444"/>
        <v>0</v>
      </c>
      <c r="BH126" s="418">
        <f t="shared" si="444"/>
        <v>0</v>
      </c>
      <c r="BI126" s="418">
        <f t="shared" si="444"/>
        <v>0</v>
      </c>
      <c r="BJ126" s="418">
        <f t="shared" si="444"/>
        <v>0</v>
      </c>
      <c r="BK126" s="418">
        <f t="shared" si="444"/>
        <v>0</v>
      </c>
      <c r="BL126" s="418">
        <f t="shared" si="444"/>
        <v>0</v>
      </c>
      <c r="BM126" s="418">
        <f t="shared" si="444"/>
        <v>0</v>
      </c>
      <c r="BN126" s="418">
        <f t="shared" si="444"/>
        <v>0</v>
      </c>
      <c r="BO126" s="418">
        <f t="shared" si="444"/>
        <v>0</v>
      </c>
      <c r="BP126" s="418">
        <f t="shared" si="444"/>
        <v>0</v>
      </c>
      <c r="BQ126" s="418">
        <f t="shared" si="444"/>
        <v>0</v>
      </c>
      <c r="BR126" s="418">
        <f t="shared" si="444"/>
        <v>0</v>
      </c>
      <c r="BS126" s="418">
        <f t="shared" si="444"/>
        <v>0</v>
      </c>
      <c r="BT126" s="418">
        <f t="shared" si="444"/>
        <v>0</v>
      </c>
      <c r="BU126" s="418">
        <f t="shared" si="444"/>
        <v>0</v>
      </c>
      <c r="BV126" s="418">
        <f t="shared" si="444"/>
        <v>0</v>
      </c>
      <c r="BW126" s="418">
        <f t="shared" si="444"/>
        <v>0</v>
      </c>
      <c r="BX126" s="418">
        <f t="shared" si="444"/>
        <v>0</v>
      </c>
      <c r="BY126" s="418">
        <f t="shared" si="444"/>
        <v>0</v>
      </c>
      <c r="BZ126" s="418">
        <f t="shared" si="444"/>
        <v>0</v>
      </c>
      <c r="CA126" s="418">
        <f t="shared" si="444"/>
        <v>0</v>
      </c>
      <c r="CB126" s="418">
        <f t="shared" si="444"/>
        <v>0</v>
      </c>
      <c r="CC126" s="418">
        <f t="shared" si="444"/>
        <v>0</v>
      </c>
      <c r="CD126" s="418">
        <f t="shared" si="444"/>
        <v>0</v>
      </c>
      <c r="CE126" s="418">
        <f t="shared" si="444"/>
        <v>0</v>
      </c>
      <c r="CF126" s="418">
        <f t="shared" si="444"/>
        <v>0</v>
      </c>
      <c r="CG126" s="418">
        <f t="shared" si="444"/>
        <v>0</v>
      </c>
      <c r="CH126" s="418">
        <f t="shared" si="444"/>
        <v>0</v>
      </c>
      <c r="CI126" s="418">
        <f t="shared" si="444"/>
        <v>9243.6431210360988</v>
      </c>
      <c r="CJ126" s="418">
        <f t="shared" si="444"/>
        <v>23409.403335580497</v>
      </c>
      <c r="CK126" s="418">
        <f t="shared" si="444"/>
        <v>57132.458750889899</v>
      </c>
      <c r="CL126" s="418">
        <f t="shared" si="444"/>
        <v>73551.69518507371</v>
      </c>
      <c r="CM126" s="418">
        <f t="shared" si="444"/>
        <v>100174.12684974451</v>
      </c>
      <c r="CN126" s="418">
        <f t="shared" si="444"/>
        <v>146511.25536872787</v>
      </c>
      <c r="CO126" s="418">
        <f t="shared" si="444"/>
        <v>162858.52686872787</v>
      </c>
      <c r="CP126" s="418">
        <f t="shared" si="444"/>
        <v>201002.1603687279</v>
      </c>
      <c r="CQ126" s="418">
        <f t="shared" si="444"/>
        <v>255493.0653687279</v>
      </c>
      <c r="CR126" s="418">
        <f t="shared" si="444"/>
        <v>270221.07149372791</v>
      </c>
      <c r="CS126" s="418">
        <f t="shared" si="444"/>
        <v>329133.09599372791</v>
      </c>
      <c r="CT126" s="418">
        <f t="shared" si="444"/>
        <v>402773.12661872793</v>
      </c>
      <c r="CU126" s="418">
        <f t="shared" si="444"/>
        <v>415669.19235367776</v>
      </c>
      <c r="CV126" s="418">
        <f t="shared" si="444"/>
        <v>444012.00233764405</v>
      </c>
      <c r="CW126" s="418">
        <f t="shared" si="444"/>
        <v>500330.11756508949</v>
      </c>
      <c r="CX126" s="418">
        <f t="shared" si="444"/>
        <v>522848.32930281223</v>
      </c>
      <c r="CY126" s="418">
        <f t="shared" si="444"/>
        <v>567014.78092562314</v>
      </c>
      <c r="CZ126" s="418">
        <f t="shared" si="444"/>
        <v>630130.26575122296</v>
      </c>
      <c r="DA126" s="418">
        <f t="shared" si="444"/>
        <v>651752.96508531738</v>
      </c>
      <c r="DB126" s="418">
        <f t="shared" si="444"/>
        <v>690308.37950629962</v>
      </c>
      <c r="DC126" s="418">
        <f t="shared" si="444"/>
        <v>758097.96863730263</v>
      </c>
      <c r="DD126" s="418">
        <f t="shared" si="444"/>
        <v>787206.93466756959</v>
      </c>
      <c r="DE126" s="418">
        <f t="shared" si="444"/>
        <v>864853.03272676514</v>
      </c>
      <c r="DF126" s="418">
        <f t="shared" si="444"/>
        <v>954023.12661872758</v>
      </c>
      <c r="DG126" s="418">
        <f t="shared" si="444"/>
        <v>974508.39232777874</v>
      </c>
      <c r="DH126" s="418">
        <f t="shared" si="444"/>
        <v>1017777.605804129</v>
      </c>
      <c r="DI126" s="418">
        <f t="shared" si="444"/>
        <v>1102310.394514611</v>
      </c>
      <c r="DJ126" s="418">
        <f t="shared" si="444"/>
        <v>1138777.1318277521</v>
      </c>
      <c r="DK126" s="418">
        <f t="shared" ref="DK126:FB126" si="445">SUM(DK66:DK125)</f>
        <v>1207175.0229713982</v>
      </c>
      <c r="DL126" s="418">
        <f t="shared" si="445"/>
        <v>1303522.738089158</v>
      </c>
      <c r="DM126" s="418">
        <f t="shared" si="445"/>
        <v>1335416.2196069474</v>
      </c>
      <c r="DN126" s="418">
        <f t="shared" si="445"/>
        <v>1392285.4558778962</v>
      </c>
      <c r="DO126" s="418">
        <f t="shared" si="445"/>
        <v>1492275.0998461258</v>
      </c>
      <c r="DP126" s="418">
        <f t="shared" si="445"/>
        <v>1530494.8809907695</v>
      </c>
      <c r="DQ126" s="418">
        <f t="shared" si="445"/>
        <v>1640306.9318780832</v>
      </c>
      <c r="DR126" s="418">
        <f t="shared" si="445"/>
        <v>1767116.876618728</v>
      </c>
      <c r="DS126" s="418">
        <f t="shared" si="445"/>
        <v>1796820.5118968519</v>
      </c>
      <c r="DT126" s="418">
        <f t="shared" si="445"/>
        <v>1859560.8714375601</v>
      </c>
      <c r="DU126" s="418">
        <f t="shared" si="445"/>
        <v>1982133.4150677589</v>
      </c>
      <c r="DV126" s="418">
        <f t="shared" si="445"/>
        <v>2035010.1841718133</v>
      </c>
      <c r="DW126" s="418">
        <f t="shared" si="445"/>
        <v>2134187.1263301005</v>
      </c>
      <c r="DX126" s="418">
        <f t="shared" si="445"/>
        <v>2273891.3132508518</v>
      </c>
      <c r="DY126" s="418">
        <f t="shared" si="445"/>
        <v>2320136.8614516458</v>
      </c>
      <c r="DZ126" s="418">
        <f t="shared" si="445"/>
        <v>2402597.2540445211</v>
      </c>
      <c r="EA126" s="418">
        <f t="shared" si="445"/>
        <v>2547582.2377984542</v>
      </c>
      <c r="EB126" s="418">
        <f t="shared" si="445"/>
        <v>2603000.9204581873</v>
      </c>
      <c r="EC126" s="418">
        <f t="shared" si="445"/>
        <v>2762228.3942447919</v>
      </c>
      <c r="ED126" s="418">
        <f t="shared" si="445"/>
        <v>2946102.8141187271</v>
      </c>
      <c r="EE126" s="418">
        <f t="shared" si="445"/>
        <v>2988430.4943900546</v>
      </c>
      <c r="EF126" s="418">
        <f t="shared" si="445"/>
        <v>3077835.5067355633</v>
      </c>
      <c r="EG126" s="418">
        <f t="shared" si="445"/>
        <v>3252501.3814085973</v>
      </c>
      <c r="EH126" s="418">
        <f t="shared" si="445"/>
        <v>3327850.7773818746</v>
      </c>
      <c r="EI126" s="418">
        <f t="shared" si="445"/>
        <v>3469177.9199574338</v>
      </c>
      <c r="EJ126" s="418">
        <f t="shared" si="445"/>
        <v>3668256.3863195051</v>
      </c>
      <c r="EK126" s="418">
        <f t="shared" si="445"/>
        <v>3734156.2925056368</v>
      </c>
      <c r="EL126" s="418">
        <f t="shared" si="445"/>
        <v>3851662.3519504853</v>
      </c>
      <c r="EM126" s="418">
        <f t="shared" si="445"/>
        <v>4058265.9537998391</v>
      </c>
      <c r="EN126" s="418">
        <f t="shared" si="445"/>
        <v>4137237.5765899597</v>
      </c>
      <c r="EO126" s="418">
        <f t="shared" si="445"/>
        <v>4364136.7267358704</v>
      </c>
      <c r="EP126" s="418">
        <f t="shared" si="445"/>
        <v>4626157.7750562299</v>
      </c>
      <c r="EQ126" s="418">
        <f t="shared" si="445"/>
        <v>4676172.8843150511</v>
      </c>
      <c r="ER126" s="418">
        <f t="shared" si="445"/>
        <v>4787174.1413842188</v>
      </c>
      <c r="ES126" s="418">
        <f t="shared" si="445"/>
        <v>4997983.3105111569</v>
      </c>
      <c r="ET126" s="418">
        <f t="shared" si="445"/>
        <v>5087053.2284395611</v>
      </c>
      <c r="EU126" s="418">
        <f t="shared" si="445"/>
        <v>5258288.7963806726</v>
      </c>
      <c r="EV126" s="418">
        <f t="shared" si="445"/>
        <v>5490661.5207685884</v>
      </c>
      <c r="EW126" s="418">
        <f t="shared" si="445"/>
        <v>5566574.1179291718</v>
      </c>
      <c r="EX126" s="418">
        <f t="shared" si="445"/>
        <v>5692938.9676519586</v>
      </c>
      <c r="EY126" s="418">
        <f t="shared" si="445"/>
        <v>5927693.1052410556</v>
      </c>
      <c r="EZ126" s="418">
        <f t="shared" si="445"/>
        <v>6023525.3710222226</v>
      </c>
      <c r="FA126" s="418">
        <f t="shared" si="445"/>
        <v>6282272.1567264972</v>
      </c>
      <c r="FB126" s="418">
        <f t="shared" si="445"/>
        <v>6575461.5937499981</v>
      </c>
    </row>
    <row r="127" spans="3:158" x14ac:dyDescent="0.25">
      <c r="DS127" s="16"/>
      <c r="DT127" s="16"/>
      <c r="DU127" s="16"/>
      <c r="DV127" s="16"/>
      <c r="DW127" s="16"/>
      <c r="DX127" s="16"/>
      <c r="DY127" s="16"/>
      <c r="DZ127" s="16"/>
      <c r="EA127" s="16"/>
      <c r="EB127" s="16"/>
      <c r="EC127" s="16"/>
      <c r="ED127" s="16"/>
      <c r="EE127" s="16"/>
      <c r="EF127" s="16"/>
      <c r="EG127" s="16"/>
      <c r="EH127" s="16"/>
      <c r="EI127" s="16"/>
      <c r="EJ127" s="16"/>
      <c r="EK127" s="16"/>
      <c r="EL127" s="16"/>
      <c r="EM127" s="16"/>
      <c r="EN127" s="16"/>
      <c r="EO127" s="16"/>
      <c r="EP127" s="16"/>
      <c r="EQ127" s="16"/>
      <c r="ER127" s="16"/>
      <c r="ES127" s="16"/>
      <c r="ET127" s="16"/>
      <c r="EU127" s="16"/>
      <c r="EV127" s="16"/>
      <c r="EW127" s="16"/>
      <c r="EX127" s="16"/>
      <c r="EY127" s="16"/>
      <c r="EZ127" s="16"/>
      <c r="FA127" s="16"/>
    </row>
    <row r="128" spans="3:158" x14ac:dyDescent="0.25">
      <c r="DS128" s="16"/>
      <c r="DT128" s="16"/>
      <c r="DU128" s="16"/>
      <c r="DV128" s="16"/>
      <c r="DW128" s="16"/>
      <c r="DX128" s="16"/>
      <c r="DY128" s="16"/>
      <c r="DZ128" s="16"/>
      <c r="EA128" s="16"/>
      <c r="EB128" s="16"/>
      <c r="EC128" s="16"/>
      <c r="ED128" s="16"/>
      <c r="EE128" s="16"/>
      <c r="EF128" s="16"/>
      <c r="EG128" s="16"/>
      <c r="EH128" s="16"/>
      <c r="EI128" s="16"/>
      <c r="EJ128" s="16"/>
      <c r="EK128" s="16"/>
      <c r="EL128" s="16"/>
      <c r="EM128" s="16"/>
      <c r="EN128" s="16"/>
      <c r="EO128" s="16"/>
      <c r="EP128" s="16"/>
      <c r="EQ128" s="16"/>
      <c r="ER128" s="16"/>
      <c r="ES128" s="16"/>
      <c r="ET128" s="16"/>
      <c r="EU128" s="16"/>
      <c r="EV128" s="16"/>
      <c r="EW128" s="16"/>
      <c r="EX128" s="16"/>
      <c r="EY128" s="16"/>
      <c r="EZ128" s="16"/>
      <c r="FA128" s="16"/>
    </row>
    <row r="129" spans="123:157" x14ac:dyDescent="0.25">
      <c r="DS129" s="16"/>
      <c r="DT129" s="16"/>
      <c r="DU129" s="16"/>
      <c r="DV129" s="16"/>
      <c r="DW129" s="16"/>
      <c r="DX129" s="16"/>
      <c r="DY129" s="16"/>
      <c r="DZ129" s="16"/>
      <c r="EA129" s="16"/>
      <c r="EB129" s="16"/>
      <c r="EC129" s="16"/>
      <c r="ED129" s="16"/>
      <c r="EE129" s="16"/>
      <c r="EF129" s="16"/>
      <c r="EG129" s="16"/>
      <c r="EH129" s="16"/>
      <c r="EI129" s="16"/>
      <c r="EJ129" s="16"/>
      <c r="EK129" s="16"/>
      <c r="EL129" s="16"/>
      <c r="EM129" s="16"/>
      <c r="EN129" s="16"/>
      <c r="EO129" s="16"/>
      <c r="EP129" s="16"/>
      <c r="EQ129" s="16"/>
      <c r="ER129" s="16"/>
      <c r="ES129" s="16"/>
      <c r="ET129" s="16"/>
      <c r="EU129" s="16"/>
      <c r="EV129" s="16"/>
      <c r="EW129" s="16"/>
      <c r="EX129" s="16"/>
      <c r="EY129" s="16"/>
      <c r="EZ129" s="16"/>
      <c r="FA129" s="16"/>
    </row>
    <row r="130" spans="123:157" x14ac:dyDescent="0.25">
      <c r="DS130" s="16"/>
      <c r="DT130" s="16"/>
      <c r="DU130" s="16"/>
      <c r="DV130" s="16"/>
      <c r="DW130" s="16"/>
      <c r="DX130" s="16"/>
      <c r="DY130" s="16"/>
      <c r="DZ130" s="16"/>
      <c r="EA130" s="16"/>
      <c r="EB130" s="16"/>
      <c r="EC130" s="16"/>
      <c r="ED130" s="16"/>
      <c r="EE130" s="16"/>
      <c r="EF130" s="16"/>
      <c r="EG130" s="16"/>
      <c r="EH130" s="16"/>
      <c r="EI130" s="16"/>
      <c r="EJ130" s="16"/>
      <c r="EK130" s="16"/>
      <c r="EL130" s="16"/>
      <c r="EM130" s="16"/>
      <c r="EN130" s="16"/>
      <c r="EO130" s="16"/>
      <c r="EP130" s="16"/>
      <c r="EQ130" s="16"/>
      <c r="ER130" s="16"/>
      <c r="ES130" s="16"/>
      <c r="ET130" s="16"/>
      <c r="EU130" s="16"/>
      <c r="EV130" s="16"/>
      <c r="EW130" s="16"/>
      <c r="EX130" s="16"/>
      <c r="EY130" s="16"/>
      <c r="EZ130" s="16"/>
      <c r="FA130" s="16"/>
    </row>
    <row r="131" spans="123:157" x14ac:dyDescent="0.25">
      <c r="DS131" s="16"/>
      <c r="DT131" s="16"/>
      <c r="DU131" s="16"/>
      <c r="DV131" s="16"/>
      <c r="DW131" s="16"/>
      <c r="DX131" s="16"/>
      <c r="DY131" s="16"/>
      <c r="DZ131" s="16"/>
      <c r="EA131" s="16"/>
      <c r="EB131" s="16"/>
      <c r="EC131" s="16"/>
      <c r="ED131" s="16"/>
      <c r="EE131" s="16"/>
      <c r="EF131" s="16"/>
      <c r="EG131" s="16"/>
      <c r="EH131" s="16"/>
      <c r="EI131" s="16"/>
      <c r="EJ131" s="16"/>
      <c r="EK131" s="16"/>
      <c r="EL131" s="16"/>
      <c r="EM131" s="16"/>
      <c r="EN131" s="16"/>
      <c r="EO131" s="16"/>
      <c r="EP131" s="16"/>
      <c r="EQ131" s="16"/>
      <c r="ER131" s="16"/>
      <c r="ES131" s="16"/>
      <c r="ET131" s="16"/>
      <c r="EU131" s="16"/>
      <c r="EV131" s="16"/>
      <c r="EW131" s="16"/>
      <c r="EX131" s="16"/>
      <c r="EY131" s="16"/>
      <c r="EZ131" s="16"/>
      <c r="FA131" s="16"/>
    </row>
    <row r="132" spans="123:157" x14ac:dyDescent="0.25">
      <c r="DS132" s="16"/>
      <c r="DT132" s="16"/>
      <c r="DU132" s="16"/>
      <c r="DV132" s="16"/>
      <c r="DW132" s="16"/>
      <c r="DX132" s="16"/>
      <c r="DY132" s="16"/>
      <c r="DZ132" s="16"/>
      <c r="EA132" s="16"/>
      <c r="EB132" s="16"/>
      <c r="EC132" s="16"/>
      <c r="ED132" s="16"/>
      <c r="EE132" s="16"/>
      <c r="EF132" s="16"/>
      <c r="EG132" s="16"/>
      <c r="EH132" s="16"/>
      <c r="EI132" s="16"/>
      <c r="EJ132" s="16"/>
      <c r="EK132" s="16"/>
      <c r="EL132" s="16"/>
      <c r="EM132" s="16"/>
      <c r="EN132" s="16"/>
      <c r="EO132" s="16"/>
      <c r="EP132" s="16"/>
      <c r="EQ132" s="16"/>
      <c r="ER132" s="16"/>
      <c r="ES132" s="16"/>
      <c r="ET132" s="16"/>
      <c r="EU132" s="16"/>
      <c r="EV132" s="16"/>
      <c r="EW132" s="16"/>
      <c r="EX132" s="16"/>
      <c r="EY132" s="16"/>
      <c r="EZ132" s="16"/>
      <c r="FA132" s="16"/>
    </row>
    <row r="133" spans="123:157" x14ac:dyDescent="0.25">
      <c r="DS133" s="16"/>
      <c r="DT133" s="16"/>
      <c r="DU133" s="16"/>
      <c r="DV133" s="16"/>
      <c r="DW133" s="16"/>
      <c r="DX133" s="16"/>
      <c r="DY133" s="16"/>
      <c r="DZ133" s="16"/>
      <c r="EA133" s="16"/>
      <c r="EB133" s="16"/>
      <c r="EC133" s="16"/>
      <c r="ED133" s="16"/>
      <c r="EE133" s="16"/>
      <c r="EF133" s="16"/>
      <c r="EG133" s="16"/>
      <c r="EH133" s="16"/>
      <c r="EI133" s="16"/>
      <c r="EJ133" s="16"/>
      <c r="EK133" s="16"/>
      <c r="EL133" s="16"/>
      <c r="EM133" s="16"/>
      <c r="EN133" s="16"/>
      <c r="EO133" s="16"/>
      <c r="EP133" s="16"/>
      <c r="EQ133" s="16"/>
      <c r="ER133" s="16"/>
      <c r="ES133" s="16"/>
      <c r="ET133" s="16"/>
      <c r="EU133" s="16"/>
      <c r="EV133" s="16"/>
      <c r="EW133" s="16"/>
      <c r="EX133" s="16"/>
      <c r="EY133" s="16"/>
      <c r="EZ133" s="16"/>
      <c r="FA133" s="16"/>
    </row>
    <row r="134" spans="123:157" x14ac:dyDescent="0.25">
      <c r="DS134" s="16"/>
      <c r="DT134" s="16"/>
      <c r="DU134" s="16"/>
      <c r="DV134" s="16"/>
      <c r="DW134" s="16"/>
      <c r="DX134" s="16"/>
      <c r="DY134" s="16"/>
      <c r="DZ134" s="16"/>
      <c r="EA134" s="16"/>
      <c r="EB134" s="16"/>
      <c r="EC134" s="16"/>
      <c r="ED134" s="16"/>
      <c r="EE134" s="16"/>
      <c r="EF134" s="16"/>
      <c r="EG134" s="16"/>
      <c r="EH134" s="16"/>
      <c r="EI134" s="16"/>
      <c r="EJ134" s="16"/>
      <c r="EK134" s="16"/>
      <c r="EL134" s="16"/>
      <c r="EM134" s="16"/>
      <c r="EN134" s="16"/>
      <c r="EO134" s="16"/>
      <c r="EP134" s="16"/>
      <c r="EQ134" s="16"/>
      <c r="ER134" s="16"/>
      <c r="ES134" s="16"/>
      <c r="ET134" s="16"/>
      <c r="EU134" s="16"/>
      <c r="EV134" s="16"/>
      <c r="EW134" s="16"/>
      <c r="EX134" s="16"/>
      <c r="EY134" s="16"/>
      <c r="EZ134" s="16"/>
      <c r="FA134" s="16"/>
    </row>
    <row r="135" spans="123:157" x14ac:dyDescent="0.25">
      <c r="DS135" s="16"/>
      <c r="DT135" s="16"/>
      <c r="DU135" s="16"/>
      <c r="DV135" s="16"/>
      <c r="DW135" s="16"/>
      <c r="DX135" s="16"/>
      <c r="DY135" s="16"/>
      <c r="DZ135" s="16"/>
      <c r="EA135" s="16"/>
      <c r="EB135" s="16"/>
      <c r="EC135" s="16"/>
      <c r="ED135" s="16"/>
      <c r="EE135" s="16"/>
      <c r="EF135" s="16"/>
      <c r="EG135" s="16"/>
      <c r="EH135" s="16"/>
      <c r="EI135" s="16"/>
      <c r="EJ135" s="16"/>
      <c r="EK135" s="16"/>
      <c r="EL135" s="16"/>
      <c r="EM135" s="16"/>
      <c r="EN135" s="16"/>
      <c r="EO135" s="16"/>
      <c r="EP135" s="16"/>
      <c r="EQ135" s="16"/>
      <c r="ER135" s="16"/>
      <c r="ES135" s="16"/>
      <c r="ET135" s="16"/>
      <c r="EU135" s="16"/>
      <c r="EV135" s="16"/>
      <c r="EW135" s="16"/>
      <c r="EX135" s="16"/>
      <c r="EY135" s="16"/>
      <c r="EZ135" s="16"/>
      <c r="FA135" s="16"/>
    </row>
    <row r="136" spans="123:157" x14ac:dyDescent="0.25">
      <c r="DS136" s="16"/>
      <c r="DT136" s="16"/>
      <c r="DU136" s="16"/>
      <c r="DV136" s="16"/>
      <c r="DW136" s="16"/>
      <c r="DX136" s="16"/>
      <c r="DY136" s="16"/>
      <c r="DZ136" s="16"/>
      <c r="EA136" s="16"/>
      <c r="EB136" s="16"/>
      <c r="EC136" s="16"/>
      <c r="ED136" s="16"/>
      <c r="EE136" s="16"/>
      <c r="EF136" s="16"/>
      <c r="EG136" s="16"/>
      <c r="EH136" s="16"/>
      <c r="EI136" s="16"/>
      <c r="EJ136" s="16"/>
      <c r="EK136" s="16"/>
      <c r="EL136" s="16"/>
      <c r="EM136" s="16"/>
      <c r="EN136" s="16"/>
      <c r="EO136" s="16"/>
      <c r="EP136" s="16"/>
      <c r="EQ136" s="16"/>
      <c r="ER136" s="16"/>
      <c r="ES136" s="16"/>
      <c r="ET136" s="16"/>
      <c r="EU136" s="16"/>
      <c r="EV136" s="16"/>
      <c r="EW136" s="16"/>
      <c r="EX136" s="16"/>
      <c r="EY136" s="16"/>
      <c r="EZ136" s="16"/>
      <c r="FA136" s="16"/>
    </row>
  </sheetData>
  <phoneticPr fontId="9" type="noConversion"/>
  <pageMargins left="0.7" right="0.7" top="0.75" bottom="0.75" header="0.3" footer="0.3"/>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2162EE-006A-4C62-B9F8-9BEDE41EE267}">
  <dimension ref="A2:BD292"/>
  <sheetViews>
    <sheetView showGridLines="0" topLeftCell="A43" zoomScale="85" zoomScaleNormal="85" workbookViewId="0">
      <selection activeCell="E70" sqref="E70:E71"/>
    </sheetView>
  </sheetViews>
  <sheetFormatPr defaultColWidth="8.85546875" defaultRowHeight="15" outlineLevelCol="1" x14ac:dyDescent="0.25"/>
  <cols>
    <col min="1" max="1" width="17.28515625" customWidth="1"/>
    <col min="2" max="2" width="17" customWidth="1" outlineLevel="1"/>
    <col min="3" max="3" width="11.7109375" customWidth="1" outlineLevel="1"/>
    <col min="4" max="4" width="6.140625" customWidth="1" outlineLevel="1"/>
    <col min="5" max="5" width="22.42578125" customWidth="1" outlineLevel="1"/>
    <col min="6" max="6" width="7" customWidth="1" outlineLevel="1"/>
    <col min="7" max="7" width="35" bestFit="1" customWidth="1"/>
    <col min="8" max="55" width="14.42578125" customWidth="1"/>
    <col min="56" max="56" width="11.42578125" bestFit="1" customWidth="1"/>
  </cols>
  <sheetData>
    <row r="2" spans="1:56" x14ac:dyDescent="0.25">
      <c r="H2" s="220">
        <v>2019</v>
      </c>
      <c r="I2" s="220">
        <v>2019</v>
      </c>
      <c r="J2" s="220">
        <v>2019</v>
      </c>
      <c r="K2" s="220">
        <v>2019</v>
      </c>
      <c r="L2" s="220">
        <v>2019</v>
      </c>
      <c r="M2" s="220">
        <v>2019</v>
      </c>
      <c r="N2" s="220">
        <v>2019</v>
      </c>
      <c r="O2" s="220">
        <v>2019</v>
      </c>
      <c r="P2" s="220">
        <v>2019</v>
      </c>
      <c r="Q2" s="220">
        <v>2019</v>
      </c>
      <c r="R2" s="220">
        <v>2019</v>
      </c>
      <c r="S2" s="220">
        <v>2019</v>
      </c>
      <c r="T2" s="220">
        <v>2020</v>
      </c>
      <c r="U2" s="220">
        <v>2020</v>
      </c>
      <c r="V2" s="220">
        <v>2020</v>
      </c>
      <c r="W2" s="220">
        <v>2020</v>
      </c>
      <c r="X2" s="220">
        <v>2020</v>
      </c>
      <c r="Y2" s="220">
        <v>2020</v>
      </c>
      <c r="Z2" s="220">
        <v>2020</v>
      </c>
      <c r="AA2" s="220">
        <v>2020</v>
      </c>
      <c r="AB2" s="220">
        <v>2020</v>
      </c>
      <c r="AC2" s="220">
        <v>2020</v>
      </c>
      <c r="AD2" s="220">
        <v>2020</v>
      </c>
      <c r="AE2" s="220">
        <v>2020</v>
      </c>
      <c r="AF2" s="220">
        <v>2021</v>
      </c>
      <c r="AG2" s="220">
        <v>2021</v>
      </c>
      <c r="AH2" s="220">
        <v>2021</v>
      </c>
      <c r="AI2" s="220">
        <v>2021</v>
      </c>
      <c r="AJ2" s="220">
        <v>2021</v>
      </c>
      <c r="AK2" s="220">
        <v>2021</v>
      </c>
      <c r="AL2" s="220">
        <v>2021</v>
      </c>
      <c r="AM2" s="220">
        <v>2021</v>
      </c>
      <c r="AN2" s="220">
        <v>2021</v>
      </c>
      <c r="AO2" s="220">
        <v>2021</v>
      </c>
      <c r="AP2" s="220">
        <v>2021</v>
      </c>
      <c r="AQ2" s="220">
        <v>2021</v>
      </c>
      <c r="AR2" s="220">
        <v>2022</v>
      </c>
      <c r="AS2" s="220">
        <v>2022</v>
      </c>
      <c r="AT2" s="220">
        <v>2022</v>
      </c>
      <c r="AU2" s="220">
        <v>2022</v>
      </c>
      <c r="AV2" s="220">
        <v>2022</v>
      </c>
      <c r="AW2" s="220">
        <v>2022</v>
      </c>
      <c r="AX2" s="220">
        <v>2022</v>
      </c>
      <c r="AY2" s="220">
        <v>2022</v>
      </c>
      <c r="AZ2" s="220">
        <v>2022</v>
      </c>
      <c r="BA2" s="220">
        <v>2022</v>
      </c>
      <c r="BB2" s="220">
        <v>2022</v>
      </c>
      <c r="BC2" s="220">
        <v>2022</v>
      </c>
    </row>
    <row r="3" spans="1:56" x14ac:dyDescent="0.25">
      <c r="A3" s="245"/>
      <c r="B3" s="246"/>
      <c r="C3" s="247"/>
      <c r="D3" s="247"/>
      <c r="E3" s="247"/>
      <c r="F3" s="247"/>
      <c r="G3" s="247"/>
      <c r="H3" s="31" t="s">
        <v>358</v>
      </c>
      <c r="I3" s="31" t="s">
        <v>359</v>
      </c>
      <c r="J3" s="31" t="s">
        <v>360</v>
      </c>
      <c r="K3" s="31" t="s">
        <v>361</v>
      </c>
      <c r="L3" s="31" t="s">
        <v>362</v>
      </c>
      <c r="M3" s="31" t="s">
        <v>363</v>
      </c>
      <c r="N3" s="31" t="s">
        <v>364</v>
      </c>
      <c r="O3" s="31" t="s">
        <v>365</v>
      </c>
      <c r="P3" s="31" t="s">
        <v>366</v>
      </c>
      <c r="Q3" s="31" t="s">
        <v>367</v>
      </c>
      <c r="R3" s="31" t="s">
        <v>368</v>
      </c>
      <c r="S3" s="31" t="s">
        <v>369</v>
      </c>
      <c r="T3" s="31" t="s">
        <v>358</v>
      </c>
      <c r="U3" s="31" t="s">
        <v>359</v>
      </c>
      <c r="V3" s="31" t="s">
        <v>360</v>
      </c>
      <c r="W3" s="31" t="s">
        <v>361</v>
      </c>
      <c r="X3" s="31" t="s">
        <v>362</v>
      </c>
      <c r="Y3" s="31" t="s">
        <v>363</v>
      </c>
      <c r="Z3" s="31" t="s">
        <v>364</v>
      </c>
      <c r="AA3" s="31" t="s">
        <v>365</v>
      </c>
      <c r="AB3" s="31" t="s">
        <v>366</v>
      </c>
      <c r="AC3" s="31" t="s">
        <v>367</v>
      </c>
      <c r="AD3" s="31" t="s">
        <v>368</v>
      </c>
      <c r="AE3" s="31" t="s">
        <v>369</v>
      </c>
      <c r="AF3" s="31" t="s">
        <v>358</v>
      </c>
      <c r="AG3" s="31" t="s">
        <v>359</v>
      </c>
      <c r="AH3" s="31" t="s">
        <v>360</v>
      </c>
      <c r="AI3" s="31" t="s">
        <v>361</v>
      </c>
      <c r="AJ3" s="31" t="s">
        <v>362</v>
      </c>
      <c r="AK3" s="31" t="s">
        <v>363</v>
      </c>
      <c r="AL3" s="31" t="s">
        <v>364</v>
      </c>
      <c r="AM3" s="31" t="s">
        <v>365</v>
      </c>
      <c r="AN3" s="31" t="s">
        <v>366</v>
      </c>
      <c r="AO3" s="31" t="s">
        <v>367</v>
      </c>
      <c r="AP3" s="31" t="s">
        <v>368</v>
      </c>
      <c r="AQ3" s="31" t="s">
        <v>369</v>
      </c>
      <c r="AR3" s="31" t="s">
        <v>358</v>
      </c>
      <c r="AS3" s="31" t="s">
        <v>359</v>
      </c>
      <c r="AT3" s="31" t="s">
        <v>360</v>
      </c>
      <c r="AU3" s="31" t="s">
        <v>361</v>
      </c>
      <c r="AV3" s="31" t="s">
        <v>362</v>
      </c>
      <c r="AW3" s="31" t="s">
        <v>363</v>
      </c>
      <c r="AX3" s="31" t="s">
        <v>364</v>
      </c>
      <c r="AY3" s="31" t="s">
        <v>365</v>
      </c>
      <c r="AZ3" s="31" t="s">
        <v>366</v>
      </c>
      <c r="BA3" s="31" t="s">
        <v>367</v>
      </c>
      <c r="BB3" s="31" t="s">
        <v>368</v>
      </c>
      <c r="BC3" s="31" t="s">
        <v>369</v>
      </c>
    </row>
    <row r="4" spans="1:56" x14ac:dyDescent="0.25">
      <c r="E4" t="s">
        <v>505</v>
      </c>
      <c r="G4" s="237" t="s">
        <v>515</v>
      </c>
      <c r="H4" s="16">
        <f>SUMIF($E$67:$E$286,$E4,H$67:H$286)</f>
        <v>275444.11</v>
      </c>
      <c r="I4" s="16">
        <f t="shared" ref="H4:Q6" si="0">SUMIF($E$67:$E$286,$E4,I$67:I$286)</f>
        <v>292890.48000000004</v>
      </c>
      <c r="J4" s="16">
        <f t="shared" si="0"/>
        <v>293959.57999999996</v>
      </c>
      <c r="K4" s="16">
        <f t="shared" si="0"/>
        <v>313191.08999999997</v>
      </c>
      <c r="L4" s="16">
        <f t="shared" si="0"/>
        <v>399757.45</v>
      </c>
      <c r="M4" s="16">
        <f t="shared" si="0"/>
        <v>363473.68</v>
      </c>
      <c r="N4" s="16">
        <f t="shared" si="0"/>
        <v>479393.31</v>
      </c>
      <c r="O4" s="16">
        <f t="shared" si="0"/>
        <v>563156.65</v>
      </c>
      <c r="P4" s="16">
        <f t="shared" si="0"/>
        <v>579204.34</v>
      </c>
      <c r="Q4" s="16">
        <f t="shared" si="0"/>
        <v>568257.75</v>
      </c>
      <c r="R4" s="16">
        <f t="shared" ref="R4:AA6" si="1">SUMIF($E$67:$E$286,$E4,R$67:R$286)</f>
        <v>529797.1399999999</v>
      </c>
      <c r="S4" s="16">
        <f t="shared" si="1"/>
        <v>632342.63000000012</v>
      </c>
      <c r="T4" s="16">
        <f t="shared" si="1"/>
        <v>614808.9</v>
      </c>
      <c r="U4" s="16">
        <f t="shared" si="1"/>
        <v>713443.29999999993</v>
      </c>
      <c r="V4" s="16">
        <f t="shared" si="1"/>
        <v>820330.33000000007</v>
      </c>
      <c r="W4" s="16">
        <f t="shared" si="1"/>
        <v>804510.3600000001</v>
      </c>
      <c r="X4" s="16">
        <f t="shared" si="1"/>
        <v>901748.19000000006</v>
      </c>
      <c r="Y4" s="16">
        <f t="shared" si="1"/>
        <v>915569.19000000006</v>
      </c>
      <c r="Z4" s="16">
        <f t="shared" si="1"/>
        <v>1077053.02</v>
      </c>
      <c r="AA4" s="16">
        <f t="shared" si="1"/>
        <v>1155312.3899999999</v>
      </c>
      <c r="AB4" s="16">
        <f t="shared" ref="AB4:AK6" si="2">SUMIF($E$67:$E$286,$E4,AB$67:AB$286)</f>
        <v>1378043.74</v>
      </c>
      <c r="AC4" s="16">
        <f t="shared" si="2"/>
        <v>1122882.3900000001</v>
      </c>
      <c r="AD4" s="16">
        <f t="shared" si="2"/>
        <v>1151427.7999999998</v>
      </c>
      <c r="AE4" s="16">
        <f t="shared" si="2"/>
        <v>1124758.4000000001</v>
      </c>
      <c r="AF4" s="16">
        <f t="shared" si="2"/>
        <v>1123635.7400000002</v>
      </c>
      <c r="AG4" s="16">
        <f t="shared" si="2"/>
        <v>1290483.3499999999</v>
      </c>
      <c r="AH4" s="16">
        <f t="shared" si="2"/>
        <v>1245985.42</v>
      </c>
      <c r="AI4" s="16">
        <f t="shared" si="2"/>
        <v>1289967.8500000001</v>
      </c>
      <c r="AJ4" s="16">
        <f t="shared" si="2"/>
        <v>1090477.8</v>
      </c>
      <c r="AK4" s="16">
        <f t="shared" si="2"/>
        <v>1185453.57</v>
      </c>
      <c r="AL4" s="16">
        <f t="shared" ref="AL4:AU6" si="3">SUMIF($E$67:$E$286,$E4,AL$67:AL$286)</f>
        <v>1310977.2200000002</v>
      </c>
      <c r="AM4" s="16">
        <f t="shared" si="3"/>
        <v>1366696.63</v>
      </c>
      <c r="AN4" s="16">
        <f t="shared" si="3"/>
        <v>1400264.4300000002</v>
      </c>
      <c r="AO4" s="16">
        <f t="shared" si="3"/>
        <v>1304132.55</v>
      </c>
      <c r="AP4" s="16">
        <f t="shared" si="3"/>
        <v>1143090.1399999999</v>
      </c>
      <c r="AQ4" s="16">
        <f t="shared" si="3"/>
        <v>1493706.9700000002</v>
      </c>
      <c r="AR4" s="16">
        <f t="shared" si="3"/>
        <v>1472586.76</v>
      </c>
      <c r="AS4" s="16">
        <f t="shared" si="3"/>
        <v>1722873.16</v>
      </c>
      <c r="AT4" s="16">
        <f t="shared" si="3"/>
        <v>1624723.84</v>
      </c>
      <c r="AU4" s="16">
        <f t="shared" si="3"/>
        <v>1504260.16</v>
      </c>
      <c r="AV4" s="16">
        <f t="shared" ref="AV4:BC6" si="4">SUMIF($E$67:$E$286,$E4,AV$67:AV$286)</f>
        <v>1539592.2032165413</v>
      </c>
      <c r="AW4" s="16">
        <f t="shared" si="4"/>
        <v>1540336</v>
      </c>
      <c r="AX4" s="16">
        <f t="shared" si="4"/>
        <v>1661147</v>
      </c>
      <c r="AY4" s="16">
        <f t="shared" si="4"/>
        <v>1704878</v>
      </c>
      <c r="AZ4" s="16">
        <f t="shared" si="4"/>
        <v>1733385</v>
      </c>
      <c r="BA4" s="16">
        <f t="shared" si="4"/>
        <v>1729031</v>
      </c>
      <c r="BB4" s="16">
        <f t="shared" si="4"/>
        <v>1789538</v>
      </c>
      <c r="BC4" s="16">
        <f t="shared" si="4"/>
        <v>1814919</v>
      </c>
      <c r="BD4" s="20"/>
    </row>
    <row r="5" spans="1:56" x14ac:dyDescent="0.25">
      <c r="E5" t="s">
        <v>559</v>
      </c>
      <c r="G5" s="237" t="s">
        <v>560</v>
      </c>
      <c r="H5" s="16">
        <f t="shared" si="0"/>
        <v>50730.32</v>
      </c>
      <c r="I5" s="16">
        <f t="shared" si="0"/>
        <v>62551.22</v>
      </c>
      <c r="J5" s="16">
        <f t="shared" si="0"/>
        <v>45541.56</v>
      </c>
      <c r="K5" s="16">
        <f t="shared" si="0"/>
        <v>51680.179999999993</v>
      </c>
      <c r="L5" s="16">
        <f t="shared" si="0"/>
        <v>57718.850000000006</v>
      </c>
      <c r="M5" s="16">
        <f t="shared" si="0"/>
        <v>57160.26</v>
      </c>
      <c r="N5" s="16">
        <f t="shared" si="0"/>
        <v>58279.35</v>
      </c>
      <c r="O5" s="16">
        <f t="shared" si="0"/>
        <v>80514.090000000026</v>
      </c>
      <c r="P5" s="16">
        <f t="shared" si="0"/>
        <v>104783.48999999999</v>
      </c>
      <c r="Q5" s="16">
        <f t="shared" si="0"/>
        <v>102804.95999999999</v>
      </c>
      <c r="R5" s="16">
        <f t="shared" si="1"/>
        <v>129697.28</v>
      </c>
      <c r="S5" s="16">
        <f t="shared" si="1"/>
        <v>150730.57</v>
      </c>
      <c r="T5" s="16">
        <f t="shared" si="1"/>
        <v>158099.10999999999</v>
      </c>
      <c r="U5" s="16">
        <f t="shared" si="1"/>
        <v>158071.94999999998</v>
      </c>
      <c r="V5" s="16">
        <f t="shared" si="1"/>
        <v>186621.39</v>
      </c>
      <c r="W5" s="16">
        <f t="shared" si="1"/>
        <v>171924.2</v>
      </c>
      <c r="X5" s="16">
        <f t="shared" si="1"/>
        <v>196985.69</v>
      </c>
      <c r="Y5" s="16">
        <f t="shared" si="1"/>
        <v>222344.16</v>
      </c>
      <c r="Z5" s="16">
        <f t="shared" si="1"/>
        <v>203358.72</v>
      </c>
      <c r="AA5" s="16">
        <f t="shared" si="1"/>
        <v>227587.74999999997</v>
      </c>
      <c r="AB5" s="16">
        <f t="shared" si="2"/>
        <v>228543.06</v>
      </c>
      <c r="AC5" s="16">
        <f t="shared" si="2"/>
        <v>198939.88</v>
      </c>
      <c r="AD5" s="16">
        <f t="shared" si="2"/>
        <v>214740.26</v>
      </c>
      <c r="AE5" s="16">
        <f t="shared" si="2"/>
        <v>224815.18000000002</v>
      </c>
      <c r="AF5" s="16">
        <f t="shared" si="2"/>
        <v>274982.59999999998</v>
      </c>
      <c r="AG5" s="16">
        <f t="shared" si="2"/>
        <v>227922.77</v>
      </c>
      <c r="AH5" s="16">
        <f t="shared" si="2"/>
        <v>210876.78999999998</v>
      </c>
      <c r="AI5" s="16">
        <f t="shared" si="2"/>
        <v>244538.66</v>
      </c>
      <c r="AJ5" s="16">
        <f t="shared" si="2"/>
        <v>249975.96999999997</v>
      </c>
      <c r="AK5" s="16">
        <f t="shared" si="2"/>
        <v>204694.36</v>
      </c>
      <c r="AL5" s="16">
        <f t="shared" si="3"/>
        <v>187388.45</v>
      </c>
      <c r="AM5" s="16">
        <f t="shared" si="3"/>
        <v>186840.67</v>
      </c>
      <c r="AN5" s="16">
        <f t="shared" si="3"/>
        <v>197596.36000000002</v>
      </c>
      <c r="AO5" s="16">
        <f t="shared" si="3"/>
        <v>193429.44999999998</v>
      </c>
      <c r="AP5" s="16">
        <f t="shared" si="3"/>
        <v>174278.89</v>
      </c>
      <c r="AQ5" s="16">
        <f t="shared" si="3"/>
        <v>201718.34</v>
      </c>
      <c r="AR5" s="16">
        <f t="shared" si="3"/>
        <v>178801.72</v>
      </c>
      <c r="AS5" s="16">
        <f t="shared" si="3"/>
        <v>183838.84999999998</v>
      </c>
      <c r="AT5" s="16">
        <f t="shared" si="3"/>
        <v>254583.03999999998</v>
      </c>
      <c r="AU5" s="16">
        <f t="shared" si="3"/>
        <v>276395.36</v>
      </c>
      <c r="AV5" s="16">
        <f t="shared" si="4"/>
        <v>348088.06037259905</v>
      </c>
      <c r="AW5" s="16">
        <f t="shared" si="4"/>
        <v>370840.63670946361</v>
      </c>
      <c r="AX5" s="16">
        <f t="shared" si="4"/>
        <v>413063.28337646555</v>
      </c>
      <c r="AY5" s="16">
        <f t="shared" si="4"/>
        <v>473888.89658142399</v>
      </c>
      <c r="AZ5" s="16">
        <f t="shared" si="4"/>
        <v>501786.01165735169</v>
      </c>
      <c r="BA5" s="16">
        <f t="shared" si="4"/>
        <v>565262.29500994552</v>
      </c>
      <c r="BB5" s="16">
        <f t="shared" si="4"/>
        <v>660642.10486079217</v>
      </c>
      <c r="BC5" s="16">
        <f t="shared" si="4"/>
        <v>700860.82107257727</v>
      </c>
    </row>
    <row r="6" spans="1:56" x14ac:dyDescent="0.25">
      <c r="E6" t="s">
        <v>504</v>
      </c>
      <c r="G6" s="237" t="s">
        <v>561</v>
      </c>
      <c r="H6" s="16">
        <f t="shared" si="0"/>
        <v>106860.78</v>
      </c>
      <c r="I6" s="16">
        <f t="shared" si="0"/>
        <v>100852.36</v>
      </c>
      <c r="J6" s="16">
        <f t="shared" si="0"/>
        <v>110564.17000000001</v>
      </c>
      <c r="K6" s="16">
        <f t="shared" si="0"/>
        <v>133950.21</v>
      </c>
      <c r="L6" s="16">
        <f t="shared" si="0"/>
        <v>143205.78</v>
      </c>
      <c r="M6" s="16">
        <f t="shared" si="0"/>
        <v>157520.69</v>
      </c>
      <c r="N6" s="16">
        <f t="shared" si="0"/>
        <v>175675.43</v>
      </c>
      <c r="O6" s="16">
        <f t="shared" si="0"/>
        <v>185074.61</v>
      </c>
      <c r="P6" s="16">
        <f t="shared" si="0"/>
        <v>203836.06</v>
      </c>
      <c r="Q6" s="16">
        <f t="shared" si="0"/>
        <v>196825.27</v>
      </c>
      <c r="R6" s="16">
        <f t="shared" si="1"/>
        <v>184189.28</v>
      </c>
      <c r="S6" s="16">
        <f t="shared" si="1"/>
        <v>209804.68</v>
      </c>
      <c r="T6" s="16">
        <f t="shared" si="1"/>
        <v>194354.16</v>
      </c>
      <c r="U6" s="16">
        <f t="shared" si="1"/>
        <v>215421.56</v>
      </c>
      <c r="V6" s="16">
        <f t="shared" si="1"/>
        <v>243863.85</v>
      </c>
      <c r="W6" s="16">
        <f t="shared" si="1"/>
        <v>262540.19</v>
      </c>
      <c r="X6" s="16">
        <f t="shared" si="1"/>
        <v>262729.43</v>
      </c>
      <c r="Y6" s="16">
        <f t="shared" si="1"/>
        <v>321698.32</v>
      </c>
      <c r="Z6" s="16">
        <f t="shared" si="1"/>
        <v>327123.38</v>
      </c>
      <c r="AA6" s="16">
        <f t="shared" si="1"/>
        <v>311499.24</v>
      </c>
      <c r="AB6" s="16">
        <f t="shared" si="2"/>
        <v>382860.33999999997</v>
      </c>
      <c r="AC6" s="16">
        <f t="shared" si="2"/>
        <v>347066.83999999997</v>
      </c>
      <c r="AD6" s="16">
        <f t="shared" si="2"/>
        <v>349814.05</v>
      </c>
      <c r="AE6" s="16">
        <f t="shared" si="2"/>
        <v>575288.91</v>
      </c>
      <c r="AF6" s="16">
        <f t="shared" si="2"/>
        <v>372955.45999999996</v>
      </c>
      <c r="AG6" s="16">
        <f t="shared" si="2"/>
        <v>345391.51</v>
      </c>
      <c r="AH6" s="16">
        <f t="shared" si="2"/>
        <v>982389.92</v>
      </c>
      <c r="AI6" s="16">
        <f t="shared" si="2"/>
        <v>551135.66999999993</v>
      </c>
      <c r="AJ6" s="16">
        <f t="shared" si="2"/>
        <v>463558.66000000003</v>
      </c>
      <c r="AK6" s="16">
        <f t="shared" si="2"/>
        <v>569021.75600000005</v>
      </c>
      <c r="AL6" s="16">
        <f t="shared" si="3"/>
        <v>512899.85</v>
      </c>
      <c r="AM6" s="16">
        <f t="shared" si="3"/>
        <v>537798.38</v>
      </c>
      <c r="AN6" s="16">
        <f t="shared" si="3"/>
        <v>665989.29399999999</v>
      </c>
      <c r="AO6" s="16">
        <f t="shared" si="3"/>
        <v>530162.02</v>
      </c>
      <c r="AP6" s="16">
        <f t="shared" si="3"/>
        <v>496312.06</v>
      </c>
      <c r="AQ6" s="16">
        <f t="shared" si="3"/>
        <v>794307.91399999987</v>
      </c>
      <c r="AR6" s="16">
        <f t="shared" si="3"/>
        <v>629117.54</v>
      </c>
      <c r="AS6" s="16">
        <f t="shared" si="3"/>
        <v>712838.62</v>
      </c>
      <c r="AT6" s="16">
        <f t="shared" si="3"/>
        <v>962030.69000000006</v>
      </c>
      <c r="AU6" s="16">
        <f t="shared" si="3"/>
        <v>899397.79</v>
      </c>
      <c r="AV6" s="16">
        <f t="shared" si="4"/>
        <v>1103174.2599596323</v>
      </c>
      <c r="AW6" s="16">
        <f t="shared" si="4"/>
        <v>1065637.8938028542</v>
      </c>
      <c r="AX6" s="16">
        <f t="shared" si="4"/>
        <v>1132955.5774540862</v>
      </c>
      <c r="AY6" s="16">
        <f t="shared" si="4"/>
        <v>1149329.7654557074</v>
      </c>
      <c r="AZ6" s="16">
        <f t="shared" si="4"/>
        <v>1165152.0687837088</v>
      </c>
      <c r="BA6" s="16">
        <f t="shared" si="4"/>
        <v>1188735.7937582615</v>
      </c>
      <c r="BB6" s="16">
        <f t="shared" si="4"/>
        <v>1216974.0047775814</v>
      </c>
      <c r="BC6" s="16">
        <f t="shared" si="4"/>
        <v>1254837.7793599507</v>
      </c>
      <c r="BD6" s="20"/>
    </row>
    <row r="7" spans="1:56" x14ac:dyDescent="0.25">
      <c r="G7" s="237"/>
      <c r="H7" s="221"/>
      <c r="I7" s="221"/>
      <c r="J7" s="221"/>
      <c r="K7" s="221"/>
      <c r="L7" s="221"/>
      <c r="M7" s="221"/>
      <c r="N7" s="221"/>
      <c r="O7" s="221"/>
      <c r="P7" s="221"/>
      <c r="Q7" s="221"/>
      <c r="R7" s="221"/>
      <c r="S7" s="221"/>
      <c r="T7" s="221"/>
      <c r="U7" s="221"/>
      <c r="V7" s="221"/>
      <c r="W7" s="221"/>
      <c r="X7" s="221"/>
      <c r="Y7" s="221"/>
      <c r="Z7" s="221"/>
      <c r="AA7" s="221"/>
      <c r="AB7" s="221"/>
      <c r="AC7" s="221"/>
      <c r="AD7" s="221"/>
      <c r="AE7" s="221"/>
      <c r="AF7" s="221"/>
      <c r="AG7" s="221"/>
      <c r="AH7" s="221"/>
      <c r="AI7" s="221"/>
      <c r="AJ7" s="221"/>
      <c r="AK7" s="221"/>
      <c r="AL7" s="221"/>
      <c r="AM7" s="221"/>
      <c r="AN7" s="221"/>
      <c r="AO7" s="221"/>
      <c r="AP7" s="221"/>
      <c r="AQ7" s="221"/>
      <c r="AR7" s="221"/>
      <c r="AS7" s="221"/>
      <c r="AT7" s="221"/>
      <c r="AU7" s="221"/>
      <c r="AV7" s="221"/>
      <c r="AW7" s="221"/>
      <c r="AX7" s="221"/>
      <c r="AY7" s="221"/>
      <c r="AZ7" s="221"/>
      <c r="BA7" s="221"/>
      <c r="BB7" s="221"/>
      <c r="BC7" s="221"/>
      <c r="BD7" s="20"/>
    </row>
    <row r="8" spans="1:56" ht="15.75" thickBot="1" x14ac:dyDescent="0.3">
      <c r="G8" s="238" t="s">
        <v>516</v>
      </c>
      <c r="H8" s="239">
        <f>SUM(H4:H7)</f>
        <v>433035.20999999996</v>
      </c>
      <c r="I8" s="239">
        <f t="shared" ref="I8:AR8" si="5">SUM(I4:I7)</f>
        <v>456294.06000000006</v>
      </c>
      <c r="J8" s="239">
        <f t="shared" si="5"/>
        <v>450065.30999999994</v>
      </c>
      <c r="K8" s="239">
        <f t="shared" si="5"/>
        <v>498821.48</v>
      </c>
      <c r="L8" s="239">
        <f t="shared" si="5"/>
        <v>600682.08000000007</v>
      </c>
      <c r="M8" s="239">
        <f t="shared" si="5"/>
        <v>578154.63</v>
      </c>
      <c r="N8" s="239">
        <f t="shared" si="5"/>
        <v>713348.09000000008</v>
      </c>
      <c r="O8" s="239">
        <f t="shared" si="5"/>
        <v>828745.35</v>
      </c>
      <c r="P8" s="239">
        <f t="shared" si="5"/>
        <v>887823.8899999999</v>
      </c>
      <c r="Q8" s="239">
        <f t="shared" si="5"/>
        <v>867887.98</v>
      </c>
      <c r="R8" s="239">
        <f t="shared" si="5"/>
        <v>843683.7</v>
      </c>
      <c r="S8" s="239">
        <f t="shared" si="5"/>
        <v>992877.88000000012</v>
      </c>
      <c r="T8" s="239">
        <f t="shared" si="5"/>
        <v>967262.17</v>
      </c>
      <c r="U8" s="239">
        <f t="shared" si="5"/>
        <v>1086936.8099999998</v>
      </c>
      <c r="V8" s="239">
        <f t="shared" si="5"/>
        <v>1250815.57</v>
      </c>
      <c r="W8" s="239">
        <f t="shared" si="5"/>
        <v>1238974.75</v>
      </c>
      <c r="X8" s="239">
        <f t="shared" si="5"/>
        <v>1361463.31</v>
      </c>
      <c r="Y8" s="239">
        <f t="shared" si="5"/>
        <v>1459611.6700000002</v>
      </c>
      <c r="Z8" s="239">
        <f t="shared" si="5"/>
        <v>1607535.12</v>
      </c>
      <c r="AA8" s="239">
        <f t="shared" si="5"/>
        <v>1694399.38</v>
      </c>
      <c r="AB8" s="239">
        <f t="shared" si="5"/>
        <v>1989447.1400000001</v>
      </c>
      <c r="AC8" s="239">
        <f t="shared" si="5"/>
        <v>1668889.1099999999</v>
      </c>
      <c r="AD8" s="239">
        <f t="shared" si="5"/>
        <v>1715982.1099999999</v>
      </c>
      <c r="AE8" s="239">
        <f t="shared" si="5"/>
        <v>1924862.4900000002</v>
      </c>
      <c r="AF8" s="239">
        <f t="shared" si="5"/>
        <v>1771573.8000000003</v>
      </c>
      <c r="AG8" s="239">
        <f t="shared" si="5"/>
        <v>1863797.63</v>
      </c>
      <c r="AH8" s="239">
        <f t="shared" si="5"/>
        <v>2439252.13</v>
      </c>
      <c r="AI8" s="239">
        <f t="shared" si="5"/>
        <v>2085642.18</v>
      </c>
      <c r="AJ8" s="239">
        <f t="shared" si="5"/>
        <v>1804012.4300000002</v>
      </c>
      <c r="AK8" s="239">
        <f t="shared" si="5"/>
        <v>1959169.6860000002</v>
      </c>
      <c r="AL8" s="239">
        <f t="shared" si="5"/>
        <v>2011265.52</v>
      </c>
      <c r="AM8" s="239">
        <f t="shared" si="5"/>
        <v>2091335.6799999997</v>
      </c>
      <c r="AN8" s="239">
        <f t="shared" si="5"/>
        <v>2263850.0840000003</v>
      </c>
      <c r="AO8" s="239">
        <f t="shared" si="5"/>
        <v>2027724.02</v>
      </c>
      <c r="AP8" s="239">
        <f t="shared" si="5"/>
        <v>1813681.0899999999</v>
      </c>
      <c r="AQ8" s="239">
        <f t="shared" si="5"/>
        <v>2489733.2240000004</v>
      </c>
      <c r="AR8" s="239">
        <f t="shared" si="5"/>
        <v>2280506.02</v>
      </c>
      <c r="AS8" s="239">
        <f t="shared" ref="AS8" si="6">SUM(AS4:AS7)</f>
        <v>2619550.63</v>
      </c>
      <c r="AT8" s="239">
        <f t="shared" ref="AT8" si="7">SUM(AT4:AT7)</f>
        <v>2841337.5700000003</v>
      </c>
      <c r="AU8" s="239">
        <f t="shared" ref="AU8" si="8">SUM(AU4:AU7)</f>
        <v>2680053.31</v>
      </c>
      <c r="AV8" s="239">
        <f t="shared" ref="AV8" si="9">SUM(AV4:AV7)</f>
        <v>2990854.5235487726</v>
      </c>
      <c r="AW8" s="239">
        <f t="shared" ref="AW8" si="10">SUM(AW4:AW7)</f>
        <v>2976814.530512318</v>
      </c>
      <c r="AX8" s="239">
        <f t="shared" ref="AX8" si="11">SUM(AX4:AX7)</f>
        <v>3207165.8608305519</v>
      </c>
      <c r="AY8" s="239">
        <f t="shared" ref="AY8" si="12">SUM(AY4:AY7)</f>
        <v>3328096.6620371314</v>
      </c>
      <c r="AZ8" s="239">
        <f t="shared" ref="AZ8" si="13">SUM(AZ4:AZ7)</f>
        <v>3400323.0804410605</v>
      </c>
      <c r="BA8" s="239">
        <f t="shared" ref="BA8" si="14">SUM(BA4:BA7)</f>
        <v>3483029.088768207</v>
      </c>
      <c r="BB8" s="239">
        <f t="shared" ref="BB8" si="15">SUM(BB4:BB7)</f>
        <v>3667154.1096383734</v>
      </c>
      <c r="BC8" s="239">
        <f t="shared" ref="BC8" si="16">SUM(BC4:BC7)</f>
        <v>3770617.6004325282</v>
      </c>
    </row>
    <row r="9" spans="1:56" ht="15.75" thickTop="1" x14ac:dyDescent="0.25">
      <c r="H9" s="221"/>
      <c r="I9" s="221"/>
      <c r="J9" s="221"/>
      <c r="K9" s="221"/>
      <c r="L9" s="221"/>
      <c r="M9" s="221"/>
      <c r="N9" s="221"/>
      <c r="O9" s="221"/>
      <c r="P9" s="221"/>
      <c r="Q9" s="221"/>
      <c r="R9" s="221"/>
      <c r="S9" s="221"/>
      <c r="T9" s="221"/>
      <c r="U9" s="221"/>
      <c r="V9" s="221"/>
      <c r="W9" s="221"/>
      <c r="X9" s="221"/>
      <c r="Y9" s="221"/>
      <c r="Z9" s="221"/>
      <c r="AA9" s="221"/>
      <c r="AB9" s="221"/>
      <c r="AC9" s="221"/>
      <c r="AD9" s="221"/>
      <c r="AE9" s="221"/>
      <c r="AF9" s="221"/>
      <c r="AG9" s="221"/>
      <c r="AH9" s="221"/>
      <c r="AI9" s="221"/>
      <c r="AJ9" s="221"/>
      <c r="AK9" s="221"/>
      <c r="AL9" s="221"/>
      <c r="AM9" s="221"/>
      <c r="AN9" s="221"/>
      <c r="AO9" s="221"/>
      <c r="AP9" s="221"/>
      <c r="AQ9" s="221"/>
      <c r="AR9" s="221"/>
      <c r="AS9" s="221"/>
      <c r="AT9" s="221"/>
      <c r="AU9" s="221"/>
      <c r="AV9" s="221"/>
      <c r="AW9" s="221"/>
      <c r="AX9" s="221"/>
      <c r="AY9" s="221"/>
      <c r="AZ9" s="221"/>
      <c r="BA9" s="221"/>
      <c r="BB9" s="221"/>
      <c r="BC9" s="221"/>
    </row>
    <row r="10" spans="1:56" x14ac:dyDescent="0.25">
      <c r="G10" s="226" t="s">
        <v>10</v>
      </c>
    </row>
    <row r="11" spans="1:56" x14ac:dyDescent="0.25">
      <c r="E11" t="s">
        <v>484</v>
      </c>
      <c r="G11" s="227" t="s">
        <v>349</v>
      </c>
      <c r="H11" s="16">
        <f>SUMIF($E$67:$E$286,$E11,H$67:H$286)</f>
        <v>265467.98000000004</v>
      </c>
      <c r="I11" s="16">
        <f t="shared" ref="I11:AS12" si="17">SUMIF($E$67:$E$286,$E11,I$67:I$286)</f>
        <v>408565.80000000005</v>
      </c>
      <c r="J11" s="16">
        <f t="shared" si="17"/>
        <v>778449.11</v>
      </c>
      <c r="K11" s="16">
        <f t="shared" si="17"/>
        <v>379967.44000000012</v>
      </c>
      <c r="L11" s="16">
        <f t="shared" si="17"/>
        <v>621582.11999999988</v>
      </c>
      <c r="M11" s="16">
        <f t="shared" si="17"/>
        <v>785408.14999999979</v>
      </c>
      <c r="N11" s="16">
        <f t="shared" si="17"/>
        <v>514640.55000000005</v>
      </c>
      <c r="O11" s="16">
        <f t="shared" si="17"/>
        <v>539184.79000000015</v>
      </c>
      <c r="P11" s="16">
        <f t="shared" si="17"/>
        <v>948352.39000000013</v>
      </c>
      <c r="Q11" s="16">
        <f t="shared" si="17"/>
        <v>663534.92000000004</v>
      </c>
      <c r="R11" s="16">
        <f t="shared" si="17"/>
        <v>1146687.8500000001</v>
      </c>
      <c r="S11" s="16">
        <f t="shared" si="17"/>
        <v>1507749.49</v>
      </c>
      <c r="T11" s="16">
        <f t="shared" si="17"/>
        <v>683002.64000000013</v>
      </c>
      <c r="U11" s="16">
        <f t="shared" si="17"/>
        <v>869919.46</v>
      </c>
      <c r="V11" s="16">
        <f t="shared" si="17"/>
        <v>1324379.71</v>
      </c>
      <c r="W11" s="16">
        <f t="shared" si="17"/>
        <v>1082776.0699999998</v>
      </c>
      <c r="X11" s="16">
        <f t="shared" si="17"/>
        <v>1305393.5899999999</v>
      </c>
      <c r="Y11" s="16">
        <f t="shared" si="17"/>
        <v>1429179.7199999995</v>
      </c>
      <c r="Z11" s="16">
        <f t="shared" si="17"/>
        <v>994121.63</v>
      </c>
      <c r="AA11" s="16">
        <f t="shared" si="17"/>
        <v>1098095.3599999996</v>
      </c>
      <c r="AB11" s="16">
        <f t="shared" si="17"/>
        <v>1495383.96</v>
      </c>
      <c r="AC11" s="16">
        <f t="shared" si="17"/>
        <v>910635.7</v>
      </c>
      <c r="AD11" s="16">
        <f t="shared" si="17"/>
        <v>1312972.28</v>
      </c>
      <c r="AE11" s="16">
        <f t="shared" si="17"/>
        <v>1788026.87</v>
      </c>
      <c r="AF11" s="16">
        <f t="shared" si="17"/>
        <v>1055263.0999999999</v>
      </c>
      <c r="AG11" s="16">
        <f t="shared" si="17"/>
        <v>911007.39000000013</v>
      </c>
      <c r="AH11" s="16">
        <f t="shared" si="17"/>
        <v>1875533.4599999995</v>
      </c>
      <c r="AI11" s="16">
        <f t="shared" si="17"/>
        <v>1042525.1500000003</v>
      </c>
      <c r="AJ11" s="16">
        <f t="shared" si="17"/>
        <v>917632.42</v>
      </c>
      <c r="AK11" s="16">
        <f t="shared" si="17"/>
        <v>2219676.6799999997</v>
      </c>
      <c r="AL11" s="16">
        <f t="shared" si="17"/>
        <v>950706.01</v>
      </c>
      <c r="AM11" s="16">
        <f t="shared" si="17"/>
        <v>996803.73</v>
      </c>
      <c r="AN11" s="16">
        <f t="shared" si="17"/>
        <v>3672851.7200000007</v>
      </c>
      <c r="AO11" s="16">
        <f t="shared" si="17"/>
        <v>970177.04000000015</v>
      </c>
      <c r="AP11" s="16">
        <f t="shared" si="17"/>
        <v>1816172.6900000002</v>
      </c>
      <c r="AQ11" s="16">
        <f t="shared" si="17"/>
        <v>2799182.6999999997</v>
      </c>
      <c r="AR11" s="16">
        <f t="shared" si="17"/>
        <v>1356524.51</v>
      </c>
      <c r="AS11" s="16">
        <f t="shared" si="17"/>
        <v>1377628.5099999998</v>
      </c>
      <c r="AT11" s="16">
        <f t="shared" ref="AS11:BC12" si="18">SUMIF($E$67:$E$286,$E11,AT$67:AT$286)</f>
        <v>3477777.8700000006</v>
      </c>
      <c r="AU11" s="16">
        <f t="shared" si="18"/>
        <v>1568448.9799999997</v>
      </c>
      <c r="AV11" s="16">
        <f t="shared" si="18"/>
        <v>3262282.5283171665</v>
      </c>
      <c r="AW11" s="16">
        <f t="shared" si="18"/>
        <v>3769046.6903955461</v>
      </c>
      <c r="AX11" s="16">
        <f t="shared" si="18"/>
        <v>2518771.4971800623</v>
      </c>
      <c r="AY11" s="16">
        <f t="shared" si="18"/>
        <v>3590672.5267164758</v>
      </c>
      <c r="AZ11" s="16">
        <f t="shared" si="18"/>
        <v>4406552.9535783166</v>
      </c>
      <c r="BA11" s="16">
        <f t="shared" si="18"/>
        <v>2630225.2521195984</v>
      </c>
      <c r="BB11" s="16">
        <f t="shared" si="18"/>
        <v>4398710.0900318613</v>
      </c>
      <c r="BC11" s="16">
        <f t="shared" si="18"/>
        <v>5051579.2770426478</v>
      </c>
    </row>
    <row r="12" spans="1:56" x14ac:dyDescent="0.25">
      <c r="E12" t="s">
        <v>485</v>
      </c>
      <c r="G12" s="227" t="s">
        <v>2</v>
      </c>
      <c r="H12" s="16">
        <f>SUMIF($E$67:$E$286,$E12,H$67:H$286)</f>
        <v>51819.479999999996</v>
      </c>
      <c r="I12" s="16">
        <f t="shared" si="17"/>
        <v>64630.239999999998</v>
      </c>
      <c r="J12" s="16">
        <f t="shared" si="17"/>
        <v>69662.52</v>
      </c>
      <c r="K12" s="16">
        <f t="shared" si="17"/>
        <v>53257.060000000005</v>
      </c>
      <c r="L12" s="16">
        <f t="shared" si="17"/>
        <v>65471.100000000006</v>
      </c>
      <c r="M12" s="16">
        <f t="shared" si="17"/>
        <v>62781.8</v>
      </c>
      <c r="N12" s="16">
        <f t="shared" si="17"/>
        <v>66866.399999999994</v>
      </c>
      <c r="O12" s="16">
        <f t="shared" si="17"/>
        <v>61757.64</v>
      </c>
      <c r="P12" s="16">
        <f t="shared" si="17"/>
        <v>72025.84</v>
      </c>
      <c r="Q12" s="16">
        <f t="shared" si="17"/>
        <v>75076.10000000002</v>
      </c>
      <c r="R12" s="16">
        <f t="shared" si="17"/>
        <v>63629.94</v>
      </c>
      <c r="S12" s="16">
        <f t="shared" si="17"/>
        <v>107683.54</v>
      </c>
      <c r="T12" s="16">
        <f t="shared" si="17"/>
        <v>19183.539999999997</v>
      </c>
      <c r="U12" s="16">
        <f t="shared" si="17"/>
        <v>74115.81</v>
      </c>
      <c r="V12" s="16">
        <f t="shared" si="17"/>
        <v>62661.93</v>
      </c>
      <c r="W12" s="16">
        <f t="shared" si="17"/>
        <v>55244.920000000006</v>
      </c>
      <c r="X12" s="16">
        <f t="shared" si="17"/>
        <v>117357.43</v>
      </c>
      <c r="Y12" s="16">
        <f t="shared" si="17"/>
        <v>70871.960000000006</v>
      </c>
      <c r="Z12" s="16">
        <f t="shared" si="17"/>
        <v>75265.840000000011</v>
      </c>
      <c r="AA12" s="16">
        <f t="shared" si="17"/>
        <v>83844.45</v>
      </c>
      <c r="AB12" s="16">
        <f t="shared" si="17"/>
        <v>92909.829999999987</v>
      </c>
      <c r="AC12" s="16">
        <f t="shared" si="17"/>
        <v>105109.88</v>
      </c>
      <c r="AD12" s="16">
        <f t="shared" si="17"/>
        <v>64439.150000000009</v>
      </c>
      <c r="AE12" s="16">
        <f t="shared" si="17"/>
        <v>81845.330000000016</v>
      </c>
      <c r="AF12" s="16">
        <f t="shared" si="17"/>
        <v>71658.02</v>
      </c>
      <c r="AG12" s="16">
        <f t="shared" si="17"/>
        <v>43313.079999999994</v>
      </c>
      <c r="AH12" s="16">
        <f t="shared" si="17"/>
        <v>1191.9199999999996</v>
      </c>
      <c r="AI12" s="16">
        <f t="shared" si="17"/>
        <v>2132.56</v>
      </c>
      <c r="AJ12" s="16">
        <f t="shared" si="17"/>
        <v>1947.07</v>
      </c>
      <c r="AK12" s="16">
        <f t="shared" si="17"/>
        <v>6888.51</v>
      </c>
      <c r="AL12" s="16">
        <f t="shared" si="17"/>
        <v>5119.1000000000004</v>
      </c>
      <c r="AM12" s="16">
        <f t="shared" si="17"/>
        <v>3401.51</v>
      </c>
      <c r="AN12" s="16">
        <f t="shared" si="17"/>
        <v>25637.360000000001</v>
      </c>
      <c r="AO12" s="16">
        <f t="shared" si="17"/>
        <v>153.71999999999983</v>
      </c>
      <c r="AP12" s="16">
        <f t="shared" si="17"/>
        <v>7617.2699999999986</v>
      </c>
      <c r="AQ12" s="16">
        <f t="shared" si="17"/>
        <v>2486.6100000000006</v>
      </c>
      <c r="AR12" s="16">
        <f t="shared" si="17"/>
        <v>9792.2799999999988</v>
      </c>
      <c r="AS12" s="16">
        <f t="shared" si="18"/>
        <v>25266.18</v>
      </c>
      <c r="AT12" s="16">
        <f t="shared" si="18"/>
        <v>13617.03</v>
      </c>
      <c r="AU12" s="16">
        <f t="shared" si="18"/>
        <v>30027.78</v>
      </c>
      <c r="AV12" s="16">
        <f t="shared" si="18"/>
        <v>26736.337387387386</v>
      </c>
      <c r="AW12" s="16">
        <f t="shared" si="18"/>
        <v>36738.35477477478</v>
      </c>
      <c r="AX12" s="16">
        <f t="shared" si="18"/>
        <v>21206.149819819821</v>
      </c>
      <c r="AY12" s="16">
        <f t="shared" si="18"/>
        <v>21989.474082183217</v>
      </c>
      <c r="AZ12" s="16">
        <f t="shared" si="18"/>
        <v>22844.252464125719</v>
      </c>
      <c r="BA12" s="16">
        <f t="shared" si="18"/>
        <v>23580.118716970166</v>
      </c>
      <c r="BB12" s="16">
        <f t="shared" si="18"/>
        <v>24743.641266086539</v>
      </c>
      <c r="BC12" s="16">
        <f t="shared" si="18"/>
        <v>25503.503628991133</v>
      </c>
    </row>
    <row r="13" spans="1:56" x14ac:dyDescent="0.25">
      <c r="G13" s="227"/>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row>
    <row r="14" spans="1:56" x14ac:dyDescent="0.25">
      <c r="G14" s="226" t="s">
        <v>11</v>
      </c>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row>
    <row r="15" spans="1:56" x14ac:dyDescent="0.25">
      <c r="E15" t="s">
        <v>492</v>
      </c>
      <c r="G15" s="227" t="s">
        <v>349</v>
      </c>
      <c r="H15" s="16">
        <f>SUMIF($E$67:$E$286,$E15,H$67:H$286)</f>
        <v>166498.69</v>
      </c>
      <c r="I15" s="16">
        <f t="shared" ref="I15:AS17" si="19">SUMIF($E$67:$E$286,$E15,I$67:I$286)</f>
        <v>175167.23</v>
      </c>
      <c r="J15" s="16">
        <f t="shared" si="19"/>
        <v>184119.66</v>
      </c>
      <c r="K15" s="16">
        <f t="shared" si="19"/>
        <v>167905.43</v>
      </c>
      <c r="L15" s="16">
        <f t="shared" si="19"/>
        <v>176741.5</v>
      </c>
      <c r="M15" s="16">
        <f t="shared" si="19"/>
        <v>185284.13</v>
      </c>
      <c r="N15" s="16">
        <f t="shared" si="19"/>
        <v>197060.96</v>
      </c>
      <c r="O15" s="16">
        <f t="shared" si="19"/>
        <v>213330.59</v>
      </c>
      <c r="P15" s="16">
        <f t="shared" si="19"/>
        <v>264983.44</v>
      </c>
      <c r="Q15" s="16">
        <f t="shared" si="19"/>
        <v>227998.13</v>
      </c>
      <c r="R15" s="16">
        <f t="shared" si="19"/>
        <v>214948.91</v>
      </c>
      <c r="S15" s="16">
        <f t="shared" si="19"/>
        <v>277547.69</v>
      </c>
      <c r="T15" s="16">
        <f t="shared" si="19"/>
        <v>285683.38</v>
      </c>
      <c r="U15" s="16">
        <f t="shared" si="19"/>
        <v>305069.00000000006</v>
      </c>
      <c r="V15" s="16">
        <f t="shared" si="19"/>
        <v>335249.17000000004</v>
      </c>
      <c r="W15" s="16">
        <f t="shared" si="19"/>
        <v>347711.43</v>
      </c>
      <c r="X15" s="16">
        <f t="shared" si="19"/>
        <v>317843.05</v>
      </c>
      <c r="Y15" s="16">
        <f t="shared" si="19"/>
        <v>345231.17</v>
      </c>
      <c r="Z15" s="16">
        <f t="shared" si="19"/>
        <v>326836.51999999996</v>
      </c>
      <c r="AA15" s="16">
        <f t="shared" si="19"/>
        <v>324614.63999999996</v>
      </c>
      <c r="AB15" s="16">
        <f t="shared" si="19"/>
        <v>332101.76000000001</v>
      </c>
      <c r="AC15" s="16">
        <f t="shared" si="19"/>
        <v>332738.67</v>
      </c>
      <c r="AD15" s="16">
        <f t="shared" si="19"/>
        <v>375442.89000000007</v>
      </c>
      <c r="AE15" s="16">
        <f t="shared" si="19"/>
        <v>269697.27</v>
      </c>
      <c r="AF15" s="16">
        <f t="shared" si="19"/>
        <v>352253.75999999995</v>
      </c>
      <c r="AG15" s="16">
        <f t="shared" si="19"/>
        <v>389386.76</v>
      </c>
      <c r="AH15" s="16">
        <f t="shared" si="19"/>
        <v>382807.7699999999</v>
      </c>
      <c r="AI15" s="16">
        <f t="shared" si="19"/>
        <v>353143.36</v>
      </c>
      <c r="AJ15" s="16">
        <f t="shared" si="19"/>
        <v>356624.08</v>
      </c>
      <c r="AK15" s="16">
        <f t="shared" si="19"/>
        <v>343795.45</v>
      </c>
      <c r="AL15" s="16">
        <f t="shared" si="19"/>
        <v>364784.51000000007</v>
      </c>
      <c r="AM15" s="16">
        <f t="shared" si="19"/>
        <v>361992.18000000005</v>
      </c>
      <c r="AN15" s="16">
        <f t="shared" si="19"/>
        <v>348355.88</v>
      </c>
      <c r="AO15" s="16">
        <f t="shared" si="19"/>
        <v>308946.18000000005</v>
      </c>
      <c r="AP15" s="16">
        <f t="shared" si="19"/>
        <v>343114.77</v>
      </c>
      <c r="AQ15" s="16">
        <f t="shared" si="19"/>
        <v>426851.07</v>
      </c>
      <c r="AR15" s="16">
        <f t="shared" si="19"/>
        <v>485125.99999999994</v>
      </c>
      <c r="AS15" s="16">
        <f t="shared" si="19"/>
        <v>441815.74999999994</v>
      </c>
      <c r="AT15" s="16">
        <f t="shared" ref="AS15:BC17" si="20">SUMIF($E$67:$E$286,$E15,AT$67:AT$286)</f>
        <v>593565.97000000009</v>
      </c>
      <c r="AU15" s="16">
        <f t="shared" si="20"/>
        <v>553664.84</v>
      </c>
      <c r="AV15" s="16">
        <f t="shared" si="20"/>
        <v>686737.72407184553</v>
      </c>
      <c r="AW15" s="16">
        <f t="shared" si="20"/>
        <v>671834.91783355305</v>
      </c>
      <c r="AX15" s="16">
        <f t="shared" si="20"/>
        <v>688455.77607101854</v>
      </c>
      <c r="AY15" s="16">
        <f t="shared" si="20"/>
        <v>706806.51808717265</v>
      </c>
      <c r="AZ15" s="16">
        <f t="shared" si="20"/>
        <v>744633.63641544955</v>
      </c>
      <c r="BA15" s="16">
        <f t="shared" si="20"/>
        <v>766734.78013170534</v>
      </c>
      <c r="BB15" s="16">
        <f t="shared" si="20"/>
        <v>764959.97037172748</v>
      </c>
      <c r="BC15" s="16">
        <f t="shared" si="20"/>
        <v>839745.35607438697</v>
      </c>
    </row>
    <row r="16" spans="1:56" x14ac:dyDescent="0.25">
      <c r="E16" t="s">
        <v>494</v>
      </c>
      <c r="G16" s="227" t="s">
        <v>483</v>
      </c>
      <c r="H16" s="16">
        <f>SUMIF($E$67:$E$286,$E16,H$67:H$286)</f>
        <v>259916.64</v>
      </c>
      <c r="I16" s="16">
        <f t="shared" si="19"/>
        <v>391330.02999999997</v>
      </c>
      <c r="J16" s="16">
        <f t="shared" si="19"/>
        <v>234366.12</v>
      </c>
      <c r="K16" s="16">
        <f t="shared" si="19"/>
        <v>182249.62</v>
      </c>
      <c r="L16" s="16">
        <f t="shared" si="19"/>
        <v>165192.31</v>
      </c>
      <c r="M16" s="16">
        <f t="shared" si="19"/>
        <v>252895.21999999997</v>
      </c>
      <c r="N16" s="16">
        <f t="shared" si="19"/>
        <v>213109.52000000002</v>
      </c>
      <c r="O16" s="16">
        <f t="shared" si="19"/>
        <v>617011.21000000008</v>
      </c>
      <c r="P16" s="16">
        <f t="shared" si="19"/>
        <v>524201.61</v>
      </c>
      <c r="Q16" s="16">
        <f t="shared" si="19"/>
        <v>267711.3</v>
      </c>
      <c r="R16" s="16">
        <f t="shared" si="19"/>
        <v>268150.63</v>
      </c>
      <c r="S16" s="16">
        <f t="shared" si="19"/>
        <v>351779.51</v>
      </c>
      <c r="T16" s="16">
        <f t="shared" si="19"/>
        <v>702830.42999999993</v>
      </c>
      <c r="U16" s="16">
        <f t="shared" si="19"/>
        <v>451288.59</v>
      </c>
      <c r="V16" s="16">
        <f t="shared" si="19"/>
        <v>403414.71999999991</v>
      </c>
      <c r="W16" s="16">
        <f t="shared" si="19"/>
        <v>939182.88000000024</v>
      </c>
      <c r="X16" s="16">
        <f t="shared" si="19"/>
        <v>249970.65000000002</v>
      </c>
      <c r="Y16" s="16">
        <f t="shared" si="19"/>
        <v>223464.49000000002</v>
      </c>
      <c r="Z16" s="16">
        <f t="shared" si="19"/>
        <v>255558.13999999998</v>
      </c>
      <c r="AA16" s="16">
        <f t="shared" si="19"/>
        <v>703679.26999999979</v>
      </c>
      <c r="AB16" s="16">
        <f t="shared" si="19"/>
        <v>471937.00000000006</v>
      </c>
      <c r="AC16" s="16">
        <f t="shared" si="19"/>
        <v>387898.3</v>
      </c>
      <c r="AD16" s="16">
        <f t="shared" si="19"/>
        <v>411343.27</v>
      </c>
      <c r="AE16" s="16">
        <f t="shared" si="19"/>
        <v>451950.87999999995</v>
      </c>
      <c r="AF16" s="16">
        <f t="shared" si="19"/>
        <v>498389.83999999997</v>
      </c>
      <c r="AG16" s="16">
        <f t="shared" si="19"/>
        <v>385966.35</v>
      </c>
      <c r="AH16" s="16">
        <f t="shared" si="19"/>
        <v>466718.39999999997</v>
      </c>
      <c r="AI16" s="16">
        <f t="shared" si="19"/>
        <v>362881.23</v>
      </c>
      <c r="AJ16" s="16">
        <f t="shared" si="19"/>
        <v>246399.13999999998</v>
      </c>
      <c r="AK16" s="16">
        <f t="shared" si="19"/>
        <v>341468.50000000006</v>
      </c>
      <c r="AL16" s="16">
        <f t="shared" si="19"/>
        <v>376615.8</v>
      </c>
      <c r="AM16" s="16">
        <f t="shared" si="19"/>
        <v>584215.13000000012</v>
      </c>
      <c r="AN16" s="16">
        <f t="shared" si="19"/>
        <v>421635.14</v>
      </c>
      <c r="AO16" s="16">
        <f t="shared" si="19"/>
        <v>536284.73</v>
      </c>
      <c r="AP16" s="16">
        <f t="shared" si="19"/>
        <v>587876.32999999996</v>
      </c>
      <c r="AQ16" s="16">
        <f t="shared" si="19"/>
        <v>798532.14</v>
      </c>
      <c r="AR16" s="16">
        <f t="shared" si="19"/>
        <v>539270.21000000008</v>
      </c>
      <c r="AS16" s="16">
        <f t="shared" si="20"/>
        <v>484616.29</v>
      </c>
      <c r="AT16" s="16">
        <f t="shared" si="20"/>
        <v>652434.32000000007</v>
      </c>
      <c r="AU16" s="16">
        <f t="shared" si="20"/>
        <v>615791.22</v>
      </c>
      <c r="AV16" s="16">
        <f t="shared" si="20"/>
        <v>779970.93216949201</v>
      </c>
      <c r="AW16" s="16">
        <f t="shared" si="20"/>
        <v>747244.40512063738</v>
      </c>
      <c r="AX16" s="16">
        <f t="shared" si="20"/>
        <v>935662.85118837119</v>
      </c>
      <c r="AY16" s="16">
        <f t="shared" si="20"/>
        <v>896790.7902902402</v>
      </c>
      <c r="AZ16" s="16">
        <f t="shared" si="20"/>
        <v>1663149.0469575657</v>
      </c>
      <c r="BA16" s="16">
        <f t="shared" si="20"/>
        <v>772284.98496572149</v>
      </c>
      <c r="BB16" s="16">
        <f t="shared" si="20"/>
        <v>540495.78823383269</v>
      </c>
      <c r="BC16" s="16">
        <f t="shared" si="20"/>
        <v>1094239.8309382757</v>
      </c>
    </row>
    <row r="17" spans="5:55" x14ac:dyDescent="0.25">
      <c r="E17" t="s">
        <v>493</v>
      </c>
      <c r="G17" s="227" t="s">
        <v>2</v>
      </c>
      <c r="H17" s="16">
        <f>SUMIF($E$67:$E$286,$E17,H$67:H$286)</f>
        <v>17537.980000000003</v>
      </c>
      <c r="I17" s="16">
        <f t="shared" si="19"/>
        <v>43007.35</v>
      </c>
      <c r="J17" s="16">
        <f t="shared" si="19"/>
        <v>27925.379999999994</v>
      </c>
      <c r="K17" s="16">
        <f t="shared" si="19"/>
        <v>31379.010000000002</v>
      </c>
      <c r="L17" s="16">
        <f t="shared" si="19"/>
        <v>27208.98</v>
      </c>
      <c r="M17" s="16">
        <f t="shared" si="19"/>
        <v>47927.93</v>
      </c>
      <c r="N17" s="16">
        <f t="shared" si="19"/>
        <v>40449.819999999992</v>
      </c>
      <c r="O17" s="16">
        <f t="shared" si="19"/>
        <v>35502.89</v>
      </c>
      <c r="P17" s="16">
        <f t="shared" si="19"/>
        <v>45860.98</v>
      </c>
      <c r="Q17" s="16">
        <f t="shared" si="19"/>
        <v>45621.98</v>
      </c>
      <c r="R17" s="16">
        <f t="shared" si="19"/>
        <v>39866.36</v>
      </c>
      <c r="S17" s="16">
        <f t="shared" si="19"/>
        <v>63715.97</v>
      </c>
      <c r="T17" s="16">
        <f t="shared" si="19"/>
        <v>48803.030000000006</v>
      </c>
      <c r="U17" s="16">
        <f t="shared" si="19"/>
        <v>64460.509999999995</v>
      </c>
      <c r="V17" s="16">
        <f t="shared" si="19"/>
        <v>40439.15</v>
      </c>
      <c r="W17" s="16">
        <f t="shared" si="19"/>
        <v>74386.849999999991</v>
      </c>
      <c r="X17" s="16">
        <f t="shared" si="19"/>
        <v>69784.360000000015</v>
      </c>
      <c r="Y17" s="16">
        <f t="shared" si="19"/>
        <v>56341.600000000006</v>
      </c>
      <c r="Z17" s="16">
        <f t="shared" si="19"/>
        <v>58375.07</v>
      </c>
      <c r="AA17" s="16">
        <f t="shared" si="19"/>
        <v>141381.45000000001</v>
      </c>
      <c r="AB17" s="16">
        <f t="shared" si="19"/>
        <v>70845.070000000007</v>
      </c>
      <c r="AC17" s="16">
        <f t="shared" si="19"/>
        <v>59406.259999999995</v>
      </c>
      <c r="AD17" s="16">
        <f t="shared" si="19"/>
        <v>66762.53</v>
      </c>
      <c r="AE17" s="16">
        <f t="shared" si="19"/>
        <v>103527.78</v>
      </c>
      <c r="AF17" s="16">
        <f t="shared" si="19"/>
        <v>66862.37999999999</v>
      </c>
      <c r="AG17" s="16">
        <f t="shared" si="19"/>
        <v>44190.33</v>
      </c>
      <c r="AH17" s="16">
        <f t="shared" si="19"/>
        <v>50058.41</v>
      </c>
      <c r="AI17" s="16">
        <f t="shared" si="19"/>
        <v>43299.799999999996</v>
      </c>
      <c r="AJ17" s="16">
        <f t="shared" si="19"/>
        <v>51973.689999999995</v>
      </c>
      <c r="AK17" s="16">
        <f t="shared" si="19"/>
        <v>63934.520000000004</v>
      </c>
      <c r="AL17" s="16">
        <f t="shared" si="19"/>
        <v>47210.009999999995</v>
      </c>
      <c r="AM17" s="16">
        <f t="shared" si="19"/>
        <v>57055.75</v>
      </c>
      <c r="AN17" s="16">
        <f t="shared" si="19"/>
        <v>51386.42</v>
      </c>
      <c r="AO17" s="16">
        <f t="shared" si="19"/>
        <v>76544.77</v>
      </c>
      <c r="AP17" s="16">
        <f t="shared" si="19"/>
        <v>66803.22</v>
      </c>
      <c r="AQ17" s="16">
        <f t="shared" si="19"/>
        <v>42485.94</v>
      </c>
      <c r="AR17" s="16">
        <f t="shared" si="19"/>
        <v>47405.21</v>
      </c>
      <c r="AS17" s="16">
        <f t="shared" si="20"/>
        <v>57483.659999999996</v>
      </c>
      <c r="AT17" s="16">
        <f t="shared" si="20"/>
        <v>54666.439999999995</v>
      </c>
      <c r="AU17" s="16">
        <f t="shared" si="20"/>
        <v>44032.109999999993</v>
      </c>
      <c r="AV17" s="16">
        <f t="shared" si="20"/>
        <v>62847.397427571268</v>
      </c>
      <c r="AW17" s="16">
        <f t="shared" si="20"/>
        <v>65704.14642709968</v>
      </c>
      <c r="AX17" s="16">
        <f t="shared" si="20"/>
        <v>66730.912853093279</v>
      </c>
      <c r="AY17" s="16">
        <f t="shared" si="20"/>
        <v>69108.916973177198</v>
      </c>
      <c r="AZ17" s="16">
        <f t="shared" si="20"/>
        <v>72375.407646331791</v>
      </c>
      <c r="BA17" s="16">
        <f t="shared" si="20"/>
        <v>73296.158615187334</v>
      </c>
      <c r="BB17" s="16">
        <f t="shared" si="20"/>
        <v>76780.903018263198</v>
      </c>
      <c r="BC17" s="16">
        <f t="shared" si="20"/>
        <v>81297.642808413759</v>
      </c>
    </row>
    <row r="18" spans="5:55" x14ac:dyDescent="0.25">
      <c r="G18" s="228"/>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c r="AY18" s="16"/>
      <c r="AZ18" s="16"/>
      <c r="BA18" s="16"/>
      <c r="BB18" s="16"/>
      <c r="BC18" s="16"/>
    </row>
    <row r="19" spans="5:55" x14ac:dyDescent="0.25">
      <c r="G19" s="226" t="s">
        <v>351</v>
      </c>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c r="AY19" s="16"/>
      <c r="AZ19" s="16"/>
      <c r="BA19" s="16"/>
      <c r="BB19" s="16"/>
      <c r="BC19" s="16"/>
    </row>
    <row r="20" spans="5:55" x14ac:dyDescent="0.25">
      <c r="E20" t="s">
        <v>499</v>
      </c>
      <c r="G20" s="227" t="s">
        <v>349</v>
      </c>
      <c r="H20" s="16">
        <f>SUMIF($E$67:$E$286,$E20,H$67:H$286)</f>
        <v>153246.78</v>
      </c>
      <c r="I20" s="16">
        <f t="shared" ref="I20:AS22" si="21">SUMIF($E$67:$E$286,$E20,I$67:I$286)</f>
        <v>150155.03</v>
      </c>
      <c r="J20" s="16">
        <f t="shared" si="21"/>
        <v>156209.91999999998</v>
      </c>
      <c r="K20" s="16">
        <f t="shared" si="21"/>
        <v>196821.89</v>
      </c>
      <c r="L20" s="16">
        <f t="shared" si="21"/>
        <v>205720.12</v>
      </c>
      <c r="M20" s="16">
        <f t="shared" si="21"/>
        <v>219528.09999999998</v>
      </c>
      <c r="N20" s="16">
        <f t="shared" si="21"/>
        <v>238576.74000000002</v>
      </c>
      <c r="O20" s="16">
        <f t="shared" si="21"/>
        <v>244130.66999999998</v>
      </c>
      <c r="P20" s="16">
        <f t="shared" si="21"/>
        <v>251238.93</v>
      </c>
      <c r="Q20" s="16">
        <f t="shared" si="21"/>
        <v>277974</v>
      </c>
      <c r="R20" s="16">
        <f t="shared" si="21"/>
        <v>262235.59999999998</v>
      </c>
      <c r="S20" s="16">
        <f t="shared" si="21"/>
        <v>307811.13999999996</v>
      </c>
      <c r="T20" s="16">
        <f t="shared" si="21"/>
        <v>308468.25</v>
      </c>
      <c r="U20" s="16">
        <f t="shared" si="21"/>
        <v>323225.75</v>
      </c>
      <c r="V20" s="16">
        <f t="shared" si="21"/>
        <v>340133.84</v>
      </c>
      <c r="W20" s="16">
        <f t="shared" si="21"/>
        <v>367260.77000000008</v>
      </c>
      <c r="X20" s="16">
        <f t="shared" si="21"/>
        <v>385199.62999999995</v>
      </c>
      <c r="Y20" s="16">
        <f t="shared" si="21"/>
        <v>420668.87</v>
      </c>
      <c r="Z20" s="16">
        <f t="shared" si="21"/>
        <v>470844.18000000005</v>
      </c>
      <c r="AA20" s="16">
        <f t="shared" si="21"/>
        <v>457048.16</v>
      </c>
      <c r="AB20" s="16">
        <f t="shared" si="21"/>
        <v>540283.18999999994</v>
      </c>
      <c r="AC20" s="16">
        <f t="shared" si="21"/>
        <v>533254.12000000011</v>
      </c>
      <c r="AD20" s="16">
        <f t="shared" si="21"/>
        <v>577730.3899999999</v>
      </c>
      <c r="AE20" s="16">
        <f t="shared" si="21"/>
        <v>606773.8899999999</v>
      </c>
      <c r="AF20" s="16">
        <f t="shared" si="21"/>
        <v>684753.15000000014</v>
      </c>
      <c r="AG20" s="16">
        <f t="shared" si="21"/>
        <v>596273.69000000006</v>
      </c>
      <c r="AH20" s="16">
        <f t="shared" si="21"/>
        <v>569158.23</v>
      </c>
      <c r="AI20" s="16">
        <f t="shared" si="21"/>
        <v>685539.02</v>
      </c>
      <c r="AJ20" s="16">
        <f t="shared" si="21"/>
        <v>575307.66</v>
      </c>
      <c r="AK20" s="16">
        <f t="shared" si="21"/>
        <v>574082.52</v>
      </c>
      <c r="AL20" s="16">
        <f t="shared" si="21"/>
        <v>645511.11</v>
      </c>
      <c r="AM20" s="16">
        <f t="shared" si="21"/>
        <v>671003.55000000005</v>
      </c>
      <c r="AN20" s="16">
        <f t="shared" si="21"/>
        <v>689747.69000000006</v>
      </c>
      <c r="AO20" s="16">
        <f t="shared" si="21"/>
        <v>682321.52999999991</v>
      </c>
      <c r="AP20" s="16">
        <f t="shared" si="21"/>
        <v>631230.91999999993</v>
      </c>
      <c r="AQ20" s="16">
        <f t="shared" si="21"/>
        <v>802474.45000000007</v>
      </c>
      <c r="AR20" s="16">
        <f t="shared" si="21"/>
        <v>910293.30999999982</v>
      </c>
      <c r="AS20" s="16">
        <f t="shared" si="21"/>
        <v>898158.84</v>
      </c>
      <c r="AT20" s="16">
        <f t="shared" ref="AS20:BC22" si="22">SUMIF($E$67:$E$286,$E20,AT$67:AT$286)</f>
        <v>1128826.6399999999</v>
      </c>
      <c r="AU20" s="16">
        <f t="shared" si="22"/>
        <v>1255866.2200000002</v>
      </c>
      <c r="AV20" s="16">
        <f t="shared" si="22"/>
        <v>1273497.3570289453</v>
      </c>
      <c r="AW20" s="16">
        <f t="shared" si="22"/>
        <v>1216870.5622923679</v>
      </c>
      <c r="AX20" s="16">
        <f t="shared" si="22"/>
        <v>1298983.6402641162</v>
      </c>
      <c r="AY20" s="16">
        <f t="shared" si="22"/>
        <v>1319251.84328744</v>
      </c>
      <c r="AZ20" s="16">
        <f t="shared" si="22"/>
        <v>1337784.3510598924</v>
      </c>
      <c r="BA20" s="16">
        <f t="shared" si="22"/>
        <v>1362615.8833423946</v>
      </c>
      <c r="BB20" s="16">
        <f t="shared" si="22"/>
        <v>1394019.7565968125</v>
      </c>
      <c r="BC20" s="16">
        <f t="shared" si="22"/>
        <v>1436533.7911134022</v>
      </c>
    </row>
    <row r="21" spans="5:55" x14ac:dyDescent="0.25">
      <c r="E21" t="s">
        <v>500</v>
      </c>
      <c r="G21" s="227" t="s">
        <v>2</v>
      </c>
      <c r="H21" s="16">
        <f>SUMIF($E$67:$E$286,$E21,H$67:H$286)</f>
        <v>18215.940000000002</v>
      </c>
      <c r="I21" s="16">
        <f t="shared" si="21"/>
        <v>15792.57</v>
      </c>
      <c r="J21" s="16">
        <f t="shared" si="21"/>
        <v>28528.080000000002</v>
      </c>
      <c r="K21" s="16">
        <f t="shared" si="21"/>
        <v>24980.370000000003</v>
      </c>
      <c r="L21" s="16">
        <f t="shared" si="21"/>
        <v>28992.400000000001</v>
      </c>
      <c r="M21" s="16">
        <f t="shared" si="21"/>
        <v>28563.75</v>
      </c>
      <c r="N21" s="16">
        <f t="shared" si="21"/>
        <v>44856.5</v>
      </c>
      <c r="O21" s="16">
        <f t="shared" si="21"/>
        <v>49490.710000000006</v>
      </c>
      <c r="P21" s="16">
        <f t="shared" si="21"/>
        <v>45307.53</v>
      </c>
      <c r="Q21" s="16">
        <f t="shared" si="21"/>
        <v>32753.43</v>
      </c>
      <c r="R21" s="16">
        <f t="shared" si="21"/>
        <v>23356.94</v>
      </c>
      <c r="S21" s="16">
        <f t="shared" si="21"/>
        <v>26591.89</v>
      </c>
      <c r="T21" s="16">
        <f t="shared" si="21"/>
        <v>17928.16</v>
      </c>
      <c r="U21" s="16">
        <f t="shared" si="21"/>
        <v>31803.86</v>
      </c>
      <c r="V21" s="16">
        <f t="shared" si="21"/>
        <v>28719.86</v>
      </c>
      <c r="W21" s="16">
        <f t="shared" si="21"/>
        <v>46973.84</v>
      </c>
      <c r="X21" s="16">
        <f t="shared" si="21"/>
        <v>47194.310000000005</v>
      </c>
      <c r="Y21" s="16">
        <f t="shared" si="21"/>
        <v>63402.23</v>
      </c>
      <c r="Z21" s="16">
        <f t="shared" si="21"/>
        <v>51814.929999999993</v>
      </c>
      <c r="AA21" s="16">
        <f t="shared" si="21"/>
        <v>59917.340000000004</v>
      </c>
      <c r="AB21" s="16">
        <f t="shared" si="21"/>
        <v>48363.61</v>
      </c>
      <c r="AC21" s="16">
        <f t="shared" si="21"/>
        <v>69792.81</v>
      </c>
      <c r="AD21" s="16">
        <f t="shared" si="21"/>
        <v>39368.540000000008</v>
      </c>
      <c r="AE21" s="16">
        <f t="shared" si="21"/>
        <v>3738.5299999999988</v>
      </c>
      <c r="AF21" s="16">
        <f t="shared" si="21"/>
        <v>61672.369999999995</v>
      </c>
      <c r="AG21" s="16">
        <f t="shared" si="21"/>
        <v>16439.32</v>
      </c>
      <c r="AH21" s="16">
        <f t="shared" si="21"/>
        <v>4929.1000000000004</v>
      </c>
      <c r="AI21" s="16">
        <f t="shared" si="21"/>
        <v>8672.9299999999985</v>
      </c>
      <c r="AJ21" s="16">
        <f t="shared" si="21"/>
        <v>6395.14</v>
      </c>
      <c r="AK21" s="16">
        <f t="shared" si="21"/>
        <v>9497.119999999999</v>
      </c>
      <c r="AL21" s="16">
        <f t="shared" si="21"/>
        <v>7579.4900000000007</v>
      </c>
      <c r="AM21" s="16">
        <f t="shared" si="21"/>
        <v>8096.17</v>
      </c>
      <c r="AN21" s="16">
        <f t="shared" si="21"/>
        <v>6197.5</v>
      </c>
      <c r="AO21" s="16">
        <f t="shared" si="21"/>
        <v>9295.52</v>
      </c>
      <c r="AP21" s="16">
        <f t="shared" si="21"/>
        <v>14088.09</v>
      </c>
      <c r="AQ21" s="16">
        <f t="shared" si="21"/>
        <v>33449.149999999994</v>
      </c>
      <c r="AR21" s="16">
        <f t="shared" si="21"/>
        <v>30480.399999999998</v>
      </c>
      <c r="AS21" s="16">
        <f t="shared" si="22"/>
        <v>41151.840000000004</v>
      </c>
      <c r="AT21" s="16">
        <f t="shared" si="22"/>
        <v>22482.41</v>
      </c>
      <c r="AU21" s="16">
        <f t="shared" si="22"/>
        <v>21676.769999999997</v>
      </c>
      <c r="AV21" s="16">
        <f t="shared" si="22"/>
        <v>24796.868333333332</v>
      </c>
      <c r="AW21" s="16">
        <f t="shared" si="22"/>
        <v>32262.677</v>
      </c>
      <c r="AX21" s="16">
        <f t="shared" si="22"/>
        <v>26660.102999999999</v>
      </c>
      <c r="AY21" s="16">
        <f t="shared" si="22"/>
        <v>26946.770774193545</v>
      </c>
      <c r="AZ21" s="16">
        <f t="shared" si="22"/>
        <v>26946.770774193545</v>
      </c>
      <c r="BA21" s="16">
        <f t="shared" si="22"/>
        <v>27806.774096774192</v>
      </c>
      <c r="BB21" s="16">
        <f t="shared" si="22"/>
        <v>28953.445193548388</v>
      </c>
      <c r="BC21" s="16">
        <f t="shared" si="22"/>
        <v>29240.112967741934</v>
      </c>
    </row>
    <row r="22" spans="5:55" x14ac:dyDescent="0.25">
      <c r="E22" t="s">
        <v>506</v>
      </c>
      <c r="G22" s="227" t="s">
        <v>517</v>
      </c>
      <c r="H22" s="16">
        <f>SUMIF($E$67:$E$286,$E22,H$67:H$286)</f>
        <v>-106860.78</v>
      </c>
      <c r="I22" s="16">
        <f t="shared" si="21"/>
        <v>-100852.36</v>
      </c>
      <c r="J22" s="16">
        <f t="shared" si="21"/>
        <v>-110564.17000000001</v>
      </c>
      <c r="K22" s="16">
        <f t="shared" si="21"/>
        <v>-133950.21</v>
      </c>
      <c r="L22" s="16">
        <f t="shared" si="21"/>
        <v>-143205.78</v>
      </c>
      <c r="M22" s="16">
        <f t="shared" si="21"/>
        <v>-157520.69</v>
      </c>
      <c r="N22" s="16">
        <f t="shared" si="21"/>
        <v>-175675.43</v>
      </c>
      <c r="O22" s="16">
        <f t="shared" si="21"/>
        <v>-185074.61</v>
      </c>
      <c r="P22" s="16">
        <f t="shared" si="21"/>
        <v>-203836.06</v>
      </c>
      <c r="Q22" s="16">
        <f t="shared" si="21"/>
        <v>-196825.27</v>
      </c>
      <c r="R22" s="16">
        <f t="shared" si="21"/>
        <v>-184189.28</v>
      </c>
      <c r="S22" s="16">
        <f t="shared" si="21"/>
        <v>-209804.68</v>
      </c>
      <c r="T22" s="16">
        <f t="shared" si="21"/>
        <v>-194354.16</v>
      </c>
      <c r="U22" s="16">
        <f t="shared" si="21"/>
        <v>-215421.56</v>
      </c>
      <c r="V22" s="16">
        <f t="shared" si="21"/>
        <v>-243863.85</v>
      </c>
      <c r="W22" s="16">
        <f t="shared" si="21"/>
        <v>-262540.19</v>
      </c>
      <c r="X22" s="16">
        <f t="shared" si="21"/>
        <v>-262729.43</v>
      </c>
      <c r="Y22" s="16">
        <f t="shared" si="21"/>
        <v>-321698.32</v>
      </c>
      <c r="Z22" s="16">
        <f t="shared" si="21"/>
        <v>-327123.38</v>
      </c>
      <c r="AA22" s="16">
        <f t="shared" si="21"/>
        <v>-311499.24</v>
      </c>
      <c r="AB22" s="16">
        <f t="shared" si="21"/>
        <v>-382860.33999999997</v>
      </c>
      <c r="AC22" s="16">
        <f t="shared" si="21"/>
        <v>-347066.83999999997</v>
      </c>
      <c r="AD22" s="16">
        <f t="shared" si="21"/>
        <v>-349814.05</v>
      </c>
      <c r="AE22" s="16">
        <f t="shared" si="21"/>
        <v>-575288.91</v>
      </c>
      <c r="AF22" s="16">
        <f t="shared" si="21"/>
        <v>-372955.45999999996</v>
      </c>
      <c r="AG22" s="16">
        <f t="shared" si="21"/>
        <v>-345391.51</v>
      </c>
      <c r="AH22" s="16">
        <f t="shared" si="21"/>
        <v>-982389.92</v>
      </c>
      <c r="AI22" s="16">
        <f t="shared" si="21"/>
        <v>-551135.66999999993</v>
      </c>
      <c r="AJ22" s="16">
        <f t="shared" si="21"/>
        <v>-463558.66000000003</v>
      </c>
      <c r="AK22" s="16">
        <f t="shared" si="21"/>
        <v>-569021.75600000005</v>
      </c>
      <c r="AL22" s="16">
        <f t="shared" si="21"/>
        <v>-512899.85</v>
      </c>
      <c r="AM22" s="16">
        <f t="shared" si="21"/>
        <v>-537798.38</v>
      </c>
      <c r="AN22" s="16">
        <f t="shared" si="21"/>
        <v>-665989.29399999999</v>
      </c>
      <c r="AO22" s="16">
        <f t="shared" si="21"/>
        <v>-530162.02</v>
      </c>
      <c r="AP22" s="16">
        <f t="shared" si="21"/>
        <v>-496312.06</v>
      </c>
      <c r="AQ22" s="16">
        <f t="shared" si="21"/>
        <v>-794307.91399999987</v>
      </c>
      <c r="AR22" s="16">
        <f t="shared" si="21"/>
        <v>-629117.54</v>
      </c>
      <c r="AS22" s="16">
        <f t="shared" si="22"/>
        <v>-712838.62</v>
      </c>
      <c r="AT22" s="16">
        <f t="shared" si="22"/>
        <v>-962030.69000000006</v>
      </c>
      <c r="AU22" s="16">
        <f t="shared" si="22"/>
        <v>-899397.79</v>
      </c>
      <c r="AV22" s="16">
        <f t="shared" si="22"/>
        <v>-1103174.2599596323</v>
      </c>
      <c r="AW22" s="16">
        <f t="shared" si="22"/>
        <v>-1065637.8938028542</v>
      </c>
      <c r="AX22" s="16">
        <f t="shared" si="22"/>
        <v>-1132955.5774540862</v>
      </c>
      <c r="AY22" s="16">
        <f t="shared" si="22"/>
        <v>-1149329.7654557074</v>
      </c>
      <c r="AZ22" s="16">
        <f t="shared" si="22"/>
        <v>-1165152.0687837088</v>
      </c>
      <c r="BA22" s="16">
        <f t="shared" si="22"/>
        <v>-1188735.7937582615</v>
      </c>
      <c r="BB22" s="16">
        <f t="shared" si="22"/>
        <v>-1216974.0047775814</v>
      </c>
      <c r="BC22" s="16">
        <f t="shared" si="22"/>
        <v>-1254837.7793599507</v>
      </c>
    </row>
    <row r="23" spans="5:55" x14ac:dyDescent="0.25">
      <c r="G23" s="228"/>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c r="AY23" s="16"/>
      <c r="AZ23" s="16"/>
      <c r="BA23" s="16"/>
      <c r="BB23" s="16"/>
      <c r="BC23" s="16"/>
    </row>
    <row r="24" spans="5:55" x14ac:dyDescent="0.25">
      <c r="G24" s="229" t="s">
        <v>487</v>
      </c>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c r="AY24" s="16"/>
      <c r="AZ24" s="16"/>
      <c r="BA24" s="16"/>
      <c r="BB24" s="16"/>
      <c r="BC24" s="16"/>
    </row>
    <row r="25" spans="5:55" x14ac:dyDescent="0.25">
      <c r="E25" t="s">
        <v>490</v>
      </c>
      <c r="G25" s="227" t="s">
        <v>349</v>
      </c>
      <c r="H25" s="16">
        <f>SUMIF($E$67:$E$286,$E25,H$67:H$286)</f>
        <v>216640.72999999998</v>
      </c>
      <c r="I25" s="16">
        <f t="shared" ref="I25:AS26" si="23">SUMIF($E$67:$E$286,$E25,I$67:I$286)</f>
        <v>231009.76</v>
      </c>
      <c r="J25" s="16">
        <f t="shared" si="23"/>
        <v>263188.2</v>
      </c>
      <c r="K25" s="16">
        <f t="shared" si="23"/>
        <v>223106.43</v>
      </c>
      <c r="L25" s="16">
        <f t="shared" si="23"/>
        <v>270058.20999999996</v>
      </c>
      <c r="M25" s="16">
        <f t="shared" si="23"/>
        <v>374098.53</v>
      </c>
      <c r="N25" s="16">
        <f t="shared" si="23"/>
        <v>296520.65000000002</v>
      </c>
      <c r="O25" s="16">
        <f t="shared" si="23"/>
        <v>241596.76</v>
      </c>
      <c r="P25" s="16">
        <f t="shared" si="23"/>
        <v>354655.86</v>
      </c>
      <c r="Q25" s="16">
        <f t="shared" si="23"/>
        <v>301406.17</v>
      </c>
      <c r="R25" s="16">
        <f t="shared" si="23"/>
        <v>405997.98</v>
      </c>
      <c r="S25" s="16">
        <f t="shared" si="23"/>
        <v>659393.28000000003</v>
      </c>
      <c r="T25" s="16">
        <f t="shared" si="23"/>
        <v>365388.07</v>
      </c>
      <c r="U25" s="16">
        <f t="shared" si="23"/>
        <v>402320.38999999996</v>
      </c>
      <c r="V25" s="16">
        <f t="shared" si="23"/>
        <v>473559.20999999996</v>
      </c>
      <c r="W25" s="16">
        <f t="shared" si="23"/>
        <v>378318.30000000005</v>
      </c>
      <c r="X25" s="16">
        <f t="shared" si="23"/>
        <v>471479.95999999996</v>
      </c>
      <c r="Y25" s="16">
        <f t="shared" si="23"/>
        <v>489134.58</v>
      </c>
      <c r="Z25" s="16">
        <f t="shared" si="23"/>
        <v>453785.43000000005</v>
      </c>
      <c r="AA25" s="16">
        <f t="shared" si="23"/>
        <v>449338.69999999995</v>
      </c>
      <c r="AB25" s="16">
        <f t="shared" si="23"/>
        <v>369580.52999999997</v>
      </c>
      <c r="AC25" s="16">
        <f t="shared" si="23"/>
        <v>470398.31999999995</v>
      </c>
      <c r="AD25" s="16">
        <f t="shared" si="23"/>
        <v>657734.87</v>
      </c>
      <c r="AE25" s="16">
        <f t="shared" si="23"/>
        <v>883576.7</v>
      </c>
      <c r="AF25" s="16">
        <f t="shared" si="23"/>
        <v>815499.57</v>
      </c>
      <c r="AG25" s="16">
        <f t="shared" si="23"/>
        <v>930836.75999999989</v>
      </c>
      <c r="AH25" s="16">
        <f t="shared" si="23"/>
        <v>449970.35</v>
      </c>
      <c r="AI25" s="16">
        <f t="shared" si="23"/>
        <v>946937.62</v>
      </c>
      <c r="AJ25" s="16">
        <f t="shared" si="23"/>
        <v>988764.28</v>
      </c>
      <c r="AK25" s="16">
        <f t="shared" si="23"/>
        <v>946900</v>
      </c>
      <c r="AL25" s="16">
        <f t="shared" si="23"/>
        <v>825627.85</v>
      </c>
      <c r="AM25" s="16">
        <f t="shared" si="23"/>
        <v>1341553.53</v>
      </c>
      <c r="AN25" s="16">
        <f t="shared" si="23"/>
        <v>-949776.92999999993</v>
      </c>
      <c r="AO25" s="16">
        <f t="shared" si="23"/>
        <v>988054.5199999999</v>
      </c>
      <c r="AP25" s="16">
        <f t="shared" si="23"/>
        <v>867580.11</v>
      </c>
      <c r="AQ25" s="16">
        <f t="shared" si="23"/>
        <v>464368.05999999994</v>
      </c>
      <c r="AR25" s="16">
        <f t="shared" si="23"/>
        <v>1174252.0100000002</v>
      </c>
      <c r="AS25" s="16">
        <f t="shared" si="23"/>
        <v>1243094.6800000002</v>
      </c>
      <c r="AT25" s="16">
        <f t="shared" ref="AS25:BC26" si="24">SUMIF($E$67:$E$286,$E25,AT$67:AT$286)</f>
        <v>541141.71000000008</v>
      </c>
      <c r="AU25" s="16">
        <f t="shared" si="24"/>
        <v>1533934.23</v>
      </c>
      <c r="AV25" s="16">
        <f t="shared" si="24"/>
        <v>1078288.0595284828</v>
      </c>
      <c r="AW25" s="16">
        <f t="shared" si="24"/>
        <v>1012960.7549926904</v>
      </c>
      <c r="AX25" s="16">
        <f t="shared" si="24"/>
        <v>1048852.2399479384</v>
      </c>
      <c r="AY25" s="16">
        <f t="shared" si="24"/>
        <v>1099930.9653213855</v>
      </c>
      <c r="AZ25" s="16">
        <f t="shared" si="24"/>
        <v>1137488.9338804872</v>
      </c>
      <c r="BA25" s="16">
        <f t="shared" si="24"/>
        <v>1160219.2228338527</v>
      </c>
      <c r="BB25" s="16">
        <f t="shared" si="24"/>
        <v>1181552.8682294658</v>
      </c>
      <c r="BC25" s="16">
        <f t="shared" si="24"/>
        <v>1260013.3962788656</v>
      </c>
    </row>
    <row r="26" spans="5:55" x14ac:dyDescent="0.25">
      <c r="E26" t="s">
        <v>491</v>
      </c>
      <c r="G26" s="227" t="s">
        <v>2</v>
      </c>
      <c r="H26" s="16">
        <f>SUMIF($E$67:$E$286,$E26,H$67:H$286)</f>
        <v>59418.12</v>
      </c>
      <c r="I26" s="16">
        <f t="shared" si="23"/>
        <v>96670.75</v>
      </c>
      <c r="J26" s="16">
        <f t="shared" si="23"/>
        <v>45842.9</v>
      </c>
      <c r="K26" s="16">
        <f t="shared" si="23"/>
        <v>55229.49</v>
      </c>
      <c r="L26" s="16">
        <f t="shared" si="23"/>
        <v>77544.91</v>
      </c>
      <c r="M26" s="16">
        <f t="shared" si="23"/>
        <v>66705.8</v>
      </c>
      <c r="N26" s="16">
        <f t="shared" si="23"/>
        <v>82560.899999999994</v>
      </c>
      <c r="O26" s="16">
        <f t="shared" si="23"/>
        <v>69088.81</v>
      </c>
      <c r="P26" s="16">
        <f t="shared" si="23"/>
        <v>82297.279999999999</v>
      </c>
      <c r="Q26" s="16">
        <f t="shared" si="23"/>
        <v>88510.510000000009</v>
      </c>
      <c r="R26" s="16">
        <f t="shared" si="23"/>
        <v>74901.209999999992</v>
      </c>
      <c r="S26" s="16">
        <f t="shared" si="23"/>
        <v>118919.41</v>
      </c>
      <c r="T26" s="16">
        <f t="shared" si="23"/>
        <v>78938.100000000006</v>
      </c>
      <c r="U26" s="16">
        <f t="shared" si="23"/>
        <v>113882.15</v>
      </c>
      <c r="V26" s="16">
        <f t="shared" si="23"/>
        <v>121489.51</v>
      </c>
      <c r="W26" s="16">
        <f t="shared" si="23"/>
        <v>120778.21000000002</v>
      </c>
      <c r="X26" s="16">
        <f t="shared" si="23"/>
        <v>226470.36</v>
      </c>
      <c r="Y26" s="16">
        <f t="shared" si="23"/>
        <v>131186.56</v>
      </c>
      <c r="Z26" s="16">
        <f t="shared" si="23"/>
        <v>363039.01999999996</v>
      </c>
      <c r="AA26" s="16">
        <f t="shared" si="23"/>
        <v>164560.88</v>
      </c>
      <c r="AB26" s="16">
        <f t="shared" si="23"/>
        <v>315420.65000000002</v>
      </c>
      <c r="AC26" s="16">
        <f t="shared" si="23"/>
        <v>214898.63999999996</v>
      </c>
      <c r="AD26" s="16">
        <f t="shared" si="23"/>
        <v>328630.14000000007</v>
      </c>
      <c r="AE26" s="16">
        <f t="shared" si="23"/>
        <v>280937.73</v>
      </c>
      <c r="AF26" s="16">
        <f t="shared" si="23"/>
        <v>250452.41</v>
      </c>
      <c r="AG26" s="16">
        <f t="shared" si="23"/>
        <v>156966.81</v>
      </c>
      <c r="AH26" s="16">
        <f t="shared" si="23"/>
        <v>195458.36</v>
      </c>
      <c r="AI26" s="16">
        <f t="shared" si="23"/>
        <v>145591.39999999997</v>
      </c>
      <c r="AJ26" s="16">
        <f t="shared" si="23"/>
        <v>180652.18</v>
      </c>
      <c r="AK26" s="16">
        <f t="shared" si="23"/>
        <v>150886.28</v>
      </c>
      <c r="AL26" s="16">
        <f t="shared" si="23"/>
        <v>145216.99000000002</v>
      </c>
      <c r="AM26" s="16">
        <f t="shared" si="23"/>
        <v>154796.22</v>
      </c>
      <c r="AN26" s="16">
        <f t="shared" si="23"/>
        <v>162152.01</v>
      </c>
      <c r="AO26" s="16">
        <f t="shared" si="23"/>
        <v>228697.32</v>
      </c>
      <c r="AP26" s="16">
        <f t="shared" si="23"/>
        <v>205646.35</v>
      </c>
      <c r="AQ26" s="16">
        <f t="shared" si="23"/>
        <v>200867.43000000002</v>
      </c>
      <c r="AR26" s="16">
        <f t="shared" si="23"/>
        <v>196595.22</v>
      </c>
      <c r="AS26" s="16">
        <f t="shared" si="24"/>
        <v>174598.67999999996</v>
      </c>
      <c r="AT26" s="16">
        <f t="shared" si="24"/>
        <v>245317.58</v>
      </c>
      <c r="AU26" s="16">
        <f t="shared" si="24"/>
        <v>258497.85000000003</v>
      </c>
      <c r="AV26" s="16">
        <f t="shared" si="24"/>
        <v>341836.43260000006</v>
      </c>
      <c r="AW26" s="16">
        <f t="shared" si="24"/>
        <v>242979.70394800004</v>
      </c>
      <c r="AX26" s="16">
        <f t="shared" si="24"/>
        <v>236073.44686467468</v>
      </c>
      <c r="AY26" s="16">
        <f t="shared" si="24"/>
        <v>238795.84818310314</v>
      </c>
      <c r="AZ26" s="16">
        <f t="shared" si="24"/>
        <v>246881.67692065611</v>
      </c>
      <c r="BA26" s="16">
        <f t="shared" si="24"/>
        <v>753960.33877583838</v>
      </c>
      <c r="BB26" s="16">
        <f t="shared" si="24"/>
        <v>267175.40045749204</v>
      </c>
      <c r="BC26" s="16">
        <f t="shared" si="24"/>
        <v>274408.30784036021</v>
      </c>
    </row>
    <row r="27" spans="5:55" x14ac:dyDescent="0.25">
      <c r="G27" s="228"/>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c r="AY27" s="16"/>
      <c r="AZ27" s="16"/>
      <c r="BA27" s="16"/>
      <c r="BB27" s="16"/>
      <c r="BC27" s="16"/>
    </row>
    <row r="28" spans="5:55" x14ac:dyDescent="0.25">
      <c r="E28" t="s">
        <v>488</v>
      </c>
      <c r="G28" s="229" t="s">
        <v>489</v>
      </c>
      <c r="H28" s="16">
        <f>SUMIF($E$67:$E$286,$E28,H$67:H$286)</f>
        <v>0</v>
      </c>
      <c r="I28" s="16">
        <f t="shared" ref="I28:BC28" si="25">SUMIF($E$67:$E$286,$E28,I$67:I$286)</f>
        <v>0</v>
      </c>
      <c r="J28" s="16">
        <f t="shared" si="25"/>
        <v>0</v>
      </c>
      <c r="K28" s="16">
        <f t="shared" si="25"/>
        <v>0</v>
      </c>
      <c r="L28" s="16">
        <f t="shared" si="25"/>
        <v>0</v>
      </c>
      <c r="M28" s="16">
        <f t="shared" si="25"/>
        <v>0</v>
      </c>
      <c r="N28" s="16">
        <f t="shared" si="25"/>
        <v>0</v>
      </c>
      <c r="O28" s="16">
        <f t="shared" si="25"/>
        <v>0</v>
      </c>
      <c r="P28" s="16">
        <f t="shared" si="25"/>
        <v>0</v>
      </c>
      <c r="Q28" s="16">
        <f t="shared" si="25"/>
        <v>0</v>
      </c>
      <c r="R28" s="16">
        <f t="shared" si="25"/>
        <v>0</v>
      </c>
      <c r="S28" s="16">
        <f t="shared" si="25"/>
        <v>0</v>
      </c>
      <c r="T28" s="16">
        <f t="shared" si="25"/>
        <v>0</v>
      </c>
      <c r="U28" s="16">
        <f t="shared" si="25"/>
        <v>0</v>
      </c>
      <c r="V28" s="16">
        <f t="shared" si="25"/>
        <v>0</v>
      </c>
      <c r="W28" s="16">
        <f t="shared" si="25"/>
        <v>0</v>
      </c>
      <c r="X28" s="16">
        <f t="shared" si="25"/>
        <v>0</v>
      </c>
      <c r="Y28" s="16">
        <f t="shared" si="25"/>
        <v>0</v>
      </c>
      <c r="Z28" s="16">
        <f t="shared" si="25"/>
        <v>0</v>
      </c>
      <c r="AA28" s="16">
        <f t="shared" si="25"/>
        <v>0</v>
      </c>
      <c r="AB28" s="16">
        <f t="shared" si="25"/>
        <v>0</v>
      </c>
      <c r="AC28" s="16">
        <f t="shared" si="25"/>
        <v>0</v>
      </c>
      <c r="AD28" s="16">
        <f t="shared" si="25"/>
        <v>0</v>
      </c>
      <c r="AE28" s="16">
        <f t="shared" si="25"/>
        <v>0</v>
      </c>
      <c r="AF28" s="16">
        <f t="shared" si="25"/>
        <v>0</v>
      </c>
      <c r="AG28" s="16">
        <f t="shared" si="25"/>
        <v>0</v>
      </c>
      <c r="AH28" s="16">
        <f t="shared" si="25"/>
        <v>0</v>
      </c>
      <c r="AI28" s="16">
        <f t="shared" si="25"/>
        <v>0</v>
      </c>
      <c r="AJ28" s="16">
        <f t="shared" si="25"/>
        <v>0</v>
      </c>
      <c r="AK28" s="16">
        <f t="shared" si="25"/>
        <v>0</v>
      </c>
      <c r="AL28" s="16">
        <f t="shared" si="25"/>
        <v>0</v>
      </c>
      <c r="AM28" s="16">
        <f t="shared" si="25"/>
        <v>0</v>
      </c>
      <c r="AN28" s="16">
        <f t="shared" si="25"/>
        <v>0</v>
      </c>
      <c r="AO28" s="16">
        <f t="shared" si="25"/>
        <v>0</v>
      </c>
      <c r="AP28" s="16">
        <f t="shared" si="25"/>
        <v>0</v>
      </c>
      <c r="AQ28" s="16">
        <f t="shared" si="25"/>
        <v>0</v>
      </c>
      <c r="AR28" s="16">
        <f t="shared" si="25"/>
        <v>0</v>
      </c>
      <c r="AS28" s="16">
        <f t="shared" si="25"/>
        <v>0</v>
      </c>
      <c r="AT28" s="16">
        <f t="shared" si="25"/>
        <v>0</v>
      </c>
      <c r="AU28" s="16">
        <f t="shared" si="25"/>
        <v>0</v>
      </c>
      <c r="AV28" s="16">
        <f t="shared" si="25"/>
        <v>182966.66666666669</v>
      </c>
      <c r="AW28" s="16">
        <f t="shared" si="25"/>
        <v>264363.33333333337</v>
      </c>
      <c r="AX28" s="16">
        <f t="shared" si="25"/>
        <v>280540</v>
      </c>
      <c r="AY28" s="16">
        <f t="shared" si="25"/>
        <v>302816.66666666669</v>
      </c>
      <c r="AZ28" s="16">
        <f t="shared" si="25"/>
        <v>333853.33333333337</v>
      </c>
      <c r="BA28" s="16">
        <f t="shared" si="25"/>
        <v>322653.33333333337</v>
      </c>
      <c r="BB28" s="16">
        <f t="shared" si="25"/>
        <v>327753.33333333337</v>
      </c>
      <c r="BC28" s="16">
        <f t="shared" si="25"/>
        <v>347980.00000000006</v>
      </c>
    </row>
    <row r="29" spans="5:55" x14ac:dyDescent="0.25">
      <c r="G29" s="229" t="s">
        <v>514</v>
      </c>
      <c r="H29" s="16">
        <f>H289</f>
        <v>0</v>
      </c>
      <c r="I29" s="16">
        <f t="shared" ref="I29:AQ29" si="26">I289</f>
        <v>0</v>
      </c>
      <c r="J29" s="16">
        <f t="shared" si="26"/>
        <v>0</v>
      </c>
      <c r="K29" s="16">
        <f t="shared" si="26"/>
        <v>0</v>
      </c>
      <c r="L29" s="16">
        <f t="shared" si="26"/>
        <v>0</v>
      </c>
      <c r="M29" s="16">
        <f t="shared" si="26"/>
        <v>0</v>
      </c>
      <c r="N29" s="16">
        <f t="shared" si="26"/>
        <v>0</v>
      </c>
      <c r="O29" s="16">
        <f t="shared" si="26"/>
        <v>0</v>
      </c>
      <c r="P29" s="16">
        <f t="shared" si="26"/>
        <v>0</v>
      </c>
      <c r="Q29" s="16">
        <f t="shared" si="26"/>
        <v>0</v>
      </c>
      <c r="R29" s="16">
        <f t="shared" si="26"/>
        <v>0</v>
      </c>
      <c r="S29" s="16">
        <f t="shared" si="26"/>
        <v>0</v>
      </c>
      <c r="T29" s="16">
        <f t="shared" si="26"/>
        <v>0</v>
      </c>
      <c r="U29" s="16">
        <f t="shared" si="26"/>
        <v>0</v>
      </c>
      <c r="V29" s="16">
        <f t="shared" si="26"/>
        <v>-1110006.19</v>
      </c>
      <c r="W29" s="16">
        <f t="shared" si="26"/>
        <v>0</v>
      </c>
      <c r="X29" s="16">
        <f t="shared" si="26"/>
        <v>0</v>
      </c>
      <c r="Y29" s="16">
        <f t="shared" si="26"/>
        <v>-1743488.37</v>
      </c>
      <c r="Z29" s="16">
        <f t="shared" si="26"/>
        <v>0</v>
      </c>
      <c r="AA29" s="16">
        <f t="shared" si="26"/>
        <v>0</v>
      </c>
      <c r="AB29" s="16">
        <f t="shared" si="26"/>
        <v>-1277349.83</v>
      </c>
      <c r="AC29" s="16">
        <f t="shared" si="26"/>
        <v>0</v>
      </c>
      <c r="AD29" s="16">
        <f t="shared" si="26"/>
        <v>0</v>
      </c>
      <c r="AE29" s="16">
        <f t="shared" si="26"/>
        <v>-1917179.32</v>
      </c>
      <c r="AF29" s="16">
        <f t="shared" si="26"/>
        <v>0</v>
      </c>
      <c r="AG29" s="16">
        <f t="shared" si="26"/>
        <v>0</v>
      </c>
      <c r="AH29" s="16">
        <f t="shared" si="26"/>
        <v>-1190457</v>
      </c>
      <c r="AI29" s="16">
        <f t="shared" si="26"/>
        <v>0</v>
      </c>
      <c r="AJ29" s="16">
        <f t="shared" si="26"/>
        <v>0</v>
      </c>
      <c r="AK29" s="16">
        <f t="shared" si="26"/>
        <v>-1928475</v>
      </c>
      <c r="AL29" s="16">
        <f t="shared" si="26"/>
        <v>0</v>
      </c>
      <c r="AM29" s="16">
        <f t="shared" si="26"/>
        <v>0</v>
      </c>
      <c r="AN29" s="16">
        <f t="shared" si="26"/>
        <v>-1924301.21</v>
      </c>
      <c r="AO29" s="16">
        <f t="shared" si="26"/>
        <v>0</v>
      </c>
      <c r="AP29" s="16">
        <f t="shared" si="26"/>
        <v>-838250.42</v>
      </c>
      <c r="AQ29" s="16">
        <f t="shared" si="26"/>
        <v>-1673616.94</v>
      </c>
      <c r="AR29" s="16">
        <f t="shared" ref="AR29:BC29" si="27">AR289</f>
        <v>0</v>
      </c>
      <c r="AS29" s="16">
        <f t="shared" si="27"/>
        <v>0</v>
      </c>
      <c r="AT29" s="16">
        <f t="shared" si="27"/>
        <v>-2296760.92</v>
      </c>
      <c r="AU29" s="16">
        <f t="shared" si="27"/>
        <v>0</v>
      </c>
      <c r="AV29" s="16">
        <f t="shared" si="27"/>
        <v>0</v>
      </c>
      <c r="AW29" s="16">
        <f t="shared" si="27"/>
        <v>0</v>
      </c>
      <c r="AX29" s="16">
        <f t="shared" si="27"/>
        <v>0</v>
      </c>
      <c r="AY29" s="16">
        <f t="shared" si="27"/>
        <v>0</v>
      </c>
      <c r="AZ29" s="16">
        <f t="shared" si="27"/>
        <v>0</v>
      </c>
      <c r="BA29" s="16">
        <f t="shared" si="27"/>
        <v>0</v>
      </c>
      <c r="BB29" s="16">
        <f t="shared" si="27"/>
        <v>0</v>
      </c>
      <c r="BC29" s="16">
        <f t="shared" si="27"/>
        <v>0</v>
      </c>
    </row>
    <row r="30" spans="5:55" x14ac:dyDescent="0.25">
      <c r="G30" s="228"/>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c r="AY30" s="16"/>
      <c r="AZ30" s="16"/>
      <c r="BA30" s="16"/>
      <c r="BB30" s="16"/>
      <c r="BC30" s="16"/>
    </row>
    <row r="31" spans="5:55" ht="15.75" thickBot="1" x14ac:dyDescent="0.3">
      <c r="G31" s="230" t="s">
        <v>501</v>
      </c>
      <c r="H31" s="236">
        <f>SUM(H11:H29)</f>
        <v>1101901.56</v>
      </c>
      <c r="I31" s="236">
        <f t="shared" ref="I31:AQ31" si="28">SUM(I11:I29)</f>
        <v>1475476.4000000001</v>
      </c>
      <c r="J31" s="236">
        <f t="shared" si="28"/>
        <v>1677727.72</v>
      </c>
      <c r="K31" s="236">
        <f t="shared" si="28"/>
        <v>1180946.5300000003</v>
      </c>
      <c r="L31" s="236">
        <f t="shared" si="28"/>
        <v>1495305.8699999996</v>
      </c>
      <c r="M31" s="236">
        <f t="shared" si="28"/>
        <v>1865672.7199999997</v>
      </c>
      <c r="N31" s="236">
        <f t="shared" si="28"/>
        <v>1518966.6099999999</v>
      </c>
      <c r="O31" s="236">
        <f t="shared" si="28"/>
        <v>1886019.4600000002</v>
      </c>
      <c r="P31" s="236">
        <f t="shared" si="28"/>
        <v>2385087.7999999998</v>
      </c>
      <c r="Q31" s="236">
        <f t="shared" si="28"/>
        <v>1783761.2699999998</v>
      </c>
      <c r="R31" s="236">
        <f t="shared" si="28"/>
        <v>2315586.1399999997</v>
      </c>
      <c r="S31" s="236">
        <f t="shared" si="28"/>
        <v>3211387.24</v>
      </c>
      <c r="T31" s="236">
        <f t="shared" si="28"/>
        <v>2315871.4400000004</v>
      </c>
      <c r="U31" s="236">
        <f t="shared" si="28"/>
        <v>2420663.96</v>
      </c>
      <c r="V31" s="236">
        <f t="shared" si="28"/>
        <v>1776177.0599999991</v>
      </c>
      <c r="W31" s="236">
        <f t="shared" si="28"/>
        <v>3150093.08</v>
      </c>
      <c r="X31" s="236">
        <f t="shared" si="28"/>
        <v>2927963.9099999997</v>
      </c>
      <c r="Y31" s="236">
        <f t="shared" si="28"/>
        <v>1164294.4899999998</v>
      </c>
      <c r="Z31" s="236">
        <f t="shared" si="28"/>
        <v>2722517.3800000004</v>
      </c>
      <c r="AA31" s="236">
        <f t="shared" si="28"/>
        <v>3170981.01</v>
      </c>
      <c r="AB31" s="236">
        <f t="shared" si="28"/>
        <v>2076615.4299999997</v>
      </c>
      <c r="AC31" s="236">
        <f t="shared" si="28"/>
        <v>2737065.8600000003</v>
      </c>
      <c r="AD31" s="236">
        <f t="shared" si="28"/>
        <v>3484610.0100000002</v>
      </c>
      <c r="AE31" s="236">
        <f t="shared" si="28"/>
        <v>1977606.7499999988</v>
      </c>
      <c r="AF31" s="236">
        <f t="shared" si="28"/>
        <v>3483849.14</v>
      </c>
      <c r="AG31" s="236">
        <f t="shared" si="28"/>
        <v>3128988.98</v>
      </c>
      <c r="AH31" s="236">
        <f t="shared" si="28"/>
        <v>1822979.0799999996</v>
      </c>
      <c r="AI31" s="236">
        <f t="shared" si="28"/>
        <v>3039587.4000000004</v>
      </c>
      <c r="AJ31" s="236">
        <f t="shared" si="28"/>
        <v>2862137.0000000005</v>
      </c>
      <c r="AK31" s="236">
        <f t="shared" si="28"/>
        <v>2159632.8239999996</v>
      </c>
      <c r="AL31" s="236">
        <f t="shared" si="28"/>
        <v>2855471.0200000005</v>
      </c>
      <c r="AM31" s="236">
        <f t="shared" si="28"/>
        <v>3641119.39</v>
      </c>
      <c r="AN31" s="236">
        <f t="shared" si="28"/>
        <v>1837896.2860000012</v>
      </c>
      <c r="AO31" s="236">
        <f t="shared" si="28"/>
        <v>3270313.31</v>
      </c>
      <c r="AP31" s="236">
        <f t="shared" si="28"/>
        <v>3205567.2700000005</v>
      </c>
      <c r="AQ31" s="236">
        <f t="shared" si="28"/>
        <v>3102772.6959999991</v>
      </c>
      <c r="AR31" s="236">
        <f t="shared" ref="AR31:BC31" si="29">SUM(AR11:AR29)</f>
        <v>4120621.61</v>
      </c>
      <c r="AS31" s="236">
        <f t="shared" si="29"/>
        <v>4030975.8099999996</v>
      </c>
      <c r="AT31" s="236">
        <f t="shared" si="29"/>
        <v>3471038.3600000003</v>
      </c>
      <c r="AU31" s="236">
        <f t="shared" si="29"/>
        <v>4982542.209999999</v>
      </c>
      <c r="AV31" s="236">
        <f t="shared" si="29"/>
        <v>6616786.043571258</v>
      </c>
      <c r="AW31" s="236">
        <f t="shared" si="29"/>
        <v>6994367.6523151482</v>
      </c>
      <c r="AX31" s="236">
        <f t="shared" si="29"/>
        <v>5988981.039735008</v>
      </c>
      <c r="AY31" s="236">
        <f t="shared" si="29"/>
        <v>7123780.5549263302</v>
      </c>
      <c r="AZ31" s="236">
        <f t="shared" si="29"/>
        <v>8827358.2942466438</v>
      </c>
      <c r="BA31" s="236">
        <f t="shared" si="29"/>
        <v>6704641.0531731155</v>
      </c>
      <c r="BB31" s="236">
        <f t="shared" si="29"/>
        <v>7788171.1919548409</v>
      </c>
      <c r="BC31" s="236">
        <f t="shared" si="29"/>
        <v>9185703.4393331353</v>
      </c>
    </row>
    <row r="32" spans="5:55" ht="15.75" thickTop="1" x14ac:dyDescent="0.25">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c r="AY32" s="16"/>
      <c r="AZ32" s="16"/>
      <c r="BA32" s="16"/>
      <c r="BB32" s="16"/>
      <c r="BC32" s="16"/>
    </row>
    <row r="33" spans="5:55" x14ac:dyDescent="0.25">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c r="AY33" s="16"/>
      <c r="AZ33" s="16"/>
      <c r="BA33" s="16"/>
      <c r="BB33" s="16"/>
      <c r="BC33" s="16"/>
    </row>
    <row r="34" spans="5:55" x14ac:dyDescent="0.25">
      <c r="G34" s="222" t="s">
        <v>42</v>
      </c>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c r="AY34" s="16"/>
      <c r="AZ34" s="16"/>
      <c r="BA34" s="16"/>
      <c r="BB34" s="16"/>
      <c r="BC34" s="16"/>
    </row>
    <row r="35" spans="5:55" x14ac:dyDescent="0.25">
      <c r="E35" t="s">
        <v>497</v>
      </c>
      <c r="G35" s="223" t="s">
        <v>349</v>
      </c>
      <c r="H35" s="16">
        <f>SUMIF($E$67:$E$286,$E35,H$67:H$286)</f>
        <v>98054.98</v>
      </c>
      <c r="I35" s="16">
        <f t="shared" ref="I35:AS36" si="30">SUMIF($E$67:$E$286,$E35,I$67:I$286)</f>
        <v>143186.72</v>
      </c>
      <c r="J35" s="16">
        <f t="shared" si="30"/>
        <v>122762.98000000001</v>
      </c>
      <c r="K35" s="16">
        <f t="shared" si="30"/>
        <v>121453.77</v>
      </c>
      <c r="L35" s="16">
        <f t="shared" si="30"/>
        <v>117394.57</v>
      </c>
      <c r="M35" s="16">
        <f t="shared" si="30"/>
        <v>123172.9</v>
      </c>
      <c r="N35" s="16">
        <f t="shared" si="30"/>
        <v>130826.11000000002</v>
      </c>
      <c r="O35" s="16">
        <f t="shared" si="30"/>
        <v>142026.66</v>
      </c>
      <c r="P35" s="16">
        <f t="shared" si="30"/>
        <v>163112.79</v>
      </c>
      <c r="Q35" s="16">
        <f t="shared" si="30"/>
        <v>134843.25</v>
      </c>
      <c r="R35" s="16">
        <f t="shared" si="30"/>
        <v>139210.34</v>
      </c>
      <c r="S35" s="16">
        <f t="shared" si="30"/>
        <v>188140.08</v>
      </c>
      <c r="T35" s="16">
        <f t="shared" si="30"/>
        <v>199516.01</v>
      </c>
      <c r="U35" s="16">
        <f t="shared" si="30"/>
        <v>212586.65999999997</v>
      </c>
      <c r="V35" s="16">
        <f t="shared" si="30"/>
        <v>224998.93</v>
      </c>
      <c r="W35" s="16">
        <f t="shared" si="30"/>
        <v>265609.40000000002</v>
      </c>
      <c r="X35" s="16">
        <f t="shared" si="30"/>
        <v>280889.95</v>
      </c>
      <c r="Y35" s="16">
        <f t="shared" si="30"/>
        <v>301497.88999999996</v>
      </c>
      <c r="Z35" s="16">
        <f t="shared" si="30"/>
        <v>283005.74</v>
      </c>
      <c r="AA35" s="16">
        <f t="shared" si="30"/>
        <v>294993.62</v>
      </c>
      <c r="AB35" s="16">
        <f t="shared" si="30"/>
        <v>323845.38</v>
      </c>
      <c r="AC35" s="16">
        <f t="shared" si="30"/>
        <v>308828.56</v>
      </c>
      <c r="AD35" s="16">
        <f t="shared" si="30"/>
        <v>307379.71999999997</v>
      </c>
      <c r="AE35" s="16">
        <f t="shared" si="30"/>
        <v>237681.73000000004</v>
      </c>
      <c r="AF35" s="16">
        <f t="shared" si="30"/>
        <v>280466.94</v>
      </c>
      <c r="AG35" s="16">
        <f t="shared" si="30"/>
        <v>289844.33</v>
      </c>
      <c r="AH35" s="16">
        <f t="shared" si="30"/>
        <v>321399.73</v>
      </c>
      <c r="AI35" s="16">
        <f t="shared" si="30"/>
        <v>324995.76</v>
      </c>
      <c r="AJ35" s="16">
        <f t="shared" si="30"/>
        <v>363916.94</v>
      </c>
      <c r="AK35" s="16">
        <f t="shared" si="30"/>
        <v>385833.33</v>
      </c>
      <c r="AL35" s="16">
        <f t="shared" si="30"/>
        <v>368812.39</v>
      </c>
      <c r="AM35" s="16">
        <f t="shared" si="30"/>
        <v>381496.01</v>
      </c>
      <c r="AN35" s="16">
        <f t="shared" si="30"/>
        <v>355219.60000000003</v>
      </c>
      <c r="AO35" s="16">
        <f t="shared" si="30"/>
        <v>371378.95</v>
      </c>
      <c r="AP35" s="16">
        <f t="shared" si="30"/>
        <v>346333.52999999997</v>
      </c>
      <c r="AQ35" s="16">
        <f t="shared" si="30"/>
        <v>421726.62</v>
      </c>
      <c r="AR35" s="16">
        <f t="shared" si="30"/>
        <v>481493.74999999994</v>
      </c>
      <c r="AS35" s="16">
        <f t="shared" si="30"/>
        <v>512665.71</v>
      </c>
      <c r="AT35" s="16">
        <f t="shared" ref="AS35:BC36" si="31">SUMIF($E$67:$E$286,$E35,AT$67:AT$286)</f>
        <v>646430.06000000006</v>
      </c>
      <c r="AU35" s="16">
        <f t="shared" si="31"/>
        <v>581055.69000000006</v>
      </c>
      <c r="AV35" s="16">
        <f t="shared" si="31"/>
        <v>632544.86389999732</v>
      </c>
      <c r="AW35" s="16">
        <f t="shared" si="31"/>
        <v>696177.98887482425</v>
      </c>
      <c r="AX35" s="16">
        <f t="shared" si="31"/>
        <v>723466.70630392979</v>
      </c>
      <c r="AY35" s="16">
        <f t="shared" si="31"/>
        <v>756204.76562449848</v>
      </c>
      <c r="AZ35" s="16">
        <f t="shared" si="31"/>
        <v>806837.20699553273</v>
      </c>
      <c r="BA35" s="16">
        <f t="shared" si="31"/>
        <v>800683.44608835981</v>
      </c>
      <c r="BB35" s="16">
        <f t="shared" si="31"/>
        <v>867602.43005193025</v>
      </c>
      <c r="BC35" s="16">
        <f t="shared" si="31"/>
        <v>953788.28994799557</v>
      </c>
    </row>
    <row r="36" spans="5:55" x14ac:dyDescent="0.25">
      <c r="E36" t="s">
        <v>512</v>
      </c>
      <c r="G36" s="223" t="s">
        <v>2</v>
      </c>
      <c r="H36" s="16">
        <f>SUMIF($E$67:$E$286,$E36,H$67:H$286)</f>
        <v>5577.67</v>
      </c>
      <c r="I36" s="16">
        <f t="shared" si="30"/>
        <v>8032.87</v>
      </c>
      <c r="J36" s="16">
        <f t="shared" si="30"/>
        <v>9570.65</v>
      </c>
      <c r="K36" s="16">
        <f t="shared" si="30"/>
        <v>9814.0799999999981</v>
      </c>
      <c r="L36" s="16">
        <f t="shared" si="30"/>
        <v>27744.98</v>
      </c>
      <c r="M36" s="16">
        <f t="shared" si="30"/>
        <v>13415.779999999999</v>
      </c>
      <c r="N36" s="16">
        <f t="shared" si="30"/>
        <v>16117.5</v>
      </c>
      <c r="O36" s="16">
        <f t="shared" si="30"/>
        <v>17241.82</v>
      </c>
      <c r="P36" s="16">
        <f t="shared" si="30"/>
        <v>13710.939999999999</v>
      </c>
      <c r="Q36" s="16">
        <f t="shared" si="30"/>
        <v>27079.860000000004</v>
      </c>
      <c r="R36" s="16">
        <f t="shared" si="30"/>
        <v>15909.4</v>
      </c>
      <c r="S36" s="16">
        <f t="shared" si="30"/>
        <v>15173.03</v>
      </c>
      <c r="T36" s="16">
        <f t="shared" si="30"/>
        <v>12184.539999999999</v>
      </c>
      <c r="U36" s="16">
        <f t="shared" si="30"/>
        <v>9891.4999999999982</v>
      </c>
      <c r="V36" s="16">
        <f t="shared" si="30"/>
        <v>9737.11</v>
      </c>
      <c r="W36" s="16">
        <f t="shared" si="30"/>
        <v>11579.65</v>
      </c>
      <c r="X36" s="16">
        <f t="shared" si="30"/>
        <v>47939.289999999994</v>
      </c>
      <c r="Y36" s="16">
        <f t="shared" si="30"/>
        <v>23911.02</v>
      </c>
      <c r="Z36" s="16">
        <f t="shared" si="30"/>
        <v>17244.550000000003</v>
      </c>
      <c r="AA36" s="16">
        <f t="shared" si="30"/>
        <v>35418.97</v>
      </c>
      <c r="AB36" s="16">
        <f t="shared" si="30"/>
        <v>38350.130000000005</v>
      </c>
      <c r="AC36" s="16">
        <f t="shared" si="30"/>
        <v>5422.9499999999971</v>
      </c>
      <c r="AD36" s="16">
        <f t="shared" si="30"/>
        <v>20711.2</v>
      </c>
      <c r="AE36" s="16">
        <f t="shared" si="30"/>
        <v>19304.489999999998</v>
      </c>
      <c r="AF36" s="16">
        <f t="shared" si="30"/>
        <v>19288.66</v>
      </c>
      <c r="AG36" s="16">
        <f t="shared" si="30"/>
        <v>8617.7900000000009</v>
      </c>
      <c r="AH36" s="16">
        <f t="shared" si="30"/>
        <v>10195.85</v>
      </c>
      <c r="AI36" s="16">
        <f t="shared" si="30"/>
        <v>3305.88</v>
      </c>
      <c r="AJ36" s="16">
        <f t="shared" si="30"/>
        <v>11771.560000000001</v>
      </c>
      <c r="AK36" s="16">
        <f t="shared" si="30"/>
        <v>6393.5299999999988</v>
      </c>
      <c r="AL36" s="16">
        <f t="shared" si="30"/>
        <v>8988.7000000000007</v>
      </c>
      <c r="AM36" s="16">
        <f t="shared" si="30"/>
        <v>9914.68</v>
      </c>
      <c r="AN36" s="16">
        <f t="shared" si="30"/>
        <v>11961.6</v>
      </c>
      <c r="AO36" s="16">
        <f t="shared" si="30"/>
        <v>6982.83</v>
      </c>
      <c r="AP36" s="16">
        <f t="shared" si="30"/>
        <v>8441.65</v>
      </c>
      <c r="AQ36" s="16">
        <f t="shared" si="30"/>
        <v>11808.43</v>
      </c>
      <c r="AR36" s="16">
        <f t="shared" si="30"/>
        <v>1261.94</v>
      </c>
      <c r="AS36" s="16">
        <f t="shared" si="31"/>
        <v>11457.369999999999</v>
      </c>
      <c r="AT36" s="16">
        <f t="shared" si="31"/>
        <v>46668</v>
      </c>
      <c r="AU36" s="16">
        <f t="shared" si="31"/>
        <v>57440.03</v>
      </c>
      <c r="AV36" s="16">
        <f t="shared" si="31"/>
        <v>24333.333333333332</v>
      </c>
      <c r="AW36" s="16">
        <f t="shared" si="31"/>
        <v>27000</v>
      </c>
      <c r="AX36" s="16">
        <f t="shared" si="31"/>
        <v>27066.666666666664</v>
      </c>
      <c r="AY36" s="16">
        <f t="shared" si="31"/>
        <v>27452.482269503547</v>
      </c>
      <c r="AZ36" s="16">
        <f t="shared" si="31"/>
        <v>28031.205673758865</v>
      </c>
      <c r="BA36" s="16">
        <f t="shared" si="31"/>
        <v>28031.205673758865</v>
      </c>
      <c r="BB36" s="16">
        <f t="shared" si="31"/>
        <v>29188.652482269506</v>
      </c>
      <c r="BC36" s="16">
        <f t="shared" si="31"/>
        <v>29960.283687943262</v>
      </c>
    </row>
    <row r="37" spans="5:55" x14ac:dyDescent="0.25">
      <c r="G37" s="224"/>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c r="AY37" s="16"/>
      <c r="AZ37" s="16"/>
      <c r="BA37" s="16"/>
      <c r="BB37" s="16"/>
      <c r="BC37" s="16"/>
    </row>
    <row r="38" spans="5:55" x14ac:dyDescent="0.25">
      <c r="G38" s="222" t="s">
        <v>503</v>
      </c>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c r="AY38" s="16"/>
      <c r="AZ38" s="16"/>
      <c r="BA38" s="16"/>
      <c r="BB38" s="16"/>
      <c r="BC38" s="16"/>
    </row>
    <row r="39" spans="5:55" x14ac:dyDescent="0.25">
      <c r="E39" t="s">
        <v>496</v>
      </c>
      <c r="G39" s="223" t="s">
        <v>349</v>
      </c>
      <c r="H39" s="16">
        <f>SUMIF($E$67:$E$286,$E39,H$67:H$286)</f>
        <v>591706.99</v>
      </c>
      <c r="I39" s="16">
        <f t="shared" ref="I39:AS40" si="32">SUMIF($E$67:$E$286,$E39,I$67:I$286)</f>
        <v>531757.22</v>
      </c>
      <c r="J39" s="16">
        <f t="shared" si="32"/>
        <v>580285.94999999995</v>
      </c>
      <c r="K39" s="16">
        <f t="shared" si="32"/>
        <v>570134.98</v>
      </c>
      <c r="L39" s="16">
        <f t="shared" si="32"/>
        <v>616524.17000000004</v>
      </c>
      <c r="M39" s="16">
        <f t="shared" si="32"/>
        <v>695305.75999999989</v>
      </c>
      <c r="N39" s="16">
        <f t="shared" si="32"/>
        <v>702135.24</v>
      </c>
      <c r="O39" s="16">
        <f t="shared" si="32"/>
        <v>718322.44000000006</v>
      </c>
      <c r="P39" s="16">
        <f t="shared" si="32"/>
        <v>934530.49</v>
      </c>
      <c r="Q39" s="16">
        <f t="shared" si="32"/>
        <v>839656.64999999991</v>
      </c>
      <c r="R39" s="16">
        <f t="shared" si="32"/>
        <v>853697.57</v>
      </c>
      <c r="S39" s="16">
        <f t="shared" si="32"/>
        <v>1002517.5599999999</v>
      </c>
      <c r="T39" s="16">
        <f t="shared" si="32"/>
        <v>1029334.85</v>
      </c>
      <c r="U39" s="16">
        <f t="shared" si="32"/>
        <v>1025198.04</v>
      </c>
      <c r="V39" s="16">
        <f t="shared" si="32"/>
        <v>1023727.2100000001</v>
      </c>
      <c r="W39" s="16">
        <f t="shared" si="32"/>
        <v>1041960.3499999999</v>
      </c>
      <c r="X39" s="16">
        <f t="shared" si="32"/>
        <v>1146708.3700000001</v>
      </c>
      <c r="Y39" s="16">
        <f t="shared" si="32"/>
        <v>1215330.71</v>
      </c>
      <c r="Z39" s="16">
        <f t="shared" si="32"/>
        <v>1182299.7699999998</v>
      </c>
      <c r="AA39" s="16">
        <f t="shared" si="32"/>
        <v>1199605.2</v>
      </c>
      <c r="AB39" s="16">
        <f t="shared" si="32"/>
        <v>1244436.8399999999</v>
      </c>
      <c r="AC39" s="16">
        <f t="shared" si="32"/>
        <v>1266308.45</v>
      </c>
      <c r="AD39" s="16">
        <f t="shared" si="32"/>
        <v>1255073.9099999999</v>
      </c>
      <c r="AE39" s="16">
        <f t="shared" si="32"/>
        <v>1197198.45</v>
      </c>
      <c r="AF39" s="16">
        <f t="shared" si="32"/>
        <v>1299854.6399999999</v>
      </c>
      <c r="AG39" s="16">
        <f t="shared" si="32"/>
        <v>1213101.99</v>
      </c>
      <c r="AH39" s="16">
        <f t="shared" si="32"/>
        <v>1384551.2199999997</v>
      </c>
      <c r="AI39" s="16">
        <f t="shared" si="32"/>
        <v>1388631.4800000002</v>
      </c>
      <c r="AJ39" s="16">
        <f t="shared" si="32"/>
        <v>1490898.5000000002</v>
      </c>
      <c r="AK39" s="16">
        <f t="shared" si="32"/>
        <v>1562488.0499999998</v>
      </c>
      <c r="AL39" s="16">
        <f t="shared" si="32"/>
        <v>1558136.51</v>
      </c>
      <c r="AM39" s="16">
        <f t="shared" si="32"/>
        <v>1528430.12</v>
      </c>
      <c r="AN39" s="16">
        <f t="shared" si="32"/>
        <v>1498808.98</v>
      </c>
      <c r="AO39" s="16">
        <f t="shared" si="32"/>
        <v>1576070.17</v>
      </c>
      <c r="AP39" s="16">
        <f t="shared" si="32"/>
        <v>1571529.5199999996</v>
      </c>
      <c r="AQ39" s="16">
        <f t="shared" si="32"/>
        <v>1759905.5599999998</v>
      </c>
      <c r="AR39" s="16">
        <f t="shared" si="32"/>
        <v>1945362.7499999998</v>
      </c>
      <c r="AS39" s="16">
        <f t="shared" si="32"/>
        <v>1985836.42</v>
      </c>
      <c r="AT39" s="16">
        <f t="shared" ref="AS39:BC40" si="33">SUMIF($E$67:$E$286,$E39,AT$67:AT$286)</f>
        <v>2272952.42</v>
      </c>
      <c r="AU39" s="16">
        <f t="shared" si="33"/>
        <v>2199178.5099999998</v>
      </c>
      <c r="AV39" s="16">
        <f t="shared" si="33"/>
        <v>2313269.1575555676</v>
      </c>
      <c r="AW39" s="16">
        <f t="shared" si="33"/>
        <v>2340559.5423345473</v>
      </c>
      <c r="AX39" s="16">
        <f t="shared" si="33"/>
        <v>2501742.0081758192</v>
      </c>
      <c r="AY39" s="16">
        <f t="shared" si="33"/>
        <v>2684763.852470045</v>
      </c>
      <c r="AZ39" s="16">
        <f t="shared" si="33"/>
        <v>2860317.7724156771</v>
      </c>
      <c r="BA39" s="16">
        <f t="shared" si="33"/>
        <v>3010624.3630080977</v>
      </c>
      <c r="BB39" s="16">
        <f t="shared" si="33"/>
        <v>3160492.4722591243</v>
      </c>
      <c r="BC39" s="16">
        <f t="shared" si="33"/>
        <v>3385931.0652637812</v>
      </c>
    </row>
    <row r="40" spans="5:55" x14ac:dyDescent="0.25">
      <c r="E40" t="s">
        <v>511</v>
      </c>
      <c r="G40" s="223" t="s">
        <v>2</v>
      </c>
      <c r="H40" s="16">
        <f>SUMIF($E$67:$E$286,$E40,H$67:H$286)</f>
        <v>66897.490000000005</v>
      </c>
      <c r="I40" s="16">
        <f t="shared" si="32"/>
        <v>56246.909999999996</v>
      </c>
      <c r="J40" s="16">
        <f t="shared" si="32"/>
        <v>116430.84</v>
      </c>
      <c r="K40" s="16">
        <f t="shared" si="32"/>
        <v>94654.390000000014</v>
      </c>
      <c r="L40" s="16">
        <f t="shared" si="32"/>
        <v>75361.990000000005</v>
      </c>
      <c r="M40" s="16">
        <f t="shared" si="32"/>
        <v>69825.69</v>
      </c>
      <c r="N40" s="16">
        <f t="shared" si="32"/>
        <v>83486.799999999988</v>
      </c>
      <c r="O40" s="16">
        <f t="shared" si="32"/>
        <v>43128.670000000006</v>
      </c>
      <c r="P40" s="16">
        <f t="shared" si="32"/>
        <v>37451.85</v>
      </c>
      <c r="Q40" s="16">
        <f t="shared" si="32"/>
        <v>56384.93</v>
      </c>
      <c r="R40" s="16">
        <f t="shared" si="32"/>
        <v>28357.39</v>
      </c>
      <c r="S40" s="16">
        <f t="shared" si="32"/>
        <v>43882.430000000008</v>
      </c>
      <c r="T40" s="16">
        <f t="shared" si="32"/>
        <v>38457.230000000003</v>
      </c>
      <c r="U40" s="16">
        <f t="shared" si="32"/>
        <v>36542.28</v>
      </c>
      <c r="V40" s="16">
        <f t="shared" si="32"/>
        <v>70344.679999999993</v>
      </c>
      <c r="W40" s="16">
        <f t="shared" si="32"/>
        <v>79852.960000000006</v>
      </c>
      <c r="X40" s="16">
        <f t="shared" si="32"/>
        <v>105713.91</v>
      </c>
      <c r="Y40" s="16">
        <f t="shared" si="32"/>
        <v>95567.900000000009</v>
      </c>
      <c r="Z40" s="16">
        <f t="shared" si="32"/>
        <v>112511.07</v>
      </c>
      <c r="AA40" s="16">
        <f t="shared" si="32"/>
        <v>115625.93000000001</v>
      </c>
      <c r="AB40" s="16">
        <f t="shared" si="32"/>
        <v>123935.34</v>
      </c>
      <c r="AC40" s="16">
        <f t="shared" si="32"/>
        <v>53076.22</v>
      </c>
      <c r="AD40" s="16">
        <f t="shared" si="32"/>
        <v>81201.41</v>
      </c>
      <c r="AE40" s="16">
        <f t="shared" si="32"/>
        <v>111814.06</v>
      </c>
      <c r="AF40" s="16">
        <f t="shared" si="32"/>
        <v>81430.45</v>
      </c>
      <c r="AG40" s="16">
        <f t="shared" si="32"/>
        <v>77314.62</v>
      </c>
      <c r="AH40" s="16">
        <f t="shared" si="32"/>
        <v>100550.86000000002</v>
      </c>
      <c r="AI40" s="16">
        <f t="shared" si="32"/>
        <v>95574.76</v>
      </c>
      <c r="AJ40" s="16">
        <f t="shared" si="32"/>
        <v>21698.819999999996</v>
      </c>
      <c r="AK40" s="16">
        <f t="shared" si="32"/>
        <v>217085.02</v>
      </c>
      <c r="AL40" s="16">
        <f t="shared" si="32"/>
        <v>121398.65000000001</v>
      </c>
      <c r="AM40" s="16">
        <f t="shared" si="32"/>
        <v>141246.03999999998</v>
      </c>
      <c r="AN40" s="16">
        <f t="shared" si="32"/>
        <v>123186.44</v>
      </c>
      <c r="AO40" s="16">
        <f t="shared" si="32"/>
        <v>77668.820000000007</v>
      </c>
      <c r="AP40" s="16">
        <f t="shared" si="32"/>
        <v>98964.04</v>
      </c>
      <c r="AQ40" s="16">
        <f t="shared" si="32"/>
        <v>113005.40999999999</v>
      </c>
      <c r="AR40" s="16">
        <f t="shared" si="32"/>
        <v>39134.5</v>
      </c>
      <c r="AS40" s="16">
        <f t="shared" si="33"/>
        <v>68649.83</v>
      </c>
      <c r="AT40" s="16">
        <f t="shared" si="33"/>
        <v>101006.67000000001</v>
      </c>
      <c r="AU40" s="16">
        <f t="shared" si="33"/>
        <v>118007.88</v>
      </c>
      <c r="AV40" s="16">
        <f t="shared" si="33"/>
        <v>107715.96865800867</v>
      </c>
      <c r="AW40" s="16">
        <f t="shared" si="33"/>
        <v>114203.10043290045</v>
      </c>
      <c r="AX40" s="16">
        <f t="shared" si="33"/>
        <v>134540.92987012988</v>
      </c>
      <c r="AY40" s="16">
        <f t="shared" si="33"/>
        <v>154261.00735930738</v>
      </c>
      <c r="AZ40" s="16">
        <f t="shared" si="33"/>
        <v>119459.06935064936</v>
      </c>
      <c r="BA40" s="16">
        <f t="shared" si="33"/>
        <v>125869.14683982686</v>
      </c>
      <c r="BB40" s="16">
        <f t="shared" si="33"/>
        <v>131424.54733044736</v>
      </c>
      <c r="BC40" s="16">
        <f t="shared" si="33"/>
        <v>169979.94782106782</v>
      </c>
    </row>
    <row r="41" spans="5:55" x14ac:dyDescent="0.25">
      <c r="G41" s="224"/>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c r="AY41" s="16"/>
      <c r="AZ41" s="16"/>
      <c r="BA41" s="16"/>
      <c r="BB41" s="16"/>
      <c r="BC41" s="16"/>
    </row>
    <row r="42" spans="5:55" ht="15.75" thickBot="1" x14ac:dyDescent="0.3">
      <c r="G42" s="225" t="s">
        <v>502</v>
      </c>
      <c r="H42" s="236">
        <f>SUM(H35:H41)</f>
        <v>762237.13</v>
      </c>
      <c r="I42" s="236">
        <f t="shared" ref="I42:AR42" si="34">SUM(I35:I41)</f>
        <v>739223.72</v>
      </c>
      <c r="J42" s="236">
        <f t="shared" si="34"/>
        <v>829050.41999999993</v>
      </c>
      <c r="K42" s="236">
        <f t="shared" si="34"/>
        <v>796057.22</v>
      </c>
      <c r="L42" s="236">
        <f t="shared" si="34"/>
        <v>837025.71000000008</v>
      </c>
      <c r="M42" s="236">
        <f t="shared" si="34"/>
        <v>901720.12999999989</v>
      </c>
      <c r="N42" s="236">
        <f t="shared" si="34"/>
        <v>932565.64999999991</v>
      </c>
      <c r="O42" s="236">
        <f t="shared" si="34"/>
        <v>920719.59000000008</v>
      </c>
      <c r="P42" s="236">
        <f t="shared" si="34"/>
        <v>1148806.07</v>
      </c>
      <c r="Q42" s="236">
        <f t="shared" si="34"/>
        <v>1057964.69</v>
      </c>
      <c r="R42" s="236">
        <f t="shared" si="34"/>
        <v>1037174.7</v>
      </c>
      <c r="S42" s="236">
        <f t="shared" si="34"/>
        <v>1249713.0999999999</v>
      </c>
      <c r="T42" s="236">
        <f t="shared" si="34"/>
        <v>1279492.6299999999</v>
      </c>
      <c r="U42" s="236">
        <f t="shared" si="34"/>
        <v>1284218.48</v>
      </c>
      <c r="V42" s="236">
        <f t="shared" si="34"/>
        <v>1328807.93</v>
      </c>
      <c r="W42" s="236">
        <f t="shared" si="34"/>
        <v>1399002.3599999999</v>
      </c>
      <c r="X42" s="236">
        <f t="shared" si="34"/>
        <v>1581251.52</v>
      </c>
      <c r="Y42" s="236">
        <f t="shared" si="34"/>
        <v>1636307.5199999998</v>
      </c>
      <c r="Z42" s="236">
        <f t="shared" si="34"/>
        <v>1595061.13</v>
      </c>
      <c r="AA42" s="236">
        <f t="shared" si="34"/>
        <v>1645643.72</v>
      </c>
      <c r="AB42" s="236">
        <f t="shared" si="34"/>
        <v>1730567.69</v>
      </c>
      <c r="AC42" s="236">
        <f t="shared" si="34"/>
        <v>1633636.18</v>
      </c>
      <c r="AD42" s="236">
        <f t="shared" si="34"/>
        <v>1664366.2399999998</v>
      </c>
      <c r="AE42" s="236">
        <f t="shared" si="34"/>
        <v>1565998.73</v>
      </c>
      <c r="AF42" s="236">
        <f t="shared" si="34"/>
        <v>1681040.6899999997</v>
      </c>
      <c r="AG42" s="236">
        <f t="shared" si="34"/>
        <v>1588878.73</v>
      </c>
      <c r="AH42" s="236">
        <f t="shared" si="34"/>
        <v>1816697.66</v>
      </c>
      <c r="AI42" s="236">
        <f t="shared" si="34"/>
        <v>1812507.8800000001</v>
      </c>
      <c r="AJ42" s="236">
        <f t="shared" si="34"/>
        <v>1888285.8200000003</v>
      </c>
      <c r="AK42" s="236">
        <f t="shared" si="34"/>
        <v>2171799.9299999997</v>
      </c>
      <c r="AL42" s="236">
        <f t="shared" si="34"/>
        <v>2057336.25</v>
      </c>
      <c r="AM42" s="236">
        <f t="shared" si="34"/>
        <v>2061086.85</v>
      </c>
      <c r="AN42" s="236">
        <f t="shared" si="34"/>
        <v>1989176.6199999999</v>
      </c>
      <c r="AO42" s="236">
        <f t="shared" si="34"/>
        <v>2032100.77</v>
      </c>
      <c r="AP42" s="236">
        <f t="shared" si="34"/>
        <v>2025268.7399999995</v>
      </c>
      <c r="AQ42" s="236">
        <f t="shared" si="34"/>
        <v>2306446.02</v>
      </c>
      <c r="AR42" s="236">
        <f t="shared" si="34"/>
        <v>2467252.9399999995</v>
      </c>
      <c r="AS42" s="236">
        <f t="shared" ref="AS42" si="35">SUM(AS35:AS41)</f>
        <v>2578609.33</v>
      </c>
      <c r="AT42" s="236">
        <f t="shared" ref="AT42" si="36">SUM(AT35:AT41)</f>
        <v>3067057.15</v>
      </c>
      <c r="AU42" s="236">
        <f t="shared" ref="AU42" si="37">SUM(AU35:AU41)</f>
        <v>2955682.11</v>
      </c>
      <c r="AV42" s="236">
        <f t="shared" ref="AV42" si="38">SUM(AV35:AV41)</f>
        <v>3077863.3234469071</v>
      </c>
      <c r="AW42" s="236">
        <f t="shared" ref="AW42" si="39">SUM(AW35:AW41)</f>
        <v>3177940.6316422718</v>
      </c>
      <c r="AX42" s="236">
        <f t="shared" ref="AX42" si="40">SUM(AX35:AX41)</f>
        <v>3386816.3110165456</v>
      </c>
      <c r="AY42" s="236">
        <f t="shared" ref="AY42" si="41">SUM(AY35:AY41)</f>
        <v>3622682.1077233544</v>
      </c>
      <c r="AZ42" s="236">
        <f t="shared" ref="AZ42" si="42">SUM(AZ35:AZ41)</f>
        <v>3814645.2544356179</v>
      </c>
      <c r="BA42" s="236">
        <f t="shared" ref="BA42" si="43">SUM(BA35:BA41)</f>
        <v>3965208.1616100431</v>
      </c>
      <c r="BB42" s="236">
        <f t="shared" ref="BB42" si="44">SUM(BB35:BB41)</f>
        <v>4188708.1021237718</v>
      </c>
      <c r="BC42" s="236">
        <f t="shared" ref="BC42" si="45">SUM(BC35:BC41)</f>
        <v>4539659.5867207879</v>
      </c>
    </row>
    <row r="43" spans="5:55" ht="15.75" thickTop="1" x14ac:dyDescent="0.25">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c r="AY43" s="16"/>
      <c r="AZ43" s="16"/>
      <c r="BA43" s="16"/>
      <c r="BB43" s="16"/>
      <c r="BC43" s="16"/>
    </row>
    <row r="44" spans="5:55" x14ac:dyDescent="0.25">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c r="AY44" s="16"/>
      <c r="AZ44" s="16"/>
      <c r="BA44" s="16"/>
      <c r="BB44" s="16"/>
      <c r="BC44" s="16"/>
    </row>
    <row r="45" spans="5:55" x14ac:dyDescent="0.25">
      <c r="G45" s="231" t="s">
        <v>14</v>
      </c>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c r="AY45" s="16"/>
      <c r="AZ45" s="16"/>
      <c r="BA45" s="16"/>
      <c r="BB45" s="16"/>
      <c r="BC45" s="16"/>
    </row>
    <row r="46" spans="5:55" x14ac:dyDescent="0.25">
      <c r="E46" t="s">
        <v>498</v>
      </c>
      <c r="G46" s="232" t="s">
        <v>349</v>
      </c>
      <c r="H46" s="16">
        <f>SUMIF($E$67:$E$286,$E46,H$67:H$286)</f>
        <v>157630.18</v>
      </c>
      <c r="I46" s="16">
        <f t="shared" ref="I46:AS49" si="46">SUMIF($E$67:$E$286,$E46,I$67:I$286)</f>
        <v>138931.84</v>
      </c>
      <c r="J46" s="16">
        <f t="shared" si="46"/>
        <v>160540.76999999999</v>
      </c>
      <c r="K46" s="16">
        <f t="shared" si="46"/>
        <v>159365.09</v>
      </c>
      <c r="L46" s="16">
        <f t="shared" si="46"/>
        <v>160465.93</v>
      </c>
      <c r="M46" s="16">
        <f t="shared" si="46"/>
        <v>157019.30000000002</v>
      </c>
      <c r="N46" s="16">
        <f t="shared" si="46"/>
        <v>160313.37</v>
      </c>
      <c r="O46" s="16">
        <f t="shared" si="46"/>
        <v>163632.99</v>
      </c>
      <c r="P46" s="16">
        <f t="shared" si="46"/>
        <v>184529.03999999998</v>
      </c>
      <c r="Q46" s="16">
        <f t="shared" si="46"/>
        <v>173238.3</v>
      </c>
      <c r="R46" s="16">
        <f t="shared" si="46"/>
        <v>181246.86</v>
      </c>
      <c r="S46" s="16">
        <f t="shared" si="46"/>
        <v>252580.38</v>
      </c>
      <c r="T46" s="16">
        <f t="shared" si="46"/>
        <v>231674.66</v>
      </c>
      <c r="U46" s="16">
        <f t="shared" si="46"/>
        <v>245545.39</v>
      </c>
      <c r="V46" s="16">
        <f t="shared" si="46"/>
        <v>254253.16999999998</v>
      </c>
      <c r="W46" s="16">
        <f t="shared" si="46"/>
        <v>266461.09999999998</v>
      </c>
      <c r="X46" s="16">
        <f t="shared" si="46"/>
        <v>285326.02999999997</v>
      </c>
      <c r="Y46" s="16">
        <f t="shared" si="46"/>
        <v>305102.34000000008</v>
      </c>
      <c r="Z46" s="16">
        <f t="shared" si="46"/>
        <v>285697.68</v>
      </c>
      <c r="AA46" s="16">
        <f t="shared" si="46"/>
        <v>277478.24</v>
      </c>
      <c r="AB46" s="16">
        <f t="shared" si="46"/>
        <v>272263.94</v>
      </c>
      <c r="AC46" s="16">
        <f t="shared" si="46"/>
        <v>273150.81</v>
      </c>
      <c r="AD46" s="16">
        <f t="shared" si="46"/>
        <v>283655.96000000002</v>
      </c>
      <c r="AE46" s="16">
        <f t="shared" si="46"/>
        <v>221809.88999999998</v>
      </c>
      <c r="AF46" s="16">
        <f t="shared" si="46"/>
        <v>315333.74999999994</v>
      </c>
      <c r="AG46" s="16">
        <f t="shared" si="46"/>
        <v>282231.23000000004</v>
      </c>
      <c r="AH46" s="16">
        <f t="shared" si="46"/>
        <v>427622.57000000007</v>
      </c>
      <c r="AI46" s="16">
        <f t="shared" si="46"/>
        <v>360534.03</v>
      </c>
      <c r="AJ46" s="16">
        <f t="shared" si="46"/>
        <v>357044.7</v>
      </c>
      <c r="AK46" s="16">
        <f t="shared" si="46"/>
        <v>336773.32</v>
      </c>
      <c r="AL46" s="16">
        <f t="shared" si="46"/>
        <v>350735.74</v>
      </c>
      <c r="AM46" s="16">
        <f t="shared" si="46"/>
        <v>357630.62000000005</v>
      </c>
      <c r="AN46" s="16">
        <f t="shared" si="46"/>
        <v>340977.25</v>
      </c>
      <c r="AO46" s="16">
        <f t="shared" si="46"/>
        <v>297700.36</v>
      </c>
      <c r="AP46" s="16">
        <f t="shared" si="46"/>
        <v>336272.06999999995</v>
      </c>
      <c r="AQ46" s="16">
        <f t="shared" si="46"/>
        <v>378032.37</v>
      </c>
      <c r="AR46" s="16">
        <f t="shared" si="46"/>
        <v>450963.59</v>
      </c>
      <c r="AS46" s="16">
        <f t="shared" si="46"/>
        <v>475616.1</v>
      </c>
      <c r="AT46" s="16">
        <f t="shared" ref="AS46:BC49" si="47">SUMIF($E$67:$E$286,$E46,AT$67:AT$286)</f>
        <v>494891.20999999996</v>
      </c>
      <c r="AU46" s="16">
        <f t="shared" si="47"/>
        <v>820482.34000000008</v>
      </c>
      <c r="AV46" s="16">
        <f t="shared" si="47"/>
        <v>782530.27809604339</v>
      </c>
      <c r="AW46" s="16">
        <f t="shared" si="47"/>
        <v>802279.49232316774</v>
      </c>
      <c r="AX46" s="16">
        <f t="shared" si="47"/>
        <v>812401.19743321289</v>
      </c>
      <c r="AY46" s="16">
        <f t="shared" si="47"/>
        <v>857509.01585210371</v>
      </c>
      <c r="AZ46" s="16">
        <f t="shared" si="47"/>
        <v>918556.24652123661</v>
      </c>
      <c r="BA46" s="16">
        <f t="shared" si="47"/>
        <v>958412.79482862155</v>
      </c>
      <c r="BB46" s="16">
        <f t="shared" si="47"/>
        <v>1001130.7579753653</v>
      </c>
      <c r="BC46" s="16">
        <f t="shared" si="47"/>
        <v>1064585.1122387969</v>
      </c>
    </row>
    <row r="47" spans="5:55" x14ac:dyDescent="0.25">
      <c r="E47" t="s">
        <v>408</v>
      </c>
      <c r="G47" s="232" t="s">
        <v>408</v>
      </c>
      <c r="H47" s="16">
        <f t="shared" ref="H47:W49" si="48">SUMIF($E$67:$E$286,$E47,H$67:H$286)</f>
        <v>122896.46</v>
      </c>
      <c r="I47" s="16">
        <f t="shared" si="48"/>
        <v>134629.62</v>
      </c>
      <c r="J47" s="16">
        <f t="shared" si="48"/>
        <v>146267.34</v>
      </c>
      <c r="K47" s="16">
        <f t="shared" si="48"/>
        <v>153466.87</v>
      </c>
      <c r="L47" s="16">
        <f t="shared" si="48"/>
        <v>167808.17</v>
      </c>
      <c r="M47" s="16">
        <f t="shared" si="48"/>
        <v>168190.6</v>
      </c>
      <c r="N47" s="16">
        <f t="shared" si="48"/>
        <v>165346.98000000001</v>
      </c>
      <c r="O47" s="16">
        <f t="shared" si="48"/>
        <v>166607.34</v>
      </c>
      <c r="P47" s="16">
        <f t="shared" si="48"/>
        <v>171706.53</v>
      </c>
      <c r="Q47" s="16">
        <f t="shared" si="48"/>
        <v>173385.62</v>
      </c>
      <c r="R47" s="16">
        <f t="shared" si="48"/>
        <v>207926.3</v>
      </c>
      <c r="S47" s="16">
        <f t="shared" si="48"/>
        <v>221234.04</v>
      </c>
      <c r="T47" s="16">
        <f t="shared" si="48"/>
        <v>222457.22</v>
      </c>
      <c r="U47" s="16">
        <f t="shared" si="48"/>
        <v>205501.44</v>
      </c>
      <c r="V47" s="16">
        <f t="shared" si="48"/>
        <v>210496.12</v>
      </c>
      <c r="W47" s="16">
        <f t="shared" si="48"/>
        <v>239696.77000000002</v>
      </c>
      <c r="X47" s="16">
        <f t="shared" si="46"/>
        <v>167269.32</v>
      </c>
      <c r="Y47" s="16">
        <f t="shared" si="46"/>
        <v>208783.34</v>
      </c>
      <c r="Z47" s="16">
        <f t="shared" si="46"/>
        <v>214813.29</v>
      </c>
      <c r="AA47" s="16">
        <f t="shared" si="46"/>
        <v>202038.46000000002</v>
      </c>
      <c r="AB47" s="16">
        <f t="shared" si="46"/>
        <v>224965.59</v>
      </c>
      <c r="AC47" s="16">
        <f t="shared" si="46"/>
        <v>267084.5</v>
      </c>
      <c r="AD47" s="16">
        <f t="shared" si="46"/>
        <v>223741.45</v>
      </c>
      <c r="AE47" s="16">
        <f t="shared" si="46"/>
        <v>310799.19</v>
      </c>
      <c r="AF47" s="16">
        <f t="shared" si="46"/>
        <v>226194.35</v>
      </c>
      <c r="AG47" s="16">
        <f t="shared" si="46"/>
        <v>348112.85000000003</v>
      </c>
      <c r="AH47" s="16">
        <f t="shared" si="46"/>
        <v>477360.80999999976</v>
      </c>
      <c r="AI47" s="16">
        <f t="shared" si="46"/>
        <v>292689.87</v>
      </c>
      <c r="AJ47" s="16">
        <f t="shared" si="46"/>
        <v>297919.80000000005</v>
      </c>
      <c r="AK47" s="16">
        <f t="shared" si="46"/>
        <v>345346.86</v>
      </c>
      <c r="AL47" s="16">
        <f t="shared" si="46"/>
        <v>300147.21000000002</v>
      </c>
      <c r="AM47" s="16">
        <f t="shared" si="46"/>
        <v>269255.62</v>
      </c>
      <c r="AN47" s="16">
        <f t="shared" si="46"/>
        <v>314545.86</v>
      </c>
      <c r="AO47" s="16">
        <f t="shared" si="46"/>
        <v>277320.55</v>
      </c>
      <c r="AP47" s="16">
        <f t="shared" si="46"/>
        <v>288618.11000000004</v>
      </c>
      <c r="AQ47" s="16">
        <f t="shared" si="46"/>
        <v>330871.86</v>
      </c>
      <c r="AR47" s="16">
        <f t="shared" si="46"/>
        <v>285559.10000000003</v>
      </c>
      <c r="AS47" s="16">
        <f t="shared" si="47"/>
        <v>287741.32</v>
      </c>
      <c r="AT47" s="16">
        <f t="shared" si="47"/>
        <v>444483.99</v>
      </c>
      <c r="AU47" s="16">
        <f t="shared" si="47"/>
        <v>332160.94999999995</v>
      </c>
      <c r="AV47" s="16">
        <f t="shared" si="47"/>
        <v>396484.19666666671</v>
      </c>
      <c r="AW47" s="16">
        <f t="shared" si="47"/>
        <v>396484.19666666671</v>
      </c>
      <c r="AX47" s="16">
        <f t="shared" si="47"/>
        <v>463150.86333333334</v>
      </c>
      <c r="AY47" s="16">
        <f t="shared" si="47"/>
        <v>463150.86333333334</v>
      </c>
      <c r="AZ47" s="16">
        <f t="shared" si="47"/>
        <v>463150.86333333334</v>
      </c>
      <c r="BA47" s="16">
        <f t="shared" si="47"/>
        <v>463150.86333333334</v>
      </c>
      <c r="BB47" s="16">
        <f t="shared" si="47"/>
        <v>463150.86333333334</v>
      </c>
      <c r="BC47" s="16">
        <f t="shared" si="47"/>
        <v>932140.56333333324</v>
      </c>
    </row>
    <row r="48" spans="5:55" x14ac:dyDescent="0.25">
      <c r="E48" t="s">
        <v>422</v>
      </c>
      <c r="G48" s="232" t="s">
        <v>422</v>
      </c>
      <c r="H48" s="16">
        <f t="shared" si="48"/>
        <v>24989.89</v>
      </c>
      <c r="I48" s="16">
        <f t="shared" si="46"/>
        <v>17117.7</v>
      </c>
      <c r="J48" s="16">
        <f t="shared" si="46"/>
        <v>8175</v>
      </c>
      <c r="K48" s="16">
        <f t="shared" si="46"/>
        <v>4833.83</v>
      </c>
      <c r="L48" s="16">
        <f t="shared" si="46"/>
        <v>22154.52</v>
      </c>
      <c r="M48" s="16">
        <f t="shared" si="46"/>
        <v>62302.99</v>
      </c>
      <c r="N48" s="16">
        <f t="shared" si="46"/>
        <v>196903.26</v>
      </c>
      <c r="O48" s="16">
        <f t="shared" si="46"/>
        <v>263674.69</v>
      </c>
      <c r="P48" s="16">
        <f t="shared" si="46"/>
        <v>263456.96999999997</v>
      </c>
      <c r="Q48" s="16">
        <f t="shared" si="46"/>
        <v>292703.90000000002</v>
      </c>
      <c r="R48" s="16">
        <f t="shared" si="46"/>
        <v>88868.1</v>
      </c>
      <c r="S48" s="16">
        <f t="shared" si="46"/>
        <v>217958.51999999996</v>
      </c>
      <c r="T48" s="16">
        <f t="shared" si="46"/>
        <v>187044.33</v>
      </c>
      <c r="U48" s="16">
        <f t="shared" si="46"/>
        <v>108264.06</v>
      </c>
      <c r="V48" s="16">
        <f t="shared" si="46"/>
        <v>-49008.2</v>
      </c>
      <c r="W48" s="16">
        <f t="shared" si="46"/>
        <v>12245.95</v>
      </c>
      <c r="X48" s="16">
        <f t="shared" si="46"/>
        <v>71654.720000000001</v>
      </c>
      <c r="Y48" s="16">
        <f t="shared" si="46"/>
        <v>-71609.84</v>
      </c>
      <c r="Z48" s="16">
        <f t="shared" si="46"/>
        <v>14849.78</v>
      </c>
      <c r="AA48" s="16">
        <f t="shared" si="46"/>
        <v>19757.18</v>
      </c>
      <c r="AB48" s="16">
        <f t="shared" si="46"/>
        <v>8853.2000000000007</v>
      </c>
      <c r="AC48" s="16">
        <f t="shared" si="46"/>
        <v>36015.54</v>
      </c>
      <c r="AD48" s="16">
        <f t="shared" si="46"/>
        <v>22069.86</v>
      </c>
      <c r="AE48" s="16">
        <f t="shared" si="46"/>
        <v>51558.36</v>
      </c>
      <c r="AF48" s="16">
        <f t="shared" si="46"/>
        <v>21984.78</v>
      </c>
      <c r="AG48" s="16">
        <f t="shared" si="46"/>
        <v>335.27000000000044</v>
      </c>
      <c r="AH48" s="16">
        <f t="shared" si="46"/>
        <v>22609.440000000002</v>
      </c>
      <c r="AI48" s="16">
        <f t="shared" si="46"/>
        <v>3225.74</v>
      </c>
      <c r="AJ48" s="16">
        <f t="shared" si="46"/>
        <v>24633.4</v>
      </c>
      <c r="AK48" s="16">
        <f t="shared" si="46"/>
        <v>37793.33</v>
      </c>
      <c r="AL48" s="16">
        <f t="shared" si="46"/>
        <v>16194.810000000001</v>
      </c>
      <c r="AM48" s="16">
        <f t="shared" si="46"/>
        <v>37133.369999999995</v>
      </c>
      <c r="AN48" s="16">
        <f t="shared" si="46"/>
        <v>150.56999999999994</v>
      </c>
      <c r="AO48" s="16">
        <f t="shared" si="46"/>
        <v>16876.490000000002</v>
      </c>
      <c r="AP48" s="16">
        <f t="shared" si="46"/>
        <v>29254.949999999997</v>
      </c>
      <c r="AQ48" s="16">
        <f t="shared" si="46"/>
        <v>42014.43</v>
      </c>
      <c r="AR48" s="16">
        <f t="shared" si="46"/>
        <v>20064.669999999998</v>
      </c>
      <c r="AS48" s="16">
        <f t="shared" si="47"/>
        <v>37710.43</v>
      </c>
      <c r="AT48" s="16">
        <f t="shared" si="47"/>
        <v>205617.82</v>
      </c>
      <c r="AU48" s="16">
        <f t="shared" si="47"/>
        <v>40863.449999999997</v>
      </c>
      <c r="AV48" s="16">
        <f t="shared" si="47"/>
        <v>9500</v>
      </c>
      <c r="AW48" s="16">
        <f t="shared" si="47"/>
        <v>9500</v>
      </c>
      <c r="AX48" s="16">
        <f t="shared" si="47"/>
        <v>9500</v>
      </c>
      <c r="AY48" s="16">
        <f t="shared" si="47"/>
        <v>9500</v>
      </c>
      <c r="AZ48" s="16">
        <f t="shared" si="47"/>
        <v>9500</v>
      </c>
      <c r="BA48" s="16">
        <f t="shared" si="47"/>
        <v>9500</v>
      </c>
      <c r="BB48" s="16">
        <f t="shared" si="47"/>
        <v>9500</v>
      </c>
      <c r="BC48" s="16">
        <f t="shared" si="47"/>
        <v>9500</v>
      </c>
    </row>
    <row r="49" spans="5:55" x14ac:dyDescent="0.25">
      <c r="E49" t="s">
        <v>507</v>
      </c>
      <c r="G49" s="232" t="s">
        <v>2</v>
      </c>
      <c r="H49" s="16">
        <f t="shared" si="48"/>
        <v>99106.390000000029</v>
      </c>
      <c r="I49" s="16">
        <f t="shared" si="46"/>
        <v>224985.62</v>
      </c>
      <c r="J49" s="16">
        <f t="shared" si="46"/>
        <v>194628.72</v>
      </c>
      <c r="K49" s="16">
        <f t="shared" si="46"/>
        <v>215475.18</v>
      </c>
      <c r="L49" s="16">
        <f t="shared" si="46"/>
        <v>200395.03</v>
      </c>
      <c r="M49" s="16">
        <f t="shared" si="46"/>
        <v>151714.37</v>
      </c>
      <c r="N49" s="16">
        <f t="shared" si="46"/>
        <v>135643.79999999999</v>
      </c>
      <c r="O49" s="16">
        <f t="shared" si="46"/>
        <v>65051.97</v>
      </c>
      <c r="P49" s="16">
        <f t="shared" si="46"/>
        <v>89945.24</v>
      </c>
      <c r="Q49" s="16">
        <f t="shared" si="46"/>
        <v>138862.63999999998</v>
      </c>
      <c r="R49" s="16">
        <f t="shared" si="46"/>
        <v>136920.54999999999</v>
      </c>
      <c r="S49" s="16">
        <f t="shared" si="46"/>
        <v>438096.0799999999</v>
      </c>
      <c r="T49" s="16">
        <f t="shared" si="46"/>
        <v>277516.20999999996</v>
      </c>
      <c r="U49" s="16">
        <f t="shared" si="46"/>
        <v>268876.93</v>
      </c>
      <c r="V49" s="16">
        <f t="shared" si="46"/>
        <v>580281.69000000006</v>
      </c>
      <c r="W49" s="16">
        <f t="shared" si="46"/>
        <v>406345.73000000004</v>
      </c>
      <c r="X49" s="16">
        <f t="shared" si="46"/>
        <v>274615.00999999995</v>
      </c>
      <c r="Y49" s="16">
        <f t="shared" si="46"/>
        <v>376576.65000000008</v>
      </c>
      <c r="Z49" s="16">
        <f t="shared" si="46"/>
        <v>375693.92</v>
      </c>
      <c r="AA49" s="16">
        <f t="shared" si="46"/>
        <v>259567.43999999994</v>
      </c>
      <c r="AB49" s="16">
        <f t="shared" si="46"/>
        <v>475079.49</v>
      </c>
      <c r="AC49" s="16">
        <f t="shared" si="46"/>
        <v>340214.80000000016</v>
      </c>
      <c r="AD49" s="16">
        <f t="shared" si="46"/>
        <v>345781.97</v>
      </c>
      <c r="AE49" s="16">
        <f t="shared" si="46"/>
        <v>362012.74</v>
      </c>
      <c r="AF49" s="16">
        <f t="shared" si="46"/>
        <v>425969.18000000005</v>
      </c>
      <c r="AG49" s="16">
        <f t="shared" si="46"/>
        <v>396175.80999999994</v>
      </c>
      <c r="AH49" s="16">
        <f t="shared" si="46"/>
        <v>87151.639999999985</v>
      </c>
      <c r="AI49" s="16">
        <f t="shared" si="46"/>
        <v>207543.90999999997</v>
      </c>
      <c r="AJ49" s="16">
        <f t="shared" si="46"/>
        <v>222235.36</v>
      </c>
      <c r="AK49" s="16">
        <f t="shared" si="46"/>
        <v>351615.03</v>
      </c>
      <c r="AL49" s="16">
        <f t="shared" si="46"/>
        <v>294325.40999999992</v>
      </c>
      <c r="AM49" s="16">
        <f t="shared" si="46"/>
        <v>311684.10999999993</v>
      </c>
      <c r="AN49" s="16">
        <f t="shared" si="46"/>
        <v>420487.27000000008</v>
      </c>
      <c r="AO49" s="16">
        <f t="shared" si="46"/>
        <v>418199.76</v>
      </c>
      <c r="AP49" s="16">
        <f t="shared" si="46"/>
        <v>415741.56000000006</v>
      </c>
      <c r="AQ49" s="16">
        <f t="shared" si="46"/>
        <v>411222.15999999992</v>
      </c>
      <c r="AR49" s="16">
        <f t="shared" si="46"/>
        <v>470300.70999999996</v>
      </c>
      <c r="AS49" s="16">
        <f t="shared" si="47"/>
        <v>432935.23</v>
      </c>
      <c r="AT49" s="16">
        <f t="shared" si="47"/>
        <v>470302.31</v>
      </c>
      <c r="AU49" s="16">
        <f t="shared" si="47"/>
        <v>507289.74</v>
      </c>
      <c r="AV49" s="16">
        <f t="shared" si="47"/>
        <v>446528.87954447267</v>
      </c>
      <c r="AW49" s="16">
        <f t="shared" si="47"/>
        <v>633766.9882174565</v>
      </c>
      <c r="AX49" s="16">
        <f t="shared" si="47"/>
        <v>495891.13487531268</v>
      </c>
      <c r="AY49" s="16">
        <f t="shared" si="47"/>
        <v>534161.45521533396</v>
      </c>
      <c r="AZ49" s="16">
        <f t="shared" si="47"/>
        <v>732476.82346569363</v>
      </c>
      <c r="BA49" s="16">
        <f t="shared" si="47"/>
        <v>588847.78316654614</v>
      </c>
      <c r="BB49" s="16">
        <f t="shared" si="47"/>
        <v>670984.85382986988</v>
      </c>
      <c r="BC49" s="16">
        <f t="shared" si="47"/>
        <v>846229.97602316365</v>
      </c>
    </row>
    <row r="50" spans="5:55" x14ac:dyDescent="0.25">
      <c r="G50" s="233"/>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c r="AY50" s="16"/>
      <c r="AZ50" s="16"/>
      <c r="BA50" s="16"/>
      <c r="BB50" s="16"/>
      <c r="BC50" s="16"/>
    </row>
    <row r="51" spans="5:55" x14ac:dyDescent="0.25">
      <c r="G51" s="231" t="s">
        <v>481</v>
      </c>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c r="AY51" s="16"/>
      <c r="AZ51" s="16"/>
      <c r="BA51" s="16"/>
      <c r="BB51" s="16"/>
      <c r="BC51" s="16"/>
    </row>
    <row r="52" spans="5:55" x14ac:dyDescent="0.25">
      <c r="E52" t="s">
        <v>495</v>
      </c>
      <c r="G52" s="232" t="s">
        <v>349</v>
      </c>
      <c r="H52" s="16">
        <f>SUMIF($E$67:$E$286,$E52,H$67:H$286)</f>
        <v>46479.95</v>
      </c>
      <c r="I52" s="16">
        <f t="shared" ref="I52:AS53" si="49">SUMIF($E$67:$E$286,$E52,I$67:I$286)</f>
        <v>51909</v>
      </c>
      <c r="J52" s="16">
        <f t="shared" si="49"/>
        <v>53891.97</v>
      </c>
      <c r="K52" s="16">
        <f t="shared" si="49"/>
        <v>52338.41</v>
      </c>
      <c r="L52" s="16">
        <f t="shared" si="49"/>
        <v>53604.93</v>
      </c>
      <c r="M52" s="16">
        <f t="shared" si="49"/>
        <v>50739.47</v>
      </c>
      <c r="N52" s="16">
        <f t="shared" si="49"/>
        <v>51155.360000000001</v>
      </c>
      <c r="O52" s="16">
        <f t="shared" si="49"/>
        <v>67039.62</v>
      </c>
      <c r="P52" s="16">
        <f t="shared" si="49"/>
        <v>80118.700000000012</v>
      </c>
      <c r="Q52" s="16">
        <f t="shared" si="49"/>
        <v>70804</v>
      </c>
      <c r="R52" s="16">
        <f t="shared" si="49"/>
        <v>70642.81</v>
      </c>
      <c r="S52" s="16">
        <f t="shared" si="49"/>
        <v>103969.95</v>
      </c>
      <c r="T52" s="16">
        <f t="shared" si="49"/>
        <v>102577.67</v>
      </c>
      <c r="U52" s="16">
        <f t="shared" si="49"/>
        <v>68144.89</v>
      </c>
      <c r="V52" s="16">
        <f t="shared" si="49"/>
        <v>103350.84</v>
      </c>
      <c r="W52" s="16">
        <f t="shared" si="49"/>
        <v>118080.69</v>
      </c>
      <c r="X52" s="16">
        <f t="shared" si="49"/>
        <v>135008.54999999999</v>
      </c>
      <c r="Y52" s="16">
        <f t="shared" si="49"/>
        <v>135603.31</v>
      </c>
      <c r="Z52" s="16">
        <f t="shared" si="49"/>
        <v>131436.82</v>
      </c>
      <c r="AA52" s="16">
        <f t="shared" si="49"/>
        <v>125813.77</v>
      </c>
      <c r="AB52" s="16">
        <f t="shared" si="49"/>
        <v>135526.15</v>
      </c>
      <c r="AC52" s="16">
        <f t="shared" si="49"/>
        <v>143956.32</v>
      </c>
      <c r="AD52" s="16">
        <f t="shared" si="49"/>
        <v>173205.23</v>
      </c>
      <c r="AE52" s="16">
        <f t="shared" si="49"/>
        <v>155049.64000000001</v>
      </c>
      <c r="AF52" s="16">
        <f t="shared" si="49"/>
        <v>185202.85</v>
      </c>
      <c r="AG52" s="16">
        <f t="shared" si="49"/>
        <v>175865.42999999996</v>
      </c>
      <c r="AH52" s="16">
        <f t="shared" si="49"/>
        <v>214478.50999999998</v>
      </c>
      <c r="AI52" s="16">
        <f t="shared" si="49"/>
        <v>195108.36</v>
      </c>
      <c r="AJ52" s="16">
        <f t="shared" si="49"/>
        <v>177307.18</v>
      </c>
      <c r="AK52" s="16">
        <f t="shared" si="49"/>
        <v>155672.83000000005</v>
      </c>
      <c r="AL52" s="16">
        <f t="shared" si="49"/>
        <v>174879.76</v>
      </c>
      <c r="AM52" s="16">
        <f t="shared" si="49"/>
        <v>174107.15</v>
      </c>
      <c r="AN52" s="16">
        <f t="shared" si="49"/>
        <v>135521.98000000001</v>
      </c>
      <c r="AO52" s="16">
        <f t="shared" si="49"/>
        <v>181691.97</v>
      </c>
      <c r="AP52" s="16">
        <f t="shared" si="49"/>
        <v>162960.25999999998</v>
      </c>
      <c r="AQ52" s="16">
        <f t="shared" si="49"/>
        <v>246685.87000000002</v>
      </c>
      <c r="AR52" s="16">
        <f t="shared" si="49"/>
        <v>368372.10000000003</v>
      </c>
      <c r="AS52" s="16">
        <f t="shared" si="49"/>
        <v>415406.18</v>
      </c>
      <c r="AT52" s="16">
        <f t="shared" ref="AS52:BC53" si="50">SUMIF($E$67:$E$286,$E52,AT$67:AT$286)</f>
        <v>458473.21999999991</v>
      </c>
      <c r="AU52" s="16">
        <f t="shared" si="50"/>
        <v>571660.9</v>
      </c>
      <c r="AV52" s="16">
        <f t="shared" si="50"/>
        <v>570581.47825818521</v>
      </c>
      <c r="AW52" s="16">
        <f t="shared" si="50"/>
        <v>590578.17246652266</v>
      </c>
      <c r="AX52" s="16">
        <f t="shared" si="50"/>
        <v>605956.5011131186</v>
      </c>
      <c r="AY52" s="16">
        <f t="shared" si="50"/>
        <v>606024.99842735543</v>
      </c>
      <c r="AZ52" s="16">
        <f t="shared" si="50"/>
        <v>613648.4021973199</v>
      </c>
      <c r="BA52" s="16">
        <f t="shared" si="50"/>
        <v>634291.25506904803</v>
      </c>
      <c r="BB52" s="16">
        <f t="shared" si="50"/>
        <v>632805.01721538533</v>
      </c>
      <c r="BC52" s="16">
        <f t="shared" si="50"/>
        <v>648959.92825665197</v>
      </c>
    </row>
    <row r="53" spans="5:55" x14ac:dyDescent="0.25">
      <c r="E53" t="s">
        <v>509</v>
      </c>
      <c r="G53" s="232" t="s">
        <v>2</v>
      </c>
      <c r="H53" s="16">
        <f>SUMIF($E$67:$E$286,$E53,H$67:H$286)</f>
        <v>168331.88</v>
      </c>
      <c r="I53" s="16">
        <f t="shared" si="49"/>
        <v>69676.08</v>
      </c>
      <c r="J53" s="16">
        <f t="shared" si="49"/>
        <v>59859.509999999995</v>
      </c>
      <c r="K53" s="16">
        <f t="shared" si="49"/>
        <v>47422.6</v>
      </c>
      <c r="L53" s="16">
        <f t="shared" si="49"/>
        <v>91112.020000000019</v>
      </c>
      <c r="M53" s="16">
        <f t="shared" si="49"/>
        <v>66705.430000000008</v>
      </c>
      <c r="N53" s="16">
        <f t="shared" si="49"/>
        <v>206981.03</v>
      </c>
      <c r="O53" s="16">
        <f t="shared" si="49"/>
        <v>93931.260000000009</v>
      </c>
      <c r="P53" s="16">
        <f t="shared" si="49"/>
        <v>118055.38999999998</v>
      </c>
      <c r="Q53" s="16">
        <f t="shared" si="49"/>
        <v>93891.569999999992</v>
      </c>
      <c r="R53" s="16">
        <f t="shared" si="49"/>
        <v>98934.17</v>
      </c>
      <c r="S53" s="16">
        <f t="shared" si="49"/>
        <v>84911.71</v>
      </c>
      <c r="T53" s="16">
        <f t="shared" si="49"/>
        <v>584260.7699999999</v>
      </c>
      <c r="U53" s="16">
        <f t="shared" si="49"/>
        <v>205880.38999999998</v>
      </c>
      <c r="V53" s="16">
        <f t="shared" si="49"/>
        <v>193880.33000000002</v>
      </c>
      <c r="W53" s="16">
        <f t="shared" si="49"/>
        <v>69051.16</v>
      </c>
      <c r="X53" s="16">
        <f t="shared" si="49"/>
        <v>152484.69000000003</v>
      </c>
      <c r="Y53" s="16">
        <f t="shared" si="49"/>
        <v>106655.00000000001</v>
      </c>
      <c r="Z53" s="16">
        <f t="shared" si="49"/>
        <v>123981.33000000002</v>
      </c>
      <c r="AA53" s="16">
        <f t="shared" si="49"/>
        <v>126293.73000000001</v>
      </c>
      <c r="AB53" s="16">
        <f t="shared" si="49"/>
        <v>142564.03999999998</v>
      </c>
      <c r="AC53" s="16">
        <f t="shared" si="49"/>
        <v>153164.61000000002</v>
      </c>
      <c r="AD53" s="16">
        <f t="shared" si="49"/>
        <v>212560.02000000002</v>
      </c>
      <c r="AE53" s="16">
        <f t="shared" si="49"/>
        <v>124545.5</v>
      </c>
      <c r="AF53" s="16">
        <f t="shared" si="49"/>
        <v>1067623.68</v>
      </c>
      <c r="AG53" s="16">
        <f t="shared" si="49"/>
        <v>151563.79999999999</v>
      </c>
      <c r="AH53" s="16">
        <f t="shared" si="49"/>
        <v>68196.989999999991</v>
      </c>
      <c r="AI53" s="16">
        <f t="shared" si="49"/>
        <v>66898.069999999992</v>
      </c>
      <c r="AJ53" s="16">
        <f t="shared" si="49"/>
        <v>56852.71</v>
      </c>
      <c r="AK53" s="16">
        <f t="shared" si="49"/>
        <v>47211.88</v>
      </c>
      <c r="AL53" s="16">
        <f t="shared" si="49"/>
        <v>63687.950000000004</v>
      </c>
      <c r="AM53" s="16">
        <f t="shared" si="49"/>
        <v>59920.290000000008</v>
      </c>
      <c r="AN53" s="16">
        <f t="shared" si="49"/>
        <v>62098.93</v>
      </c>
      <c r="AO53" s="16">
        <f t="shared" si="49"/>
        <v>306272.28999999998</v>
      </c>
      <c r="AP53" s="16">
        <f t="shared" si="49"/>
        <v>146374.37999999998</v>
      </c>
      <c r="AQ53" s="16">
        <f t="shared" si="49"/>
        <v>101522.59000000001</v>
      </c>
      <c r="AR53" s="16">
        <f t="shared" si="49"/>
        <v>361398.97000000003</v>
      </c>
      <c r="AS53" s="16">
        <f t="shared" si="50"/>
        <v>181249.82</v>
      </c>
      <c r="AT53" s="16">
        <f t="shared" si="50"/>
        <v>173746.72</v>
      </c>
      <c r="AU53" s="16">
        <f t="shared" si="50"/>
        <v>185491.72</v>
      </c>
      <c r="AV53" s="16">
        <f t="shared" si="50"/>
        <v>303293.71678321681</v>
      </c>
      <c r="AW53" s="16">
        <f t="shared" si="50"/>
        <v>384873.94675778772</v>
      </c>
      <c r="AX53" s="16">
        <f t="shared" si="50"/>
        <v>284023.62322525959</v>
      </c>
      <c r="AY53" s="16">
        <f t="shared" si="50"/>
        <v>297401.93070565799</v>
      </c>
      <c r="AZ53" s="16">
        <f t="shared" si="50"/>
        <v>271300.60081585083</v>
      </c>
      <c r="BA53" s="16">
        <f t="shared" si="50"/>
        <v>252914.23135198135</v>
      </c>
      <c r="BB53" s="16">
        <f t="shared" si="50"/>
        <v>252214.23177579994</v>
      </c>
      <c r="BC53" s="16">
        <f t="shared" si="50"/>
        <v>448268.8258105531</v>
      </c>
    </row>
    <row r="54" spans="5:55" x14ac:dyDescent="0.25">
      <c r="G54" s="233"/>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c r="AY54" s="16"/>
      <c r="AZ54" s="16"/>
      <c r="BA54" s="16"/>
      <c r="BB54" s="16"/>
      <c r="BC54" s="16"/>
    </row>
    <row r="55" spans="5:55" ht="15.75" thickBot="1" x14ac:dyDescent="0.3">
      <c r="G55" s="234" t="s">
        <v>510</v>
      </c>
      <c r="H55" s="236">
        <f>SUM(H46:H54)</f>
        <v>619434.75</v>
      </c>
      <c r="I55" s="236">
        <f t="shared" ref="I55:AR55" si="51">SUM(I46:I54)</f>
        <v>637249.86</v>
      </c>
      <c r="J55" s="236">
        <f t="shared" si="51"/>
        <v>623363.30999999994</v>
      </c>
      <c r="K55" s="236">
        <f t="shared" si="51"/>
        <v>632901.98</v>
      </c>
      <c r="L55" s="236">
        <f t="shared" si="51"/>
        <v>695540.60000000009</v>
      </c>
      <c r="M55" s="236">
        <f t="shared" si="51"/>
        <v>656672.16</v>
      </c>
      <c r="N55" s="236">
        <f t="shared" si="51"/>
        <v>916343.79999999993</v>
      </c>
      <c r="O55" s="236">
        <f t="shared" si="51"/>
        <v>819937.87</v>
      </c>
      <c r="P55" s="236">
        <f t="shared" si="51"/>
        <v>907811.87</v>
      </c>
      <c r="Q55" s="236">
        <f t="shared" si="51"/>
        <v>942886.03</v>
      </c>
      <c r="R55" s="236">
        <f t="shared" si="51"/>
        <v>784538.79000000015</v>
      </c>
      <c r="S55" s="236">
        <f t="shared" si="51"/>
        <v>1318750.6799999997</v>
      </c>
      <c r="T55" s="236">
        <f t="shared" si="51"/>
        <v>1605530.8599999999</v>
      </c>
      <c r="U55" s="236">
        <f t="shared" si="51"/>
        <v>1102213.1000000001</v>
      </c>
      <c r="V55" s="236">
        <f t="shared" si="51"/>
        <v>1293253.9500000002</v>
      </c>
      <c r="W55" s="236">
        <f t="shared" si="51"/>
        <v>1111881.3999999999</v>
      </c>
      <c r="X55" s="236">
        <f t="shared" si="51"/>
        <v>1086358.3199999998</v>
      </c>
      <c r="Y55" s="236">
        <f t="shared" si="51"/>
        <v>1061110.8000000003</v>
      </c>
      <c r="Z55" s="236">
        <f t="shared" si="51"/>
        <v>1146472.82</v>
      </c>
      <c r="AA55" s="236">
        <f t="shared" si="51"/>
        <v>1010948.82</v>
      </c>
      <c r="AB55" s="236">
        <f t="shared" si="51"/>
        <v>1259252.4099999999</v>
      </c>
      <c r="AC55" s="236">
        <f t="shared" si="51"/>
        <v>1213586.5800000003</v>
      </c>
      <c r="AD55" s="236">
        <f t="shared" si="51"/>
        <v>1261014.49</v>
      </c>
      <c r="AE55" s="236">
        <f t="shared" si="51"/>
        <v>1225775.3199999998</v>
      </c>
      <c r="AF55" s="236">
        <f t="shared" si="51"/>
        <v>2242308.59</v>
      </c>
      <c r="AG55" s="236">
        <f t="shared" si="51"/>
        <v>1354284.3900000001</v>
      </c>
      <c r="AH55" s="236">
        <f t="shared" si="51"/>
        <v>1297419.9599999997</v>
      </c>
      <c r="AI55" s="236">
        <f t="shared" si="51"/>
        <v>1125999.9800000002</v>
      </c>
      <c r="AJ55" s="236">
        <f t="shared" si="51"/>
        <v>1135993.1499999999</v>
      </c>
      <c r="AK55" s="236">
        <f t="shared" si="51"/>
        <v>1274413.25</v>
      </c>
      <c r="AL55" s="236">
        <f t="shared" si="51"/>
        <v>1199970.8799999999</v>
      </c>
      <c r="AM55" s="236">
        <f t="shared" si="51"/>
        <v>1209731.1599999999</v>
      </c>
      <c r="AN55" s="236">
        <f t="shared" si="51"/>
        <v>1273781.8599999999</v>
      </c>
      <c r="AO55" s="236">
        <f t="shared" si="51"/>
        <v>1498061.42</v>
      </c>
      <c r="AP55" s="236">
        <f t="shared" si="51"/>
        <v>1379221.3299999998</v>
      </c>
      <c r="AQ55" s="236">
        <f t="shared" si="51"/>
        <v>1510349.28</v>
      </c>
      <c r="AR55" s="236">
        <f t="shared" si="51"/>
        <v>1956659.1400000001</v>
      </c>
      <c r="AS55" s="236">
        <f t="shared" ref="AS55" si="52">SUM(AS46:AS54)</f>
        <v>1830659.08</v>
      </c>
      <c r="AT55" s="236">
        <f t="shared" ref="AT55" si="53">SUM(AT46:AT54)</f>
        <v>2247515.27</v>
      </c>
      <c r="AU55" s="236">
        <f t="shared" ref="AU55" si="54">SUM(AU46:AU54)</f>
        <v>2457949.1</v>
      </c>
      <c r="AV55" s="236">
        <f t="shared" ref="AV55" si="55">SUM(AV46:AV54)</f>
        <v>2508918.5493485844</v>
      </c>
      <c r="AW55" s="236">
        <f t="shared" ref="AW55" si="56">SUM(AW46:AW54)</f>
        <v>2817482.7964316015</v>
      </c>
      <c r="AX55" s="236">
        <f t="shared" ref="AX55" si="57">SUM(AX46:AX54)</f>
        <v>2670923.3199802372</v>
      </c>
      <c r="AY55" s="236">
        <f t="shared" ref="AY55" si="58">SUM(AY46:AY54)</f>
        <v>2767748.2635337845</v>
      </c>
      <c r="AZ55" s="236">
        <f t="shared" ref="AZ55" si="59">SUM(AZ46:AZ54)</f>
        <v>3008632.9363334342</v>
      </c>
      <c r="BA55" s="236">
        <f t="shared" ref="BA55" si="60">SUM(BA46:BA54)</f>
        <v>2907116.9277495304</v>
      </c>
      <c r="BB55" s="236">
        <f t="shared" ref="BB55" si="61">SUM(BB46:BB54)</f>
        <v>3029785.7241297532</v>
      </c>
      <c r="BC55" s="236">
        <f t="shared" ref="BC55" si="62">SUM(BC46:BC54)</f>
        <v>3949684.4056624984</v>
      </c>
    </row>
    <row r="56" spans="5:55" ht="15.75" thickTop="1" x14ac:dyDescent="0.25">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c r="AY56" s="16"/>
      <c r="AZ56" s="16"/>
      <c r="BA56" s="16"/>
      <c r="BB56" s="16"/>
      <c r="BC56" s="16"/>
    </row>
    <row r="57" spans="5:55" x14ac:dyDescent="0.25">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c r="AY57" s="16"/>
      <c r="AZ57" s="16"/>
      <c r="BA57" s="16"/>
      <c r="BB57" s="16"/>
      <c r="BC57" s="16"/>
    </row>
    <row r="58" spans="5:55" ht="15.75" thickBot="1" x14ac:dyDescent="0.3">
      <c r="G58" s="235" t="s">
        <v>513</v>
      </c>
      <c r="H58" s="236">
        <f>SUM(H55,H42,H31)</f>
        <v>2483573.44</v>
      </c>
      <c r="I58" s="236">
        <f t="shared" ref="I58:AQ58" si="63">SUM(I55,I42,I31)</f>
        <v>2851949.9800000004</v>
      </c>
      <c r="J58" s="236">
        <f t="shared" si="63"/>
        <v>3130141.45</v>
      </c>
      <c r="K58" s="236">
        <f t="shared" si="63"/>
        <v>2609905.7300000004</v>
      </c>
      <c r="L58" s="236">
        <f t="shared" si="63"/>
        <v>3027872.1799999997</v>
      </c>
      <c r="M58" s="236">
        <f t="shared" si="63"/>
        <v>3424065.01</v>
      </c>
      <c r="N58" s="236">
        <f t="shared" si="63"/>
        <v>3367876.0599999996</v>
      </c>
      <c r="O58" s="236">
        <f t="shared" si="63"/>
        <v>3626676.92</v>
      </c>
      <c r="P58" s="236">
        <f t="shared" si="63"/>
        <v>4441705.74</v>
      </c>
      <c r="Q58" s="236">
        <f t="shared" si="63"/>
        <v>3784611.9899999998</v>
      </c>
      <c r="R58" s="236">
        <f t="shared" si="63"/>
        <v>4137299.63</v>
      </c>
      <c r="S58" s="236">
        <f t="shared" si="63"/>
        <v>5779851.0199999996</v>
      </c>
      <c r="T58" s="236">
        <f t="shared" si="63"/>
        <v>5200894.93</v>
      </c>
      <c r="U58" s="236">
        <f t="shared" si="63"/>
        <v>4807095.54</v>
      </c>
      <c r="V58" s="236">
        <f t="shared" si="63"/>
        <v>4398238.9399999995</v>
      </c>
      <c r="W58" s="236">
        <f t="shared" si="63"/>
        <v>5660976.8399999999</v>
      </c>
      <c r="X58" s="236">
        <f t="shared" si="63"/>
        <v>5595573.75</v>
      </c>
      <c r="Y58" s="236">
        <f t="shared" si="63"/>
        <v>3861712.81</v>
      </c>
      <c r="Z58" s="236">
        <f t="shared" si="63"/>
        <v>5464051.3300000001</v>
      </c>
      <c r="AA58" s="236">
        <f t="shared" si="63"/>
        <v>5827573.5499999998</v>
      </c>
      <c r="AB58" s="236">
        <f t="shared" si="63"/>
        <v>5066435.5299999993</v>
      </c>
      <c r="AC58" s="236">
        <f t="shared" si="63"/>
        <v>5584288.620000001</v>
      </c>
      <c r="AD58" s="236">
        <f t="shared" si="63"/>
        <v>6409990.7400000002</v>
      </c>
      <c r="AE58" s="236">
        <f t="shared" si="63"/>
        <v>4769380.7999999989</v>
      </c>
      <c r="AF58" s="236">
        <f t="shared" si="63"/>
        <v>7407198.4199999999</v>
      </c>
      <c r="AG58" s="236">
        <f t="shared" si="63"/>
        <v>6072152.0999999996</v>
      </c>
      <c r="AH58" s="236">
        <f t="shared" si="63"/>
        <v>4937096.6999999993</v>
      </c>
      <c r="AI58" s="236">
        <f t="shared" si="63"/>
        <v>5978095.2600000007</v>
      </c>
      <c r="AJ58" s="236">
        <f t="shared" si="63"/>
        <v>5886415.9700000007</v>
      </c>
      <c r="AK58" s="236">
        <f t="shared" si="63"/>
        <v>5605846.0039999988</v>
      </c>
      <c r="AL58" s="236">
        <f t="shared" si="63"/>
        <v>6112778.1500000004</v>
      </c>
      <c r="AM58" s="236">
        <f t="shared" si="63"/>
        <v>6911937.4000000004</v>
      </c>
      <c r="AN58" s="236">
        <f t="shared" si="63"/>
        <v>5100854.7660000008</v>
      </c>
      <c r="AO58" s="236">
        <f t="shared" si="63"/>
        <v>6800475.5</v>
      </c>
      <c r="AP58" s="236">
        <f t="shared" si="63"/>
        <v>6610057.3399999999</v>
      </c>
      <c r="AQ58" s="236">
        <f t="shared" si="63"/>
        <v>6919567.9959999993</v>
      </c>
      <c r="AR58" s="236">
        <f t="shared" ref="AR58:BC58" si="64">SUM(AR55,AR42,AR31)</f>
        <v>8544533.6899999995</v>
      </c>
      <c r="AS58" s="236">
        <f t="shared" si="64"/>
        <v>8440244.2199999988</v>
      </c>
      <c r="AT58" s="236">
        <f t="shared" si="64"/>
        <v>8785610.7800000012</v>
      </c>
      <c r="AU58" s="236">
        <f t="shared" si="64"/>
        <v>10396173.419999998</v>
      </c>
      <c r="AV58" s="236">
        <f t="shared" si="64"/>
        <v>12203567.916366749</v>
      </c>
      <c r="AW58" s="236">
        <f t="shared" si="64"/>
        <v>12989791.080389023</v>
      </c>
      <c r="AX58" s="236">
        <f t="shared" si="64"/>
        <v>12046720.67073179</v>
      </c>
      <c r="AY58" s="236">
        <f t="shared" si="64"/>
        <v>13514210.92618347</v>
      </c>
      <c r="AZ58" s="236">
        <f t="shared" si="64"/>
        <v>15650636.485015696</v>
      </c>
      <c r="BA58" s="236">
        <f t="shared" si="64"/>
        <v>13576966.142532689</v>
      </c>
      <c r="BB58" s="236">
        <f t="shared" si="64"/>
        <v>15006665.018208366</v>
      </c>
      <c r="BC58" s="236">
        <f t="shared" si="64"/>
        <v>17675047.43171642</v>
      </c>
    </row>
    <row r="59" spans="5:55" ht="15.75" thickTop="1" x14ac:dyDescent="0.25">
      <c r="G59" s="240" t="s">
        <v>60</v>
      </c>
      <c r="H59" s="241">
        <f>SUM(H58,H8)</f>
        <v>2916608.65</v>
      </c>
      <c r="I59" s="241">
        <f t="shared" ref="I59:AR59" si="65">SUM(I58,I8)</f>
        <v>3308244.0400000005</v>
      </c>
      <c r="J59" s="241">
        <f t="shared" si="65"/>
        <v>3580206.7600000002</v>
      </c>
      <c r="K59" s="241">
        <f t="shared" si="65"/>
        <v>3108727.2100000004</v>
      </c>
      <c r="L59" s="241">
        <f t="shared" si="65"/>
        <v>3628554.26</v>
      </c>
      <c r="M59" s="241">
        <f t="shared" si="65"/>
        <v>4002219.6399999997</v>
      </c>
      <c r="N59" s="241">
        <f t="shared" si="65"/>
        <v>4081224.1499999994</v>
      </c>
      <c r="O59" s="241">
        <f t="shared" si="65"/>
        <v>4455422.2699999996</v>
      </c>
      <c r="P59" s="241">
        <f t="shared" si="65"/>
        <v>5329529.63</v>
      </c>
      <c r="Q59" s="241">
        <f t="shared" si="65"/>
        <v>4652499.97</v>
      </c>
      <c r="R59" s="241">
        <f t="shared" si="65"/>
        <v>4980983.33</v>
      </c>
      <c r="S59" s="241">
        <f t="shared" si="65"/>
        <v>6772728.8999999994</v>
      </c>
      <c r="T59" s="241">
        <f t="shared" si="65"/>
        <v>6168157.0999999996</v>
      </c>
      <c r="U59" s="241">
        <f t="shared" si="65"/>
        <v>5894032.3499999996</v>
      </c>
      <c r="V59" s="241">
        <f t="shared" si="65"/>
        <v>5649054.5099999998</v>
      </c>
      <c r="W59" s="241">
        <f t="shared" si="65"/>
        <v>6899951.5899999999</v>
      </c>
      <c r="X59" s="241">
        <f t="shared" si="65"/>
        <v>6957037.0600000005</v>
      </c>
      <c r="Y59" s="241">
        <f t="shared" si="65"/>
        <v>5321324.4800000004</v>
      </c>
      <c r="Z59" s="241">
        <f t="shared" si="65"/>
        <v>7071586.4500000002</v>
      </c>
      <c r="AA59" s="241">
        <f t="shared" si="65"/>
        <v>7521972.9299999997</v>
      </c>
      <c r="AB59" s="241">
        <f t="shared" si="65"/>
        <v>7055882.6699999999</v>
      </c>
      <c r="AC59" s="241">
        <f t="shared" si="65"/>
        <v>7253177.7300000004</v>
      </c>
      <c r="AD59" s="241">
        <f t="shared" si="65"/>
        <v>8125972.8499999996</v>
      </c>
      <c r="AE59" s="241">
        <f t="shared" si="65"/>
        <v>6694243.2899999991</v>
      </c>
      <c r="AF59" s="241">
        <f t="shared" si="65"/>
        <v>9178772.2200000007</v>
      </c>
      <c r="AG59" s="241">
        <f t="shared" si="65"/>
        <v>7935949.7299999995</v>
      </c>
      <c r="AH59" s="241">
        <f t="shared" si="65"/>
        <v>7376348.8299999991</v>
      </c>
      <c r="AI59" s="241">
        <f t="shared" si="65"/>
        <v>8063737.4400000004</v>
      </c>
      <c r="AJ59" s="241">
        <f t="shared" si="65"/>
        <v>7690428.4000000004</v>
      </c>
      <c r="AK59" s="241">
        <f t="shared" si="65"/>
        <v>7565015.6899999995</v>
      </c>
      <c r="AL59" s="241">
        <f t="shared" si="65"/>
        <v>8124043.6699999999</v>
      </c>
      <c r="AM59" s="241">
        <f t="shared" si="65"/>
        <v>9003273.0800000001</v>
      </c>
      <c r="AN59" s="241">
        <f t="shared" si="65"/>
        <v>7364704.8500000015</v>
      </c>
      <c r="AO59" s="241">
        <f t="shared" si="65"/>
        <v>8828199.5199999996</v>
      </c>
      <c r="AP59" s="241">
        <f t="shared" si="65"/>
        <v>8423738.4299999997</v>
      </c>
      <c r="AQ59" s="241">
        <f t="shared" si="65"/>
        <v>9409301.2199999988</v>
      </c>
      <c r="AR59" s="241">
        <f t="shared" si="65"/>
        <v>10825039.709999999</v>
      </c>
      <c r="AS59" s="241">
        <f t="shared" ref="AS59" si="66">SUM(AS58,AS8)</f>
        <v>11059794.849999998</v>
      </c>
      <c r="AT59" s="241">
        <f t="shared" ref="AT59" si="67">SUM(AT58,AT8)</f>
        <v>11626948.350000001</v>
      </c>
      <c r="AU59" s="241">
        <f t="shared" ref="AU59" si="68">SUM(AU58,AU8)</f>
        <v>13076226.729999999</v>
      </c>
      <c r="AV59" s="241">
        <f t="shared" ref="AV59" si="69">SUM(AV58,AV8)</f>
        <v>15194422.439915521</v>
      </c>
      <c r="AW59" s="241">
        <f t="shared" ref="AW59" si="70">SUM(AW58,AW8)</f>
        <v>15966605.610901341</v>
      </c>
      <c r="AX59" s="241">
        <f t="shared" ref="AX59" si="71">SUM(AX58,AX8)</f>
        <v>15253886.531562343</v>
      </c>
      <c r="AY59" s="241">
        <f t="shared" ref="AY59" si="72">SUM(AY58,AY8)</f>
        <v>16842307.5882206</v>
      </c>
      <c r="AZ59" s="241">
        <f t="shared" ref="AZ59" si="73">SUM(AZ58,AZ8)</f>
        <v>19050959.565456755</v>
      </c>
      <c r="BA59" s="241">
        <f t="shared" ref="BA59" si="74">SUM(BA58,BA8)</f>
        <v>17059995.231300898</v>
      </c>
      <c r="BB59" s="241">
        <f t="shared" ref="BB59" si="75">SUM(BB58,BB8)</f>
        <v>18673819.12784674</v>
      </c>
      <c r="BC59" s="241">
        <f t="shared" ref="BC59" si="76">SUM(BC58,BC8)</f>
        <v>21445665.03214895</v>
      </c>
    </row>
    <row r="60" spans="5:55" x14ac:dyDescent="0.25">
      <c r="G60" s="242" t="s">
        <v>51</v>
      </c>
      <c r="H60" s="92">
        <f>H59-H291</f>
        <v>0</v>
      </c>
      <c r="I60" s="92">
        <f t="shared" ref="I60:AR60" si="77">I59-I291</f>
        <v>0</v>
      </c>
      <c r="J60" s="92">
        <f t="shared" si="77"/>
        <v>0</v>
      </c>
      <c r="K60" s="92">
        <f t="shared" si="77"/>
        <v>0</v>
      </c>
      <c r="L60" s="92">
        <f t="shared" si="77"/>
        <v>0</v>
      </c>
      <c r="M60" s="92">
        <f t="shared" si="77"/>
        <v>0</v>
      </c>
      <c r="N60" s="92">
        <f t="shared" si="77"/>
        <v>0</v>
      </c>
      <c r="O60" s="92">
        <f t="shared" si="77"/>
        <v>0</v>
      </c>
      <c r="P60" s="92">
        <f t="shared" si="77"/>
        <v>0</v>
      </c>
      <c r="Q60" s="92">
        <f t="shared" si="77"/>
        <v>0</v>
      </c>
      <c r="R60" s="92">
        <f t="shared" si="77"/>
        <v>0</v>
      </c>
      <c r="S60" s="92">
        <f t="shared" si="77"/>
        <v>0</v>
      </c>
      <c r="T60" s="92">
        <f t="shared" si="77"/>
        <v>0</v>
      </c>
      <c r="U60" s="92">
        <f t="shared" si="77"/>
        <v>0</v>
      </c>
      <c r="V60" s="92">
        <f t="shared" si="77"/>
        <v>0</v>
      </c>
      <c r="W60" s="92">
        <f t="shared" si="77"/>
        <v>0</v>
      </c>
      <c r="X60" s="92">
        <f t="shared" si="77"/>
        <v>0</v>
      </c>
      <c r="Y60" s="92">
        <f t="shared" si="77"/>
        <v>0</v>
      </c>
      <c r="Z60" s="92">
        <f t="shared" si="77"/>
        <v>0</v>
      </c>
      <c r="AA60" s="92">
        <f t="shared" si="77"/>
        <v>0</v>
      </c>
      <c r="AB60" s="92">
        <f t="shared" si="77"/>
        <v>0</v>
      </c>
      <c r="AC60" s="92">
        <f t="shared" si="77"/>
        <v>0</v>
      </c>
      <c r="AD60" s="92">
        <f t="shared" si="77"/>
        <v>0</v>
      </c>
      <c r="AE60" s="92">
        <f t="shared" si="77"/>
        <v>0</v>
      </c>
      <c r="AF60" s="92">
        <f t="shared" si="77"/>
        <v>0</v>
      </c>
      <c r="AG60" s="92">
        <f t="shared" si="77"/>
        <v>0</v>
      </c>
      <c r="AH60" s="92">
        <f t="shared" si="77"/>
        <v>0</v>
      </c>
      <c r="AI60" s="92">
        <f t="shared" si="77"/>
        <v>0</v>
      </c>
      <c r="AJ60" s="92">
        <f t="shared" si="77"/>
        <v>0</v>
      </c>
      <c r="AK60" s="92">
        <f t="shared" si="77"/>
        <v>0</v>
      </c>
      <c r="AL60" s="92">
        <f t="shared" si="77"/>
        <v>0</v>
      </c>
      <c r="AM60" s="92">
        <f t="shared" si="77"/>
        <v>0</v>
      </c>
      <c r="AN60" s="92">
        <f t="shared" si="77"/>
        <v>0</v>
      </c>
      <c r="AO60" s="92">
        <f t="shared" si="77"/>
        <v>0</v>
      </c>
      <c r="AP60" s="92">
        <f t="shared" si="77"/>
        <v>0</v>
      </c>
      <c r="AQ60" s="92">
        <f t="shared" si="77"/>
        <v>0</v>
      </c>
      <c r="AR60" s="92">
        <f t="shared" si="77"/>
        <v>0</v>
      </c>
      <c r="AS60" s="92">
        <f t="shared" ref="AS60" si="78">AS59-AS291</f>
        <v>0</v>
      </c>
      <c r="AT60" s="92">
        <f t="shared" ref="AT60" si="79">AT59-AT291</f>
        <v>0</v>
      </c>
      <c r="AU60" s="92">
        <f t="shared" ref="AU60" si="80">AU59-AU291</f>
        <v>0</v>
      </c>
      <c r="AV60" s="92">
        <f t="shared" ref="AV60" si="81">AV59-AV291</f>
        <v>0</v>
      </c>
      <c r="AW60" s="92">
        <f t="shared" ref="AW60" si="82">AW59-AW291</f>
        <v>0</v>
      </c>
      <c r="AX60" s="92">
        <f t="shared" ref="AX60" si="83">AX59-AX291</f>
        <v>0</v>
      </c>
      <c r="AY60" s="92">
        <f t="shared" ref="AY60" si="84">AY59-AY291</f>
        <v>0</v>
      </c>
      <c r="AZ60" s="92">
        <f t="shared" ref="AZ60" si="85">AZ59-AZ291</f>
        <v>0</v>
      </c>
      <c r="BA60" s="92">
        <f t="shared" ref="BA60" si="86">BA59-BA291</f>
        <v>0</v>
      </c>
      <c r="BB60" s="92">
        <f t="shared" ref="BB60" si="87">BB59-BB291</f>
        <v>0</v>
      </c>
      <c r="BC60" s="92">
        <f t="shared" ref="BC60" si="88">BC59-BC291</f>
        <v>0</v>
      </c>
    </row>
    <row r="66" spans="1:55" x14ac:dyDescent="0.25">
      <c r="H66" s="218">
        <v>2019</v>
      </c>
      <c r="I66" s="218">
        <v>2019</v>
      </c>
      <c r="J66" s="218">
        <v>2019</v>
      </c>
      <c r="K66" s="218">
        <v>2019</v>
      </c>
      <c r="L66" s="218">
        <v>2019</v>
      </c>
      <c r="M66" s="218">
        <v>2019</v>
      </c>
      <c r="N66" s="218">
        <v>2019</v>
      </c>
      <c r="O66" s="218">
        <v>2019</v>
      </c>
      <c r="P66" s="218">
        <v>2019</v>
      </c>
      <c r="Q66" s="218">
        <v>2019</v>
      </c>
      <c r="R66" s="218">
        <v>2019</v>
      </c>
      <c r="S66" s="218">
        <v>2019</v>
      </c>
      <c r="T66" s="217">
        <v>2020</v>
      </c>
      <c r="U66" s="217">
        <v>2020</v>
      </c>
      <c r="V66" s="217">
        <v>2020</v>
      </c>
      <c r="W66" s="217">
        <v>2020</v>
      </c>
      <c r="X66" s="217">
        <v>2020</v>
      </c>
      <c r="Y66" s="217">
        <v>2020</v>
      </c>
      <c r="Z66" s="217">
        <v>2020</v>
      </c>
      <c r="AA66" s="217">
        <v>2020</v>
      </c>
      <c r="AB66" s="217">
        <v>2020</v>
      </c>
      <c r="AC66" s="217">
        <v>2020</v>
      </c>
      <c r="AD66" s="217">
        <v>2020</v>
      </c>
      <c r="AE66" s="217">
        <v>2020</v>
      </c>
      <c r="AF66" s="218">
        <v>2021</v>
      </c>
      <c r="AG66" s="218">
        <v>2021</v>
      </c>
      <c r="AH66" s="218">
        <v>2021</v>
      </c>
      <c r="AI66" s="218">
        <v>2021</v>
      </c>
      <c r="AJ66" s="218">
        <v>2021</v>
      </c>
      <c r="AK66" s="218">
        <v>2021</v>
      </c>
      <c r="AL66" s="218">
        <v>2021</v>
      </c>
      <c r="AM66" s="218">
        <v>2021</v>
      </c>
      <c r="AN66" s="218">
        <v>2021</v>
      </c>
      <c r="AO66" s="218">
        <v>2021</v>
      </c>
      <c r="AP66" s="218">
        <v>2021</v>
      </c>
      <c r="AQ66" s="218">
        <v>2021</v>
      </c>
      <c r="AR66" s="218">
        <v>2022</v>
      </c>
      <c r="AS66" s="218">
        <v>2022</v>
      </c>
      <c r="AT66" s="218">
        <v>2022</v>
      </c>
      <c r="AU66" s="218">
        <v>2022</v>
      </c>
      <c r="AV66" s="218">
        <v>2022</v>
      </c>
      <c r="AW66" s="218">
        <v>2022</v>
      </c>
      <c r="AX66" s="218">
        <v>2022</v>
      </c>
      <c r="AY66" s="218">
        <v>2022</v>
      </c>
      <c r="AZ66" s="218">
        <v>2022</v>
      </c>
      <c r="BA66" s="218">
        <v>2022</v>
      </c>
      <c r="BB66" s="218">
        <v>2022</v>
      </c>
      <c r="BC66" s="218">
        <v>2022</v>
      </c>
    </row>
    <row r="67" spans="1:55" x14ac:dyDescent="0.25">
      <c r="A67" s="203" t="s">
        <v>352</v>
      </c>
      <c r="B67" s="204" t="s">
        <v>353</v>
      </c>
      <c r="C67" s="205" t="s">
        <v>354</v>
      </c>
      <c r="D67" s="205" t="s">
        <v>355</v>
      </c>
      <c r="E67" s="205" t="s">
        <v>486</v>
      </c>
      <c r="F67" s="205" t="s">
        <v>356</v>
      </c>
      <c r="G67" s="205" t="s">
        <v>357</v>
      </c>
      <c r="H67" s="205" t="s">
        <v>358</v>
      </c>
      <c r="I67" s="205" t="s">
        <v>359</v>
      </c>
      <c r="J67" s="205" t="s">
        <v>360</v>
      </c>
      <c r="K67" s="205" t="s">
        <v>361</v>
      </c>
      <c r="L67" s="205" t="s">
        <v>362</v>
      </c>
      <c r="M67" s="205" t="s">
        <v>363</v>
      </c>
      <c r="N67" s="205" t="s">
        <v>364</v>
      </c>
      <c r="O67" s="205" t="s">
        <v>365</v>
      </c>
      <c r="P67" s="205" t="s">
        <v>366</v>
      </c>
      <c r="Q67" s="205" t="s">
        <v>367</v>
      </c>
      <c r="R67" s="205" t="s">
        <v>368</v>
      </c>
      <c r="S67" s="205" t="s">
        <v>369</v>
      </c>
      <c r="T67" s="205" t="s">
        <v>358</v>
      </c>
      <c r="U67" s="205" t="s">
        <v>359</v>
      </c>
      <c r="V67" s="205" t="s">
        <v>360</v>
      </c>
      <c r="W67" s="205" t="s">
        <v>361</v>
      </c>
      <c r="X67" s="205" t="s">
        <v>362</v>
      </c>
      <c r="Y67" s="205" t="s">
        <v>363</v>
      </c>
      <c r="Z67" s="205" t="s">
        <v>364</v>
      </c>
      <c r="AA67" s="205" t="s">
        <v>365</v>
      </c>
      <c r="AB67" s="205" t="s">
        <v>366</v>
      </c>
      <c r="AC67" s="205" t="s">
        <v>367</v>
      </c>
      <c r="AD67" s="205" t="s">
        <v>368</v>
      </c>
      <c r="AE67" s="205" t="s">
        <v>369</v>
      </c>
      <c r="AF67" s="205" t="s">
        <v>358</v>
      </c>
      <c r="AG67" s="205" t="s">
        <v>359</v>
      </c>
      <c r="AH67" s="205" t="s">
        <v>360</v>
      </c>
      <c r="AI67" s="205" t="s">
        <v>361</v>
      </c>
      <c r="AJ67" s="205" t="s">
        <v>362</v>
      </c>
      <c r="AK67" s="205" t="s">
        <v>363</v>
      </c>
      <c r="AL67" s="205" t="s">
        <v>364</v>
      </c>
      <c r="AM67" s="205" t="s">
        <v>365</v>
      </c>
      <c r="AN67" s="205" t="s">
        <v>366</v>
      </c>
      <c r="AO67" s="205" t="s">
        <v>367</v>
      </c>
      <c r="AP67" s="205" t="s">
        <v>368</v>
      </c>
      <c r="AQ67" s="205" t="s">
        <v>369</v>
      </c>
      <c r="AR67" s="205" t="s">
        <v>369</v>
      </c>
      <c r="AS67" s="205" t="s">
        <v>369</v>
      </c>
      <c r="AT67" s="205" t="s">
        <v>369</v>
      </c>
      <c r="AU67" s="205" t="s">
        <v>369</v>
      </c>
      <c r="AV67" s="205" t="s">
        <v>369</v>
      </c>
      <c r="AW67" s="205" t="s">
        <v>369</v>
      </c>
      <c r="AX67" s="205" t="s">
        <v>369</v>
      </c>
      <c r="AY67" s="205" t="s">
        <v>369</v>
      </c>
      <c r="AZ67" s="205" t="s">
        <v>369</v>
      </c>
      <c r="BA67" s="205" t="s">
        <v>369</v>
      </c>
      <c r="BB67" s="205" t="s">
        <v>369</v>
      </c>
      <c r="BC67" s="205" t="s">
        <v>369</v>
      </c>
    </row>
    <row r="68" spans="1:55" ht="15.75" x14ac:dyDescent="0.25">
      <c r="A68" s="206" t="s">
        <v>370</v>
      </c>
      <c r="B68" s="207"/>
      <c r="C68" s="206"/>
      <c r="D68" s="206"/>
      <c r="E68" s="206"/>
      <c r="F68" s="206"/>
      <c r="G68" s="206"/>
      <c r="H68" s="208" t="s">
        <v>135</v>
      </c>
      <c r="I68" s="208" t="s">
        <v>135</v>
      </c>
      <c r="J68" s="208" t="s">
        <v>135</v>
      </c>
      <c r="K68" s="208" t="s">
        <v>135</v>
      </c>
      <c r="L68" s="208" t="s">
        <v>135</v>
      </c>
      <c r="M68" s="208" t="s">
        <v>135</v>
      </c>
      <c r="N68" s="208" t="s">
        <v>135</v>
      </c>
      <c r="O68" s="208" t="s">
        <v>135</v>
      </c>
      <c r="P68" s="208" t="s">
        <v>135</v>
      </c>
      <c r="Q68" s="208" t="s">
        <v>135</v>
      </c>
      <c r="R68" s="208" t="s">
        <v>135</v>
      </c>
      <c r="S68" s="208" t="s">
        <v>135</v>
      </c>
      <c r="T68" s="208" t="s">
        <v>135</v>
      </c>
      <c r="U68" s="208" t="s">
        <v>135</v>
      </c>
      <c r="V68" s="208" t="s">
        <v>135</v>
      </c>
      <c r="W68" s="208" t="s">
        <v>135</v>
      </c>
      <c r="X68" s="208" t="s">
        <v>135</v>
      </c>
      <c r="Y68" s="208" t="s">
        <v>135</v>
      </c>
      <c r="Z68" s="208" t="s">
        <v>135</v>
      </c>
      <c r="AA68" s="208" t="s">
        <v>135</v>
      </c>
      <c r="AB68" s="208" t="s">
        <v>135</v>
      </c>
      <c r="AC68" s="208" t="s">
        <v>135</v>
      </c>
      <c r="AD68" s="208" t="s">
        <v>135</v>
      </c>
      <c r="AE68" s="208" t="s">
        <v>135</v>
      </c>
      <c r="AF68" s="208" t="s">
        <v>135</v>
      </c>
      <c r="AG68" s="208" t="s">
        <v>135</v>
      </c>
      <c r="AH68" s="208" t="s">
        <v>135</v>
      </c>
      <c r="AI68" s="208" t="s">
        <v>135</v>
      </c>
      <c r="AJ68" s="208" t="s">
        <v>135</v>
      </c>
      <c r="AK68" s="208" t="s">
        <v>135</v>
      </c>
      <c r="AL68" s="208" t="s">
        <v>135</v>
      </c>
      <c r="AM68" s="208" t="s">
        <v>135</v>
      </c>
      <c r="AN68" s="208" t="s">
        <v>135</v>
      </c>
      <c r="AO68" s="208" t="s">
        <v>135</v>
      </c>
      <c r="AP68" s="208" t="s">
        <v>135</v>
      </c>
      <c r="AQ68" s="208" t="s">
        <v>135</v>
      </c>
      <c r="AR68" s="208" t="s">
        <v>135</v>
      </c>
      <c r="AS68" s="208" t="s">
        <v>135</v>
      </c>
      <c r="AT68" s="208" t="s">
        <v>135</v>
      </c>
      <c r="AU68" s="208" t="s">
        <v>135</v>
      </c>
      <c r="AV68" s="208" t="s">
        <v>135</v>
      </c>
      <c r="AW68" s="208" t="s">
        <v>135</v>
      </c>
      <c r="AX68" s="208" t="s">
        <v>135</v>
      </c>
      <c r="AY68" s="208" t="s">
        <v>135</v>
      </c>
      <c r="AZ68" s="208" t="s">
        <v>135</v>
      </c>
      <c r="BA68" s="208" t="s">
        <v>135</v>
      </c>
      <c r="BB68" s="208" t="s">
        <v>135</v>
      </c>
      <c r="BC68" s="208" t="s">
        <v>135</v>
      </c>
    </row>
    <row r="69" spans="1:55" x14ac:dyDescent="0.25">
      <c r="A69" s="209" t="s">
        <v>370</v>
      </c>
      <c r="B69" s="210" t="s">
        <v>371</v>
      </c>
      <c r="C69" t="s">
        <v>3</v>
      </c>
      <c r="D69" t="s">
        <v>372</v>
      </c>
      <c r="E69" t="s">
        <v>505</v>
      </c>
      <c r="F69" s="211">
        <v>5100</v>
      </c>
      <c r="G69" t="s">
        <v>373</v>
      </c>
      <c r="H69" s="213">
        <v>185190.85</v>
      </c>
      <c r="I69" s="213">
        <v>198695.89</v>
      </c>
      <c r="J69" s="213">
        <v>197240.81</v>
      </c>
      <c r="K69" s="213">
        <v>210732.88</v>
      </c>
      <c r="L69" s="213">
        <v>275368.31</v>
      </c>
      <c r="M69" s="213">
        <v>262931.18</v>
      </c>
      <c r="N69" s="213">
        <v>343554.02</v>
      </c>
      <c r="O69" s="213">
        <v>409297.16</v>
      </c>
      <c r="P69" s="213">
        <v>408091.73</v>
      </c>
      <c r="Q69" s="213">
        <v>503532.74</v>
      </c>
      <c r="R69" s="213">
        <v>468016.66</v>
      </c>
      <c r="S69" s="213">
        <v>564732.92000000004</v>
      </c>
      <c r="T69" s="213">
        <v>543650</v>
      </c>
      <c r="U69" s="213">
        <v>619491.09</v>
      </c>
      <c r="V69" s="213">
        <v>700959.79</v>
      </c>
      <c r="W69" s="213">
        <v>722255.01</v>
      </c>
      <c r="X69" s="213">
        <v>768553.37</v>
      </c>
      <c r="Y69" s="213">
        <v>779224.16</v>
      </c>
      <c r="Z69" s="213">
        <v>935337.35</v>
      </c>
      <c r="AA69" s="213">
        <v>1077956.49</v>
      </c>
      <c r="AB69" s="213">
        <v>1242344.6399999999</v>
      </c>
      <c r="AC69" s="213">
        <v>1012945.66</v>
      </c>
      <c r="AD69" s="213">
        <v>1038633.49</v>
      </c>
      <c r="AE69" s="213">
        <v>1015030.98</v>
      </c>
      <c r="AF69" s="213">
        <v>1012745.05</v>
      </c>
      <c r="AG69" s="213">
        <v>1163580.9099999999</v>
      </c>
      <c r="AH69" s="213">
        <v>1125741.08</v>
      </c>
      <c r="AI69" s="213">
        <v>1164455.26</v>
      </c>
      <c r="AJ69" s="213">
        <v>984561.5</v>
      </c>
      <c r="AK69" s="213">
        <v>1069127.31</v>
      </c>
      <c r="AL69" s="213">
        <v>1182516.1600000001</v>
      </c>
      <c r="AM69" s="213">
        <v>1232449.5699999998</v>
      </c>
      <c r="AN69" s="213">
        <v>1262478.4300000002</v>
      </c>
      <c r="AO69" s="213">
        <v>1175291.6000000001</v>
      </c>
      <c r="AP69" s="213">
        <v>1030813.15</v>
      </c>
      <c r="AQ69" s="213">
        <v>1346958.86</v>
      </c>
      <c r="AR69" s="213">
        <v>1328602.0499999998</v>
      </c>
      <c r="AS69" s="213">
        <v>1552767.49</v>
      </c>
      <c r="AT69" s="213">
        <v>1461523.84</v>
      </c>
      <c r="AU69" s="213">
        <v>1355960.97</v>
      </c>
      <c r="AV69" s="213">
        <v>1382553.7984884542</v>
      </c>
      <c r="AW69" s="213">
        <v>1383221.7280000001</v>
      </c>
      <c r="AX69" s="213">
        <v>1491710.0060000001</v>
      </c>
      <c r="AY69" s="213">
        <v>1530980.4439999999</v>
      </c>
      <c r="AZ69" s="213">
        <v>1556579.7300000002</v>
      </c>
      <c r="BA69" s="213">
        <v>1552669.838</v>
      </c>
      <c r="BB69" s="213">
        <v>1607005.1240000001</v>
      </c>
      <c r="BC69" s="213">
        <v>1629797.2619999999</v>
      </c>
    </row>
    <row r="70" spans="1:55" x14ac:dyDescent="0.25">
      <c r="A70" s="209" t="s">
        <v>374</v>
      </c>
      <c r="B70" s="210" t="s">
        <v>375</v>
      </c>
      <c r="C70" t="s">
        <v>376</v>
      </c>
      <c r="D70" t="s">
        <v>377</v>
      </c>
      <c r="E70" s="212" t="s">
        <v>505</v>
      </c>
      <c r="F70" s="211">
        <v>6550</v>
      </c>
      <c r="G70" t="s">
        <v>378</v>
      </c>
      <c r="H70" s="213">
        <v>37827.57</v>
      </c>
      <c r="I70" s="213">
        <v>37993.279999999999</v>
      </c>
      <c r="J70" s="213">
        <v>38892.559999999998</v>
      </c>
      <c r="K70" s="213">
        <v>41552.959999999999</v>
      </c>
      <c r="L70" s="213">
        <v>51955.22</v>
      </c>
      <c r="M70" s="213">
        <v>47575.58</v>
      </c>
      <c r="N70" s="213">
        <v>63612.38</v>
      </c>
      <c r="O70" s="213">
        <v>77045.350000000006</v>
      </c>
      <c r="P70" s="213">
        <v>78119.38</v>
      </c>
      <c r="Q70" s="213">
        <v>33995.730000000003</v>
      </c>
      <c r="R70" s="213">
        <v>31498</v>
      </c>
      <c r="S70" s="213">
        <v>36983.9</v>
      </c>
      <c r="T70" s="213">
        <v>34799</v>
      </c>
      <c r="U70" s="213">
        <v>40955.58</v>
      </c>
      <c r="V70" s="213">
        <v>49957.05</v>
      </c>
      <c r="W70" s="213">
        <v>51290.62</v>
      </c>
      <c r="X70" s="213">
        <v>54563.839999999997</v>
      </c>
      <c r="Y70" s="213">
        <v>55333.54</v>
      </c>
      <c r="Z70" s="213">
        <v>66421.37</v>
      </c>
      <c r="AA70" s="213">
        <v>71029.259999999995</v>
      </c>
      <c r="AB70" s="213">
        <v>85150.57</v>
      </c>
      <c r="AC70" s="213">
        <v>68979.91</v>
      </c>
      <c r="AD70" s="213">
        <v>70772.899999999994</v>
      </c>
      <c r="AE70" s="213">
        <v>68848.58</v>
      </c>
      <c r="AF70" s="213">
        <v>68715.86</v>
      </c>
      <c r="AG70" s="213">
        <v>80104.23000000001</v>
      </c>
      <c r="AH70" s="213">
        <v>75447.429999999993</v>
      </c>
      <c r="AI70" s="213">
        <v>78413.75</v>
      </c>
      <c r="AJ70" s="213">
        <v>66362.86</v>
      </c>
      <c r="AK70" s="213">
        <v>72989.02</v>
      </c>
      <c r="AL70" s="213">
        <v>80603.02</v>
      </c>
      <c r="AM70" s="213">
        <v>84233.45</v>
      </c>
      <c r="AN70" s="213">
        <v>86453.96</v>
      </c>
      <c r="AO70" s="213">
        <v>80841.38</v>
      </c>
      <c r="AP70" s="213">
        <v>70448.31</v>
      </c>
      <c r="AQ70" s="213">
        <v>92077.25</v>
      </c>
      <c r="AR70" s="213">
        <v>90343.35</v>
      </c>
      <c r="AS70" s="213">
        <v>106732.97</v>
      </c>
      <c r="AT70" s="213">
        <v>102400</v>
      </c>
      <c r="AU70" s="213">
        <v>93050.47</v>
      </c>
      <c r="AV70" s="213">
        <v>98533.901005858643</v>
      </c>
      <c r="AW70" s="213">
        <v>98581.504000000001</v>
      </c>
      <c r="AX70" s="213">
        <v>106313.408</v>
      </c>
      <c r="AY70" s="213">
        <v>109112.192</v>
      </c>
      <c r="AZ70" s="213">
        <v>110936.64</v>
      </c>
      <c r="BA70" s="213">
        <v>110657.984</v>
      </c>
      <c r="BB70" s="213">
        <v>114530.432</v>
      </c>
      <c r="BC70" s="213">
        <v>116154.81600000001</v>
      </c>
    </row>
    <row r="71" spans="1:55" x14ac:dyDescent="0.25">
      <c r="A71" s="209" t="s">
        <v>379</v>
      </c>
      <c r="B71" s="210" t="s">
        <v>380</v>
      </c>
      <c r="C71" t="s">
        <v>13</v>
      </c>
      <c r="D71" t="s">
        <v>372</v>
      </c>
      <c r="E71" s="212" t="s">
        <v>505</v>
      </c>
      <c r="F71" s="211">
        <v>6550</v>
      </c>
      <c r="G71" t="s">
        <v>378</v>
      </c>
      <c r="H71" s="213">
        <v>41324.82</v>
      </c>
      <c r="I71" s="213">
        <v>44178</v>
      </c>
      <c r="J71" s="213">
        <v>43870.6</v>
      </c>
      <c r="K71" s="213">
        <v>46721.03</v>
      </c>
      <c r="L71" s="213">
        <v>61322.12</v>
      </c>
      <c r="M71" s="213">
        <v>51944.19</v>
      </c>
      <c r="N71" s="213">
        <v>70356.12</v>
      </c>
      <c r="O71" s="213">
        <v>70535.13</v>
      </c>
      <c r="P71" s="213">
        <v>85899.34</v>
      </c>
      <c r="Q71" s="213">
        <v>20184.97</v>
      </c>
      <c r="R71" s="213">
        <v>18716.03</v>
      </c>
      <c r="S71" s="213">
        <v>19817.03</v>
      </c>
      <c r="T71" s="213">
        <v>20661.91</v>
      </c>
      <c r="U71" s="213">
        <v>24317.37</v>
      </c>
      <c r="V71" s="213">
        <v>34695.83</v>
      </c>
      <c r="W71" s="213">
        <v>30186.799999999999</v>
      </c>
      <c r="X71" s="213">
        <v>44137.93</v>
      </c>
      <c r="Y71" s="213">
        <v>32854.28</v>
      </c>
      <c r="Z71" s="213">
        <v>39437.69</v>
      </c>
      <c r="AA71" s="213">
        <v>42183.25</v>
      </c>
      <c r="AB71" s="213">
        <v>50548.53</v>
      </c>
      <c r="AC71" s="213">
        <v>40956.82</v>
      </c>
      <c r="AD71" s="213">
        <v>42021.41</v>
      </c>
      <c r="AE71" s="213">
        <v>40878.839999999997</v>
      </c>
      <c r="AF71" s="213">
        <v>42174.83</v>
      </c>
      <c r="AG71" s="213">
        <v>46798.21</v>
      </c>
      <c r="AH71" s="213">
        <v>44796.91</v>
      </c>
      <c r="AI71" s="213">
        <v>47098.840000000004</v>
      </c>
      <c r="AJ71" s="213">
        <v>39553.440000000002</v>
      </c>
      <c r="AK71" s="213">
        <v>43337.24</v>
      </c>
      <c r="AL71" s="213">
        <v>47858.04</v>
      </c>
      <c r="AM71" s="213">
        <v>50013.61</v>
      </c>
      <c r="AN71" s="213">
        <v>51332.04</v>
      </c>
      <c r="AO71" s="213">
        <v>47999.57</v>
      </c>
      <c r="AP71" s="213">
        <v>41828.68</v>
      </c>
      <c r="AQ71" s="213">
        <v>54670.86</v>
      </c>
      <c r="AR71" s="213">
        <v>53641.36</v>
      </c>
      <c r="AS71" s="213">
        <v>63372.7</v>
      </c>
      <c r="AT71" s="213">
        <v>60800</v>
      </c>
      <c r="AU71" s="213">
        <v>55248.72</v>
      </c>
      <c r="AV71" s="213">
        <v>58504.503722228568</v>
      </c>
      <c r="AW71" s="213">
        <v>58532.767999999996</v>
      </c>
      <c r="AX71" s="213">
        <v>63123.585999999996</v>
      </c>
      <c r="AY71" s="213">
        <v>64785.364000000001</v>
      </c>
      <c r="AZ71" s="213">
        <v>65868.63</v>
      </c>
      <c r="BA71" s="213">
        <v>65703.178</v>
      </c>
      <c r="BB71" s="213">
        <v>68002.444000000003</v>
      </c>
      <c r="BC71" s="213">
        <v>68966.921999999991</v>
      </c>
    </row>
    <row r="72" spans="1:55" x14ac:dyDescent="0.25">
      <c r="A72" s="209" t="s">
        <v>370</v>
      </c>
      <c r="B72" s="210" t="s">
        <v>371</v>
      </c>
      <c r="C72" t="s">
        <v>3</v>
      </c>
      <c r="D72" t="s">
        <v>381</v>
      </c>
      <c r="E72" t="s">
        <v>505</v>
      </c>
      <c r="F72" s="211">
        <v>5100</v>
      </c>
      <c r="G72" t="s">
        <v>373</v>
      </c>
      <c r="H72" s="213">
        <v>11100.87</v>
      </c>
      <c r="I72" s="213">
        <v>12023.31</v>
      </c>
      <c r="J72" s="213">
        <v>13955.61</v>
      </c>
      <c r="K72" s="213">
        <v>14184.22</v>
      </c>
      <c r="L72" s="213">
        <v>11111.8</v>
      </c>
      <c r="M72" s="213">
        <v>1022.73</v>
      </c>
      <c r="N72" s="213">
        <v>1870.79</v>
      </c>
      <c r="O72" s="213">
        <v>6279.01</v>
      </c>
      <c r="P72" s="213">
        <v>7093.89</v>
      </c>
      <c r="Q72" s="213">
        <v>10544.31</v>
      </c>
      <c r="R72" s="213">
        <v>11566.45</v>
      </c>
      <c r="S72" s="213">
        <v>10808.78</v>
      </c>
      <c r="T72" s="213">
        <v>15697.99</v>
      </c>
      <c r="U72" s="213">
        <v>28679.26</v>
      </c>
      <c r="V72" s="213">
        <v>34717.660000000003</v>
      </c>
      <c r="W72" s="213">
        <v>777.93</v>
      </c>
      <c r="X72" s="213">
        <v>34493.050000000003</v>
      </c>
      <c r="Y72" s="213">
        <v>48157.21</v>
      </c>
      <c r="Z72" s="213">
        <v>35856.61</v>
      </c>
      <c r="AA72" s="213">
        <v>-35856.61</v>
      </c>
      <c r="AB72" s="213">
        <v>0</v>
      </c>
      <c r="AC72" s="213">
        <v>0</v>
      </c>
      <c r="AD72" s="213">
        <v>0</v>
      </c>
      <c r="AE72" s="213">
        <v>0</v>
      </c>
      <c r="AF72" s="213">
        <v>0</v>
      </c>
      <c r="AG72" s="213">
        <v>0</v>
      </c>
      <c r="AH72" s="213">
        <v>0</v>
      </c>
      <c r="AI72" s="213">
        <v>0</v>
      </c>
      <c r="AJ72" s="213">
        <v>0</v>
      </c>
      <c r="AK72" s="213">
        <v>0</v>
      </c>
      <c r="AL72" s="213">
        <v>0</v>
      </c>
      <c r="AM72" s="213">
        <v>0</v>
      </c>
      <c r="AN72" s="213">
        <v>0</v>
      </c>
      <c r="AO72" s="213">
        <v>0</v>
      </c>
      <c r="AP72" s="213">
        <v>0</v>
      </c>
      <c r="AQ72" s="213">
        <v>0</v>
      </c>
      <c r="AR72" s="213">
        <v>0</v>
      </c>
      <c r="AS72" s="213">
        <v>0</v>
      </c>
      <c r="AT72" s="213">
        <v>0</v>
      </c>
      <c r="AU72" s="213">
        <v>0</v>
      </c>
      <c r="AV72" s="213">
        <v>0</v>
      </c>
      <c r="AW72" s="213">
        <v>0</v>
      </c>
      <c r="AX72" s="213">
        <v>0</v>
      </c>
      <c r="AY72" s="213">
        <v>0</v>
      </c>
      <c r="AZ72" s="213">
        <v>0</v>
      </c>
      <c r="BA72" s="213">
        <v>0</v>
      </c>
      <c r="BB72" s="213">
        <v>0</v>
      </c>
      <c r="BC72" s="213">
        <v>0</v>
      </c>
    </row>
    <row r="73" spans="1:55" x14ac:dyDescent="0.25">
      <c r="A73" s="209" t="s">
        <v>382</v>
      </c>
      <c r="B73" s="210" t="s">
        <v>371</v>
      </c>
      <c r="C73" t="s">
        <v>3</v>
      </c>
      <c r="D73" t="s">
        <v>383</v>
      </c>
      <c r="E73" t="s">
        <v>505</v>
      </c>
      <c r="F73">
        <v>5300</v>
      </c>
      <c r="G73" t="s">
        <v>384</v>
      </c>
      <c r="H73" s="214">
        <v>0</v>
      </c>
      <c r="I73" s="214">
        <v>0</v>
      </c>
      <c r="J73" s="214">
        <v>0</v>
      </c>
      <c r="K73" s="214">
        <v>0</v>
      </c>
      <c r="L73" s="214">
        <v>0</v>
      </c>
      <c r="M73" s="214">
        <v>0</v>
      </c>
      <c r="N73" s="214">
        <v>0</v>
      </c>
      <c r="O73" s="214">
        <v>0</v>
      </c>
      <c r="P73" s="214">
        <v>0</v>
      </c>
      <c r="Q73" s="214">
        <v>0</v>
      </c>
      <c r="R73" s="214">
        <v>0</v>
      </c>
      <c r="S73" s="214">
        <v>0</v>
      </c>
      <c r="T73" s="214">
        <v>0</v>
      </c>
      <c r="U73" s="214">
        <v>0</v>
      </c>
      <c r="V73" s="214">
        <v>0</v>
      </c>
      <c r="W73" s="214">
        <v>0</v>
      </c>
      <c r="X73" s="214">
        <v>0</v>
      </c>
      <c r="Y73" s="214">
        <v>0</v>
      </c>
      <c r="Z73" s="214">
        <v>0</v>
      </c>
      <c r="AA73" s="214">
        <v>0</v>
      </c>
      <c r="AB73" s="214">
        <v>0</v>
      </c>
      <c r="AC73" s="214">
        <v>0</v>
      </c>
      <c r="AD73" s="214">
        <v>0</v>
      </c>
      <c r="AE73" s="214">
        <v>0</v>
      </c>
      <c r="AF73" s="214">
        <v>0</v>
      </c>
      <c r="AG73" s="214">
        <v>0</v>
      </c>
      <c r="AH73" s="214">
        <v>0</v>
      </c>
      <c r="AI73" s="214">
        <v>0</v>
      </c>
      <c r="AJ73" s="214">
        <v>0</v>
      </c>
      <c r="AK73" s="214">
        <v>0</v>
      </c>
      <c r="AL73" s="214">
        <v>0</v>
      </c>
      <c r="AM73" s="214">
        <v>0</v>
      </c>
      <c r="AN73" s="214">
        <v>0</v>
      </c>
      <c r="AO73" s="214">
        <v>0</v>
      </c>
      <c r="AP73" s="214">
        <v>0</v>
      </c>
      <c r="AQ73" s="214">
        <v>0</v>
      </c>
      <c r="AR73" s="214">
        <v>0</v>
      </c>
      <c r="AS73" s="214">
        <v>0</v>
      </c>
      <c r="AT73" s="214">
        <v>0</v>
      </c>
      <c r="AU73" s="214">
        <v>0</v>
      </c>
      <c r="AV73" s="214">
        <v>0</v>
      </c>
      <c r="AW73" s="214">
        <v>0</v>
      </c>
      <c r="AX73" s="214">
        <v>0</v>
      </c>
      <c r="AY73" s="214">
        <v>0</v>
      </c>
      <c r="AZ73" s="214">
        <v>0</v>
      </c>
      <c r="BA73" s="214">
        <v>0</v>
      </c>
      <c r="BB73" s="214">
        <v>0</v>
      </c>
      <c r="BC73" s="214">
        <v>0</v>
      </c>
    </row>
    <row r="74" spans="1:55" x14ac:dyDescent="0.25">
      <c r="B74" s="210"/>
      <c r="H74" s="213">
        <v>275444.11</v>
      </c>
      <c r="I74" s="213">
        <v>292890.48000000004</v>
      </c>
      <c r="J74" s="213">
        <v>293959.57999999996</v>
      </c>
      <c r="K74" s="213">
        <v>313191.08999999997</v>
      </c>
      <c r="L74" s="213">
        <v>399757.45</v>
      </c>
      <c r="M74" s="213">
        <v>363473.68</v>
      </c>
      <c r="N74" s="213">
        <v>479393.31</v>
      </c>
      <c r="O74" s="213">
        <v>563156.65</v>
      </c>
      <c r="P74" s="213">
        <v>579204.34</v>
      </c>
      <c r="Q74" s="213">
        <v>568257.75</v>
      </c>
      <c r="R74" s="213">
        <v>529797.1399999999</v>
      </c>
      <c r="S74" s="213">
        <v>632342.63000000012</v>
      </c>
      <c r="T74" s="213">
        <v>614808.9</v>
      </c>
      <c r="U74" s="213">
        <v>713443.29999999993</v>
      </c>
      <c r="V74" s="213">
        <v>820330.33000000007</v>
      </c>
      <c r="W74" s="213">
        <v>804510.3600000001</v>
      </c>
      <c r="X74" s="213">
        <v>901748.19000000006</v>
      </c>
      <c r="Y74" s="213">
        <v>915569.19000000006</v>
      </c>
      <c r="Z74" s="213">
        <v>1077053.02</v>
      </c>
      <c r="AA74" s="213">
        <v>1155312.3899999999</v>
      </c>
      <c r="AB74" s="213">
        <v>1378043.74</v>
      </c>
      <c r="AC74" s="213">
        <v>1122882.3900000001</v>
      </c>
      <c r="AD74" s="213">
        <v>1151427.7999999998</v>
      </c>
      <c r="AE74" s="213">
        <v>1124758.4000000001</v>
      </c>
      <c r="AF74" s="213">
        <v>1123635.7400000002</v>
      </c>
      <c r="AG74" s="213">
        <v>1290483.3499999999</v>
      </c>
      <c r="AH74" s="213">
        <v>1245985.42</v>
      </c>
      <c r="AI74" s="213">
        <v>1289967.8500000001</v>
      </c>
      <c r="AJ74" s="213">
        <v>1090477.8</v>
      </c>
      <c r="AK74" s="213">
        <v>1185453.57</v>
      </c>
      <c r="AL74" s="213">
        <v>1310977.2200000002</v>
      </c>
      <c r="AM74" s="213">
        <v>1366696.63</v>
      </c>
      <c r="AN74" s="213">
        <v>1400264.4300000002</v>
      </c>
      <c r="AO74" s="213">
        <v>1304132.55</v>
      </c>
      <c r="AP74" s="213">
        <v>1143090.1399999999</v>
      </c>
      <c r="AQ74" s="213">
        <v>1493706.9700000002</v>
      </c>
      <c r="AR74" s="213">
        <v>1472586.76</v>
      </c>
      <c r="AS74" s="213">
        <v>1722873.16</v>
      </c>
      <c r="AT74" s="213">
        <v>1624723.84</v>
      </c>
      <c r="AU74" s="213">
        <v>1504260.16</v>
      </c>
      <c r="AV74" s="213">
        <v>1539592.2032165413</v>
      </c>
      <c r="AW74" s="213">
        <v>1540336</v>
      </c>
      <c r="AX74" s="213">
        <v>1661147</v>
      </c>
      <c r="AY74" s="213">
        <v>1704878</v>
      </c>
      <c r="AZ74" s="213">
        <v>1733385</v>
      </c>
      <c r="BA74" s="213">
        <v>1729031</v>
      </c>
      <c r="BB74" s="213">
        <v>1789538</v>
      </c>
      <c r="BC74" s="213">
        <v>1814919</v>
      </c>
    </row>
    <row r="75" spans="1:55" ht="15.75" x14ac:dyDescent="0.25">
      <c r="A75" s="206" t="s">
        <v>385</v>
      </c>
      <c r="B75" s="207"/>
      <c r="C75" s="206"/>
      <c r="D75" s="206"/>
      <c r="E75" s="206"/>
      <c r="F75" s="206"/>
      <c r="G75" s="206"/>
      <c r="H75" s="213">
        <v>0</v>
      </c>
      <c r="I75" s="213">
        <v>0</v>
      </c>
      <c r="J75" s="213">
        <v>0</v>
      </c>
      <c r="K75" s="213">
        <v>0</v>
      </c>
      <c r="L75" s="213">
        <v>0</v>
      </c>
      <c r="M75" s="213">
        <v>0</v>
      </c>
      <c r="N75" s="213">
        <v>0</v>
      </c>
      <c r="O75" s="213">
        <v>0</v>
      </c>
      <c r="P75" s="213">
        <v>0</v>
      </c>
      <c r="Q75" s="213">
        <v>0</v>
      </c>
      <c r="R75" s="213">
        <v>0</v>
      </c>
      <c r="S75" s="213">
        <v>0</v>
      </c>
      <c r="T75" s="213">
        <v>0</v>
      </c>
      <c r="U75" s="213">
        <v>0</v>
      </c>
      <c r="V75" s="213">
        <v>0</v>
      </c>
      <c r="W75" s="213">
        <v>0</v>
      </c>
      <c r="X75" s="213">
        <v>0</v>
      </c>
      <c r="Y75" s="213">
        <v>0</v>
      </c>
      <c r="Z75" s="213">
        <v>0</v>
      </c>
      <c r="AA75" s="213">
        <v>0</v>
      </c>
      <c r="AB75" s="213">
        <v>0</v>
      </c>
      <c r="AC75" s="213">
        <v>0</v>
      </c>
      <c r="AD75" s="213">
        <v>0</v>
      </c>
      <c r="AE75" s="213">
        <v>0</v>
      </c>
      <c r="AF75" s="213">
        <v>0</v>
      </c>
      <c r="AG75" s="213">
        <v>0</v>
      </c>
      <c r="AH75" s="213">
        <v>0</v>
      </c>
      <c r="AI75" s="213">
        <v>0</v>
      </c>
      <c r="AJ75" s="213">
        <v>0</v>
      </c>
      <c r="AK75" s="213">
        <v>0</v>
      </c>
      <c r="AL75" s="213">
        <v>0</v>
      </c>
      <c r="AM75" s="213">
        <v>0</v>
      </c>
      <c r="AN75" s="213">
        <v>0</v>
      </c>
      <c r="AO75" s="213">
        <v>0</v>
      </c>
      <c r="AP75" s="213">
        <v>0</v>
      </c>
      <c r="AQ75" s="213">
        <v>0</v>
      </c>
      <c r="AR75" s="213">
        <v>0</v>
      </c>
      <c r="AS75" s="213">
        <v>0</v>
      </c>
      <c r="AT75" s="213">
        <v>0</v>
      </c>
      <c r="AU75" s="213">
        <v>0</v>
      </c>
      <c r="AV75" s="213">
        <v>0</v>
      </c>
      <c r="AW75" s="213">
        <v>0</v>
      </c>
      <c r="AX75" s="213">
        <v>0</v>
      </c>
      <c r="AY75" s="213">
        <v>0</v>
      </c>
      <c r="AZ75" s="213">
        <v>0</v>
      </c>
      <c r="BA75" s="213">
        <v>0</v>
      </c>
      <c r="BB75" s="213">
        <v>0</v>
      </c>
      <c r="BC75" s="213">
        <v>0</v>
      </c>
    </row>
    <row r="76" spans="1:55" x14ac:dyDescent="0.25">
      <c r="A76" s="209" t="s">
        <v>374</v>
      </c>
      <c r="B76" s="210" t="s">
        <v>386</v>
      </c>
      <c r="C76" t="s">
        <v>376</v>
      </c>
      <c r="D76" t="s">
        <v>387</v>
      </c>
      <c r="E76" t="s">
        <v>499</v>
      </c>
      <c r="F76" s="211">
        <v>7000</v>
      </c>
      <c r="G76" t="s">
        <v>388</v>
      </c>
      <c r="H76" s="213">
        <v>112853.75</v>
      </c>
      <c r="I76" s="213">
        <v>118497.70000000001</v>
      </c>
      <c r="J76" s="213">
        <v>118633.53</v>
      </c>
      <c r="K76" s="213">
        <v>143435.92000000001</v>
      </c>
      <c r="L76" s="213">
        <v>165324.09</v>
      </c>
      <c r="M76" s="213">
        <v>173344.87</v>
      </c>
      <c r="N76" s="213">
        <v>182918.61</v>
      </c>
      <c r="O76" s="213">
        <v>194247.62</v>
      </c>
      <c r="P76" s="213">
        <v>204345.93</v>
      </c>
      <c r="Q76" s="213">
        <v>211935.21</v>
      </c>
      <c r="R76" s="213">
        <v>212462.15999999997</v>
      </c>
      <c r="S76" s="213">
        <v>223385.66999999998</v>
      </c>
      <c r="T76" s="213">
        <v>235347.77000000002</v>
      </c>
      <c r="U76" s="213">
        <v>242871.86</v>
      </c>
      <c r="V76" s="213">
        <v>255690.01</v>
      </c>
      <c r="W76" s="213">
        <v>295021.04000000004</v>
      </c>
      <c r="X76" s="213">
        <v>293163.58</v>
      </c>
      <c r="Y76" s="213">
        <v>311119.53000000003</v>
      </c>
      <c r="Z76" s="213">
        <v>341028.02</v>
      </c>
      <c r="AA76" s="213">
        <v>352470.87</v>
      </c>
      <c r="AB76" s="213">
        <v>373476.92</v>
      </c>
      <c r="AC76" s="213">
        <v>383877.61000000004</v>
      </c>
      <c r="AD76" s="213">
        <v>422354.29</v>
      </c>
      <c r="AE76" s="213">
        <v>442820.3</v>
      </c>
      <c r="AF76" s="213">
        <v>465963.33000000007</v>
      </c>
      <c r="AG76" s="213">
        <v>453520.75</v>
      </c>
      <c r="AH76" s="213">
        <v>447269.99</v>
      </c>
      <c r="AI76" s="213">
        <v>517063.33999999997</v>
      </c>
      <c r="AJ76" s="213">
        <v>436926.13</v>
      </c>
      <c r="AK76" s="213">
        <v>430516.99</v>
      </c>
      <c r="AL76" s="213">
        <v>483012.17</v>
      </c>
      <c r="AM76" s="213">
        <v>491153.93</v>
      </c>
      <c r="AN76" s="213">
        <v>510089.2</v>
      </c>
      <c r="AO76" s="213">
        <v>550245.1</v>
      </c>
      <c r="AP76" s="213">
        <v>551773.23</v>
      </c>
      <c r="AQ76" s="213">
        <v>549836.04</v>
      </c>
      <c r="AR76" s="213">
        <v>639773.71</v>
      </c>
      <c r="AS76" s="213">
        <v>685054.13</v>
      </c>
      <c r="AT76" s="213">
        <v>735560.16999999993</v>
      </c>
      <c r="AU76" s="213">
        <v>842532.5</v>
      </c>
      <c r="AV76" s="213">
        <v>917195.17883418838</v>
      </c>
      <c r="AW76" s="213">
        <v>881024.94482492923</v>
      </c>
      <c r="AX76" s="213">
        <v>930585.14011438633</v>
      </c>
      <c r="AY76" s="213">
        <v>945924.65048475668</v>
      </c>
      <c r="AZ76" s="213">
        <v>945924.65048475668</v>
      </c>
      <c r="BA76" s="213">
        <v>971397.75549900322</v>
      </c>
      <c r="BB76" s="213">
        <v>996574.91010779922</v>
      </c>
      <c r="BC76" s="213">
        <v>1002523.9989966882</v>
      </c>
    </row>
    <row r="77" spans="1:55" x14ac:dyDescent="0.25">
      <c r="A77" s="209" t="s">
        <v>374</v>
      </c>
      <c r="B77" s="210" t="s">
        <v>386</v>
      </c>
      <c r="C77" t="s">
        <v>376</v>
      </c>
      <c r="D77" t="s">
        <v>387</v>
      </c>
      <c r="E77" t="s">
        <v>499</v>
      </c>
      <c r="F77" s="211">
        <v>6100</v>
      </c>
      <c r="G77" t="s">
        <v>389</v>
      </c>
      <c r="H77" s="213">
        <v>23551.9</v>
      </c>
      <c r="I77" s="213">
        <v>17410.329999999998</v>
      </c>
      <c r="J77" s="213">
        <v>20030.39</v>
      </c>
      <c r="K77" s="213">
        <v>25517.73</v>
      </c>
      <c r="L77" s="213">
        <v>25986.03</v>
      </c>
      <c r="M77" s="213">
        <v>26189.37</v>
      </c>
      <c r="N77" s="213">
        <v>30371.58</v>
      </c>
      <c r="O77" s="213">
        <v>28408.36</v>
      </c>
      <c r="P77" s="213">
        <v>28865.08</v>
      </c>
      <c r="Q77" s="213">
        <v>32036.62</v>
      </c>
      <c r="R77" s="213">
        <v>29350.17</v>
      </c>
      <c r="S77" s="213">
        <v>46118.1</v>
      </c>
      <c r="T77" s="213">
        <v>37088.680000000008</v>
      </c>
      <c r="U77" s="213">
        <v>47377.4</v>
      </c>
      <c r="V77" s="213">
        <v>47176.580000000009</v>
      </c>
      <c r="W77" s="213">
        <v>58764.580000000009</v>
      </c>
      <c r="X77" s="213">
        <v>52604.409999999996</v>
      </c>
      <c r="Y77" s="213">
        <v>60676.310000000005</v>
      </c>
      <c r="Z77" s="213">
        <v>75965.149999999994</v>
      </c>
      <c r="AA77" s="213">
        <v>60091.380000000005</v>
      </c>
      <c r="AB77" s="213">
        <v>30236.519999999997</v>
      </c>
      <c r="AC77" s="213">
        <v>28407.699999999997</v>
      </c>
      <c r="AD77" s="213">
        <v>31935.729999999996</v>
      </c>
      <c r="AE77" s="213">
        <v>38420.800000000003</v>
      </c>
      <c r="AF77" s="213">
        <v>49739.97</v>
      </c>
      <c r="AG77" s="213">
        <v>36108.840000000004</v>
      </c>
      <c r="AH77" s="213">
        <v>41540.53</v>
      </c>
      <c r="AI77" s="213">
        <v>40748.009999999995</v>
      </c>
      <c r="AJ77" s="213">
        <v>35962.740000000005</v>
      </c>
      <c r="AK77" s="213">
        <v>34809.33</v>
      </c>
      <c r="AL77" s="213">
        <v>39057.53</v>
      </c>
      <c r="AM77" s="213">
        <v>42034.09</v>
      </c>
      <c r="AN77" s="213">
        <v>41568.28</v>
      </c>
      <c r="AO77" s="213">
        <v>42430.57</v>
      </c>
      <c r="AP77" s="213">
        <v>42416.76</v>
      </c>
      <c r="AQ77" s="213">
        <v>35277.81</v>
      </c>
      <c r="AR77" s="213">
        <v>63570.46</v>
      </c>
      <c r="AS77" s="213">
        <v>47008.07</v>
      </c>
      <c r="AT77" s="213">
        <v>69584.22</v>
      </c>
      <c r="AU77" s="213">
        <v>77522.38</v>
      </c>
      <c r="AV77" s="213">
        <v>80780.43954461535</v>
      </c>
      <c r="AW77" s="213">
        <v>79265.872877948685</v>
      </c>
      <c r="AX77" s="213">
        <v>82679.306395099367</v>
      </c>
      <c r="AY77" s="213">
        <v>83478.256395099364</v>
      </c>
      <c r="AZ77" s="213">
        <v>87555.969278805438</v>
      </c>
      <c r="BA77" s="213">
        <v>90398.850321825696</v>
      </c>
      <c r="BB77" s="213">
        <v>92927.001155159043</v>
      </c>
      <c r="BC77" s="213">
        <v>93762.77365515905</v>
      </c>
    </row>
    <row r="78" spans="1:55" x14ac:dyDescent="0.25">
      <c r="A78" s="209" t="s">
        <v>374</v>
      </c>
      <c r="B78" s="210" t="s">
        <v>386</v>
      </c>
      <c r="C78" t="s">
        <v>376</v>
      </c>
      <c r="D78" t="s">
        <v>387</v>
      </c>
      <c r="E78" t="s">
        <v>499</v>
      </c>
      <c r="F78" s="211">
        <v>6210</v>
      </c>
      <c r="G78" t="s">
        <v>390</v>
      </c>
      <c r="H78" s="213">
        <v>16841.13</v>
      </c>
      <c r="I78" s="213">
        <v>14247</v>
      </c>
      <c r="J78" s="213">
        <v>17546</v>
      </c>
      <c r="K78" s="213">
        <v>27868.240000000002</v>
      </c>
      <c r="L78" s="213">
        <v>14410</v>
      </c>
      <c r="M78" s="213">
        <v>19889</v>
      </c>
      <c r="N78" s="213">
        <v>25118.91</v>
      </c>
      <c r="O78" s="213">
        <v>21365</v>
      </c>
      <c r="P78" s="213">
        <v>18027.919999999998</v>
      </c>
      <c r="Q78" s="213">
        <v>33239.74</v>
      </c>
      <c r="R78" s="213">
        <v>19708.330000000002</v>
      </c>
      <c r="S78" s="213">
        <v>37564.49</v>
      </c>
      <c r="T78" s="213">
        <v>35314.799999999996</v>
      </c>
      <c r="U78" s="213">
        <v>31696.230000000003</v>
      </c>
      <c r="V78" s="213">
        <v>36570.11</v>
      </c>
      <c r="W78" s="213">
        <v>12790.149999999998</v>
      </c>
      <c r="X78" s="213">
        <v>38717.29</v>
      </c>
      <c r="Y78" s="213">
        <v>48188.03</v>
      </c>
      <c r="Z78" s="213">
        <v>53166.010000000009</v>
      </c>
      <c r="AA78" s="213">
        <v>43765.11</v>
      </c>
      <c r="AB78" s="213">
        <v>103564.23</v>
      </c>
      <c r="AC78" s="213">
        <v>79927.25</v>
      </c>
      <c r="AD78" s="213">
        <v>85113.05</v>
      </c>
      <c r="AE78" s="213">
        <v>81531.799999999988</v>
      </c>
      <c r="AF78" s="213">
        <v>95560.48</v>
      </c>
      <c r="AG78" s="213">
        <v>64969.54</v>
      </c>
      <c r="AH78" s="213">
        <v>37547.07</v>
      </c>
      <c r="AI78" s="213">
        <v>68184.849999999991</v>
      </c>
      <c r="AJ78" s="213">
        <v>61985.25</v>
      </c>
      <c r="AK78" s="213">
        <v>69081.210000000006</v>
      </c>
      <c r="AL78" s="213">
        <v>64692.36</v>
      </c>
      <c r="AM78" s="213">
        <v>92783.52</v>
      </c>
      <c r="AN78" s="213">
        <v>95156.91</v>
      </c>
      <c r="AO78" s="213">
        <v>79379.739999999991</v>
      </c>
      <c r="AP78" s="213">
        <v>-1253.76</v>
      </c>
      <c r="AQ78" s="213">
        <v>165098.28</v>
      </c>
      <c r="AR78" s="213">
        <v>129101.44</v>
      </c>
      <c r="AS78" s="213">
        <v>103601.39</v>
      </c>
      <c r="AT78" s="213">
        <v>255949.82</v>
      </c>
      <c r="AU78" s="213">
        <v>206537.58999999997</v>
      </c>
      <c r="AV78" s="213">
        <v>191012.01802905978</v>
      </c>
      <c r="AW78" s="213">
        <v>181949.31605100422</v>
      </c>
      <c r="AX78" s="213">
        <v>209774.53582262769</v>
      </c>
      <c r="AY78" s="213">
        <v>212579.36511325734</v>
      </c>
      <c r="AZ78" s="213">
        <v>224724.62702005281</v>
      </c>
      <c r="BA78" s="213">
        <v>229321.42603750899</v>
      </c>
      <c r="BB78" s="213">
        <v>234259.19656664104</v>
      </c>
      <c r="BC78" s="213">
        <v>235165.48920552991</v>
      </c>
    </row>
    <row r="79" spans="1:55" x14ac:dyDescent="0.25">
      <c r="A79" s="209" t="s">
        <v>374</v>
      </c>
      <c r="B79" s="210" t="s">
        <v>386</v>
      </c>
      <c r="C79" t="s">
        <v>376</v>
      </c>
      <c r="D79" t="s">
        <v>387</v>
      </c>
      <c r="E79" t="s">
        <v>499</v>
      </c>
      <c r="F79" s="211">
        <v>6112</v>
      </c>
      <c r="G79" t="s">
        <v>391</v>
      </c>
      <c r="H79" s="213">
        <v>0</v>
      </c>
      <c r="I79" s="213">
        <v>0</v>
      </c>
      <c r="J79" s="213">
        <v>0</v>
      </c>
      <c r="K79" s="213">
        <v>0</v>
      </c>
      <c r="L79" s="213">
        <v>0</v>
      </c>
      <c r="M79" s="213">
        <v>0</v>
      </c>
      <c r="N79" s="213">
        <v>0</v>
      </c>
      <c r="O79" s="213">
        <v>0</v>
      </c>
      <c r="P79" s="213">
        <v>0</v>
      </c>
      <c r="Q79" s="213">
        <v>0</v>
      </c>
      <c r="R79" s="213">
        <v>0</v>
      </c>
      <c r="S79" s="213">
        <v>0</v>
      </c>
      <c r="T79" s="213">
        <v>0</v>
      </c>
      <c r="U79" s="213">
        <v>0</v>
      </c>
      <c r="V79" s="213">
        <v>0</v>
      </c>
      <c r="W79" s="213">
        <v>0</v>
      </c>
      <c r="X79" s="213">
        <v>0</v>
      </c>
      <c r="Y79" s="213">
        <v>0</v>
      </c>
      <c r="Z79" s="213">
        <v>0</v>
      </c>
      <c r="AA79" s="213">
        <v>0</v>
      </c>
      <c r="AB79" s="213">
        <v>32320.519999999997</v>
      </c>
      <c r="AC79" s="213">
        <v>39729.279999999999</v>
      </c>
      <c r="AD79" s="213">
        <v>38311.21</v>
      </c>
      <c r="AE79" s="213">
        <v>44000.99</v>
      </c>
      <c r="AF79" s="213">
        <v>71968.81</v>
      </c>
      <c r="AG79" s="213">
        <v>40526.639999999999</v>
      </c>
      <c r="AH79" s="213">
        <v>41303.72</v>
      </c>
      <c r="AI79" s="213">
        <v>58394.899999999994</v>
      </c>
      <c r="AJ79" s="213">
        <v>39285.620000000003</v>
      </c>
      <c r="AK79" s="213">
        <v>38527.07</v>
      </c>
      <c r="AL79" s="213">
        <v>57601.13</v>
      </c>
      <c r="AM79" s="213">
        <v>43884.090000000004</v>
      </c>
      <c r="AN79" s="213">
        <v>41785.380000000005</v>
      </c>
      <c r="AO79" s="213">
        <v>9118.1999999999989</v>
      </c>
      <c r="AP79" s="213">
        <v>37038.370000000003</v>
      </c>
      <c r="AQ79" s="213">
        <v>51114.44</v>
      </c>
      <c r="AR79" s="213">
        <v>77847.700000000012</v>
      </c>
      <c r="AS79" s="213">
        <v>62480.25</v>
      </c>
      <c r="AT79" s="213">
        <v>67674.53</v>
      </c>
      <c r="AU79" s="213">
        <v>129249.63000000002</v>
      </c>
      <c r="AV79" s="213">
        <v>78843.053954415125</v>
      </c>
      <c r="AW79" s="213">
        <v>68830.428538485605</v>
      </c>
      <c r="AX79" s="213">
        <v>69744.657932002898</v>
      </c>
      <c r="AY79" s="213">
        <v>71002.904627659722</v>
      </c>
      <c r="AZ79" s="213">
        <v>73312.437609610934</v>
      </c>
      <c r="BA79" s="213">
        <v>65031.184817389971</v>
      </c>
      <c r="BB79" s="213">
        <v>63525.3154338799</v>
      </c>
      <c r="BC79" s="213">
        <v>98281.529256024995</v>
      </c>
    </row>
    <row r="80" spans="1:55" x14ac:dyDescent="0.25">
      <c r="A80" s="209" t="s">
        <v>374</v>
      </c>
      <c r="B80" s="210" t="s">
        <v>386</v>
      </c>
      <c r="C80" t="s">
        <v>376</v>
      </c>
      <c r="D80" t="s">
        <v>387</v>
      </c>
      <c r="E80" t="s">
        <v>500</v>
      </c>
      <c r="F80" s="211">
        <v>6250</v>
      </c>
      <c r="G80" t="s">
        <v>392</v>
      </c>
      <c r="H80" s="213">
        <v>5331</v>
      </c>
      <c r="I80" s="213">
        <v>0</v>
      </c>
      <c r="J80" s="213">
        <v>772</v>
      </c>
      <c r="K80" s="213">
        <v>0</v>
      </c>
      <c r="L80" s="213">
        <v>0</v>
      </c>
      <c r="M80" s="213">
        <v>0</v>
      </c>
      <c r="N80" s="213">
        <v>23571.8</v>
      </c>
      <c r="O80" s="213">
        <v>22000</v>
      </c>
      <c r="P80" s="213">
        <v>22000</v>
      </c>
      <c r="Q80" s="213">
        <v>0</v>
      </c>
      <c r="R80" s="213">
        <v>0</v>
      </c>
      <c r="S80" s="213">
        <v>0</v>
      </c>
      <c r="T80" s="213">
        <v>0</v>
      </c>
      <c r="U80" s="213">
        <v>0</v>
      </c>
      <c r="V80" s="213">
        <v>902</v>
      </c>
      <c r="W80" s="213">
        <v>0</v>
      </c>
      <c r="X80" s="213">
        <v>0</v>
      </c>
      <c r="Y80" s="213">
        <v>0</v>
      </c>
      <c r="Z80" s="213">
        <v>0</v>
      </c>
      <c r="AA80" s="213">
        <v>0</v>
      </c>
      <c r="AB80" s="213">
        <v>0</v>
      </c>
      <c r="AC80" s="213">
        <v>0</v>
      </c>
      <c r="AD80" s="213">
        <v>0</v>
      </c>
      <c r="AE80" s="213">
        <v>0</v>
      </c>
      <c r="AF80" s="213">
        <v>0</v>
      </c>
      <c r="AG80" s="213">
        <v>0</v>
      </c>
      <c r="AH80" s="213">
        <v>0</v>
      </c>
      <c r="AI80" s="213">
        <v>0</v>
      </c>
      <c r="AJ80" s="213">
        <v>0</v>
      </c>
      <c r="AK80" s="213">
        <v>0</v>
      </c>
      <c r="AL80" s="213">
        <v>0</v>
      </c>
      <c r="AM80" s="213">
        <v>0</v>
      </c>
      <c r="AN80" s="213">
        <v>0</v>
      </c>
      <c r="AO80" s="213">
        <v>0</v>
      </c>
      <c r="AP80" s="213">
        <v>0</v>
      </c>
      <c r="AQ80" s="213">
        <v>20000</v>
      </c>
      <c r="AR80" s="213">
        <v>20000</v>
      </c>
      <c r="AS80" s="213">
        <v>20000</v>
      </c>
      <c r="AT80" s="213">
        <v>0</v>
      </c>
      <c r="AU80" s="213">
        <v>0</v>
      </c>
      <c r="AV80" s="213">
        <v>0</v>
      </c>
      <c r="AW80" s="213">
        <v>0</v>
      </c>
      <c r="AX80" s="213">
        <v>0</v>
      </c>
      <c r="AY80" s="213">
        <v>0</v>
      </c>
      <c r="AZ80" s="213">
        <v>0</v>
      </c>
      <c r="BA80" s="213">
        <v>0</v>
      </c>
      <c r="BB80" s="213">
        <v>0</v>
      </c>
      <c r="BC80" s="213">
        <v>0</v>
      </c>
    </row>
    <row r="81" spans="1:55" x14ac:dyDescent="0.25">
      <c r="A81" s="209" t="s">
        <v>374</v>
      </c>
      <c r="B81" s="210" t="s">
        <v>386</v>
      </c>
      <c r="C81" t="s">
        <v>376</v>
      </c>
      <c r="D81" t="s">
        <v>387</v>
      </c>
      <c r="E81" t="s">
        <v>499</v>
      </c>
      <c r="F81" s="211">
        <v>6350</v>
      </c>
      <c r="G81" t="s">
        <v>393</v>
      </c>
      <c r="H81" s="213">
        <v>0</v>
      </c>
      <c r="I81" s="213">
        <v>0</v>
      </c>
      <c r="J81" s="213">
        <v>0</v>
      </c>
      <c r="K81" s="213">
        <v>0</v>
      </c>
      <c r="L81" s="213">
        <v>0</v>
      </c>
      <c r="M81" s="213">
        <v>104.86</v>
      </c>
      <c r="N81" s="213">
        <v>167.64</v>
      </c>
      <c r="O81" s="213">
        <v>109.69</v>
      </c>
      <c r="P81" s="213">
        <v>0</v>
      </c>
      <c r="Q81" s="213">
        <v>762.43</v>
      </c>
      <c r="R81" s="213">
        <v>714.94</v>
      </c>
      <c r="S81" s="213">
        <v>742.88</v>
      </c>
      <c r="T81" s="213">
        <v>717</v>
      </c>
      <c r="U81" s="213">
        <v>1280.26</v>
      </c>
      <c r="V81" s="213">
        <v>697.14</v>
      </c>
      <c r="W81" s="213">
        <v>685</v>
      </c>
      <c r="X81" s="213">
        <v>714.35</v>
      </c>
      <c r="Y81" s="213">
        <v>685</v>
      </c>
      <c r="Z81" s="213">
        <v>685</v>
      </c>
      <c r="AA81" s="213">
        <v>720.8</v>
      </c>
      <c r="AB81" s="213">
        <v>685</v>
      </c>
      <c r="AC81" s="213">
        <v>1312.28</v>
      </c>
      <c r="AD81" s="213">
        <v>16.11</v>
      </c>
      <c r="AE81" s="213">
        <v>0</v>
      </c>
      <c r="AF81" s="213">
        <v>1520.56</v>
      </c>
      <c r="AG81" s="213">
        <v>1147.92</v>
      </c>
      <c r="AH81" s="213">
        <v>1496.92</v>
      </c>
      <c r="AI81" s="213">
        <v>1147.92</v>
      </c>
      <c r="AJ81" s="213">
        <v>1147.92</v>
      </c>
      <c r="AK81" s="213">
        <v>1147.92</v>
      </c>
      <c r="AL81" s="213">
        <v>1147.92</v>
      </c>
      <c r="AM81" s="213">
        <v>1147.92</v>
      </c>
      <c r="AN81" s="213">
        <v>1147.92</v>
      </c>
      <c r="AO81" s="213">
        <v>1147.92</v>
      </c>
      <c r="AP81" s="213">
        <v>1256.32</v>
      </c>
      <c r="AQ81" s="213">
        <v>1147.8800000000001</v>
      </c>
      <c r="AR81" s="213">
        <v>0</v>
      </c>
      <c r="AS81" s="213">
        <v>15</v>
      </c>
      <c r="AT81" s="213">
        <v>57.9</v>
      </c>
      <c r="AU81" s="213">
        <v>24.12</v>
      </c>
      <c r="AV81" s="213">
        <v>5666.666666666667</v>
      </c>
      <c r="AW81" s="213">
        <v>5800</v>
      </c>
      <c r="AX81" s="213">
        <v>6200</v>
      </c>
      <c r="AY81" s="213">
        <v>6266.666666666667</v>
      </c>
      <c r="AZ81" s="213">
        <v>6266.666666666667</v>
      </c>
      <c r="BA81" s="213">
        <v>6466.666666666667</v>
      </c>
      <c r="BB81" s="213">
        <v>6733.333333333333</v>
      </c>
      <c r="BC81" s="213">
        <v>6800</v>
      </c>
    </row>
    <row r="82" spans="1:55" x14ac:dyDescent="0.25">
      <c r="A82" s="209" t="s">
        <v>374</v>
      </c>
      <c r="B82" s="210" t="s">
        <v>386</v>
      </c>
      <c r="C82" t="s">
        <v>376</v>
      </c>
      <c r="D82" t="s">
        <v>387</v>
      </c>
      <c r="E82" t="s">
        <v>500</v>
      </c>
      <c r="F82" s="211">
        <v>7050</v>
      </c>
      <c r="G82" t="s">
        <v>394</v>
      </c>
      <c r="H82" s="213">
        <v>9493.36</v>
      </c>
      <c r="I82" s="213">
        <v>7278.97</v>
      </c>
      <c r="J82" s="213">
        <v>8203.5</v>
      </c>
      <c r="K82" s="213">
        <v>7051.67</v>
      </c>
      <c r="L82" s="213">
        <v>10554.04</v>
      </c>
      <c r="M82" s="213">
        <v>7171.61</v>
      </c>
      <c r="N82" s="213">
        <v>8821.07</v>
      </c>
      <c r="O82" s="213">
        <v>8590.08</v>
      </c>
      <c r="P82" s="213">
        <v>8441.09</v>
      </c>
      <c r="Q82" s="213">
        <v>9492.7999999999993</v>
      </c>
      <c r="R82" s="213">
        <v>9883.7199999999993</v>
      </c>
      <c r="S82" s="213">
        <v>9913.98</v>
      </c>
      <c r="T82" s="213">
        <v>10349.41</v>
      </c>
      <c r="U82" s="213">
        <v>12091.17</v>
      </c>
      <c r="V82" s="213">
        <v>9380.9499999999989</v>
      </c>
      <c r="W82" s="213">
        <v>10140.67</v>
      </c>
      <c r="X82" s="213">
        <v>8540.09</v>
      </c>
      <c r="Y82" s="213">
        <v>24697.74</v>
      </c>
      <c r="Z82" s="213">
        <v>9849.58</v>
      </c>
      <c r="AA82" s="213">
        <v>6176.95</v>
      </c>
      <c r="AB82" s="213">
        <v>5939.9699999999993</v>
      </c>
      <c r="AC82" s="213">
        <v>18916.96</v>
      </c>
      <c r="AD82" s="213">
        <v>10778.94</v>
      </c>
      <c r="AE82" s="213">
        <v>-22709.5</v>
      </c>
      <c r="AF82" s="213">
        <v>5341.15</v>
      </c>
      <c r="AG82" s="213">
        <v>6531.93</v>
      </c>
      <c r="AH82" s="213">
        <v>6207.6900000000005</v>
      </c>
      <c r="AI82" s="213">
        <v>8564.6099999999988</v>
      </c>
      <c r="AJ82" s="213">
        <v>7234.18</v>
      </c>
      <c r="AK82" s="213">
        <v>6946.17</v>
      </c>
      <c r="AL82" s="213">
        <v>7501.02</v>
      </c>
      <c r="AM82" s="213">
        <v>7501.02</v>
      </c>
      <c r="AN82" s="213">
        <v>6126.1</v>
      </c>
      <c r="AO82" s="213">
        <v>7517.9000000000005</v>
      </c>
      <c r="AP82" s="213">
        <v>8422.51</v>
      </c>
      <c r="AQ82" s="213">
        <v>9762.2100000000009</v>
      </c>
      <c r="AR82" s="213">
        <v>7286.7300000000005</v>
      </c>
      <c r="AS82" s="213">
        <v>18241.8</v>
      </c>
      <c r="AT82" s="213">
        <v>17937.810000000001</v>
      </c>
      <c r="AU82" s="213">
        <v>15965.68</v>
      </c>
      <c r="AV82" s="213">
        <v>16963.535</v>
      </c>
      <c r="AW82" s="213">
        <v>17362.677</v>
      </c>
      <c r="AX82" s="213">
        <v>18560.102999999999</v>
      </c>
      <c r="AY82" s="213">
        <v>18759.673999999999</v>
      </c>
      <c r="AZ82" s="213">
        <v>18759.673999999999</v>
      </c>
      <c r="BA82" s="213">
        <v>19358.386999999999</v>
      </c>
      <c r="BB82" s="213">
        <v>20156.670999999998</v>
      </c>
      <c r="BC82" s="213">
        <v>20356.241999999998</v>
      </c>
    </row>
    <row r="83" spans="1:55" x14ac:dyDescent="0.25">
      <c r="A83" s="209" t="s">
        <v>374</v>
      </c>
      <c r="B83" s="210" t="s">
        <v>386</v>
      </c>
      <c r="C83" t="s">
        <v>376</v>
      </c>
      <c r="D83" t="s">
        <v>387</v>
      </c>
      <c r="E83" t="s">
        <v>500</v>
      </c>
      <c r="F83" s="211">
        <v>6400</v>
      </c>
      <c r="G83" t="s">
        <v>395</v>
      </c>
      <c r="H83" s="213">
        <v>543.83000000000004</v>
      </c>
      <c r="I83" s="213">
        <v>145.61000000000001</v>
      </c>
      <c r="J83" s="213">
        <v>1514.85</v>
      </c>
      <c r="K83" s="213">
        <v>1119.43</v>
      </c>
      <c r="L83" s="213">
        <v>289.04000000000002</v>
      </c>
      <c r="M83" s="213">
        <v>548.16999999999996</v>
      </c>
      <c r="N83" s="213">
        <v>882.7</v>
      </c>
      <c r="O83" s="213">
        <v>266.08</v>
      </c>
      <c r="P83" s="213">
        <v>1245.93</v>
      </c>
      <c r="Q83" s="213">
        <v>133.09</v>
      </c>
      <c r="R83" s="213">
        <v>2169.34</v>
      </c>
      <c r="S83" s="213">
        <v>380.4</v>
      </c>
      <c r="T83" s="213">
        <v>3167.26</v>
      </c>
      <c r="U83" s="213">
        <v>1746.8799999999999</v>
      </c>
      <c r="V83" s="213">
        <v>1226</v>
      </c>
      <c r="W83" s="213">
        <v>1658.39</v>
      </c>
      <c r="X83" s="213">
        <v>1485.8500000000001</v>
      </c>
      <c r="Y83" s="213">
        <v>2018.67</v>
      </c>
      <c r="Z83" s="213">
        <v>2176.33</v>
      </c>
      <c r="AA83" s="213">
        <v>1476.59</v>
      </c>
      <c r="AB83" s="213">
        <v>1425.6100000000001</v>
      </c>
      <c r="AC83" s="213">
        <v>1263.27</v>
      </c>
      <c r="AD83" s="213">
        <v>1621.62</v>
      </c>
      <c r="AE83" s="213">
        <v>3371.54</v>
      </c>
      <c r="AF83" s="213">
        <v>3847.9799999999996</v>
      </c>
      <c r="AG83" s="213">
        <v>3365.77</v>
      </c>
      <c r="AH83" s="213">
        <v>893.08</v>
      </c>
      <c r="AI83" s="213">
        <v>0</v>
      </c>
      <c r="AJ83" s="213">
        <v>393.76</v>
      </c>
      <c r="AK83" s="213">
        <v>0</v>
      </c>
      <c r="AL83" s="213">
        <v>0</v>
      </c>
      <c r="AM83" s="213">
        <v>565.87</v>
      </c>
      <c r="AN83" s="213">
        <v>71.400000000000006</v>
      </c>
      <c r="AO83" s="213">
        <v>1299.6500000000001</v>
      </c>
      <c r="AP83" s="213">
        <v>878.2</v>
      </c>
      <c r="AQ83" s="213">
        <v>5512.85</v>
      </c>
      <c r="AR83" s="213">
        <v>420.8</v>
      </c>
      <c r="AS83" s="213">
        <v>119.69</v>
      </c>
      <c r="AT83" s="213">
        <v>949.93999999999994</v>
      </c>
      <c r="AU83" s="213">
        <v>508.26</v>
      </c>
      <c r="AV83" s="213">
        <v>2833.3333333333335</v>
      </c>
      <c r="AW83" s="213">
        <v>2900</v>
      </c>
      <c r="AX83" s="213">
        <v>3100</v>
      </c>
      <c r="AY83" s="213">
        <v>3133.3333333333335</v>
      </c>
      <c r="AZ83" s="213">
        <v>3133.3333333333335</v>
      </c>
      <c r="BA83" s="213">
        <v>3233.3333333333335</v>
      </c>
      <c r="BB83" s="213">
        <v>3366.6666666666665</v>
      </c>
      <c r="BC83" s="213">
        <v>3400</v>
      </c>
    </row>
    <row r="84" spans="1:55" x14ac:dyDescent="0.25">
      <c r="A84" s="209" t="s">
        <v>374</v>
      </c>
      <c r="B84" s="210" t="s">
        <v>396</v>
      </c>
      <c r="C84" t="s">
        <v>376</v>
      </c>
      <c r="D84" t="s">
        <v>387</v>
      </c>
      <c r="E84" t="s">
        <v>500</v>
      </c>
      <c r="F84" s="211">
        <v>7150</v>
      </c>
      <c r="G84" t="s">
        <v>397</v>
      </c>
      <c r="H84" s="213">
        <v>2847.75</v>
      </c>
      <c r="I84" s="213">
        <v>8367.99</v>
      </c>
      <c r="J84" s="213">
        <v>18037.73</v>
      </c>
      <c r="K84" s="213">
        <v>16809.27</v>
      </c>
      <c r="L84" s="213">
        <v>18149.32</v>
      </c>
      <c r="M84" s="213">
        <v>20843.97</v>
      </c>
      <c r="N84" s="213">
        <v>11580.930000000002</v>
      </c>
      <c r="O84" s="213">
        <v>18634.55</v>
      </c>
      <c r="P84" s="213">
        <v>13620.51</v>
      </c>
      <c r="Q84" s="213">
        <v>23127.54</v>
      </c>
      <c r="R84" s="213">
        <v>11303.88</v>
      </c>
      <c r="S84" s="213">
        <v>16297.51</v>
      </c>
      <c r="T84" s="213">
        <v>4411.49</v>
      </c>
      <c r="U84" s="213">
        <v>17965.810000000001</v>
      </c>
      <c r="V84" s="213">
        <v>17210.91</v>
      </c>
      <c r="W84" s="213">
        <v>35174.78</v>
      </c>
      <c r="X84" s="213">
        <v>37168.370000000003</v>
      </c>
      <c r="Y84" s="213">
        <v>36685.82</v>
      </c>
      <c r="Z84" s="213">
        <v>39789.019999999997</v>
      </c>
      <c r="AA84" s="213">
        <v>52263.8</v>
      </c>
      <c r="AB84" s="213">
        <v>40998.03</v>
      </c>
      <c r="AC84" s="213">
        <v>49612.579999999994</v>
      </c>
      <c r="AD84" s="213">
        <v>26967.980000000003</v>
      </c>
      <c r="AE84" s="213">
        <v>23076.489999999998</v>
      </c>
      <c r="AF84" s="213">
        <v>52483.24</v>
      </c>
      <c r="AG84" s="213">
        <v>6541.6200000000008</v>
      </c>
      <c r="AH84" s="213">
        <v>-2171.67</v>
      </c>
      <c r="AI84" s="213">
        <v>108.32</v>
      </c>
      <c r="AJ84" s="213">
        <v>-1232.8</v>
      </c>
      <c r="AK84" s="213">
        <v>2550.9499999999998</v>
      </c>
      <c r="AL84" s="213">
        <v>78.47</v>
      </c>
      <c r="AM84" s="213">
        <v>29.28</v>
      </c>
      <c r="AN84" s="213">
        <v>0</v>
      </c>
      <c r="AO84" s="213">
        <v>477.96999999999997</v>
      </c>
      <c r="AP84" s="213">
        <v>4787.38</v>
      </c>
      <c r="AQ84" s="213">
        <v>-1825.91</v>
      </c>
      <c r="AR84" s="213">
        <v>2772.87</v>
      </c>
      <c r="AS84" s="213">
        <v>2790.3500000000004</v>
      </c>
      <c r="AT84" s="213">
        <v>3594.66</v>
      </c>
      <c r="AU84" s="213">
        <v>5202.83</v>
      </c>
      <c r="AV84" s="213">
        <v>5000</v>
      </c>
      <c r="AW84" s="213">
        <v>12000</v>
      </c>
      <c r="AX84" s="213">
        <v>5000</v>
      </c>
      <c r="AY84" s="213">
        <v>5053.7634408602153</v>
      </c>
      <c r="AZ84" s="213">
        <v>5053.7634408602153</v>
      </c>
      <c r="BA84" s="213">
        <v>5215.0537634408602</v>
      </c>
      <c r="BB84" s="213">
        <v>5430.1075268817203</v>
      </c>
      <c r="BC84" s="213">
        <v>5483.8709677419356</v>
      </c>
    </row>
    <row r="85" spans="1:55" x14ac:dyDescent="0.25">
      <c r="A85" s="209" t="s">
        <v>374</v>
      </c>
      <c r="B85" s="210" t="s">
        <v>398</v>
      </c>
      <c r="C85" t="s">
        <v>376</v>
      </c>
      <c r="D85" t="s">
        <v>387</v>
      </c>
      <c r="E85" t="s">
        <v>506</v>
      </c>
      <c r="F85" s="211">
        <v>7900</v>
      </c>
      <c r="G85" t="s">
        <v>399</v>
      </c>
      <c r="H85" s="214">
        <v>-106860.78</v>
      </c>
      <c r="I85" s="214">
        <v>-100852.36</v>
      </c>
      <c r="J85" s="214">
        <v>-110564.17000000001</v>
      </c>
      <c r="K85" s="214">
        <v>-133950.21</v>
      </c>
      <c r="L85" s="214">
        <v>-143205.78</v>
      </c>
      <c r="M85" s="214">
        <v>-157520.69</v>
      </c>
      <c r="N85" s="214">
        <v>-175675.43</v>
      </c>
      <c r="O85" s="214">
        <v>-185074.61</v>
      </c>
      <c r="P85" s="214">
        <v>-203836.06</v>
      </c>
      <c r="Q85" s="214">
        <v>-196825.27</v>
      </c>
      <c r="R85" s="214">
        <v>-184189.28</v>
      </c>
      <c r="S85" s="214">
        <v>-209804.68</v>
      </c>
      <c r="T85" s="214">
        <v>-194354.16</v>
      </c>
      <c r="U85" s="214">
        <v>-215421.56</v>
      </c>
      <c r="V85" s="214">
        <v>-243863.85</v>
      </c>
      <c r="W85" s="214">
        <v>-262540.19</v>
      </c>
      <c r="X85" s="214">
        <v>-262729.43</v>
      </c>
      <c r="Y85" s="214">
        <v>-321698.32</v>
      </c>
      <c r="Z85" s="214">
        <v>-327123.38</v>
      </c>
      <c r="AA85" s="214">
        <v>-311499.24</v>
      </c>
      <c r="AB85" s="214">
        <v>-382860.33999999997</v>
      </c>
      <c r="AC85" s="214">
        <v>-347066.83999999997</v>
      </c>
      <c r="AD85" s="214">
        <v>-349814.05</v>
      </c>
      <c r="AE85" s="214">
        <v>-575288.91</v>
      </c>
      <c r="AF85" s="214">
        <v>-372955.45999999996</v>
      </c>
      <c r="AG85" s="214">
        <v>-345391.51</v>
      </c>
      <c r="AH85" s="214">
        <v>-982389.92</v>
      </c>
      <c r="AI85" s="214">
        <v>-551135.66999999993</v>
      </c>
      <c r="AJ85" s="214">
        <v>-463558.66000000003</v>
      </c>
      <c r="AK85" s="214">
        <v>-569021.75600000005</v>
      </c>
      <c r="AL85" s="214">
        <v>-512899.85</v>
      </c>
      <c r="AM85" s="214">
        <v>-537798.38</v>
      </c>
      <c r="AN85" s="214">
        <v>-665989.29399999999</v>
      </c>
      <c r="AO85" s="214">
        <v>-530162.02</v>
      </c>
      <c r="AP85" s="214">
        <v>-496312.06</v>
      </c>
      <c r="AQ85" s="214">
        <v>-794307.91399999987</v>
      </c>
      <c r="AR85" s="214">
        <v>-629117.54</v>
      </c>
      <c r="AS85" s="214">
        <v>-712838.62</v>
      </c>
      <c r="AT85" s="214">
        <v>-962030.69000000006</v>
      </c>
      <c r="AU85" s="214">
        <v>-899397.79</v>
      </c>
      <c r="AV85" s="214">
        <v>-1103174.2599596323</v>
      </c>
      <c r="AW85" s="214">
        <v>-1065637.8938028542</v>
      </c>
      <c r="AX85" s="214">
        <v>-1132955.5774540862</v>
      </c>
      <c r="AY85" s="214">
        <v>-1149329.7654557074</v>
      </c>
      <c r="AZ85" s="214">
        <v>-1165152.0687837088</v>
      </c>
      <c r="BA85" s="214">
        <v>-1188735.7937582615</v>
      </c>
      <c r="BB85" s="214">
        <v>-1216974.0047775814</v>
      </c>
      <c r="BC85" s="214">
        <v>-1254837.7793599507</v>
      </c>
    </row>
    <row r="86" spans="1:55" x14ac:dyDescent="0.25">
      <c r="B86" s="210"/>
      <c r="H86" s="213">
        <v>64601.94</v>
      </c>
      <c r="I86" s="213">
        <v>65095.239999999976</v>
      </c>
      <c r="J86" s="213">
        <v>74173.829999999987</v>
      </c>
      <c r="K86" s="213">
        <v>87852.050000000017</v>
      </c>
      <c r="L86" s="213">
        <v>91506.74000000002</v>
      </c>
      <c r="M86" s="213">
        <v>90571.159999999974</v>
      </c>
      <c r="N86" s="213">
        <v>107757.81</v>
      </c>
      <c r="O86" s="213">
        <v>108546.77000000002</v>
      </c>
      <c r="P86" s="213">
        <v>92710.400000000023</v>
      </c>
      <c r="Q86" s="213">
        <v>113902.16</v>
      </c>
      <c r="R86" s="213">
        <v>101403.25999999998</v>
      </c>
      <c r="S86" s="213">
        <v>124598.34999999998</v>
      </c>
      <c r="T86" s="213">
        <v>132042.24999999997</v>
      </c>
      <c r="U86" s="213">
        <v>139608.04999999999</v>
      </c>
      <c r="V86" s="213">
        <v>124989.85</v>
      </c>
      <c r="W86" s="213">
        <v>151694.4200000001</v>
      </c>
      <c r="X86" s="213">
        <v>169664.50999999995</v>
      </c>
      <c r="Y86" s="213">
        <v>162372.77999999997</v>
      </c>
      <c r="Z86" s="213">
        <v>195535.7300000001</v>
      </c>
      <c r="AA86" s="213">
        <v>205466.26</v>
      </c>
      <c r="AB86" s="213">
        <v>205786.45999999996</v>
      </c>
      <c r="AC86" s="213">
        <v>255980.09000000008</v>
      </c>
      <c r="AD86" s="213">
        <v>267284.87999999983</v>
      </c>
      <c r="AE86" s="213">
        <v>35223.509999999893</v>
      </c>
      <c r="AF86" s="213">
        <v>373470.06000000017</v>
      </c>
      <c r="AG86" s="213">
        <v>267321.50000000012</v>
      </c>
      <c r="AH86" s="213">
        <v>-408302.5900000002</v>
      </c>
      <c r="AI86" s="213">
        <v>143076.28000000003</v>
      </c>
      <c r="AJ86" s="213">
        <v>118144.14000000001</v>
      </c>
      <c r="AK86" s="213">
        <v>14557.883999999962</v>
      </c>
      <c r="AL86" s="213">
        <v>140190.75</v>
      </c>
      <c r="AM86" s="213">
        <v>141301.34000000008</v>
      </c>
      <c r="AN86" s="213">
        <v>29955.896000000066</v>
      </c>
      <c r="AO86" s="213">
        <v>161455.02999999991</v>
      </c>
      <c r="AP86" s="213">
        <v>149006.9499999999</v>
      </c>
      <c r="AQ86" s="213">
        <v>41615.686000000103</v>
      </c>
      <c r="AR86" s="213">
        <v>311656.16999999981</v>
      </c>
      <c r="AS86" s="213">
        <v>226472.05999999994</v>
      </c>
      <c r="AT86" s="213">
        <v>189278.35999999975</v>
      </c>
      <c r="AU86" s="213">
        <v>378145.20000000019</v>
      </c>
      <c r="AV86" s="213">
        <v>195119.96540264622</v>
      </c>
      <c r="AW86" s="213">
        <v>183495.34548951359</v>
      </c>
      <c r="AX86" s="213">
        <v>192688.16581002995</v>
      </c>
      <c r="AY86" s="213">
        <v>196868.84860592615</v>
      </c>
      <c r="AZ86" s="213">
        <v>199579.05305037694</v>
      </c>
      <c r="BA86" s="213">
        <v>201686.86368090729</v>
      </c>
      <c r="BB86" s="213">
        <v>205999.19701277954</v>
      </c>
      <c r="BC86" s="213">
        <v>210936.12472119345</v>
      </c>
    </row>
    <row r="87" spans="1:55" x14ac:dyDescent="0.25">
      <c r="B87" s="210"/>
      <c r="H87" s="215">
        <v>0</v>
      </c>
      <c r="I87" s="215">
        <v>0</v>
      </c>
      <c r="J87" s="215">
        <v>0</v>
      </c>
      <c r="K87" s="215">
        <v>0</v>
      </c>
      <c r="L87" s="215">
        <v>0</v>
      </c>
      <c r="M87" s="215">
        <v>0</v>
      </c>
      <c r="N87" s="215">
        <v>0</v>
      </c>
      <c r="O87" s="215">
        <v>0</v>
      </c>
      <c r="P87" s="215">
        <v>0</v>
      </c>
      <c r="Q87" s="215">
        <v>0</v>
      </c>
      <c r="R87" s="215">
        <v>0</v>
      </c>
      <c r="S87" s="215">
        <v>0</v>
      </c>
      <c r="T87" s="215">
        <v>0</v>
      </c>
      <c r="U87" s="215">
        <v>0</v>
      </c>
      <c r="V87" s="215">
        <v>0</v>
      </c>
      <c r="W87" s="215">
        <v>0</v>
      </c>
      <c r="X87" s="215">
        <v>0</v>
      </c>
      <c r="Y87" s="215">
        <v>0</v>
      </c>
      <c r="Z87" s="215">
        <v>0</v>
      </c>
      <c r="AA87" s="215">
        <v>0</v>
      </c>
      <c r="AB87" s="215">
        <v>0</v>
      </c>
      <c r="AC87" s="215">
        <v>0</v>
      </c>
      <c r="AD87" s="215">
        <v>0</v>
      </c>
      <c r="AE87" s="215">
        <v>0</v>
      </c>
      <c r="AF87" s="215">
        <v>0</v>
      </c>
      <c r="AG87" s="215">
        <v>0</v>
      </c>
      <c r="AH87" s="215">
        <v>0</v>
      </c>
      <c r="AI87" s="215">
        <v>0</v>
      </c>
      <c r="AJ87" s="215">
        <v>0</v>
      </c>
      <c r="AK87" s="215">
        <v>0</v>
      </c>
      <c r="AL87" s="215">
        <v>0</v>
      </c>
      <c r="AM87" s="215">
        <v>0</v>
      </c>
      <c r="AN87" s="215">
        <v>0</v>
      </c>
      <c r="AO87" s="215">
        <v>0</v>
      </c>
      <c r="AP87" s="215">
        <v>0</v>
      </c>
      <c r="AQ87" s="215">
        <v>0</v>
      </c>
      <c r="AR87" s="215">
        <v>0</v>
      </c>
      <c r="AS87" s="215">
        <v>0</v>
      </c>
      <c r="AT87" s="215">
        <v>0</v>
      </c>
      <c r="AU87" s="215">
        <v>0</v>
      </c>
      <c r="AV87" s="215">
        <v>0</v>
      </c>
      <c r="AW87" s="215">
        <v>0</v>
      </c>
      <c r="AX87" s="215">
        <v>0</v>
      </c>
      <c r="AY87" s="215">
        <v>0</v>
      </c>
      <c r="AZ87" s="215">
        <v>0</v>
      </c>
      <c r="BA87" s="215">
        <v>0</v>
      </c>
      <c r="BB87" s="215">
        <v>0</v>
      </c>
      <c r="BC87" s="215">
        <v>0</v>
      </c>
    </row>
    <row r="88" spans="1:55" ht="15.75" x14ac:dyDescent="0.25">
      <c r="A88" s="206" t="s">
        <v>385</v>
      </c>
      <c r="B88" s="207"/>
      <c r="C88" s="206"/>
      <c r="D88" s="206"/>
      <c r="E88" s="206"/>
      <c r="F88" s="206"/>
      <c r="G88" s="206"/>
      <c r="H88" s="213">
        <v>0</v>
      </c>
      <c r="I88" s="213">
        <v>0</v>
      </c>
      <c r="J88" s="213">
        <v>0</v>
      </c>
      <c r="K88" s="213">
        <v>0</v>
      </c>
      <c r="L88" s="213">
        <v>0</v>
      </c>
      <c r="M88" s="213">
        <v>0</v>
      </c>
      <c r="N88" s="213">
        <v>0</v>
      </c>
      <c r="O88" s="213">
        <v>0</v>
      </c>
      <c r="P88" s="213">
        <v>0</v>
      </c>
      <c r="Q88" s="213">
        <v>0</v>
      </c>
      <c r="R88" s="213">
        <v>0</v>
      </c>
      <c r="S88" s="213">
        <v>0</v>
      </c>
      <c r="T88" s="213">
        <v>0</v>
      </c>
      <c r="U88" s="213">
        <v>0</v>
      </c>
      <c r="V88" s="213">
        <v>0</v>
      </c>
      <c r="W88" s="213">
        <v>0</v>
      </c>
      <c r="X88" s="213">
        <v>0</v>
      </c>
      <c r="Y88" s="213">
        <v>0</v>
      </c>
      <c r="Z88" s="213">
        <v>0</v>
      </c>
      <c r="AA88" s="213">
        <v>0</v>
      </c>
      <c r="AB88" s="213">
        <v>0</v>
      </c>
      <c r="AC88" s="213">
        <v>0</v>
      </c>
      <c r="AD88" s="213">
        <v>0</v>
      </c>
      <c r="AE88" s="213">
        <v>0</v>
      </c>
      <c r="AF88" s="213">
        <v>0</v>
      </c>
      <c r="AG88" s="213">
        <v>0</v>
      </c>
      <c r="AH88" s="213">
        <v>0</v>
      </c>
      <c r="AI88" s="213">
        <v>0</v>
      </c>
      <c r="AJ88" s="213">
        <v>0</v>
      </c>
      <c r="AK88" s="213">
        <v>0</v>
      </c>
      <c r="AL88" s="213">
        <v>0</v>
      </c>
      <c r="AM88" s="213">
        <v>0</v>
      </c>
      <c r="AN88" s="213">
        <v>0</v>
      </c>
      <c r="AO88" s="213">
        <v>0</v>
      </c>
      <c r="AP88" s="213">
        <v>0</v>
      </c>
      <c r="AQ88" s="213">
        <v>0</v>
      </c>
      <c r="AR88" s="213">
        <v>0</v>
      </c>
      <c r="AS88" s="213">
        <v>0</v>
      </c>
      <c r="AT88" s="213">
        <v>0</v>
      </c>
      <c r="AU88" s="213">
        <v>0</v>
      </c>
      <c r="AV88" s="213">
        <v>0</v>
      </c>
      <c r="AW88" s="213">
        <v>0</v>
      </c>
      <c r="AX88" s="213">
        <v>0</v>
      </c>
      <c r="AY88" s="213">
        <v>0</v>
      </c>
      <c r="AZ88" s="213">
        <v>0</v>
      </c>
      <c r="BA88" s="213">
        <v>0</v>
      </c>
      <c r="BB88" s="213">
        <v>0</v>
      </c>
      <c r="BC88" s="213">
        <v>0</v>
      </c>
    </row>
    <row r="89" spans="1:55" x14ac:dyDescent="0.25">
      <c r="A89" s="209" t="s">
        <v>385</v>
      </c>
      <c r="B89" s="210" t="s">
        <v>398</v>
      </c>
      <c r="C89" t="s">
        <v>3</v>
      </c>
      <c r="E89" t="s">
        <v>504</v>
      </c>
      <c r="F89" s="211">
        <v>5100</v>
      </c>
      <c r="G89" t="s">
        <v>399</v>
      </c>
      <c r="H89" s="213">
        <v>106860.78</v>
      </c>
      <c r="I89" s="213">
        <v>100852.36</v>
      </c>
      <c r="J89" s="213">
        <v>110564.17000000001</v>
      </c>
      <c r="K89" s="213">
        <v>133950.21</v>
      </c>
      <c r="L89" s="213">
        <v>143205.78</v>
      </c>
      <c r="M89" s="213">
        <v>157520.69</v>
      </c>
      <c r="N89" s="213">
        <v>175675.43</v>
      </c>
      <c r="O89" s="213">
        <v>185074.61</v>
      </c>
      <c r="P89" s="213">
        <v>203836.06</v>
      </c>
      <c r="Q89" s="213">
        <v>196825.27</v>
      </c>
      <c r="R89" s="213">
        <v>184189.28</v>
      </c>
      <c r="S89" s="213">
        <v>209804.68</v>
      </c>
      <c r="T89" s="213">
        <v>194354.16</v>
      </c>
      <c r="U89" s="213">
        <v>215421.56</v>
      </c>
      <c r="V89" s="213">
        <v>243863.85</v>
      </c>
      <c r="W89" s="213">
        <v>262540.19</v>
      </c>
      <c r="X89" s="213">
        <v>262729.43</v>
      </c>
      <c r="Y89" s="213">
        <v>321698.32</v>
      </c>
      <c r="Z89" s="213">
        <v>327123.38</v>
      </c>
      <c r="AA89" s="213">
        <v>311499.24</v>
      </c>
      <c r="AB89" s="213">
        <v>382860.33999999997</v>
      </c>
      <c r="AC89" s="213">
        <v>347066.83999999997</v>
      </c>
      <c r="AD89" s="213">
        <v>349814.05</v>
      </c>
      <c r="AE89" s="213">
        <v>575288.91</v>
      </c>
      <c r="AF89" s="213">
        <v>372955.45999999996</v>
      </c>
      <c r="AG89" s="213">
        <v>345391.51</v>
      </c>
      <c r="AH89" s="213">
        <v>982389.92</v>
      </c>
      <c r="AI89" s="213">
        <v>551135.66999999993</v>
      </c>
      <c r="AJ89" s="213">
        <v>463558.66000000003</v>
      </c>
      <c r="AK89" s="213">
        <v>569021.75600000005</v>
      </c>
      <c r="AL89" s="213">
        <v>512899.85</v>
      </c>
      <c r="AM89" s="213">
        <v>537798.38</v>
      </c>
      <c r="AN89" s="213">
        <v>665989.29399999999</v>
      </c>
      <c r="AO89" s="213">
        <v>530162.02</v>
      </c>
      <c r="AP89" s="213">
        <v>496312.06</v>
      </c>
      <c r="AQ89" s="213">
        <v>794307.91399999987</v>
      </c>
      <c r="AR89" s="213">
        <v>629117.54</v>
      </c>
      <c r="AS89" s="213">
        <v>712838.62</v>
      </c>
      <c r="AT89" s="213">
        <v>962030.69000000006</v>
      </c>
      <c r="AU89" s="213">
        <v>899397.79</v>
      </c>
      <c r="AV89" s="213">
        <v>1103174.2599596323</v>
      </c>
      <c r="AW89" s="213">
        <v>1065637.8938028542</v>
      </c>
      <c r="AX89" s="213">
        <v>1132955.5774540862</v>
      </c>
      <c r="AY89" s="213">
        <v>1149329.7654557074</v>
      </c>
      <c r="AZ89" s="213">
        <v>1165152.0687837088</v>
      </c>
      <c r="BA89" s="213">
        <v>1188735.7937582615</v>
      </c>
      <c r="BB89" s="213">
        <v>1216974.0047775814</v>
      </c>
      <c r="BC89" s="213">
        <v>1254837.7793599507</v>
      </c>
    </row>
    <row r="90" spans="1:55" x14ac:dyDescent="0.25">
      <c r="B90" s="210"/>
      <c r="H90" s="213">
        <v>0</v>
      </c>
      <c r="I90" s="213">
        <v>0</v>
      </c>
      <c r="J90" s="213">
        <v>0</v>
      </c>
      <c r="K90" s="213">
        <v>0</v>
      </c>
      <c r="L90" s="213">
        <v>0</v>
      </c>
      <c r="M90" s="213">
        <v>0</v>
      </c>
      <c r="N90" s="213">
        <v>0</v>
      </c>
      <c r="O90" s="213">
        <v>0</v>
      </c>
      <c r="P90" s="213">
        <v>0</v>
      </c>
      <c r="Q90" s="213">
        <v>0</v>
      </c>
      <c r="R90" s="213">
        <v>0</v>
      </c>
      <c r="S90" s="213">
        <v>0</v>
      </c>
      <c r="T90" s="213">
        <v>0</v>
      </c>
      <c r="U90" s="213">
        <v>0</v>
      </c>
      <c r="V90" s="213">
        <v>0</v>
      </c>
      <c r="W90" s="213">
        <v>0</v>
      </c>
      <c r="X90" s="213">
        <v>0</v>
      </c>
      <c r="Y90" s="213">
        <v>0</v>
      </c>
      <c r="Z90" s="213">
        <v>0</v>
      </c>
      <c r="AA90" s="213">
        <v>0</v>
      </c>
      <c r="AB90" s="213">
        <v>0</v>
      </c>
      <c r="AC90" s="213">
        <v>0</v>
      </c>
      <c r="AD90" s="213">
        <v>0</v>
      </c>
      <c r="AE90" s="213">
        <v>0</v>
      </c>
      <c r="AF90" s="213">
        <v>0</v>
      </c>
      <c r="AG90" s="213">
        <v>0</v>
      </c>
      <c r="AH90" s="213">
        <v>0</v>
      </c>
      <c r="AI90" s="213">
        <v>0</v>
      </c>
      <c r="AJ90" s="213">
        <v>0</v>
      </c>
      <c r="AK90" s="213">
        <v>0</v>
      </c>
      <c r="AL90" s="213">
        <v>0</v>
      </c>
      <c r="AM90" s="213">
        <v>0</v>
      </c>
      <c r="AN90" s="213">
        <v>0</v>
      </c>
      <c r="AO90" s="213">
        <v>0</v>
      </c>
      <c r="AP90" s="213">
        <v>0</v>
      </c>
      <c r="AQ90" s="213">
        <v>0</v>
      </c>
      <c r="AR90" s="213">
        <v>0</v>
      </c>
      <c r="AS90" s="213">
        <v>0</v>
      </c>
      <c r="AT90" s="213">
        <v>0</v>
      </c>
      <c r="AU90" s="213">
        <v>0</v>
      </c>
      <c r="AV90" s="213">
        <v>0</v>
      </c>
      <c r="AW90" s="213">
        <v>0</v>
      </c>
      <c r="AX90" s="213">
        <v>0</v>
      </c>
      <c r="AY90" s="213">
        <v>0</v>
      </c>
      <c r="AZ90" s="213">
        <v>0</v>
      </c>
      <c r="BA90" s="213">
        <v>0</v>
      </c>
      <c r="BB90" s="213">
        <v>0</v>
      </c>
      <c r="BC90" s="213">
        <v>0</v>
      </c>
    </row>
    <row r="91" spans="1:55" ht="15.75" x14ac:dyDescent="0.25">
      <c r="A91" s="206" t="s">
        <v>1</v>
      </c>
      <c r="B91" s="207"/>
      <c r="C91" s="206"/>
      <c r="D91" s="206"/>
      <c r="E91" s="206"/>
      <c r="F91" s="206"/>
      <c r="G91" s="206"/>
      <c r="H91" s="213">
        <v>0</v>
      </c>
      <c r="I91" s="213">
        <v>0</v>
      </c>
      <c r="J91" s="213">
        <v>0</v>
      </c>
      <c r="K91" s="213">
        <v>0</v>
      </c>
      <c r="L91" s="213">
        <v>0</v>
      </c>
      <c r="M91" s="213">
        <v>0</v>
      </c>
      <c r="N91" s="213">
        <v>0</v>
      </c>
      <c r="O91" s="213">
        <v>0</v>
      </c>
      <c r="P91" s="213">
        <v>0</v>
      </c>
      <c r="Q91" s="213">
        <v>0</v>
      </c>
      <c r="R91" s="213">
        <v>0</v>
      </c>
      <c r="S91" s="213">
        <v>0</v>
      </c>
      <c r="T91" s="213">
        <v>0</v>
      </c>
      <c r="U91" s="213">
        <v>0</v>
      </c>
      <c r="V91" s="213">
        <v>0</v>
      </c>
      <c r="W91" s="213">
        <v>0</v>
      </c>
      <c r="X91" s="213">
        <v>0</v>
      </c>
      <c r="Y91" s="213">
        <v>0</v>
      </c>
      <c r="Z91" s="213">
        <v>0</v>
      </c>
      <c r="AA91" s="213">
        <v>0</v>
      </c>
      <c r="AB91" s="213">
        <v>0</v>
      </c>
      <c r="AC91" s="213">
        <v>0</v>
      </c>
      <c r="AD91" s="213">
        <v>0</v>
      </c>
      <c r="AE91" s="213">
        <v>0</v>
      </c>
      <c r="AF91" s="213">
        <v>0</v>
      </c>
      <c r="AG91" s="213">
        <v>0</v>
      </c>
      <c r="AH91" s="213">
        <v>0</v>
      </c>
      <c r="AI91" s="213">
        <v>0</v>
      </c>
      <c r="AJ91" s="213">
        <v>0</v>
      </c>
      <c r="AK91" s="213">
        <v>0</v>
      </c>
      <c r="AL91" s="213">
        <v>0</v>
      </c>
      <c r="AM91" s="213">
        <v>0</v>
      </c>
      <c r="AN91" s="213">
        <v>0</v>
      </c>
      <c r="AO91" s="213">
        <v>0</v>
      </c>
      <c r="AP91" s="213">
        <v>0</v>
      </c>
      <c r="AQ91" s="213">
        <v>0</v>
      </c>
      <c r="AR91" s="213">
        <v>0</v>
      </c>
      <c r="AS91" s="213">
        <v>0</v>
      </c>
      <c r="AT91" s="213">
        <v>0</v>
      </c>
      <c r="AU91" s="213">
        <v>0</v>
      </c>
      <c r="AV91" s="213">
        <v>0</v>
      </c>
      <c r="AW91" s="213">
        <v>0</v>
      </c>
      <c r="AX91" s="213">
        <v>0</v>
      </c>
      <c r="AY91" s="213">
        <v>0</v>
      </c>
      <c r="AZ91" s="213">
        <v>0</v>
      </c>
      <c r="BA91" s="213">
        <v>0</v>
      </c>
      <c r="BB91" s="213">
        <v>0</v>
      </c>
      <c r="BC91" s="213">
        <v>0</v>
      </c>
    </row>
    <row r="92" spans="1:55" x14ac:dyDescent="0.25">
      <c r="A92" s="209" t="s">
        <v>400</v>
      </c>
      <c r="B92" s="210" t="s">
        <v>5</v>
      </c>
      <c r="C92" t="s">
        <v>3</v>
      </c>
      <c r="D92" t="s">
        <v>401</v>
      </c>
      <c r="E92" t="s">
        <v>559</v>
      </c>
      <c r="F92" s="211">
        <v>7000</v>
      </c>
      <c r="G92" t="s">
        <v>388</v>
      </c>
      <c r="H92" s="215">
        <v>27250</v>
      </c>
      <c r="I92" s="215">
        <v>27250</v>
      </c>
      <c r="J92" s="215">
        <v>27250</v>
      </c>
      <c r="K92" s="215">
        <v>31189.39</v>
      </c>
      <c r="L92" s="215">
        <v>33916.660000000003</v>
      </c>
      <c r="M92" s="215">
        <v>40791.660000000003</v>
      </c>
      <c r="N92" s="215">
        <v>44454.54</v>
      </c>
      <c r="O92" s="215">
        <v>65995.010000000009</v>
      </c>
      <c r="P92" s="215">
        <v>75697.929999999993</v>
      </c>
      <c r="Q92" s="215">
        <v>76575.78</v>
      </c>
      <c r="R92" s="215">
        <v>100041.66</v>
      </c>
      <c r="S92" s="215">
        <v>105654.06</v>
      </c>
      <c r="T92" s="215">
        <v>113853.34</v>
      </c>
      <c r="U92" s="215">
        <v>116698.87</v>
      </c>
      <c r="V92" s="215">
        <v>124576.68</v>
      </c>
      <c r="W92" s="215">
        <v>123928.08</v>
      </c>
      <c r="X92" s="215">
        <v>126100</v>
      </c>
      <c r="Y92" s="215">
        <v>145897.98000000001</v>
      </c>
      <c r="Z92" s="215">
        <v>147350.01999999999</v>
      </c>
      <c r="AA92" s="215">
        <v>156554.57</v>
      </c>
      <c r="AB92" s="215">
        <v>152762.81</v>
      </c>
      <c r="AC92" s="215">
        <v>145791.66</v>
      </c>
      <c r="AD92" s="215">
        <v>145791.66</v>
      </c>
      <c r="AE92" s="215">
        <v>145791.66</v>
      </c>
      <c r="AF92" s="215">
        <v>163459.72</v>
      </c>
      <c r="AG92" s="215">
        <v>155550.01</v>
      </c>
      <c r="AH92" s="215">
        <v>147941.68</v>
      </c>
      <c r="AI92" s="215">
        <v>166381.1</v>
      </c>
      <c r="AJ92" s="215">
        <v>146108.35999999999</v>
      </c>
      <c r="AK92" s="215">
        <v>147750.03</v>
      </c>
      <c r="AL92" s="215">
        <v>131633.38</v>
      </c>
      <c r="AM92" s="215">
        <v>131633.38</v>
      </c>
      <c r="AN92" s="215">
        <v>135653.4</v>
      </c>
      <c r="AO92" s="215">
        <v>131903.4</v>
      </c>
      <c r="AP92" s="215">
        <v>128153.4</v>
      </c>
      <c r="AQ92" s="215">
        <v>128427.49</v>
      </c>
      <c r="AR92" s="215">
        <v>126108.64</v>
      </c>
      <c r="AS92" s="215">
        <v>126108.64</v>
      </c>
      <c r="AT92" s="215">
        <v>160717.72</v>
      </c>
      <c r="AU92" s="215">
        <v>176416.93</v>
      </c>
      <c r="AV92" s="215">
        <v>240842.38666666663</v>
      </c>
      <c r="AW92" s="215">
        <v>254203.51999999996</v>
      </c>
      <c r="AX92" s="215">
        <v>276353.56</v>
      </c>
      <c r="AY92" s="215">
        <v>323328.62</v>
      </c>
      <c r="AZ92" s="215">
        <v>341661.96</v>
      </c>
      <c r="BA92" s="215">
        <v>393598.3901449276</v>
      </c>
      <c r="BB92" s="215">
        <v>468906.79014492757</v>
      </c>
      <c r="BC92" s="215">
        <v>487462.35681159422</v>
      </c>
    </row>
    <row r="93" spans="1:55" x14ac:dyDescent="0.25">
      <c r="A93" s="209" t="s">
        <v>400</v>
      </c>
      <c r="B93" s="210" t="s">
        <v>5</v>
      </c>
      <c r="C93" t="s">
        <v>3</v>
      </c>
      <c r="D93" t="s">
        <v>401</v>
      </c>
      <c r="E93" t="s">
        <v>559</v>
      </c>
      <c r="F93" s="211">
        <v>6100</v>
      </c>
      <c r="G93" t="s">
        <v>389</v>
      </c>
      <c r="H93" s="213">
        <v>5012.42</v>
      </c>
      <c r="I93" s="213">
        <v>4282.88</v>
      </c>
      <c r="J93" s="213">
        <v>4254.2</v>
      </c>
      <c r="K93" s="213">
        <v>4756.99</v>
      </c>
      <c r="L93" s="213">
        <v>5986.72</v>
      </c>
      <c r="M93" s="213">
        <v>6753.09</v>
      </c>
      <c r="N93" s="213">
        <v>8410.9699999999993</v>
      </c>
      <c r="O93" s="213">
        <v>8814.2900000000009</v>
      </c>
      <c r="P93" s="213">
        <v>10882.84</v>
      </c>
      <c r="Q93" s="213">
        <v>13630.91</v>
      </c>
      <c r="R93" s="213">
        <v>14938.64</v>
      </c>
      <c r="S93" s="213">
        <v>19838.86</v>
      </c>
      <c r="T93" s="213">
        <v>19369.41</v>
      </c>
      <c r="U93" s="213">
        <v>21294.17</v>
      </c>
      <c r="V93" s="213">
        <v>20735.14</v>
      </c>
      <c r="W93" s="213">
        <v>22031.170000000002</v>
      </c>
      <c r="X93" s="213">
        <v>21806.219999999998</v>
      </c>
      <c r="Y93" s="213">
        <v>26285.759999999998</v>
      </c>
      <c r="Z93" s="213">
        <v>25149.749999999996</v>
      </c>
      <c r="AA93" s="213">
        <v>23476.86</v>
      </c>
      <c r="AB93" s="213">
        <v>12399.789999999999</v>
      </c>
      <c r="AC93" s="213">
        <v>11714.74</v>
      </c>
      <c r="AD93" s="213">
        <v>11957.32</v>
      </c>
      <c r="AE93" s="213">
        <v>14360.07</v>
      </c>
      <c r="AF93" s="213">
        <v>17029.97</v>
      </c>
      <c r="AG93" s="213">
        <v>11532.68</v>
      </c>
      <c r="AH93" s="213">
        <v>13593.88</v>
      </c>
      <c r="AI93" s="213">
        <v>14596.59</v>
      </c>
      <c r="AJ93" s="213">
        <v>12305.01</v>
      </c>
      <c r="AK93" s="213">
        <v>11820.21</v>
      </c>
      <c r="AL93" s="213">
        <v>12137.9</v>
      </c>
      <c r="AM93" s="213">
        <v>12430.38</v>
      </c>
      <c r="AN93" s="213">
        <v>12274.12</v>
      </c>
      <c r="AO93" s="213">
        <v>11540.05</v>
      </c>
      <c r="AP93" s="213">
        <v>11179.28</v>
      </c>
      <c r="AQ93" s="213">
        <v>9769.56</v>
      </c>
      <c r="AR93" s="213">
        <v>13836.36</v>
      </c>
      <c r="AS93" s="213">
        <v>10945.26</v>
      </c>
      <c r="AT93" s="213">
        <v>15802.4</v>
      </c>
      <c r="AU93" s="213">
        <v>17171.28</v>
      </c>
      <c r="AV93" s="213">
        <v>19564.850000000002</v>
      </c>
      <c r="AW93" s="213">
        <v>21162.750000000004</v>
      </c>
      <c r="AX93" s="213">
        <v>22760.65</v>
      </c>
      <c r="AY93" s="213">
        <v>25956.450000000004</v>
      </c>
      <c r="AZ93" s="213">
        <v>28005.059999999994</v>
      </c>
      <c r="BA93" s="213">
        <v>32183.92249999999</v>
      </c>
      <c r="BB93" s="213">
        <v>37198.557499999988</v>
      </c>
      <c r="BC93" s="213">
        <v>38870.102499999986</v>
      </c>
    </row>
    <row r="94" spans="1:55" x14ac:dyDescent="0.25">
      <c r="A94" s="209" t="s">
        <v>400</v>
      </c>
      <c r="B94" s="210" t="s">
        <v>5</v>
      </c>
      <c r="C94" t="s">
        <v>3</v>
      </c>
      <c r="D94" t="s">
        <v>401</v>
      </c>
      <c r="E94" t="s">
        <v>559</v>
      </c>
      <c r="F94" s="211">
        <v>6220</v>
      </c>
      <c r="G94" t="s">
        <v>402</v>
      </c>
      <c r="H94" s="213">
        <v>5367</v>
      </c>
      <c r="I94" s="213">
        <v>3008</v>
      </c>
      <c r="J94" s="213">
        <v>4283</v>
      </c>
      <c r="K94" s="213">
        <v>2792.67</v>
      </c>
      <c r="L94" s="213">
        <v>4100</v>
      </c>
      <c r="M94" s="213">
        <v>4100</v>
      </c>
      <c r="N94" s="213">
        <v>2037.17</v>
      </c>
      <c r="O94" s="213">
        <v>3392</v>
      </c>
      <c r="P94" s="213">
        <v>5250</v>
      </c>
      <c r="Q94" s="213">
        <v>8558.59</v>
      </c>
      <c r="R94" s="213">
        <v>14252.5</v>
      </c>
      <c r="S94" s="213">
        <v>23488.949999999997</v>
      </c>
      <c r="T94" s="213">
        <v>24907.040000000001</v>
      </c>
      <c r="U94" s="213">
        <v>16684.36</v>
      </c>
      <c r="V94" s="213">
        <v>15880.67</v>
      </c>
      <c r="W94" s="213">
        <v>2558.92</v>
      </c>
      <c r="X94" s="213">
        <v>16047.33</v>
      </c>
      <c r="Y94" s="213">
        <v>17636.5</v>
      </c>
      <c r="Z94" s="213">
        <v>2457.6999999999998</v>
      </c>
      <c r="AA94" s="213">
        <v>15192</v>
      </c>
      <c r="AB94" s="213">
        <v>15191</v>
      </c>
      <c r="AC94" s="213">
        <v>2118.67</v>
      </c>
      <c r="AD94" s="213">
        <v>12205</v>
      </c>
      <c r="AE94" s="213">
        <v>15752.57</v>
      </c>
      <c r="AF94" s="213">
        <v>16230.24</v>
      </c>
      <c r="AG94" s="213">
        <v>20675.5</v>
      </c>
      <c r="AH94" s="213">
        <v>16415</v>
      </c>
      <c r="AI94" s="213">
        <v>25379.09</v>
      </c>
      <c r="AJ94" s="213">
        <v>25419</v>
      </c>
      <c r="AK94" s="213">
        <v>8664</v>
      </c>
      <c r="AL94" s="213">
        <v>10185.11</v>
      </c>
      <c r="AM94" s="213">
        <v>11557</v>
      </c>
      <c r="AN94" s="213">
        <v>6475</v>
      </c>
      <c r="AO94" s="213">
        <v>23178.18</v>
      </c>
      <c r="AP94" s="213">
        <v>0</v>
      </c>
      <c r="AQ94" s="213">
        <v>38415.14</v>
      </c>
      <c r="AR94" s="213">
        <v>7095.83</v>
      </c>
      <c r="AS94" s="213">
        <v>18596.37</v>
      </c>
      <c r="AT94" s="213">
        <v>22576.11</v>
      </c>
      <c r="AU94" s="213">
        <v>22854.07</v>
      </c>
      <c r="AV94" s="213">
        <v>35612.525555555549</v>
      </c>
      <c r="AW94" s="213">
        <v>37017.055</v>
      </c>
      <c r="AX94" s="213">
        <v>39364.954999999994</v>
      </c>
      <c r="AY94" s="213">
        <v>45528.52375</v>
      </c>
      <c r="AZ94" s="213">
        <v>50638.522066386671</v>
      </c>
      <c r="BA94" s="213">
        <v>56787.762513003094</v>
      </c>
      <c r="BB94" s="213">
        <v>66823.03227938975</v>
      </c>
      <c r="BC94" s="213">
        <v>69221.606168278639</v>
      </c>
    </row>
    <row r="95" spans="1:55" x14ac:dyDescent="0.25">
      <c r="A95" s="209" t="s">
        <v>400</v>
      </c>
      <c r="B95" s="210" t="s">
        <v>5</v>
      </c>
      <c r="C95" t="s">
        <v>3</v>
      </c>
      <c r="D95" t="s">
        <v>401</v>
      </c>
      <c r="E95" t="s">
        <v>559</v>
      </c>
      <c r="F95" s="211">
        <v>6112</v>
      </c>
      <c r="G95" t="s">
        <v>391</v>
      </c>
      <c r="H95" s="213">
        <v>0</v>
      </c>
      <c r="I95" s="213">
        <v>0</v>
      </c>
      <c r="J95" s="213">
        <v>0</v>
      </c>
      <c r="K95" s="213">
        <v>0</v>
      </c>
      <c r="L95" s="213">
        <v>0</v>
      </c>
      <c r="M95" s="213">
        <v>0</v>
      </c>
      <c r="N95" s="213">
        <v>0</v>
      </c>
      <c r="O95" s="213">
        <v>0</v>
      </c>
      <c r="P95" s="213">
        <v>0</v>
      </c>
      <c r="Q95" s="213">
        <v>0</v>
      </c>
      <c r="R95" s="213">
        <v>0</v>
      </c>
      <c r="S95" s="213">
        <v>0</v>
      </c>
      <c r="T95" s="213">
        <v>0</v>
      </c>
      <c r="U95" s="213">
        <v>0</v>
      </c>
      <c r="V95" s="213">
        <v>0</v>
      </c>
      <c r="W95" s="213">
        <v>0</v>
      </c>
      <c r="X95" s="213">
        <v>0</v>
      </c>
      <c r="Y95" s="213">
        <v>0</v>
      </c>
      <c r="Z95" s="213">
        <v>0</v>
      </c>
      <c r="AA95" s="213">
        <v>0</v>
      </c>
      <c r="AB95" s="213">
        <v>10216.56</v>
      </c>
      <c r="AC95" s="213">
        <v>12120.46</v>
      </c>
      <c r="AD95" s="213">
        <v>9922.0300000000007</v>
      </c>
      <c r="AE95" s="213">
        <v>12850.31</v>
      </c>
      <c r="AF95" s="213">
        <v>17007.07</v>
      </c>
      <c r="AG95" s="213">
        <v>12584.98</v>
      </c>
      <c r="AH95" s="213">
        <v>11531.52</v>
      </c>
      <c r="AI95" s="213">
        <v>16928.87</v>
      </c>
      <c r="AJ95" s="213">
        <v>11048.44</v>
      </c>
      <c r="AK95" s="213">
        <v>10835.12</v>
      </c>
      <c r="AL95" s="213">
        <v>12759.06</v>
      </c>
      <c r="AM95" s="213">
        <v>9906.15</v>
      </c>
      <c r="AN95" s="213">
        <v>10213.82</v>
      </c>
      <c r="AO95" s="213">
        <v>6391.15</v>
      </c>
      <c r="AP95" s="213">
        <v>8898.9500000000007</v>
      </c>
      <c r="AQ95" s="213">
        <v>11801.58</v>
      </c>
      <c r="AR95" s="213">
        <v>15142.54</v>
      </c>
      <c r="AS95" s="213">
        <v>10565.39</v>
      </c>
      <c r="AT95" s="213">
        <v>13525.58</v>
      </c>
      <c r="AU95" s="213">
        <v>18222.41</v>
      </c>
      <c r="AV95" s="213">
        <v>19668.298150376886</v>
      </c>
      <c r="AW95" s="213">
        <v>18857.311709463644</v>
      </c>
      <c r="AX95" s="213">
        <v>19784.118376465522</v>
      </c>
      <c r="AY95" s="213">
        <v>23161.017117138254</v>
      </c>
      <c r="AZ95" s="213">
        <v>25287.612448107873</v>
      </c>
      <c r="BA95" s="213">
        <v>25106.505566300464</v>
      </c>
      <c r="BB95" s="213">
        <v>28456.582079331994</v>
      </c>
      <c r="BC95" s="213">
        <v>45492.46987841872</v>
      </c>
    </row>
    <row r="96" spans="1:55" x14ac:dyDescent="0.25">
      <c r="A96" s="209" t="s">
        <v>400</v>
      </c>
      <c r="B96" s="210" t="s">
        <v>5</v>
      </c>
      <c r="C96" t="s">
        <v>3</v>
      </c>
      <c r="D96" t="s">
        <v>401</v>
      </c>
      <c r="E96" t="s">
        <v>559</v>
      </c>
      <c r="F96" s="211">
        <v>6250</v>
      </c>
      <c r="G96" t="s">
        <v>392</v>
      </c>
      <c r="H96" s="213">
        <v>7920</v>
      </c>
      <c r="I96" s="213">
        <v>20880</v>
      </c>
      <c r="J96" s="213">
        <v>7200</v>
      </c>
      <c r="K96" s="213">
        <v>5580</v>
      </c>
      <c r="L96" s="213">
        <v>7200</v>
      </c>
      <c r="M96" s="213">
        <v>0</v>
      </c>
      <c r="N96" s="213">
        <v>0</v>
      </c>
      <c r="O96" s="213">
        <v>0</v>
      </c>
      <c r="P96" s="213">
        <v>0</v>
      </c>
      <c r="Q96" s="213">
        <v>0</v>
      </c>
      <c r="R96" s="213">
        <v>0</v>
      </c>
      <c r="S96" s="213">
        <v>0</v>
      </c>
      <c r="T96" s="213">
        <v>0</v>
      </c>
      <c r="U96" s="213">
        <v>0</v>
      </c>
      <c r="V96" s="213">
        <v>20000</v>
      </c>
      <c r="W96" s="213">
        <v>20000</v>
      </c>
      <c r="X96" s="213">
        <v>20000</v>
      </c>
      <c r="Y96" s="213">
        <v>20000</v>
      </c>
      <c r="Z96" s="213">
        <v>20000</v>
      </c>
      <c r="AA96" s="213">
        <v>20000</v>
      </c>
      <c r="AB96" s="213">
        <v>20625</v>
      </c>
      <c r="AC96" s="213">
        <v>20000</v>
      </c>
      <c r="AD96" s="213">
        <v>20000</v>
      </c>
      <c r="AE96" s="213">
        <v>20000</v>
      </c>
      <c r="AF96" s="213">
        <v>20000</v>
      </c>
      <c r="AG96" s="213">
        <v>25000</v>
      </c>
      <c r="AH96" s="213">
        <v>20000</v>
      </c>
      <c r="AI96" s="213">
        <v>20000</v>
      </c>
      <c r="AJ96" s="213">
        <v>52500</v>
      </c>
      <c r="AK96" s="213">
        <v>25000</v>
      </c>
      <c r="AL96" s="213">
        <v>20000</v>
      </c>
      <c r="AM96" s="213">
        <v>20000</v>
      </c>
      <c r="AN96" s="213">
        <v>32500</v>
      </c>
      <c r="AO96" s="213">
        <v>20000</v>
      </c>
      <c r="AP96" s="213">
        <v>20000</v>
      </c>
      <c r="AQ96" s="213">
        <v>0</v>
      </c>
      <c r="AR96" s="213">
        <v>0</v>
      </c>
      <c r="AS96" s="213">
        <v>0</v>
      </c>
      <c r="AT96" s="213">
        <v>20000</v>
      </c>
      <c r="AU96" s="213">
        <v>20000</v>
      </c>
      <c r="AV96" s="213">
        <v>20000</v>
      </c>
      <c r="AW96" s="213">
        <v>20000</v>
      </c>
      <c r="AX96" s="213">
        <v>40000</v>
      </c>
      <c r="AY96" s="213">
        <v>40000</v>
      </c>
      <c r="AZ96" s="213">
        <v>40000</v>
      </c>
      <c r="BA96" s="213">
        <v>40000</v>
      </c>
      <c r="BB96" s="213">
        <v>40000</v>
      </c>
      <c r="BC96" s="213">
        <v>40000</v>
      </c>
    </row>
    <row r="97" spans="1:55" x14ac:dyDescent="0.25">
      <c r="A97" s="209" t="s">
        <v>400</v>
      </c>
      <c r="B97" s="210" t="s">
        <v>5</v>
      </c>
      <c r="C97" t="s">
        <v>3</v>
      </c>
      <c r="D97" t="s">
        <v>401</v>
      </c>
      <c r="E97" t="s">
        <v>559</v>
      </c>
      <c r="F97" s="211">
        <v>6350</v>
      </c>
      <c r="G97" t="s">
        <v>393</v>
      </c>
      <c r="H97" s="213">
        <v>0</v>
      </c>
      <c r="I97" s="213">
        <v>0</v>
      </c>
      <c r="J97" s="213">
        <v>0</v>
      </c>
      <c r="K97" s="213">
        <v>0</v>
      </c>
      <c r="L97" s="213">
        <v>0</v>
      </c>
      <c r="M97" s="213">
        <v>0</v>
      </c>
      <c r="N97" s="213">
        <v>0</v>
      </c>
      <c r="O97" s="213">
        <v>49.99</v>
      </c>
      <c r="P97" s="213">
        <v>39</v>
      </c>
      <c r="Q97" s="213">
        <v>62.98</v>
      </c>
      <c r="R97" s="213">
        <v>39</v>
      </c>
      <c r="S97" s="213">
        <v>100</v>
      </c>
      <c r="T97" s="213">
        <v>39</v>
      </c>
      <c r="U97" s="213">
        <v>77.040000000000006</v>
      </c>
      <c r="V97" s="213">
        <v>3084.4</v>
      </c>
      <c r="W97" s="213">
        <v>39</v>
      </c>
      <c r="X97" s="213">
        <v>163</v>
      </c>
      <c r="Y97" s="213">
        <v>546.73</v>
      </c>
      <c r="Z97" s="213">
        <v>1874.22</v>
      </c>
      <c r="AA97" s="213">
        <v>1300.24</v>
      </c>
      <c r="AB97" s="213">
        <v>70</v>
      </c>
      <c r="AC97" s="213">
        <v>0</v>
      </c>
      <c r="AD97" s="213">
        <v>512.59</v>
      </c>
      <c r="AE97" s="213">
        <v>0</v>
      </c>
      <c r="AF97" s="213">
        <v>7060.08</v>
      </c>
      <c r="AG97" s="213">
        <v>341.68</v>
      </c>
      <c r="AH97" s="213">
        <v>70.03</v>
      </c>
      <c r="AI97" s="213">
        <v>576.82000000000005</v>
      </c>
      <c r="AJ97" s="213">
        <v>43.33</v>
      </c>
      <c r="AK97" s="213">
        <v>0</v>
      </c>
      <c r="AL97" s="213">
        <v>0</v>
      </c>
      <c r="AM97" s="213">
        <v>153.22</v>
      </c>
      <c r="AN97" s="213">
        <v>33.35</v>
      </c>
      <c r="AO97" s="213">
        <v>0</v>
      </c>
      <c r="AP97" s="213">
        <v>0</v>
      </c>
      <c r="AQ97" s="213">
        <v>6283.5</v>
      </c>
      <c r="AR97" s="213">
        <v>6283.5</v>
      </c>
      <c r="AS97" s="213">
        <v>6283.5</v>
      </c>
      <c r="AT97" s="213">
        <v>6283.5</v>
      </c>
      <c r="AU97" s="213">
        <v>6283.5</v>
      </c>
      <c r="AV97" s="213">
        <v>1600</v>
      </c>
      <c r="AW97" s="213">
        <v>1733.3333333333333</v>
      </c>
      <c r="AX97" s="213">
        <v>1866.6666666666667</v>
      </c>
      <c r="AY97" s="213">
        <v>2133.3333333333335</v>
      </c>
      <c r="AZ97" s="213">
        <v>2200</v>
      </c>
      <c r="BA97" s="213">
        <v>2533.3333333333335</v>
      </c>
      <c r="BB97" s="213">
        <v>2933.3333333333335</v>
      </c>
      <c r="BC97" s="213">
        <v>3066.6666666666665</v>
      </c>
    </row>
    <row r="98" spans="1:55" x14ac:dyDescent="0.25">
      <c r="A98" s="209" t="s">
        <v>400</v>
      </c>
      <c r="B98" s="210" t="s">
        <v>5</v>
      </c>
      <c r="C98" t="s">
        <v>3</v>
      </c>
      <c r="D98" t="s">
        <v>401</v>
      </c>
      <c r="E98" t="s">
        <v>559</v>
      </c>
      <c r="F98" s="211">
        <v>7050</v>
      </c>
      <c r="G98" t="s">
        <v>394</v>
      </c>
      <c r="H98" s="213">
        <v>0</v>
      </c>
      <c r="I98" s="213">
        <v>0</v>
      </c>
      <c r="J98" s="213">
        <v>79.2</v>
      </c>
      <c r="K98" s="213">
        <v>0</v>
      </c>
      <c r="L98" s="213">
        <v>714.55</v>
      </c>
      <c r="M98" s="213">
        <v>707.36</v>
      </c>
      <c r="N98" s="213">
        <v>0</v>
      </c>
      <c r="O98" s="213">
        <v>43.2</v>
      </c>
      <c r="P98" s="213">
        <v>400</v>
      </c>
      <c r="Q98" s="213">
        <v>1248</v>
      </c>
      <c r="R98" s="213">
        <v>0</v>
      </c>
      <c r="S98" s="213">
        <v>0</v>
      </c>
      <c r="T98" s="213">
        <v>37.36</v>
      </c>
      <c r="U98" s="213">
        <v>225.49</v>
      </c>
      <c r="V98" s="213">
        <v>162</v>
      </c>
      <c r="W98" s="213">
        <v>162</v>
      </c>
      <c r="X98" s="213">
        <v>211.95</v>
      </c>
      <c r="Y98" s="213">
        <v>476.87</v>
      </c>
      <c r="Z98" s="213">
        <v>270.02</v>
      </c>
      <c r="AA98" s="213">
        <v>223.61</v>
      </c>
      <c r="AB98" s="213">
        <v>787</v>
      </c>
      <c r="AC98" s="213">
        <v>820</v>
      </c>
      <c r="AD98" s="213">
        <v>817</v>
      </c>
      <c r="AE98" s="213">
        <v>830.1</v>
      </c>
      <c r="AF98" s="213">
        <v>4188.97</v>
      </c>
      <c r="AG98" s="213">
        <v>782.11</v>
      </c>
      <c r="AH98" s="213">
        <v>721.03</v>
      </c>
      <c r="AI98" s="213">
        <v>625</v>
      </c>
      <c r="AJ98" s="213">
        <v>2509.4699999999998</v>
      </c>
      <c r="AK98" s="213">
        <v>655</v>
      </c>
      <c r="AL98" s="213">
        <v>673</v>
      </c>
      <c r="AM98" s="213">
        <v>893.34</v>
      </c>
      <c r="AN98" s="213">
        <v>446.67</v>
      </c>
      <c r="AO98" s="213">
        <v>416.67</v>
      </c>
      <c r="AP98" s="213">
        <v>5839.64</v>
      </c>
      <c r="AQ98" s="213">
        <v>6793.38</v>
      </c>
      <c r="AR98" s="213">
        <v>9571.91</v>
      </c>
      <c r="AS98" s="213">
        <v>10474.69</v>
      </c>
      <c r="AT98" s="213">
        <v>14657.73</v>
      </c>
      <c r="AU98" s="213">
        <v>12361.9</v>
      </c>
      <c r="AV98" s="213">
        <v>7000</v>
      </c>
      <c r="AW98" s="213">
        <v>7000</v>
      </c>
      <c r="AX98" s="213">
        <v>7000</v>
      </c>
      <c r="AY98" s="213">
        <v>7000</v>
      </c>
      <c r="AZ98" s="213">
        <v>7000</v>
      </c>
      <c r="BA98" s="213">
        <v>7000</v>
      </c>
      <c r="BB98" s="213">
        <v>7000</v>
      </c>
      <c r="BC98" s="213">
        <v>7000</v>
      </c>
    </row>
    <row r="99" spans="1:55" x14ac:dyDescent="0.25">
      <c r="A99" s="209" t="s">
        <v>400</v>
      </c>
      <c r="B99" s="210" t="s">
        <v>5</v>
      </c>
      <c r="C99" t="s">
        <v>3</v>
      </c>
      <c r="D99" t="s">
        <v>401</v>
      </c>
      <c r="E99" t="s">
        <v>559</v>
      </c>
      <c r="F99" s="211">
        <v>6400</v>
      </c>
      <c r="G99" t="s">
        <v>395</v>
      </c>
      <c r="H99" s="213">
        <v>0</v>
      </c>
      <c r="I99" s="213">
        <v>0</v>
      </c>
      <c r="J99" s="213">
        <v>0</v>
      </c>
      <c r="K99" s="213">
        <v>262.5</v>
      </c>
      <c r="L99" s="213">
        <v>0</v>
      </c>
      <c r="M99" s="213">
        <v>0</v>
      </c>
      <c r="N99" s="213">
        <v>0</v>
      </c>
      <c r="O99" s="213">
        <v>0</v>
      </c>
      <c r="P99" s="213">
        <v>1042.8</v>
      </c>
      <c r="Q99" s="213">
        <v>9.69</v>
      </c>
      <c r="R99" s="213">
        <v>85.81</v>
      </c>
      <c r="S99" s="213">
        <v>763.04</v>
      </c>
      <c r="T99" s="213">
        <v>359.18</v>
      </c>
      <c r="U99" s="213">
        <v>14.88</v>
      </c>
      <c r="V99" s="213">
        <v>806.62</v>
      </c>
      <c r="W99" s="213">
        <v>702.7</v>
      </c>
      <c r="X99" s="213">
        <v>5</v>
      </c>
      <c r="Y99" s="213">
        <v>1164.3599999999999</v>
      </c>
      <c r="Z99" s="213">
        <v>0</v>
      </c>
      <c r="AA99" s="213">
        <v>535.5</v>
      </c>
      <c r="AB99" s="213">
        <v>55.31</v>
      </c>
      <c r="AC99" s="213">
        <v>354.63</v>
      </c>
      <c r="AD99" s="213">
        <v>1628.44</v>
      </c>
      <c r="AE99" s="213">
        <v>186.32</v>
      </c>
      <c r="AF99" s="213">
        <v>2632.29</v>
      </c>
      <c r="AG99" s="213">
        <v>1403.1</v>
      </c>
      <c r="AH99" s="213">
        <v>362.72</v>
      </c>
      <c r="AI99" s="213">
        <v>8.66</v>
      </c>
      <c r="AJ99" s="213">
        <v>0</v>
      </c>
      <c r="AK99" s="213">
        <v>128.69999999999999</v>
      </c>
      <c r="AL99" s="213">
        <v>0</v>
      </c>
      <c r="AM99" s="213">
        <v>0</v>
      </c>
      <c r="AN99" s="213">
        <v>0</v>
      </c>
      <c r="AO99" s="213">
        <v>0</v>
      </c>
      <c r="AP99" s="213">
        <v>207.62</v>
      </c>
      <c r="AQ99" s="213">
        <v>227.69</v>
      </c>
      <c r="AR99" s="213">
        <v>0</v>
      </c>
      <c r="AS99" s="213">
        <v>127.94</v>
      </c>
      <c r="AT99" s="213">
        <v>141</v>
      </c>
      <c r="AU99" s="213">
        <v>204.97</v>
      </c>
      <c r="AV99" s="213">
        <v>800</v>
      </c>
      <c r="AW99" s="213">
        <v>866.66666666666663</v>
      </c>
      <c r="AX99" s="213">
        <v>933.33333333333337</v>
      </c>
      <c r="AY99" s="213">
        <v>1066.6666666666667</v>
      </c>
      <c r="AZ99" s="213">
        <v>1100</v>
      </c>
      <c r="BA99" s="213">
        <v>1266.6666666666667</v>
      </c>
      <c r="BB99" s="213">
        <v>1466.6666666666667</v>
      </c>
      <c r="BC99" s="213">
        <v>1533.3333333333333</v>
      </c>
    </row>
    <row r="100" spans="1:55" x14ac:dyDescent="0.25">
      <c r="A100" s="209" t="s">
        <v>400</v>
      </c>
      <c r="B100" s="210" t="s">
        <v>5</v>
      </c>
      <c r="C100" t="s">
        <v>3</v>
      </c>
      <c r="D100" t="s">
        <v>401</v>
      </c>
      <c r="E100" t="s">
        <v>559</v>
      </c>
      <c r="F100" s="211">
        <v>6250</v>
      </c>
      <c r="G100" s="210" t="s">
        <v>350</v>
      </c>
      <c r="H100" s="213">
        <v>0</v>
      </c>
      <c r="I100" s="213">
        <v>0</v>
      </c>
      <c r="J100" s="213">
        <v>0</v>
      </c>
      <c r="K100" s="213">
        <v>0</v>
      </c>
      <c r="L100" s="213">
        <v>0</v>
      </c>
      <c r="M100" s="213">
        <v>0</v>
      </c>
      <c r="N100" s="213">
        <v>0</v>
      </c>
      <c r="O100" s="213">
        <v>0</v>
      </c>
      <c r="P100" s="213">
        <v>0</v>
      </c>
      <c r="Q100" s="213">
        <v>0</v>
      </c>
      <c r="R100" s="213">
        <v>0</v>
      </c>
      <c r="S100" s="213">
        <v>0</v>
      </c>
      <c r="T100" s="213">
        <v>0</v>
      </c>
      <c r="U100" s="213">
        <v>0</v>
      </c>
      <c r="V100" s="213">
        <v>0</v>
      </c>
      <c r="W100" s="213">
        <v>0</v>
      </c>
      <c r="X100" s="213">
        <v>0</v>
      </c>
      <c r="Y100" s="213">
        <v>0</v>
      </c>
      <c r="Z100" s="213">
        <v>0</v>
      </c>
      <c r="AA100" s="213">
        <v>0</v>
      </c>
      <c r="AB100" s="213">
        <v>0</v>
      </c>
      <c r="AC100" s="213">
        <v>0</v>
      </c>
      <c r="AD100" s="213">
        <v>0</v>
      </c>
      <c r="AE100" s="213">
        <v>0</v>
      </c>
      <c r="AF100" s="213">
        <v>0</v>
      </c>
      <c r="AG100" s="213">
        <v>0</v>
      </c>
      <c r="AH100" s="213">
        <v>0</v>
      </c>
      <c r="AI100" s="213">
        <v>0</v>
      </c>
      <c r="AJ100" s="213">
        <v>0</v>
      </c>
      <c r="AK100" s="213">
        <v>0</v>
      </c>
      <c r="AL100" s="213">
        <v>0</v>
      </c>
      <c r="AM100" s="213">
        <v>0</v>
      </c>
      <c r="AN100" s="213">
        <v>0</v>
      </c>
      <c r="AO100" s="213">
        <v>0</v>
      </c>
      <c r="AP100" s="213">
        <v>0</v>
      </c>
      <c r="AQ100" s="213">
        <v>0</v>
      </c>
      <c r="AR100" s="213">
        <v>0</v>
      </c>
      <c r="AS100" s="213">
        <v>0</v>
      </c>
      <c r="AT100" s="213">
        <v>0</v>
      </c>
      <c r="AU100" s="213">
        <v>0</v>
      </c>
      <c r="AV100" s="213">
        <v>0</v>
      </c>
      <c r="AW100" s="213">
        <v>0</v>
      </c>
      <c r="AX100" s="213">
        <v>0</v>
      </c>
      <c r="AY100" s="213">
        <v>0</v>
      </c>
      <c r="AZ100" s="213">
        <v>0</v>
      </c>
      <c r="BA100" s="213">
        <v>0</v>
      </c>
      <c r="BB100" s="213">
        <v>0</v>
      </c>
      <c r="BC100" s="213">
        <v>0</v>
      </c>
    </row>
    <row r="101" spans="1:55" x14ac:dyDescent="0.25">
      <c r="A101" s="209" t="s">
        <v>400</v>
      </c>
      <c r="B101" s="210" t="s">
        <v>5</v>
      </c>
      <c r="C101" t="s">
        <v>3</v>
      </c>
      <c r="D101" t="s">
        <v>401</v>
      </c>
      <c r="E101" t="s">
        <v>559</v>
      </c>
      <c r="F101" s="211">
        <v>7150</v>
      </c>
      <c r="G101" t="s">
        <v>397</v>
      </c>
      <c r="H101" s="213">
        <v>5180.9000000000005</v>
      </c>
      <c r="I101" s="213">
        <v>7130.34</v>
      </c>
      <c r="J101" s="213">
        <v>2475.16</v>
      </c>
      <c r="K101" s="213">
        <v>7098.6299999999992</v>
      </c>
      <c r="L101" s="213">
        <v>5800.92</v>
      </c>
      <c r="M101" s="213">
        <v>4808.1499999999996</v>
      </c>
      <c r="N101" s="213">
        <v>3376.67</v>
      </c>
      <c r="O101" s="213">
        <v>2219.6</v>
      </c>
      <c r="P101" s="213">
        <v>11470.92</v>
      </c>
      <c r="Q101" s="213">
        <v>2719.01</v>
      </c>
      <c r="R101" s="213">
        <v>339.66999999999996</v>
      </c>
      <c r="S101" s="213">
        <v>885.66</v>
      </c>
      <c r="T101" s="213">
        <v>-466.22</v>
      </c>
      <c r="U101" s="213">
        <v>3077.14</v>
      </c>
      <c r="V101" s="213">
        <v>1375.8799999999997</v>
      </c>
      <c r="W101" s="213">
        <v>2502.33</v>
      </c>
      <c r="X101" s="213">
        <v>12652.19</v>
      </c>
      <c r="Y101" s="213">
        <v>10335.959999999999</v>
      </c>
      <c r="Z101" s="213">
        <v>6257.01</v>
      </c>
      <c r="AA101" s="213">
        <v>10304.970000000001</v>
      </c>
      <c r="AB101" s="213">
        <v>16435.59</v>
      </c>
      <c r="AC101" s="213">
        <v>6019.7199999999993</v>
      </c>
      <c r="AD101" s="213">
        <v>11906.220000000001</v>
      </c>
      <c r="AE101" s="213">
        <v>15044.150000000001</v>
      </c>
      <c r="AF101" s="213">
        <v>27374.260000000002</v>
      </c>
      <c r="AG101" s="213">
        <v>52.709999999999127</v>
      </c>
      <c r="AH101" s="213">
        <v>240.93000000000004</v>
      </c>
      <c r="AI101" s="213">
        <v>42.53</v>
      </c>
      <c r="AJ101" s="213">
        <v>42.36</v>
      </c>
      <c r="AK101" s="213">
        <v>-158.69999999999999</v>
      </c>
      <c r="AL101" s="213">
        <v>0</v>
      </c>
      <c r="AM101" s="213">
        <v>267.2</v>
      </c>
      <c r="AN101" s="213">
        <v>0</v>
      </c>
      <c r="AO101" s="213">
        <v>0</v>
      </c>
      <c r="AP101" s="213">
        <v>0</v>
      </c>
      <c r="AQ101" s="213">
        <v>0</v>
      </c>
      <c r="AR101" s="213">
        <v>762.94</v>
      </c>
      <c r="AS101" s="213">
        <v>737.06</v>
      </c>
      <c r="AT101" s="213">
        <v>879</v>
      </c>
      <c r="AU101" s="213">
        <v>2880.3</v>
      </c>
      <c r="AV101" s="213">
        <v>3000</v>
      </c>
      <c r="AW101" s="213">
        <v>10000</v>
      </c>
      <c r="AX101" s="213">
        <v>5000</v>
      </c>
      <c r="AY101" s="213">
        <v>5714.2857142857147</v>
      </c>
      <c r="AZ101" s="213">
        <v>5892.8571428571431</v>
      </c>
      <c r="BA101" s="213">
        <v>6785.7142857142862</v>
      </c>
      <c r="BB101" s="213">
        <v>7857.1428571428578</v>
      </c>
      <c r="BC101" s="213">
        <v>8214.2857142857156</v>
      </c>
    </row>
    <row r="102" spans="1:55" x14ac:dyDescent="0.25">
      <c r="B102" s="210"/>
      <c r="H102" s="214">
        <v>0</v>
      </c>
      <c r="I102" s="214">
        <v>0</v>
      </c>
      <c r="J102" s="214">
        <v>0</v>
      </c>
      <c r="K102" s="214">
        <v>0</v>
      </c>
      <c r="L102" s="214">
        <v>0</v>
      </c>
      <c r="M102" s="214">
        <v>0</v>
      </c>
      <c r="N102" s="214">
        <v>0</v>
      </c>
      <c r="O102" s="214">
        <v>0</v>
      </c>
      <c r="P102" s="214">
        <v>0</v>
      </c>
      <c r="Q102" s="214">
        <v>0</v>
      </c>
      <c r="R102" s="214">
        <v>0</v>
      </c>
      <c r="S102" s="214">
        <v>0</v>
      </c>
      <c r="T102" s="214">
        <v>0</v>
      </c>
      <c r="U102" s="214">
        <v>0</v>
      </c>
      <c r="V102" s="214">
        <v>0</v>
      </c>
      <c r="W102" s="214">
        <v>0</v>
      </c>
      <c r="X102" s="214">
        <v>0</v>
      </c>
      <c r="Y102" s="214">
        <v>0</v>
      </c>
      <c r="Z102" s="214">
        <v>0</v>
      </c>
      <c r="AA102" s="214">
        <v>0</v>
      </c>
      <c r="AB102" s="214">
        <v>0</v>
      </c>
      <c r="AC102" s="214">
        <v>0</v>
      </c>
      <c r="AD102" s="214">
        <v>0</v>
      </c>
      <c r="AE102" s="214">
        <v>0</v>
      </c>
      <c r="AF102" s="214">
        <v>0</v>
      </c>
      <c r="AG102" s="214">
        <v>0</v>
      </c>
      <c r="AH102" s="214">
        <v>0</v>
      </c>
      <c r="AI102" s="214">
        <v>0</v>
      </c>
      <c r="AJ102" s="214">
        <v>0</v>
      </c>
      <c r="AK102" s="214">
        <v>0</v>
      </c>
      <c r="AL102" s="214">
        <v>0</v>
      </c>
      <c r="AM102" s="214">
        <v>0</v>
      </c>
      <c r="AN102" s="214">
        <v>0</v>
      </c>
      <c r="AO102" s="214">
        <v>0</v>
      </c>
      <c r="AP102" s="214">
        <v>0</v>
      </c>
      <c r="AQ102" s="214">
        <v>0</v>
      </c>
      <c r="AR102" s="214">
        <v>0</v>
      </c>
      <c r="AS102" s="214">
        <v>0</v>
      </c>
      <c r="AT102" s="214">
        <v>0</v>
      </c>
      <c r="AU102" s="214">
        <v>0</v>
      </c>
      <c r="AV102" s="214">
        <v>0</v>
      </c>
      <c r="AW102" s="214">
        <v>0</v>
      </c>
      <c r="AX102" s="214">
        <v>0</v>
      </c>
      <c r="AY102" s="214">
        <v>0</v>
      </c>
      <c r="AZ102" s="214">
        <v>0</v>
      </c>
      <c r="BA102" s="214">
        <v>0</v>
      </c>
      <c r="BB102" s="214">
        <v>0</v>
      </c>
      <c r="BC102" s="214">
        <v>0</v>
      </c>
    </row>
    <row r="103" spans="1:55" x14ac:dyDescent="0.25">
      <c r="B103" s="210"/>
      <c r="H103" s="213">
        <v>50730.32</v>
      </c>
      <c r="I103" s="213">
        <v>62551.22</v>
      </c>
      <c r="J103" s="213">
        <v>45541.56</v>
      </c>
      <c r="K103" s="213">
        <v>51680.179999999993</v>
      </c>
      <c r="L103" s="213">
        <v>57718.850000000006</v>
      </c>
      <c r="M103" s="213">
        <v>57160.26</v>
      </c>
      <c r="N103" s="213">
        <v>58279.35</v>
      </c>
      <c r="O103" s="213">
        <v>80514.090000000026</v>
      </c>
      <c r="P103" s="213">
        <v>104783.48999999999</v>
      </c>
      <c r="Q103" s="213">
        <v>102804.95999999999</v>
      </c>
      <c r="R103" s="213">
        <v>129697.28</v>
      </c>
      <c r="S103" s="213">
        <v>150730.57</v>
      </c>
      <c r="T103" s="213">
        <v>158099.10999999999</v>
      </c>
      <c r="U103" s="213">
        <v>158071.94999999998</v>
      </c>
      <c r="V103" s="213">
        <v>186621.39</v>
      </c>
      <c r="W103" s="213">
        <v>171924.2</v>
      </c>
      <c r="X103" s="213">
        <v>196985.69</v>
      </c>
      <c r="Y103" s="213">
        <v>222344.16</v>
      </c>
      <c r="Z103" s="213">
        <v>203358.72</v>
      </c>
      <c r="AA103" s="213">
        <v>227587.74999999997</v>
      </c>
      <c r="AB103" s="213">
        <v>228543.06</v>
      </c>
      <c r="AC103" s="213">
        <v>198939.88</v>
      </c>
      <c r="AD103" s="213">
        <v>214740.26</v>
      </c>
      <c r="AE103" s="213">
        <v>224815.18000000002</v>
      </c>
      <c r="AF103" s="213">
        <v>274982.59999999998</v>
      </c>
      <c r="AG103" s="213">
        <v>227922.77</v>
      </c>
      <c r="AH103" s="213">
        <v>210876.78999999998</v>
      </c>
      <c r="AI103" s="213">
        <v>244538.66</v>
      </c>
      <c r="AJ103" s="213">
        <v>249975.96999999997</v>
      </c>
      <c r="AK103" s="213">
        <v>204694.36</v>
      </c>
      <c r="AL103" s="213">
        <v>187388.45</v>
      </c>
      <c r="AM103" s="213">
        <v>186840.67</v>
      </c>
      <c r="AN103" s="213">
        <v>197596.36000000002</v>
      </c>
      <c r="AO103" s="213">
        <v>193429.44999999998</v>
      </c>
      <c r="AP103" s="213">
        <v>174278.89</v>
      </c>
      <c r="AQ103" s="213">
        <v>201718.34</v>
      </c>
      <c r="AR103" s="213">
        <v>178801.72</v>
      </c>
      <c r="AS103" s="213">
        <v>183838.84999999998</v>
      </c>
      <c r="AT103" s="213">
        <v>254583.03999999998</v>
      </c>
      <c r="AU103" s="213">
        <v>276395.36</v>
      </c>
      <c r="AV103" s="213">
        <v>348088.06037259905</v>
      </c>
      <c r="AW103" s="213">
        <v>370840.63670946361</v>
      </c>
      <c r="AX103" s="213">
        <v>413063.28337646555</v>
      </c>
      <c r="AY103" s="213">
        <v>473888.89658142399</v>
      </c>
      <c r="AZ103" s="213">
        <v>501786.01165735169</v>
      </c>
      <c r="BA103" s="213">
        <v>565262.29500994552</v>
      </c>
      <c r="BB103" s="213">
        <v>660642.10486079217</v>
      </c>
      <c r="BC103" s="213">
        <v>700860.82107257727</v>
      </c>
    </row>
    <row r="104" spans="1:55" ht="15.75" x14ac:dyDescent="0.25">
      <c r="A104" s="206" t="s">
        <v>14</v>
      </c>
      <c r="B104" s="207"/>
      <c r="C104" s="206"/>
      <c r="D104" s="206"/>
      <c r="E104" s="206"/>
      <c r="F104" s="206"/>
      <c r="G104" s="206"/>
      <c r="H104" s="213">
        <v>0</v>
      </c>
      <c r="I104" s="213">
        <v>0</v>
      </c>
      <c r="J104" s="213">
        <v>0</v>
      </c>
      <c r="K104" s="213">
        <v>0</v>
      </c>
      <c r="L104" s="213">
        <v>0</v>
      </c>
      <c r="M104" s="213">
        <v>0</v>
      </c>
      <c r="N104" s="213">
        <v>0</v>
      </c>
      <c r="O104" s="213">
        <v>0</v>
      </c>
      <c r="P104" s="213">
        <v>0</v>
      </c>
      <c r="Q104" s="213">
        <v>0</v>
      </c>
      <c r="R104" s="213">
        <v>0</v>
      </c>
      <c r="S104" s="213">
        <v>0</v>
      </c>
      <c r="T104" s="213">
        <v>0</v>
      </c>
      <c r="U104" s="213">
        <v>0</v>
      </c>
      <c r="V104" s="213">
        <v>0</v>
      </c>
      <c r="W104" s="213">
        <v>0</v>
      </c>
      <c r="X104" s="213">
        <v>0</v>
      </c>
      <c r="Y104" s="213">
        <v>0</v>
      </c>
      <c r="Z104" s="213">
        <v>0</v>
      </c>
      <c r="AA104" s="213">
        <v>0</v>
      </c>
      <c r="AB104" s="213">
        <v>0</v>
      </c>
      <c r="AC104" s="213">
        <v>0</v>
      </c>
      <c r="AD104" s="213">
        <v>0</v>
      </c>
      <c r="AE104" s="213">
        <v>0</v>
      </c>
      <c r="AF104" s="213">
        <v>0</v>
      </c>
      <c r="AG104" s="213">
        <v>0</v>
      </c>
      <c r="AH104" s="213">
        <v>0</v>
      </c>
      <c r="AI104" s="213">
        <v>0</v>
      </c>
      <c r="AJ104" s="213">
        <v>0</v>
      </c>
      <c r="AK104" s="213">
        <v>0</v>
      </c>
      <c r="AL104" s="213">
        <v>0</v>
      </c>
      <c r="AM104" s="213">
        <v>0</v>
      </c>
      <c r="AN104" s="213">
        <v>0</v>
      </c>
      <c r="AO104" s="213">
        <v>0</v>
      </c>
      <c r="AP104" s="213">
        <v>0</v>
      </c>
      <c r="AQ104" s="213">
        <v>0</v>
      </c>
      <c r="AR104" s="213">
        <v>0</v>
      </c>
      <c r="AS104" s="213">
        <v>0</v>
      </c>
      <c r="AT104" s="213">
        <v>0</v>
      </c>
      <c r="AU104" s="213">
        <v>0</v>
      </c>
      <c r="AV104" s="213">
        <v>0</v>
      </c>
      <c r="AW104" s="213">
        <v>0</v>
      </c>
      <c r="AX104" s="213">
        <v>0</v>
      </c>
      <c r="AY104" s="213">
        <v>0</v>
      </c>
      <c r="AZ104" s="213">
        <v>0</v>
      </c>
      <c r="BA104" s="213">
        <v>0</v>
      </c>
      <c r="BB104" s="213">
        <v>0</v>
      </c>
      <c r="BC104" s="213">
        <v>0</v>
      </c>
    </row>
    <row r="105" spans="1:55" x14ac:dyDescent="0.25">
      <c r="A105" s="209" t="s">
        <v>14</v>
      </c>
      <c r="B105" s="210" t="s">
        <v>403</v>
      </c>
      <c r="C105" t="s">
        <v>14</v>
      </c>
      <c r="D105" t="s">
        <v>404</v>
      </c>
      <c r="E105" t="s">
        <v>498</v>
      </c>
      <c r="F105" s="211">
        <v>7000</v>
      </c>
      <c r="G105" t="s">
        <v>388</v>
      </c>
      <c r="H105" s="213">
        <v>113899.64</v>
      </c>
      <c r="I105" s="213">
        <v>104576.66</v>
      </c>
      <c r="J105" s="213">
        <v>121811.51</v>
      </c>
      <c r="K105" s="213">
        <v>121679.69</v>
      </c>
      <c r="L105" s="213">
        <v>123593.34</v>
      </c>
      <c r="M105" s="213">
        <v>121878.07</v>
      </c>
      <c r="N105" s="213">
        <v>123225.28</v>
      </c>
      <c r="O105" s="213">
        <v>128029.16</v>
      </c>
      <c r="P105" s="213">
        <v>137966.65</v>
      </c>
      <c r="Q105" s="213">
        <v>140758.31</v>
      </c>
      <c r="R105" s="213">
        <v>143273.35</v>
      </c>
      <c r="S105" s="213">
        <v>154011.99</v>
      </c>
      <c r="T105" s="213">
        <v>175701.66</v>
      </c>
      <c r="U105" s="213">
        <v>186928.93000000002</v>
      </c>
      <c r="V105" s="213">
        <v>193844.21</v>
      </c>
      <c r="W105" s="213">
        <v>203757.65999999997</v>
      </c>
      <c r="X105" s="213">
        <v>218369.19999999998</v>
      </c>
      <c r="Y105" s="213">
        <v>232491.83000000002</v>
      </c>
      <c r="Z105" s="213">
        <v>225617.77999999997</v>
      </c>
      <c r="AA105" s="213">
        <v>218443.04</v>
      </c>
      <c r="AB105" s="213">
        <v>214802.53</v>
      </c>
      <c r="AC105" s="213">
        <v>215461.34999999998</v>
      </c>
      <c r="AD105" s="213">
        <v>222981.03999999998</v>
      </c>
      <c r="AE105" s="213">
        <v>245357.13999999998</v>
      </c>
      <c r="AF105" s="213">
        <v>253011.84</v>
      </c>
      <c r="AG105" s="213">
        <v>264733.38</v>
      </c>
      <c r="AH105" s="213">
        <v>268275.04000000004</v>
      </c>
      <c r="AI105" s="213">
        <v>268833.38</v>
      </c>
      <c r="AJ105" s="213">
        <v>270839.38</v>
      </c>
      <c r="AK105" s="213">
        <v>262859.16000000003</v>
      </c>
      <c r="AL105" s="213">
        <v>263728.40000000002</v>
      </c>
      <c r="AM105" s="213">
        <v>267521.28000000003</v>
      </c>
      <c r="AN105" s="213">
        <v>284488.23</v>
      </c>
      <c r="AO105" s="213">
        <v>268491.77999999997</v>
      </c>
      <c r="AP105" s="213">
        <v>272450.12</v>
      </c>
      <c r="AQ105" s="213">
        <v>295569.14</v>
      </c>
      <c r="AR105" s="213">
        <v>338262.28</v>
      </c>
      <c r="AS105" s="213">
        <v>338745.31</v>
      </c>
      <c r="AT105" s="213">
        <v>382952.1</v>
      </c>
      <c r="AU105" s="213">
        <v>567980.01</v>
      </c>
      <c r="AV105" s="213">
        <v>561731.17186666676</v>
      </c>
      <c r="AW105" s="213">
        <v>581610.89958165924</v>
      </c>
      <c r="AX105" s="213">
        <v>609436.33291499247</v>
      </c>
      <c r="AY105" s="213">
        <v>644648.8575816591</v>
      </c>
      <c r="AZ105" s="213">
        <v>685832.20091499249</v>
      </c>
      <c r="BA105" s="213">
        <v>721990.25706883857</v>
      </c>
      <c r="BB105" s="213">
        <v>757183.39637318638</v>
      </c>
      <c r="BC105" s="213">
        <v>786769.52970651968</v>
      </c>
    </row>
    <row r="106" spans="1:55" x14ac:dyDescent="0.25">
      <c r="A106" s="209" t="s">
        <v>14</v>
      </c>
      <c r="B106" s="210" t="s">
        <v>403</v>
      </c>
      <c r="C106" t="s">
        <v>14</v>
      </c>
      <c r="D106" t="s">
        <v>404</v>
      </c>
      <c r="E106" t="s">
        <v>498</v>
      </c>
      <c r="F106" s="211">
        <v>6100</v>
      </c>
      <c r="G106" t="s">
        <v>389</v>
      </c>
      <c r="H106" s="213">
        <v>25092.32</v>
      </c>
      <c r="I106" s="213">
        <v>15738.66</v>
      </c>
      <c r="J106" s="213">
        <v>14967.26</v>
      </c>
      <c r="K106" s="213">
        <v>16296.4</v>
      </c>
      <c r="L106" s="213">
        <v>14843.59</v>
      </c>
      <c r="M106" s="213">
        <v>14137.23</v>
      </c>
      <c r="N106" s="213">
        <v>14584.09</v>
      </c>
      <c r="O106" s="213">
        <v>14059.83</v>
      </c>
      <c r="P106" s="213">
        <v>16773.740000000002</v>
      </c>
      <c r="Q106" s="213">
        <v>14758.86</v>
      </c>
      <c r="R106" s="213">
        <v>14728.34</v>
      </c>
      <c r="S106" s="213">
        <v>44227.91</v>
      </c>
      <c r="T106" s="213">
        <v>26305.149999999998</v>
      </c>
      <c r="U106" s="213">
        <v>29887.180000000004</v>
      </c>
      <c r="V106" s="213">
        <v>29205.77</v>
      </c>
      <c r="W106" s="213">
        <v>28896.420000000002</v>
      </c>
      <c r="X106" s="213">
        <v>33436.979999999996</v>
      </c>
      <c r="Y106" s="213">
        <v>37191.769999999997</v>
      </c>
      <c r="Z106" s="213">
        <v>31202.32</v>
      </c>
      <c r="AA106" s="213">
        <v>29524.07</v>
      </c>
      <c r="AB106" s="213">
        <v>14050.650000000001</v>
      </c>
      <c r="AC106" s="213">
        <v>14050.82</v>
      </c>
      <c r="AD106" s="213">
        <v>17737.66</v>
      </c>
      <c r="AE106" s="213">
        <v>19406.400000000001</v>
      </c>
      <c r="AF106" s="213">
        <v>23142.080000000002</v>
      </c>
      <c r="AG106" s="213">
        <v>16658.32</v>
      </c>
      <c r="AH106" s="213">
        <v>23142.39</v>
      </c>
      <c r="AI106" s="213">
        <v>27072.59</v>
      </c>
      <c r="AJ106" s="213">
        <v>19615.11</v>
      </c>
      <c r="AK106" s="213">
        <v>19168.219999999998</v>
      </c>
      <c r="AL106" s="213">
        <v>19260.8</v>
      </c>
      <c r="AM106" s="213">
        <v>21893.519999999997</v>
      </c>
      <c r="AN106" s="213">
        <v>20924.03</v>
      </c>
      <c r="AO106" s="213">
        <v>22383.07</v>
      </c>
      <c r="AP106" s="213">
        <v>24062.66</v>
      </c>
      <c r="AQ106" s="213">
        <v>20203.169999999998</v>
      </c>
      <c r="AR106" s="213">
        <v>31633.379999999997</v>
      </c>
      <c r="AS106" s="213">
        <v>23514.45</v>
      </c>
      <c r="AT106" s="213">
        <v>31935.69</v>
      </c>
      <c r="AU106" s="213">
        <v>35768.550000000003</v>
      </c>
      <c r="AV106" s="213">
        <v>44729.835039999991</v>
      </c>
      <c r="AW106" s="213">
        <v>46348.568373333321</v>
      </c>
      <c r="AX106" s="213">
        <v>46201.354484444433</v>
      </c>
      <c r="AY106" s="213">
        <v>50196.104484444419</v>
      </c>
      <c r="AZ106" s="213">
        <v>56531.285697955529</v>
      </c>
      <c r="BA106" s="213">
        <v>60710.148197955525</v>
      </c>
      <c r="BB106" s="213">
        <v>64889.010697955513</v>
      </c>
      <c r="BC106" s="213">
        <v>67396.328197955532</v>
      </c>
    </row>
    <row r="107" spans="1:55" x14ac:dyDescent="0.25">
      <c r="A107" s="209" t="s">
        <v>14</v>
      </c>
      <c r="B107" s="210" t="s">
        <v>403</v>
      </c>
      <c r="C107" t="s">
        <v>14</v>
      </c>
      <c r="D107" t="s">
        <v>404</v>
      </c>
      <c r="E107" t="s">
        <v>498</v>
      </c>
      <c r="F107" s="211">
        <v>6150</v>
      </c>
      <c r="G107" t="s">
        <v>405</v>
      </c>
      <c r="H107" s="213">
        <v>18638.22</v>
      </c>
      <c r="I107" s="213">
        <v>18542</v>
      </c>
      <c r="J107" s="213">
        <v>23762</v>
      </c>
      <c r="K107" s="213">
        <v>21004</v>
      </c>
      <c r="L107" s="213">
        <v>21004</v>
      </c>
      <c r="M107" s="213">
        <v>21004</v>
      </c>
      <c r="N107" s="213">
        <v>21004</v>
      </c>
      <c r="O107" s="213">
        <v>21504</v>
      </c>
      <c r="P107" s="213">
        <v>29738.65</v>
      </c>
      <c r="Q107" s="213">
        <v>17627.38</v>
      </c>
      <c r="R107" s="213">
        <v>23021.17</v>
      </c>
      <c r="S107" s="213">
        <v>53960.480000000003</v>
      </c>
      <c r="T107" s="213">
        <v>29667.85</v>
      </c>
      <c r="U107" s="213">
        <v>28729.279999999999</v>
      </c>
      <c r="V107" s="213">
        <v>30772.28</v>
      </c>
      <c r="W107" s="213">
        <v>30237.170000000002</v>
      </c>
      <c r="X107" s="213">
        <v>32984.85</v>
      </c>
      <c r="Y107" s="213">
        <v>30176.34</v>
      </c>
      <c r="Z107" s="213">
        <v>28877.58</v>
      </c>
      <c r="AA107" s="213">
        <v>29461.13</v>
      </c>
      <c r="AB107" s="213">
        <v>29261.24</v>
      </c>
      <c r="AC107" s="213">
        <v>32161.24</v>
      </c>
      <c r="AD107" s="213">
        <v>31590.240000000002</v>
      </c>
      <c r="AE107" s="213">
        <v>-59536.78</v>
      </c>
      <c r="AF107" s="213">
        <v>12537.79</v>
      </c>
      <c r="AG107" s="213">
        <v>-26407.559999999969</v>
      </c>
      <c r="AH107" s="213">
        <v>88054</v>
      </c>
      <c r="AI107" s="213">
        <v>40609.06</v>
      </c>
      <c r="AJ107" s="213">
        <v>43146.94</v>
      </c>
      <c r="AK107" s="213">
        <v>21737</v>
      </c>
      <c r="AL107" s="213">
        <v>43047</v>
      </c>
      <c r="AM107" s="213">
        <v>44750</v>
      </c>
      <c r="AN107" s="213">
        <v>3260</v>
      </c>
      <c r="AO107" s="213">
        <v>42923.78</v>
      </c>
      <c r="AP107" s="213">
        <v>-12017.78</v>
      </c>
      <c r="AQ107" s="213">
        <v>10662</v>
      </c>
      <c r="AR107" s="213">
        <v>42360</v>
      </c>
      <c r="AS107" s="213">
        <v>66847.98</v>
      </c>
      <c r="AT107" s="213">
        <v>46204.689999999988</v>
      </c>
      <c r="AU107" s="213">
        <v>157541.9</v>
      </c>
      <c r="AV107" s="213">
        <v>124202.09693333331</v>
      </c>
      <c r="AW107" s="213">
        <v>125280.26287433902</v>
      </c>
      <c r="AX107" s="213">
        <v>108256.80538545015</v>
      </c>
      <c r="AY107" s="213">
        <v>111391.31361278347</v>
      </c>
      <c r="AZ107" s="213">
        <v>120342.39268048384</v>
      </c>
      <c r="BA107" s="213">
        <v>124352.95983764075</v>
      </c>
      <c r="BB107" s="213">
        <v>127602.06500303728</v>
      </c>
      <c r="BC107" s="213">
        <v>130879.54378081509</v>
      </c>
    </row>
    <row r="108" spans="1:55" x14ac:dyDescent="0.25">
      <c r="A108" s="209" t="s">
        <v>14</v>
      </c>
      <c r="B108" s="210" t="s">
        <v>403</v>
      </c>
      <c r="C108" t="s">
        <v>14</v>
      </c>
      <c r="D108" t="s">
        <v>404</v>
      </c>
      <c r="E108" t="s">
        <v>498</v>
      </c>
      <c r="F108" s="211">
        <v>6112</v>
      </c>
      <c r="G108" t="s">
        <v>391</v>
      </c>
      <c r="H108" s="213">
        <v>0</v>
      </c>
      <c r="I108" s="213">
        <v>0</v>
      </c>
      <c r="J108" s="213">
        <v>0</v>
      </c>
      <c r="K108" s="213">
        <v>0</v>
      </c>
      <c r="L108" s="213">
        <v>0</v>
      </c>
      <c r="M108" s="213">
        <v>0</v>
      </c>
      <c r="N108" s="213">
        <v>0</v>
      </c>
      <c r="O108" s="213">
        <v>0</v>
      </c>
      <c r="P108" s="213">
        <v>0</v>
      </c>
      <c r="Q108" s="213">
        <v>0</v>
      </c>
      <c r="R108" s="213">
        <v>0</v>
      </c>
      <c r="S108" s="213">
        <v>0</v>
      </c>
      <c r="T108" s="213">
        <v>0</v>
      </c>
      <c r="U108" s="213">
        <v>0</v>
      </c>
      <c r="V108" s="213">
        <v>0</v>
      </c>
      <c r="W108" s="213">
        <v>0</v>
      </c>
      <c r="X108" s="213">
        <v>0</v>
      </c>
      <c r="Y108" s="213">
        <v>0</v>
      </c>
      <c r="Z108" s="213">
        <v>0</v>
      </c>
      <c r="AA108" s="213">
        <v>0</v>
      </c>
      <c r="AB108" s="213">
        <v>14149.52</v>
      </c>
      <c r="AC108" s="213">
        <v>11303</v>
      </c>
      <c r="AD108" s="213">
        <v>11347.02</v>
      </c>
      <c r="AE108" s="213">
        <v>16583.13</v>
      </c>
      <c r="AF108" s="213">
        <v>26642.04</v>
      </c>
      <c r="AG108" s="213">
        <v>18207.09</v>
      </c>
      <c r="AH108" s="213">
        <v>24030.77</v>
      </c>
      <c r="AI108" s="213">
        <v>20794</v>
      </c>
      <c r="AJ108" s="213">
        <v>20823.27</v>
      </c>
      <c r="AK108" s="213">
        <v>15513.94</v>
      </c>
      <c r="AL108" s="213">
        <v>20199.54</v>
      </c>
      <c r="AM108" s="213">
        <v>18491.82</v>
      </c>
      <c r="AN108" s="213">
        <v>15060.99</v>
      </c>
      <c r="AO108" s="213">
        <v>-40637.270000000004</v>
      </c>
      <c r="AP108" s="213">
        <v>43014.520000000004</v>
      </c>
      <c r="AQ108" s="213">
        <v>27117.79</v>
      </c>
      <c r="AR108" s="213">
        <v>33113.93</v>
      </c>
      <c r="AS108" s="213">
        <v>41714.36</v>
      </c>
      <c r="AT108" s="213">
        <v>29259.729999999996</v>
      </c>
      <c r="AU108" s="213">
        <v>54239.560000000005</v>
      </c>
      <c r="AV108" s="213">
        <v>48800.507589376641</v>
      </c>
      <c r="AW108" s="213">
        <v>45773.094827169611</v>
      </c>
      <c r="AX108" s="213">
        <v>44973.371314992401</v>
      </c>
      <c r="AY108" s="213">
        <v>47472.740173216771</v>
      </c>
      <c r="AZ108" s="213">
        <v>51717.033894471308</v>
      </c>
      <c r="BA108" s="213">
        <v>46959.429724186666</v>
      </c>
      <c r="BB108" s="213">
        <v>46789.619234519378</v>
      </c>
      <c r="BC108" s="213">
        <v>74673.043886839805</v>
      </c>
    </row>
    <row r="109" spans="1:55" x14ac:dyDescent="0.25">
      <c r="A109" s="209" t="s">
        <v>14</v>
      </c>
      <c r="B109" s="210" t="s">
        <v>403</v>
      </c>
      <c r="C109" t="s">
        <v>14</v>
      </c>
      <c r="D109" t="s">
        <v>404</v>
      </c>
      <c r="E109" t="s">
        <v>498</v>
      </c>
      <c r="F109" s="211">
        <v>6350</v>
      </c>
      <c r="G109" t="s">
        <v>393</v>
      </c>
      <c r="H109" s="213">
        <v>0</v>
      </c>
      <c r="I109" s="213">
        <v>74.52</v>
      </c>
      <c r="J109" s="213">
        <v>0</v>
      </c>
      <c r="K109" s="213">
        <v>385</v>
      </c>
      <c r="L109" s="213">
        <v>1025</v>
      </c>
      <c r="M109" s="213">
        <v>0</v>
      </c>
      <c r="N109" s="213">
        <v>1500</v>
      </c>
      <c r="O109" s="213">
        <v>40</v>
      </c>
      <c r="P109" s="213">
        <v>50</v>
      </c>
      <c r="Q109" s="213">
        <v>93.75</v>
      </c>
      <c r="R109" s="213">
        <v>224</v>
      </c>
      <c r="S109" s="213">
        <v>380</v>
      </c>
      <c r="T109" s="213">
        <v>0</v>
      </c>
      <c r="U109" s="213">
        <v>0</v>
      </c>
      <c r="V109" s="213">
        <v>430.91</v>
      </c>
      <c r="W109" s="213">
        <v>3569.85</v>
      </c>
      <c r="X109" s="213">
        <v>535</v>
      </c>
      <c r="Y109" s="213">
        <v>5242.3999999999996</v>
      </c>
      <c r="Z109" s="213">
        <v>0</v>
      </c>
      <c r="AA109" s="213">
        <v>50</v>
      </c>
      <c r="AB109" s="213">
        <v>0</v>
      </c>
      <c r="AC109" s="213">
        <v>174.4</v>
      </c>
      <c r="AD109" s="213">
        <v>0</v>
      </c>
      <c r="AE109" s="213">
        <v>0</v>
      </c>
      <c r="AF109" s="213">
        <v>0</v>
      </c>
      <c r="AG109" s="213">
        <v>9040</v>
      </c>
      <c r="AH109" s="213">
        <v>24120.37</v>
      </c>
      <c r="AI109" s="213">
        <v>3225</v>
      </c>
      <c r="AJ109" s="213">
        <v>2620</v>
      </c>
      <c r="AK109" s="213">
        <v>17495</v>
      </c>
      <c r="AL109" s="213">
        <v>4500</v>
      </c>
      <c r="AM109" s="213">
        <v>4974</v>
      </c>
      <c r="AN109" s="213">
        <v>17244</v>
      </c>
      <c r="AO109" s="213">
        <v>4539</v>
      </c>
      <c r="AP109" s="213">
        <v>8762.5500000000011</v>
      </c>
      <c r="AQ109" s="213">
        <v>24480.27</v>
      </c>
      <c r="AR109" s="213">
        <v>5594</v>
      </c>
      <c r="AS109" s="213">
        <v>4794</v>
      </c>
      <c r="AT109" s="213">
        <v>4539</v>
      </c>
      <c r="AU109" s="213">
        <v>4952.32</v>
      </c>
      <c r="AV109" s="213">
        <v>3066.6666666666665</v>
      </c>
      <c r="AW109" s="213">
        <v>3266.6666666666665</v>
      </c>
      <c r="AX109" s="213">
        <v>3533.3333333333335</v>
      </c>
      <c r="AY109" s="213">
        <v>3800</v>
      </c>
      <c r="AZ109" s="213">
        <v>4133.333333333333</v>
      </c>
      <c r="BA109" s="213">
        <v>4400</v>
      </c>
      <c r="BB109" s="213">
        <v>4666.666666666667</v>
      </c>
      <c r="BC109" s="213">
        <v>4866.666666666667</v>
      </c>
    </row>
    <row r="110" spans="1:55" x14ac:dyDescent="0.25">
      <c r="A110" s="209" t="s">
        <v>14</v>
      </c>
      <c r="B110" s="210" t="s">
        <v>403</v>
      </c>
      <c r="C110" t="s">
        <v>14</v>
      </c>
      <c r="D110" t="s">
        <v>404</v>
      </c>
      <c r="E110" t="s">
        <v>508</v>
      </c>
      <c r="F110" s="211">
        <v>6400</v>
      </c>
      <c r="G110" t="s">
        <v>395</v>
      </c>
      <c r="H110" s="213">
        <v>848.86</v>
      </c>
      <c r="I110" s="213">
        <v>3518.83</v>
      </c>
      <c r="J110" s="213">
        <v>395.67</v>
      </c>
      <c r="K110" s="213">
        <v>204.15</v>
      </c>
      <c r="L110" s="213">
        <v>215.68</v>
      </c>
      <c r="M110" s="213">
        <v>256.41000000000003</v>
      </c>
      <c r="N110" s="213">
        <v>1332.3</v>
      </c>
      <c r="O110" s="213">
        <v>4973.7700000000004</v>
      </c>
      <c r="P110" s="213">
        <v>1995.67</v>
      </c>
      <c r="Q110" s="213">
        <v>378.09</v>
      </c>
      <c r="R110" s="213">
        <v>1180.17</v>
      </c>
      <c r="S110" s="213">
        <v>3490.97</v>
      </c>
      <c r="T110" s="213">
        <v>153.38999999999999</v>
      </c>
      <c r="U110" s="213">
        <v>433.45000000000005</v>
      </c>
      <c r="V110" s="213">
        <v>877.81000000000006</v>
      </c>
      <c r="W110" s="213">
        <v>455.66999999999996</v>
      </c>
      <c r="X110" s="213">
        <v>3211.46</v>
      </c>
      <c r="Y110" s="213">
        <v>1224.17</v>
      </c>
      <c r="Z110" s="213">
        <v>314.29999999999995</v>
      </c>
      <c r="AA110" s="213">
        <v>2127.13</v>
      </c>
      <c r="AB110" s="213">
        <v>4398.0200000000004</v>
      </c>
      <c r="AC110" s="213">
        <v>351.01</v>
      </c>
      <c r="AD110" s="213">
        <v>1261.33</v>
      </c>
      <c r="AE110" s="213">
        <v>2041.42</v>
      </c>
      <c r="AF110" s="213">
        <v>738.14</v>
      </c>
      <c r="AG110" s="213">
        <v>2026.83</v>
      </c>
      <c r="AH110" s="213">
        <v>50</v>
      </c>
      <c r="AI110" s="213">
        <v>174.64</v>
      </c>
      <c r="AJ110" s="213">
        <v>4300.58</v>
      </c>
      <c r="AK110" s="213">
        <v>1646.06</v>
      </c>
      <c r="AL110" s="213">
        <v>527.23</v>
      </c>
      <c r="AM110" s="213">
        <v>1043.1300000000001</v>
      </c>
      <c r="AN110" s="213">
        <v>3984.75</v>
      </c>
      <c r="AO110" s="213">
        <v>328.89</v>
      </c>
      <c r="AP110" s="213">
        <v>1115.8699999999999</v>
      </c>
      <c r="AQ110" s="213">
        <v>5238.45</v>
      </c>
      <c r="AR110" s="213">
        <v>2683.9300000000003</v>
      </c>
      <c r="AS110" s="213">
        <v>1460.06</v>
      </c>
      <c r="AT110" s="213">
        <v>2234.09</v>
      </c>
      <c r="AU110" s="213">
        <v>1609.2599999999998</v>
      </c>
      <c r="AV110" s="213">
        <v>1533.3333333333333</v>
      </c>
      <c r="AW110" s="213">
        <v>1633.3333333333333</v>
      </c>
      <c r="AX110" s="213">
        <v>1766.6666666666667</v>
      </c>
      <c r="AY110" s="213">
        <v>1900</v>
      </c>
      <c r="AZ110" s="213">
        <v>2066.6666666666665</v>
      </c>
      <c r="BA110" s="213">
        <v>2200</v>
      </c>
      <c r="BB110" s="213">
        <v>2333.3333333333335</v>
      </c>
      <c r="BC110" s="213">
        <v>2433.3333333333335</v>
      </c>
    </row>
    <row r="111" spans="1:55" x14ac:dyDescent="0.25">
      <c r="A111" s="209" t="s">
        <v>14</v>
      </c>
      <c r="B111" s="210" t="s">
        <v>406</v>
      </c>
      <c r="C111" t="s">
        <v>14</v>
      </c>
      <c r="D111" t="s">
        <v>404</v>
      </c>
      <c r="E111" t="s">
        <v>508</v>
      </c>
      <c r="F111" s="211">
        <v>7150</v>
      </c>
      <c r="G111" t="s">
        <v>397</v>
      </c>
      <c r="H111" s="213">
        <v>3902.65</v>
      </c>
      <c r="I111" s="213">
        <v>8683.2700000000023</v>
      </c>
      <c r="J111" s="213">
        <v>9055.8499999999985</v>
      </c>
      <c r="K111" s="213">
        <v>15202.53</v>
      </c>
      <c r="L111" s="213">
        <v>14402.97</v>
      </c>
      <c r="M111" s="213">
        <v>10930.74</v>
      </c>
      <c r="N111" s="213">
        <v>12926.1</v>
      </c>
      <c r="O111" s="213">
        <v>12742.39</v>
      </c>
      <c r="P111" s="213">
        <v>9983.380000000001</v>
      </c>
      <c r="Q111" s="213">
        <v>8200.7900000000009</v>
      </c>
      <c r="R111" s="213">
        <v>13472.24</v>
      </c>
      <c r="S111" s="213">
        <v>43468.759999999995</v>
      </c>
      <c r="T111" s="213">
        <v>18443.75</v>
      </c>
      <c r="U111" s="213">
        <v>24305.730000000003</v>
      </c>
      <c r="V111" s="213">
        <v>45107.07</v>
      </c>
      <c r="W111" s="213">
        <v>37144.139999999992</v>
      </c>
      <c r="X111" s="213">
        <v>20784.8</v>
      </c>
      <c r="Y111" s="213">
        <v>17956.96</v>
      </c>
      <c r="Z111" s="213">
        <v>30394.269999999997</v>
      </c>
      <c r="AA111" s="213">
        <v>22659.35</v>
      </c>
      <c r="AB111" s="213">
        <v>26686.109999999997</v>
      </c>
      <c r="AC111" s="213">
        <v>36930.150000000009</v>
      </c>
      <c r="AD111" s="213">
        <v>14695.460000000001</v>
      </c>
      <c r="AE111" s="213">
        <v>36650.54</v>
      </c>
      <c r="AF111" s="213">
        <v>51960.549999999988</v>
      </c>
      <c r="AG111" s="213">
        <v>-4862.95</v>
      </c>
      <c r="AH111" s="213">
        <v>661.67000000000053</v>
      </c>
      <c r="AI111" s="213">
        <v>-891.07</v>
      </c>
      <c r="AJ111" s="213">
        <v>1189.58</v>
      </c>
      <c r="AK111" s="213">
        <v>214.44</v>
      </c>
      <c r="AL111" s="213">
        <v>1125.94</v>
      </c>
      <c r="AM111" s="213">
        <v>1965.26</v>
      </c>
      <c r="AN111" s="213">
        <v>2381.65</v>
      </c>
      <c r="AO111" s="213">
        <v>1750.66</v>
      </c>
      <c r="AP111" s="213">
        <v>177.67000000000002</v>
      </c>
      <c r="AQ111" s="213">
        <v>1164.49</v>
      </c>
      <c r="AR111" s="213">
        <v>1985.9499999999998</v>
      </c>
      <c r="AS111" s="213">
        <v>15840.05</v>
      </c>
      <c r="AT111" s="213">
        <v>3138.1800000000003</v>
      </c>
      <c r="AU111" s="213">
        <v>33341.919999999998</v>
      </c>
      <c r="AV111" s="213">
        <v>15000</v>
      </c>
      <c r="AW111" s="213">
        <v>20000</v>
      </c>
      <c r="AX111" s="213">
        <v>10000</v>
      </c>
      <c r="AY111" s="213">
        <v>10754.716981132075</v>
      </c>
      <c r="AZ111" s="213">
        <v>11698.113207547171</v>
      </c>
      <c r="BA111" s="213">
        <v>12452.830188679245</v>
      </c>
      <c r="BB111" s="213">
        <v>13207.54716981132</v>
      </c>
      <c r="BC111" s="213">
        <v>13773.584905660377</v>
      </c>
    </row>
    <row r="112" spans="1:55" x14ac:dyDescent="0.25">
      <c r="A112" s="209" t="s">
        <v>14</v>
      </c>
      <c r="B112" s="210" t="s">
        <v>407</v>
      </c>
      <c r="C112" t="s">
        <v>14</v>
      </c>
      <c r="D112" t="s">
        <v>404</v>
      </c>
      <c r="E112" t="s">
        <v>408</v>
      </c>
      <c r="F112" s="211">
        <v>6950</v>
      </c>
      <c r="G112" t="s">
        <v>408</v>
      </c>
      <c r="H112" s="213">
        <v>122896.46</v>
      </c>
      <c r="I112" s="213">
        <v>134629.62</v>
      </c>
      <c r="J112" s="213">
        <v>146267.34</v>
      </c>
      <c r="K112" s="213">
        <v>153466.87</v>
      </c>
      <c r="L112" s="213">
        <v>167808.17</v>
      </c>
      <c r="M112" s="213">
        <v>168190.6</v>
      </c>
      <c r="N112" s="213">
        <v>165346.98000000001</v>
      </c>
      <c r="O112" s="213">
        <v>166607.34</v>
      </c>
      <c r="P112" s="213">
        <v>171706.53</v>
      </c>
      <c r="Q112" s="213">
        <v>173385.62</v>
      </c>
      <c r="R112" s="213">
        <v>207926.3</v>
      </c>
      <c r="S112" s="213">
        <v>221234.04</v>
      </c>
      <c r="T112" s="213">
        <v>222457.22</v>
      </c>
      <c r="U112" s="213">
        <v>205501.44</v>
      </c>
      <c r="V112" s="213">
        <v>210496.12</v>
      </c>
      <c r="W112" s="213">
        <v>239696.77000000002</v>
      </c>
      <c r="X112" s="213">
        <v>167269.32</v>
      </c>
      <c r="Y112" s="213">
        <v>208783.34</v>
      </c>
      <c r="Z112" s="213">
        <v>214813.29</v>
      </c>
      <c r="AA112" s="213">
        <v>202038.46000000002</v>
      </c>
      <c r="AB112" s="213">
        <v>224965.59</v>
      </c>
      <c r="AC112" s="213">
        <v>267084.5</v>
      </c>
      <c r="AD112" s="213">
        <v>223741.45</v>
      </c>
      <c r="AE112" s="213">
        <v>310799.19</v>
      </c>
      <c r="AF112" s="213">
        <v>226194.35</v>
      </c>
      <c r="AG112" s="213">
        <v>348112.85000000003</v>
      </c>
      <c r="AH112" s="213">
        <v>477360.80999999976</v>
      </c>
      <c r="AI112" s="213">
        <v>292689.87</v>
      </c>
      <c r="AJ112" s="213">
        <v>297919.80000000005</v>
      </c>
      <c r="AK112" s="213">
        <v>345346.86</v>
      </c>
      <c r="AL112" s="213">
        <v>300147.21000000002</v>
      </c>
      <c r="AM112" s="213">
        <v>269255.62</v>
      </c>
      <c r="AN112" s="213">
        <v>314545.86</v>
      </c>
      <c r="AO112" s="213">
        <v>277320.55</v>
      </c>
      <c r="AP112" s="213">
        <v>288618.11000000004</v>
      </c>
      <c r="AQ112" s="213">
        <v>330871.86</v>
      </c>
      <c r="AR112" s="213">
        <v>285559.10000000003</v>
      </c>
      <c r="AS112" s="213">
        <v>287741.32</v>
      </c>
      <c r="AT112" s="213">
        <v>444483.99</v>
      </c>
      <c r="AU112" s="213">
        <v>332160.94999999995</v>
      </c>
      <c r="AV112" s="213">
        <v>396484.19666666671</v>
      </c>
      <c r="AW112" s="213">
        <v>396484.19666666671</v>
      </c>
      <c r="AX112" s="213">
        <v>463150.86333333334</v>
      </c>
      <c r="AY112" s="213">
        <v>463150.86333333334</v>
      </c>
      <c r="AZ112" s="213">
        <v>463150.86333333334</v>
      </c>
      <c r="BA112" s="213">
        <v>463150.86333333334</v>
      </c>
      <c r="BB112" s="213">
        <v>463150.86333333334</v>
      </c>
      <c r="BC112" s="213">
        <v>932140.56333333324</v>
      </c>
    </row>
    <row r="113" spans="1:55" x14ac:dyDescent="0.25">
      <c r="A113" s="209" t="s">
        <v>14</v>
      </c>
      <c r="B113" s="210" t="s">
        <v>407</v>
      </c>
      <c r="C113" t="s">
        <v>14</v>
      </c>
      <c r="D113" t="s">
        <v>404</v>
      </c>
      <c r="E113" t="s">
        <v>508</v>
      </c>
      <c r="F113" s="211">
        <v>6665</v>
      </c>
      <c r="G113" t="s">
        <v>409</v>
      </c>
      <c r="H113" s="213">
        <v>19126.04</v>
      </c>
      <c r="I113" s="213">
        <v>18436.740000000002</v>
      </c>
      <c r="J113" s="213">
        <v>19255.54</v>
      </c>
      <c r="K113" s="213">
        <v>19702.87</v>
      </c>
      <c r="L113" s="213">
        <v>22228.04</v>
      </c>
      <c r="M113" s="213">
        <v>25268.27</v>
      </c>
      <c r="N113" s="213">
        <v>31389.88</v>
      </c>
      <c r="O113" s="213">
        <v>36040.31</v>
      </c>
      <c r="P113" s="213">
        <v>54437.37</v>
      </c>
      <c r="Q113" s="213">
        <v>33194.33</v>
      </c>
      <c r="R113" s="213">
        <v>38522.800000000003</v>
      </c>
      <c r="S113" s="213">
        <v>36872.92</v>
      </c>
      <c r="T113" s="213">
        <v>34881.370000000003</v>
      </c>
      <c r="U113" s="213">
        <v>36000.35</v>
      </c>
      <c r="V113" s="213">
        <v>43020.2</v>
      </c>
      <c r="W113" s="213">
        <v>38020.53</v>
      </c>
      <c r="X113" s="213">
        <v>37000.5</v>
      </c>
      <c r="Y113" s="213">
        <v>34425.339999999997</v>
      </c>
      <c r="Z113" s="213">
        <v>43377.47</v>
      </c>
      <c r="AA113" s="213">
        <v>40142.370000000003</v>
      </c>
      <c r="AB113" s="213">
        <v>55728.04</v>
      </c>
      <c r="AC113" s="213">
        <v>49000.34</v>
      </c>
      <c r="AD113" s="213">
        <v>49037.47</v>
      </c>
      <c r="AE113" s="213">
        <v>60128.84</v>
      </c>
      <c r="AF113" s="213">
        <v>67087.92</v>
      </c>
      <c r="AG113" s="213">
        <v>62629</v>
      </c>
      <c r="AH113" s="213">
        <v>-114797.32</v>
      </c>
      <c r="AI113" s="213">
        <v>33325.22</v>
      </c>
      <c r="AJ113" s="213">
        <v>47537.73</v>
      </c>
      <c r="AK113" s="213">
        <v>55133</v>
      </c>
      <c r="AL113" s="213">
        <v>54488.77</v>
      </c>
      <c r="AM113" s="213">
        <v>55913.21</v>
      </c>
      <c r="AN113" s="213">
        <v>55949</v>
      </c>
      <c r="AO113" s="213">
        <v>38571.879999999997</v>
      </c>
      <c r="AP113" s="213">
        <v>39241.21</v>
      </c>
      <c r="AQ113" s="213">
        <v>39715</v>
      </c>
      <c r="AR113" s="213">
        <v>40868.9</v>
      </c>
      <c r="AS113" s="213">
        <v>40930.9</v>
      </c>
      <c r="AT113" s="213">
        <v>41109</v>
      </c>
      <c r="AU113" s="213">
        <v>22775.94</v>
      </c>
      <c r="AV113" s="213">
        <v>75287.52328767124</v>
      </c>
      <c r="AW113" s="213">
        <v>78017.52328767124</v>
      </c>
      <c r="AX113" s="213">
        <v>82827.52328767124</v>
      </c>
      <c r="AY113" s="213">
        <v>87507.52328767124</v>
      </c>
      <c r="AZ113" s="213">
        <v>90367.52328767124</v>
      </c>
      <c r="BA113" s="213">
        <v>94657.52328767124</v>
      </c>
      <c r="BB113" s="213">
        <v>99207.52328767124</v>
      </c>
      <c r="BC113" s="213">
        <v>102457.52328767124</v>
      </c>
    </row>
    <row r="114" spans="1:55" x14ac:dyDescent="0.25">
      <c r="A114" s="209" t="s">
        <v>14</v>
      </c>
      <c r="B114" s="210" t="s">
        <v>407</v>
      </c>
      <c r="C114" t="s">
        <v>14</v>
      </c>
      <c r="D114" t="s">
        <v>404</v>
      </c>
      <c r="E114" t="s">
        <v>508</v>
      </c>
      <c r="F114" s="211">
        <v>7110</v>
      </c>
      <c r="G114" t="s">
        <v>410</v>
      </c>
      <c r="H114" s="215">
        <v>3232.53</v>
      </c>
      <c r="I114" s="215">
        <v>29434.94</v>
      </c>
      <c r="J114" s="215">
        <v>2669.35</v>
      </c>
      <c r="K114" s="215">
        <v>57655.54</v>
      </c>
      <c r="L114" s="215">
        <v>-4453.2</v>
      </c>
      <c r="M114" s="215">
        <v>21252.59</v>
      </c>
      <c r="N114" s="215">
        <v>-10778.43</v>
      </c>
      <c r="O114" s="215">
        <v>2.2000000000000002</v>
      </c>
      <c r="P114" s="215">
        <v>7209.84</v>
      </c>
      <c r="Q114" s="215">
        <v>7214.56</v>
      </c>
      <c r="R114" s="215">
        <v>3550.09</v>
      </c>
      <c r="S114" s="215">
        <v>137456.28</v>
      </c>
      <c r="T114" s="215">
        <v>27847.649999999994</v>
      </c>
      <c r="U114" s="215">
        <v>1684.6599999999999</v>
      </c>
      <c r="V114" s="215">
        <v>41946.369999999995</v>
      </c>
      <c r="W114" s="215">
        <v>5566.34</v>
      </c>
      <c r="X114" s="215">
        <v>6961.55</v>
      </c>
      <c r="Y114" s="215">
        <v>33138.589999999997</v>
      </c>
      <c r="Z114" s="215">
        <v>30370.21</v>
      </c>
      <c r="AA114" s="215">
        <v>5832</v>
      </c>
      <c r="AB114" s="215">
        <v>56269.07</v>
      </c>
      <c r="AC114" s="215">
        <v>25891.58</v>
      </c>
      <c r="AD114" s="215">
        <v>9129.9</v>
      </c>
      <c r="AE114" s="215">
        <v>-117336.2</v>
      </c>
      <c r="AF114" s="215">
        <v>44237.8</v>
      </c>
      <c r="AG114" s="215">
        <v>143.11000000000001</v>
      </c>
      <c r="AH114" s="215">
        <v>44109.760000000002</v>
      </c>
      <c r="AI114" s="215">
        <v>0</v>
      </c>
      <c r="AJ114" s="215">
        <v>-2504.81</v>
      </c>
      <c r="AK114" s="215">
        <v>51562.19</v>
      </c>
      <c r="AL114" s="215">
        <v>11113.04</v>
      </c>
      <c r="AM114" s="215">
        <v>20082.27</v>
      </c>
      <c r="AN114" s="215">
        <v>43160.55</v>
      </c>
      <c r="AO114" s="215">
        <v>20009.620000000003</v>
      </c>
      <c r="AP114" s="215">
        <v>-8509.5499999999993</v>
      </c>
      <c r="AQ114" s="215">
        <v>564.79999999999995</v>
      </c>
      <c r="AR114" s="215">
        <v>119911.35</v>
      </c>
      <c r="AS114" s="215">
        <v>10890.82</v>
      </c>
      <c r="AT114" s="215">
        <v>-12100.73</v>
      </c>
      <c r="AU114" s="215">
        <v>26723.59</v>
      </c>
      <c r="AV114" s="215">
        <v>4000</v>
      </c>
      <c r="AW114" s="215">
        <v>144625</v>
      </c>
      <c r="AX114" s="215">
        <v>4000</v>
      </c>
      <c r="AY114" s="215">
        <v>4000</v>
      </c>
      <c r="AZ114" s="215">
        <v>144625</v>
      </c>
      <c r="BA114" s="215">
        <v>4000</v>
      </c>
      <c r="BB114" s="215">
        <v>4000</v>
      </c>
      <c r="BC114" s="215">
        <v>144625</v>
      </c>
    </row>
    <row r="115" spans="1:55" x14ac:dyDescent="0.25">
      <c r="A115" s="209" t="s">
        <v>14</v>
      </c>
      <c r="B115" s="210" t="s">
        <v>407</v>
      </c>
      <c r="C115" t="s">
        <v>14</v>
      </c>
      <c r="D115" t="s">
        <v>404</v>
      </c>
      <c r="E115" t="s">
        <v>508</v>
      </c>
      <c r="F115" s="211">
        <v>6600</v>
      </c>
      <c r="G115" t="s">
        <v>411</v>
      </c>
      <c r="H115" s="213">
        <v>5536.96</v>
      </c>
      <c r="I115" s="213">
        <v>7101.71</v>
      </c>
      <c r="J115" s="213">
        <v>2798.48</v>
      </c>
      <c r="K115" s="213">
        <v>4145.09</v>
      </c>
      <c r="L115" s="213">
        <v>2841.84</v>
      </c>
      <c r="M115" s="213">
        <v>3104</v>
      </c>
      <c r="N115" s="213">
        <v>5344.14</v>
      </c>
      <c r="O115" s="213">
        <v>5296.22</v>
      </c>
      <c r="P115" s="213">
        <v>-17837.599999999999</v>
      </c>
      <c r="Q115" s="213">
        <v>4818.3999999999996</v>
      </c>
      <c r="R115" s="213">
        <v>4650.92</v>
      </c>
      <c r="S115" s="213">
        <v>22235.08</v>
      </c>
      <c r="T115" s="213">
        <v>8918.0600000000013</v>
      </c>
      <c r="U115" s="213">
        <v>3309.44</v>
      </c>
      <c r="V115" s="213">
        <v>18184.53</v>
      </c>
      <c r="W115" s="213">
        <v>20600.39</v>
      </c>
      <c r="X115" s="213">
        <v>6579.92</v>
      </c>
      <c r="Y115" s="213">
        <v>19199.71</v>
      </c>
      <c r="Z115" s="213">
        <v>11824.9</v>
      </c>
      <c r="AA115" s="213">
        <v>10489.93</v>
      </c>
      <c r="AB115" s="213">
        <v>7624.15</v>
      </c>
      <c r="AC115" s="213">
        <v>14541.13</v>
      </c>
      <c r="AD115" s="213">
        <v>11314.43</v>
      </c>
      <c r="AE115" s="213">
        <v>15995.46</v>
      </c>
      <c r="AF115" s="213">
        <v>8998.9500000000007</v>
      </c>
      <c r="AG115" s="213">
        <v>24758.27</v>
      </c>
      <c r="AH115" s="213">
        <v>-9530.3700000000008</v>
      </c>
      <c r="AI115" s="213">
        <v>13977.63</v>
      </c>
      <c r="AJ115" s="213">
        <v>6021.61</v>
      </c>
      <c r="AK115" s="213">
        <v>7727.92</v>
      </c>
      <c r="AL115" s="213">
        <v>14086.22</v>
      </c>
      <c r="AM115" s="213">
        <v>14790.96</v>
      </c>
      <c r="AN115" s="213">
        <v>27897.73</v>
      </c>
      <c r="AO115" s="213">
        <v>18998.509999999998</v>
      </c>
      <c r="AP115" s="213">
        <v>13992.08</v>
      </c>
      <c r="AQ115" s="213">
        <v>15447.05</v>
      </c>
      <c r="AR115" s="213">
        <v>15442.67</v>
      </c>
      <c r="AS115" s="213">
        <v>16939.150000000001</v>
      </c>
      <c r="AT115" s="213">
        <v>19355.849999999999</v>
      </c>
      <c r="AU115" s="213">
        <v>18915.04</v>
      </c>
      <c r="AV115" s="213">
        <v>27697.865978506787</v>
      </c>
      <c r="AW115" s="213">
        <v>32773.929406720701</v>
      </c>
      <c r="AX115" s="213">
        <v>32773.929406720701</v>
      </c>
      <c r="AY115" s="213">
        <v>32773.929406720701</v>
      </c>
      <c r="AZ115" s="213">
        <v>32773.929406720701</v>
      </c>
      <c r="BA115" s="213">
        <v>32773.929406720701</v>
      </c>
      <c r="BB115" s="213">
        <v>32773.929406720701</v>
      </c>
      <c r="BC115" s="213">
        <v>32773.929406720701</v>
      </c>
    </row>
    <row r="116" spans="1:55" x14ac:dyDescent="0.25">
      <c r="A116" s="209" t="s">
        <v>14</v>
      </c>
      <c r="B116" s="210" t="s">
        <v>407</v>
      </c>
      <c r="C116" t="s">
        <v>14</v>
      </c>
      <c r="D116" t="s">
        <v>404</v>
      </c>
      <c r="E116" t="s">
        <v>508</v>
      </c>
      <c r="F116" s="211">
        <v>6800</v>
      </c>
      <c r="G116" t="s">
        <v>2</v>
      </c>
      <c r="H116" s="213">
        <v>1230.98</v>
      </c>
      <c r="I116" s="213">
        <v>610.76</v>
      </c>
      <c r="J116" s="213">
        <v>750.09</v>
      </c>
      <c r="K116" s="213">
        <v>285.97000000000003</v>
      </c>
      <c r="L116" s="213">
        <v>783.25</v>
      </c>
      <c r="M116" s="213">
        <v>206.39</v>
      </c>
      <c r="N116" s="213">
        <v>526.35</v>
      </c>
      <c r="O116" s="213">
        <v>0</v>
      </c>
      <c r="P116" s="213">
        <v>1115.72</v>
      </c>
      <c r="Q116" s="213">
        <v>503.79</v>
      </c>
      <c r="R116" s="213">
        <v>1563.49</v>
      </c>
      <c r="S116" s="213">
        <v>0</v>
      </c>
      <c r="T116" s="213">
        <v>2609.8200000000002</v>
      </c>
      <c r="U116" s="213">
        <v>-10737.52</v>
      </c>
      <c r="V116" s="213">
        <v>0</v>
      </c>
      <c r="W116" s="213">
        <v>14387.76</v>
      </c>
      <c r="X116" s="213">
        <v>0</v>
      </c>
      <c r="Y116" s="213">
        <v>0</v>
      </c>
      <c r="Z116" s="213">
        <v>0</v>
      </c>
      <c r="AA116" s="213">
        <v>0</v>
      </c>
      <c r="AB116" s="213">
        <v>0</v>
      </c>
      <c r="AC116" s="213">
        <v>0</v>
      </c>
      <c r="AD116" s="213">
        <v>1096.3599999999999</v>
      </c>
      <c r="AE116" s="213">
        <v>501.34</v>
      </c>
      <c r="AF116" s="213">
        <v>0</v>
      </c>
      <c r="AG116" s="213">
        <v>-1938.02</v>
      </c>
      <c r="AH116" s="213">
        <v>1938.02</v>
      </c>
      <c r="AI116" s="213">
        <v>-27.51</v>
      </c>
      <c r="AJ116" s="213">
        <v>0</v>
      </c>
      <c r="AK116" s="213">
        <v>0</v>
      </c>
      <c r="AL116" s="213">
        <v>0</v>
      </c>
      <c r="AM116" s="213">
        <v>0</v>
      </c>
      <c r="AN116" s="213">
        <v>0</v>
      </c>
      <c r="AO116" s="213">
        <v>16.079999999999998</v>
      </c>
      <c r="AP116" s="213">
        <v>12233.48</v>
      </c>
      <c r="AQ116" s="213">
        <v>5659.89</v>
      </c>
      <c r="AR116" s="213">
        <v>0</v>
      </c>
      <c r="AS116" s="213">
        <v>24.82</v>
      </c>
      <c r="AT116" s="213">
        <v>-464.24</v>
      </c>
      <c r="AU116" s="213">
        <v>215.25</v>
      </c>
      <c r="AV116" s="213">
        <v>784.60000000000014</v>
      </c>
      <c r="AW116" s="213">
        <v>784.60000000000014</v>
      </c>
      <c r="AX116" s="213">
        <v>784.60000000000014</v>
      </c>
      <c r="AY116" s="213">
        <v>784.60000000000014</v>
      </c>
      <c r="AZ116" s="213">
        <v>784.60000000000014</v>
      </c>
      <c r="BA116" s="213">
        <v>784.60000000000014</v>
      </c>
      <c r="BB116" s="213">
        <v>784.60000000000014</v>
      </c>
      <c r="BC116" s="213">
        <v>784.60000000000014</v>
      </c>
    </row>
    <row r="117" spans="1:55" x14ac:dyDescent="0.25">
      <c r="A117" s="209" t="s">
        <v>14</v>
      </c>
      <c r="B117" s="210" t="s">
        <v>407</v>
      </c>
      <c r="C117" t="s">
        <v>14</v>
      </c>
      <c r="D117" t="s">
        <v>404</v>
      </c>
      <c r="E117" t="s">
        <v>508</v>
      </c>
      <c r="F117" s="211">
        <v>6810</v>
      </c>
      <c r="G117" t="s">
        <v>412</v>
      </c>
      <c r="H117" s="213">
        <v>749.81</v>
      </c>
      <c r="I117" s="213">
        <v>1174.8900000000001</v>
      </c>
      <c r="J117" s="213">
        <v>735.71</v>
      </c>
      <c r="K117" s="213">
        <v>899.11</v>
      </c>
      <c r="L117" s="213">
        <v>1396.26</v>
      </c>
      <c r="M117" s="213">
        <v>1791.42</v>
      </c>
      <c r="N117" s="213">
        <v>2260.16</v>
      </c>
      <c r="O117" s="213">
        <v>2541.08</v>
      </c>
      <c r="P117" s="213">
        <v>4356.2700000000004</v>
      </c>
      <c r="Q117" s="213">
        <v>5209.55</v>
      </c>
      <c r="R117" s="213">
        <v>4487.22</v>
      </c>
      <c r="S117" s="213">
        <v>2003.27</v>
      </c>
      <c r="T117" s="213">
        <v>4977.3600000000006</v>
      </c>
      <c r="U117" s="213">
        <v>6085.52</v>
      </c>
      <c r="V117" s="213">
        <v>4088.54</v>
      </c>
      <c r="W117" s="213">
        <v>3472.52</v>
      </c>
      <c r="X117" s="213">
        <v>4957.3500000000004</v>
      </c>
      <c r="Y117" s="213">
        <v>6663.86</v>
      </c>
      <c r="Z117" s="213">
        <v>4999.7299999999996</v>
      </c>
      <c r="AA117" s="213">
        <v>2971.55</v>
      </c>
      <c r="AB117" s="213">
        <v>2494.33</v>
      </c>
      <c r="AC117" s="213">
        <v>3494.95</v>
      </c>
      <c r="AD117" s="213">
        <v>1939.57</v>
      </c>
      <c r="AE117" s="213">
        <v>4440.9799999999996</v>
      </c>
      <c r="AF117" s="213">
        <v>13715.199999999999</v>
      </c>
      <c r="AG117" s="213">
        <v>5853.75</v>
      </c>
      <c r="AH117" s="213">
        <v>6466.14</v>
      </c>
      <c r="AI117" s="213">
        <v>5008.28</v>
      </c>
      <c r="AJ117" s="213">
        <v>2038.5</v>
      </c>
      <c r="AK117" s="213">
        <v>1911.36</v>
      </c>
      <c r="AL117" s="213">
        <v>3332.2</v>
      </c>
      <c r="AM117" s="213">
        <v>6299.72</v>
      </c>
      <c r="AN117" s="213">
        <v>5659.71</v>
      </c>
      <c r="AO117" s="213">
        <v>8886.93</v>
      </c>
      <c r="AP117" s="213">
        <v>5883.3</v>
      </c>
      <c r="AQ117" s="213">
        <v>5157.78</v>
      </c>
      <c r="AR117" s="213">
        <v>28447.63</v>
      </c>
      <c r="AS117" s="213">
        <v>5954.05</v>
      </c>
      <c r="AT117" s="213">
        <v>7704.96</v>
      </c>
      <c r="AU117" s="213">
        <v>19306.349999999999</v>
      </c>
      <c r="AV117" s="213">
        <v>1082.0500000000002</v>
      </c>
      <c r="AW117" s="213">
        <v>1082.0500000000002</v>
      </c>
      <c r="AX117" s="213">
        <v>1082.0500000000002</v>
      </c>
      <c r="AY117" s="213">
        <v>1082.0500000000002</v>
      </c>
      <c r="AZ117" s="213">
        <v>1082.0500000000002</v>
      </c>
      <c r="BA117" s="213">
        <v>1082.0500000000002</v>
      </c>
      <c r="BB117" s="213">
        <v>1082.0500000000002</v>
      </c>
      <c r="BC117" s="213">
        <v>1082.0500000000002</v>
      </c>
    </row>
    <row r="118" spans="1:55" x14ac:dyDescent="0.25">
      <c r="A118" s="209" t="s">
        <v>14</v>
      </c>
      <c r="B118" s="210" t="s">
        <v>407</v>
      </c>
      <c r="C118" t="s">
        <v>14</v>
      </c>
      <c r="D118" t="s">
        <v>404</v>
      </c>
      <c r="E118" t="s">
        <v>508</v>
      </c>
      <c r="F118" s="211">
        <v>6750</v>
      </c>
      <c r="G118" t="s">
        <v>413</v>
      </c>
      <c r="H118" s="213">
        <v>7235.13</v>
      </c>
      <c r="I118" s="213">
        <v>14161.32</v>
      </c>
      <c r="J118" s="213">
        <v>23554.36</v>
      </c>
      <c r="K118" s="213">
        <v>23533.129999999997</v>
      </c>
      <c r="L118" s="213">
        <v>22492.77</v>
      </c>
      <c r="M118" s="213">
        <v>25246.85</v>
      </c>
      <c r="N118" s="213">
        <v>23719.71</v>
      </c>
      <c r="O118" s="213">
        <v>9944.2000000000007</v>
      </c>
      <c r="P118" s="213">
        <v>19343.349999999999</v>
      </c>
      <c r="Q118" s="213">
        <v>43517</v>
      </c>
      <c r="R118" s="213">
        <v>21066.2</v>
      </c>
      <c r="S118" s="213">
        <v>51361.03</v>
      </c>
      <c r="T118" s="213">
        <v>26963.760000000002</v>
      </c>
      <c r="U118" s="213">
        <v>36032.79</v>
      </c>
      <c r="V118" s="213">
        <v>34378.71</v>
      </c>
      <c r="W118" s="213">
        <v>45788.07</v>
      </c>
      <c r="X118" s="213">
        <v>30456.29</v>
      </c>
      <c r="Y118" s="213">
        <v>36099.46</v>
      </c>
      <c r="Z118" s="213">
        <v>49737.56</v>
      </c>
      <c r="AA118" s="213">
        <v>43092.63</v>
      </c>
      <c r="AB118" s="213">
        <v>42213.95</v>
      </c>
      <c r="AC118" s="213">
        <v>27209.47</v>
      </c>
      <c r="AD118" s="213">
        <v>44900.67</v>
      </c>
      <c r="AE118" s="213">
        <v>33650.47</v>
      </c>
      <c r="AF118" s="213">
        <v>30508.97</v>
      </c>
      <c r="AG118" s="213">
        <v>32232.98</v>
      </c>
      <c r="AH118" s="213">
        <v>7627.91</v>
      </c>
      <c r="AI118" s="213">
        <v>5943.63</v>
      </c>
      <c r="AJ118" s="213">
        <v>23789.11</v>
      </c>
      <c r="AK118" s="213">
        <v>10889.279999999999</v>
      </c>
      <c r="AL118" s="213">
        <v>21149.25</v>
      </c>
      <c r="AM118" s="213">
        <v>12883.970000000001</v>
      </c>
      <c r="AN118" s="213">
        <v>50033.429999999993</v>
      </c>
      <c r="AO118" s="213">
        <v>43211.74</v>
      </c>
      <c r="AP118" s="213">
        <v>47460.04</v>
      </c>
      <c r="AQ118" s="213">
        <v>40904.42</v>
      </c>
      <c r="AR118" s="213">
        <v>36196.46</v>
      </c>
      <c r="AS118" s="213">
        <v>75807.87</v>
      </c>
      <c r="AT118" s="213">
        <v>81591.86</v>
      </c>
      <c r="AU118" s="213">
        <v>79131.290000000008</v>
      </c>
      <c r="AV118" s="213">
        <v>38159.613013698632</v>
      </c>
      <c r="AW118" s="213">
        <v>38992.763698630137</v>
      </c>
      <c r="AX118" s="213">
        <v>52266.46232876712</v>
      </c>
      <c r="AY118" s="213">
        <v>54453.859589041094</v>
      </c>
      <c r="AZ118" s="213">
        <v>55794.407534246573</v>
      </c>
      <c r="BA118" s="213">
        <v>57808.654109589042</v>
      </c>
      <c r="BB118" s="213">
        <v>59929.202054794521</v>
      </c>
      <c r="BC118" s="213">
        <v>61449.75</v>
      </c>
    </row>
    <row r="119" spans="1:55" x14ac:dyDescent="0.25">
      <c r="A119" s="209" t="s">
        <v>14</v>
      </c>
      <c r="B119" s="210" t="s">
        <v>407</v>
      </c>
      <c r="C119" t="s">
        <v>14</v>
      </c>
      <c r="D119" t="s">
        <v>404</v>
      </c>
      <c r="E119" t="s">
        <v>508</v>
      </c>
      <c r="F119" s="211"/>
      <c r="G119" s="211"/>
      <c r="H119" s="213">
        <v>0</v>
      </c>
      <c r="I119" s="213">
        <v>539.99</v>
      </c>
      <c r="J119" s="213">
        <v>539.99</v>
      </c>
      <c r="K119" s="213">
        <v>539.99</v>
      </c>
      <c r="L119" s="213">
        <v>539.99</v>
      </c>
      <c r="M119" s="213">
        <v>5134.51</v>
      </c>
      <c r="N119" s="213">
        <v>13904.19</v>
      </c>
      <c r="O119" s="213">
        <v>2614.5100000000002</v>
      </c>
      <c r="P119" s="213">
        <v>5392.11</v>
      </c>
      <c r="Q119" s="213">
        <v>2739.51</v>
      </c>
      <c r="R119" s="213">
        <v>2060.36</v>
      </c>
      <c r="S119" s="213">
        <v>10862.49</v>
      </c>
      <c r="T119" s="213">
        <v>789.99</v>
      </c>
      <c r="U119" s="213">
        <v>1307.5</v>
      </c>
      <c r="V119" s="213">
        <v>840</v>
      </c>
      <c r="W119" s="213">
        <v>1690.63</v>
      </c>
      <c r="X119" s="213">
        <v>0</v>
      </c>
      <c r="Y119" s="213">
        <v>0</v>
      </c>
      <c r="Z119" s="213">
        <v>0</v>
      </c>
      <c r="AA119" s="213">
        <v>0</v>
      </c>
      <c r="AB119" s="213">
        <v>0</v>
      </c>
      <c r="AC119" s="213">
        <v>0</v>
      </c>
      <c r="AD119" s="213">
        <v>0</v>
      </c>
      <c r="AE119" s="213">
        <v>0</v>
      </c>
      <c r="AF119" s="213">
        <v>0</v>
      </c>
      <c r="AG119" s="213">
        <v>0</v>
      </c>
      <c r="AH119" s="213">
        <v>0</v>
      </c>
      <c r="AI119" s="213">
        <v>0</v>
      </c>
      <c r="AJ119" s="213">
        <v>0</v>
      </c>
      <c r="AK119" s="213">
        <v>0</v>
      </c>
      <c r="AL119" s="213">
        <v>0</v>
      </c>
      <c r="AM119" s="213">
        <v>0</v>
      </c>
      <c r="AN119" s="213">
        <v>0</v>
      </c>
      <c r="AO119" s="213">
        <v>0</v>
      </c>
      <c r="AP119" s="213">
        <v>0</v>
      </c>
      <c r="AQ119" s="213">
        <v>0</v>
      </c>
      <c r="AR119" s="213">
        <v>0</v>
      </c>
      <c r="AS119" s="213">
        <v>0</v>
      </c>
      <c r="AT119" s="213">
        <v>8838.39</v>
      </c>
      <c r="AU119" s="213">
        <v>11380.83</v>
      </c>
      <c r="AV119" s="213">
        <v>0</v>
      </c>
      <c r="AW119" s="213">
        <v>0</v>
      </c>
      <c r="AX119" s="213">
        <v>0</v>
      </c>
      <c r="AY119" s="213">
        <v>0</v>
      </c>
      <c r="AZ119" s="213">
        <v>0</v>
      </c>
      <c r="BA119" s="213">
        <v>0</v>
      </c>
      <c r="BB119" s="213">
        <v>0</v>
      </c>
      <c r="BC119" s="213">
        <v>0</v>
      </c>
    </row>
    <row r="120" spans="1:55" x14ac:dyDescent="0.25">
      <c r="A120" s="209" t="s">
        <v>14</v>
      </c>
      <c r="B120" s="210" t="s">
        <v>407</v>
      </c>
      <c r="C120" t="s">
        <v>14</v>
      </c>
      <c r="D120" t="s">
        <v>404</v>
      </c>
      <c r="E120" t="s">
        <v>508</v>
      </c>
      <c r="F120" s="211">
        <v>6760</v>
      </c>
      <c r="G120" t="s">
        <v>414</v>
      </c>
      <c r="H120" s="213">
        <v>16240.810000000001</v>
      </c>
      <c r="I120" s="213">
        <v>26805.55</v>
      </c>
      <c r="J120" s="213">
        <v>25645</v>
      </c>
      <c r="K120" s="213">
        <v>21969.82</v>
      </c>
      <c r="L120" s="213">
        <v>23552.38</v>
      </c>
      <c r="M120" s="213">
        <v>24492.5</v>
      </c>
      <c r="N120" s="213">
        <v>33440.519999999997</v>
      </c>
      <c r="O120" s="213">
        <v>29551.86</v>
      </c>
      <c r="P120" s="213">
        <v>25123.03</v>
      </c>
      <c r="Q120" s="213">
        <v>29301.39</v>
      </c>
      <c r="R120" s="213">
        <v>31867.82</v>
      </c>
      <c r="S120" s="213">
        <v>29416.29</v>
      </c>
      <c r="T120" s="213">
        <v>31818.41</v>
      </c>
      <c r="U120" s="213">
        <v>35452.53</v>
      </c>
      <c r="V120" s="213">
        <v>42969.47</v>
      </c>
      <c r="W120" s="213">
        <v>51169.57</v>
      </c>
      <c r="X120" s="213">
        <v>56726.34</v>
      </c>
      <c r="Y120" s="213">
        <v>58438.400000000001</v>
      </c>
      <c r="Z120" s="213">
        <v>70538.78</v>
      </c>
      <c r="AA120" s="213">
        <v>52509.26</v>
      </c>
      <c r="AB120" s="213">
        <v>61468.12</v>
      </c>
      <c r="AC120" s="213">
        <v>45424.25</v>
      </c>
      <c r="AD120" s="213">
        <v>58428.49</v>
      </c>
      <c r="AE120" s="213">
        <v>55236.09</v>
      </c>
      <c r="AF120" s="213">
        <v>49094.810000000005</v>
      </c>
      <c r="AG120" s="213">
        <v>37764.69</v>
      </c>
      <c r="AH120" s="213">
        <v>6041.0099999999984</v>
      </c>
      <c r="AI120" s="213">
        <v>34.03</v>
      </c>
      <c r="AJ120" s="213">
        <v>16937.32</v>
      </c>
      <c r="AK120" s="213">
        <v>10474.200000000001</v>
      </c>
      <c r="AL120" s="213">
        <v>13129.93</v>
      </c>
      <c r="AM120" s="213">
        <v>16840.240000000002</v>
      </c>
      <c r="AN120" s="213">
        <v>14858.79</v>
      </c>
      <c r="AO120" s="213">
        <v>16801.54</v>
      </c>
      <c r="AP120" s="213">
        <v>13828.1</v>
      </c>
      <c r="AQ120" s="213">
        <v>11189.35</v>
      </c>
      <c r="AR120" s="213">
        <v>14854.76</v>
      </c>
      <c r="AS120" s="213">
        <v>393.61</v>
      </c>
      <c r="AT120" s="213">
        <v>17468.78</v>
      </c>
      <c r="AU120" s="213">
        <v>22654.95</v>
      </c>
      <c r="AV120" s="213">
        <v>33234.246575342462</v>
      </c>
      <c r="AW120" s="213">
        <v>33646.575342465752</v>
      </c>
      <c r="AX120" s="213">
        <v>45271.917808219179</v>
      </c>
      <c r="AY120" s="213">
        <v>48222.602739726026</v>
      </c>
      <c r="AZ120" s="213">
        <v>50185.616438356163</v>
      </c>
      <c r="BA120" s="213">
        <v>87273.972602739726</v>
      </c>
      <c r="BB120" s="213">
        <v>91636.986301369863</v>
      </c>
      <c r="BC120" s="213">
        <v>95000</v>
      </c>
    </row>
    <row r="121" spans="1:55" x14ac:dyDescent="0.25">
      <c r="A121" s="209" t="s">
        <v>14</v>
      </c>
      <c r="B121" s="210" t="s">
        <v>415</v>
      </c>
      <c r="C121" t="s">
        <v>14</v>
      </c>
      <c r="D121" t="s">
        <v>416</v>
      </c>
      <c r="E121" t="s">
        <v>508</v>
      </c>
      <c r="F121" s="211">
        <v>6850</v>
      </c>
      <c r="G121" t="s">
        <v>417</v>
      </c>
      <c r="H121" s="213">
        <v>24002.820000000003</v>
      </c>
      <c r="I121" s="213">
        <v>53539.23</v>
      </c>
      <c r="J121" s="213">
        <v>18407.849999999999</v>
      </c>
      <c r="K121" s="213">
        <v>36437.08</v>
      </c>
      <c r="L121" s="213">
        <v>19859.469999999998</v>
      </c>
      <c r="M121" s="213">
        <v>8031.85</v>
      </c>
      <c r="N121" s="213">
        <v>9978.89</v>
      </c>
      <c r="O121" s="213">
        <v>3267.4</v>
      </c>
      <c r="P121" s="213">
        <v>10476.549999999999</v>
      </c>
      <c r="Q121" s="213">
        <v>34653.9</v>
      </c>
      <c r="R121" s="213">
        <v>32447.32</v>
      </c>
      <c r="S121" s="213">
        <v>15992.8</v>
      </c>
      <c r="T121" s="213">
        <v>41360.69</v>
      </c>
      <c r="U121" s="213">
        <v>25570.13</v>
      </c>
      <c r="V121" s="213">
        <v>249335.32</v>
      </c>
      <c r="W121" s="213">
        <v>54988.31</v>
      </c>
      <c r="X121" s="213">
        <v>-21540.510000000002</v>
      </c>
      <c r="Y121" s="213">
        <v>9695.85</v>
      </c>
      <c r="Z121" s="213">
        <v>5162.0600000000004</v>
      </c>
      <c r="AA121" s="213">
        <v>20631.16</v>
      </c>
      <c r="AB121" s="213">
        <v>77626.33</v>
      </c>
      <c r="AC121" s="213">
        <v>53033.770000000004</v>
      </c>
      <c r="AD121" s="213">
        <v>78249.81</v>
      </c>
      <c r="AE121" s="213">
        <v>63499.86</v>
      </c>
      <c r="AF121" s="213">
        <v>50079.509999999995</v>
      </c>
      <c r="AG121" s="213">
        <v>8737.58</v>
      </c>
      <c r="AH121" s="213">
        <v>80541.430000000008</v>
      </c>
      <c r="AI121" s="213">
        <v>12424.5</v>
      </c>
      <c r="AJ121" s="213">
        <v>15617.439999999999</v>
      </c>
      <c r="AK121" s="213">
        <v>44623.27</v>
      </c>
      <c r="AL121" s="213">
        <v>31902.54</v>
      </c>
      <c r="AM121" s="213">
        <v>31552.870000000003</v>
      </c>
      <c r="AN121" s="213">
        <v>34674.28</v>
      </c>
      <c r="AO121" s="213">
        <v>50286.19</v>
      </c>
      <c r="AP121" s="213">
        <v>77953.429999999993</v>
      </c>
      <c r="AQ121" s="213">
        <v>51206.45</v>
      </c>
      <c r="AR121" s="213">
        <v>53770.430000000008</v>
      </c>
      <c r="AS121" s="213">
        <v>92293.47</v>
      </c>
      <c r="AT121" s="213">
        <v>112333.84</v>
      </c>
      <c r="AU121" s="213">
        <v>109440.49</v>
      </c>
      <c r="AV121" s="213">
        <v>42287.67123287671</v>
      </c>
      <c r="AW121" s="213">
        <v>33787.67123287671</v>
      </c>
      <c r="AX121" s="213">
        <v>22287.671232876713</v>
      </c>
      <c r="AY121" s="213">
        <v>34050.856232876715</v>
      </c>
      <c r="AZ121" s="213">
        <v>22287.671232876713</v>
      </c>
      <c r="BA121" s="213">
        <v>22287.671232876713</v>
      </c>
      <c r="BB121" s="213">
        <v>75537.671232876717</v>
      </c>
      <c r="BC121" s="213">
        <v>23787.671232876713</v>
      </c>
    </row>
    <row r="122" spans="1:55" x14ac:dyDescent="0.25">
      <c r="A122" s="209" t="s">
        <v>14</v>
      </c>
      <c r="B122" s="210" t="s">
        <v>415</v>
      </c>
      <c r="C122" t="s">
        <v>14</v>
      </c>
      <c r="D122" t="s">
        <v>416</v>
      </c>
      <c r="E122" t="s">
        <v>508</v>
      </c>
      <c r="F122" s="211">
        <v>6851</v>
      </c>
      <c r="G122" s="210" t="s">
        <v>418</v>
      </c>
      <c r="H122" s="213">
        <v>9000</v>
      </c>
      <c r="I122" s="213">
        <v>59.1</v>
      </c>
      <c r="J122" s="213">
        <v>8000</v>
      </c>
      <c r="K122" s="213">
        <v>8000</v>
      </c>
      <c r="L122" s="213">
        <v>8000</v>
      </c>
      <c r="M122" s="213">
        <v>8000</v>
      </c>
      <c r="N122" s="213">
        <v>8000</v>
      </c>
      <c r="O122" s="213">
        <v>9805.36</v>
      </c>
      <c r="P122" s="213">
        <v>8000</v>
      </c>
      <c r="Q122" s="213">
        <v>8000</v>
      </c>
      <c r="R122" s="213">
        <v>8918.32</v>
      </c>
      <c r="S122" s="213">
        <v>4717.8</v>
      </c>
      <c r="T122" s="213">
        <v>1341.53</v>
      </c>
      <c r="U122" s="213">
        <v>14238.14</v>
      </c>
      <c r="V122" s="213">
        <v>6637.81</v>
      </c>
      <c r="W122" s="213">
        <v>11161.88</v>
      </c>
      <c r="X122" s="213">
        <v>8970.5499999999993</v>
      </c>
      <c r="Y122" s="213">
        <v>7170.51</v>
      </c>
      <c r="Z122" s="213">
        <v>740.27</v>
      </c>
      <c r="AA122" s="213">
        <v>1159.99</v>
      </c>
      <c r="AB122" s="213">
        <v>10122.06</v>
      </c>
      <c r="AC122" s="213">
        <v>5213.71</v>
      </c>
      <c r="AD122" s="213">
        <v>8413.56</v>
      </c>
      <c r="AE122" s="213">
        <v>10992.78</v>
      </c>
      <c r="AF122" s="213">
        <v>8386.5499999999993</v>
      </c>
      <c r="AG122" s="213">
        <v>9004.57</v>
      </c>
      <c r="AH122" s="213">
        <v>11756.45</v>
      </c>
      <c r="AI122" s="213">
        <v>21499.72</v>
      </c>
      <c r="AJ122" s="213">
        <v>9570.89</v>
      </c>
      <c r="AK122" s="213">
        <v>13856.37</v>
      </c>
      <c r="AL122" s="213">
        <v>-5155.13</v>
      </c>
      <c r="AM122" s="213">
        <v>3275.6</v>
      </c>
      <c r="AN122" s="213">
        <v>10906.74</v>
      </c>
      <c r="AO122" s="213">
        <v>26136.34</v>
      </c>
      <c r="AP122" s="213">
        <v>10323.200000000001</v>
      </c>
      <c r="AQ122" s="213">
        <v>10805.48</v>
      </c>
      <c r="AR122" s="213">
        <v>16650.18</v>
      </c>
      <c r="AS122" s="213">
        <v>14658.71</v>
      </c>
      <c r="AT122" s="213">
        <v>13711.92</v>
      </c>
      <c r="AU122" s="213">
        <v>13941.8</v>
      </c>
      <c r="AV122" s="213">
        <v>7965</v>
      </c>
      <c r="AW122" s="213">
        <v>8964.9315068493142</v>
      </c>
      <c r="AX122" s="213">
        <v>8835</v>
      </c>
      <c r="AY122" s="213">
        <v>9375</v>
      </c>
      <c r="AZ122" s="213">
        <v>10389.931506849314</v>
      </c>
      <c r="BA122" s="213">
        <v>10200</v>
      </c>
      <c r="BB122" s="213">
        <v>10725</v>
      </c>
      <c r="BC122" s="213">
        <v>11784.931506849314</v>
      </c>
    </row>
    <row r="123" spans="1:55" x14ac:dyDescent="0.25">
      <c r="A123" s="209" t="s">
        <v>14</v>
      </c>
      <c r="B123" s="210" t="s">
        <v>415</v>
      </c>
      <c r="C123" t="s">
        <v>14</v>
      </c>
      <c r="D123" t="s">
        <v>416</v>
      </c>
      <c r="E123" t="s">
        <v>508</v>
      </c>
      <c r="F123" s="211">
        <v>6300</v>
      </c>
      <c r="G123" t="s">
        <v>419</v>
      </c>
      <c r="H123" s="213">
        <v>0</v>
      </c>
      <c r="I123" s="213">
        <v>0</v>
      </c>
      <c r="J123" s="213">
        <v>0</v>
      </c>
      <c r="K123" s="213">
        <v>0</v>
      </c>
      <c r="L123" s="213">
        <v>0</v>
      </c>
      <c r="M123" s="213">
        <v>0</v>
      </c>
      <c r="N123" s="213">
        <v>0</v>
      </c>
      <c r="O123" s="213">
        <v>0</v>
      </c>
      <c r="P123" s="213">
        <v>0</v>
      </c>
      <c r="Q123" s="213">
        <v>0</v>
      </c>
      <c r="R123" s="213">
        <v>0</v>
      </c>
      <c r="S123" s="213">
        <v>0</v>
      </c>
      <c r="T123" s="213">
        <v>0</v>
      </c>
      <c r="U123" s="213">
        <v>0</v>
      </c>
      <c r="V123" s="213">
        <v>71.650000000000006</v>
      </c>
      <c r="W123" s="213">
        <v>0</v>
      </c>
      <c r="X123" s="213">
        <v>0</v>
      </c>
      <c r="Y123" s="213">
        <v>5000</v>
      </c>
      <c r="Z123" s="213">
        <v>0</v>
      </c>
      <c r="AA123" s="213">
        <v>0</v>
      </c>
      <c r="AB123" s="213">
        <v>0</v>
      </c>
      <c r="AC123" s="213">
        <v>0</v>
      </c>
      <c r="AD123" s="213">
        <v>0</v>
      </c>
      <c r="AE123" s="213">
        <v>211.98</v>
      </c>
      <c r="AF123" s="213">
        <v>0</v>
      </c>
      <c r="AG123" s="213">
        <v>0</v>
      </c>
      <c r="AH123" s="213">
        <v>0</v>
      </c>
      <c r="AI123" s="213">
        <v>0</v>
      </c>
      <c r="AJ123" s="213">
        <v>0</v>
      </c>
      <c r="AK123" s="213">
        <v>0</v>
      </c>
      <c r="AL123" s="213">
        <v>5500</v>
      </c>
      <c r="AM123" s="213">
        <v>0</v>
      </c>
      <c r="AN123" s="213">
        <v>0</v>
      </c>
      <c r="AO123" s="213">
        <v>0</v>
      </c>
      <c r="AP123" s="213">
        <v>0</v>
      </c>
      <c r="AQ123" s="213">
        <v>0</v>
      </c>
      <c r="AR123" s="213">
        <v>0</v>
      </c>
      <c r="AS123" s="213">
        <v>0</v>
      </c>
      <c r="AT123" s="213">
        <v>0</v>
      </c>
      <c r="AU123" s="213">
        <v>0</v>
      </c>
      <c r="AV123" s="213">
        <v>0</v>
      </c>
      <c r="AW123" s="213">
        <v>0</v>
      </c>
      <c r="AX123" s="213">
        <v>0</v>
      </c>
      <c r="AY123" s="213">
        <v>0</v>
      </c>
      <c r="AZ123" s="213">
        <v>5000</v>
      </c>
      <c r="BA123" s="213">
        <v>0</v>
      </c>
      <c r="BB123" s="213">
        <v>2000</v>
      </c>
      <c r="BC123" s="213">
        <v>0</v>
      </c>
    </row>
    <row r="124" spans="1:55" x14ac:dyDescent="0.25">
      <c r="A124" s="209" t="s">
        <v>14</v>
      </c>
      <c r="B124" s="210" t="s">
        <v>415</v>
      </c>
      <c r="C124" t="s">
        <v>14</v>
      </c>
      <c r="D124" t="s">
        <v>416</v>
      </c>
      <c r="E124" t="s">
        <v>508</v>
      </c>
      <c r="F124" s="211"/>
      <c r="G124" t="s">
        <v>420</v>
      </c>
      <c r="H124" s="213">
        <v>0</v>
      </c>
      <c r="I124" s="213">
        <v>0</v>
      </c>
      <c r="J124" s="213">
        <v>0</v>
      </c>
      <c r="K124" s="213">
        <v>0</v>
      </c>
      <c r="L124" s="213">
        <v>0</v>
      </c>
      <c r="M124" s="213">
        <v>0</v>
      </c>
      <c r="N124" s="213">
        <v>0</v>
      </c>
      <c r="O124" s="213">
        <v>0</v>
      </c>
      <c r="P124" s="213">
        <v>0</v>
      </c>
      <c r="Q124" s="213">
        <v>0</v>
      </c>
      <c r="R124" s="213">
        <v>0</v>
      </c>
      <c r="S124" s="213">
        <v>0</v>
      </c>
      <c r="T124" s="213">
        <v>0</v>
      </c>
      <c r="U124" s="213">
        <v>0</v>
      </c>
      <c r="V124" s="213">
        <v>0</v>
      </c>
      <c r="W124" s="213">
        <v>0</v>
      </c>
      <c r="X124" s="213">
        <v>0</v>
      </c>
      <c r="Y124" s="213">
        <v>0</v>
      </c>
      <c r="Z124" s="213">
        <v>0</v>
      </c>
      <c r="AA124" s="213">
        <v>0</v>
      </c>
      <c r="AB124" s="213">
        <v>0</v>
      </c>
      <c r="AC124" s="213">
        <v>0</v>
      </c>
      <c r="AD124" s="213">
        <v>0</v>
      </c>
      <c r="AE124" s="213">
        <v>0</v>
      </c>
      <c r="AF124" s="213">
        <v>0</v>
      </c>
      <c r="AG124" s="213">
        <v>0</v>
      </c>
      <c r="AH124" s="213">
        <v>0</v>
      </c>
      <c r="AI124" s="213">
        <v>0</v>
      </c>
      <c r="AJ124" s="213">
        <v>0</v>
      </c>
      <c r="AK124" s="213">
        <v>0</v>
      </c>
      <c r="AL124" s="213">
        <v>0</v>
      </c>
      <c r="AM124" s="213">
        <v>0</v>
      </c>
      <c r="AN124" s="213">
        <v>0</v>
      </c>
      <c r="AO124" s="213">
        <v>0</v>
      </c>
      <c r="AP124" s="213">
        <v>0</v>
      </c>
      <c r="AQ124" s="213">
        <v>0</v>
      </c>
      <c r="AR124" s="213">
        <v>0</v>
      </c>
      <c r="AS124" s="213">
        <v>0</v>
      </c>
      <c r="AT124" s="213">
        <v>0</v>
      </c>
      <c r="AU124" s="213">
        <v>0</v>
      </c>
      <c r="AV124" s="213">
        <v>0</v>
      </c>
      <c r="AW124" s="213">
        <v>0</v>
      </c>
      <c r="AX124" s="213">
        <v>12436.297475000001</v>
      </c>
      <c r="AY124" s="213">
        <v>15530.012500000001</v>
      </c>
      <c r="AZ124" s="213">
        <v>22595.662500000002</v>
      </c>
      <c r="BA124" s="213">
        <v>14651.985000000001</v>
      </c>
      <c r="BB124" s="213">
        <v>17562.499524999999</v>
      </c>
      <c r="BC124" s="213">
        <v>34379.331875000003</v>
      </c>
    </row>
    <row r="125" spans="1:55" x14ac:dyDescent="0.25">
      <c r="A125" s="209"/>
      <c r="B125" s="210"/>
      <c r="E125" t="s">
        <v>508</v>
      </c>
      <c r="F125" s="211"/>
      <c r="G125" t="s">
        <v>421</v>
      </c>
      <c r="H125" s="213">
        <v>0</v>
      </c>
      <c r="I125" s="213">
        <v>0</v>
      </c>
      <c r="J125" s="213">
        <v>0</v>
      </c>
      <c r="K125" s="213">
        <v>0</v>
      </c>
      <c r="L125" s="213">
        <v>0</v>
      </c>
      <c r="M125" s="213">
        <v>0</v>
      </c>
      <c r="N125" s="213">
        <v>0</v>
      </c>
      <c r="O125" s="213">
        <v>0</v>
      </c>
      <c r="P125" s="213">
        <v>0</v>
      </c>
      <c r="Q125" s="213">
        <v>0</v>
      </c>
      <c r="R125" s="213">
        <v>0</v>
      </c>
      <c r="S125" s="213">
        <v>0</v>
      </c>
      <c r="T125" s="213">
        <v>0</v>
      </c>
      <c r="U125" s="213">
        <v>0</v>
      </c>
      <c r="V125" s="213">
        <v>0</v>
      </c>
      <c r="W125" s="213">
        <v>0</v>
      </c>
      <c r="X125" s="213">
        <v>0</v>
      </c>
      <c r="Y125" s="213">
        <v>0</v>
      </c>
      <c r="Z125" s="213">
        <v>0</v>
      </c>
      <c r="AA125" s="213">
        <v>0</v>
      </c>
      <c r="AB125" s="213">
        <v>0</v>
      </c>
      <c r="AC125" s="213">
        <v>0</v>
      </c>
      <c r="AD125" s="213">
        <v>0</v>
      </c>
      <c r="AE125" s="213">
        <v>0</v>
      </c>
      <c r="AF125" s="213">
        <v>0</v>
      </c>
      <c r="AG125" s="213">
        <v>0</v>
      </c>
      <c r="AH125" s="213">
        <v>0</v>
      </c>
      <c r="AI125" s="213">
        <v>0</v>
      </c>
      <c r="AJ125" s="213">
        <v>0</v>
      </c>
      <c r="AK125" s="213">
        <v>0</v>
      </c>
      <c r="AL125" s="213">
        <v>0</v>
      </c>
      <c r="AM125" s="213">
        <v>0</v>
      </c>
      <c r="AN125" s="213">
        <v>0</v>
      </c>
      <c r="AO125" s="213">
        <v>0</v>
      </c>
      <c r="AP125" s="213">
        <v>0</v>
      </c>
      <c r="AQ125" s="213">
        <v>0</v>
      </c>
      <c r="AR125" s="213">
        <v>0</v>
      </c>
      <c r="AS125" s="213">
        <v>0</v>
      </c>
      <c r="AT125" s="213">
        <v>0</v>
      </c>
      <c r="AU125" s="213">
        <v>0</v>
      </c>
      <c r="AV125" s="213">
        <v>0</v>
      </c>
      <c r="AW125" s="213">
        <v>0</v>
      </c>
      <c r="AX125" s="213">
        <v>14923.556970000001</v>
      </c>
      <c r="AY125" s="213">
        <v>18636.014999999999</v>
      </c>
      <c r="AZ125" s="213">
        <v>27114.795000000002</v>
      </c>
      <c r="BA125" s="213">
        <v>17582.382000000001</v>
      </c>
      <c r="BB125" s="213">
        <v>21074.99943</v>
      </c>
      <c r="BC125" s="213">
        <v>41255.198250000001</v>
      </c>
    </row>
    <row r="126" spans="1:55" x14ac:dyDescent="0.25">
      <c r="A126" s="209" t="s">
        <v>14</v>
      </c>
      <c r="B126" s="210" t="s">
        <v>415</v>
      </c>
      <c r="C126" t="s">
        <v>14</v>
      </c>
      <c r="D126" t="s">
        <v>416</v>
      </c>
      <c r="E126" t="s">
        <v>508</v>
      </c>
      <c r="F126" s="211">
        <v>7050</v>
      </c>
      <c r="G126" t="s">
        <v>394</v>
      </c>
      <c r="H126" s="213">
        <v>16094.84</v>
      </c>
      <c r="I126" s="213">
        <v>34519.75</v>
      </c>
      <c r="J126" s="213">
        <v>25733.46</v>
      </c>
      <c r="K126" s="213">
        <v>19235.72</v>
      </c>
      <c r="L126" s="213">
        <v>38588.089999999997</v>
      </c>
      <c r="M126" s="213">
        <v>25913.599999999999</v>
      </c>
      <c r="N126" s="213">
        <v>22245.77</v>
      </c>
      <c r="O126" s="213">
        <v>22854.45</v>
      </c>
      <c r="P126" s="213">
        <v>25170.26</v>
      </c>
      <c r="Q126" s="213">
        <v>32105.37</v>
      </c>
      <c r="R126" s="213">
        <v>36146.959999999999</v>
      </c>
      <c r="S126" s="213">
        <v>29880.74</v>
      </c>
      <c r="T126" s="213">
        <v>30451.88</v>
      </c>
      <c r="U126" s="213">
        <v>31225.81</v>
      </c>
      <c r="V126" s="213">
        <v>34514.9</v>
      </c>
      <c r="W126" s="213">
        <v>46063.01</v>
      </c>
      <c r="X126" s="213">
        <v>56265.01</v>
      </c>
      <c r="Y126" s="213">
        <v>59271.12</v>
      </c>
      <c r="Z126" s="213">
        <v>46947.78</v>
      </c>
      <c r="AA126" s="213">
        <v>39108.81</v>
      </c>
      <c r="AB126" s="213">
        <v>38781.870000000003</v>
      </c>
      <c r="AC126" s="213">
        <v>44566.559999999998</v>
      </c>
      <c r="AD126" s="213">
        <v>50930.48</v>
      </c>
      <c r="AE126" s="213">
        <v>47204.72</v>
      </c>
      <c r="AF126" s="213">
        <v>57718.39</v>
      </c>
      <c r="AG126" s="213">
        <v>67188.34</v>
      </c>
      <c r="AH126" s="213">
        <v>45912.89</v>
      </c>
      <c r="AI126" s="213">
        <v>42112.039999999994</v>
      </c>
      <c r="AJ126" s="213">
        <v>47889.09</v>
      </c>
      <c r="AK126" s="213">
        <v>64084.24</v>
      </c>
      <c r="AL126" s="213">
        <v>63648.02</v>
      </c>
      <c r="AM126" s="213">
        <v>61406.649999999994</v>
      </c>
      <c r="AN126" s="213">
        <v>75399.950000000012</v>
      </c>
      <c r="AO126" s="213">
        <v>96339.71</v>
      </c>
      <c r="AP126" s="213">
        <v>88302.49</v>
      </c>
      <c r="AQ126" s="213">
        <v>89940.89</v>
      </c>
      <c r="AR126" s="213">
        <v>52532.659999999989</v>
      </c>
      <c r="AS126" s="213">
        <v>55654.689999999995</v>
      </c>
      <c r="AT126" s="213">
        <v>66879.820000000007</v>
      </c>
      <c r="AU126" s="213">
        <v>61473.009999999995</v>
      </c>
      <c r="AV126" s="213">
        <v>62826.307500000003</v>
      </c>
      <c r="AW126" s="213">
        <v>98190.959375000006</v>
      </c>
      <c r="AX126" s="213">
        <v>63573.843843750008</v>
      </c>
      <c r="AY126" s="213">
        <v>63975.872535937509</v>
      </c>
      <c r="AZ126" s="213">
        <v>99398.00266273439</v>
      </c>
      <c r="BA126" s="213">
        <v>66741.239295871099</v>
      </c>
      <c r="BB126" s="213">
        <v>67206.637760664657</v>
      </c>
      <c r="BC126" s="213">
        <v>102695.30614869788</v>
      </c>
    </row>
    <row r="127" spans="1:55" x14ac:dyDescent="0.25">
      <c r="A127" s="209" t="s">
        <v>14</v>
      </c>
      <c r="B127" s="210" t="s">
        <v>415</v>
      </c>
      <c r="C127" t="s">
        <v>14</v>
      </c>
      <c r="D127" t="s">
        <v>416</v>
      </c>
      <c r="E127" t="s">
        <v>422</v>
      </c>
      <c r="F127" s="211">
        <v>6870</v>
      </c>
      <c r="G127" t="s">
        <v>422</v>
      </c>
      <c r="H127" s="213">
        <v>24989.89</v>
      </c>
      <c r="I127" s="213">
        <v>17117.7</v>
      </c>
      <c r="J127" s="213">
        <v>8175</v>
      </c>
      <c r="K127" s="213">
        <v>4833.83</v>
      </c>
      <c r="L127" s="213">
        <v>22154.52</v>
      </c>
      <c r="M127" s="213">
        <v>62302.99</v>
      </c>
      <c r="N127" s="213">
        <v>196903.26</v>
      </c>
      <c r="O127" s="213">
        <v>9096.73</v>
      </c>
      <c r="P127" s="213">
        <v>15389.72</v>
      </c>
      <c r="Q127" s="213">
        <v>32472.17</v>
      </c>
      <c r="R127" s="213">
        <v>49365.1</v>
      </c>
      <c r="S127" s="213">
        <v>272218.65999999997</v>
      </c>
      <c r="T127" s="213">
        <v>43398.18</v>
      </c>
      <c r="U127" s="213">
        <v>91039.43</v>
      </c>
      <c r="V127" s="213">
        <v>14198.12</v>
      </c>
      <c r="W127" s="213">
        <v>25385.200000000001</v>
      </c>
      <c r="X127" s="213">
        <v>71654.720000000001</v>
      </c>
      <c r="Y127" s="213">
        <v>28390.16</v>
      </c>
      <c r="Z127" s="213">
        <v>14849.78</v>
      </c>
      <c r="AA127" s="213">
        <v>19757.18</v>
      </c>
      <c r="AB127" s="213">
        <v>8853.2000000000007</v>
      </c>
      <c r="AC127" s="213">
        <v>36015.54</v>
      </c>
      <c r="AD127" s="213">
        <v>22069.86</v>
      </c>
      <c r="AE127" s="213">
        <v>51558.36</v>
      </c>
      <c r="AF127" s="213">
        <v>21984.78</v>
      </c>
      <c r="AG127" s="213">
        <v>335.27000000000044</v>
      </c>
      <c r="AH127" s="213">
        <v>22609.440000000002</v>
      </c>
      <c r="AI127" s="213">
        <v>3225.74</v>
      </c>
      <c r="AJ127" s="213">
        <v>24633.4</v>
      </c>
      <c r="AK127" s="213">
        <v>37793.33</v>
      </c>
      <c r="AL127" s="213">
        <v>16194.810000000001</v>
      </c>
      <c r="AM127" s="213">
        <v>37133.369999999995</v>
      </c>
      <c r="AN127" s="213">
        <v>150.56999999999994</v>
      </c>
      <c r="AO127" s="213">
        <v>16876.490000000002</v>
      </c>
      <c r="AP127" s="213">
        <v>29254.949999999997</v>
      </c>
      <c r="AQ127" s="213">
        <v>42014.43</v>
      </c>
      <c r="AR127" s="213">
        <v>20064.669999999998</v>
      </c>
      <c r="AS127" s="213">
        <v>37710.43</v>
      </c>
      <c r="AT127" s="213">
        <v>205617.82</v>
      </c>
      <c r="AU127" s="213">
        <v>40863.449999999997</v>
      </c>
      <c r="AV127" s="213">
        <v>9500</v>
      </c>
      <c r="AW127" s="213">
        <v>9500</v>
      </c>
      <c r="AX127" s="213">
        <v>9500</v>
      </c>
      <c r="AY127" s="213">
        <v>9500</v>
      </c>
      <c r="AZ127" s="213">
        <v>9500</v>
      </c>
      <c r="BA127" s="213">
        <v>9500</v>
      </c>
      <c r="BB127" s="213">
        <v>9500</v>
      </c>
      <c r="BC127" s="213">
        <v>9500</v>
      </c>
    </row>
    <row r="128" spans="1:55" x14ac:dyDescent="0.25">
      <c r="A128" s="209" t="s">
        <v>14</v>
      </c>
      <c r="B128" s="210" t="s">
        <v>415</v>
      </c>
      <c r="C128" t="s">
        <v>14</v>
      </c>
      <c r="D128" t="s">
        <v>416</v>
      </c>
      <c r="E128" t="s">
        <v>422</v>
      </c>
      <c r="F128" s="211">
        <v>6871</v>
      </c>
      <c r="G128" t="s">
        <v>423</v>
      </c>
      <c r="H128" s="213">
        <v>0</v>
      </c>
      <c r="I128" s="213">
        <v>0</v>
      </c>
      <c r="J128" s="213">
        <v>0</v>
      </c>
      <c r="K128" s="213">
        <v>0</v>
      </c>
      <c r="L128" s="213">
        <v>0</v>
      </c>
      <c r="M128" s="213">
        <v>0</v>
      </c>
      <c r="N128" s="213">
        <v>0</v>
      </c>
      <c r="O128" s="213">
        <v>254577.96</v>
      </c>
      <c r="P128" s="213">
        <v>248067.25</v>
      </c>
      <c r="Q128" s="213">
        <v>260231.73</v>
      </c>
      <c r="R128" s="213">
        <v>39503</v>
      </c>
      <c r="S128" s="213">
        <v>-54260.14</v>
      </c>
      <c r="T128" s="213">
        <v>143646.15</v>
      </c>
      <c r="U128" s="213">
        <v>17224.63</v>
      </c>
      <c r="V128" s="213">
        <v>-63206.32</v>
      </c>
      <c r="W128" s="213">
        <v>-13139.25</v>
      </c>
      <c r="X128" s="213">
        <v>0</v>
      </c>
      <c r="Y128" s="213">
        <v>-100000</v>
      </c>
      <c r="Z128" s="213">
        <v>0</v>
      </c>
      <c r="AA128" s="213">
        <v>0</v>
      </c>
      <c r="AB128" s="213">
        <v>0</v>
      </c>
      <c r="AC128" s="213">
        <v>0</v>
      </c>
      <c r="AD128" s="213">
        <v>0</v>
      </c>
      <c r="AE128" s="213">
        <v>0</v>
      </c>
      <c r="AF128" s="213">
        <v>0</v>
      </c>
      <c r="AG128" s="213">
        <v>0</v>
      </c>
      <c r="AH128" s="213">
        <v>0</v>
      </c>
      <c r="AI128" s="213">
        <v>0</v>
      </c>
      <c r="AJ128" s="213">
        <v>0</v>
      </c>
      <c r="AK128" s="213">
        <v>0</v>
      </c>
      <c r="AL128" s="213">
        <v>0</v>
      </c>
      <c r="AM128" s="213">
        <v>0</v>
      </c>
      <c r="AN128" s="213">
        <v>0</v>
      </c>
      <c r="AO128" s="213">
        <v>0</v>
      </c>
      <c r="AP128" s="213">
        <v>0</v>
      </c>
      <c r="AQ128" s="213">
        <v>0</v>
      </c>
      <c r="AR128" s="213">
        <v>0</v>
      </c>
      <c r="AS128" s="213">
        <v>0</v>
      </c>
      <c r="AT128" s="213">
        <v>0</v>
      </c>
      <c r="AU128" s="213">
        <v>0</v>
      </c>
      <c r="AV128" s="213">
        <v>0</v>
      </c>
      <c r="AW128" s="213">
        <v>0</v>
      </c>
      <c r="AX128" s="213">
        <v>0</v>
      </c>
      <c r="AY128" s="213">
        <v>0</v>
      </c>
      <c r="AZ128" s="213">
        <v>0</v>
      </c>
      <c r="BA128" s="213">
        <v>0</v>
      </c>
      <c r="BB128" s="213">
        <v>0</v>
      </c>
      <c r="BC128" s="213">
        <v>0</v>
      </c>
    </row>
    <row r="129" spans="1:55" x14ac:dyDescent="0.25">
      <c r="A129" s="209" t="s">
        <v>14</v>
      </c>
      <c r="B129" s="210" t="s">
        <v>415</v>
      </c>
      <c r="C129" t="s">
        <v>14</v>
      </c>
      <c r="D129" t="s">
        <v>416</v>
      </c>
      <c r="E129" t="s">
        <v>508</v>
      </c>
      <c r="F129" s="211"/>
      <c r="G129" t="s">
        <v>424</v>
      </c>
      <c r="H129" s="213">
        <v>0</v>
      </c>
      <c r="I129" s="213">
        <v>0</v>
      </c>
      <c r="J129" s="213">
        <v>0</v>
      </c>
      <c r="K129" s="213">
        <v>0</v>
      </c>
      <c r="L129" s="213">
        <v>0</v>
      </c>
      <c r="M129" s="213">
        <v>0</v>
      </c>
      <c r="N129" s="213">
        <v>0</v>
      </c>
      <c r="O129" s="213">
        <v>0</v>
      </c>
      <c r="P129" s="213">
        <v>0</v>
      </c>
      <c r="Q129" s="213">
        <v>0</v>
      </c>
      <c r="R129" s="213">
        <v>0</v>
      </c>
      <c r="S129" s="213">
        <v>0</v>
      </c>
      <c r="T129" s="213">
        <v>0</v>
      </c>
      <c r="U129" s="213">
        <v>0</v>
      </c>
      <c r="V129" s="213">
        <v>0</v>
      </c>
      <c r="W129" s="213">
        <v>0</v>
      </c>
      <c r="X129" s="213">
        <v>0</v>
      </c>
      <c r="Y129" s="213">
        <v>0</v>
      </c>
      <c r="Z129" s="213">
        <v>0</v>
      </c>
      <c r="AA129" s="213">
        <v>0</v>
      </c>
      <c r="AB129" s="213">
        <v>0</v>
      </c>
      <c r="AC129" s="213">
        <v>0</v>
      </c>
      <c r="AD129" s="213">
        <v>0</v>
      </c>
      <c r="AE129" s="213">
        <v>0</v>
      </c>
      <c r="AF129" s="213">
        <v>0</v>
      </c>
      <c r="AG129" s="213">
        <v>0</v>
      </c>
      <c r="AH129" s="213">
        <v>0</v>
      </c>
      <c r="AI129" s="213">
        <v>0</v>
      </c>
      <c r="AJ129" s="213">
        <v>0</v>
      </c>
      <c r="AK129" s="213">
        <v>0</v>
      </c>
      <c r="AL129" s="213">
        <v>0</v>
      </c>
      <c r="AM129" s="213">
        <v>0</v>
      </c>
      <c r="AN129" s="213">
        <v>0</v>
      </c>
      <c r="AO129" s="213">
        <v>0</v>
      </c>
      <c r="AP129" s="213">
        <v>0</v>
      </c>
      <c r="AQ129" s="213">
        <v>0</v>
      </c>
      <c r="AR129" s="213">
        <v>0</v>
      </c>
      <c r="AS129" s="213">
        <v>0</v>
      </c>
      <c r="AT129" s="213">
        <v>0</v>
      </c>
      <c r="AU129" s="213">
        <v>0</v>
      </c>
      <c r="AV129" s="213">
        <v>0</v>
      </c>
      <c r="AW129" s="213">
        <v>0</v>
      </c>
      <c r="AX129" s="213">
        <v>0</v>
      </c>
      <c r="AY129" s="213">
        <v>0</v>
      </c>
      <c r="AZ129" s="213">
        <v>0</v>
      </c>
      <c r="BA129" s="213">
        <v>0</v>
      </c>
      <c r="BB129" s="213">
        <v>0</v>
      </c>
      <c r="BC129" s="213">
        <v>0</v>
      </c>
    </row>
    <row r="130" spans="1:55" x14ac:dyDescent="0.25">
      <c r="A130" s="209" t="s">
        <v>14</v>
      </c>
      <c r="B130" s="210" t="s">
        <v>425</v>
      </c>
      <c r="C130" t="s">
        <v>14</v>
      </c>
      <c r="D130" t="s">
        <v>426</v>
      </c>
      <c r="E130" t="s">
        <v>508</v>
      </c>
      <c r="F130" s="211">
        <v>7200</v>
      </c>
      <c r="G130" t="s">
        <v>427</v>
      </c>
      <c r="H130" s="213">
        <v>9251.4399999999987</v>
      </c>
      <c r="I130" s="213">
        <v>10492.3</v>
      </c>
      <c r="J130" s="213">
        <v>10777.17</v>
      </c>
      <c r="K130" s="213">
        <v>8605.0400000000009</v>
      </c>
      <c r="L130" s="213">
        <v>12610.18</v>
      </c>
      <c r="M130" s="213">
        <v>9401.9699999999993</v>
      </c>
      <c r="N130" s="213">
        <v>0</v>
      </c>
      <c r="O130" s="213">
        <v>11681.31</v>
      </c>
      <c r="P130" s="213">
        <v>10839.57</v>
      </c>
      <c r="Q130" s="213">
        <v>11320.83</v>
      </c>
      <c r="R130" s="213">
        <v>7344.16</v>
      </c>
      <c r="S130" s="213">
        <v>3994.51</v>
      </c>
      <c r="T130" s="213">
        <v>14273.68</v>
      </c>
      <c r="U130" s="213">
        <v>12499.38</v>
      </c>
      <c r="V130" s="213">
        <v>15556.2</v>
      </c>
      <c r="W130" s="213">
        <v>14271.01</v>
      </c>
      <c r="X130" s="213">
        <v>16235.11</v>
      </c>
      <c r="Y130" s="213">
        <v>21279.56</v>
      </c>
      <c r="Z130" s="213">
        <v>17873.93</v>
      </c>
      <c r="AA130" s="213">
        <v>17053.05</v>
      </c>
      <c r="AB130" s="213">
        <v>28157.08</v>
      </c>
      <c r="AC130" s="213">
        <v>25380.65</v>
      </c>
      <c r="AD130" s="213">
        <v>18121.21</v>
      </c>
      <c r="AE130" s="213">
        <v>25545.11</v>
      </c>
      <c r="AF130" s="213">
        <v>19355.009999999998</v>
      </c>
      <c r="AG130" s="213">
        <v>27126.11</v>
      </c>
      <c r="AH130" s="213">
        <v>20762.75</v>
      </c>
      <c r="AI130" s="213">
        <v>21288.57</v>
      </c>
      <c r="AJ130" s="213">
        <v>21570.42</v>
      </c>
      <c r="AK130" s="213">
        <v>23069.55</v>
      </c>
      <c r="AL130" s="213">
        <v>23239.53</v>
      </c>
      <c r="AM130" s="213">
        <v>23778.18</v>
      </c>
      <c r="AN130" s="213">
        <v>20558.900000000001</v>
      </c>
      <c r="AO130" s="213">
        <v>19447.64</v>
      </c>
      <c r="AP130" s="213">
        <v>23050.959999999999</v>
      </c>
      <c r="AQ130" s="213">
        <v>22000.29</v>
      </c>
      <c r="AR130" s="213">
        <v>0</v>
      </c>
      <c r="AS130" s="213">
        <v>0</v>
      </c>
      <c r="AT130" s="213">
        <v>0</v>
      </c>
      <c r="AU130" s="213">
        <v>0</v>
      </c>
      <c r="AV130" s="213">
        <v>40460.97979452055</v>
      </c>
      <c r="AW130" s="213">
        <v>41810.97979452055</v>
      </c>
      <c r="AX130" s="213">
        <v>45110.97979452055</v>
      </c>
      <c r="AY130" s="213">
        <v>47210.97979452055</v>
      </c>
      <c r="AZ130" s="213">
        <v>48485.97979452055</v>
      </c>
      <c r="BA130" s="213">
        <v>50435.97979452055</v>
      </c>
      <c r="BB130" s="213">
        <v>52460.97979452055</v>
      </c>
      <c r="BC130" s="213">
        <v>53885.97979452055</v>
      </c>
    </row>
    <row r="131" spans="1:55" x14ac:dyDescent="0.25">
      <c r="A131" s="209" t="s">
        <v>14</v>
      </c>
      <c r="B131" s="210" t="s">
        <v>425</v>
      </c>
      <c r="C131" t="s">
        <v>14</v>
      </c>
      <c r="D131" t="s">
        <v>426</v>
      </c>
      <c r="E131" t="s">
        <v>508</v>
      </c>
      <c r="F131" s="211">
        <v>7050</v>
      </c>
      <c r="G131" t="s">
        <v>394</v>
      </c>
      <c r="H131" s="213">
        <v>11441.38</v>
      </c>
      <c r="I131" s="213">
        <v>19872.27</v>
      </c>
      <c r="J131" s="213">
        <v>16055.98</v>
      </c>
      <c r="K131" s="213">
        <v>14900.89</v>
      </c>
      <c r="L131" s="213">
        <v>15106.34</v>
      </c>
      <c r="M131" s="213">
        <v>17442.98</v>
      </c>
      <c r="N131" s="213">
        <v>18612.86</v>
      </c>
      <c r="O131" s="213">
        <v>18660.580000000002</v>
      </c>
      <c r="P131" s="213">
        <v>18418.86</v>
      </c>
      <c r="Q131" s="213">
        <v>24705.040000000001</v>
      </c>
      <c r="R131" s="213">
        <v>31638.75</v>
      </c>
      <c r="S131" s="213">
        <v>44605.29</v>
      </c>
      <c r="T131" s="213">
        <v>33268.699999999997</v>
      </c>
      <c r="U131" s="213">
        <v>39031.589999999997</v>
      </c>
      <c r="V131" s="213">
        <v>38079.47</v>
      </c>
      <c r="W131" s="213">
        <v>47271.79</v>
      </c>
      <c r="X131" s="213">
        <v>55491.82</v>
      </c>
      <c r="Y131" s="213">
        <v>52337.39</v>
      </c>
      <c r="Z131" s="213">
        <v>61880.26</v>
      </c>
      <c r="AA131" s="213">
        <v>51438.48</v>
      </c>
      <c r="AB131" s="213">
        <v>63751.72</v>
      </c>
      <c r="AC131" s="213">
        <v>56246.28</v>
      </c>
      <c r="AD131" s="213">
        <v>67181.25</v>
      </c>
      <c r="AE131" s="213">
        <v>61418.92</v>
      </c>
      <c r="AF131" s="213">
        <v>55529.36</v>
      </c>
      <c r="AG131" s="213">
        <v>72249.679999999993</v>
      </c>
      <c r="AH131" s="213">
        <v>48194.459999999992</v>
      </c>
      <c r="AI131" s="213">
        <v>58004.94</v>
      </c>
      <c r="AJ131" s="213">
        <v>55040.33</v>
      </c>
      <c r="AK131" s="213">
        <v>53234</v>
      </c>
      <c r="AL131" s="213">
        <v>55700.11</v>
      </c>
      <c r="AM131" s="213">
        <v>54712.51</v>
      </c>
      <c r="AN131" s="213">
        <v>50359</v>
      </c>
      <c r="AO131" s="213">
        <v>65629.740000000005</v>
      </c>
      <c r="AP131" s="213">
        <v>64586.66</v>
      </c>
      <c r="AQ131" s="213">
        <v>71806</v>
      </c>
      <c r="AR131" s="213">
        <v>68677.8</v>
      </c>
      <c r="AS131" s="213">
        <v>73352.539999999994</v>
      </c>
      <c r="AT131" s="213">
        <v>78294</v>
      </c>
      <c r="AU131" s="213">
        <v>79686.36</v>
      </c>
      <c r="AV131" s="213">
        <v>88209.688828522922</v>
      </c>
      <c r="AW131" s="213">
        <v>91456.671239388801</v>
      </c>
      <c r="AX131" s="213">
        <v>97950.636061120545</v>
      </c>
      <c r="AY131" s="213">
        <v>103903.43714770798</v>
      </c>
      <c r="AZ131" s="213">
        <v>107826.87422750425</v>
      </c>
      <c r="BA131" s="213">
        <v>113914.96624787776</v>
      </c>
      <c r="BB131" s="213">
        <v>119461.89453310697</v>
      </c>
      <c r="BC131" s="213">
        <v>124061.78628183363</v>
      </c>
    </row>
    <row r="132" spans="1:55" x14ac:dyDescent="0.25">
      <c r="A132" s="209" t="s">
        <v>14</v>
      </c>
      <c r="B132" s="210" t="s">
        <v>425</v>
      </c>
      <c r="C132" t="s">
        <v>14</v>
      </c>
      <c r="D132" t="s">
        <v>426</v>
      </c>
      <c r="E132" t="s">
        <v>508</v>
      </c>
      <c r="F132" s="211">
        <v>6250</v>
      </c>
      <c r="G132" t="s">
        <v>392</v>
      </c>
      <c r="H132" s="213">
        <v>1762.5</v>
      </c>
      <c r="I132" s="213">
        <v>712.5</v>
      </c>
      <c r="J132" s="213">
        <v>2640.63</v>
      </c>
      <c r="K132" s="213">
        <v>0</v>
      </c>
      <c r="L132" s="213">
        <v>0</v>
      </c>
      <c r="M132" s="213">
        <v>0</v>
      </c>
      <c r="N132" s="213">
        <v>-712.5</v>
      </c>
      <c r="O132" s="213">
        <v>0</v>
      </c>
      <c r="P132" s="213">
        <v>0</v>
      </c>
      <c r="Q132" s="213">
        <v>0</v>
      </c>
      <c r="R132" s="213">
        <v>0</v>
      </c>
      <c r="S132" s="213">
        <v>0</v>
      </c>
      <c r="T132" s="213">
        <v>787.5</v>
      </c>
      <c r="U132" s="213">
        <v>15625.319999999998</v>
      </c>
      <c r="V132" s="213">
        <v>3696.38</v>
      </c>
      <c r="W132" s="213">
        <v>7052.96</v>
      </c>
      <c r="X132" s="213">
        <v>340.22</v>
      </c>
      <c r="Y132" s="213">
        <v>5312.09</v>
      </c>
      <c r="Z132" s="213">
        <v>10505.49</v>
      </c>
      <c r="AA132" s="213">
        <v>0</v>
      </c>
      <c r="AB132" s="213">
        <v>8266.73</v>
      </c>
      <c r="AC132" s="213">
        <v>0</v>
      </c>
      <c r="AD132" s="213">
        <v>0</v>
      </c>
      <c r="AE132" s="213">
        <v>0</v>
      </c>
      <c r="AF132" s="213">
        <v>0</v>
      </c>
      <c r="AG132" s="213">
        <v>38442.550000000003</v>
      </c>
      <c r="AH132" s="213">
        <v>25000</v>
      </c>
      <c r="AI132" s="213">
        <v>0</v>
      </c>
      <c r="AJ132" s="213">
        <v>0</v>
      </c>
      <c r="AK132" s="213">
        <v>0</v>
      </c>
      <c r="AL132" s="213">
        <v>0</v>
      </c>
      <c r="AM132" s="213">
        <v>3039.75</v>
      </c>
      <c r="AN132" s="213">
        <v>0</v>
      </c>
      <c r="AO132" s="213">
        <v>0</v>
      </c>
      <c r="AP132" s="213">
        <v>0</v>
      </c>
      <c r="AQ132" s="213">
        <v>0</v>
      </c>
      <c r="AR132" s="213">
        <v>0</v>
      </c>
      <c r="AS132" s="213">
        <v>0</v>
      </c>
      <c r="AT132" s="213">
        <v>0</v>
      </c>
      <c r="AU132" s="213">
        <v>0</v>
      </c>
      <c r="AV132" s="213">
        <v>8000</v>
      </c>
      <c r="AW132" s="213">
        <v>8000</v>
      </c>
      <c r="AX132" s="213">
        <v>0</v>
      </c>
      <c r="AY132" s="213">
        <v>0</v>
      </c>
      <c r="AZ132" s="213">
        <v>0</v>
      </c>
      <c r="BA132" s="213">
        <v>0</v>
      </c>
      <c r="BB132" s="213">
        <v>0</v>
      </c>
      <c r="BC132" s="213">
        <v>0</v>
      </c>
    </row>
    <row r="133" spans="1:55" x14ac:dyDescent="0.25">
      <c r="A133" s="209" t="s">
        <v>14</v>
      </c>
      <c r="B133" s="210" t="s">
        <v>428</v>
      </c>
      <c r="C133" t="s">
        <v>14</v>
      </c>
      <c r="D133" t="s">
        <v>404</v>
      </c>
      <c r="E133" t="s">
        <v>508</v>
      </c>
      <c r="F133" s="211">
        <v>1510</v>
      </c>
      <c r="G133" t="s">
        <v>429</v>
      </c>
      <c r="H133" s="213">
        <v>0</v>
      </c>
      <c r="I133" s="213">
        <v>0</v>
      </c>
      <c r="J133" s="213">
        <v>34899</v>
      </c>
      <c r="K133" s="213">
        <v>0</v>
      </c>
      <c r="L133" s="213">
        <v>56777</v>
      </c>
      <c r="M133" s="213">
        <v>0</v>
      </c>
      <c r="N133" s="213">
        <v>0</v>
      </c>
      <c r="O133" s="213">
        <v>0</v>
      </c>
      <c r="P133" s="213">
        <v>0</v>
      </c>
      <c r="Q133" s="213">
        <v>0</v>
      </c>
      <c r="R133" s="213">
        <v>0</v>
      </c>
      <c r="S133" s="213">
        <v>0</v>
      </c>
      <c r="T133" s="213">
        <v>0</v>
      </c>
      <c r="U133" s="213">
        <v>0</v>
      </c>
      <c r="V133" s="213">
        <v>0</v>
      </c>
      <c r="W133" s="213">
        <v>0</v>
      </c>
      <c r="X133" s="213">
        <v>0</v>
      </c>
      <c r="Y133" s="213">
        <v>0</v>
      </c>
      <c r="Z133" s="213">
        <v>0</v>
      </c>
      <c r="AA133" s="213">
        <v>0</v>
      </c>
      <c r="AB133" s="213">
        <v>0</v>
      </c>
      <c r="AC133" s="213">
        <v>0</v>
      </c>
      <c r="AD133" s="213">
        <v>0</v>
      </c>
      <c r="AE133" s="213">
        <v>0</v>
      </c>
      <c r="AF133" s="213">
        <v>0</v>
      </c>
      <c r="AG133" s="213">
        <v>0</v>
      </c>
      <c r="AH133" s="213">
        <v>0</v>
      </c>
      <c r="AI133" s="213">
        <v>0</v>
      </c>
      <c r="AJ133" s="213">
        <v>0</v>
      </c>
      <c r="AK133" s="213">
        <v>0</v>
      </c>
      <c r="AL133" s="213">
        <v>0</v>
      </c>
      <c r="AM133" s="213">
        <v>0</v>
      </c>
      <c r="AN133" s="213">
        <v>0</v>
      </c>
      <c r="AO133" s="213">
        <v>0</v>
      </c>
      <c r="AP133" s="213">
        <v>0</v>
      </c>
      <c r="AQ133" s="213">
        <v>0</v>
      </c>
      <c r="AR133" s="213">
        <v>0</v>
      </c>
      <c r="AS133" s="213">
        <v>0</v>
      </c>
      <c r="AT133" s="213">
        <v>0</v>
      </c>
      <c r="AU133" s="213">
        <v>0</v>
      </c>
      <c r="AV133" s="213">
        <v>0</v>
      </c>
      <c r="AW133" s="213">
        <v>0</v>
      </c>
      <c r="AX133" s="213">
        <v>0</v>
      </c>
      <c r="AY133" s="213">
        <v>0</v>
      </c>
      <c r="AZ133" s="213">
        <v>0</v>
      </c>
      <c r="BA133" s="213">
        <v>0</v>
      </c>
      <c r="BB133" s="213">
        <v>0</v>
      </c>
      <c r="BC133" s="213">
        <v>0</v>
      </c>
    </row>
    <row r="134" spans="1:55" x14ac:dyDescent="0.25">
      <c r="B134" s="210"/>
      <c r="H134" s="214">
        <v>0</v>
      </c>
      <c r="I134" s="214">
        <v>0</v>
      </c>
      <c r="J134" s="214">
        <v>0</v>
      </c>
      <c r="K134" s="214">
        <v>0</v>
      </c>
      <c r="L134" s="214">
        <v>0</v>
      </c>
      <c r="M134" s="214">
        <v>0</v>
      </c>
      <c r="N134" s="214">
        <v>0</v>
      </c>
      <c r="O134" s="214">
        <v>0</v>
      </c>
      <c r="P134" s="214">
        <v>0</v>
      </c>
      <c r="Q134" s="214">
        <v>0</v>
      </c>
      <c r="R134" s="214">
        <v>0</v>
      </c>
      <c r="S134" s="214">
        <v>0</v>
      </c>
      <c r="T134" s="214">
        <v>0</v>
      </c>
      <c r="U134" s="214">
        <v>0</v>
      </c>
      <c r="V134" s="214">
        <v>0</v>
      </c>
      <c r="W134" s="214">
        <v>0</v>
      </c>
      <c r="X134" s="214">
        <v>0</v>
      </c>
      <c r="Y134" s="214">
        <v>0</v>
      </c>
      <c r="Z134" s="214">
        <v>0</v>
      </c>
      <c r="AA134" s="214">
        <v>0</v>
      </c>
      <c r="AB134" s="214">
        <v>0</v>
      </c>
      <c r="AC134" s="214">
        <v>0</v>
      </c>
      <c r="AD134" s="214">
        <v>0</v>
      </c>
      <c r="AE134" s="214">
        <v>0</v>
      </c>
      <c r="AF134" s="214">
        <v>0</v>
      </c>
      <c r="AG134" s="214">
        <v>0</v>
      </c>
      <c r="AH134" s="214">
        <v>0</v>
      </c>
      <c r="AI134" s="214">
        <v>0</v>
      </c>
      <c r="AJ134" s="214">
        <v>0</v>
      </c>
      <c r="AK134" s="214">
        <v>0</v>
      </c>
      <c r="AL134" s="214">
        <v>0</v>
      </c>
      <c r="AM134" s="214">
        <v>0</v>
      </c>
      <c r="AN134" s="214">
        <v>0</v>
      </c>
      <c r="AO134" s="214">
        <v>0</v>
      </c>
      <c r="AP134" s="214">
        <v>0</v>
      </c>
      <c r="AQ134" s="214">
        <v>0</v>
      </c>
      <c r="AR134" s="214">
        <v>0</v>
      </c>
      <c r="AS134" s="214">
        <v>0</v>
      </c>
      <c r="AT134" s="214">
        <v>0</v>
      </c>
      <c r="AU134" s="214">
        <v>0</v>
      </c>
      <c r="AV134" s="214">
        <v>0</v>
      </c>
      <c r="AW134" s="214">
        <v>0</v>
      </c>
      <c r="AX134" s="214">
        <v>0</v>
      </c>
      <c r="AY134" s="214">
        <v>0</v>
      </c>
      <c r="AZ134" s="214">
        <v>0</v>
      </c>
      <c r="BA134" s="214">
        <v>0</v>
      </c>
      <c r="BB134" s="214">
        <v>0</v>
      </c>
      <c r="BC134" s="214">
        <v>0</v>
      </c>
    </row>
    <row r="135" spans="1:55" x14ac:dyDescent="0.25">
      <c r="B135" s="210"/>
      <c r="H135" s="216">
        <v>435173.28</v>
      </c>
      <c r="I135" s="216">
        <v>520342.30999999994</v>
      </c>
      <c r="J135" s="216">
        <v>516897.23999999993</v>
      </c>
      <c r="K135" s="216">
        <v>548982.72</v>
      </c>
      <c r="L135" s="216">
        <v>585369.68000000005</v>
      </c>
      <c r="M135" s="216">
        <v>573986.97</v>
      </c>
      <c r="N135" s="216">
        <v>694753.55</v>
      </c>
      <c r="O135" s="216">
        <v>763890.66</v>
      </c>
      <c r="P135" s="216">
        <v>803716.91999999993</v>
      </c>
      <c r="Q135" s="216">
        <v>885190.37</v>
      </c>
      <c r="R135" s="216">
        <v>716958.07999999984</v>
      </c>
      <c r="S135" s="216">
        <v>1128131.1700000004</v>
      </c>
      <c r="T135" s="216">
        <v>920063.75000000023</v>
      </c>
      <c r="U135" s="216">
        <v>831375.71</v>
      </c>
      <c r="V135" s="216">
        <v>995045.52000000014</v>
      </c>
      <c r="W135" s="216">
        <v>917508.39999999979</v>
      </c>
      <c r="X135" s="216">
        <v>806690.47999999986</v>
      </c>
      <c r="Y135" s="216">
        <v>809488.85</v>
      </c>
      <c r="Z135" s="216">
        <v>900027.76000000013</v>
      </c>
      <c r="AA135" s="216">
        <v>808489.5900000002</v>
      </c>
      <c r="AB135" s="216">
        <v>989670.30999999982</v>
      </c>
      <c r="AC135" s="216">
        <v>963534.69999999984</v>
      </c>
      <c r="AD135" s="216">
        <v>944167.26000000013</v>
      </c>
      <c r="AE135" s="216">
        <v>884349.74999999988</v>
      </c>
      <c r="AF135" s="216">
        <v>1020924.04</v>
      </c>
      <c r="AG135" s="216">
        <v>1012035.8399999999</v>
      </c>
      <c r="AH135" s="216">
        <v>1102327.6199999999</v>
      </c>
      <c r="AI135" s="216">
        <v>869324.26</v>
      </c>
      <c r="AJ135" s="216">
        <v>928595.69</v>
      </c>
      <c r="AK135" s="216">
        <v>1058339.3899999999</v>
      </c>
      <c r="AL135" s="216">
        <v>960865.41000000015</v>
      </c>
      <c r="AM135" s="216">
        <v>971603.93</v>
      </c>
      <c r="AN135" s="216">
        <v>1051498.1599999999</v>
      </c>
      <c r="AO135" s="216">
        <v>998312.86999999988</v>
      </c>
      <c r="AP135" s="216">
        <v>1043784.0699999997</v>
      </c>
      <c r="AQ135" s="216">
        <v>1121719</v>
      </c>
      <c r="AR135" s="216">
        <v>1208610.0799999998</v>
      </c>
      <c r="AS135" s="216">
        <v>1205268.5899999999</v>
      </c>
      <c r="AT135" s="216">
        <v>1585088.74</v>
      </c>
      <c r="AU135" s="216">
        <v>1694102.8200000005</v>
      </c>
      <c r="AV135" s="216">
        <v>1635043.3543071831</v>
      </c>
      <c r="AW135" s="216">
        <v>1842030.6772072911</v>
      </c>
      <c r="AX135" s="216">
        <v>1780943.1956418587</v>
      </c>
      <c r="AY135" s="216">
        <v>1864321.3344007707</v>
      </c>
      <c r="AZ135" s="216">
        <v>2123683.9333202639</v>
      </c>
      <c r="BA135" s="216">
        <v>2019911.4413285011</v>
      </c>
      <c r="BB135" s="216">
        <v>2144766.4751385688</v>
      </c>
      <c r="BC135" s="216">
        <v>2852455.651595294</v>
      </c>
    </row>
    <row r="136" spans="1:55" ht="15.75" x14ac:dyDescent="0.25">
      <c r="A136" s="206" t="s">
        <v>43</v>
      </c>
      <c r="B136" s="207"/>
      <c r="C136" s="206"/>
      <c r="D136" s="206"/>
      <c r="E136" s="206"/>
      <c r="F136" s="206"/>
      <c r="G136" s="206"/>
      <c r="H136" s="213">
        <v>0</v>
      </c>
      <c r="I136" s="213">
        <v>0</v>
      </c>
      <c r="J136" s="213">
        <v>0</v>
      </c>
      <c r="K136" s="213">
        <v>0</v>
      </c>
      <c r="L136" s="213">
        <v>0</v>
      </c>
      <c r="M136" s="213">
        <v>0</v>
      </c>
      <c r="N136" s="213">
        <v>0</v>
      </c>
      <c r="O136" s="213">
        <v>0</v>
      </c>
      <c r="P136" s="213">
        <v>0</v>
      </c>
      <c r="Q136" s="213">
        <v>0</v>
      </c>
      <c r="R136" s="213">
        <v>0</v>
      </c>
      <c r="S136" s="213">
        <v>0</v>
      </c>
      <c r="T136" s="213">
        <v>0</v>
      </c>
      <c r="U136" s="213">
        <v>0</v>
      </c>
      <c r="V136" s="213">
        <v>0</v>
      </c>
      <c r="W136" s="213">
        <v>0</v>
      </c>
      <c r="X136" s="213">
        <v>0</v>
      </c>
      <c r="Y136" s="213">
        <v>0</v>
      </c>
      <c r="Z136" s="213">
        <v>0</v>
      </c>
      <c r="AA136" s="213">
        <v>0</v>
      </c>
      <c r="AB136" s="213">
        <v>0</v>
      </c>
      <c r="AC136" s="213">
        <v>0</v>
      </c>
      <c r="AD136" s="213">
        <v>0</v>
      </c>
      <c r="AE136" s="213">
        <v>0</v>
      </c>
      <c r="AF136" s="213">
        <v>0</v>
      </c>
      <c r="AG136" s="213">
        <v>0</v>
      </c>
      <c r="AH136" s="213">
        <v>0</v>
      </c>
      <c r="AI136" s="213">
        <v>0</v>
      </c>
      <c r="AJ136" s="213">
        <v>0</v>
      </c>
      <c r="AK136" s="213">
        <v>0</v>
      </c>
      <c r="AL136" s="213">
        <v>0</v>
      </c>
      <c r="AM136" s="213">
        <v>0</v>
      </c>
      <c r="AN136" s="213">
        <v>0</v>
      </c>
      <c r="AO136" s="213">
        <v>0</v>
      </c>
      <c r="AP136" s="213">
        <v>0</v>
      </c>
      <c r="AQ136" s="213">
        <v>0</v>
      </c>
      <c r="AR136" s="213">
        <v>0</v>
      </c>
      <c r="AS136" s="213">
        <v>0</v>
      </c>
      <c r="AT136" s="213">
        <v>0</v>
      </c>
      <c r="AU136" s="213">
        <v>0</v>
      </c>
      <c r="AV136" s="213">
        <v>0</v>
      </c>
      <c r="AW136" s="213">
        <v>0</v>
      </c>
      <c r="AX136" s="213">
        <v>0</v>
      </c>
      <c r="AY136" s="213">
        <v>0</v>
      </c>
      <c r="AZ136" s="213">
        <v>0</v>
      </c>
      <c r="BA136" s="213">
        <v>0</v>
      </c>
      <c r="BB136" s="213">
        <v>0</v>
      </c>
      <c r="BC136" s="213">
        <v>0</v>
      </c>
    </row>
    <row r="137" spans="1:55" x14ac:dyDescent="0.25">
      <c r="A137" s="209" t="s">
        <v>14</v>
      </c>
      <c r="B137" s="210" t="s">
        <v>430</v>
      </c>
      <c r="C137" t="s">
        <v>14</v>
      </c>
      <c r="D137" t="s">
        <v>431</v>
      </c>
      <c r="E137" t="s">
        <v>495</v>
      </c>
      <c r="F137" s="211">
        <v>7000</v>
      </c>
      <c r="G137" t="s">
        <v>388</v>
      </c>
      <c r="H137" s="213">
        <v>37150</v>
      </c>
      <c r="I137" s="213">
        <v>41535.99</v>
      </c>
      <c r="J137" s="213">
        <v>41617.15</v>
      </c>
      <c r="K137" s="213">
        <v>41617.4</v>
      </c>
      <c r="L137" s="213">
        <v>42796.04</v>
      </c>
      <c r="M137" s="213">
        <v>44411.89</v>
      </c>
      <c r="N137" s="213">
        <v>41512.33</v>
      </c>
      <c r="O137" s="213">
        <v>55105.98</v>
      </c>
      <c r="P137" s="213">
        <v>57898.04</v>
      </c>
      <c r="Q137" s="213">
        <v>57658.51</v>
      </c>
      <c r="R137" s="213">
        <v>57585.89</v>
      </c>
      <c r="S137" s="213">
        <v>53579.58</v>
      </c>
      <c r="T137" s="213">
        <v>65029.03</v>
      </c>
      <c r="U137" s="213">
        <v>68543</v>
      </c>
      <c r="V137" s="213">
        <v>80075.839999999997</v>
      </c>
      <c r="W137" s="213">
        <v>93123.839999999997</v>
      </c>
      <c r="X137" s="213">
        <v>99293.75</v>
      </c>
      <c r="Y137" s="213">
        <v>106311.12</v>
      </c>
      <c r="Z137" s="213">
        <v>103593.19</v>
      </c>
      <c r="AA137" s="213">
        <v>98698.25</v>
      </c>
      <c r="AB137" s="213">
        <v>104346.48</v>
      </c>
      <c r="AC137" s="213">
        <v>114266.59</v>
      </c>
      <c r="AD137" s="213">
        <v>141006.51999999999</v>
      </c>
      <c r="AE137" s="213">
        <v>137702.72</v>
      </c>
      <c r="AF137" s="213">
        <v>145875.19</v>
      </c>
      <c r="AG137" s="213">
        <v>147208.47999999998</v>
      </c>
      <c r="AH137" s="213">
        <v>152057.22999999998</v>
      </c>
      <c r="AI137" s="213">
        <v>152634.91999999998</v>
      </c>
      <c r="AJ137" s="213">
        <v>133336.44</v>
      </c>
      <c r="AK137" s="213">
        <v>135695.33000000002</v>
      </c>
      <c r="AL137" s="213">
        <v>134555.1</v>
      </c>
      <c r="AM137" s="213">
        <v>134731.78</v>
      </c>
      <c r="AN137" s="213">
        <v>136636.28</v>
      </c>
      <c r="AO137" s="213">
        <v>145071.51</v>
      </c>
      <c r="AP137" s="213">
        <v>137167.21</v>
      </c>
      <c r="AQ137" s="213">
        <v>183716.40000000002</v>
      </c>
      <c r="AR137" s="213">
        <v>268652.59000000003</v>
      </c>
      <c r="AS137" s="213">
        <v>318841.77999999997</v>
      </c>
      <c r="AT137" s="213">
        <v>316768.65999999997</v>
      </c>
      <c r="AU137" s="213">
        <v>373952.89</v>
      </c>
      <c r="AV137" s="213">
        <v>432057.16159999999</v>
      </c>
      <c r="AW137" s="213">
        <v>452251.61760000006</v>
      </c>
      <c r="AX137" s="213">
        <v>465584.95760000002</v>
      </c>
      <c r="AY137" s="213">
        <v>465584.95760000002</v>
      </c>
      <c r="AZ137" s="213">
        <v>465584.95760000002</v>
      </c>
      <c r="BA137" s="213">
        <v>485768.29360000003</v>
      </c>
      <c r="BB137" s="213">
        <v>485768.29360000003</v>
      </c>
      <c r="BC137" s="213">
        <v>485768.29360000003</v>
      </c>
    </row>
    <row r="138" spans="1:55" x14ac:dyDescent="0.25">
      <c r="A138" s="209" t="s">
        <v>14</v>
      </c>
      <c r="B138" s="210" t="s">
        <v>430</v>
      </c>
      <c r="C138" t="s">
        <v>14</v>
      </c>
      <c r="D138" t="s">
        <v>431</v>
      </c>
      <c r="E138" t="s">
        <v>495</v>
      </c>
      <c r="F138" s="211">
        <v>6100</v>
      </c>
      <c r="G138" t="s">
        <v>389</v>
      </c>
      <c r="H138" s="213">
        <v>6662.95</v>
      </c>
      <c r="I138" s="213">
        <v>6810.01</v>
      </c>
      <c r="J138" s="213">
        <v>6439.82</v>
      </c>
      <c r="K138" s="213">
        <v>6401.01</v>
      </c>
      <c r="L138" s="213">
        <v>6488.89</v>
      </c>
      <c r="M138" s="213">
        <v>6551.58</v>
      </c>
      <c r="N138" s="213">
        <v>6412.03</v>
      </c>
      <c r="O138" s="213">
        <v>9266.64</v>
      </c>
      <c r="P138" s="213">
        <v>8072.12</v>
      </c>
      <c r="Q138" s="213">
        <v>7855.81</v>
      </c>
      <c r="R138" s="213">
        <v>7737.25</v>
      </c>
      <c r="S138" s="213">
        <v>42204.17</v>
      </c>
      <c r="T138" s="213">
        <v>27242.659999999996</v>
      </c>
      <c r="U138" s="213">
        <v>-6539.7300000000005</v>
      </c>
      <c r="V138" s="213">
        <v>15945.179999999998</v>
      </c>
      <c r="W138" s="213">
        <v>16541.469999999998</v>
      </c>
      <c r="X138" s="213">
        <v>19873.340000000004</v>
      </c>
      <c r="Y138" s="213">
        <v>19400.150000000001</v>
      </c>
      <c r="Z138" s="213">
        <v>19062.04</v>
      </c>
      <c r="AA138" s="213">
        <v>18153.04</v>
      </c>
      <c r="AB138" s="213">
        <v>14846.64</v>
      </c>
      <c r="AC138" s="213">
        <v>13082.9</v>
      </c>
      <c r="AD138" s="213">
        <v>13534.11</v>
      </c>
      <c r="AE138" s="213">
        <v>14759.24</v>
      </c>
      <c r="AF138" s="213">
        <v>19678.740000000002</v>
      </c>
      <c r="AG138" s="213">
        <v>14419.59</v>
      </c>
      <c r="AH138" s="213">
        <v>22822.39</v>
      </c>
      <c r="AI138" s="213">
        <v>15217.69</v>
      </c>
      <c r="AJ138" s="213">
        <v>17009.400000000001</v>
      </c>
      <c r="AK138" s="213">
        <v>15387.039999999999</v>
      </c>
      <c r="AL138" s="213">
        <v>17613.16</v>
      </c>
      <c r="AM138" s="213">
        <v>16113.880000000001</v>
      </c>
      <c r="AN138" s="213">
        <v>21763.32</v>
      </c>
      <c r="AO138" s="213">
        <v>16655.34</v>
      </c>
      <c r="AP138" s="213">
        <v>17495.810000000001</v>
      </c>
      <c r="AQ138" s="213">
        <v>36192.910000000003</v>
      </c>
      <c r="AR138" s="213">
        <v>27921.38</v>
      </c>
      <c r="AS138" s="213">
        <v>38758.639999999999</v>
      </c>
      <c r="AT138" s="213">
        <v>21132.35</v>
      </c>
      <c r="AU138" s="213">
        <v>68671.399999999994</v>
      </c>
      <c r="AV138" s="213">
        <v>32680.617520000014</v>
      </c>
      <c r="AW138" s="213">
        <v>34278.517520000009</v>
      </c>
      <c r="AX138" s="213">
        <v>35077.467520000006</v>
      </c>
      <c r="AY138" s="213">
        <v>35077.467520000006</v>
      </c>
      <c r="AZ138" s="213">
        <v>36781.993571199986</v>
      </c>
      <c r="BA138" s="213">
        <v>38453.538571199984</v>
      </c>
      <c r="BB138" s="213">
        <v>38453.538571199984</v>
      </c>
      <c r="BC138" s="213">
        <v>38453.538571199984</v>
      </c>
    </row>
    <row r="139" spans="1:55" x14ac:dyDescent="0.25">
      <c r="A139" s="209" t="s">
        <v>14</v>
      </c>
      <c r="B139" s="210" t="s">
        <v>430</v>
      </c>
      <c r="C139" t="s">
        <v>14</v>
      </c>
      <c r="D139" t="s">
        <v>431</v>
      </c>
      <c r="E139" t="s">
        <v>495</v>
      </c>
      <c r="F139" s="211">
        <v>6150</v>
      </c>
      <c r="G139" t="s">
        <v>405</v>
      </c>
      <c r="H139" s="213">
        <v>2667</v>
      </c>
      <c r="I139" s="213">
        <v>3563</v>
      </c>
      <c r="J139" s="213">
        <v>5835</v>
      </c>
      <c r="K139" s="213">
        <v>4320</v>
      </c>
      <c r="L139" s="213">
        <v>4320</v>
      </c>
      <c r="M139" s="213">
        <v>-224</v>
      </c>
      <c r="N139" s="213">
        <v>3231</v>
      </c>
      <c r="O139" s="213">
        <v>2667</v>
      </c>
      <c r="P139" s="213">
        <v>14148.54</v>
      </c>
      <c r="Q139" s="213">
        <v>5289.68</v>
      </c>
      <c r="R139" s="213">
        <v>5319.67</v>
      </c>
      <c r="S139" s="213">
        <v>8186.2</v>
      </c>
      <c r="T139" s="213">
        <v>10305.98</v>
      </c>
      <c r="U139" s="213">
        <v>6141.62</v>
      </c>
      <c r="V139" s="213">
        <v>7329.82</v>
      </c>
      <c r="W139" s="213">
        <v>8415.3799999999992</v>
      </c>
      <c r="X139" s="213">
        <v>15841.46</v>
      </c>
      <c r="Y139" s="213">
        <v>9892.0400000000009</v>
      </c>
      <c r="Z139" s="213">
        <v>8781.59</v>
      </c>
      <c r="AA139" s="213">
        <v>8962.48</v>
      </c>
      <c r="AB139" s="213">
        <v>8972.2000000000007</v>
      </c>
      <c r="AC139" s="213">
        <v>8981.2000000000007</v>
      </c>
      <c r="AD139" s="213">
        <v>9727.6</v>
      </c>
      <c r="AE139" s="213">
        <v>-8402.64</v>
      </c>
      <c r="AF139" s="213">
        <v>7274.82</v>
      </c>
      <c r="AG139" s="213">
        <v>2173.4899999999998</v>
      </c>
      <c r="AH139" s="213">
        <v>25966.859999999997</v>
      </c>
      <c r="AI139" s="213">
        <v>14550.98</v>
      </c>
      <c r="AJ139" s="213">
        <v>15723.66</v>
      </c>
      <c r="AK139" s="213">
        <v>-4221.2699999999995</v>
      </c>
      <c r="AL139" s="213">
        <v>12778.880000000001</v>
      </c>
      <c r="AM139" s="213">
        <v>13266.029999999999</v>
      </c>
      <c r="AN139" s="213">
        <v>-29791.29</v>
      </c>
      <c r="AO139" s="213">
        <v>8921.2100000000009</v>
      </c>
      <c r="AP139" s="213">
        <v>-1256.2</v>
      </c>
      <c r="AQ139" s="213">
        <v>9694.74</v>
      </c>
      <c r="AR139" s="213">
        <v>45092.92</v>
      </c>
      <c r="AS139" s="213">
        <v>28325</v>
      </c>
      <c r="AT139" s="213">
        <v>87236.67</v>
      </c>
      <c r="AU139" s="213">
        <v>90238.59</v>
      </c>
      <c r="AV139" s="213">
        <v>70116.697222222225</v>
      </c>
      <c r="AW139" s="213">
        <v>70216.808333333334</v>
      </c>
      <c r="AX139" s="213">
        <v>71630.142373333336</v>
      </c>
      <c r="AY139" s="213">
        <v>71630.142373333336</v>
      </c>
      <c r="AZ139" s="213">
        <v>76312.950915733338</v>
      </c>
      <c r="BA139" s="213">
        <v>78580.750249066667</v>
      </c>
      <c r="BB139" s="213">
        <v>78580.750249066667</v>
      </c>
      <c r="BC139" s="213">
        <v>78580.750249066667</v>
      </c>
    </row>
    <row r="140" spans="1:55" x14ac:dyDescent="0.25">
      <c r="A140" s="209" t="s">
        <v>14</v>
      </c>
      <c r="B140" s="210" t="s">
        <v>430</v>
      </c>
      <c r="C140" t="s">
        <v>14</v>
      </c>
      <c r="D140" t="s">
        <v>431</v>
      </c>
      <c r="E140" t="s">
        <v>495</v>
      </c>
      <c r="F140" s="211">
        <v>6112</v>
      </c>
      <c r="G140" t="s">
        <v>391</v>
      </c>
      <c r="H140" s="213">
        <v>0</v>
      </c>
      <c r="I140" s="213">
        <v>0</v>
      </c>
      <c r="J140" s="213">
        <v>0</v>
      </c>
      <c r="K140" s="213">
        <v>0</v>
      </c>
      <c r="L140" s="213">
        <v>0</v>
      </c>
      <c r="M140" s="213">
        <v>0</v>
      </c>
      <c r="N140" s="213">
        <v>0</v>
      </c>
      <c r="O140" s="213">
        <v>0</v>
      </c>
      <c r="P140" s="213">
        <v>0</v>
      </c>
      <c r="Q140" s="213">
        <v>0</v>
      </c>
      <c r="R140" s="213">
        <v>0</v>
      </c>
      <c r="S140" s="213">
        <v>0</v>
      </c>
      <c r="T140" s="213">
        <v>0</v>
      </c>
      <c r="U140" s="213">
        <v>0</v>
      </c>
      <c r="V140" s="213">
        <v>0</v>
      </c>
      <c r="W140" s="213">
        <v>0</v>
      </c>
      <c r="X140" s="213">
        <v>0</v>
      </c>
      <c r="Y140" s="213">
        <v>0</v>
      </c>
      <c r="Z140" s="213">
        <v>0</v>
      </c>
      <c r="AA140" s="213">
        <v>0</v>
      </c>
      <c r="AB140" s="213">
        <v>7360.83</v>
      </c>
      <c r="AC140" s="213">
        <v>7625.63</v>
      </c>
      <c r="AD140" s="213">
        <v>8937</v>
      </c>
      <c r="AE140" s="213">
        <v>10990.32</v>
      </c>
      <c r="AF140" s="213">
        <v>12374.099999999999</v>
      </c>
      <c r="AG140" s="213">
        <v>12063.869999999999</v>
      </c>
      <c r="AH140" s="213">
        <v>13632.03</v>
      </c>
      <c r="AI140" s="213">
        <v>12704.77</v>
      </c>
      <c r="AJ140" s="213">
        <v>11237.679999999998</v>
      </c>
      <c r="AK140" s="213">
        <v>8811.73</v>
      </c>
      <c r="AL140" s="213">
        <v>9932.619999999999</v>
      </c>
      <c r="AM140" s="213">
        <v>9995.4599999999991</v>
      </c>
      <c r="AN140" s="213">
        <v>6913.67</v>
      </c>
      <c r="AO140" s="213">
        <v>11043.91</v>
      </c>
      <c r="AP140" s="213">
        <v>9553.44</v>
      </c>
      <c r="AQ140" s="213">
        <v>17081.82</v>
      </c>
      <c r="AR140" s="213">
        <v>26705.21</v>
      </c>
      <c r="AS140" s="213">
        <v>29480.760000000002</v>
      </c>
      <c r="AT140" s="213">
        <v>33335.54</v>
      </c>
      <c r="AU140" s="213">
        <v>38798.020000000004</v>
      </c>
      <c r="AV140" s="213">
        <v>35727.001915963054</v>
      </c>
      <c r="AW140" s="213">
        <v>33831.229013189353</v>
      </c>
      <c r="AX140" s="213">
        <v>33663.933619785283</v>
      </c>
      <c r="AY140" s="213">
        <v>33732.430934022021</v>
      </c>
      <c r="AZ140" s="213">
        <v>34968.500110386572</v>
      </c>
      <c r="BA140" s="213">
        <v>31488.67264878131</v>
      </c>
      <c r="BB140" s="213">
        <v>30002.434795118639</v>
      </c>
      <c r="BC140" s="213">
        <v>46157.345836385284</v>
      </c>
    </row>
    <row r="141" spans="1:55" x14ac:dyDescent="0.25">
      <c r="A141" s="209" t="s">
        <v>14</v>
      </c>
      <c r="B141" s="210" t="s">
        <v>430</v>
      </c>
      <c r="C141" t="s">
        <v>14</v>
      </c>
      <c r="D141" t="s">
        <v>431</v>
      </c>
      <c r="E141" t="s">
        <v>509</v>
      </c>
      <c r="F141" s="211">
        <v>6250</v>
      </c>
      <c r="G141" t="s">
        <v>392</v>
      </c>
      <c r="H141" s="213">
        <v>7000</v>
      </c>
      <c r="I141" s="213">
        <v>14670</v>
      </c>
      <c r="J141" s="213">
        <v>43449</v>
      </c>
      <c r="K141" s="213">
        <v>5368.79</v>
      </c>
      <c r="L141" s="213">
        <v>45158.58</v>
      </c>
      <c r="M141" s="213">
        <v>35204.559999999998</v>
      </c>
      <c r="N141" s="213">
        <v>95581.010000000009</v>
      </c>
      <c r="O141" s="213">
        <v>43780.38</v>
      </c>
      <c r="P141" s="213">
        <v>54533</v>
      </c>
      <c r="Q141" s="213">
        <v>57750</v>
      </c>
      <c r="R141" s="213">
        <v>0</v>
      </c>
      <c r="S141" s="213">
        <v>3085.29</v>
      </c>
      <c r="T141" s="213">
        <v>11180.199999999999</v>
      </c>
      <c r="U141" s="213">
        <v>51875</v>
      </c>
      <c r="V141" s="213">
        <v>116736.97000000002</v>
      </c>
      <c r="W141" s="213">
        <v>16735.63</v>
      </c>
      <c r="X141" s="213">
        <v>31258.74</v>
      </c>
      <c r="Y141" s="213">
        <v>16758.13</v>
      </c>
      <c r="Z141" s="213">
        <v>54431.869999999995</v>
      </c>
      <c r="AA141" s="213">
        <v>28867</v>
      </c>
      <c r="AB141" s="213">
        <v>53833.67</v>
      </c>
      <c r="AC141" s="213">
        <v>52046.42</v>
      </c>
      <c r="AD141" s="213">
        <v>71207.69</v>
      </c>
      <c r="AE141" s="213">
        <v>39682.629999999997</v>
      </c>
      <c r="AF141" s="213">
        <v>10408.08</v>
      </c>
      <c r="AG141" s="213">
        <v>46209.93</v>
      </c>
      <c r="AH141" s="213">
        <v>41701.800000000003</v>
      </c>
      <c r="AI141" s="213">
        <v>26329.75</v>
      </c>
      <c r="AJ141" s="213">
        <v>6854.51</v>
      </c>
      <c r="AK141" s="213">
        <v>2523.19</v>
      </c>
      <c r="AL141" s="213">
        <v>10897.39</v>
      </c>
      <c r="AM141" s="213">
        <v>9393.4</v>
      </c>
      <c r="AN141" s="213">
        <v>13733.01</v>
      </c>
      <c r="AO141" s="213">
        <v>237283.74</v>
      </c>
      <c r="AP141" s="213">
        <v>22989.3</v>
      </c>
      <c r="AQ141" s="213">
        <v>73645.350000000006</v>
      </c>
      <c r="AR141" s="213">
        <v>23968.81</v>
      </c>
      <c r="AS141" s="213">
        <v>7676.83</v>
      </c>
      <c r="AT141" s="213">
        <v>15693.79</v>
      </c>
      <c r="AU141" s="213">
        <v>7591.74</v>
      </c>
      <c r="AV141" s="213">
        <v>91574.883449883448</v>
      </c>
      <c r="AW141" s="213">
        <v>30423.696757787664</v>
      </c>
      <c r="AX141" s="213">
        <v>64469.956558592923</v>
      </c>
      <c r="AY141" s="213">
        <v>64132.930705657978</v>
      </c>
      <c r="AZ141" s="213">
        <v>41799.184149184148</v>
      </c>
      <c r="BA141" s="213">
        <v>64660.31468531469</v>
      </c>
      <c r="BB141" s="213">
        <v>59718.981775799955</v>
      </c>
      <c r="BC141" s="213">
        <v>48079.492477219756</v>
      </c>
    </row>
    <row r="142" spans="1:55" x14ac:dyDescent="0.25">
      <c r="A142" s="209" t="s">
        <v>14</v>
      </c>
      <c r="B142" s="210" t="s">
        <v>430</v>
      </c>
      <c r="C142" t="s">
        <v>14</v>
      </c>
      <c r="D142" t="s">
        <v>431</v>
      </c>
      <c r="E142" t="s">
        <v>509</v>
      </c>
      <c r="F142">
        <v>6410</v>
      </c>
      <c r="G142" t="s">
        <v>432</v>
      </c>
      <c r="H142" s="213">
        <v>0</v>
      </c>
      <c r="I142" s="213">
        <v>0</v>
      </c>
      <c r="J142" s="213">
        <v>0</v>
      </c>
      <c r="K142" s="213">
        <v>0</v>
      </c>
      <c r="L142" s="213">
        <v>0</v>
      </c>
      <c r="M142" s="213">
        <v>0</v>
      </c>
      <c r="N142" s="213">
        <v>0</v>
      </c>
      <c r="O142" s="213">
        <v>0</v>
      </c>
      <c r="P142" s="213">
        <v>0</v>
      </c>
      <c r="Q142" s="213">
        <v>0</v>
      </c>
      <c r="R142" s="213">
        <v>0</v>
      </c>
      <c r="S142" s="213">
        <v>1664.94</v>
      </c>
      <c r="T142" s="213">
        <v>4178.5600000000004</v>
      </c>
      <c r="U142" s="213">
        <v>1490.63</v>
      </c>
      <c r="V142" s="213">
        <v>6589.4</v>
      </c>
      <c r="W142" s="213">
        <v>8938.66</v>
      </c>
      <c r="X142" s="213">
        <v>9060.36</v>
      </c>
      <c r="Y142" s="213">
        <v>8792.27</v>
      </c>
      <c r="Z142" s="213">
        <v>3263.28</v>
      </c>
      <c r="AA142" s="213">
        <v>8116.34</v>
      </c>
      <c r="AB142" s="213">
        <v>6179.58</v>
      </c>
      <c r="AC142" s="213">
        <v>5970.45</v>
      </c>
      <c r="AD142" s="213">
        <v>11026.71</v>
      </c>
      <c r="AE142" s="213">
        <v>-9067.73</v>
      </c>
      <c r="AF142" s="213">
        <v>833.33</v>
      </c>
      <c r="AG142" s="213">
        <v>833.33</v>
      </c>
      <c r="AH142" s="213">
        <v>833.33</v>
      </c>
      <c r="AI142" s="213">
        <v>833.33</v>
      </c>
      <c r="AJ142" s="213">
        <v>1332.33</v>
      </c>
      <c r="AK142" s="213">
        <v>4862.2700000000004</v>
      </c>
      <c r="AL142" s="213">
        <v>6428.33</v>
      </c>
      <c r="AM142" s="213">
        <v>833.33</v>
      </c>
      <c r="AN142" s="213">
        <v>2887.33</v>
      </c>
      <c r="AO142" s="213">
        <v>4166.66</v>
      </c>
      <c r="AP142" s="213">
        <v>3565.87</v>
      </c>
      <c r="AQ142" s="213">
        <v>6582.02</v>
      </c>
      <c r="AR142" s="213">
        <v>833.33</v>
      </c>
      <c r="AS142" s="213">
        <v>68988.150000000009</v>
      </c>
      <c r="AT142" s="213">
        <v>35833.33</v>
      </c>
      <c r="AU142" s="213">
        <v>101063.51</v>
      </c>
      <c r="AV142" s="213">
        <v>12041.666666666666</v>
      </c>
      <c r="AW142" s="213">
        <v>12041.666666666666</v>
      </c>
      <c r="AX142" s="213">
        <v>12041.666666666666</v>
      </c>
      <c r="AY142" s="213">
        <v>12041.666666666666</v>
      </c>
      <c r="AZ142" s="213">
        <v>12041.666666666666</v>
      </c>
      <c r="BA142" s="213">
        <v>12041.666666666666</v>
      </c>
      <c r="BB142" s="213">
        <v>12041.666666666666</v>
      </c>
      <c r="BC142" s="213">
        <v>12041.666666666666</v>
      </c>
    </row>
    <row r="143" spans="1:55" x14ac:dyDescent="0.25">
      <c r="A143" s="209" t="s">
        <v>14</v>
      </c>
      <c r="B143" s="210" t="s">
        <v>430</v>
      </c>
      <c r="C143" t="s">
        <v>14</v>
      </c>
      <c r="D143" t="s">
        <v>431</v>
      </c>
      <c r="E143" t="s">
        <v>509</v>
      </c>
      <c r="H143" s="213">
        <v>0</v>
      </c>
      <c r="I143" s="213">
        <v>0</v>
      </c>
      <c r="J143" s="213">
        <v>0</v>
      </c>
      <c r="K143" s="213">
        <v>0</v>
      </c>
      <c r="L143" s="213">
        <v>0</v>
      </c>
      <c r="M143" s="213">
        <v>0</v>
      </c>
      <c r="N143" s="213">
        <v>0</v>
      </c>
      <c r="O143" s="213">
        <v>0</v>
      </c>
      <c r="P143" s="213">
        <v>0</v>
      </c>
      <c r="Q143" s="213">
        <v>0</v>
      </c>
      <c r="R143" s="213">
        <v>0</v>
      </c>
      <c r="S143" s="213">
        <v>0</v>
      </c>
      <c r="T143" s="213">
        <v>0</v>
      </c>
      <c r="U143" s="213">
        <v>0</v>
      </c>
      <c r="V143" s="213">
        <v>0</v>
      </c>
      <c r="W143" s="213">
        <v>0</v>
      </c>
      <c r="X143" s="213">
        <v>0</v>
      </c>
      <c r="Y143" s="213">
        <v>0</v>
      </c>
      <c r="Z143" s="213">
        <v>0</v>
      </c>
      <c r="AA143" s="213">
        <v>0</v>
      </c>
      <c r="AB143" s="213">
        <v>0</v>
      </c>
      <c r="AC143" s="213">
        <v>0</v>
      </c>
      <c r="AD143" s="213">
        <v>0</v>
      </c>
      <c r="AE143" s="213">
        <v>0</v>
      </c>
      <c r="AF143" s="213">
        <v>0</v>
      </c>
      <c r="AG143" s="213">
        <v>0</v>
      </c>
      <c r="AH143" s="213">
        <v>0</v>
      </c>
      <c r="AI143" s="213">
        <v>0</v>
      </c>
      <c r="AJ143" s="213">
        <v>0</v>
      </c>
      <c r="AK143" s="213">
        <v>0</v>
      </c>
      <c r="AL143" s="213">
        <v>0</v>
      </c>
      <c r="AM143" s="213">
        <v>0</v>
      </c>
      <c r="AN143" s="213">
        <v>0</v>
      </c>
      <c r="AO143" s="213">
        <v>0</v>
      </c>
      <c r="AP143" s="213">
        <v>0</v>
      </c>
      <c r="AQ143" s="213">
        <v>0</v>
      </c>
      <c r="AR143" s="213">
        <v>0</v>
      </c>
      <c r="AS143" s="213">
        <v>0</v>
      </c>
      <c r="AT143" s="213">
        <v>0</v>
      </c>
      <c r="AU143" s="213">
        <v>0</v>
      </c>
      <c r="AV143" s="213">
        <v>0</v>
      </c>
      <c r="AW143" s="213">
        <v>0</v>
      </c>
      <c r="AX143" s="213">
        <v>0</v>
      </c>
      <c r="AY143" s="213">
        <v>0</v>
      </c>
      <c r="AZ143" s="213">
        <v>0</v>
      </c>
      <c r="BA143" s="213">
        <v>0</v>
      </c>
      <c r="BB143" s="213">
        <v>0</v>
      </c>
      <c r="BC143" s="213">
        <v>0</v>
      </c>
    </row>
    <row r="144" spans="1:55" x14ac:dyDescent="0.25">
      <c r="A144" s="209" t="s">
        <v>14</v>
      </c>
      <c r="B144" s="210" t="s">
        <v>430</v>
      </c>
      <c r="C144" t="s">
        <v>14</v>
      </c>
      <c r="D144" t="s">
        <v>431</v>
      </c>
      <c r="E144" t="s">
        <v>509</v>
      </c>
      <c r="F144" s="211">
        <v>6400</v>
      </c>
      <c r="G144" t="s">
        <v>395</v>
      </c>
      <c r="H144" s="213">
        <v>381.92</v>
      </c>
      <c r="I144" s="213">
        <v>629.61</v>
      </c>
      <c r="J144" s="213">
        <v>2123.88</v>
      </c>
      <c r="K144" s="213">
        <v>4467.84</v>
      </c>
      <c r="L144" s="213">
        <v>3556.3</v>
      </c>
      <c r="M144" s="213">
        <v>7119.72</v>
      </c>
      <c r="N144" s="213">
        <v>3209.34</v>
      </c>
      <c r="O144" s="213">
        <v>217.43</v>
      </c>
      <c r="P144" s="213">
        <v>1208</v>
      </c>
      <c r="Q144" s="213">
        <v>402.78</v>
      </c>
      <c r="R144" s="213">
        <v>3800.68</v>
      </c>
      <c r="S144" s="213">
        <v>94.64</v>
      </c>
      <c r="T144" s="213">
        <v>405.84</v>
      </c>
      <c r="U144" s="213">
        <v>373.76</v>
      </c>
      <c r="V144" s="213">
        <v>782.39</v>
      </c>
      <c r="W144" s="213">
        <v>2256.1</v>
      </c>
      <c r="X144" s="213">
        <v>198</v>
      </c>
      <c r="Y144" s="213">
        <v>1439.86</v>
      </c>
      <c r="Z144" s="213">
        <v>355.95</v>
      </c>
      <c r="AA144" s="213">
        <v>8309.9500000000007</v>
      </c>
      <c r="AB144" s="213">
        <v>1250.1100000000001</v>
      </c>
      <c r="AC144" s="213">
        <v>553.54999999999995</v>
      </c>
      <c r="AD144" s="213">
        <v>456.5</v>
      </c>
      <c r="AE144" s="213">
        <v>2545.17</v>
      </c>
      <c r="AF144" s="213">
        <v>4815.03</v>
      </c>
      <c r="AG144" s="213">
        <v>790.04</v>
      </c>
      <c r="AH144" s="213">
        <v>126.09</v>
      </c>
      <c r="AI144" s="213">
        <v>377</v>
      </c>
      <c r="AJ144" s="213">
        <v>158.72999999999999</v>
      </c>
      <c r="AK144" s="213">
        <v>1613.85</v>
      </c>
      <c r="AL144" s="213">
        <v>327.61</v>
      </c>
      <c r="AM144" s="213">
        <v>712.79</v>
      </c>
      <c r="AN144" s="213">
        <v>1060.6300000000001</v>
      </c>
      <c r="AO144" s="213">
        <v>11079.6</v>
      </c>
      <c r="AP144" s="213">
        <v>826.00000000000011</v>
      </c>
      <c r="AQ144" s="213">
        <v>466.35</v>
      </c>
      <c r="AR144" s="213">
        <v>11228.2</v>
      </c>
      <c r="AS144" s="213">
        <v>1301.5</v>
      </c>
      <c r="AT144" s="213">
        <v>2641.37</v>
      </c>
      <c r="AU144" s="213">
        <v>2838.3999999999996</v>
      </c>
      <c r="AV144" s="213">
        <v>333.33333333333331</v>
      </c>
      <c r="AW144" s="213">
        <v>333.33333333333331</v>
      </c>
      <c r="AX144" s="213">
        <v>333.33333333333331</v>
      </c>
      <c r="AY144" s="213">
        <v>333.33333333333331</v>
      </c>
      <c r="AZ144" s="213">
        <v>333.33333333333331</v>
      </c>
      <c r="BA144" s="213">
        <v>333.33333333333331</v>
      </c>
      <c r="BB144" s="213">
        <v>333.33333333333331</v>
      </c>
      <c r="BC144" s="213">
        <v>333.33333333333331</v>
      </c>
    </row>
    <row r="145" spans="1:55" x14ac:dyDescent="0.25">
      <c r="A145" s="209" t="s">
        <v>14</v>
      </c>
      <c r="B145" s="210" t="s">
        <v>430</v>
      </c>
      <c r="C145" t="s">
        <v>14</v>
      </c>
      <c r="D145" t="s">
        <v>431</v>
      </c>
      <c r="E145" t="s">
        <v>509</v>
      </c>
      <c r="H145" s="213">
        <v>0</v>
      </c>
      <c r="I145" s="213">
        <v>0</v>
      </c>
      <c r="J145" s="213">
        <v>0</v>
      </c>
      <c r="K145" s="213">
        <v>0</v>
      </c>
      <c r="L145" s="213">
        <v>0</v>
      </c>
      <c r="M145" s="213">
        <v>0</v>
      </c>
      <c r="N145" s="213">
        <v>0</v>
      </c>
      <c r="O145" s="213">
        <v>0</v>
      </c>
      <c r="P145" s="213">
        <v>0</v>
      </c>
      <c r="Q145" s="213">
        <v>0</v>
      </c>
      <c r="R145" s="213">
        <v>0</v>
      </c>
      <c r="S145" s="213">
        <v>0</v>
      </c>
      <c r="T145" s="213">
        <v>0</v>
      </c>
      <c r="U145" s="213">
        <v>0</v>
      </c>
      <c r="V145" s="213">
        <v>0</v>
      </c>
      <c r="W145" s="213">
        <v>0</v>
      </c>
      <c r="X145" s="213">
        <v>0</v>
      </c>
      <c r="Y145" s="213">
        <v>0</v>
      </c>
      <c r="Z145" s="213">
        <v>0</v>
      </c>
      <c r="AA145" s="213">
        <v>0</v>
      </c>
      <c r="AB145" s="213">
        <v>0</v>
      </c>
      <c r="AC145" s="213">
        <v>0</v>
      </c>
      <c r="AD145" s="213">
        <v>0</v>
      </c>
      <c r="AE145" s="213">
        <v>0</v>
      </c>
      <c r="AF145" s="213">
        <v>0</v>
      </c>
      <c r="AG145" s="213">
        <v>0</v>
      </c>
      <c r="AH145" s="213">
        <v>0</v>
      </c>
      <c r="AI145" s="213">
        <v>0</v>
      </c>
      <c r="AJ145" s="213">
        <v>0</v>
      </c>
      <c r="AK145" s="213">
        <v>0</v>
      </c>
      <c r="AL145" s="213">
        <v>0</v>
      </c>
      <c r="AM145" s="213">
        <v>0</v>
      </c>
      <c r="AN145" s="213">
        <v>0</v>
      </c>
      <c r="AO145" s="213">
        <v>0</v>
      </c>
      <c r="AP145" s="213">
        <v>0</v>
      </c>
      <c r="AQ145" s="213">
        <v>0</v>
      </c>
      <c r="AR145" s="213">
        <v>0</v>
      </c>
      <c r="AS145" s="213">
        <v>0</v>
      </c>
      <c r="AT145" s="213">
        <v>0</v>
      </c>
      <c r="AU145" s="213">
        <v>0</v>
      </c>
      <c r="AV145" s="213">
        <v>0</v>
      </c>
      <c r="AW145" s="213">
        <v>0</v>
      </c>
      <c r="AX145" s="213">
        <v>0</v>
      </c>
      <c r="AY145" s="213">
        <v>0</v>
      </c>
      <c r="AZ145" s="213">
        <v>0</v>
      </c>
      <c r="BA145" s="213">
        <v>0</v>
      </c>
      <c r="BB145" s="213">
        <v>0</v>
      </c>
      <c r="BC145" s="213">
        <v>0</v>
      </c>
    </row>
    <row r="146" spans="1:55" x14ac:dyDescent="0.25">
      <c r="A146" s="209" t="s">
        <v>14</v>
      </c>
      <c r="B146" s="210" t="s">
        <v>430</v>
      </c>
      <c r="C146" t="s">
        <v>14</v>
      </c>
      <c r="D146" t="s">
        <v>431</v>
      </c>
      <c r="E146" t="s">
        <v>509</v>
      </c>
      <c r="F146" s="211">
        <v>6770</v>
      </c>
      <c r="G146" t="s">
        <v>433</v>
      </c>
      <c r="H146" s="213">
        <v>98033.74</v>
      </c>
      <c r="I146" s="213">
        <v>3457.97</v>
      </c>
      <c r="J146" s="213">
        <v>691.28</v>
      </c>
      <c r="K146" s="213">
        <v>14782.65</v>
      </c>
      <c r="L146" s="213">
        <v>5539.37</v>
      </c>
      <c r="M146" s="213">
        <v>239.73</v>
      </c>
      <c r="N146" s="213">
        <v>1187.8900000000001</v>
      </c>
      <c r="O146" s="213">
        <v>0</v>
      </c>
      <c r="P146" s="213">
        <v>9160.99</v>
      </c>
      <c r="Q146" s="213">
        <v>7135.92</v>
      </c>
      <c r="R146" s="213">
        <v>46444.49</v>
      </c>
      <c r="S146" s="213">
        <v>332.47</v>
      </c>
      <c r="T146" s="213">
        <v>415607.29</v>
      </c>
      <c r="U146" s="213">
        <v>72507.64</v>
      </c>
      <c r="V146" s="213">
        <v>1391.32</v>
      </c>
      <c r="W146" s="213">
        <v>279.79000000000002</v>
      </c>
      <c r="X146" s="213">
        <v>0</v>
      </c>
      <c r="Y146" s="213">
        <v>141.21</v>
      </c>
      <c r="Z146" s="213">
        <v>25098.18</v>
      </c>
      <c r="AA146" s="213">
        <v>4080.66</v>
      </c>
      <c r="AB146" s="213">
        <v>3226.94</v>
      </c>
      <c r="AC146" s="213">
        <v>3570.39</v>
      </c>
      <c r="AD146" s="213">
        <v>61524.69</v>
      </c>
      <c r="AE146" s="213">
        <v>3207.14</v>
      </c>
      <c r="AF146" s="213">
        <v>991732.09</v>
      </c>
      <c r="AG146" s="213">
        <v>43806.720000000001</v>
      </c>
      <c r="AH146" s="213">
        <v>792.76</v>
      </c>
      <c r="AI146" s="213">
        <v>1157.25</v>
      </c>
      <c r="AJ146" s="213">
        <v>435.95</v>
      </c>
      <c r="AK146" s="213">
        <v>3367.5699999999997</v>
      </c>
      <c r="AL146" s="213">
        <v>8118.39</v>
      </c>
      <c r="AM146" s="213">
        <v>4945.88</v>
      </c>
      <c r="AN146" s="213">
        <v>398.81</v>
      </c>
      <c r="AO146" s="213">
        <v>186.19</v>
      </c>
      <c r="AP146" s="213">
        <v>82769.509999999995</v>
      </c>
      <c r="AQ146" s="213">
        <v>-19048.059999999998</v>
      </c>
      <c r="AR146" s="213">
        <v>264420.76</v>
      </c>
      <c r="AS146" s="213">
        <v>38206.89</v>
      </c>
      <c r="AT146" s="213">
        <v>16368.05</v>
      </c>
      <c r="AU146" s="213">
        <v>5416.37</v>
      </c>
      <c r="AV146" s="213">
        <v>21255.416666666668</v>
      </c>
      <c r="AW146" s="213">
        <v>89132.916666666672</v>
      </c>
      <c r="AX146" s="213">
        <v>23040.416666666668</v>
      </c>
      <c r="AY146" s="213">
        <v>33045.416666666672</v>
      </c>
      <c r="AZ146" s="213">
        <v>24956.666666666668</v>
      </c>
      <c r="BA146" s="213">
        <v>26137.916666666668</v>
      </c>
      <c r="BB146" s="213">
        <v>27214.166666666668</v>
      </c>
      <c r="BC146" s="213">
        <v>153956.66666666666</v>
      </c>
    </row>
    <row r="147" spans="1:55" x14ac:dyDescent="0.25">
      <c r="A147" s="209" t="s">
        <v>14</v>
      </c>
      <c r="B147" s="210" t="s">
        <v>430</v>
      </c>
      <c r="C147" t="s">
        <v>14</v>
      </c>
      <c r="D147" t="s">
        <v>431</v>
      </c>
      <c r="E147" t="s">
        <v>509</v>
      </c>
      <c r="F147" s="211">
        <v>6445</v>
      </c>
      <c r="G147" t="s">
        <v>434</v>
      </c>
      <c r="H147" s="213">
        <v>0</v>
      </c>
      <c r="I147" s="213">
        <v>3567</v>
      </c>
      <c r="J147" s="213">
        <v>65</v>
      </c>
      <c r="K147" s="213">
        <v>4111.13</v>
      </c>
      <c r="L147" s="213">
        <v>4274.8599999999997</v>
      </c>
      <c r="M147" s="213">
        <v>6339.36</v>
      </c>
      <c r="N147" s="213">
        <v>13961.99</v>
      </c>
      <c r="O147" s="213">
        <v>14612.93</v>
      </c>
      <c r="P147" s="213">
        <v>3515.24</v>
      </c>
      <c r="Q147" s="213">
        <v>3404.6</v>
      </c>
      <c r="R147" s="213">
        <v>9050.01</v>
      </c>
      <c r="S147" s="213">
        <v>7355.17</v>
      </c>
      <c r="T147" s="213">
        <v>4977.8</v>
      </c>
      <c r="U147" s="213">
        <v>8376.6299999999992</v>
      </c>
      <c r="V147" s="213">
        <v>9726.35</v>
      </c>
      <c r="W147" s="213">
        <v>8420.06</v>
      </c>
      <c r="X147" s="213">
        <v>32482.880000000001</v>
      </c>
      <c r="Y147" s="213">
        <v>9600.66</v>
      </c>
      <c r="Z147" s="213">
        <v>5302.9900000000007</v>
      </c>
      <c r="AA147" s="213">
        <v>7004.03</v>
      </c>
      <c r="AB147" s="213">
        <v>3760.8</v>
      </c>
      <c r="AC147" s="213">
        <v>38700.81</v>
      </c>
      <c r="AD147" s="213">
        <v>12436.45</v>
      </c>
      <c r="AE147" s="213">
        <v>10039.73</v>
      </c>
      <c r="AF147" s="213">
        <v>2613.6999999999998</v>
      </c>
      <c r="AG147" s="213">
        <v>8871.61</v>
      </c>
      <c r="AH147" s="213">
        <v>4510.2800000000007</v>
      </c>
      <c r="AI147" s="213">
        <v>14908.93</v>
      </c>
      <c r="AJ147" s="213">
        <v>566.5</v>
      </c>
      <c r="AK147" s="213">
        <v>8656.130000000001</v>
      </c>
      <c r="AL147" s="213">
        <v>8678.43</v>
      </c>
      <c r="AM147" s="213">
        <v>5460.41</v>
      </c>
      <c r="AN147" s="213">
        <v>18521.52</v>
      </c>
      <c r="AO147" s="213">
        <v>10971.17</v>
      </c>
      <c r="AP147" s="213">
        <v>17258.05</v>
      </c>
      <c r="AQ147" s="213">
        <v>8572.84</v>
      </c>
      <c r="AR147" s="213">
        <v>33349.79</v>
      </c>
      <c r="AS147" s="213">
        <v>15601.91</v>
      </c>
      <c r="AT147" s="213">
        <v>7832.75</v>
      </c>
      <c r="AU147" s="213">
        <v>11926.36</v>
      </c>
      <c r="AV147" s="213">
        <v>23485</v>
      </c>
      <c r="AW147" s="213">
        <v>17603.333333333336</v>
      </c>
      <c r="AX147" s="213">
        <v>22031.666666666664</v>
      </c>
      <c r="AY147" s="213">
        <v>22658.333333333332</v>
      </c>
      <c r="AZ147" s="213">
        <v>21045.000000000004</v>
      </c>
      <c r="BA147" s="213">
        <v>24450</v>
      </c>
      <c r="BB147" s="213">
        <v>24691.666666666664</v>
      </c>
      <c r="BC147" s="213">
        <v>24400</v>
      </c>
    </row>
    <row r="148" spans="1:55" x14ac:dyDescent="0.25">
      <c r="A148" s="209" t="s">
        <v>14</v>
      </c>
      <c r="B148" s="210" t="s">
        <v>430</v>
      </c>
      <c r="C148" t="s">
        <v>14</v>
      </c>
      <c r="D148" t="s">
        <v>431</v>
      </c>
      <c r="E148" t="s">
        <v>509</v>
      </c>
      <c r="F148" s="211">
        <v>6350</v>
      </c>
      <c r="G148" t="s">
        <v>393</v>
      </c>
      <c r="H148" s="215">
        <v>149</v>
      </c>
      <c r="I148" s="215">
        <v>18600</v>
      </c>
      <c r="J148" s="215">
        <v>4500</v>
      </c>
      <c r="K148" s="215">
        <v>4500</v>
      </c>
      <c r="L148" s="215">
        <v>8025</v>
      </c>
      <c r="M148" s="215">
        <v>4500</v>
      </c>
      <c r="N148" s="215">
        <v>60172.82</v>
      </c>
      <c r="O148" s="215">
        <v>14491.62</v>
      </c>
      <c r="P148" s="215">
        <v>8357.92</v>
      </c>
      <c r="Q148" s="215">
        <v>5668.39</v>
      </c>
      <c r="R148" s="215">
        <v>5809.65</v>
      </c>
      <c r="S148" s="215">
        <v>28408.17</v>
      </c>
      <c r="T148" s="215">
        <v>29400.66</v>
      </c>
      <c r="U148" s="215">
        <v>9919.69</v>
      </c>
      <c r="V148" s="215">
        <v>13353.84</v>
      </c>
      <c r="W148" s="215">
        <v>11594.72</v>
      </c>
      <c r="X148" s="215">
        <v>4848.99</v>
      </c>
      <c r="Y148" s="215">
        <v>33487.35</v>
      </c>
      <c r="Z148" s="215">
        <v>2250</v>
      </c>
      <c r="AA148" s="215">
        <v>5950.52</v>
      </c>
      <c r="AB148" s="215">
        <v>23444.35</v>
      </c>
      <c r="AC148" s="215">
        <v>19285.580000000002</v>
      </c>
      <c r="AD148" s="215">
        <v>21787.03</v>
      </c>
      <c r="AE148" s="215">
        <v>40290.620000000003</v>
      </c>
      <c r="AF148" s="215">
        <v>3637</v>
      </c>
      <c r="AG148" s="215">
        <v>7100</v>
      </c>
      <c r="AH148" s="215">
        <v>3050</v>
      </c>
      <c r="AI148" s="215">
        <v>3009.99</v>
      </c>
      <c r="AJ148" s="215">
        <v>0</v>
      </c>
      <c r="AK148" s="215">
        <v>345.87</v>
      </c>
      <c r="AL148" s="215">
        <v>1310</v>
      </c>
      <c r="AM148" s="215">
        <v>11211</v>
      </c>
      <c r="AN148" s="215">
        <v>6151.7499999999991</v>
      </c>
      <c r="AO148" s="215">
        <v>10656.68</v>
      </c>
      <c r="AP148" s="215">
        <v>10000</v>
      </c>
      <c r="AQ148" s="215">
        <v>4887</v>
      </c>
      <c r="AR148" s="215">
        <v>3054.59</v>
      </c>
      <c r="AS148" s="215">
        <v>200</v>
      </c>
      <c r="AT148" s="215">
        <v>41070.75</v>
      </c>
      <c r="AU148" s="215">
        <v>0</v>
      </c>
      <c r="AV148" s="215">
        <v>25451.666666666668</v>
      </c>
      <c r="AW148" s="215">
        <v>105355</v>
      </c>
      <c r="AX148" s="215">
        <v>28098.333333333332</v>
      </c>
      <c r="AY148" s="215">
        <v>29705</v>
      </c>
      <c r="AZ148" s="215">
        <v>34720</v>
      </c>
      <c r="BA148" s="215">
        <v>32495</v>
      </c>
      <c r="BB148" s="215">
        <v>33996.666666666672</v>
      </c>
      <c r="BC148" s="215">
        <v>114186.66666666667</v>
      </c>
    </row>
    <row r="149" spans="1:55" x14ac:dyDescent="0.25">
      <c r="A149" s="209" t="s">
        <v>14</v>
      </c>
      <c r="B149" s="210" t="s">
        <v>430</v>
      </c>
      <c r="C149" t="s">
        <v>14</v>
      </c>
      <c r="D149" t="s">
        <v>431</v>
      </c>
      <c r="E149" t="s">
        <v>509</v>
      </c>
      <c r="F149" s="211">
        <v>7250</v>
      </c>
      <c r="G149" t="s">
        <v>435</v>
      </c>
      <c r="H149" s="213">
        <v>11487.84</v>
      </c>
      <c r="I149" s="213">
        <v>15729.320000000002</v>
      </c>
      <c r="J149" s="213">
        <v>2100.5700000000002</v>
      </c>
      <c r="K149" s="213">
        <v>-1500</v>
      </c>
      <c r="L149" s="213">
        <v>7918.22</v>
      </c>
      <c r="M149" s="213">
        <v>870.12</v>
      </c>
      <c r="N149" s="213">
        <v>2700.36</v>
      </c>
      <c r="O149" s="213">
        <v>3921.07</v>
      </c>
      <c r="P149" s="213">
        <v>21524.89</v>
      </c>
      <c r="Q149" s="213">
        <v>7646.68</v>
      </c>
      <c r="R149" s="213">
        <v>23801.119999999999</v>
      </c>
      <c r="S149" s="213">
        <v>24602.39</v>
      </c>
      <c r="T149" s="213">
        <v>16135.13</v>
      </c>
      <c r="U149" s="213">
        <v>32288.05</v>
      </c>
      <c r="V149" s="213">
        <v>19379.8</v>
      </c>
      <c r="W149" s="213">
        <v>5170.54</v>
      </c>
      <c r="X149" s="213">
        <v>16367.77</v>
      </c>
      <c r="Y149" s="213">
        <v>18990.82</v>
      </c>
      <c r="Z149" s="213">
        <v>14038.11</v>
      </c>
      <c r="AA149" s="213">
        <v>10759.32</v>
      </c>
      <c r="AB149" s="213">
        <v>24774.15</v>
      </c>
      <c r="AC149" s="213">
        <v>8067.92</v>
      </c>
      <c r="AD149" s="213">
        <v>5106.82</v>
      </c>
      <c r="AE149" s="213">
        <v>5721.63</v>
      </c>
      <c r="AF149" s="213">
        <v>15142.76</v>
      </c>
      <c r="AG149" s="213">
        <v>15930.15</v>
      </c>
      <c r="AH149" s="213">
        <v>14128.17</v>
      </c>
      <c r="AI149" s="213">
        <v>0</v>
      </c>
      <c r="AJ149" s="213">
        <v>24166.68</v>
      </c>
      <c r="AK149" s="213">
        <v>7946.73</v>
      </c>
      <c r="AL149" s="213">
        <v>8432.9699999999993</v>
      </c>
      <c r="AM149" s="213">
        <v>2509.12</v>
      </c>
      <c r="AN149" s="213">
        <v>621.77</v>
      </c>
      <c r="AO149" s="213">
        <v>1322.31</v>
      </c>
      <c r="AP149" s="213">
        <v>1273</v>
      </c>
      <c r="AQ149" s="213">
        <v>7855.76</v>
      </c>
      <c r="AR149" s="213">
        <v>0</v>
      </c>
      <c r="AS149" s="213">
        <v>0</v>
      </c>
      <c r="AT149" s="213">
        <v>0</v>
      </c>
      <c r="AU149" s="213">
        <v>9112.26</v>
      </c>
      <c r="AV149" s="213">
        <v>23760.416666666668</v>
      </c>
      <c r="AW149" s="213">
        <v>24416.666666666668</v>
      </c>
      <c r="AX149" s="213">
        <v>25572.916666666668</v>
      </c>
      <c r="AY149" s="213">
        <v>26697.916666666668</v>
      </c>
      <c r="AZ149" s="213">
        <v>27385.416666666668</v>
      </c>
      <c r="BA149" s="213">
        <v>28416.666666666668</v>
      </c>
      <c r="BB149" s="213">
        <v>29510.416666666668</v>
      </c>
      <c r="BC149" s="213">
        <v>30291.666666666668</v>
      </c>
    </row>
    <row r="150" spans="1:55" x14ac:dyDescent="0.25">
      <c r="A150" s="209" t="s">
        <v>14</v>
      </c>
      <c r="B150" s="210" t="s">
        <v>430</v>
      </c>
      <c r="C150" t="s">
        <v>14</v>
      </c>
      <c r="D150" t="s">
        <v>431</v>
      </c>
      <c r="E150" t="s">
        <v>509</v>
      </c>
      <c r="F150" s="211">
        <v>7050</v>
      </c>
      <c r="G150" t="s">
        <v>394</v>
      </c>
      <c r="H150" s="213">
        <v>7928.68</v>
      </c>
      <c r="I150" s="213">
        <v>6086.73</v>
      </c>
      <c r="J150" s="213">
        <v>5613.06</v>
      </c>
      <c r="K150" s="213">
        <v>5613.06</v>
      </c>
      <c r="L150" s="213">
        <v>12172.92</v>
      </c>
      <c r="M150" s="213">
        <v>7023.66</v>
      </c>
      <c r="N150" s="213">
        <v>12433.72</v>
      </c>
      <c r="O150" s="213">
        <v>11883.72</v>
      </c>
      <c r="P150" s="213">
        <v>15032.26</v>
      </c>
      <c r="Q150" s="213">
        <v>7697.23</v>
      </c>
      <c r="R150" s="213">
        <v>8756.77</v>
      </c>
      <c r="S150" s="213">
        <v>13139.86</v>
      </c>
      <c r="T150" s="213">
        <v>10671.48</v>
      </c>
      <c r="U150" s="213">
        <v>19008.78</v>
      </c>
      <c r="V150" s="213">
        <v>9417.19</v>
      </c>
      <c r="W150" s="213">
        <v>8853.9500000000007</v>
      </c>
      <c r="X150" s="213">
        <v>24018.38</v>
      </c>
      <c r="Y150" s="213">
        <v>18628.14</v>
      </c>
      <c r="Z150" s="213">
        <v>23455.63</v>
      </c>
      <c r="AA150" s="213">
        <v>17009.91</v>
      </c>
      <c r="AB150" s="213">
        <v>18182.580000000002</v>
      </c>
      <c r="AC150" s="213">
        <v>15634.07</v>
      </c>
      <c r="AD150" s="213">
        <v>22107.99</v>
      </c>
      <c r="AE150" s="213">
        <v>20089.78</v>
      </c>
      <c r="AF150" s="213">
        <v>24490.41</v>
      </c>
      <c r="AG150" s="213">
        <v>29945.46</v>
      </c>
      <c r="AH150" s="213">
        <v>2438.44</v>
      </c>
      <c r="AI150" s="213">
        <v>20588.62</v>
      </c>
      <c r="AJ150" s="213">
        <v>23467.74</v>
      </c>
      <c r="AK150" s="213">
        <v>18011.28</v>
      </c>
      <c r="AL150" s="213">
        <v>19494.830000000002</v>
      </c>
      <c r="AM150" s="213">
        <v>24623.06</v>
      </c>
      <c r="AN150" s="213">
        <v>18721.419999999998</v>
      </c>
      <c r="AO150" s="213">
        <v>18651.41</v>
      </c>
      <c r="AP150" s="213">
        <v>19828.169999999998</v>
      </c>
      <c r="AQ150" s="213">
        <v>19342.849999999999</v>
      </c>
      <c r="AR150" s="213">
        <v>22962</v>
      </c>
      <c r="AS150" s="213">
        <v>28028.12</v>
      </c>
      <c r="AT150" s="213">
        <v>52864.960000000006</v>
      </c>
      <c r="AU150" s="213">
        <v>47230.36</v>
      </c>
      <c r="AV150" s="213">
        <v>97891.333333333343</v>
      </c>
      <c r="AW150" s="213">
        <v>98067.333333333343</v>
      </c>
      <c r="AX150" s="213">
        <v>98435.333333333343</v>
      </c>
      <c r="AY150" s="213">
        <v>98787.333333333343</v>
      </c>
      <c r="AZ150" s="213">
        <v>99019.333333333343</v>
      </c>
      <c r="BA150" s="213">
        <v>49379.333333333336</v>
      </c>
      <c r="BB150" s="213">
        <v>49707.333333333336</v>
      </c>
      <c r="BC150" s="213">
        <v>49979.333333333336</v>
      </c>
    </row>
    <row r="151" spans="1:55" x14ac:dyDescent="0.25">
      <c r="A151" s="209" t="s">
        <v>14</v>
      </c>
      <c r="B151" s="210" t="s">
        <v>430</v>
      </c>
      <c r="C151" t="s">
        <v>14</v>
      </c>
      <c r="D151" t="s">
        <v>431</v>
      </c>
      <c r="E151" t="s">
        <v>509</v>
      </c>
      <c r="F151" s="211">
        <v>7150</v>
      </c>
      <c r="G151" t="s">
        <v>397</v>
      </c>
      <c r="H151" s="213">
        <v>43350.7</v>
      </c>
      <c r="I151" s="213">
        <v>6935.4500000000007</v>
      </c>
      <c r="J151" s="213">
        <v>1316.72</v>
      </c>
      <c r="K151" s="213">
        <v>10079.129999999999</v>
      </c>
      <c r="L151" s="213">
        <v>4466.7700000000004</v>
      </c>
      <c r="M151" s="213">
        <v>5408.2800000000007</v>
      </c>
      <c r="N151" s="213">
        <v>17733.900000000001</v>
      </c>
      <c r="O151" s="213">
        <v>5024.1099999999997</v>
      </c>
      <c r="P151" s="213">
        <v>4723.09</v>
      </c>
      <c r="Q151" s="213">
        <v>4185.9699999999993</v>
      </c>
      <c r="R151" s="213">
        <v>1271.4499999999998</v>
      </c>
      <c r="S151" s="213">
        <v>6228.7800000000007</v>
      </c>
      <c r="T151" s="213">
        <v>91703.81</v>
      </c>
      <c r="U151" s="213">
        <v>10040.209999999999</v>
      </c>
      <c r="V151" s="213">
        <v>16503.07</v>
      </c>
      <c r="W151" s="213">
        <v>6801.71</v>
      </c>
      <c r="X151" s="213">
        <v>34249.57</v>
      </c>
      <c r="Y151" s="213">
        <v>-1183.4400000000005</v>
      </c>
      <c r="Z151" s="213">
        <v>-4214.6799999999985</v>
      </c>
      <c r="AA151" s="213">
        <v>36196</v>
      </c>
      <c r="AB151" s="213">
        <v>7911.8600000000006</v>
      </c>
      <c r="AC151" s="213">
        <v>9335.42</v>
      </c>
      <c r="AD151" s="213">
        <v>6906.1400000000012</v>
      </c>
      <c r="AE151" s="213">
        <v>12036.529999999999</v>
      </c>
      <c r="AF151" s="213">
        <v>13951.279999999999</v>
      </c>
      <c r="AG151" s="213">
        <v>-1923.4399999999996</v>
      </c>
      <c r="AH151" s="213">
        <v>616.12</v>
      </c>
      <c r="AI151" s="213">
        <v>-306.8</v>
      </c>
      <c r="AJ151" s="213">
        <v>-129.72999999999999</v>
      </c>
      <c r="AK151" s="213">
        <v>-115.00999999999999</v>
      </c>
      <c r="AL151" s="213">
        <v>0</v>
      </c>
      <c r="AM151" s="213">
        <v>231.3</v>
      </c>
      <c r="AN151" s="213">
        <v>2.6899999999999693</v>
      </c>
      <c r="AO151" s="213">
        <v>11954.53</v>
      </c>
      <c r="AP151" s="213">
        <v>-12135.52</v>
      </c>
      <c r="AQ151" s="213">
        <v>-781.52</v>
      </c>
      <c r="AR151" s="213">
        <v>1581.49</v>
      </c>
      <c r="AS151" s="213">
        <v>21246.42</v>
      </c>
      <c r="AT151" s="213">
        <v>1441.7199999999998</v>
      </c>
      <c r="AU151" s="213">
        <v>312.72000000000003</v>
      </c>
      <c r="AV151" s="213">
        <v>7500</v>
      </c>
      <c r="AW151" s="213">
        <v>7500</v>
      </c>
      <c r="AX151" s="213">
        <v>10000</v>
      </c>
      <c r="AY151" s="213">
        <v>10000</v>
      </c>
      <c r="AZ151" s="213">
        <v>10000</v>
      </c>
      <c r="BA151" s="213">
        <v>15000</v>
      </c>
      <c r="BB151" s="213">
        <v>15000</v>
      </c>
      <c r="BC151" s="213">
        <v>15000</v>
      </c>
    </row>
    <row r="152" spans="1:55" x14ac:dyDescent="0.25">
      <c r="B152" s="210"/>
      <c r="H152" s="214">
        <v>0</v>
      </c>
      <c r="I152" s="214">
        <v>0</v>
      </c>
      <c r="J152" s="214">
        <v>0</v>
      </c>
      <c r="K152" s="214">
        <v>0</v>
      </c>
      <c r="L152" s="214">
        <v>0</v>
      </c>
      <c r="M152" s="214">
        <v>0</v>
      </c>
      <c r="N152" s="214">
        <v>0</v>
      </c>
      <c r="O152" s="214">
        <v>0</v>
      </c>
      <c r="P152" s="214">
        <v>0</v>
      </c>
      <c r="Q152" s="214">
        <v>0</v>
      </c>
      <c r="R152" s="214">
        <v>0</v>
      </c>
      <c r="S152" s="214">
        <v>0</v>
      </c>
      <c r="T152" s="214">
        <v>0</v>
      </c>
      <c r="U152" s="214">
        <v>0</v>
      </c>
      <c r="V152" s="214">
        <v>0</v>
      </c>
      <c r="W152" s="214">
        <v>0</v>
      </c>
      <c r="X152" s="214">
        <v>0</v>
      </c>
      <c r="Y152" s="214">
        <v>0</v>
      </c>
      <c r="Z152" s="214">
        <v>0</v>
      </c>
      <c r="AA152" s="214">
        <v>0</v>
      </c>
      <c r="AB152" s="214">
        <v>0</v>
      </c>
      <c r="AC152" s="214">
        <v>0</v>
      </c>
      <c r="AD152" s="214">
        <v>0</v>
      </c>
      <c r="AE152" s="214">
        <v>0</v>
      </c>
      <c r="AF152" s="214">
        <v>0</v>
      </c>
      <c r="AG152" s="214">
        <v>0</v>
      </c>
      <c r="AH152" s="214">
        <v>0</v>
      </c>
      <c r="AI152" s="214">
        <v>0</v>
      </c>
      <c r="AJ152" s="214">
        <v>0</v>
      </c>
      <c r="AK152" s="214">
        <v>0</v>
      </c>
      <c r="AL152" s="214">
        <v>0</v>
      </c>
      <c r="AM152" s="214">
        <v>0</v>
      </c>
      <c r="AN152" s="214">
        <v>0</v>
      </c>
      <c r="AO152" s="214">
        <v>0</v>
      </c>
      <c r="AP152" s="214">
        <v>0</v>
      </c>
      <c r="AQ152" s="214">
        <v>0</v>
      </c>
      <c r="AR152" s="214">
        <v>0</v>
      </c>
      <c r="AS152" s="214">
        <v>0</v>
      </c>
      <c r="AT152" s="214">
        <v>0</v>
      </c>
      <c r="AU152" s="214">
        <v>0</v>
      </c>
      <c r="AV152" s="214">
        <v>0</v>
      </c>
      <c r="AW152" s="214">
        <v>0</v>
      </c>
      <c r="AX152" s="214">
        <v>0</v>
      </c>
      <c r="AY152" s="214">
        <v>0</v>
      </c>
      <c r="AZ152" s="214">
        <v>0</v>
      </c>
      <c r="BA152" s="214">
        <v>0</v>
      </c>
      <c r="BB152" s="214">
        <v>0</v>
      </c>
      <c r="BC152" s="214">
        <v>0</v>
      </c>
    </row>
    <row r="153" spans="1:55" x14ac:dyDescent="0.25">
      <c r="B153" s="210"/>
      <c r="H153" s="213">
        <v>214811.82999999996</v>
      </c>
      <c r="I153" s="213">
        <v>121585.08</v>
      </c>
      <c r="J153" s="213">
        <v>113751.48000000001</v>
      </c>
      <c r="K153" s="213">
        <v>99761.010000000009</v>
      </c>
      <c r="L153" s="213">
        <v>144716.95000000001</v>
      </c>
      <c r="M153" s="213">
        <v>117444.9</v>
      </c>
      <c r="N153" s="213">
        <v>258136.38999999998</v>
      </c>
      <c r="O153" s="213">
        <v>160970.87999999998</v>
      </c>
      <c r="P153" s="213">
        <v>198174.09</v>
      </c>
      <c r="Q153" s="213">
        <v>164695.57000000004</v>
      </c>
      <c r="R153" s="213">
        <v>169576.97999999998</v>
      </c>
      <c r="S153" s="213">
        <v>188881.66</v>
      </c>
      <c r="T153" s="213">
        <v>686838.44</v>
      </c>
      <c r="U153" s="213">
        <v>274025.27999999997</v>
      </c>
      <c r="V153" s="213">
        <v>297231.17000000004</v>
      </c>
      <c r="W153" s="213">
        <v>187131.85000000003</v>
      </c>
      <c r="X153" s="213">
        <v>287493.23999999993</v>
      </c>
      <c r="Y153" s="213">
        <v>242258.31</v>
      </c>
      <c r="Z153" s="213">
        <v>255418.15000000002</v>
      </c>
      <c r="AA153" s="213">
        <v>252107.50000000003</v>
      </c>
      <c r="AB153" s="213">
        <v>278090.18999999994</v>
      </c>
      <c r="AC153" s="213">
        <v>297120.93</v>
      </c>
      <c r="AD153" s="213">
        <v>385765.25000000006</v>
      </c>
      <c r="AE153" s="213">
        <v>279595.14</v>
      </c>
      <c r="AF153" s="213">
        <v>1252826.5299999998</v>
      </c>
      <c r="AG153" s="213">
        <v>327429.23</v>
      </c>
      <c r="AH153" s="213">
        <v>282675.5</v>
      </c>
      <c r="AI153" s="213">
        <v>262006.43</v>
      </c>
      <c r="AJ153" s="213">
        <v>234159.88999999998</v>
      </c>
      <c r="AK153" s="213">
        <v>202884.71000000005</v>
      </c>
      <c r="AL153" s="213">
        <v>238567.71000000002</v>
      </c>
      <c r="AM153" s="213">
        <v>234027.43999999997</v>
      </c>
      <c r="AN153" s="213">
        <v>197620.90999999997</v>
      </c>
      <c r="AO153" s="213">
        <v>487964.25999999989</v>
      </c>
      <c r="AP153" s="213">
        <v>309334.6399999999</v>
      </c>
      <c r="AQ153" s="213">
        <v>348208.46</v>
      </c>
      <c r="AR153" s="213">
        <v>729771.07000000007</v>
      </c>
      <c r="AS153" s="213">
        <v>596656.00000000012</v>
      </c>
      <c r="AT153" s="213">
        <v>632219.93999999983</v>
      </c>
      <c r="AU153" s="213">
        <v>757152.62</v>
      </c>
      <c r="AV153" s="213">
        <v>873875.19504140189</v>
      </c>
      <c r="AW153" s="213">
        <v>975452.11922431039</v>
      </c>
      <c r="AX153" s="213">
        <v>889980.1243383782</v>
      </c>
      <c r="AY153" s="213">
        <v>903426.92913301336</v>
      </c>
      <c r="AZ153" s="213">
        <v>884949.00301317067</v>
      </c>
      <c r="BA153" s="213">
        <v>887205.48642102932</v>
      </c>
      <c r="BB153" s="213">
        <v>885019.24899118522</v>
      </c>
      <c r="BC153" s="213">
        <v>1097228.7540672049</v>
      </c>
    </row>
    <row r="154" spans="1:55" ht="15.75" x14ac:dyDescent="0.25">
      <c r="A154" s="206" t="s">
        <v>11</v>
      </c>
      <c r="B154" s="207"/>
      <c r="C154" s="206"/>
      <c r="D154" s="206"/>
      <c r="E154" s="206"/>
      <c r="F154" s="206"/>
      <c r="G154" s="206"/>
      <c r="H154" s="213">
        <v>0</v>
      </c>
      <c r="I154" s="213">
        <v>0</v>
      </c>
      <c r="J154" s="213">
        <v>0</v>
      </c>
      <c r="K154" s="213">
        <v>0</v>
      </c>
      <c r="L154" s="213">
        <v>0</v>
      </c>
      <c r="M154" s="213">
        <v>0</v>
      </c>
      <c r="N154" s="213">
        <v>0</v>
      </c>
      <c r="O154" s="213">
        <v>0</v>
      </c>
      <c r="P154" s="213">
        <v>0</v>
      </c>
      <c r="Q154" s="213">
        <v>0</v>
      </c>
      <c r="R154" s="213">
        <v>0</v>
      </c>
      <c r="S154" s="213">
        <v>0</v>
      </c>
      <c r="T154" s="213">
        <v>0</v>
      </c>
      <c r="U154" s="213">
        <v>0</v>
      </c>
      <c r="V154" s="213">
        <v>0</v>
      </c>
      <c r="W154" s="213">
        <v>0</v>
      </c>
      <c r="X154" s="213">
        <v>0</v>
      </c>
      <c r="Y154" s="213">
        <v>0</v>
      </c>
      <c r="Z154" s="213">
        <v>0</v>
      </c>
      <c r="AA154" s="213">
        <v>0</v>
      </c>
      <c r="AB154" s="213">
        <v>0</v>
      </c>
      <c r="AC154" s="213">
        <v>0</v>
      </c>
      <c r="AD154" s="213">
        <v>0</v>
      </c>
      <c r="AE154" s="213">
        <v>0</v>
      </c>
      <c r="AF154" s="213">
        <v>0</v>
      </c>
      <c r="AG154" s="213">
        <v>0</v>
      </c>
      <c r="AH154" s="213">
        <v>0</v>
      </c>
      <c r="AI154" s="213">
        <v>0</v>
      </c>
      <c r="AJ154" s="213">
        <v>0</v>
      </c>
      <c r="AK154" s="213">
        <v>0</v>
      </c>
      <c r="AL154" s="213">
        <v>0</v>
      </c>
      <c r="AM154" s="213">
        <v>0</v>
      </c>
      <c r="AN154" s="213">
        <v>0</v>
      </c>
      <c r="AO154" s="213">
        <v>0</v>
      </c>
      <c r="AP154" s="213">
        <v>0</v>
      </c>
      <c r="AQ154" s="213">
        <v>0</v>
      </c>
      <c r="AR154" s="213">
        <v>0</v>
      </c>
      <c r="AS154" s="213">
        <v>0</v>
      </c>
      <c r="AT154" s="213">
        <v>0</v>
      </c>
      <c r="AU154" s="213">
        <v>0</v>
      </c>
      <c r="AV154" s="213">
        <v>0</v>
      </c>
      <c r="AW154" s="213">
        <v>0</v>
      </c>
      <c r="AX154" s="213">
        <v>0</v>
      </c>
      <c r="AY154" s="213">
        <v>0</v>
      </c>
      <c r="AZ154" s="213">
        <v>0</v>
      </c>
      <c r="BA154" s="213">
        <v>0</v>
      </c>
      <c r="BB154" s="213">
        <v>0</v>
      </c>
      <c r="BC154" s="213">
        <v>0</v>
      </c>
    </row>
    <row r="155" spans="1:55" x14ac:dyDescent="0.25">
      <c r="A155" s="209" t="s">
        <v>374</v>
      </c>
      <c r="B155" s="210" t="s">
        <v>403</v>
      </c>
      <c r="C155" t="s">
        <v>11</v>
      </c>
      <c r="D155" t="s">
        <v>436</v>
      </c>
      <c r="E155" t="s">
        <v>492</v>
      </c>
      <c r="F155" s="211">
        <v>7000</v>
      </c>
      <c r="G155" t="s">
        <v>388</v>
      </c>
      <c r="H155" s="213">
        <v>117012.1</v>
      </c>
      <c r="I155" s="213">
        <v>131770.47</v>
      </c>
      <c r="J155" s="213">
        <v>128158.23</v>
      </c>
      <c r="K155" s="213">
        <v>123351.56</v>
      </c>
      <c r="L155" s="213">
        <v>129505.88</v>
      </c>
      <c r="M155" s="213">
        <v>138323.32999999999</v>
      </c>
      <c r="N155" s="213">
        <v>142154.10999999999</v>
      </c>
      <c r="O155" s="213">
        <v>158820.35999999999</v>
      </c>
      <c r="P155" s="213">
        <v>182016.88</v>
      </c>
      <c r="Q155" s="213">
        <v>173432.55</v>
      </c>
      <c r="R155" s="213">
        <v>159575.01999999999</v>
      </c>
      <c r="S155" s="213">
        <v>179354.95</v>
      </c>
      <c r="T155" s="213">
        <v>213279.55</v>
      </c>
      <c r="U155" s="213">
        <v>222266.7</v>
      </c>
      <c r="V155" s="213">
        <v>245300.79</v>
      </c>
      <c r="W155" s="213">
        <v>266754.65000000002</v>
      </c>
      <c r="X155" s="213">
        <v>237853.39</v>
      </c>
      <c r="Y155" s="213">
        <v>254349.6</v>
      </c>
      <c r="Z155" s="213">
        <v>245981.37</v>
      </c>
      <c r="AA155" s="213">
        <v>244916.33</v>
      </c>
      <c r="AB155" s="213">
        <v>251260.68</v>
      </c>
      <c r="AC155" s="213">
        <v>254866.75</v>
      </c>
      <c r="AD155" s="213">
        <v>293830.34999999998</v>
      </c>
      <c r="AE155" s="213">
        <v>283394.55</v>
      </c>
      <c r="AF155" s="213">
        <v>285344.83999999997</v>
      </c>
      <c r="AG155" s="213">
        <v>332769.94</v>
      </c>
      <c r="AH155" s="213">
        <v>288270.07999999996</v>
      </c>
      <c r="AI155" s="213">
        <v>280939.89</v>
      </c>
      <c r="AJ155" s="213">
        <v>285169.45</v>
      </c>
      <c r="AK155" s="213">
        <v>286824.06</v>
      </c>
      <c r="AL155" s="213">
        <v>292877.09000000003</v>
      </c>
      <c r="AM155" s="213">
        <v>290004.15000000002</v>
      </c>
      <c r="AN155" s="213">
        <v>296343.84000000003</v>
      </c>
      <c r="AO155" s="213">
        <v>253385.30000000002</v>
      </c>
      <c r="AP155" s="213">
        <v>289676.97000000003</v>
      </c>
      <c r="AQ155" s="213">
        <v>335505.44</v>
      </c>
      <c r="AR155" s="213">
        <v>378252.40999999992</v>
      </c>
      <c r="AS155" s="213">
        <v>357289.06999999995</v>
      </c>
      <c r="AT155" s="213">
        <v>342105.08000000007</v>
      </c>
      <c r="AU155" s="213">
        <v>407657.73</v>
      </c>
      <c r="AV155" s="213">
        <v>510380.92290865793</v>
      </c>
      <c r="AW155" s="213">
        <v>502687.33461818181</v>
      </c>
      <c r="AX155" s="213">
        <v>518638.3812848485</v>
      </c>
      <c r="AY155" s="213">
        <v>532225.89128484845</v>
      </c>
      <c r="AZ155" s="213">
        <v>554142.58128484862</v>
      </c>
      <c r="BA155" s="213">
        <v>575038.53411818214</v>
      </c>
      <c r="BB155" s="213">
        <v>575038.53411818214</v>
      </c>
      <c r="BC155" s="213">
        <v>616181.1450348486</v>
      </c>
    </row>
    <row r="156" spans="1:55" x14ac:dyDescent="0.25">
      <c r="A156" s="209" t="s">
        <v>374</v>
      </c>
      <c r="B156" s="210" t="s">
        <v>403</v>
      </c>
      <c r="C156" t="s">
        <v>11</v>
      </c>
      <c r="D156" t="s">
        <v>436</v>
      </c>
      <c r="E156" t="s">
        <v>492</v>
      </c>
      <c r="F156" s="211">
        <v>6100</v>
      </c>
      <c r="G156" t="s">
        <v>389</v>
      </c>
      <c r="H156" s="215">
        <v>20890.3</v>
      </c>
      <c r="I156" s="215">
        <v>19734.87</v>
      </c>
      <c r="J156" s="215">
        <v>18455.830000000002</v>
      </c>
      <c r="K156" s="215">
        <v>16744.18</v>
      </c>
      <c r="L156" s="215">
        <v>18264.77</v>
      </c>
      <c r="M156" s="215">
        <v>17989.95</v>
      </c>
      <c r="N156" s="215">
        <v>18457.560000000001</v>
      </c>
      <c r="O156" s="215">
        <v>20592.66</v>
      </c>
      <c r="P156" s="215">
        <v>23404.19</v>
      </c>
      <c r="Q156" s="215">
        <v>21927.73</v>
      </c>
      <c r="R156" s="215">
        <v>20595.63</v>
      </c>
      <c r="S156" s="215">
        <v>38073.479999999996</v>
      </c>
      <c r="T156" s="215">
        <v>29178.19</v>
      </c>
      <c r="U156" s="215">
        <v>35618.31</v>
      </c>
      <c r="V156" s="215">
        <v>36330.42</v>
      </c>
      <c r="W156" s="215">
        <v>34243.9</v>
      </c>
      <c r="X156" s="215">
        <v>34804.870000000003</v>
      </c>
      <c r="Y156" s="215">
        <v>40682.449999999997</v>
      </c>
      <c r="Z156" s="215">
        <v>35332.9</v>
      </c>
      <c r="AA156" s="215">
        <v>33486.21</v>
      </c>
      <c r="AB156" s="215">
        <v>16315.52</v>
      </c>
      <c r="AC156" s="215">
        <v>16647.27</v>
      </c>
      <c r="AD156" s="215">
        <v>18409.580000000002</v>
      </c>
      <c r="AE156" s="215">
        <v>20434.52</v>
      </c>
      <c r="AF156" s="215">
        <v>24345.350000000002</v>
      </c>
      <c r="AG156" s="215">
        <v>19574.64</v>
      </c>
      <c r="AH156" s="215">
        <v>23084.23</v>
      </c>
      <c r="AI156" s="215">
        <v>23787.920000000002</v>
      </c>
      <c r="AJ156" s="215">
        <v>21261.38</v>
      </c>
      <c r="AK156" s="215">
        <v>20713.14</v>
      </c>
      <c r="AL156" s="215">
        <v>22472.27</v>
      </c>
      <c r="AM156" s="215">
        <v>22244.95</v>
      </c>
      <c r="AN156" s="215">
        <v>20853.43</v>
      </c>
      <c r="AO156" s="215">
        <v>21063.79</v>
      </c>
      <c r="AP156" s="215">
        <v>23278.23</v>
      </c>
      <c r="AQ156" s="215">
        <v>21081.88</v>
      </c>
      <c r="AR156" s="215">
        <v>32556.33</v>
      </c>
      <c r="AS156" s="215">
        <v>22983.829999999998</v>
      </c>
      <c r="AT156" s="215">
        <v>26758.86</v>
      </c>
      <c r="AU156" s="215">
        <v>29973.55</v>
      </c>
      <c r="AV156" s="215">
        <v>43018.026443636358</v>
      </c>
      <c r="AW156" s="215">
        <v>40510.308923636359</v>
      </c>
      <c r="AX156" s="215">
        <v>41309.258923636356</v>
      </c>
      <c r="AY156" s="215">
        <v>42907.158923636351</v>
      </c>
      <c r="AZ156" s="215">
        <v>46627.272959054528</v>
      </c>
      <c r="BA156" s="215">
        <v>49134.59045905454</v>
      </c>
      <c r="BB156" s="215">
        <v>49134.59045905454</v>
      </c>
      <c r="BC156" s="215">
        <v>54616.584740054532</v>
      </c>
    </row>
    <row r="157" spans="1:55" x14ac:dyDescent="0.25">
      <c r="A157" s="209" t="s">
        <v>374</v>
      </c>
      <c r="B157" s="210" t="s">
        <v>403</v>
      </c>
      <c r="C157" t="s">
        <v>11</v>
      </c>
      <c r="D157" t="s">
        <v>436</v>
      </c>
      <c r="E157" t="s">
        <v>492</v>
      </c>
      <c r="F157" s="211">
        <v>6150</v>
      </c>
      <c r="G157" t="s">
        <v>405</v>
      </c>
      <c r="H157" s="213">
        <v>8182.22</v>
      </c>
      <c r="I157" s="213">
        <v>5646</v>
      </c>
      <c r="J157" s="213">
        <v>18063</v>
      </c>
      <c r="K157" s="213">
        <v>9785</v>
      </c>
      <c r="L157" s="213">
        <v>9785</v>
      </c>
      <c r="M157" s="213">
        <v>9785</v>
      </c>
      <c r="N157" s="213">
        <v>11766</v>
      </c>
      <c r="O157" s="213">
        <v>12418</v>
      </c>
      <c r="P157" s="213">
        <v>39239.43</v>
      </c>
      <c r="Q157" s="213">
        <v>8459.7900000000009</v>
      </c>
      <c r="R157" s="213">
        <v>11398.5</v>
      </c>
      <c r="S157" s="213">
        <v>28754.02</v>
      </c>
      <c r="T157" s="213">
        <v>18614.48</v>
      </c>
      <c r="U157" s="213">
        <v>22395.59</v>
      </c>
      <c r="V157" s="213">
        <v>25641.08</v>
      </c>
      <c r="W157" s="213">
        <v>21433.360000000001</v>
      </c>
      <c r="X157" s="213">
        <v>20630.169999999998</v>
      </c>
      <c r="Y157" s="213">
        <v>25685.17</v>
      </c>
      <c r="Z157" s="213">
        <v>21909.55</v>
      </c>
      <c r="AA157" s="213">
        <v>22510.58</v>
      </c>
      <c r="AB157" s="213">
        <v>22184</v>
      </c>
      <c r="AC157" s="213">
        <v>23908</v>
      </c>
      <c r="AD157" s="213">
        <v>24182</v>
      </c>
      <c r="AE157" s="213">
        <v>-60810</v>
      </c>
      <c r="AF157" s="213">
        <v>13484</v>
      </c>
      <c r="AG157" s="213">
        <v>9511.39</v>
      </c>
      <c r="AH157" s="213">
        <v>44924.93</v>
      </c>
      <c r="AI157" s="213">
        <v>24429.599999999999</v>
      </c>
      <c r="AJ157" s="213">
        <v>25953.4</v>
      </c>
      <c r="AK157" s="213">
        <v>14038.050000000003</v>
      </c>
      <c r="AL157" s="213">
        <v>25484.5</v>
      </c>
      <c r="AM157" s="213">
        <v>26275</v>
      </c>
      <c r="AN157" s="213">
        <v>8430.2400000000016</v>
      </c>
      <c r="AO157" s="213">
        <v>24831.200000000001</v>
      </c>
      <c r="AP157" s="213">
        <v>-6953.2</v>
      </c>
      <c r="AQ157" s="213">
        <v>36907.42</v>
      </c>
      <c r="AR157" s="213">
        <v>36651</v>
      </c>
      <c r="AS157" s="213">
        <v>24330.29</v>
      </c>
      <c r="AT157" s="213">
        <v>184109.04</v>
      </c>
      <c r="AU157" s="213">
        <v>76806.420000000013</v>
      </c>
      <c r="AV157" s="213">
        <v>88093.810568908986</v>
      </c>
      <c r="AW157" s="213">
        <v>87801.539214199991</v>
      </c>
      <c r="AX157" s="213">
        <v>87774.663503088872</v>
      </c>
      <c r="AY157" s="213">
        <v>89752.004689222202</v>
      </c>
      <c r="AZ157" s="213">
        <v>98906.36663724223</v>
      </c>
      <c r="BA157" s="213">
        <v>101759.05822586556</v>
      </c>
      <c r="BB157" s="213">
        <v>101759.05822586556</v>
      </c>
      <c r="BC157" s="213">
        <v>106599.71982454564</v>
      </c>
    </row>
    <row r="158" spans="1:55" x14ac:dyDescent="0.25">
      <c r="A158" s="209" t="s">
        <v>374</v>
      </c>
      <c r="B158" s="210" t="s">
        <v>403</v>
      </c>
      <c r="C158" t="s">
        <v>11</v>
      </c>
      <c r="D158" t="s">
        <v>436</v>
      </c>
      <c r="E158" t="s">
        <v>492</v>
      </c>
      <c r="F158" s="211">
        <v>6112</v>
      </c>
      <c r="G158" t="s">
        <v>391</v>
      </c>
      <c r="H158" s="213">
        <v>0</v>
      </c>
      <c r="I158" s="213">
        <v>0</v>
      </c>
      <c r="J158" s="213">
        <v>0</v>
      </c>
      <c r="K158" s="213">
        <v>0</v>
      </c>
      <c r="L158" s="213">
        <v>0</v>
      </c>
      <c r="M158" s="213">
        <v>0</v>
      </c>
      <c r="N158" s="213">
        <v>0</v>
      </c>
      <c r="O158" s="213">
        <v>0</v>
      </c>
      <c r="P158" s="213">
        <v>0</v>
      </c>
      <c r="Q158" s="213">
        <v>0</v>
      </c>
      <c r="R158" s="213">
        <v>0</v>
      </c>
      <c r="S158" s="213">
        <v>0</v>
      </c>
      <c r="T158" s="213">
        <v>0</v>
      </c>
      <c r="U158" s="213">
        <v>0</v>
      </c>
      <c r="V158" s="213">
        <v>0</v>
      </c>
      <c r="W158" s="213">
        <v>0</v>
      </c>
      <c r="X158" s="213">
        <v>0</v>
      </c>
      <c r="Y158" s="213">
        <v>0</v>
      </c>
      <c r="Z158" s="213">
        <v>0</v>
      </c>
      <c r="AA158" s="213">
        <v>0</v>
      </c>
      <c r="AB158" s="213">
        <v>18457.080000000002</v>
      </c>
      <c r="AC158" s="213">
        <v>14897.86</v>
      </c>
      <c r="AD158" s="213">
        <v>17861.46</v>
      </c>
      <c r="AE158" s="213">
        <v>21122.639999999999</v>
      </c>
      <c r="AF158" s="213">
        <v>25584.570000000003</v>
      </c>
      <c r="AG158" s="213">
        <v>27530.79</v>
      </c>
      <c r="AH158" s="213">
        <v>26528.53</v>
      </c>
      <c r="AI158" s="213">
        <v>23985.95</v>
      </c>
      <c r="AJ158" s="213">
        <v>24239.85</v>
      </c>
      <c r="AK158" s="213">
        <v>22220.199999999997</v>
      </c>
      <c r="AL158" s="213">
        <v>23950.65</v>
      </c>
      <c r="AM158" s="213">
        <v>23468.080000000002</v>
      </c>
      <c r="AN158" s="213">
        <v>22728.37</v>
      </c>
      <c r="AO158" s="213">
        <v>9997.89</v>
      </c>
      <c r="AP158" s="213">
        <v>37112.769999999997</v>
      </c>
      <c r="AQ158" s="213">
        <v>33342.399999999994</v>
      </c>
      <c r="AR158" s="213">
        <v>37666.26</v>
      </c>
      <c r="AS158" s="213">
        <v>37212.559999999998</v>
      </c>
      <c r="AT158" s="213">
        <v>40592.990000000005</v>
      </c>
      <c r="AU158" s="213">
        <v>39227.14</v>
      </c>
      <c r="AV158" s="213">
        <v>42578.297483975562</v>
      </c>
      <c r="AW158" s="213">
        <v>38235.735077534868</v>
      </c>
      <c r="AX158" s="213">
        <v>38000.139026111421</v>
      </c>
      <c r="AY158" s="213">
        <v>39054.796522799035</v>
      </c>
      <c r="AZ158" s="213">
        <v>41957.41553430412</v>
      </c>
      <c r="BA158" s="213">
        <v>37602.597328603035</v>
      </c>
      <c r="BB158" s="213">
        <v>35827.787568625186</v>
      </c>
      <c r="BC158" s="213">
        <v>58881.23980827153</v>
      </c>
    </row>
    <row r="159" spans="1:55" x14ac:dyDescent="0.25">
      <c r="A159" s="209" t="s">
        <v>374</v>
      </c>
      <c r="B159" s="210" t="s">
        <v>403</v>
      </c>
      <c r="C159" t="s">
        <v>11</v>
      </c>
      <c r="D159" t="s">
        <v>436</v>
      </c>
      <c r="E159" t="s">
        <v>492</v>
      </c>
      <c r="F159" s="211">
        <v>6350</v>
      </c>
      <c r="G159" t="s">
        <v>393</v>
      </c>
      <c r="H159" s="213">
        <v>14.99</v>
      </c>
      <c r="I159" s="213">
        <v>129</v>
      </c>
      <c r="J159" s="213">
        <v>1555.71</v>
      </c>
      <c r="K159" s="213">
        <v>137.80000000000001</v>
      </c>
      <c r="L159" s="213">
        <v>1299</v>
      </c>
      <c r="M159" s="213">
        <v>1299</v>
      </c>
      <c r="N159" s="213">
        <v>3549.35</v>
      </c>
      <c r="O159" s="213">
        <v>0</v>
      </c>
      <c r="P159" s="213">
        <v>245</v>
      </c>
      <c r="Q159" s="213">
        <v>0</v>
      </c>
      <c r="R159" s="213">
        <v>0</v>
      </c>
      <c r="S159" s="213">
        <v>0</v>
      </c>
      <c r="T159" s="213">
        <v>1000</v>
      </c>
      <c r="U159" s="213">
        <v>139</v>
      </c>
      <c r="V159" s="213">
        <v>2995</v>
      </c>
      <c r="W159" s="213">
        <v>749</v>
      </c>
      <c r="X159" s="213">
        <v>11.3</v>
      </c>
      <c r="Y159" s="213">
        <v>0</v>
      </c>
      <c r="Z159" s="213">
        <v>0</v>
      </c>
      <c r="AA159" s="213">
        <v>0</v>
      </c>
      <c r="AB159" s="213">
        <v>0</v>
      </c>
      <c r="AC159" s="213">
        <v>1549.5</v>
      </c>
      <c r="AD159" s="213">
        <v>2603.9499999999998</v>
      </c>
      <c r="AE159" s="213">
        <v>0</v>
      </c>
      <c r="AF159" s="213">
        <v>3495</v>
      </c>
      <c r="AG159" s="213">
        <v>0</v>
      </c>
      <c r="AH159" s="213">
        <v>0</v>
      </c>
      <c r="AI159" s="213">
        <v>0</v>
      </c>
      <c r="AJ159" s="213">
        <v>0</v>
      </c>
      <c r="AK159" s="213">
        <v>0</v>
      </c>
      <c r="AL159" s="213">
        <v>0</v>
      </c>
      <c r="AM159" s="213">
        <v>0</v>
      </c>
      <c r="AN159" s="213">
        <v>0</v>
      </c>
      <c r="AO159" s="213">
        <v>0</v>
      </c>
      <c r="AP159" s="213">
        <v>0</v>
      </c>
      <c r="AQ159" s="213">
        <v>13.93</v>
      </c>
      <c r="AR159" s="213">
        <v>0</v>
      </c>
      <c r="AS159" s="213">
        <v>0</v>
      </c>
      <c r="AT159" s="213">
        <v>0</v>
      </c>
      <c r="AU159" s="213">
        <v>0</v>
      </c>
      <c r="AV159" s="213">
        <v>2666.6666666666665</v>
      </c>
      <c r="AW159" s="213">
        <v>2600</v>
      </c>
      <c r="AX159" s="213">
        <v>2733.3333333333335</v>
      </c>
      <c r="AY159" s="213">
        <v>2866.6666666666665</v>
      </c>
      <c r="AZ159" s="213">
        <v>3000</v>
      </c>
      <c r="BA159" s="213">
        <v>3200</v>
      </c>
      <c r="BB159" s="213">
        <v>3200</v>
      </c>
      <c r="BC159" s="213">
        <v>3466.6666666666665</v>
      </c>
    </row>
    <row r="160" spans="1:55" x14ac:dyDescent="0.25">
      <c r="A160" s="209" t="s">
        <v>374</v>
      </c>
      <c r="B160" s="210" t="s">
        <v>403</v>
      </c>
      <c r="C160" t="s">
        <v>11</v>
      </c>
      <c r="D160" t="s">
        <v>436</v>
      </c>
      <c r="E160" t="s">
        <v>493</v>
      </c>
      <c r="F160" s="211">
        <v>6400</v>
      </c>
      <c r="G160" t="s">
        <v>395</v>
      </c>
      <c r="H160" s="213">
        <v>124.59</v>
      </c>
      <c r="I160" s="213">
        <v>200</v>
      </c>
      <c r="J160" s="213">
        <v>239.99</v>
      </c>
      <c r="K160" s="213">
        <v>1992.15</v>
      </c>
      <c r="L160" s="213">
        <v>1090.3399999999999</v>
      </c>
      <c r="M160" s="213">
        <v>3352.59</v>
      </c>
      <c r="N160" s="213">
        <v>1525.27</v>
      </c>
      <c r="O160" s="213">
        <v>709.89</v>
      </c>
      <c r="P160" s="213">
        <v>1351.58</v>
      </c>
      <c r="Q160" s="213">
        <v>1797.63</v>
      </c>
      <c r="R160" s="213">
        <v>1376.52</v>
      </c>
      <c r="S160" s="213">
        <v>8988.36</v>
      </c>
      <c r="T160" s="213">
        <v>475.8</v>
      </c>
      <c r="U160" s="213">
        <v>2013.54</v>
      </c>
      <c r="V160" s="213">
        <v>1487.41</v>
      </c>
      <c r="W160" s="213">
        <v>1683.92</v>
      </c>
      <c r="X160" s="213">
        <v>590.44000000000005</v>
      </c>
      <c r="Y160" s="213">
        <v>3393.7</v>
      </c>
      <c r="Z160" s="213">
        <v>9597.86</v>
      </c>
      <c r="AA160" s="213">
        <v>907.88</v>
      </c>
      <c r="AB160" s="213">
        <v>0</v>
      </c>
      <c r="AC160" s="213">
        <v>702.92000000000007</v>
      </c>
      <c r="AD160" s="213">
        <v>1710.12</v>
      </c>
      <c r="AE160" s="213">
        <v>744.02</v>
      </c>
      <c r="AF160" s="213">
        <v>4378.41</v>
      </c>
      <c r="AG160" s="213">
        <v>5687.420000000001</v>
      </c>
      <c r="AH160" s="213">
        <v>1770</v>
      </c>
      <c r="AI160" s="213">
        <v>52.25</v>
      </c>
      <c r="AJ160" s="213">
        <v>18.23</v>
      </c>
      <c r="AK160" s="213">
        <v>4.5300000000000011</v>
      </c>
      <c r="AL160" s="213">
        <v>596.89</v>
      </c>
      <c r="AM160" s="213">
        <v>682.49</v>
      </c>
      <c r="AN160" s="213">
        <v>1701.5500000000002</v>
      </c>
      <c r="AO160" s="213">
        <v>17517.91</v>
      </c>
      <c r="AP160" s="213">
        <v>1120.6099999999999</v>
      </c>
      <c r="AQ160" s="213">
        <v>294.76</v>
      </c>
      <c r="AR160" s="213">
        <v>8635.0499999999993</v>
      </c>
      <c r="AS160" s="213">
        <v>5471.98</v>
      </c>
      <c r="AT160" s="213">
        <v>334.53999999999996</v>
      </c>
      <c r="AU160" s="213">
        <v>3671.77</v>
      </c>
      <c r="AV160" s="213">
        <v>1333.3333333333333</v>
      </c>
      <c r="AW160" s="213">
        <v>1300</v>
      </c>
      <c r="AX160" s="213">
        <v>1366.6666666666667</v>
      </c>
      <c r="AY160" s="213">
        <v>1433.3333333333333</v>
      </c>
      <c r="AZ160" s="213">
        <v>1500</v>
      </c>
      <c r="BA160" s="213">
        <v>1600</v>
      </c>
      <c r="BB160" s="213">
        <v>1600</v>
      </c>
      <c r="BC160" s="213">
        <v>1733.3333333333333</v>
      </c>
    </row>
    <row r="161" spans="1:55" x14ac:dyDescent="0.25">
      <c r="A161" s="209" t="s">
        <v>374</v>
      </c>
      <c r="B161" s="210" t="s">
        <v>406</v>
      </c>
      <c r="C161" t="s">
        <v>11</v>
      </c>
      <c r="D161" t="s">
        <v>436</v>
      </c>
      <c r="E161" t="s">
        <v>493</v>
      </c>
      <c r="F161" s="211">
        <v>7150</v>
      </c>
      <c r="G161" t="s">
        <v>397</v>
      </c>
      <c r="H161" s="213">
        <v>7099.57</v>
      </c>
      <c r="I161" s="213">
        <v>12948.85</v>
      </c>
      <c r="J161" s="213">
        <v>8390.2799999999988</v>
      </c>
      <c r="K161" s="213">
        <v>3366.0499999999997</v>
      </c>
      <c r="L161" s="213">
        <v>4130.58</v>
      </c>
      <c r="M161" s="213">
        <v>18719.96</v>
      </c>
      <c r="N161" s="213">
        <v>9803.34</v>
      </c>
      <c r="O161" s="213">
        <v>13096.43</v>
      </c>
      <c r="P161" s="213">
        <v>16162.55</v>
      </c>
      <c r="Q161" s="213">
        <v>12936.439999999999</v>
      </c>
      <c r="R161" s="213">
        <v>9760.73</v>
      </c>
      <c r="S161" s="213">
        <v>19869.660000000003</v>
      </c>
      <c r="T161" s="213">
        <v>7375.8600000000006</v>
      </c>
      <c r="U161" s="213">
        <v>24157.14</v>
      </c>
      <c r="V161" s="213">
        <v>8273.34</v>
      </c>
      <c r="W161" s="213">
        <v>40027.279999999999</v>
      </c>
      <c r="X161" s="213">
        <v>33159.19</v>
      </c>
      <c r="Y161" s="213">
        <v>19957.39</v>
      </c>
      <c r="Z161" s="213">
        <v>16782.87</v>
      </c>
      <c r="AA161" s="213">
        <v>107704.15000000001</v>
      </c>
      <c r="AB161" s="213">
        <v>24889.760000000002</v>
      </c>
      <c r="AC161" s="213">
        <v>23351.760000000002</v>
      </c>
      <c r="AD161" s="213">
        <v>16974.079999999998</v>
      </c>
      <c r="AE161" s="213">
        <v>37079.68</v>
      </c>
      <c r="AF161" s="213">
        <v>20281.289999999997</v>
      </c>
      <c r="AG161" s="213">
        <v>-483.40000000000009</v>
      </c>
      <c r="AH161" s="213">
        <v>-3096.7599999999998</v>
      </c>
      <c r="AI161" s="213">
        <v>-3507.6899999999996</v>
      </c>
      <c r="AJ161" s="213">
        <v>1115.81</v>
      </c>
      <c r="AK161" s="213">
        <v>7406.23</v>
      </c>
      <c r="AL161" s="213">
        <v>-9584.83</v>
      </c>
      <c r="AM161" s="213">
        <v>38.639999999999986</v>
      </c>
      <c r="AN161" s="213">
        <v>1457.9</v>
      </c>
      <c r="AO161" s="213">
        <v>2021.75</v>
      </c>
      <c r="AP161" s="213">
        <v>-1145.47</v>
      </c>
      <c r="AQ161" s="213">
        <v>987.96</v>
      </c>
      <c r="AR161" s="213">
        <v>664.95</v>
      </c>
      <c r="AS161" s="213">
        <v>723.32999999999993</v>
      </c>
      <c r="AT161" s="213">
        <v>919.94999999999993</v>
      </c>
      <c r="AU161" s="213">
        <v>2059.1400000000003</v>
      </c>
      <c r="AV161" s="213">
        <v>20000</v>
      </c>
      <c r="AW161" s="213">
        <v>20000</v>
      </c>
      <c r="AX161" s="213">
        <v>20000</v>
      </c>
      <c r="AY161" s="213">
        <v>20000</v>
      </c>
      <c r="AZ161" s="213">
        <v>20000</v>
      </c>
      <c r="BA161" s="213">
        <v>20000</v>
      </c>
      <c r="BB161" s="213">
        <v>20000</v>
      </c>
      <c r="BC161" s="213">
        <v>20000</v>
      </c>
    </row>
    <row r="162" spans="1:55" x14ac:dyDescent="0.25">
      <c r="A162" s="209" t="s">
        <v>374</v>
      </c>
      <c r="B162" s="210" t="s">
        <v>437</v>
      </c>
      <c r="C162" t="s">
        <v>11</v>
      </c>
      <c r="D162" t="s">
        <v>436</v>
      </c>
      <c r="E162" t="s">
        <v>494</v>
      </c>
      <c r="F162" s="211">
        <v>6060</v>
      </c>
      <c r="G162" s="210" t="s">
        <v>438</v>
      </c>
      <c r="H162" s="213">
        <v>4600</v>
      </c>
      <c r="I162" s="213">
        <v>0</v>
      </c>
      <c r="J162" s="213">
        <v>0</v>
      </c>
      <c r="K162" s="213">
        <v>0</v>
      </c>
      <c r="L162" s="213">
        <v>0</v>
      </c>
      <c r="M162" s="213">
        <v>0</v>
      </c>
      <c r="N162" s="213">
        <v>0</v>
      </c>
      <c r="O162" s="213">
        <v>8950</v>
      </c>
      <c r="P162" s="213">
        <v>8950</v>
      </c>
      <c r="Q162" s="213">
        <v>1200</v>
      </c>
      <c r="R162" s="213">
        <v>0</v>
      </c>
      <c r="S162" s="213">
        <v>7000</v>
      </c>
      <c r="T162" s="213">
        <v>0</v>
      </c>
      <c r="U162" s="213">
        <v>0</v>
      </c>
      <c r="V162" s="213">
        <v>0</v>
      </c>
      <c r="W162" s="213">
        <v>0</v>
      </c>
      <c r="X162" s="213">
        <v>0</v>
      </c>
      <c r="Y162" s="213">
        <v>0</v>
      </c>
      <c r="Z162" s="213">
        <v>0</v>
      </c>
      <c r="AA162" s="213">
        <v>0</v>
      </c>
      <c r="AB162" s="213">
        <v>0</v>
      </c>
      <c r="AC162" s="213">
        <v>0</v>
      </c>
      <c r="AD162" s="213">
        <v>3000</v>
      </c>
      <c r="AE162" s="213">
        <v>0</v>
      </c>
      <c r="AF162" s="213">
        <v>0</v>
      </c>
      <c r="AG162" s="213">
        <v>0</v>
      </c>
      <c r="AH162" s="213">
        <v>0</v>
      </c>
      <c r="AI162" s="213">
        <v>0</v>
      </c>
      <c r="AJ162" s="213">
        <v>0</v>
      </c>
      <c r="AK162" s="213">
        <v>0</v>
      </c>
      <c r="AL162" s="213">
        <v>0</v>
      </c>
      <c r="AM162" s="213">
        <v>0</v>
      </c>
      <c r="AN162" s="213">
        <v>0</v>
      </c>
      <c r="AO162" s="213">
        <v>0</v>
      </c>
      <c r="AP162" s="213">
        <v>0</v>
      </c>
      <c r="AQ162" s="213">
        <v>0</v>
      </c>
      <c r="AR162" s="213">
        <v>0</v>
      </c>
      <c r="AS162" s="213">
        <v>0</v>
      </c>
      <c r="AT162" s="213">
        <v>0</v>
      </c>
      <c r="AU162" s="213">
        <v>0</v>
      </c>
      <c r="AV162" s="213">
        <v>0</v>
      </c>
      <c r="AW162" s="213">
        <v>0</v>
      </c>
      <c r="AX162" s="213">
        <v>0</v>
      </c>
      <c r="AY162" s="213">
        <v>0</v>
      </c>
      <c r="AZ162" s="213">
        <v>0</v>
      </c>
      <c r="BA162" s="213">
        <v>0</v>
      </c>
      <c r="BB162" s="213">
        <v>0</v>
      </c>
      <c r="BC162" s="213">
        <v>0</v>
      </c>
    </row>
    <row r="163" spans="1:55" x14ac:dyDescent="0.25">
      <c r="A163" s="209" t="s">
        <v>374</v>
      </c>
      <c r="B163" s="210" t="s">
        <v>437</v>
      </c>
      <c r="C163" t="s">
        <v>11</v>
      </c>
      <c r="D163" t="s">
        <v>436</v>
      </c>
      <c r="E163" t="s">
        <v>494</v>
      </c>
      <c r="F163" s="211">
        <v>6061</v>
      </c>
      <c r="G163" s="210" t="s">
        <v>439</v>
      </c>
      <c r="H163" s="213">
        <v>8175.76</v>
      </c>
      <c r="I163" s="213">
        <v>1250</v>
      </c>
      <c r="J163" s="213">
        <v>1337.5</v>
      </c>
      <c r="K163" s="213">
        <v>1275</v>
      </c>
      <c r="L163" s="213">
        <v>0</v>
      </c>
      <c r="M163" s="213">
        <v>34</v>
      </c>
      <c r="N163" s="213">
        <v>0</v>
      </c>
      <c r="O163" s="213">
        <v>120</v>
      </c>
      <c r="P163" s="213">
        <v>4525</v>
      </c>
      <c r="Q163" s="213">
        <v>1175</v>
      </c>
      <c r="R163" s="213">
        <v>0</v>
      </c>
      <c r="S163" s="213">
        <v>668.85</v>
      </c>
      <c r="T163" s="213">
        <v>0</v>
      </c>
      <c r="U163" s="213">
        <v>1500</v>
      </c>
      <c r="V163" s="213">
        <v>135</v>
      </c>
      <c r="W163" s="213">
        <v>2286.31</v>
      </c>
      <c r="X163" s="213">
        <v>0</v>
      </c>
      <c r="Y163" s="213">
        <v>291.23</v>
      </c>
      <c r="Z163" s="213">
        <v>882.53</v>
      </c>
      <c r="AA163" s="213">
        <v>209.98</v>
      </c>
      <c r="AB163" s="213">
        <v>0</v>
      </c>
      <c r="AC163" s="213">
        <v>1</v>
      </c>
      <c r="AD163" s="213">
        <v>557.47</v>
      </c>
      <c r="AE163" s="213">
        <v>1424.2</v>
      </c>
      <c r="AF163" s="213">
        <v>43509.09</v>
      </c>
      <c r="AG163" s="213">
        <v>12394.71</v>
      </c>
      <c r="AH163" s="213">
        <v>22934.32</v>
      </c>
      <c r="AI163" s="213">
        <v>8388.84</v>
      </c>
      <c r="AJ163" s="213">
        <v>6049</v>
      </c>
      <c r="AK163" s="213">
        <v>5487.73</v>
      </c>
      <c r="AL163" s="213">
        <v>5049</v>
      </c>
      <c r="AM163" s="213">
        <v>1265.75</v>
      </c>
      <c r="AN163" s="213">
        <v>20749</v>
      </c>
      <c r="AO163" s="213">
        <v>20585.52</v>
      </c>
      <c r="AP163" s="213">
        <v>13237.3</v>
      </c>
      <c r="AQ163" s="213">
        <v>53549</v>
      </c>
      <c r="AR163" s="213">
        <v>11250</v>
      </c>
      <c r="AS163" s="213">
        <v>-2538.6899999999987</v>
      </c>
      <c r="AT163" s="213">
        <v>75049</v>
      </c>
      <c r="AU163" s="213">
        <v>49</v>
      </c>
      <c r="AV163" s="213">
        <v>4973.4699936029247</v>
      </c>
      <c r="AW163" s="213">
        <v>4973.4699936029247</v>
      </c>
      <c r="AX163" s="213">
        <v>4973.4699936029247</v>
      </c>
      <c r="AY163" s="213">
        <v>4973.4699936029247</v>
      </c>
      <c r="AZ163" s="213">
        <v>4973.4699936029247</v>
      </c>
      <c r="BA163" s="213">
        <v>4973.4699936029247</v>
      </c>
      <c r="BB163" s="213">
        <v>4973.4699936029247</v>
      </c>
      <c r="BC163" s="213">
        <v>4973.4699936029247</v>
      </c>
    </row>
    <row r="164" spans="1:55" x14ac:dyDescent="0.25">
      <c r="A164" s="209" t="s">
        <v>374</v>
      </c>
      <c r="B164" s="210" t="s">
        <v>437</v>
      </c>
      <c r="C164" t="s">
        <v>11</v>
      </c>
      <c r="D164" t="s">
        <v>436</v>
      </c>
      <c r="E164" t="s">
        <v>494</v>
      </c>
      <c r="F164" s="211">
        <v>6062</v>
      </c>
      <c r="G164" s="210" t="s">
        <v>440</v>
      </c>
      <c r="H164" s="213">
        <v>0</v>
      </c>
      <c r="I164" s="213">
        <v>0</v>
      </c>
      <c r="J164" s="213">
        <v>0</v>
      </c>
      <c r="K164" s="213">
        <v>0</v>
      </c>
      <c r="L164" s="213">
        <v>0</v>
      </c>
      <c r="M164" s="213">
        <v>0</v>
      </c>
      <c r="N164" s="213">
        <v>10.71</v>
      </c>
      <c r="O164" s="213">
        <v>0</v>
      </c>
      <c r="P164" s="213">
        <v>0</v>
      </c>
      <c r="Q164" s="213">
        <v>0</v>
      </c>
      <c r="R164" s="213">
        <v>0</v>
      </c>
      <c r="S164" s="213">
        <v>0</v>
      </c>
      <c r="T164" s="213">
        <v>0</v>
      </c>
      <c r="U164" s="213">
        <v>36</v>
      </c>
      <c r="V164" s="213">
        <v>0</v>
      </c>
      <c r="W164" s="213">
        <v>0</v>
      </c>
      <c r="X164" s="213">
        <v>0</v>
      </c>
      <c r="Y164" s="213">
        <v>0</v>
      </c>
      <c r="Z164" s="213">
        <v>0</v>
      </c>
      <c r="AA164" s="213">
        <v>0</v>
      </c>
      <c r="AB164" s="213">
        <v>1</v>
      </c>
      <c r="AC164" s="213">
        <v>12.95</v>
      </c>
      <c r="AD164" s="213">
        <v>0</v>
      </c>
      <c r="AE164" s="213">
        <v>0</v>
      </c>
      <c r="AF164" s="213">
        <v>0</v>
      </c>
      <c r="AG164" s="213">
        <v>0</v>
      </c>
      <c r="AH164" s="213">
        <v>0</v>
      </c>
      <c r="AI164" s="213">
        <v>0</v>
      </c>
      <c r="AJ164" s="213">
        <v>0</v>
      </c>
      <c r="AK164" s="213">
        <v>0</v>
      </c>
      <c r="AL164" s="213">
        <v>0</v>
      </c>
      <c r="AM164" s="213">
        <v>0</v>
      </c>
      <c r="AN164" s="213">
        <v>0</v>
      </c>
      <c r="AO164" s="213">
        <v>0</v>
      </c>
      <c r="AP164" s="213">
        <v>0</v>
      </c>
      <c r="AQ164" s="213">
        <v>0</v>
      </c>
      <c r="AR164" s="213">
        <v>0</v>
      </c>
      <c r="AS164" s="213">
        <v>0</v>
      </c>
      <c r="AT164" s="213">
        <v>0</v>
      </c>
      <c r="AU164" s="213">
        <v>0</v>
      </c>
      <c r="AV164" s="213">
        <v>0</v>
      </c>
      <c r="AW164" s="213">
        <v>0</v>
      </c>
      <c r="AX164" s="213">
        <v>0</v>
      </c>
      <c r="AY164" s="213">
        <v>0</v>
      </c>
      <c r="AZ164" s="213">
        <v>0</v>
      </c>
      <c r="BA164" s="213">
        <v>0</v>
      </c>
      <c r="BB164" s="213">
        <v>0</v>
      </c>
      <c r="BC164" s="213">
        <v>0</v>
      </c>
    </row>
    <row r="165" spans="1:55" x14ac:dyDescent="0.25">
      <c r="A165" s="209" t="s">
        <v>374</v>
      </c>
      <c r="B165" s="210" t="s">
        <v>437</v>
      </c>
      <c r="C165" t="s">
        <v>11</v>
      </c>
      <c r="D165" t="s">
        <v>436</v>
      </c>
      <c r="E165" t="s">
        <v>494</v>
      </c>
      <c r="F165" s="211">
        <v>6063</v>
      </c>
      <c r="G165" s="210" t="s">
        <v>441</v>
      </c>
      <c r="H165" s="213">
        <v>29510</v>
      </c>
      <c r="I165" s="213">
        <v>26577.5</v>
      </c>
      <c r="J165" s="213">
        <v>5021.5</v>
      </c>
      <c r="K165" s="213">
        <v>9306</v>
      </c>
      <c r="L165" s="213">
        <v>2175</v>
      </c>
      <c r="M165" s="213">
        <v>300</v>
      </c>
      <c r="N165" s="213">
        <v>205</v>
      </c>
      <c r="O165" s="213">
        <v>3085</v>
      </c>
      <c r="P165" s="213">
        <v>415</v>
      </c>
      <c r="Q165" s="213">
        <v>225</v>
      </c>
      <c r="R165" s="213">
        <v>0</v>
      </c>
      <c r="S165" s="213">
        <v>340</v>
      </c>
      <c r="T165" s="213">
        <v>25255</v>
      </c>
      <c r="U165" s="213">
        <v>2205</v>
      </c>
      <c r="V165" s="213">
        <v>600</v>
      </c>
      <c r="W165" s="213">
        <v>0</v>
      </c>
      <c r="X165" s="213">
        <v>0</v>
      </c>
      <c r="Y165" s="213">
        <v>0</v>
      </c>
      <c r="Z165" s="213">
        <v>0</v>
      </c>
      <c r="AA165" s="213">
        <v>0</v>
      </c>
      <c r="AB165" s="213">
        <v>2275</v>
      </c>
      <c r="AC165" s="213">
        <v>0</v>
      </c>
      <c r="AD165" s="213">
        <v>2780.5</v>
      </c>
      <c r="AE165" s="213">
        <v>7147.15</v>
      </c>
      <c r="AF165" s="213">
        <v>-441.59</v>
      </c>
      <c r="AG165" s="213">
        <v>21604.54</v>
      </c>
      <c r="AH165" s="213">
        <v>8674.5499999999993</v>
      </c>
      <c r="AI165" s="213">
        <v>-10400</v>
      </c>
      <c r="AJ165" s="213">
        <v>122.5</v>
      </c>
      <c r="AK165" s="213">
        <v>264</v>
      </c>
      <c r="AL165" s="213">
        <v>0</v>
      </c>
      <c r="AM165" s="213">
        <v>0</v>
      </c>
      <c r="AN165" s="213">
        <v>0</v>
      </c>
      <c r="AO165" s="213">
        <v>0</v>
      </c>
      <c r="AP165" s="213">
        <v>0</v>
      </c>
      <c r="AQ165" s="213">
        <v>0</v>
      </c>
      <c r="AR165" s="213">
        <v>0</v>
      </c>
      <c r="AS165" s="213">
        <v>435.23</v>
      </c>
      <c r="AT165" s="213">
        <v>48.66</v>
      </c>
      <c r="AU165" s="213">
        <v>0</v>
      </c>
      <c r="AV165" s="213">
        <v>8289.1166560048732</v>
      </c>
      <c r="AW165" s="213">
        <v>8289.1166560048732</v>
      </c>
      <c r="AX165" s="213">
        <v>8289.1166560048732</v>
      </c>
      <c r="AY165" s="213">
        <v>8289.1166560048732</v>
      </c>
      <c r="AZ165" s="213">
        <v>8289.1166560048732</v>
      </c>
      <c r="BA165" s="213">
        <v>8289.1166560048732</v>
      </c>
      <c r="BB165" s="213">
        <v>8289.1166560048732</v>
      </c>
      <c r="BC165" s="213">
        <v>8289.1166560048732</v>
      </c>
    </row>
    <row r="166" spans="1:55" x14ac:dyDescent="0.25">
      <c r="A166" s="209" t="s">
        <v>374</v>
      </c>
      <c r="B166" s="210" t="s">
        <v>442</v>
      </c>
      <c r="C166" t="s">
        <v>11</v>
      </c>
      <c r="D166" t="s">
        <v>436</v>
      </c>
      <c r="E166" t="s">
        <v>494</v>
      </c>
      <c r="F166" s="211">
        <v>6450</v>
      </c>
      <c r="G166" t="s">
        <v>443</v>
      </c>
      <c r="H166" s="213">
        <v>96970.81</v>
      </c>
      <c r="I166" s="213">
        <v>202816.42</v>
      </c>
      <c r="J166" s="213">
        <v>87201.27</v>
      </c>
      <c r="K166" s="213">
        <v>22942.639999999999</v>
      </c>
      <c r="L166" s="213">
        <v>-2304.0700000000002</v>
      </c>
      <c r="M166" s="213">
        <v>27517.84</v>
      </c>
      <c r="N166" s="213">
        <v>1500</v>
      </c>
      <c r="O166" s="213">
        <v>35571.760000000002</v>
      </c>
      <c r="P166" s="213">
        <v>110388.85</v>
      </c>
      <c r="Q166" s="213">
        <v>45600</v>
      </c>
      <c r="R166" s="213">
        <v>18190.38</v>
      </c>
      <c r="S166" s="213">
        <v>8710.6299999999992</v>
      </c>
      <c r="T166" s="213">
        <v>386285</v>
      </c>
      <c r="U166" s="213">
        <v>153111.09</v>
      </c>
      <c r="V166" s="213">
        <v>146948.59</v>
      </c>
      <c r="W166" s="213">
        <v>621526.68000000005</v>
      </c>
      <c r="X166" s="213">
        <v>-25848.45</v>
      </c>
      <c r="Y166" s="213">
        <v>-18530.34</v>
      </c>
      <c r="Z166" s="213">
        <v>24070.71</v>
      </c>
      <c r="AA166" s="213">
        <v>335800.22</v>
      </c>
      <c r="AB166" s="213">
        <v>53037.64</v>
      </c>
      <c r="AC166" s="213">
        <v>34810.74</v>
      </c>
      <c r="AD166" s="213">
        <v>76038.960000000006</v>
      </c>
      <c r="AE166" s="213">
        <v>160937.66999999998</v>
      </c>
      <c r="AF166" s="213">
        <v>175740.83</v>
      </c>
      <c r="AG166" s="213">
        <v>106341.64</v>
      </c>
      <c r="AH166" s="213">
        <v>84236.09</v>
      </c>
      <c r="AI166" s="213">
        <v>29343.27</v>
      </c>
      <c r="AJ166" s="213">
        <v>9466.4699999999993</v>
      </c>
      <c r="AK166" s="213">
        <v>-19869.97</v>
      </c>
      <c r="AL166" s="213">
        <v>0</v>
      </c>
      <c r="AM166" s="213">
        <v>144914.14000000001</v>
      </c>
      <c r="AN166" s="213">
        <v>7852.93</v>
      </c>
      <c r="AO166" s="213">
        <v>18675.8</v>
      </c>
      <c r="AP166" s="213">
        <v>22814.800000000003</v>
      </c>
      <c r="AQ166" s="213">
        <v>8184.6</v>
      </c>
      <c r="AR166" s="213">
        <v>2848.2</v>
      </c>
      <c r="AS166" s="213">
        <v>0</v>
      </c>
      <c r="AT166" s="213">
        <v>-23750</v>
      </c>
      <c r="AU166" s="213">
        <v>23750</v>
      </c>
      <c r="AV166" s="213">
        <v>323740.0618551299</v>
      </c>
      <c r="AW166" s="213">
        <v>344617.69091878866</v>
      </c>
      <c r="AX166" s="213">
        <v>361195.92423079844</v>
      </c>
      <c r="AY166" s="213">
        <v>122323.86333266727</v>
      </c>
      <c r="AZ166" s="213">
        <v>518069.79100030469</v>
      </c>
      <c r="BA166" s="213">
        <v>244528.94135214377</v>
      </c>
      <c r="BB166" s="213">
        <v>203393.03291941265</v>
      </c>
      <c r="BC166" s="213">
        <v>755703.1525092629</v>
      </c>
    </row>
    <row r="167" spans="1:55" x14ac:dyDescent="0.25">
      <c r="A167" s="209" t="s">
        <v>374</v>
      </c>
      <c r="B167" s="210" t="s">
        <v>442</v>
      </c>
      <c r="C167" t="s">
        <v>11</v>
      </c>
      <c r="D167" t="s">
        <v>436</v>
      </c>
      <c r="E167" t="s">
        <v>494</v>
      </c>
      <c r="F167" s="211">
        <v>6451</v>
      </c>
      <c r="G167" s="210" t="s">
        <v>444</v>
      </c>
      <c r="H167" s="213">
        <v>8679.7999999999993</v>
      </c>
      <c r="I167" s="213">
        <v>1055.9000000000001</v>
      </c>
      <c r="J167" s="213">
        <v>2849.02</v>
      </c>
      <c r="K167" s="213">
        <v>838.31</v>
      </c>
      <c r="L167" s="213">
        <v>5397.72</v>
      </c>
      <c r="M167" s="213">
        <v>18659.45</v>
      </c>
      <c r="N167" s="213">
        <v>671.14</v>
      </c>
      <c r="O167" s="213">
        <v>3135.16</v>
      </c>
      <c r="P167" s="213">
        <v>23199.06</v>
      </c>
      <c r="Q167" s="213">
        <v>3026.09</v>
      </c>
      <c r="R167" s="213">
        <v>426.73</v>
      </c>
      <c r="S167" s="213">
        <v>-65.02</v>
      </c>
      <c r="T167" s="213">
        <v>1468.55</v>
      </c>
      <c r="U167" s="213">
        <v>274.25</v>
      </c>
      <c r="V167" s="213">
        <v>775.86</v>
      </c>
      <c r="W167" s="213">
        <v>3432.8</v>
      </c>
      <c r="X167" s="213">
        <v>7478.54</v>
      </c>
      <c r="Y167" s="213">
        <v>196.51</v>
      </c>
      <c r="Z167" s="213">
        <v>267.95</v>
      </c>
      <c r="AA167" s="213">
        <v>68104.23</v>
      </c>
      <c r="AB167" s="213">
        <v>3603.56</v>
      </c>
      <c r="AC167" s="213">
        <v>5735.36</v>
      </c>
      <c r="AD167" s="213">
        <v>2280.7399999999998</v>
      </c>
      <c r="AE167" s="213">
        <v>1370.78</v>
      </c>
      <c r="AF167" s="213">
        <v>0</v>
      </c>
      <c r="AG167" s="213">
        <v>0</v>
      </c>
      <c r="AH167" s="213">
        <v>0</v>
      </c>
      <c r="AI167" s="213">
        <v>0</v>
      </c>
      <c r="AJ167" s="213">
        <v>0</v>
      </c>
      <c r="AK167" s="213">
        <v>0</v>
      </c>
      <c r="AL167" s="213">
        <v>0</v>
      </c>
      <c r="AM167" s="213">
        <v>0</v>
      </c>
      <c r="AN167" s="213">
        <v>0</v>
      </c>
      <c r="AO167" s="213">
        <v>0</v>
      </c>
      <c r="AP167" s="213">
        <v>0</v>
      </c>
      <c r="AQ167" s="213">
        <v>0</v>
      </c>
      <c r="AR167" s="213">
        <v>0</v>
      </c>
      <c r="AS167" s="213">
        <v>0</v>
      </c>
      <c r="AT167" s="213">
        <v>0</v>
      </c>
      <c r="AU167" s="213">
        <v>0</v>
      </c>
      <c r="AV167" s="213">
        <v>8289.1166560048732</v>
      </c>
      <c r="AW167" s="213">
        <v>8289.1166560048732</v>
      </c>
      <c r="AX167" s="213">
        <v>8289.1166560048732</v>
      </c>
      <c r="AY167" s="213">
        <v>8289.1166560048732</v>
      </c>
      <c r="AZ167" s="213">
        <v>8289.1166560048732</v>
      </c>
      <c r="BA167" s="213">
        <v>8289.1166560048732</v>
      </c>
      <c r="BB167" s="213">
        <v>8289.1166560048732</v>
      </c>
      <c r="BC167" s="213">
        <v>8289.1166560048732</v>
      </c>
    </row>
    <row r="168" spans="1:55" x14ac:dyDescent="0.25">
      <c r="A168" s="209" t="s">
        <v>374</v>
      </c>
      <c r="B168" s="210" t="s">
        <v>442</v>
      </c>
      <c r="C168" t="s">
        <v>11</v>
      </c>
      <c r="D168" t="s">
        <v>436</v>
      </c>
      <c r="E168" t="s">
        <v>494</v>
      </c>
      <c r="F168" s="211">
        <v>6452</v>
      </c>
      <c r="G168" s="210" t="s">
        <v>445</v>
      </c>
      <c r="H168" s="213">
        <v>9169.51</v>
      </c>
      <c r="I168" s="213">
        <v>18500.62</v>
      </c>
      <c r="J168" s="213">
        <v>0</v>
      </c>
      <c r="K168" s="213">
        <v>9407.17</v>
      </c>
      <c r="L168" s="213">
        <v>1739.06</v>
      </c>
      <c r="M168" s="213">
        <v>1456.3</v>
      </c>
      <c r="N168" s="213">
        <v>9773.5399999999991</v>
      </c>
      <c r="O168" s="213">
        <v>30380.42</v>
      </c>
      <c r="P168" s="213">
        <v>7745.23</v>
      </c>
      <c r="Q168" s="213">
        <v>9112.1</v>
      </c>
      <c r="R168" s="213">
        <v>1075.53</v>
      </c>
      <c r="S168" s="213">
        <v>2575.39</v>
      </c>
      <c r="T168" s="213">
        <v>2649.3999999999996</v>
      </c>
      <c r="U168" s="213">
        <v>3648.92</v>
      </c>
      <c r="V168" s="213">
        <v>13338.23</v>
      </c>
      <c r="W168" s="213">
        <v>10557.11</v>
      </c>
      <c r="X168" s="213">
        <v>14640.17</v>
      </c>
      <c r="Y168" s="213">
        <v>1499.4</v>
      </c>
      <c r="Z168" s="213">
        <v>495.94</v>
      </c>
      <c r="AA168" s="213">
        <v>31801.05</v>
      </c>
      <c r="AB168" s="213">
        <v>6929.47</v>
      </c>
      <c r="AC168" s="213">
        <v>20966.25</v>
      </c>
      <c r="AD168" s="213">
        <v>5323.76</v>
      </c>
      <c r="AE168" s="213">
        <v>11408.94</v>
      </c>
      <c r="AF168" s="213">
        <v>14228.96</v>
      </c>
      <c r="AG168" s="213">
        <v>1801.94</v>
      </c>
      <c r="AH168" s="213">
        <v>2658.5400000000004</v>
      </c>
      <c r="AI168" s="213">
        <v>5409</v>
      </c>
      <c r="AJ168" s="213">
        <v>0</v>
      </c>
      <c r="AK168" s="213">
        <v>148.35</v>
      </c>
      <c r="AL168" s="213">
        <v>0</v>
      </c>
      <c r="AM168" s="213">
        <v>54999.9</v>
      </c>
      <c r="AN168" s="213">
        <v>3030</v>
      </c>
      <c r="AO168" s="213">
        <v>31893.31</v>
      </c>
      <c r="AP168" s="213">
        <v>386</v>
      </c>
      <c r="AQ168" s="213">
        <v>701.28</v>
      </c>
      <c r="AR168" s="213">
        <v>466.54</v>
      </c>
      <c r="AS168" s="213">
        <v>3156.29</v>
      </c>
      <c r="AT168" s="213">
        <v>0</v>
      </c>
      <c r="AU168" s="213">
        <v>0</v>
      </c>
      <c r="AV168" s="213">
        <v>19893.879974411699</v>
      </c>
      <c r="AW168" s="213">
        <v>19893.879974411699</v>
      </c>
      <c r="AX168" s="213">
        <v>19893.879974411699</v>
      </c>
      <c r="AY168" s="213">
        <v>19893.879974411699</v>
      </c>
      <c r="AZ168" s="213">
        <v>19893.879974411699</v>
      </c>
      <c r="BA168" s="213">
        <v>19893.879974411699</v>
      </c>
      <c r="BB168" s="213">
        <v>19893.879974411699</v>
      </c>
      <c r="BC168" s="213">
        <v>19893.879974411699</v>
      </c>
    </row>
    <row r="169" spans="1:55" x14ac:dyDescent="0.25">
      <c r="A169" s="209" t="s">
        <v>374</v>
      </c>
      <c r="B169" s="210" t="s">
        <v>442</v>
      </c>
      <c r="C169" t="s">
        <v>11</v>
      </c>
      <c r="D169" t="s">
        <v>436</v>
      </c>
      <c r="E169" t="s">
        <v>494</v>
      </c>
      <c r="F169" s="211">
        <v>6453</v>
      </c>
      <c r="G169" s="210" t="s">
        <v>446</v>
      </c>
      <c r="H169" s="213">
        <v>3820.75</v>
      </c>
      <c r="I169" s="213">
        <v>7450</v>
      </c>
      <c r="J169" s="213">
        <v>2178</v>
      </c>
      <c r="K169" s="213">
        <v>11154.93</v>
      </c>
      <c r="L169" s="213">
        <v>11088.68</v>
      </c>
      <c r="M169" s="213">
        <v>8025.17</v>
      </c>
      <c r="N169" s="213">
        <v>11761.31</v>
      </c>
      <c r="O169" s="213">
        <v>42208.32</v>
      </c>
      <c r="P169" s="213">
        <v>24413.08</v>
      </c>
      <c r="Q169" s="213">
        <v>17392.810000000001</v>
      </c>
      <c r="R169" s="213">
        <v>5193.33</v>
      </c>
      <c r="S169" s="213">
        <v>2704.12</v>
      </c>
      <c r="T169" s="213">
        <v>25662.67</v>
      </c>
      <c r="U169" s="213">
        <v>6769.96</v>
      </c>
      <c r="V169" s="213">
        <v>13675.55</v>
      </c>
      <c r="W169" s="213">
        <v>29370.3</v>
      </c>
      <c r="X169" s="213">
        <v>47974.55</v>
      </c>
      <c r="Y169" s="213">
        <v>7367.61</v>
      </c>
      <c r="Z169" s="213">
        <v>4884.45</v>
      </c>
      <c r="AA169" s="213">
        <v>48953.67</v>
      </c>
      <c r="AB169" s="213">
        <v>15714.53</v>
      </c>
      <c r="AC169" s="213">
        <v>9347.52</v>
      </c>
      <c r="AD169" s="213">
        <v>35466.03</v>
      </c>
      <c r="AE169" s="213">
        <v>13221.05</v>
      </c>
      <c r="AF169" s="213">
        <v>6558.4600000000009</v>
      </c>
      <c r="AG169" s="213">
        <v>15031.46</v>
      </c>
      <c r="AH169" s="213">
        <v>11167</v>
      </c>
      <c r="AI169" s="213">
        <v>7166.33</v>
      </c>
      <c r="AJ169" s="213">
        <v>-568.5</v>
      </c>
      <c r="AK169" s="213">
        <v>30710.67</v>
      </c>
      <c r="AL169" s="213">
        <v>9023</v>
      </c>
      <c r="AM169" s="213">
        <v>26216.51</v>
      </c>
      <c r="AN169" s="213">
        <v>25631.1</v>
      </c>
      <c r="AO169" s="213">
        <v>8975.98</v>
      </c>
      <c r="AP169" s="213">
        <v>49215.93</v>
      </c>
      <c r="AQ169" s="213">
        <v>139083.57</v>
      </c>
      <c r="AR169" s="213">
        <v>20738.68</v>
      </c>
      <c r="AS169" s="213">
        <v>3080.66</v>
      </c>
      <c r="AT169" s="213">
        <v>51631.11</v>
      </c>
      <c r="AU169" s="213">
        <v>38247.9</v>
      </c>
      <c r="AV169" s="213">
        <v>130000</v>
      </c>
      <c r="AW169" s="213">
        <v>130000</v>
      </c>
      <c r="AX169" s="213">
        <v>230000</v>
      </c>
      <c r="AY169" s="213">
        <v>430000</v>
      </c>
      <c r="AZ169" s="213">
        <v>730000</v>
      </c>
      <c r="BA169" s="213">
        <v>175000</v>
      </c>
      <c r="BB169" s="213">
        <v>175000</v>
      </c>
      <c r="BC169" s="213">
        <v>177226.82</v>
      </c>
    </row>
    <row r="170" spans="1:55" x14ac:dyDescent="0.25">
      <c r="A170" s="209" t="s">
        <v>374</v>
      </c>
      <c r="B170" s="210" t="s">
        <v>447</v>
      </c>
      <c r="C170" t="s">
        <v>11</v>
      </c>
      <c r="D170" t="s">
        <v>436</v>
      </c>
      <c r="E170" t="s">
        <v>494</v>
      </c>
      <c r="F170" s="211">
        <v>6080</v>
      </c>
      <c r="G170" s="210" t="s">
        <v>448</v>
      </c>
      <c r="H170" s="213">
        <v>0</v>
      </c>
      <c r="I170" s="213">
        <v>734.88</v>
      </c>
      <c r="J170" s="213">
        <v>0</v>
      </c>
      <c r="K170" s="213">
        <v>0</v>
      </c>
      <c r="L170" s="213">
        <v>0</v>
      </c>
      <c r="M170" s="213">
        <v>0</v>
      </c>
      <c r="N170" s="213">
        <v>0</v>
      </c>
      <c r="O170" s="213">
        <v>0</v>
      </c>
      <c r="P170" s="213">
        <v>270.66000000000003</v>
      </c>
      <c r="Q170" s="213">
        <v>20432.53</v>
      </c>
      <c r="R170" s="213">
        <v>260.81</v>
      </c>
      <c r="S170" s="213">
        <v>1102.76</v>
      </c>
      <c r="T170" s="213">
        <v>4923.82</v>
      </c>
      <c r="U170" s="213">
        <v>15794.26</v>
      </c>
      <c r="V170" s="213">
        <v>3564.3</v>
      </c>
      <c r="W170" s="213">
        <v>20.61</v>
      </c>
      <c r="X170" s="213">
        <v>607.29999999999995</v>
      </c>
      <c r="Y170" s="213">
        <v>0</v>
      </c>
      <c r="Z170" s="213">
        <v>0</v>
      </c>
      <c r="AA170" s="213">
        <v>0</v>
      </c>
      <c r="AB170" s="213">
        <v>363.41</v>
      </c>
      <c r="AC170" s="213">
        <v>5749.9</v>
      </c>
      <c r="AD170" s="213">
        <v>11968</v>
      </c>
      <c r="AE170" s="213">
        <v>2570.7199999999998</v>
      </c>
      <c r="AF170" s="213">
        <v>13462.12</v>
      </c>
      <c r="AG170" s="213">
        <v>3153.27</v>
      </c>
      <c r="AH170" s="213">
        <v>2017.35</v>
      </c>
      <c r="AI170" s="213">
        <v>2631.11</v>
      </c>
      <c r="AJ170" s="213">
        <v>3954.6200000000003</v>
      </c>
      <c r="AK170" s="213">
        <v>4640.68</v>
      </c>
      <c r="AL170" s="213">
        <v>3185.97</v>
      </c>
      <c r="AM170" s="213">
        <v>4071.26</v>
      </c>
      <c r="AN170" s="213">
        <v>4958.12</v>
      </c>
      <c r="AO170" s="213">
        <v>0</v>
      </c>
      <c r="AP170" s="213">
        <v>167.58</v>
      </c>
      <c r="AQ170" s="213">
        <v>21250.9</v>
      </c>
      <c r="AR170" s="213">
        <v>18735.990000000002</v>
      </c>
      <c r="AS170" s="213">
        <v>12074.35</v>
      </c>
      <c r="AT170" s="213">
        <v>5500.2999999999993</v>
      </c>
      <c r="AU170" s="213">
        <v>13778.65</v>
      </c>
      <c r="AV170" s="213">
        <v>0</v>
      </c>
      <c r="AW170" s="213">
        <v>0</v>
      </c>
      <c r="AX170" s="213">
        <v>0</v>
      </c>
      <c r="AY170" s="213">
        <v>0</v>
      </c>
      <c r="AZ170" s="213">
        <v>0</v>
      </c>
      <c r="BA170" s="213">
        <v>0</v>
      </c>
      <c r="BB170" s="213">
        <v>0</v>
      </c>
      <c r="BC170" s="213">
        <v>0</v>
      </c>
    </row>
    <row r="171" spans="1:55" x14ac:dyDescent="0.25">
      <c r="A171" s="209" t="s">
        <v>374</v>
      </c>
      <c r="B171" s="210" t="s">
        <v>447</v>
      </c>
      <c r="C171" t="s">
        <v>11</v>
      </c>
      <c r="D171" t="s">
        <v>436</v>
      </c>
      <c r="E171" t="s">
        <v>494</v>
      </c>
      <c r="F171" s="211">
        <v>6081</v>
      </c>
      <c r="G171" s="210" t="s">
        <v>449</v>
      </c>
      <c r="H171" s="213">
        <v>118.71</v>
      </c>
      <c r="I171" s="213">
        <v>135.71</v>
      </c>
      <c r="J171" s="213">
        <v>2000</v>
      </c>
      <c r="K171" s="213">
        <v>11977.66</v>
      </c>
      <c r="L171" s="213">
        <v>15450</v>
      </c>
      <c r="M171" s="213">
        <v>20999.67</v>
      </c>
      <c r="N171" s="213">
        <v>18350</v>
      </c>
      <c r="O171" s="213">
        <v>194320</v>
      </c>
      <c r="P171" s="213">
        <v>164976.25</v>
      </c>
      <c r="Q171" s="213">
        <v>24345</v>
      </c>
      <c r="R171" s="213">
        <v>39200</v>
      </c>
      <c r="S171" s="213">
        <v>17746.29</v>
      </c>
      <c r="T171" s="213">
        <v>42642.42</v>
      </c>
      <c r="U171" s="213">
        <v>41445.97</v>
      </c>
      <c r="V171" s="213">
        <v>113264.41</v>
      </c>
      <c r="W171" s="213">
        <v>101384.44</v>
      </c>
      <c r="X171" s="213">
        <v>34551.440000000002</v>
      </c>
      <c r="Y171" s="213">
        <v>27875.54</v>
      </c>
      <c r="Z171" s="213">
        <v>45539.29</v>
      </c>
      <c r="AA171" s="213">
        <v>22825</v>
      </c>
      <c r="AB171" s="213">
        <v>131080.82999999999</v>
      </c>
      <c r="AC171" s="213">
        <v>33836.080000000002</v>
      </c>
      <c r="AD171" s="213">
        <v>22500</v>
      </c>
      <c r="AE171" s="213">
        <v>5755</v>
      </c>
      <c r="AF171" s="213">
        <v>0</v>
      </c>
      <c r="AG171" s="213">
        <v>11316.83</v>
      </c>
      <c r="AH171" s="213">
        <v>11323.21</v>
      </c>
      <c r="AI171" s="213">
        <v>-8625</v>
      </c>
      <c r="AJ171" s="213">
        <v>0</v>
      </c>
      <c r="AK171" s="213">
        <v>0</v>
      </c>
      <c r="AL171" s="213">
        <v>0</v>
      </c>
      <c r="AM171" s="213">
        <v>1946.25</v>
      </c>
      <c r="AN171" s="213">
        <v>0</v>
      </c>
      <c r="AO171" s="213">
        <v>0</v>
      </c>
      <c r="AP171" s="213">
        <v>0</v>
      </c>
      <c r="AQ171" s="213">
        <v>409.23</v>
      </c>
      <c r="AR171" s="213">
        <v>0</v>
      </c>
      <c r="AS171" s="213">
        <v>0</v>
      </c>
      <c r="AT171" s="213">
        <v>0</v>
      </c>
      <c r="AU171" s="213">
        <v>0</v>
      </c>
      <c r="AV171" s="213">
        <v>82563.250196966372</v>
      </c>
      <c r="AW171" s="213">
        <v>92510.190184172214</v>
      </c>
      <c r="AX171" s="213">
        <v>92510.190184172214</v>
      </c>
      <c r="AY171" s="213">
        <v>92510.190184172214</v>
      </c>
      <c r="AZ171" s="213">
        <v>92510.190184172214</v>
      </c>
      <c r="BA171" s="213">
        <v>92510.190184172214</v>
      </c>
      <c r="BB171" s="213">
        <v>92510.190184172214</v>
      </c>
      <c r="BC171" s="213">
        <v>92510.190184172214</v>
      </c>
    </row>
    <row r="172" spans="1:55" x14ac:dyDescent="0.25">
      <c r="A172" s="209" t="s">
        <v>374</v>
      </c>
      <c r="B172" s="210" t="s">
        <v>447</v>
      </c>
      <c r="C172" t="s">
        <v>11</v>
      </c>
      <c r="D172" t="s">
        <v>436</v>
      </c>
      <c r="E172" t="s">
        <v>494</v>
      </c>
      <c r="F172" s="211">
        <v>6082</v>
      </c>
      <c r="G172" s="210" t="s">
        <v>450</v>
      </c>
      <c r="H172" s="213">
        <v>0</v>
      </c>
      <c r="I172" s="213">
        <v>0</v>
      </c>
      <c r="J172" s="213">
        <v>0</v>
      </c>
      <c r="K172" s="213">
        <v>3250</v>
      </c>
      <c r="L172" s="213">
        <v>12460.75</v>
      </c>
      <c r="M172" s="213">
        <v>3250</v>
      </c>
      <c r="N172" s="213">
        <v>5091.75</v>
      </c>
      <c r="O172" s="213">
        <v>6520.5</v>
      </c>
      <c r="P172" s="213">
        <v>4875</v>
      </c>
      <c r="Q172" s="213">
        <v>5870.25</v>
      </c>
      <c r="R172" s="213">
        <v>1766.62</v>
      </c>
      <c r="S172" s="213">
        <v>1333.12</v>
      </c>
      <c r="T172" s="213">
        <v>4583.12</v>
      </c>
      <c r="U172" s="213">
        <v>16588.740000000002</v>
      </c>
      <c r="V172" s="213">
        <v>9112.68</v>
      </c>
      <c r="W172" s="213">
        <v>9288.92</v>
      </c>
      <c r="X172" s="213">
        <v>25605.64</v>
      </c>
      <c r="Y172" s="213">
        <v>14754.27</v>
      </c>
      <c r="Z172" s="213">
        <v>12870.12</v>
      </c>
      <c r="AA172" s="213">
        <v>12387.66</v>
      </c>
      <c r="AB172" s="213">
        <v>6570.78</v>
      </c>
      <c r="AC172" s="213">
        <v>5900.55</v>
      </c>
      <c r="AD172" s="213">
        <v>5900.55</v>
      </c>
      <c r="AE172" s="213">
        <v>17283.400000000001</v>
      </c>
      <c r="AF172" s="213">
        <v>13400</v>
      </c>
      <c r="AG172" s="213">
        <v>-8205</v>
      </c>
      <c r="AH172" s="213">
        <v>20570.47</v>
      </c>
      <c r="AI172" s="213">
        <v>28750.31</v>
      </c>
      <c r="AJ172" s="213">
        <v>8600.77</v>
      </c>
      <c r="AK172" s="213">
        <v>8475.31</v>
      </c>
      <c r="AL172" s="213">
        <v>22181.11</v>
      </c>
      <c r="AM172" s="213">
        <v>31570.12</v>
      </c>
      <c r="AN172" s="213">
        <v>10031.049999999999</v>
      </c>
      <c r="AO172" s="213">
        <v>19058.739999999998</v>
      </c>
      <c r="AP172" s="213">
        <v>18505.62</v>
      </c>
      <c r="AQ172" s="213">
        <v>23334.48</v>
      </c>
      <c r="AR172" s="213">
        <v>24259</v>
      </c>
      <c r="AS172" s="213">
        <v>13274.45</v>
      </c>
      <c r="AT172" s="213">
        <v>18565.03</v>
      </c>
      <c r="AU172" s="213">
        <v>18690.48</v>
      </c>
      <c r="AV172" s="213">
        <v>12433.674984007312</v>
      </c>
      <c r="AW172" s="213">
        <v>12433.674984007312</v>
      </c>
      <c r="AX172" s="213">
        <v>12433.674984007312</v>
      </c>
      <c r="AY172" s="213">
        <v>12433.674984007312</v>
      </c>
      <c r="AZ172" s="213">
        <v>12433.674984007312</v>
      </c>
      <c r="BA172" s="213">
        <v>12433.674984007312</v>
      </c>
      <c r="BB172" s="213">
        <v>12433.674984007312</v>
      </c>
      <c r="BC172" s="213">
        <v>12433.674984007312</v>
      </c>
    </row>
    <row r="173" spans="1:55" x14ac:dyDescent="0.25">
      <c r="A173" s="209" t="s">
        <v>374</v>
      </c>
      <c r="B173" s="210" t="s">
        <v>451</v>
      </c>
      <c r="C173" t="s">
        <v>11</v>
      </c>
      <c r="D173" t="s">
        <v>436</v>
      </c>
      <c r="E173" t="s">
        <v>494</v>
      </c>
      <c r="F173" s="211">
        <v>6053</v>
      </c>
      <c r="G173" s="210" t="s">
        <v>452</v>
      </c>
      <c r="H173" s="213">
        <v>0</v>
      </c>
      <c r="I173" s="213">
        <v>0</v>
      </c>
      <c r="J173" s="213">
        <v>0</v>
      </c>
      <c r="K173" s="213">
        <v>0</v>
      </c>
      <c r="L173" s="213">
        <v>0</v>
      </c>
      <c r="M173" s="213">
        <v>0</v>
      </c>
      <c r="N173" s="213">
        <v>0</v>
      </c>
      <c r="O173" s="213">
        <v>0</v>
      </c>
      <c r="P173" s="213">
        <v>0</v>
      </c>
      <c r="Q173" s="213">
        <v>0</v>
      </c>
      <c r="R173" s="213">
        <v>0</v>
      </c>
      <c r="S173" s="213">
        <v>0</v>
      </c>
      <c r="T173" s="213">
        <v>1575</v>
      </c>
      <c r="U173" s="213">
        <v>0</v>
      </c>
      <c r="V173" s="213">
        <v>0</v>
      </c>
      <c r="W173" s="213">
        <v>0</v>
      </c>
      <c r="X173" s="213">
        <v>0</v>
      </c>
      <c r="Y173" s="213">
        <v>0</v>
      </c>
      <c r="Z173" s="213">
        <v>0</v>
      </c>
      <c r="AA173" s="213">
        <v>0</v>
      </c>
      <c r="AB173" s="213">
        <v>0</v>
      </c>
      <c r="AC173" s="213">
        <v>0</v>
      </c>
      <c r="AD173" s="213">
        <v>0</v>
      </c>
      <c r="AE173" s="213">
        <v>0</v>
      </c>
      <c r="AF173" s="213">
        <v>0</v>
      </c>
      <c r="AG173" s="213">
        <v>0</v>
      </c>
      <c r="AH173" s="213">
        <v>0</v>
      </c>
      <c r="AI173" s="213">
        <v>0</v>
      </c>
      <c r="AJ173" s="213">
        <v>0</v>
      </c>
      <c r="AK173" s="213">
        <v>0</v>
      </c>
      <c r="AL173" s="213">
        <v>0</v>
      </c>
      <c r="AM173" s="213">
        <v>0</v>
      </c>
      <c r="AN173" s="213">
        <v>0</v>
      </c>
      <c r="AO173" s="213">
        <v>0</v>
      </c>
      <c r="AP173" s="213">
        <v>0</v>
      </c>
      <c r="AQ173" s="213">
        <v>0</v>
      </c>
      <c r="AR173" s="213">
        <v>0</v>
      </c>
      <c r="AS173" s="213">
        <v>0</v>
      </c>
      <c r="AT173" s="213">
        <v>0</v>
      </c>
      <c r="AU173" s="213">
        <v>0</v>
      </c>
      <c r="AV173" s="213">
        <v>0</v>
      </c>
      <c r="AW173" s="213">
        <v>0</v>
      </c>
      <c r="AX173" s="213">
        <v>0</v>
      </c>
      <c r="AY173" s="213">
        <v>0</v>
      </c>
      <c r="AZ173" s="213">
        <v>0</v>
      </c>
      <c r="BA173" s="213">
        <v>0</v>
      </c>
      <c r="BB173" s="213">
        <v>0</v>
      </c>
      <c r="BC173" s="213">
        <v>0</v>
      </c>
    </row>
    <row r="174" spans="1:55" x14ac:dyDescent="0.25">
      <c r="A174" s="209" t="s">
        <v>374</v>
      </c>
      <c r="B174" s="210" t="s">
        <v>451</v>
      </c>
      <c r="C174" t="s">
        <v>11</v>
      </c>
      <c r="D174" t="s">
        <v>436</v>
      </c>
      <c r="E174" t="s">
        <v>494</v>
      </c>
      <c r="F174" s="211">
        <v>6050</v>
      </c>
      <c r="G174" s="210" t="s">
        <v>453</v>
      </c>
      <c r="H174" s="215">
        <v>92168.42</v>
      </c>
      <c r="I174" s="215">
        <v>122483.9</v>
      </c>
      <c r="J174" s="215">
        <v>129740.75</v>
      </c>
      <c r="K174" s="215">
        <v>108065.55</v>
      </c>
      <c r="L174" s="215">
        <v>112942.81</v>
      </c>
      <c r="M174" s="215">
        <v>165155.43</v>
      </c>
      <c r="N174" s="215">
        <v>147413.76000000001</v>
      </c>
      <c r="O174" s="215">
        <v>284477.69</v>
      </c>
      <c r="P174" s="215">
        <v>171348.62</v>
      </c>
      <c r="Q174" s="215">
        <v>132550.16</v>
      </c>
      <c r="R174" s="215">
        <v>181074.87</v>
      </c>
      <c r="S174" s="215">
        <v>305483.81</v>
      </c>
      <c r="T174" s="215">
        <v>204147.25</v>
      </c>
      <c r="U174" s="215">
        <v>197319.06</v>
      </c>
      <c r="V174" s="215">
        <v>102620.44</v>
      </c>
      <c r="W174" s="215">
        <v>150453.96</v>
      </c>
      <c r="X174" s="215">
        <v>132045.41</v>
      </c>
      <c r="Y174" s="215">
        <v>182598.39999999999</v>
      </c>
      <c r="Z174" s="215">
        <v>158861.85999999999</v>
      </c>
      <c r="AA174" s="215">
        <v>166724.51999999999</v>
      </c>
      <c r="AB174" s="215">
        <v>229118.7</v>
      </c>
      <c r="AC174" s="215">
        <v>230653.57</v>
      </c>
      <c r="AD174" s="215">
        <v>207192.53</v>
      </c>
      <c r="AE174" s="215">
        <v>209228.56</v>
      </c>
      <c r="AF174" s="215">
        <v>223844.72</v>
      </c>
      <c r="AG174" s="215">
        <v>191372.29</v>
      </c>
      <c r="AH174" s="215">
        <v>272915.19</v>
      </c>
      <c r="AI174" s="215">
        <v>288430.93</v>
      </c>
      <c r="AJ174" s="215">
        <v>205816</v>
      </c>
      <c r="AK174" s="215">
        <v>300141.83</v>
      </c>
      <c r="AL174" s="215">
        <v>329418.57999999996</v>
      </c>
      <c r="AM174" s="215">
        <v>319231.2</v>
      </c>
      <c r="AN174" s="215">
        <v>349382.94</v>
      </c>
      <c r="AO174" s="215">
        <v>432565.38</v>
      </c>
      <c r="AP174" s="215">
        <v>480349.1</v>
      </c>
      <c r="AQ174" s="215">
        <v>552019.07999999996</v>
      </c>
      <c r="AR174" s="215">
        <v>459291.80000000005</v>
      </c>
      <c r="AS174" s="215">
        <v>450174</v>
      </c>
      <c r="AT174" s="215">
        <v>522910.22000000003</v>
      </c>
      <c r="AU174" s="215">
        <v>517755.18999999994</v>
      </c>
      <c r="AV174" s="215">
        <v>174867.95187255528</v>
      </c>
      <c r="AW174" s="215">
        <v>111316.85577283605</v>
      </c>
      <c r="AX174" s="215">
        <v>183157.06852856016</v>
      </c>
      <c r="AY174" s="215">
        <v>183157.06852856016</v>
      </c>
      <c r="AZ174" s="215">
        <v>253769.3975282482</v>
      </c>
      <c r="BA174" s="215">
        <v>191446.18518456502</v>
      </c>
      <c r="BB174" s="215">
        <v>792.896885407338</v>
      </c>
      <c r="BC174" s="215">
        <v>0</v>
      </c>
    </row>
    <row r="175" spans="1:55" x14ac:dyDescent="0.25">
      <c r="A175" s="209" t="s">
        <v>374</v>
      </c>
      <c r="B175" s="210" t="s">
        <v>451</v>
      </c>
      <c r="C175" t="s">
        <v>11</v>
      </c>
      <c r="D175" t="s">
        <v>436</v>
      </c>
      <c r="E175" t="s">
        <v>494</v>
      </c>
      <c r="F175" s="211">
        <v>6051</v>
      </c>
      <c r="G175" s="210" t="s">
        <v>454</v>
      </c>
      <c r="H175" s="213">
        <v>0</v>
      </c>
      <c r="I175" s="213">
        <v>0</v>
      </c>
      <c r="J175" s="213">
        <v>0</v>
      </c>
      <c r="K175" s="213">
        <v>0</v>
      </c>
      <c r="L175" s="213">
        <v>0</v>
      </c>
      <c r="M175" s="213">
        <v>0</v>
      </c>
      <c r="N175" s="213">
        <v>0</v>
      </c>
      <c r="O175" s="213">
        <v>0</v>
      </c>
      <c r="P175" s="213">
        <v>0</v>
      </c>
      <c r="Q175" s="213">
        <v>0</v>
      </c>
      <c r="R175" s="213">
        <v>0</v>
      </c>
      <c r="S175" s="213">
        <v>0</v>
      </c>
      <c r="T175" s="213">
        <v>0</v>
      </c>
      <c r="U175" s="213">
        <v>0</v>
      </c>
      <c r="V175" s="213">
        <v>0</v>
      </c>
      <c r="W175" s="213">
        <v>0</v>
      </c>
      <c r="X175" s="213">
        <v>0</v>
      </c>
      <c r="Y175" s="213">
        <v>0</v>
      </c>
      <c r="Z175" s="213">
        <v>0</v>
      </c>
      <c r="AA175" s="213">
        <v>0</v>
      </c>
      <c r="AB175" s="213">
        <v>0</v>
      </c>
      <c r="AC175" s="213">
        <v>0</v>
      </c>
      <c r="AD175" s="213">
        <v>0</v>
      </c>
      <c r="AE175" s="213">
        <v>0</v>
      </c>
      <c r="AF175" s="213">
        <v>0</v>
      </c>
      <c r="AG175" s="213">
        <v>0</v>
      </c>
      <c r="AH175" s="213">
        <v>0</v>
      </c>
      <c r="AI175" s="213">
        <v>0</v>
      </c>
      <c r="AJ175" s="213">
        <v>0</v>
      </c>
      <c r="AK175" s="213">
        <v>0</v>
      </c>
      <c r="AL175" s="213">
        <v>0</v>
      </c>
      <c r="AM175" s="213">
        <v>0</v>
      </c>
      <c r="AN175" s="213">
        <v>0</v>
      </c>
      <c r="AO175" s="213">
        <v>0</v>
      </c>
      <c r="AP175" s="213">
        <v>0</v>
      </c>
      <c r="AQ175" s="213">
        <v>0</v>
      </c>
      <c r="AR175" s="213">
        <v>0</v>
      </c>
      <c r="AS175" s="213">
        <v>0</v>
      </c>
      <c r="AT175" s="213">
        <v>0</v>
      </c>
      <c r="AU175" s="213">
        <v>0</v>
      </c>
      <c r="AV175" s="213">
        <v>4144.5583280024366</v>
      </c>
      <c r="AW175" s="213">
        <v>4144.5583280024366</v>
      </c>
      <c r="AX175" s="213">
        <v>4144.5583280024366</v>
      </c>
      <c r="AY175" s="213">
        <v>4144.5583280024366</v>
      </c>
      <c r="AZ175" s="213">
        <v>4144.5583280024366</v>
      </c>
      <c r="BA175" s="213">
        <v>4144.5583280024366</v>
      </c>
      <c r="BB175" s="213">
        <v>4144.5583280024366</v>
      </c>
      <c r="BC175" s="213">
        <v>4144.5583280024366</v>
      </c>
    </row>
    <row r="176" spans="1:55" x14ac:dyDescent="0.25">
      <c r="A176" s="209" t="s">
        <v>374</v>
      </c>
      <c r="B176" s="210" t="s">
        <v>451</v>
      </c>
      <c r="C176" t="s">
        <v>11</v>
      </c>
      <c r="D176" t="s">
        <v>436</v>
      </c>
      <c r="E176" t="s">
        <v>494</v>
      </c>
      <c r="F176" s="211">
        <v>6052</v>
      </c>
      <c r="G176" s="210" t="s">
        <v>455</v>
      </c>
      <c r="H176" s="215">
        <v>1250</v>
      </c>
      <c r="I176" s="215">
        <v>1250</v>
      </c>
      <c r="J176" s="215">
        <v>1250</v>
      </c>
      <c r="K176" s="215">
        <v>1250</v>
      </c>
      <c r="L176" s="215">
        <v>0</v>
      </c>
      <c r="M176" s="215">
        <v>0</v>
      </c>
      <c r="N176" s="215">
        <v>99.95</v>
      </c>
      <c r="O176" s="215">
        <v>0</v>
      </c>
      <c r="P176" s="215">
        <v>0</v>
      </c>
      <c r="Q176" s="215">
        <v>0</v>
      </c>
      <c r="R176" s="215">
        <v>0</v>
      </c>
      <c r="S176" s="215">
        <v>0</v>
      </c>
      <c r="T176" s="215">
        <v>0</v>
      </c>
      <c r="U176" s="215">
        <v>0</v>
      </c>
      <c r="V176" s="215">
        <v>0</v>
      </c>
      <c r="W176" s="215">
        <v>0</v>
      </c>
      <c r="X176" s="215">
        <v>0</v>
      </c>
      <c r="Y176" s="215">
        <v>99.95</v>
      </c>
      <c r="Z176" s="215">
        <v>99.95</v>
      </c>
      <c r="AA176" s="215">
        <v>99.95</v>
      </c>
      <c r="AB176" s="215">
        <v>0</v>
      </c>
      <c r="AC176" s="215">
        <v>99.95</v>
      </c>
      <c r="AD176" s="215">
        <v>0</v>
      </c>
      <c r="AE176" s="215">
        <v>14912.61</v>
      </c>
      <c r="AF176" s="215">
        <v>8087.25</v>
      </c>
      <c r="AG176" s="215">
        <v>31154.670000000002</v>
      </c>
      <c r="AH176" s="215">
        <v>30221.68</v>
      </c>
      <c r="AI176" s="215">
        <v>11786.439999999999</v>
      </c>
      <c r="AJ176" s="215">
        <v>12958.28</v>
      </c>
      <c r="AK176" s="215">
        <v>1469.9</v>
      </c>
      <c r="AL176" s="215">
        <v>7758.14</v>
      </c>
      <c r="AM176" s="215">
        <v>0</v>
      </c>
      <c r="AN176" s="215">
        <v>0</v>
      </c>
      <c r="AO176" s="215">
        <v>0</v>
      </c>
      <c r="AP176" s="215">
        <v>0</v>
      </c>
      <c r="AQ176" s="215">
        <v>0</v>
      </c>
      <c r="AR176" s="215">
        <v>0</v>
      </c>
      <c r="AS176" s="215">
        <v>0</v>
      </c>
      <c r="AT176" s="215">
        <v>0</v>
      </c>
      <c r="AU176" s="215">
        <v>0</v>
      </c>
      <c r="AV176" s="215">
        <v>2486.7349968014623</v>
      </c>
      <c r="AW176" s="215">
        <v>2486.7349968014623</v>
      </c>
      <c r="AX176" s="215">
        <v>2486.7349968014623</v>
      </c>
      <c r="AY176" s="215">
        <v>2486.7349968014623</v>
      </c>
      <c r="AZ176" s="215">
        <v>2486.7349968014623</v>
      </c>
      <c r="BA176" s="215">
        <v>2486.7349968014623</v>
      </c>
      <c r="BB176" s="215">
        <v>2486.7349968014623</v>
      </c>
      <c r="BC176" s="215">
        <v>2486.7349968014623</v>
      </c>
    </row>
    <row r="177" spans="1:55" x14ac:dyDescent="0.25">
      <c r="A177" s="209" t="s">
        <v>374</v>
      </c>
      <c r="B177" s="210" t="s">
        <v>451</v>
      </c>
      <c r="C177" t="s">
        <v>11</v>
      </c>
      <c r="D177" t="s">
        <v>436</v>
      </c>
      <c r="E177" t="s">
        <v>494</v>
      </c>
      <c r="H177" s="213">
        <v>0</v>
      </c>
      <c r="I177" s="213">
        <v>0</v>
      </c>
      <c r="J177" s="213">
        <v>0</v>
      </c>
      <c r="K177" s="213">
        <v>0</v>
      </c>
      <c r="L177" s="213">
        <v>0</v>
      </c>
      <c r="M177" s="213">
        <v>0</v>
      </c>
      <c r="N177" s="213">
        <v>0</v>
      </c>
      <c r="O177" s="213">
        <v>0</v>
      </c>
      <c r="P177" s="213">
        <v>0</v>
      </c>
      <c r="Q177" s="213">
        <v>0</v>
      </c>
      <c r="R177" s="213">
        <v>0</v>
      </c>
      <c r="S177" s="213">
        <v>0</v>
      </c>
      <c r="T177" s="213">
        <v>0</v>
      </c>
      <c r="U177" s="213">
        <v>0</v>
      </c>
      <c r="V177" s="213">
        <v>0</v>
      </c>
      <c r="W177" s="213">
        <v>0</v>
      </c>
      <c r="X177" s="213">
        <v>0</v>
      </c>
      <c r="Y177" s="213">
        <v>0</v>
      </c>
      <c r="Z177" s="213">
        <v>0</v>
      </c>
      <c r="AA177" s="213">
        <v>0</v>
      </c>
      <c r="AB177" s="213">
        <v>0</v>
      </c>
      <c r="AC177" s="213">
        <v>0</v>
      </c>
      <c r="AD177" s="213">
        <v>0</v>
      </c>
      <c r="AE177" s="213">
        <v>0</v>
      </c>
      <c r="AF177" s="213">
        <v>0</v>
      </c>
      <c r="AG177" s="213">
        <v>0</v>
      </c>
      <c r="AH177" s="213">
        <v>0</v>
      </c>
      <c r="AI177" s="213">
        <v>0</v>
      </c>
      <c r="AJ177" s="213">
        <v>0</v>
      </c>
      <c r="AK177" s="213">
        <v>0</v>
      </c>
      <c r="AL177" s="213">
        <v>0</v>
      </c>
      <c r="AM177" s="213">
        <v>0</v>
      </c>
      <c r="AN177" s="213">
        <v>0</v>
      </c>
      <c r="AO177" s="213">
        <v>0</v>
      </c>
      <c r="AP177" s="213">
        <v>0</v>
      </c>
      <c r="AQ177" s="213">
        <v>0</v>
      </c>
      <c r="AR177" s="213">
        <v>0</v>
      </c>
      <c r="AS177" s="213">
        <v>0</v>
      </c>
      <c r="AT177" s="213">
        <v>0</v>
      </c>
      <c r="AU177" s="213">
        <v>0</v>
      </c>
      <c r="AV177" s="213">
        <v>0</v>
      </c>
      <c r="AW177" s="213">
        <v>0</v>
      </c>
      <c r="AX177" s="213">
        <v>0</v>
      </c>
      <c r="AY177" s="213">
        <v>0</v>
      </c>
      <c r="AZ177" s="213">
        <v>0</v>
      </c>
      <c r="BA177" s="213">
        <v>0</v>
      </c>
      <c r="BB177" s="213">
        <v>0</v>
      </c>
      <c r="BC177" s="213">
        <v>0</v>
      </c>
    </row>
    <row r="178" spans="1:55" x14ac:dyDescent="0.25">
      <c r="A178" s="209" t="s">
        <v>374</v>
      </c>
      <c r="B178" s="210" t="s">
        <v>456</v>
      </c>
      <c r="C178" t="s">
        <v>11</v>
      </c>
      <c r="D178" t="s">
        <v>436</v>
      </c>
      <c r="E178" t="s">
        <v>493</v>
      </c>
      <c r="F178" s="211">
        <v>6064</v>
      </c>
      <c r="G178" s="210" t="s">
        <v>457</v>
      </c>
      <c r="H178" s="213">
        <v>0</v>
      </c>
      <c r="I178" s="213">
        <v>0</v>
      </c>
      <c r="J178" s="213">
        <v>0</v>
      </c>
      <c r="K178" s="213">
        <v>0</v>
      </c>
      <c r="L178" s="213">
        <v>0</v>
      </c>
      <c r="M178" s="213">
        <v>0</v>
      </c>
      <c r="N178" s="213">
        <v>0</v>
      </c>
      <c r="O178" s="213">
        <v>0</v>
      </c>
      <c r="P178" s="213">
        <v>0</v>
      </c>
      <c r="Q178" s="213">
        <v>0</v>
      </c>
      <c r="R178" s="213">
        <v>0</v>
      </c>
      <c r="S178" s="213">
        <v>0</v>
      </c>
      <c r="T178" s="213">
        <v>0</v>
      </c>
      <c r="U178" s="213">
        <v>0</v>
      </c>
      <c r="V178" s="213">
        <v>0</v>
      </c>
      <c r="W178" s="213">
        <v>0</v>
      </c>
      <c r="X178" s="213">
        <v>0</v>
      </c>
      <c r="Y178" s="213">
        <v>0</v>
      </c>
      <c r="Z178" s="213">
        <v>0</v>
      </c>
      <c r="AA178" s="213">
        <v>0</v>
      </c>
      <c r="AB178" s="213">
        <v>0</v>
      </c>
      <c r="AC178" s="213">
        <v>0</v>
      </c>
      <c r="AD178" s="213">
        <v>0</v>
      </c>
      <c r="AE178" s="213">
        <v>0</v>
      </c>
      <c r="AF178" s="213">
        <v>0</v>
      </c>
      <c r="AG178" s="213">
        <v>0</v>
      </c>
      <c r="AH178" s="213">
        <v>0</v>
      </c>
      <c r="AI178" s="213">
        <v>0</v>
      </c>
      <c r="AJ178" s="213">
        <v>0</v>
      </c>
      <c r="AK178" s="213">
        <v>0</v>
      </c>
      <c r="AL178" s="213">
        <v>0</v>
      </c>
      <c r="AM178" s="213">
        <v>0</v>
      </c>
      <c r="AN178" s="213">
        <v>0</v>
      </c>
      <c r="AO178" s="213">
        <v>0</v>
      </c>
      <c r="AP178" s="213">
        <v>0</v>
      </c>
      <c r="AQ178" s="213">
        <v>0</v>
      </c>
      <c r="AR178" s="213">
        <v>0</v>
      </c>
      <c r="AS178" s="213">
        <v>0</v>
      </c>
      <c r="AT178" s="213">
        <v>0</v>
      </c>
      <c r="AU178" s="213">
        <v>0</v>
      </c>
      <c r="AV178" s="213">
        <v>1657.823331200975</v>
      </c>
      <c r="AW178" s="213">
        <v>1657.823331200975</v>
      </c>
      <c r="AX178" s="213">
        <v>1657.823331200975</v>
      </c>
      <c r="AY178" s="213">
        <v>1657.823331200975</v>
      </c>
      <c r="AZ178" s="213">
        <v>1657.823331200975</v>
      </c>
      <c r="BA178" s="213">
        <v>1657.823331200975</v>
      </c>
      <c r="BB178" s="213">
        <v>1657.823331200975</v>
      </c>
      <c r="BC178" s="213">
        <v>1657.823331200975</v>
      </c>
    </row>
    <row r="179" spans="1:55" x14ac:dyDescent="0.25">
      <c r="A179" s="209" t="s">
        <v>374</v>
      </c>
      <c r="B179" s="210" t="s">
        <v>458</v>
      </c>
      <c r="C179" t="s">
        <v>11</v>
      </c>
      <c r="D179" t="s">
        <v>436</v>
      </c>
      <c r="E179" t="s">
        <v>494</v>
      </c>
      <c r="F179" s="211">
        <v>6250</v>
      </c>
      <c r="G179" t="s">
        <v>392</v>
      </c>
      <c r="H179" s="215">
        <v>5452.88</v>
      </c>
      <c r="I179" s="215">
        <v>9075.1</v>
      </c>
      <c r="J179" s="215">
        <v>2788.08</v>
      </c>
      <c r="K179" s="215">
        <v>2782.36</v>
      </c>
      <c r="L179" s="215">
        <v>6242.36</v>
      </c>
      <c r="M179" s="215">
        <v>7497.36</v>
      </c>
      <c r="N179" s="215">
        <v>18232.36</v>
      </c>
      <c r="O179" s="215">
        <v>8242.36</v>
      </c>
      <c r="P179" s="215">
        <v>3094.86</v>
      </c>
      <c r="Q179" s="215">
        <v>6782.36</v>
      </c>
      <c r="R179" s="215">
        <v>20962.36</v>
      </c>
      <c r="S179" s="215">
        <v>4179.5600000000004</v>
      </c>
      <c r="T179" s="215">
        <v>3638.2000000000003</v>
      </c>
      <c r="U179" s="215">
        <v>12595.34</v>
      </c>
      <c r="V179" s="215">
        <v>-620.34</v>
      </c>
      <c r="W179" s="215">
        <v>10861.75</v>
      </c>
      <c r="X179" s="215">
        <v>12916.05</v>
      </c>
      <c r="Y179" s="215">
        <v>7311.92</v>
      </c>
      <c r="Z179" s="215">
        <v>7585.34</v>
      </c>
      <c r="AA179" s="215">
        <v>16772.990000000002</v>
      </c>
      <c r="AB179" s="215">
        <v>23242.080000000002</v>
      </c>
      <c r="AC179" s="215">
        <v>40784.43</v>
      </c>
      <c r="AD179" s="215">
        <v>38334.730000000003</v>
      </c>
      <c r="AE179" s="215">
        <v>6690.8</v>
      </c>
      <c r="AF179" s="215">
        <v>0</v>
      </c>
      <c r="AG179" s="215">
        <v>0</v>
      </c>
      <c r="AH179" s="215">
        <v>0</v>
      </c>
      <c r="AI179" s="215">
        <v>0</v>
      </c>
      <c r="AJ179" s="215">
        <v>0</v>
      </c>
      <c r="AK179" s="215">
        <v>10000</v>
      </c>
      <c r="AL179" s="215">
        <v>0</v>
      </c>
      <c r="AM179" s="215">
        <v>0</v>
      </c>
      <c r="AN179" s="215">
        <v>0</v>
      </c>
      <c r="AO179" s="215">
        <v>4530</v>
      </c>
      <c r="AP179" s="215">
        <v>3200</v>
      </c>
      <c r="AQ179" s="215">
        <v>0</v>
      </c>
      <c r="AR179" s="215">
        <v>1680</v>
      </c>
      <c r="AS179" s="215">
        <v>4960</v>
      </c>
      <c r="AT179" s="215">
        <v>2480</v>
      </c>
      <c r="AU179" s="215">
        <v>3520</v>
      </c>
      <c r="AV179" s="215">
        <v>8289.1166560048732</v>
      </c>
      <c r="AW179" s="215">
        <v>8289.1166560048732</v>
      </c>
      <c r="AX179" s="215">
        <v>8289.1166560048732</v>
      </c>
      <c r="AY179" s="215">
        <v>8289.1166560048732</v>
      </c>
      <c r="AZ179" s="215">
        <v>8289.1166560048732</v>
      </c>
      <c r="BA179" s="215">
        <v>8289.1166560048732</v>
      </c>
      <c r="BB179" s="215">
        <v>8289.1166560048732</v>
      </c>
      <c r="BC179" s="215">
        <v>8289.1166560048732</v>
      </c>
    </row>
    <row r="180" spans="1:55" x14ac:dyDescent="0.25">
      <c r="A180" s="209" t="s">
        <v>374</v>
      </c>
      <c r="B180" s="210" t="s">
        <v>458</v>
      </c>
      <c r="C180" t="s">
        <v>11</v>
      </c>
      <c r="D180" t="s">
        <v>436</v>
      </c>
      <c r="E180" t="s">
        <v>493</v>
      </c>
      <c r="F180" s="211">
        <v>7050</v>
      </c>
      <c r="G180" t="s">
        <v>394</v>
      </c>
      <c r="H180" s="213">
        <v>9917.85</v>
      </c>
      <c r="I180" s="213">
        <v>28827.05</v>
      </c>
      <c r="J180" s="213">
        <v>17594.64</v>
      </c>
      <c r="K180" s="213">
        <v>23157.69</v>
      </c>
      <c r="L180" s="213">
        <v>20075.97</v>
      </c>
      <c r="M180" s="213">
        <v>22029.759999999998</v>
      </c>
      <c r="N180" s="213">
        <v>19048.759999999998</v>
      </c>
      <c r="O180" s="213">
        <v>21347.51</v>
      </c>
      <c r="P180" s="213">
        <v>26319.68</v>
      </c>
      <c r="Q180" s="213">
        <v>24465.15</v>
      </c>
      <c r="R180" s="213">
        <v>26859.09</v>
      </c>
      <c r="S180" s="213">
        <v>26849.84</v>
      </c>
      <c r="T180" s="213">
        <v>32512.9</v>
      </c>
      <c r="U180" s="213">
        <v>36368.299999999996</v>
      </c>
      <c r="V180" s="213">
        <v>28967.78</v>
      </c>
      <c r="W180" s="213">
        <v>29467.47</v>
      </c>
      <c r="X180" s="213">
        <v>32939.03</v>
      </c>
      <c r="Y180" s="213">
        <v>28908.9</v>
      </c>
      <c r="Z180" s="213">
        <v>28263.52</v>
      </c>
      <c r="AA180" s="213">
        <v>31894.639999999999</v>
      </c>
      <c r="AB180" s="213">
        <v>41205.31</v>
      </c>
      <c r="AC180" s="213">
        <v>41450.050000000003</v>
      </c>
      <c r="AD180" s="213">
        <v>45624.03</v>
      </c>
      <c r="AE180" s="213">
        <v>57589.51</v>
      </c>
      <c r="AF180" s="213">
        <v>42202.679999999993</v>
      </c>
      <c r="AG180" s="213">
        <v>38986.31</v>
      </c>
      <c r="AH180" s="213">
        <v>51385.170000000006</v>
      </c>
      <c r="AI180" s="213">
        <v>46755.24</v>
      </c>
      <c r="AJ180" s="213">
        <v>50839.649999999994</v>
      </c>
      <c r="AK180" s="213">
        <v>56523.76</v>
      </c>
      <c r="AL180" s="213">
        <v>56197.95</v>
      </c>
      <c r="AM180" s="213">
        <v>56334.62</v>
      </c>
      <c r="AN180" s="213">
        <v>48226.97</v>
      </c>
      <c r="AO180" s="213">
        <v>57005.11</v>
      </c>
      <c r="AP180" s="213">
        <v>66828.08</v>
      </c>
      <c r="AQ180" s="213">
        <v>41203.22</v>
      </c>
      <c r="AR180" s="213">
        <v>38105.21</v>
      </c>
      <c r="AS180" s="213">
        <v>51288.35</v>
      </c>
      <c r="AT180" s="213">
        <v>53411.95</v>
      </c>
      <c r="AU180" s="213">
        <v>38284.32</v>
      </c>
      <c r="AV180" s="213">
        <v>39856.240763036963</v>
      </c>
      <c r="AW180" s="213">
        <v>42746.323095898704</v>
      </c>
      <c r="AX180" s="213">
        <v>43706.422855225632</v>
      </c>
      <c r="AY180" s="213">
        <v>46017.760308642894</v>
      </c>
      <c r="AZ180" s="213">
        <v>49217.584315130807</v>
      </c>
      <c r="BA180" s="213">
        <v>50038.335283986366</v>
      </c>
      <c r="BB180" s="213">
        <v>53523.079687062222</v>
      </c>
      <c r="BC180" s="213">
        <v>57906.486143879454</v>
      </c>
    </row>
    <row r="181" spans="1:55" x14ac:dyDescent="0.25">
      <c r="B181" s="210"/>
      <c r="H181" s="214">
        <v>0</v>
      </c>
      <c r="I181" s="214">
        <v>0</v>
      </c>
      <c r="J181" s="214">
        <v>0</v>
      </c>
      <c r="K181" s="214">
        <v>0</v>
      </c>
      <c r="L181" s="214">
        <v>0</v>
      </c>
      <c r="M181" s="214">
        <v>0</v>
      </c>
      <c r="N181" s="214">
        <v>0</v>
      </c>
      <c r="O181" s="214">
        <v>0</v>
      </c>
      <c r="P181" s="214">
        <v>0</v>
      </c>
      <c r="Q181" s="214">
        <v>0</v>
      </c>
      <c r="R181" s="214">
        <v>0</v>
      </c>
      <c r="S181" s="214">
        <v>0</v>
      </c>
      <c r="T181" s="214">
        <v>0</v>
      </c>
      <c r="U181" s="214">
        <v>0</v>
      </c>
      <c r="V181" s="214">
        <v>0</v>
      </c>
      <c r="W181" s="214">
        <v>0</v>
      </c>
      <c r="X181" s="214">
        <v>0</v>
      </c>
      <c r="Y181" s="214">
        <v>0</v>
      </c>
      <c r="Z181" s="214">
        <v>0</v>
      </c>
      <c r="AA181" s="214">
        <v>0</v>
      </c>
      <c r="AB181" s="214">
        <v>0</v>
      </c>
      <c r="AC181" s="214">
        <v>0</v>
      </c>
      <c r="AD181" s="214">
        <v>0</v>
      </c>
      <c r="AE181" s="214">
        <v>0</v>
      </c>
      <c r="AF181" s="214">
        <v>0</v>
      </c>
      <c r="AG181" s="214">
        <v>0</v>
      </c>
      <c r="AH181" s="214">
        <v>0</v>
      </c>
      <c r="AI181" s="214">
        <v>0</v>
      </c>
      <c r="AJ181" s="214">
        <v>0</v>
      </c>
      <c r="AK181" s="214">
        <v>0</v>
      </c>
      <c r="AL181" s="214">
        <v>0</v>
      </c>
      <c r="AM181" s="214">
        <v>0</v>
      </c>
      <c r="AN181" s="214">
        <v>0</v>
      </c>
      <c r="AO181" s="214">
        <v>0</v>
      </c>
      <c r="AP181" s="214">
        <v>0</v>
      </c>
      <c r="AQ181" s="214">
        <v>0</v>
      </c>
      <c r="AR181" s="214">
        <v>0</v>
      </c>
      <c r="AS181" s="214">
        <v>0</v>
      </c>
      <c r="AT181" s="214">
        <v>0</v>
      </c>
      <c r="AU181" s="214">
        <v>0</v>
      </c>
      <c r="AV181" s="214">
        <v>0</v>
      </c>
      <c r="AW181" s="214">
        <v>0</v>
      </c>
      <c r="AX181" s="214">
        <v>0</v>
      </c>
      <c r="AY181" s="214">
        <v>0</v>
      </c>
      <c r="AZ181" s="214">
        <v>0</v>
      </c>
      <c r="BA181" s="214">
        <v>0</v>
      </c>
      <c r="BB181" s="214">
        <v>0</v>
      </c>
      <c r="BC181" s="214">
        <v>0</v>
      </c>
    </row>
    <row r="182" spans="1:55" x14ac:dyDescent="0.25">
      <c r="B182" s="210"/>
      <c r="H182" s="216">
        <v>423158.25999999995</v>
      </c>
      <c r="I182" s="216">
        <v>590586.27</v>
      </c>
      <c r="J182" s="216">
        <v>426823.80000000005</v>
      </c>
      <c r="K182" s="216">
        <v>360784.04999999993</v>
      </c>
      <c r="L182" s="216">
        <v>349343.85</v>
      </c>
      <c r="M182" s="216">
        <v>464394.81</v>
      </c>
      <c r="N182" s="216">
        <v>419413.91</v>
      </c>
      <c r="O182" s="216">
        <v>843996.05999999994</v>
      </c>
      <c r="P182" s="216">
        <v>812940.92</v>
      </c>
      <c r="Q182" s="216">
        <v>510730.59000000008</v>
      </c>
      <c r="R182" s="216">
        <v>497716.12</v>
      </c>
      <c r="S182" s="216">
        <v>653669.81999999995</v>
      </c>
      <c r="T182" s="216">
        <v>1005267.2100000001</v>
      </c>
      <c r="U182" s="216">
        <v>794247.17</v>
      </c>
      <c r="V182" s="216">
        <v>752410.54000000015</v>
      </c>
      <c r="W182" s="216">
        <v>1333542.46</v>
      </c>
      <c r="X182" s="216">
        <v>609959.04</v>
      </c>
      <c r="Y182" s="216">
        <v>596441.69999999995</v>
      </c>
      <c r="Z182" s="216">
        <v>613426.21</v>
      </c>
      <c r="AA182" s="216">
        <v>1145099.0599999998</v>
      </c>
      <c r="AB182" s="216">
        <v>846249.34999999986</v>
      </c>
      <c r="AC182" s="216">
        <v>765272.41</v>
      </c>
      <c r="AD182" s="216">
        <v>832538.84000000008</v>
      </c>
      <c r="AE182" s="216">
        <v>811505.80000000016</v>
      </c>
      <c r="AF182" s="216">
        <v>917505.97999999975</v>
      </c>
      <c r="AG182" s="216">
        <v>819543.44</v>
      </c>
      <c r="AH182" s="216">
        <v>899584.57999999984</v>
      </c>
      <c r="AI182" s="216">
        <v>759324.3899999999</v>
      </c>
      <c r="AJ182" s="216">
        <v>654996.91</v>
      </c>
      <c r="AK182" s="216">
        <v>749198.47</v>
      </c>
      <c r="AL182" s="216">
        <v>788610.32</v>
      </c>
      <c r="AM182" s="216">
        <v>1003263.0600000002</v>
      </c>
      <c r="AN182" s="216">
        <v>821377.44</v>
      </c>
      <c r="AO182" s="216">
        <v>922107.68</v>
      </c>
      <c r="AP182" s="216">
        <v>997794.32</v>
      </c>
      <c r="AQ182" s="216">
        <v>1267869.1499999999</v>
      </c>
      <c r="AR182" s="216">
        <v>1071801.42</v>
      </c>
      <c r="AS182" s="216">
        <v>983915.69999999984</v>
      </c>
      <c r="AT182" s="216">
        <v>1300666.7300000002</v>
      </c>
      <c r="AU182" s="216">
        <v>1213471.29</v>
      </c>
      <c r="AV182" s="216">
        <v>1529556.0536689092</v>
      </c>
      <c r="AW182" s="216">
        <v>1484783.4693812905</v>
      </c>
      <c r="AX182" s="216">
        <v>1690849.5401124835</v>
      </c>
      <c r="AY182" s="216">
        <v>1672706.2253505904</v>
      </c>
      <c r="AZ182" s="216">
        <v>2480158.0910193468</v>
      </c>
      <c r="BA182" s="216">
        <v>1612315.9237126145</v>
      </c>
      <c r="BB182" s="216">
        <v>1382236.6616238235</v>
      </c>
      <c r="BC182" s="216">
        <v>2015282.8298210767</v>
      </c>
    </row>
    <row r="183" spans="1:55" ht="15.75" x14ac:dyDescent="0.25">
      <c r="A183" s="206" t="s">
        <v>459</v>
      </c>
      <c r="B183" s="207"/>
      <c r="C183" s="206"/>
      <c r="D183" s="206"/>
      <c r="E183" s="206"/>
      <c r="F183" s="206"/>
      <c r="G183" s="206"/>
      <c r="H183" s="213">
        <v>0</v>
      </c>
      <c r="I183" s="213">
        <v>0</v>
      </c>
      <c r="J183" s="213">
        <v>0</v>
      </c>
      <c r="K183" s="213">
        <v>0</v>
      </c>
      <c r="L183" s="213">
        <v>0</v>
      </c>
      <c r="M183" s="213">
        <v>0</v>
      </c>
      <c r="N183" s="213">
        <v>0</v>
      </c>
      <c r="O183" s="213">
        <v>0</v>
      </c>
      <c r="P183" s="213">
        <v>0</v>
      </c>
      <c r="Q183" s="213">
        <v>0</v>
      </c>
      <c r="R183" s="213">
        <v>0</v>
      </c>
      <c r="S183" s="213">
        <v>0</v>
      </c>
      <c r="T183" s="213">
        <v>0</v>
      </c>
      <c r="U183" s="213">
        <v>0</v>
      </c>
      <c r="V183" s="213">
        <v>0</v>
      </c>
      <c r="W183" s="213">
        <v>0</v>
      </c>
      <c r="X183" s="213">
        <v>0</v>
      </c>
      <c r="Y183" s="213">
        <v>0</v>
      </c>
      <c r="Z183" s="213">
        <v>0</v>
      </c>
      <c r="AA183" s="213">
        <v>0</v>
      </c>
      <c r="AB183" s="213">
        <v>0</v>
      </c>
      <c r="AC183" s="213">
        <v>0</v>
      </c>
      <c r="AD183" s="213">
        <v>0</v>
      </c>
      <c r="AE183" s="213">
        <v>0</v>
      </c>
      <c r="AF183" s="213">
        <v>0</v>
      </c>
      <c r="AG183" s="213">
        <v>0</v>
      </c>
      <c r="AH183" s="213">
        <v>0</v>
      </c>
      <c r="AI183" s="213">
        <v>0</v>
      </c>
      <c r="AJ183" s="213">
        <v>0</v>
      </c>
      <c r="AK183" s="213">
        <v>0</v>
      </c>
      <c r="AL183" s="213">
        <v>0</v>
      </c>
      <c r="AM183" s="213">
        <v>0</v>
      </c>
      <c r="AN183" s="213">
        <v>0</v>
      </c>
      <c r="AO183" s="213">
        <v>0</v>
      </c>
      <c r="AP183" s="213">
        <v>0</v>
      </c>
      <c r="AQ183" s="213">
        <v>0</v>
      </c>
      <c r="AR183" s="213">
        <v>0</v>
      </c>
      <c r="AS183" s="213">
        <v>0</v>
      </c>
      <c r="AT183" s="213">
        <v>0</v>
      </c>
      <c r="AU183" s="213">
        <v>0</v>
      </c>
      <c r="AV183" s="213">
        <v>0</v>
      </c>
      <c r="AW183" s="213">
        <v>0</v>
      </c>
      <c r="AX183" s="213">
        <v>0</v>
      </c>
      <c r="AY183" s="213">
        <v>0</v>
      </c>
      <c r="AZ183" s="213">
        <v>0</v>
      </c>
      <c r="BA183" s="213">
        <v>0</v>
      </c>
      <c r="BB183" s="213">
        <v>0</v>
      </c>
      <c r="BC183" s="213">
        <v>0</v>
      </c>
    </row>
    <row r="184" spans="1:55" x14ac:dyDescent="0.25">
      <c r="A184" s="209" t="s">
        <v>374</v>
      </c>
      <c r="B184" s="210" t="s">
        <v>403</v>
      </c>
      <c r="C184" t="s">
        <v>11</v>
      </c>
      <c r="D184" t="s">
        <v>460</v>
      </c>
      <c r="E184" t="s">
        <v>492</v>
      </c>
      <c r="F184" s="211">
        <v>7000</v>
      </c>
      <c r="G184" t="s">
        <v>388</v>
      </c>
      <c r="H184" s="213">
        <v>12916.66</v>
      </c>
      <c r="I184" s="213">
        <v>12916.66</v>
      </c>
      <c r="J184" s="213">
        <v>12916.66</v>
      </c>
      <c r="K184" s="213">
        <v>12916.66</v>
      </c>
      <c r="L184" s="213">
        <v>12916.66</v>
      </c>
      <c r="M184" s="213">
        <v>12916.66</v>
      </c>
      <c r="N184" s="213">
        <v>15932.16</v>
      </c>
      <c r="O184" s="213">
        <v>16916.66</v>
      </c>
      <c r="P184" s="213">
        <v>15138.89</v>
      </c>
      <c r="Q184" s="213">
        <v>17916.66</v>
      </c>
      <c r="R184" s="213">
        <v>17916.669999999998</v>
      </c>
      <c r="S184" s="213">
        <v>17916.66</v>
      </c>
      <c r="T184" s="213">
        <v>17916.66</v>
      </c>
      <c r="U184" s="213">
        <v>17916.66</v>
      </c>
      <c r="V184" s="213">
        <v>17916.66</v>
      </c>
      <c r="W184" s="213">
        <v>17916.66</v>
      </c>
      <c r="X184" s="213">
        <v>17916.66</v>
      </c>
      <c r="Y184" s="213">
        <v>17916.66</v>
      </c>
      <c r="Z184" s="213">
        <v>17916.66</v>
      </c>
      <c r="AA184" s="213">
        <v>17916.66</v>
      </c>
      <c r="AB184" s="213">
        <v>18083.34</v>
      </c>
      <c r="AC184" s="213">
        <v>15916.67</v>
      </c>
      <c r="AD184" s="213">
        <v>13750</v>
      </c>
      <c r="AE184" s="213">
        <v>13750</v>
      </c>
      <c r="AF184" s="213">
        <v>0</v>
      </c>
      <c r="AG184" s="213">
        <v>0</v>
      </c>
      <c r="AH184" s="213">
        <v>0</v>
      </c>
      <c r="AI184" s="213">
        <v>0</v>
      </c>
      <c r="AJ184" s="213">
        <v>0</v>
      </c>
      <c r="AK184" s="213">
        <v>0</v>
      </c>
      <c r="AL184" s="213">
        <v>0</v>
      </c>
      <c r="AM184" s="213">
        <v>0</v>
      </c>
      <c r="AN184" s="213">
        <v>0</v>
      </c>
      <c r="AO184" s="213">
        <v>0</v>
      </c>
      <c r="AP184" s="213">
        <v>0</v>
      </c>
      <c r="AQ184" s="213">
        <v>0</v>
      </c>
      <c r="AR184" s="213">
        <v>0</v>
      </c>
      <c r="AS184" s="213">
        <v>0</v>
      </c>
      <c r="AT184" s="213">
        <v>0</v>
      </c>
      <c r="AU184" s="213">
        <v>0</v>
      </c>
      <c r="AV184" s="213">
        <v>0</v>
      </c>
      <c r="AW184" s="213">
        <v>0</v>
      </c>
      <c r="AX184" s="213">
        <v>0</v>
      </c>
      <c r="AY184" s="213">
        <v>0</v>
      </c>
      <c r="AZ184" s="213">
        <v>0</v>
      </c>
      <c r="BA184" s="213">
        <v>0</v>
      </c>
      <c r="BB184" s="213">
        <v>0</v>
      </c>
      <c r="BC184" s="213">
        <v>0</v>
      </c>
    </row>
    <row r="185" spans="1:55" x14ac:dyDescent="0.25">
      <c r="A185" s="209" t="s">
        <v>374</v>
      </c>
      <c r="B185" s="210" t="s">
        <v>403</v>
      </c>
      <c r="C185" t="s">
        <v>11</v>
      </c>
      <c r="D185" t="s">
        <v>460</v>
      </c>
      <c r="E185" t="s">
        <v>492</v>
      </c>
      <c r="F185" s="211">
        <v>6100</v>
      </c>
      <c r="G185" t="s">
        <v>389</v>
      </c>
      <c r="H185" s="213">
        <v>4253.42</v>
      </c>
      <c r="I185" s="213">
        <v>1741.23</v>
      </c>
      <c r="J185" s="213">
        <v>1741.23</v>
      </c>
      <c r="K185" s="213">
        <v>1741.23</v>
      </c>
      <c r="L185" s="213">
        <v>1741.19</v>
      </c>
      <c r="M185" s="213">
        <v>1741.19</v>
      </c>
      <c r="N185" s="213">
        <v>1972.78</v>
      </c>
      <c r="O185" s="213">
        <v>1353.91</v>
      </c>
      <c r="P185" s="213">
        <v>1293.05</v>
      </c>
      <c r="Q185" s="213">
        <v>2805.38</v>
      </c>
      <c r="R185" s="213">
        <v>1717.26</v>
      </c>
      <c r="S185" s="213">
        <v>5865.78</v>
      </c>
      <c r="T185" s="213">
        <v>1876.8000000000002</v>
      </c>
      <c r="U185" s="213">
        <v>3086.9</v>
      </c>
      <c r="V185" s="213">
        <v>2834.46</v>
      </c>
      <c r="W185" s="213">
        <v>2832.04</v>
      </c>
      <c r="X185" s="213">
        <v>2980.82</v>
      </c>
      <c r="Y185" s="213">
        <v>2951.46</v>
      </c>
      <c r="Z185" s="213">
        <v>2050.04</v>
      </c>
      <c r="AA185" s="213">
        <v>2065.86</v>
      </c>
      <c r="AB185" s="213">
        <v>1305.23</v>
      </c>
      <c r="AC185" s="213">
        <v>616.55999999999995</v>
      </c>
      <c r="AD185" s="213">
        <v>629.34</v>
      </c>
      <c r="AE185" s="213">
        <v>718</v>
      </c>
      <c r="AF185" s="213">
        <v>0</v>
      </c>
      <c r="AG185" s="213">
        <v>0</v>
      </c>
      <c r="AH185" s="213">
        <v>0</v>
      </c>
      <c r="AI185" s="213">
        <v>0</v>
      </c>
      <c r="AJ185" s="213">
        <v>0</v>
      </c>
      <c r="AK185" s="213">
        <v>0</v>
      </c>
      <c r="AL185" s="213">
        <v>0</v>
      </c>
      <c r="AM185" s="213">
        <v>0</v>
      </c>
      <c r="AN185" s="213">
        <v>0</v>
      </c>
      <c r="AO185" s="213">
        <v>0</v>
      </c>
      <c r="AP185" s="213">
        <v>0</v>
      </c>
      <c r="AQ185" s="213">
        <v>0</v>
      </c>
      <c r="AR185" s="213">
        <v>0</v>
      </c>
      <c r="AS185" s="213">
        <v>0</v>
      </c>
      <c r="AT185" s="213">
        <v>0</v>
      </c>
      <c r="AU185" s="213">
        <v>0</v>
      </c>
      <c r="AV185" s="213">
        <v>0</v>
      </c>
      <c r="AW185" s="213">
        <v>0</v>
      </c>
      <c r="AX185" s="213">
        <v>0</v>
      </c>
      <c r="AY185" s="213">
        <v>0</v>
      </c>
      <c r="AZ185" s="213">
        <v>0</v>
      </c>
      <c r="BA185" s="213">
        <v>0</v>
      </c>
      <c r="BB185" s="213">
        <v>0</v>
      </c>
      <c r="BC185" s="213">
        <v>0</v>
      </c>
    </row>
    <row r="186" spans="1:55" x14ac:dyDescent="0.25">
      <c r="A186" s="209" t="s">
        <v>374</v>
      </c>
      <c r="B186" s="210" t="s">
        <v>403</v>
      </c>
      <c r="C186" t="s">
        <v>11</v>
      </c>
      <c r="D186" t="s">
        <v>460</v>
      </c>
      <c r="E186" t="s">
        <v>492</v>
      </c>
      <c r="F186" s="211">
        <v>6150</v>
      </c>
      <c r="G186" t="s">
        <v>405</v>
      </c>
      <c r="H186" s="213">
        <v>3229</v>
      </c>
      <c r="I186" s="213">
        <v>3229</v>
      </c>
      <c r="J186" s="213">
        <v>3229</v>
      </c>
      <c r="K186" s="213">
        <v>3229</v>
      </c>
      <c r="L186" s="213">
        <v>3229</v>
      </c>
      <c r="M186" s="213">
        <v>3229</v>
      </c>
      <c r="N186" s="213">
        <v>3229</v>
      </c>
      <c r="O186" s="213">
        <v>3229</v>
      </c>
      <c r="P186" s="213">
        <v>3646</v>
      </c>
      <c r="Q186" s="213">
        <v>3456.02</v>
      </c>
      <c r="R186" s="213">
        <v>3745.83</v>
      </c>
      <c r="S186" s="213">
        <v>7508.82</v>
      </c>
      <c r="T186" s="213">
        <v>3817.7</v>
      </c>
      <c r="U186" s="213">
        <v>3645.84</v>
      </c>
      <c r="V186" s="213">
        <v>3645.83</v>
      </c>
      <c r="W186" s="213">
        <v>3645.83</v>
      </c>
      <c r="X186" s="213">
        <v>3645.84</v>
      </c>
      <c r="Y186" s="213">
        <v>3645.83</v>
      </c>
      <c r="Z186" s="213">
        <v>3646</v>
      </c>
      <c r="AA186" s="213">
        <v>3719</v>
      </c>
      <c r="AB186" s="213">
        <v>3692</v>
      </c>
      <c r="AC186" s="213">
        <v>3979</v>
      </c>
      <c r="AD186" s="213">
        <v>3983</v>
      </c>
      <c r="AE186" s="213">
        <v>-9391</v>
      </c>
      <c r="AF186" s="213">
        <v>0</v>
      </c>
      <c r="AG186" s="213">
        <v>0</v>
      </c>
      <c r="AH186" s="213">
        <v>0</v>
      </c>
      <c r="AI186" s="213">
        <v>0</v>
      </c>
      <c r="AJ186" s="213">
        <v>0</v>
      </c>
      <c r="AK186" s="213">
        <v>0</v>
      </c>
      <c r="AL186" s="213">
        <v>0</v>
      </c>
      <c r="AM186" s="213">
        <v>0</v>
      </c>
      <c r="AN186" s="213">
        <v>0</v>
      </c>
      <c r="AO186" s="213">
        <v>0</v>
      </c>
      <c r="AP186" s="213">
        <v>0</v>
      </c>
      <c r="AQ186" s="213">
        <v>0</v>
      </c>
      <c r="AR186" s="213">
        <v>0</v>
      </c>
      <c r="AS186" s="213">
        <v>0</v>
      </c>
      <c r="AT186" s="213">
        <v>0</v>
      </c>
      <c r="AU186" s="213">
        <v>0</v>
      </c>
      <c r="AV186" s="213">
        <v>0</v>
      </c>
      <c r="AW186" s="213">
        <v>0</v>
      </c>
      <c r="AX186" s="213">
        <v>0</v>
      </c>
      <c r="AY186" s="213">
        <v>0</v>
      </c>
      <c r="AZ186" s="213">
        <v>0</v>
      </c>
      <c r="BA186" s="213">
        <v>0</v>
      </c>
      <c r="BB186" s="213">
        <v>0</v>
      </c>
      <c r="BC186" s="213">
        <v>0</v>
      </c>
    </row>
    <row r="187" spans="1:55" x14ac:dyDescent="0.25">
      <c r="A187" s="209" t="s">
        <v>374</v>
      </c>
      <c r="B187" s="210" t="s">
        <v>403</v>
      </c>
      <c r="C187" t="s">
        <v>11</v>
      </c>
      <c r="D187" t="s">
        <v>460</v>
      </c>
      <c r="E187" t="s">
        <v>492</v>
      </c>
      <c r="F187" s="211">
        <v>6112</v>
      </c>
      <c r="G187" t="s">
        <v>391</v>
      </c>
      <c r="H187" s="213">
        <v>0</v>
      </c>
      <c r="I187" s="213">
        <v>0</v>
      </c>
      <c r="J187" s="213">
        <v>0</v>
      </c>
      <c r="K187" s="213">
        <v>0</v>
      </c>
      <c r="L187" s="213">
        <v>0</v>
      </c>
      <c r="M187" s="213">
        <v>0</v>
      </c>
      <c r="N187" s="213">
        <v>0</v>
      </c>
      <c r="O187" s="213">
        <v>0</v>
      </c>
      <c r="P187" s="213">
        <v>0</v>
      </c>
      <c r="Q187" s="213">
        <v>0</v>
      </c>
      <c r="R187" s="213">
        <v>0</v>
      </c>
      <c r="S187" s="213">
        <v>0</v>
      </c>
      <c r="T187" s="213">
        <v>0</v>
      </c>
      <c r="U187" s="213">
        <v>0</v>
      </c>
      <c r="V187" s="213">
        <v>0</v>
      </c>
      <c r="W187" s="213">
        <v>0</v>
      </c>
      <c r="X187" s="213">
        <v>0</v>
      </c>
      <c r="Y187" s="213">
        <v>0</v>
      </c>
      <c r="Z187" s="213">
        <v>0</v>
      </c>
      <c r="AA187" s="213">
        <v>0</v>
      </c>
      <c r="AB187" s="213">
        <v>803.91</v>
      </c>
      <c r="AC187" s="213">
        <v>357.06</v>
      </c>
      <c r="AD187" s="213">
        <v>193.21</v>
      </c>
      <c r="AE187" s="213">
        <v>478.55999999999995</v>
      </c>
      <c r="AF187" s="213">
        <v>0</v>
      </c>
      <c r="AG187" s="213">
        <v>0</v>
      </c>
      <c r="AH187" s="213">
        <v>0</v>
      </c>
      <c r="AI187" s="213">
        <v>0</v>
      </c>
      <c r="AJ187" s="213">
        <v>0</v>
      </c>
      <c r="AK187" s="213">
        <v>0</v>
      </c>
      <c r="AL187" s="213">
        <v>0</v>
      </c>
      <c r="AM187" s="213">
        <v>0</v>
      </c>
      <c r="AN187" s="213">
        <v>0</v>
      </c>
      <c r="AO187" s="213">
        <v>-332</v>
      </c>
      <c r="AP187" s="213">
        <v>0</v>
      </c>
      <c r="AQ187" s="213">
        <v>0</v>
      </c>
      <c r="AR187" s="213">
        <v>0</v>
      </c>
      <c r="AS187" s="213">
        <v>0</v>
      </c>
      <c r="AT187" s="213">
        <v>0</v>
      </c>
      <c r="AU187" s="213">
        <v>0</v>
      </c>
      <c r="AV187" s="213">
        <v>0</v>
      </c>
      <c r="AW187" s="213">
        <v>0</v>
      </c>
      <c r="AX187" s="213">
        <v>0</v>
      </c>
      <c r="AY187" s="213">
        <v>0</v>
      </c>
      <c r="AZ187" s="213">
        <v>0</v>
      </c>
      <c r="BA187" s="213">
        <v>0</v>
      </c>
      <c r="BB187" s="213">
        <v>0</v>
      </c>
      <c r="BC187" s="213">
        <v>0</v>
      </c>
    </row>
    <row r="188" spans="1:55" x14ac:dyDescent="0.25">
      <c r="A188" s="209" t="s">
        <v>374</v>
      </c>
      <c r="B188" s="210" t="s">
        <v>403</v>
      </c>
      <c r="C188" t="s">
        <v>11</v>
      </c>
      <c r="D188" t="s">
        <v>460</v>
      </c>
      <c r="E188" t="s">
        <v>492</v>
      </c>
      <c r="F188" s="211">
        <v>6350</v>
      </c>
      <c r="G188" t="s">
        <v>393</v>
      </c>
      <c r="H188" s="213">
        <v>0</v>
      </c>
      <c r="I188" s="213">
        <v>0</v>
      </c>
      <c r="J188" s="213">
        <v>0</v>
      </c>
      <c r="K188" s="213">
        <v>0</v>
      </c>
      <c r="L188" s="213">
        <v>0</v>
      </c>
      <c r="M188" s="213">
        <v>0</v>
      </c>
      <c r="N188" s="213">
        <v>0</v>
      </c>
      <c r="O188" s="213">
        <v>0</v>
      </c>
      <c r="P188" s="213">
        <v>0</v>
      </c>
      <c r="Q188" s="213">
        <v>0</v>
      </c>
      <c r="R188" s="213">
        <v>0</v>
      </c>
      <c r="S188" s="213">
        <v>73.98</v>
      </c>
      <c r="T188" s="213">
        <v>0</v>
      </c>
      <c r="U188" s="213">
        <v>0</v>
      </c>
      <c r="V188" s="213">
        <v>584.93000000000006</v>
      </c>
      <c r="W188" s="213">
        <v>135.99</v>
      </c>
      <c r="X188" s="213">
        <v>0</v>
      </c>
      <c r="Y188" s="213">
        <v>0</v>
      </c>
      <c r="Z188" s="213">
        <v>0</v>
      </c>
      <c r="AA188" s="213">
        <v>0</v>
      </c>
      <c r="AB188" s="213">
        <v>0</v>
      </c>
      <c r="AC188" s="213">
        <v>0</v>
      </c>
      <c r="AD188" s="213">
        <v>0</v>
      </c>
      <c r="AE188" s="213">
        <v>0</v>
      </c>
      <c r="AF188" s="213">
        <v>0</v>
      </c>
      <c r="AG188" s="213">
        <v>0</v>
      </c>
      <c r="AH188" s="213">
        <v>0</v>
      </c>
      <c r="AI188" s="213">
        <v>0</v>
      </c>
      <c r="AJ188" s="213">
        <v>0</v>
      </c>
      <c r="AK188" s="213">
        <v>0</v>
      </c>
      <c r="AL188" s="213">
        <v>0</v>
      </c>
      <c r="AM188" s="213">
        <v>0</v>
      </c>
      <c r="AN188" s="213">
        <v>0</v>
      </c>
      <c r="AO188" s="213">
        <v>0</v>
      </c>
      <c r="AP188" s="213">
        <v>0</v>
      </c>
      <c r="AQ188" s="213">
        <v>0</v>
      </c>
      <c r="AR188" s="213">
        <v>0</v>
      </c>
      <c r="AS188" s="213">
        <v>0</v>
      </c>
      <c r="AT188" s="213">
        <v>0</v>
      </c>
      <c r="AU188" s="213">
        <v>0</v>
      </c>
      <c r="AV188" s="213">
        <v>0</v>
      </c>
      <c r="AW188" s="213">
        <v>0</v>
      </c>
      <c r="AX188" s="213">
        <v>0</v>
      </c>
      <c r="AY188" s="213">
        <v>0</v>
      </c>
      <c r="AZ188" s="213">
        <v>0</v>
      </c>
      <c r="BA188" s="213">
        <v>0</v>
      </c>
      <c r="BB188" s="213">
        <v>0</v>
      </c>
      <c r="BC188" s="213">
        <v>0</v>
      </c>
    </row>
    <row r="189" spans="1:55" x14ac:dyDescent="0.25">
      <c r="A189" s="209" t="s">
        <v>374</v>
      </c>
      <c r="B189" s="210" t="s">
        <v>403</v>
      </c>
      <c r="C189" t="s">
        <v>11</v>
      </c>
      <c r="D189" t="s">
        <v>460</v>
      </c>
      <c r="E189" t="s">
        <v>493</v>
      </c>
      <c r="F189" s="211">
        <v>6400</v>
      </c>
      <c r="G189" t="s">
        <v>395</v>
      </c>
      <c r="H189" s="213">
        <v>0</v>
      </c>
      <c r="I189" s="213">
        <v>0</v>
      </c>
      <c r="J189" s="213">
        <v>1589.94</v>
      </c>
      <c r="K189" s="213">
        <v>1600.08</v>
      </c>
      <c r="L189" s="213">
        <v>1500</v>
      </c>
      <c r="M189" s="213">
        <v>1589.94</v>
      </c>
      <c r="N189" s="213">
        <v>3000</v>
      </c>
      <c r="O189" s="213">
        <v>0</v>
      </c>
      <c r="P189" s="213">
        <v>1635.3</v>
      </c>
      <c r="Q189" s="213">
        <v>1500</v>
      </c>
      <c r="R189" s="213">
        <v>1551.3</v>
      </c>
      <c r="S189" s="213">
        <v>3043.01</v>
      </c>
      <c r="T189" s="213">
        <v>1500</v>
      </c>
      <c r="U189" s="213">
        <v>1500</v>
      </c>
      <c r="V189" s="213">
        <v>1500</v>
      </c>
      <c r="W189" s="213">
        <v>1824.95</v>
      </c>
      <c r="X189" s="213">
        <v>1884.99</v>
      </c>
      <c r="Y189" s="213">
        <v>1756.99</v>
      </c>
      <c r="Z189" s="213">
        <v>3326.99</v>
      </c>
      <c r="AA189" s="213">
        <v>276.99</v>
      </c>
      <c r="AB189" s="213">
        <v>1500</v>
      </c>
      <c r="AC189" s="213">
        <v>1848.05</v>
      </c>
      <c r="AD189" s="213">
        <v>1500</v>
      </c>
      <c r="AE189" s="213">
        <v>0</v>
      </c>
      <c r="AF189" s="213">
        <v>0</v>
      </c>
      <c r="AG189" s="213">
        <v>0</v>
      </c>
      <c r="AH189" s="213">
        <v>0</v>
      </c>
      <c r="AI189" s="213">
        <v>0</v>
      </c>
      <c r="AJ189" s="213">
        <v>0</v>
      </c>
      <c r="AK189" s="213">
        <v>0</v>
      </c>
      <c r="AL189" s="213">
        <v>0</v>
      </c>
      <c r="AM189" s="213">
        <v>0</v>
      </c>
      <c r="AN189" s="213">
        <v>0</v>
      </c>
      <c r="AO189" s="213">
        <v>0</v>
      </c>
      <c r="AP189" s="213">
        <v>0</v>
      </c>
      <c r="AQ189" s="213">
        <v>0</v>
      </c>
      <c r="AR189" s="213">
        <v>0</v>
      </c>
      <c r="AS189" s="213">
        <v>0</v>
      </c>
      <c r="AT189" s="213">
        <v>0</v>
      </c>
      <c r="AU189" s="213">
        <v>0</v>
      </c>
      <c r="AV189" s="213">
        <v>0</v>
      </c>
      <c r="AW189" s="213">
        <v>0</v>
      </c>
      <c r="AX189" s="213">
        <v>0</v>
      </c>
      <c r="AY189" s="213">
        <v>0</v>
      </c>
      <c r="AZ189" s="213">
        <v>0</v>
      </c>
      <c r="BA189" s="213">
        <v>0</v>
      </c>
      <c r="BB189" s="213">
        <v>0</v>
      </c>
      <c r="BC189" s="213">
        <v>0</v>
      </c>
    </row>
    <row r="190" spans="1:55" x14ac:dyDescent="0.25">
      <c r="A190" s="209" t="s">
        <v>374</v>
      </c>
      <c r="B190" s="210" t="s">
        <v>406</v>
      </c>
      <c r="C190" t="s">
        <v>11</v>
      </c>
      <c r="D190" t="s">
        <v>460</v>
      </c>
      <c r="E190" t="s">
        <v>493</v>
      </c>
      <c r="F190" s="211">
        <v>7150</v>
      </c>
      <c r="G190" t="s">
        <v>397</v>
      </c>
      <c r="H190" s="213">
        <v>395.97</v>
      </c>
      <c r="I190" s="213">
        <v>1031.45</v>
      </c>
      <c r="J190" s="213">
        <v>110.53</v>
      </c>
      <c r="K190" s="213">
        <v>1263.04</v>
      </c>
      <c r="L190" s="213">
        <v>412.09</v>
      </c>
      <c r="M190" s="213">
        <v>2235.6800000000003</v>
      </c>
      <c r="N190" s="213">
        <v>7072.45</v>
      </c>
      <c r="O190" s="213">
        <v>349.06</v>
      </c>
      <c r="P190" s="213">
        <v>391.87</v>
      </c>
      <c r="Q190" s="213">
        <v>4922.76</v>
      </c>
      <c r="R190" s="213">
        <v>318.72000000000003</v>
      </c>
      <c r="S190" s="213">
        <v>4965.0999999999995</v>
      </c>
      <c r="T190" s="213">
        <v>6938.47</v>
      </c>
      <c r="U190" s="213">
        <v>421.53</v>
      </c>
      <c r="V190" s="213">
        <v>210.62</v>
      </c>
      <c r="W190" s="213">
        <v>1383.23</v>
      </c>
      <c r="X190" s="213">
        <v>1210.71</v>
      </c>
      <c r="Y190" s="213">
        <v>2324.62</v>
      </c>
      <c r="Z190" s="213">
        <v>403.83000000000004</v>
      </c>
      <c r="AA190" s="213">
        <v>597.79</v>
      </c>
      <c r="AB190" s="213">
        <v>3250</v>
      </c>
      <c r="AC190" s="213">
        <v>-7946.52</v>
      </c>
      <c r="AD190" s="213">
        <v>954.30000000000007</v>
      </c>
      <c r="AE190" s="213">
        <v>8114.57</v>
      </c>
      <c r="AF190" s="213">
        <v>0</v>
      </c>
      <c r="AG190" s="213">
        <v>0</v>
      </c>
      <c r="AH190" s="213">
        <v>0</v>
      </c>
      <c r="AI190" s="213">
        <v>0</v>
      </c>
      <c r="AJ190" s="213">
        <v>0</v>
      </c>
      <c r="AK190" s="213">
        <v>0</v>
      </c>
      <c r="AL190" s="213">
        <v>0</v>
      </c>
      <c r="AM190" s="213">
        <v>0</v>
      </c>
      <c r="AN190" s="213">
        <v>0</v>
      </c>
      <c r="AO190" s="213">
        <v>0</v>
      </c>
      <c r="AP190" s="213">
        <v>0</v>
      </c>
      <c r="AQ190" s="213">
        <v>0</v>
      </c>
      <c r="AR190" s="213">
        <v>0</v>
      </c>
      <c r="AS190" s="213">
        <v>0</v>
      </c>
      <c r="AT190" s="213">
        <v>0</v>
      </c>
      <c r="AU190" s="213">
        <v>16.88</v>
      </c>
      <c r="AV190" s="213">
        <v>0</v>
      </c>
      <c r="AW190" s="213">
        <v>0</v>
      </c>
      <c r="AX190" s="213">
        <v>0</v>
      </c>
      <c r="AY190" s="213">
        <v>0</v>
      </c>
      <c r="AZ190" s="213">
        <v>0</v>
      </c>
      <c r="BA190" s="213">
        <v>0</v>
      </c>
      <c r="BB190" s="213">
        <v>0</v>
      </c>
      <c r="BC190" s="213">
        <v>0</v>
      </c>
    </row>
    <row r="191" spans="1:55" x14ac:dyDescent="0.25">
      <c r="B191" s="210"/>
      <c r="H191" s="214">
        <v>0</v>
      </c>
      <c r="I191" s="214">
        <v>0</v>
      </c>
      <c r="J191" s="214">
        <v>0</v>
      </c>
      <c r="K191" s="214">
        <v>0</v>
      </c>
      <c r="L191" s="214">
        <v>0</v>
      </c>
      <c r="M191" s="214">
        <v>0</v>
      </c>
      <c r="N191" s="214">
        <v>0</v>
      </c>
      <c r="O191" s="214">
        <v>0</v>
      </c>
      <c r="P191" s="214">
        <v>0</v>
      </c>
      <c r="Q191" s="214">
        <v>0</v>
      </c>
      <c r="R191" s="214">
        <v>0</v>
      </c>
      <c r="S191" s="214">
        <v>0</v>
      </c>
      <c r="T191" s="214">
        <v>0</v>
      </c>
      <c r="U191" s="214">
        <v>0</v>
      </c>
      <c r="V191" s="214">
        <v>0</v>
      </c>
      <c r="W191" s="214">
        <v>0</v>
      </c>
      <c r="X191" s="214">
        <v>0</v>
      </c>
      <c r="Y191" s="214">
        <v>0</v>
      </c>
      <c r="Z191" s="214">
        <v>0</v>
      </c>
      <c r="AA191" s="214">
        <v>0</v>
      </c>
      <c r="AB191" s="214">
        <v>0</v>
      </c>
      <c r="AC191" s="214">
        <v>0</v>
      </c>
      <c r="AD191" s="214">
        <v>0</v>
      </c>
      <c r="AE191" s="214">
        <v>0</v>
      </c>
      <c r="AF191" s="214">
        <v>0</v>
      </c>
      <c r="AG191" s="214">
        <v>0</v>
      </c>
      <c r="AH191" s="214">
        <v>0</v>
      </c>
      <c r="AI191" s="214">
        <v>0</v>
      </c>
      <c r="AJ191" s="214">
        <v>0</v>
      </c>
      <c r="AK191" s="214">
        <v>0</v>
      </c>
      <c r="AL191" s="214">
        <v>0</v>
      </c>
      <c r="AM191" s="214">
        <v>0</v>
      </c>
      <c r="AN191" s="214">
        <v>0</v>
      </c>
      <c r="AO191" s="214">
        <v>0</v>
      </c>
      <c r="AP191" s="214">
        <v>0</v>
      </c>
      <c r="AQ191" s="214">
        <v>0</v>
      </c>
      <c r="AR191" s="214">
        <v>0</v>
      </c>
      <c r="AS191" s="214">
        <v>0</v>
      </c>
      <c r="AT191" s="214">
        <v>0</v>
      </c>
      <c r="AU191" s="214">
        <v>0</v>
      </c>
      <c r="AV191" s="214">
        <v>0</v>
      </c>
      <c r="AW191" s="214">
        <v>0</v>
      </c>
      <c r="AX191" s="214">
        <v>0</v>
      </c>
      <c r="AY191" s="214">
        <v>0</v>
      </c>
      <c r="AZ191" s="214">
        <v>0</v>
      </c>
      <c r="BA191" s="214">
        <v>0</v>
      </c>
      <c r="BB191" s="214">
        <v>0</v>
      </c>
      <c r="BC191" s="214">
        <v>0</v>
      </c>
    </row>
    <row r="192" spans="1:55" x14ac:dyDescent="0.25">
      <c r="B192" s="210"/>
      <c r="H192" s="216">
        <v>20795.050000000003</v>
      </c>
      <c r="I192" s="216">
        <v>18918.34</v>
      </c>
      <c r="J192" s="216">
        <v>19587.359999999997</v>
      </c>
      <c r="K192" s="216">
        <v>20750.010000000002</v>
      </c>
      <c r="L192" s="216">
        <v>19798.939999999999</v>
      </c>
      <c r="M192" s="216">
        <v>21712.469999999998</v>
      </c>
      <c r="N192" s="216">
        <v>31206.39</v>
      </c>
      <c r="O192" s="216">
        <v>21848.63</v>
      </c>
      <c r="P192" s="216">
        <v>22105.109999999997</v>
      </c>
      <c r="Q192" s="216">
        <v>30600.82</v>
      </c>
      <c r="R192" s="216">
        <v>25249.779999999995</v>
      </c>
      <c r="S192" s="216">
        <v>39373.35</v>
      </c>
      <c r="T192" s="216">
        <v>32049.63</v>
      </c>
      <c r="U192" s="216">
        <v>26570.93</v>
      </c>
      <c r="V192" s="216">
        <v>26692.499999999996</v>
      </c>
      <c r="W192" s="216">
        <v>27738.7</v>
      </c>
      <c r="X192" s="216">
        <v>27639.02</v>
      </c>
      <c r="Y192" s="216">
        <v>28595.559999999998</v>
      </c>
      <c r="Z192" s="216">
        <v>27343.520000000004</v>
      </c>
      <c r="AA192" s="216">
        <v>24576.300000000003</v>
      </c>
      <c r="AB192" s="216">
        <v>28634.48</v>
      </c>
      <c r="AC192" s="216">
        <v>14770.82</v>
      </c>
      <c r="AD192" s="216">
        <v>21009.85</v>
      </c>
      <c r="AE192" s="216">
        <v>13670.13</v>
      </c>
      <c r="AF192" s="216">
        <v>0</v>
      </c>
      <c r="AG192" s="216">
        <v>0</v>
      </c>
      <c r="AH192" s="216">
        <v>0</v>
      </c>
      <c r="AI192" s="216">
        <v>0</v>
      </c>
      <c r="AJ192" s="216">
        <v>0</v>
      </c>
      <c r="AK192" s="216">
        <v>0</v>
      </c>
      <c r="AL192" s="216">
        <v>0</v>
      </c>
      <c r="AM192" s="216">
        <v>0</v>
      </c>
      <c r="AN192" s="216">
        <v>0</v>
      </c>
      <c r="AO192" s="216">
        <v>-332</v>
      </c>
      <c r="AP192" s="216">
        <v>0</v>
      </c>
      <c r="AQ192" s="216">
        <v>0</v>
      </c>
      <c r="AR192" s="216">
        <v>0</v>
      </c>
      <c r="AS192" s="216">
        <v>0</v>
      </c>
      <c r="AT192" s="216">
        <v>0</v>
      </c>
      <c r="AU192" s="216">
        <v>16.88</v>
      </c>
      <c r="AV192" s="216">
        <v>0</v>
      </c>
      <c r="AW192" s="216">
        <v>0</v>
      </c>
      <c r="AX192" s="216">
        <v>0</v>
      </c>
      <c r="AY192" s="216">
        <v>0</v>
      </c>
      <c r="AZ192" s="216">
        <v>0</v>
      </c>
      <c r="BA192" s="216">
        <v>0</v>
      </c>
      <c r="BB192" s="216">
        <v>0</v>
      </c>
      <c r="BC192" s="216">
        <v>0</v>
      </c>
    </row>
    <row r="193" spans="1:55" ht="15.75" x14ac:dyDescent="0.25">
      <c r="A193" s="206" t="s">
        <v>461</v>
      </c>
      <c r="B193" s="207"/>
      <c r="C193" s="206"/>
      <c r="D193" s="206"/>
      <c r="E193" s="206"/>
      <c r="F193" s="206"/>
      <c r="G193" s="206"/>
      <c r="H193" s="213">
        <v>0</v>
      </c>
      <c r="I193" s="213">
        <v>0</v>
      </c>
      <c r="J193" s="213">
        <v>0</v>
      </c>
      <c r="K193" s="213">
        <v>0</v>
      </c>
      <c r="L193" s="213">
        <v>0</v>
      </c>
      <c r="M193" s="213">
        <v>0</v>
      </c>
      <c r="N193" s="213">
        <v>0</v>
      </c>
      <c r="O193" s="213">
        <v>0</v>
      </c>
      <c r="P193" s="213">
        <v>0</v>
      </c>
      <c r="Q193" s="213">
        <v>0</v>
      </c>
      <c r="R193" s="213">
        <v>0</v>
      </c>
      <c r="S193" s="213">
        <v>0</v>
      </c>
      <c r="T193" s="213">
        <v>0</v>
      </c>
      <c r="U193" s="213">
        <v>0</v>
      </c>
      <c r="V193" s="213">
        <v>0</v>
      </c>
      <c r="W193" s="213">
        <v>0</v>
      </c>
      <c r="X193" s="213">
        <v>0</v>
      </c>
      <c r="Y193" s="213">
        <v>0</v>
      </c>
      <c r="Z193" s="213">
        <v>0</v>
      </c>
      <c r="AA193" s="213">
        <v>0</v>
      </c>
      <c r="AB193" s="213">
        <v>0</v>
      </c>
      <c r="AC193" s="213">
        <v>0</v>
      </c>
      <c r="AD193" s="213">
        <v>0</v>
      </c>
      <c r="AE193" s="213">
        <v>0</v>
      </c>
      <c r="AF193" s="213">
        <v>0</v>
      </c>
      <c r="AG193" s="213">
        <v>0</v>
      </c>
      <c r="AH193" s="213">
        <v>0</v>
      </c>
      <c r="AI193" s="213">
        <v>0</v>
      </c>
      <c r="AJ193" s="213">
        <v>0</v>
      </c>
      <c r="AK193" s="213">
        <v>0</v>
      </c>
      <c r="AL193" s="213">
        <v>0</v>
      </c>
      <c r="AM193" s="213">
        <v>0</v>
      </c>
      <c r="AN193" s="213">
        <v>0</v>
      </c>
      <c r="AO193" s="213">
        <v>0</v>
      </c>
      <c r="AP193" s="213">
        <v>0</v>
      </c>
      <c r="AQ193" s="213">
        <v>0</v>
      </c>
      <c r="AR193" s="213">
        <v>0</v>
      </c>
      <c r="AS193" s="213">
        <v>0</v>
      </c>
      <c r="AT193" s="213">
        <v>0</v>
      </c>
      <c r="AU193" s="213">
        <v>0</v>
      </c>
      <c r="AV193" s="213">
        <v>0</v>
      </c>
      <c r="AW193" s="213">
        <v>0</v>
      </c>
      <c r="AX193" s="213">
        <v>0</v>
      </c>
      <c r="AY193" s="213">
        <v>0</v>
      </c>
      <c r="AZ193" s="213">
        <v>0</v>
      </c>
      <c r="BA193" s="213">
        <v>0</v>
      </c>
      <c r="BB193" s="213">
        <v>0</v>
      </c>
      <c r="BC193" s="213">
        <v>0</v>
      </c>
    </row>
    <row r="194" spans="1:55" x14ac:dyDescent="0.25">
      <c r="A194" s="209" t="s">
        <v>374</v>
      </c>
      <c r="B194" s="210" t="s">
        <v>403</v>
      </c>
      <c r="C194" t="s">
        <v>10</v>
      </c>
      <c r="D194" t="s">
        <v>462</v>
      </c>
      <c r="E194" t="s">
        <v>484</v>
      </c>
      <c r="F194" s="211">
        <v>7000</v>
      </c>
      <c r="G194" t="s">
        <v>388</v>
      </c>
      <c r="H194" s="213">
        <v>185729.64</v>
      </c>
      <c r="I194" s="213">
        <v>191704.53</v>
      </c>
      <c r="J194" s="213">
        <v>201874.97</v>
      </c>
      <c r="K194" s="213">
        <v>207083.3</v>
      </c>
      <c r="L194" s="213">
        <v>223675.42</v>
      </c>
      <c r="M194" s="213">
        <v>223749.96</v>
      </c>
      <c r="N194" s="213">
        <v>248545.28</v>
      </c>
      <c r="O194" s="213">
        <v>273785.90000000002</v>
      </c>
      <c r="P194" s="213">
        <v>276469.5</v>
      </c>
      <c r="Q194" s="213">
        <v>301213.64999999997</v>
      </c>
      <c r="R194" s="213">
        <v>305430.21999999997</v>
      </c>
      <c r="S194" s="213">
        <v>338784.62999999995</v>
      </c>
      <c r="T194" s="213">
        <v>362899.37999999995</v>
      </c>
      <c r="U194" s="213">
        <v>375961.97000000003</v>
      </c>
      <c r="V194" s="213">
        <v>415722.66000000003</v>
      </c>
      <c r="W194" s="213">
        <v>394171.65</v>
      </c>
      <c r="X194" s="213">
        <v>371244.68</v>
      </c>
      <c r="Y194" s="213">
        <v>372046.33</v>
      </c>
      <c r="Z194" s="213">
        <v>381273.26999999996</v>
      </c>
      <c r="AA194" s="213">
        <v>370732.74</v>
      </c>
      <c r="AB194" s="213">
        <v>384413.27999999997</v>
      </c>
      <c r="AC194" s="213">
        <v>416315.85</v>
      </c>
      <c r="AD194" s="213">
        <v>392238.94</v>
      </c>
      <c r="AE194" s="213">
        <v>398272.01999999996</v>
      </c>
      <c r="AF194" s="213">
        <v>435227.27999999997</v>
      </c>
      <c r="AG194" s="213">
        <v>499589.62</v>
      </c>
      <c r="AH194" s="213">
        <v>539005.94999999995</v>
      </c>
      <c r="AI194" s="213">
        <v>559597.52</v>
      </c>
      <c r="AJ194" s="213">
        <v>460256.23</v>
      </c>
      <c r="AK194" s="213">
        <v>468917.15</v>
      </c>
      <c r="AL194" s="213">
        <v>468381.82</v>
      </c>
      <c r="AM194" s="213">
        <v>461530.49</v>
      </c>
      <c r="AN194" s="213">
        <v>479456.30000000005</v>
      </c>
      <c r="AO194" s="213">
        <v>502704.49</v>
      </c>
      <c r="AP194" s="213">
        <v>485209.77999999997</v>
      </c>
      <c r="AQ194" s="213">
        <v>483384.63</v>
      </c>
      <c r="AR194" s="213">
        <v>559676.39</v>
      </c>
      <c r="AS194" s="213">
        <v>578240.78</v>
      </c>
      <c r="AT194" s="213">
        <v>644096.77999999991</v>
      </c>
      <c r="AU194" s="213">
        <v>690009.96</v>
      </c>
      <c r="AV194" s="213">
        <v>799041.93296254589</v>
      </c>
      <c r="AW194" s="213">
        <v>837702.0165538463</v>
      </c>
      <c r="AX194" s="213">
        <v>899644.99471046729</v>
      </c>
      <c r="AY194" s="213">
        <v>970397.87353409093</v>
      </c>
      <c r="AZ194" s="213">
        <v>1018923.544159091</v>
      </c>
      <c r="BA194" s="213">
        <v>1059455.3560580809</v>
      </c>
      <c r="BB194" s="213">
        <v>1080027.2860475162</v>
      </c>
      <c r="BC194" s="213">
        <v>1091828.6880475162</v>
      </c>
    </row>
    <row r="195" spans="1:55" x14ac:dyDescent="0.25">
      <c r="A195" s="209" t="s">
        <v>374</v>
      </c>
      <c r="B195" s="210" t="s">
        <v>403</v>
      </c>
      <c r="C195" t="s">
        <v>10</v>
      </c>
      <c r="D195" t="s">
        <v>462</v>
      </c>
      <c r="E195" t="s">
        <v>484</v>
      </c>
      <c r="F195" s="211">
        <v>6100</v>
      </c>
      <c r="G195" t="s">
        <v>389</v>
      </c>
      <c r="H195" s="213">
        <v>47112.08</v>
      </c>
      <c r="I195" s="213">
        <v>30614.19</v>
      </c>
      <c r="J195" s="213">
        <v>42361.82</v>
      </c>
      <c r="K195" s="213">
        <v>45727.27</v>
      </c>
      <c r="L195" s="213">
        <v>36137.06</v>
      </c>
      <c r="M195" s="213">
        <v>47332.9</v>
      </c>
      <c r="N195" s="213">
        <v>50637.73</v>
      </c>
      <c r="O195" s="213">
        <v>41312.550000000003</v>
      </c>
      <c r="P195" s="213">
        <v>41494</v>
      </c>
      <c r="Q195" s="213">
        <v>50350.15</v>
      </c>
      <c r="R195" s="213">
        <v>41453.210000000006</v>
      </c>
      <c r="S195" s="213">
        <v>176426.83</v>
      </c>
      <c r="T195" s="213">
        <v>15513.82</v>
      </c>
      <c r="U195" s="213">
        <v>81707.14</v>
      </c>
      <c r="V195" s="213">
        <v>86225.43</v>
      </c>
      <c r="W195" s="213">
        <v>122733.36000000002</v>
      </c>
      <c r="X195" s="213">
        <v>84773.51999999999</v>
      </c>
      <c r="Y195" s="213">
        <v>92082.189999999988</v>
      </c>
      <c r="Z195" s="213">
        <v>102171.95999999999</v>
      </c>
      <c r="AA195" s="213">
        <v>69195.23000000001</v>
      </c>
      <c r="AB195" s="213">
        <v>28545.02</v>
      </c>
      <c r="AC195" s="213">
        <v>43398.84</v>
      </c>
      <c r="AD195" s="213">
        <v>42080.53</v>
      </c>
      <c r="AE195" s="213">
        <v>46563.75</v>
      </c>
      <c r="AF195" s="213">
        <v>57080.810000000005</v>
      </c>
      <c r="AG195" s="213">
        <v>48093.03</v>
      </c>
      <c r="AH195" s="213">
        <v>57476.54</v>
      </c>
      <c r="AI195" s="213">
        <v>42873.979999999996</v>
      </c>
      <c r="AJ195" s="213">
        <v>43482.939999999995</v>
      </c>
      <c r="AK195" s="213">
        <v>40241.039999999994</v>
      </c>
      <c r="AL195" s="213">
        <v>43098.770000000004</v>
      </c>
      <c r="AM195" s="213">
        <v>52298.239999999998</v>
      </c>
      <c r="AN195" s="213">
        <v>49689.79</v>
      </c>
      <c r="AO195" s="213">
        <v>49178.27</v>
      </c>
      <c r="AP195" s="213">
        <v>47413.599999999999</v>
      </c>
      <c r="AQ195" s="213">
        <v>42385.200000000004</v>
      </c>
      <c r="AR195" s="213">
        <v>64454.29</v>
      </c>
      <c r="AS195" s="213">
        <v>57873.430000000008</v>
      </c>
      <c r="AT195" s="213">
        <v>59075.94</v>
      </c>
      <c r="AU195" s="213">
        <v>63076.119999999995</v>
      </c>
      <c r="AV195" s="213">
        <v>78491.1702822222</v>
      </c>
      <c r="AW195" s="213">
        <v>82109.649579999968</v>
      </c>
      <c r="AX195" s="213">
        <v>88501.24957999996</v>
      </c>
      <c r="AY195" s="213">
        <v>98308.071562222176</v>
      </c>
      <c r="AZ195" s="213">
        <v>106549.34085595561</v>
      </c>
      <c r="BA195" s="213">
        <v>109892.43085595564</v>
      </c>
      <c r="BB195" s="213">
        <v>111212.54767755565</v>
      </c>
      <c r="BC195" s="213">
        <v>113235.52085595563</v>
      </c>
    </row>
    <row r="196" spans="1:55" x14ac:dyDescent="0.25">
      <c r="A196" s="209" t="s">
        <v>374</v>
      </c>
      <c r="B196" s="210" t="s">
        <v>403</v>
      </c>
      <c r="C196" t="s">
        <v>10</v>
      </c>
      <c r="D196" t="s">
        <v>462</v>
      </c>
      <c r="E196" t="s">
        <v>484</v>
      </c>
      <c r="F196" s="211">
        <v>6150</v>
      </c>
      <c r="G196" t="s">
        <v>405</v>
      </c>
      <c r="H196" s="215">
        <v>0</v>
      </c>
      <c r="I196" s="215">
        <v>0</v>
      </c>
      <c r="J196" s="215">
        <v>0</v>
      </c>
      <c r="K196" s="215">
        <v>0</v>
      </c>
      <c r="L196" s="215">
        <v>0</v>
      </c>
      <c r="M196" s="215">
        <v>0</v>
      </c>
      <c r="N196" s="215">
        <v>0</v>
      </c>
      <c r="O196" s="215">
        <v>0</v>
      </c>
      <c r="P196" s="215">
        <v>0</v>
      </c>
      <c r="Q196" s="215">
        <v>0</v>
      </c>
      <c r="R196" s="215">
        <v>0</v>
      </c>
      <c r="S196" s="215">
        <v>0</v>
      </c>
      <c r="T196" s="215">
        <v>1029.74</v>
      </c>
      <c r="U196" s="215">
        <v>2721.55</v>
      </c>
      <c r="V196" s="215">
        <v>2594.0500000000002</v>
      </c>
      <c r="W196" s="215">
        <v>2772.27</v>
      </c>
      <c r="X196" s="215">
        <v>1995.04</v>
      </c>
      <c r="Y196" s="215">
        <v>1073.3800000000001</v>
      </c>
      <c r="Z196" s="215">
        <v>953.98</v>
      </c>
      <c r="AA196" s="215">
        <v>5175.25</v>
      </c>
      <c r="AB196" s="215">
        <v>0</v>
      </c>
      <c r="AC196" s="215">
        <v>0</v>
      </c>
      <c r="AD196" s="215">
        <v>5100</v>
      </c>
      <c r="AE196" s="215">
        <v>11292.65</v>
      </c>
      <c r="AF196" s="215">
        <v>2187</v>
      </c>
      <c r="AG196" s="215">
        <v>-20.5</v>
      </c>
      <c r="AH196" s="215">
        <v>-34407.42</v>
      </c>
      <c r="AI196" s="215">
        <v>180</v>
      </c>
      <c r="AJ196" s="215">
        <v>275</v>
      </c>
      <c r="AK196" s="215">
        <v>2916.67</v>
      </c>
      <c r="AL196" s="215">
        <v>2616.67</v>
      </c>
      <c r="AM196" s="215">
        <v>866.67</v>
      </c>
      <c r="AN196" s="215">
        <v>316.66000000000003</v>
      </c>
      <c r="AO196" s="215">
        <v>866.67</v>
      </c>
      <c r="AP196" s="215">
        <v>901.66</v>
      </c>
      <c r="AQ196" s="215">
        <v>866.67</v>
      </c>
      <c r="AR196" s="215">
        <v>1616.67</v>
      </c>
      <c r="AS196" s="215">
        <v>3791.67</v>
      </c>
      <c r="AT196" s="215">
        <v>16418.580000000002</v>
      </c>
      <c r="AU196" s="215">
        <v>-7817.74</v>
      </c>
      <c r="AV196" s="215">
        <v>31881.648402564108</v>
      </c>
      <c r="AW196" s="215">
        <v>33777.417633333331</v>
      </c>
      <c r="AX196" s="215">
        <v>36725.465418881118</v>
      </c>
      <c r="AY196" s="215">
        <v>39421.253589044289</v>
      </c>
      <c r="AZ196" s="215">
        <v>42405.048996694648</v>
      </c>
      <c r="BA196" s="215">
        <v>44201.10657245222</v>
      </c>
      <c r="BB196" s="215">
        <v>45698.707898209796</v>
      </c>
      <c r="BC196" s="215">
        <v>46172.726648209798</v>
      </c>
    </row>
    <row r="197" spans="1:55" x14ac:dyDescent="0.25">
      <c r="A197" s="209" t="s">
        <v>374</v>
      </c>
      <c r="B197" s="210" t="s">
        <v>403</v>
      </c>
      <c r="C197" t="s">
        <v>10</v>
      </c>
      <c r="D197" t="s">
        <v>462</v>
      </c>
      <c r="E197" t="s">
        <v>484</v>
      </c>
      <c r="F197" s="211">
        <v>6112</v>
      </c>
      <c r="G197" t="s">
        <v>391</v>
      </c>
      <c r="H197" s="213">
        <v>0</v>
      </c>
      <c r="I197" s="213">
        <v>0</v>
      </c>
      <c r="J197" s="213">
        <v>0</v>
      </c>
      <c r="K197" s="213">
        <v>0</v>
      </c>
      <c r="L197" s="213">
        <v>0</v>
      </c>
      <c r="M197" s="213">
        <v>0</v>
      </c>
      <c r="N197" s="213">
        <v>0</v>
      </c>
      <c r="O197" s="213">
        <v>0</v>
      </c>
      <c r="P197" s="213">
        <v>0</v>
      </c>
      <c r="Q197" s="213">
        <v>0</v>
      </c>
      <c r="R197" s="213">
        <v>0</v>
      </c>
      <c r="S197" s="213">
        <v>0</v>
      </c>
      <c r="T197" s="213">
        <v>0</v>
      </c>
      <c r="U197" s="213">
        <v>0</v>
      </c>
      <c r="V197" s="213">
        <v>0</v>
      </c>
      <c r="W197" s="213">
        <v>0</v>
      </c>
      <c r="X197" s="213">
        <v>0</v>
      </c>
      <c r="Y197" s="213">
        <v>0</v>
      </c>
      <c r="Z197" s="213">
        <v>0</v>
      </c>
      <c r="AA197" s="213">
        <v>0</v>
      </c>
      <c r="AB197" s="213">
        <v>55736.83</v>
      </c>
      <c r="AC197" s="213">
        <v>58325.49</v>
      </c>
      <c r="AD197" s="213">
        <v>38532.26</v>
      </c>
      <c r="AE197" s="213">
        <v>84028.029999999984</v>
      </c>
      <c r="AF197" s="213">
        <v>93316.64</v>
      </c>
      <c r="AG197" s="213">
        <v>53519</v>
      </c>
      <c r="AH197" s="213">
        <v>64425.850000000006</v>
      </c>
      <c r="AI197" s="213">
        <v>70363.430000000008</v>
      </c>
      <c r="AJ197" s="213">
        <v>47483.75</v>
      </c>
      <c r="AK197" s="213">
        <v>50705.04</v>
      </c>
      <c r="AL197" s="213">
        <v>81842.36</v>
      </c>
      <c r="AM197" s="213">
        <v>37465.29</v>
      </c>
      <c r="AN197" s="213">
        <v>50258.13</v>
      </c>
      <c r="AO197" s="213">
        <v>10398.67</v>
      </c>
      <c r="AP197" s="213">
        <v>53529.740000000005</v>
      </c>
      <c r="AQ197" s="213">
        <v>90775.610000000015</v>
      </c>
      <c r="AR197" s="213">
        <v>142882.75999999998</v>
      </c>
      <c r="AS197" s="213">
        <v>66656.25</v>
      </c>
      <c r="AT197" s="213">
        <v>93379.62</v>
      </c>
      <c r="AU197" s="213">
        <v>112138.07999999999</v>
      </c>
      <c r="AV197" s="213">
        <v>59115.7979690051</v>
      </c>
      <c r="AW197" s="213">
        <v>56430.625957162032</v>
      </c>
      <c r="AX197" s="213">
        <v>58676.520847770102</v>
      </c>
      <c r="AY197" s="213">
        <v>63407.84904077799</v>
      </c>
      <c r="AZ197" s="213">
        <v>68760.709875371671</v>
      </c>
      <c r="BA197" s="213">
        <v>61824.437372999433</v>
      </c>
      <c r="BB197" s="213">
        <v>60082.455066154689</v>
      </c>
      <c r="BC197" s="213">
        <v>93442.108852908626</v>
      </c>
    </row>
    <row r="198" spans="1:55" x14ac:dyDescent="0.25">
      <c r="A198" s="209" t="s">
        <v>374</v>
      </c>
      <c r="B198" s="210" t="s">
        <v>403</v>
      </c>
      <c r="C198" t="s">
        <v>10</v>
      </c>
      <c r="D198" t="s">
        <v>462</v>
      </c>
      <c r="E198" t="s">
        <v>484</v>
      </c>
      <c r="F198" s="211">
        <v>6350</v>
      </c>
      <c r="G198" t="s">
        <v>393</v>
      </c>
      <c r="H198" s="213">
        <v>0</v>
      </c>
      <c r="I198" s="213">
        <v>3400.6</v>
      </c>
      <c r="J198" s="213">
        <v>0</v>
      </c>
      <c r="K198" s="213">
        <v>0</v>
      </c>
      <c r="L198" s="213">
        <v>0</v>
      </c>
      <c r="M198" s="213">
        <v>0</v>
      </c>
      <c r="N198" s="213">
        <v>737.38</v>
      </c>
      <c r="O198" s="213">
        <v>0</v>
      </c>
      <c r="P198" s="213">
        <v>0</v>
      </c>
      <c r="Q198" s="213">
        <v>2184.66</v>
      </c>
      <c r="R198" s="213">
        <v>1992.53</v>
      </c>
      <c r="S198" s="213">
        <v>50</v>
      </c>
      <c r="T198" s="213">
        <v>3847.64</v>
      </c>
      <c r="U198" s="213">
        <v>248.99</v>
      </c>
      <c r="V198" s="213">
        <v>50</v>
      </c>
      <c r="W198" s="213">
        <v>50</v>
      </c>
      <c r="X198" s="213">
        <v>50</v>
      </c>
      <c r="Y198" s="213">
        <v>0</v>
      </c>
      <c r="Z198" s="213">
        <v>3953.65</v>
      </c>
      <c r="AA198" s="213">
        <v>50</v>
      </c>
      <c r="AB198" s="213">
        <v>5000</v>
      </c>
      <c r="AC198" s="213">
        <v>0</v>
      </c>
      <c r="AD198" s="213">
        <v>10.74</v>
      </c>
      <c r="AE198" s="213">
        <v>263.58999999999997</v>
      </c>
      <c r="AF198" s="213">
        <v>0</v>
      </c>
      <c r="AG198" s="213">
        <v>0</v>
      </c>
      <c r="AH198" s="213">
        <v>660.24</v>
      </c>
      <c r="AI198" s="213">
        <v>11.49</v>
      </c>
      <c r="AJ198" s="213">
        <v>783.79</v>
      </c>
      <c r="AK198" s="213">
        <v>784</v>
      </c>
      <c r="AL198" s="213">
        <v>0</v>
      </c>
      <c r="AM198" s="213">
        <v>0</v>
      </c>
      <c r="AN198" s="213">
        <v>0</v>
      </c>
      <c r="AO198" s="213">
        <v>0</v>
      </c>
      <c r="AP198" s="213">
        <v>0</v>
      </c>
      <c r="AQ198" s="213">
        <v>0</v>
      </c>
      <c r="AR198" s="213">
        <v>0</v>
      </c>
      <c r="AS198" s="213">
        <v>0</v>
      </c>
      <c r="AT198" s="213">
        <v>0</v>
      </c>
      <c r="AU198" s="213">
        <v>0</v>
      </c>
      <c r="AV198" s="213">
        <v>5866.666666666667</v>
      </c>
      <c r="AW198" s="213">
        <v>6333.333333333333</v>
      </c>
      <c r="AX198" s="213">
        <v>7066.666666666667</v>
      </c>
      <c r="AY198" s="213">
        <v>7666.666666666667</v>
      </c>
      <c r="AZ198" s="213">
        <v>7866.666666666667</v>
      </c>
      <c r="BA198" s="213">
        <v>8400</v>
      </c>
      <c r="BB198" s="213">
        <v>8533.3333333333339</v>
      </c>
      <c r="BC198" s="213">
        <v>8600</v>
      </c>
    </row>
    <row r="199" spans="1:55" x14ac:dyDescent="0.25">
      <c r="A199" s="209" t="s">
        <v>374</v>
      </c>
      <c r="B199" s="210" t="s">
        <v>403</v>
      </c>
      <c r="C199" t="s">
        <v>10</v>
      </c>
      <c r="D199" t="s">
        <v>462</v>
      </c>
      <c r="E199" t="s">
        <v>484</v>
      </c>
      <c r="F199" s="211">
        <v>6400</v>
      </c>
      <c r="G199" t="s">
        <v>395</v>
      </c>
      <c r="H199" s="213">
        <v>6692.8099999999995</v>
      </c>
      <c r="I199" s="213">
        <v>2865.51</v>
      </c>
      <c r="J199" s="213">
        <v>3934</v>
      </c>
      <c r="K199" s="213">
        <v>2074.6999999999998</v>
      </c>
      <c r="L199" s="213">
        <v>10808.02</v>
      </c>
      <c r="M199" s="213">
        <v>3179.4</v>
      </c>
      <c r="N199" s="213">
        <v>3263.5</v>
      </c>
      <c r="O199" s="213">
        <v>3095.09</v>
      </c>
      <c r="P199" s="213">
        <v>2216.0700000000002</v>
      </c>
      <c r="Q199" s="213">
        <v>3752.55</v>
      </c>
      <c r="R199" s="213">
        <v>8440.9</v>
      </c>
      <c r="S199" s="213">
        <v>4972.28</v>
      </c>
      <c r="T199" s="213">
        <v>8514.74</v>
      </c>
      <c r="U199" s="213">
        <v>4254.8100000000004</v>
      </c>
      <c r="V199" s="213">
        <v>5084.18</v>
      </c>
      <c r="W199" s="213">
        <v>5729.27</v>
      </c>
      <c r="X199" s="213">
        <v>6935.65</v>
      </c>
      <c r="Y199" s="213">
        <v>3839.55</v>
      </c>
      <c r="Z199" s="213">
        <v>8505.35</v>
      </c>
      <c r="AA199" s="213">
        <v>9790.69</v>
      </c>
      <c r="AB199" s="213">
        <v>5616.06</v>
      </c>
      <c r="AC199" s="213">
        <v>6060.59</v>
      </c>
      <c r="AD199" s="213">
        <v>-408.93</v>
      </c>
      <c r="AE199" s="213">
        <v>7426.82</v>
      </c>
      <c r="AF199" s="213">
        <v>4790.33</v>
      </c>
      <c r="AG199" s="213">
        <v>4237.42</v>
      </c>
      <c r="AH199" s="213">
        <v>5158.9900000000007</v>
      </c>
      <c r="AI199" s="213">
        <v>515.79</v>
      </c>
      <c r="AJ199" s="213">
        <v>15</v>
      </c>
      <c r="AK199" s="213">
        <v>0</v>
      </c>
      <c r="AL199" s="213">
        <v>2339.12</v>
      </c>
      <c r="AM199" s="213">
        <v>384.96</v>
      </c>
      <c r="AN199" s="213">
        <v>1287.8200000000002</v>
      </c>
      <c r="AO199" s="213">
        <v>66.27</v>
      </c>
      <c r="AP199" s="213">
        <v>2424.89</v>
      </c>
      <c r="AQ199" s="213">
        <v>3830.95</v>
      </c>
      <c r="AR199" s="213">
        <v>1972.98</v>
      </c>
      <c r="AS199" s="213">
        <v>2171.1999999999998</v>
      </c>
      <c r="AT199" s="213">
        <v>199.65</v>
      </c>
      <c r="AU199" s="213">
        <v>1400.8</v>
      </c>
      <c r="AV199" s="213">
        <v>2933.3333333333335</v>
      </c>
      <c r="AW199" s="213">
        <v>3166.6666666666665</v>
      </c>
      <c r="AX199" s="213">
        <v>3533.3333333333335</v>
      </c>
      <c r="AY199" s="213">
        <v>3833.3333333333335</v>
      </c>
      <c r="AZ199" s="213">
        <v>3933.3333333333335</v>
      </c>
      <c r="BA199" s="213">
        <v>4200</v>
      </c>
      <c r="BB199" s="213">
        <v>4266.666666666667</v>
      </c>
      <c r="BC199" s="213">
        <v>4300</v>
      </c>
    </row>
    <row r="200" spans="1:55" x14ac:dyDescent="0.25">
      <c r="A200" s="209" t="s">
        <v>374</v>
      </c>
      <c r="B200" s="210" t="s">
        <v>406</v>
      </c>
      <c r="C200" t="s">
        <v>10</v>
      </c>
      <c r="D200" t="s">
        <v>462</v>
      </c>
      <c r="E200" t="s">
        <v>485</v>
      </c>
      <c r="F200" s="211">
        <v>7150</v>
      </c>
      <c r="G200" t="s">
        <v>397</v>
      </c>
      <c r="H200" s="213">
        <v>33281.29</v>
      </c>
      <c r="I200" s="213">
        <v>60830.36</v>
      </c>
      <c r="J200" s="213">
        <v>55350.95</v>
      </c>
      <c r="K200" s="213">
        <v>35780.01</v>
      </c>
      <c r="L200" s="213">
        <v>44464.86</v>
      </c>
      <c r="M200" s="213">
        <v>54434.75</v>
      </c>
      <c r="N200" s="213">
        <v>52171.06</v>
      </c>
      <c r="O200" s="213">
        <v>51616.08</v>
      </c>
      <c r="P200" s="213">
        <v>46625.509999999995</v>
      </c>
      <c r="Q200" s="213">
        <v>61484.640000000007</v>
      </c>
      <c r="R200" s="213">
        <v>53504.61</v>
      </c>
      <c r="S200" s="213">
        <v>88865.849999999991</v>
      </c>
      <c r="T200" s="213">
        <v>-3137.7400000000016</v>
      </c>
      <c r="U200" s="213">
        <v>53294.110000000008</v>
      </c>
      <c r="V200" s="213">
        <v>40131.42</v>
      </c>
      <c r="W200" s="213">
        <v>45181.780000000006</v>
      </c>
      <c r="X200" s="213">
        <v>83615.94</v>
      </c>
      <c r="Y200" s="213">
        <v>49686.710000000006</v>
      </c>
      <c r="Z200" s="213">
        <v>49732.520000000011</v>
      </c>
      <c r="AA200" s="213">
        <v>44741.120000000003</v>
      </c>
      <c r="AB200" s="213">
        <v>52525.899999999994</v>
      </c>
      <c r="AC200" s="213">
        <v>58822.450000000004</v>
      </c>
      <c r="AD200" s="213">
        <v>33346.950000000004</v>
      </c>
      <c r="AE200" s="213">
        <v>38336.570000000007</v>
      </c>
      <c r="AF200" s="213">
        <v>34066.17</v>
      </c>
      <c r="AG200" s="213">
        <v>17179.449999999997</v>
      </c>
      <c r="AH200" s="213">
        <v>-2724.6</v>
      </c>
      <c r="AI200" s="213">
        <v>-275.86</v>
      </c>
      <c r="AJ200" s="213">
        <v>-680.13</v>
      </c>
      <c r="AK200" s="213">
        <v>926.93</v>
      </c>
      <c r="AL200" s="213">
        <v>-265.43</v>
      </c>
      <c r="AM200" s="213">
        <v>553.34</v>
      </c>
      <c r="AN200" s="213">
        <v>527.97</v>
      </c>
      <c r="AO200" s="213">
        <v>1474.1</v>
      </c>
      <c r="AP200" s="213">
        <v>1891.88</v>
      </c>
      <c r="AQ200" s="213">
        <v>-890.66999999999985</v>
      </c>
      <c r="AR200" s="213">
        <v>2744.05</v>
      </c>
      <c r="AS200" s="213">
        <v>3884.0299999999997</v>
      </c>
      <c r="AT200" s="213">
        <v>4281.88</v>
      </c>
      <c r="AU200" s="213">
        <v>1523.1100000000001</v>
      </c>
      <c r="AV200" s="213">
        <v>15000</v>
      </c>
      <c r="AW200" s="213">
        <v>20000</v>
      </c>
      <c r="AX200" s="213">
        <v>5000</v>
      </c>
      <c r="AY200" s="213">
        <v>5424.5283018867922</v>
      </c>
      <c r="AZ200" s="213">
        <v>5566.0377358490559</v>
      </c>
      <c r="BA200" s="213">
        <v>5943.3962264150941</v>
      </c>
      <c r="BB200" s="213">
        <v>6037.7358490566039</v>
      </c>
      <c r="BC200" s="213">
        <v>6084.9056603773588</v>
      </c>
    </row>
    <row r="201" spans="1:55" x14ac:dyDescent="0.25">
      <c r="A201" s="209" t="s">
        <v>374</v>
      </c>
      <c r="B201" s="210" t="s">
        <v>463</v>
      </c>
      <c r="C201" t="s">
        <v>10</v>
      </c>
      <c r="D201" t="s">
        <v>462</v>
      </c>
      <c r="E201" t="s">
        <v>484</v>
      </c>
      <c r="F201" s="211">
        <v>6200</v>
      </c>
      <c r="G201" t="s">
        <v>464</v>
      </c>
      <c r="H201" s="213">
        <v>-37519.040000000008</v>
      </c>
      <c r="I201" s="213">
        <v>114751.5</v>
      </c>
      <c r="J201" s="213">
        <v>355236.36</v>
      </c>
      <c r="K201" s="213">
        <v>15159.25</v>
      </c>
      <c r="L201" s="213">
        <v>264657.48</v>
      </c>
      <c r="M201" s="213">
        <v>394340.45</v>
      </c>
      <c r="N201" s="213">
        <v>99838.14</v>
      </c>
      <c r="O201" s="213">
        <v>122847.26</v>
      </c>
      <c r="P201" s="213">
        <v>419814</v>
      </c>
      <c r="Q201" s="213">
        <v>168432.49</v>
      </c>
      <c r="R201" s="213">
        <v>480523.04</v>
      </c>
      <c r="S201" s="213">
        <v>718949.03</v>
      </c>
      <c r="T201" s="213">
        <v>135437.79</v>
      </c>
      <c r="U201" s="213">
        <v>255751.01</v>
      </c>
      <c r="V201" s="213">
        <v>573975.11</v>
      </c>
      <c r="W201" s="213">
        <v>195155.11</v>
      </c>
      <c r="X201" s="213">
        <v>371547.78</v>
      </c>
      <c r="Y201" s="213">
        <v>604595.81000000006</v>
      </c>
      <c r="Z201" s="213">
        <v>174395.34</v>
      </c>
      <c r="AA201" s="213">
        <v>329700</v>
      </c>
      <c r="AB201" s="213">
        <v>792873</v>
      </c>
      <c r="AC201" s="213">
        <v>132355</v>
      </c>
      <c r="AD201" s="213">
        <v>447195</v>
      </c>
      <c r="AE201" s="213">
        <v>616256.5</v>
      </c>
      <c r="AF201" s="213">
        <v>0</v>
      </c>
      <c r="AG201" s="213">
        <v>0</v>
      </c>
      <c r="AH201" s="213">
        <v>625578.09</v>
      </c>
      <c r="AI201" s="213">
        <v>60000</v>
      </c>
      <c r="AJ201" s="213">
        <v>82000</v>
      </c>
      <c r="AK201" s="213">
        <v>809410</v>
      </c>
      <c r="AL201" s="213">
        <v>47578</v>
      </c>
      <c r="AM201" s="213">
        <v>150287</v>
      </c>
      <c r="AN201" s="213">
        <v>1859575.9700000002</v>
      </c>
      <c r="AO201" s="213">
        <v>70142</v>
      </c>
      <c r="AP201" s="213">
        <v>638528.87999999989</v>
      </c>
      <c r="AQ201" s="213">
        <v>1368548.4499999997</v>
      </c>
      <c r="AR201" s="213">
        <v>73931.53</v>
      </c>
      <c r="AS201" s="213">
        <v>129609.66</v>
      </c>
      <c r="AT201" s="213">
        <v>1396361.0699999998</v>
      </c>
      <c r="AU201" s="213">
        <v>148199.62</v>
      </c>
      <c r="AV201" s="213">
        <v>1241638.4436458335</v>
      </c>
      <c r="AW201" s="213">
        <v>1596392.2846875</v>
      </c>
      <c r="AX201" s="213">
        <v>547223.70675000001</v>
      </c>
      <c r="AY201" s="213">
        <v>1276855.3157499998</v>
      </c>
      <c r="AZ201" s="213">
        <v>1824079.0225000004</v>
      </c>
      <c r="BA201" s="213">
        <v>411173.36947916675</v>
      </c>
      <c r="BB201" s="213">
        <v>1644693.477916667</v>
      </c>
      <c r="BC201" s="213">
        <v>2055866.8473958333</v>
      </c>
    </row>
    <row r="202" spans="1:55" x14ac:dyDescent="0.25">
      <c r="A202" s="209" t="s">
        <v>374</v>
      </c>
      <c r="B202" s="210" t="s">
        <v>463</v>
      </c>
      <c r="C202" t="s">
        <v>10</v>
      </c>
      <c r="D202" t="s">
        <v>462</v>
      </c>
      <c r="E202" t="s">
        <v>485</v>
      </c>
      <c r="F202" s="211">
        <v>6250</v>
      </c>
      <c r="G202" t="s">
        <v>392</v>
      </c>
      <c r="H202" s="213">
        <v>9870</v>
      </c>
      <c r="I202" s="213">
        <v>-3317.5</v>
      </c>
      <c r="J202" s="213">
        <v>0</v>
      </c>
      <c r="K202" s="213">
        <v>0</v>
      </c>
      <c r="L202" s="213">
        <v>5482.91</v>
      </c>
      <c r="M202" s="213">
        <v>0</v>
      </c>
      <c r="N202" s="213">
        <v>0</v>
      </c>
      <c r="O202" s="213">
        <v>0</v>
      </c>
      <c r="P202" s="213">
        <v>0</v>
      </c>
      <c r="Q202" s="213">
        <v>0</v>
      </c>
      <c r="R202" s="213">
        <v>0</v>
      </c>
      <c r="S202" s="213">
        <v>0</v>
      </c>
      <c r="T202" s="213">
        <v>0</v>
      </c>
      <c r="U202" s="213">
        <v>0</v>
      </c>
      <c r="V202" s="213">
        <v>0</v>
      </c>
      <c r="W202" s="213">
        <v>0</v>
      </c>
      <c r="X202" s="213">
        <v>0</v>
      </c>
      <c r="Y202" s="213">
        <v>0</v>
      </c>
      <c r="Z202" s="213">
        <v>0</v>
      </c>
      <c r="AA202" s="213">
        <v>0</v>
      </c>
      <c r="AB202" s="213">
        <v>0</v>
      </c>
      <c r="AC202" s="213">
        <v>0</v>
      </c>
      <c r="AD202" s="213">
        <v>0</v>
      </c>
      <c r="AE202" s="213">
        <v>0</v>
      </c>
      <c r="AF202" s="213">
        <v>1785</v>
      </c>
      <c r="AG202" s="213">
        <v>1500</v>
      </c>
      <c r="AH202" s="213">
        <v>1555</v>
      </c>
      <c r="AI202" s="213">
        <v>1695</v>
      </c>
      <c r="AJ202" s="213">
        <v>1770</v>
      </c>
      <c r="AK202" s="213">
        <v>1730</v>
      </c>
      <c r="AL202" s="213">
        <v>1790</v>
      </c>
      <c r="AM202" s="213">
        <v>1725</v>
      </c>
      <c r="AN202" s="213">
        <v>1790</v>
      </c>
      <c r="AO202" s="213">
        <v>1645</v>
      </c>
      <c r="AP202" s="213">
        <v>3621.67</v>
      </c>
      <c r="AQ202" s="213">
        <v>2046.67</v>
      </c>
      <c r="AR202" s="213">
        <v>2121.67</v>
      </c>
      <c r="AS202" s="213">
        <v>2121.67</v>
      </c>
      <c r="AT202" s="213">
        <v>2301.67</v>
      </c>
      <c r="AU202" s="213">
        <v>2061.67</v>
      </c>
      <c r="AV202" s="213">
        <v>0</v>
      </c>
      <c r="AW202" s="213">
        <v>0</v>
      </c>
      <c r="AX202" s="213">
        <v>0</v>
      </c>
      <c r="AY202" s="213">
        <v>0</v>
      </c>
      <c r="AZ202" s="213">
        <v>0</v>
      </c>
      <c r="BA202" s="213">
        <v>0</v>
      </c>
      <c r="BB202" s="213">
        <v>0</v>
      </c>
      <c r="BC202" s="213">
        <v>0</v>
      </c>
    </row>
    <row r="203" spans="1:55" x14ac:dyDescent="0.25">
      <c r="A203" s="209" t="s">
        <v>374</v>
      </c>
      <c r="B203" s="210" t="s">
        <v>463</v>
      </c>
      <c r="C203" t="s">
        <v>10</v>
      </c>
      <c r="D203" t="s">
        <v>462</v>
      </c>
      <c r="E203" t="s">
        <v>484</v>
      </c>
      <c r="F203" s="211">
        <v>7400</v>
      </c>
      <c r="G203" t="s">
        <v>465</v>
      </c>
      <c r="H203" s="213">
        <v>0</v>
      </c>
      <c r="I203" s="213">
        <v>0</v>
      </c>
      <c r="J203" s="213">
        <v>0</v>
      </c>
      <c r="K203" s="213">
        <v>25367.71</v>
      </c>
      <c r="L203" s="213">
        <v>5998.4</v>
      </c>
      <c r="M203" s="213">
        <v>180.1</v>
      </c>
      <c r="N203" s="213">
        <v>0</v>
      </c>
      <c r="O203" s="213">
        <v>0</v>
      </c>
      <c r="P203" s="213">
        <v>0</v>
      </c>
      <c r="Q203" s="213">
        <v>0</v>
      </c>
      <c r="R203" s="213">
        <v>0</v>
      </c>
      <c r="S203" s="213">
        <v>0</v>
      </c>
      <c r="T203" s="213">
        <v>0</v>
      </c>
      <c r="U203" s="213">
        <v>0</v>
      </c>
      <c r="V203" s="213">
        <v>0</v>
      </c>
      <c r="W203" s="213">
        <v>179992.32000000001</v>
      </c>
      <c r="X203" s="213">
        <v>4537.29</v>
      </c>
      <c r="Y203" s="213">
        <v>1132.9000000000001</v>
      </c>
      <c r="Z203" s="213">
        <v>784.07</v>
      </c>
      <c r="AA203" s="213">
        <v>0</v>
      </c>
      <c r="AB203" s="213">
        <v>0</v>
      </c>
      <c r="AC203" s="213">
        <v>0</v>
      </c>
      <c r="AD203" s="213">
        <v>0</v>
      </c>
      <c r="AE203" s="213">
        <v>0</v>
      </c>
      <c r="AF203" s="213">
        <v>168072.74</v>
      </c>
      <c r="AG203" s="213">
        <v>30469.42</v>
      </c>
      <c r="AH203" s="213">
        <v>0</v>
      </c>
      <c r="AI203" s="213">
        <v>1002.79</v>
      </c>
      <c r="AJ203" s="213">
        <v>0</v>
      </c>
      <c r="AK203" s="213">
        <v>0</v>
      </c>
      <c r="AL203" s="213">
        <v>0</v>
      </c>
      <c r="AM203" s="213">
        <v>0</v>
      </c>
      <c r="AN203" s="213">
        <v>0</v>
      </c>
      <c r="AO203" s="213">
        <v>0</v>
      </c>
      <c r="AP203" s="213">
        <v>0</v>
      </c>
      <c r="AQ203" s="213">
        <v>0</v>
      </c>
      <c r="AR203" s="213">
        <v>23414.2</v>
      </c>
      <c r="AS203" s="213">
        <v>12175.380000000001</v>
      </c>
      <c r="AT203" s="213">
        <v>0</v>
      </c>
      <c r="AU203" s="213">
        <v>0</v>
      </c>
      <c r="AV203" s="213">
        <v>0</v>
      </c>
      <c r="AW203" s="213">
        <v>0</v>
      </c>
      <c r="AX203" s="213">
        <v>0</v>
      </c>
      <c r="AY203" s="213">
        <v>0</v>
      </c>
      <c r="AZ203" s="213">
        <v>0</v>
      </c>
      <c r="BA203" s="213">
        <v>0</v>
      </c>
      <c r="BB203" s="213">
        <v>0</v>
      </c>
      <c r="BC203" s="213">
        <v>0</v>
      </c>
    </row>
    <row r="204" spans="1:55" x14ac:dyDescent="0.25">
      <c r="A204" s="209" t="s">
        <v>374</v>
      </c>
      <c r="B204" s="210" t="s">
        <v>463</v>
      </c>
      <c r="C204" t="s">
        <v>10</v>
      </c>
      <c r="D204" t="s">
        <v>462</v>
      </c>
      <c r="E204" t="s">
        <v>488</v>
      </c>
      <c r="F204" s="211"/>
      <c r="G204" s="212" t="s">
        <v>466</v>
      </c>
      <c r="H204" s="213">
        <v>0</v>
      </c>
      <c r="I204" s="213">
        <v>0</v>
      </c>
      <c r="J204" s="213">
        <v>0</v>
      </c>
      <c r="K204" s="213">
        <v>0</v>
      </c>
      <c r="L204" s="213">
        <v>0</v>
      </c>
      <c r="M204" s="213">
        <v>0</v>
      </c>
      <c r="N204" s="213">
        <v>0</v>
      </c>
      <c r="O204" s="213">
        <v>0</v>
      </c>
      <c r="P204" s="213">
        <v>0</v>
      </c>
      <c r="Q204" s="213">
        <v>0</v>
      </c>
      <c r="R204" s="213">
        <v>0</v>
      </c>
      <c r="S204" s="213">
        <v>0</v>
      </c>
      <c r="T204" s="213">
        <v>0</v>
      </c>
      <c r="U204" s="213">
        <v>0</v>
      </c>
      <c r="V204" s="213">
        <v>0</v>
      </c>
      <c r="W204" s="213">
        <v>0</v>
      </c>
      <c r="X204" s="213">
        <v>0</v>
      </c>
      <c r="Y204" s="213">
        <v>0</v>
      </c>
      <c r="Z204" s="213">
        <v>0</v>
      </c>
      <c r="AA204" s="213">
        <v>0</v>
      </c>
      <c r="AB204" s="213">
        <v>0</v>
      </c>
      <c r="AC204" s="213">
        <v>0</v>
      </c>
      <c r="AD204" s="213">
        <v>0</v>
      </c>
      <c r="AE204" s="213">
        <v>0</v>
      </c>
      <c r="AF204" s="213">
        <v>0</v>
      </c>
      <c r="AG204" s="213">
        <v>0</v>
      </c>
      <c r="AH204" s="213">
        <v>0</v>
      </c>
      <c r="AI204" s="213">
        <v>0</v>
      </c>
      <c r="AJ204" s="213">
        <v>0</v>
      </c>
      <c r="AK204" s="213">
        <v>0</v>
      </c>
      <c r="AL204" s="213">
        <v>0</v>
      </c>
      <c r="AM204" s="213">
        <v>0</v>
      </c>
      <c r="AN204" s="213">
        <v>0</v>
      </c>
      <c r="AO204" s="213">
        <v>0</v>
      </c>
      <c r="AP204" s="213">
        <v>0</v>
      </c>
      <c r="AQ204" s="213">
        <v>0</v>
      </c>
      <c r="AR204" s="213">
        <v>0</v>
      </c>
      <c r="AS204" s="213">
        <v>0</v>
      </c>
      <c r="AT204" s="213">
        <v>0</v>
      </c>
      <c r="AU204" s="213">
        <v>0</v>
      </c>
      <c r="AV204" s="213">
        <v>182966.66666666669</v>
      </c>
      <c r="AW204" s="213">
        <v>264363.33333333337</v>
      </c>
      <c r="AX204" s="213">
        <v>280540</v>
      </c>
      <c r="AY204" s="213">
        <v>302816.66666666669</v>
      </c>
      <c r="AZ204" s="213">
        <v>333853.33333333337</v>
      </c>
      <c r="BA204" s="213">
        <v>322653.33333333337</v>
      </c>
      <c r="BB204" s="213">
        <v>327753.33333333337</v>
      </c>
      <c r="BC204" s="213">
        <v>347980.00000000006</v>
      </c>
    </row>
    <row r="205" spans="1:55" x14ac:dyDescent="0.25">
      <c r="A205" s="209" t="s">
        <v>374</v>
      </c>
      <c r="B205" s="210" t="s">
        <v>463</v>
      </c>
      <c r="C205" t="s">
        <v>10</v>
      </c>
      <c r="D205" t="s">
        <v>462</v>
      </c>
      <c r="E205" t="s">
        <v>485</v>
      </c>
      <c r="F205" s="211">
        <v>7050</v>
      </c>
      <c r="G205" t="s">
        <v>394</v>
      </c>
      <c r="H205" s="213">
        <v>875</v>
      </c>
      <c r="I205" s="213">
        <v>29.95</v>
      </c>
      <c r="J205" s="213">
        <v>0</v>
      </c>
      <c r="K205" s="213">
        <v>0</v>
      </c>
      <c r="L205" s="213">
        <v>0</v>
      </c>
      <c r="M205" s="213">
        <v>0</v>
      </c>
      <c r="N205" s="213">
        <v>0</v>
      </c>
      <c r="O205" s="213">
        <v>0</v>
      </c>
      <c r="P205" s="213">
        <v>0</v>
      </c>
      <c r="Q205" s="213">
        <v>0</v>
      </c>
      <c r="R205" s="213">
        <v>0</v>
      </c>
      <c r="S205" s="213">
        <v>2222.2199999999998</v>
      </c>
      <c r="T205" s="213">
        <v>4449.7099999999991</v>
      </c>
      <c r="U205" s="213">
        <v>0</v>
      </c>
      <c r="V205" s="213">
        <v>0</v>
      </c>
      <c r="W205" s="213">
        <v>0</v>
      </c>
      <c r="X205" s="213">
        <v>0</v>
      </c>
      <c r="Y205" s="213">
        <v>0</v>
      </c>
      <c r="Z205" s="213">
        <v>0</v>
      </c>
      <c r="AA205" s="213">
        <v>0</v>
      </c>
      <c r="AB205" s="213">
        <v>0</v>
      </c>
      <c r="AC205" s="213">
        <v>0</v>
      </c>
      <c r="AD205" s="213">
        <v>0</v>
      </c>
      <c r="AE205" s="213">
        <v>0</v>
      </c>
      <c r="AF205" s="213">
        <v>0</v>
      </c>
      <c r="AG205" s="213">
        <v>11.99</v>
      </c>
      <c r="AH205" s="213">
        <v>160.74</v>
      </c>
      <c r="AI205" s="213">
        <v>11.99</v>
      </c>
      <c r="AJ205" s="213">
        <v>0</v>
      </c>
      <c r="AK205" s="213">
        <v>31.99</v>
      </c>
      <c r="AL205" s="213">
        <v>91.94</v>
      </c>
      <c r="AM205" s="213">
        <v>0</v>
      </c>
      <c r="AN205" s="213">
        <v>250.92</v>
      </c>
      <c r="AO205" s="213">
        <v>0</v>
      </c>
      <c r="AP205" s="213">
        <v>31.99</v>
      </c>
      <c r="AQ205" s="213">
        <v>31.99</v>
      </c>
      <c r="AR205" s="213">
        <v>231.99</v>
      </c>
      <c r="AS205" s="213">
        <v>31.99</v>
      </c>
      <c r="AT205" s="213">
        <v>129.99</v>
      </c>
      <c r="AU205" s="213">
        <v>31.99</v>
      </c>
      <c r="AV205" s="213">
        <v>34.007387387387382</v>
      </c>
      <c r="AW205" s="213">
        <v>36.02477477477477</v>
      </c>
      <c r="AX205" s="213">
        <v>39.483153153153154</v>
      </c>
      <c r="AY205" s="213">
        <v>42.365135135135134</v>
      </c>
      <c r="AZ205" s="213">
        <v>43.806126126126124</v>
      </c>
      <c r="BA205" s="213">
        <v>46.399909909909908</v>
      </c>
      <c r="BB205" s="213">
        <v>47.840900900900898</v>
      </c>
      <c r="BC205" s="213">
        <v>48.705495495495491</v>
      </c>
    </row>
    <row r="206" spans="1:55" x14ac:dyDescent="0.25">
      <c r="B206" s="210"/>
      <c r="H206" s="214">
        <v>0</v>
      </c>
      <c r="I206" s="214">
        <v>0</v>
      </c>
      <c r="J206" s="214">
        <v>0</v>
      </c>
      <c r="K206" s="214">
        <v>0</v>
      </c>
      <c r="L206" s="214">
        <v>0</v>
      </c>
      <c r="M206" s="214">
        <v>0</v>
      </c>
      <c r="N206" s="214">
        <v>0</v>
      </c>
      <c r="O206" s="214">
        <v>0</v>
      </c>
      <c r="P206" s="214">
        <v>0</v>
      </c>
      <c r="Q206" s="214">
        <v>0</v>
      </c>
      <c r="R206" s="214">
        <v>0</v>
      </c>
      <c r="S206" s="214">
        <v>0</v>
      </c>
      <c r="T206" s="214">
        <v>0</v>
      </c>
      <c r="U206" s="214">
        <v>0</v>
      </c>
      <c r="V206" s="214">
        <v>0</v>
      </c>
      <c r="W206" s="214">
        <v>0</v>
      </c>
      <c r="X206" s="214">
        <v>0</v>
      </c>
      <c r="Y206" s="214">
        <v>0</v>
      </c>
      <c r="Z206" s="214">
        <v>0</v>
      </c>
      <c r="AA206" s="214">
        <v>0</v>
      </c>
      <c r="AB206" s="214">
        <v>0</v>
      </c>
      <c r="AC206" s="214">
        <v>0</v>
      </c>
      <c r="AD206" s="214">
        <v>0</v>
      </c>
      <c r="AE206" s="214">
        <v>0</v>
      </c>
      <c r="AF206" s="214">
        <v>0</v>
      </c>
      <c r="AG206" s="214">
        <v>0</v>
      </c>
      <c r="AH206" s="214">
        <v>0</v>
      </c>
      <c r="AI206" s="214">
        <v>0</v>
      </c>
      <c r="AJ206" s="214">
        <v>0</v>
      </c>
      <c r="AK206" s="214">
        <v>0</v>
      </c>
      <c r="AL206" s="214">
        <v>0</v>
      </c>
      <c r="AM206" s="214">
        <v>0</v>
      </c>
      <c r="AN206" s="214">
        <v>0</v>
      </c>
      <c r="AO206" s="214">
        <v>0</v>
      </c>
      <c r="AP206" s="214">
        <v>0</v>
      </c>
      <c r="AQ206" s="214">
        <v>0</v>
      </c>
      <c r="AR206" s="214">
        <v>0</v>
      </c>
      <c r="AS206" s="214">
        <v>0</v>
      </c>
      <c r="AT206" s="214">
        <v>0</v>
      </c>
      <c r="AU206" s="214">
        <v>0</v>
      </c>
      <c r="AV206" s="214">
        <v>0</v>
      </c>
      <c r="AW206" s="214">
        <v>0</v>
      </c>
      <c r="AX206" s="214">
        <v>0</v>
      </c>
      <c r="AY206" s="214">
        <v>0</v>
      </c>
      <c r="AZ206" s="214">
        <v>0</v>
      </c>
      <c r="BA206" s="214">
        <v>0</v>
      </c>
      <c r="BB206" s="214">
        <v>0</v>
      </c>
      <c r="BC206" s="214">
        <v>0</v>
      </c>
    </row>
    <row r="207" spans="1:55" x14ac:dyDescent="0.25">
      <c r="B207" s="210"/>
      <c r="H207" s="216">
        <v>246041.78</v>
      </c>
      <c r="I207" s="216">
        <v>400879.14</v>
      </c>
      <c r="J207" s="216">
        <v>658758.1</v>
      </c>
      <c r="K207" s="216">
        <v>331192.24</v>
      </c>
      <c r="L207" s="216">
        <v>591224.15</v>
      </c>
      <c r="M207" s="216">
        <v>723217.55999999994</v>
      </c>
      <c r="N207" s="216">
        <v>455193.09</v>
      </c>
      <c r="O207" s="216">
        <v>492656.88000000006</v>
      </c>
      <c r="P207" s="216">
        <v>786619.08000000007</v>
      </c>
      <c r="Q207" s="216">
        <v>587418.1399999999</v>
      </c>
      <c r="R207" s="216">
        <v>891344.51</v>
      </c>
      <c r="S207" s="216">
        <v>1330270.8400000001</v>
      </c>
      <c r="T207" s="216">
        <v>528555.07999999996</v>
      </c>
      <c r="U207" s="216">
        <v>773939.58000000007</v>
      </c>
      <c r="V207" s="216">
        <v>1123782.8500000001</v>
      </c>
      <c r="W207" s="216">
        <v>945785.76</v>
      </c>
      <c r="X207" s="216">
        <v>924699.9</v>
      </c>
      <c r="Y207" s="216">
        <v>1124456.8700000001</v>
      </c>
      <c r="Z207" s="216">
        <v>721770.1399999999</v>
      </c>
      <c r="AA207" s="216">
        <v>829385.03</v>
      </c>
      <c r="AB207" s="216">
        <v>1324710.0899999999</v>
      </c>
      <c r="AC207" s="216">
        <v>715278.22</v>
      </c>
      <c r="AD207" s="216">
        <v>958095.49</v>
      </c>
      <c r="AE207" s="216">
        <v>1202439.93</v>
      </c>
      <c r="AF207" s="216">
        <v>796525.97</v>
      </c>
      <c r="AG207" s="216">
        <v>654579.43000000005</v>
      </c>
      <c r="AH207" s="216">
        <v>1256889.3799999999</v>
      </c>
      <c r="AI207" s="216">
        <v>735976.13000000012</v>
      </c>
      <c r="AJ207" s="216">
        <v>635386.57999999996</v>
      </c>
      <c r="AK207" s="216">
        <v>1375662.82</v>
      </c>
      <c r="AL207" s="216">
        <v>647473.24999999988</v>
      </c>
      <c r="AM207" s="216">
        <v>705110.98999999987</v>
      </c>
      <c r="AN207" s="216">
        <v>2443153.56</v>
      </c>
      <c r="AO207" s="216">
        <v>636475.47000000009</v>
      </c>
      <c r="AP207" s="216">
        <v>1233554.0899999999</v>
      </c>
      <c r="AQ207" s="216">
        <v>1990979.4999999995</v>
      </c>
      <c r="AR207" s="216">
        <v>873046.53000000014</v>
      </c>
      <c r="AS207" s="216">
        <v>856556.06000000017</v>
      </c>
      <c r="AT207" s="216">
        <v>2216245.1799999997</v>
      </c>
      <c r="AU207" s="216">
        <v>1010623.61</v>
      </c>
      <c r="AV207" s="216">
        <v>2416969.6673162249</v>
      </c>
      <c r="AW207" s="216">
        <v>2900311.3525199499</v>
      </c>
      <c r="AX207" s="216">
        <v>1926951.4204602716</v>
      </c>
      <c r="AY207" s="216">
        <v>2768173.9235798237</v>
      </c>
      <c r="AZ207" s="216">
        <v>3411980.843582422</v>
      </c>
      <c r="BA207" s="216">
        <v>2027789.8298083134</v>
      </c>
      <c r="BB207" s="216">
        <v>3288353.3846893939</v>
      </c>
      <c r="BC207" s="216">
        <v>3767559.5029562963</v>
      </c>
    </row>
    <row r="208" spans="1:55" ht="15.75" x14ac:dyDescent="0.25">
      <c r="A208" s="206" t="s">
        <v>467</v>
      </c>
      <c r="B208" s="207"/>
      <c r="C208" s="206"/>
      <c r="D208" s="206"/>
      <c r="E208" s="206"/>
      <c r="F208" s="206"/>
      <c r="G208" s="206"/>
      <c r="H208" s="213">
        <v>0</v>
      </c>
      <c r="I208" s="213">
        <v>0</v>
      </c>
      <c r="J208" s="213">
        <v>0</v>
      </c>
      <c r="K208" s="213">
        <v>0</v>
      </c>
      <c r="L208" s="213">
        <v>0</v>
      </c>
      <c r="M208" s="213">
        <v>0</v>
      </c>
      <c r="N208" s="213">
        <v>0</v>
      </c>
      <c r="O208" s="213">
        <v>0</v>
      </c>
      <c r="P208" s="213">
        <v>0</v>
      </c>
      <c r="Q208" s="213">
        <v>0</v>
      </c>
      <c r="R208" s="213">
        <v>0</v>
      </c>
      <c r="S208" s="213">
        <v>0</v>
      </c>
      <c r="T208" s="213">
        <v>0</v>
      </c>
      <c r="U208" s="213">
        <v>0</v>
      </c>
      <c r="V208" s="213">
        <v>0</v>
      </c>
      <c r="W208" s="213">
        <v>0</v>
      </c>
      <c r="X208" s="213">
        <v>0</v>
      </c>
      <c r="Y208" s="213">
        <v>0</v>
      </c>
      <c r="Z208" s="213">
        <v>0</v>
      </c>
      <c r="AA208" s="213">
        <v>0</v>
      </c>
      <c r="AB208" s="213">
        <v>0</v>
      </c>
      <c r="AC208" s="213">
        <v>0</v>
      </c>
      <c r="AD208" s="213">
        <v>0</v>
      </c>
      <c r="AE208" s="213">
        <v>0</v>
      </c>
      <c r="AF208" s="213">
        <v>0</v>
      </c>
      <c r="AG208" s="213">
        <v>0</v>
      </c>
      <c r="AH208" s="213">
        <v>0</v>
      </c>
      <c r="AI208" s="213">
        <v>0</v>
      </c>
      <c r="AJ208" s="213">
        <v>0</v>
      </c>
      <c r="AK208" s="213">
        <v>0</v>
      </c>
      <c r="AL208" s="213">
        <v>0</v>
      </c>
      <c r="AM208" s="213">
        <v>0</v>
      </c>
      <c r="AN208" s="213">
        <v>0</v>
      </c>
      <c r="AO208" s="213">
        <v>0</v>
      </c>
      <c r="AP208" s="213">
        <v>0</v>
      </c>
      <c r="AQ208" s="213">
        <v>0</v>
      </c>
      <c r="AR208" s="213">
        <v>0</v>
      </c>
      <c r="AS208" s="213">
        <v>0</v>
      </c>
      <c r="AT208" s="213">
        <v>0</v>
      </c>
      <c r="AU208" s="213">
        <v>0</v>
      </c>
      <c r="AV208" s="213">
        <v>0</v>
      </c>
      <c r="AW208" s="213">
        <v>0</v>
      </c>
      <c r="AX208" s="213">
        <v>0</v>
      </c>
      <c r="AY208" s="213">
        <v>0</v>
      </c>
      <c r="AZ208" s="213">
        <v>0</v>
      </c>
      <c r="BA208" s="213">
        <v>0</v>
      </c>
      <c r="BB208" s="213">
        <v>0</v>
      </c>
      <c r="BC208" s="213">
        <v>0</v>
      </c>
    </row>
    <row r="209" spans="1:55" x14ac:dyDescent="0.25">
      <c r="A209" s="209" t="s">
        <v>374</v>
      </c>
      <c r="B209" s="210" t="s">
        <v>403</v>
      </c>
      <c r="C209" t="s">
        <v>10</v>
      </c>
      <c r="D209" t="s">
        <v>468</v>
      </c>
      <c r="E209" t="s">
        <v>490</v>
      </c>
      <c r="F209" s="211">
        <v>7000</v>
      </c>
      <c r="G209" t="s">
        <v>388</v>
      </c>
      <c r="H209" s="213">
        <v>150151.53</v>
      </c>
      <c r="I209" s="213">
        <v>150625.01</v>
      </c>
      <c r="J209" s="213">
        <v>157499.99</v>
      </c>
      <c r="K209" s="213">
        <v>167991.64</v>
      </c>
      <c r="L209" s="213">
        <v>169419.57</v>
      </c>
      <c r="M209" s="213">
        <v>175636.18</v>
      </c>
      <c r="N209" s="213">
        <v>176412.56</v>
      </c>
      <c r="O209" s="213">
        <v>160823.51</v>
      </c>
      <c r="P209" s="213">
        <v>168876.52</v>
      </c>
      <c r="Q209" s="213">
        <v>187891.68</v>
      </c>
      <c r="R209" s="213">
        <v>201035.6</v>
      </c>
      <c r="S209" s="213">
        <v>222289.56</v>
      </c>
      <c r="T209" s="213">
        <v>240136.91</v>
      </c>
      <c r="U209" s="213">
        <v>269864.09999999998</v>
      </c>
      <c r="V209" s="213">
        <v>259797.89</v>
      </c>
      <c r="W209" s="213">
        <v>254637.66</v>
      </c>
      <c r="X209" s="213">
        <v>282479.89</v>
      </c>
      <c r="Y209" s="213">
        <v>310197.34000000003</v>
      </c>
      <c r="Z209" s="213">
        <v>322789.52</v>
      </c>
      <c r="AA209" s="213">
        <v>314796.73</v>
      </c>
      <c r="AB209" s="213">
        <v>323687.3</v>
      </c>
      <c r="AC209" s="213">
        <v>371324.31999999995</v>
      </c>
      <c r="AD209" s="213">
        <v>418029.58</v>
      </c>
      <c r="AE209" s="213">
        <v>444030.08</v>
      </c>
      <c r="AF209" s="213">
        <v>424096.47000000003</v>
      </c>
      <c r="AG209" s="213">
        <v>417151.81</v>
      </c>
      <c r="AH209" s="213">
        <v>428143.23000000004</v>
      </c>
      <c r="AI209" s="213">
        <v>412521.89</v>
      </c>
      <c r="AJ209" s="213">
        <v>402950.47000000003</v>
      </c>
      <c r="AK209" s="213">
        <v>412692.13</v>
      </c>
      <c r="AL209" s="213">
        <v>399097.8</v>
      </c>
      <c r="AM209" s="213">
        <v>396865.93000000005</v>
      </c>
      <c r="AN209" s="213">
        <v>365732.28</v>
      </c>
      <c r="AO209" s="213">
        <v>462080.23</v>
      </c>
      <c r="AP209" s="213">
        <v>441263.63</v>
      </c>
      <c r="AQ209" s="213">
        <v>478580.49</v>
      </c>
      <c r="AR209" s="213">
        <v>655639.51</v>
      </c>
      <c r="AS209" s="213">
        <v>557472.07000000007</v>
      </c>
      <c r="AT209" s="213">
        <v>618176.40000000014</v>
      </c>
      <c r="AU209" s="213">
        <v>668625.74</v>
      </c>
      <c r="AV209" s="213">
        <v>685392.96843524743</v>
      </c>
      <c r="AW209" s="213">
        <v>648883.33199752797</v>
      </c>
      <c r="AX209" s="213">
        <v>687654.72211347008</v>
      </c>
      <c r="AY209" s="213">
        <v>727305.4194975181</v>
      </c>
      <c r="AZ209" s="213">
        <v>741610.99283085135</v>
      </c>
      <c r="BA209" s="213">
        <v>760098.31854679342</v>
      </c>
      <c r="BB209" s="213">
        <v>777777.33540953847</v>
      </c>
      <c r="BC209" s="213">
        <v>813491.00502590684</v>
      </c>
    </row>
    <row r="210" spans="1:55" x14ac:dyDescent="0.25">
      <c r="A210" s="209" t="s">
        <v>374</v>
      </c>
      <c r="B210" s="210" t="s">
        <v>403</v>
      </c>
      <c r="C210" t="s">
        <v>10</v>
      </c>
      <c r="D210" t="s">
        <v>468</v>
      </c>
      <c r="E210" t="s">
        <v>490</v>
      </c>
      <c r="F210" s="211">
        <v>6100</v>
      </c>
      <c r="G210" t="s">
        <v>389</v>
      </c>
      <c r="H210" s="213">
        <v>36362.199999999997</v>
      </c>
      <c r="I210" s="213">
        <v>24864.92</v>
      </c>
      <c r="J210" s="213">
        <v>28918.07</v>
      </c>
      <c r="K210" s="213">
        <v>33282.400000000001</v>
      </c>
      <c r="L210" s="213">
        <v>29558.27</v>
      </c>
      <c r="M210" s="213">
        <v>30482.66</v>
      </c>
      <c r="N210" s="213">
        <v>32684.83</v>
      </c>
      <c r="O210" s="213">
        <v>28688.63</v>
      </c>
      <c r="P210" s="213">
        <v>29530.3</v>
      </c>
      <c r="Q210" s="213">
        <v>35676.589999999997</v>
      </c>
      <c r="R210" s="213">
        <v>33478.65</v>
      </c>
      <c r="S210" s="213">
        <v>48828.639999999999</v>
      </c>
      <c r="T210" s="213">
        <v>71805.239999999991</v>
      </c>
      <c r="U210" s="213">
        <v>54750.67</v>
      </c>
      <c r="V210" s="213">
        <v>49195.29</v>
      </c>
      <c r="W210" s="213">
        <v>48504.24</v>
      </c>
      <c r="X210" s="213">
        <v>52528.289999999994</v>
      </c>
      <c r="Y210" s="213">
        <v>61745.99</v>
      </c>
      <c r="Z210" s="213">
        <v>56909.31</v>
      </c>
      <c r="AA210" s="213">
        <v>52791.619999999995</v>
      </c>
      <c r="AB210" s="213">
        <v>27266.17</v>
      </c>
      <c r="AC210" s="213">
        <v>26431.72</v>
      </c>
      <c r="AD210" s="213">
        <v>28547.31</v>
      </c>
      <c r="AE210" s="213">
        <v>40113.550000000003</v>
      </c>
      <c r="AF210" s="213">
        <v>43346.729999999996</v>
      </c>
      <c r="AG210" s="213">
        <v>50968.9</v>
      </c>
      <c r="AH210" s="213">
        <v>68507</v>
      </c>
      <c r="AI210" s="213">
        <v>44641.75</v>
      </c>
      <c r="AJ210" s="213">
        <v>46543.460000000006</v>
      </c>
      <c r="AK210" s="213">
        <v>47385.01</v>
      </c>
      <c r="AL210" s="213">
        <v>50598.32</v>
      </c>
      <c r="AM210" s="213">
        <v>49643.82</v>
      </c>
      <c r="AN210" s="213">
        <v>47107.040000000001</v>
      </c>
      <c r="AO210" s="213">
        <v>49400.619999999995</v>
      </c>
      <c r="AP210" s="213">
        <v>50386.720000000001</v>
      </c>
      <c r="AQ210" s="213">
        <v>50002.95</v>
      </c>
      <c r="AR210" s="213">
        <v>65283.930000000008</v>
      </c>
      <c r="AS210" s="213">
        <v>59767.81</v>
      </c>
      <c r="AT210" s="213">
        <v>74201.34</v>
      </c>
      <c r="AU210" s="213">
        <v>79854.250000000015</v>
      </c>
      <c r="AV210" s="213">
        <v>76984.370084615366</v>
      </c>
      <c r="AW210" s="213">
        <v>75212.502135897405</v>
      </c>
      <c r="AX210" s="213">
        <v>75212.502135897419</v>
      </c>
      <c r="AY210" s="213">
        <v>78429.13546923075</v>
      </c>
      <c r="AZ210" s="213">
        <v>83048.288097384662</v>
      </c>
      <c r="BA210" s="213">
        <v>85511.300668584663</v>
      </c>
      <c r="BB210" s="213">
        <v>87182.845668584661</v>
      </c>
      <c r="BC210" s="213">
        <v>90525.935668584672</v>
      </c>
    </row>
    <row r="211" spans="1:55" x14ac:dyDescent="0.25">
      <c r="A211" s="209" t="s">
        <v>374</v>
      </c>
      <c r="B211" s="210" t="s">
        <v>403</v>
      </c>
      <c r="C211" t="s">
        <v>10</v>
      </c>
      <c r="D211" t="s">
        <v>468</v>
      </c>
      <c r="E211" t="s">
        <v>490</v>
      </c>
      <c r="F211" s="211">
        <v>6200</v>
      </c>
      <c r="G211" t="s">
        <v>464</v>
      </c>
      <c r="H211" s="213">
        <v>30127</v>
      </c>
      <c r="I211" s="213">
        <v>55519.83</v>
      </c>
      <c r="J211" s="213">
        <v>76770.14</v>
      </c>
      <c r="K211" s="213">
        <v>21832.39</v>
      </c>
      <c r="L211" s="213">
        <v>71080.37</v>
      </c>
      <c r="M211" s="213">
        <v>167979.69</v>
      </c>
      <c r="N211" s="213">
        <v>87423.26</v>
      </c>
      <c r="O211" s="213">
        <v>52084.62</v>
      </c>
      <c r="P211" s="213">
        <v>156249.04</v>
      </c>
      <c r="Q211" s="213">
        <v>77837.899999999994</v>
      </c>
      <c r="R211" s="213">
        <v>171483.73</v>
      </c>
      <c r="S211" s="213">
        <v>388275.08</v>
      </c>
      <c r="T211" s="213">
        <v>53445.919999999998</v>
      </c>
      <c r="U211" s="213">
        <v>77705.62</v>
      </c>
      <c r="V211" s="213">
        <v>164566.03</v>
      </c>
      <c r="W211" s="213">
        <v>75176.399999999994</v>
      </c>
      <c r="X211" s="213">
        <v>136471.78</v>
      </c>
      <c r="Y211" s="213">
        <v>117191.25</v>
      </c>
      <c r="Z211" s="213">
        <v>74086.600000000006</v>
      </c>
      <c r="AA211" s="213">
        <v>81750.350000000006</v>
      </c>
      <c r="AB211" s="213">
        <v>-11344.79</v>
      </c>
      <c r="AC211" s="213">
        <v>37238</v>
      </c>
      <c r="AD211" s="213">
        <v>177988</v>
      </c>
      <c r="AE211" s="213">
        <v>343769.79</v>
      </c>
      <c r="AF211" s="213">
        <v>291210</v>
      </c>
      <c r="AG211" s="213">
        <v>420115.47</v>
      </c>
      <c r="AH211" s="213">
        <v>-104712.54000000004</v>
      </c>
      <c r="AI211" s="213">
        <v>440000</v>
      </c>
      <c r="AJ211" s="213">
        <v>489000</v>
      </c>
      <c r="AK211" s="213">
        <v>431523.37</v>
      </c>
      <c r="AL211" s="213">
        <v>273021.25</v>
      </c>
      <c r="AM211" s="213">
        <v>853367.52</v>
      </c>
      <c r="AN211" s="213">
        <v>-1415746.54</v>
      </c>
      <c r="AO211" s="213">
        <v>517984.33</v>
      </c>
      <c r="AP211" s="213">
        <v>325735.66000000003</v>
      </c>
      <c r="AQ211" s="213">
        <v>-144469</v>
      </c>
      <c r="AR211" s="213">
        <v>347689.01</v>
      </c>
      <c r="AS211" s="213">
        <v>556337.51</v>
      </c>
      <c r="AT211" s="213">
        <v>-252894.11</v>
      </c>
      <c r="AU211" s="213">
        <v>661026.56999999995</v>
      </c>
      <c r="AV211" s="213">
        <v>249404.82476943513</v>
      </c>
      <c r="AW211" s="213">
        <v>231835.98759097789</v>
      </c>
      <c r="AX211" s="213">
        <v>228570.84986908903</v>
      </c>
      <c r="AY211" s="213">
        <v>233844.56003714027</v>
      </c>
      <c r="AZ211" s="213">
        <v>249482.60586159074</v>
      </c>
      <c r="BA211" s="213">
        <v>258330.2536115908</v>
      </c>
      <c r="BB211" s="213">
        <v>261846.47880957773</v>
      </c>
      <c r="BC211" s="213">
        <v>268329.40144126129</v>
      </c>
    </row>
    <row r="212" spans="1:55" x14ac:dyDescent="0.25">
      <c r="A212" s="209" t="s">
        <v>374</v>
      </c>
      <c r="B212" s="210" t="s">
        <v>403</v>
      </c>
      <c r="C212" t="s">
        <v>10</v>
      </c>
      <c r="D212" t="s">
        <v>468</v>
      </c>
      <c r="E212" t="s">
        <v>490</v>
      </c>
      <c r="F212" s="211">
        <v>6112</v>
      </c>
      <c r="G212" t="s">
        <v>391</v>
      </c>
      <c r="H212" s="213">
        <v>0</v>
      </c>
      <c r="I212" s="213">
        <v>0</v>
      </c>
      <c r="J212" s="213">
        <v>0</v>
      </c>
      <c r="K212" s="213">
        <v>0</v>
      </c>
      <c r="L212" s="213">
        <v>0</v>
      </c>
      <c r="M212" s="213">
        <v>0</v>
      </c>
      <c r="N212" s="213">
        <v>0</v>
      </c>
      <c r="O212" s="213">
        <v>0</v>
      </c>
      <c r="P212" s="213">
        <v>0</v>
      </c>
      <c r="Q212" s="213">
        <v>0</v>
      </c>
      <c r="R212" s="213">
        <v>0</v>
      </c>
      <c r="S212" s="213">
        <v>0</v>
      </c>
      <c r="T212" s="213">
        <v>0</v>
      </c>
      <c r="U212" s="213">
        <v>0</v>
      </c>
      <c r="V212" s="213">
        <v>0</v>
      </c>
      <c r="W212" s="213">
        <v>0</v>
      </c>
      <c r="X212" s="213">
        <v>0</v>
      </c>
      <c r="Y212" s="213">
        <v>0</v>
      </c>
      <c r="Z212" s="213">
        <v>0</v>
      </c>
      <c r="AA212" s="213">
        <v>0</v>
      </c>
      <c r="AB212" s="213">
        <v>29971.85</v>
      </c>
      <c r="AC212" s="213">
        <v>35404.28</v>
      </c>
      <c r="AD212" s="213">
        <v>33169.980000000003</v>
      </c>
      <c r="AE212" s="213">
        <v>55663.28</v>
      </c>
      <c r="AF212" s="213">
        <v>56846.37</v>
      </c>
      <c r="AG212" s="213">
        <v>42600.579999999994</v>
      </c>
      <c r="AH212" s="213">
        <v>58032.66</v>
      </c>
      <c r="AI212" s="213">
        <v>49773.98</v>
      </c>
      <c r="AJ212" s="213">
        <v>50270.350000000006</v>
      </c>
      <c r="AK212" s="213">
        <v>55299.490000000005</v>
      </c>
      <c r="AL212" s="213">
        <v>102910.48</v>
      </c>
      <c r="AM212" s="213">
        <v>41676.26</v>
      </c>
      <c r="AN212" s="213">
        <v>53130.29</v>
      </c>
      <c r="AO212" s="213">
        <v>-41410.660000000003</v>
      </c>
      <c r="AP212" s="213">
        <v>50194.100000000006</v>
      </c>
      <c r="AQ212" s="213">
        <v>80253.62</v>
      </c>
      <c r="AR212" s="213">
        <v>105639.56</v>
      </c>
      <c r="AS212" s="213">
        <v>69517.290000000008</v>
      </c>
      <c r="AT212" s="213">
        <v>101658.08</v>
      </c>
      <c r="AU212" s="213">
        <v>124427.67000000001</v>
      </c>
      <c r="AV212" s="213">
        <v>66505.896239184789</v>
      </c>
      <c r="AW212" s="213">
        <v>57028.933268287044</v>
      </c>
      <c r="AX212" s="213">
        <v>57414.165829481906</v>
      </c>
      <c r="AY212" s="213">
        <v>60351.850317496501</v>
      </c>
      <c r="AZ212" s="213">
        <v>63347.047090660482</v>
      </c>
      <c r="BA212" s="213">
        <v>56279.350006883949</v>
      </c>
      <c r="BB212" s="213">
        <v>54746.20834176505</v>
      </c>
      <c r="BC212" s="213">
        <v>87667.054143112851</v>
      </c>
    </row>
    <row r="213" spans="1:55" x14ac:dyDescent="0.25">
      <c r="A213" s="209" t="s">
        <v>374</v>
      </c>
      <c r="B213" s="210" t="s">
        <v>403</v>
      </c>
      <c r="C213" t="s">
        <v>10</v>
      </c>
      <c r="D213" t="s">
        <v>468</v>
      </c>
      <c r="E213" t="s">
        <v>491</v>
      </c>
      <c r="F213" s="211">
        <v>6350</v>
      </c>
      <c r="G213" t="s">
        <v>393</v>
      </c>
      <c r="H213" s="213">
        <v>0</v>
      </c>
      <c r="I213" s="213">
        <v>1295</v>
      </c>
      <c r="J213" s="213">
        <v>0</v>
      </c>
      <c r="K213" s="213">
        <v>0</v>
      </c>
      <c r="L213" s="213">
        <v>348.2</v>
      </c>
      <c r="M213" s="213">
        <v>999</v>
      </c>
      <c r="N213" s="213">
        <v>0</v>
      </c>
      <c r="O213" s="213">
        <v>1961.2</v>
      </c>
      <c r="P213" s="213">
        <v>130.6</v>
      </c>
      <c r="Q213" s="213">
        <v>499</v>
      </c>
      <c r="R213" s="213">
        <v>19.690000000000001</v>
      </c>
      <c r="S213" s="213">
        <v>0</v>
      </c>
      <c r="T213" s="213">
        <v>34.81</v>
      </c>
      <c r="U213" s="213">
        <v>12.99</v>
      </c>
      <c r="V213" s="213">
        <v>726.05</v>
      </c>
      <c r="W213" s="213">
        <v>13.89</v>
      </c>
      <c r="X213" s="213">
        <v>101737.26</v>
      </c>
      <c r="Y213" s="213">
        <v>1370.38</v>
      </c>
      <c r="Z213" s="213">
        <v>199838.36</v>
      </c>
      <c r="AA213" s="213">
        <v>11812.59</v>
      </c>
      <c r="AB213" s="213">
        <v>161990</v>
      </c>
      <c r="AC213" s="213">
        <v>1580.48</v>
      </c>
      <c r="AD213" s="213">
        <v>238.92</v>
      </c>
      <c r="AE213" s="213">
        <v>-49348.81</v>
      </c>
      <c r="AF213" s="213">
        <v>56911.44</v>
      </c>
      <c r="AG213" s="213">
        <v>1420.6699999999998</v>
      </c>
      <c r="AH213" s="213">
        <v>189.8</v>
      </c>
      <c r="AI213" s="213">
        <v>77.099999999999994</v>
      </c>
      <c r="AJ213" s="213">
        <v>2500</v>
      </c>
      <c r="AK213" s="213">
        <v>4071.83</v>
      </c>
      <c r="AL213" s="213">
        <v>2500</v>
      </c>
      <c r="AM213" s="213">
        <v>2500</v>
      </c>
      <c r="AN213" s="213">
        <v>2500</v>
      </c>
      <c r="AO213" s="213">
        <v>2500</v>
      </c>
      <c r="AP213" s="213">
        <v>279</v>
      </c>
      <c r="AQ213" s="213">
        <v>-7460.27</v>
      </c>
      <c r="AR213" s="213">
        <v>0</v>
      </c>
      <c r="AS213" s="213">
        <v>66.8</v>
      </c>
      <c r="AT213" s="213">
        <v>541.64</v>
      </c>
      <c r="AU213" s="213">
        <v>32.1</v>
      </c>
      <c r="AV213" s="213">
        <v>106000</v>
      </c>
      <c r="AW213" s="213">
        <v>6000</v>
      </c>
      <c r="AX213" s="213">
        <v>6466.666666666667</v>
      </c>
      <c r="AY213" s="213">
        <v>6800</v>
      </c>
      <c r="AZ213" s="213">
        <v>6866.666666666667</v>
      </c>
      <c r="BA213" s="213">
        <v>507066.66666666669</v>
      </c>
      <c r="BB213" s="213">
        <v>7200</v>
      </c>
      <c r="BC213" s="213">
        <v>7466.666666666667</v>
      </c>
    </row>
    <row r="214" spans="1:55" x14ac:dyDescent="0.25">
      <c r="A214" s="209" t="s">
        <v>374</v>
      </c>
      <c r="B214" s="210" t="s">
        <v>403</v>
      </c>
      <c r="C214" t="s">
        <v>10</v>
      </c>
      <c r="D214" t="s">
        <v>468</v>
      </c>
      <c r="E214" t="s">
        <v>491</v>
      </c>
      <c r="F214" s="211">
        <v>6400</v>
      </c>
      <c r="G214" t="s">
        <v>395</v>
      </c>
      <c r="H214" s="213">
        <v>10053.5</v>
      </c>
      <c r="I214" s="213">
        <v>3040.59</v>
      </c>
      <c r="J214" s="213">
        <v>0</v>
      </c>
      <c r="K214" s="213">
        <v>2895.64</v>
      </c>
      <c r="L214" s="213">
        <v>6010.68</v>
      </c>
      <c r="M214" s="213">
        <v>0</v>
      </c>
      <c r="N214" s="213">
        <v>6063.65</v>
      </c>
      <c r="O214" s="213">
        <v>1917.49</v>
      </c>
      <c r="P214" s="213">
        <v>1471.05</v>
      </c>
      <c r="Q214" s="213">
        <v>4276.47</v>
      </c>
      <c r="R214" s="213">
        <v>1588.9</v>
      </c>
      <c r="S214" s="213">
        <v>1693.39</v>
      </c>
      <c r="T214" s="213">
        <v>4317.8100000000004</v>
      </c>
      <c r="U214" s="213">
        <v>3917.39</v>
      </c>
      <c r="V214" s="213">
        <v>2385.56</v>
      </c>
      <c r="W214" s="213">
        <v>2205.87</v>
      </c>
      <c r="X214" s="213">
        <v>5135.05</v>
      </c>
      <c r="Y214" s="213">
        <v>2715.45</v>
      </c>
      <c r="Z214" s="213">
        <v>16963.34</v>
      </c>
      <c r="AA214" s="213">
        <v>548.86999999999989</v>
      </c>
      <c r="AB214" s="213">
        <v>3101.97</v>
      </c>
      <c r="AC214" s="213">
        <v>5698.84</v>
      </c>
      <c r="AD214" s="213">
        <v>4174.29</v>
      </c>
      <c r="AE214" s="213">
        <v>6823.84</v>
      </c>
      <c r="AF214" s="213">
        <v>10081.25</v>
      </c>
      <c r="AG214" s="213">
        <v>7546.74</v>
      </c>
      <c r="AH214" s="213">
        <v>141.07999999999998</v>
      </c>
      <c r="AI214" s="213">
        <v>164.49</v>
      </c>
      <c r="AJ214" s="213">
        <v>420.38</v>
      </c>
      <c r="AK214" s="213">
        <v>4467.7199999999993</v>
      </c>
      <c r="AL214" s="213">
        <v>1372.27</v>
      </c>
      <c r="AM214" s="213">
        <v>425.21</v>
      </c>
      <c r="AN214" s="213">
        <v>5058.0600000000004</v>
      </c>
      <c r="AO214" s="213">
        <v>3249.37</v>
      </c>
      <c r="AP214" s="213">
        <v>1018.91</v>
      </c>
      <c r="AQ214" s="213">
        <v>19870.840000000004</v>
      </c>
      <c r="AR214" s="213">
        <v>1826.25</v>
      </c>
      <c r="AS214" s="213">
        <v>112.56</v>
      </c>
      <c r="AT214" s="213">
        <v>11043.32</v>
      </c>
      <c r="AU214" s="213">
        <v>4339.2</v>
      </c>
      <c r="AV214" s="213">
        <v>3000</v>
      </c>
      <c r="AW214" s="213">
        <v>3000</v>
      </c>
      <c r="AX214" s="213">
        <v>3233.3333333333335</v>
      </c>
      <c r="AY214" s="213">
        <v>3400</v>
      </c>
      <c r="AZ214" s="213">
        <v>3433.3333333333335</v>
      </c>
      <c r="BA214" s="213">
        <v>3533.3333333333335</v>
      </c>
      <c r="BB214" s="213">
        <v>3600</v>
      </c>
      <c r="BC214" s="213">
        <v>3733.3333333333335</v>
      </c>
    </row>
    <row r="215" spans="1:55" x14ac:dyDescent="0.25">
      <c r="A215" s="209" t="s">
        <v>374</v>
      </c>
      <c r="B215" s="210" t="s">
        <v>406</v>
      </c>
      <c r="C215" t="s">
        <v>10</v>
      </c>
      <c r="D215" t="s">
        <v>468</v>
      </c>
      <c r="E215" t="s">
        <v>491</v>
      </c>
      <c r="F215" s="211">
        <v>7150</v>
      </c>
      <c r="G215" t="s">
        <v>397</v>
      </c>
      <c r="H215" s="213">
        <v>11864.37</v>
      </c>
      <c r="I215" s="213">
        <v>31491.41</v>
      </c>
      <c r="J215" s="213">
        <v>11431.07</v>
      </c>
      <c r="K215" s="213">
        <v>19391.64</v>
      </c>
      <c r="L215" s="213">
        <v>21704.86</v>
      </c>
      <c r="M215" s="213">
        <v>23711.9</v>
      </c>
      <c r="N215" s="213">
        <v>30665.9</v>
      </c>
      <c r="O215" s="213">
        <v>19676.300000000003</v>
      </c>
      <c r="P215" s="213">
        <v>34724.01</v>
      </c>
      <c r="Q215" s="213">
        <v>35967.99</v>
      </c>
      <c r="R215" s="213">
        <v>19896.34</v>
      </c>
      <c r="S215" s="213">
        <v>37639.67</v>
      </c>
      <c r="T215" s="213">
        <v>11100.7</v>
      </c>
      <c r="U215" s="213">
        <v>40527.960000000006</v>
      </c>
      <c r="V215" s="213">
        <v>44875.81</v>
      </c>
      <c r="W215" s="213">
        <v>39344.320000000007</v>
      </c>
      <c r="X215" s="213">
        <v>33572.130000000005</v>
      </c>
      <c r="Y215" s="213">
        <v>40011.760000000002</v>
      </c>
      <c r="Z215" s="213">
        <v>49759.259999999995</v>
      </c>
      <c r="AA215" s="213">
        <v>40251.58</v>
      </c>
      <c r="AB215" s="213">
        <v>60521.74</v>
      </c>
      <c r="AC215" s="213">
        <v>82199.869999999981</v>
      </c>
      <c r="AD215" s="213">
        <v>53544.510000000009</v>
      </c>
      <c r="AE215" s="213">
        <v>60439.770000000004</v>
      </c>
      <c r="AF215" s="213">
        <v>68075.41</v>
      </c>
      <c r="AG215" s="213">
        <v>11835.689999999999</v>
      </c>
      <c r="AH215" s="213">
        <v>705.84999999999991</v>
      </c>
      <c r="AI215" s="213">
        <v>649.7700000000001</v>
      </c>
      <c r="AJ215" s="213">
        <v>2721.98</v>
      </c>
      <c r="AK215" s="213">
        <v>1633.1</v>
      </c>
      <c r="AL215" s="213">
        <v>652.27</v>
      </c>
      <c r="AM215" s="213">
        <v>2140.5500000000002</v>
      </c>
      <c r="AN215" s="213">
        <v>7194.1900000000005</v>
      </c>
      <c r="AO215" s="213">
        <v>32476.6</v>
      </c>
      <c r="AP215" s="213">
        <v>12247.73</v>
      </c>
      <c r="AQ215" s="213">
        <v>-7571.0499999999956</v>
      </c>
      <c r="AR215" s="213">
        <v>6065.81</v>
      </c>
      <c r="AS215" s="213">
        <v>2229.31</v>
      </c>
      <c r="AT215" s="213">
        <v>761.48</v>
      </c>
      <c r="AU215" s="213">
        <v>4625.3100000000004</v>
      </c>
      <c r="AV215" s="213">
        <v>15000</v>
      </c>
      <c r="AW215" s="213">
        <v>20000</v>
      </c>
      <c r="AX215" s="213">
        <v>10000</v>
      </c>
      <c r="AY215" s="213">
        <v>10000</v>
      </c>
      <c r="AZ215" s="213">
        <v>10000</v>
      </c>
      <c r="BA215" s="213">
        <v>15000</v>
      </c>
      <c r="BB215" s="213">
        <v>15000</v>
      </c>
      <c r="BC215" s="213">
        <v>15000</v>
      </c>
    </row>
    <row r="216" spans="1:55" x14ac:dyDescent="0.25">
      <c r="A216" s="209" t="s">
        <v>374</v>
      </c>
      <c r="B216" s="210" t="s">
        <v>463</v>
      </c>
      <c r="C216" t="s">
        <v>10</v>
      </c>
      <c r="D216" t="s">
        <v>468</v>
      </c>
      <c r="E216" t="s">
        <v>491</v>
      </c>
      <c r="H216" s="213">
        <v>0</v>
      </c>
      <c r="I216" s="213">
        <v>0</v>
      </c>
      <c r="J216" s="213">
        <v>0</v>
      </c>
      <c r="K216" s="213">
        <v>0</v>
      </c>
      <c r="L216" s="213">
        <v>0</v>
      </c>
      <c r="M216" s="213">
        <v>0</v>
      </c>
      <c r="N216" s="213">
        <v>0</v>
      </c>
      <c r="O216" s="213">
        <v>0</v>
      </c>
      <c r="P216" s="213">
        <v>0</v>
      </c>
      <c r="Q216" s="213">
        <v>0</v>
      </c>
      <c r="R216" s="213">
        <v>0</v>
      </c>
      <c r="S216" s="213">
        <v>0</v>
      </c>
      <c r="T216" s="213">
        <v>0</v>
      </c>
      <c r="U216" s="213">
        <v>0</v>
      </c>
      <c r="V216" s="213">
        <v>0</v>
      </c>
      <c r="W216" s="213">
        <v>0</v>
      </c>
      <c r="X216" s="213">
        <v>0</v>
      </c>
      <c r="Y216" s="213">
        <v>0</v>
      </c>
      <c r="Z216" s="213">
        <v>0</v>
      </c>
      <c r="AA216" s="213">
        <v>0</v>
      </c>
      <c r="AB216" s="213">
        <v>0</v>
      </c>
      <c r="AC216" s="213">
        <v>0</v>
      </c>
      <c r="AD216" s="213">
        <v>0</v>
      </c>
      <c r="AE216" s="213">
        <v>0</v>
      </c>
      <c r="AF216" s="213">
        <v>0</v>
      </c>
      <c r="AG216" s="213">
        <v>0</v>
      </c>
      <c r="AH216" s="213">
        <v>0</v>
      </c>
      <c r="AI216" s="213">
        <v>0</v>
      </c>
      <c r="AJ216" s="213">
        <v>0</v>
      </c>
      <c r="AK216" s="213">
        <v>0</v>
      </c>
      <c r="AL216" s="213">
        <v>0</v>
      </c>
      <c r="AM216" s="213">
        <v>0</v>
      </c>
      <c r="AN216" s="213">
        <v>0</v>
      </c>
      <c r="AO216" s="213">
        <v>0</v>
      </c>
      <c r="AP216" s="213">
        <v>0</v>
      </c>
      <c r="AQ216" s="213">
        <v>0</v>
      </c>
      <c r="AR216" s="213">
        <v>0</v>
      </c>
      <c r="AS216" s="213">
        <v>0</v>
      </c>
      <c r="AT216" s="213">
        <v>0</v>
      </c>
      <c r="AU216" s="213">
        <v>0</v>
      </c>
      <c r="AV216" s="213">
        <v>0</v>
      </c>
      <c r="AW216" s="213">
        <v>0</v>
      </c>
      <c r="AX216" s="213">
        <v>0</v>
      </c>
      <c r="AY216" s="213">
        <v>0</v>
      </c>
      <c r="AZ216" s="213">
        <v>0</v>
      </c>
      <c r="BA216" s="213">
        <v>0</v>
      </c>
      <c r="BB216" s="213">
        <v>0</v>
      </c>
      <c r="BC216" s="213">
        <v>0</v>
      </c>
    </row>
    <row r="217" spans="1:55" x14ac:dyDescent="0.25">
      <c r="A217" s="209" t="s">
        <v>374</v>
      </c>
      <c r="B217" s="210" t="s">
        <v>463</v>
      </c>
      <c r="C217" t="s">
        <v>10</v>
      </c>
      <c r="D217" t="s">
        <v>468</v>
      </c>
      <c r="E217" t="s">
        <v>491</v>
      </c>
      <c r="F217" s="211">
        <v>6250</v>
      </c>
      <c r="G217" t="s">
        <v>392</v>
      </c>
      <c r="H217" s="213">
        <v>0</v>
      </c>
      <c r="I217" s="213">
        <v>0</v>
      </c>
      <c r="J217" s="213">
        <v>0</v>
      </c>
      <c r="K217" s="213">
        <v>0</v>
      </c>
      <c r="L217" s="213">
        <v>0</v>
      </c>
      <c r="M217" s="213">
        <v>0</v>
      </c>
      <c r="N217" s="213">
        <v>0</v>
      </c>
      <c r="O217" s="213">
        <v>0</v>
      </c>
      <c r="P217" s="213">
        <v>1756</v>
      </c>
      <c r="Q217" s="213">
        <v>0</v>
      </c>
      <c r="R217" s="213">
        <v>4210</v>
      </c>
      <c r="S217" s="213">
        <v>24826</v>
      </c>
      <c r="T217" s="213">
        <v>0</v>
      </c>
      <c r="U217" s="213">
        <v>10800</v>
      </c>
      <c r="V217" s="213">
        <v>9900</v>
      </c>
      <c r="W217" s="213">
        <v>9900</v>
      </c>
      <c r="X217" s="213">
        <v>9900</v>
      </c>
      <c r="Y217" s="213">
        <v>0</v>
      </c>
      <c r="Z217" s="213">
        <v>0</v>
      </c>
      <c r="AA217" s="213">
        <v>0</v>
      </c>
      <c r="AB217" s="213">
        <v>0</v>
      </c>
      <c r="AC217" s="213">
        <v>0</v>
      </c>
      <c r="AD217" s="213">
        <v>0</v>
      </c>
      <c r="AE217" s="213">
        <v>0</v>
      </c>
      <c r="AF217" s="213">
        <v>7875</v>
      </c>
      <c r="AG217" s="213">
        <v>30150</v>
      </c>
      <c r="AH217" s="213">
        <v>8295.2900000000009</v>
      </c>
      <c r="AI217" s="213">
        <v>0</v>
      </c>
      <c r="AJ217" s="213">
        <v>0</v>
      </c>
      <c r="AK217" s="213">
        <v>1791.67</v>
      </c>
      <c r="AL217" s="213">
        <v>0</v>
      </c>
      <c r="AM217" s="213">
        <v>0</v>
      </c>
      <c r="AN217" s="213">
        <v>0</v>
      </c>
      <c r="AO217" s="213">
        <v>45139</v>
      </c>
      <c r="AP217" s="213">
        <v>45419.71</v>
      </c>
      <c r="AQ217" s="213">
        <v>33810.46</v>
      </c>
      <c r="AR217" s="213">
        <v>86421.33</v>
      </c>
      <c r="AS217" s="213">
        <v>288.06999999999971</v>
      </c>
      <c r="AT217" s="213">
        <v>62354.94</v>
      </c>
      <c r="AU217" s="213">
        <v>52729.37</v>
      </c>
      <c r="AV217" s="213">
        <v>25000</v>
      </c>
      <c r="AW217" s="213">
        <v>25000</v>
      </c>
      <c r="AX217" s="213">
        <v>25000</v>
      </c>
      <c r="AY217" s="213">
        <v>25000</v>
      </c>
      <c r="AZ217" s="213">
        <v>25000</v>
      </c>
      <c r="BA217" s="213">
        <v>25000</v>
      </c>
      <c r="BB217" s="213">
        <v>25000</v>
      </c>
      <c r="BC217" s="213">
        <v>25000</v>
      </c>
    </row>
    <row r="218" spans="1:55" x14ac:dyDescent="0.25">
      <c r="A218" s="209" t="s">
        <v>374</v>
      </c>
      <c r="B218" s="210" t="s">
        <v>463</v>
      </c>
      <c r="C218" t="s">
        <v>10</v>
      </c>
      <c r="D218" t="s">
        <v>468</v>
      </c>
      <c r="E218" t="s">
        <v>491</v>
      </c>
      <c r="H218" s="213">
        <v>0</v>
      </c>
      <c r="I218" s="213">
        <v>0</v>
      </c>
      <c r="J218" s="213">
        <v>0</v>
      </c>
      <c r="K218" s="213">
        <v>0</v>
      </c>
      <c r="L218" s="213">
        <v>0</v>
      </c>
      <c r="M218" s="213">
        <v>0</v>
      </c>
      <c r="N218" s="213">
        <v>0</v>
      </c>
      <c r="O218" s="213">
        <v>0</v>
      </c>
      <c r="P218" s="213">
        <v>0</v>
      </c>
      <c r="Q218" s="213">
        <v>0</v>
      </c>
      <c r="R218" s="213">
        <v>0</v>
      </c>
      <c r="S218" s="213">
        <v>0</v>
      </c>
      <c r="T218" s="213">
        <v>0</v>
      </c>
      <c r="U218" s="213">
        <v>0</v>
      </c>
      <c r="V218" s="213">
        <v>0</v>
      </c>
      <c r="W218" s="213">
        <v>0</v>
      </c>
      <c r="X218" s="213">
        <v>0</v>
      </c>
      <c r="Y218" s="213">
        <v>0</v>
      </c>
      <c r="Z218" s="213">
        <v>0</v>
      </c>
      <c r="AA218" s="213">
        <v>0</v>
      </c>
      <c r="AB218" s="213">
        <v>0</v>
      </c>
      <c r="AC218" s="213">
        <v>0</v>
      </c>
      <c r="AD218" s="213">
        <v>0</v>
      </c>
      <c r="AE218" s="213">
        <v>0</v>
      </c>
      <c r="AF218" s="213">
        <v>0</v>
      </c>
      <c r="AG218" s="213">
        <v>0</v>
      </c>
      <c r="AH218" s="213">
        <v>0</v>
      </c>
      <c r="AI218" s="213">
        <v>0</v>
      </c>
      <c r="AJ218" s="213">
        <v>0</v>
      </c>
      <c r="AK218" s="213">
        <v>0</v>
      </c>
      <c r="AL218" s="213">
        <v>0</v>
      </c>
      <c r="AM218" s="213">
        <v>0</v>
      </c>
      <c r="AN218" s="213">
        <v>0</v>
      </c>
      <c r="AO218" s="213">
        <v>0</v>
      </c>
      <c r="AP218" s="213">
        <v>0</v>
      </c>
      <c r="AQ218" s="213">
        <v>0</v>
      </c>
      <c r="AR218" s="213">
        <v>0</v>
      </c>
      <c r="AS218" s="213">
        <v>0</v>
      </c>
      <c r="AT218" s="213">
        <v>0</v>
      </c>
      <c r="AU218" s="213">
        <v>0</v>
      </c>
      <c r="AV218" s="213">
        <v>0</v>
      </c>
      <c r="AW218" s="213">
        <v>0</v>
      </c>
      <c r="AX218" s="213">
        <v>0</v>
      </c>
      <c r="AY218" s="213">
        <v>0</v>
      </c>
      <c r="AZ218" s="213">
        <v>0</v>
      </c>
      <c r="BA218" s="213">
        <v>0</v>
      </c>
      <c r="BB218" s="213">
        <v>0</v>
      </c>
      <c r="BC218" s="213">
        <v>0</v>
      </c>
    </row>
    <row r="219" spans="1:55" x14ac:dyDescent="0.25">
      <c r="A219" s="209" t="s">
        <v>374</v>
      </c>
      <c r="B219" s="210" t="s">
        <v>463</v>
      </c>
      <c r="C219" t="s">
        <v>10</v>
      </c>
      <c r="D219" t="s">
        <v>468</v>
      </c>
      <c r="E219" t="s">
        <v>491</v>
      </c>
      <c r="F219" s="211">
        <v>7050</v>
      </c>
      <c r="G219" t="s">
        <v>394</v>
      </c>
      <c r="H219" s="213">
        <v>37500.25</v>
      </c>
      <c r="I219" s="213">
        <v>60843.75</v>
      </c>
      <c r="J219" s="213">
        <v>34411.83</v>
      </c>
      <c r="K219" s="213">
        <v>32942.21</v>
      </c>
      <c r="L219" s="213">
        <v>49481.17</v>
      </c>
      <c r="M219" s="213">
        <v>41994.9</v>
      </c>
      <c r="N219" s="213">
        <v>45831.35</v>
      </c>
      <c r="O219" s="213">
        <v>45533.82</v>
      </c>
      <c r="P219" s="213">
        <v>44215.62</v>
      </c>
      <c r="Q219" s="213">
        <v>47767.05</v>
      </c>
      <c r="R219" s="213">
        <v>49186.28</v>
      </c>
      <c r="S219" s="213">
        <v>54760.35</v>
      </c>
      <c r="T219" s="213">
        <v>63484.78</v>
      </c>
      <c r="U219" s="213">
        <v>58623.81</v>
      </c>
      <c r="V219" s="213">
        <v>63602.09</v>
      </c>
      <c r="W219" s="213">
        <v>69314.13</v>
      </c>
      <c r="X219" s="213">
        <v>76125.919999999998</v>
      </c>
      <c r="Y219" s="213">
        <v>87088.97</v>
      </c>
      <c r="Z219" s="213">
        <v>96478.06</v>
      </c>
      <c r="AA219" s="213">
        <v>111947.84</v>
      </c>
      <c r="AB219" s="213">
        <v>89806.94</v>
      </c>
      <c r="AC219" s="213">
        <v>125419.45</v>
      </c>
      <c r="AD219" s="213">
        <v>270672.42000000004</v>
      </c>
      <c r="AE219" s="213">
        <v>263022.93</v>
      </c>
      <c r="AF219" s="213">
        <v>107509.31</v>
      </c>
      <c r="AG219" s="213">
        <v>106013.71</v>
      </c>
      <c r="AH219" s="213">
        <v>186126.34</v>
      </c>
      <c r="AI219" s="213">
        <v>144700.03999999998</v>
      </c>
      <c r="AJ219" s="213">
        <v>175009.82</v>
      </c>
      <c r="AK219" s="213">
        <v>138921.96</v>
      </c>
      <c r="AL219" s="213">
        <v>140692.45000000001</v>
      </c>
      <c r="AM219" s="213">
        <v>149730.46</v>
      </c>
      <c r="AN219" s="213">
        <v>147399.76</v>
      </c>
      <c r="AO219" s="213">
        <v>145332.35</v>
      </c>
      <c r="AP219" s="213">
        <v>146681</v>
      </c>
      <c r="AQ219" s="213">
        <v>162217.45000000001</v>
      </c>
      <c r="AR219" s="213">
        <v>102281.83</v>
      </c>
      <c r="AS219" s="213">
        <v>171901.93999999997</v>
      </c>
      <c r="AT219" s="213">
        <v>170616.19999999998</v>
      </c>
      <c r="AU219" s="213">
        <v>196771.87000000002</v>
      </c>
      <c r="AV219" s="213">
        <v>192836.43260000003</v>
      </c>
      <c r="AW219" s="213">
        <v>188979.70394800004</v>
      </c>
      <c r="AX219" s="213">
        <v>191373.44686467468</v>
      </c>
      <c r="AY219" s="213">
        <v>193595.84818310314</v>
      </c>
      <c r="AZ219" s="213">
        <v>201581.67692065611</v>
      </c>
      <c r="BA219" s="213">
        <v>203360.33877583838</v>
      </c>
      <c r="BB219" s="213">
        <v>216375.40045749204</v>
      </c>
      <c r="BC219" s="213">
        <v>223208.30784036021</v>
      </c>
    </row>
    <row r="220" spans="1:55" x14ac:dyDescent="0.25">
      <c r="B220" s="210"/>
      <c r="H220" s="214">
        <v>0</v>
      </c>
      <c r="I220" s="214">
        <v>0</v>
      </c>
      <c r="J220" s="214">
        <v>0</v>
      </c>
      <c r="K220" s="214">
        <v>0</v>
      </c>
      <c r="L220" s="214">
        <v>0</v>
      </c>
      <c r="M220" s="214">
        <v>0</v>
      </c>
      <c r="N220" s="214">
        <v>0</v>
      </c>
      <c r="O220" s="214">
        <v>0</v>
      </c>
      <c r="P220" s="214">
        <v>0</v>
      </c>
      <c r="Q220" s="214">
        <v>0</v>
      </c>
      <c r="R220" s="214">
        <v>0</v>
      </c>
      <c r="S220" s="214">
        <v>0</v>
      </c>
      <c r="T220" s="214">
        <v>0</v>
      </c>
      <c r="U220" s="214">
        <v>0</v>
      </c>
      <c r="V220" s="214">
        <v>0</v>
      </c>
      <c r="W220" s="214">
        <v>0</v>
      </c>
      <c r="X220" s="214">
        <v>0</v>
      </c>
      <c r="Y220" s="214">
        <v>0</v>
      </c>
      <c r="Z220" s="214">
        <v>0</v>
      </c>
      <c r="AA220" s="214">
        <v>0</v>
      </c>
      <c r="AB220" s="214">
        <v>0</v>
      </c>
      <c r="AC220" s="214">
        <v>0</v>
      </c>
      <c r="AD220" s="214">
        <v>0</v>
      </c>
      <c r="AE220" s="214">
        <v>0</v>
      </c>
      <c r="AF220" s="214">
        <v>0</v>
      </c>
      <c r="AG220" s="214">
        <v>0</v>
      </c>
      <c r="AH220" s="214">
        <v>0</v>
      </c>
      <c r="AI220" s="214">
        <v>0</v>
      </c>
      <c r="AJ220" s="214">
        <v>0</v>
      </c>
      <c r="AK220" s="214">
        <v>0</v>
      </c>
      <c r="AL220" s="214">
        <v>0</v>
      </c>
      <c r="AM220" s="214">
        <v>0</v>
      </c>
      <c r="AN220" s="214">
        <v>0</v>
      </c>
      <c r="AO220" s="214">
        <v>0</v>
      </c>
      <c r="AP220" s="214">
        <v>0</v>
      </c>
      <c r="AQ220" s="214">
        <v>0</v>
      </c>
      <c r="AR220" s="214">
        <v>0</v>
      </c>
      <c r="AS220" s="214">
        <v>0</v>
      </c>
      <c r="AT220" s="214">
        <v>0</v>
      </c>
      <c r="AU220" s="214">
        <v>0</v>
      </c>
      <c r="AV220" s="214">
        <v>0</v>
      </c>
      <c r="AW220" s="214">
        <v>0</v>
      </c>
      <c r="AX220" s="214">
        <v>0</v>
      </c>
      <c r="AY220" s="214">
        <v>0</v>
      </c>
      <c r="AZ220" s="214">
        <v>0</v>
      </c>
      <c r="BA220" s="214">
        <v>0</v>
      </c>
      <c r="BB220" s="214">
        <v>0</v>
      </c>
      <c r="BC220" s="214">
        <v>0</v>
      </c>
    </row>
    <row r="221" spans="1:55" x14ac:dyDescent="0.25">
      <c r="B221" s="210"/>
      <c r="H221" s="216">
        <v>276058.84999999998</v>
      </c>
      <c r="I221" s="216">
        <v>327680.51</v>
      </c>
      <c r="J221" s="216">
        <v>309031.10000000003</v>
      </c>
      <c r="K221" s="216">
        <v>278335.92000000004</v>
      </c>
      <c r="L221" s="216">
        <v>347603.11999999994</v>
      </c>
      <c r="M221" s="216">
        <v>440804.33000000007</v>
      </c>
      <c r="N221" s="216">
        <v>379081.55000000005</v>
      </c>
      <c r="O221" s="216">
        <v>310685.57</v>
      </c>
      <c r="P221" s="216">
        <v>436953.13999999996</v>
      </c>
      <c r="Q221" s="216">
        <v>389916.67999999993</v>
      </c>
      <c r="R221" s="216">
        <v>480899.19000000006</v>
      </c>
      <c r="S221" s="216">
        <v>778312.69000000006</v>
      </c>
      <c r="T221" s="216">
        <v>444326.17000000004</v>
      </c>
      <c r="U221" s="216">
        <v>516202.54</v>
      </c>
      <c r="V221" s="216">
        <v>595048.71999999986</v>
      </c>
      <c r="W221" s="216">
        <v>499096.51000000007</v>
      </c>
      <c r="X221" s="216">
        <v>697950.32000000007</v>
      </c>
      <c r="Y221" s="216">
        <v>620321.14</v>
      </c>
      <c r="Z221" s="216">
        <v>816824.45</v>
      </c>
      <c r="AA221" s="216">
        <v>613899.57999999996</v>
      </c>
      <c r="AB221" s="216">
        <v>685001.17999999993</v>
      </c>
      <c r="AC221" s="216">
        <v>685296.95999999985</v>
      </c>
      <c r="AD221" s="216">
        <v>986365.01000000013</v>
      </c>
      <c r="AE221" s="216">
        <v>1164514.43</v>
      </c>
      <c r="AF221" s="216">
        <v>1065951.98</v>
      </c>
      <c r="AG221" s="216">
        <v>1087803.5699999998</v>
      </c>
      <c r="AH221" s="216">
        <v>645428.71</v>
      </c>
      <c r="AI221" s="216">
        <v>1092529.02</v>
      </c>
      <c r="AJ221" s="216">
        <v>1169416.46</v>
      </c>
      <c r="AK221" s="216">
        <v>1097786.28</v>
      </c>
      <c r="AL221" s="216">
        <v>970844.84000000008</v>
      </c>
      <c r="AM221" s="216">
        <v>1496349.75</v>
      </c>
      <c r="AN221" s="216">
        <v>-787624.91999999993</v>
      </c>
      <c r="AO221" s="216">
        <v>1216751.8399999999</v>
      </c>
      <c r="AP221" s="216">
        <v>1073226.46</v>
      </c>
      <c r="AQ221" s="216">
        <v>665235.49</v>
      </c>
      <c r="AR221" s="216">
        <v>1370847.2300000004</v>
      </c>
      <c r="AS221" s="216">
        <v>1417693.3600000003</v>
      </c>
      <c r="AT221" s="216">
        <v>786459.29</v>
      </c>
      <c r="AU221" s="216">
        <v>1792432.0800000003</v>
      </c>
      <c r="AV221" s="216">
        <v>1420124.4921284828</v>
      </c>
      <c r="AW221" s="216">
        <v>1255940.4589406904</v>
      </c>
      <c r="AX221" s="216">
        <v>1284925.6868126132</v>
      </c>
      <c r="AY221" s="216">
        <v>1338726.8135044887</v>
      </c>
      <c r="AZ221" s="216">
        <v>1384370.6108011433</v>
      </c>
      <c r="BA221" s="216">
        <v>1914179.561609691</v>
      </c>
      <c r="BB221" s="216">
        <v>1448728.2686869579</v>
      </c>
      <c r="BC221" s="216">
        <v>1534421.704119226</v>
      </c>
    </row>
    <row r="222" spans="1:55" ht="15.75" x14ac:dyDescent="0.25">
      <c r="A222" s="206" t="s">
        <v>469</v>
      </c>
      <c r="B222" s="207"/>
      <c r="C222" s="206"/>
      <c r="D222" s="206"/>
      <c r="E222" s="206"/>
      <c r="F222" s="206"/>
      <c r="G222" s="206"/>
      <c r="H222" s="215">
        <v>0</v>
      </c>
      <c r="I222" s="215">
        <v>0</v>
      </c>
      <c r="J222" s="215">
        <v>0</v>
      </c>
      <c r="K222" s="215">
        <v>0</v>
      </c>
      <c r="L222" s="215">
        <v>0</v>
      </c>
      <c r="M222" s="215">
        <v>0</v>
      </c>
      <c r="N222" s="215">
        <v>0</v>
      </c>
      <c r="O222" s="215">
        <v>0</v>
      </c>
      <c r="P222" s="215">
        <v>0</v>
      </c>
      <c r="Q222" s="215">
        <v>0</v>
      </c>
      <c r="R222" s="215">
        <v>0</v>
      </c>
      <c r="S222" s="215">
        <v>0</v>
      </c>
      <c r="T222" s="215">
        <v>0</v>
      </c>
      <c r="U222" s="215">
        <v>0</v>
      </c>
      <c r="V222" s="215">
        <v>0</v>
      </c>
      <c r="W222" s="215">
        <v>0</v>
      </c>
      <c r="X222" s="215">
        <v>0</v>
      </c>
      <c r="Y222" s="215">
        <v>0</v>
      </c>
      <c r="Z222" s="215">
        <v>0</v>
      </c>
      <c r="AA222" s="215">
        <v>0</v>
      </c>
      <c r="AB222" s="215">
        <v>0</v>
      </c>
      <c r="AC222" s="215">
        <v>0</v>
      </c>
      <c r="AD222" s="215">
        <v>0</v>
      </c>
      <c r="AE222" s="215">
        <v>0</v>
      </c>
      <c r="AF222" s="215">
        <v>0</v>
      </c>
      <c r="AG222" s="215">
        <v>0</v>
      </c>
      <c r="AH222" s="215">
        <v>0</v>
      </c>
      <c r="AI222" s="215">
        <v>0</v>
      </c>
      <c r="AJ222" s="215">
        <v>0</v>
      </c>
      <c r="AK222" s="215">
        <v>0</v>
      </c>
      <c r="AL222" s="215">
        <v>0</v>
      </c>
      <c r="AM222" s="215">
        <v>0</v>
      </c>
      <c r="AN222" s="215">
        <v>0</v>
      </c>
      <c r="AO222" s="215">
        <v>0</v>
      </c>
      <c r="AP222" s="215">
        <v>0</v>
      </c>
      <c r="AQ222" s="215">
        <v>0</v>
      </c>
      <c r="AR222" s="215">
        <v>0</v>
      </c>
      <c r="AS222" s="215">
        <v>0</v>
      </c>
      <c r="AT222" s="215">
        <v>0</v>
      </c>
      <c r="AU222" s="215">
        <v>0</v>
      </c>
      <c r="AV222" s="215">
        <v>0</v>
      </c>
      <c r="AW222" s="215">
        <v>0</v>
      </c>
      <c r="AX222" s="215">
        <v>0</v>
      </c>
      <c r="AY222" s="215">
        <v>0</v>
      </c>
      <c r="AZ222" s="215">
        <v>0</v>
      </c>
      <c r="BA222" s="215">
        <v>0</v>
      </c>
      <c r="BB222" s="215">
        <v>0</v>
      </c>
      <c r="BC222" s="215">
        <v>0</v>
      </c>
    </row>
    <row r="223" spans="1:55" x14ac:dyDescent="0.25">
      <c r="A223" s="209" t="s">
        <v>374</v>
      </c>
      <c r="B223" s="210" t="s">
        <v>403</v>
      </c>
      <c r="C223" t="s">
        <v>10</v>
      </c>
      <c r="D223" t="s">
        <v>470</v>
      </c>
      <c r="E223" t="s">
        <v>484</v>
      </c>
      <c r="F223" s="211">
        <v>7000</v>
      </c>
      <c r="G223" t="s">
        <v>388</v>
      </c>
      <c r="H223" s="213">
        <v>32805.550000000003</v>
      </c>
      <c r="I223" s="213">
        <v>24583.34</v>
      </c>
      <c r="J223" s="213">
        <v>39833.339999999997</v>
      </c>
      <c r="K223" s="213">
        <v>47083.34</v>
      </c>
      <c r="L223" s="213">
        <v>47083.34</v>
      </c>
      <c r="M223" s="213">
        <v>47083.34</v>
      </c>
      <c r="N223" s="213">
        <v>63674.239999999998</v>
      </c>
      <c r="O223" s="213">
        <v>74166.66</v>
      </c>
      <c r="P223" s="213">
        <v>80416.66</v>
      </c>
      <c r="Q223" s="213">
        <v>88371.21</v>
      </c>
      <c r="R223" s="213">
        <v>92916.67</v>
      </c>
      <c r="S223" s="213">
        <v>99431.83</v>
      </c>
      <c r="T223" s="213">
        <v>102916.68</v>
      </c>
      <c r="U223" s="213">
        <v>102916.68</v>
      </c>
      <c r="V223" s="213">
        <v>102916.68</v>
      </c>
      <c r="W223" s="213">
        <v>102916.68</v>
      </c>
      <c r="X223" s="213">
        <v>114537.27</v>
      </c>
      <c r="Y223" s="213">
        <v>114358.66</v>
      </c>
      <c r="Z223" s="213">
        <v>169650.77</v>
      </c>
      <c r="AA223" s="213">
        <v>183573.25</v>
      </c>
      <c r="AB223" s="213">
        <v>160470.67000000001</v>
      </c>
      <c r="AC223" s="213">
        <v>177208.39</v>
      </c>
      <c r="AD223" s="213">
        <v>152312.74</v>
      </c>
      <c r="AE223" s="213">
        <v>163570.17000000001</v>
      </c>
      <c r="AF223" s="213">
        <v>196191.7</v>
      </c>
      <c r="AG223" s="213">
        <v>194485.42</v>
      </c>
      <c r="AH223" s="213">
        <v>205287.87</v>
      </c>
      <c r="AI223" s="213">
        <v>221992.65</v>
      </c>
      <c r="AJ223" s="213">
        <v>197098.42</v>
      </c>
      <c r="AK223" s="213">
        <v>215399.25</v>
      </c>
      <c r="AL223" s="213">
        <v>214378.1</v>
      </c>
      <c r="AM223" s="213">
        <v>214225.1</v>
      </c>
      <c r="AN223" s="213">
        <v>214229.1</v>
      </c>
      <c r="AO223" s="213">
        <v>235448.77</v>
      </c>
      <c r="AP223" s="213">
        <v>238663.37</v>
      </c>
      <c r="AQ223" s="213">
        <v>259478.71</v>
      </c>
      <c r="AR223" s="213">
        <v>330080.65999999997</v>
      </c>
      <c r="AS223" s="213">
        <v>385939.13</v>
      </c>
      <c r="AT223" s="213">
        <v>391387.45</v>
      </c>
      <c r="AU223" s="213">
        <v>440266.61</v>
      </c>
      <c r="AV223" s="213">
        <v>480881.49387692317</v>
      </c>
      <c r="AW223" s="213">
        <v>480881.49387692317</v>
      </c>
      <c r="AX223" s="213">
        <v>516504.45407692314</v>
      </c>
      <c r="AY223" s="213">
        <v>527135.91764835175</v>
      </c>
      <c r="AZ223" s="213">
        <v>541464.79979120893</v>
      </c>
      <c r="BA223" s="213">
        <v>582176.1483626375</v>
      </c>
      <c r="BB223" s="213">
        <v>621223.8055054947</v>
      </c>
      <c r="BC223" s="213">
        <v>635552.68764835177</v>
      </c>
    </row>
    <row r="224" spans="1:55" x14ac:dyDescent="0.25">
      <c r="A224" s="209" t="s">
        <v>374</v>
      </c>
      <c r="B224" s="210" t="s">
        <v>403</v>
      </c>
      <c r="C224" t="s">
        <v>10</v>
      </c>
      <c r="D224" t="s">
        <v>470</v>
      </c>
      <c r="E224" t="s">
        <v>484</v>
      </c>
      <c r="F224" s="211">
        <v>6100</v>
      </c>
      <c r="G224" t="s">
        <v>389</v>
      </c>
      <c r="H224" s="213">
        <v>5316.39</v>
      </c>
      <c r="I224" s="213">
        <v>4866.32</v>
      </c>
      <c r="J224" s="213">
        <v>6313.71</v>
      </c>
      <c r="K224" s="213">
        <v>12631.26</v>
      </c>
      <c r="L224" s="213">
        <v>5253.46</v>
      </c>
      <c r="M224" s="213">
        <v>5388.4</v>
      </c>
      <c r="N224" s="213">
        <v>9093.0300000000007</v>
      </c>
      <c r="O224" s="213">
        <v>8710.89</v>
      </c>
      <c r="P224" s="213">
        <v>10166.879999999999</v>
      </c>
      <c r="Q224" s="213">
        <v>14220.92</v>
      </c>
      <c r="R224" s="213">
        <v>9844.82</v>
      </c>
      <c r="S224" s="213">
        <v>26125.43</v>
      </c>
      <c r="T224" s="213">
        <v>24397.040000000001</v>
      </c>
      <c r="U224" s="213">
        <v>12353.990000000002</v>
      </c>
      <c r="V224" s="213">
        <v>11765.55</v>
      </c>
      <c r="W224" s="213">
        <v>16938.79</v>
      </c>
      <c r="X224" s="213">
        <v>14988.470000000001</v>
      </c>
      <c r="Y224" s="213">
        <v>18547.580000000002</v>
      </c>
      <c r="Z224" s="213">
        <v>28143.05</v>
      </c>
      <c r="AA224" s="213">
        <v>20266.61</v>
      </c>
      <c r="AB224" s="213">
        <v>9138.9699999999993</v>
      </c>
      <c r="AC224" s="213">
        <v>7989.29</v>
      </c>
      <c r="AD224" s="213">
        <v>7690.56</v>
      </c>
      <c r="AE224" s="213">
        <v>10052.07</v>
      </c>
      <c r="AF224" s="213">
        <v>13565.46</v>
      </c>
      <c r="AG224" s="213">
        <v>9912.42</v>
      </c>
      <c r="AH224" s="213">
        <v>13171.73</v>
      </c>
      <c r="AI224" s="213">
        <v>11444.68</v>
      </c>
      <c r="AJ224" s="213">
        <v>10955</v>
      </c>
      <c r="AK224" s="213">
        <v>10810.33</v>
      </c>
      <c r="AL224" s="213">
        <v>11707.65</v>
      </c>
      <c r="AM224" s="213">
        <v>11954.09</v>
      </c>
      <c r="AN224" s="213">
        <v>11816.5</v>
      </c>
      <c r="AO224" s="213">
        <v>13491</v>
      </c>
      <c r="AP224" s="213">
        <v>13165.12</v>
      </c>
      <c r="AQ224" s="213">
        <v>13617.92</v>
      </c>
      <c r="AR224" s="213">
        <v>23876.73</v>
      </c>
      <c r="AS224" s="213">
        <v>21115.89</v>
      </c>
      <c r="AT224" s="213">
        <v>26362.240000000002</v>
      </c>
      <c r="AU224" s="213">
        <v>28437.439999999999</v>
      </c>
      <c r="AV224" s="213">
        <v>42421.758775384616</v>
      </c>
      <c r="AW224" s="213">
        <v>42421.758775384616</v>
      </c>
      <c r="AX224" s="213">
        <v>47111.943815384613</v>
      </c>
      <c r="AY224" s="213">
        <v>47910.89381538461</v>
      </c>
      <c r="AZ224" s="213">
        <v>51176.739944307701</v>
      </c>
      <c r="BA224" s="213">
        <v>56528.3914843077</v>
      </c>
      <c r="BB224" s="213">
        <v>59035.708984307705</v>
      </c>
      <c r="BC224" s="213">
        <v>59871.481484307704</v>
      </c>
    </row>
    <row r="225" spans="1:55" x14ac:dyDescent="0.25">
      <c r="A225" s="209" t="s">
        <v>374</v>
      </c>
      <c r="B225" s="210" t="s">
        <v>403</v>
      </c>
      <c r="C225" t="s">
        <v>10</v>
      </c>
      <c r="D225" t="s">
        <v>470</v>
      </c>
      <c r="E225" t="s">
        <v>484</v>
      </c>
      <c r="F225" s="211">
        <v>6150</v>
      </c>
      <c r="G225" t="s">
        <v>405</v>
      </c>
      <c r="H225" s="213">
        <v>0</v>
      </c>
      <c r="I225" s="213">
        <v>0</v>
      </c>
      <c r="J225" s="213">
        <v>0</v>
      </c>
      <c r="K225" s="213">
        <v>0</v>
      </c>
      <c r="L225" s="213">
        <v>0</v>
      </c>
      <c r="M225" s="213">
        <v>0</v>
      </c>
      <c r="N225" s="213">
        <v>0</v>
      </c>
      <c r="O225" s="213">
        <v>0</v>
      </c>
      <c r="P225" s="213">
        <v>20000</v>
      </c>
      <c r="Q225" s="213">
        <v>0</v>
      </c>
      <c r="R225" s="213">
        <v>0</v>
      </c>
      <c r="S225" s="213">
        <v>0</v>
      </c>
      <c r="T225" s="213">
        <v>0</v>
      </c>
      <c r="U225" s="213">
        <v>10194.23</v>
      </c>
      <c r="V225" s="213">
        <v>0</v>
      </c>
      <c r="W225" s="213">
        <v>0</v>
      </c>
      <c r="X225" s="213">
        <v>0</v>
      </c>
      <c r="Y225" s="213">
        <v>-351.36</v>
      </c>
      <c r="Z225" s="213">
        <v>0</v>
      </c>
      <c r="AA225" s="213">
        <v>0</v>
      </c>
      <c r="AB225" s="213">
        <v>0</v>
      </c>
      <c r="AC225" s="213">
        <v>0</v>
      </c>
      <c r="AD225" s="213">
        <v>0</v>
      </c>
      <c r="AE225" s="213">
        <v>0</v>
      </c>
      <c r="AF225" s="213">
        <v>0</v>
      </c>
      <c r="AG225" s="213">
        <v>0</v>
      </c>
      <c r="AH225" s="213">
        <v>0</v>
      </c>
      <c r="AI225" s="213">
        <v>0</v>
      </c>
      <c r="AJ225" s="213">
        <v>0</v>
      </c>
      <c r="AK225" s="213">
        <v>14166.67</v>
      </c>
      <c r="AL225" s="213">
        <v>3406.67</v>
      </c>
      <c r="AM225" s="213">
        <v>2466.67</v>
      </c>
      <c r="AN225" s="213">
        <v>166.66</v>
      </c>
      <c r="AO225" s="213">
        <v>2166.67</v>
      </c>
      <c r="AP225" s="213">
        <v>1756.66</v>
      </c>
      <c r="AQ225" s="213">
        <v>2166.67</v>
      </c>
      <c r="AR225" s="213">
        <v>2166.67</v>
      </c>
      <c r="AS225" s="213">
        <v>2166.67</v>
      </c>
      <c r="AT225" s="213">
        <v>2166.66</v>
      </c>
      <c r="AU225" s="213">
        <v>-2075.56</v>
      </c>
      <c r="AV225" s="213">
        <v>0</v>
      </c>
      <c r="AW225" s="213">
        <v>0</v>
      </c>
      <c r="AX225" s="213">
        <v>0</v>
      </c>
      <c r="AY225" s="213">
        <v>0</v>
      </c>
      <c r="AZ225" s="213">
        <v>0</v>
      </c>
      <c r="BA225" s="213">
        <v>0</v>
      </c>
      <c r="BB225" s="213">
        <v>0</v>
      </c>
      <c r="BC225" s="213">
        <v>0</v>
      </c>
    </row>
    <row r="226" spans="1:55" x14ac:dyDescent="0.25">
      <c r="A226" s="209" t="s">
        <v>374</v>
      </c>
      <c r="B226" s="210" t="s">
        <v>403</v>
      </c>
      <c r="C226" t="s">
        <v>10</v>
      </c>
      <c r="D226" t="s">
        <v>470</v>
      </c>
      <c r="E226" t="s">
        <v>484</v>
      </c>
      <c r="F226" s="211">
        <v>6112</v>
      </c>
      <c r="G226" t="s">
        <v>391</v>
      </c>
      <c r="H226" s="213">
        <v>0</v>
      </c>
      <c r="I226" s="213">
        <v>0</v>
      </c>
      <c r="J226" s="213">
        <v>0</v>
      </c>
      <c r="K226" s="213">
        <v>0</v>
      </c>
      <c r="L226" s="213">
        <v>0</v>
      </c>
      <c r="M226" s="213">
        <v>0</v>
      </c>
      <c r="N226" s="213">
        <v>0</v>
      </c>
      <c r="O226" s="213">
        <v>0</v>
      </c>
      <c r="P226" s="213">
        <v>0</v>
      </c>
      <c r="Q226" s="213">
        <v>0</v>
      </c>
      <c r="R226" s="213">
        <v>0</v>
      </c>
      <c r="S226" s="213">
        <v>0</v>
      </c>
      <c r="T226" s="213">
        <v>0</v>
      </c>
      <c r="U226" s="213">
        <v>0</v>
      </c>
      <c r="V226" s="213">
        <v>0</v>
      </c>
      <c r="W226" s="213">
        <v>0</v>
      </c>
      <c r="X226" s="213">
        <v>0</v>
      </c>
      <c r="Y226" s="213">
        <v>0</v>
      </c>
      <c r="Z226" s="213">
        <v>0</v>
      </c>
      <c r="AA226" s="213">
        <v>0</v>
      </c>
      <c r="AB226" s="213">
        <v>11198.85</v>
      </c>
      <c r="AC226" s="213">
        <v>14034.21</v>
      </c>
      <c r="AD226" s="213">
        <v>5983.4</v>
      </c>
      <c r="AE226" s="213">
        <v>33373.54</v>
      </c>
      <c r="AF226" s="213">
        <v>35113.51</v>
      </c>
      <c r="AG226" s="213">
        <v>23801.51</v>
      </c>
      <c r="AH226" s="213">
        <v>22180.39</v>
      </c>
      <c r="AI226" s="213">
        <v>19774.11</v>
      </c>
      <c r="AJ226" s="213">
        <v>20035.03</v>
      </c>
      <c r="AK226" s="213">
        <v>15250.91</v>
      </c>
      <c r="AL226" s="213">
        <v>20986.06</v>
      </c>
      <c r="AM226" s="213">
        <v>11012.5</v>
      </c>
      <c r="AN226" s="213">
        <v>15490.92</v>
      </c>
      <c r="AO226" s="213">
        <v>18346</v>
      </c>
      <c r="AP226" s="213">
        <v>11043.1</v>
      </c>
      <c r="AQ226" s="213">
        <v>53468.58</v>
      </c>
      <c r="AR226" s="213">
        <v>48551.1</v>
      </c>
      <c r="AS226" s="213">
        <v>38442.269999999997</v>
      </c>
      <c r="AT226" s="213">
        <v>47236.85</v>
      </c>
      <c r="AU226" s="213">
        <v>54691.51</v>
      </c>
      <c r="AV226" s="213">
        <v>34212.163280235938</v>
      </c>
      <c r="AW226" s="213">
        <v>31138.36385135107</v>
      </c>
      <c r="AX226" s="213">
        <v>32366.126077305114</v>
      </c>
      <c r="AY226" s="213">
        <v>33099.546039934474</v>
      </c>
      <c r="AZ226" s="213">
        <v>35159.607829227956</v>
      </c>
      <c r="BA226" s="213">
        <v>32686.341828488166</v>
      </c>
      <c r="BB226" s="213">
        <v>33232.433611210981</v>
      </c>
      <c r="BC226" s="213">
        <v>52305.811341804016</v>
      </c>
    </row>
    <row r="227" spans="1:55" x14ac:dyDescent="0.25">
      <c r="A227" s="209" t="s">
        <v>374</v>
      </c>
      <c r="B227" s="210" t="s">
        <v>403</v>
      </c>
      <c r="C227" t="s">
        <v>10</v>
      </c>
      <c r="D227" t="s">
        <v>470</v>
      </c>
      <c r="E227" t="s">
        <v>484</v>
      </c>
      <c r="F227" s="211">
        <v>6350</v>
      </c>
      <c r="G227" t="s">
        <v>393</v>
      </c>
      <c r="H227" s="213">
        <v>0</v>
      </c>
      <c r="I227" s="213">
        <v>1295</v>
      </c>
      <c r="J227" s="213">
        <v>0</v>
      </c>
      <c r="K227" s="213">
        <v>0</v>
      </c>
      <c r="L227" s="213">
        <v>0</v>
      </c>
      <c r="M227" s="213">
        <v>0</v>
      </c>
      <c r="N227" s="213">
        <v>0</v>
      </c>
      <c r="O227" s="213">
        <v>0</v>
      </c>
      <c r="P227" s="213">
        <v>3290</v>
      </c>
      <c r="Q227" s="213">
        <v>1850</v>
      </c>
      <c r="R227" s="213">
        <v>0</v>
      </c>
      <c r="S227" s="213">
        <v>0</v>
      </c>
      <c r="T227" s="213">
        <v>0</v>
      </c>
      <c r="U227" s="213">
        <v>2732.51</v>
      </c>
      <c r="V227" s="213">
        <v>0</v>
      </c>
      <c r="W227" s="213">
        <v>0</v>
      </c>
      <c r="X227" s="213">
        <v>1095</v>
      </c>
      <c r="Y227" s="213">
        <v>1650</v>
      </c>
      <c r="Z227" s="213">
        <v>0</v>
      </c>
      <c r="AA227" s="213">
        <v>2953.22</v>
      </c>
      <c r="AB227" s="213">
        <v>0</v>
      </c>
      <c r="AC227" s="213">
        <v>0</v>
      </c>
      <c r="AD227" s="213">
        <v>0</v>
      </c>
      <c r="AE227" s="213">
        <v>180</v>
      </c>
      <c r="AF227" s="213">
        <v>0</v>
      </c>
      <c r="AG227" s="213">
        <v>0</v>
      </c>
      <c r="AH227" s="213">
        <v>0</v>
      </c>
      <c r="AI227" s="213">
        <v>0</v>
      </c>
      <c r="AJ227" s="213">
        <v>0</v>
      </c>
      <c r="AK227" s="213">
        <v>0</v>
      </c>
      <c r="AL227" s="213">
        <v>0</v>
      </c>
      <c r="AM227" s="213">
        <v>0</v>
      </c>
      <c r="AN227" s="213">
        <v>397</v>
      </c>
      <c r="AO227" s="213">
        <v>397</v>
      </c>
      <c r="AP227" s="213">
        <v>0</v>
      </c>
      <c r="AQ227" s="213">
        <v>30.81</v>
      </c>
      <c r="AR227" s="213">
        <v>17.5</v>
      </c>
      <c r="AS227" s="213">
        <v>0</v>
      </c>
      <c r="AT227" s="213">
        <v>0</v>
      </c>
      <c r="AU227" s="213">
        <v>0</v>
      </c>
      <c r="AV227" s="213">
        <v>2000</v>
      </c>
      <c r="AW227" s="213">
        <v>2000</v>
      </c>
      <c r="AX227" s="213">
        <v>2066.6666666666665</v>
      </c>
      <c r="AY227" s="213">
        <v>2133.3333333333335</v>
      </c>
      <c r="AZ227" s="213">
        <v>2266.6666666666665</v>
      </c>
      <c r="BA227" s="213">
        <v>2333.3333333333335</v>
      </c>
      <c r="BB227" s="213">
        <v>2533.3333333333335</v>
      </c>
      <c r="BC227" s="213">
        <v>2666.6666666666665</v>
      </c>
    </row>
    <row r="228" spans="1:55" x14ac:dyDescent="0.25">
      <c r="A228" s="209" t="s">
        <v>374</v>
      </c>
      <c r="B228" s="210" t="s">
        <v>403</v>
      </c>
      <c r="C228" t="s">
        <v>10</v>
      </c>
      <c r="D228" t="s">
        <v>470</v>
      </c>
      <c r="E228" t="s">
        <v>485</v>
      </c>
      <c r="F228" s="211">
        <v>6400</v>
      </c>
      <c r="G228" t="s">
        <v>395</v>
      </c>
      <c r="H228" s="213">
        <v>0</v>
      </c>
      <c r="I228" s="213">
        <v>0</v>
      </c>
      <c r="J228" s="213">
        <v>0</v>
      </c>
      <c r="K228" s="213">
        <v>0</v>
      </c>
      <c r="L228" s="213">
        <v>0</v>
      </c>
      <c r="M228" s="213">
        <v>0</v>
      </c>
      <c r="N228" s="213">
        <v>0</v>
      </c>
      <c r="O228" s="213">
        <v>0</v>
      </c>
      <c r="P228" s="213">
        <v>13.07</v>
      </c>
      <c r="Q228" s="213">
        <v>39.159999999999997</v>
      </c>
      <c r="R228" s="213">
        <v>0</v>
      </c>
      <c r="S228" s="213">
        <v>0</v>
      </c>
      <c r="T228" s="213">
        <v>444.55</v>
      </c>
      <c r="U228" s="213">
        <v>0</v>
      </c>
      <c r="V228" s="213">
        <v>2548.9899999999998</v>
      </c>
      <c r="W228" s="213">
        <v>299</v>
      </c>
      <c r="X228" s="213">
        <v>150.22</v>
      </c>
      <c r="Y228" s="213">
        <v>749.38</v>
      </c>
      <c r="Z228" s="213">
        <v>635.49</v>
      </c>
      <c r="AA228" s="213">
        <v>384.15</v>
      </c>
      <c r="AB228" s="213">
        <v>10.95</v>
      </c>
      <c r="AC228" s="213">
        <v>420.63</v>
      </c>
      <c r="AD228" s="213">
        <v>1872.07</v>
      </c>
      <c r="AE228" s="213">
        <v>3027.31</v>
      </c>
      <c r="AF228" s="213">
        <v>961.15</v>
      </c>
      <c r="AG228" s="213">
        <v>3493.16</v>
      </c>
      <c r="AH228" s="213">
        <v>18.61</v>
      </c>
      <c r="AI228" s="213">
        <v>613.49</v>
      </c>
      <c r="AJ228" s="213">
        <v>0</v>
      </c>
      <c r="AK228" s="213">
        <v>0</v>
      </c>
      <c r="AL228" s="213">
        <v>0</v>
      </c>
      <c r="AM228" s="213">
        <v>233.61</v>
      </c>
      <c r="AN228" s="213">
        <v>0</v>
      </c>
      <c r="AO228" s="213">
        <v>127.12</v>
      </c>
      <c r="AP228" s="213">
        <v>175.94</v>
      </c>
      <c r="AQ228" s="213">
        <v>100</v>
      </c>
      <c r="AR228" s="213">
        <v>0</v>
      </c>
      <c r="AS228" s="213">
        <v>583.59999999999991</v>
      </c>
      <c r="AT228" s="213">
        <v>858.09</v>
      </c>
      <c r="AU228" s="213">
        <v>0</v>
      </c>
      <c r="AV228" s="213">
        <v>1000</v>
      </c>
      <c r="AW228" s="213">
        <v>1000</v>
      </c>
      <c r="AX228" s="213">
        <v>1033.3333333333333</v>
      </c>
      <c r="AY228" s="213">
        <v>1066.6666666666667</v>
      </c>
      <c r="AZ228" s="213">
        <v>1133.3333333333333</v>
      </c>
      <c r="BA228" s="213">
        <v>1166.6666666666667</v>
      </c>
      <c r="BB228" s="213">
        <v>1266.6666666666667</v>
      </c>
      <c r="BC228" s="213">
        <v>1333.3333333333333</v>
      </c>
    </row>
    <row r="229" spans="1:55" x14ac:dyDescent="0.25">
      <c r="A229" s="209" t="s">
        <v>374</v>
      </c>
      <c r="B229" s="210" t="s">
        <v>406</v>
      </c>
      <c r="C229" t="s">
        <v>10</v>
      </c>
      <c r="D229" t="s">
        <v>470</v>
      </c>
      <c r="E229" t="s">
        <v>485</v>
      </c>
      <c r="F229" s="211">
        <v>7150</v>
      </c>
      <c r="G229" t="s">
        <v>397</v>
      </c>
      <c r="H229" s="213">
        <v>2396.4700000000003</v>
      </c>
      <c r="I229" s="213">
        <v>5045.24</v>
      </c>
      <c r="J229" s="213">
        <v>10207.549999999999</v>
      </c>
      <c r="K229" s="213">
        <v>15007.25</v>
      </c>
      <c r="L229" s="213">
        <v>12989.04</v>
      </c>
      <c r="M229" s="213">
        <v>4007.6499999999996</v>
      </c>
      <c r="N229" s="213">
        <v>12929.470000000001</v>
      </c>
      <c r="O229" s="213">
        <v>9047.49</v>
      </c>
      <c r="P229" s="213">
        <v>20556.03</v>
      </c>
      <c r="Q229" s="213">
        <v>12349.12</v>
      </c>
      <c r="R229" s="213">
        <v>8611.6500000000015</v>
      </c>
      <c r="S229" s="213">
        <v>10992.16</v>
      </c>
      <c r="T229" s="213">
        <v>16820.580000000002</v>
      </c>
      <c r="U229" s="213">
        <v>14859.3</v>
      </c>
      <c r="V229" s="213">
        <v>20645.04</v>
      </c>
      <c r="W229" s="213">
        <v>8528.44</v>
      </c>
      <c r="X229" s="213">
        <v>26703.370000000003</v>
      </c>
      <c r="Y229" s="213">
        <v>15357.82</v>
      </c>
      <c r="Z229" s="213">
        <v>17491.91</v>
      </c>
      <c r="AA229" s="213">
        <v>34823.56</v>
      </c>
      <c r="AB229" s="213">
        <v>38960.94</v>
      </c>
      <c r="AC229" s="213">
        <v>39881.83</v>
      </c>
      <c r="AD229" s="213">
        <v>24923.08</v>
      </c>
      <c r="AE229" s="213">
        <v>34823.040000000001</v>
      </c>
      <c r="AF229" s="213">
        <v>31138.890000000003</v>
      </c>
      <c r="AG229" s="213">
        <v>21069.1</v>
      </c>
      <c r="AH229" s="213">
        <v>2159.8599999999997</v>
      </c>
      <c r="AI229" s="213">
        <v>27.939999999999998</v>
      </c>
      <c r="AJ229" s="213">
        <v>857.2</v>
      </c>
      <c r="AK229" s="213">
        <v>4183.59</v>
      </c>
      <c r="AL229" s="213">
        <v>3002.59</v>
      </c>
      <c r="AM229" s="213">
        <v>-10.440000000000055</v>
      </c>
      <c r="AN229" s="213">
        <v>7775.42</v>
      </c>
      <c r="AO229" s="213">
        <v>-3228.02</v>
      </c>
      <c r="AP229" s="213">
        <v>465.78</v>
      </c>
      <c r="AQ229" s="213">
        <v>1198.6200000000001</v>
      </c>
      <c r="AR229" s="213">
        <v>1325.53</v>
      </c>
      <c r="AS229" s="213">
        <v>9594.89</v>
      </c>
      <c r="AT229" s="213">
        <v>835.40000000000009</v>
      </c>
      <c r="AU229" s="213">
        <v>9655.68</v>
      </c>
      <c r="AV229" s="213">
        <v>15000</v>
      </c>
      <c r="AW229" s="213">
        <v>20000</v>
      </c>
      <c r="AX229" s="213">
        <v>10000</v>
      </c>
      <c r="AY229" s="213">
        <v>10322.58064516129</v>
      </c>
      <c r="AZ229" s="213">
        <v>10967.741935483871</v>
      </c>
      <c r="BA229" s="213">
        <v>11290.322580645163</v>
      </c>
      <c r="BB229" s="213">
        <v>12258.064516129034</v>
      </c>
      <c r="BC229" s="213">
        <v>12903.225806451614</v>
      </c>
    </row>
    <row r="230" spans="1:55" x14ac:dyDescent="0.25">
      <c r="A230" s="209" t="s">
        <v>374</v>
      </c>
      <c r="B230" s="210" t="s">
        <v>463</v>
      </c>
      <c r="C230" t="s">
        <v>10</v>
      </c>
      <c r="D230" t="s">
        <v>470</v>
      </c>
      <c r="E230" t="s">
        <v>484</v>
      </c>
      <c r="F230" s="211">
        <v>6200</v>
      </c>
      <c r="G230" t="s">
        <v>464</v>
      </c>
      <c r="H230" s="213">
        <v>1675</v>
      </c>
      <c r="I230" s="213">
        <v>15000</v>
      </c>
      <c r="J230" s="213">
        <v>109654.3</v>
      </c>
      <c r="K230" s="213">
        <v>5600</v>
      </c>
      <c r="L230" s="213">
        <v>8728.33</v>
      </c>
      <c r="M230" s="213">
        <v>45281.07</v>
      </c>
      <c r="N230" s="213">
        <v>20000</v>
      </c>
      <c r="O230" s="213">
        <v>-3584.81</v>
      </c>
      <c r="P230" s="213">
        <v>74894.67</v>
      </c>
      <c r="Q230" s="213">
        <v>10196</v>
      </c>
      <c r="R230" s="213">
        <v>186497.5</v>
      </c>
      <c r="S230" s="213">
        <v>114385.53</v>
      </c>
      <c r="T230" s="213">
        <v>5063.3100000000004</v>
      </c>
      <c r="U230" s="213">
        <v>0</v>
      </c>
      <c r="V230" s="213">
        <v>97908.63</v>
      </c>
      <c r="W230" s="213">
        <v>19992.75</v>
      </c>
      <c r="X230" s="213">
        <v>289685.57</v>
      </c>
      <c r="Y230" s="213">
        <v>174033.19</v>
      </c>
      <c r="Z230" s="213">
        <v>82878</v>
      </c>
      <c r="AA230" s="213">
        <v>66572</v>
      </c>
      <c r="AB230" s="213">
        <v>777.14</v>
      </c>
      <c r="AC230" s="213">
        <v>13400</v>
      </c>
      <c r="AD230" s="213">
        <v>180929</v>
      </c>
      <c r="AE230" s="213">
        <v>384366.9</v>
      </c>
      <c r="AF230" s="213">
        <v>0</v>
      </c>
      <c r="AG230" s="213">
        <v>0</v>
      </c>
      <c r="AH230" s="213">
        <v>309189.34999999998</v>
      </c>
      <c r="AI230" s="213">
        <v>0</v>
      </c>
      <c r="AJ230" s="213">
        <v>0</v>
      </c>
      <c r="AK230" s="213">
        <v>536263</v>
      </c>
      <c r="AL230" s="213">
        <v>0</v>
      </c>
      <c r="AM230" s="213">
        <v>0</v>
      </c>
      <c r="AN230" s="213">
        <v>957935.31</v>
      </c>
      <c r="AO230" s="213">
        <v>0</v>
      </c>
      <c r="AP230" s="213">
        <v>267437.03000000003</v>
      </c>
      <c r="AQ230" s="213">
        <v>412407.58</v>
      </c>
      <c r="AR230" s="213">
        <v>0</v>
      </c>
      <c r="AS230" s="213">
        <v>0</v>
      </c>
      <c r="AT230" s="213">
        <v>748634.01</v>
      </c>
      <c r="AU230" s="213">
        <v>0</v>
      </c>
      <c r="AV230" s="213">
        <v>396893.22750000004</v>
      </c>
      <c r="AW230" s="213">
        <v>510291.29250000004</v>
      </c>
      <c r="AX230" s="213">
        <v>180855.613125</v>
      </c>
      <c r="AY230" s="213">
        <v>421996.43062500004</v>
      </c>
      <c r="AZ230" s="213">
        <v>602852.04375000007</v>
      </c>
      <c r="BA230" s="213">
        <v>157016.85129166668</v>
      </c>
      <c r="BB230" s="213">
        <v>628067.40516666672</v>
      </c>
      <c r="BC230" s="213">
        <v>785084.25645833323</v>
      </c>
    </row>
    <row r="231" spans="1:55" x14ac:dyDescent="0.25">
      <c r="A231" s="209" t="s">
        <v>374</v>
      </c>
      <c r="B231" s="210" t="s">
        <v>463</v>
      </c>
      <c r="C231" t="s">
        <v>10</v>
      </c>
      <c r="D231" t="s">
        <v>470</v>
      </c>
      <c r="E231" t="s">
        <v>485</v>
      </c>
      <c r="F231" s="211">
        <v>6250</v>
      </c>
      <c r="G231" t="s">
        <v>392</v>
      </c>
      <c r="H231" s="213">
        <v>0</v>
      </c>
      <c r="I231" s="213">
        <v>0</v>
      </c>
      <c r="J231" s="213">
        <v>0</v>
      </c>
      <c r="K231" s="213">
        <v>0</v>
      </c>
      <c r="L231" s="213">
        <v>0</v>
      </c>
      <c r="M231" s="213">
        <v>0</v>
      </c>
      <c r="N231" s="213">
        <v>0</v>
      </c>
      <c r="O231" s="213">
        <v>0</v>
      </c>
      <c r="P231" s="213">
        <v>0</v>
      </c>
      <c r="Q231" s="213">
        <v>0</v>
      </c>
      <c r="R231" s="213">
        <v>0</v>
      </c>
      <c r="S231" s="213">
        <v>0</v>
      </c>
      <c r="T231" s="213">
        <v>0</v>
      </c>
      <c r="U231" s="213">
        <v>0</v>
      </c>
      <c r="V231" s="213">
        <v>0</v>
      </c>
      <c r="W231" s="213">
        <v>0</v>
      </c>
      <c r="X231" s="213">
        <v>0</v>
      </c>
      <c r="Y231" s="213">
        <v>0</v>
      </c>
      <c r="Z231" s="213">
        <v>0</v>
      </c>
      <c r="AA231" s="213">
        <v>0</v>
      </c>
      <c r="AB231" s="213">
        <v>0</v>
      </c>
      <c r="AC231" s="213">
        <v>0</v>
      </c>
      <c r="AD231" s="213">
        <v>0</v>
      </c>
      <c r="AE231" s="213">
        <v>0</v>
      </c>
      <c r="AF231" s="213">
        <v>0</v>
      </c>
      <c r="AG231" s="213">
        <v>0</v>
      </c>
      <c r="AH231" s="213">
        <v>0</v>
      </c>
      <c r="AI231" s="213">
        <v>0</v>
      </c>
      <c r="AJ231" s="213">
        <v>0</v>
      </c>
      <c r="AK231" s="213">
        <v>0</v>
      </c>
      <c r="AL231" s="213">
        <v>0</v>
      </c>
      <c r="AM231" s="213">
        <v>0</v>
      </c>
      <c r="AN231" s="213">
        <v>0</v>
      </c>
      <c r="AO231" s="213">
        <v>0</v>
      </c>
      <c r="AP231" s="213">
        <v>0</v>
      </c>
      <c r="AQ231" s="213">
        <v>0</v>
      </c>
      <c r="AR231" s="213">
        <v>0</v>
      </c>
      <c r="AS231" s="213">
        <v>0</v>
      </c>
      <c r="AT231" s="213">
        <v>0</v>
      </c>
      <c r="AU231" s="213">
        <v>0</v>
      </c>
      <c r="AV231" s="213">
        <v>0</v>
      </c>
      <c r="AW231" s="213">
        <v>0</v>
      </c>
      <c r="AX231" s="213">
        <v>0</v>
      </c>
      <c r="AY231" s="213">
        <v>0</v>
      </c>
      <c r="AZ231" s="213">
        <v>0</v>
      </c>
      <c r="BA231" s="213">
        <v>0</v>
      </c>
      <c r="BB231" s="213">
        <v>0</v>
      </c>
      <c r="BC231" s="213">
        <v>0</v>
      </c>
    </row>
    <row r="232" spans="1:55" x14ac:dyDescent="0.25">
      <c r="A232" s="209" t="s">
        <v>374</v>
      </c>
      <c r="B232" s="210" t="s">
        <v>463</v>
      </c>
      <c r="C232" t="s">
        <v>10</v>
      </c>
      <c r="D232" t="s">
        <v>470</v>
      </c>
      <c r="E232" t="s">
        <v>485</v>
      </c>
      <c r="F232" s="211">
        <v>6400</v>
      </c>
      <c r="G232" t="s">
        <v>395</v>
      </c>
      <c r="H232" s="213">
        <v>0</v>
      </c>
      <c r="I232" s="213">
        <v>0</v>
      </c>
      <c r="J232" s="213">
        <v>0</v>
      </c>
      <c r="K232" s="213">
        <v>0</v>
      </c>
      <c r="L232" s="213">
        <v>0</v>
      </c>
      <c r="M232" s="213">
        <v>0</v>
      </c>
      <c r="N232" s="213">
        <v>0</v>
      </c>
      <c r="O232" s="213">
        <v>0</v>
      </c>
      <c r="P232" s="213">
        <v>13.07</v>
      </c>
      <c r="Q232" s="213">
        <v>39.159999999999997</v>
      </c>
      <c r="R232" s="213">
        <v>0</v>
      </c>
      <c r="S232" s="213">
        <v>0</v>
      </c>
      <c r="T232" s="213">
        <v>0</v>
      </c>
      <c r="U232" s="213">
        <v>0</v>
      </c>
      <c r="V232" s="213">
        <v>0</v>
      </c>
      <c r="W232" s="213">
        <v>0</v>
      </c>
      <c r="X232" s="213">
        <v>0</v>
      </c>
      <c r="Y232" s="213">
        <v>0</v>
      </c>
      <c r="Z232" s="213">
        <v>0</v>
      </c>
      <c r="AA232" s="213">
        <v>0</v>
      </c>
      <c r="AB232" s="213">
        <v>0</v>
      </c>
      <c r="AC232" s="213">
        <v>0</v>
      </c>
      <c r="AD232" s="213">
        <v>0</v>
      </c>
      <c r="AE232" s="213">
        <v>0</v>
      </c>
      <c r="AF232" s="213">
        <v>0</v>
      </c>
      <c r="AG232" s="213">
        <v>0</v>
      </c>
      <c r="AH232" s="213">
        <v>0</v>
      </c>
      <c r="AI232" s="213">
        <v>0</v>
      </c>
      <c r="AJ232" s="213">
        <v>0</v>
      </c>
      <c r="AK232" s="213">
        <v>0</v>
      </c>
      <c r="AL232" s="213">
        <v>0</v>
      </c>
      <c r="AM232" s="213">
        <v>0</v>
      </c>
      <c r="AN232" s="213">
        <v>0</v>
      </c>
      <c r="AO232" s="213">
        <v>0</v>
      </c>
      <c r="AP232" s="213">
        <v>0</v>
      </c>
      <c r="AQ232" s="213">
        <v>0</v>
      </c>
      <c r="AR232" s="213">
        <v>0</v>
      </c>
      <c r="AS232" s="213">
        <v>0</v>
      </c>
      <c r="AT232" s="213">
        <v>0</v>
      </c>
      <c r="AU232" s="213">
        <v>0</v>
      </c>
      <c r="AV232" s="213">
        <v>0</v>
      </c>
      <c r="AW232" s="213">
        <v>0</v>
      </c>
      <c r="AX232" s="213">
        <v>0</v>
      </c>
      <c r="AY232" s="213">
        <v>0</v>
      </c>
      <c r="AZ232" s="213">
        <v>0</v>
      </c>
      <c r="BA232" s="213">
        <v>0</v>
      </c>
      <c r="BB232" s="213">
        <v>0</v>
      </c>
      <c r="BC232" s="213">
        <v>0</v>
      </c>
    </row>
    <row r="233" spans="1:55" x14ac:dyDescent="0.25">
      <c r="A233" s="209" t="s">
        <v>374</v>
      </c>
      <c r="B233" s="210" t="s">
        <v>463</v>
      </c>
      <c r="C233" t="s">
        <v>10</v>
      </c>
      <c r="D233" t="s">
        <v>470</v>
      </c>
      <c r="E233" t="s">
        <v>485</v>
      </c>
      <c r="F233" s="211">
        <v>7050</v>
      </c>
      <c r="G233" t="s">
        <v>394</v>
      </c>
      <c r="H233" s="213">
        <v>0</v>
      </c>
      <c r="I233" s="213">
        <v>0</v>
      </c>
      <c r="J233" s="213">
        <v>0</v>
      </c>
      <c r="K233" s="213">
        <v>0</v>
      </c>
      <c r="L233" s="213">
        <v>0</v>
      </c>
      <c r="M233" s="213">
        <v>0</v>
      </c>
      <c r="N233" s="213">
        <v>0</v>
      </c>
      <c r="O233" s="213">
        <v>0</v>
      </c>
      <c r="P233" s="213">
        <v>0</v>
      </c>
      <c r="Q233" s="213">
        <v>0</v>
      </c>
      <c r="R233" s="213">
        <v>0</v>
      </c>
      <c r="S233" s="213">
        <v>0</v>
      </c>
      <c r="T233" s="213">
        <v>0</v>
      </c>
      <c r="U233" s="213">
        <v>0</v>
      </c>
      <c r="V233" s="213">
        <v>0</v>
      </c>
      <c r="W233" s="213">
        <v>0</v>
      </c>
      <c r="X233" s="213">
        <v>0</v>
      </c>
      <c r="Y233" s="213">
        <v>0</v>
      </c>
      <c r="Z233" s="213">
        <v>0</v>
      </c>
      <c r="AA233" s="213">
        <v>0</v>
      </c>
      <c r="AB233" s="213">
        <v>0</v>
      </c>
      <c r="AC233" s="213">
        <v>0</v>
      </c>
      <c r="AD233" s="213">
        <v>0</v>
      </c>
      <c r="AE233" s="213">
        <v>0</v>
      </c>
      <c r="AF233" s="213">
        <v>0</v>
      </c>
      <c r="AG233" s="213">
        <v>0</v>
      </c>
      <c r="AH233" s="213">
        <v>0</v>
      </c>
      <c r="AI233" s="213">
        <v>60</v>
      </c>
      <c r="AJ233" s="213">
        <v>0</v>
      </c>
      <c r="AK233" s="213">
        <v>0</v>
      </c>
      <c r="AL233" s="213">
        <v>0</v>
      </c>
      <c r="AM233" s="213">
        <v>0</v>
      </c>
      <c r="AN233" s="213">
        <v>0</v>
      </c>
      <c r="AO233" s="213">
        <v>0</v>
      </c>
      <c r="AP233" s="213">
        <v>0</v>
      </c>
      <c r="AQ233" s="213">
        <v>0</v>
      </c>
      <c r="AR233" s="213">
        <v>0</v>
      </c>
      <c r="AS233" s="213">
        <v>0</v>
      </c>
      <c r="AT233" s="213">
        <v>210</v>
      </c>
      <c r="AU233" s="213">
        <v>0</v>
      </c>
      <c r="AV233" s="213">
        <v>0</v>
      </c>
      <c r="AW233" s="213">
        <v>0</v>
      </c>
      <c r="AX233" s="213">
        <v>0</v>
      </c>
      <c r="AY233" s="213">
        <v>0</v>
      </c>
      <c r="AZ233" s="213">
        <v>0</v>
      </c>
      <c r="BA233" s="213">
        <v>0</v>
      </c>
      <c r="BB233" s="213">
        <v>0</v>
      </c>
      <c r="BC233" s="213">
        <v>0</v>
      </c>
    </row>
    <row r="234" spans="1:55" x14ac:dyDescent="0.25">
      <c r="B234" s="210"/>
      <c r="H234" s="214">
        <v>0</v>
      </c>
      <c r="I234" s="214">
        <v>0</v>
      </c>
      <c r="J234" s="214">
        <v>0</v>
      </c>
      <c r="K234" s="214">
        <v>0</v>
      </c>
      <c r="L234" s="214">
        <v>0</v>
      </c>
      <c r="M234" s="214">
        <v>0</v>
      </c>
      <c r="N234" s="214">
        <v>0</v>
      </c>
      <c r="O234" s="214">
        <v>0</v>
      </c>
      <c r="P234" s="214">
        <v>0</v>
      </c>
      <c r="Q234" s="214">
        <v>0</v>
      </c>
      <c r="R234" s="214">
        <v>0</v>
      </c>
      <c r="S234" s="214">
        <v>0</v>
      </c>
      <c r="T234" s="214">
        <v>0</v>
      </c>
      <c r="U234" s="214">
        <v>0</v>
      </c>
      <c r="V234" s="214">
        <v>0</v>
      </c>
      <c r="W234" s="214">
        <v>0</v>
      </c>
      <c r="X234" s="214">
        <v>0</v>
      </c>
      <c r="Y234" s="214">
        <v>0</v>
      </c>
      <c r="Z234" s="214">
        <v>0</v>
      </c>
      <c r="AA234" s="214">
        <v>0</v>
      </c>
      <c r="AB234" s="214">
        <v>0</v>
      </c>
      <c r="AC234" s="214">
        <v>0</v>
      </c>
      <c r="AD234" s="214">
        <v>0</v>
      </c>
      <c r="AE234" s="214">
        <v>0</v>
      </c>
      <c r="AF234" s="214">
        <v>0</v>
      </c>
      <c r="AG234" s="214">
        <v>0</v>
      </c>
      <c r="AH234" s="214">
        <v>0</v>
      </c>
      <c r="AI234" s="214">
        <v>0</v>
      </c>
      <c r="AJ234" s="214">
        <v>0</v>
      </c>
      <c r="AK234" s="214">
        <v>0</v>
      </c>
      <c r="AL234" s="214">
        <v>0</v>
      </c>
      <c r="AM234" s="214">
        <v>0</v>
      </c>
      <c r="AN234" s="214">
        <v>0</v>
      </c>
      <c r="AO234" s="214">
        <v>0</v>
      </c>
      <c r="AP234" s="214">
        <v>0</v>
      </c>
      <c r="AQ234" s="214">
        <v>0</v>
      </c>
      <c r="AR234" s="214">
        <v>0</v>
      </c>
      <c r="AS234" s="214">
        <v>0</v>
      </c>
      <c r="AT234" s="214">
        <v>0</v>
      </c>
      <c r="AU234" s="214">
        <v>0</v>
      </c>
      <c r="AV234" s="214">
        <v>0</v>
      </c>
      <c r="AW234" s="214">
        <v>0</v>
      </c>
      <c r="AX234" s="214">
        <v>0</v>
      </c>
      <c r="AY234" s="214">
        <v>0</v>
      </c>
      <c r="AZ234" s="214">
        <v>0</v>
      </c>
      <c r="BA234" s="214">
        <v>0</v>
      </c>
      <c r="BB234" s="214">
        <v>0</v>
      </c>
      <c r="BC234" s="214">
        <v>0</v>
      </c>
    </row>
    <row r="235" spans="1:55" x14ac:dyDescent="0.25">
      <c r="B235" s="210"/>
      <c r="H235" s="216">
        <v>42193.41</v>
      </c>
      <c r="I235" s="216">
        <v>50789.9</v>
      </c>
      <c r="J235" s="216">
        <v>166008.9</v>
      </c>
      <c r="K235" s="216">
        <v>80321.850000000006</v>
      </c>
      <c r="L235" s="216">
        <v>74054.17</v>
      </c>
      <c r="M235" s="216">
        <v>101760.45999999999</v>
      </c>
      <c r="N235" s="216">
        <v>105696.74</v>
      </c>
      <c r="O235" s="216">
        <v>88340.23000000001</v>
      </c>
      <c r="P235" s="216">
        <v>209350.38</v>
      </c>
      <c r="Q235" s="216">
        <v>127065.57</v>
      </c>
      <c r="R235" s="216">
        <v>297870.64</v>
      </c>
      <c r="S235" s="216">
        <v>250934.95</v>
      </c>
      <c r="T235" s="216">
        <v>149642.16</v>
      </c>
      <c r="U235" s="216">
        <v>143056.71</v>
      </c>
      <c r="V235" s="216">
        <v>235784.89</v>
      </c>
      <c r="W235" s="216">
        <v>148675.66</v>
      </c>
      <c r="X235" s="216">
        <v>447159.9</v>
      </c>
      <c r="Y235" s="216">
        <v>324345.27</v>
      </c>
      <c r="Z235" s="216">
        <v>298799.21999999997</v>
      </c>
      <c r="AA235" s="216">
        <v>308572.78999999998</v>
      </c>
      <c r="AB235" s="216">
        <v>220557.52000000005</v>
      </c>
      <c r="AC235" s="216">
        <v>252934.35000000003</v>
      </c>
      <c r="AD235" s="216">
        <v>373710.85</v>
      </c>
      <c r="AE235" s="216">
        <v>629393.03</v>
      </c>
      <c r="AF235" s="216">
        <v>276970.71000000002</v>
      </c>
      <c r="AG235" s="216">
        <v>252761.61000000004</v>
      </c>
      <c r="AH235" s="216">
        <v>552007.80999999994</v>
      </c>
      <c r="AI235" s="216">
        <v>253912.87</v>
      </c>
      <c r="AJ235" s="216">
        <v>228945.65000000002</v>
      </c>
      <c r="AK235" s="216">
        <v>796073.75</v>
      </c>
      <c r="AL235" s="216">
        <v>253481.07</v>
      </c>
      <c r="AM235" s="216">
        <v>239881.53</v>
      </c>
      <c r="AN235" s="216">
        <v>1207810.9100000001</v>
      </c>
      <c r="AO235" s="216">
        <v>266748.53999999998</v>
      </c>
      <c r="AP235" s="216">
        <v>532707</v>
      </c>
      <c r="AQ235" s="216">
        <v>742468.89</v>
      </c>
      <c r="AR235" s="216">
        <v>406018.18999999994</v>
      </c>
      <c r="AS235" s="216">
        <v>457842.45</v>
      </c>
      <c r="AT235" s="216">
        <v>1217690.7</v>
      </c>
      <c r="AU235" s="216">
        <v>530975.68000000005</v>
      </c>
      <c r="AV235" s="216">
        <v>972408.64343254373</v>
      </c>
      <c r="AW235" s="216">
        <v>1087732.9090036589</v>
      </c>
      <c r="AX235" s="216">
        <v>789938.13709461282</v>
      </c>
      <c r="AY235" s="216">
        <v>1043665.3687738322</v>
      </c>
      <c r="AZ235" s="216">
        <v>1245020.9332502284</v>
      </c>
      <c r="BA235" s="216">
        <v>843198.0555477452</v>
      </c>
      <c r="BB235" s="216">
        <v>1357617.4177838094</v>
      </c>
      <c r="BC235" s="216">
        <v>1549717.4627392483</v>
      </c>
    </row>
    <row r="236" spans="1:55" ht="15.75" x14ac:dyDescent="0.25">
      <c r="A236" s="206" t="s">
        <v>44</v>
      </c>
      <c r="B236" s="207"/>
      <c r="C236" s="206"/>
      <c r="D236" s="206"/>
      <c r="E236" s="206"/>
      <c r="F236" s="206"/>
      <c r="G236" s="206"/>
      <c r="H236" s="213">
        <v>0</v>
      </c>
      <c r="I236" s="213">
        <v>0</v>
      </c>
      <c r="J236" s="213">
        <v>0</v>
      </c>
      <c r="K236" s="213">
        <v>0</v>
      </c>
      <c r="L236" s="213">
        <v>0</v>
      </c>
      <c r="M236" s="213">
        <v>0</v>
      </c>
      <c r="N236" s="213">
        <v>0</v>
      </c>
      <c r="O236" s="213">
        <v>0</v>
      </c>
      <c r="P236" s="213">
        <v>0</v>
      </c>
      <c r="Q236" s="213">
        <v>0</v>
      </c>
      <c r="R236" s="213">
        <v>0</v>
      </c>
      <c r="S236" s="213">
        <v>0</v>
      </c>
      <c r="T236" s="213">
        <v>0</v>
      </c>
      <c r="U236" s="213">
        <v>0</v>
      </c>
      <c r="V236" s="213">
        <v>0</v>
      </c>
      <c r="W236" s="213">
        <v>0</v>
      </c>
      <c r="X236" s="213">
        <v>0</v>
      </c>
      <c r="Y236" s="213">
        <v>0</v>
      </c>
      <c r="Z236" s="213">
        <v>0</v>
      </c>
      <c r="AA236" s="213">
        <v>0</v>
      </c>
      <c r="AB236" s="213">
        <v>0</v>
      </c>
      <c r="AC236" s="213">
        <v>0</v>
      </c>
      <c r="AD236" s="213">
        <v>0</v>
      </c>
      <c r="AE236" s="213">
        <v>0</v>
      </c>
      <c r="AF236" s="213">
        <v>0</v>
      </c>
      <c r="AG236" s="213">
        <v>0</v>
      </c>
      <c r="AH236" s="213">
        <v>0</v>
      </c>
      <c r="AI236" s="213">
        <v>0</v>
      </c>
      <c r="AJ236" s="213">
        <v>0</v>
      </c>
      <c r="AK236" s="213">
        <v>0</v>
      </c>
      <c r="AL236" s="213">
        <v>0</v>
      </c>
      <c r="AM236" s="213">
        <v>0</v>
      </c>
      <c r="AN236" s="213">
        <v>0</v>
      </c>
      <c r="AO236" s="213">
        <v>0</v>
      </c>
      <c r="AP236" s="213">
        <v>0</v>
      </c>
      <c r="AQ236" s="213">
        <v>0</v>
      </c>
      <c r="AR236" s="213">
        <v>0</v>
      </c>
      <c r="AS236" s="213">
        <v>0</v>
      </c>
      <c r="AT236" s="213">
        <v>0</v>
      </c>
      <c r="AU236" s="213">
        <v>0</v>
      </c>
      <c r="AV236" s="213">
        <v>0</v>
      </c>
      <c r="AW236" s="213">
        <v>0</v>
      </c>
      <c r="AX236" s="213">
        <v>0</v>
      </c>
      <c r="AY236" s="213">
        <v>0</v>
      </c>
      <c r="AZ236" s="213">
        <v>0</v>
      </c>
      <c r="BA236" s="213">
        <v>0</v>
      </c>
      <c r="BB236" s="213">
        <v>0</v>
      </c>
      <c r="BC236" s="213">
        <v>0</v>
      </c>
    </row>
    <row r="237" spans="1:55" x14ac:dyDescent="0.25">
      <c r="A237" s="209" t="s">
        <v>374</v>
      </c>
      <c r="B237" s="210" t="s">
        <v>403</v>
      </c>
      <c r="C237" t="s">
        <v>10</v>
      </c>
      <c r="D237" t="s">
        <v>471</v>
      </c>
      <c r="E237" t="s">
        <v>484</v>
      </c>
      <c r="F237" s="211">
        <v>7000</v>
      </c>
      <c r="G237" t="s">
        <v>388</v>
      </c>
      <c r="H237" s="213">
        <v>14583.34</v>
      </c>
      <c r="I237" s="213">
        <v>14583.34</v>
      </c>
      <c r="J237" s="213">
        <v>14583.34</v>
      </c>
      <c r="K237" s="213">
        <v>14583.34</v>
      </c>
      <c r="L237" s="213">
        <v>14583.34</v>
      </c>
      <c r="M237" s="213">
        <v>14583.34</v>
      </c>
      <c r="N237" s="213">
        <v>14583.34</v>
      </c>
      <c r="O237" s="213">
        <v>14583.34</v>
      </c>
      <c r="P237" s="213">
        <v>15166.66</v>
      </c>
      <c r="Q237" s="213">
        <v>15166.66</v>
      </c>
      <c r="R237" s="213">
        <v>15166.67</v>
      </c>
      <c r="S237" s="213">
        <v>15166.66</v>
      </c>
      <c r="T237" s="213">
        <v>17534.490000000002</v>
      </c>
      <c r="U237" s="213">
        <v>15166.66</v>
      </c>
      <c r="V237" s="213">
        <v>20416.66</v>
      </c>
      <c r="W237" s="213">
        <v>31791.66</v>
      </c>
      <c r="X237" s="213">
        <v>33666.660000000003</v>
      </c>
      <c r="Y237" s="213">
        <v>35991.660000000003</v>
      </c>
      <c r="Z237" s="213">
        <v>32991.660000000003</v>
      </c>
      <c r="AA237" s="213">
        <v>31666.66</v>
      </c>
      <c r="AB237" s="213">
        <v>33183.339999999997</v>
      </c>
      <c r="AC237" s="213">
        <v>33183.339999999997</v>
      </c>
      <c r="AD237" s="213">
        <v>33183.339999999997</v>
      </c>
      <c r="AE237" s="213">
        <v>33183.339999999997</v>
      </c>
      <c r="AF237" s="213">
        <v>41982.71</v>
      </c>
      <c r="AG237" s="213">
        <v>41585.699999999997</v>
      </c>
      <c r="AH237" s="213">
        <v>41590.44</v>
      </c>
      <c r="AI237" s="213">
        <v>41522.69</v>
      </c>
      <c r="AJ237" s="213">
        <v>41662.25</v>
      </c>
      <c r="AK237" s="213">
        <v>41742.879999999997</v>
      </c>
      <c r="AL237" s="213">
        <v>42077.56</v>
      </c>
      <c r="AM237" s="213">
        <v>41973.9</v>
      </c>
      <c r="AN237" s="213">
        <v>31702.57</v>
      </c>
      <c r="AO237" s="213">
        <v>54558.34</v>
      </c>
      <c r="AP237" s="213">
        <v>54558.34</v>
      </c>
      <c r="AQ237" s="213">
        <v>50808.34</v>
      </c>
      <c r="AR237" s="213">
        <v>52058.39</v>
      </c>
      <c r="AS237" s="213">
        <v>47891.72</v>
      </c>
      <c r="AT237" s="213">
        <v>61016.74</v>
      </c>
      <c r="AU237" s="213">
        <v>44895.88</v>
      </c>
      <c r="AV237" s="213">
        <v>42933.36</v>
      </c>
      <c r="AW237" s="213">
        <v>42933.36</v>
      </c>
      <c r="AX237" s="213">
        <v>51797.36</v>
      </c>
      <c r="AY237" s="213">
        <v>51797.36</v>
      </c>
      <c r="AZ237" s="213">
        <v>51797.36</v>
      </c>
      <c r="BA237" s="213">
        <v>51797.36</v>
      </c>
      <c r="BB237" s="213">
        <v>51797.36</v>
      </c>
      <c r="BC237" s="213">
        <v>51797.36</v>
      </c>
    </row>
    <row r="238" spans="1:55" x14ac:dyDescent="0.25">
      <c r="A238" s="209" t="s">
        <v>374</v>
      </c>
      <c r="B238" s="210" t="s">
        <v>403</v>
      </c>
      <c r="C238" t="s">
        <v>10</v>
      </c>
      <c r="D238" t="s">
        <v>471</v>
      </c>
      <c r="E238" t="s">
        <v>484</v>
      </c>
      <c r="F238" s="211">
        <v>6100</v>
      </c>
      <c r="G238" t="s">
        <v>389</v>
      </c>
      <c r="H238" s="213">
        <v>4394.21</v>
      </c>
      <c r="I238" s="213">
        <v>1776.47</v>
      </c>
      <c r="J238" s="213">
        <v>1532.27</v>
      </c>
      <c r="K238" s="213">
        <v>1532.27</v>
      </c>
      <c r="L238" s="213">
        <v>1532.27</v>
      </c>
      <c r="M238" s="213">
        <v>1164.19</v>
      </c>
      <c r="N238" s="213">
        <v>621.91</v>
      </c>
      <c r="O238" s="213">
        <v>621.91</v>
      </c>
      <c r="P238" s="213">
        <v>631.95000000000005</v>
      </c>
      <c r="Q238" s="213">
        <v>880.62</v>
      </c>
      <c r="R238" s="213">
        <v>630.62</v>
      </c>
      <c r="S238" s="213">
        <v>5518.73</v>
      </c>
      <c r="T238" s="213">
        <v>1769.88</v>
      </c>
      <c r="U238" s="213">
        <v>2118.2599999999998</v>
      </c>
      <c r="V238" s="213">
        <v>3141.5899999999997</v>
      </c>
      <c r="W238" s="213">
        <v>4246.8</v>
      </c>
      <c r="X238" s="213">
        <v>4069.9900000000002</v>
      </c>
      <c r="Y238" s="213">
        <v>3913.17</v>
      </c>
      <c r="Z238" s="213">
        <v>3256.77</v>
      </c>
      <c r="AA238" s="213">
        <v>3152.71</v>
      </c>
      <c r="AB238" s="213">
        <v>1305.23</v>
      </c>
      <c r="AC238" s="213">
        <v>1233.1300000000001</v>
      </c>
      <c r="AD238" s="213">
        <v>1258.6600000000001</v>
      </c>
      <c r="AE238" s="213">
        <v>1436.01</v>
      </c>
      <c r="AF238" s="213">
        <v>2310.5300000000002</v>
      </c>
      <c r="AG238" s="213">
        <v>1775.94</v>
      </c>
      <c r="AH238" s="213">
        <v>2150.42</v>
      </c>
      <c r="AI238" s="213">
        <v>2027.3</v>
      </c>
      <c r="AJ238" s="213">
        <v>1866.26</v>
      </c>
      <c r="AK238" s="213">
        <v>1817.12</v>
      </c>
      <c r="AL238" s="213">
        <v>1951.46</v>
      </c>
      <c r="AM238" s="213">
        <v>1979.77</v>
      </c>
      <c r="AN238" s="213">
        <v>1648.48</v>
      </c>
      <c r="AO238" s="213">
        <v>2885.02</v>
      </c>
      <c r="AP238" s="213">
        <v>2794.82</v>
      </c>
      <c r="AQ238" s="213">
        <v>1831.79</v>
      </c>
      <c r="AR238" s="213">
        <v>2767.27</v>
      </c>
      <c r="AS238" s="213">
        <v>2918.73</v>
      </c>
      <c r="AT238" s="213">
        <v>3326.82</v>
      </c>
      <c r="AU238" s="213">
        <v>2575.6999999999998</v>
      </c>
      <c r="AV238" s="213">
        <v>2396.85</v>
      </c>
      <c r="AW238" s="213">
        <v>2396.85</v>
      </c>
      <c r="AX238" s="213">
        <v>4169.6499999999996</v>
      </c>
      <c r="AY238" s="213">
        <v>4169.6499999999996</v>
      </c>
      <c r="AZ238" s="213">
        <v>4386.4855000000007</v>
      </c>
      <c r="BA238" s="213">
        <v>4386.4855000000007</v>
      </c>
      <c r="BB238" s="213">
        <v>4386.4855000000007</v>
      </c>
      <c r="BC238" s="213">
        <v>4386.4855000000007</v>
      </c>
    </row>
    <row r="239" spans="1:55" x14ac:dyDescent="0.25">
      <c r="A239" s="209" t="s">
        <v>374</v>
      </c>
      <c r="B239" s="210" t="s">
        <v>403</v>
      </c>
      <c r="C239" t="s">
        <v>10</v>
      </c>
      <c r="D239" t="s">
        <v>471</v>
      </c>
      <c r="E239" t="s">
        <v>484</v>
      </c>
      <c r="F239" s="211">
        <v>6150</v>
      </c>
      <c r="G239" t="s">
        <v>405</v>
      </c>
      <c r="H239" s="213">
        <v>4678</v>
      </c>
      <c r="I239" s="213">
        <v>3125</v>
      </c>
      <c r="J239" s="213">
        <v>3125</v>
      </c>
      <c r="K239" s="213">
        <v>3125</v>
      </c>
      <c r="L239" s="213">
        <v>3125</v>
      </c>
      <c r="M239" s="213">
        <v>3125</v>
      </c>
      <c r="N239" s="213">
        <v>3646</v>
      </c>
      <c r="O239" s="213">
        <v>3646</v>
      </c>
      <c r="P239" s="213">
        <v>3792</v>
      </c>
      <c r="Q239" s="213">
        <v>6916.01</v>
      </c>
      <c r="R239" s="213">
        <v>3791.67</v>
      </c>
      <c r="S239" s="213">
        <v>7938.54</v>
      </c>
      <c r="T239" s="213">
        <v>4078.13</v>
      </c>
      <c r="U239" s="213">
        <v>3791.66</v>
      </c>
      <c r="V239" s="213">
        <v>4579.17</v>
      </c>
      <c r="W239" s="213">
        <v>6285.41</v>
      </c>
      <c r="X239" s="213">
        <v>6266.67</v>
      </c>
      <c r="Y239" s="213">
        <v>6266.66</v>
      </c>
      <c r="Z239" s="213">
        <v>5163.76</v>
      </c>
      <c r="AA239" s="213">
        <v>5267</v>
      </c>
      <c r="AB239" s="213">
        <v>5229</v>
      </c>
      <c r="AC239" s="213">
        <v>5635</v>
      </c>
      <c r="AD239" s="213">
        <v>5641</v>
      </c>
      <c r="AE239" s="213">
        <v>-4557</v>
      </c>
      <c r="AF239" s="213">
        <v>1659</v>
      </c>
      <c r="AG239" s="213">
        <v>-677.4</v>
      </c>
      <c r="AH239" s="213">
        <v>19141.75</v>
      </c>
      <c r="AI239" s="213">
        <v>7177.66</v>
      </c>
      <c r="AJ239" s="213">
        <v>7625.34</v>
      </c>
      <c r="AK239" s="213">
        <v>7702.23</v>
      </c>
      <c r="AL239" s="213">
        <v>7809</v>
      </c>
      <c r="AM239" s="213">
        <v>8174</v>
      </c>
      <c r="AN239" s="213">
        <v>-1208.96</v>
      </c>
      <c r="AO239" s="213">
        <v>8322.58</v>
      </c>
      <c r="AP239" s="213">
        <v>-2329.58</v>
      </c>
      <c r="AQ239" s="213">
        <v>10272</v>
      </c>
      <c r="AR239" s="213">
        <v>21076</v>
      </c>
      <c r="AS239" s="213">
        <v>22386.03</v>
      </c>
      <c r="AT239" s="213">
        <v>-14441.460000000003</v>
      </c>
      <c r="AU239" s="213">
        <v>-10350.01</v>
      </c>
      <c r="AV239" s="213">
        <v>35775</v>
      </c>
      <c r="AW239" s="213">
        <v>35775</v>
      </c>
      <c r="AX239" s="213">
        <v>36714.58557233333</v>
      </c>
      <c r="AY239" s="213">
        <v>36714.58557233333</v>
      </c>
      <c r="AZ239" s="213">
        <v>38917.46070667333</v>
      </c>
      <c r="BA239" s="213">
        <v>38917.46070667333</v>
      </c>
      <c r="BB239" s="213">
        <v>38917.46070667333</v>
      </c>
      <c r="BC239" s="213">
        <v>38917.46070667333</v>
      </c>
    </row>
    <row r="240" spans="1:55" x14ac:dyDescent="0.25">
      <c r="A240" s="209" t="s">
        <v>374</v>
      </c>
      <c r="B240" s="210" t="s">
        <v>403</v>
      </c>
      <c r="C240" t="s">
        <v>10</v>
      </c>
      <c r="D240" t="s">
        <v>471</v>
      </c>
      <c r="E240" t="s">
        <v>484</v>
      </c>
      <c r="F240" s="211">
        <v>6112</v>
      </c>
      <c r="G240" t="s">
        <v>391</v>
      </c>
      <c r="H240" s="213">
        <v>0</v>
      </c>
      <c r="I240" s="213">
        <v>0</v>
      </c>
      <c r="J240" s="213">
        <v>0</v>
      </c>
      <c r="K240" s="213">
        <v>0</v>
      </c>
      <c r="L240" s="213">
        <v>0</v>
      </c>
      <c r="M240" s="213">
        <v>0</v>
      </c>
      <c r="N240" s="213">
        <v>0</v>
      </c>
      <c r="O240" s="213">
        <v>0</v>
      </c>
      <c r="P240" s="213">
        <v>0</v>
      </c>
      <c r="Q240" s="213">
        <v>0</v>
      </c>
      <c r="R240" s="213">
        <v>0</v>
      </c>
      <c r="S240" s="213">
        <v>0</v>
      </c>
      <c r="T240" s="213">
        <v>0</v>
      </c>
      <c r="U240" s="213">
        <v>0</v>
      </c>
      <c r="V240" s="213">
        <v>0</v>
      </c>
      <c r="W240" s="213">
        <v>0</v>
      </c>
      <c r="X240" s="213">
        <v>0</v>
      </c>
      <c r="Y240" s="213">
        <v>0</v>
      </c>
      <c r="Z240" s="213">
        <v>0</v>
      </c>
      <c r="AA240" s="213">
        <v>0</v>
      </c>
      <c r="AB240" s="213">
        <v>1896.57</v>
      </c>
      <c r="AC240" s="213">
        <v>1496.57</v>
      </c>
      <c r="AD240" s="213">
        <v>1225.04</v>
      </c>
      <c r="AE240" s="213">
        <v>2318.48</v>
      </c>
      <c r="AF240" s="213">
        <v>3765.39</v>
      </c>
      <c r="AG240" s="213">
        <v>4235.8100000000004</v>
      </c>
      <c r="AH240" s="213">
        <v>4923.2700000000004</v>
      </c>
      <c r="AI240" s="213">
        <v>4041.06</v>
      </c>
      <c r="AJ240" s="213">
        <v>4093.41</v>
      </c>
      <c r="AK240" s="213">
        <v>3550.39</v>
      </c>
      <c r="AL240" s="213">
        <v>2532.77</v>
      </c>
      <c r="AM240" s="213">
        <v>2185.0500000000002</v>
      </c>
      <c r="AN240" s="213">
        <v>-210.52999999999997</v>
      </c>
      <c r="AO240" s="213">
        <v>1205.29</v>
      </c>
      <c r="AP240" s="213">
        <v>1055.29</v>
      </c>
      <c r="AQ240" s="213">
        <v>5308.79</v>
      </c>
      <c r="AR240" s="213">
        <v>7981.37</v>
      </c>
      <c r="AS240" s="213">
        <v>6249.7000000000007</v>
      </c>
      <c r="AT240" s="213">
        <v>2556.9200000000005</v>
      </c>
      <c r="AU240" s="213">
        <v>3000.5699999999997</v>
      </c>
      <c r="AV240" s="213">
        <v>5599.6816224514187</v>
      </c>
      <c r="AW240" s="213">
        <v>5096.5769800457265</v>
      </c>
      <c r="AX240" s="213">
        <v>5546.4938726647561</v>
      </c>
      <c r="AY240" s="213">
        <v>5557.7795393369597</v>
      </c>
      <c r="AZ240" s="213">
        <v>5747.4563364511014</v>
      </c>
      <c r="BA240" s="213">
        <v>4969.512607170047</v>
      </c>
      <c r="BB240" s="213">
        <v>4734.9559514033635</v>
      </c>
      <c r="BC240" s="213">
        <v>7284.508769419409</v>
      </c>
    </row>
    <row r="241" spans="1:55" x14ac:dyDescent="0.25">
      <c r="A241" s="209" t="s">
        <v>374</v>
      </c>
      <c r="B241" s="210" t="s">
        <v>403</v>
      </c>
      <c r="C241" t="s">
        <v>10</v>
      </c>
      <c r="D241" t="s">
        <v>471</v>
      </c>
      <c r="E241" t="s">
        <v>484</v>
      </c>
      <c r="F241" s="211">
        <v>6350</v>
      </c>
      <c r="G241" t="s">
        <v>393</v>
      </c>
      <c r="H241" s="213">
        <v>0</v>
      </c>
      <c r="I241" s="213">
        <v>0</v>
      </c>
      <c r="J241" s="213">
        <v>0</v>
      </c>
      <c r="K241" s="213">
        <v>0</v>
      </c>
      <c r="L241" s="213">
        <v>0</v>
      </c>
      <c r="M241" s="213">
        <v>0</v>
      </c>
      <c r="N241" s="213">
        <v>0</v>
      </c>
      <c r="O241" s="213">
        <v>0</v>
      </c>
      <c r="P241" s="213">
        <v>0</v>
      </c>
      <c r="Q241" s="213">
        <v>0</v>
      </c>
      <c r="R241" s="213">
        <v>0</v>
      </c>
      <c r="S241" s="213">
        <v>0</v>
      </c>
      <c r="T241" s="213">
        <v>0</v>
      </c>
      <c r="U241" s="213">
        <v>0</v>
      </c>
      <c r="V241" s="213">
        <v>0</v>
      </c>
      <c r="W241" s="213">
        <v>0</v>
      </c>
      <c r="X241" s="213">
        <v>0</v>
      </c>
      <c r="Y241" s="213">
        <v>0</v>
      </c>
      <c r="Z241" s="213">
        <v>0</v>
      </c>
      <c r="AA241" s="213">
        <v>0</v>
      </c>
      <c r="AB241" s="213">
        <v>0</v>
      </c>
      <c r="AC241" s="213">
        <v>0</v>
      </c>
      <c r="AD241" s="213">
        <v>0</v>
      </c>
      <c r="AE241" s="213">
        <v>0</v>
      </c>
      <c r="AF241" s="213">
        <v>0</v>
      </c>
      <c r="AG241" s="213">
        <v>0</v>
      </c>
      <c r="AH241" s="213">
        <v>0</v>
      </c>
      <c r="AI241" s="213">
        <v>0</v>
      </c>
      <c r="AJ241" s="213">
        <v>0</v>
      </c>
      <c r="AK241" s="213">
        <v>0</v>
      </c>
      <c r="AL241" s="213">
        <v>0</v>
      </c>
      <c r="AM241" s="213">
        <v>0</v>
      </c>
      <c r="AN241" s="213">
        <v>300</v>
      </c>
      <c r="AO241" s="213">
        <v>0</v>
      </c>
      <c r="AP241" s="213">
        <v>19.989999999999998</v>
      </c>
      <c r="AQ241" s="213">
        <v>0</v>
      </c>
      <c r="AR241" s="213">
        <v>0</v>
      </c>
      <c r="AS241" s="213">
        <v>0</v>
      </c>
      <c r="AT241" s="213">
        <v>0</v>
      </c>
      <c r="AU241" s="213">
        <v>0</v>
      </c>
      <c r="AV241" s="213">
        <v>200</v>
      </c>
      <c r="AW241" s="213">
        <v>200</v>
      </c>
      <c r="AX241" s="213">
        <v>266.66666666666669</v>
      </c>
      <c r="AY241" s="213">
        <v>266.66666666666669</v>
      </c>
      <c r="AZ241" s="213">
        <v>266.66666666666669</v>
      </c>
      <c r="BA241" s="213">
        <v>266.66666666666669</v>
      </c>
      <c r="BB241" s="213">
        <v>266.66666666666669</v>
      </c>
      <c r="BC241" s="213">
        <v>266.66666666666669</v>
      </c>
    </row>
    <row r="242" spans="1:55" x14ac:dyDescent="0.25">
      <c r="A242" s="209" t="s">
        <v>374</v>
      </c>
      <c r="B242" s="210" t="s">
        <v>403</v>
      </c>
      <c r="C242" t="s">
        <v>10</v>
      </c>
      <c r="D242" t="s">
        <v>471</v>
      </c>
      <c r="E242" t="s">
        <v>485</v>
      </c>
      <c r="F242" s="211">
        <v>6400</v>
      </c>
      <c r="G242" t="s">
        <v>395</v>
      </c>
      <c r="H242" s="213">
        <v>166.13</v>
      </c>
      <c r="I242" s="213">
        <v>1.69</v>
      </c>
      <c r="J242" s="213">
        <v>0</v>
      </c>
      <c r="K242" s="213">
        <v>150</v>
      </c>
      <c r="L242" s="213">
        <v>0</v>
      </c>
      <c r="M242" s="213">
        <v>0</v>
      </c>
      <c r="N242" s="213">
        <v>0</v>
      </c>
      <c r="O242" s="213">
        <v>0</v>
      </c>
      <c r="P242" s="213">
        <v>0</v>
      </c>
      <c r="Q242" s="213">
        <v>0</v>
      </c>
      <c r="R242" s="213">
        <v>220.42</v>
      </c>
      <c r="S242" s="213">
        <v>0</v>
      </c>
      <c r="T242" s="213">
        <v>0</v>
      </c>
      <c r="U242" s="213">
        <v>0</v>
      </c>
      <c r="V242" s="213">
        <v>0</v>
      </c>
      <c r="W242" s="213">
        <v>0</v>
      </c>
      <c r="X242" s="213">
        <v>0</v>
      </c>
      <c r="Y242" s="213">
        <v>0</v>
      </c>
      <c r="Z242" s="213">
        <v>50.8</v>
      </c>
      <c r="AA242" s="213">
        <v>0</v>
      </c>
      <c r="AB242" s="213">
        <v>0</v>
      </c>
      <c r="AC242" s="213">
        <v>21.78</v>
      </c>
      <c r="AD242" s="213">
        <v>0</v>
      </c>
      <c r="AE242" s="213">
        <v>157.21</v>
      </c>
      <c r="AF242" s="213">
        <v>0</v>
      </c>
      <c r="AG242" s="213">
        <v>0</v>
      </c>
      <c r="AH242" s="213">
        <v>0</v>
      </c>
      <c r="AI242" s="213">
        <v>0</v>
      </c>
      <c r="AJ242" s="213">
        <v>0</v>
      </c>
      <c r="AK242" s="213">
        <v>16</v>
      </c>
      <c r="AL242" s="213">
        <v>200</v>
      </c>
      <c r="AM242" s="213">
        <v>0</v>
      </c>
      <c r="AN242" s="213">
        <v>16493.05</v>
      </c>
      <c r="AO242" s="213">
        <v>0</v>
      </c>
      <c r="AP242" s="213">
        <v>1565.53</v>
      </c>
      <c r="AQ242" s="213">
        <v>0</v>
      </c>
      <c r="AR242" s="213">
        <v>2200</v>
      </c>
      <c r="AS242" s="213">
        <v>8900</v>
      </c>
      <c r="AT242" s="213">
        <v>0</v>
      </c>
      <c r="AU242" s="213">
        <v>21153</v>
      </c>
      <c r="AV242" s="213">
        <v>100</v>
      </c>
      <c r="AW242" s="213">
        <v>100</v>
      </c>
      <c r="AX242" s="213">
        <v>133.33333333333334</v>
      </c>
      <c r="AY242" s="213">
        <v>133.33333333333334</v>
      </c>
      <c r="AZ242" s="213">
        <v>133.33333333333334</v>
      </c>
      <c r="BA242" s="213">
        <v>133.33333333333334</v>
      </c>
      <c r="BB242" s="213">
        <v>133.33333333333334</v>
      </c>
      <c r="BC242" s="213">
        <v>133.33333333333334</v>
      </c>
    </row>
    <row r="243" spans="1:55" x14ac:dyDescent="0.25">
      <c r="A243" s="209" t="s">
        <v>374</v>
      </c>
      <c r="B243" s="210" t="s">
        <v>406</v>
      </c>
      <c r="C243" t="s">
        <v>10</v>
      </c>
      <c r="D243" t="s">
        <v>471</v>
      </c>
      <c r="E243" t="s">
        <v>485</v>
      </c>
      <c r="F243" s="211">
        <v>7150</v>
      </c>
      <c r="G243" t="s">
        <v>397</v>
      </c>
      <c r="H243" s="213">
        <v>5230.59</v>
      </c>
      <c r="I243" s="213">
        <v>2040.5</v>
      </c>
      <c r="J243" s="213">
        <v>4104.0200000000004</v>
      </c>
      <c r="K243" s="213">
        <v>2319.8000000000002</v>
      </c>
      <c r="L243" s="213">
        <v>2534.29</v>
      </c>
      <c r="M243" s="213">
        <v>4339.3999999999996</v>
      </c>
      <c r="N243" s="213">
        <v>1765.87</v>
      </c>
      <c r="O243" s="213">
        <v>1094.0700000000002</v>
      </c>
      <c r="P243" s="213">
        <v>4818.16</v>
      </c>
      <c r="Q243" s="213">
        <v>1164.02</v>
      </c>
      <c r="R243" s="213">
        <v>1293.26</v>
      </c>
      <c r="S243" s="213">
        <v>5603.3099999999995</v>
      </c>
      <c r="T243" s="213">
        <v>606.4399999999996</v>
      </c>
      <c r="U243" s="213">
        <v>5962.4</v>
      </c>
      <c r="V243" s="213">
        <v>-663.51999999999975</v>
      </c>
      <c r="W243" s="213">
        <v>1235.6999999999998</v>
      </c>
      <c r="X243" s="213">
        <v>6887.9</v>
      </c>
      <c r="Y243" s="213">
        <v>5078.0499999999993</v>
      </c>
      <c r="Z243" s="213">
        <v>7355.1200000000008</v>
      </c>
      <c r="AA243" s="213">
        <v>3895.62</v>
      </c>
      <c r="AB243" s="213">
        <v>1412.04</v>
      </c>
      <c r="AC243" s="213">
        <v>5963.1900000000005</v>
      </c>
      <c r="AD243" s="213">
        <v>4297.05</v>
      </c>
      <c r="AE243" s="213">
        <v>5501.2</v>
      </c>
      <c r="AF243" s="213">
        <v>3706.81</v>
      </c>
      <c r="AG243" s="213">
        <v>59.380000000000337</v>
      </c>
      <c r="AH243" s="213">
        <v>22.309999999999945</v>
      </c>
      <c r="AI243" s="213">
        <v>0</v>
      </c>
      <c r="AJ243" s="213">
        <v>0</v>
      </c>
      <c r="AK243" s="213">
        <v>0</v>
      </c>
      <c r="AL243" s="213">
        <v>300</v>
      </c>
      <c r="AM243" s="213">
        <v>900</v>
      </c>
      <c r="AN243" s="213">
        <v>-1200</v>
      </c>
      <c r="AO243" s="213">
        <v>135.52000000000001</v>
      </c>
      <c r="AP243" s="213">
        <v>-135.52000000000001</v>
      </c>
      <c r="AQ243" s="213">
        <v>0</v>
      </c>
      <c r="AR243" s="213">
        <v>1169.04</v>
      </c>
      <c r="AS243" s="213">
        <v>150</v>
      </c>
      <c r="AT243" s="213">
        <v>5000</v>
      </c>
      <c r="AU243" s="213">
        <v>-4397.67</v>
      </c>
      <c r="AV243" s="213">
        <v>-4397.67</v>
      </c>
      <c r="AW243" s="213">
        <v>-4397.67</v>
      </c>
      <c r="AX243" s="213">
        <v>5000</v>
      </c>
      <c r="AY243" s="213">
        <v>5000</v>
      </c>
      <c r="AZ243" s="213">
        <v>5000</v>
      </c>
      <c r="BA243" s="213">
        <v>5000</v>
      </c>
      <c r="BB243" s="213">
        <v>5000</v>
      </c>
      <c r="BC243" s="213">
        <v>5000</v>
      </c>
    </row>
    <row r="244" spans="1:55" x14ac:dyDescent="0.25">
      <c r="B244" s="210"/>
      <c r="H244" s="214">
        <v>0</v>
      </c>
      <c r="I244" s="214">
        <v>0</v>
      </c>
      <c r="J244" s="214">
        <v>0</v>
      </c>
      <c r="K244" s="214">
        <v>0</v>
      </c>
      <c r="L244" s="214">
        <v>0</v>
      </c>
      <c r="M244" s="214">
        <v>0</v>
      </c>
      <c r="N244" s="214">
        <v>0</v>
      </c>
      <c r="O244" s="214">
        <v>0</v>
      </c>
      <c r="P244" s="214">
        <v>0</v>
      </c>
      <c r="Q244" s="214">
        <v>0</v>
      </c>
      <c r="R244" s="214">
        <v>0</v>
      </c>
      <c r="S244" s="214">
        <v>0</v>
      </c>
      <c r="T244" s="214">
        <v>0</v>
      </c>
      <c r="U244" s="214">
        <v>0</v>
      </c>
      <c r="V244" s="214">
        <v>0</v>
      </c>
      <c r="W244" s="214">
        <v>0</v>
      </c>
      <c r="X244" s="214">
        <v>0</v>
      </c>
      <c r="Y244" s="214">
        <v>0</v>
      </c>
      <c r="Z244" s="214">
        <v>0</v>
      </c>
      <c r="AA244" s="214">
        <v>0</v>
      </c>
      <c r="AB244" s="214">
        <v>0</v>
      </c>
      <c r="AC244" s="214">
        <v>0</v>
      </c>
      <c r="AD244" s="214">
        <v>0</v>
      </c>
      <c r="AE244" s="214">
        <v>0</v>
      </c>
      <c r="AF244" s="214">
        <v>0</v>
      </c>
      <c r="AG244" s="214">
        <v>0</v>
      </c>
      <c r="AH244" s="214">
        <v>0</v>
      </c>
      <c r="AI244" s="214">
        <v>0</v>
      </c>
      <c r="AJ244" s="214">
        <v>0</v>
      </c>
      <c r="AK244" s="214">
        <v>0</v>
      </c>
      <c r="AL244" s="214">
        <v>0</v>
      </c>
      <c r="AM244" s="214">
        <v>0</v>
      </c>
      <c r="AN244" s="214">
        <v>0</v>
      </c>
      <c r="AO244" s="214">
        <v>0</v>
      </c>
      <c r="AP244" s="214">
        <v>0</v>
      </c>
      <c r="AQ244" s="214">
        <v>0</v>
      </c>
      <c r="AR244" s="214">
        <v>0</v>
      </c>
      <c r="AS244" s="214">
        <v>0</v>
      </c>
      <c r="AT244" s="214">
        <v>0</v>
      </c>
      <c r="AU244" s="214">
        <v>0</v>
      </c>
      <c r="AV244" s="214">
        <v>0</v>
      </c>
      <c r="AW244" s="214">
        <v>0</v>
      </c>
      <c r="AX244" s="214">
        <v>0</v>
      </c>
      <c r="AY244" s="214">
        <v>0</v>
      </c>
      <c r="AZ244" s="214">
        <v>0</v>
      </c>
      <c r="BA244" s="214">
        <v>0</v>
      </c>
      <c r="BB244" s="214">
        <v>0</v>
      </c>
      <c r="BC244" s="214">
        <v>0</v>
      </c>
    </row>
    <row r="245" spans="1:55" x14ac:dyDescent="0.25">
      <c r="B245" s="210"/>
      <c r="H245" s="216">
        <v>29052.27</v>
      </c>
      <c r="I245" s="216">
        <v>21526.999999999996</v>
      </c>
      <c r="J245" s="216">
        <v>23344.63</v>
      </c>
      <c r="K245" s="216">
        <v>21710.41</v>
      </c>
      <c r="L245" s="216">
        <v>21774.9</v>
      </c>
      <c r="M245" s="216">
        <v>23211.93</v>
      </c>
      <c r="N245" s="216">
        <v>20617.12</v>
      </c>
      <c r="O245" s="216">
        <v>19945.32</v>
      </c>
      <c r="P245" s="216">
        <v>24408.77</v>
      </c>
      <c r="Q245" s="216">
        <v>24127.31</v>
      </c>
      <c r="R245" s="216">
        <v>21102.639999999996</v>
      </c>
      <c r="S245" s="216">
        <v>34227.24</v>
      </c>
      <c r="T245" s="216">
        <v>23988.940000000002</v>
      </c>
      <c r="U245" s="216">
        <v>27038.979999999996</v>
      </c>
      <c r="V245" s="216">
        <v>27473.899999999998</v>
      </c>
      <c r="W245" s="216">
        <v>43559.569999999992</v>
      </c>
      <c r="X245" s="216">
        <v>50891.22</v>
      </c>
      <c r="Y245" s="216">
        <v>51249.540000000008</v>
      </c>
      <c r="Z245" s="216">
        <v>48818.110000000008</v>
      </c>
      <c r="AA245" s="216">
        <v>43981.990000000005</v>
      </c>
      <c r="AB245" s="216">
        <v>43026.18</v>
      </c>
      <c r="AC245" s="216">
        <v>47533.009999999995</v>
      </c>
      <c r="AD245" s="216">
        <v>45605.090000000004</v>
      </c>
      <c r="AE245" s="216">
        <v>38039.24</v>
      </c>
      <c r="AF245" s="216">
        <v>53424.439999999995</v>
      </c>
      <c r="AG245" s="216">
        <v>46979.429999999993</v>
      </c>
      <c r="AH245" s="216">
        <v>67828.19</v>
      </c>
      <c r="AI245" s="216">
        <v>54768.710000000006</v>
      </c>
      <c r="AJ245" s="216">
        <v>55247.260000000009</v>
      </c>
      <c r="AK245" s="216">
        <v>54828.619999999995</v>
      </c>
      <c r="AL245" s="216">
        <v>54870.789999999994</v>
      </c>
      <c r="AM245" s="216">
        <v>55212.72</v>
      </c>
      <c r="AN245" s="216">
        <v>47524.61</v>
      </c>
      <c r="AO245" s="216">
        <v>67106.749999999985</v>
      </c>
      <c r="AP245" s="216">
        <v>57528.869999999995</v>
      </c>
      <c r="AQ245" s="216">
        <v>68220.92</v>
      </c>
      <c r="AR245" s="216">
        <v>87252.069999999992</v>
      </c>
      <c r="AS245" s="216">
        <v>88496.180000000008</v>
      </c>
      <c r="AT245" s="216">
        <v>57459.01999999999</v>
      </c>
      <c r="AU245" s="216">
        <v>56877.469999999994</v>
      </c>
      <c r="AV245" s="216">
        <v>82607.221622451412</v>
      </c>
      <c r="AW245" s="216">
        <v>82104.116980045714</v>
      </c>
      <c r="AX245" s="216">
        <v>103628.08944499808</v>
      </c>
      <c r="AY245" s="216">
        <v>103639.37511167029</v>
      </c>
      <c r="AZ245" s="216">
        <v>106248.76254312442</v>
      </c>
      <c r="BA245" s="216">
        <v>105470.81881384338</v>
      </c>
      <c r="BB245" s="216">
        <v>105236.26215807669</v>
      </c>
      <c r="BC245" s="216">
        <v>107785.81497609273</v>
      </c>
    </row>
    <row r="246" spans="1:55" ht="15.75" x14ac:dyDescent="0.25">
      <c r="A246" s="206" t="s">
        <v>13</v>
      </c>
      <c r="B246" s="207"/>
      <c r="C246" s="206"/>
      <c r="D246" s="206"/>
      <c r="E246" s="206"/>
      <c r="F246" s="206"/>
      <c r="G246" s="206"/>
      <c r="H246" s="213">
        <v>0</v>
      </c>
      <c r="I246" s="213">
        <v>0</v>
      </c>
      <c r="J246" s="213">
        <v>0</v>
      </c>
      <c r="K246" s="213">
        <v>0</v>
      </c>
      <c r="L246" s="213">
        <v>0</v>
      </c>
      <c r="M246" s="213">
        <v>0</v>
      </c>
      <c r="N246" s="213">
        <v>0</v>
      </c>
      <c r="O246" s="213">
        <v>0</v>
      </c>
      <c r="P246" s="213">
        <v>0</v>
      </c>
      <c r="Q246" s="213">
        <v>0</v>
      </c>
      <c r="R246" s="213">
        <v>0</v>
      </c>
      <c r="S246" s="213">
        <v>0</v>
      </c>
      <c r="T246" s="213">
        <v>0</v>
      </c>
      <c r="U246" s="213">
        <v>0</v>
      </c>
      <c r="V246" s="213">
        <v>0</v>
      </c>
      <c r="W246" s="213">
        <v>0</v>
      </c>
      <c r="X246" s="213">
        <v>0</v>
      </c>
      <c r="Y246" s="213">
        <v>0</v>
      </c>
      <c r="Z246" s="213">
        <v>0</v>
      </c>
      <c r="AA246" s="213">
        <v>0</v>
      </c>
      <c r="AB246" s="213">
        <v>0</v>
      </c>
      <c r="AC246" s="213">
        <v>0</v>
      </c>
      <c r="AD246" s="213">
        <v>0</v>
      </c>
      <c r="AE246" s="213">
        <v>0</v>
      </c>
      <c r="AF246" s="213">
        <v>0</v>
      </c>
      <c r="AG246" s="213">
        <v>0</v>
      </c>
      <c r="AH246" s="213">
        <v>0</v>
      </c>
      <c r="AI246" s="213">
        <v>0</v>
      </c>
      <c r="AJ246" s="213">
        <v>0</v>
      </c>
      <c r="AK246" s="213">
        <v>0</v>
      </c>
      <c r="AL246" s="213">
        <v>0</v>
      </c>
      <c r="AM246" s="213">
        <v>0</v>
      </c>
      <c r="AN246" s="213">
        <v>0</v>
      </c>
      <c r="AO246" s="213">
        <v>0</v>
      </c>
      <c r="AP246" s="213">
        <v>0</v>
      </c>
      <c r="AQ246" s="213">
        <v>0</v>
      </c>
      <c r="AR246" s="213">
        <v>0</v>
      </c>
      <c r="AS246" s="213">
        <v>0</v>
      </c>
      <c r="AT246" s="213">
        <v>0</v>
      </c>
      <c r="AU246" s="213">
        <v>0</v>
      </c>
      <c r="AV246" s="213">
        <v>0</v>
      </c>
      <c r="AW246" s="213">
        <v>0</v>
      </c>
      <c r="AX246" s="213">
        <v>0</v>
      </c>
      <c r="AY246" s="213">
        <v>0</v>
      </c>
      <c r="AZ246" s="213">
        <v>0</v>
      </c>
      <c r="BA246" s="213">
        <v>0</v>
      </c>
      <c r="BB246" s="213">
        <v>0</v>
      </c>
      <c r="BC246" s="213">
        <v>0</v>
      </c>
    </row>
    <row r="247" spans="1:55" x14ac:dyDescent="0.25">
      <c r="A247" s="209" t="s">
        <v>379</v>
      </c>
      <c r="B247" s="210" t="s">
        <v>403</v>
      </c>
      <c r="C247" t="s">
        <v>13</v>
      </c>
      <c r="D247" t="s">
        <v>372</v>
      </c>
      <c r="E247" t="s">
        <v>496</v>
      </c>
      <c r="F247" s="211">
        <v>7000</v>
      </c>
      <c r="G247" t="s">
        <v>388</v>
      </c>
      <c r="H247" s="213">
        <v>470671.31</v>
      </c>
      <c r="I247" s="213">
        <v>434893.94</v>
      </c>
      <c r="J247" s="213">
        <v>493510.31</v>
      </c>
      <c r="K247" s="213">
        <v>482691.68</v>
      </c>
      <c r="L247" s="213">
        <v>528630.37</v>
      </c>
      <c r="M247" s="213">
        <v>601041.25</v>
      </c>
      <c r="N247" s="213">
        <v>605545</v>
      </c>
      <c r="O247" s="213">
        <v>611127.03</v>
      </c>
      <c r="P247" s="213">
        <v>651784.65</v>
      </c>
      <c r="Q247" s="213">
        <v>691164.47</v>
      </c>
      <c r="R247" s="213">
        <v>716438.26</v>
      </c>
      <c r="S247" s="213">
        <v>742187.06</v>
      </c>
      <c r="T247" s="213">
        <v>801562.19</v>
      </c>
      <c r="U247" s="213">
        <v>819994.61</v>
      </c>
      <c r="V247" s="213">
        <v>828466.47</v>
      </c>
      <c r="W247" s="213">
        <v>842193.45</v>
      </c>
      <c r="X247" s="213">
        <v>930413.87</v>
      </c>
      <c r="Y247" s="213">
        <v>958766.15</v>
      </c>
      <c r="Z247" s="213">
        <v>962502.21</v>
      </c>
      <c r="AA247" s="213">
        <v>976574.2</v>
      </c>
      <c r="AB247" s="213">
        <v>1005135.55</v>
      </c>
      <c r="AC247" s="213">
        <v>1034949.0700000001</v>
      </c>
      <c r="AD247" s="213">
        <v>1033764.75</v>
      </c>
      <c r="AE247" s="213">
        <v>1044075.8999999999</v>
      </c>
      <c r="AF247" s="213">
        <v>1039536.52</v>
      </c>
      <c r="AG247" s="213">
        <v>1026448.02</v>
      </c>
      <c r="AH247" s="213">
        <v>1074249.49</v>
      </c>
      <c r="AI247" s="213">
        <v>1114170.8600000001</v>
      </c>
      <c r="AJ247" s="213">
        <v>1202727.5100000002</v>
      </c>
      <c r="AK247" s="213">
        <v>1260394.69</v>
      </c>
      <c r="AL247" s="213">
        <v>1257559.1000000001</v>
      </c>
      <c r="AM247" s="213">
        <v>1228481.27</v>
      </c>
      <c r="AN247" s="213">
        <v>1258511.08</v>
      </c>
      <c r="AO247" s="213">
        <v>1288355.0499999998</v>
      </c>
      <c r="AP247" s="213">
        <v>1329705.0199999998</v>
      </c>
      <c r="AQ247" s="213">
        <v>1357635.21</v>
      </c>
      <c r="AR247" s="213">
        <v>1511602.5699999998</v>
      </c>
      <c r="AS247" s="213">
        <v>1570599.19</v>
      </c>
      <c r="AT247" s="213">
        <v>1649169.2599999998</v>
      </c>
      <c r="AU247" s="213">
        <v>1654747.5899999999</v>
      </c>
      <c r="AV247" s="213">
        <v>1704509.2000606274</v>
      </c>
      <c r="AW247" s="213">
        <v>1736177.8503999996</v>
      </c>
      <c r="AX247" s="213">
        <v>1938897.4342666669</v>
      </c>
      <c r="AY247" s="213">
        <v>2077183.2489333334</v>
      </c>
      <c r="AZ247" s="213">
        <v>2185912.3271619049</v>
      </c>
      <c r="BA247" s="213">
        <v>2314766.214933333</v>
      </c>
      <c r="BB247" s="213">
        <v>2434495.4935999992</v>
      </c>
      <c r="BC247" s="213">
        <v>2547483.3570857127</v>
      </c>
    </row>
    <row r="248" spans="1:55" x14ac:dyDescent="0.25">
      <c r="A248" s="209" t="s">
        <v>379</v>
      </c>
      <c r="B248" s="210" t="s">
        <v>403</v>
      </c>
      <c r="C248" t="s">
        <v>13</v>
      </c>
      <c r="D248" t="s">
        <v>372</v>
      </c>
      <c r="E248" t="s">
        <v>496</v>
      </c>
      <c r="F248" s="211">
        <v>6100</v>
      </c>
      <c r="G248" t="s">
        <v>389</v>
      </c>
      <c r="H248" s="213">
        <v>105796.02</v>
      </c>
      <c r="I248" s="213">
        <v>79931.240000000005</v>
      </c>
      <c r="J248" s="213">
        <v>74072.2</v>
      </c>
      <c r="K248" s="213">
        <v>69914.3</v>
      </c>
      <c r="L248" s="213">
        <v>77566.789999999994</v>
      </c>
      <c r="M248" s="213">
        <v>83638.86</v>
      </c>
      <c r="N248" s="213">
        <v>86176.79</v>
      </c>
      <c r="O248" s="213">
        <v>90381.15</v>
      </c>
      <c r="P248" s="213">
        <v>92310.11</v>
      </c>
      <c r="Q248" s="213">
        <v>103612.15</v>
      </c>
      <c r="R248" s="213">
        <v>99509.78</v>
      </c>
      <c r="S248" s="213">
        <v>168522.18</v>
      </c>
      <c r="T248" s="213">
        <v>137965.16</v>
      </c>
      <c r="U248" s="213">
        <v>152054.87999999998</v>
      </c>
      <c r="V248" s="213">
        <v>138226.40000000002</v>
      </c>
      <c r="W248" s="213">
        <v>146616.72</v>
      </c>
      <c r="X248" s="213">
        <v>160017.48000000001</v>
      </c>
      <c r="Y248" s="213">
        <v>194467.18</v>
      </c>
      <c r="Z248" s="213">
        <v>164251.92000000001</v>
      </c>
      <c r="AA248" s="213">
        <v>164344.79</v>
      </c>
      <c r="AB248" s="213">
        <v>100285.62</v>
      </c>
      <c r="AC248" s="213">
        <v>91797.71</v>
      </c>
      <c r="AD248" s="213">
        <v>97394.13</v>
      </c>
      <c r="AE248" s="213">
        <v>101365.29</v>
      </c>
      <c r="AF248" s="213">
        <v>113563.50999999998</v>
      </c>
      <c r="AG248" s="213">
        <v>93730.98000000001</v>
      </c>
      <c r="AH248" s="213">
        <v>104342.95000000001</v>
      </c>
      <c r="AI248" s="213">
        <v>113062.5</v>
      </c>
      <c r="AJ248" s="213">
        <v>116662.55</v>
      </c>
      <c r="AK248" s="213">
        <v>115144.29999999999</v>
      </c>
      <c r="AL248" s="213">
        <v>122861.12999999999</v>
      </c>
      <c r="AM248" s="213">
        <v>120161.98999999999</v>
      </c>
      <c r="AN248" s="213">
        <v>129089.96</v>
      </c>
      <c r="AO248" s="213">
        <v>130786.8</v>
      </c>
      <c r="AP248" s="213">
        <v>130286.91</v>
      </c>
      <c r="AQ248" s="213">
        <v>141544.73999999996</v>
      </c>
      <c r="AR248" s="213">
        <v>164790.35999999999</v>
      </c>
      <c r="AS248" s="213">
        <v>152955.09999999998</v>
      </c>
      <c r="AT248" s="213">
        <v>156220.16</v>
      </c>
      <c r="AU248" s="213">
        <v>175953.67</v>
      </c>
      <c r="AV248" s="213">
        <v>192065.42174545891</v>
      </c>
      <c r="AW248" s="213">
        <v>195070.69608000011</v>
      </c>
      <c r="AX248" s="213">
        <v>199234.64792000013</v>
      </c>
      <c r="AY248" s="213">
        <v>215260.21472000016</v>
      </c>
      <c r="AZ248" s="213">
        <v>241149.17264879998</v>
      </c>
      <c r="BA248" s="213">
        <v>259193.66309919997</v>
      </c>
      <c r="BB248" s="213">
        <v>273234.56490720005</v>
      </c>
      <c r="BC248" s="213">
        <v>288591.19785760011</v>
      </c>
    </row>
    <row r="249" spans="1:55" x14ac:dyDescent="0.25">
      <c r="A249" s="209" t="s">
        <v>379</v>
      </c>
      <c r="B249" s="210" t="s">
        <v>403</v>
      </c>
      <c r="C249" t="s">
        <v>13</v>
      </c>
      <c r="D249" t="s">
        <v>372</v>
      </c>
      <c r="E249" t="s">
        <v>496</v>
      </c>
      <c r="F249" s="211">
        <v>6150</v>
      </c>
      <c r="G249" t="s">
        <v>405</v>
      </c>
      <c r="H249" s="213">
        <v>9695</v>
      </c>
      <c r="I249" s="213">
        <v>14267</v>
      </c>
      <c r="J249" s="213">
        <v>11742</v>
      </c>
      <c r="K249" s="213">
        <v>17529</v>
      </c>
      <c r="L249" s="213">
        <v>9492</v>
      </c>
      <c r="M249" s="213">
        <v>10577.71</v>
      </c>
      <c r="N249" s="213">
        <v>10332.709999999999</v>
      </c>
      <c r="O249" s="213">
        <v>10832.71</v>
      </c>
      <c r="P249" s="213">
        <v>188644.98</v>
      </c>
      <c r="Q249" s="213">
        <v>44790.080000000002</v>
      </c>
      <c r="R249" s="213">
        <v>36584.44</v>
      </c>
      <c r="S249" s="213">
        <v>89907.18</v>
      </c>
      <c r="T249" s="213">
        <v>85789.4</v>
      </c>
      <c r="U249" s="213">
        <v>52220.15</v>
      </c>
      <c r="V249" s="213">
        <v>53153.93</v>
      </c>
      <c r="W249" s="213">
        <v>52884.08</v>
      </c>
      <c r="X249" s="213">
        <v>54837.02</v>
      </c>
      <c r="Y249" s="213">
        <v>61074.71</v>
      </c>
      <c r="Z249" s="213">
        <v>54792.45</v>
      </c>
      <c r="AA249" s="213">
        <v>50975.67</v>
      </c>
      <c r="AB249" s="213">
        <v>56671.72</v>
      </c>
      <c r="AC249" s="213">
        <v>61504.18</v>
      </c>
      <c r="AD249" s="213">
        <v>53544.83</v>
      </c>
      <c r="AE249" s="213">
        <v>-39526.11</v>
      </c>
      <c r="AF249" s="213">
        <v>52049.26</v>
      </c>
      <c r="AG249" s="213">
        <v>6099.0100000000093</v>
      </c>
      <c r="AH249" s="213">
        <v>115226.47000000002</v>
      </c>
      <c r="AI249" s="213">
        <v>73499.510000000009</v>
      </c>
      <c r="AJ249" s="213">
        <v>76872.78</v>
      </c>
      <c r="AK249" s="213">
        <v>87601.25</v>
      </c>
      <c r="AL249" s="213">
        <v>79945.11</v>
      </c>
      <c r="AM249" s="213">
        <v>84212.08</v>
      </c>
      <c r="AN249" s="213">
        <v>19881.899999999998</v>
      </c>
      <c r="AO249" s="213">
        <v>86144.98000000001</v>
      </c>
      <c r="AP249" s="213">
        <v>6077.28</v>
      </c>
      <c r="AQ249" s="213">
        <v>138320.87</v>
      </c>
      <c r="AR249" s="213">
        <v>119295.87000000001</v>
      </c>
      <c r="AS249" s="213">
        <v>112617.42000000001</v>
      </c>
      <c r="AT249" s="213">
        <v>324162.54000000004</v>
      </c>
      <c r="AU249" s="213">
        <v>225358.29</v>
      </c>
      <c r="AV249" s="213">
        <v>265474.02919348475</v>
      </c>
      <c r="AW249" s="213">
        <v>268189.511</v>
      </c>
      <c r="AX249" s="213">
        <v>226370.02765555558</v>
      </c>
      <c r="AY249" s="213">
        <v>244033.40832222227</v>
      </c>
      <c r="AZ249" s="213">
        <v>271781.09807695233</v>
      </c>
      <c r="BA249" s="213">
        <v>286180.58674298413</v>
      </c>
      <c r="BB249" s="213">
        <v>300679.36865441262</v>
      </c>
      <c r="BC249" s="213">
        <v>313183.25717520632</v>
      </c>
    </row>
    <row r="250" spans="1:55" x14ac:dyDescent="0.25">
      <c r="A250" s="209" t="s">
        <v>379</v>
      </c>
      <c r="B250" s="210" t="s">
        <v>403</v>
      </c>
      <c r="C250" t="s">
        <v>13</v>
      </c>
      <c r="D250" t="s">
        <v>372</v>
      </c>
      <c r="E250" t="s">
        <v>496</v>
      </c>
      <c r="F250" s="211">
        <v>6112</v>
      </c>
      <c r="G250" t="s">
        <v>391</v>
      </c>
      <c r="H250" s="213">
        <v>0</v>
      </c>
      <c r="I250" s="213">
        <v>0</v>
      </c>
      <c r="J250" s="213">
        <v>0</v>
      </c>
      <c r="K250" s="213">
        <v>0</v>
      </c>
      <c r="L250" s="213">
        <v>0</v>
      </c>
      <c r="M250" s="213">
        <v>0</v>
      </c>
      <c r="N250" s="213">
        <v>0</v>
      </c>
      <c r="O250" s="213">
        <v>0</v>
      </c>
      <c r="P250" s="213">
        <v>0</v>
      </c>
      <c r="Q250" s="213">
        <v>0</v>
      </c>
      <c r="R250" s="213">
        <v>0</v>
      </c>
      <c r="S250" s="213">
        <v>0</v>
      </c>
      <c r="T250" s="213">
        <v>0</v>
      </c>
      <c r="U250" s="213">
        <v>0</v>
      </c>
      <c r="V250" s="213">
        <v>0</v>
      </c>
      <c r="W250" s="213">
        <v>0</v>
      </c>
      <c r="X250" s="213">
        <v>0</v>
      </c>
      <c r="Y250" s="213">
        <v>0</v>
      </c>
      <c r="Z250" s="213">
        <v>0</v>
      </c>
      <c r="AA250" s="213">
        <v>0</v>
      </c>
      <c r="AB250" s="213">
        <v>77313.22</v>
      </c>
      <c r="AC250" s="213">
        <v>72751.27</v>
      </c>
      <c r="AD250" s="213">
        <v>65893.81</v>
      </c>
      <c r="AE250" s="213">
        <v>84174.810000000012</v>
      </c>
      <c r="AF250" s="213">
        <v>88736.919999999984</v>
      </c>
      <c r="AG250" s="213">
        <v>87858.47</v>
      </c>
      <c r="AH250" s="213">
        <v>89286.41</v>
      </c>
      <c r="AI250" s="213">
        <v>87898.61</v>
      </c>
      <c r="AJ250" s="213">
        <v>94540.95</v>
      </c>
      <c r="AK250" s="213">
        <v>98107.680000000008</v>
      </c>
      <c r="AL250" s="213">
        <v>96797.52</v>
      </c>
      <c r="AM250" s="213">
        <v>94118.44</v>
      </c>
      <c r="AN250" s="213">
        <v>90786.73</v>
      </c>
      <c r="AO250" s="213">
        <v>70505.83</v>
      </c>
      <c r="AP250" s="213">
        <v>97560.12</v>
      </c>
      <c r="AQ250" s="213">
        <v>121109.84999999999</v>
      </c>
      <c r="AR250" s="213">
        <v>149119.18000000002</v>
      </c>
      <c r="AS250" s="213">
        <v>146654.44</v>
      </c>
      <c r="AT250" s="213">
        <v>139620.89000000001</v>
      </c>
      <c r="AU250" s="213">
        <v>141973.81000000003</v>
      </c>
      <c r="AV250" s="213">
        <v>140153.83988933006</v>
      </c>
      <c r="AW250" s="213">
        <v>129788.15152121366</v>
      </c>
      <c r="AX250" s="213">
        <v>125239.89833359647</v>
      </c>
      <c r="AY250" s="213">
        <v>135286.98049448937</v>
      </c>
      <c r="AZ250" s="213">
        <v>147675.17452801997</v>
      </c>
      <c r="BA250" s="213">
        <v>135683.89823258066</v>
      </c>
      <c r="BB250" s="213">
        <v>136416.3784308458</v>
      </c>
      <c r="BC250" s="213">
        <v>220139.91981192885</v>
      </c>
    </row>
    <row r="251" spans="1:55" x14ac:dyDescent="0.25">
      <c r="A251" s="209" t="s">
        <v>379</v>
      </c>
      <c r="B251" s="210" t="s">
        <v>403</v>
      </c>
      <c r="C251" t="s">
        <v>13</v>
      </c>
      <c r="D251" t="s">
        <v>372</v>
      </c>
      <c r="E251" t="s">
        <v>511</v>
      </c>
      <c r="F251" s="211">
        <v>6155</v>
      </c>
      <c r="G251" t="s">
        <v>472</v>
      </c>
      <c r="H251" s="213">
        <v>18482.080000000002</v>
      </c>
      <c r="I251" s="213">
        <v>29285</v>
      </c>
      <c r="J251" s="213">
        <v>48043</v>
      </c>
      <c r="K251" s="213">
        <v>34523</v>
      </c>
      <c r="L251" s="213">
        <v>32183.29</v>
      </c>
      <c r="M251" s="213">
        <v>28185.29</v>
      </c>
      <c r="N251" s="213">
        <v>29539.26</v>
      </c>
      <c r="O251" s="213">
        <v>4894.29</v>
      </c>
      <c r="P251" s="213">
        <v>0</v>
      </c>
      <c r="Q251" s="213">
        <v>0</v>
      </c>
      <c r="R251" s="213">
        <v>0</v>
      </c>
      <c r="S251" s="213">
        <v>0</v>
      </c>
      <c r="T251" s="213">
        <v>0</v>
      </c>
      <c r="U251" s="213">
        <v>0</v>
      </c>
      <c r="V251" s="213">
        <v>0</v>
      </c>
      <c r="W251" s="213">
        <v>0</v>
      </c>
      <c r="X251" s="213">
        <v>0</v>
      </c>
      <c r="Y251" s="213">
        <v>0</v>
      </c>
      <c r="Z251" s="213">
        <v>0</v>
      </c>
      <c r="AA251" s="213">
        <v>0</v>
      </c>
      <c r="AB251" s="213">
        <v>0</v>
      </c>
      <c r="AC251" s="213">
        <v>0</v>
      </c>
      <c r="AD251" s="213">
        <v>0</v>
      </c>
      <c r="AE251" s="213">
        <v>0</v>
      </c>
      <c r="AF251" s="213">
        <v>0</v>
      </c>
      <c r="AG251" s="213">
        <v>0</v>
      </c>
      <c r="AH251" s="213">
        <v>0</v>
      </c>
      <c r="AI251" s="213">
        <v>0</v>
      </c>
      <c r="AJ251" s="213">
        <v>0</v>
      </c>
      <c r="AK251" s="213">
        <v>0</v>
      </c>
      <c r="AL251" s="213">
        <v>0</v>
      </c>
      <c r="AM251" s="213">
        <v>0</v>
      </c>
      <c r="AN251" s="213">
        <v>0</v>
      </c>
      <c r="AO251" s="213">
        <v>0</v>
      </c>
      <c r="AP251" s="213">
        <v>0</v>
      </c>
      <c r="AQ251" s="213">
        <v>0</v>
      </c>
      <c r="AR251" s="213">
        <v>0</v>
      </c>
      <c r="AS251" s="213">
        <v>0</v>
      </c>
      <c r="AT251" s="213">
        <v>0</v>
      </c>
      <c r="AU251" s="213">
        <v>0</v>
      </c>
      <c r="AV251" s="213">
        <v>0</v>
      </c>
      <c r="AW251" s="213">
        <v>0</v>
      </c>
      <c r="AX251" s="213">
        <v>0</v>
      </c>
      <c r="AY251" s="213">
        <v>0</v>
      </c>
      <c r="AZ251" s="213">
        <v>0</v>
      </c>
      <c r="BA251" s="213">
        <v>0</v>
      </c>
      <c r="BB251" s="213">
        <v>0</v>
      </c>
      <c r="BC251" s="213">
        <v>0</v>
      </c>
    </row>
    <row r="252" spans="1:55" x14ac:dyDescent="0.25">
      <c r="A252" s="209" t="s">
        <v>379</v>
      </c>
      <c r="B252" s="210" t="s">
        <v>403</v>
      </c>
      <c r="C252" t="s">
        <v>13</v>
      </c>
      <c r="D252" t="s">
        <v>372</v>
      </c>
      <c r="E252" t="s">
        <v>496</v>
      </c>
      <c r="F252" s="211">
        <v>6350</v>
      </c>
      <c r="G252" t="s">
        <v>393</v>
      </c>
      <c r="H252" s="213">
        <v>5544.66</v>
      </c>
      <c r="I252" s="213">
        <v>2665.04</v>
      </c>
      <c r="J252" s="213">
        <v>961.44</v>
      </c>
      <c r="K252" s="213">
        <v>0</v>
      </c>
      <c r="L252" s="213">
        <v>835.01</v>
      </c>
      <c r="M252" s="213">
        <v>47.94</v>
      </c>
      <c r="N252" s="213">
        <v>80.739999999999995</v>
      </c>
      <c r="O252" s="213">
        <v>5981.55</v>
      </c>
      <c r="P252" s="213">
        <v>1790.75</v>
      </c>
      <c r="Q252" s="213">
        <v>89.95</v>
      </c>
      <c r="R252" s="213">
        <v>1165.0899999999999</v>
      </c>
      <c r="S252" s="213">
        <v>1901.14</v>
      </c>
      <c r="T252" s="213">
        <v>4018.1</v>
      </c>
      <c r="U252" s="213">
        <v>928.4</v>
      </c>
      <c r="V252" s="213">
        <v>3880.41</v>
      </c>
      <c r="W252" s="213">
        <v>266.10000000000002</v>
      </c>
      <c r="X252" s="213">
        <v>1440</v>
      </c>
      <c r="Y252" s="213">
        <v>1022.67</v>
      </c>
      <c r="Z252" s="213">
        <v>753.19</v>
      </c>
      <c r="AA252" s="213">
        <v>7710.54</v>
      </c>
      <c r="AB252" s="213">
        <v>5030.7299999999996</v>
      </c>
      <c r="AC252" s="213">
        <v>5306.22</v>
      </c>
      <c r="AD252" s="213">
        <v>4476.3900000000003</v>
      </c>
      <c r="AE252" s="213">
        <v>7108.5599999999995</v>
      </c>
      <c r="AF252" s="213">
        <v>5968.43</v>
      </c>
      <c r="AG252" s="213">
        <v>-1034.49</v>
      </c>
      <c r="AH252" s="213">
        <v>1445.9</v>
      </c>
      <c r="AI252" s="213">
        <v>0</v>
      </c>
      <c r="AJ252" s="213">
        <v>94.71</v>
      </c>
      <c r="AK252" s="213">
        <v>1240.1300000000001</v>
      </c>
      <c r="AL252" s="213">
        <v>973.65</v>
      </c>
      <c r="AM252" s="213">
        <v>1456.34</v>
      </c>
      <c r="AN252" s="213">
        <v>539.31000000000006</v>
      </c>
      <c r="AO252" s="213">
        <v>277.51</v>
      </c>
      <c r="AP252" s="213">
        <v>7900.19</v>
      </c>
      <c r="AQ252" s="213">
        <v>1294.8899999999999</v>
      </c>
      <c r="AR252" s="213">
        <v>554.77</v>
      </c>
      <c r="AS252" s="213">
        <v>3010.27</v>
      </c>
      <c r="AT252" s="213">
        <v>3779.57</v>
      </c>
      <c r="AU252" s="213">
        <v>1145.1500000000001</v>
      </c>
      <c r="AV252" s="213">
        <v>11066.666666666666</v>
      </c>
      <c r="AW252" s="213">
        <v>11333.333333333334</v>
      </c>
      <c r="AX252" s="213">
        <v>12000</v>
      </c>
      <c r="AY252" s="213">
        <v>13000</v>
      </c>
      <c r="AZ252" s="213">
        <v>13800</v>
      </c>
      <c r="BA252" s="213">
        <v>14800</v>
      </c>
      <c r="BB252" s="213">
        <v>15666.666666666666</v>
      </c>
      <c r="BC252" s="213">
        <v>16533.333333333332</v>
      </c>
    </row>
    <row r="253" spans="1:55" x14ac:dyDescent="0.25">
      <c r="A253" s="209" t="s">
        <v>379</v>
      </c>
      <c r="B253" s="210" t="s">
        <v>403</v>
      </c>
      <c r="C253" t="s">
        <v>13</v>
      </c>
      <c r="D253" t="s">
        <v>372</v>
      </c>
      <c r="E253" t="s">
        <v>511</v>
      </c>
      <c r="F253" s="211">
        <v>6400</v>
      </c>
      <c r="G253" t="s">
        <v>395</v>
      </c>
      <c r="H253" s="213">
        <v>4197.2700000000004</v>
      </c>
      <c r="I253" s="213">
        <v>738.17</v>
      </c>
      <c r="J253" s="213">
        <v>2768.6</v>
      </c>
      <c r="K253" s="213">
        <v>1597.19</v>
      </c>
      <c r="L253" s="213">
        <v>2302.65</v>
      </c>
      <c r="M253" s="213">
        <v>3913.6</v>
      </c>
      <c r="N253" s="213">
        <v>1357</v>
      </c>
      <c r="O253" s="213">
        <v>333.29</v>
      </c>
      <c r="P253" s="213">
        <v>941.17</v>
      </c>
      <c r="Q253" s="213">
        <v>8164.88</v>
      </c>
      <c r="R253" s="213">
        <v>1709.15</v>
      </c>
      <c r="S253" s="213">
        <v>1759.01</v>
      </c>
      <c r="T253" s="213">
        <v>8795.99</v>
      </c>
      <c r="U253" s="213">
        <v>1094.53</v>
      </c>
      <c r="V253" s="213">
        <v>7460.36</v>
      </c>
      <c r="W253" s="213">
        <v>9296.74</v>
      </c>
      <c r="X253" s="213">
        <v>2931.97</v>
      </c>
      <c r="Y253" s="213">
        <v>9419.35</v>
      </c>
      <c r="Z253" s="213">
        <v>1950.65</v>
      </c>
      <c r="AA253" s="213">
        <v>11640.85</v>
      </c>
      <c r="AB253" s="213">
        <v>6971.42</v>
      </c>
      <c r="AC253" s="213">
        <v>9531.27</v>
      </c>
      <c r="AD253" s="213">
        <v>2509.06</v>
      </c>
      <c r="AE253" s="213">
        <v>8040.49</v>
      </c>
      <c r="AF253" s="213">
        <v>7714.9299999999994</v>
      </c>
      <c r="AG253" s="213">
        <v>3208.28</v>
      </c>
      <c r="AH253" s="213">
        <v>729.96</v>
      </c>
      <c r="AI253" s="213">
        <v>123.65</v>
      </c>
      <c r="AJ253" s="213">
        <v>990.85</v>
      </c>
      <c r="AK253" s="213">
        <v>3620.29</v>
      </c>
      <c r="AL253" s="213">
        <v>445.22</v>
      </c>
      <c r="AM253" s="213">
        <v>2865.87</v>
      </c>
      <c r="AN253" s="213">
        <v>743.85</v>
      </c>
      <c r="AO253" s="213">
        <v>4583.6899999999996</v>
      </c>
      <c r="AP253" s="213">
        <v>1320.02</v>
      </c>
      <c r="AQ253" s="213">
        <v>2538.1600000000003</v>
      </c>
      <c r="AR253" s="213">
        <v>1960.62</v>
      </c>
      <c r="AS253" s="213">
        <v>1885.17</v>
      </c>
      <c r="AT253" s="213">
        <v>891.31999999999994</v>
      </c>
      <c r="AU253" s="213">
        <v>19689.96</v>
      </c>
      <c r="AV253" s="213">
        <v>5533.333333333333</v>
      </c>
      <c r="AW253" s="213">
        <v>5666.666666666667</v>
      </c>
      <c r="AX253" s="213">
        <v>6000</v>
      </c>
      <c r="AY253" s="213">
        <v>6500</v>
      </c>
      <c r="AZ253" s="213">
        <v>6900</v>
      </c>
      <c r="BA253" s="213">
        <v>7400</v>
      </c>
      <c r="BB253" s="213">
        <v>7833.333333333333</v>
      </c>
      <c r="BC253" s="213">
        <v>8266.6666666666661</v>
      </c>
    </row>
    <row r="254" spans="1:55" x14ac:dyDescent="0.25">
      <c r="A254" s="209" t="s">
        <v>379</v>
      </c>
      <c r="B254" s="210" t="s">
        <v>406</v>
      </c>
      <c r="C254" t="s">
        <v>13</v>
      </c>
      <c r="D254" t="s">
        <v>372</v>
      </c>
      <c r="E254" t="s">
        <v>511</v>
      </c>
      <c r="F254" s="211">
        <v>7150</v>
      </c>
      <c r="G254" t="s">
        <v>397</v>
      </c>
      <c r="H254" s="213">
        <v>5071.6099999999997</v>
      </c>
      <c r="I254" s="213">
        <v>4130.9500000000007</v>
      </c>
      <c r="J254" s="213">
        <v>21798.41</v>
      </c>
      <c r="K254" s="213">
        <v>12522.050000000001</v>
      </c>
      <c r="L254" s="213">
        <v>9630.34</v>
      </c>
      <c r="M254" s="213">
        <v>12078.25</v>
      </c>
      <c r="N254" s="213">
        <v>23860.160000000003</v>
      </c>
      <c r="O254" s="213">
        <v>16195.900000000001</v>
      </c>
      <c r="P254" s="213">
        <v>24580.11</v>
      </c>
      <c r="Q254" s="213">
        <v>23619.26</v>
      </c>
      <c r="R254" s="213">
        <v>15053.99</v>
      </c>
      <c r="S254" s="213">
        <v>24509.65</v>
      </c>
      <c r="T254" s="213">
        <v>-926.30999999999949</v>
      </c>
      <c r="U254" s="213">
        <v>15086.42</v>
      </c>
      <c r="V254" s="213">
        <v>27157.549999999996</v>
      </c>
      <c r="W254" s="213">
        <v>39426.480000000003</v>
      </c>
      <c r="X254" s="213">
        <v>67259.760000000009</v>
      </c>
      <c r="Y254" s="213">
        <v>39395.01</v>
      </c>
      <c r="Z254" s="213">
        <v>45527.58</v>
      </c>
      <c r="AA254" s="213">
        <v>48246.18</v>
      </c>
      <c r="AB254" s="213">
        <v>38255.25</v>
      </c>
      <c r="AC254" s="213">
        <v>12684.11</v>
      </c>
      <c r="AD254" s="213">
        <v>12008.84</v>
      </c>
      <c r="AE254" s="213">
        <v>36717.85</v>
      </c>
      <c r="AF254" s="213">
        <v>22633.379999999997</v>
      </c>
      <c r="AG254" s="213">
        <v>9765.6500000000015</v>
      </c>
      <c r="AH254" s="213">
        <v>-544.21</v>
      </c>
      <c r="AI254" s="213">
        <v>461.65999999999997</v>
      </c>
      <c r="AJ254" s="213">
        <v>2101.1099999999997</v>
      </c>
      <c r="AK254" s="213">
        <v>-4436.24</v>
      </c>
      <c r="AL254" s="213">
        <v>233.55</v>
      </c>
      <c r="AM254" s="213">
        <v>1610.15</v>
      </c>
      <c r="AN254" s="213">
        <v>2479.9</v>
      </c>
      <c r="AO254" s="213">
        <v>1485.67</v>
      </c>
      <c r="AP254" s="213">
        <v>-842.50999999999988</v>
      </c>
      <c r="AQ254" s="213">
        <v>676.81</v>
      </c>
      <c r="AR254" s="213">
        <v>1272.48</v>
      </c>
      <c r="AS254" s="213">
        <v>1498.43</v>
      </c>
      <c r="AT254" s="213">
        <v>3759.7499999999995</v>
      </c>
      <c r="AU254" s="213">
        <v>10530.64</v>
      </c>
      <c r="AV254" s="213">
        <v>15000</v>
      </c>
      <c r="AW254" s="213">
        <v>20000</v>
      </c>
      <c r="AX254" s="213">
        <v>10000</v>
      </c>
      <c r="AY254" s="213">
        <v>10833.333333333334</v>
      </c>
      <c r="AZ254" s="213">
        <v>11500</v>
      </c>
      <c r="BA254" s="213">
        <v>12333.333333333334</v>
      </c>
      <c r="BB254" s="213">
        <v>13055.555555555557</v>
      </c>
      <c r="BC254" s="213">
        <v>13777.777777777779</v>
      </c>
    </row>
    <row r="255" spans="1:55" x14ac:dyDescent="0.25">
      <c r="A255" s="209" t="s">
        <v>379</v>
      </c>
      <c r="B255" s="210" t="s">
        <v>473</v>
      </c>
      <c r="C255" t="s">
        <v>13</v>
      </c>
      <c r="D255" t="s">
        <v>372</v>
      </c>
      <c r="E255" t="s">
        <v>511</v>
      </c>
      <c r="F255" s="211">
        <v>6250</v>
      </c>
      <c r="G255" t="s">
        <v>392</v>
      </c>
      <c r="H255" s="213">
        <v>28343.94</v>
      </c>
      <c r="I255" s="213">
        <v>15579.910000000002</v>
      </c>
      <c r="J255" s="213">
        <v>28820.03</v>
      </c>
      <c r="K255" s="213">
        <v>31267.86</v>
      </c>
      <c r="L255" s="213">
        <v>26091.74</v>
      </c>
      <c r="M255" s="213">
        <v>18913.12</v>
      </c>
      <c r="N255" s="213">
        <v>22150.07</v>
      </c>
      <c r="O255" s="213">
        <v>14760.86</v>
      </c>
      <c r="P255" s="213">
        <v>6285.72</v>
      </c>
      <c r="Q255" s="213">
        <v>14934.07</v>
      </c>
      <c r="R255" s="213">
        <v>0</v>
      </c>
      <c r="S255" s="213">
        <v>10323.86</v>
      </c>
      <c r="T255" s="213">
        <v>23400</v>
      </c>
      <c r="U255" s="213">
        <v>13200</v>
      </c>
      <c r="V255" s="213">
        <v>28999.89</v>
      </c>
      <c r="W255" s="213">
        <v>20130.79</v>
      </c>
      <c r="X255" s="213">
        <v>19305.400000000001</v>
      </c>
      <c r="Y255" s="213">
        <v>30361.77</v>
      </c>
      <c r="Z255" s="213">
        <v>51764.07</v>
      </c>
      <c r="AA255" s="213">
        <v>40784.1</v>
      </c>
      <c r="AB255" s="213">
        <v>58372.85</v>
      </c>
      <c r="AC255" s="213">
        <v>14961.89</v>
      </c>
      <c r="AD255" s="213">
        <v>43327.92</v>
      </c>
      <c r="AE255" s="213">
        <v>45493.33</v>
      </c>
      <c r="AF255" s="213">
        <v>32593.84</v>
      </c>
      <c r="AG255" s="213">
        <v>45485.440000000002</v>
      </c>
      <c r="AH255" s="213">
        <v>74317.77</v>
      </c>
      <c r="AI255" s="213">
        <v>63149.33</v>
      </c>
      <c r="AJ255" s="213">
        <v>-13803.73</v>
      </c>
      <c r="AK255" s="213">
        <v>186223.24</v>
      </c>
      <c r="AL255" s="213">
        <v>82896.010000000009</v>
      </c>
      <c r="AM255" s="213">
        <v>93114.62999999999</v>
      </c>
      <c r="AN255" s="213">
        <v>88153.790000000008</v>
      </c>
      <c r="AO255" s="213">
        <v>41472.71</v>
      </c>
      <c r="AP255" s="213">
        <v>68859.23</v>
      </c>
      <c r="AQ255" s="213">
        <v>78324.569999999992</v>
      </c>
      <c r="AR255" s="213">
        <v>6850.57</v>
      </c>
      <c r="AS255" s="213">
        <v>27955.86</v>
      </c>
      <c r="AT255" s="213">
        <v>36573.910000000003</v>
      </c>
      <c r="AU255" s="213">
        <v>35666.04</v>
      </c>
      <c r="AV255" s="213">
        <v>31000</v>
      </c>
      <c r="AW255" s="213">
        <v>31000</v>
      </c>
      <c r="AX255" s="213">
        <v>57620.000000000007</v>
      </c>
      <c r="AY255" s="213">
        <v>70930</v>
      </c>
      <c r="AZ255" s="213">
        <v>31000</v>
      </c>
      <c r="BA255" s="213">
        <v>31000</v>
      </c>
      <c r="BB255" s="213">
        <v>31000</v>
      </c>
      <c r="BC255" s="213">
        <v>64000</v>
      </c>
    </row>
    <row r="256" spans="1:55" x14ac:dyDescent="0.25">
      <c r="A256" s="209" t="s">
        <v>379</v>
      </c>
      <c r="B256" s="210" t="s">
        <v>473</v>
      </c>
      <c r="C256" t="s">
        <v>13</v>
      </c>
      <c r="D256" t="s">
        <v>372</v>
      </c>
      <c r="E256" t="s">
        <v>511</v>
      </c>
      <c r="F256" s="211">
        <v>7050</v>
      </c>
      <c r="G256" t="s">
        <v>394</v>
      </c>
      <c r="H256" s="213">
        <v>10802.59</v>
      </c>
      <c r="I256" s="213">
        <v>6512.88</v>
      </c>
      <c r="J256" s="213">
        <v>15000.8</v>
      </c>
      <c r="K256" s="213">
        <v>14744.29</v>
      </c>
      <c r="L256" s="213">
        <v>5153.97</v>
      </c>
      <c r="M256" s="213">
        <v>6735.43</v>
      </c>
      <c r="N256" s="213">
        <v>6580.31</v>
      </c>
      <c r="O256" s="213">
        <v>6944.33</v>
      </c>
      <c r="P256" s="213">
        <v>5644.85</v>
      </c>
      <c r="Q256" s="213">
        <v>9666.7199999999993</v>
      </c>
      <c r="R256" s="213">
        <v>11594.25</v>
      </c>
      <c r="S256" s="213">
        <v>7289.91</v>
      </c>
      <c r="T256" s="213">
        <v>7187.55</v>
      </c>
      <c r="U256" s="213">
        <v>7161.33</v>
      </c>
      <c r="V256" s="213">
        <v>6726.88</v>
      </c>
      <c r="W256" s="213">
        <v>10998.95</v>
      </c>
      <c r="X256" s="213">
        <v>16216.78</v>
      </c>
      <c r="Y256" s="213">
        <v>16391.77</v>
      </c>
      <c r="Z256" s="213">
        <v>13268.77</v>
      </c>
      <c r="AA256" s="213">
        <v>14954.8</v>
      </c>
      <c r="AB256" s="213">
        <v>20335.82</v>
      </c>
      <c r="AC256" s="213">
        <v>15898.95</v>
      </c>
      <c r="AD256" s="213">
        <v>23355.59</v>
      </c>
      <c r="AE256" s="213">
        <v>21562.39</v>
      </c>
      <c r="AF256" s="213">
        <v>18488.3</v>
      </c>
      <c r="AG256" s="213">
        <v>18855.25</v>
      </c>
      <c r="AH256" s="213">
        <v>26047.340000000004</v>
      </c>
      <c r="AI256" s="213">
        <v>31840.12</v>
      </c>
      <c r="AJ256" s="213">
        <v>32410.589999999997</v>
      </c>
      <c r="AK256" s="213">
        <v>31677.73</v>
      </c>
      <c r="AL256" s="213">
        <v>37823.869999999995</v>
      </c>
      <c r="AM256" s="213">
        <v>43655.39</v>
      </c>
      <c r="AN256" s="213">
        <v>31808.9</v>
      </c>
      <c r="AO256" s="213">
        <v>30126.75</v>
      </c>
      <c r="AP256" s="213">
        <v>29627.300000000003</v>
      </c>
      <c r="AQ256" s="213">
        <v>31465.869999999995</v>
      </c>
      <c r="AR256" s="213">
        <v>29050.83</v>
      </c>
      <c r="AS256" s="213">
        <v>37310.370000000003</v>
      </c>
      <c r="AT256" s="213">
        <v>59781.69</v>
      </c>
      <c r="AU256" s="213">
        <v>52121.240000000005</v>
      </c>
      <c r="AV256" s="213">
        <v>56182.635324675335</v>
      </c>
      <c r="AW256" s="213">
        <v>57536.433766233778</v>
      </c>
      <c r="AX256" s="213">
        <v>60920.929870129883</v>
      </c>
      <c r="AY256" s="213">
        <v>65997.674025974033</v>
      </c>
      <c r="AZ256" s="213">
        <v>70059.069350649355</v>
      </c>
      <c r="BA256" s="213">
        <v>75135.81350649352</v>
      </c>
      <c r="BB256" s="213">
        <v>79535.658441558466</v>
      </c>
      <c r="BC256" s="213">
        <v>83935.503376623397</v>
      </c>
    </row>
    <row r="257" spans="1:55" x14ac:dyDescent="0.25">
      <c r="A257" s="209" t="s">
        <v>379</v>
      </c>
      <c r="B257" s="210" t="s">
        <v>473</v>
      </c>
      <c r="C257" t="s">
        <v>13</v>
      </c>
      <c r="D257" t="s">
        <v>372</v>
      </c>
      <c r="E257" t="s">
        <v>511</v>
      </c>
      <c r="H257" s="213">
        <v>0</v>
      </c>
      <c r="I257" s="213">
        <v>0</v>
      </c>
      <c r="J257" s="213">
        <v>0</v>
      </c>
      <c r="K257" s="213">
        <v>0</v>
      </c>
      <c r="L257" s="213">
        <v>0</v>
      </c>
      <c r="M257" s="213">
        <v>0</v>
      </c>
      <c r="N257" s="213">
        <v>0</v>
      </c>
      <c r="O257" s="213">
        <v>0</v>
      </c>
      <c r="P257" s="213">
        <v>0</v>
      </c>
      <c r="Q257" s="213">
        <v>0</v>
      </c>
      <c r="R257" s="213">
        <v>0</v>
      </c>
      <c r="S257" s="213">
        <v>0</v>
      </c>
      <c r="T257" s="213">
        <v>0</v>
      </c>
      <c r="U257" s="213">
        <v>0</v>
      </c>
      <c r="V257" s="213">
        <v>0</v>
      </c>
      <c r="W257" s="213">
        <v>0</v>
      </c>
      <c r="X257" s="213">
        <v>0</v>
      </c>
      <c r="Y257" s="213">
        <v>0</v>
      </c>
      <c r="Z257" s="213">
        <v>0</v>
      </c>
      <c r="AA257" s="213">
        <v>0</v>
      </c>
      <c r="AB257" s="213">
        <v>0</v>
      </c>
      <c r="AC257" s="213">
        <v>0</v>
      </c>
      <c r="AD257" s="213">
        <v>0</v>
      </c>
      <c r="AE257" s="213">
        <v>0</v>
      </c>
      <c r="AF257" s="213">
        <v>0</v>
      </c>
      <c r="AG257" s="213">
        <v>0</v>
      </c>
      <c r="AH257" s="213">
        <v>0</v>
      </c>
      <c r="AI257" s="213">
        <v>0</v>
      </c>
      <c r="AJ257" s="213">
        <v>0</v>
      </c>
      <c r="AK257" s="213">
        <v>0</v>
      </c>
      <c r="AL257" s="213">
        <v>0</v>
      </c>
      <c r="AM257" s="213">
        <v>0</v>
      </c>
      <c r="AN257" s="213">
        <v>0</v>
      </c>
      <c r="AO257" s="213">
        <v>0</v>
      </c>
      <c r="AP257" s="213">
        <v>0</v>
      </c>
      <c r="AQ257" s="213">
        <v>0</v>
      </c>
      <c r="AR257" s="213">
        <v>0</v>
      </c>
      <c r="AS257" s="213">
        <v>0</v>
      </c>
      <c r="AT257" s="213">
        <v>0</v>
      </c>
      <c r="AU257" s="213">
        <v>0</v>
      </c>
      <c r="AV257" s="213">
        <v>0</v>
      </c>
      <c r="AW257" s="213">
        <v>0</v>
      </c>
      <c r="AX257" s="213">
        <v>0</v>
      </c>
      <c r="AY257" s="213">
        <v>0</v>
      </c>
      <c r="AZ257" s="213">
        <v>0</v>
      </c>
      <c r="BA257" s="213">
        <v>0</v>
      </c>
      <c r="BB257" s="213">
        <v>0</v>
      </c>
      <c r="BC257" s="213">
        <v>0</v>
      </c>
    </row>
    <row r="258" spans="1:55" x14ac:dyDescent="0.25">
      <c r="A258" s="209" t="s">
        <v>379</v>
      </c>
      <c r="B258" s="210" t="s">
        <v>473</v>
      </c>
      <c r="C258" t="s">
        <v>13</v>
      </c>
      <c r="D258" t="s">
        <v>372</v>
      </c>
      <c r="E258" t="s">
        <v>511</v>
      </c>
      <c r="F258" s="211">
        <v>6550</v>
      </c>
      <c r="G258" t="s">
        <v>378</v>
      </c>
      <c r="H258" s="213">
        <v>0</v>
      </c>
      <c r="I258" s="213">
        <v>0</v>
      </c>
      <c r="J258" s="213">
        <v>0</v>
      </c>
      <c r="K258" s="213">
        <v>0</v>
      </c>
      <c r="L258" s="213">
        <v>0</v>
      </c>
      <c r="M258" s="213">
        <v>0</v>
      </c>
      <c r="N258" s="213">
        <v>0</v>
      </c>
      <c r="O258" s="213">
        <v>0</v>
      </c>
      <c r="P258" s="213">
        <v>0</v>
      </c>
      <c r="Q258" s="213">
        <v>0</v>
      </c>
      <c r="R258" s="213">
        <v>0</v>
      </c>
      <c r="S258" s="213">
        <v>0</v>
      </c>
      <c r="T258" s="213">
        <v>0</v>
      </c>
      <c r="U258" s="213">
        <v>0</v>
      </c>
      <c r="V258" s="213">
        <v>0</v>
      </c>
      <c r="W258" s="213">
        <v>0</v>
      </c>
      <c r="X258" s="213">
        <v>0</v>
      </c>
      <c r="Y258" s="213">
        <v>0</v>
      </c>
      <c r="Z258" s="213">
        <v>0</v>
      </c>
      <c r="AA258" s="213">
        <v>0</v>
      </c>
      <c r="AB258" s="213">
        <v>0</v>
      </c>
      <c r="AC258" s="213">
        <v>0</v>
      </c>
      <c r="AD258" s="213">
        <v>0</v>
      </c>
      <c r="AE258" s="213">
        <v>0</v>
      </c>
      <c r="AF258" s="213">
        <v>0</v>
      </c>
      <c r="AG258" s="213">
        <v>0</v>
      </c>
      <c r="AH258" s="213">
        <v>0</v>
      </c>
      <c r="AI258" s="213">
        <v>0</v>
      </c>
      <c r="AJ258" s="213">
        <v>0</v>
      </c>
      <c r="AK258" s="213">
        <v>0</v>
      </c>
      <c r="AL258" s="213">
        <v>0</v>
      </c>
      <c r="AM258" s="213">
        <v>0</v>
      </c>
      <c r="AN258" s="213">
        <v>0</v>
      </c>
      <c r="AO258" s="213">
        <v>0</v>
      </c>
      <c r="AP258" s="213">
        <v>0</v>
      </c>
      <c r="AQ258" s="213">
        <v>0</v>
      </c>
      <c r="AR258" s="213">
        <v>0</v>
      </c>
      <c r="AS258" s="213">
        <v>0</v>
      </c>
      <c r="AT258" s="213">
        <v>0</v>
      </c>
      <c r="AU258" s="213">
        <v>0</v>
      </c>
      <c r="AV258" s="213">
        <v>0</v>
      </c>
      <c r="AW258" s="213">
        <v>0</v>
      </c>
      <c r="AX258" s="213">
        <v>0</v>
      </c>
      <c r="AY258" s="213">
        <v>0</v>
      </c>
      <c r="AZ258" s="213">
        <v>0</v>
      </c>
      <c r="BA258" s="213">
        <v>0</v>
      </c>
      <c r="BB258" s="213">
        <v>0</v>
      </c>
      <c r="BC258" s="213">
        <v>0</v>
      </c>
    </row>
    <row r="259" spans="1:55" x14ac:dyDescent="0.25">
      <c r="A259" s="209" t="s">
        <v>379</v>
      </c>
      <c r="B259" s="210" t="s">
        <v>428</v>
      </c>
      <c r="C259" t="s">
        <v>13</v>
      </c>
      <c r="D259" t="s">
        <v>372</v>
      </c>
      <c r="E259" t="s">
        <v>511</v>
      </c>
      <c r="F259" s="211">
        <v>1510</v>
      </c>
      <c r="G259" t="s">
        <v>429</v>
      </c>
      <c r="H259" s="213">
        <v>0</v>
      </c>
      <c r="I259" s="213">
        <v>0</v>
      </c>
      <c r="J259" s="213">
        <v>0</v>
      </c>
      <c r="K259" s="213">
        <v>0</v>
      </c>
      <c r="L259" s="213">
        <v>0</v>
      </c>
      <c r="M259" s="213">
        <v>0</v>
      </c>
      <c r="N259" s="213">
        <v>0</v>
      </c>
      <c r="O259" s="213">
        <v>0</v>
      </c>
      <c r="P259" s="213">
        <v>0</v>
      </c>
      <c r="Q259" s="213">
        <v>0</v>
      </c>
      <c r="R259" s="213">
        <v>0</v>
      </c>
      <c r="S259" s="213">
        <v>0</v>
      </c>
      <c r="T259" s="213">
        <v>0</v>
      </c>
      <c r="U259" s="213">
        <v>0</v>
      </c>
      <c r="V259" s="213">
        <v>0</v>
      </c>
      <c r="W259" s="213">
        <v>0</v>
      </c>
      <c r="X259" s="213">
        <v>0</v>
      </c>
      <c r="Y259" s="213">
        <v>0</v>
      </c>
      <c r="Z259" s="213">
        <v>0</v>
      </c>
      <c r="AA259" s="213">
        <v>0</v>
      </c>
      <c r="AB259" s="213">
        <v>0</v>
      </c>
      <c r="AC259" s="213">
        <v>0</v>
      </c>
      <c r="AD259" s="213">
        <v>0</v>
      </c>
      <c r="AE259" s="213">
        <v>0</v>
      </c>
      <c r="AF259" s="213">
        <v>0</v>
      </c>
      <c r="AG259" s="213">
        <v>0</v>
      </c>
      <c r="AH259" s="213">
        <v>0</v>
      </c>
      <c r="AI259" s="213">
        <v>0</v>
      </c>
      <c r="AJ259" s="213">
        <v>0</v>
      </c>
      <c r="AK259" s="213">
        <v>0</v>
      </c>
      <c r="AL259" s="213">
        <v>0</v>
      </c>
      <c r="AM259" s="213">
        <v>0</v>
      </c>
      <c r="AN259" s="213">
        <v>0</v>
      </c>
      <c r="AO259" s="213">
        <v>0</v>
      </c>
      <c r="AP259" s="213">
        <v>0</v>
      </c>
      <c r="AQ259" s="213">
        <v>0</v>
      </c>
      <c r="AR259" s="213">
        <v>0</v>
      </c>
      <c r="AS259" s="213">
        <v>0</v>
      </c>
      <c r="AT259" s="213">
        <v>0</v>
      </c>
      <c r="AU259" s="213">
        <v>0</v>
      </c>
      <c r="AV259" s="213">
        <v>0</v>
      </c>
      <c r="AW259" s="213">
        <v>0</v>
      </c>
      <c r="AX259" s="213">
        <v>0</v>
      </c>
      <c r="AY259" s="213">
        <v>0</v>
      </c>
      <c r="AZ259" s="213">
        <v>0</v>
      </c>
      <c r="BA259" s="213">
        <v>0</v>
      </c>
      <c r="BB259" s="213">
        <v>0</v>
      </c>
      <c r="BC259" s="213">
        <v>0</v>
      </c>
    </row>
    <row r="260" spans="1:55" x14ac:dyDescent="0.25">
      <c r="B260" s="210"/>
      <c r="H260" s="214">
        <v>0</v>
      </c>
      <c r="I260" s="214">
        <v>0</v>
      </c>
      <c r="J260" s="214">
        <v>0</v>
      </c>
      <c r="K260" s="214">
        <v>0</v>
      </c>
      <c r="L260" s="214">
        <v>0</v>
      </c>
      <c r="M260" s="214">
        <v>0</v>
      </c>
      <c r="N260" s="214">
        <v>0</v>
      </c>
      <c r="O260" s="214">
        <v>0</v>
      </c>
      <c r="P260" s="214">
        <v>0</v>
      </c>
      <c r="Q260" s="214">
        <v>0</v>
      </c>
      <c r="R260" s="214">
        <v>0</v>
      </c>
      <c r="S260" s="214">
        <v>0</v>
      </c>
      <c r="T260" s="214">
        <v>0</v>
      </c>
      <c r="U260" s="214">
        <v>0</v>
      </c>
      <c r="V260" s="214">
        <v>0</v>
      </c>
      <c r="W260" s="214">
        <v>0</v>
      </c>
      <c r="X260" s="214">
        <v>0</v>
      </c>
      <c r="Y260" s="214">
        <v>0</v>
      </c>
      <c r="Z260" s="214">
        <v>0</v>
      </c>
      <c r="AA260" s="214">
        <v>0</v>
      </c>
      <c r="AB260" s="214">
        <v>0</v>
      </c>
      <c r="AC260" s="214">
        <v>0</v>
      </c>
      <c r="AD260" s="214">
        <v>0</v>
      </c>
      <c r="AE260" s="214">
        <v>0</v>
      </c>
      <c r="AF260" s="214">
        <v>0</v>
      </c>
      <c r="AG260" s="214">
        <v>0</v>
      </c>
      <c r="AH260" s="214">
        <v>0</v>
      </c>
      <c r="AI260" s="214">
        <v>0</v>
      </c>
      <c r="AJ260" s="214">
        <v>0</v>
      </c>
      <c r="AK260" s="214">
        <v>0</v>
      </c>
      <c r="AL260" s="214">
        <v>0</v>
      </c>
      <c r="AM260" s="214">
        <v>0</v>
      </c>
      <c r="AN260" s="214">
        <v>0</v>
      </c>
      <c r="AO260" s="214">
        <v>0</v>
      </c>
      <c r="AP260" s="214">
        <v>0</v>
      </c>
      <c r="AQ260" s="214">
        <v>0</v>
      </c>
      <c r="AR260" s="214">
        <v>0</v>
      </c>
      <c r="AS260" s="214">
        <v>0</v>
      </c>
      <c r="AT260" s="214">
        <v>0</v>
      </c>
      <c r="AU260" s="214">
        <v>0</v>
      </c>
      <c r="AV260" s="214">
        <v>0</v>
      </c>
      <c r="AW260" s="214">
        <v>0</v>
      </c>
      <c r="AX260" s="214">
        <v>0</v>
      </c>
      <c r="AY260" s="214">
        <v>0</v>
      </c>
      <c r="AZ260" s="214">
        <v>0</v>
      </c>
      <c r="BA260" s="214">
        <v>0</v>
      </c>
      <c r="BB260" s="214">
        <v>0</v>
      </c>
      <c r="BC260" s="214">
        <v>0</v>
      </c>
    </row>
    <row r="261" spans="1:55" x14ac:dyDescent="0.25">
      <c r="B261" s="210"/>
      <c r="H261" s="216">
        <v>658604.47999999986</v>
      </c>
      <c r="I261" s="216">
        <v>588004.13</v>
      </c>
      <c r="J261" s="216">
        <v>696716.79</v>
      </c>
      <c r="K261" s="216">
        <v>664789.37</v>
      </c>
      <c r="L261" s="216">
        <v>691886.16</v>
      </c>
      <c r="M261" s="216">
        <v>765131.45</v>
      </c>
      <c r="N261" s="216">
        <v>785622.04</v>
      </c>
      <c r="O261" s="216">
        <v>761451.1100000001</v>
      </c>
      <c r="P261" s="216">
        <v>971982.34</v>
      </c>
      <c r="Q261" s="216">
        <v>896041.57999999984</v>
      </c>
      <c r="R261" s="216">
        <v>882054.96</v>
      </c>
      <c r="S261" s="216">
        <v>1046399.99</v>
      </c>
      <c r="T261" s="216">
        <v>1067792.0799999998</v>
      </c>
      <c r="U261" s="216">
        <v>1061740.3200000003</v>
      </c>
      <c r="V261" s="216">
        <v>1094071.8899999999</v>
      </c>
      <c r="W261" s="216">
        <v>1121813.3099999998</v>
      </c>
      <c r="X261" s="216">
        <v>1252422.28</v>
      </c>
      <c r="Y261" s="216">
        <v>1310898.6100000001</v>
      </c>
      <c r="Z261" s="216">
        <v>1294810.8399999999</v>
      </c>
      <c r="AA261" s="216">
        <v>1315231.1300000001</v>
      </c>
      <c r="AB261" s="216">
        <v>1368372.18</v>
      </c>
      <c r="AC261" s="216">
        <v>1319384.67</v>
      </c>
      <c r="AD261" s="216">
        <v>1336275.32</v>
      </c>
      <c r="AE261" s="216">
        <v>1309012.51</v>
      </c>
      <c r="AF261" s="216">
        <v>1381285.0899999999</v>
      </c>
      <c r="AG261" s="216">
        <v>1290416.6099999999</v>
      </c>
      <c r="AH261" s="216">
        <v>1485102.0799999998</v>
      </c>
      <c r="AI261" s="216">
        <v>1484206.2400000002</v>
      </c>
      <c r="AJ261" s="216">
        <v>1512597.3200000005</v>
      </c>
      <c r="AK261" s="216">
        <v>1779573.0699999998</v>
      </c>
      <c r="AL261" s="216">
        <v>1679535.1600000001</v>
      </c>
      <c r="AM261" s="216">
        <v>1669676.16</v>
      </c>
      <c r="AN261" s="216">
        <v>1621995.42</v>
      </c>
      <c r="AO261" s="216">
        <v>1653738.9899999998</v>
      </c>
      <c r="AP261" s="216">
        <v>1670493.5599999996</v>
      </c>
      <c r="AQ261" s="216">
        <v>1872910.9699999997</v>
      </c>
      <c r="AR261" s="216">
        <v>1984497.25</v>
      </c>
      <c r="AS261" s="216">
        <v>2054486.25</v>
      </c>
      <c r="AT261" s="216">
        <v>2373959.09</v>
      </c>
      <c r="AU261" s="216">
        <v>2317186.39</v>
      </c>
      <c r="AV261" s="216">
        <v>2420985.1262135762</v>
      </c>
      <c r="AW261" s="216">
        <v>2454762.6427674475</v>
      </c>
      <c r="AX261" s="216">
        <v>2636282.9380459492</v>
      </c>
      <c r="AY261" s="216">
        <v>2839024.8598293527</v>
      </c>
      <c r="AZ261" s="216">
        <v>2979776.8417663262</v>
      </c>
      <c r="BA261" s="216">
        <v>3136493.5098479246</v>
      </c>
      <c r="BB261" s="216">
        <v>3291917.0195895717</v>
      </c>
      <c r="BC261" s="216">
        <v>3555911.0130848493</v>
      </c>
    </row>
    <row r="262" spans="1:55" ht="15.75" x14ac:dyDescent="0.25">
      <c r="A262" s="206" t="s">
        <v>42</v>
      </c>
      <c r="B262" s="207"/>
      <c r="C262" s="206"/>
      <c r="D262" s="206"/>
      <c r="E262" s="206"/>
      <c r="F262" s="206"/>
      <c r="G262" s="206"/>
      <c r="H262" s="213">
        <v>0</v>
      </c>
      <c r="I262" s="213">
        <v>0</v>
      </c>
      <c r="J262" s="213">
        <v>0</v>
      </c>
      <c r="K262" s="213">
        <v>0</v>
      </c>
      <c r="L262" s="213">
        <v>0</v>
      </c>
      <c r="M262" s="213">
        <v>0</v>
      </c>
      <c r="N262" s="213">
        <v>0</v>
      </c>
      <c r="O262" s="213">
        <v>0</v>
      </c>
      <c r="P262" s="213">
        <v>0</v>
      </c>
      <c r="Q262" s="213">
        <v>0</v>
      </c>
      <c r="R262" s="213">
        <v>0</v>
      </c>
      <c r="S262" s="213">
        <v>0</v>
      </c>
      <c r="T262" s="213">
        <v>0</v>
      </c>
      <c r="U262" s="213">
        <v>0</v>
      </c>
      <c r="V262" s="213">
        <v>0</v>
      </c>
      <c r="W262" s="213">
        <v>0</v>
      </c>
      <c r="X262" s="213">
        <v>0</v>
      </c>
      <c r="Y262" s="213">
        <v>0</v>
      </c>
      <c r="Z262" s="213">
        <v>0</v>
      </c>
      <c r="AA262" s="213">
        <v>0</v>
      </c>
      <c r="AB262" s="213">
        <v>0</v>
      </c>
      <c r="AC262" s="213">
        <v>0</v>
      </c>
      <c r="AD262" s="213">
        <v>0</v>
      </c>
      <c r="AE262" s="213">
        <v>0</v>
      </c>
      <c r="AF262" s="213">
        <v>0</v>
      </c>
      <c r="AG262" s="213">
        <v>0</v>
      </c>
      <c r="AH262" s="213">
        <v>0</v>
      </c>
      <c r="AI262" s="213">
        <v>0</v>
      </c>
      <c r="AJ262" s="213">
        <v>0</v>
      </c>
      <c r="AK262" s="213">
        <v>0</v>
      </c>
      <c r="AL262" s="213">
        <v>0</v>
      </c>
      <c r="AM262" s="213">
        <v>0</v>
      </c>
      <c r="AN262" s="213">
        <v>0</v>
      </c>
      <c r="AO262" s="213">
        <v>0</v>
      </c>
      <c r="AP262" s="213">
        <v>0</v>
      </c>
      <c r="AQ262" s="213">
        <v>0</v>
      </c>
      <c r="AR262" s="213">
        <v>0</v>
      </c>
      <c r="AS262" s="213">
        <v>0</v>
      </c>
      <c r="AT262" s="213">
        <v>0</v>
      </c>
      <c r="AU262" s="213">
        <v>0</v>
      </c>
      <c r="AV262" s="213">
        <v>0</v>
      </c>
      <c r="AW262" s="213">
        <v>0</v>
      </c>
      <c r="AX262" s="213">
        <v>0</v>
      </c>
      <c r="AY262" s="213">
        <v>0</v>
      </c>
      <c r="AZ262" s="213">
        <v>0</v>
      </c>
      <c r="BA262" s="213">
        <v>0</v>
      </c>
      <c r="BB262" s="213">
        <v>0</v>
      </c>
      <c r="BC262" s="213">
        <v>0</v>
      </c>
    </row>
    <row r="263" spans="1:55" x14ac:dyDescent="0.25">
      <c r="A263" s="209" t="s">
        <v>379</v>
      </c>
      <c r="B263" s="210" t="s">
        <v>403</v>
      </c>
      <c r="C263" t="s">
        <v>13</v>
      </c>
      <c r="D263" t="s">
        <v>474</v>
      </c>
      <c r="E263" t="s">
        <v>497</v>
      </c>
      <c r="F263" s="211">
        <v>7000</v>
      </c>
      <c r="G263" t="s">
        <v>388</v>
      </c>
      <c r="H263" s="213">
        <v>73525</v>
      </c>
      <c r="I263" s="213">
        <v>114488.32000000001</v>
      </c>
      <c r="J263" s="213">
        <v>97066.66</v>
      </c>
      <c r="K263" s="213">
        <v>98266.66</v>
      </c>
      <c r="L263" s="213">
        <v>93585</v>
      </c>
      <c r="M263" s="213">
        <v>99285</v>
      </c>
      <c r="N263" s="213">
        <v>105675.13</v>
      </c>
      <c r="O263" s="213">
        <v>115454.18</v>
      </c>
      <c r="P263" s="213">
        <v>123524.22</v>
      </c>
      <c r="Q263" s="213">
        <v>111675.36</v>
      </c>
      <c r="R263" s="213">
        <v>111675.32</v>
      </c>
      <c r="S263" s="213">
        <v>127580.66</v>
      </c>
      <c r="T263" s="213">
        <v>151764.88</v>
      </c>
      <c r="U263" s="213">
        <v>167236.51999999999</v>
      </c>
      <c r="V263" s="213">
        <v>179371.93</v>
      </c>
      <c r="W263" s="213">
        <v>212463.79</v>
      </c>
      <c r="X263" s="213">
        <v>223181.29</v>
      </c>
      <c r="Y263" s="213">
        <v>226937.74</v>
      </c>
      <c r="Z263" s="213">
        <v>225413.6</v>
      </c>
      <c r="AA263" s="213">
        <v>239628.53</v>
      </c>
      <c r="AB263" s="213">
        <v>251857.86</v>
      </c>
      <c r="AC263" s="213">
        <v>253745.02</v>
      </c>
      <c r="AD263" s="213">
        <v>249319.56</v>
      </c>
      <c r="AE263" s="213">
        <v>244455.45</v>
      </c>
      <c r="AF263" s="213">
        <v>227551.47</v>
      </c>
      <c r="AG263" s="213">
        <v>243252.08</v>
      </c>
      <c r="AH263" s="213">
        <v>229961.78</v>
      </c>
      <c r="AI263" s="213">
        <v>258060.7</v>
      </c>
      <c r="AJ263" s="213">
        <v>289964.40000000002</v>
      </c>
      <c r="AK263" s="213">
        <v>300111.83</v>
      </c>
      <c r="AL263" s="213">
        <v>293164.21000000002</v>
      </c>
      <c r="AM263" s="213">
        <v>302176.06</v>
      </c>
      <c r="AN263" s="213">
        <v>310492.55</v>
      </c>
      <c r="AO263" s="213">
        <v>305640.84999999998</v>
      </c>
      <c r="AP263" s="213">
        <v>313263.8</v>
      </c>
      <c r="AQ263" s="213">
        <v>323411.56</v>
      </c>
      <c r="AR263" s="213">
        <v>365793.76999999996</v>
      </c>
      <c r="AS263" s="213">
        <v>398700.51</v>
      </c>
      <c r="AT263" s="213">
        <v>419478.72000000003</v>
      </c>
      <c r="AU263" s="213">
        <v>435258.17000000004</v>
      </c>
      <c r="AV263" s="213">
        <v>457548.56440000003</v>
      </c>
      <c r="AW263" s="213">
        <v>510416.94320000004</v>
      </c>
      <c r="AX263" s="213">
        <v>538380.3420888891</v>
      </c>
      <c r="AY263" s="213">
        <v>563847.03208888893</v>
      </c>
      <c r="AZ263" s="213">
        <v>596638.73208888876</v>
      </c>
      <c r="BA263" s="213">
        <v>596638.73208888876</v>
      </c>
      <c r="BB263" s="213">
        <v>650878.72735650395</v>
      </c>
      <c r="BC263" s="213">
        <v>700428.76735650399</v>
      </c>
    </row>
    <row r="264" spans="1:55" x14ac:dyDescent="0.25">
      <c r="A264" s="209" t="s">
        <v>379</v>
      </c>
      <c r="B264" s="210" t="s">
        <v>403</v>
      </c>
      <c r="C264" t="s">
        <v>13</v>
      </c>
      <c r="D264" t="s">
        <v>474</v>
      </c>
      <c r="E264" t="s">
        <v>497</v>
      </c>
      <c r="F264" s="211">
        <v>6100</v>
      </c>
      <c r="G264" t="s">
        <v>389</v>
      </c>
      <c r="H264" s="213">
        <v>16340.98</v>
      </c>
      <c r="I264" s="213">
        <v>21823.4</v>
      </c>
      <c r="J264" s="213">
        <v>14754.32</v>
      </c>
      <c r="K264" s="213">
        <v>15123.11</v>
      </c>
      <c r="L264" s="213">
        <v>14160.86</v>
      </c>
      <c r="M264" s="213">
        <v>15823.9</v>
      </c>
      <c r="N264" s="213">
        <v>16274.6</v>
      </c>
      <c r="O264" s="213">
        <v>17597.48</v>
      </c>
      <c r="P264" s="213">
        <v>18280.47</v>
      </c>
      <c r="Q264" s="213">
        <v>16116.4</v>
      </c>
      <c r="R264" s="213">
        <v>15975.57</v>
      </c>
      <c r="S264" s="213">
        <v>31515.829999999998</v>
      </c>
      <c r="T264" s="213">
        <v>27141.61</v>
      </c>
      <c r="U264" s="213">
        <v>27820.489999999998</v>
      </c>
      <c r="V264" s="213">
        <v>26788.999999999996</v>
      </c>
      <c r="W264" s="213">
        <v>31633.360000000001</v>
      </c>
      <c r="X264" s="213">
        <v>33693.19</v>
      </c>
      <c r="Y264" s="213">
        <v>52017.23</v>
      </c>
      <c r="Z264" s="213">
        <v>34302.83</v>
      </c>
      <c r="AA264" s="213">
        <v>33887.72</v>
      </c>
      <c r="AB264" s="213">
        <v>31906.07</v>
      </c>
      <c r="AC264" s="213">
        <v>16794.5</v>
      </c>
      <c r="AD264" s="213">
        <v>19291.27</v>
      </c>
      <c r="AE264" s="213">
        <v>18544.82</v>
      </c>
      <c r="AF264" s="213">
        <v>21487.06</v>
      </c>
      <c r="AG264" s="213">
        <v>19025.61</v>
      </c>
      <c r="AH264" s="213">
        <v>18427.400000000001</v>
      </c>
      <c r="AI264" s="213">
        <v>19623.11</v>
      </c>
      <c r="AJ264" s="213">
        <v>21250.12</v>
      </c>
      <c r="AK264" s="213">
        <v>20863.25</v>
      </c>
      <c r="AL264" s="213">
        <v>21571</v>
      </c>
      <c r="AM264" s="213">
        <v>22488</v>
      </c>
      <c r="AN264" s="213">
        <v>23719.88</v>
      </c>
      <c r="AO264" s="213">
        <v>22150.71</v>
      </c>
      <c r="AP264" s="213">
        <v>21958.98</v>
      </c>
      <c r="AQ264" s="213">
        <v>27707.760000000002</v>
      </c>
      <c r="AR264" s="213">
        <v>31218.39</v>
      </c>
      <c r="AS264" s="213">
        <v>27819.17</v>
      </c>
      <c r="AT264" s="213">
        <v>28834.600000000002</v>
      </c>
      <c r="AU264" s="213">
        <v>34525.78</v>
      </c>
      <c r="AV264" s="213">
        <v>40010.538879999993</v>
      </c>
      <c r="AW264" s="213">
        <v>44571.672639999982</v>
      </c>
      <c r="AX264" s="213">
        <v>43772.722639999985</v>
      </c>
      <c r="AY264" s="213">
        <v>45370.622639999987</v>
      </c>
      <c r="AZ264" s="213">
        <v>50196.576498400005</v>
      </c>
      <c r="BA264" s="213">
        <v>50196.576498400005</v>
      </c>
      <c r="BB264" s="213">
        <v>55502.955095134384</v>
      </c>
      <c r="BC264" s="213">
        <v>58846.045095134388</v>
      </c>
    </row>
    <row r="265" spans="1:55" x14ac:dyDescent="0.25">
      <c r="A265" s="209" t="s">
        <v>379</v>
      </c>
      <c r="B265" s="210" t="s">
        <v>403</v>
      </c>
      <c r="C265" t="s">
        <v>13</v>
      </c>
      <c r="D265" t="s">
        <v>474</v>
      </c>
      <c r="E265" t="s">
        <v>497</v>
      </c>
      <c r="F265" s="211">
        <v>6150</v>
      </c>
      <c r="G265" t="s">
        <v>405</v>
      </c>
      <c r="H265" s="213">
        <v>8189</v>
      </c>
      <c r="I265" s="213">
        <v>6875</v>
      </c>
      <c r="J265" s="213">
        <v>10442</v>
      </c>
      <c r="K265" s="213">
        <v>8064</v>
      </c>
      <c r="L265" s="213">
        <v>9149.7099999999991</v>
      </c>
      <c r="M265" s="213">
        <v>8064</v>
      </c>
      <c r="N265" s="213">
        <v>8139</v>
      </c>
      <c r="O265" s="213">
        <v>8139</v>
      </c>
      <c r="P265" s="213">
        <v>21308.1</v>
      </c>
      <c r="Q265" s="213">
        <v>7039.25</v>
      </c>
      <c r="R265" s="213">
        <v>11416.65</v>
      </c>
      <c r="S265" s="213">
        <v>29043.59</v>
      </c>
      <c r="T265" s="213">
        <v>20600.95</v>
      </c>
      <c r="U265" s="213">
        <v>17529.650000000001</v>
      </c>
      <c r="V265" s="213">
        <v>17722.36</v>
      </c>
      <c r="W265" s="213">
        <v>21512.25</v>
      </c>
      <c r="X265" s="213">
        <v>24015.47</v>
      </c>
      <c r="Y265" s="213">
        <v>22542.92</v>
      </c>
      <c r="Z265" s="213">
        <v>23145.31</v>
      </c>
      <c r="AA265" s="213">
        <v>21477.37</v>
      </c>
      <c r="AB265" s="213">
        <v>21421.52</v>
      </c>
      <c r="AC265" s="213">
        <v>22614.42</v>
      </c>
      <c r="AD265" s="213">
        <v>25222.04</v>
      </c>
      <c r="AE265" s="213">
        <v>-42699.360000000001</v>
      </c>
      <c r="AF265" s="213">
        <v>12043.08</v>
      </c>
      <c r="AG265" s="213">
        <v>8290.26</v>
      </c>
      <c r="AH265" s="213">
        <v>52081.64</v>
      </c>
      <c r="AI265" s="213">
        <v>26980.57</v>
      </c>
      <c r="AJ265" s="213">
        <v>31338.87</v>
      </c>
      <c r="AK265" s="213">
        <v>42821.01</v>
      </c>
      <c r="AL265" s="213">
        <v>33598.449999999997</v>
      </c>
      <c r="AM265" s="213">
        <v>34802.199999999997</v>
      </c>
      <c r="AN265" s="213">
        <v>1509.2</v>
      </c>
      <c r="AO265" s="213">
        <v>29142.65</v>
      </c>
      <c r="AP265" s="213">
        <v>-5102.3</v>
      </c>
      <c r="AQ265" s="213">
        <v>39895.5</v>
      </c>
      <c r="AR265" s="213">
        <v>40971.03</v>
      </c>
      <c r="AS265" s="213">
        <v>53510.520000000004</v>
      </c>
      <c r="AT265" s="213">
        <v>130758.75</v>
      </c>
      <c r="AU265" s="213">
        <v>71438.720000000001</v>
      </c>
      <c r="AV265" s="213">
        <v>93140.493400000007</v>
      </c>
      <c r="AW265" s="213">
        <v>98744.536733333342</v>
      </c>
      <c r="AX265" s="213">
        <v>98284.478333333333</v>
      </c>
      <c r="AY265" s="213">
        <v>101916.30333333333</v>
      </c>
      <c r="AZ265" s="213">
        <v>111071.18236666668</v>
      </c>
      <c r="BA265" s="213">
        <v>111071.18236666668</v>
      </c>
      <c r="BB265" s="213">
        <v>116712.90800718215</v>
      </c>
      <c r="BC265" s="213">
        <v>123268.64584051548</v>
      </c>
    </row>
    <row r="266" spans="1:55" x14ac:dyDescent="0.25">
      <c r="A266" s="209" t="s">
        <v>379</v>
      </c>
      <c r="B266" s="210" t="s">
        <v>403</v>
      </c>
      <c r="C266" t="s">
        <v>13</v>
      </c>
      <c r="D266" t="s">
        <v>474</v>
      </c>
      <c r="E266" t="s">
        <v>497</v>
      </c>
      <c r="F266" s="211">
        <v>6112</v>
      </c>
      <c r="G266" t="s">
        <v>391</v>
      </c>
      <c r="H266" s="213">
        <v>0</v>
      </c>
      <c r="I266" s="213">
        <v>0</v>
      </c>
      <c r="J266" s="213">
        <v>0</v>
      </c>
      <c r="K266" s="213">
        <v>0</v>
      </c>
      <c r="L266" s="213">
        <v>0</v>
      </c>
      <c r="M266" s="213">
        <v>0</v>
      </c>
      <c r="N266" s="213">
        <v>0</v>
      </c>
      <c r="O266" s="213">
        <v>0</v>
      </c>
      <c r="P266" s="213">
        <v>0</v>
      </c>
      <c r="Q266" s="213">
        <v>0</v>
      </c>
      <c r="R266" s="213">
        <v>0</v>
      </c>
      <c r="S266" s="213">
        <v>0</v>
      </c>
      <c r="T266" s="213">
        <v>0</v>
      </c>
      <c r="U266" s="213">
        <v>0</v>
      </c>
      <c r="V266" s="213">
        <v>0</v>
      </c>
      <c r="W266" s="213">
        <v>0</v>
      </c>
      <c r="X266" s="213">
        <v>0</v>
      </c>
      <c r="Y266" s="213">
        <v>0</v>
      </c>
      <c r="Z266" s="213">
        <v>0</v>
      </c>
      <c r="AA266" s="213">
        <v>0</v>
      </c>
      <c r="AB266" s="213">
        <v>17659.93</v>
      </c>
      <c r="AC266" s="213">
        <v>15628.6</v>
      </c>
      <c r="AD266" s="213">
        <v>13546.85</v>
      </c>
      <c r="AE266" s="213">
        <v>17367.830000000002</v>
      </c>
      <c r="AF266" s="213">
        <v>19276.45</v>
      </c>
      <c r="AG266" s="213">
        <v>19276.38</v>
      </c>
      <c r="AH266" s="213">
        <v>20928.91</v>
      </c>
      <c r="AI266" s="213">
        <v>20331.38</v>
      </c>
      <c r="AJ266" s="213">
        <v>21363.55</v>
      </c>
      <c r="AK266" s="213">
        <v>21953.1</v>
      </c>
      <c r="AL266" s="213">
        <v>20478.73</v>
      </c>
      <c r="AM266" s="213">
        <v>21701.31</v>
      </c>
      <c r="AN266" s="213">
        <v>19323.52</v>
      </c>
      <c r="AO266" s="213">
        <v>14082.529999999999</v>
      </c>
      <c r="AP266" s="213">
        <v>16213.05</v>
      </c>
      <c r="AQ266" s="213">
        <v>30711.8</v>
      </c>
      <c r="AR266" s="213">
        <v>43510.560000000005</v>
      </c>
      <c r="AS266" s="213">
        <v>32635.510000000002</v>
      </c>
      <c r="AT266" s="213">
        <v>67122.14</v>
      </c>
      <c r="AU266" s="213">
        <v>39473.019999999997</v>
      </c>
      <c r="AV266" s="213">
        <v>39178.600553330645</v>
      </c>
      <c r="AW266" s="213">
        <v>39444.836301490883</v>
      </c>
      <c r="AX266" s="213">
        <v>39895.829908373948</v>
      </c>
      <c r="AY266" s="213">
        <v>41804.140895609664</v>
      </c>
      <c r="AZ266" s="213">
        <v>45464.049374910806</v>
      </c>
      <c r="BA266" s="213">
        <v>39310.288467737875</v>
      </c>
      <c r="BB266" s="213">
        <v>40641.172926443025</v>
      </c>
      <c r="BC266" s="213">
        <v>67111.49832250824</v>
      </c>
    </row>
    <row r="267" spans="1:55" x14ac:dyDescent="0.25">
      <c r="A267" s="209" t="s">
        <v>379</v>
      </c>
      <c r="B267" s="210" t="s">
        <v>403</v>
      </c>
      <c r="C267" t="s">
        <v>13</v>
      </c>
      <c r="D267" t="s">
        <v>474</v>
      </c>
      <c r="E267" t="s">
        <v>497</v>
      </c>
      <c r="F267" s="211">
        <v>6350</v>
      </c>
      <c r="G267" t="s">
        <v>393</v>
      </c>
      <c r="H267" s="213">
        <v>0</v>
      </c>
      <c r="I267" s="213">
        <v>0</v>
      </c>
      <c r="J267" s="213">
        <v>500</v>
      </c>
      <c r="K267" s="213">
        <v>0</v>
      </c>
      <c r="L267" s="213">
        <v>499</v>
      </c>
      <c r="M267" s="213">
        <v>0</v>
      </c>
      <c r="N267" s="213">
        <v>737.38</v>
      </c>
      <c r="O267" s="213">
        <v>836</v>
      </c>
      <c r="P267" s="213">
        <v>0</v>
      </c>
      <c r="Q267" s="213">
        <v>12.24</v>
      </c>
      <c r="R267" s="213">
        <v>142.80000000000001</v>
      </c>
      <c r="S267" s="213">
        <v>0</v>
      </c>
      <c r="T267" s="213">
        <v>8.57</v>
      </c>
      <c r="U267" s="213">
        <v>0</v>
      </c>
      <c r="V267" s="213">
        <v>1115.6400000000001</v>
      </c>
      <c r="W267" s="213">
        <v>0</v>
      </c>
      <c r="X267" s="213">
        <v>0</v>
      </c>
      <c r="Y267" s="213">
        <v>0</v>
      </c>
      <c r="Z267" s="213">
        <v>144</v>
      </c>
      <c r="AA267" s="213">
        <v>0</v>
      </c>
      <c r="AB267" s="213">
        <v>1000</v>
      </c>
      <c r="AC267" s="213">
        <v>46.02</v>
      </c>
      <c r="AD267" s="213">
        <v>0</v>
      </c>
      <c r="AE267" s="213">
        <v>12.99</v>
      </c>
      <c r="AF267" s="213">
        <v>108.88</v>
      </c>
      <c r="AG267" s="213">
        <v>0</v>
      </c>
      <c r="AH267" s="213">
        <v>0</v>
      </c>
      <c r="AI267" s="213">
        <v>0</v>
      </c>
      <c r="AJ267" s="213">
        <v>0</v>
      </c>
      <c r="AK267" s="213">
        <v>84.14</v>
      </c>
      <c r="AL267" s="213">
        <v>0</v>
      </c>
      <c r="AM267" s="213">
        <v>328.44</v>
      </c>
      <c r="AN267" s="213">
        <v>174.45</v>
      </c>
      <c r="AO267" s="213">
        <v>362.21</v>
      </c>
      <c r="AP267" s="213">
        <v>0</v>
      </c>
      <c r="AQ267" s="213">
        <v>0</v>
      </c>
      <c r="AR267" s="213">
        <v>0</v>
      </c>
      <c r="AS267" s="213">
        <v>0</v>
      </c>
      <c r="AT267" s="213">
        <v>235.85</v>
      </c>
      <c r="AU267" s="213">
        <v>360</v>
      </c>
      <c r="AV267" s="213">
        <v>2666.6666666666665</v>
      </c>
      <c r="AW267" s="213">
        <v>3000</v>
      </c>
      <c r="AX267" s="213">
        <v>3133.3333333333335</v>
      </c>
      <c r="AY267" s="213">
        <v>3266.6666666666665</v>
      </c>
      <c r="AZ267" s="213">
        <v>3466.6666666666665</v>
      </c>
      <c r="BA267" s="213">
        <v>3466.6666666666665</v>
      </c>
      <c r="BB267" s="213">
        <v>3866.6666666666665</v>
      </c>
      <c r="BC267" s="213">
        <v>4133.333333333333</v>
      </c>
    </row>
    <row r="268" spans="1:55" x14ac:dyDescent="0.25">
      <c r="A268" s="209" t="s">
        <v>379</v>
      </c>
      <c r="B268" s="210" t="s">
        <v>403</v>
      </c>
      <c r="C268" t="s">
        <v>13</v>
      </c>
      <c r="D268" t="s">
        <v>474</v>
      </c>
      <c r="E268" t="s">
        <v>512</v>
      </c>
      <c r="F268" s="211">
        <v>6400</v>
      </c>
      <c r="G268" t="s">
        <v>395</v>
      </c>
      <c r="H268" s="213">
        <v>1215.1500000000001</v>
      </c>
      <c r="I268" s="213">
        <v>0</v>
      </c>
      <c r="J268" s="213">
        <v>31.52</v>
      </c>
      <c r="K268" s="213">
        <v>0</v>
      </c>
      <c r="L268" s="213">
        <v>0</v>
      </c>
      <c r="M268" s="213">
        <v>321.20999999999998</v>
      </c>
      <c r="N268" s="213">
        <v>259.41000000000003</v>
      </c>
      <c r="O268" s="213">
        <v>942.43</v>
      </c>
      <c r="P268" s="213">
        <v>133.19</v>
      </c>
      <c r="Q268" s="213">
        <v>176.22</v>
      </c>
      <c r="R268" s="213">
        <v>749.56</v>
      </c>
      <c r="S268" s="213">
        <v>138.86000000000001</v>
      </c>
      <c r="T268" s="213">
        <v>0</v>
      </c>
      <c r="U268" s="213">
        <v>434.64</v>
      </c>
      <c r="V268" s="213">
        <v>337.18</v>
      </c>
      <c r="W268" s="213">
        <v>758.15</v>
      </c>
      <c r="X268" s="213">
        <v>344.42</v>
      </c>
      <c r="Y268" s="213">
        <v>3862.45</v>
      </c>
      <c r="Z268" s="213">
        <v>1251.96</v>
      </c>
      <c r="AA268" s="213">
        <v>14418.82</v>
      </c>
      <c r="AB268" s="213">
        <v>14098.45</v>
      </c>
      <c r="AC268" s="213">
        <v>2333.31</v>
      </c>
      <c r="AD268" s="213">
        <v>2959.23</v>
      </c>
      <c r="AE268" s="213">
        <v>1189.8499999999999</v>
      </c>
      <c r="AF268" s="213">
        <v>4516.99</v>
      </c>
      <c r="AG268" s="213">
        <v>1152.3900000000001</v>
      </c>
      <c r="AH268" s="213">
        <v>187.16</v>
      </c>
      <c r="AI268" s="213">
        <v>85.31</v>
      </c>
      <c r="AJ268" s="213">
        <v>239.81</v>
      </c>
      <c r="AK268" s="213">
        <v>142.63999999999999</v>
      </c>
      <c r="AL268" s="213">
        <v>397.4</v>
      </c>
      <c r="AM268" s="213">
        <v>665.77</v>
      </c>
      <c r="AN268" s="213">
        <v>850</v>
      </c>
      <c r="AO268" s="213">
        <v>114.74</v>
      </c>
      <c r="AP268" s="213">
        <v>1096.45</v>
      </c>
      <c r="AQ268" s="213">
        <v>3324.3500000000004</v>
      </c>
      <c r="AR268" s="213">
        <v>39.25</v>
      </c>
      <c r="AS268" s="213">
        <v>160.26</v>
      </c>
      <c r="AT268" s="213">
        <v>11337.14</v>
      </c>
      <c r="AU268" s="213">
        <v>2370.7599999999998</v>
      </c>
      <c r="AV268" s="213">
        <v>1333.3333333333333</v>
      </c>
      <c r="AW268" s="213">
        <v>1500</v>
      </c>
      <c r="AX268" s="213">
        <v>1566.6666666666667</v>
      </c>
      <c r="AY268" s="213">
        <v>1633.3333333333333</v>
      </c>
      <c r="AZ268" s="213">
        <v>1733.3333333333333</v>
      </c>
      <c r="BA268" s="213">
        <v>1733.3333333333333</v>
      </c>
      <c r="BB268" s="213">
        <v>1933.3333333333333</v>
      </c>
      <c r="BC268" s="213">
        <v>2066.6666666666665</v>
      </c>
    </row>
    <row r="269" spans="1:55" x14ac:dyDescent="0.25">
      <c r="A269" s="209" t="s">
        <v>379</v>
      </c>
      <c r="B269" s="210" t="s">
        <v>406</v>
      </c>
      <c r="C269" t="s">
        <v>13</v>
      </c>
      <c r="D269" t="s">
        <v>474</v>
      </c>
      <c r="E269" t="s">
        <v>512</v>
      </c>
      <c r="F269" s="211">
        <v>7150</v>
      </c>
      <c r="G269" t="s">
        <v>397</v>
      </c>
      <c r="H269" s="215">
        <v>4362.5200000000004</v>
      </c>
      <c r="I269" s="215">
        <v>8032.87</v>
      </c>
      <c r="J269" s="215">
        <v>9526.99</v>
      </c>
      <c r="K269" s="215">
        <v>9459.2799999999988</v>
      </c>
      <c r="L269" s="215">
        <v>19660.48</v>
      </c>
      <c r="M269" s="215">
        <v>4190.25</v>
      </c>
      <c r="N269" s="215">
        <v>6973.8099999999995</v>
      </c>
      <c r="O269" s="215">
        <v>7425.0599999999995</v>
      </c>
      <c r="P269" s="215">
        <v>4638.1100000000006</v>
      </c>
      <c r="Q269" s="215">
        <v>18398.370000000003</v>
      </c>
      <c r="R269" s="215">
        <v>6220.2000000000007</v>
      </c>
      <c r="S269" s="215">
        <v>13235.53</v>
      </c>
      <c r="T269" s="215">
        <v>10691.9</v>
      </c>
      <c r="U269" s="215">
        <v>8098.2199999999993</v>
      </c>
      <c r="V269" s="215">
        <v>7591.2800000000007</v>
      </c>
      <c r="W269" s="215">
        <v>9592.85</v>
      </c>
      <c r="X269" s="215">
        <v>20733.71</v>
      </c>
      <c r="Y269" s="215">
        <v>7519.8700000000008</v>
      </c>
      <c r="Z269" s="215">
        <v>14445.51</v>
      </c>
      <c r="AA269" s="215">
        <v>20285.5</v>
      </c>
      <c r="AB269" s="215">
        <v>20744.379999999997</v>
      </c>
      <c r="AC269" s="215">
        <v>10186.239999999998</v>
      </c>
      <c r="AD269" s="215">
        <v>17243.45</v>
      </c>
      <c r="AE269" s="215">
        <v>17600.09</v>
      </c>
      <c r="AF269" s="215">
        <v>8196.6200000000008</v>
      </c>
      <c r="AG269" s="215">
        <v>996.25000000000023</v>
      </c>
      <c r="AH269" s="215">
        <v>-70.89</v>
      </c>
      <c r="AI269" s="215">
        <v>-6.9399999999999977</v>
      </c>
      <c r="AJ269" s="215">
        <v>3003.63</v>
      </c>
      <c r="AK269" s="215">
        <v>-1298.0900000000001</v>
      </c>
      <c r="AL269" s="215">
        <v>642.1</v>
      </c>
      <c r="AM269" s="215">
        <v>1464.9599999999998</v>
      </c>
      <c r="AN269" s="215">
        <v>2918.91</v>
      </c>
      <c r="AO269" s="215">
        <v>-1123.26</v>
      </c>
      <c r="AP269" s="215">
        <v>-153.36000000000001</v>
      </c>
      <c r="AQ269" s="215">
        <v>1644.24</v>
      </c>
      <c r="AR269" s="215">
        <v>632.38</v>
      </c>
      <c r="AS269" s="215">
        <v>3581.8</v>
      </c>
      <c r="AT269" s="215">
        <v>3791.38</v>
      </c>
      <c r="AU269" s="215">
        <v>8943.5600000000013</v>
      </c>
      <c r="AV269" s="215">
        <v>5000</v>
      </c>
      <c r="AW269" s="215">
        <v>7500</v>
      </c>
      <c r="AX269" s="215">
        <v>7500</v>
      </c>
      <c r="AY269" s="215">
        <v>7819.1489361702124</v>
      </c>
      <c r="AZ269" s="215">
        <v>8297.8723404255325</v>
      </c>
      <c r="BA269" s="215">
        <v>8297.8723404255325</v>
      </c>
      <c r="BB269" s="215">
        <v>9255.3191489361707</v>
      </c>
      <c r="BC269" s="215">
        <v>9893.6170212765956</v>
      </c>
    </row>
    <row r="270" spans="1:55" x14ac:dyDescent="0.25">
      <c r="A270" s="209" t="s">
        <v>379</v>
      </c>
      <c r="B270" s="210" t="s">
        <v>403</v>
      </c>
      <c r="C270" t="s">
        <v>13</v>
      </c>
      <c r="D270" t="s">
        <v>474</v>
      </c>
      <c r="E270" t="s">
        <v>512</v>
      </c>
      <c r="F270" s="211">
        <v>6250</v>
      </c>
      <c r="G270" t="s">
        <v>350</v>
      </c>
      <c r="H270" s="213">
        <v>0</v>
      </c>
      <c r="I270" s="213">
        <v>0</v>
      </c>
      <c r="J270" s="213">
        <v>0</v>
      </c>
      <c r="K270" s="213">
        <v>0</v>
      </c>
      <c r="L270" s="213">
        <v>8041</v>
      </c>
      <c r="M270" s="213">
        <v>8041</v>
      </c>
      <c r="N270" s="213">
        <v>8041</v>
      </c>
      <c r="O270" s="213">
        <v>8041</v>
      </c>
      <c r="P270" s="213">
        <v>8041</v>
      </c>
      <c r="Q270" s="213">
        <v>8041</v>
      </c>
      <c r="R270" s="213">
        <v>8041</v>
      </c>
      <c r="S270" s="213">
        <v>0</v>
      </c>
      <c r="T270" s="213">
        <v>0</v>
      </c>
      <c r="U270" s="213">
        <v>0</v>
      </c>
      <c r="V270" s="213">
        <v>0</v>
      </c>
      <c r="W270" s="213">
        <v>0</v>
      </c>
      <c r="X270" s="213">
        <v>2500</v>
      </c>
      <c r="Y270" s="213">
        <v>2600</v>
      </c>
      <c r="Z270" s="213">
        <v>0</v>
      </c>
      <c r="AA270" s="213">
        <v>0</v>
      </c>
      <c r="AB270" s="213">
        <v>0</v>
      </c>
      <c r="AC270" s="213">
        <v>0</v>
      </c>
      <c r="AD270" s="213">
        <v>0</v>
      </c>
      <c r="AE270" s="213">
        <v>0</v>
      </c>
      <c r="AF270" s="213">
        <v>0</v>
      </c>
      <c r="AG270" s="213">
        <v>0</v>
      </c>
      <c r="AH270" s="213">
        <v>0</v>
      </c>
      <c r="AI270" s="213">
        <v>0</v>
      </c>
      <c r="AJ270" s="213">
        <v>0</v>
      </c>
      <c r="AK270" s="213">
        <v>0</v>
      </c>
      <c r="AL270" s="213">
        <v>0</v>
      </c>
      <c r="AM270" s="213">
        <v>0</v>
      </c>
      <c r="AN270" s="213">
        <v>0</v>
      </c>
      <c r="AO270" s="213">
        <v>0</v>
      </c>
      <c r="AP270" s="213">
        <v>0</v>
      </c>
      <c r="AQ270" s="213">
        <v>0</v>
      </c>
      <c r="AR270" s="213">
        <v>0</v>
      </c>
      <c r="AS270" s="213">
        <v>0</v>
      </c>
      <c r="AT270" s="213">
        <v>22110</v>
      </c>
      <c r="AU270" s="213">
        <v>40624.559999999998</v>
      </c>
      <c r="AV270" s="213">
        <v>3000</v>
      </c>
      <c r="AW270" s="213">
        <v>3000</v>
      </c>
      <c r="AX270" s="213">
        <v>3000</v>
      </c>
      <c r="AY270" s="213">
        <v>3000</v>
      </c>
      <c r="AZ270" s="213">
        <v>3000</v>
      </c>
      <c r="BA270" s="213">
        <v>3000</v>
      </c>
      <c r="BB270" s="213">
        <v>3000</v>
      </c>
      <c r="BC270" s="213">
        <v>3000</v>
      </c>
    </row>
    <row r="271" spans="1:55" x14ac:dyDescent="0.25">
      <c r="A271" s="209" t="s">
        <v>379</v>
      </c>
      <c r="B271" s="210" t="s">
        <v>473</v>
      </c>
      <c r="C271" t="s">
        <v>13</v>
      </c>
      <c r="D271" t="s">
        <v>474</v>
      </c>
      <c r="E271" t="s">
        <v>512</v>
      </c>
      <c r="F271" s="211">
        <v>7050</v>
      </c>
      <c r="G271" t="s">
        <v>394</v>
      </c>
      <c r="H271" s="213">
        <v>0</v>
      </c>
      <c r="I271" s="213">
        <v>0</v>
      </c>
      <c r="J271" s="213">
        <v>12.14</v>
      </c>
      <c r="K271" s="213">
        <v>354.8</v>
      </c>
      <c r="L271" s="213">
        <v>43.5</v>
      </c>
      <c r="M271" s="213">
        <v>863.32</v>
      </c>
      <c r="N271" s="213">
        <v>843.28</v>
      </c>
      <c r="O271" s="213">
        <v>833.33</v>
      </c>
      <c r="P271" s="213">
        <v>898.64</v>
      </c>
      <c r="Q271" s="213">
        <v>464.27</v>
      </c>
      <c r="R271" s="213">
        <v>898.64</v>
      </c>
      <c r="S271" s="213">
        <v>1798.64</v>
      </c>
      <c r="T271" s="213">
        <v>1492.64</v>
      </c>
      <c r="U271" s="213">
        <v>1358.64</v>
      </c>
      <c r="V271" s="213">
        <v>1808.65</v>
      </c>
      <c r="W271" s="213">
        <v>1228.6500000000001</v>
      </c>
      <c r="X271" s="213">
        <v>24361.16</v>
      </c>
      <c r="Y271" s="213">
        <v>9928.7000000000007</v>
      </c>
      <c r="Z271" s="213">
        <v>1547.08</v>
      </c>
      <c r="AA271" s="213">
        <v>714.65</v>
      </c>
      <c r="AB271" s="213">
        <v>3507.3</v>
      </c>
      <c r="AC271" s="213">
        <v>-7096.6</v>
      </c>
      <c r="AD271" s="213">
        <v>508.52</v>
      </c>
      <c r="AE271" s="213">
        <v>514.54999999999995</v>
      </c>
      <c r="AF271" s="213">
        <v>6575.05</v>
      </c>
      <c r="AG271" s="213">
        <v>6469.15</v>
      </c>
      <c r="AH271" s="213">
        <v>10079.58</v>
      </c>
      <c r="AI271" s="213">
        <v>3227.51</v>
      </c>
      <c r="AJ271" s="213">
        <v>8528.1200000000008</v>
      </c>
      <c r="AK271" s="213">
        <v>7548.98</v>
      </c>
      <c r="AL271" s="213">
        <v>7949.2</v>
      </c>
      <c r="AM271" s="213">
        <v>7783.95</v>
      </c>
      <c r="AN271" s="213">
        <v>8192.69</v>
      </c>
      <c r="AO271" s="213">
        <v>7991.35</v>
      </c>
      <c r="AP271" s="213">
        <v>7498.56</v>
      </c>
      <c r="AQ271" s="213">
        <v>6839.84</v>
      </c>
      <c r="AR271" s="213">
        <v>590.30999999999995</v>
      </c>
      <c r="AS271" s="213">
        <v>7715.3099999999995</v>
      </c>
      <c r="AT271" s="213">
        <v>9429.48</v>
      </c>
      <c r="AU271" s="213">
        <v>5501.15</v>
      </c>
      <c r="AV271" s="213">
        <v>15000</v>
      </c>
      <c r="AW271" s="213">
        <v>15000</v>
      </c>
      <c r="AX271" s="213">
        <v>15000</v>
      </c>
      <c r="AY271" s="213">
        <v>15000</v>
      </c>
      <c r="AZ271" s="213">
        <v>15000</v>
      </c>
      <c r="BA271" s="213">
        <v>15000</v>
      </c>
      <c r="BB271" s="213">
        <v>15000</v>
      </c>
      <c r="BC271" s="213">
        <v>15000</v>
      </c>
    </row>
    <row r="272" spans="1:55" x14ac:dyDescent="0.25">
      <c r="A272" s="209" t="s">
        <v>379</v>
      </c>
      <c r="B272" s="210" t="s">
        <v>428</v>
      </c>
      <c r="C272" t="s">
        <v>13</v>
      </c>
      <c r="D272" t="s">
        <v>474</v>
      </c>
      <c r="E272" t="s">
        <v>512</v>
      </c>
      <c r="H272" s="213">
        <v>0</v>
      </c>
      <c r="I272" s="213">
        <v>0</v>
      </c>
      <c r="J272" s="213">
        <v>0</v>
      </c>
      <c r="K272" s="213">
        <v>0</v>
      </c>
      <c r="L272" s="213">
        <v>0</v>
      </c>
      <c r="M272" s="213">
        <v>0</v>
      </c>
      <c r="N272" s="213">
        <v>0</v>
      </c>
      <c r="O272" s="213">
        <v>0</v>
      </c>
      <c r="P272" s="213">
        <v>0</v>
      </c>
      <c r="Q272" s="213">
        <v>0</v>
      </c>
      <c r="R272" s="213">
        <v>0</v>
      </c>
      <c r="S272" s="213">
        <v>0</v>
      </c>
      <c r="T272" s="213">
        <v>0</v>
      </c>
      <c r="U272" s="213">
        <v>0</v>
      </c>
      <c r="V272" s="213">
        <v>0</v>
      </c>
      <c r="W272" s="213">
        <v>0</v>
      </c>
      <c r="X272" s="213">
        <v>0</v>
      </c>
      <c r="Y272" s="213">
        <v>0</v>
      </c>
      <c r="Z272" s="213">
        <v>0</v>
      </c>
      <c r="AA272" s="213">
        <v>0</v>
      </c>
      <c r="AB272" s="213">
        <v>0</v>
      </c>
      <c r="AC272" s="213">
        <v>0</v>
      </c>
      <c r="AD272" s="213">
        <v>0</v>
      </c>
      <c r="AE272" s="213">
        <v>0</v>
      </c>
      <c r="AF272" s="213">
        <v>0</v>
      </c>
      <c r="AG272" s="213">
        <v>0</v>
      </c>
      <c r="AH272" s="213">
        <v>0</v>
      </c>
      <c r="AI272" s="213">
        <v>0</v>
      </c>
      <c r="AJ272" s="213">
        <v>0</v>
      </c>
      <c r="AK272" s="213">
        <v>0</v>
      </c>
      <c r="AL272" s="213">
        <v>0</v>
      </c>
      <c r="AM272" s="213">
        <v>0</v>
      </c>
      <c r="AN272" s="213">
        <v>0</v>
      </c>
      <c r="AO272" s="213">
        <v>0</v>
      </c>
      <c r="AP272" s="213">
        <v>0</v>
      </c>
      <c r="AQ272" s="213">
        <v>0</v>
      </c>
      <c r="AR272" s="213">
        <v>0</v>
      </c>
      <c r="AS272" s="213">
        <v>0</v>
      </c>
      <c r="AT272" s="213">
        <v>0</v>
      </c>
      <c r="AU272" s="213">
        <v>0</v>
      </c>
      <c r="AV272" s="213">
        <v>0</v>
      </c>
      <c r="AW272" s="213">
        <v>0</v>
      </c>
      <c r="AX272" s="213">
        <v>0</v>
      </c>
      <c r="AY272" s="213">
        <v>0</v>
      </c>
      <c r="AZ272" s="213">
        <v>0</v>
      </c>
      <c r="BA272" s="213">
        <v>0</v>
      </c>
      <c r="BB272" s="213">
        <v>0</v>
      </c>
      <c r="BC272" s="213">
        <v>0</v>
      </c>
    </row>
    <row r="273" spans="1:55" x14ac:dyDescent="0.25">
      <c r="B273" s="210"/>
      <c r="H273" s="214">
        <v>0</v>
      </c>
      <c r="I273" s="214">
        <v>0</v>
      </c>
      <c r="J273" s="214">
        <v>0</v>
      </c>
      <c r="K273" s="214">
        <v>0</v>
      </c>
      <c r="L273" s="214">
        <v>0</v>
      </c>
      <c r="M273" s="214">
        <v>0</v>
      </c>
      <c r="N273" s="214">
        <v>0</v>
      </c>
      <c r="O273" s="214">
        <v>0</v>
      </c>
      <c r="P273" s="214">
        <v>0</v>
      </c>
      <c r="Q273" s="214">
        <v>0</v>
      </c>
      <c r="R273" s="214">
        <v>0</v>
      </c>
      <c r="S273" s="214">
        <v>0</v>
      </c>
      <c r="T273" s="214">
        <v>0</v>
      </c>
      <c r="U273" s="214">
        <v>0</v>
      </c>
      <c r="V273" s="214">
        <v>0</v>
      </c>
      <c r="W273" s="214">
        <v>0</v>
      </c>
      <c r="X273" s="214">
        <v>0</v>
      </c>
      <c r="Y273" s="214">
        <v>0</v>
      </c>
      <c r="Z273" s="214">
        <v>0</v>
      </c>
      <c r="AA273" s="214">
        <v>0</v>
      </c>
      <c r="AB273" s="214">
        <v>0</v>
      </c>
      <c r="AC273" s="214">
        <v>0</v>
      </c>
      <c r="AD273" s="214">
        <v>0</v>
      </c>
      <c r="AE273" s="214">
        <v>0</v>
      </c>
      <c r="AF273" s="214">
        <v>0</v>
      </c>
      <c r="AG273" s="214">
        <v>0</v>
      </c>
      <c r="AH273" s="214">
        <v>0</v>
      </c>
      <c r="AI273" s="214">
        <v>0</v>
      </c>
      <c r="AJ273" s="214">
        <v>0</v>
      </c>
      <c r="AK273" s="214">
        <v>0</v>
      </c>
      <c r="AL273" s="214">
        <v>0</v>
      </c>
      <c r="AM273" s="214">
        <v>0</v>
      </c>
      <c r="AN273" s="214">
        <v>0</v>
      </c>
      <c r="AO273" s="214">
        <v>0</v>
      </c>
      <c r="AP273" s="214">
        <v>0</v>
      </c>
      <c r="AQ273" s="214">
        <v>0</v>
      </c>
      <c r="AR273" s="214">
        <v>0</v>
      </c>
      <c r="AS273" s="214">
        <v>0</v>
      </c>
      <c r="AT273" s="214">
        <v>0</v>
      </c>
      <c r="AU273" s="214">
        <v>0</v>
      </c>
      <c r="AV273" s="214">
        <v>0</v>
      </c>
      <c r="AW273" s="214">
        <v>0</v>
      </c>
      <c r="AX273" s="214">
        <v>0</v>
      </c>
      <c r="AY273" s="214">
        <v>0</v>
      </c>
      <c r="AZ273" s="214">
        <v>0</v>
      </c>
      <c r="BA273" s="214">
        <v>0</v>
      </c>
      <c r="BB273" s="214">
        <v>0</v>
      </c>
      <c r="BC273" s="214">
        <v>0</v>
      </c>
    </row>
    <row r="274" spans="1:55" x14ac:dyDescent="0.25">
      <c r="B274" s="210"/>
      <c r="H274" s="216">
        <v>103632.65</v>
      </c>
      <c r="I274" s="216">
        <v>151219.59</v>
      </c>
      <c r="J274" s="216">
        <v>132333.63000000003</v>
      </c>
      <c r="K274" s="216">
        <v>131267.85</v>
      </c>
      <c r="L274" s="216">
        <v>145139.55000000002</v>
      </c>
      <c r="M274" s="216">
        <v>136588.68</v>
      </c>
      <c r="N274" s="216">
        <v>146943.61000000002</v>
      </c>
      <c r="O274" s="216">
        <v>159268.47999999998</v>
      </c>
      <c r="P274" s="216">
        <v>176823.73000000004</v>
      </c>
      <c r="Q274" s="216">
        <v>161923.10999999999</v>
      </c>
      <c r="R274" s="216">
        <v>155119.74000000002</v>
      </c>
      <c r="S274" s="216">
        <v>203313.11</v>
      </c>
      <c r="T274" s="216">
        <v>211700.55000000002</v>
      </c>
      <c r="U274" s="216">
        <v>222478.16</v>
      </c>
      <c r="V274" s="216">
        <v>234736.03999999998</v>
      </c>
      <c r="W274" s="216">
        <v>277189.05000000005</v>
      </c>
      <c r="X274" s="216">
        <v>328829.24</v>
      </c>
      <c r="Y274" s="216">
        <v>325408.90999999997</v>
      </c>
      <c r="Z274" s="216">
        <v>300250.29000000004</v>
      </c>
      <c r="AA274" s="216">
        <v>330412.59000000003</v>
      </c>
      <c r="AB274" s="216">
        <v>362195.51</v>
      </c>
      <c r="AC274" s="216">
        <v>314251.51</v>
      </c>
      <c r="AD274" s="216">
        <v>328090.92</v>
      </c>
      <c r="AE274" s="216">
        <v>256986.22000000003</v>
      </c>
      <c r="AF274" s="216">
        <v>299755.59999999998</v>
      </c>
      <c r="AG274" s="216">
        <v>298462.12000000005</v>
      </c>
      <c r="AH274" s="216">
        <v>331595.57999999996</v>
      </c>
      <c r="AI274" s="216">
        <v>328301.64</v>
      </c>
      <c r="AJ274" s="216">
        <v>375688.5</v>
      </c>
      <c r="AK274" s="216">
        <v>392226.86</v>
      </c>
      <c r="AL274" s="216">
        <v>377801.09</v>
      </c>
      <c r="AM274" s="216">
        <v>391410.69000000006</v>
      </c>
      <c r="AN274" s="216">
        <v>367181.2</v>
      </c>
      <c r="AO274" s="216">
        <v>378361.77999999997</v>
      </c>
      <c r="AP274" s="216">
        <v>354775.18</v>
      </c>
      <c r="AQ274" s="216">
        <v>433535.05</v>
      </c>
      <c r="AR274" s="216">
        <v>482755.68999999994</v>
      </c>
      <c r="AS274" s="216">
        <v>524123.08</v>
      </c>
      <c r="AT274" s="216">
        <v>693098.06</v>
      </c>
      <c r="AU274" s="216">
        <v>638495.72000000009</v>
      </c>
      <c r="AV274" s="216">
        <v>656878.19723333069</v>
      </c>
      <c r="AW274" s="216">
        <v>723177.98887482425</v>
      </c>
      <c r="AX274" s="216">
        <v>750533.37297059642</v>
      </c>
      <c r="AY274" s="216">
        <v>783657.24789400212</v>
      </c>
      <c r="AZ274" s="216">
        <v>834868.4126692916</v>
      </c>
      <c r="BA274" s="216">
        <v>828714.65176211868</v>
      </c>
      <c r="BB274" s="216">
        <v>896791.08253419981</v>
      </c>
      <c r="BC274" s="216">
        <v>983748.57363593881</v>
      </c>
    </row>
    <row r="275" spans="1:55" ht="15.75" x14ac:dyDescent="0.25">
      <c r="A275" s="206" t="s">
        <v>2</v>
      </c>
      <c r="B275" s="207"/>
      <c r="C275" s="206"/>
      <c r="D275" s="206"/>
      <c r="E275" s="206"/>
      <c r="F275" s="206"/>
      <c r="G275" s="206"/>
      <c r="H275" s="213">
        <v>0</v>
      </c>
      <c r="I275" s="213">
        <v>0</v>
      </c>
      <c r="J275" s="213">
        <v>0</v>
      </c>
      <c r="K275" s="213">
        <v>0</v>
      </c>
      <c r="L275" s="213">
        <v>0</v>
      </c>
      <c r="M275" s="213">
        <v>0</v>
      </c>
      <c r="N275" s="213">
        <v>0</v>
      </c>
      <c r="O275" s="213">
        <v>0</v>
      </c>
      <c r="P275" s="213">
        <v>0</v>
      </c>
      <c r="Q275" s="213">
        <v>0</v>
      </c>
      <c r="R275" s="213">
        <v>0</v>
      </c>
      <c r="S275" s="213">
        <v>0</v>
      </c>
      <c r="T275" s="213">
        <v>0</v>
      </c>
      <c r="U275" s="213">
        <v>0</v>
      </c>
      <c r="V275" s="213">
        <v>0</v>
      </c>
      <c r="W275" s="213">
        <v>0</v>
      </c>
      <c r="X275" s="213">
        <v>0</v>
      </c>
      <c r="Y275" s="213">
        <v>0</v>
      </c>
      <c r="Z275" s="213">
        <v>0</v>
      </c>
      <c r="AA275" s="213">
        <v>0</v>
      </c>
      <c r="AB275" s="213">
        <v>0</v>
      </c>
      <c r="AC275" s="213">
        <v>0</v>
      </c>
      <c r="AD275" s="213">
        <v>0</v>
      </c>
      <c r="AE275" s="213">
        <v>0</v>
      </c>
      <c r="AF275" s="213">
        <v>0</v>
      </c>
      <c r="AG275" s="213">
        <v>0</v>
      </c>
      <c r="AH275" s="213">
        <v>0</v>
      </c>
      <c r="AI275" s="213">
        <v>0</v>
      </c>
      <c r="AJ275" s="213">
        <v>0</v>
      </c>
      <c r="AK275" s="213">
        <v>0</v>
      </c>
      <c r="AL275" s="213">
        <v>0</v>
      </c>
      <c r="AM275" s="213">
        <v>0</v>
      </c>
      <c r="AN275" s="213">
        <v>0</v>
      </c>
      <c r="AO275" s="213">
        <v>0</v>
      </c>
      <c r="AP275" s="213">
        <v>0</v>
      </c>
      <c r="AQ275" s="213">
        <v>0</v>
      </c>
      <c r="AR275" s="213">
        <v>0</v>
      </c>
      <c r="AS275" s="213">
        <v>0</v>
      </c>
      <c r="AT275" s="213">
        <v>0</v>
      </c>
      <c r="AU275" s="213">
        <v>0</v>
      </c>
      <c r="AV275" s="213">
        <v>0</v>
      </c>
      <c r="AW275" s="213">
        <v>0</v>
      </c>
      <c r="AX275" s="213">
        <v>0</v>
      </c>
      <c r="AY275" s="213">
        <v>0</v>
      </c>
      <c r="AZ275" s="213">
        <v>0</v>
      </c>
      <c r="BA275" s="213">
        <v>0</v>
      </c>
      <c r="BB275" s="213">
        <v>0</v>
      </c>
      <c r="BC275" s="213">
        <v>0</v>
      </c>
    </row>
    <row r="276" spans="1:55" x14ac:dyDescent="0.25">
      <c r="A276" s="209" t="s">
        <v>475</v>
      </c>
      <c r="B276" s="210" t="s">
        <v>476</v>
      </c>
      <c r="C276" t="s">
        <v>14</v>
      </c>
      <c r="D276" t="s">
        <v>404</v>
      </c>
      <c r="E276" t="s">
        <v>508</v>
      </c>
      <c r="F276" s="211">
        <v>6500</v>
      </c>
      <c r="G276" t="s">
        <v>477</v>
      </c>
      <c r="H276" s="213">
        <v>-603.15000000000009</v>
      </c>
      <c r="I276" s="213">
        <v>0</v>
      </c>
      <c r="J276" s="213">
        <v>0</v>
      </c>
      <c r="K276" s="213">
        <v>0</v>
      </c>
      <c r="L276" s="213">
        <v>0</v>
      </c>
      <c r="M276" s="213">
        <v>0</v>
      </c>
      <c r="N276" s="213">
        <v>-915.49</v>
      </c>
      <c r="O276" s="213">
        <v>765.59</v>
      </c>
      <c r="P276" s="213">
        <v>0</v>
      </c>
      <c r="Q276" s="213">
        <v>0</v>
      </c>
      <c r="R276" s="213">
        <v>4696.8500000000004</v>
      </c>
      <c r="S276" s="213">
        <v>1917.55</v>
      </c>
      <c r="T276" s="213">
        <v>-1371.33</v>
      </c>
      <c r="U276" s="213">
        <v>-3187.89</v>
      </c>
      <c r="V276" s="213">
        <v>977.26</v>
      </c>
      <c r="W276" s="213">
        <v>7241.15</v>
      </c>
      <c r="X276" s="213">
        <v>-7825.4</v>
      </c>
      <c r="Y276" s="213">
        <v>9363.64</v>
      </c>
      <c r="Z276" s="213">
        <v>48416.57</v>
      </c>
      <c r="AA276" s="213">
        <v>1167.81</v>
      </c>
      <c r="AB276" s="213">
        <v>38323.599999999999</v>
      </c>
      <c r="AC276" s="213">
        <v>19473.900000000001</v>
      </c>
      <c r="AD276" s="213">
        <v>4415.59</v>
      </c>
      <c r="AE276" s="213">
        <v>114604.16</v>
      </c>
      <c r="AF276" s="213">
        <v>25833.64</v>
      </c>
      <c r="AG276" s="213">
        <v>55624.72</v>
      </c>
      <c r="AH276" s="213">
        <v>-35220.99</v>
      </c>
      <c r="AI276" s="213">
        <v>27112.59</v>
      </c>
      <c r="AJ276" s="213">
        <v>14268.92</v>
      </c>
      <c r="AK276" s="213">
        <v>29469.01</v>
      </c>
      <c r="AL276" s="213">
        <v>16907.36</v>
      </c>
      <c r="AM276" s="213">
        <v>12596.91</v>
      </c>
      <c r="AN276" s="213">
        <v>32729.94</v>
      </c>
      <c r="AO276" s="213">
        <v>14739.06</v>
      </c>
      <c r="AP276" s="213">
        <v>28606.94</v>
      </c>
      <c r="AQ276" s="213">
        <v>42479.35</v>
      </c>
      <c r="AR276" s="213">
        <v>18277.990000000002</v>
      </c>
      <c r="AS276" s="213">
        <v>28618.86</v>
      </c>
      <c r="AT276" s="213">
        <v>30206.59</v>
      </c>
      <c r="AU276" s="213">
        <v>6693.66</v>
      </c>
      <c r="AV276" s="213">
        <v>0</v>
      </c>
      <c r="AW276" s="213">
        <v>0</v>
      </c>
      <c r="AX276" s="213">
        <v>0</v>
      </c>
      <c r="AY276" s="213">
        <v>0</v>
      </c>
      <c r="AZ276" s="213">
        <v>0</v>
      </c>
      <c r="BA276" s="213">
        <v>0</v>
      </c>
      <c r="BB276" s="213">
        <v>0</v>
      </c>
      <c r="BC276" s="213">
        <v>0</v>
      </c>
    </row>
    <row r="277" spans="1:55" x14ac:dyDescent="0.25">
      <c r="A277" s="209" t="s">
        <v>475</v>
      </c>
      <c r="B277" s="210" t="s">
        <v>476</v>
      </c>
      <c r="C277" t="s">
        <v>2</v>
      </c>
      <c r="D277" t="s">
        <v>404</v>
      </c>
      <c r="E277" t="s">
        <v>508</v>
      </c>
      <c r="F277" s="211">
        <v>8050</v>
      </c>
      <c r="G277" t="s">
        <v>478</v>
      </c>
      <c r="H277" s="213">
        <v>0</v>
      </c>
      <c r="I277" s="213">
        <v>-0.31</v>
      </c>
      <c r="J277" s="213">
        <v>-0.31</v>
      </c>
      <c r="K277" s="213">
        <v>0</v>
      </c>
      <c r="L277" s="213">
        <v>-0.3</v>
      </c>
      <c r="M277" s="213">
        <v>-0.31</v>
      </c>
      <c r="N277" s="213">
        <v>-0.28999999999999998</v>
      </c>
      <c r="O277" s="213">
        <v>-0.53</v>
      </c>
      <c r="P277" s="213">
        <v>0</v>
      </c>
      <c r="Q277" s="213">
        <v>0</v>
      </c>
      <c r="R277" s="213">
        <v>-0.51</v>
      </c>
      <c r="S277" s="213">
        <v>-1.01</v>
      </c>
      <c r="T277" s="213">
        <v>0</v>
      </c>
      <c r="U277" s="213">
        <v>0</v>
      </c>
      <c r="V277" s="213">
        <v>0</v>
      </c>
      <c r="W277" s="213">
        <v>0</v>
      </c>
      <c r="X277" s="213">
        <v>0</v>
      </c>
      <c r="Y277" s="213">
        <v>0</v>
      </c>
      <c r="Z277" s="213">
        <v>0</v>
      </c>
      <c r="AA277" s="213">
        <v>88.93</v>
      </c>
      <c r="AB277" s="213">
        <v>47.76</v>
      </c>
      <c r="AC277" s="213">
        <v>156.15</v>
      </c>
      <c r="AD277" s="213">
        <v>0</v>
      </c>
      <c r="AE277" s="213">
        <v>240.11</v>
      </c>
      <c r="AF277" s="213">
        <v>50.13</v>
      </c>
      <c r="AG277" s="213">
        <v>286.49</v>
      </c>
      <c r="AH277" s="213">
        <v>198.05</v>
      </c>
      <c r="AI277" s="213">
        <v>56.87</v>
      </c>
      <c r="AJ277" s="213">
        <v>12.52</v>
      </c>
      <c r="AK277" s="213">
        <v>877.56</v>
      </c>
      <c r="AL277" s="213">
        <v>319.67</v>
      </c>
      <c r="AM277" s="213">
        <v>118.72</v>
      </c>
      <c r="AN277" s="213">
        <v>222.14</v>
      </c>
      <c r="AO277" s="213">
        <v>191.55</v>
      </c>
      <c r="AP277" s="213">
        <v>160.52000000000001</v>
      </c>
      <c r="AQ277" s="213">
        <v>201.75</v>
      </c>
      <c r="AR277" s="213">
        <v>0</v>
      </c>
      <c r="AS277" s="213">
        <v>115.65</v>
      </c>
      <c r="AT277" s="213">
        <v>0</v>
      </c>
      <c r="AU277" s="213">
        <v>0</v>
      </c>
      <c r="AV277" s="213">
        <v>0</v>
      </c>
      <c r="AW277" s="213">
        <v>0</v>
      </c>
      <c r="AX277" s="213">
        <v>0</v>
      </c>
      <c r="AY277" s="213">
        <v>0</v>
      </c>
      <c r="AZ277" s="213">
        <v>0</v>
      </c>
      <c r="BA277" s="213">
        <v>0</v>
      </c>
      <c r="BB277" s="213">
        <v>0</v>
      </c>
      <c r="BC277" s="213">
        <v>0</v>
      </c>
    </row>
    <row r="278" spans="1:55" x14ac:dyDescent="0.25">
      <c r="A278" s="209" t="s">
        <v>475</v>
      </c>
      <c r="B278" s="210" t="s">
        <v>476</v>
      </c>
      <c r="C278" t="s">
        <v>2</v>
      </c>
      <c r="D278" t="s">
        <v>404</v>
      </c>
      <c r="E278" t="s">
        <v>508</v>
      </c>
      <c r="F278" s="211">
        <v>8050</v>
      </c>
      <c r="G278" t="s">
        <v>478</v>
      </c>
      <c r="H278" s="213">
        <v>-24916.31</v>
      </c>
      <c r="I278" s="213">
        <v>-12463.43</v>
      </c>
      <c r="J278" s="213">
        <v>-18838.38</v>
      </c>
      <c r="K278" s="213">
        <v>-17889.97</v>
      </c>
      <c r="L278" s="213">
        <v>-36499.9</v>
      </c>
      <c r="M278" s="213">
        <v>-35408.1</v>
      </c>
      <c r="N278" s="213">
        <v>-36380.22</v>
      </c>
      <c r="O278" s="213">
        <v>-106379.26000000001</v>
      </c>
      <c r="P278" s="213">
        <v>-94079.14</v>
      </c>
      <c r="Q278" s="213">
        <v>-106999.91</v>
      </c>
      <c r="R278" s="213">
        <v>-110868.45000000001</v>
      </c>
      <c r="S278" s="213">
        <v>-1.83</v>
      </c>
      <c r="T278" s="213">
        <v>0</v>
      </c>
      <c r="U278" s="213">
        <v>0</v>
      </c>
      <c r="V278" s="213">
        <v>0</v>
      </c>
      <c r="W278" s="213">
        <v>0</v>
      </c>
      <c r="X278" s="213">
        <v>0</v>
      </c>
      <c r="Y278" s="213">
        <v>0</v>
      </c>
      <c r="Z278" s="213">
        <v>-57920.119999999995</v>
      </c>
      <c r="AA278" s="213">
        <v>-50905.009999999995</v>
      </c>
      <c r="AB278" s="213">
        <v>-49531.29</v>
      </c>
      <c r="AC278" s="213">
        <v>-68969.47</v>
      </c>
      <c r="AD278" s="213">
        <v>-73735.47</v>
      </c>
      <c r="AE278" s="213">
        <v>-74397.34</v>
      </c>
      <c r="AF278" s="213">
        <v>-61511.83</v>
      </c>
      <c r="AG278" s="213">
        <v>-63901.58</v>
      </c>
      <c r="AH278" s="213">
        <v>-47546.06</v>
      </c>
      <c r="AI278" s="213">
        <v>-32531.85</v>
      </c>
      <c r="AJ278" s="213">
        <v>-25285.34</v>
      </c>
      <c r="AK278" s="213">
        <v>-17335.55</v>
      </c>
      <c r="AL278" s="213">
        <v>-8157.14</v>
      </c>
      <c r="AM278" s="213">
        <v>-8647.9</v>
      </c>
      <c r="AN278" s="213">
        <v>-8289.2900000000009</v>
      </c>
      <c r="AO278" s="213">
        <v>-3146.32</v>
      </c>
      <c r="AP278" s="213">
        <v>-2664.84</v>
      </c>
      <c r="AQ278" s="213">
        <v>-2259.2800000000002</v>
      </c>
      <c r="AR278" s="213">
        <v>0</v>
      </c>
      <c r="AS278" s="213">
        <v>-0.02</v>
      </c>
      <c r="AT278" s="213">
        <v>0</v>
      </c>
      <c r="AU278" s="213">
        <v>0</v>
      </c>
      <c r="AV278" s="213">
        <v>0</v>
      </c>
      <c r="AW278" s="213">
        <v>0</v>
      </c>
      <c r="AX278" s="213">
        <v>0</v>
      </c>
      <c r="AY278" s="213">
        <v>0</v>
      </c>
      <c r="AZ278" s="213">
        <v>0</v>
      </c>
      <c r="BA278" s="213">
        <v>0</v>
      </c>
      <c r="BB278" s="213">
        <v>0</v>
      </c>
      <c r="BC278" s="213">
        <v>0</v>
      </c>
    </row>
    <row r="279" spans="1:55" x14ac:dyDescent="0.25">
      <c r="A279" s="209" t="s">
        <v>475</v>
      </c>
      <c r="B279" s="210" t="s">
        <v>476</v>
      </c>
      <c r="C279" t="s">
        <v>2</v>
      </c>
      <c r="D279" t="s">
        <v>404</v>
      </c>
      <c r="E279" t="s">
        <v>508</v>
      </c>
      <c r="F279" s="211">
        <v>8050</v>
      </c>
      <c r="G279" t="s">
        <v>478</v>
      </c>
      <c r="H279" s="213">
        <v>0</v>
      </c>
      <c r="I279" s="213">
        <v>-0.31</v>
      </c>
      <c r="J279" s="213">
        <v>-0.31</v>
      </c>
      <c r="K279" s="213">
        <v>0</v>
      </c>
      <c r="L279" s="213">
        <v>-0.3</v>
      </c>
      <c r="M279" s="213">
        <v>-0.31</v>
      </c>
      <c r="N279" s="213">
        <v>-0.28999999999999998</v>
      </c>
      <c r="O279" s="213">
        <v>-0.53</v>
      </c>
      <c r="P279" s="213">
        <v>0</v>
      </c>
      <c r="Q279" s="213">
        <v>0</v>
      </c>
      <c r="R279" s="213">
        <v>-0.51</v>
      </c>
      <c r="S279" s="213">
        <v>-1.01</v>
      </c>
      <c r="T279" s="213">
        <v>0</v>
      </c>
      <c r="U279" s="213">
        <v>0</v>
      </c>
      <c r="V279" s="213">
        <v>0</v>
      </c>
      <c r="W279" s="213">
        <v>0</v>
      </c>
      <c r="X279" s="213">
        <v>0</v>
      </c>
      <c r="Y279" s="213">
        <v>0</v>
      </c>
      <c r="Z279" s="213">
        <v>0</v>
      </c>
      <c r="AA279" s="213">
        <v>0</v>
      </c>
      <c r="AB279" s="213">
        <v>0</v>
      </c>
      <c r="AC279" s="213">
        <v>0</v>
      </c>
      <c r="AD279" s="213">
        <v>0</v>
      </c>
      <c r="AE279" s="213">
        <v>0</v>
      </c>
      <c r="AF279" s="213">
        <v>0</v>
      </c>
      <c r="AG279" s="213">
        <v>0</v>
      </c>
      <c r="AH279" s="213">
        <v>0</v>
      </c>
      <c r="AI279" s="213">
        <v>0</v>
      </c>
      <c r="AJ279" s="213">
        <v>0</v>
      </c>
      <c r="AK279" s="213">
        <v>0</v>
      </c>
      <c r="AL279" s="213">
        <v>0</v>
      </c>
      <c r="AM279" s="213">
        <v>0</v>
      </c>
      <c r="AN279" s="213">
        <v>0</v>
      </c>
      <c r="AO279" s="213">
        <v>0</v>
      </c>
      <c r="AP279" s="213">
        <v>0</v>
      </c>
      <c r="AQ279" s="213">
        <v>0</v>
      </c>
      <c r="AR279" s="213">
        <v>0</v>
      </c>
      <c r="AS279" s="213">
        <v>0</v>
      </c>
      <c r="AT279" s="213">
        <v>0</v>
      </c>
      <c r="AU279" s="213">
        <v>0</v>
      </c>
      <c r="AV279" s="213">
        <v>0</v>
      </c>
      <c r="AW279" s="213">
        <v>0</v>
      </c>
      <c r="AX279" s="213">
        <v>0</v>
      </c>
      <c r="AY279" s="213">
        <v>0</v>
      </c>
      <c r="AZ279" s="213">
        <v>0</v>
      </c>
      <c r="BA279" s="213">
        <v>0</v>
      </c>
      <c r="BB279" s="213">
        <v>0</v>
      </c>
      <c r="BC279" s="213">
        <v>0</v>
      </c>
    </row>
    <row r="280" spans="1:55" x14ac:dyDescent="0.25">
      <c r="A280" s="209" t="s">
        <v>475</v>
      </c>
      <c r="B280" s="210" t="s">
        <v>476</v>
      </c>
      <c r="C280" t="s">
        <v>2</v>
      </c>
      <c r="D280" t="s">
        <v>404</v>
      </c>
      <c r="E280" t="s">
        <v>508</v>
      </c>
      <c r="F280" s="211">
        <v>6500</v>
      </c>
      <c r="G280" t="s">
        <v>477</v>
      </c>
      <c r="H280" s="213">
        <v>0</v>
      </c>
      <c r="I280" s="213">
        <v>0</v>
      </c>
      <c r="J280" s="213">
        <v>0</v>
      </c>
      <c r="K280" s="213">
        <v>0</v>
      </c>
      <c r="L280" s="213">
        <v>0</v>
      </c>
      <c r="M280" s="213">
        <v>0</v>
      </c>
      <c r="N280" s="213">
        <v>0</v>
      </c>
      <c r="O280" s="213">
        <v>0</v>
      </c>
      <c r="P280" s="213">
        <v>0</v>
      </c>
      <c r="Q280" s="213">
        <v>0</v>
      </c>
      <c r="R280" s="213">
        <v>0</v>
      </c>
      <c r="S280" s="213">
        <v>0</v>
      </c>
      <c r="T280" s="213">
        <v>0</v>
      </c>
      <c r="U280" s="213">
        <v>0</v>
      </c>
      <c r="V280" s="213">
        <v>0</v>
      </c>
      <c r="W280" s="213">
        <v>0</v>
      </c>
      <c r="X280" s="213">
        <v>0</v>
      </c>
      <c r="Y280" s="213">
        <v>0</v>
      </c>
      <c r="Z280" s="213">
        <v>0</v>
      </c>
      <c r="AA280" s="213">
        <v>0</v>
      </c>
      <c r="AB280" s="213">
        <v>0</v>
      </c>
      <c r="AC280" s="213">
        <v>0</v>
      </c>
      <c r="AD280" s="213">
        <v>0</v>
      </c>
      <c r="AE280" s="213">
        <v>0</v>
      </c>
      <c r="AF280" s="213">
        <v>0</v>
      </c>
      <c r="AG280" s="213">
        <v>0</v>
      </c>
      <c r="AH280" s="213">
        <v>0</v>
      </c>
      <c r="AI280" s="213">
        <v>0</v>
      </c>
      <c r="AJ280" s="213">
        <v>0</v>
      </c>
      <c r="AK280" s="213">
        <v>0</v>
      </c>
      <c r="AL280" s="213">
        <v>0</v>
      </c>
      <c r="AM280" s="213">
        <v>0</v>
      </c>
      <c r="AN280" s="213">
        <v>0</v>
      </c>
      <c r="AO280" s="213">
        <v>0</v>
      </c>
      <c r="AP280" s="213">
        <v>0</v>
      </c>
      <c r="AQ280" s="213">
        <v>0</v>
      </c>
      <c r="AR280" s="213">
        <v>0</v>
      </c>
      <c r="AS280" s="213">
        <v>0</v>
      </c>
      <c r="AT280" s="213">
        <v>0</v>
      </c>
      <c r="AU280" s="213">
        <v>0</v>
      </c>
      <c r="AV280" s="213">
        <v>0</v>
      </c>
      <c r="AW280" s="213">
        <v>0</v>
      </c>
      <c r="AX280" s="213">
        <v>0</v>
      </c>
      <c r="AY280" s="213">
        <v>0</v>
      </c>
      <c r="AZ280" s="213">
        <v>0</v>
      </c>
      <c r="BA280" s="213">
        <v>0</v>
      </c>
      <c r="BB280" s="213">
        <v>0</v>
      </c>
      <c r="BC280" s="213">
        <v>0</v>
      </c>
    </row>
    <row r="281" spans="1:55" x14ac:dyDescent="0.25">
      <c r="A281" s="209" t="s">
        <v>475</v>
      </c>
      <c r="B281" s="210" t="s">
        <v>476</v>
      </c>
      <c r="C281" t="s">
        <v>2</v>
      </c>
      <c r="D281" t="s">
        <v>404</v>
      </c>
      <c r="E281" t="s">
        <v>508</v>
      </c>
      <c r="F281" s="211">
        <v>6800</v>
      </c>
      <c r="G281" t="s">
        <v>2</v>
      </c>
      <c r="H281" s="213">
        <v>-5030.8999999999996</v>
      </c>
      <c r="I281" s="213">
        <v>7786.52</v>
      </c>
      <c r="J281" s="213">
        <v>11553.59</v>
      </c>
      <c r="K281" s="213">
        <v>2048.2199999999998</v>
      </c>
      <c r="L281" s="213">
        <v>1954.47</v>
      </c>
      <c r="M281" s="213">
        <v>649.01</v>
      </c>
      <c r="N281" s="213">
        <v>750.15</v>
      </c>
      <c r="O281" s="213">
        <v>691.06</v>
      </c>
      <c r="P281" s="213">
        <v>0</v>
      </c>
      <c r="Q281" s="213">
        <v>0</v>
      </c>
      <c r="R281" s="213">
        <v>4176.3500000000004</v>
      </c>
      <c r="S281" s="213">
        <v>-473.23</v>
      </c>
      <c r="T281" s="213">
        <v>0</v>
      </c>
      <c r="U281" s="213">
        <v>0</v>
      </c>
      <c r="V281" s="213">
        <v>0</v>
      </c>
      <c r="W281" s="213">
        <v>0</v>
      </c>
      <c r="X281" s="213">
        <v>0</v>
      </c>
      <c r="Y281" s="213">
        <v>0</v>
      </c>
      <c r="Z281" s="213">
        <v>530.46</v>
      </c>
      <c r="AA281" s="213">
        <v>0</v>
      </c>
      <c r="AB281" s="213">
        <v>2651.84</v>
      </c>
      <c r="AC281" s="213">
        <v>2270.37</v>
      </c>
      <c r="AD281" s="213">
        <v>401.85999999999996</v>
      </c>
      <c r="AE281" s="213">
        <v>21383.5</v>
      </c>
      <c r="AF281" s="213">
        <v>4186.08</v>
      </c>
      <c r="AG281" s="213">
        <v>22809.690000000002</v>
      </c>
      <c r="AH281" s="213">
        <v>-5014.16</v>
      </c>
      <c r="AI281" s="213">
        <v>31.68</v>
      </c>
      <c r="AJ281" s="213">
        <v>51.040000000000006</v>
      </c>
      <c r="AK281" s="213">
        <v>178.13</v>
      </c>
      <c r="AL281" s="213">
        <v>-121.45</v>
      </c>
      <c r="AM281" s="213">
        <v>32.06</v>
      </c>
      <c r="AN281" s="213">
        <v>0</v>
      </c>
      <c r="AO281" s="213">
        <v>0</v>
      </c>
      <c r="AP281" s="213">
        <v>0</v>
      </c>
      <c r="AQ281" s="213">
        <v>0</v>
      </c>
      <c r="AR281" s="213">
        <v>0</v>
      </c>
      <c r="AS281" s="213">
        <v>0</v>
      </c>
      <c r="AT281" s="213">
        <v>0</v>
      </c>
      <c r="AU281" s="213">
        <v>0</v>
      </c>
      <c r="AV281" s="213">
        <v>0</v>
      </c>
      <c r="AW281" s="213">
        <v>0</v>
      </c>
      <c r="AX281" s="213">
        <v>0</v>
      </c>
      <c r="AY281" s="213">
        <v>0</v>
      </c>
      <c r="AZ281" s="213">
        <v>0</v>
      </c>
      <c r="BA281" s="213">
        <v>0</v>
      </c>
      <c r="BB281" s="213">
        <v>0</v>
      </c>
      <c r="BC281" s="213">
        <v>0</v>
      </c>
    </row>
    <row r="282" spans="1:55" x14ac:dyDescent="0.25">
      <c r="A282" s="209" t="s">
        <v>475</v>
      </c>
      <c r="B282" s="210" t="s">
        <v>476</v>
      </c>
      <c r="C282" t="s">
        <v>2</v>
      </c>
      <c r="D282" t="s">
        <v>404</v>
      </c>
      <c r="E282" t="s">
        <v>508</v>
      </c>
      <c r="F282" s="211">
        <v>6500</v>
      </c>
      <c r="G282" t="s">
        <v>477</v>
      </c>
      <c r="H282" s="213">
        <v>0</v>
      </c>
      <c r="I282" s="213">
        <v>0</v>
      </c>
      <c r="J282" s="213">
        <v>0</v>
      </c>
      <c r="K282" s="213">
        <v>0</v>
      </c>
      <c r="L282" s="213">
        <v>0</v>
      </c>
      <c r="M282" s="213">
        <v>0</v>
      </c>
      <c r="N282" s="213">
        <v>0</v>
      </c>
      <c r="O282" s="213">
        <v>0</v>
      </c>
      <c r="P282" s="213">
        <v>0</v>
      </c>
      <c r="Q282" s="213">
        <v>0</v>
      </c>
      <c r="R282" s="213">
        <v>0</v>
      </c>
      <c r="S282" s="213">
        <v>0</v>
      </c>
      <c r="T282" s="213">
        <v>0</v>
      </c>
      <c r="U282" s="213">
        <v>0</v>
      </c>
      <c r="V282" s="213">
        <v>0</v>
      </c>
      <c r="W282" s="213">
        <v>0</v>
      </c>
      <c r="X282" s="213">
        <v>0</v>
      </c>
      <c r="Y282" s="213">
        <v>0</v>
      </c>
      <c r="Z282" s="213">
        <v>0</v>
      </c>
      <c r="AA282" s="213">
        <v>0</v>
      </c>
      <c r="AB282" s="213">
        <v>0</v>
      </c>
      <c r="AC282" s="213">
        <v>0</v>
      </c>
      <c r="AD282" s="213">
        <v>0</v>
      </c>
      <c r="AE282" s="213">
        <v>0</v>
      </c>
      <c r="AF282" s="213">
        <v>0</v>
      </c>
      <c r="AG282" s="213">
        <v>0</v>
      </c>
      <c r="AH282" s="213">
        <v>0</v>
      </c>
      <c r="AI282" s="213">
        <v>0</v>
      </c>
      <c r="AJ282" s="213">
        <v>0</v>
      </c>
      <c r="AK282" s="213">
        <v>0</v>
      </c>
      <c r="AL282" s="213">
        <v>0</v>
      </c>
      <c r="AM282" s="213">
        <v>0</v>
      </c>
      <c r="AN282" s="213">
        <v>0</v>
      </c>
      <c r="AO282" s="213">
        <v>0</v>
      </c>
      <c r="AP282" s="213">
        <v>0</v>
      </c>
      <c r="AQ282" s="213">
        <v>0</v>
      </c>
      <c r="AR282" s="213">
        <v>0</v>
      </c>
      <c r="AS282" s="213">
        <v>0</v>
      </c>
      <c r="AT282" s="213">
        <v>0</v>
      </c>
      <c r="AU282" s="213">
        <v>0</v>
      </c>
      <c r="AV282" s="213">
        <v>0</v>
      </c>
      <c r="AW282" s="213">
        <v>0</v>
      </c>
      <c r="AX282" s="213">
        <v>0</v>
      </c>
      <c r="AY282" s="213">
        <v>0</v>
      </c>
      <c r="AZ282" s="213">
        <v>0</v>
      </c>
      <c r="BA282" s="213">
        <v>0</v>
      </c>
      <c r="BB282" s="213">
        <v>0</v>
      </c>
      <c r="BC282" s="213">
        <v>0</v>
      </c>
    </row>
    <row r="283" spans="1:55" x14ac:dyDescent="0.25">
      <c r="A283" s="209" t="s">
        <v>475</v>
      </c>
      <c r="B283" s="210" t="s">
        <v>476</v>
      </c>
      <c r="C283" t="s">
        <v>2</v>
      </c>
      <c r="D283" t="s">
        <v>404</v>
      </c>
      <c r="E283" t="s">
        <v>508</v>
      </c>
      <c r="F283" s="211">
        <v>2493</v>
      </c>
      <c r="G283" t="s">
        <v>479</v>
      </c>
      <c r="H283" s="213">
        <v>0</v>
      </c>
      <c r="I283" s="213">
        <v>0</v>
      </c>
      <c r="J283" s="213">
        <v>0</v>
      </c>
      <c r="K283" s="213">
        <v>0</v>
      </c>
      <c r="L283" s="213">
        <v>0</v>
      </c>
      <c r="M283" s="213">
        <v>0</v>
      </c>
      <c r="N283" s="213">
        <v>0</v>
      </c>
      <c r="O283" s="213">
        <v>0</v>
      </c>
      <c r="P283" s="213">
        <v>0</v>
      </c>
      <c r="Q283" s="213">
        <v>0</v>
      </c>
      <c r="R283" s="213">
        <v>0</v>
      </c>
      <c r="S283" s="213">
        <v>0</v>
      </c>
      <c r="T283" s="213">
        <v>0</v>
      </c>
      <c r="U283" s="213">
        <v>0</v>
      </c>
      <c r="V283" s="213">
        <v>0</v>
      </c>
      <c r="W283" s="213">
        <v>0</v>
      </c>
      <c r="X283" s="213">
        <v>0</v>
      </c>
      <c r="Y283" s="213">
        <v>0</v>
      </c>
      <c r="Z283" s="213">
        <v>0</v>
      </c>
      <c r="AA283" s="213">
        <v>0</v>
      </c>
      <c r="AB283" s="213">
        <v>0</v>
      </c>
      <c r="AC283" s="213">
        <v>0</v>
      </c>
      <c r="AD283" s="213">
        <v>0</v>
      </c>
      <c r="AE283" s="213">
        <v>0</v>
      </c>
      <c r="AF283" s="213">
        <v>0</v>
      </c>
      <c r="AG283" s="213">
        <v>0</v>
      </c>
      <c r="AH283" s="213">
        <v>0</v>
      </c>
      <c r="AI283" s="213">
        <v>0</v>
      </c>
      <c r="AJ283" s="213">
        <v>0</v>
      </c>
      <c r="AK283" s="213">
        <v>0</v>
      </c>
      <c r="AL283" s="213">
        <v>0</v>
      </c>
      <c r="AM283" s="213">
        <v>0</v>
      </c>
      <c r="AN283" s="213">
        <v>0</v>
      </c>
      <c r="AO283" s="213">
        <v>0</v>
      </c>
      <c r="AP283" s="213">
        <v>0</v>
      </c>
      <c r="AQ283" s="213">
        <v>0</v>
      </c>
      <c r="AR283" s="213">
        <v>0</v>
      </c>
      <c r="AS283" s="213">
        <v>0</v>
      </c>
      <c r="AT283" s="213">
        <v>0</v>
      </c>
      <c r="AU283" s="213">
        <v>0</v>
      </c>
      <c r="AV283" s="213">
        <v>0</v>
      </c>
      <c r="AW283" s="213">
        <v>0</v>
      </c>
      <c r="AX283" s="213">
        <v>0</v>
      </c>
      <c r="AY283" s="213">
        <v>0</v>
      </c>
      <c r="AZ283" s="213">
        <v>0</v>
      </c>
      <c r="BA283" s="213">
        <v>0</v>
      </c>
      <c r="BB283" s="213">
        <v>0</v>
      </c>
      <c r="BC283" s="213">
        <v>0</v>
      </c>
    </row>
    <row r="284" spans="1:55" x14ac:dyDescent="0.25">
      <c r="A284" s="209" t="s">
        <v>475</v>
      </c>
      <c r="B284" s="210" t="s">
        <v>476</v>
      </c>
      <c r="C284" t="s">
        <v>2</v>
      </c>
      <c r="D284" t="s">
        <v>404</v>
      </c>
      <c r="E284" t="s">
        <v>508</v>
      </c>
      <c r="F284" s="211">
        <v>8200</v>
      </c>
      <c r="G284" t="s">
        <v>480</v>
      </c>
      <c r="H284" s="213">
        <v>0</v>
      </c>
      <c r="I284" s="213">
        <v>0</v>
      </c>
      <c r="J284" s="213">
        <v>0</v>
      </c>
      <c r="K284" s="213">
        <v>0</v>
      </c>
      <c r="L284" s="213">
        <v>0</v>
      </c>
      <c r="M284" s="213">
        <v>0</v>
      </c>
      <c r="N284" s="213">
        <v>0</v>
      </c>
      <c r="O284" s="213">
        <v>0</v>
      </c>
      <c r="P284" s="213">
        <v>0</v>
      </c>
      <c r="Q284" s="213">
        <v>0</v>
      </c>
      <c r="R284" s="213">
        <v>0</v>
      </c>
      <c r="S284" s="213">
        <v>297.38</v>
      </c>
      <c r="T284" s="213">
        <v>0</v>
      </c>
      <c r="U284" s="213">
        <v>0</v>
      </c>
      <c r="V284" s="213">
        <v>0</v>
      </c>
      <c r="W284" s="213">
        <v>0</v>
      </c>
      <c r="X284" s="213">
        <v>0</v>
      </c>
      <c r="Y284" s="213">
        <v>0</v>
      </c>
      <c r="Z284" s="213">
        <v>0</v>
      </c>
      <c r="AA284" s="213">
        <v>0</v>
      </c>
      <c r="AB284" s="213">
        <v>0</v>
      </c>
      <c r="AC284" s="213">
        <v>0</v>
      </c>
      <c r="AD284" s="213">
        <v>0</v>
      </c>
      <c r="AE284" s="213">
        <v>0</v>
      </c>
      <c r="AF284" s="213">
        <v>0</v>
      </c>
      <c r="AG284" s="213">
        <v>0</v>
      </c>
      <c r="AH284" s="213">
        <v>0</v>
      </c>
      <c r="AI284" s="213">
        <v>0</v>
      </c>
      <c r="AJ284" s="213">
        <v>-15809.57</v>
      </c>
      <c r="AK284" s="213">
        <v>0</v>
      </c>
      <c r="AL284" s="213">
        <v>-8410.68</v>
      </c>
      <c r="AM284" s="213" t="s">
        <v>90</v>
      </c>
      <c r="AN284" s="213">
        <v>0</v>
      </c>
      <c r="AO284" s="213">
        <v>0</v>
      </c>
      <c r="AP284" s="213">
        <v>0</v>
      </c>
      <c r="AQ284" s="213">
        <v>0</v>
      </c>
      <c r="AR284" s="213">
        <v>0</v>
      </c>
      <c r="AS284" s="213">
        <v>0</v>
      </c>
      <c r="AT284" s="213">
        <v>0</v>
      </c>
      <c r="AU284" s="213">
        <v>0</v>
      </c>
      <c r="AV284" s="213">
        <v>0</v>
      </c>
      <c r="AW284" s="213">
        <v>0</v>
      </c>
      <c r="AX284" s="213">
        <v>0</v>
      </c>
      <c r="AY284" s="213">
        <v>0</v>
      </c>
      <c r="AZ284" s="213">
        <v>0</v>
      </c>
      <c r="BA284" s="213">
        <v>0</v>
      </c>
      <c r="BB284" s="213">
        <v>0</v>
      </c>
      <c r="BC284" s="213">
        <v>0</v>
      </c>
    </row>
    <row r="285" spans="1:55" x14ac:dyDescent="0.25">
      <c r="A285" s="209" t="s">
        <v>475</v>
      </c>
      <c r="B285" s="210" t="s">
        <v>476</v>
      </c>
      <c r="C285" t="s">
        <v>2</v>
      </c>
      <c r="D285" t="s">
        <v>404</v>
      </c>
      <c r="E285" t="s">
        <v>508</v>
      </c>
      <c r="F285" s="211">
        <v>8200</v>
      </c>
      <c r="G285" t="s">
        <v>480</v>
      </c>
      <c r="H285" s="213">
        <v>0</v>
      </c>
      <c r="I285" s="213">
        <v>0</v>
      </c>
      <c r="J285" s="213">
        <v>0</v>
      </c>
      <c r="K285" s="213">
        <v>0</v>
      </c>
      <c r="L285" s="213">
        <v>0</v>
      </c>
      <c r="M285" s="213">
        <v>0</v>
      </c>
      <c r="N285" s="213">
        <v>0</v>
      </c>
      <c r="O285" s="213">
        <v>0</v>
      </c>
      <c r="P285" s="213">
        <v>0</v>
      </c>
      <c r="Q285" s="213">
        <v>0</v>
      </c>
      <c r="R285" s="213">
        <v>0</v>
      </c>
      <c r="S285" s="213">
        <v>0</v>
      </c>
      <c r="T285" s="213">
        <v>0</v>
      </c>
      <c r="U285" s="213">
        <v>0</v>
      </c>
      <c r="V285" s="213">
        <v>0</v>
      </c>
      <c r="W285" s="213">
        <v>0</v>
      </c>
      <c r="X285" s="213">
        <v>0</v>
      </c>
      <c r="Y285" s="213">
        <v>0</v>
      </c>
      <c r="Z285" s="213">
        <v>0</v>
      </c>
      <c r="AA285" s="213">
        <v>0</v>
      </c>
      <c r="AB285" s="213">
        <v>0</v>
      </c>
      <c r="AC285" s="213">
        <v>0</v>
      </c>
      <c r="AD285" s="213">
        <v>0</v>
      </c>
      <c r="AE285" s="213">
        <v>0</v>
      </c>
      <c r="AF285" s="213">
        <v>0</v>
      </c>
      <c r="AG285" s="213">
        <v>0</v>
      </c>
      <c r="AH285" s="213">
        <v>0</v>
      </c>
      <c r="AI285" s="213">
        <v>0</v>
      </c>
      <c r="AJ285" s="213">
        <v>0</v>
      </c>
      <c r="AK285" s="213">
        <v>0</v>
      </c>
      <c r="AL285" s="213">
        <v>0</v>
      </c>
      <c r="AM285" s="213">
        <v>0</v>
      </c>
      <c r="AN285" s="213">
        <v>0</v>
      </c>
      <c r="AO285" s="213">
        <v>0</v>
      </c>
      <c r="AP285" s="213">
        <v>0</v>
      </c>
      <c r="AQ285" s="213">
        <v>0</v>
      </c>
      <c r="AR285" s="213">
        <v>0</v>
      </c>
      <c r="AS285" s="213">
        <v>0</v>
      </c>
      <c r="AT285" s="213">
        <v>0</v>
      </c>
      <c r="AU285" s="213">
        <v>0</v>
      </c>
      <c r="AV285" s="213">
        <v>0</v>
      </c>
      <c r="AW285" s="213">
        <v>0</v>
      </c>
      <c r="AX285" s="213">
        <v>0</v>
      </c>
      <c r="AY285" s="213">
        <v>0</v>
      </c>
      <c r="AZ285" s="213">
        <v>0</v>
      </c>
      <c r="BA285" s="213">
        <v>0</v>
      </c>
      <c r="BB285" s="213">
        <v>0</v>
      </c>
      <c r="BC285" s="213">
        <v>0</v>
      </c>
    </row>
    <row r="286" spans="1:55" x14ac:dyDescent="0.25">
      <c r="A286" s="209" t="s">
        <v>475</v>
      </c>
      <c r="B286" s="210" t="s">
        <v>476</v>
      </c>
      <c r="C286" t="s">
        <v>2</v>
      </c>
      <c r="D286" t="s">
        <v>404</v>
      </c>
      <c r="E286" t="s">
        <v>508</v>
      </c>
      <c r="F286" s="211">
        <v>8200</v>
      </c>
      <c r="G286" t="s">
        <v>480</v>
      </c>
      <c r="H286" s="214">
        <v>0</v>
      </c>
      <c r="I286" s="214">
        <v>0</v>
      </c>
      <c r="J286" s="214">
        <v>0</v>
      </c>
      <c r="K286" s="214">
        <v>0</v>
      </c>
      <c r="L286" s="214">
        <v>0</v>
      </c>
      <c r="M286" s="214">
        <v>0</v>
      </c>
      <c r="N286" s="214">
        <v>0</v>
      </c>
      <c r="O286" s="214">
        <v>0</v>
      </c>
      <c r="P286" s="214">
        <v>0</v>
      </c>
      <c r="Q286" s="214">
        <v>0</v>
      </c>
      <c r="R286" s="214">
        <v>0</v>
      </c>
      <c r="S286" s="214">
        <v>0</v>
      </c>
      <c r="T286" s="214">
        <v>0</v>
      </c>
      <c r="U286" s="214">
        <v>0</v>
      </c>
      <c r="V286" s="214">
        <v>0</v>
      </c>
      <c r="W286" s="214">
        <v>0</v>
      </c>
      <c r="X286" s="214">
        <v>0</v>
      </c>
      <c r="Y286" s="214">
        <v>0</v>
      </c>
      <c r="Z286" s="214">
        <v>0</v>
      </c>
      <c r="AA286" s="214">
        <v>0</v>
      </c>
      <c r="AB286" s="214">
        <v>0</v>
      </c>
      <c r="AC286" s="214">
        <v>0</v>
      </c>
      <c r="AD286" s="214">
        <v>0</v>
      </c>
      <c r="AE286" s="214">
        <v>0</v>
      </c>
      <c r="AF286" s="214">
        <v>0</v>
      </c>
      <c r="AG286" s="214">
        <v>0</v>
      </c>
      <c r="AH286" s="214">
        <v>0</v>
      </c>
      <c r="AI286" s="214">
        <v>0</v>
      </c>
      <c r="AJ286" s="214">
        <v>0</v>
      </c>
      <c r="AK286" s="214">
        <v>0</v>
      </c>
      <c r="AL286" s="214">
        <v>0</v>
      </c>
      <c r="AM286" s="214">
        <v>0</v>
      </c>
      <c r="AN286" s="214">
        <v>0</v>
      </c>
      <c r="AO286" s="214">
        <v>0</v>
      </c>
      <c r="AP286" s="214">
        <v>0</v>
      </c>
      <c r="AQ286" s="214">
        <v>0</v>
      </c>
      <c r="AR286" s="214">
        <v>0</v>
      </c>
      <c r="AS286" s="214">
        <v>0</v>
      </c>
      <c r="AT286" s="214">
        <v>0</v>
      </c>
      <c r="AU286" s="214">
        <v>0</v>
      </c>
      <c r="AV286" s="214">
        <v>0</v>
      </c>
      <c r="AW286" s="214">
        <v>0</v>
      </c>
      <c r="AX286" s="214">
        <v>0</v>
      </c>
      <c r="AY286" s="214">
        <v>0</v>
      </c>
      <c r="AZ286" s="214">
        <v>0</v>
      </c>
      <c r="BA286" s="214">
        <v>0</v>
      </c>
      <c r="BB286" s="214">
        <v>0</v>
      </c>
      <c r="BC286" s="214">
        <v>0</v>
      </c>
    </row>
    <row r="287" spans="1:55" x14ac:dyDescent="0.25">
      <c r="A287" s="209"/>
      <c r="B287" s="210"/>
      <c r="F287" s="211"/>
      <c r="H287" s="216">
        <f>SUM(H276:H286)</f>
        <v>-30550.36</v>
      </c>
      <c r="I287" s="216">
        <f t="shared" ref="I287:AE287" si="89">SUM(I276:I286)</f>
        <v>-4677.5299999999988</v>
      </c>
      <c r="J287" s="216">
        <f t="shared" si="89"/>
        <v>-7285.4100000000035</v>
      </c>
      <c r="K287" s="216">
        <f t="shared" si="89"/>
        <v>-15841.750000000002</v>
      </c>
      <c r="L287" s="216">
        <f t="shared" si="89"/>
        <v>-34546.030000000006</v>
      </c>
      <c r="M287" s="216">
        <f t="shared" si="89"/>
        <v>-34759.709999999992</v>
      </c>
      <c r="N287" s="216">
        <f t="shared" si="89"/>
        <v>-36546.14</v>
      </c>
      <c r="O287" s="216">
        <f t="shared" si="89"/>
        <v>-104923.67000000001</v>
      </c>
      <c r="P287" s="216">
        <f t="shared" si="89"/>
        <v>-94079.14</v>
      </c>
      <c r="Q287" s="216">
        <f t="shared" si="89"/>
        <v>-106999.91</v>
      </c>
      <c r="R287" s="216">
        <f t="shared" si="89"/>
        <v>-101996.27</v>
      </c>
      <c r="S287" s="216">
        <f t="shared" si="89"/>
        <v>1737.85</v>
      </c>
      <c r="T287" s="216">
        <f t="shared" si="89"/>
        <v>-1371.33</v>
      </c>
      <c r="U287" s="216">
        <f t="shared" si="89"/>
        <v>-3187.89</v>
      </c>
      <c r="V287" s="216">
        <f t="shared" si="89"/>
        <v>977.26</v>
      </c>
      <c r="W287" s="216">
        <f t="shared" si="89"/>
        <v>7241.15</v>
      </c>
      <c r="X287" s="216">
        <f t="shared" si="89"/>
        <v>-7825.4</v>
      </c>
      <c r="Y287" s="216">
        <f t="shared" si="89"/>
        <v>9363.64</v>
      </c>
      <c r="Z287" s="216">
        <f t="shared" si="89"/>
        <v>-8973.0899999999965</v>
      </c>
      <c r="AA287" s="216">
        <f t="shared" si="89"/>
        <v>-49648.27</v>
      </c>
      <c r="AB287" s="216">
        <f t="shared" si="89"/>
        <v>-8508.09</v>
      </c>
      <c r="AC287" s="216">
        <f t="shared" si="89"/>
        <v>-47069.049999999996</v>
      </c>
      <c r="AD287" s="216">
        <f t="shared" si="89"/>
        <v>-68918.02</v>
      </c>
      <c r="AE287" s="216">
        <f t="shared" si="89"/>
        <v>61830.430000000008</v>
      </c>
      <c r="AF287" s="216">
        <f>SUM(AF276:AF286)</f>
        <v>-31441.979999999996</v>
      </c>
      <c r="AG287" s="216">
        <f t="shared" ref="AG287:AQ287" si="90">SUM(AG276:AG286)</f>
        <v>14819.32</v>
      </c>
      <c r="AH287" s="216">
        <f t="shared" si="90"/>
        <v>-87583.16</v>
      </c>
      <c r="AI287" s="216">
        <f t="shared" si="90"/>
        <v>-5330.7099999999991</v>
      </c>
      <c r="AJ287" s="216">
        <f t="shared" si="90"/>
        <v>-26762.43</v>
      </c>
      <c r="AK287" s="216">
        <f t="shared" si="90"/>
        <v>13189.15</v>
      </c>
      <c r="AL287" s="216">
        <f t="shared" si="90"/>
        <v>537.7599999999984</v>
      </c>
      <c r="AM287" s="216">
        <f t="shared" si="90"/>
        <v>4099.79</v>
      </c>
      <c r="AN287" s="216">
        <f t="shared" si="90"/>
        <v>24662.79</v>
      </c>
      <c r="AO287" s="216">
        <f t="shared" si="90"/>
        <v>11784.289999999999</v>
      </c>
      <c r="AP287" s="216">
        <f t="shared" si="90"/>
        <v>26102.62</v>
      </c>
      <c r="AQ287" s="216">
        <f t="shared" si="90"/>
        <v>40421.82</v>
      </c>
      <c r="AR287" s="216">
        <f>SUM(AR276:AR286)</f>
        <v>18277.990000000002</v>
      </c>
      <c r="AS287" s="216">
        <f t="shared" ref="AS287:BC287" si="91">SUM(AS276:AS286)</f>
        <v>28734.49</v>
      </c>
      <c r="AT287" s="216">
        <f t="shared" si="91"/>
        <v>30206.59</v>
      </c>
      <c r="AU287" s="216">
        <f t="shared" si="91"/>
        <v>6693.66</v>
      </c>
      <c r="AV287" s="216">
        <f t="shared" si="91"/>
        <v>0</v>
      </c>
      <c r="AW287" s="216">
        <f t="shared" si="91"/>
        <v>0</v>
      </c>
      <c r="AX287" s="216">
        <f t="shared" si="91"/>
        <v>0</v>
      </c>
      <c r="AY287" s="216">
        <f t="shared" si="91"/>
        <v>0</v>
      </c>
      <c r="AZ287" s="216">
        <f t="shared" si="91"/>
        <v>0</v>
      </c>
      <c r="BA287" s="216">
        <f t="shared" si="91"/>
        <v>0</v>
      </c>
      <c r="BB287" s="216">
        <f t="shared" si="91"/>
        <v>0</v>
      </c>
      <c r="BC287" s="216">
        <f t="shared" si="91"/>
        <v>0</v>
      </c>
    </row>
    <row r="289" spans="7:55" x14ac:dyDescent="0.25">
      <c r="G289" t="s">
        <v>482</v>
      </c>
      <c r="T289" s="16">
        <v>0</v>
      </c>
      <c r="U289" s="16">
        <v>0</v>
      </c>
      <c r="V289" s="16">
        <v>-1110006.19</v>
      </c>
      <c r="W289" s="16">
        <v>0</v>
      </c>
      <c r="X289" s="16">
        <v>0</v>
      </c>
      <c r="Y289" s="16">
        <v>-1743488.37</v>
      </c>
      <c r="Z289" s="16">
        <v>0</v>
      </c>
      <c r="AA289" s="16">
        <v>0</v>
      </c>
      <c r="AB289" s="16">
        <v>-1277349.83</v>
      </c>
      <c r="AC289" s="16">
        <v>0</v>
      </c>
      <c r="AD289" s="16">
        <v>0</v>
      </c>
      <c r="AE289" s="16">
        <v>-1917179.32</v>
      </c>
      <c r="AF289" s="16">
        <v>0</v>
      </c>
      <c r="AG289" s="16">
        <v>0</v>
      </c>
      <c r="AH289" s="16">
        <v>-1190457</v>
      </c>
      <c r="AI289" s="16">
        <v>0</v>
      </c>
      <c r="AJ289" s="16">
        <v>0</v>
      </c>
      <c r="AK289" s="16">
        <v>-1928475</v>
      </c>
      <c r="AL289" s="16">
        <v>0</v>
      </c>
      <c r="AM289" s="16">
        <v>0</v>
      </c>
      <c r="AN289" s="16">
        <v>-1924301.21</v>
      </c>
      <c r="AO289" s="16">
        <v>0</v>
      </c>
      <c r="AP289" s="16">
        <v>-838250.42</v>
      </c>
      <c r="AQ289" s="16">
        <v>-1673616.94</v>
      </c>
      <c r="AR289" s="16">
        <v>0</v>
      </c>
      <c r="AS289" s="16">
        <v>0</v>
      </c>
      <c r="AT289" s="16">
        <v>-2296760.92</v>
      </c>
      <c r="AU289" s="16">
        <v>0</v>
      </c>
      <c r="AV289" s="16">
        <v>0</v>
      </c>
      <c r="AW289" s="16">
        <v>0</v>
      </c>
      <c r="AX289" s="16">
        <v>0</v>
      </c>
      <c r="AY289" s="16">
        <v>0</v>
      </c>
      <c r="AZ289" s="16">
        <v>0</v>
      </c>
      <c r="BA289" s="16">
        <v>0</v>
      </c>
      <c r="BB289" s="16">
        <v>0</v>
      </c>
      <c r="BC289" s="16">
        <v>0</v>
      </c>
    </row>
    <row r="291" spans="7:55" ht="15.75" thickBot="1" x14ac:dyDescent="0.3">
      <c r="H291" s="219">
        <f>SUM(H287,H274,H261,H245,H235,H221,H207,H192,H182,H153,H135,H103,H86,H74,H89,H289)</f>
        <v>2916608.6499999994</v>
      </c>
      <c r="I291" s="219">
        <f t="shared" ref="I291:AE291" si="92">SUM(I287,I274,I261,I245,I235,I221,I207,I192,I182,I153,I135,I103,I86,I74,I89,I289)</f>
        <v>3308244.0400000005</v>
      </c>
      <c r="J291" s="219">
        <f t="shared" si="92"/>
        <v>3580206.7600000002</v>
      </c>
      <c r="K291" s="219">
        <f t="shared" si="92"/>
        <v>3108727.2099999995</v>
      </c>
      <c r="L291" s="219">
        <f t="shared" si="92"/>
        <v>3628554.2600000007</v>
      </c>
      <c r="M291" s="219">
        <f t="shared" si="92"/>
        <v>4002219.6400000006</v>
      </c>
      <c r="N291" s="219">
        <f t="shared" si="92"/>
        <v>4081224.1500000004</v>
      </c>
      <c r="O291" s="219">
        <f t="shared" si="92"/>
        <v>4455422.2700000005</v>
      </c>
      <c r="P291" s="219">
        <f t="shared" si="92"/>
        <v>5329529.63</v>
      </c>
      <c r="Q291" s="219">
        <f t="shared" si="92"/>
        <v>4652499.9699999988</v>
      </c>
      <c r="R291" s="219">
        <f t="shared" si="92"/>
        <v>4980983.33</v>
      </c>
      <c r="S291" s="219">
        <f t="shared" si="92"/>
        <v>6772728.8999999994</v>
      </c>
      <c r="T291" s="219">
        <f t="shared" si="92"/>
        <v>6168157.1000000006</v>
      </c>
      <c r="U291" s="219">
        <f t="shared" si="92"/>
        <v>5894032.3499999996</v>
      </c>
      <c r="V291" s="219">
        <f t="shared" si="92"/>
        <v>5649054.5099999998</v>
      </c>
      <c r="W291" s="219">
        <f t="shared" si="92"/>
        <v>6899951.5899999999</v>
      </c>
      <c r="X291" s="219">
        <f t="shared" si="92"/>
        <v>6957037.0600000005</v>
      </c>
      <c r="Y291" s="219">
        <f t="shared" si="92"/>
        <v>5321324.4800000004</v>
      </c>
      <c r="Z291" s="219">
        <f t="shared" si="92"/>
        <v>7071586.4500000002</v>
      </c>
      <c r="AA291" s="219">
        <f t="shared" si="92"/>
        <v>7521972.9299999988</v>
      </c>
      <c r="AB291" s="219">
        <f t="shared" si="92"/>
        <v>7055882.669999999</v>
      </c>
      <c r="AC291" s="219">
        <f t="shared" si="92"/>
        <v>7253177.7300000004</v>
      </c>
      <c r="AD291" s="219">
        <f t="shared" si="92"/>
        <v>8125972.8499999996</v>
      </c>
      <c r="AE291" s="219">
        <f t="shared" si="92"/>
        <v>6694243.2899999991</v>
      </c>
      <c r="AF291" s="219">
        <f>SUM(AF287,AF274,AF261,AF245,AF235,AF221,AF207,AF192,AF182,AF153,AF135,AF103,AF86,AF74,AF89,AF289)</f>
        <v>9178772.2199999988</v>
      </c>
      <c r="AG291" s="219">
        <f t="shared" ref="AG291:AQ291" si="93">SUM(AG287,AG274,AG261,AG245,AG235,AG221,AG207,AG192,AG182,AG153,AG135,AG103,AG86,AG74,AG89,AG289)</f>
        <v>7935949.7299999986</v>
      </c>
      <c r="AH291" s="219">
        <f t="shared" si="93"/>
        <v>7376348.8300000001</v>
      </c>
      <c r="AI291" s="219">
        <f t="shared" si="93"/>
        <v>8063737.4399999995</v>
      </c>
      <c r="AJ291" s="219">
        <f t="shared" si="93"/>
        <v>7690428.3999999994</v>
      </c>
      <c r="AK291" s="219">
        <f t="shared" si="93"/>
        <v>7565015.6900000013</v>
      </c>
      <c r="AL291" s="219">
        <f t="shared" si="93"/>
        <v>8124043.6699999999</v>
      </c>
      <c r="AM291" s="219">
        <f t="shared" si="93"/>
        <v>9003273.0800000001</v>
      </c>
      <c r="AN291" s="219">
        <f t="shared" si="93"/>
        <v>7364704.8500000006</v>
      </c>
      <c r="AO291" s="219">
        <f t="shared" si="93"/>
        <v>8828199.5199999996</v>
      </c>
      <c r="AP291" s="219">
        <f t="shared" si="93"/>
        <v>8423738.4299999997</v>
      </c>
      <c r="AQ291" s="219">
        <f t="shared" si="93"/>
        <v>9409301.2200000007</v>
      </c>
      <c r="AR291" s="219">
        <f>SUM(AR287,AR274,AR261,AR245,AR235,AR221,AR207,AR192,AR182,AR153,AR135,AR103,AR86,AR74,AR89,AR289)</f>
        <v>10825039.710000001</v>
      </c>
      <c r="AS291" s="219">
        <f t="shared" ref="AS291:BC291" si="94">SUM(AS287,AS274,AS261,AS245,AS235,AS221,AS207,AS192,AS182,AS153,AS135,AS103,AS86,AS74,AS89,AS289)</f>
        <v>11059794.850000001</v>
      </c>
      <c r="AT291" s="219">
        <f t="shared" si="94"/>
        <v>11626948.349999998</v>
      </c>
      <c r="AU291" s="219">
        <f t="shared" si="94"/>
        <v>13076226.73</v>
      </c>
      <c r="AV291" s="219">
        <f t="shared" si="94"/>
        <v>15194422.439915523</v>
      </c>
      <c r="AW291" s="219">
        <f t="shared" si="94"/>
        <v>15966605.610901341</v>
      </c>
      <c r="AX291" s="219">
        <f t="shared" si="94"/>
        <v>15253886.531562343</v>
      </c>
      <c r="AY291" s="219">
        <f t="shared" si="94"/>
        <v>16842307.588220604</v>
      </c>
      <c r="AZ291" s="219">
        <f t="shared" si="94"/>
        <v>19050959.565456755</v>
      </c>
      <c r="BA291" s="219">
        <f t="shared" si="94"/>
        <v>17059995.231300898</v>
      </c>
      <c r="BB291" s="219">
        <f t="shared" si="94"/>
        <v>18673819.12784674</v>
      </c>
      <c r="BC291" s="219">
        <f t="shared" si="94"/>
        <v>21445665.03214895</v>
      </c>
    </row>
    <row r="292" spans="7:55" ht="15.75" thickTop="1" x14ac:dyDescent="0.25">
      <c r="H292" s="20">
        <v>0</v>
      </c>
      <c r="I292" s="20">
        <v>0</v>
      </c>
      <c r="J292" s="20">
        <v>0</v>
      </c>
      <c r="K292" s="20">
        <v>0</v>
      </c>
      <c r="L292" s="20">
        <v>0</v>
      </c>
      <c r="M292" s="20">
        <v>0</v>
      </c>
      <c r="N292" s="20">
        <v>0</v>
      </c>
      <c r="O292" s="20">
        <v>0</v>
      </c>
      <c r="P292" s="20">
        <v>0</v>
      </c>
      <c r="Q292" s="20">
        <v>0</v>
      </c>
      <c r="R292" s="20">
        <v>0</v>
      </c>
      <c r="S292" s="20">
        <v>0</v>
      </c>
      <c r="T292" s="20">
        <v>0</v>
      </c>
      <c r="U292" s="20">
        <v>0</v>
      </c>
      <c r="V292" s="20">
        <v>0</v>
      </c>
      <c r="W292" s="20">
        <v>0</v>
      </c>
      <c r="X292" s="20">
        <v>0</v>
      </c>
      <c r="Y292" s="20">
        <v>0</v>
      </c>
      <c r="Z292" s="20">
        <v>0</v>
      </c>
      <c r="AA292" s="20">
        <v>0</v>
      </c>
      <c r="AB292" s="20">
        <v>0</v>
      </c>
      <c r="AC292" s="20">
        <v>0</v>
      </c>
      <c r="AD292" s="20">
        <v>0</v>
      </c>
      <c r="AE292" s="20">
        <v>0</v>
      </c>
      <c r="AF292" s="20">
        <v>0</v>
      </c>
      <c r="AG292" s="20">
        <v>0</v>
      </c>
      <c r="AH292" s="20">
        <v>0</v>
      </c>
      <c r="AI292" s="20">
        <v>0</v>
      </c>
      <c r="AJ292" s="20">
        <v>0</v>
      </c>
      <c r="AK292" s="20">
        <v>0</v>
      </c>
      <c r="AL292" s="20">
        <v>0</v>
      </c>
      <c r="AM292" s="20">
        <v>0</v>
      </c>
      <c r="AN292" s="20">
        <v>0</v>
      </c>
      <c r="AO292" s="20">
        <v>0</v>
      </c>
      <c r="AP292" s="20">
        <v>0</v>
      </c>
      <c r="AQ292" s="20">
        <v>0</v>
      </c>
      <c r="AR292" s="20">
        <v>0</v>
      </c>
      <c r="AS292" s="20">
        <v>0</v>
      </c>
      <c r="AT292" s="20">
        <v>0</v>
      </c>
      <c r="AU292" s="20">
        <v>0</v>
      </c>
      <c r="AV292" s="20">
        <v>0</v>
      </c>
      <c r="AW292" s="20">
        <v>0</v>
      </c>
      <c r="AX292" s="20">
        <v>0</v>
      </c>
      <c r="AY292" s="20">
        <v>0</v>
      </c>
      <c r="AZ292" s="20">
        <v>0</v>
      </c>
      <c r="BA292" s="20">
        <v>0</v>
      </c>
      <c r="BB292" s="20">
        <v>0</v>
      </c>
      <c r="BC292" s="20">
        <v>0</v>
      </c>
    </row>
  </sheetData>
  <autoFilter ref="A67:AR287" xr:uid="{442162EE-006A-4C62-B9F8-9BEDE41EE267}"/>
  <pageMargins left="0.7" right="0.7" top="0.75" bottom="0.75" header="0.3" footer="0.3"/>
  <pageSetup orientation="portrait" r:id="rId1"/>
  <legacy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B245E-3A41-DD45-B45F-0253548CF499}">
  <dimension ref="A1:Q177"/>
  <sheetViews>
    <sheetView topLeftCell="A136" workbookViewId="0">
      <selection activeCell="G115" sqref="G1:G1048576"/>
    </sheetView>
  </sheetViews>
  <sheetFormatPr defaultColWidth="8.85546875" defaultRowHeight="15" x14ac:dyDescent="0.25"/>
  <cols>
    <col min="1" max="1" width="11.85546875" customWidth="1"/>
    <col min="2" max="2" width="12.7109375" customWidth="1"/>
    <col min="3" max="10" width="10.7109375" customWidth="1"/>
    <col min="14" max="14" width="15.28515625" bestFit="1" customWidth="1"/>
    <col min="15" max="17" width="11.140625" bestFit="1" customWidth="1"/>
  </cols>
  <sheetData>
    <row r="1" spans="1:17" x14ac:dyDescent="0.25">
      <c r="A1" t="s">
        <v>604</v>
      </c>
      <c r="B1" t="s">
        <v>604</v>
      </c>
      <c r="C1" t="s">
        <v>582</v>
      </c>
      <c r="D1" t="s">
        <v>604</v>
      </c>
      <c r="E1" t="s">
        <v>22</v>
      </c>
      <c r="F1" t="s">
        <v>583</v>
      </c>
      <c r="G1" t="s">
        <v>584</v>
      </c>
      <c r="H1" t="s">
        <v>585</v>
      </c>
      <c r="I1" t="s">
        <v>603</v>
      </c>
      <c r="J1" t="s">
        <v>604</v>
      </c>
      <c r="N1" t="s">
        <v>605</v>
      </c>
      <c r="O1" t="s">
        <v>607</v>
      </c>
      <c r="P1" t="s">
        <v>608</v>
      </c>
      <c r="Q1" t="s">
        <v>609</v>
      </c>
    </row>
    <row r="2" spans="1:17" x14ac:dyDescent="0.25">
      <c r="A2" t="s">
        <v>586</v>
      </c>
      <c r="B2" t="s">
        <v>605</v>
      </c>
      <c r="C2" t="s">
        <v>606</v>
      </c>
      <c r="D2" t="s">
        <v>587</v>
      </c>
      <c r="E2" t="s">
        <v>587</v>
      </c>
      <c r="F2" t="s">
        <v>587</v>
      </c>
      <c r="G2" t="s">
        <v>587</v>
      </c>
      <c r="H2" t="s">
        <v>587</v>
      </c>
      <c r="I2" t="s">
        <v>587</v>
      </c>
      <c r="J2" t="s">
        <v>587</v>
      </c>
      <c r="N2" t="s">
        <v>586</v>
      </c>
      <c r="O2" t="s">
        <v>587</v>
      </c>
      <c r="P2" t="s">
        <v>587</v>
      </c>
      <c r="Q2" t="s">
        <v>587</v>
      </c>
    </row>
    <row r="3" spans="1:17" x14ac:dyDescent="0.25">
      <c r="A3" t="s">
        <v>588</v>
      </c>
      <c r="B3" t="s">
        <v>607</v>
      </c>
      <c r="C3" s="290">
        <v>42675</v>
      </c>
      <c r="D3" s="289"/>
      <c r="E3" s="289">
        <v>-1188</v>
      </c>
      <c r="F3" s="289"/>
      <c r="G3" s="289">
        <v>1572</v>
      </c>
      <c r="H3" s="289">
        <v>45000</v>
      </c>
      <c r="I3" s="289"/>
      <c r="J3" s="289"/>
      <c r="N3" t="s">
        <v>600</v>
      </c>
      <c r="O3" s="289">
        <v>17524136.410914999</v>
      </c>
      <c r="P3" s="289">
        <v>18664405.870000001</v>
      </c>
      <c r="Q3" s="289">
        <v>19631244.440000001</v>
      </c>
    </row>
    <row r="4" spans="1:17" x14ac:dyDescent="0.25">
      <c r="A4" t="s">
        <v>588</v>
      </c>
      <c r="B4" t="s">
        <v>608</v>
      </c>
      <c r="C4" s="290">
        <v>42675</v>
      </c>
      <c r="D4" s="289"/>
      <c r="E4" s="289"/>
      <c r="F4" s="289"/>
      <c r="G4" s="289"/>
      <c r="H4" s="289">
        <v>35400</v>
      </c>
      <c r="I4" s="289"/>
      <c r="J4" s="289"/>
      <c r="N4" t="s">
        <v>601</v>
      </c>
      <c r="O4" s="289">
        <v>18228652.373149</v>
      </c>
      <c r="P4" s="289">
        <v>20632642.381429002</v>
      </c>
      <c r="Q4" s="289">
        <v>21040022.25</v>
      </c>
    </row>
    <row r="5" spans="1:17" x14ac:dyDescent="0.25">
      <c r="A5" t="s">
        <v>588</v>
      </c>
      <c r="B5" t="s">
        <v>609</v>
      </c>
      <c r="C5" s="290">
        <v>42675</v>
      </c>
      <c r="D5" s="289"/>
      <c r="E5" s="289"/>
      <c r="F5" s="289"/>
      <c r="G5" s="289">
        <v>19800</v>
      </c>
      <c r="H5" s="289"/>
      <c r="I5" s="289"/>
      <c r="J5" s="289"/>
      <c r="N5" t="s">
        <v>602</v>
      </c>
      <c r="O5" s="289">
        <v>20604136.826187</v>
      </c>
      <c r="P5" s="289">
        <v>23138299.835349001</v>
      </c>
      <c r="Q5" s="289">
        <v>22871813.649231002</v>
      </c>
    </row>
    <row r="6" spans="1:17" x14ac:dyDescent="0.25">
      <c r="A6" t="s">
        <v>588</v>
      </c>
      <c r="B6" t="s">
        <v>607</v>
      </c>
      <c r="C6" s="290">
        <v>42705</v>
      </c>
      <c r="D6" s="289">
        <v>0</v>
      </c>
      <c r="E6" s="289">
        <v>-9576</v>
      </c>
      <c r="F6" s="289"/>
      <c r="G6" s="289">
        <v>17124</v>
      </c>
      <c r="H6" s="289">
        <v>33362.629999999997</v>
      </c>
      <c r="I6" s="289"/>
      <c r="J6" s="289"/>
      <c r="N6" t="s">
        <v>334</v>
      </c>
      <c r="O6" s="289">
        <v>22340644.505196001</v>
      </c>
      <c r="P6" s="289">
        <v>25084015.739707999</v>
      </c>
      <c r="Q6" s="289">
        <v>25843471.979231</v>
      </c>
    </row>
    <row r="7" spans="1:17" x14ac:dyDescent="0.25">
      <c r="A7" t="s">
        <v>588</v>
      </c>
      <c r="B7" t="s">
        <v>608</v>
      </c>
      <c r="C7" s="290">
        <v>42705</v>
      </c>
      <c r="D7" s="289"/>
      <c r="E7" s="289">
        <v>-108000</v>
      </c>
      <c r="F7" s="289"/>
      <c r="G7" s="289"/>
      <c r="H7" s="289">
        <v>308963</v>
      </c>
      <c r="I7" s="289"/>
      <c r="J7" s="289"/>
      <c r="N7" t="s">
        <v>335</v>
      </c>
      <c r="O7" s="293">
        <v>25508107.217652</v>
      </c>
      <c r="P7" s="293">
        <v>28887778.617401</v>
      </c>
      <c r="Q7" s="293">
        <v>28090543.643297002</v>
      </c>
    </row>
    <row r="8" spans="1:17" x14ac:dyDescent="0.25">
      <c r="A8" t="s">
        <v>588</v>
      </c>
      <c r="B8" t="s">
        <v>609</v>
      </c>
      <c r="C8" s="290">
        <v>42705</v>
      </c>
      <c r="D8" s="289"/>
      <c r="E8" s="289"/>
      <c r="F8" s="289"/>
      <c r="G8" s="289">
        <v>158000</v>
      </c>
      <c r="H8" s="289">
        <v>21000</v>
      </c>
      <c r="I8" s="289"/>
      <c r="J8" s="289"/>
      <c r="N8" t="s">
        <v>336</v>
      </c>
      <c r="O8" s="289">
        <v>27980246.206048001</v>
      </c>
      <c r="P8" s="289">
        <v>31379245.637026999</v>
      </c>
      <c r="Q8" s="289">
        <v>30458286.363297001</v>
      </c>
    </row>
    <row r="9" spans="1:17" x14ac:dyDescent="0.25">
      <c r="A9" t="s">
        <v>588</v>
      </c>
      <c r="B9" t="s">
        <v>607</v>
      </c>
      <c r="C9" s="290">
        <v>42736</v>
      </c>
      <c r="D9" s="289"/>
      <c r="E9" s="289">
        <v>-18450</v>
      </c>
      <c r="F9" s="289"/>
      <c r="G9" s="289">
        <v>10911.6</v>
      </c>
      <c r="H9" s="289">
        <v>259708.69</v>
      </c>
      <c r="I9" s="289"/>
      <c r="J9" s="289"/>
      <c r="N9" t="s">
        <v>337</v>
      </c>
      <c r="O9" s="289">
        <v>32002090.883999001</v>
      </c>
      <c r="P9" s="289">
        <v>34992812.363679998</v>
      </c>
      <c r="Q9" s="289">
        <v>35582449.878591001</v>
      </c>
    </row>
    <row r="10" spans="1:17" x14ac:dyDescent="0.25">
      <c r="A10" t="s">
        <v>588</v>
      </c>
      <c r="B10" t="s">
        <v>608</v>
      </c>
      <c r="C10" s="290">
        <v>42736</v>
      </c>
      <c r="D10" s="289"/>
      <c r="E10" s="289">
        <v>-7200</v>
      </c>
      <c r="F10" s="289"/>
      <c r="G10" s="289">
        <v>117850</v>
      </c>
      <c r="H10" s="289">
        <v>220115</v>
      </c>
      <c r="I10" s="289"/>
      <c r="J10" s="289"/>
      <c r="N10" t="s">
        <v>338</v>
      </c>
      <c r="O10" s="289">
        <v>32569340.124558002</v>
      </c>
      <c r="P10" s="289">
        <v>35623013.914979003</v>
      </c>
      <c r="Q10" s="289">
        <v>35674103.250538997</v>
      </c>
    </row>
    <row r="11" spans="1:17" x14ac:dyDescent="0.25">
      <c r="A11" t="s">
        <v>588</v>
      </c>
      <c r="B11" t="s">
        <v>609</v>
      </c>
      <c r="C11" s="290">
        <v>42736</v>
      </c>
      <c r="D11" s="289"/>
      <c r="E11" s="289"/>
      <c r="F11" s="289">
        <v>-51375</v>
      </c>
      <c r="G11" s="289">
        <v>41625</v>
      </c>
      <c r="H11" s="289">
        <v>18166</v>
      </c>
      <c r="I11" s="289"/>
      <c r="J11" s="289"/>
    </row>
    <row r="12" spans="1:17" x14ac:dyDescent="0.25">
      <c r="A12" t="s">
        <v>589</v>
      </c>
      <c r="B12" t="s">
        <v>607</v>
      </c>
      <c r="C12" s="290">
        <v>42767</v>
      </c>
      <c r="D12" s="289"/>
      <c r="E12" s="289">
        <v>-1188</v>
      </c>
      <c r="F12" s="289"/>
      <c r="G12" s="289">
        <v>15540</v>
      </c>
      <c r="H12" s="289">
        <v>68785.710000000006</v>
      </c>
      <c r="I12" s="289"/>
      <c r="J12" s="289"/>
    </row>
    <row r="13" spans="1:17" x14ac:dyDescent="0.25">
      <c r="A13" t="s">
        <v>589</v>
      </c>
      <c r="B13" t="s">
        <v>608</v>
      </c>
      <c r="C13" s="290">
        <v>42767</v>
      </c>
      <c r="D13" s="289"/>
      <c r="E13" s="289"/>
      <c r="F13" s="289"/>
      <c r="G13" s="289"/>
      <c r="H13" s="289">
        <v>52200</v>
      </c>
      <c r="I13" s="289"/>
      <c r="J13" s="289"/>
    </row>
    <row r="14" spans="1:17" x14ac:dyDescent="0.25">
      <c r="A14" t="s">
        <v>589</v>
      </c>
      <c r="B14" t="s">
        <v>607</v>
      </c>
      <c r="C14" s="290">
        <v>42795</v>
      </c>
      <c r="D14" s="289"/>
      <c r="E14" s="289">
        <v>-24588</v>
      </c>
      <c r="F14" s="289"/>
      <c r="G14" s="289">
        <v>12780</v>
      </c>
      <c r="H14" s="289">
        <v>211950</v>
      </c>
      <c r="I14" s="289"/>
      <c r="J14" s="289"/>
    </row>
    <row r="15" spans="1:17" x14ac:dyDescent="0.25">
      <c r="A15" t="s">
        <v>589</v>
      </c>
      <c r="B15" t="s">
        <v>608</v>
      </c>
      <c r="C15" s="290">
        <v>42795</v>
      </c>
      <c r="D15" s="289"/>
      <c r="E15" s="289">
        <v>-20640</v>
      </c>
      <c r="F15" s="289"/>
      <c r="G15" s="289">
        <v>72000</v>
      </c>
      <c r="H15" s="289">
        <v>46361</v>
      </c>
      <c r="I15" s="289"/>
      <c r="J15" s="289"/>
    </row>
    <row r="16" spans="1:17" x14ac:dyDescent="0.25">
      <c r="A16" t="s">
        <v>589</v>
      </c>
      <c r="B16" t="s">
        <v>609</v>
      </c>
      <c r="C16" s="290">
        <v>42795</v>
      </c>
      <c r="D16" s="289"/>
      <c r="E16" s="289"/>
      <c r="F16" s="289">
        <v>-4800</v>
      </c>
      <c r="G16" s="289">
        <v>332946</v>
      </c>
      <c r="H16" s="289">
        <v>331900</v>
      </c>
      <c r="I16" s="289"/>
      <c r="J16" s="289"/>
    </row>
    <row r="17" spans="1:10" x14ac:dyDescent="0.25">
      <c r="A17" t="s">
        <v>589</v>
      </c>
      <c r="B17" t="s">
        <v>607</v>
      </c>
      <c r="C17" s="290">
        <v>42826</v>
      </c>
      <c r="D17" s="289"/>
      <c r="E17" s="289">
        <v>-13200</v>
      </c>
      <c r="F17" s="289">
        <v>-2250</v>
      </c>
      <c r="G17" s="289">
        <v>20750</v>
      </c>
      <c r="H17" s="289">
        <v>210045</v>
      </c>
      <c r="I17" s="289"/>
      <c r="J17" s="289"/>
    </row>
    <row r="18" spans="1:10" x14ac:dyDescent="0.25">
      <c r="A18" t="s">
        <v>589</v>
      </c>
      <c r="B18" t="s">
        <v>608</v>
      </c>
      <c r="C18" s="290">
        <v>42826</v>
      </c>
      <c r="D18" s="289"/>
      <c r="E18" s="289"/>
      <c r="F18" s="289"/>
      <c r="G18" s="289">
        <v>38260</v>
      </c>
      <c r="H18" s="289">
        <v>27000</v>
      </c>
      <c r="I18" s="289"/>
      <c r="J18" s="289"/>
    </row>
    <row r="19" spans="1:10" x14ac:dyDescent="0.25">
      <c r="A19" t="s">
        <v>589</v>
      </c>
      <c r="B19" t="s">
        <v>609</v>
      </c>
      <c r="C19" s="290">
        <v>42826</v>
      </c>
      <c r="D19" s="289"/>
      <c r="E19" s="289"/>
      <c r="F19" s="289"/>
      <c r="G19" s="289">
        <v>169200</v>
      </c>
      <c r="H19" s="289">
        <v>178080</v>
      </c>
      <c r="I19" s="289"/>
      <c r="J19" s="289"/>
    </row>
    <row r="20" spans="1:10" x14ac:dyDescent="0.25">
      <c r="A20" t="s">
        <v>590</v>
      </c>
      <c r="B20" t="s">
        <v>607</v>
      </c>
      <c r="C20" s="290">
        <v>42856</v>
      </c>
      <c r="D20" s="289">
        <v>0</v>
      </c>
      <c r="E20" s="289">
        <v>-15000</v>
      </c>
      <c r="F20" s="289"/>
      <c r="G20" s="289">
        <v>7234</v>
      </c>
      <c r="H20" s="289">
        <v>30000</v>
      </c>
      <c r="I20" s="289"/>
      <c r="J20" s="289"/>
    </row>
    <row r="21" spans="1:10" x14ac:dyDescent="0.25">
      <c r="A21" t="s">
        <v>590</v>
      </c>
      <c r="B21" t="s">
        <v>608</v>
      </c>
      <c r="C21" s="290">
        <v>42856</v>
      </c>
      <c r="D21" s="289">
        <v>0</v>
      </c>
      <c r="E21" s="289"/>
      <c r="F21" s="289"/>
      <c r="G21" s="289">
        <v>22160</v>
      </c>
      <c r="H21" s="289">
        <v>55000</v>
      </c>
      <c r="I21" s="289"/>
      <c r="J21" s="289"/>
    </row>
    <row r="22" spans="1:10" x14ac:dyDescent="0.25">
      <c r="A22" t="s">
        <v>590</v>
      </c>
      <c r="B22" t="s">
        <v>609</v>
      </c>
      <c r="C22" s="290">
        <v>42856</v>
      </c>
      <c r="D22" s="289"/>
      <c r="E22" s="289"/>
      <c r="F22" s="289"/>
      <c r="G22" s="289">
        <v>68004</v>
      </c>
      <c r="H22" s="289">
        <v>68206</v>
      </c>
      <c r="I22" s="289"/>
      <c r="J22" s="289"/>
    </row>
    <row r="23" spans="1:10" x14ac:dyDescent="0.25">
      <c r="A23" t="s">
        <v>590</v>
      </c>
      <c r="B23" t="s">
        <v>607</v>
      </c>
      <c r="C23" s="290">
        <v>42887</v>
      </c>
      <c r="D23" s="289"/>
      <c r="E23" s="289">
        <v>-6000</v>
      </c>
      <c r="F23" s="289">
        <v>-6500</v>
      </c>
      <c r="G23" s="289">
        <v>52394</v>
      </c>
      <c r="H23" s="289">
        <v>114500</v>
      </c>
      <c r="I23" s="289"/>
      <c r="J23" s="289"/>
    </row>
    <row r="24" spans="1:10" x14ac:dyDescent="0.25">
      <c r="A24" t="s">
        <v>590</v>
      </c>
      <c r="B24" t="s">
        <v>608</v>
      </c>
      <c r="C24" s="290">
        <v>42887</v>
      </c>
      <c r="D24" s="289"/>
      <c r="E24" s="289">
        <v>-12000.6</v>
      </c>
      <c r="F24" s="289"/>
      <c r="G24" s="289">
        <v>28050</v>
      </c>
      <c r="H24" s="289">
        <v>237000</v>
      </c>
      <c r="I24" s="289"/>
      <c r="J24" s="289"/>
    </row>
    <row r="25" spans="1:10" x14ac:dyDescent="0.25">
      <c r="A25" t="s">
        <v>590</v>
      </c>
      <c r="B25" t="s">
        <v>609</v>
      </c>
      <c r="C25" s="290">
        <v>42887</v>
      </c>
      <c r="D25" s="289"/>
      <c r="E25" s="289"/>
      <c r="F25" s="289"/>
      <c r="G25" s="289">
        <v>72004</v>
      </c>
      <c r="H25" s="289">
        <v>44151</v>
      </c>
      <c r="I25" s="289"/>
      <c r="J25" s="289"/>
    </row>
    <row r="26" spans="1:10" x14ac:dyDescent="0.25">
      <c r="A26" t="s">
        <v>590</v>
      </c>
      <c r="B26" t="s">
        <v>607</v>
      </c>
      <c r="C26" s="290">
        <v>42917</v>
      </c>
      <c r="D26" s="289"/>
      <c r="E26" s="289"/>
      <c r="F26" s="289"/>
      <c r="G26" s="289">
        <v>22946.400000000001</v>
      </c>
      <c r="H26" s="289">
        <v>289650</v>
      </c>
      <c r="I26" s="289"/>
      <c r="J26" s="289"/>
    </row>
    <row r="27" spans="1:10" x14ac:dyDescent="0.25">
      <c r="A27" t="s">
        <v>590</v>
      </c>
      <c r="B27" t="s">
        <v>608</v>
      </c>
      <c r="C27" s="290">
        <v>42917</v>
      </c>
      <c r="D27" s="289"/>
      <c r="E27" s="289">
        <v>-18750</v>
      </c>
      <c r="F27" s="289"/>
      <c r="G27" s="289">
        <v>140500</v>
      </c>
      <c r="H27" s="289">
        <v>134500.6</v>
      </c>
      <c r="I27" s="289"/>
      <c r="J27" s="289"/>
    </row>
    <row r="28" spans="1:10" x14ac:dyDescent="0.25">
      <c r="A28" t="s">
        <v>590</v>
      </c>
      <c r="B28" t="s">
        <v>609</v>
      </c>
      <c r="C28" s="290">
        <v>42917</v>
      </c>
      <c r="D28" s="289"/>
      <c r="E28" s="289"/>
      <c r="F28" s="289"/>
      <c r="G28" s="289">
        <v>215500</v>
      </c>
      <c r="H28" s="289">
        <v>149500</v>
      </c>
      <c r="I28" s="289"/>
      <c r="J28" s="289"/>
    </row>
    <row r="29" spans="1:10" x14ac:dyDescent="0.25">
      <c r="A29" t="s">
        <v>591</v>
      </c>
      <c r="B29" t="s">
        <v>607</v>
      </c>
      <c r="C29" s="290">
        <v>42948</v>
      </c>
      <c r="D29" s="289"/>
      <c r="E29" s="289"/>
      <c r="F29" s="289"/>
      <c r="G29" s="289">
        <v>25625</v>
      </c>
      <c r="H29" s="289">
        <v>124483</v>
      </c>
      <c r="I29" s="289"/>
      <c r="J29" s="289"/>
    </row>
    <row r="30" spans="1:10" x14ac:dyDescent="0.25">
      <c r="A30" t="s">
        <v>591</v>
      </c>
      <c r="B30" t="s">
        <v>608</v>
      </c>
      <c r="C30" s="290">
        <v>42948</v>
      </c>
      <c r="D30" s="289"/>
      <c r="E30" s="289"/>
      <c r="F30" s="289"/>
      <c r="G30" s="289">
        <v>43440</v>
      </c>
      <c r="H30" s="289">
        <v>110000</v>
      </c>
      <c r="I30" s="289"/>
      <c r="J30" s="289"/>
    </row>
    <row r="31" spans="1:10" x14ac:dyDescent="0.25">
      <c r="A31" t="s">
        <v>591</v>
      </c>
      <c r="B31" t="s">
        <v>609</v>
      </c>
      <c r="C31" s="290">
        <v>42948</v>
      </c>
      <c r="D31" s="289"/>
      <c r="E31" s="289"/>
      <c r="F31" s="289"/>
      <c r="G31" s="289">
        <v>92600</v>
      </c>
      <c r="H31" s="289">
        <v>12000</v>
      </c>
      <c r="I31" s="289"/>
      <c r="J31" s="289"/>
    </row>
    <row r="32" spans="1:10" x14ac:dyDescent="0.25">
      <c r="A32" t="s">
        <v>591</v>
      </c>
      <c r="B32" t="s">
        <v>607</v>
      </c>
      <c r="C32" s="290">
        <v>42979</v>
      </c>
      <c r="D32" s="289"/>
      <c r="E32" s="289">
        <v>-17676</v>
      </c>
      <c r="F32" s="289"/>
      <c r="G32" s="289">
        <v>33700</v>
      </c>
      <c r="H32" s="289">
        <v>147063</v>
      </c>
      <c r="I32" s="289"/>
      <c r="J32" s="289"/>
    </row>
    <row r="33" spans="1:10" x14ac:dyDescent="0.25">
      <c r="A33" t="s">
        <v>591</v>
      </c>
      <c r="B33" t="s">
        <v>608</v>
      </c>
      <c r="C33" s="290">
        <v>42979</v>
      </c>
      <c r="D33" s="289"/>
      <c r="E33" s="289"/>
      <c r="F33" s="289"/>
      <c r="G33" s="289">
        <v>117082</v>
      </c>
      <c r="H33" s="289">
        <v>63850</v>
      </c>
      <c r="I33" s="289"/>
      <c r="J33" s="289"/>
    </row>
    <row r="34" spans="1:10" x14ac:dyDescent="0.25">
      <c r="A34" t="s">
        <v>591</v>
      </c>
      <c r="B34" t="s">
        <v>609</v>
      </c>
      <c r="C34" s="290">
        <v>42979</v>
      </c>
      <c r="D34" s="289"/>
      <c r="E34" s="289"/>
      <c r="F34" s="289"/>
      <c r="G34" s="289">
        <v>94576.5</v>
      </c>
      <c r="H34" s="289">
        <v>58000</v>
      </c>
      <c r="I34" s="289"/>
      <c r="J34" s="289"/>
    </row>
    <row r="35" spans="1:10" x14ac:dyDescent="0.25">
      <c r="A35" t="s">
        <v>591</v>
      </c>
      <c r="B35" t="s">
        <v>607</v>
      </c>
      <c r="C35" s="290">
        <v>43009</v>
      </c>
      <c r="D35" s="289"/>
      <c r="E35" s="289">
        <v>-63686</v>
      </c>
      <c r="F35" s="289">
        <v>-3000</v>
      </c>
      <c r="G35" s="289">
        <v>44750</v>
      </c>
      <c r="H35" s="289">
        <v>287562.71000000002</v>
      </c>
      <c r="I35" s="289"/>
      <c r="J35" s="289"/>
    </row>
    <row r="36" spans="1:10" x14ac:dyDescent="0.25">
      <c r="A36" t="s">
        <v>591</v>
      </c>
      <c r="B36" t="s">
        <v>608</v>
      </c>
      <c r="C36" s="290">
        <v>43009</v>
      </c>
      <c r="D36" s="289"/>
      <c r="E36" s="289"/>
      <c r="F36" s="289"/>
      <c r="G36" s="289">
        <v>126487.5</v>
      </c>
      <c r="H36" s="289">
        <v>246949</v>
      </c>
      <c r="I36" s="289"/>
      <c r="J36" s="289"/>
    </row>
    <row r="37" spans="1:10" x14ac:dyDescent="0.25">
      <c r="A37" t="s">
        <v>591</v>
      </c>
      <c r="B37" t="s">
        <v>609</v>
      </c>
      <c r="C37" s="290">
        <v>43009</v>
      </c>
      <c r="D37" s="289"/>
      <c r="E37" s="289">
        <v>-26372</v>
      </c>
      <c r="F37" s="289">
        <v>-4000</v>
      </c>
      <c r="G37" s="289">
        <v>369531.86</v>
      </c>
      <c r="H37" s="289">
        <v>359000</v>
      </c>
      <c r="I37" s="289"/>
      <c r="J37" s="289"/>
    </row>
    <row r="38" spans="1:10" x14ac:dyDescent="0.25">
      <c r="A38" t="s">
        <v>592</v>
      </c>
      <c r="B38" t="s">
        <v>607</v>
      </c>
      <c r="C38" s="290">
        <v>43040</v>
      </c>
      <c r="D38" s="289"/>
      <c r="E38" s="289">
        <v>-12036</v>
      </c>
      <c r="F38" s="289"/>
      <c r="G38" s="289">
        <v>42305</v>
      </c>
      <c r="H38" s="289">
        <v>222760</v>
      </c>
      <c r="I38" s="289"/>
      <c r="J38" s="289"/>
    </row>
    <row r="39" spans="1:10" x14ac:dyDescent="0.25">
      <c r="A39" t="s">
        <v>592</v>
      </c>
      <c r="B39" t="s">
        <v>608</v>
      </c>
      <c r="C39" s="290">
        <v>43040</v>
      </c>
      <c r="D39" s="289"/>
      <c r="E39" s="289"/>
      <c r="F39" s="289"/>
      <c r="G39" s="289">
        <v>51494.2</v>
      </c>
      <c r="H39" s="289">
        <v>89000</v>
      </c>
      <c r="I39" s="289"/>
      <c r="J39" s="289"/>
    </row>
    <row r="40" spans="1:10" x14ac:dyDescent="0.25">
      <c r="A40" t="s">
        <v>592</v>
      </c>
      <c r="B40" t="s">
        <v>609</v>
      </c>
      <c r="C40" s="290">
        <v>43040</v>
      </c>
      <c r="D40" s="289"/>
      <c r="E40" s="289"/>
      <c r="F40" s="289"/>
      <c r="G40" s="289">
        <v>191696</v>
      </c>
      <c r="H40" s="289">
        <v>92125</v>
      </c>
      <c r="I40" s="289"/>
      <c r="J40" s="289"/>
    </row>
    <row r="41" spans="1:10" x14ac:dyDescent="0.25">
      <c r="A41" t="s">
        <v>592</v>
      </c>
      <c r="B41" t="s">
        <v>607</v>
      </c>
      <c r="C41" s="290">
        <v>43070</v>
      </c>
      <c r="D41" s="289"/>
      <c r="E41" s="289">
        <v>-37130</v>
      </c>
      <c r="F41" s="289"/>
      <c r="G41" s="289">
        <v>45623.4</v>
      </c>
      <c r="H41" s="289">
        <v>314800</v>
      </c>
      <c r="I41" s="289"/>
      <c r="J41" s="289"/>
    </row>
    <row r="42" spans="1:10" x14ac:dyDescent="0.25">
      <c r="A42" t="s">
        <v>592</v>
      </c>
      <c r="B42" t="s">
        <v>608</v>
      </c>
      <c r="C42" s="290">
        <v>43070</v>
      </c>
      <c r="D42" s="289"/>
      <c r="E42" s="289"/>
      <c r="F42" s="289"/>
      <c r="G42" s="289">
        <v>124916.67</v>
      </c>
      <c r="H42" s="289">
        <v>425750</v>
      </c>
      <c r="I42" s="289"/>
      <c r="J42" s="289"/>
    </row>
    <row r="43" spans="1:10" x14ac:dyDescent="0.25">
      <c r="A43" t="s">
        <v>592</v>
      </c>
      <c r="B43" t="s">
        <v>609</v>
      </c>
      <c r="C43" s="290">
        <v>43070</v>
      </c>
      <c r="D43" s="289"/>
      <c r="E43" s="289"/>
      <c r="F43" s="289"/>
      <c r="G43" s="289">
        <v>220995</v>
      </c>
      <c r="H43" s="289">
        <v>36000</v>
      </c>
      <c r="I43" s="289"/>
      <c r="J43" s="289"/>
    </row>
    <row r="44" spans="1:10" x14ac:dyDescent="0.25">
      <c r="A44" t="s">
        <v>592</v>
      </c>
      <c r="B44" t="s">
        <v>607</v>
      </c>
      <c r="C44" s="290">
        <v>43101</v>
      </c>
      <c r="D44" s="289"/>
      <c r="E44" s="289">
        <v>-37106</v>
      </c>
      <c r="F44" s="289"/>
      <c r="G44" s="289">
        <v>29620</v>
      </c>
      <c r="H44" s="289">
        <v>445727.05</v>
      </c>
      <c r="I44" s="289"/>
      <c r="J44" s="289"/>
    </row>
    <row r="45" spans="1:10" x14ac:dyDescent="0.25">
      <c r="A45" t="s">
        <v>592</v>
      </c>
      <c r="B45" t="s">
        <v>608</v>
      </c>
      <c r="C45" s="290">
        <v>43101</v>
      </c>
      <c r="D45" s="289"/>
      <c r="E45" s="289">
        <v>-59400</v>
      </c>
      <c r="F45" s="289"/>
      <c r="G45" s="289">
        <v>314163.73</v>
      </c>
      <c r="H45" s="289">
        <v>501500</v>
      </c>
      <c r="I45" s="289"/>
      <c r="J45" s="289"/>
    </row>
    <row r="46" spans="1:10" x14ac:dyDescent="0.25">
      <c r="A46" t="s">
        <v>592</v>
      </c>
      <c r="B46" t="s">
        <v>609</v>
      </c>
      <c r="C46" s="290">
        <v>43101</v>
      </c>
      <c r="D46" s="289"/>
      <c r="E46" s="289">
        <v>-18166</v>
      </c>
      <c r="F46" s="289">
        <v>-14085</v>
      </c>
      <c r="G46" s="289">
        <v>180410</v>
      </c>
      <c r="H46" s="289">
        <v>121200</v>
      </c>
      <c r="I46" s="289"/>
      <c r="J46" s="289"/>
    </row>
    <row r="47" spans="1:10" x14ac:dyDescent="0.25">
      <c r="A47" t="s">
        <v>593</v>
      </c>
      <c r="B47" t="s">
        <v>607</v>
      </c>
      <c r="C47" s="290">
        <v>43132</v>
      </c>
      <c r="D47" s="289"/>
      <c r="E47" s="289">
        <v>-16286</v>
      </c>
      <c r="F47" s="289"/>
      <c r="G47" s="289">
        <v>10114</v>
      </c>
      <c r="H47" s="289">
        <v>78250</v>
      </c>
      <c r="I47" s="289"/>
      <c r="J47" s="289"/>
    </row>
    <row r="48" spans="1:10" x14ac:dyDescent="0.25">
      <c r="A48" t="s">
        <v>593</v>
      </c>
      <c r="B48" t="s">
        <v>608</v>
      </c>
      <c r="C48" s="290">
        <v>43132</v>
      </c>
      <c r="D48" s="289"/>
      <c r="E48" s="289">
        <v>-10800</v>
      </c>
      <c r="F48" s="289">
        <v>-27665</v>
      </c>
      <c r="G48" s="289">
        <v>78575</v>
      </c>
      <c r="H48" s="289">
        <v>65700</v>
      </c>
      <c r="I48" s="289"/>
      <c r="J48" s="289"/>
    </row>
    <row r="49" spans="1:10" x14ac:dyDescent="0.25">
      <c r="A49" t="s">
        <v>593</v>
      </c>
      <c r="B49" t="s">
        <v>609</v>
      </c>
      <c r="C49" s="290">
        <v>43132</v>
      </c>
      <c r="D49" s="289"/>
      <c r="E49" s="289"/>
      <c r="F49" s="289">
        <v>-7200</v>
      </c>
      <c r="G49" s="289"/>
      <c r="H49" s="289">
        <v>15000</v>
      </c>
      <c r="I49" s="289"/>
      <c r="J49" s="289"/>
    </row>
    <row r="50" spans="1:10" x14ac:dyDescent="0.25">
      <c r="A50" t="s">
        <v>593</v>
      </c>
      <c r="B50" t="s">
        <v>607</v>
      </c>
      <c r="C50" s="290">
        <v>43160</v>
      </c>
      <c r="D50" s="289"/>
      <c r="E50" s="289">
        <v>-52460</v>
      </c>
      <c r="F50" s="289">
        <v>-1050</v>
      </c>
      <c r="G50" s="289">
        <v>25400</v>
      </c>
      <c r="H50" s="289">
        <v>438175</v>
      </c>
      <c r="I50" s="289"/>
      <c r="J50" s="289"/>
    </row>
    <row r="51" spans="1:10" x14ac:dyDescent="0.25">
      <c r="A51" t="s">
        <v>593</v>
      </c>
      <c r="B51" t="s">
        <v>608</v>
      </c>
      <c r="C51" s="290">
        <v>43160</v>
      </c>
      <c r="D51" s="289"/>
      <c r="E51" s="289"/>
      <c r="F51" s="289">
        <v>0</v>
      </c>
      <c r="G51" s="289">
        <v>43500</v>
      </c>
      <c r="H51" s="289">
        <v>228500</v>
      </c>
      <c r="I51" s="289"/>
      <c r="J51" s="289"/>
    </row>
    <row r="52" spans="1:10" x14ac:dyDescent="0.25">
      <c r="A52" t="s">
        <v>593</v>
      </c>
      <c r="B52" t="s">
        <v>609</v>
      </c>
      <c r="C52" s="290">
        <v>43160</v>
      </c>
      <c r="D52" s="289"/>
      <c r="E52" s="289">
        <v>-24642</v>
      </c>
      <c r="F52" s="289"/>
      <c r="G52" s="289">
        <v>208124.5</v>
      </c>
      <c r="H52" s="289">
        <v>138333.32999999999</v>
      </c>
      <c r="I52" s="289"/>
      <c r="J52" s="289"/>
    </row>
    <row r="53" spans="1:10" x14ac:dyDescent="0.25">
      <c r="A53" t="s">
        <v>593</v>
      </c>
      <c r="B53" t="s">
        <v>607</v>
      </c>
      <c r="C53" s="290">
        <v>43191</v>
      </c>
      <c r="D53" s="289"/>
      <c r="E53" s="289">
        <v>-45900</v>
      </c>
      <c r="F53" s="289">
        <v>-20999.4</v>
      </c>
      <c r="G53" s="289">
        <v>50714</v>
      </c>
      <c r="H53" s="289">
        <v>518760.6</v>
      </c>
      <c r="I53" s="289"/>
      <c r="J53" s="289"/>
    </row>
    <row r="54" spans="1:10" x14ac:dyDescent="0.25">
      <c r="A54" t="s">
        <v>593</v>
      </c>
      <c r="B54" t="s">
        <v>608</v>
      </c>
      <c r="C54" s="290">
        <v>43191</v>
      </c>
      <c r="D54" s="289"/>
      <c r="E54" s="289">
        <v>-12000</v>
      </c>
      <c r="F54" s="289"/>
      <c r="G54" s="289">
        <v>85600</v>
      </c>
      <c r="H54" s="289">
        <v>648478</v>
      </c>
      <c r="I54" s="289"/>
      <c r="J54" s="289"/>
    </row>
    <row r="55" spans="1:10" x14ac:dyDescent="0.25">
      <c r="A55" t="s">
        <v>593</v>
      </c>
      <c r="B55" t="s">
        <v>609</v>
      </c>
      <c r="C55" s="290">
        <v>43191</v>
      </c>
      <c r="D55" s="289"/>
      <c r="E55" s="289">
        <v>-11457</v>
      </c>
      <c r="F55" s="289">
        <v>-20600</v>
      </c>
      <c r="G55" s="289">
        <v>568633.67000000004</v>
      </c>
      <c r="H55" s="289">
        <v>210750</v>
      </c>
      <c r="I55" s="289"/>
      <c r="J55" s="289"/>
    </row>
    <row r="56" spans="1:10" x14ac:dyDescent="0.25">
      <c r="A56" t="s">
        <v>594</v>
      </c>
      <c r="B56" t="s">
        <v>607</v>
      </c>
      <c r="C56" s="290">
        <v>43221</v>
      </c>
      <c r="D56" s="289"/>
      <c r="E56" s="289">
        <v>-28000</v>
      </c>
      <c r="F56" s="289">
        <v>-6000</v>
      </c>
      <c r="G56" s="289">
        <v>35700</v>
      </c>
      <c r="H56" s="289">
        <v>163840</v>
      </c>
      <c r="I56" s="289"/>
      <c r="J56" s="289"/>
    </row>
    <row r="57" spans="1:10" x14ac:dyDescent="0.25">
      <c r="A57" t="s">
        <v>594</v>
      </c>
      <c r="B57" t="s">
        <v>608</v>
      </c>
      <c r="C57" s="290">
        <v>43221</v>
      </c>
      <c r="D57" s="289"/>
      <c r="E57" s="289"/>
      <c r="F57" s="289">
        <v>-21000</v>
      </c>
      <c r="G57" s="289">
        <v>22383</v>
      </c>
      <c r="H57" s="289">
        <v>161613.43</v>
      </c>
      <c r="I57" s="289"/>
      <c r="J57" s="289"/>
    </row>
    <row r="58" spans="1:10" x14ac:dyDescent="0.25">
      <c r="A58" t="s">
        <v>594</v>
      </c>
      <c r="B58" t="s">
        <v>609</v>
      </c>
      <c r="C58" s="290">
        <v>43221</v>
      </c>
      <c r="D58" s="289"/>
      <c r="E58" s="289"/>
      <c r="F58" s="289"/>
      <c r="G58" s="289">
        <v>74365</v>
      </c>
      <c r="H58" s="289">
        <v>198700</v>
      </c>
      <c r="I58" s="289"/>
      <c r="J58" s="289"/>
    </row>
    <row r="59" spans="1:10" x14ac:dyDescent="0.25">
      <c r="A59" t="s">
        <v>594</v>
      </c>
      <c r="B59" t="s">
        <v>607</v>
      </c>
      <c r="C59" s="290">
        <v>43252</v>
      </c>
      <c r="D59" s="289"/>
      <c r="E59" s="289">
        <v>-15600</v>
      </c>
      <c r="F59" s="289">
        <v>-3500</v>
      </c>
      <c r="G59" s="289">
        <v>48860</v>
      </c>
      <c r="H59" s="289">
        <v>300140</v>
      </c>
      <c r="I59" s="289"/>
      <c r="J59" s="289"/>
    </row>
    <row r="60" spans="1:10" x14ac:dyDescent="0.25">
      <c r="A60" t="s">
        <v>594</v>
      </c>
      <c r="B60" t="s">
        <v>608</v>
      </c>
      <c r="C60" s="290">
        <v>43252</v>
      </c>
      <c r="D60" s="289"/>
      <c r="E60" s="289"/>
      <c r="F60" s="289"/>
      <c r="G60" s="289">
        <v>142000</v>
      </c>
      <c r="H60" s="289">
        <v>475946.68</v>
      </c>
      <c r="I60" s="289"/>
      <c r="J60" s="289"/>
    </row>
    <row r="61" spans="1:10" x14ac:dyDescent="0.25">
      <c r="A61" t="s">
        <v>594</v>
      </c>
      <c r="B61" t="s">
        <v>609</v>
      </c>
      <c r="C61" s="290">
        <v>43252</v>
      </c>
      <c r="D61" s="289"/>
      <c r="E61" s="289"/>
      <c r="F61" s="289"/>
      <c r="G61" s="289">
        <v>178800.3</v>
      </c>
      <c r="H61" s="289">
        <v>375916.67</v>
      </c>
      <c r="I61" s="289"/>
      <c r="J61" s="289"/>
    </row>
    <row r="62" spans="1:10" x14ac:dyDescent="0.25">
      <c r="A62" t="s">
        <v>594</v>
      </c>
      <c r="B62" t="s">
        <v>607</v>
      </c>
      <c r="C62" s="290">
        <v>43282</v>
      </c>
      <c r="D62" s="289"/>
      <c r="E62" s="289">
        <v>-22500</v>
      </c>
      <c r="F62" s="289">
        <v>-1500</v>
      </c>
      <c r="G62" s="289">
        <v>53425</v>
      </c>
      <c r="H62" s="289">
        <v>483859</v>
      </c>
      <c r="I62" s="289"/>
      <c r="J62" s="289"/>
    </row>
    <row r="63" spans="1:10" x14ac:dyDescent="0.25">
      <c r="A63" t="s">
        <v>594</v>
      </c>
      <c r="B63" t="s">
        <v>608</v>
      </c>
      <c r="C63" s="290">
        <v>43282</v>
      </c>
      <c r="D63" s="289"/>
      <c r="E63" s="289">
        <v>-18060</v>
      </c>
      <c r="F63" s="289"/>
      <c r="G63" s="289">
        <v>336951.72</v>
      </c>
      <c r="H63" s="289">
        <v>538000</v>
      </c>
      <c r="I63" s="289"/>
      <c r="J63" s="289"/>
    </row>
    <row r="64" spans="1:10" x14ac:dyDescent="0.25">
      <c r="A64" t="s">
        <v>594</v>
      </c>
      <c r="B64" t="s">
        <v>609</v>
      </c>
      <c r="C64" s="290">
        <v>43282</v>
      </c>
      <c r="D64" s="289"/>
      <c r="E64" s="289">
        <v>-159691</v>
      </c>
      <c r="F64" s="289"/>
      <c r="G64" s="289">
        <v>372478</v>
      </c>
      <c r="H64" s="289">
        <v>217000</v>
      </c>
      <c r="I64" s="289"/>
      <c r="J64" s="289"/>
    </row>
    <row r="65" spans="1:10" x14ac:dyDescent="0.25">
      <c r="A65" t="s">
        <v>595</v>
      </c>
      <c r="B65" t="s">
        <v>607</v>
      </c>
      <c r="C65" s="290">
        <v>43313</v>
      </c>
      <c r="D65" s="289"/>
      <c r="E65" s="289"/>
      <c r="F65" s="289"/>
      <c r="G65" s="289">
        <v>49260</v>
      </c>
      <c r="H65" s="289">
        <v>270916.67</v>
      </c>
      <c r="I65" s="289"/>
      <c r="J65" s="289"/>
    </row>
    <row r="66" spans="1:10" x14ac:dyDescent="0.25">
      <c r="A66" t="s">
        <v>595</v>
      </c>
      <c r="B66" t="s">
        <v>608</v>
      </c>
      <c r="C66" s="290">
        <v>43313</v>
      </c>
      <c r="D66" s="289"/>
      <c r="E66" s="289"/>
      <c r="F66" s="289">
        <v>-2250</v>
      </c>
      <c r="G66" s="289">
        <v>9800</v>
      </c>
      <c r="H66" s="289">
        <v>65000</v>
      </c>
      <c r="I66" s="289"/>
      <c r="J66" s="289"/>
    </row>
    <row r="67" spans="1:10" x14ac:dyDescent="0.25">
      <c r="A67" t="s">
        <v>595</v>
      </c>
      <c r="B67" t="s">
        <v>609</v>
      </c>
      <c r="C67" s="290">
        <v>43313</v>
      </c>
      <c r="D67" s="289"/>
      <c r="E67" s="289"/>
      <c r="F67" s="289">
        <v>-60000</v>
      </c>
      <c r="G67" s="289">
        <v>275150</v>
      </c>
      <c r="H67" s="289">
        <v>108000</v>
      </c>
      <c r="I67" s="289"/>
      <c r="J67" s="289"/>
    </row>
    <row r="68" spans="1:10" x14ac:dyDescent="0.25">
      <c r="A68" t="s">
        <v>595</v>
      </c>
      <c r="B68" t="s">
        <v>607</v>
      </c>
      <c r="C68" s="290">
        <v>43344</v>
      </c>
      <c r="D68" s="289"/>
      <c r="E68" s="289">
        <v>-53875</v>
      </c>
      <c r="F68" s="289">
        <v>-1</v>
      </c>
      <c r="G68" s="289">
        <v>61900</v>
      </c>
      <c r="H68" s="289">
        <v>423389.5</v>
      </c>
      <c r="I68" s="289"/>
      <c r="J68" s="289"/>
    </row>
    <row r="69" spans="1:10" x14ac:dyDescent="0.25">
      <c r="A69" t="s">
        <v>595</v>
      </c>
      <c r="B69" t="s">
        <v>608</v>
      </c>
      <c r="C69" s="290">
        <v>43344</v>
      </c>
      <c r="D69" s="289"/>
      <c r="E69" s="289"/>
      <c r="F69" s="289">
        <v>-3000</v>
      </c>
      <c r="G69" s="289">
        <v>91054.46</v>
      </c>
      <c r="H69" s="289">
        <v>319499</v>
      </c>
      <c r="I69" s="289"/>
      <c r="J69" s="289"/>
    </row>
    <row r="70" spans="1:10" x14ac:dyDescent="0.25">
      <c r="A70" t="s">
        <v>595</v>
      </c>
      <c r="B70" t="s">
        <v>609</v>
      </c>
      <c r="C70" s="290">
        <v>43344</v>
      </c>
      <c r="D70" s="289"/>
      <c r="E70" s="289"/>
      <c r="F70" s="289">
        <v>-3577</v>
      </c>
      <c r="G70" s="289">
        <v>103659.5</v>
      </c>
      <c r="H70" s="289">
        <v>115000</v>
      </c>
      <c r="I70" s="289"/>
      <c r="J70" s="289"/>
    </row>
    <row r="71" spans="1:10" x14ac:dyDescent="0.25">
      <c r="A71" t="s">
        <v>595</v>
      </c>
      <c r="B71" t="s">
        <v>607</v>
      </c>
      <c r="C71" s="290">
        <v>43374</v>
      </c>
      <c r="D71" s="289"/>
      <c r="E71" s="289">
        <v>-15560</v>
      </c>
      <c r="F71" s="289">
        <v>-12625</v>
      </c>
      <c r="G71" s="289">
        <v>74936</v>
      </c>
      <c r="H71" s="289">
        <v>679833.33</v>
      </c>
      <c r="I71" s="289"/>
      <c r="J71" s="289"/>
    </row>
    <row r="72" spans="1:10" x14ac:dyDescent="0.25">
      <c r="A72" t="s">
        <v>595</v>
      </c>
      <c r="B72" t="s">
        <v>608</v>
      </c>
      <c r="C72" s="290">
        <v>43374</v>
      </c>
      <c r="D72" s="289"/>
      <c r="E72" s="289">
        <v>-73800</v>
      </c>
      <c r="F72" s="289">
        <v>-31350</v>
      </c>
      <c r="G72" s="289">
        <v>322217</v>
      </c>
      <c r="H72" s="289">
        <v>515300</v>
      </c>
      <c r="I72" s="289"/>
      <c r="J72" s="289"/>
    </row>
    <row r="73" spans="1:10" x14ac:dyDescent="0.25">
      <c r="A73" t="s">
        <v>595</v>
      </c>
      <c r="B73" t="s">
        <v>609</v>
      </c>
      <c r="C73" s="290">
        <v>43374</v>
      </c>
      <c r="D73" s="289"/>
      <c r="E73" s="289"/>
      <c r="F73" s="289">
        <v>-6000</v>
      </c>
      <c r="G73" s="289">
        <v>476801</v>
      </c>
      <c r="H73" s="289">
        <v>341350</v>
      </c>
      <c r="I73" s="289"/>
      <c r="J73" s="289"/>
    </row>
    <row r="74" spans="1:10" x14ac:dyDescent="0.25">
      <c r="A74" t="s">
        <v>596</v>
      </c>
      <c r="B74" t="s">
        <v>607</v>
      </c>
      <c r="C74" s="290">
        <v>43405</v>
      </c>
      <c r="D74" s="289"/>
      <c r="E74" s="289"/>
      <c r="F74" s="289"/>
      <c r="G74" s="289">
        <v>5782</v>
      </c>
      <c r="H74" s="289">
        <v>491650</v>
      </c>
      <c r="I74" s="289"/>
      <c r="J74" s="289"/>
    </row>
    <row r="75" spans="1:10" x14ac:dyDescent="0.25">
      <c r="A75" t="s">
        <v>596</v>
      </c>
      <c r="B75" t="s">
        <v>608</v>
      </c>
      <c r="C75" s="290">
        <v>43405</v>
      </c>
      <c r="D75" s="289"/>
      <c r="E75" s="289">
        <v>-13500</v>
      </c>
      <c r="F75" s="289"/>
      <c r="G75" s="289">
        <v>49500</v>
      </c>
      <c r="H75" s="289">
        <v>242494.67</v>
      </c>
      <c r="I75" s="289"/>
      <c r="J75" s="289"/>
    </row>
    <row r="76" spans="1:10" x14ac:dyDescent="0.25">
      <c r="A76" t="s">
        <v>596</v>
      </c>
      <c r="B76" t="s">
        <v>609</v>
      </c>
      <c r="C76" s="290">
        <v>43405</v>
      </c>
      <c r="D76" s="289"/>
      <c r="E76" s="289">
        <v>-20000</v>
      </c>
      <c r="F76" s="289">
        <v>-75000</v>
      </c>
      <c r="G76" s="289">
        <v>43800</v>
      </c>
      <c r="H76" s="289">
        <v>363785.5</v>
      </c>
      <c r="I76" s="289"/>
      <c r="J76" s="289"/>
    </row>
    <row r="77" spans="1:10" x14ac:dyDescent="0.25">
      <c r="A77" t="s">
        <v>596</v>
      </c>
      <c r="B77" t="s">
        <v>607</v>
      </c>
      <c r="C77" s="290">
        <v>43435</v>
      </c>
      <c r="D77" s="289"/>
      <c r="E77" s="289">
        <v>-67700</v>
      </c>
      <c r="F77" s="289"/>
      <c r="G77" s="289">
        <v>-31962</v>
      </c>
      <c r="H77" s="289">
        <v>984175</v>
      </c>
      <c r="I77" s="289"/>
      <c r="J77" s="289"/>
    </row>
    <row r="78" spans="1:10" x14ac:dyDescent="0.25">
      <c r="A78" t="s">
        <v>596</v>
      </c>
      <c r="B78" t="s">
        <v>608</v>
      </c>
      <c r="C78" s="290">
        <v>43435</v>
      </c>
      <c r="D78" s="289"/>
      <c r="E78" s="289">
        <v>-194203</v>
      </c>
      <c r="F78" s="289">
        <v>-6000</v>
      </c>
      <c r="G78" s="289">
        <v>388700</v>
      </c>
      <c r="H78" s="289">
        <v>390866.67</v>
      </c>
      <c r="I78" s="289"/>
      <c r="J78" s="289"/>
    </row>
    <row r="79" spans="1:10" x14ac:dyDescent="0.25">
      <c r="A79" t="s">
        <v>596</v>
      </c>
      <c r="B79" t="s">
        <v>609</v>
      </c>
      <c r="C79" s="290">
        <v>43435</v>
      </c>
      <c r="D79" s="289"/>
      <c r="E79" s="289"/>
      <c r="F79" s="289">
        <v>-38944</v>
      </c>
      <c r="G79" s="289">
        <v>1009050</v>
      </c>
      <c r="H79" s="289">
        <v>349300</v>
      </c>
      <c r="I79" s="289">
        <v>0</v>
      </c>
      <c r="J79" s="289"/>
    </row>
    <row r="80" spans="1:10" x14ac:dyDescent="0.25">
      <c r="A80" t="s">
        <v>596</v>
      </c>
      <c r="B80" t="s">
        <v>607</v>
      </c>
      <c r="C80" s="290">
        <v>43466</v>
      </c>
      <c r="D80" s="289"/>
      <c r="E80" s="289">
        <v>-131250</v>
      </c>
      <c r="F80" s="289">
        <v>-49000.01</v>
      </c>
      <c r="G80" s="289">
        <v>54982.47</v>
      </c>
      <c r="H80" s="289">
        <v>885350</v>
      </c>
      <c r="I80" s="289"/>
      <c r="J80" s="289"/>
    </row>
    <row r="81" spans="1:10" x14ac:dyDescent="0.25">
      <c r="A81" t="s">
        <v>596</v>
      </c>
      <c r="B81" t="s">
        <v>608</v>
      </c>
      <c r="C81" s="290">
        <v>43466</v>
      </c>
      <c r="D81" s="289"/>
      <c r="E81" s="289">
        <v>-30200</v>
      </c>
      <c r="F81" s="289"/>
      <c r="G81" s="289">
        <v>324768.63</v>
      </c>
      <c r="H81" s="289">
        <v>484149</v>
      </c>
      <c r="I81" s="289"/>
      <c r="J81" s="289"/>
    </row>
    <row r="82" spans="1:10" x14ac:dyDescent="0.25">
      <c r="A82" t="s">
        <v>596</v>
      </c>
      <c r="B82" t="s">
        <v>609</v>
      </c>
      <c r="C82" s="290">
        <v>43466</v>
      </c>
      <c r="D82" s="289"/>
      <c r="E82" s="289"/>
      <c r="F82" s="289">
        <v>-39000</v>
      </c>
      <c r="G82" s="289">
        <v>353630</v>
      </c>
      <c r="H82" s="289">
        <v>624250</v>
      </c>
      <c r="I82" s="289"/>
      <c r="J82" s="289"/>
    </row>
    <row r="83" spans="1:10" x14ac:dyDescent="0.25">
      <c r="A83" t="s">
        <v>597</v>
      </c>
      <c r="B83" t="s">
        <v>607</v>
      </c>
      <c r="C83" s="290">
        <v>43497</v>
      </c>
      <c r="D83" s="289"/>
      <c r="E83" s="289">
        <v>-12000</v>
      </c>
      <c r="F83" s="289">
        <v>-16400</v>
      </c>
      <c r="G83" s="289">
        <v>18700</v>
      </c>
      <c r="H83" s="289">
        <v>325633.33</v>
      </c>
      <c r="I83" s="289"/>
      <c r="J83" s="289"/>
    </row>
    <row r="84" spans="1:10" x14ac:dyDescent="0.25">
      <c r="A84" t="s">
        <v>597</v>
      </c>
      <c r="B84" t="s">
        <v>608</v>
      </c>
      <c r="C84" s="290">
        <v>43497</v>
      </c>
      <c r="D84" s="289"/>
      <c r="E84" s="289">
        <v>-32000</v>
      </c>
      <c r="F84" s="289"/>
      <c r="G84" s="289">
        <v>138930</v>
      </c>
      <c r="H84" s="289">
        <v>111600</v>
      </c>
      <c r="I84" s="289"/>
      <c r="J84" s="289"/>
    </row>
    <row r="85" spans="1:10" x14ac:dyDescent="0.25">
      <c r="A85" t="s">
        <v>597</v>
      </c>
      <c r="B85" t="s">
        <v>609</v>
      </c>
      <c r="C85" s="290">
        <v>43497</v>
      </c>
      <c r="D85" s="289"/>
      <c r="E85" s="289"/>
      <c r="F85" s="289">
        <v>-49000</v>
      </c>
      <c r="G85" s="289">
        <v>146300</v>
      </c>
      <c r="H85" s="289">
        <v>45850</v>
      </c>
      <c r="I85" s="289"/>
      <c r="J85" s="289"/>
    </row>
    <row r="86" spans="1:10" x14ac:dyDescent="0.25">
      <c r="A86" t="s">
        <v>597</v>
      </c>
      <c r="B86" t="s">
        <v>607</v>
      </c>
      <c r="C86" s="290">
        <v>43525</v>
      </c>
      <c r="D86" s="289"/>
      <c r="E86" s="289">
        <v>-77800</v>
      </c>
      <c r="F86" s="289">
        <v>-0.5</v>
      </c>
      <c r="G86" s="289">
        <v>75383</v>
      </c>
      <c r="H86" s="289">
        <v>614517.32999999996</v>
      </c>
      <c r="I86" s="289"/>
      <c r="J86" s="289"/>
    </row>
    <row r="87" spans="1:10" x14ac:dyDescent="0.25">
      <c r="A87" t="s">
        <v>597</v>
      </c>
      <c r="B87" t="s">
        <v>608</v>
      </c>
      <c r="C87" s="290">
        <v>43525</v>
      </c>
      <c r="D87" s="289"/>
      <c r="E87" s="289">
        <v>-41125.46</v>
      </c>
      <c r="F87" s="289">
        <v>-16884.25</v>
      </c>
      <c r="G87" s="289">
        <v>88410</v>
      </c>
      <c r="H87" s="289">
        <v>142500</v>
      </c>
      <c r="I87" s="289"/>
      <c r="J87" s="289"/>
    </row>
    <row r="88" spans="1:10" x14ac:dyDescent="0.25">
      <c r="A88" t="s">
        <v>597</v>
      </c>
      <c r="B88" t="s">
        <v>609</v>
      </c>
      <c r="C88" s="290">
        <v>43525</v>
      </c>
      <c r="D88" s="289"/>
      <c r="E88" s="289"/>
      <c r="F88" s="289">
        <v>-40000</v>
      </c>
      <c r="G88" s="289">
        <v>139481</v>
      </c>
      <c r="H88" s="289">
        <v>347400</v>
      </c>
      <c r="I88" s="289"/>
      <c r="J88" s="289"/>
    </row>
    <row r="89" spans="1:10" x14ac:dyDescent="0.25">
      <c r="A89" t="s">
        <v>597</v>
      </c>
      <c r="B89" t="s">
        <v>607</v>
      </c>
      <c r="C89" s="290">
        <v>43556</v>
      </c>
      <c r="D89" s="289"/>
      <c r="E89" s="289">
        <v>-114600</v>
      </c>
      <c r="F89" s="289">
        <v>-51650</v>
      </c>
      <c r="G89" s="289">
        <v>97116.31</v>
      </c>
      <c r="H89" s="289">
        <v>1026743.06</v>
      </c>
      <c r="I89" s="289"/>
      <c r="J89" s="289"/>
    </row>
    <row r="90" spans="1:10" x14ac:dyDescent="0.25">
      <c r="A90" t="s">
        <v>597</v>
      </c>
      <c r="B90" t="s">
        <v>608</v>
      </c>
      <c r="C90" s="290">
        <v>43556</v>
      </c>
      <c r="D90" s="289"/>
      <c r="E90" s="289">
        <v>-241000</v>
      </c>
      <c r="F90" s="289"/>
      <c r="G90" s="289">
        <v>296642</v>
      </c>
      <c r="H90" s="289">
        <v>1057961.26</v>
      </c>
      <c r="I90" s="289"/>
      <c r="J90" s="289"/>
    </row>
    <row r="91" spans="1:10" x14ac:dyDescent="0.25">
      <c r="A91" t="s">
        <v>597</v>
      </c>
      <c r="B91" t="s">
        <v>609</v>
      </c>
      <c r="C91" s="290">
        <v>43556</v>
      </c>
      <c r="D91" s="289"/>
      <c r="E91" s="289">
        <v>-12000</v>
      </c>
      <c r="F91" s="289">
        <v>-12455.77</v>
      </c>
      <c r="G91" s="289">
        <v>795805</v>
      </c>
      <c r="H91" s="289">
        <v>219352</v>
      </c>
      <c r="I91" s="289"/>
      <c r="J91" s="289"/>
    </row>
    <row r="92" spans="1:10" x14ac:dyDescent="0.25">
      <c r="A92" t="s">
        <v>598</v>
      </c>
      <c r="B92" t="s">
        <v>607</v>
      </c>
      <c r="C92" s="290">
        <v>43586</v>
      </c>
      <c r="D92" s="289"/>
      <c r="E92" s="289">
        <v>-73652</v>
      </c>
      <c r="F92" s="289">
        <v>-24519</v>
      </c>
      <c r="G92" s="289">
        <v>55172.86</v>
      </c>
      <c r="H92" s="289">
        <v>548266.67000000004</v>
      </c>
      <c r="I92" s="289"/>
      <c r="J92" s="289"/>
    </row>
    <row r="93" spans="1:10" x14ac:dyDescent="0.25">
      <c r="A93" t="s">
        <v>598</v>
      </c>
      <c r="B93" t="s">
        <v>608</v>
      </c>
      <c r="C93" s="290">
        <v>43586</v>
      </c>
      <c r="D93" s="289"/>
      <c r="E93" s="289">
        <v>-83088</v>
      </c>
      <c r="F93" s="289">
        <v>-20000</v>
      </c>
      <c r="G93" s="289">
        <v>24541</v>
      </c>
      <c r="H93" s="289">
        <v>289100</v>
      </c>
      <c r="I93" s="289"/>
      <c r="J93" s="289"/>
    </row>
    <row r="94" spans="1:10" x14ac:dyDescent="0.25">
      <c r="A94" t="s">
        <v>598</v>
      </c>
      <c r="B94" t="s">
        <v>609</v>
      </c>
      <c r="C94" s="290">
        <v>43586</v>
      </c>
      <c r="D94" s="289"/>
      <c r="E94" s="289"/>
      <c r="F94" s="289">
        <v>-22500</v>
      </c>
      <c r="G94" s="289">
        <v>93150</v>
      </c>
      <c r="H94" s="289">
        <v>315895.23</v>
      </c>
      <c r="I94" s="289"/>
      <c r="J94" s="289"/>
    </row>
    <row r="95" spans="1:10" x14ac:dyDescent="0.25">
      <c r="A95" t="s">
        <v>598</v>
      </c>
      <c r="B95" t="s">
        <v>607</v>
      </c>
      <c r="C95" s="290">
        <v>43617</v>
      </c>
      <c r="D95" s="289"/>
      <c r="E95" s="289">
        <v>-78433</v>
      </c>
      <c r="F95" s="289"/>
      <c r="G95" s="289">
        <v>67783.58</v>
      </c>
      <c r="H95" s="289">
        <v>708736.61</v>
      </c>
      <c r="I95" s="289"/>
      <c r="J95" s="289"/>
    </row>
    <row r="96" spans="1:10" x14ac:dyDescent="0.25">
      <c r="A96" t="s">
        <v>598</v>
      </c>
      <c r="B96" t="s">
        <v>608</v>
      </c>
      <c r="C96" s="290">
        <v>43617</v>
      </c>
      <c r="D96" s="289"/>
      <c r="E96" s="289">
        <v>-60688</v>
      </c>
      <c r="F96" s="289">
        <v>-29500</v>
      </c>
      <c r="G96" s="289">
        <v>223059.99</v>
      </c>
      <c r="H96" s="289">
        <v>395523.34</v>
      </c>
      <c r="I96" s="289"/>
      <c r="J96" s="289"/>
    </row>
    <row r="97" spans="1:10" x14ac:dyDescent="0.25">
      <c r="A97" t="s">
        <v>598</v>
      </c>
      <c r="B97" t="s">
        <v>609</v>
      </c>
      <c r="C97" s="290">
        <v>43617</v>
      </c>
      <c r="D97" s="289"/>
      <c r="E97" s="289">
        <v>-468</v>
      </c>
      <c r="F97" s="289">
        <v>-19000</v>
      </c>
      <c r="G97" s="289">
        <v>1699465.86</v>
      </c>
      <c r="H97" s="289">
        <v>21000</v>
      </c>
      <c r="I97" s="289"/>
      <c r="J97" s="289"/>
    </row>
    <row r="98" spans="1:10" x14ac:dyDescent="0.25">
      <c r="A98" t="s">
        <v>598</v>
      </c>
      <c r="B98" t="s">
        <v>607</v>
      </c>
      <c r="C98" s="290">
        <v>43647</v>
      </c>
      <c r="D98" s="289"/>
      <c r="E98" s="289">
        <v>-101388</v>
      </c>
      <c r="F98" s="289">
        <v>-10300</v>
      </c>
      <c r="G98" s="289">
        <v>123990</v>
      </c>
      <c r="H98" s="289">
        <v>881896.64</v>
      </c>
      <c r="I98" s="289"/>
      <c r="J98" s="289"/>
    </row>
    <row r="99" spans="1:10" x14ac:dyDescent="0.25">
      <c r="A99" t="s">
        <v>598</v>
      </c>
      <c r="B99" t="s">
        <v>608</v>
      </c>
      <c r="C99" s="290">
        <v>43647</v>
      </c>
      <c r="D99" s="289"/>
      <c r="E99" s="289">
        <v>-18000</v>
      </c>
      <c r="F99" s="289">
        <v>-12900</v>
      </c>
      <c r="G99" s="289">
        <v>290520.83</v>
      </c>
      <c r="H99" s="289">
        <v>556530</v>
      </c>
      <c r="I99" s="289"/>
      <c r="J99" s="289"/>
    </row>
    <row r="100" spans="1:10" x14ac:dyDescent="0.25">
      <c r="A100" t="s">
        <v>598</v>
      </c>
      <c r="B100" t="s">
        <v>609</v>
      </c>
      <c r="C100" s="290">
        <v>43647</v>
      </c>
      <c r="D100" s="289"/>
      <c r="E100" s="289">
        <v>-94097</v>
      </c>
      <c r="F100" s="289">
        <v>-91220</v>
      </c>
      <c r="G100" s="289">
        <v>692270.88</v>
      </c>
      <c r="H100" s="289">
        <v>517644.36</v>
      </c>
      <c r="I100" s="289"/>
      <c r="J100" s="289"/>
    </row>
    <row r="101" spans="1:10" x14ac:dyDescent="0.25">
      <c r="A101" t="s">
        <v>599</v>
      </c>
      <c r="B101" t="s">
        <v>607</v>
      </c>
      <c r="C101" s="290">
        <v>43678</v>
      </c>
      <c r="D101" s="289"/>
      <c r="E101" s="289">
        <v>-97986</v>
      </c>
      <c r="F101" s="289">
        <v>-6920</v>
      </c>
      <c r="G101" s="289">
        <v>20000</v>
      </c>
      <c r="H101" s="289">
        <v>429835.17</v>
      </c>
      <c r="I101" s="289"/>
      <c r="J101" s="289"/>
    </row>
    <row r="102" spans="1:10" x14ac:dyDescent="0.25">
      <c r="A102" t="s">
        <v>599</v>
      </c>
      <c r="B102" t="s">
        <v>608</v>
      </c>
      <c r="C102" s="290">
        <v>43678</v>
      </c>
      <c r="D102" s="289"/>
      <c r="E102" s="289">
        <v>-12924</v>
      </c>
      <c r="F102" s="289"/>
      <c r="G102" s="289">
        <v>88420</v>
      </c>
      <c r="H102" s="289">
        <v>187750</v>
      </c>
      <c r="I102" s="289"/>
      <c r="J102" s="289"/>
    </row>
    <row r="103" spans="1:10" x14ac:dyDescent="0.25">
      <c r="A103" t="s">
        <v>599</v>
      </c>
      <c r="B103" t="s">
        <v>609</v>
      </c>
      <c r="C103" s="290">
        <v>43678</v>
      </c>
      <c r="D103" s="289"/>
      <c r="E103" s="289"/>
      <c r="F103" s="289"/>
      <c r="G103" s="289">
        <v>290000</v>
      </c>
      <c r="H103" s="289">
        <v>206000.23</v>
      </c>
      <c r="I103" s="289"/>
      <c r="J103" s="289"/>
    </row>
    <row r="104" spans="1:10" x14ac:dyDescent="0.25">
      <c r="A104" t="s">
        <v>599</v>
      </c>
      <c r="B104" t="s">
        <v>607</v>
      </c>
      <c r="C104" s="290">
        <v>43709</v>
      </c>
      <c r="D104" s="289"/>
      <c r="E104" s="289">
        <v>-35590</v>
      </c>
      <c r="F104" s="289">
        <v>-4500</v>
      </c>
      <c r="G104" s="289">
        <v>78367</v>
      </c>
      <c r="H104" s="289">
        <v>356700</v>
      </c>
      <c r="I104" s="289"/>
      <c r="J104" s="289"/>
    </row>
    <row r="105" spans="1:10" x14ac:dyDescent="0.25">
      <c r="A105" t="s">
        <v>599</v>
      </c>
      <c r="B105" t="s">
        <v>608</v>
      </c>
      <c r="C105" s="290">
        <v>43709</v>
      </c>
      <c r="D105" s="289"/>
      <c r="E105" s="289">
        <v>-137764</v>
      </c>
      <c r="F105" s="289">
        <v>-2375</v>
      </c>
      <c r="G105" s="289">
        <v>109137</v>
      </c>
      <c r="H105" s="289">
        <v>565973.67000000004</v>
      </c>
      <c r="I105" s="289"/>
      <c r="J105" s="289"/>
    </row>
    <row r="106" spans="1:10" x14ac:dyDescent="0.25">
      <c r="A106" t="s">
        <v>599</v>
      </c>
      <c r="B106" t="s">
        <v>609</v>
      </c>
      <c r="C106" s="290">
        <v>43709</v>
      </c>
      <c r="D106" s="289"/>
      <c r="E106" s="289"/>
      <c r="F106" s="289">
        <v>-6750</v>
      </c>
      <c r="G106" s="289">
        <v>197811</v>
      </c>
      <c r="H106" s="289"/>
      <c r="I106" s="289"/>
      <c r="J106" s="289"/>
    </row>
    <row r="107" spans="1:10" x14ac:dyDescent="0.25">
      <c r="A107" t="s">
        <v>599</v>
      </c>
      <c r="B107" t="s">
        <v>607</v>
      </c>
      <c r="C107" s="290">
        <v>43739</v>
      </c>
      <c r="D107" s="289"/>
      <c r="E107" s="289">
        <v>-108352</v>
      </c>
      <c r="F107" s="289">
        <v>-28215</v>
      </c>
      <c r="G107" s="289">
        <v>337643.04</v>
      </c>
      <c r="H107" s="289">
        <v>799638.55</v>
      </c>
      <c r="I107" s="289"/>
      <c r="J107" s="289"/>
    </row>
    <row r="108" spans="1:10" x14ac:dyDescent="0.25">
      <c r="A108" t="s">
        <v>599</v>
      </c>
      <c r="B108" t="s">
        <v>608</v>
      </c>
      <c r="C108" s="290">
        <v>43739</v>
      </c>
      <c r="D108" s="289"/>
      <c r="E108" s="289">
        <v>-117000</v>
      </c>
      <c r="F108" s="289"/>
      <c r="G108" s="289">
        <v>432246.82</v>
      </c>
      <c r="H108" s="289">
        <v>1072487.47</v>
      </c>
      <c r="I108" s="289">
        <v>40000</v>
      </c>
      <c r="J108" s="289"/>
    </row>
    <row r="109" spans="1:10" x14ac:dyDescent="0.25">
      <c r="A109" t="s">
        <v>599</v>
      </c>
      <c r="B109" t="s">
        <v>609</v>
      </c>
      <c r="C109" s="290">
        <v>43739</v>
      </c>
      <c r="D109" s="289"/>
      <c r="E109" s="289"/>
      <c r="F109" s="289">
        <v>-13500</v>
      </c>
      <c r="G109" s="289">
        <v>422792</v>
      </c>
      <c r="H109" s="289">
        <v>418336.36</v>
      </c>
      <c r="I109" s="289"/>
      <c r="J109" s="289"/>
    </row>
    <row r="110" spans="1:10" x14ac:dyDescent="0.25">
      <c r="A110" t="s">
        <v>600</v>
      </c>
      <c r="B110" t="s">
        <v>607</v>
      </c>
      <c r="C110" s="290">
        <v>43770</v>
      </c>
      <c r="D110" s="289"/>
      <c r="E110" s="289">
        <v>-64144</v>
      </c>
      <c r="F110" s="289"/>
      <c r="G110" s="289">
        <v>153100.20000000001</v>
      </c>
      <c r="H110" s="289">
        <v>276754.48</v>
      </c>
      <c r="I110" s="289"/>
      <c r="J110" s="289"/>
    </row>
    <row r="111" spans="1:10" x14ac:dyDescent="0.25">
      <c r="A111" t="s">
        <v>600</v>
      </c>
      <c r="B111" t="s">
        <v>608</v>
      </c>
      <c r="C111" s="290">
        <v>43770</v>
      </c>
      <c r="D111" s="289"/>
      <c r="E111" s="289">
        <v>-83499</v>
      </c>
      <c r="F111" s="289"/>
      <c r="G111" s="289">
        <v>104050.86</v>
      </c>
      <c r="H111" s="289">
        <v>125000</v>
      </c>
      <c r="I111" s="289"/>
      <c r="J111" s="289"/>
    </row>
    <row r="112" spans="1:10" x14ac:dyDescent="0.25">
      <c r="A112" t="s">
        <v>600</v>
      </c>
      <c r="B112" t="s">
        <v>609</v>
      </c>
      <c r="C112" s="290">
        <v>43770</v>
      </c>
      <c r="D112" s="289"/>
      <c r="E112" s="289">
        <v>-10800</v>
      </c>
      <c r="F112" s="289">
        <v>-73500</v>
      </c>
      <c r="G112" s="289">
        <v>138500</v>
      </c>
      <c r="H112" s="289"/>
      <c r="I112" s="289"/>
      <c r="J112" s="289"/>
    </row>
    <row r="113" spans="1:10" x14ac:dyDescent="0.25">
      <c r="A113" t="s">
        <v>600</v>
      </c>
      <c r="B113" t="s">
        <v>607</v>
      </c>
      <c r="C113" s="290">
        <v>43800</v>
      </c>
      <c r="D113" s="289"/>
      <c r="E113" s="289">
        <v>-116973.71</v>
      </c>
      <c r="F113" s="289">
        <v>-6500</v>
      </c>
      <c r="G113" s="289">
        <v>189751.02</v>
      </c>
      <c r="H113" s="289">
        <v>829160.48</v>
      </c>
      <c r="I113" s="289">
        <v>40000</v>
      </c>
      <c r="J113" s="289"/>
    </row>
    <row r="114" spans="1:10" x14ac:dyDescent="0.25">
      <c r="A114" t="s">
        <v>600</v>
      </c>
      <c r="B114" t="s">
        <v>608</v>
      </c>
      <c r="C114" s="290">
        <v>43800</v>
      </c>
      <c r="D114" s="289"/>
      <c r="E114" s="289">
        <v>-82050</v>
      </c>
      <c r="F114" s="289">
        <v>-33000</v>
      </c>
      <c r="G114" s="289">
        <v>461873.48</v>
      </c>
      <c r="H114" s="289">
        <v>950419.49</v>
      </c>
      <c r="I114" s="289"/>
      <c r="J114" s="289"/>
    </row>
    <row r="115" spans="1:10" x14ac:dyDescent="0.25">
      <c r="A115" t="s">
        <v>600</v>
      </c>
      <c r="B115" t="s">
        <v>609</v>
      </c>
      <c r="C115" s="290">
        <v>43800</v>
      </c>
      <c r="D115" s="289"/>
      <c r="E115" s="289"/>
      <c r="F115" s="289"/>
      <c r="G115" s="289">
        <v>862232</v>
      </c>
      <c r="H115" s="289">
        <v>52500</v>
      </c>
      <c r="I115" s="289"/>
      <c r="J115" s="289"/>
    </row>
    <row r="116" spans="1:10" x14ac:dyDescent="0.25">
      <c r="A116" t="s">
        <v>600</v>
      </c>
      <c r="B116" t="s">
        <v>607</v>
      </c>
      <c r="C116" s="290">
        <v>43831</v>
      </c>
      <c r="D116" s="289"/>
      <c r="E116" s="289">
        <v>-288964</v>
      </c>
      <c r="F116" s="289">
        <v>-39893</v>
      </c>
      <c r="G116" s="289">
        <v>234898.16641000001</v>
      </c>
      <c r="H116" s="289">
        <v>1032079.494505</v>
      </c>
      <c r="I116" s="289"/>
      <c r="J116" s="289"/>
    </row>
    <row r="117" spans="1:10" x14ac:dyDescent="0.25">
      <c r="A117" t="s">
        <v>600</v>
      </c>
      <c r="B117" t="s">
        <v>608</v>
      </c>
      <c r="C117" s="290">
        <v>43831</v>
      </c>
      <c r="D117" s="289"/>
      <c r="E117" s="289">
        <v>-20339</v>
      </c>
      <c r="F117" s="289">
        <v>-17788</v>
      </c>
      <c r="G117" s="289">
        <v>476228.34</v>
      </c>
      <c r="H117" s="289">
        <v>991756.67</v>
      </c>
      <c r="I117" s="289"/>
      <c r="J117" s="289"/>
    </row>
    <row r="118" spans="1:10" x14ac:dyDescent="0.25">
      <c r="A118" t="s">
        <v>600</v>
      </c>
      <c r="B118" t="s">
        <v>609</v>
      </c>
      <c r="C118" s="290">
        <v>43831</v>
      </c>
      <c r="D118" s="289"/>
      <c r="E118" s="289">
        <v>-51500</v>
      </c>
      <c r="F118" s="289">
        <v>-11493.3</v>
      </c>
      <c r="G118" s="289">
        <v>1046256.26</v>
      </c>
      <c r="H118" s="289">
        <v>606236.5</v>
      </c>
      <c r="I118" s="289">
        <v>20000</v>
      </c>
      <c r="J118" s="289"/>
    </row>
    <row r="119" spans="1:10" x14ac:dyDescent="0.25">
      <c r="A119" t="s">
        <v>601</v>
      </c>
      <c r="B119" t="s">
        <v>607</v>
      </c>
      <c r="C119" s="290">
        <v>43862</v>
      </c>
      <c r="D119" s="289"/>
      <c r="E119" s="289">
        <v>-242513</v>
      </c>
      <c r="F119" s="289">
        <v>-21677</v>
      </c>
      <c r="G119" s="289">
        <v>78130</v>
      </c>
      <c r="H119" s="289">
        <v>211086.86</v>
      </c>
      <c r="I119" s="289"/>
      <c r="J119" s="289"/>
    </row>
    <row r="120" spans="1:10" x14ac:dyDescent="0.25">
      <c r="A120" t="s">
        <v>601</v>
      </c>
      <c r="B120" t="s">
        <v>608</v>
      </c>
      <c r="C120" s="290">
        <v>43862</v>
      </c>
      <c r="D120" s="289"/>
      <c r="E120" s="289">
        <v>-32580</v>
      </c>
      <c r="F120" s="289">
        <v>-9900</v>
      </c>
      <c r="G120" s="289">
        <v>170270</v>
      </c>
      <c r="H120" s="289">
        <v>159540</v>
      </c>
      <c r="I120" s="289">
        <v>0</v>
      </c>
      <c r="J120" s="289"/>
    </row>
    <row r="121" spans="1:10" x14ac:dyDescent="0.25">
      <c r="A121" t="s">
        <v>601</v>
      </c>
      <c r="B121" t="s">
        <v>609</v>
      </c>
      <c r="C121" s="290">
        <v>43862</v>
      </c>
      <c r="D121" s="289"/>
      <c r="E121" s="289"/>
      <c r="F121" s="289">
        <v>-468</v>
      </c>
      <c r="G121" s="289">
        <v>394742.64</v>
      </c>
      <c r="H121" s="289">
        <v>89500</v>
      </c>
      <c r="I121" s="289"/>
      <c r="J121" s="289"/>
    </row>
    <row r="122" spans="1:10" x14ac:dyDescent="0.25">
      <c r="A122" t="s">
        <v>601</v>
      </c>
      <c r="B122" t="s">
        <v>607</v>
      </c>
      <c r="C122" s="290">
        <v>43891</v>
      </c>
      <c r="D122" s="289"/>
      <c r="E122" s="289">
        <v>-224142</v>
      </c>
      <c r="F122" s="289">
        <v>-34500</v>
      </c>
      <c r="G122" s="289">
        <v>81895.28</v>
      </c>
      <c r="H122" s="289">
        <v>343880.24212399998</v>
      </c>
      <c r="I122" s="289"/>
      <c r="J122" s="289"/>
    </row>
    <row r="123" spans="1:10" x14ac:dyDescent="0.25">
      <c r="A123" t="s">
        <v>601</v>
      </c>
      <c r="B123" t="s">
        <v>608</v>
      </c>
      <c r="C123" s="290">
        <v>43891</v>
      </c>
      <c r="D123" s="289"/>
      <c r="E123" s="289">
        <v>-27920</v>
      </c>
      <c r="F123" s="289">
        <v>-17000</v>
      </c>
      <c r="G123" s="289">
        <v>44780.99</v>
      </c>
      <c r="H123" s="289">
        <v>585490.86307700002</v>
      </c>
      <c r="I123" s="289"/>
      <c r="J123" s="289"/>
    </row>
    <row r="124" spans="1:10" x14ac:dyDescent="0.25">
      <c r="A124" t="s">
        <v>601</v>
      </c>
      <c r="B124" t="s">
        <v>609</v>
      </c>
      <c r="C124" s="290">
        <v>43891</v>
      </c>
      <c r="D124" s="289"/>
      <c r="E124" s="289"/>
      <c r="F124" s="289">
        <v>-12500</v>
      </c>
      <c r="G124" s="289">
        <v>487907</v>
      </c>
      <c r="H124" s="289">
        <v>127300</v>
      </c>
      <c r="I124" s="289"/>
      <c r="J124" s="289"/>
    </row>
    <row r="125" spans="1:10" x14ac:dyDescent="0.25">
      <c r="A125" t="s">
        <v>601</v>
      </c>
      <c r="B125" t="s">
        <v>607</v>
      </c>
      <c r="C125" s="290">
        <v>43922</v>
      </c>
      <c r="D125" s="289"/>
      <c r="E125" s="289">
        <v>-216620.67</v>
      </c>
      <c r="F125" s="289">
        <v>-46286.13</v>
      </c>
      <c r="G125" s="289">
        <v>142616.58871800001</v>
      </c>
      <c r="H125" s="289">
        <v>632645.79139200004</v>
      </c>
      <c r="I125" s="289"/>
      <c r="J125" s="289"/>
    </row>
    <row r="126" spans="1:10" x14ac:dyDescent="0.25">
      <c r="A126" t="s">
        <v>601</v>
      </c>
      <c r="B126" t="s">
        <v>608</v>
      </c>
      <c r="C126" s="290">
        <v>43922</v>
      </c>
      <c r="D126" s="289"/>
      <c r="E126" s="289">
        <v>-109549.99</v>
      </c>
      <c r="F126" s="289">
        <v>-57640</v>
      </c>
      <c r="G126" s="289">
        <v>443925</v>
      </c>
      <c r="H126" s="289">
        <v>818819.64835200005</v>
      </c>
      <c r="I126" s="289"/>
      <c r="J126" s="289"/>
    </row>
    <row r="127" spans="1:10" x14ac:dyDescent="0.25">
      <c r="A127" t="s">
        <v>601</v>
      </c>
      <c r="B127" t="s">
        <v>609</v>
      </c>
      <c r="C127" s="290">
        <v>43922</v>
      </c>
      <c r="D127" s="289"/>
      <c r="E127" s="289">
        <v>-72400</v>
      </c>
      <c r="F127" s="289">
        <v>-18386</v>
      </c>
      <c r="G127" s="289">
        <v>368082.17</v>
      </c>
      <c r="H127" s="289">
        <v>45000</v>
      </c>
      <c r="I127" s="289"/>
      <c r="J127" s="289"/>
    </row>
    <row r="128" spans="1:10" x14ac:dyDescent="0.25">
      <c r="A128" t="s">
        <v>602</v>
      </c>
      <c r="B128" t="s">
        <v>607</v>
      </c>
      <c r="C128" s="290">
        <v>43952</v>
      </c>
      <c r="D128" s="289"/>
      <c r="E128" s="289">
        <v>-193465.60000000001</v>
      </c>
      <c r="F128" s="289">
        <v>-42533.837692000001</v>
      </c>
      <c r="G128" s="289">
        <v>90393.339487000005</v>
      </c>
      <c r="H128" s="289">
        <v>398339.78897400002</v>
      </c>
      <c r="I128" s="289">
        <v>15000</v>
      </c>
      <c r="J128" s="289"/>
    </row>
    <row r="129" spans="1:10" x14ac:dyDescent="0.25">
      <c r="A129" t="s">
        <v>602</v>
      </c>
      <c r="B129" t="s">
        <v>608</v>
      </c>
      <c r="C129" s="290">
        <v>43952</v>
      </c>
      <c r="D129" s="289"/>
      <c r="E129" s="289">
        <v>-98508</v>
      </c>
      <c r="F129" s="289">
        <v>-46000</v>
      </c>
      <c r="G129" s="289">
        <v>177768.19</v>
      </c>
      <c r="H129" s="289">
        <v>319848.90109900001</v>
      </c>
      <c r="I129" s="289"/>
      <c r="J129" s="289"/>
    </row>
    <row r="130" spans="1:10" x14ac:dyDescent="0.25">
      <c r="A130" t="s">
        <v>602</v>
      </c>
      <c r="B130" t="s">
        <v>609</v>
      </c>
      <c r="C130" s="290">
        <v>43952</v>
      </c>
      <c r="D130" s="289"/>
      <c r="E130" s="289">
        <v>-40000</v>
      </c>
      <c r="F130" s="289">
        <v>-120177</v>
      </c>
      <c r="G130" s="289">
        <v>600800.01</v>
      </c>
      <c r="H130" s="289">
        <v>95100</v>
      </c>
      <c r="I130" s="289"/>
      <c r="J130" s="289"/>
    </row>
    <row r="131" spans="1:10" x14ac:dyDescent="0.25">
      <c r="A131" t="s">
        <v>602</v>
      </c>
      <c r="B131" t="s">
        <v>607</v>
      </c>
      <c r="C131" s="290">
        <v>43983</v>
      </c>
      <c r="D131" s="289">
        <v>0</v>
      </c>
      <c r="E131" s="289">
        <v>-157120</v>
      </c>
      <c r="F131" s="289">
        <v>-49563.554616000001</v>
      </c>
      <c r="G131" s="289">
        <v>111774.990989</v>
      </c>
      <c r="H131" s="289">
        <v>617609.16853400005</v>
      </c>
      <c r="I131" s="289"/>
      <c r="J131" s="289"/>
    </row>
    <row r="132" spans="1:10" x14ac:dyDescent="0.25">
      <c r="A132" t="s">
        <v>602</v>
      </c>
      <c r="B132" t="s">
        <v>608</v>
      </c>
      <c r="C132" s="290">
        <v>43983</v>
      </c>
      <c r="D132" s="289">
        <v>0</v>
      </c>
      <c r="E132" s="289">
        <v>-34988</v>
      </c>
      <c r="F132" s="289">
        <v>-2700</v>
      </c>
      <c r="G132" s="289">
        <v>381232.76</v>
      </c>
      <c r="H132" s="289">
        <v>445334.56</v>
      </c>
      <c r="I132" s="289"/>
      <c r="J132" s="289"/>
    </row>
    <row r="133" spans="1:10" x14ac:dyDescent="0.25">
      <c r="A133" t="s">
        <v>602</v>
      </c>
      <c r="B133" t="s">
        <v>609</v>
      </c>
      <c r="C133" s="290">
        <v>43983</v>
      </c>
      <c r="D133" s="289"/>
      <c r="E133" s="289">
        <v>-259000</v>
      </c>
      <c r="F133" s="289">
        <v>-32519.230769000002</v>
      </c>
      <c r="G133" s="289">
        <v>217572.88</v>
      </c>
      <c r="H133" s="289">
        <v>152971.18</v>
      </c>
      <c r="I133" s="289"/>
      <c r="J133" s="289"/>
    </row>
    <row r="134" spans="1:10" x14ac:dyDescent="0.25">
      <c r="A134" t="s">
        <v>602</v>
      </c>
      <c r="B134" t="s">
        <v>607</v>
      </c>
      <c r="C134" s="290">
        <v>44013</v>
      </c>
      <c r="D134" s="289"/>
      <c r="E134" s="289">
        <v>-181700</v>
      </c>
      <c r="F134" s="289">
        <v>-500</v>
      </c>
      <c r="G134" s="289">
        <v>261558.39</v>
      </c>
      <c r="H134" s="289">
        <v>1480238.767362</v>
      </c>
      <c r="I134" s="289">
        <v>25000</v>
      </c>
      <c r="J134" s="289"/>
    </row>
    <row r="135" spans="1:10" x14ac:dyDescent="0.25">
      <c r="A135" t="s">
        <v>602</v>
      </c>
      <c r="B135" t="s">
        <v>608</v>
      </c>
      <c r="C135" s="290">
        <v>44013</v>
      </c>
      <c r="D135" s="289"/>
      <c r="E135" s="289">
        <v>-71612.94</v>
      </c>
      <c r="F135" s="289">
        <v>-31012.18</v>
      </c>
      <c r="G135" s="289">
        <v>610171.25</v>
      </c>
      <c r="H135" s="289">
        <v>846122.91282099998</v>
      </c>
      <c r="I135" s="289">
        <v>10000</v>
      </c>
      <c r="J135" s="289"/>
    </row>
    <row r="136" spans="1:10" x14ac:dyDescent="0.25">
      <c r="A136" t="s">
        <v>602</v>
      </c>
      <c r="B136" t="s">
        <v>609</v>
      </c>
      <c r="C136" s="290">
        <v>44013</v>
      </c>
      <c r="D136" s="289"/>
      <c r="E136" s="289">
        <v>-20000</v>
      </c>
      <c r="F136" s="289">
        <v>-67025</v>
      </c>
      <c r="G136" s="289">
        <v>957898.96</v>
      </c>
      <c r="H136" s="289">
        <v>346169.59999999998</v>
      </c>
      <c r="I136" s="289"/>
      <c r="J136" s="289"/>
    </row>
    <row r="137" spans="1:10" x14ac:dyDescent="0.25">
      <c r="A137" t="s">
        <v>334</v>
      </c>
      <c r="B137" t="s">
        <v>607</v>
      </c>
      <c r="C137" s="290">
        <v>44044</v>
      </c>
      <c r="D137" s="289"/>
      <c r="E137" s="289">
        <v>-197488.6</v>
      </c>
      <c r="F137" s="289">
        <v>-24383.33</v>
      </c>
      <c r="G137" s="289">
        <v>126378.017179</v>
      </c>
      <c r="H137" s="289">
        <v>225861.55</v>
      </c>
      <c r="I137" s="289"/>
      <c r="J137" s="289"/>
    </row>
    <row r="138" spans="1:10" x14ac:dyDescent="0.25">
      <c r="A138" t="s">
        <v>334</v>
      </c>
      <c r="B138" t="s">
        <v>608</v>
      </c>
      <c r="C138" s="290">
        <v>44044</v>
      </c>
      <c r="D138" s="289"/>
      <c r="E138" s="289">
        <v>-308500</v>
      </c>
      <c r="F138" s="289">
        <v>-26490</v>
      </c>
      <c r="G138" s="289">
        <v>223501.43</v>
      </c>
      <c r="H138" s="289">
        <v>236328.37</v>
      </c>
      <c r="I138" s="289"/>
      <c r="J138" s="289"/>
    </row>
    <row r="139" spans="1:10" x14ac:dyDescent="0.25">
      <c r="A139" t="s">
        <v>334</v>
      </c>
      <c r="B139" t="s">
        <v>609</v>
      </c>
      <c r="C139" s="290">
        <v>44044</v>
      </c>
      <c r="D139" s="289"/>
      <c r="E139" s="289">
        <v>-132400.01</v>
      </c>
      <c r="F139" s="289">
        <v>-40183.339999999997</v>
      </c>
      <c r="G139" s="289">
        <v>161229.98000000001</v>
      </c>
      <c r="H139" s="289">
        <v>76788.3</v>
      </c>
      <c r="I139" s="289"/>
      <c r="J139" s="289"/>
    </row>
    <row r="140" spans="1:10" x14ac:dyDescent="0.25">
      <c r="A140" t="s">
        <v>334</v>
      </c>
      <c r="B140" t="s">
        <v>607</v>
      </c>
      <c r="C140" s="290">
        <v>44075</v>
      </c>
      <c r="D140" s="289"/>
      <c r="E140" s="289">
        <v>-154499.6</v>
      </c>
      <c r="F140" s="289">
        <v>-20190</v>
      </c>
      <c r="G140" s="289">
        <v>115947.783516</v>
      </c>
      <c r="H140" s="289">
        <v>681003.32150099997</v>
      </c>
      <c r="I140" s="289"/>
      <c r="J140" s="289"/>
    </row>
    <row r="141" spans="1:10" x14ac:dyDescent="0.25">
      <c r="A141" t="s">
        <v>334</v>
      </c>
      <c r="B141" t="s">
        <v>608</v>
      </c>
      <c r="C141" s="290">
        <v>44075</v>
      </c>
      <c r="D141" s="289"/>
      <c r="E141" s="289">
        <v>-92300</v>
      </c>
      <c r="F141" s="289">
        <v>-10118.33</v>
      </c>
      <c r="G141" s="289">
        <v>464866.641282</v>
      </c>
      <c r="H141" s="289">
        <v>539332.34769199998</v>
      </c>
      <c r="I141" s="289"/>
      <c r="J141" s="289"/>
    </row>
    <row r="142" spans="1:10" x14ac:dyDescent="0.25">
      <c r="A142" t="s">
        <v>334</v>
      </c>
      <c r="B142" t="s">
        <v>609</v>
      </c>
      <c r="C142" s="290">
        <v>44075</v>
      </c>
      <c r="D142" s="289"/>
      <c r="E142" s="289">
        <v>-51000</v>
      </c>
      <c r="F142" s="289">
        <v>-13500</v>
      </c>
      <c r="G142" s="289">
        <v>1290770.5900000001</v>
      </c>
      <c r="H142" s="289">
        <v>262937.90000000002</v>
      </c>
      <c r="I142" s="289"/>
      <c r="J142" s="289"/>
    </row>
    <row r="143" spans="1:10" x14ac:dyDescent="0.25">
      <c r="A143" t="s">
        <v>334</v>
      </c>
      <c r="B143" t="s">
        <v>607</v>
      </c>
      <c r="C143" s="290">
        <v>44105</v>
      </c>
      <c r="D143" s="289"/>
      <c r="E143" s="289">
        <v>-237006.29358999999</v>
      </c>
      <c r="F143" s="289">
        <v>-23084.49</v>
      </c>
      <c r="G143" s="289">
        <v>358724.96666699997</v>
      </c>
      <c r="H143" s="289">
        <v>885244.35373600002</v>
      </c>
      <c r="I143" s="289"/>
      <c r="J143" s="289"/>
    </row>
    <row r="144" spans="1:10" x14ac:dyDescent="0.25">
      <c r="A144" t="s">
        <v>334</v>
      </c>
      <c r="B144" t="s">
        <v>608</v>
      </c>
      <c r="C144" s="290">
        <v>44105</v>
      </c>
      <c r="D144" s="289"/>
      <c r="E144" s="289">
        <v>-51500</v>
      </c>
      <c r="F144" s="289">
        <v>-80000</v>
      </c>
      <c r="G144" s="289">
        <v>802775.46538499999</v>
      </c>
      <c r="H144" s="289">
        <v>247819.98</v>
      </c>
      <c r="I144" s="289"/>
      <c r="J144" s="289"/>
    </row>
    <row r="145" spans="1:10" x14ac:dyDescent="0.25">
      <c r="A145" t="s">
        <v>334</v>
      </c>
      <c r="B145" t="s">
        <v>609</v>
      </c>
      <c r="C145" s="290">
        <v>44105</v>
      </c>
      <c r="D145" s="289"/>
      <c r="E145" s="289">
        <v>-18000</v>
      </c>
      <c r="F145" s="289">
        <v>-18049.2</v>
      </c>
      <c r="G145" s="289">
        <v>803268.69</v>
      </c>
      <c r="H145" s="289">
        <v>649795.42000000004</v>
      </c>
      <c r="I145" s="289"/>
      <c r="J145" s="289"/>
    </row>
    <row r="146" spans="1:10" x14ac:dyDescent="0.25">
      <c r="A146" t="s">
        <v>335</v>
      </c>
      <c r="B146" t="s">
        <v>607</v>
      </c>
      <c r="C146" s="290">
        <v>44136</v>
      </c>
      <c r="D146" s="289"/>
      <c r="E146" s="289">
        <v>-164693.6</v>
      </c>
      <c r="F146" s="289">
        <v>-36049.99</v>
      </c>
      <c r="G146" s="289">
        <v>223314.496923</v>
      </c>
      <c r="H146" s="289">
        <v>533185.24945200002</v>
      </c>
      <c r="I146" s="289"/>
      <c r="J146" s="289"/>
    </row>
    <row r="147" spans="1:10" x14ac:dyDescent="0.25">
      <c r="A147" t="s">
        <v>335</v>
      </c>
      <c r="B147" t="s">
        <v>608</v>
      </c>
      <c r="C147" s="290">
        <v>44136</v>
      </c>
      <c r="D147" s="289">
        <v>0</v>
      </c>
      <c r="E147" s="289">
        <v>-85088</v>
      </c>
      <c r="F147" s="289"/>
      <c r="G147" s="289">
        <v>359811.6</v>
      </c>
      <c r="H147" s="289">
        <v>131927.69</v>
      </c>
      <c r="I147" s="289"/>
      <c r="J147" s="289"/>
    </row>
    <row r="148" spans="1:10" x14ac:dyDescent="0.25">
      <c r="A148" t="s">
        <v>335</v>
      </c>
      <c r="B148" t="s">
        <v>609</v>
      </c>
      <c r="C148" s="290">
        <v>44136</v>
      </c>
      <c r="D148" s="289"/>
      <c r="E148" s="289">
        <v>-18000</v>
      </c>
      <c r="F148" s="289"/>
      <c r="G148" s="289">
        <v>295238.63208800001</v>
      </c>
      <c r="H148" s="289">
        <v>40192.307692000002</v>
      </c>
      <c r="I148" s="289"/>
      <c r="J148" s="289"/>
    </row>
    <row r="149" spans="1:10" x14ac:dyDescent="0.25">
      <c r="A149" t="s">
        <v>335</v>
      </c>
      <c r="B149" t="s">
        <v>607</v>
      </c>
      <c r="C149" s="290">
        <v>44166</v>
      </c>
      <c r="D149" s="289">
        <v>0</v>
      </c>
      <c r="E149" s="289">
        <v>-185188</v>
      </c>
      <c r="F149" s="289">
        <v>-155911.32999999999</v>
      </c>
      <c r="G149" s="289">
        <v>367222.077582</v>
      </c>
      <c r="H149" s="289">
        <v>921185.87619099999</v>
      </c>
      <c r="I149" s="289"/>
      <c r="J149" s="289"/>
    </row>
    <row r="150" spans="1:10" x14ac:dyDescent="0.25">
      <c r="A150" t="s">
        <v>335</v>
      </c>
      <c r="B150" t="s">
        <v>608</v>
      </c>
      <c r="C150" s="290">
        <v>44166</v>
      </c>
      <c r="D150" s="289"/>
      <c r="E150" s="289">
        <v>-49730</v>
      </c>
      <c r="F150" s="289">
        <v>-54862.83</v>
      </c>
      <c r="G150" s="289">
        <v>549005.24</v>
      </c>
      <c r="H150" s="289">
        <v>931908.91362699994</v>
      </c>
      <c r="I150" s="289"/>
      <c r="J150" s="289"/>
    </row>
    <row r="151" spans="1:10" x14ac:dyDescent="0.25">
      <c r="A151" t="s">
        <v>335</v>
      </c>
      <c r="B151" t="s">
        <v>609</v>
      </c>
      <c r="C151" s="290">
        <v>44166</v>
      </c>
      <c r="D151" s="289"/>
      <c r="E151" s="289">
        <v>-283000</v>
      </c>
      <c r="F151" s="289">
        <v>-86200.23</v>
      </c>
      <c r="G151" s="289">
        <v>969773.81329700002</v>
      </c>
      <c r="H151" s="289">
        <v>178132.910989</v>
      </c>
      <c r="I151" s="289"/>
      <c r="J151" s="289"/>
    </row>
    <row r="152" spans="1:10" x14ac:dyDescent="0.25">
      <c r="A152" t="s">
        <v>335</v>
      </c>
      <c r="B152" t="s">
        <v>607</v>
      </c>
      <c r="C152" s="290">
        <v>44197</v>
      </c>
      <c r="D152" s="289"/>
      <c r="E152" s="289">
        <v>-243168.16</v>
      </c>
      <c r="F152" s="289">
        <v>-55765</v>
      </c>
      <c r="G152" s="289">
        <v>235624.91538399999</v>
      </c>
      <c r="H152" s="289">
        <v>1727706.176924</v>
      </c>
      <c r="I152" s="289"/>
      <c r="J152" s="289"/>
    </row>
    <row r="153" spans="1:10" x14ac:dyDescent="0.25">
      <c r="A153" t="s">
        <v>335</v>
      </c>
      <c r="B153" t="s">
        <v>608</v>
      </c>
      <c r="C153" s="290">
        <v>44197</v>
      </c>
      <c r="D153" s="289"/>
      <c r="E153" s="289">
        <v>-114466.67</v>
      </c>
      <c r="F153" s="289">
        <v>-38502.400000000001</v>
      </c>
      <c r="G153" s="289">
        <v>1063201.044615</v>
      </c>
      <c r="H153" s="289">
        <v>1110558.289451</v>
      </c>
      <c r="I153" s="289"/>
      <c r="J153" s="289"/>
    </row>
    <row r="154" spans="1:10" x14ac:dyDescent="0.25">
      <c r="A154" t="s">
        <v>335</v>
      </c>
      <c r="B154" t="s">
        <v>609</v>
      </c>
      <c r="C154" s="290">
        <v>44197</v>
      </c>
      <c r="D154" s="289"/>
      <c r="E154" s="289">
        <v>-5988</v>
      </c>
      <c r="F154" s="289">
        <v>-57963.6</v>
      </c>
      <c r="G154" s="289">
        <v>926089.69</v>
      </c>
      <c r="H154" s="289">
        <v>288796.81</v>
      </c>
      <c r="I154" s="289"/>
      <c r="J154" s="289"/>
    </row>
    <row r="155" spans="1:10" x14ac:dyDescent="0.25">
      <c r="A155" t="s">
        <v>336</v>
      </c>
      <c r="B155" t="s">
        <v>607</v>
      </c>
      <c r="C155" s="290">
        <v>44228</v>
      </c>
      <c r="D155" s="289"/>
      <c r="E155" s="289">
        <v>-160350</v>
      </c>
      <c r="F155" s="289">
        <v>-55331.402941</v>
      </c>
      <c r="G155" s="289">
        <v>235255.434156</v>
      </c>
      <c r="H155" s="289">
        <v>417149.06475100003</v>
      </c>
      <c r="I155" s="289"/>
      <c r="J155" s="289"/>
    </row>
    <row r="156" spans="1:10" x14ac:dyDescent="0.25">
      <c r="A156" t="s">
        <v>336</v>
      </c>
      <c r="B156" t="s">
        <v>608</v>
      </c>
      <c r="C156" s="290">
        <v>44228</v>
      </c>
      <c r="D156" s="289"/>
      <c r="E156" s="289">
        <v>-135671.43</v>
      </c>
      <c r="F156" s="289">
        <v>-65940.100000000006</v>
      </c>
      <c r="G156" s="289">
        <v>140380.89470599999</v>
      </c>
      <c r="H156" s="289">
        <v>145344.536234</v>
      </c>
      <c r="I156" s="289"/>
      <c r="J156" s="289"/>
    </row>
    <row r="157" spans="1:10" x14ac:dyDescent="0.25">
      <c r="A157" t="s">
        <v>336</v>
      </c>
      <c r="B157" t="s">
        <v>609</v>
      </c>
      <c r="C157" s="290">
        <v>44228</v>
      </c>
      <c r="D157" s="289"/>
      <c r="E157" s="289"/>
      <c r="F157" s="289"/>
      <c r="G157" s="289">
        <v>317615.01</v>
      </c>
      <c r="H157" s="289">
        <v>211500</v>
      </c>
      <c r="I157" s="289"/>
      <c r="J157" s="289"/>
    </row>
    <row r="158" spans="1:10" x14ac:dyDescent="0.25">
      <c r="A158" t="s">
        <v>336</v>
      </c>
      <c r="B158" t="s">
        <v>607</v>
      </c>
      <c r="C158" s="290">
        <v>44256</v>
      </c>
      <c r="D158" s="289"/>
      <c r="E158" s="289">
        <v>-120534.325882</v>
      </c>
      <c r="F158" s="289">
        <v>-44150</v>
      </c>
      <c r="G158" s="289">
        <v>196334.71927500001</v>
      </c>
      <c r="H158" s="289">
        <v>703910.10811300005</v>
      </c>
      <c r="I158" s="289"/>
      <c r="J158" s="289"/>
    </row>
    <row r="159" spans="1:10" x14ac:dyDescent="0.25">
      <c r="A159" t="s">
        <v>336</v>
      </c>
      <c r="B159" t="s">
        <v>608</v>
      </c>
      <c r="C159" s="290">
        <v>44256</v>
      </c>
      <c r="D159" s="289"/>
      <c r="E159" s="289">
        <v>-70200.009999999995</v>
      </c>
      <c r="F159" s="289">
        <v>-34050</v>
      </c>
      <c r="G159" s="289">
        <v>487191.07</v>
      </c>
      <c r="H159" s="289">
        <v>373766.72</v>
      </c>
      <c r="I159" s="289"/>
      <c r="J159" s="289"/>
    </row>
    <row r="160" spans="1:10" x14ac:dyDescent="0.25">
      <c r="A160" t="s">
        <v>336</v>
      </c>
      <c r="B160" t="s">
        <v>609</v>
      </c>
      <c r="C160" s="290">
        <v>44256</v>
      </c>
      <c r="D160" s="289"/>
      <c r="E160" s="289">
        <v>-23000</v>
      </c>
      <c r="F160" s="289">
        <v>-267166.83</v>
      </c>
      <c r="G160" s="289">
        <v>445330.75</v>
      </c>
      <c r="H160" s="289">
        <v>42000</v>
      </c>
      <c r="I160" s="289"/>
      <c r="J160" s="289"/>
    </row>
    <row r="161" spans="1:10" x14ac:dyDescent="0.25">
      <c r="A161" t="s">
        <v>336</v>
      </c>
      <c r="B161" t="s">
        <v>607</v>
      </c>
      <c r="C161" s="290">
        <v>44287</v>
      </c>
      <c r="D161" s="289"/>
      <c r="E161" s="289">
        <v>-346259.76285699999</v>
      </c>
      <c r="F161" s="289">
        <v>-87075.846470999997</v>
      </c>
      <c r="G161" s="289">
        <v>375689.01634099998</v>
      </c>
      <c r="H161" s="289">
        <v>1357501.993911</v>
      </c>
      <c r="I161" s="289"/>
      <c r="J161" s="289"/>
    </row>
    <row r="162" spans="1:10" x14ac:dyDescent="0.25">
      <c r="A162" t="s">
        <v>336</v>
      </c>
      <c r="B162" t="s">
        <v>608</v>
      </c>
      <c r="C162" s="290">
        <v>44287</v>
      </c>
      <c r="D162" s="289"/>
      <c r="E162" s="289">
        <v>-124467</v>
      </c>
      <c r="F162" s="289">
        <v>-39250</v>
      </c>
      <c r="G162" s="289">
        <v>1095495.934141</v>
      </c>
      <c r="H162" s="289">
        <v>718866.40454500006</v>
      </c>
      <c r="I162" s="289"/>
      <c r="J162" s="289"/>
    </row>
    <row r="163" spans="1:10" x14ac:dyDescent="0.25">
      <c r="A163" t="s">
        <v>336</v>
      </c>
      <c r="B163" t="s">
        <v>609</v>
      </c>
      <c r="C163" s="290">
        <v>44287</v>
      </c>
      <c r="D163" s="289"/>
      <c r="E163" s="289">
        <v>-40000</v>
      </c>
      <c r="F163" s="289">
        <v>-123849</v>
      </c>
      <c r="G163" s="289">
        <v>714779.69</v>
      </c>
      <c r="H163" s="289">
        <v>1090532.8999999999</v>
      </c>
      <c r="I163" s="289"/>
      <c r="J163" s="289"/>
    </row>
    <row r="164" spans="1:10" x14ac:dyDescent="0.25">
      <c r="A164" t="s">
        <v>337</v>
      </c>
      <c r="B164" t="s">
        <v>607</v>
      </c>
      <c r="C164" s="290">
        <v>44317</v>
      </c>
      <c r="D164" s="289"/>
      <c r="E164" s="289">
        <v>-233167.100519</v>
      </c>
      <c r="F164" s="289">
        <v>-17490.400000000001</v>
      </c>
      <c r="G164" s="289">
        <v>299108.39999300003</v>
      </c>
      <c r="H164" s="289">
        <v>522178.75454599998</v>
      </c>
      <c r="I164" s="289"/>
      <c r="J164" s="289"/>
    </row>
    <row r="165" spans="1:10" x14ac:dyDescent="0.25">
      <c r="A165" t="s">
        <v>337</v>
      </c>
      <c r="B165" t="s">
        <v>608</v>
      </c>
      <c r="C165" s="290">
        <v>44317</v>
      </c>
      <c r="D165" s="289"/>
      <c r="E165" s="289">
        <v>-196750</v>
      </c>
      <c r="F165" s="289">
        <v>-30500</v>
      </c>
      <c r="G165" s="289">
        <v>597982.89088700002</v>
      </c>
      <c r="H165" s="289">
        <v>438762.17</v>
      </c>
      <c r="I165" s="289"/>
      <c r="J165" s="289"/>
    </row>
    <row r="166" spans="1:10" x14ac:dyDescent="0.25">
      <c r="A166" t="s">
        <v>337</v>
      </c>
      <c r="B166" t="s">
        <v>609</v>
      </c>
      <c r="C166" s="290">
        <v>44317</v>
      </c>
      <c r="D166" s="289"/>
      <c r="E166" s="289">
        <v>-12000</v>
      </c>
      <c r="F166" s="289"/>
      <c r="G166" s="289">
        <v>590275.79</v>
      </c>
      <c r="H166" s="289">
        <v>157920</v>
      </c>
      <c r="I166" s="289"/>
      <c r="J166" s="289"/>
    </row>
    <row r="167" spans="1:10" x14ac:dyDescent="0.25">
      <c r="A167" t="s">
        <v>337</v>
      </c>
      <c r="B167" t="s">
        <v>607</v>
      </c>
      <c r="C167" s="290">
        <v>44348</v>
      </c>
      <c r="D167" s="289"/>
      <c r="E167" s="289">
        <v>-151466.30831200001</v>
      </c>
      <c r="F167" s="289">
        <v>-44790.363766000002</v>
      </c>
      <c r="G167" s="289">
        <v>398134.54097700003</v>
      </c>
      <c r="H167" s="289">
        <v>1110364.198349</v>
      </c>
      <c r="I167" s="289"/>
      <c r="J167" s="289"/>
    </row>
    <row r="168" spans="1:10" x14ac:dyDescent="0.25">
      <c r="A168" t="s">
        <v>337</v>
      </c>
      <c r="B168" t="s">
        <v>608</v>
      </c>
      <c r="C168" s="290">
        <v>44348</v>
      </c>
      <c r="D168" s="289"/>
      <c r="E168" s="289">
        <v>-95000</v>
      </c>
      <c r="F168" s="289">
        <v>-124510</v>
      </c>
      <c r="G168" s="289">
        <v>844329.451764</v>
      </c>
      <c r="H168" s="289">
        <v>621217.30753200001</v>
      </c>
      <c r="I168" s="289"/>
      <c r="J168" s="289"/>
    </row>
    <row r="169" spans="1:10" x14ac:dyDescent="0.25">
      <c r="A169" t="s">
        <v>337</v>
      </c>
      <c r="B169" t="s">
        <v>609</v>
      </c>
      <c r="C169" s="290">
        <v>44348</v>
      </c>
      <c r="D169" s="289"/>
      <c r="E169" s="289">
        <v>-22500</v>
      </c>
      <c r="F169" s="289">
        <v>-38000</v>
      </c>
      <c r="G169" s="289">
        <v>1077791.475294</v>
      </c>
      <c r="H169" s="289">
        <v>173945.83</v>
      </c>
      <c r="I169" s="289"/>
      <c r="J169" s="289"/>
    </row>
    <row r="170" spans="1:10" x14ac:dyDescent="0.25">
      <c r="A170" t="s">
        <v>337</v>
      </c>
      <c r="B170" t="s">
        <v>607</v>
      </c>
      <c r="C170" s="290">
        <v>44378</v>
      </c>
      <c r="D170" s="289"/>
      <c r="E170" s="289">
        <v>-202798.21176500001</v>
      </c>
      <c r="F170" s="289">
        <v>-45391</v>
      </c>
      <c r="G170" s="289">
        <v>420883.29381200002</v>
      </c>
      <c r="H170" s="289">
        <v>1964278.874636</v>
      </c>
      <c r="I170" s="289"/>
      <c r="J170" s="289"/>
    </row>
    <row r="171" spans="1:10" x14ac:dyDescent="0.25">
      <c r="A171" t="s">
        <v>337</v>
      </c>
      <c r="B171" t="s">
        <v>608</v>
      </c>
      <c r="C171" s="290">
        <v>44378</v>
      </c>
      <c r="D171" s="289"/>
      <c r="E171" s="289">
        <v>-14440</v>
      </c>
      <c r="F171" s="289">
        <v>-105774.03</v>
      </c>
      <c r="G171" s="289">
        <v>817897.24529400002</v>
      </c>
      <c r="H171" s="289">
        <v>860351.69117600005</v>
      </c>
      <c r="I171" s="289"/>
      <c r="J171" s="289"/>
    </row>
    <row r="172" spans="1:10" x14ac:dyDescent="0.25">
      <c r="A172" t="s">
        <v>337</v>
      </c>
      <c r="B172" t="s">
        <v>609</v>
      </c>
      <c r="C172" s="290">
        <v>44378</v>
      </c>
      <c r="D172" s="289"/>
      <c r="E172" s="289">
        <v>-29250</v>
      </c>
      <c r="F172" s="289">
        <v>-63708.24</v>
      </c>
      <c r="G172" s="289">
        <v>2358276.86</v>
      </c>
      <c r="H172" s="289">
        <v>933411.8</v>
      </c>
      <c r="I172" s="289"/>
      <c r="J172" s="289"/>
    </row>
    <row r="173" spans="1:10" x14ac:dyDescent="0.25">
      <c r="A173" t="s">
        <v>338</v>
      </c>
      <c r="B173" t="s">
        <v>607</v>
      </c>
      <c r="C173" s="290">
        <v>44409</v>
      </c>
      <c r="D173" s="289"/>
      <c r="E173" s="289">
        <v>-164618.68896100001</v>
      </c>
      <c r="F173" s="289">
        <v>-12950</v>
      </c>
      <c r="G173" s="289">
        <v>369634.96931299998</v>
      </c>
      <c r="H173" s="289">
        <v>336440.39176500001</v>
      </c>
      <c r="I173" s="289"/>
      <c r="J173" s="289"/>
    </row>
    <row r="174" spans="1:10" x14ac:dyDescent="0.25">
      <c r="A174" t="s">
        <v>338</v>
      </c>
      <c r="B174" t="s">
        <v>608</v>
      </c>
      <c r="C174" s="290">
        <v>44409</v>
      </c>
      <c r="D174" s="289"/>
      <c r="E174" s="289">
        <v>-201015</v>
      </c>
      <c r="F174" s="289">
        <v>-12165.48</v>
      </c>
      <c r="G174" s="289">
        <v>480038.24</v>
      </c>
      <c r="H174" s="289">
        <v>336032.10298700002</v>
      </c>
      <c r="I174" s="289"/>
      <c r="J174" s="289"/>
    </row>
    <row r="175" spans="1:10" x14ac:dyDescent="0.25">
      <c r="A175" t="s">
        <v>338</v>
      </c>
      <c r="B175" t="s">
        <v>609</v>
      </c>
      <c r="C175" s="290">
        <v>44409</v>
      </c>
      <c r="D175" s="289"/>
      <c r="E175" s="289">
        <v>-64006</v>
      </c>
      <c r="F175" s="289">
        <v>-154380.958052</v>
      </c>
      <c r="G175" s="289">
        <v>190059.43</v>
      </c>
      <c r="H175" s="289">
        <v>113000</v>
      </c>
      <c r="I175" s="289"/>
      <c r="J175" s="289"/>
    </row>
    <row r="176" spans="1:10" x14ac:dyDescent="0.25">
      <c r="A176" t="s">
        <v>338</v>
      </c>
      <c r="B176" t="s">
        <v>607</v>
      </c>
      <c r="C176" s="290">
        <v>44440</v>
      </c>
      <c r="D176" s="289"/>
      <c r="E176" s="289">
        <v>0</v>
      </c>
      <c r="F176" s="289"/>
      <c r="G176" s="289">
        <v>38742.568442000003</v>
      </c>
      <c r="H176" s="289"/>
      <c r="I176" s="289"/>
      <c r="J176" s="289">
        <v>0</v>
      </c>
    </row>
    <row r="177" spans="1:10" x14ac:dyDescent="0.25">
      <c r="A177" t="s">
        <v>338</v>
      </c>
      <c r="B177" t="s">
        <v>608</v>
      </c>
      <c r="C177" s="290">
        <v>44440</v>
      </c>
      <c r="D177" s="289"/>
      <c r="E177" s="289"/>
      <c r="F177" s="289"/>
      <c r="G177" s="289">
        <v>13311.688312</v>
      </c>
      <c r="H177" s="289">
        <v>14000</v>
      </c>
      <c r="I177" s="289"/>
      <c r="J177" s="289"/>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F86BCD-451F-49F2-8089-F69A2ED1CC82}">
  <dimension ref="A1:AF501"/>
  <sheetViews>
    <sheetView workbookViewId="0">
      <pane xSplit="12" ySplit="2" topLeftCell="M53" activePane="bottomRight" state="frozen"/>
      <selection pane="topRight" activeCell="M1" sqref="M1"/>
      <selection pane="bottomLeft" activeCell="A3" sqref="A3"/>
      <selection pane="bottomRight" activeCell="U105" sqref="U105"/>
    </sheetView>
  </sheetViews>
  <sheetFormatPr defaultColWidth="8.85546875" defaultRowHeight="15" x14ac:dyDescent="0.25"/>
  <cols>
    <col min="10" max="10" width="4.7109375" customWidth="1"/>
    <col min="11" max="11" width="6" customWidth="1"/>
    <col min="12" max="12" width="15.42578125" bestFit="1" customWidth="1"/>
    <col min="13" max="25" width="12.140625" customWidth="1"/>
    <col min="27" max="27" width="11.42578125" bestFit="1" customWidth="1"/>
    <col min="29" max="29" width="12.42578125" customWidth="1"/>
    <col min="30" max="30" width="11.140625" customWidth="1"/>
    <col min="31" max="31" width="10" customWidth="1"/>
  </cols>
  <sheetData>
    <row r="1" spans="1:25" x14ac:dyDescent="0.25">
      <c r="A1" t="s">
        <v>604</v>
      </c>
      <c r="B1" t="s">
        <v>332</v>
      </c>
      <c r="C1" t="s">
        <v>660</v>
      </c>
      <c r="D1" t="s">
        <v>605</v>
      </c>
      <c r="E1" t="s">
        <v>325</v>
      </c>
      <c r="F1" t="s">
        <v>659</v>
      </c>
      <c r="G1" t="s">
        <v>333</v>
      </c>
      <c r="K1" s="290"/>
      <c r="M1" t="s">
        <v>334</v>
      </c>
      <c r="N1" t="s">
        <v>334</v>
      </c>
      <c r="O1" t="s">
        <v>334</v>
      </c>
      <c r="P1" t="s">
        <v>335</v>
      </c>
      <c r="Q1" t="s">
        <v>335</v>
      </c>
      <c r="R1" t="s">
        <v>335</v>
      </c>
      <c r="S1" t="s">
        <v>336</v>
      </c>
      <c r="T1" t="s">
        <v>336</v>
      </c>
      <c r="U1" t="s">
        <v>336</v>
      </c>
      <c r="V1" t="s">
        <v>337</v>
      </c>
      <c r="W1" t="s">
        <v>337</v>
      </c>
      <c r="X1" t="s">
        <v>337</v>
      </c>
      <c r="Y1" t="s">
        <v>338</v>
      </c>
    </row>
    <row r="2" spans="1:25" x14ac:dyDescent="0.25">
      <c r="A2">
        <v>1</v>
      </c>
      <c r="B2" t="s">
        <v>334</v>
      </c>
      <c r="C2" s="290">
        <v>44044</v>
      </c>
      <c r="D2" t="s">
        <v>608</v>
      </c>
      <c r="E2" t="s">
        <v>300</v>
      </c>
      <c r="F2" t="s">
        <v>584</v>
      </c>
      <c r="G2" s="289">
        <v>55527</v>
      </c>
      <c r="K2" s="290"/>
      <c r="M2" s="360">
        <v>44044</v>
      </c>
      <c r="N2" s="360">
        <v>44075</v>
      </c>
      <c r="O2" s="360">
        <v>44105</v>
      </c>
      <c r="P2" s="360">
        <v>44136</v>
      </c>
      <c r="Q2" s="360">
        <v>44166</v>
      </c>
      <c r="R2" s="360">
        <v>44197</v>
      </c>
      <c r="S2" s="360">
        <v>44228</v>
      </c>
      <c r="T2" s="360">
        <v>44256</v>
      </c>
      <c r="U2" s="360">
        <v>44287</v>
      </c>
      <c r="V2" s="360">
        <v>44317</v>
      </c>
      <c r="W2" s="360">
        <v>44348</v>
      </c>
      <c r="X2" s="360">
        <v>44378</v>
      </c>
      <c r="Y2" s="360">
        <v>44409</v>
      </c>
    </row>
    <row r="3" spans="1:25" x14ac:dyDescent="0.25">
      <c r="A3">
        <v>2</v>
      </c>
      <c r="B3" t="s">
        <v>334</v>
      </c>
      <c r="C3" s="290">
        <v>44075</v>
      </c>
      <c r="D3" t="s">
        <v>608</v>
      </c>
      <c r="E3" t="s">
        <v>300</v>
      </c>
      <c r="F3" t="s">
        <v>584</v>
      </c>
      <c r="G3" s="289">
        <v>110066.36206896551</v>
      </c>
      <c r="J3" s="290" t="s">
        <v>585</v>
      </c>
    </row>
    <row r="4" spans="1:25" x14ac:dyDescent="0.25">
      <c r="A4">
        <v>3</v>
      </c>
      <c r="B4" t="s">
        <v>334</v>
      </c>
      <c r="C4" s="290">
        <v>44075</v>
      </c>
      <c r="D4" t="s">
        <v>607</v>
      </c>
      <c r="E4" t="s">
        <v>300</v>
      </c>
      <c r="F4" t="s">
        <v>584</v>
      </c>
      <c r="G4" s="289">
        <v>25000</v>
      </c>
      <c r="K4" s="290" t="s">
        <v>608</v>
      </c>
    </row>
    <row r="5" spans="1:25" x14ac:dyDescent="0.25">
      <c r="A5">
        <v>4</v>
      </c>
      <c r="B5" t="s">
        <v>334</v>
      </c>
      <c r="C5" s="290">
        <v>44105</v>
      </c>
      <c r="D5" t="s">
        <v>607</v>
      </c>
      <c r="E5" t="s">
        <v>300</v>
      </c>
      <c r="F5" t="s">
        <v>584</v>
      </c>
      <c r="G5" s="289">
        <v>47052.555999999997</v>
      </c>
      <c r="I5" t="s">
        <v>300</v>
      </c>
      <c r="J5" s="361" t="str">
        <f>J3</f>
        <v>Initial Sale</v>
      </c>
      <c r="K5" s="361" t="str">
        <f>K4</f>
        <v>Commercial</v>
      </c>
      <c r="L5" t="s">
        <v>300</v>
      </c>
      <c r="M5" s="16">
        <f t="shared" ref="M5:Y12" si="0">SUMIFS($G:$G,$C:$C,M$2,$D:$D,$K5,$E:$E,$L5,$F:$F,$J5)</f>
        <v>0</v>
      </c>
      <c r="N5" s="16">
        <f t="shared" si="0"/>
        <v>0</v>
      </c>
      <c r="O5" s="16">
        <f t="shared" si="0"/>
        <v>0</v>
      </c>
      <c r="P5" s="16">
        <f t="shared" si="0"/>
        <v>0</v>
      </c>
      <c r="Q5" s="16">
        <f t="shared" si="0"/>
        <v>0</v>
      </c>
      <c r="R5" s="16">
        <f t="shared" si="0"/>
        <v>0</v>
      </c>
      <c r="S5" s="16">
        <f t="shared" si="0"/>
        <v>0</v>
      </c>
      <c r="T5" s="16">
        <f t="shared" si="0"/>
        <v>0</v>
      </c>
      <c r="U5" s="16">
        <f t="shared" si="0"/>
        <v>0</v>
      </c>
      <c r="V5" s="16">
        <f t="shared" si="0"/>
        <v>0</v>
      </c>
      <c r="W5" s="16">
        <f t="shared" si="0"/>
        <v>0</v>
      </c>
      <c r="X5" s="16">
        <f t="shared" si="0"/>
        <v>0</v>
      </c>
      <c r="Y5" s="16">
        <f t="shared" si="0"/>
        <v>0</v>
      </c>
    </row>
    <row r="6" spans="1:25" x14ac:dyDescent="0.25">
      <c r="A6">
        <v>5</v>
      </c>
      <c r="B6" t="s">
        <v>334</v>
      </c>
      <c r="C6" s="290">
        <v>44105</v>
      </c>
      <c r="D6" t="s">
        <v>608</v>
      </c>
      <c r="E6" t="s">
        <v>300</v>
      </c>
      <c r="F6" t="s">
        <v>584</v>
      </c>
      <c r="G6" s="289">
        <v>126859.18999999999</v>
      </c>
      <c r="I6" t="s">
        <v>327</v>
      </c>
      <c r="J6" s="361" t="str">
        <f t="shared" ref="J6:K30" si="1">J5</f>
        <v>Initial Sale</v>
      </c>
      <c r="K6" s="361" t="str">
        <f>K5</f>
        <v>Commercial</v>
      </c>
      <c r="L6" t="s">
        <v>327</v>
      </c>
      <c r="M6" s="16">
        <f t="shared" si="0"/>
        <v>4781.9408033826621</v>
      </c>
      <c r="N6" s="16">
        <f t="shared" si="0"/>
        <v>7428.8550262565641</v>
      </c>
      <c r="O6" s="16">
        <f t="shared" si="0"/>
        <v>0</v>
      </c>
      <c r="P6" s="16">
        <f t="shared" si="0"/>
        <v>15502.641860465115</v>
      </c>
      <c r="Q6" s="16">
        <f t="shared" si="0"/>
        <v>16412.627906976744</v>
      </c>
      <c r="R6" s="16">
        <f t="shared" si="0"/>
        <v>27190.563953488374</v>
      </c>
      <c r="S6" s="16">
        <f t="shared" si="0"/>
        <v>0</v>
      </c>
      <c r="T6" s="16">
        <f t="shared" si="0"/>
        <v>10737.518934508533</v>
      </c>
      <c r="U6" s="16">
        <f t="shared" si="0"/>
        <v>32199.370502611884</v>
      </c>
      <c r="V6" s="16">
        <f t="shared" si="0"/>
        <v>47167.378242100807</v>
      </c>
      <c r="W6" s="16">
        <f t="shared" si="0"/>
        <v>0</v>
      </c>
      <c r="X6" s="16">
        <f t="shared" si="0"/>
        <v>26755.286298662821</v>
      </c>
      <c r="Y6" s="16">
        <f t="shared" si="0"/>
        <v>5096.8992248062023</v>
      </c>
    </row>
    <row r="7" spans="1:25" x14ac:dyDescent="0.25">
      <c r="A7">
        <v>6</v>
      </c>
      <c r="B7" t="s">
        <v>334</v>
      </c>
      <c r="C7" s="290">
        <v>44044</v>
      </c>
      <c r="D7" t="s">
        <v>608</v>
      </c>
      <c r="E7" t="s">
        <v>327</v>
      </c>
      <c r="F7" t="s">
        <v>584</v>
      </c>
      <c r="G7" s="289">
        <v>13270.024082777805</v>
      </c>
      <c r="I7" t="s">
        <v>346</v>
      </c>
      <c r="J7" s="361" t="str">
        <f t="shared" si="1"/>
        <v>Initial Sale</v>
      </c>
      <c r="K7" s="361" t="str">
        <f t="shared" si="1"/>
        <v>Commercial</v>
      </c>
      <c r="L7" t="s">
        <v>328</v>
      </c>
      <c r="M7" s="16">
        <f t="shared" si="0"/>
        <v>85187.711205073996</v>
      </c>
      <c r="N7" s="16">
        <f t="shared" si="0"/>
        <v>177353.90164434002</v>
      </c>
      <c r="O7" s="16">
        <f t="shared" si="0"/>
        <v>109387.45849866685</v>
      </c>
      <c r="P7" s="16">
        <f t="shared" si="0"/>
        <v>16991.829923564808</v>
      </c>
      <c r="Q7" s="16">
        <f t="shared" si="0"/>
        <v>351821.0622624809</v>
      </c>
      <c r="R7" s="16">
        <f t="shared" si="0"/>
        <v>481000.50219232659</v>
      </c>
      <c r="S7" s="16">
        <f t="shared" si="0"/>
        <v>47990.524994782718</v>
      </c>
      <c r="T7" s="16">
        <f t="shared" si="0"/>
        <v>149679.0634425224</v>
      </c>
      <c r="U7" s="16">
        <f t="shared" si="0"/>
        <v>252900.64141825348</v>
      </c>
      <c r="V7" s="16">
        <f t="shared" si="0"/>
        <v>127640.20864452767</v>
      </c>
      <c r="W7" s="16">
        <f t="shared" si="0"/>
        <v>302605.23111316084</v>
      </c>
      <c r="X7" s="16">
        <f t="shared" si="0"/>
        <v>322935.81135279534</v>
      </c>
      <c r="Y7" s="16">
        <f t="shared" si="0"/>
        <v>65208.4921938525</v>
      </c>
    </row>
    <row r="8" spans="1:25" x14ac:dyDescent="0.25">
      <c r="A8">
        <v>7</v>
      </c>
      <c r="B8" t="s">
        <v>334</v>
      </c>
      <c r="C8" s="290">
        <v>44044</v>
      </c>
      <c r="D8" t="s">
        <v>609</v>
      </c>
      <c r="E8" t="s">
        <v>327</v>
      </c>
      <c r="F8" t="s">
        <v>584</v>
      </c>
      <c r="G8" s="289">
        <v>18334.101479915433</v>
      </c>
      <c r="I8" t="s">
        <v>346</v>
      </c>
      <c r="J8" s="361" t="str">
        <f t="shared" si="1"/>
        <v>Initial Sale</v>
      </c>
      <c r="K8" s="361" t="str">
        <f t="shared" si="1"/>
        <v>Commercial</v>
      </c>
      <c r="L8" t="s">
        <v>329</v>
      </c>
      <c r="M8" s="16">
        <f t="shared" si="0"/>
        <v>109556.4934460888</v>
      </c>
      <c r="N8" s="16">
        <f t="shared" si="0"/>
        <v>133304.94037346504</v>
      </c>
      <c r="O8" s="16">
        <f t="shared" si="0"/>
        <v>96092.545003595034</v>
      </c>
      <c r="P8" s="16">
        <f t="shared" si="0"/>
        <v>85510.195908277761</v>
      </c>
      <c r="Q8" s="16">
        <f t="shared" si="0"/>
        <v>363040.70328640571</v>
      </c>
      <c r="R8" s="16">
        <f t="shared" si="0"/>
        <v>447275.17632122023</v>
      </c>
      <c r="S8" s="16">
        <f t="shared" si="0"/>
        <v>57588.629993739247</v>
      </c>
      <c r="T8" s="16">
        <f t="shared" si="0"/>
        <v>157191.67613102688</v>
      </c>
      <c r="U8" s="16">
        <f t="shared" si="0"/>
        <v>323359.74010867369</v>
      </c>
      <c r="V8" s="16">
        <f t="shared" si="0"/>
        <v>165425.18535874548</v>
      </c>
      <c r="W8" s="16">
        <f t="shared" si="0"/>
        <v>279093.83300171688</v>
      </c>
      <c r="X8" s="16">
        <f t="shared" si="0"/>
        <v>392618.22505192581</v>
      </c>
      <c r="Y8" s="16">
        <f t="shared" si="0"/>
        <v>227066.19063262301</v>
      </c>
    </row>
    <row r="9" spans="1:25" x14ac:dyDescent="0.25">
      <c r="A9">
        <v>8</v>
      </c>
      <c r="B9" t="s">
        <v>334</v>
      </c>
      <c r="C9" s="290">
        <v>44044</v>
      </c>
      <c r="D9" t="s">
        <v>607</v>
      </c>
      <c r="E9" t="s">
        <v>327</v>
      </c>
      <c r="F9" t="s">
        <v>584</v>
      </c>
      <c r="G9" s="289">
        <v>-1030</v>
      </c>
      <c r="I9" t="s">
        <v>346</v>
      </c>
      <c r="J9" s="361" t="str">
        <f t="shared" si="1"/>
        <v>Initial Sale</v>
      </c>
      <c r="K9" s="361" t="str">
        <f t="shared" si="1"/>
        <v>Commercial</v>
      </c>
      <c r="L9" t="s">
        <v>330</v>
      </c>
      <c r="M9" s="16">
        <f t="shared" si="0"/>
        <v>28515.135064935064</v>
      </c>
      <c r="N9" s="16">
        <f t="shared" si="0"/>
        <v>77596.399185137387</v>
      </c>
      <c r="O9" s="16">
        <f t="shared" si="0"/>
        <v>36367.902406107911</v>
      </c>
      <c r="P9" s="16">
        <f t="shared" si="0"/>
        <v>13466.812307692308</v>
      </c>
      <c r="Q9" s="16">
        <f t="shared" si="0"/>
        <v>115771.06940127959</v>
      </c>
      <c r="R9" s="16">
        <f t="shared" si="0"/>
        <v>145082.78307947185</v>
      </c>
      <c r="S9" s="16">
        <f t="shared" si="0"/>
        <v>26907.008147023982</v>
      </c>
      <c r="T9" s="16">
        <f t="shared" si="0"/>
        <v>50890.726265157966</v>
      </c>
      <c r="U9" s="16">
        <f t="shared" si="0"/>
        <v>108548.74231554856</v>
      </c>
      <c r="V9" s="16">
        <f t="shared" si="0"/>
        <v>38409.389898115543</v>
      </c>
      <c r="W9" s="16">
        <f t="shared" si="0"/>
        <v>55347.635418920952</v>
      </c>
      <c r="X9" s="16">
        <f t="shared" si="0"/>
        <v>112407.15325102385</v>
      </c>
      <c r="Y9" s="16">
        <f t="shared" si="0"/>
        <v>30898.317483601666</v>
      </c>
    </row>
    <row r="10" spans="1:25" x14ac:dyDescent="0.25">
      <c r="A10">
        <v>9</v>
      </c>
      <c r="B10" t="s">
        <v>334</v>
      </c>
      <c r="C10" s="290">
        <v>44044</v>
      </c>
      <c r="D10" t="s">
        <v>608</v>
      </c>
      <c r="E10" t="s">
        <v>327</v>
      </c>
      <c r="F10" t="s">
        <v>585</v>
      </c>
      <c r="G10" s="289">
        <v>4781.9408033826621</v>
      </c>
      <c r="I10" t="s">
        <v>346</v>
      </c>
      <c r="J10" s="361" t="str">
        <f t="shared" si="1"/>
        <v>Initial Sale</v>
      </c>
      <c r="K10" s="361" t="str">
        <f t="shared" si="1"/>
        <v>Commercial</v>
      </c>
      <c r="L10" t="s">
        <v>2</v>
      </c>
      <c r="M10" s="16">
        <f t="shared" si="0"/>
        <v>8287.0909090909081</v>
      </c>
      <c r="N10" s="16">
        <f t="shared" si="0"/>
        <v>34114.273770800988</v>
      </c>
      <c r="O10" s="16">
        <f t="shared" si="0"/>
        <v>5972.0940916302097</v>
      </c>
      <c r="P10" s="16">
        <f t="shared" si="0"/>
        <v>455.52</v>
      </c>
      <c r="Q10" s="16">
        <f t="shared" si="0"/>
        <v>9417.9571428571417</v>
      </c>
      <c r="R10" s="16">
        <f t="shared" si="0"/>
        <v>7160.9744534929659</v>
      </c>
      <c r="S10" s="16">
        <f t="shared" si="0"/>
        <v>1486.836864454046</v>
      </c>
      <c r="T10" s="16">
        <f t="shared" si="0"/>
        <v>5271.8852267841867</v>
      </c>
      <c r="U10" s="16">
        <f t="shared" si="0"/>
        <v>2423.151808758505</v>
      </c>
      <c r="V10" s="16">
        <f t="shared" si="0"/>
        <v>3026.9323009542668</v>
      </c>
      <c r="W10" s="16">
        <f t="shared" si="0"/>
        <v>3.6363636363636362E-2</v>
      </c>
      <c r="X10" s="16">
        <f t="shared" si="0"/>
        <v>4004.2945774617569</v>
      </c>
      <c r="Y10" s="16">
        <f t="shared" si="0"/>
        <v>0</v>
      </c>
    </row>
    <row r="11" spans="1:25" x14ac:dyDescent="0.25">
      <c r="A11">
        <v>10</v>
      </c>
      <c r="B11" t="s">
        <v>334</v>
      </c>
      <c r="C11" s="290">
        <v>44075</v>
      </c>
      <c r="D11" t="s">
        <v>607</v>
      </c>
      <c r="E11" t="s">
        <v>327</v>
      </c>
      <c r="F11" t="s">
        <v>585</v>
      </c>
      <c r="G11" s="289">
        <v>11809.155129958961</v>
      </c>
      <c r="I11" t="s">
        <v>346</v>
      </c>
      <c r="J11" s="361" t="str">
        <f t="shared" si="1"/>
        <v>Initial Sale</v>
      </c>
      <c r="K11" s="361" t="str">
        <f t="shared" si="1"/>
        <v>Commercial</v>
      </c>
      <c r="L11" t="s">
        <v>331</v>
      </c>
      <c r="M11" s="16">
        <f t="shared" si="0"/>
        <v>0</v>
      </c>
      <c r="N11" s="16">
        <f t="shared" si="0"/>
        <v>0</v>
      </c>
      <c r="O11" s="16">
        <f t="shared" si="0"/>
        <v>0</v>
      </c>
      <c r="P11" s="16">
        <f t="shared" si="0"/>
        <v>0</v>
      </c>
      <c r="Q11" s="16">
        <f t="shared" si="0"/>
        <v>50001</v>
      </c>
      <c r="R11" s="16">
        <f t="shared" si="0"/>
        <v>0</v>
      </c>
      <c r="S11" s="16">
        <f t="shared" si="0"/>
        <v>0</v>
      </c>
      <c r="T11" s="16">
        <f t="shared" si="0"/>
        <v>0</v>
      </c>
      <c r="U11" s="16">
        <f t="shared" si="0"/>
        <v>15000</v>
      </c>
      <c r="V11" s="16">
        <f t="shared" si="0"/>
        <v>57766.222222222219</v>
      </c>
      <c r="W11" s="16">
        <f t="shared" si="0"/>
        <v>15000</v>
      </c>
      <c r="X11" s="16">
        <f t="shared" si="0"/>
        <v>0</v>
      </c>
      <c r="Y11" s="16">
        <f t="shared" si="0"/>
        <v>0</v>
      </c>
    </row>
    <row r="12" spans="1:25" x14ac:dyDescent="0.25">
      <c r="A12">
        <v>11</v>
      </c>
      <c r="B12" t="s">
        <v>334</v>
      </c>
      <c r="C12" s="290">
        <v>44075</v>
      </c>
      <c r="D12" t="s">
        <v>608</v>
      </c>
      <c r="E12" t="s">
        <v>327</v>
      </c>
      <c r="F12" t="s">
        <v>585</v>
      </c>
      <c r="G12" s="289">
        <v>7428.8550262565641</v>
      </c>
      <c r="I12" t="s">
        <v>347</v>
      </c>
      <c r="J12" s="361" t="str">
        <f t="shared" si="1"/>
        <v>Initial Sale</v>
      </c>
      <c r="K12" s="361" t="str">
        <f t="shared" si="1"/>
        <v>Commercial</v>
      </c>
      <c r="L12" t="s">
        <v>326</v>
      </c>
      <c r="M12" s="16">
        <f t="shared" si="0"/>
        <v>0</v>
      </c>
      <c r="N12" s="16">
        <f t="shared" si="0"/>
        <v>0</v>
      </c>
      <c r="O12" s="16">
        <f t="shared" si="0"/>
        <v>0</v>
      </c>
      <c r="P12" s="16">
        <f t="shared" si="0"/>
        <v>0</v>
      </c>
      <c r="Q12" s="16">
        <f t="shared" si="0"/>
        <v>0</v>
      </c>
      <c r="R12" s="16">
        <f t="shared" si="0"/>
        <v>0</v>
      </c>
      <c r="S12" s="16">
        <f t="shared" si="0"/>
        <v>0</v>
      </c>
      <c r="T12" s="16">
        <f t="shared" si="0"/>
        <v>0</v>
      </c>
      <c r="U12" s="16">
        <f t="shared" si="0"/>
        <v>0</v>
      </c>
      <c r="V12" s="16">
        <f t="shared" si="0"/>
        <v>0</v>
      </c>
      <c r="W12" s="16">
        <f t="shared" si="0"/>
        <v>0</v>
      </c>
      <c r="X12" s="16">
        <f t="shared" si="0"/>
        <v>0</v>
      </c>
      <c r="Y12" s="16">
        <f t="shared" si="0"/>
        <v>0</v>
      </c>
    </row>
    <row r="13" spans="1:25" x14ac:dyDescent="0.25">
      <c r="A13">
        <v>12</v>
      </c>
      <c r="B13" t="s">
        <v>334</v>
      </c>
      <c r="C13" s="290">
        <v>44075</v>
      </c>
      <c r="D13" t="s">
        <v>609</v>
      </c>
      <c r="E13" t="s">
        <v>327</v>
      </c>
      <c r="F13" t="s">
        <v>584</v>
      </c>
      <c r="G13" s="289">
        <v>174987.12193576901</v>
      </c>
      <c r="J13" s="361" t="str">
        <f t="shared" si="1"/>
        <v>Initial Sale</v>
      </c>
      <c r="K13" s="290" t="s">
        <v>607</v>
      </c>
      <c r="M13" s="16"/>
      <c r="N13" s="16"/>
      <c r="O13" s="16"/>
      <c r="P13" s="16"/>
      <c r="Q13" s="16"/>
      <c r="R13" s="16"/>
      <c r="S13" s="16"/>
      <c r="T13" s="16"/>
      <c r="U13" s="16"/>
      <c r="V13" s="16"/>
      <c r="W13" s="16"/>
      <c r="X13" s="16"/>
      <c r="Y13" s="16"/>
    </row>
    <row r="14" spans="1:25" x14ac:dyDescent="0.25">
      <c r="A14">
        <v>13</v>
      </c>
      <c r="B14" t="s">
        <v>334</v>
      </c>
      <c r="C14" s="290">
        <v>44075</v>
      </c>
      <c r="D14" t="s">
        <v>608</v>
      </c>
      <c r="E14" t="s">
        <v>327</v>
      </c>
      <c r="F14" t="s">
        <v>584</v>
      </c>
      <c r="G14" s="289">
        <v>1257.287405614928</v>
      </c>
      <c r="I14" t="s">
        <v>300</v>
      </c>
      <c r="J14" s="361" t="str">
        <f t="shared" si="1"/>
        <v>Initial Sale</v>
      </c>
      <c r="K14" s="361" t="str">
        <f t="shared" si="1"/>
        <v>Corporate</v>
      </c>
      <c r="L14" t="s">
        <v>300</v>
      </c>
      <c r="M14" s="16">
        <f t="shared" ref="M14:Y21" si="2">SUMIFS($G:$G,$C:$C,M$2,$D:$D,$K14,$E:$E,$L14,$F:$F,$J14)</f>
        <v>0</v>
      </c>
      <c r="N14" s="16">
        <f t="shared" si="2"/>
        <v>0</v>
      </c>
      <c r="O14" s="16">
        <f t="shared" si="2"/>
        <v>0</v>
      </c>
      <c r="P14" s="16">
        <f t="shared" si="2"/>
        <v>0</v>
      </c>
      <c r="Q14" s="16">
        <f t="shared" si="2"/>
        <v>0</v>
      </c>
      <c r="R14" s="16">
        <f t="shared" si="2"/>
        <v>0</v>
      </c>
      <c r="S14" s="16">
        <f t="shared" si="2"/>
        <v>0</v>
      </c>
      <c r="T14" s="16">
        <f t="shared" si="2"/>
        <v>0</v>
      </c>
      <c r="U14" s="16">
        <f t="shared" si="2"/>
        <v>0</v>
      </c>
      <c r="V14" s="16">
        <f t="shared" si="2"/>
        <v>0</v>
      </c>
      <c r="W14" s="16">
        <f t="shared" si="2"/>
        <v>0</v>
      </c>
      <c r="X14" s="16">
        <f t="shared" si="2"/>
        <v>0</v>
      </c>
      <c r="Y14" s="16">
        <f t="shared" si="2"/>
        <v>0</v>
      </c>
    </row>
    <row r="15" spans="1:25" x14ac:dyDescent="0.25">
      <c r="A15">
        <v>14</v>
      </c>
      <c r="B15" t="s">
        <v>334</v>
      </c>
      <c r="C15" s="290">
        <v>44075</v>
      </c>
      <c r="D15" t="s">
        <v>609</v>
      </c>
      <c r="E15" t="s">
        <v>327</v>
      </c>
      <c r="F15" t="s">
        <v>585</v>
      </c>
      <c r="G15" s="289">
        <v>11457.551495016611</v>
      </c>
      <c r="I15" t="s">
        <v>327</v>
      </c>
      <c r="J15" s="361" t="str">
        <f t="shared" si="1"/>
        <v>Initial Sale</v>
      </c>
      <c r="K15" s="361" t="str">
        <f t="shared" si="1"/>
        <v>Corporate</v>
      </c>
      <c r="L15" t="s">
        <v>327</v>
      </c>
      <c r="M15" s="16">
        <f t="shared" si="2"/>
        <v>0</v>
      </c>
      <c r="N15" s="16">
        <f t="shared" si="2"/>
        <v>11809.155129958961</v>
      </c>
      <c r="O15" s="16">
        <f t="shared" si="2"/>
        <v>6773.1501057082442</v>
      </c>
      <c r="P15" s="16">
        <f t="shared" si="2"/>
        <v>3364.3478260869565</v>
      </c>
      <c r="Q15" s="16">
        <f t="shared" si="2"/>
        <v>22844.401744186049</v>
      </c>
      <c r="R15" s="16">
        <f t="shared" si="2"/>
        <v>11407.101967799643</v>
      </c>
      <c r="S15" s="16">
        <f t="shared" si="2"/>
        <v>3612.0401337792637</v>
      </c>
      <c r="T15" s="16">
        <f t="shared" si="2"/>
        <v>13266.761321909426</v>
      </c>
      <c r="U15" s="16">
        <f t="shared" si="2"/>
        <v>41163.96105863039</v>
      </c>
      <c r="V15" s="16">
        <f t="shared" si="2"/>
        <v>7644.8632387454654</v>
      </c>
      <c r="W15" s="16">
        <f t="shared" si="2"/>
        <v>55843.990756630679</v>
      </c>
      <c r="X15" s="16">
        <f t="shared" si="2"/>
        <v>41165.521567333773</v>
      </c>
      <c r="Y15" s="16">
        <f t="shared" si="2"/>
        <v>10334.717964273677</v>
      </c>
    </row>
    <row r="16" spans="1:25" x14ac:dyDescent="0.25">
      <c r="A16">
        <v>15</v>
      </c>
      <c r="B16" t="s">
        <v>334</v>
      </c>
      <c r="C16" s="290">
        <v>44105</v>
      </c>
      <c r="D16" t="s">
        <v>607</v>
      </c>
      <c r="E16" t="s">
        <v>327</v>
      </c>
      <c r="F16" t="s">
        <v>584</v>
      </c>
      <c r="G16" s="289">
        <v>2273.9698428075208</v>
      </c>
      <c r="I16" t="s">
        <v>346</v>
      </c>
      <c r="J16" s="361" t="str">
        <f t="shared" si="1"/>
        <v>Initial Sale</v>
      </c>
      <c r="K16" s="361" t="str">
        <f t="shared" si="1"/>
        <v>Corporate</v>
      </c>
      <c r="L16" t="s">
        <v>328</v>
      </c>
      <c r="M16" s="16">
        <f t="shared" si="2"/>
        <v>81663.453545885277</v>
      </c>
      <c r="N16" s="16">
        <f t="shared" si="2"/>
        <v>274507.7919136674</v>
      </c>
      <c r="O16" s="16">
        <f t="shared" si="2"/>
        <v>314242.66502793028</v>
      </c>
      <c r="P16" s="16">
        <f t="shared" si="2"/>
        <v>202717.98694000702</v>
      </c>
      <c r="Q16" s="16">
        <f t="shared" si="2"/>
        <v>317199.06726432074</v>
      </c>
      <c r="R16" s="16">
        <f t="shared" si="2"/>
        <v>660009.4950603029</v>
      </c>
      <c r="S16" s="16">
        <f t="shared" si="2"/>
        <v>152917.6949543576</v>
      </c>
      <c r="T16" s="16">
        <f t="shared" si="2"/>
        <v>241031.25389302298</v>
      </c>
      <c r="U16" s="16">
        <f t="shared" si="2"/>
        <v>500200.61175943998</v>
      </c>
      <c r="V16" s="16">
        <f t="shared" si="2"/>
        <v>245993.68780925105</v>
      </c>
      <c r="W16" s="16">
        <f t="shared" si="2"/>
        <v>418414.26182258059</v>
      </c>
      <c r="X16" s="16">
        <f t="shared" si="2"/>
        <v>875839.28309938335</v>
      </c>
      <c r="Y16" s="16">
        <f t="shared" si="2"/>
        <v>122855.40877092663</v>
      </c>
    </row>
    <row r="17" spans="1:25" x14ac:dyDescent="0.25">
      <c r="A17">
        <v>16</v>
      </c>
      <c r="B17" t="s">
        <v>334</v>
      </c>
      <c r="C17" s="290">
        <v>44105</v>
      </c>
      <c r="D17" t="s">
        <v>608</v>
      </c>
      <c r="E17" t="s">
        <v>327</v>
      </c>
      <c r="F17" t="s">
        <v>584</v>
      </c>
      <c r="G17" s="289">
        <v>39733.39580316325</v>
      </c>
      <c r="I17" t="s">
        <v>346</v>
      </c>
      <c r="J17" s="361" t="str">
        <f t="shared" si="1"/>
        <v>Initial Sale</v>
      </c>
      <c r="K17" s="361" t="str">
        <f t="shared" si="1"/>
        <v>Corporate</v>
      </c>
      <c r="L17" t="s">
        <v>329</v>
      </c>
      <c r="M17" s="16">
        <f t="shared" si="2"/>
        <v>96126.800032731786</v>
      </c>
      <c r="N17" s="16">
        <f t="shared" si="2"/>
        <v>239743.68075793935</v>
      </c>
      <c r="O17" s="16">
        <f t="shared" si="2"/>
        <v>367315.19803351624</v>
      </c>
      <c r="P17" s="16">
        <f t="shared" si="2"/>
        <v>210994.68490381533</v>
      </c>
      <c r="Q17" s="16">
        <f t="shared" si="2"/>
        <v>380638.88071718503</v>
      </c>
      <c r="R17" s="16">
        <f t="shared" si="2"/>
        <v>764470.92478366394</v>
      </c>
      <c r="S17" s="16">
        <f t="shared" si="2"/>
        <v>183501.23394522909</v>
      </c>
      <c r="T17" s="16">
        <f t="shared" si="2"/>
        <v>310765.5046716276</v>
      </c>
      <c r="U17" s="16">
        <f t="shared" si="2"/>
        <v>626038.90869124362</v>
      </c>
      <c r="V17" s="16">
        <f t="shared" si="2"/>
        <v>218546.59858498615</v>
      </c>
      <c r="W17" s="16">
        <f t="shared" si="2"/>
        <v>473182.12347502221</v>
      </c>
      <c r="X17" s="16">
        <f t="shared" si="2"/>
        <v>815142.3557192611</v>
      </c>
      <c r="Y17" s="16">
        <f t="shared" si="2"/>
        <v>166926.49052511196</v>
      </c>
    </row>
    <row r="18" spans="1:25" x14ac:dyDescent="0.25">
      <c r="A18">
        <v>17</v>
      </c>
      <c r="B18" t="s">
        <v>334</v>
      </c>
      <c r="C18" s="290">
        <v>44105</v>
      </c>
      <c r="D18" t="s">
        <v>607</v>
      </c>
      <c r="E18" t="s">
        <v>327</v>
      </c>
      <c r="F18" t="s">
        <v>585</v>
      </c>
      <c r="G18" s="289">
        <v>6773.1501057082442</v>
      </c>
      <c r="I18" t="s">
        <v>346</v>
      </c>
      <c r="J18" s="361" t="str">
        <f t="shared" si="1"/>
        <v>Initial Sale</v>
      </c>
      <c r="K18" s="361" t="str">
        <f t="shared" si="1"/>
        <v>Corporate</v>
      </c>
      <c r="L18" t="s">
        <v>330</v>
      </c>
      <c r="M18" s="16">
        <f t="shared" si="2"/>
        <v>29841.999057825004</v>
      </c>
      <c r="N18" s="16">
        <f t="shared" si="2"/>
        <v>84332.671343016904</v>
      </c>
      <c r="O18" s="16">
        <f t="shared" si="2"/>
        <v>75798.214719691867</v>
      </c>
      <c r="P18" s="16">
        <f t="shared" si="2"/>
        <v>50757.634327444604</v>
      </c>
      <c r="Q18" s="16">
        <f t="shared" si="2"/>
        <v>87429.491107641414</v>
      </c>
      <c r="R18" s="16">
        <f t="shared" si="2"/>
        <v>244469.24732427637</v>
      </c>
      <c r="S18" s="16">
        <f t="shared" si="2"/>
        <v>66499.865582018741</v>
      </c>
      <c r="T18" s="16">
        <f t="shared" si="2"/>
        <v>105498.57994149232</v>
      </c>
      <c r="U18" s="16">
        <f t="shared" si="2"/>
        <v>202769.76233204597</v>
      </c>
      <c r="V18" s="16">
        <f t="shared" si="2"/>
        <v>59396.28050110249</v>
      </c>
      <c r="W18" s="16">
        <f t="shared" si="2"/>
        <v>158740.57464563384</v>
      </c>
      <c r="X18" s="16">
        <f t="shared" si="2"/>
        <v>253805.58077901413</v>
      </c>
      <c r="Y18" s="16">
        <f t="shared" si="2"/>
        <v>27153.48801282089</v>
      </c>
    </row>
    <row r="19" spans="1:25" x14ac:dyDescent="0.25">
      <c r="A19">
        <v>18</v>
      </c>
      <c r="B19" t="s">
        <v>334</v>
      </c>
      <c r="C19" s="290">
        <v>44105</v>
      </c>
      <c r="D19" t="s">
        <v>609</v>
      </c>
      <c r="E19" t="s">
        <v>327</v>
      </c>
      <c r="F19" t="s">
        <v>584</v>
      </c>
      <c r="G19" s="289">
        <v>75795.326841795875</v>
      </c>
      <c r="I19" t="s">
        <v>346</v>
      </c>
      <c r="J19" s="361" t="str">
        <f t="shared" si="1"/>
        <v>Initial Sale</v>
      </c>
      <c r="K19" s="361" t="str">
        <f t="shared" si="1"/>
        <v>Corporate</v>
      </c>
      <c r="L19" t="s">
        <v>2</v>
      </c>
      <c r="M19" s="16">
        <f t="shared" si="2"/>
        <v>10229.285825096405</v>
      </c>
      <c r="N19" s="16">
        <f t="shared" si="2"/>
        <v>15769.727778494213</v>
      </c>
      <c r="O19" s="16">
        <f t="shared" si="2"/>
        <v>7004.4493006992998</v>
      </c>
      <c r="P19" s="16">
        <f t="shared" si="2"/>
        <v>4723.4152334152323</v>
      </c>
      <c r="Q19" s="16">
        <f t="shared" si="2"/>
        <v>2122.7425000000003</v>
      </c>
      <c r="R19" s="16">
        <f t="shared" si="2"/>
        <v>7239.5385562647161</v>
      </c>
      <c r="S19" s="16">
        <f t="shared" si="2"/>
        <v>2605.5</v>
      </c>
      <c r="T19" s="16">
        <f t="shared" si="2"/>
        <v>2139.5957763431447</v>
      </c>
      <c r="U19" s="16">
        <f t="shared" si="2"/>
        <v>1595.7561586400775</v>
      </c>
      <c r="V19" s="16">
        <f t="shared" si="2"/>
        <v>619.74678899082562</v>
      </c>
      <c r="W19" s="16">
        <f t="shared" si="2"/>
        <v>3955.8554962899639</v>
      </c>
      <c r="X19" s="16">
        <f t="shared" si="2"/>
        <v>4965.8318133644834</v>
      </c>
      <c r="Y19" s="16">
        <f t="shared" si="2"/>
        <v>0</v>
      </c>
    </row>
    <row r="20" spans="1:25" x14ac:dyDescent="0.25">
      <c r="A20">
        <v>19</v>
      </c>
      <c r="B20" t="s">
        <v>334</v>
      </c>
      <c r="C20" s="290">
        <v>44044</v>
      </c>
      <c r="D20" t="s">
        <v>609</v>
      </c>
      <c r="E20" t="s">
        <v>328</v>
      </c>
      <c r="F20" t="s">
        <v>585</v>
      </c>
      <c r="G20" s="289">
        <v>25274.090909090904</v>
      </c>
      <c r="I20" t="s">
        <v>346</v>
      </c>
      <c r="J20" s="361" t="str">
        <f t="shared" si="1"/>
        <v>Initial Sale</v>
      </c>
      <c r="K20" s="361" t="str">
        <f t="shared" si="1"/>
        <v>Corporate</v>
      </c>
      <c r="L20" t="s">
        <v>331</v>
      </c>
      <c r="M20" s="16">
        <f t="shared" si="2"/>
        <v>0</v>
      </c>
      <c r="N20" s="16">
        <f t="shared" si="2"/>
        <v>0</v>
      </c>
      <c r="O20" s="16">
        <f t="shared" si="2"/>
        <v>0</v>
      </c>
      <c r="P20" s="16">
        <f t="shared" si="2"/>
        <v>0</v>
      </c>
      <c r="Q20" s="16">
        <f t="shared" si="2"/>
        <v>0</v>
      </c>
      <c r="R20" s="16">
        <f t="shared" si="2"/>
        <v>2500</v>
      </c>
      <c r="S20" s="16">
        <f t="shared" si="2"/>
        <v>0</v>
      </c>
      <c r="T20" s="16">
        <f t="shared" si="2"/>
        <v>0</v>
      </c>
      <c r="U20" s="16">
        <f t="shared" si="2"/>
        <v>0</v>
      </c>
      <c r="V20" s="16">
        <f t="shared" si="2"/>
        <v>0</v>
      </c>
      <c r="W20" s="16">
        <f t="shared" si="2"/>
        <v>0</v>
      </c>
      <c r="X20" s="16">
        <f t="shared" si="2"/>
        <v>7500</v>
      </c>
      <c r="Y20" s="16">
        <f t="shared" si="2"/>
        <v>0</v>
      </c>
    </row>
    <row r="21" spans="1:25" x14ac:dyDescent="0.25">
      <c r="A21">
        <v>20</v>
      </c>
      <c r="B21" t="s">
        <v>334</v>
      </c>
      <c r="C21" s="290">
        <v>44044</v>
      </c>
      <c r="D21" t="s">
        <v>608</v>
      </c>
      <c r="E21" t="s">
        <v>328</v>
      </c>
      <c r="F21" t="s">
        <v>585</v>
      </c>
      <c r="G21" s="289">
        <v>85187.711205073996</v>
      </c>
      <c r="I21" t="s">
        <v>347</v>
      </c>
      <c r="J21" s="361" t="str">
        <f t="shared" si="1"/>
        <v>Initial Sale</v>
      </c>
      <c r="K21" s="361" t="str">
        <f t="shared" si="1"/>
        <v>Corporate</v>
      </c>
      <c r="L21" t="s">
        <v>326</v>
      </c>
      <c r="M21" s="16">
        <f t="shared" si="2"/>
        <v>0</v>
      </c>
      <c r="N21" s="16">
        <f t="shared" si="2"/>
        <v>0</v>
      </c>
      <c r="O21" s="16">
        <f t="shared" si="2"/>
        <v>0</v>
      </c>
      <c r="P21" s="16">
        <f t="shared" si="2"/>
        <v>0</v>
      </c>
      <c r="Q21" s="16">
        <f t="shared" si="2"/>
        <v>0</v>
      </c>
      <c r="R21" s="16">
        <f t="shared" si="2"/>
        <v>0</v>
      </c>
      <c r="S21" s="16">
        <f t="shared" si="2"/>
        <v>0</v>
      </c>
      <c r="T21" s="16">
        <f t="shared" si="2"/>
        <v>0</v>
      </c>
      <c r="U21" s="16">
        <f t="shared" si="2"/>
        <v>0</v>
      </c>
      <c r="V21" s="16">
        <f t="shared" si="2"/>
        <v>0</v>
      </c>
      <c r="W21" s="16">
        <f t="shared" si="2"/>
        <v>0</v>
      </c>
      <c r="X21" s="16">
        <f t="shared" si="2"/>
        <v>0</v>
      </c>
      <c r="Y21" s="16">
        <f t="shared" si="2"/>
        <v>0</v>
      </c>
    </row>
    <row r="22" spans="1:25" x14ac:dyDescent="0.25">
      <c r="A22">
        <v>21</v>
      </c>
      <c r="B22" t="s">
        <v>334</v>
      </c>
      <c r="C22" s="290">
        <v>44044</v>
      </c>
      <c r="D22" t="s">
        <v>607</v>
      </c>
      <c r="E22" t="s">
        <v>328</v>
      </c>
      <c r="F22" t="s">
        <v>585</v>
      </c>
      <c r="G22" s="289">
        <v>81663.453545885277</v>
      </c>
      <c r="J22" s="361" t="str">
        <f t="shared" si="1"/>
        <v>Initial Sale</v>
      </c>
      <c r="K22" s="290" t="s">
        <v>609</v>
      </c>
      <c r="M22" s="16"/>
      <c r="N22" s="16"/>
      <c r="O22" s="16"/>
      <c r="P22" s="16"/>
      <c r="Q22" s="16"/>
      <c r="R22" s="16"/>
      <c r="S22" s="16"/>
      <c r="T22" s="16"/>
      <c r="U22" s="16"/>
      <c r="V22" s="16"/>
      <c r="W22" s="16"/>
      <c r="X22" s="16"/>
      <c r="Y22" s="16"/>
    </row>
    <row r="23" spans="1:25" x14ac:dyDescent="0.25">
      <c r="A23">
        <v>22</v>
      </c>
      <c r="B23" t="s">
        <v>334</v>
      </c>
      <c r="C23" s="290">
        <v>44044</v>
      </c>
      <c r="D23" t="s">
        <v>607</v>
      </c>
      <c r="E23" t="s">
        <v>328</v>
      </c>
      <c r="F23" t="s">
        <v>584</v>
      </c>
      <c r="G23" s="289">
        <v>24033.125791435843</v>
      </c>
      <c r="I23" t="s">
        <v>300</v>
      </c>
      <c r="J23" s="361" t="str">
        <f t="shared" si="1"/>
        <v>Initial Sale</v>
      </c>
      <c r="K23" s="361" t="str">
        <f t="shared" si="1"/>
        <v>Strategic</v>
      </c>
      <c r="L23" t="s">
        <v>300</v>
      </c>
      <c r="M23" s="16">
        <f t="shared" ref="M23:Y31" si="3">SUMIFS($G:$G,$C:$C,M$2,$D:$D,$K23,$E:$E,$L23,$F:$F,$J23)</f>
        <v>0</v>
      </c>
      <c r="N23" s="16">
        <f t="shared" si="3"/>
        <v>0</v>
      </c>
      <c r="O23" s="16">
        <f t="shared" si="3"/>
        <v>0</v>
      </c>
      <c r="P23" s="16">
        <f t="shared" si="3"/>
        <v>0</v>
      </c>
      <c r="Q23" s="16">
        <f t="shared" si="3"/>
        <v>0</v>
      </c>
      <c r="R23" s="16">
        <f t="shared" si="3"/>
        <v>0</v>
      </c>
      <c r="S23" s="16">
        <f t="shared" si="3"/>
        <v>0</v>
      </c>
      <c r="T23" s="16">
        <f t="shared" si="3"/>
        <v>0</v>
      </c>
      <c r="U23" s="16">
        <f t="shared" si="3"/>
        <v>0</v>
      </c>
      <c r="V23" s="16">
        <f t="shared" si="3"/>
        <v>0</v>
      </c>
      <c r="W23" s="16">
        <f t="shared" si="3"/>
        <v>0</v>
      </c>
      <c r="X23" s="16">
        <f t="shared" si="3"/>
        <v>0</v>
      </c>
      <c r="Y23" s="16">
        <f t="shared" si="3"/>
        <v>0</v>
      </c>
    </row>
    <row r="24" spans="1:25" x14ac:dyDescent="0.25">
      <c r="A24">
        <v>23</v>
      </c>
      <c r="B24" t="s">
        <v>334</v>
      </c>
      <c r="C24" s="290">
        <v>44044</v>
      </c>
      <c r="D24" t="s">
        <v>608</v>
      </c>
      <c r="E24" t="s">
        <v>328</v>
      </c>
      <c r="F24" t="s">
        <v>584</v>
      </c>
      <c r="G24" s="289">
        <v>20041.45829549605</v>
      </c>
      <c r="I24" t="s">
        <v>327</v>
      </c>
      <c r="J24" s="361" t="str">
        <f t="shared" si="1"/>
        <v>Initial Sale</v>
      </c>
      <c r="K24" s="361" t="str">
        <f t="shared" si="1"/>
        <v>Strategic</v>
      </c>
      <c r="L24" t="s">
        <v>327</v>
      </c>
      <c r="M24" s="16">
        <f t="shared" si="3"/>
        <v>0</v>
      </c>
      <c r="N24" s="16">
        <f t="shared" si="3"/>
        <v>11457.551495016611</v>
      </c>
      <c r="O24" s="16">
        <f t="shared" si="3"/>
        <v>0</v>
      </c>
      <c r="P24" s="16">
        <f t="shared" si="3"/>
        <v>6340.5283720930247</v>
      </c>
      <c r="Q24" s="16">
        <f t="shared" si="3"/>
        <v>8922.069292833412</v>
      </c>
      <c r="R24" s="16">
        <f t="shared" si="3"/>
        <v>26813.48121645796</v>
      </c>
      <c r="S24" s="16">
        <f t="shared" si="3"/>
        <v>11000</v>
      </c>
      <c r="T24" s="16">
        <f t="shared" si="3"/>
        <v>0</v>
      </c>
      <c r="U24" s="16">
        <f t="shared" si="3"/>
        <v>17479.148479427549</v>
      </c>
      <c r="V24" s="16">
        <f t="shared" si="3"/>
        <v>0</v>
      </c>
      <c r="W24" s="16">
        <f t="shared" si="3"/>
        <v>0</v>
      </c>
      <c r="X24" s="16">
        <f t="shared" si="3"/>
        <v>81402.918992248044</v>
      </c>
      <c r="Y24" s="16">
        <f t="shared" si="3"/>
        <v>0</v>
      </c>
    </row>
    <row r="25" spans="1:25" x14ac:dyDescent="0.25">
      <c r="A25">
        <v>24</v>
      </c>
      <c r="B25" t="s">
        <v>334</v>
      </c>
      <c r="C25" s="290">
        <v>44044</v>
      </c>
      <c r="D25" t="s">
        <v>609</v>
      </c>
      <c r="E25" t="s">
        <v>328</v>
      </c>
      <c r="F25" t="s">
        <v>584</v>
      </c>
      <c r="G25" s="289">
        <v>52910.538579336884</v>
      </c>
      <c r="I25" t="s">
        <v>346</v>
      </c>
      <c r="J25" s="361" t="str">
        <f t="shared" si="1"/>
        <v>Initial Sale</v>
      </c>
      <c r="K25" s="361" t="str">
        <f t="shared" si="1"/>
        <v>Strategic</v>
      </c>
      <c r="L25" t="s">
        <v>328</v>
      </c>
      <c r="M25" s="16">
        <f t="shared" si="3"/>
        <v>25274.090909090904</v>
      </c>
      <c r="N25" s="16">
        <f t="shared" si="3"/>
        <v>83834.111333434004</v>
      </c>
      <c r="O25" s="16">
        <f t="shared" si="3"/>
        <v>184131.87944664032</v>
      </c>
      <c r="P25" s="16">
        <f t="shared" si="3"/>
        <v>27921.694928563014</v>
      </c>
      <c r="Q25" s="16">
        <f t="shared" si="3"/>
        <v>70988.208834355013</v>
      </c>
      <c r="R25" s="16">
        <f t="shared" si="3"/>
        <v>93467.389656854779</v>
      </c>
      <c r="S25" s="16">
        <f t="shared" si="3"/>
        <v>76946.153846153844</v>
      </c>
      <c r="T25" s="16">
        <f t="shared" si="3"/>
        <v>9780.8441558441555</v>
      </c>
      <c r="U25" s="16">
        <f t="shared" si="3"/>
        <v>598712.56887298753</v>
      </c>
      <c r="V25" s="16">
        <f t="shared" si="3"/>
        <v>26957.170000000002</v>
      </c>
      <c r="W25" s="16">
        <f t="shared" si="3"/>
        <v>71513.315850815692</v>
      </c>
      <c r="X25" s="16">
        <f t="shared" si="3"/>
        <v>360311.85605282389</v>
      </c>
      <c r="Y25" s="16">
        <f t="shared" si="3"/>
        <v>40058.6013986014</v>
      </c>
    </row>
    <row r="26" spans="1:25" x14ac:dyDescent="0.25">
      <c r="A26">
        <v>25</v>
      </c>
      <c r="B26" t="s">
        <v>334</v>
      </c>
      <c r="C26" s="290">
        <v>44075</v>
      </c>
      <c r="D26" t="s">
        <v>609</v>
      </c>
      <c r="E26" t="s">
        <v>328</v>
      </c>
      <c r="F26" t="s">
        <v>585</v>
      </c>
      <c r="G26" s="289">
        <v>83834.111333434004</v>
      </c>
      <c r="I26" t="s">
        <v>346</v>
      </c>
      <c r="J26" s="361" t="str">
        <f t="shared" si="1"/>
        <v>Initial Sale</v>
      </c>
      <c r="K26" s="361" t="str">
        <f t="shared" si="1"/>
        <v>Strategic</v>
      </c>
      <c r="L26" t="s">
        <v>329</v>
      </c>
      <c r="M26" s="16">
        <f t="shared" si="3"/>
        <v>30328.909090909088</v>
      </c>
      <c r="N26" s="16">
        <f t="shared" si="3"/>
        <v>100600.93360012078</v>
      </c>
      <c r="O26" s="16">
        <f t="shared" si="3"/>
        <v>220958.2553359684</v>
      </c>
      <c r="P26" s="16">
        <f t="shared" si="3"/>
        <v>11412.951069767445</v>
      </c>
      <c r="Q26" s="16">
        <f t="shared" si="3"/>
        <v>85185.850601226019</v>
      </c>
      <c r="R26" s="16">
        <f t="shared" si="3"/>
        <v>112160.86758822572</v>
      </c>
      <c r="S26" s="16">
        <f t="shared" si="3"/>
        <v>92335.38461538461</v>
      </c>
      <c r="T26" s="16">
        <f t="shared" si="3"/>
        <v>11737.012987012986</v>
      </c>
      <c r="U26" s="16">
        <f t="shared" si="3"/>
        <v>210980.39033989268</v>
      </c>
      <c r="V26" s="16">
        <f t="shared" si="3"/>
        <v>0</v>
      </c>
      <c r="W26" s="16">
        <f t="shared" si="3"/>
        <v>85815.979020978819</v>
      </c>
      <c r="X26" s="16">
        <f t="shared" si="3"/>
        <v>339472.9112633887</v>
      </c>
      <c r="Y26" s="16">
        <f t="shared" si="3"/>
        <v>48070.321678321678</v>
      </c>
    </row>
    <row r="27" spans="1:25" x14ac:dyDescent="0.25">
      <c r="A27">
        <v>26</v>
      </c>
      <c r="B27" t="s">
        <v>334</v>
      </c>
      <c r="C27" s="290">
        <v>44075</v>
      </c>
      <c r="D27" t="s">
        <v>609</v>
      </c>
      <c r="E27" t="s">
        <v>328</v>
      </c>
      <c r="F27" t="s">
        <v>584</v>
      </c>
      <c r="G27" s="289">
        <v>376869.48212281615</v>
      </c>
      <c r="I27" t="s">
        <v>346</v>
      </c>
      <c r="J27" s="361" t="str">
        <f t="shared" si="1"/>
        <v>Initial Sale</v>
      </c>
      <c r="K27" s="361" t="str">
        <f t="shared" si="1"/>
        <v>Strategic</v>
      </c>
      <c r="L27" t="s">
        <v>330</v>
      </c>
      <c r="M27" s="16">
        <f t="shared" si="3"/>
        <v>14935.3</v>
      </c>
      <c r="N27" s="16">
        <f t="shared" si="3"/>
        <v>46234.022727272728</v>
      </c>
      <c r="O27" s="16">
        <f t="shared" si="3"/>
        <v>51047.67632411066</v>
      </c>
      <c r="P27" s="16">
        <f t="shared" si="3"/>
        <v>5219.7216295765211</v>
      </c>
      <c r="Q27" s="16">
        <f t="shared" si="3"/>
        <v>12047.871271585558</v>
      </c>
      <c r="R27" s="16">
        <f t="shared" si="3"/>
        <v>38504.169230769228</v>
      </c>
      <c r="S27" s="16">
        <f t="shared" si="3"/>
        <v>10618.461538461539</v>
      </c>
      <c r="T27" s="16">
        <f t="shared" si="3"/>
        <v>3321.4285714285716</v>
      </c>
      <c r="U27" s="16">
        <f t="shared" si="3"/>
        <v>179129.46923076923</v>
      </c>
      <c r="V27" s="16">
        <f t="shared" si="3"/>
        <v>61960.83</v>
      </c>
      <c r="W27" s="16">
        <f t="shared" si="3"/>
        <v>16616.538461538461</v>
      </c>
      <c r="X27" s="16">
        <f t="shared" si="3"/>
        <v>109352.62660153836</v>
      </c>
      <c r="Y27" s="16">
        <f t="shared" si="3"/>
        <v>12371.076923076926</v>
      </c>
    </row>
    <row r="28" spans="1:25" x14ac:dyDescent="0.25">
      <c r="A28">
        <v>27</v>
      </c>
      <c r="B28" t="s">
        <v>334</v>
      </c>
      <c r="C28" s="290">
        <v>44075</v>
      </c>
      <c r="D28" t="s">
        <v>607</v>
      </c>
      <c r="E28" t="s">
        <v>328</v>
      </c>
      <c r="F28" t="s">
        <v>585</v>
      </c>
      <c r="G28" s="289">
        <v>274507.7919136674</v>
      </c>
      <c r="I28" t="s">
        <v>346</v>
      </c>
      <c r="J28" s="361" t="str">
        <f t="shared" si="1"/>
        <v>Initial Sale</v>
      </c>
      <c r="K28" s="361" t="str">
        <f t="shared" si="1"/>
        <v>Strategic</v>
      </c>
      <c r="L28" t="s">
        <v>2</v>
      </c>
      <c r="M28" s="16">
        <f t="shared" si="3"/>
        <v>6250</v>
      </c>
      <c r="N28" s="16">
        <f t="shared" si="3"/>
        <v>13757.280844155843</v>
      </c>
      <c r="O28" s="16">
        <f t="shared" si="3"/>
        <v>37259.204545454537</v>
      </c>
      <c r="P28" s="16">
        <f t="shared" si="3"/>
        <v>605.10400000000016</v>
      </c>
      <c r="Q28" s="16">
        <f t="shared" si="3"/>
        <v>0</v>
      </c>
      <c r="R28" s="16">
        <f t="shared" si="3"/>
        <v>2851.0923076923077</v>
      </c>
      <c r="S28" s="16">
        <f t="shared" si="3"/>
        <v>600</v>
      </c>
      <c r="T28" s="16">
        <f t="shared" si="3"/>
        <v>553.57142857142856</v>
      </c>
      <c r="U28" s="16">
        <f t="shared" si="3"/>
        <v>6231.4230769230771</v>
      </c>
      <c r="V28" s="16">
        <f t="shared" si="3"/>
        <v>737</v>
      </c>
      <c r="W28" s="16">
        <f t="shared" si="3"/>
        <v>0</v>
      </c>
      <c r="X28" s="16">
        <f t="shared" si="3"/>
        <v>10846.568023333317</v>
      </c>
      <c r="Y28" s="16">
        <f t="shared" si="3"/>
        <v>0</v>
      </c>
    </row>
    <row r="29" spans="1:25" x14ac:dyDescent="0.25">
      <c r="A29">
        <v>28</v>
      </c>
      <c r="B29" t="s">
        <v>334</v>
      </c>
      <c r="C29" s="290">
        <v>44075</v>
      </c>
      <c r="D29" t="s">
        <v>608</v>
      </c>
      <c r="E29" t="s">
        <v>328</v>
      </c>
      <c r="F29" t="s">
        <v>585</v>
      </c>
      <c r="G29" s="289">
        <v>177353.90164434002</v>
      </c>
      <c r="I29" t="s">
        <v>346</v>
      </c>
      <c r="J29" s="361" t="str">
        <f t="shared" si="1"/>
        <v>Initial Sale</v>
      </c>
      <c r="K29" s="361" t="str">
        <f t="shared" si="1"/>
        <v>Strategic</v>
      </c>
      <c r="L29" t="s">
        <v>331</v>
      </c>
      <c r="M29" s="16">
        <f t="shared" si="3"/>
        <v>0</v>
      </c>
      <c r="N29" s="16">
        <f t="shared" si="3"/>
        <v>7053</v>
      </c>
      <c r="O29" s="16">
        <f t="shared" si="3"/>
        <v>156398.80434782608</v>
      </c>
      <c r="P29" s="16">
        <f t="shared" si="3"/>
        <v>0</v>
      </c>
      <c r="Q29" s="16">
        <f t="shared" si="3"/>
        <v>0</v>
      </c>
      <c r="R29" s="16">
        <f t="shared" si="3"/>
        <v>15000</v>
      </c>
      <c r="S29" s="16">
        <f t="shared" si="3"/>
        <v>20000</v>
      </c>
      <c r="T29" s="16">
        <f t="shared" si="3"/>
        <v>16607.142857142855</v>
      </c>
      <c r="U29" s="16">
        <f t="shared" si="3"/>
        <v>54794</v>
      </c>
      <c r="V29" s="16">
        <f t="shared" si="3"/>
        <v>0</v>
      </c>
      <c r="W29" s="16">
        <f t="shared" si="3"/>
        <v>0</v>
      </c>
      <c r="X29" s="16">
        <f t="shared" si="3"/>
        <v>0</v>
      </c>
      <c r="Y29" s="16">
        <f t="shared" si="3"/>
        <v>0</v>
      </c>
    </row>
    <row r="30" spans="1:25" x14ac:dyDescent="0.25">
      <c r="A30">
        <v>29</v>
      </c>
      <c r="B30" t="s">
        <v>334</v>
      </c>
      <c r="C30" s="290">
        <v>44075</v>
      </c>
      <c r="D30" t="s">
        <v>607</v>
      </c>
      <c r="E30" t="s">
        <v>328</v>
      </c>
      <c r="F30" t="s">
        <v>584</v>
      </c>
      <c r="G30" s="289">
        <v>49786.421853734821</v>
      </c>
      <c r="I30" t="s">
        <v>347</v>
      </c>
      <c r="J30" s="361" t="str">
        <f t="shared" si="1"/>
        <v>Initial Sale</v>
      </c>
      <c r="K30" s="361" t="str">
        <f t="shared" si="1"/>
        <v>Strategic</v>
      </c>
      <c r="L30" t="s">
        <v>326</v>
      </c>
      <c r="M30" s="16">
        <f t="shared" si="3"/>
        <v>0</v>
      </c>
      <c r="N30" s="16">
        <f t="shared" si="3"/>
        <v>0</v>
      </c>
      <c r="O30" s="16">
        <f t="shared" si="3"/>
        <v>0</v>
      </c>
      <c r="P30" s="16">
        <f t="shared" si="3"/>
        <v>0</v>
      </c>
      <c r="Q30" s="16">
        <f t="shared" si="3"/>
        <v>0</v>
      </c>
      <c r="R30" s="16">
        <f t="shared" si="3"/>
        <v>0</v>
      </c>
      <c r="S30" s="16">
        <f t="shared" si="3"/>
        <v>0</v>
      </c>
      <c r="T30" s="16">
        <f t="shared" si="3"/>
        <v>0</v>
      </c>
      <c r="U30" s="16">
        <f t="shared" si="3"/>
        <v>0</v>
      </c>
      <c r="V30" s="16">
        <f t="shared" si="3"/>
        <v>0</v>
      </c>
      <c r="W30" s="16">
        <f t="shared" si="3"/>
        <v>0</v>
      </c>
      <c r="X30" s="16">
        <f t="shared" si="3"/>
        <v>0</v>
      </c>
      <c r="Y30" s="16">
        <f t="shared" si="3"/>
        <v>0</v>
      </c>
    </row>
    <row r="31" spans="1:25" x14ac:dyDescent="0.25">
      <c r="A31">
        <v>30</v>
      </c>
      <c r="B31" t="s">
        <v>334</v>
      </c>
      <c r="C31" s="290">
        <v>44075</v>
      </c>
      <c r="D31" t="s">
        <v>608</v>
      </c>
      <c r="E31" t="s">
        <v>328</v>
      </c>
      <c r="F31" t="s">
        <v>584</v>
      </c>
      <c r="G31" s="289">
        <v>34332.104488791832</v>
      </c>
      <c r="K31" s="361" t="str">
        <f t="shared" ref="K31" si="4">K30</f>
        <v>Strategic</v>
      </c>
      <c r="M31" s="16">
        <f t="shared" si="3"/>
        <v>0</v>
      </c>
      <c r="N31" s="16">
        <f t="shared" si="3"/>
        <v>0</v>
      </c>
      <c r="O31" s="16">
        <f t="shared" si="3"/>
        <v>0</v>
      </c>
      <c r="P31" s="16">
        <f t="shared" si="3"/>
        <v>0</v>
      </c>
      <c r="Q31" s="16">
        <f t="shared" si="3"/>
        <v>0</v>
      </c>
      <c r="R31" s="16">
        <f t="shared" si="3"/>
        <v>0</v>
      </c>
      <c r="S31" s="16">
        <f t="shared" si="3"/>
        <v>0</v>
      </c>
      <c r="T31" s="16">
        <f t="shared" si="3"/>
        <v>0</v>
      </c>
      <c r="U31" s="16">
        <f t="shared" si="3"/>
        <v>0</v>
      </c>
      <c r="V31" s="16">
        <f t="shared" si="3"/>
        <v>0</v>
      </c>
      <c r="W31" s="16">
        <f t="shared" si="3"/>
        <v>0</v>
      </c>
      <c r="X31" s="16">
        <f t="shared" si="3"/>
        <v>0</v>
      </c>
      <c r="Y31" s="16">
        <f t="shared" si="3"/>
        <v>0</v>
      </c>
    </row>
    <row r="32" spans="1:25" x14ac:dyDescent="0.25">
      <c r="A32">
        <v>31</v>
      </c>
      <c r="B32" t="s">
        <v>334</v>
      </c>
      <c r="C32" s="290">
        <v>44105</v>
      </c>
      <c r="D32" t="s">
        <v>609</v>
      </c>
      <c r="E32" t="s">
        <v>328</v>
      </c>
      <c r="F32" t="s">
        <v>584</v>
      </c>
      <c r="G32" s="289">
        <v>267313.87636466639</v>
      </c>
      <c r="J32" s="290" t="s">
        <v>584</v>
      </c>
      <c r="M32" s="16"/>
      <c r="N32" s="16"/>
      <c r="O32" s="16"/>
      <c r="P32" s="16"/>
      <c r="Q32" s="16"/>
      <c r="R32" s="16"/>
      <c r="S32" s="16"/>
      <c r="T32" s="16"/>
      <c r="U32" s="16"/>
      <c r="V32" s="16"/>
      <c r="W32" s="16"/>
      <c r="X32" s="16"/>
      <c r="Y32" s="16"/>
    </row>
    <row r="33" spans="1:25" x14ac:dyDescent="0.25">
      <c r="A33">
        <v>32</v>
      </c>
      <c r="B33" t="s">
        <v>334</v>
      </c>
      <c r="C33" s="290">
        <v>44105</v>
      </c>
      <c r="D33" t="s">
        <v>608</v>
      </c>
      <c r="E33" t="s">
        <v>328</v>
      </c>
      <c r="F33" t="s">
        <v>584</v>
      </c>
      <c r="G33" s="289">
        <v>99574.27828015358</v>
      </c>
      <c r="J33" s="361" t="str">
        <f>J32</f>
        <v>Expansion</v>
      </c>
      <c r="K33" s="290" t="s">
        <v>608</v>
      </c>
      <c r="M33" s="16"/>
      <c r="N33" s="16"/>
      <c r="O33" s="16"/>
      <c r="P33" s="16"/>
      <c r="Q33" s="16"/>
      <c r="R33" s="16"/>
      <c r="S33" s="16"/>
      <c r="T33" s="16"/>
      <c r="U33" s="16"/>
      <c r="V33" s="16"/>
      <c r="W33" s="16"/>
      <c r="X33" s="16"/>
      <c r="Y33" s="16"/>
    </row>
    <row r="34" spans="1:25" x14ac:dyDescent="0.25">
      <c r="A34">
        <v>33</v>
      </c>
      <c r="B34" t="s">
        <v>334</v>
      </c>
      <c r="C34" s="290">
        <v>44105</v>
      </c>
      <c r="D34" t="s">
        <v>609</v>
      </c>
      <c r="E34" t="s">
        <v>328</v>
      </c>
      <c r="F34" t="s">
        <v>585</v>
      </c>
      <c r="G34" s="289">
        <v>184131.87944664032</v>
      </c>
      <c r="I34" t="s">
        <v>300</v>
      </c>
      <c r="J34" s="361" t="str">
        <f t="shared" ref="J34:K59" si="5">J33</f>
        <v>Expansion</v>
      </c>
      <c r="K34" s="361" t="str">
        <f>K33</f>
        <v>Commercial</v>
      </c>
      <c r="L34" t="s">
        <v>300</v>
      </c>
      <c r="M34" s="16">
        <f t="shared" ref="M34:Y41" si="6">SUMIFS($G:$G,$C:$C,M$2,$D:$D,$K34,$E:$E,$L34,$F:$F,$J34)</f>
        <v>55527</v>
      </c>
      <c r="N34" s="16">
        <f t="shared" si="6"/>
        <v>110066.36206896551</v>
      </c>
      <c r="O34" s="16">
        <f t="shared" si="6"/>
        <v>126859.18999999999</v>
      </c>
      <c r="P34" s="16">
        <f t="shared" si="6"/>
        <v>41004</v>
      </c>
      <c r="Q34" s="16">
        <f t="shared" si="6"/>
        <v>243082</v>
      </c>
      <c r="R34" s="16">
        <f t="shared" si="6"/>
        <v>371822</v>
      </c>
      <c r="S34" s="16">
        <f t="shared" si="6"/>
        <v>11724</v>
      </c>
      <c r="T34" s="16">
        <f t="shared" si="6"/>
        <v>158410</v>
      </c>
      <c r="U34" s="16">
        <f t="shared" si="6"/>
        <v>131385</v>
      </c>
      <c r="V34" s="16">
        <f t="shared" si="6"/>
        <v>128667.02666666699</v>
      </c>
      <c r="W34" s="16">
        <f t="shared" si="6"/>
        <v>268791.40666666697</v>
      </c>
      <c r="X34" s="16">
        <f t="shared" si="6"/>
        <v>177518.563157895</v>
      </c>
      <c r="Y34" s="16">
        <f t="shared" si="6"/>
        <v>57115.27</v>
      </c>
    </row>
    <row r="35" spans="1:25" x14ac:dyDescent="0.25">
      <c r="A35">
        <v>34</v>
      </c>
      <c r="B35" t="s">
        <v>334</v>
      </c>
      <c r="C35" s="290">
        <v>44105</v>
      </c>
      <c r="D35" t="s">
        <v>608</v>
      </c>
      <c r="E35" t="s">
        <v>328</v>
      </c>
      <c r="F35" t="s">
        <v>585</v>
      </c>
      <c r="G35" s="289">
        <v>109387.45849866685</v>
      </c>
      <c r="I35" t="s">
        <v>327</v>
      </c>
      <c r="J35" s="361" t="str">
        <f t="shared" si="5"/>
        <v>Expansion</v>
      </c>
      <c r="K35" s="361" t="str">
        <f t="shared" ref="K35:K41" si="7">K34</f>
        <v>Commercial</v>
      </c>
      <c r="L35" t="s">
        <v>327</v>
      </c>
      <c r="M35" s="16">
        <f t="shared" si="6"/>
        <v>13270.024082777805</v>
      </c>
      <c r="N35" s="16">
        <f t="shared" si="6"/>
        <v>1257.287405614928</v>
      </c>
      <c r="O35" s="16">
        <f t="shared" si="6"/>
        <v>39733.39580316325</v>
      </c>
      <c r="P35" s="16">
        <f t="shared" si="6"/>
        <v>12779.414853163329</v>
      </c>
      <c r="Q35" s="16">
        <f t="shared" si="6"/>
        <v>86261.556742439672</v>
      </c>
      <c r="R35" s="16">
        <f t="shared" si="6"/>
        <v>45542.948109091754</v>
      </c>
      <c r="S35" s="16">
        <f t="shared" si="6"/>
        <v>16089</v>
      </c>
      <c r="T35" s="16">
        <f t="shared" si="6"/>
        <v>24544.056893405683</v>
      </c>
      <c r="U35" s="16">
        <f t="shared" si="6"/>
        <v>54513.835348319153</v>
      </c>
      <c r="V35" s="16">
        <f t="shared" si="6"/>
        <v>32057.634747235257</v>
      </c>
      <c r="W35" s="16">
        <f t="shared" si="6"/>
        <v>9225.8012903229992</v>
      </c>
      <c r="X35" s="16">
        <f t="shared" si="6"/>
        <v>25318.802518343928</v>
      </c>
      <c r="Y35" s="16">
        <f t="shared" si="6"/>
        <v>35388.148290737408</v>
      </c>
    </row>
    <row r="36" spans="1:25" x14ac:dyDescent="0.25">
      <c r="A36">
        <v>35</v>
      </c>
      <c r="B36" t="s">
        <v>334</v>
      </c>
      <c r="C36" s="290">
        <v>44105</v>
      </c>
      <c r="D36" t="s">
        <v>607</v>
      </c>
      <c r="E36" t="s">
        <v>328</v>
      </c>
      <c r="F36" t="s">
        <v>585</v>
      </c>
      <c r="G36" s="289">
        <v>314242.66502793028</v>
      </c>
      <c r="I36" t="s">
        <v>346</v>
      </c>
      <c r="J36" s="361" t="str">
        <f t="shared" si="5"/>
        <v>Expansion</v>
      </c>
      <c r="K36" s="361" t="str">
        <f t="shared" si="7"/>
        <v>Commercial</v>
      </c>
      <c r="L36" t="s">
        <v>328</v>
      </c>
      <c r="M36" s="16">
        <f t="shared" si="6"/>
        <v>20041.45829549605</v>
      </c>
      <c r="N36" s="16">
        <f t="shared" si="6"/>
        <v>34332.104488791832</v>
      </c>
      <c r="O36" s="16">
        <f t="shared" si="6"/>
        <v>99574.27828015358</v>
      </c>
      <c r="P36" s="16">
        <f t="shared" si="6"/>
        <v>91167.494873792777</v>
      </c>
      <c r="Q36" s="16">
        <f t="shared" si="6"/>
        <v>74594.409610064831</v>
      </c>
      <c r="R36" s="16">
        <f t="shared" si="6"/>
        <v>207278.12687423188</v>
      </c>
      <c r="S36" s="16">
        <f t="shared" si="6"/>
        <v>22538.11349023963</v>
      </c>
      <c r="T36" s="16">
        <f t="shared" si="6"/>
        <v>134632.13546874042</v>
      </c>
      <c r="U36" s="16">
        <f t="shared" si="6"/>
        <v>240977.64155234536</v>
      </c>
      <c r="V36" s="16">
        <f t="shared" si="6"/>
        <v>153744.03447647134</v>
      </c>
      <c r="W36" s="16">
        <f t="shared" si="6"/>
        <v>181510.47562630265</v>
      </c>
      <c r="X36" s="16">
        <f t="shared" si="6"/>
        <v>200872.5823977314</v>
      </c>
      <c r="Y36" s="16">
        <f t="shared" si="6"/>
        <v>117598.06369321</v>
      </c>
    </row>
    <row r="37" spans="1:25" x14ac:dyDescent="0.25">
      <c r="A37">
        <v>36</v>
      </c>
      <c r="B37" t="s">
        <v>334</v>
      </c>
      <c r="C37" s="290">
        <v>44105</v>
      </c>
      <c r="D37" t="s">
        <v>607</v>
      </c>
      <c r="E37" t="s">
        <v>328</v>
      </c>
      <c r="F37" t="s">
        <v>584</v>
      </c>
      <c r="G37" s="289">
        <v>186572.562180651</v>
      </c>
      <c r="I37" t="s">
        <v>346</v>
      </c>
      <c r="J37" s="361" t="str">
        <f t="shared" si="5"/>
        <v>Expansion</v>
      </c>
      <c r="K37" s="361" t="str">
        <f t="shared" si="7"/>
        <v>Commercial</v>
      </c>
      <c r="L37" t="s">
        <v>329</v>
      </c>
      <c r="M37" s="16">
        <f t="shared" si="6"/>
        <v>24049.74995459526</v>
      </c>
      <c r="N37" s="16">
        <f t="shared" si="6"/>
        <v>58604.525386550202</v>
      </c>
      <c r="O37" s="16">
        <f t="shared" si="6"/>
        <v>119489.1339361843</v>
      </c>
      <c r="P37" s="16">
        <f t="shared" si="6"/>
        <v>128060.59484605755</v>
      </c>
      <c r="Q37" s="16">
        <f t="shared" si="6"/>
        <v>87085.635991618954</v>
      </c>
      <c r="R37" s="16">
        <f t="shared" si="6"/>
        <v>232309.78584637278</v>
      </c>
      <c r="S37" s="16">
        <f t="shared" si="6"/>
        <v>28984.486188287556</v>
      </c>
      <c r="T37" s="16">
        <f t="shared" si="6"/>
        <v>156638.68256248848</v>
      </c>
      <c r="U37" s="16">
        <f t="shared" si="6"/>
        <v>265173.16986281442</v>
      </c>
      <c r="V37" s="16">
        <f t="shared" si="6"/>
        <v>211492.84137176562</v>
      </c>
      <c r="W37" s="16">
        <f t="shared" si="6"/>
        <v>208212.57075156315</v>
      </c>
      <c r="X37" s="16">
        <f t="shared" si="6"/>
        <v>240498.52744870633</v>
      </c>
      <c r="Y37" s="16">
        <f t="shared" si="6"/>
        <v>137813.36786042401</v>
      </c>
    </row>
    <row r="38" spans="1:25" x14ac:dyDescent="0.25">
      <c r="A38">
        <v>37</v>
      </c>
      <c r="B38" t="s">
        <v>334</v>
      </c>
      <c r="C38" s="290">
        <v>44044</v>
      </c>
      <c r="D38" t="s">
        <v>609</v>
      </c>
      <c r="E38" t="s">
        <v>329</v>
      </c>
      <c r="F38" t="s">
        <v>585</v>
      </c>
      <c r="G38" s="289">
        <v>30328.909090909088</v>
      </c>
      <c r="I38" t="s">
        <v>346</v>
      </c>
      <c r="J38" s="361" t="str">
        <f t="shared" si="5"/>
        <v>Expansion</v>
      </c>
      <c r="K38" s="361" t="str">
        <f t="shared" si="7"/>
        <v>Commercial</v>
      </c>
      <c r="L38" t="s">
        <v>330</v>
      </c>
      <c r="M38" s="16">
        <f t="shared" si="6"/>
        <v>10108.444591990208</v>
      </c>
      <c r="N38" s="16">
        <f t="shared" si="6"/>
        <v>35255.216110825917</v>
      </c>
      <c r="O38" s="16">
        <f t="shared" si="6"/>
        <v>53993.228829164291</v>
      </c>
      <c r="P38" s="16">
        <f t="shared" si="6"/>
        <v>32527.80540692867</v>
      </c>
      <c r="Q38" s="16">
        <f t="shared" si="6"/>
        <v>39207.904065991206</v>
      </c>
      <c r="R38" s="16">
        <f t="shared" si="6"/>
        <v>53553.400963885615</v>
      </c>
      <c r="S38" s="16">
        <f t="shared" si="6"/>
        <v>18376.467775253695</v>
      </c>
      <c r="T38" s="16">
        <f t="shared" si="6"/>
        <v>50069.316034228075</v>
      </c>
      <c r="U38" s="16">
        <f t="shared" si="6"/>
        <v>81353.437445508447</v>
      </c>
      <c r="V38" s="16">
        <f t="shared" si="6"/>
        <v>94607.435947576523</v>
      </c>
      <c r="W38" s="16">
        <f t="shared" si="6"/>
        <v>57200.678776931622</v>
      </c>
      <c r="X38" s="16">
        <f t="shared" si="6"/>
        <v>63797.637204739032</v>
      </c>
      <c r="Y38" s="16">
        <f t="shared" si="6"/>
        <v>60014.941366086088</v>
      </c>
    </row>
    <row r="39" spans="1:25" x14ac:dyDescent="0.25">
      <c r="A39">
        <v>38</v>
      </c>
      <c r="B39" t="s">
        <v>334</v>
      </c>
      <c r="C39" s="290">
        <v>44044</v>
      </c>
      <c r="D39" t="s">
        <v>608</v>
      </c>
      <c r="E39" t="s">
        <v>329</v>
      </c>
      <c r="F39" t="s">
        <v>584</v>
      </c>
      <c r="G39" s="289">
        <v>24049.74995459526</v>
      </c>
      <c r="I39" t="s">
        <v>346</v>
      </c>
      <c r="J39" s="361" t="str">
        <f t="shared" si="5"/>
        <v>Expansion</v>
      </c>
      <c r="K39" s="361" t="str">
        <f t="shared" si="7"/>
        <v>Commercial</v>
      </c>
      <c r="L39" t="s">
        <v>2</v>
      </c>
      <c r="M39" s="16">
        <f t="shared" si="6"/>
        <v>49486.571384682167</v>
      </c>
      <c r="N39" s="16">
        <f t="shared" si="6"/>
        <v>239885.74293045673</v>
      </c>
      <c r="O39" s="16">
        <f t="shared" si="6"/>
        <v>262828.65703638323</v>
      </c>
      <c r="P39" s="16">
        <f t="shared" si="6"/>
        <v>60310.09211525596</v>
      </c>
      <c r="Q39" s="16">
        <f t="shared" si="6"/>
        <v>82949.635529413208</v>
      </c>
      <c r="R39" s="16">
        <f t="shared" si="6"/>
        <v>141060.78810796095</v>
      </c>
      <c r="S39" s="16">
        <f t="shared" si="6"/>
        <v>30939.383603301565</v>
      </c>
      <c r="T39" s="16">
        <f t="shared" si="6"/>
        <v>58280.661072105249</v>
      </c>
      <c r="U39" s="16">
        <f t="shared" si="6"/>
        <v>137633.79083184383</v>
      </c>
      <c r="V39" s="16">
        <f t="shared" si="6"/>
        <v>71515.224074872618</v>
      </c>
      <c r="W39" s="16">
        <f t="shared" si="6"/>
        <v>137782.0852857139</v>
      </c>
      <c r="X39" s="16">
        <f t="shared" si="6"/>
        <v>120386.47080630722</v>
      </c>
      <c r="Y39" s="16">
        <f t="shared" si="6"/>
        <v>0</v>
      </c>
    </row>
    <row r="40" spans="1:25" x14ac:dyDescent="0.25">
      <c r="A40">
        <v>39</v>
      </c>
      <c r="B40" t="s">
        <v>334</v>
      </c>
      <c r="C40" s="290">
        <v>44044</v>
      </c>
      <c r="D40" t="s">
        <v>607</v>
      </c>
      <c r="E40" t="s">
        <v>329</v>
      </c>
      <c r="F40" t="s">
        <v>584</v>
      </c>
      <c r="G40" s="289">
        <v>28839.750949723017</v>
      </c>
      <c r="I40" t="s">
        <v>346</v>
      </c>
      <c r="J40" s="361" t="str">
        <f t="shared" si="5"/>
        <v>Expansion</v>
      </c>
      <c r="K40" s="361" t="str">
        <f t="shared" si="7"/>
        <v>Commercial</v>
      </c>
      <c r="L40" t="s">
        <v>331</v>
      </c>
      <c r="M40" s="16">
        <f t="shared" si="6"/>
        <v>-9086.7896913596705</v>
      </c>
      <c r="N40" s="16">
        <f t="shared" si="6"/>
        <v>0</v>
      </c>
      <c r="O40" s="16">
        <f t="shared" si="6"/>
        <v>118949.20634920635</v>
      </c>
      <c r="P40" s="16">
        <f t="shared" si="6"/>
        <v>0</v>
      </c>
      <c r="Q40" s="16">
        <f t="shared" si="6"/>
        <v>0</v>
      </c>
      <c r="R40" s="16">
        <f t="shared" si="6"/>
        <v>3054.3785310734461</v>
      </c>
      <c r="S40" s="16">
        <f t="shared" si="6"/>
        <v>0</v>
      </c>
      <c r="T40" s="16">
        <f t="shared" si="6"/>
        <v>0</v>
      </c>
      <c r="U40" s="16">
        <f t="shared" si="6"/>
        <v>5814.8766430781525</v>
      </c>
      <c r="V40" s="16">
        <f t="shared" si="6"/>
        <v>0</v>
      </c>
      <c r="W40" s="16">
        <f t="shared" si="6"/>
        <v>0</v>
      </c>
      <c r="X40" s="16">
        <f t="shared" si="6"/>
        <v>7618.3296829971177</v>
      </c>
      <c r="Y40" s="16">
        <f t="shared" si="6"/>
        <v>0</v>
      </c>
    </row>
    <row r="41" spans="1:25" x14ac:dyDescent="0.25">
      <c r="A41">
        <v>40</v>
      </c>
      <c r="B41" t="s">
        <v>334</v>
      </c>
      <c r="C41" s="290">
        <v>44044</v>
      </c>
      <c r="D41" t="s">
        <v>607</v>
      </c>
      <c r="E41" t="s">
        <v>329</v>
      </c>
      <c r="F41" t="s">
        <v>585</v>
      </c>
      <c r="G41" s="289">
        <v>96126.800032731786</v>
      </c>
      <c r="I41" t="s">
        <v>347</v>
      </c>
      <c r="J41" s="361" t="str">
        <f t="shared" si="5"/>
        <v>Expansion</v>
      </c>
      <c r="K41" s="361" t="str">
        <f t="shared" si="7"/>
        <v>Commercial</v>
      </c>
      <c r="L41" t="s">
        <v>326</v>
      </c>
      <c r="M41" s="16">
        <f t="shared" si="6"/>
        <v>0</v>
      </c>
      <c r="N41" s="16">
        <f t="shared" si="6"/>
        <v>0</v>
      </c>
      <c r="O41" s="16">
        <f t="shared" si="6"/>
        <v>0</v>
      </c>
      <c r="P41" s="16">
        <f t="shared" si="6"/>
        <v>0</v>
      </c>
      <c r="Q41" s="16">
        <f t="shared" si="6"/>
        <v>0</v>
      </c>
      <c r="R41" s="16">
        <f t="shared" si="6"/>
        <v>0</v>
      </c>
      <c r="S41" s="16">
        <f t="shared" si="6"/>
        <v>0</v>
      </c>
      <c r="T41" s="16">
        <f t="shared" si="6"/>
        <v>0</v>
      </c>
      <c r="U41" s="16">
        <f t="shared" si="6"/>
        <v>0</v>
      </c>
      <c r="V41" s="16">
        <f t="shared" si="6"/>
        <v>0</v>
      </c>
      <c r="W41" s="16">
        <f t="shared" si="6"/>
        <v>0</v>
      </c>
      <c r="X41" s="16">
        <f t="shared" si="6"/>
        <v>0</v>
      </c>
      <c r="Y41" s="16">
        <f t="shared" si="6"/>
        <v>0</v>
      </c>
    </row>
    <row r="42" spans="1:25" x14ac:dyDescent="0.25">
      <c r="A42">
        <v>41</v>
      </c>
      <c r="B42" t="s">
        <v>334</v>
      </c>
      <c r="C42" s="290">
        <v>44044</v>
      </c>
      <c r="D42" t="s">
        <v>609</v>
      </c>
      <c r="E42" t="s">
        <v>329</v>
      </c>
      <c r="F42" t="s">
        <v>584</v>
      </c>
      <c r="G42" s="289">
        <v>63492.646295204264</v>
      </c>
      <c r="J42" s="361" t="str">
        <f t="shared" si="5"/>
        <v>Expansion</v>
      </c>
      <c r="K42" s="290" t="s">
        <v>607</v>
      </c>
      <c r="M42" s="16"/>
      <c r="N42" s="16"/>
      <c r="O42" s="16"/>
      <c r="P42" s="16"/>
      <c r="Q42" s="16"/>
      <c r="R42" s="16"/>
      <c r="S42" s="16"/>
      <c r="T42" s="16"/>
      <c r="U42" s="16"/>
      <c r="V42" s="16"/>
      <c r="W42" s="16"/>
      <c r="X42" s="16"/>
      <c r="Y42" s="16"/>
    </row>
    <row r="43" spans="1:25" x14ac:dyDescent="0.25">
      <c r="A43">
        <v>42</v>
      </c>
      <c r="B43" t="s">
        <v>334</v>
      </c>
      <c r="C43" s="290">
        <v>44044</v>
      </c>
      <c r="D43" t="s">
        <v>608</v>
      </c>
      <c r="E43" t="s">
        <v>329</v>
      </c>
      <c r="F43" t="s">
        <v>585</v>
      </c>
      <c r="G43" s="289">
        <v>109556.4934460888</v>
      </c>
      <c r="I43" t="s">
        <v>300</v>
      </c>
      <c r="J43" s="361" t="str">
        <f t="shared" si="5"/>
        <v>Expansion</v>
      </c>
      <c r="K43" s="361" t="str">
        <f t="shared" si="5"/>
        <v>Corporate</v>
      </c>
      <c r="L43" t="s">
        <v>300</v>
      </c>
      <c r="M43" s="16">
        <f t="shared" ref="M43:Y50" si="8">SUMIFS($G:$G,$C:$C,M$2,$D:$D,$K43,$E:$E,$L43,$F:$F,$J43)</f>
        <v>0</v>
      </c>
      <c r="N43" s="16">
        <f t="shared" si="8"/>
        <v>25000</v>
      </c>
      <c r="O43" s="16">
        <f t="shared" si="8"/>
        <v>47052.555999999997</v>
      </c>
      <c r="P43" s="16">
        <f t="shared" si="8"/>
        <v>0</v>
      </c>
      <c r="Q43" s="16">
        <f t="shared" si="8"/>
        <v>5929</v>
      </c>
      <c r="R43" s="16">
        <f t="shared" si="8"/>
        <v>2566</v>
      </c>
      <c r="S43" s="16">
        <f t="shared" si="8"/>
        <v>0</v>
      </c>
      <c r="T43" s="16">
        <f t="shared" si="8"/>
        <v>0</v>
      </c>
      <c r="U43" s="16">
        <f t="shared" si="8"/>
        <v>21250</v>
      </c>
      <c r="V43" s="16">
        <f t="shared" si="8"/>
        <v>12500</v>
      </c>
      <c r="W43" s="16">
        <f t="shared" si="8"/>
        <v>2270</v>
      </c>
      <c r="X43" s="16">
        <f t="shared" si="8"/>
        <v>0</v>
      </c>
      <c r="Y43" s="16">
        <f t="shared" si="8"/>
        <v>7500</v>
      </c>
    </row>
    <row r="44" spans="1:25" x14ac:dyDescent="0.25">
      <c r="A44">
        <v>43</v>
      </c>
      <c r="B44" t="s">
        <v>334</v>
      </c>
      <c r="C44" s="290">
        <v>44075</v>
      </c>
      <c r="D44" t="s">
        <v>608</v>
      </c>
      <c r="E44" t="s">
        <v>329</v>
      </c>
      <c r="F44" t="s">
        <v>585</v>
      </c>
      <c r="G44" s="289">
        <v>133304.94037346504</v>
      </c>
      <c r="I44" t="s">
        <v>327</v>
      </c>
      <c r="J44" s="361" t="str">
        <f t="shared" si="5"/>
        <v>Expansion</v>
      </c>
      <c r="K44" s="361" t="str">
        <f t="shared" si="5"/>
        <v>Corporate</v>
      </c>
      <c r="L44" t="s">
        <v>327</v>
      </c>
      <c r="M44" s="16">
        <f t="shared" si="8"/>
        <v>-1030</v>
      </c>
      <c r="N44" s="16">
        <f t="shared" si="8"/>
        <v>0</v>
      </c>
      <c r="O44" s="16">
        <f t="shared" si="8"/>
        <v>2273.9698428075208</v>
      </c>
      <c r="P44" s="16">
        <f t="shared" si="8"/>
        <v>8336.7790385533626</v>
      </c>
      <c r="Q44" s="16">
        <f t="shared" si="8"/>
        <v>17224.670266491408</v>
      </c>
      <c r="R44" s="16">
        <f t="shared" si="8"/>
        <v>17662.896899224808</v>
      </c>
      <c r="S44" s="16">
        <f t="shared" si="8"/>
        <v>14184</v>
      </c>
      <c r="T44" s="16">
        <f t="shared" si="8"/>
        <v>7873.1733234905969</v>
      </c>
      <c r="U44" s="16">
        <f t="shared" si="8"/>
        <v>11912.807515029815</v>
      </c>
      <c r="V44" s="16">
        <f t="shared" si="8"/>
        <v>15912.74690469254</v>
      </c>
      <c r="W44" s="16">
        <f t="shared" si="8"/>
        <v>22701.563584340147</v>
      </c>
      <c r="X44" s="16">
        <f t="shared" si="8"/>
        <v>19254.132548231551</v>
      </c>
      <c r="Y44" s="16">
        <f t="shared" si="8"/>
        <v>17242.471142126997</v>
      </c>
    </row>
    <row r="45" spans="1:25" x14ac:dyDescent="0.25">
      <c r="A45">
        <v>44</v>
      </c>
      <c r="B45" t="s">
        <v>334</v>
      </c>
      <c r="C45" s="290">
        <v>44075</v>
      </c>
      <c r="D45" t="s">
        <v>607</v>
      </c>
      <c r="E45" t="s">
        <v>329</v>
      </c>
      <c r="F45" t="s">
        <v>585</v>
      </c>
      <c r="G45" s="289">
        <v>239743.68075793935</v>
      </c>
      <c r="I45" t="s">
        <v>346</v>
      </c>
      <c r="J45" s="361" t="str">
        <f t="shared" si="5"/>
        <v>Expansion</v>
      </c>
      <c r="K45" s="361" t="str">
        <f t="shared" si="5"/>
        <v>Corporate</v>
      </c>
      <c r="L45" t="s">
        <v>328</v>
      </c>
      <c r="M45" s="16">
        <f t="shared" si="8"/>
        <v>24033.125791435843</v>
      </c>
      <c r="N45" s="16">
        <f t="shared" si="8"/>
        <v>49786.421853734821</v>
      </c>
      <c r="O45" s="16">
        <f t="shared" si="8"/>
        <v>186572.562180651</v>
      </c>
      <c r="P45" s="16">
        <f t="shared" si="8"/>
        <v>91243.199250388468</v>
      </c>
      <c r="Q45" s="16">
        <f t="shared" si="8"/>
        <v>144158.8980884054</v>
      </c>
      <c r="R45" s="16">
        <f t="shared" si="8"/>
        <v>70882.601621239679</v>
      </c>
      <c r="S45" s="16">
        <f t="shared" si="8"/>
        <v>46479.167402483574</v>
      </c>
      <c r="T45" s="16">
        <f t="shared" si="8"/>
        <v>45651.05417044396</v>
      </c>
      <c r="U45" s="16">
        <f t="shared" si="8"/>
        <v>109424.10131812668</v>
      </c>
      <c r="V45" s="16">
        <f t="shared" si="8"/>
        <v>55804.945861147302</v>
      </c>
      <c r="W45" s="16">
        <f t="shared" si="8"/>
        <v>102734.58862750561</v>
      </c>
      <c r="X45" s="16">
        <f t="shared" si="8"/>
        <v>100682.8014008829</v>
      </c>
      <c r="Y45" s="16">
        <f t="shared" si="8"/>
        <v>81923.530478943794</v>
      </c>
    </row>
    <row r="46" spans="1:25" x14ac:dyDescent="0.25">
      <c r="A46">
        <v>45</v>
      </c>
      <c r="B46" t="s">
        <v>334</v>
      </c>
      <c r="C46" s="290">
        <v>44075</v>
      </c>
      <c r="D46" t="s">
        <v>607</v>
      </c>
      <c r="E46" t="s">
        <v>329</v>
      </c>
      <c r="F46" t="s">
        <v>584</v>
      </c>
      <c r="G46" s="289">
        <v>78521.706224481793</v>
      </c>
      <c r="I46" t="s">
        <v>346</v>
      </c>
      <c r="J46" s="361" t="str">
        <f t="shared" si="5"/>
        <v>Expansion</v>
      </c>
      <c r="K46" s="361" t="str">
        <f t="shared" si="5"/>
        <v>Corporate</v>
      </c>
      <c r="L46" t="s">
        <v>329</v>
      </c>
      <c r="M46" s="16">
        <f t="shared" si="8"/>
        <v>28839.750949723017</v>
      </c>
      <c r="N46" s="16">
        <f t="shared" si="8"/>
        <v>78521.706224481793</v>
      </c>
      <c r="O46" s="16">
        <f t="shared" si="8"/>
        <v>224808.43958113791</v>
      </c>
      <c r="P46" s="16">
        <f t="shared" si="8"/>
        <v>109491.83910046618</v>
      </c>
      <c r="Q46" s="16">
        <f t="shared" si="8"/>
        <v>169390.67770608654</v>
      </c>
      <c r="R46" s="16">
        <f t="shared" si="8"/>
        <v>78489.121945487612</v>
      </c>
      <c r="S46" s="16">
        <f t="shared" si="8"/>
        <v>55775.000882980297</v>
      </c>
      <c r="T46" s="16">
        <f t="shared" si="8"/>
        <v>54277.265004532746</v>
      </c>
      <c r="U46" s="16">
        <f t="shared" si="8"/>
        <v>133218.01249084296</v>
      </c>
      <c r="V46" s="16">
        <f t="shared" si="8"/>
        <v>66740.335033376774</v>
      </c>
      <c r="W46" s="16">
        <f t="shared" si="8"/>
        <v>121480.27851601614</v>
      </c>
      <c r="X46" s="16">
        <f t="shared" si="8"/>
        <v>120819.36168105953</v>
      </c>
      <c r="Y46" s="16">
        <f t="shared" si="8"/>
        <v>98308.236574732568</v>
      </c>
    </row>
    <row r="47" spans="1:25" x14ac:dyDescent="0.25">
      <c r="A47">
        <v>46</v>
      </c>
      <c r="B47" t="s">
        <v>334</v>
      </c>
      <c r="C47" s="290">
        <v>44075</v>
      </c>
      <c r="D47" t="s">
        <v>608</v>
      </c>
      <c r="E47" t="s">
        <v>329</v>
      </c>
      <c r="F47" t="s">
        <v>584</v>
      </c>
      <c r="G47" s="289">
        <v>58604.525386550202</v>
      </c>
      <c r="I47" t="s">
        <v>346</v>
      </c>
      <c r="J47" s="361" t="str">
        <f t="shared" si="5"/>
        <v>Expansion</v>
      </c>
      <c r="K47" s="361" t="str">
        <f t="shared" si="5"/>
        <v>Corporate</v>
      </c>
      <c r="L47" t="s">
        <v>330</v>
      </c>
      <c r="M47" s="16">
        <f t="shared" si="8"/>
        <v>26682.886915833293</v>
      </c>
      <c r="N47" s="16">
        <f t="shared" si="8"/>
        <v>29573.786464590885</v>
      </c>
      <c r="O47" s="16">
        <f t="shared" si="8"/>
        <v>58806.141930719343</v>
      </c>
      <c r="P47" s="16">
        <f t="shared" si="8"/>
        <v>74136.215792404386</v>
      </c>
      <c r="Q47" s="16">
        <f t="shared" si="8"/>
        <v>70191.36969688088</v>
      </c>
      <c r="R47" s="16">
        <f t="shared" si="8"/>
        <v>28719.437052052697</v>
      </c>
      <c r="S47" s="16">
        <f t="shared" si="8"/>
        <v>39602.842205991808</v>
      </c>
      <c r="T47" s="16">
        <f t="shared" si="8"/>
        <v>22387.403501828132</v>
      </c>
      <c r="U47" s="16">
        <f t="shared" si="8"/>
        <v>54316.794010214973</v>
      </c>
      <c r="V47" s="16">
        <f t="shared" si="8"/>
        <v>34734.746590231087</v>
      </c>
      <c r="W47" s="16">
        <f t="shared" si="8"/>
        <v>57632.05268960895</v>
      </c>
      <c r="X47" s="16">
        <f t="shared" si="8"/>
        <v>80229.517271164106</v>
      </c>
      <c r="Y47" s="16">
        <f t="shared" si="8"/>
        <v>64325.240831366398</v>
      </c>
    </row>
    <row r="48" spans="1:25" x14ac:dyDescent="0.25">
      <c r="A48">
        <v>47</v>
      </c>
      <c r="B48" t="s">
        <v>334</v>
      </c>
      <c r="C48" s="290">
        <v>44075</v>
      </c>
      <c r="D48" t="s">
        <v>609</v>
      </c>
      <c r="E48" t="s">
        <v>329</v>
      </c>
      <c r="F48" t="s">
        <v>584</v>
      </c>
      <c r="G48" s="289">
        <v>452243.37854737951</v>
      </c>
      <c r="I48" t="s">
        <v>346</v>
      </c>
      <c r="J48" s="361" t="str">
        <f t="shared" si="5"/>
        <v>Expansion</v>
      </c>
      <c r="K48" s="361" t="str">
        <f t="shared" si="5"/>
        <v>Corporate</v>
      </c>
      <c r="L48" t="s">
        <v>2</v>
      </c>
      <c r="M48" s="16">
        <f t="shared" si="8"/>
        <v>54151.26710147252</v>
      </c>
      <c r="N48" s="16">
        <f t="shared" si="8"/>
        <v>58718.412081347618</v>
      </c>
      <c r="O48" s="16">
        <f t="shared" si="8"/>
        <v>61736.607886703292</v>
      </c>
      <c r="P48" s="16">
        <f t="shared" si="8"/>
        <v>45229.687323382466</v>
      </c>
      <c r="Q48" s="16">
        <f t="shared" si="8"/>
        <v>19047.044067122984</v>
      </c>
      <c r="R48" s="16">
        <f t="shared" si="8"/>
        <v>40502.118195503441</v>
      </c>
      <c r="S48" s="16">
        <f t="shared" si="8"/>
        <v>72862.555121414989</v>
      </c>
      <c r="T48" s="16">
        <f t="shared" si="8"/>
        <v>63252.435365601967</v>
      </c>
      <c r="U48" s="16">
        <f t="shared" si="8"/>
        <v>52311.584624372183</v>
      </c>
      <c r="V48" s="16">
        <f t="shared" si="8"/>
        <v>88152.076229935803</v>
      </c>
      <c r="W48" s="16">
        <f t="shared" si="8"/>
        <v>38116.223947289342</v>
      </c>
      <c r="X48" s="16">
        <f t="shared" si="8"/>
        <v>105973.66783515715</v>
      </c>
      <c r="Y48" s="16">
        <f t="shared" si="8"/>
        <v>0</v>
      </c>
    </row>
    <row r="49" spans="1:25" x14ac:dyDescent="0.25">
      <c r="A49">
        <v>48</v>
      </c>
      <c r="B49" t="s">
        <v>334</v>
      </c>
      <c r="C49" s="290">
        <v>44075</v>
      </c>
      <c r="D49" t="s">
        <v>609</v>
      </c>
      <c r="E49" t="s">
        <v>329</v>
      </c>
      <c r="F49" t="s">
        <v>585</v>
      </c>
      <c r="G49" s="289">
        <v>100600.93360012078</v>
      </c>
      <c r="I49" t="s">
        <v>346</v>
      </c>
      <c r="J49" s="361" t="str">
        <f t="shared" si="5"/>
        <v>Expansion</v>
      </c>
      <c r="K49" s="361" t="str">
        <f t="shared" si="5"/>
        <v>Corporate</v>
      </c>
      <c r="L49" t="s">
        <v>331</v>
      </c>
      <c r="M49" s="16">
        <f t="shared" si="8"/>
        <v>0</v>
      </c>
      <c r="N49" s="16">
        <f t="shared" si="8"/>
        <v>0</v>
      </c>
      <c r="O49" s="16">
        <f t="shared" si="8"/>
        <v>0</v>
      </c>
      <c r="P49" s="16">
        <f t="shared" si="8"/>
        <v>10000</v>
      </c>
      <c r="Q49" s="16">
        <f t="shared" si="8"/>
        <v>0</v>
      </c>
      <c r="R49" s="16">
        <f t="shared" si="8"/>
        <v>0</v>
      </c>
      <c r="S49" s="16">
        <f t="shared" si="8"/>
        <v>0</v>
      </c>
      <c r="T49" s="16">
        <f t="shared" si="8"/>
        <v>0</v>
      </c>
      <c r="U49" s="16">
        <f t="shared" si="8"/>
        <v>0</v>
      </c>
      <c r="V49" s="16">
        <f t="shared" si="8"/>
        <v>0</v>
      </c>
      <c r="W49" s="16">
        <f t="shared" si="8"/>
        <v>0</v>
      </c>
      <c r="X49" s="16">
        <f t="shared" si="8"/>
        <v>0</v>
      </c>
      <c r="Y49" s="16">
        <f t="shared" si="8"/>
        <v>0</v>
      </c>
    </row>
    <row r="50" spans="1:25" x14ac:dyDescent="0.25">
      <c r="A50">
        <v>49</v>
      </c>
      <c r="B50" t="s">
        <v>334</v>
      </c>
      <c r="C50" s="290">
        <v>44105</v>
      </c>
      <c r="D50" t="s">
        <v>609</v>
      </c>
      <c r="E50" t="s">
        <v>329</v>
      </c>
      <c r="F50" t="s">
        <v>584</v>
      </c>
      <c r="G50" s="289">
        <v>346136.00475998415</v>
      </c>
      <c r="I50" t="s">
        <v>347</v>
      </c>
      <c r="J50" s="361" t="str">
        <f t="shared" si="5"/>
        <v>Expansion</v>
      </c>
      <c r="K50" s="361" t="str">
        <f t="shared" si="5"/>
        <v>Corporate</v>
      </c>
      <c r="L50" t="s">
        <v>326</v>
      </c>
      <c r="M50" s="16">
        <f t="shared" si="8"/>
        <v>0</v>
      </c>
      <c r="N50" s="16">
        <f t="shared" si="8"/>
        <v>0</v>
      </c>
      <c r="O50" s="16">
        <f t="shared" si="8"/>
        <v>0</v>
      </c>
      <c r="P50" s="16">
        <f t="shared" si="8"/>
        <v>0</v>
      </c>
      <c r="Q50" s="16">
        <f t="shared" si="8"/>
        <v>0</v>
      </c>
      <c r="R50" s="16">
        <f t="shared" si="8"/>
        <v>0</v>
      </c>
      <c r="S50" s="16">
        <f t="shared" si="8"/>
        <v>0</v>
      </c>
      <c r="T50" s="16">
        <f t="shared" si="8"/>
        <v>0</v>
      </c>
      <c r="U50" s="16">
        <f t="shared" si="8"/>
        <v>0</v>
      </c>
      <c r="V50" s="16">
        <f t="shared" si="8"/>
        <v>0</v>
      </c>
      <c r="W50" s="16">
        <f t="shared" si="8"/>
        <v>0</v>
      </c>
      <c r="X50" s="16">
        <f t="shared" si="8"/>
        <v>0</v>
      </c>
      <c r="Y50" s="16">
        <f t="shared" si="8"/>
        <v>0</v>
      </c>
    </row>
    <row r="51" spans="1:25" x14ac:dyDescent="0.25">
      <c r="A51">
        <v>50</v>
      </c>
      <c r="B51" t="s">
        <v>334</v>
      </c>
      <c r="C51" s="290">
        <v>44105</v>
      </c>
      <c r="D51" t="s">
        <v>609</v>
      </c>
      <c r="E51" t="s">
        <v>329</v>
      </c>
      <c r="F51" t="s">
        <v>585</v>
      </c>
      <c r="G51" s="289">
        <v>220958.2553359684</v>
      </c>
      <c r="J51" s="361" t="str">
        <f t="shared" si="5"/>
        <v>Expansion</v>
      </c>
      <c r="K51" s="290" t="s">
        <v>609</v>
      </c>
      <c r="M51" s="16"/>
      <c r="N51" s="16"/>
      <c r="O51" s="16"/>
      <c r="P51" s="16"/>
      <c r="Q51" s="16"/>
      <c r="R51" s="16"/>
      <c r="S51" s="16"/>
      <c r="T51" s="16"/>
      <c r="U51" s="16"/>
      <c r="V51" s="16"/>
      <c r="W51" s="16"/>
      <c r="X51" s="16"/>
      <c r="Y51" s="16"/>
    </row>
    <row r="52" spans="1:25" x14ac:dyDescent="0.25">
      <c r="A52">
        <v>51</v>
      </c>
      <c r="B52" t="s">
        <v>334</v>
      </c>
      <c r="C52" s="290">
        <v>44105</v>
      </c>
      <c r="D52" t="s">
        <v>608</v>
      </c>
      <c r="E52" t="s">
        <v>329</v>
      </c>
      <c r="F52" t="s">
        <v>585</v>
      </c>
      <c r="G52" s="289">
        <v>96092.545003595034</v>
      </c>
      <c r="I52" t="s">
        <v>300</v>
      </c>
      <c r="J52" s="361" t="str">
        <f t="shared" si="5"/>
        <v>Expansion</v>
      </c>
      <c r="K52" s="361" t="str">
        <f t="shared" si="5"/>
        <v>Strategic</v>
      </c>
      <c r="L52" t="s">
        <v>300</v>
      </c>
      <c r="M52" s="16">
        <f t="shared" ref="M52:Y59" si="9">SUMIFS($G:$G,$C:$C,M$2,$D:$D,$K52,$E:$E,$L52,$F:$F,$J52)</f>
        <v>0</v>
      </c>
      <c r="N52" s="16">
        <f t="shared" si="9"/>
        <v>0</v>
      </c>
      <c r="O52" s="16">
        <f t="shared" si="9"/>
        <v>0</v>
      </c>
      <c r="P52" s="16">
        <f t="shared" si="9"/>
        <v>0</v>
      </c>
      <c r="Q52" s="16">
        <f t="shared" si="9"/>
        <v>7200</v>
      </c>
      <c r="R52" s="16">
        <f t="shared" si="9"/>
        <v>0</v>
      </c>
      <c r="S52" s="16">
        <f t="shared" si="9"/>
        <v>37500</v>
      </c>
      <c r="T52" s="16">
        <f t="shared" si="9"/>
        <v>0</v>
      </c>
      <c r="U52" s="16">
        <f t="shared" si="9"/>
        <v>1800</v>
      </c>
      <c r="V52" s="16">
        <f t="shared" si="9"/>
        <v>0</v>
      </c>
      <c r="W52" s="16">
        <f t="shared" si="9"/>
        <v>5040</v>
      </c>
      <c r="X52" s="16">
        <f t="shared" si="9"/>
        <v>9421.56</v>
      </c>
      <c r="Y52" s="16">
        <f t="shared" si="9"/>
        <v>0</v>
      </c>
    </row>
    <row r="53" spans="1:25" x14ac:dyDescent="0.25">
      <c r="A53">
        <v>52</v>
      </c>
      <c r="B53" t="s">
        <v>334</v>
      </c>
      <c r="C53" s="290">
        <v>44105</v>
      </c>
      <c r="D53" t="s">
        <v>607</v>
      </c>
      <c r="E53" t="s">
        <v>329</v>
      </c>
      <c r="F53" t="s">
        <v>585</v>
      </c>
      <c r="G53" s="289">
        <v>367315.19803351624</v>
      </c>
      <c r="I53" t="s">
        <v>327</v>
      </c>
      <c r="J53" s="361" t="str">
        <f t="shared" si="5"/>
        <v>Expansion</v>
      </c>
      <c r="K53" s="361" t="str">
        <f t="shared" si="5"/>
        <v>Strategic</v>
      </c>
      <c r="L53" t="s">
        <v>327</v>
      </c>
      <c r="M53" s="16">
        <f t="shared" si="9"/>
        <v>18334.101479915433</v>
      </c>
      <c r="N53" s="16">
        <f t="shared" si="9"/>
        <v>174987.12193576901</v>
      </c>
      <c r="O53" s="16">
        <f t="shared" si="9"/>
        <v>75795.326841795875</v>
      </c>
      <c r="P53" s="16">
        <f t="shared" si="9"/>
        <v>9641.2033862583139</v>
      </c>
      <c r="Q53" s="16">
        <f t="shared" si="9"/>
        <v>19389.010301528644</v>
      </c>
      <c r="R53" s="16">
        <f t="shared" si="9"/>
        <v>59441.072348518173</v>
      </c>
      <c r="S53" s="16">
        <f t="shared" si="9"/>
        <v>31905.160372093025</v>
      </c>
      <c r="T53" s="16">
        <f t="shared" si="9"/>
        <v>23907.661550983663</v>
      </c>
      <c r="U53" s="16">
        <f t="shared" si="9"/>
        <v>20671.863601384306</v>
      </c>
      <c r="V53" s="16">
        <f t="shared" si="9"/>
        <v>23309.255120873175</v>
      </c>
      <c r="W53" s="16">
        <f t="shared" si="9"/>
        <v>95166.812082820819</v>
      </c>
      <c r="X53" s="16">
        <f t="shared" si="9"/>
        <v>109717.40705456772</v>
      </c>
      <c r="Y53" s="16">
        <f t="shared" si="9"/>
        <v>650</v>
      </c>
    </row>
    <row r="54" spans="1:25" x14ac:dyDescent="0.25">
      <c r="A54">
        <v>53</v>
      </c>
      <c r="B54" t="s">
        <v>334</v>
      </c>
      <c r="C54" s="290">
        <v>44105</v>
      </c>
      <c r="D54" t="s">
        <v>607</v>
      </c>
      <c r="E54" t="s">
        <v>329</v>
      </c>
      <c r="F54" t="s">
        <v>584</v>
      </c>
      <c r="G54" s="289">
        <v>224808.43958113791</v>
      </c>
      <c r="I54" t="s">
        <v>346</v>
      </c>
      <c r="J54" s="361" t="str">
        <f t="shared" si="5"/>
        <v>Expansion</v>
      </c>
      <c r="K54" s="361" t="str">
        <f t="shared" si="5"/>
        <v>Strategic</v>
      </c>
      <c r="L54" t="s">
        <v>328</v>
      </c>
      <c r="M54" s="16">
        <f t="shared" si="9"/>
        <v>52910.538579336884</v>
      </c>
      <c r="N54" s="16">
        <f t="shared" si="9"/>
        <v>376869.48212281615</v>
      </c>
      <c r="O54" s="16">
        <f t="shared" si="9"/>
        <v>267313.87636466639</v>
      </c>
      <c r="P54" s="16">
        <f t="shared" si="9"/>
        <v>120618.02596172484</v>
      </c>
      <c r="Q54" s="16">
        <f t="shared" si="9"/>
        <v>296429.53728007746</v>
      </c>
      <c r="R54" s="16">
        <f t="shared" si="9"/>
        <v>343200.07115867781</v>
      </c>
      <c r="S54" s="16">
        <f t="shared" si="9"/>
        <v>91808.046775434632</v>
      </c>
      <c r="T54" s="16">
        <f t="shared" si="9"/>
        <v>149660.37726917601</v>
      </c>
      <c r="U54" s="16">
        <f t="shared" si="9"/>
        <v>291742.08246653469</v>
      </c>
      <c r="V54" s="16">
        <f t="shared" si="9"/>
        <v>119118.98632412388</v>
      </c>
      <c r="W54" s="16">
        <f t="shared" si="9"/>
        <v>292475.10238595103</v>
      </c>
      <c r="X54" s="16">
        <f t="shared" si="9"/>
        <v>595327.51643500989</v>
      </c>
      <c r="Y54" s="16">
        <f t="shared" si="9"/>
        <v>71977.297717229914</v>
      </c>
    </row>
    <row r="55" spans="1:25" x14ac:dyDescent="0.25">
      <c r="A55">
        <v>54</v>
      </c>
      <c r="B55" t="s">
        <v>334</v>
      </c>
      <c r="C55" s="290">
        <v>44105</v>
      </c>
      <c r="D55" t="s">
        <v>608</v>
      </c>
      <c r="E55" t="s">
        <v>329</v>
      </c>
      <c r="F55" t="s">
        <v>584</v>
      </c>
      <c r="G55" s="289">
        <v>119489.1339361843</v>
      </c>
      <c r="I55" t="s">
        <v>346</v>
      </c>
      <c r="J55" s="361" t="str">
        <f t="shared" si="5"/>
        <v>Expansion</v>
      </c>
      <c r="K55" s="361" t="str">
        <f t="shared" si="5"/>
        <v>Strategic</v>
      </c>
      <c r="L55" t="s">
        <v>329</v>
      </c>
      <c r="M55" s="16">
        <f t="shared" si="9"/>
        <v>63492.646295204264</v>
      </c>
      <c r="N55" s="16">
        <f t="shared" si="9"/>
        <v>452243.37854737951</v>
      </c>
      <c r="O55" s="16">
        <f t="shared" si="9"/>
        <v>346136.00475998415</v>
      </c>
      <c r="P55" s="16">
        <f t="shared" si="9"/>
        <v>107640.0311540698</v>
      </c>
      <c r="Q55" s="16">
        <f t="shared" si="9"/>
        <v>355715.44473609293</v>
      </c>
      <c r="R55" s="16">
        <f t="shared" si="9"/>
        <v>385965.08539041335</v>
      </c>
      <c r="S55" s="16">
        <f t="shared" si="9"/>
        <v>109111.80997667543</v>
      </c>
      <c r="T55" s="16">
        <f t="shared" si="9"/>
        <v>179592.45272301126</v>
      </c>
      <c r="U55" s="16">
        <f t="shared" si="9"/>
        <v>346451.42717677634</v>
      </c>
      <c r="V55" s="16">
        <f t="shared" si="9"/>
        <v>142942.78358894863</v>
      </c>
      <c r="W55" s="16">
        <f t="shared" si="9"/>
        <v>340363.04956507293</v>
      </c>
      <c r="X55" s="16">
        <f t="shared" si="9"/>
        <v>714393.01972201199</v>
      </c>
      <c r="Y55" s="16">
        <f t="shared" si="9"/>
        <v>75717.002020943401</v>
      </c>
    </row>
    <row r="56" spans="1:25" x14ac:dyDescent="0.25">
      <c r="A56">
        <v>55</v>
      </c>
      <c r="B56" t="s">
        <v>334</v>
      </c>
      <c r="C56" s="290">
        <v>44044</v>
      </c>
      <c r="D56" t="s">
        <v>609</v>
      </c>
      <c r="E56" t="s">
        <v>330</v>
      </c>
      <c r="F56" t="s">
        <v>585</v>
      </c>
      <c r="G56" s="289">
        <v>14935.3</v>
      </c>
      <c r="I56" t="s">
        <v>346</v>
      </c>
      <c r="J56" s="361" t="str">
        <f t="shared" si="5"/>
        <v>Expansion</v>
      </c>
      <c r="K56" s="361" t="str">
        <f t="shared" si="5"/>
        <v>Strategic</v>
      </c>
      <c r="L56" t="s">
        <v>330</v>
      </c>
      <c r="M56" s="16">
        <f t="shared" si="9"/>
        <v>11025.805264926053</v>
      </c>
      <c r="N56" s="16">
        <f t="shared" si="9"/>
        <v>67762.242831816533</v>
      </c>
      <c r="O56" s="16">
        <f t="shared" si="9"/>
        <v>89397.840511313203</v>
      </c>
      <c r="P56" s="16">
        <f t="shared" si="9"/>
        <v>28937.767710239517</v>
      </c>
      <c r="Q56" s="16">
        <f t="shared" si="9"/>
        <v>86239.34096382244</v>
      </c>
      <c r="R56" s="16">
        <f t="shared" si="9"/>
        <v>106355.7709614386</v>
      </c>
      <c r="S56" s="16">
        <f t="shared" si="9"/>
        <v>25743.22213733539</v>
      </c>
      <c r="T56" s="16">
        <f t="shared" si="9"/>
        <v>49341.143514491661</v>
      </c>
      <c r="U56" s="16">
        <f t="shared" si="9"/>
        <v>93922.908713100202</v>
      </c>
      <c r="V56" s="16">
        <f t="shared" si="9"/>
        <v>44212.776517479157</v>
      </c>
      <c r="W56" s="16">
        <f t="shared" si="9"/>
        <v>125947.8025130047</v>
      </c>
      <c r="X56" s="16">
        <f t="shared" si="9"/>
        <v>455974.87083444279</v>
      </c>
      <c r="Y56" s="16">
        <f t="shared" si="9"/>
        <v>15742.24474052874</v>
      </c>
    </row>
    <row r="57" spans="1:25" x14ac:dyDescent="0.25">
      <c r="A57">
        <v>56</v>
      </c>
      <c r="B57" t="s">
        <v>334</v>
      </c>
      <c r="C57" s="290">
        <v>44044</v>
      </c>
      <c r="D57" t="s">
        <v>609</v>
      </c>
      <c r="E57" t="s">
        <v>330</v>
      </c>
      <c r="F57" t="s">
        <v>584</v>
      </c>
      <c r="G57" s="289">
        <v>11025.805264926053</v>
      </c>
      <c r="I57" t="s">
        <v>346</v>
      </c>
      <c r="J57" s="361" t="str">
        <f t="shared" si="5"/>
        <v>Expansion</v>
      </c>
      <c r="K57" s="361" t="str">
        <f t="shared" si="5"/>
        <v>Strategic</v>
      </c>
      <c r="L57" t="s">
        <v>2</v>
      </c>
      <c r="M57" s="16">
        <f t="shared" si="9"/>
        <v>15466.892380617359</v>
      </c>
      <c r="N57" s="16">
        <f t="shared" si="9"/>
        <v>96308.861789081871</v>
      </c>
      <c r="O57" s="16">
        <f t="shared" si="9"/>
        <v>187226.81139370994</v>
      </c>
      <c r="P57" s="16">
        <f t="shared" si="9"/>
        <v>4102.5862998359844</v>
      </c>
      <c r="Q57" s="16">
        <f t="shared" si="9"/>
        <v>78866.150253185871</v>
      </c>
      <c r="R57" s="16">
        <f t="shared" si="9"/>
        <v>57202.820135146401</v>
      </c>
      <c r="S57" s="16">
        <f t="shared" si="9"/>
        <v>21546.780738461537</v>
      </c>
      <c r="T57" s="16">
        <f t="shared" si="9"/>
        <v>22558.655405575217</v>
      </c>
      <c r="U57" s="16">
        <f t="shared" si="9"/>
        <v>52004.533761212115</v>
      </c>
      <c r="V57" s="16">
        <f t="shared" si="9"/>
        <v>304511.18325066951</v>
      </c>
      <c r="W57" s="16">
        <f t="shared" si="9"/>
        <v>52076.698790135342</v>
      </c>
      <c r="X57" s="16">
        <f t="shared" si="9"/>
        <v>72919.43470197689</v>
      </c>
      <c r="Y57" s="16">
        <f t="shared" si="9"/>
        <v>0</v>
      </c>
    </row>
    <row r="58" spans="1:25" x14ac:dyDescent="0.25">
      <c r="A58">
        <v>57</v>
      </c>
      <c r="B58" t="s">
        <v>334</v>
      </c>
      <c r="C58" s="290">
        <v>44044</v>
      </c>
      <c r="D58" t="s">
        <v>608</v>
      </c>
      <c r="E58" t="s">
        <v>330</v>
      </c>
      <c r="F58" t="s">
        <v>584</v>
      </c>
      <c r="G58" s="289">
        <v>10108.444591990208</v>
      </c>
      <c r="I58" t="s">
        <v>346</v>
      </c>
      <c r="J58" s="361" t="str">
        <f t="shared" si="5"/>
        <v>Expansion</v>
      </c>
      <c r="K58" s="361" t="str">
        <f t="shared" si="5"/>
        <v>Strategic</v>
      </c>
      <c r="L58" t="s">
        <v>331</v>
      </c>
      <c r="M58" s="16">
        <f t="shared" si="9"/>
        <v>0</v>
      </c>
      <c r="N58" s="16">
        <f t="shared" si="9"/>
        <v>104395.66484252848</v>
      </c>
      <c r="O58" s="16">
        <f t="shared" si="9"/>
        <v>53714.285714285717</v>
      </c>
      <c r="P58" s="16">
        <f t="shared" si="9"/>
        <v>18194.456557080513</v>
      </c>
      <c r="Q58" s="16">
        <f t="shared" si="9"/>
        <v>129155.80262768231</v>
      </c>
      <c r="R58" s="16">
        <f t="shared" si="9"/>
        <v>23490</v>
      </c>
      <c r="S58" s="16">
        <f t="shared" si="9"/>
        <v>0</v>
      </c>
      <c r="T58" s="16">
        <f t="shared" si="9"/>
        <v>12280.467849638299</v>
      </c>
      <c r="U58" s="16">
        <f t="shared" si="9"/>
        <v>23535.959409237334</v>
      </c>
      <c r="V58" s="16">
        <f t="shared" si="9"/>
        <v>190947.05357885663</v>
      </c>
      <c r="W58" s="16">
        <f t="shared" si="9"/>
        <v>107081.38918986105</v>
      </c>
      <c r="X58" s="16">
        <f t="shared" si="9"/>
        <v>241812.02681528841</v>
      </c>
      <c r="Y58" s="16">
        <f t="shared" si="9"/>
        <v>0</v>
      </c>
    </row>
    <row r="59" spans="1:25" x14ac:dyDescent="0.25">
      <c r="A59">
        <v>58</v>
      </c>
      <c r="B59" t="s">
        <v>334</v>
      </c>
      <c r="C59" s="290">
        <v>44044</v>
      </c>
      <c r="D59" t="s">
        <v>607</v>
      </c>
      <c r="E59" t="s">
        <v>330</v>
      </c>
      <c r="F59" t="s">
        <v>584</v>
      </c>
      <c r="G59" s="289">
        <v>26682.886915833293</v>
      </c>
      <c r="I59" t="s">
        <v>347</v>
      </c>
      <c r="J59" s="361" t="str">
        <f t="shared" si="5"/>
        <v>Expansion</v>
      </c>
      <c r="K59" s="361" t="str">
        <f t="shared" ref="K59" si="10">K58</f>
        <v>Strategic</v>
      </c>
      <c r="L59" t="s">
        <v>326</v>
      </c>
      <c r="M59" s="16">
        <f t="shared" si="9"/>
        <v>0</v>
      </c>
      <c r="N59" s="16">
        <f t="shared" si="9"/>
        <v>0</v>
      </c>
      <c r="O59" s="16">
        <f t="shared" si="9"/>
        <v>0</v>
      </c>
      <c r="P59" s="16">
        <f t="shared" si="9"/>
        <v>0</v>
      </c>
      <c r="Q59" s="16">
        <f t="shared" si="9"/>
        <v>0</v>
      </c>
      <c r="R59" s="16">
        <f t="shared" si="9"/>
        <v>0</v>
      </c>
      <c r="S59" s="16">
        <f t="shared" si="9"/>
        <v>0</v>
      </c>
      <c r="T59" s="16">
        <f t="shared" si="9"/>
        <v>0</v>
      </c>
      <c r="U59" s="16">
        <f t="shared" si="9"/>
        <v>18000</v>
      </c>
      <c r="V59" s="16">
        <f t="shared" si="9"/>
        <v>0</v>
      </c>
      <c r="W59" s="16">
        <f t="shared" si="9"/>
        <v>18750.857142856999</v>
      </c>
      <c r="X59" s="16">
        <f t="shared" si="9"/>
        <v>62150.762000000002</v>
      </c>
      <c r="Y59" s="16">
        <f t="shared" si="9"/>
        <v>0</v>
      </c>
    </row>
    <row r="60" spans="1:25" x14ac:dyDescent="0.25">
      <c r="A60">
        <v>59</v>
      </c>
      <c r="B60" t="s">
        <v>334</v>
      </c>
      <c r="C60" s="290">
        <v>44044</v>
      </c>
      <c r="D60" t="s">
        <v>607</v>
      </c>
      <c r="E60" t="s">
        <v>330</v>
      </c>
      <c r="F60" t="s">
        <v>585</v>
      </c>
      <c r="G60" s="289">
        <v>29841.999057825004</v>
      </c>
    </row>
    <row r="61" spans="1:25" ht="15.75" thickBot="1" x14ac:dyDescent="0.3">
      <c r="A61">
        <v>60</v>
      </c>
      <c r="B61" t="s">
        <v>334</v>
      </c>
      <c r="C61" s="290">
        <v>44044</v>
      </c>
      <c r="D61" t="s">
        <v>608</v>
      </c>
      <c r="E61" t="s">
        <v>330</v>
      </c>
      <c r="F61" t="s">
        <v>585</v>
      </c>
      <c r="G61" s="289">
        <v>28515.135064935064</v>
      </c>
      <c r="L61" s="1" t="s">
        <v>308</v>
      </c>
      <c r="M61" s="219">
        <f t="shared" ref="M61:Y61" si="11">SUM(M6:M59)</f>
        <v>988281.68326675647</v>
      </c>
      <c r="N61" s="219">
        <f t="shared" si="11"/>
        <v>3312466.6140078278</v>
      </c>
      <c r="O61" s="219">
        <f t="shared" si="11"/>
        <v>4091011.0104295751</v>
      </c>
      <c r="P61" s="219">
        <f t="shared" si="11"/>
        <v>1649406.2629003713</v>
      </c>
      <c r="Q61" s="219">
        <f t="shared" si="11"/>
        <v>3905961.0912602376</v>
      </c>
      <c r="R61" s="219">
        <f t="shared" si="11"/>
        <v>5355701.7318326244</v>
      </c>
      <c r="S61" s="219">
        <f t="shared" si="11"/>
        <v>1429779.371285338</v>
      </c>
      <c r="T61" s="219">
        <f t="shared" si="11"/>
        <v>2301829.5073141372</v>
      </c>
      <c r="U61" s="219">
        <f t="shared" si="11"/>
        <v>5320941.4729245855</v>
      </c>
      <c r="V61" s="219">
        <f t="shared" si="11"/>
        <v>2852262.5798746645</v>
      </c>
      <c r="W61" s="219">
        <f t="shared" si="11"/>
        <v>4180688.8128588903</v>
      </c>
      <c r="X61" s="219">
        <f t="shared" si="11"/>
        <v>7283213.2159600733</v>
      </c>
      <c r="Y61" s="219">
        <f t="shared" si="11"/>
        <v>1597355.8195243459</v>
      </c>
    </row>
    <row r="62" spans="1:25" ht="15.75" thickTop="1" x14ac:dyDescent="0.25">
      <c r="A62">
        <v>61</v>
      </c>
      <c r="B62" t="s">
        <v>334</v>
      </c>
      <c r="C62" s="290">
        <v>44075</v>
      </c>
      <c r="D62" t="s">
        <v>608</v>
      </c>
      <c r="E62" t="s">
        <v>330</v>
      </c>
      <c r="F62" t="s">
        <v>584</v>
      </c>
      <c r="G62" s="289">
        <v>35255.216110825917</v>
      </c>
      <c r="L62" t="s">
        <v>662</v>
      </c>
      <c r="M62" s="16">
        <f>ARR!CC41+ARR!CC42</f>
        <v>1050087.6471790001</v>
      </c>
      <c r="N62" s="16">
        <f>ARR!CD41+ARR!CD42</f>
        <v>3354858.583991</v>
      </c>
      <c r="O62" s="16">
        <f>ARR!CE41+ARR!CE42</f>
        <v>3747628.8757879999</v>
      </c>
      <c r="P62" s="16">
        <f>ARR!CF41+ARR!CF42</f>
        <v>1583669.9761549998</v>
      </c>
      <c r="Q62" s="16">
        <f>ARR!CG41+ARR!CG42</f>
        <v>3917228.8316860003</v>
      </c>
      <c r="R62" s="16">
        <f>ARR!CH41+ARR!CH42</f>
        <v>5351976.9263739996</v>
      </c>
      <c r="S62" s="16">
        <f>ARR!CI41+ARR!CI42</f>
        <v>1467244.9398469999</v>
      </c>
      <c r="T62" s="16">
        <f>ARR!CJ41+ARR!CJ42</f>
        <v>2248533.3673879998</v>
      </c>
      <c r="U62" s="16">
        <f>ARR!CK41+ARR!CK42</f>
        <v>5352865.9389380002</v>
      </c>
      <c r="V62" s="16">
        <f>ARR!CL41+ARR!CL42</f>
        <v>2606228.0054259999</v>
      </c>
      <c r="W62" s="16">
        <f>ARR!CM41+ARR!CM42</f>
        <v>4225782.8039159998</v>
      </c>
      <c r="X62" s="16">
        <f>ARR!CN41+ARR!CN42</f>
        <v>7355099.7649179995</v>
      </c>
      <c r="Y62" s="16">
        <f>ARR!CO41+ARR!CO42</f>
        <v>2594805</v>
      </c>
    </row>
    <row r="63" spans="1:25" x14ac:dyDescent="0.25">
      <c r="A63">
        <v>62</v>
      </c>
      <c r="B63" t="s">
        <v>334</v>
      </c>
      <c r="C63" s="290">
        <v>44075</v>
      </c>
      <c r="D63" t="s">
        <v>607</v>
      </c>
      <c r="E63" t="s">
        <v>330</v>
      </c>
      <c r="F63" t="s">
        <v>584</v>
      </c>
      <c r="G63" s="289">
        <v>29573.786464590885</v>
      </c>
      <c r="L63" t="s">
        <v>661</v>
      </c>
      <c r="M63" s="20">
        <f>M62-M61</f>
        <v>61805.963912243606</v>
      </c>
      <c r="N63" s="20">
        <f t="shared" ref="N63:Y63" si="12">N62-N61</f>
        <v>42391.969983172137</v>
      </c>
      <c r="O63" s="20">
        <f t="shared" si="12"/>
        <v>-343382.13464157516</v>
      </c>
      <c r="P63" s="20">
        <f t="shared" si="12"/>
        <v>-65736.28674537153</v>
      </c>
      <c r="Q63" s="20">
        <f t="shared" si="12"/>
        <v>11267.74042576272</v>
      </c>
      <c r="R63" s="20">
        <f t="shared" si="12"/>
        <v>-3724.8054586248472</v>
      </c>
      <c r="S63" s="20">
        <f t="shared" si="12"/>
        <v>37465.568561661988</v>
      </c>
      <c r="T63" s="20">
        <f t="shared" si="12"/>
        <v>-53296.139926137403</v>
      </c>
      <c r="U63" s="20">
        <f t="shared" si="12"/>
        <v>31924.466013414785</v>
      </c>
      <c r="V63" s="20">
        <f t="shared" si="12"/>
        <v>-246034.57444866467</v>
      </c>
      <c r="W63" s="20">
        <f t="shared" si="12"/>
        <v>45093.991057109553</v>
      </c>
      <c r="X63" s="20">
        <f t="shared" si="12"/>
        <v>71886.548957926221</v>
      </c>
      <c r="Y63" s="362">
        <f t="shared" si="12"/>
        <v>997449.18047565408</v>
      </c>
    </row>
    <row r="64" spans="1:25" x14ac:dyDescent="0.25">
      <c r="A64">
        <v>63</v>
      </c>
      <c r="B64" t="s">
        <v>334</v>
      </c>
      <c r="C64" s="290">
        <v>44075</v>
      </c>
      <c r="D64" t="s">
        <v>609</v>
      </c>
      <c r="E64" t="s">
        <v>330</v>
      </c>
      <c r="F64" t="s">
        <v>585</v>
      </c>
      <c r="G64" s="289">
        <v>46234.022727272728</v>
      </c>
    </row>
    <row r="65" spans="1:32" x14ac:dyDescent="0.25">
      <c r="A65">
        <v>64</v>
      </c>
      <c r="B65" t="s">
        <v>334</v>
      </c>
      <c r="C65" s="290">
        <v>44075</v>
      </c>
      <c r="D65" t="s">
        <v>609</v>
      </c>
      <c r="E65" t="s">
        <v>330</v>
      </c>
      <c r="F65" t="s">
        <v>584</v>
      </c>
      <c r="G65" s="289">
        <v>67762.242831816533</v>
      </c>
      <c r="J65" s="364" t="s">
        <v>585</v>
      </c>
      <c r="K65" s="4"/>
      <c r="L65" s="4"/>
      <c r="M65" s="4"/>
      <c r="N65" s="4"/>
      <c r="O65" s="4"/>
      <c r="P65" s="4"/>
      <c r="Q65" s="4"/>
      <c r="R65" s="4"/>
      <c r="S65" s="363"/>
      <c r="T65" s="4"/>
      <c r="U65" s="4"/>
      <c r="V65" s="4"/>
      <c r="W65" s="4"/>
      <c r="X65" s="4"/>
      <c r="Y65" s="4"/>
    </row>
    <row r="66" spans="1:32" x14ac:dyDescent="0.25">
      <c r="A66">
        <v>65</v>
      </c>
      <c r="B66" t="s">
        <v>334</v>
      </c>
      <c r="C66" s="290">
        <v>44075</v>
      </c>
      <c r="D66" t="s">
        <v>607</v>
      </c>
      <c r="E66" t="s">
        <v>330</v>
      </c>
      <c r="F66" t="s">
        <v>585</v>
      </c>
      <c r="G66" s="289">
        <v>84332.671343016904</v>
      </c>
      <c r="J66" s="361" t="str">
        <f>J65</f>
        <v>Initial Sale</v>
      </c>
      <c r="K66" s="290" t="s">
        <v>607</v>
      </c>
      <c r="M66" s="16"/>
      <c r="N66" s="16"/>
      <c r="O66" s="16"/>
      <c r="P66" s="16"/>
      <c r="Q66" s="16"/>
      <c r="R66" s="16"/>
      <c r="S66" s="16"/>
      <c r="T66" s="16"/>
      <c r="U66" s="16"/>
      <c r="V66" s="16"/>
      <c r="W66" s="16"/>
      <c r="X66" s="16"/>
      <c r="Y66" s="16"/>
    </row>
    <row r="67" spans="1:32" x14ac:dyDescent="0.25">
      <c r="A67">
        <v>66</v>
      </c>
      <c r="B67" t="s">
        <v>334</v>
      </c>
      <c r="C67" s="290">
        <v>44075</v>
      </c>
      <c r="D67" t="s">
        <v>608</v>
      </c>
      <c r="E67" t="s">
        <v>330</v>
      </c>
      <c r="F67" t="s">
        <v>585</v>
      </c>
      <c r="G67" s="289">
        <v>77596.399185137387</v>
      </c>
      <c r="J67" s="361" t="str">
        <f t="shared" ref="J67:J80" si="13">J66</f>
        <v>Initial Sale</v>
      </c>
      <c r="K67" s="361" t="str">
        <f t="shared" ref="K67:K70" si="14">K66</f>
        <v>Corporate</v>
      </c>
      <c r="L67" t="s">
        <v>300</v>
      </c>
      <c r="M67" s="16">
        <f>SUMIFS(M$5:M$59,$I$5:$I$59,$L67,$K$5:$K$59,$K67,$J$5:$J$59,$J67)</f>
        <v>0</v>
      </c>
      <c r="N67" s="16">
        <f t="shared" ref="N67:Y67" si="15">SUMIFS(N$5:N$59,$I$5:$I$59,$L67,$K$5:$K$59,$K67,$J$5:$J$59,$J67)</f>
        <v>0</v>
      </c>
      <c r="O67" s="16">
        <f t="shared" si="15"/>
        <v>0</v>
      </c>
      <c r="P67" s="16">
        <f t="shared" si="15"/>
        <v>0</v>
      </c>
      <c r="Q67" s="16">
        <f t="shared" si="15"/>
        <v>0</v>
      </c>
      <c r="R67" s="16">
        <f t="shared" si="15"/>
        <v>0</v>
      </c>
      <c r="S67" s="16">
        <f t="shared" si="15"/>
        <v>0</v>
      </c>
      <c r="T67" s="16">
        <f t="shared" si="15"/>
        <v>0</v>
      </c>
      <c r="U67" s="16">
        <f t="shared" si="15"/>
        <v>0</v>
      </c>
      <c r="V67" s="16">
        <f t="shared" si="15"/>
        <v>0</v>
      </c>
      <c r="W67" s="16">
        <f t="shared" si="15"/>
        <v>0</v>
      </c>
      <c r="X67" s="16">
        <f t="shared" si="15"/>
        <v>0</v>
      </c>
      <c r="Y67" s="16">
        <f t="shared" si="15"/>
        <v>0</v>
      </c>
      <c r="AA67" s="20">
        <f>SUM(M67:Y67)</f>
        <v>0</v>
      </c>
      <c r="AC67" s="366" t="str">
        <f>K67</f>
        <v>Corporate</v>
      </c>
      <c r="AD67" s="366" t="str">
        <f>J67</f>
        <v>Initial Sale</v>
      </c>
      <c r="AE67" s="233" t="str">
        <f>L67</f>
        <v>Adopt</v>
      </c>
      <c r="AF67" s="367">
        <f>AA67/SUM(AA67:AA70)</f>
        <v>0</v>
      </c>
    </row>
    <row r="68" spans="1:32" x14ac:dyDescent="0.25">
      <c r="A68">
        <v>67</v>
      </c>
      <c r="B68" t="s">
        <v>334</v>
      </c>
      <c r="C68" s="290">
        <v>44105</v>
      </c>
      <c r="D68" t="s">
        <v>609</v>
      </c>
      <c r="E68" t="s">
        <v>330</v>
      </c>
      <c r="F68" t="s">
        <v>584</v>
      </c>
      <c r="G68" s="289">
        <v>89397.840511313203</v>
      </c>
      <c r="J68" s="361" t="str">
        <f t="shared" si="13"/>
        <v>Initial Sale</v>
      </c>
      <c r="K68" s="361" t="str">
        <f t="shared" si="14"/>
        <v>Corporate</v>
      </c>
      <c r="L68" t="s">
        <v>327</v>
      </c>
      <c r="M68" s="16">
        <f t="shared" ref="M68:Y70" si="16">SUMIFS(M$5:M$59,$I$5:$I$59,$L68,$K$5:$K$59,$K68,$J$5:$J$59,$J68)</f>
        <v>0</v>
      </c>
      <c r="N68" s="16">
        <f t="shared" si="16"/>
        <v>11809.155129958961</v>
      </c>
      <c r="O68" s="16">
        <f t="shared" si="16"/>
        <v>6773.1501057082442</v>
      </c>
      <c r="P68" s="16">
        <f t="shared" si="16"/>
        <v>3364.3478260869565</v>
      </c>
      <c r="Q68" s="16">
        <f t="shared" si="16"/>
        <v>22844.401744186049</v>
      </c>
      <c r="R68" s="16">
        <f t="shared" si="16"/>
        <v>11407.101967799643</v>
      </c>
      <c r="S68" s="16">
        <f t="shared" si="16"/>
        <v>3612.0401337792637</v>
      </c>
      <c r="T68" s="16">
        <f t="shared" si="16"/>
        <v>13266.761321909426</v>
      </c>
      <c r="U68" s="16">
        <f t="shared" si="16"/>
        <v>41163.96105863039</v>
      </c>
      <c r="V68" s="16">
        <f t="shared" si="16"/>
        <v>7644.8632387454654</v>
      </c>
      <c r="W68" s="16">
        <f t="shared" si="16"/>
        <v>55843.990756630679</v>
      </c>
      <c r="X68" s="16">
        <f t="shared" si="16"/>
        <v>41165.521567333773</v>
      </c>
      <c r="Y68" s="16">
        <f t="shared" si="16"/>
        <v>10334.717964273677</v>
      </c>
      <c r="AA68" s="20">
        <f t="shared" ref="AA68:AA80" si="17">SUM(M68:Y68)</f>
        <v>229230.01281504254</v>
      </c>
      <c r="AC68" s="366" t="str">
        <f t="shared" ref="AC68:AC70" si="18">K68</f>
        <v>Corporate</v>
      </c>
      <c r="AD68" s="366" t="str">
        <f t="shared" ref="AD68:AD70" si="19">J68</f>
        <v>Initial Sale</v>
      </c>
      <c r="AE68" s="233" t="str">
        <f t="shared" ref="AE68:AE70" si="20">L68</f>
        <v>Feedback</v>
      </c>
      <c r="AF68" s="367">
        <f>AA68/SUM(AA67:AA70)</f>
        <v>2.0820768105208359E-2</v>
      </c>
    </row>
    <row r="69" spans="1:32" x14ac:dyDescent="0.25">
      <c r="A69">
        <v>68</v>
      </c>
      <c r="B69" t="s">
        <v>334</v>
      </c>
      <c r="C69" s="290">
        <v>44105</v>
      </c>
      <c r="D69" t="s">
        <v>608</v>
      </c>
      <c r="E69" t="s">
        <v>330</v>
      </c>
      <c r="F69" t="s">
        <v>585</v>
      </c>
      <c r="G69" s="289">
        <v>36367.902406107911</v>
      </c>
      <c r="J69" s="361" t="str">
        <f t="shared" si="13"/>
        <v>Initial Sale</v>
      </c>
      <c r="K69" s="361" t="str">
        <f t="shared" si="14"/>
        <v>Corporate</v>
      </c>
      <c r="L69" t="s">
        <v>346</v>
      </c>
      <c r="M69" s="16">
        <f t="shared" si="16"/>
        <v>217861.5384615385</v>
      </c>
      <c r="N69" s="16">
        <f t="shared" si="16"/>
        <v>614353.87179311796</v>
      </c>
      <c r="O69" s="16">
        <f t="shared" si="16"/>
        <v>764360.52708183764</v>
      </c>
      <c r="P69" s="16">
        <f t="shared" si="16"/>
        <v>469193.7214046822</v>
      </c>
      <c r="Q69" s="16">
        <f t="shared" si="16"/>
        <v>787390.18158914719</v>
      </c>
      <c r="R69" s="16">
        <f t="shared" si="16"/>
        <v>1678689.205724508</v>
      </c>
      <c r="S69" s="16">
        <f t="shared" si="16"/>
        <v>405524.29448160541</v>
      </c>
      <c r="T69" s="16">
        <f t="shared" si="16"/>
        <v>659434.93428248598</v>
      </c>
      <c r="U69" s="16">
        <f t="shared" si="16"/>
        <v>1330605.0389413696</v>
      </c>
      <c r="V69" s="16">
        <f t="shared" si="16"/>
        <v>524556.31368433055</v>
      </c>
      <c r="W69" s="16">
        <f t="shared" si="16"/>
        <v>1054292.8154395265</v>
      </c>
      <c r="X69" s="16">
        <f t="shared" si="16"/>
        <v>1957253.0514110231</v>
      </c>
      <c r="Y69" s="16">
        <f t="shared" si="16"/>
        <v>316935.3873088595</v>
      </c>
      <c r="AA69" s="20">
        <f t="shared" si="17"/>
        <v>10780450.881604033</v>
      </c>
      <c r="AC69" s="366" t="str">
        <f t="shared" si="18"/>
        <v>Corporate</v>
      </c>
      <c r="AD69" s="366" t="str">
        <f t="shared" si="19"/>
        <v>Initial Sale</v>
      </c>
      <c r="AE69" s="233" t="str">
        <f t="shared" si="20"/>
        <v>Engage</v>
      </c>
      <c r="AF69" s="367">
        <f>AA69/SUM(AA67:AA70)</f>
        <v>0.97917923189479161</v>
      </c>
    </row>
    <row r="70" spans="1:32" x14ac:dyDescent="0.25">
      <c r="A70">
        <v>69</v>
      </c>
      <c r="B70" t="s">
        <v>334</v>
      </c>
      <c r="C70" s="290">
        <v>44105</v>
      </c>
      <c r="D70" t="s">
        <v>607</v>
      </c>
      <c r="E70" t="s">
        <v>330</v>
      </c>
      <c r="F70" t="s">
        <v>584</v>
      </c>
      <c r="G70" s="289">
        <v>58806.141930719343</v>
      </c>
      <c r="J70" s="361" t="str">
        <f t="shared" si="13"/>
        <v>Initial Sale</v>
      </c>
      <c r="K70" s="361" t="str">
        <f t="shared" si="14"/>
        <v>Corporate</v>
      </c>
      <c r="L70" t="s">
        <v>347</v>
      </c>
      <c r="M70" s="16">
        <f t="shared" si="16"/>
        <v>0</v>
      </c>
      <c r="N70" s="16">
        <f t="shared" si="16"/>
        <v>0</v>
      </c>
      <c r="O70" s="16">
        <f t="shared" si="16"/>
        <v>0</v>
      </c>
      <c r="P70" s="16">
        <f t="shared" si="16"/>
        <v>0</v>
      </c>
      <c r="Q70" s="16">
        <f t="shared" si="16"/>
        <v>0</v>
      </c>
      <c r="R70" s="16">
        <f t="shared" si="16"/>
        <v>0</v>
      </c>
      <c r="S70" s="16">
        <f t="shared" si="16"/>
        <v>0</v>
      </c>
      <c r="T70" s="16">
        <f t="shared" si="16"/>
        <v>0</v>
      </c>
      <c r="U70" s="16">
        <f t="shared" si="16"/>
        <v>0</v>
      </c>
      <c r="V70" s="16">
        <f t="shared" si="16"/>
        <v>0</v>
      </c>
      <c r="W70" s="16">
        <f t="shared" si="16"/>
        <v>0</v>
      </c>
      <c r="X70" s="16">
        <f t="shared" si="16"/>
        <v>0</v>
      </c>
      <c r="Y70" s="16">
        <f t="shared" si="16"/>
        <v>0</v>
      </c>
      <c r="AA70" s="20">
        <f t="shared" si="17"/>
        <v>0</v>
      </c>
      <c r="AC70" s="366" t="str">
        <f t="shared" si="18"/>
        <v>Corporate</v>
      </c>
      <c r="AD70" s="366" t="str">
        <f t="shared" si="19"/>
        <v>Initial Sale</v>
      </c>
      <c r="AE70" s="233" t="str">
        <f t="shared" si="20"/>
        <v>DA</v>
      </c>
      <c r="AF70" s="367">
        <f>AA70/SUM(AA67:AA70)</f>
        <v>0</v>
      </c>
    </row>
    <row r="71" spans="1:32" x14ac:dyDescent="0.25">
      <c r="A71">
        <v>70</v>
      </c>
      <c r="B71" t="s">
        <v>334</v>
      </c>
      <c r="C71" s="290">
        <v>44105</v>
      </c>
      <c r="D71" t="s">
        <v>607</v>
      </c>
      <c r="E71" t="s">
        <v>330</v>
      </c>
      <c r="F71" t="s">
        <v>585</v>
      </c>
      <c r="G71" s="289">
        <v>75798.214719691867</v>
      </c>
      <c r="J71" s="361" t="str">
        <f t="shared" si="13"/>
        <v>Initial Sale</v>
      </c>
      <c r="K71" s="290" t="s">
        <v>608</v>
      </c>
      <c r="M71" s="16"/>
      <c r="N71" s="16"/>
      <c r="O71" s="16"/>
      <c r="P71" s="16"/>
      <c r="Q71" s="16"/>
      <c r="R71" s="16"/>
      <c r="S71" s="16"/>
      <c r="T71" s="16"/>
      <c r="U71" s="16"/>
      <c r="V71" s="16"/>
      <c r="W71" s="16"/>
      <c r="X71" s="16"/>
      <c r="Y71" s="16"/>
      <c r="AA71" s="20"/>
    </row>
    <row r="72" spans="1:32" x14ac:dyDescent="0.25">
      <c r="A72">
        <v>71</v>
      </c>
      <c r="B72" t="s">
        <v>334</v>
      </c>
      <c r="C72" s="290">
        <v>44105</v>
      </c>
      <c r="D72" t="s">
        <v>609</v>
      </c>
      <c r="E72" t="s">
        <v>330</v>
      </c>
      <c r="F72" t="s">
        <v>585</v>
      </c>
      <c r="G72" s="289">
        <v>51047.67632411066</v>
      </c>
      <c r="J72" s="361" t="str">
        <f t="shared" si="13"/>
        <v>Initial Sale</v>
      </c>
      <c r="K72" s="361" t="str">
        <f t="shared" ref="K72:K75" si="21">K71</f>
        <v>Commercial</v>
      </c>
      <c r="L72" t="s">
        <v>300</v>
      </c>
      <c r="M72" s="16">
        <f t="shared" ref="M72:Y75" si="22">SUMIFS(M$5:M$59,$I$5:$I$59,$L72,$K$5:$K$59,$K72,$J$5:$J$59,$J72)</f>
        <v>0</v>
      </c>
      <c r="N72" s="16">
        <f t="shared" si="22"/>
        <v>0</v>
      </c>
      <c r="O72" s="16">
        <f t="shared" si="22"/>
        <v>0</v>
      </c>
      <c r="P72" s="16">
        <f t="shared" si="22"/>
        <v>0</v>
      </c>
      <c r="Q72" s="16">
        <f t="shared" si="22"/>
        <v>0</v>
      </c>
      <c r="R72" s="16">
        <f t="shared" si="22"/>
        <v>0</v>
      </c>
      <c r="S72" s="16">
        <f t="shared" si="22"/>
        <v>0</v>
      </c>
      <c r="T72" s="16">
        <f t="shared" si="22"/>
        <v>0</v>
      </c>
      <c r="U72" s="16">
        <f t="shared" si="22"/>
        <v>0</v>
      </c>
      <c r="V72" s="16">
        <f t="shared" si="22"/>
        <v>0</v>
      </c>
      <c r="W72" s="16">
        <f t="shared" si="22"/>
        <v>0</v>
      </c>
      <c r="X72" s="16">
        <f t="shared" si="22"/>
        <v>0</v>
      </c>
      <c r="Y72" s="16">
        <f t="shared" si="22"/>
        <v>0</v>
      </c>
      <c r="AA72" s="20">
        <f t="shared" si="17"/>
        <v>0</v>
      </c>
      <c r="AC72" s="290" t="str">
        <f>K72</f>
        <v>Commercial</v>
      </c>
      <c r="AD72" s="290" t="str">
        <f>J72</f>
        <v>Initial Sale</v>
      </c>
      <c r="AE72" t="str">
        <f>L72</f>
        <v>Adopt</v>
      </c>
      <c r="AF72" s="19">
        <f>AA72/SUM(AA72:AA75)</f>
        <v>0</v>
      </c>
    </row>
    <row r="73" spans="1:32" x14ac:dyDescent="0.25">
      <c r="A73">
        <v>72</v>
      </c>
      <c r="B73" t="s">
        <v>334</v>
      </c>
      <c r="C73" s="290">
        <v>44105</v>
      </c>
      <c r="D73" t="s">
        <v>608</v>
      </c>
      <c r="E73" t="s">
        <v>330</v>
      </c>
      <c r="F73" t="s">
        <v>584</v>
      </c>
      <c r="G73" s="289">
        <v>53993.228829164291</v>
      </c>
      <c r="J73" s="361" t="str">
        <f t="shared" si="13"/>
        <v>Initial Sale</v>
      </c>
      <c r="K73" s="361" t="str">
        <f t="shared" si="21"/>
        <v>Commercial</v>
      </c>
      <c r="L73" t="s">
        <v>327</v>
      </c>
      <c r="M73" s="16">
        <f t="shared" si="22"/>
        <v>4781.9408033826621</v>
      </c>
      <c r="N73" s="16">
        <f t="shared" si="22"/>
        <v>7428.8550262565641</v>
      </c>
      <c r="O73" s="16">
        <f t="shared" si="22"/>
        <v>0</v>
      </c>
      <c r="P73" s="16">
        <f t="shared" si="22"/>
        <v>15502.641860465115</v>
      </c>
      <c r="Q73" s="16">
        <f t="shared" si="22"/>
        <v>16412.627906976744</v>
      </c>
      <c r="R73" s="16">
        <f t="shared" si="22"/>
        <v>27190.563953488374</v>
      </c>
      <c r="S73" s="16">
        <f t="shared" si="22"/>
        <v>0</v>
      </c>
      <c r="T73" s="16">
        <f t="shared" si="22"/>
        <v>10737.518934508533</v>
      </c>
      <c r="U73" s="16">
        <f t="shared" si="22"/>
        <v>32199.370502611884</v>
      </c>
      <c r="V73" s="16">
        <f t="shared" si="22"/>
        <v>47167.378242100807</v>
      </c>
      <c r="W73" s="16">
        <f t="shared" si="22"/>
        <v>0</v>
      </c>
      <c r="X73" s="16">
        <f t="shared" si="22"/>
        <v>26755.286298662821</v>
      </c>
      <c r="Y73" s="16">
        <f t="shared" si="22"/>
        <v>5096.8992248062023</v>
      </c>
      <c r="AA73" s="20">
        <f t="shared" si="17"/>
        <v>193273.08275325972</v>
      </c>
      <c r="AC73" s="290" t="str">
        <f t="shared" ref="AC73:AC75" si="23">K73</f>
        <v>Commercial</v>
      </c>
      <c r="AD73" s="290" t="str">
        <f t="shared" ref="AD73:AD75" si="24">J73</f>
        <v>Initial Sale</v>
      </c>
      <c r="AE73" t="str">
        <f t="shared" ref="AE73:AE75" si="25">L73</f>
        <v>Feedback</v>
      </c>
      <c r="AF73" s="19">
        <f>AA73/SUM(AA72:AA75)</f>
        <v>2.9369700560414245E-2</v>
      </c>
    </row>
    <row r="74" spans="1:32" x14ac:dyDescent="0.25">
      <c r="A74">
        <v>73</v>
      </c>
      <c r="B74" t="s">
        <v>334</v>
      </c>
      <c r="C74" s="290">
        <v>44044</v>
      </c>
      <c r="D74" t="s">
        <v>609</v>
      </c>
      <c r="E74" t="s">
        <v>2</v>
      </c>
      <c r="F74" t="s">
        <v>584</v>
      </c>
      <c r="G74" s="289">
        <v>15466.892380617359</v>
      </c>
      <c r="J74" s="361" t="str">
        <f t="shared" si="13"/>
        <v>Initial Sale</v>
      </c>
      <c r="K74" s="361" t="str">
        <f t="shared" si="21"/>
        <v>Commercial</v>
      </c>
      <c r="L74" t="s">
        <v>346</v>
      </c>
      <c r="M74" s="16">
        <f t="shared" si="22"/>
        <v>231546.43062518878</v>
      </c>
      <c r="N74" s="16">
        <f t="shared" si="22"/>
        <v>422369.51497374341</v>
      </c>
      <c r="O74" s="16">
        <f t="shared" si="22"/>
        <v>247820.00000000003</v>
      </c>
      <c r="P74" s="16">
        <f t="shared" si="22"/>
        <v>116424.35813953487</v>
      </c>
      <c r="Q74" s="16">
        <f t="shared" si="22"/>
        <v>890051.79209302331</v>
      </c>
      <c r="R74" s="16">
        <f t="shared" si="22"/>
        <v>1080519.4360465116</v>
      </c>
      <c r="S74" s="16">
        <f t="shared" si="22"/>
        <v>133973</v>
      </c>
      <c r="T74" s="16">
        <f t="shared" si="22"/>
        <v>363033.35106549144</v>
      </c>
      <c r="U74" s="16">
        <f t="shared" si="22"/>
        <v>702232.27565123432</v>
      </c>
      <c r="V74" s="16">
        <f t="shared" si="22"/>
        <v>392267.93842456513</v>
      </c>
      <c r="W74" s="16">
        <f t="shared" si="22"/>
        <v>652046.73589743511</v>
      </c>
      <c r="X74" s="16">
        <f t="shared" si="22"/>
        <v>831965.48423320684</v>
      </c>
      <c r="Y74" s="16">
        <f t="shared" si="22"/>
        <v>323173.00031007722</v>
      </c>
      <c r="AA74" s="20">
        <f t="shared" si="17"/>
        <v>6387423.3174600117</v>
      </c>
      <c r="AC74" s="290" t="str">
        <f t="shared" si="23"/>
        <v>Commercial</v>
      </c>
      <c r="AD74" s="290" t="str">
        <f t="shared" si="24"/>
        <v>Initial Sale</v>
      </c>
      <c r="AE74" t="str">
        <f t="shared" si="25"/>
        <v>Engage</v>
      </c>
      <c r="AF74" s="19">
        <f>AA74/SUM(AA72:AA75)</f>
        <v>0.97063029943958579</v>
      </c>
    </row>
    <row r="75" spans="1:32" x14ac:dyDescent="0.25">
      <c r="A75">
        <v>74</v>
      </c>
      <c r="B75" t="s">
        <v>334</v>
      </c>
      <c r="C75" s="290">
        <v>44044</v>
      </c>
      <c r="D75" t="s">
        <v>609</v>
      </c>
      <c r="E75" t="s">
        <v>2</v>
      </c>
      <c r="F75" t="s">
        <v>585</v>
      </c>
      <c r="G75" s="289">
        <v>6250</v>
      </c>
      <c r="J75" s="361" t="str">
        <f t="shared" si="13"/>
        <v>Initial Sale</v>
      </c>
      <c r="K75" s="361" t="str">
        <f t="shared" si="21"/>
        <v>Commercial</v>
      </c>
      <c r="L75" t="s">
        <v>347</v>
      </c>
      <c r="M75" s="16">
        <f t="shared" si="22"/>
        <v>0</v>
      </c>
      <c r="N75" s="16">
        <f t="shared" si="22"/>
        <v>0</v>
      </c>
      <c r="O75" s="16">
        <f t="shared" si="22"/>
        <v>0</v>
      </c>
      <c r="P75" s="16">
        <f t="shared" si="22"/>
        <v>0</v>
      </c>
      <c r="Q75" s="16">
        <f t="shared" si="22"/>
        <v>0</v>
      </c>
      <c r="R75" s="16">
        <f t="shared" si="22"/>
        <v>0</v>
      </c>
      <c r="S75" s="16">
        <f t="shared" si="22"/>
        <v>0</v>
      </c>
      <c r="T75" s="16">
        <f t="shared" si="22"/>
        <v>0</v>
      </c>
      <c r="U75" s="16">
        <f t="shared" si="22"/>
        <v>0</v>
      </c>
      <c r="V75" s="16">
        <f t="shared" si="22"/>
        <v>0</v>
      </c>
      <c r="W75" s="16">
        <f t="shared" si="22"/>
        <v>0</v>
      </c>
      <c r="X75" s="16">
        <f t="shared" si="22"/>
        <v>0</v>
      </c>
      <c r="Y75" s="16">
        <f t="shared" si="22"/>
        <v>0</v>
      </c>
      <c r="AA75" s="20">
        <f t="shared" si="17"/>
        <v>0</v>
      </c>
      <c r="AC75" s="290" t="str">
        <f t="shared" si="23"/>
        <v>Commercial</v>
      </c>
      <c r="AD75" s="290" t="str">
        <f t="shared" si="24"/>
        <v>Initial Sale</v>
      </c>
      <c r="AE75" t="str">
        <f t="shared" si="25"/>
        <v>DA</v>
      </c>
      <c r="AF75" s="19">
        <f>AA75/SUM(AA72:AA75)</f>
        <v>0</v>
      </c>
    </row>
    <row r="76" spans="1:32" x14ac:dyDescent="0.25">
      <c r="A76">
        <v>75</v>
      </c>
      <c r="B76" t="s">
        <v>334</v>
      </c>
      <c r="C76" s="290">
        <v>44044</v>
      </c>
      <c r="D76" t="s">
        <v>607</v>
      </c>
      <c r="E76" t="s">
        <v>2</v>
      </c>
      <c r="F76" t="s">
        <v>584</v>
      </c>
      <c r="G76" s="289">
        <v>54151.26710147252</v>
      </c>
      <c r="J76" s="361" t="str">
        <f t="shared" si="13"/>
        <v>Initial Sale</v>
      </c>
      <c r="K76" s="290" t="s">
        <v>609</v>
      </c>
      <c r="M76" s="16"/>
      <c r="N76" s="16"/>
      <c r="O76" s="16"/>
      <c r="P76" s="16"/>
      <c r="Q76" s="16"/>
      <c r="R76" s="16"/>
      <c r="S76" s="16"/>
      <c r="T76" s="16"/>
      <c r="U76" s="16"/>
      <c r="V76" s="16"/>
      <c r="W76" s="16"/>
      <c r="X76" s="16"/>
      <c r="Y76" s="16"/>
      <c r="AA76" s="20"/>
    </row>
    <row r="77" spans="1:32" x14ac:dyDescent="0.25">
      <c r="A77">
        <v>76</v>
      </c>
      <c r="B77" t="s">
        <v>334</v>
      </c>
      <c r="C77" s="290">
        <v>44044</v>
      </c>
      <c r="D77" t="s">
        <v>608</v>
      </c>
      <c r="E77" t="s">
        <v>2</v>
      </c>
      <c r="F77" t="s">
        <v>585</v>
      </c>
      <c r="G77" s="289">
        <v>8287.0909090909081</v>
      </c>
      <c r="J77" s="361" t="str">
        <f t="shared" si="13"/>
        <v>Initial Sale</v>
      </c>
      <c r="K77" s="361" t="str">
        <f t="shared" ref="K77:K80" si="26">K76</f>
        <v>Strategic</v>
      </c>
      <c r="L77" t="s">
        <v>300</v>
      </c>
      <c r="M77" s="16">
        <f t="shared" ref="M77:Y80" si="27">SUMIFS(M$5:M$59,$I$5:$I$59,$L77,$K$5:$K$59,$K77,$J$5:$J$59,$J77)</f>
        <v>0</v>
      </c>
      <c r="N77" s="16">
        <f t="shared" si="27"/>
        <v>0</v>
      </c>
      <c r="O77" s="16">
        <f t="shared" si="27"/>
        <v>0</v>
      </c>
      <c r="P77" s="16">
        <f t="shared" si="27"/>
        <v>0</v>
      </c>
      <c r="Q77" s="16">
        <f t="shared" si="27"/>
        <v>0</v>
      </c>
      <c r="R77" s="16">
        <f t="shared" si="27"/>
        <v>0</v>
      </c>
      <c r="S77" s="16">
        <f t="shared" si="27"/>
        <v>0</v>
      </c>
      <c r="T77" s="16">
        <f t="shared" si="27"/>
        <v>0</v>
      </c>
      <c r="U77" s="16">
        <f t="shared" si="27"/>
        <v>0</v>
      </c>
      <c r="V77" s="16">
        <f t="shared" si="27"/>
        <v>0</v>
      </c>
      <c r="W77" s="16">
        <f t="shared" si="27"/>
        <v>0</v>
      </c>
      <c r="X77" s="16">
        <f t="shared" si="27"/>
        <v>0</v>
      </c>
      <c r="Y77" s="16">
        <f t="shared" si="27"/>
        <v>0</v>
      </c>
      <c r="AA77" s="20">
        <f t="shared" si="17"/>
        <v>0</v>
      </c>
      <c r="AC77" s="290" t="str">
        <f>K77</f>
        <v>Strategic</v>
      </c>
      <c r="AD77" s="290" t="str">
        <f>J77</f>
        <v>Initial Sale</v>
      </c>
      <c r="AE77" t="str">
        <f>L77</f>
        <v>Adopt</v>
      </c>
      <c r="AF77" s="19">
        <f>AA77/SUM(AA77:AA80)</f>
        <v>0</v>
      </c>
    </row>
    <row r="78" spans="1:32" x14ac:dyDescent="0.25">
      <c r="A78">
        <v>77</v>
      </c>
      <c r="B78" t="s">
        <v>334</v>
      </c>
      <c r="C78" s="290">
        <v>44044</v>
      </c>
      <c r="D78" t="s">
        <v>608</v>
      </c>
      <c r="E78" t="s">
        <v>2</v>
      </c>
      <c r="F78" t="s">
        <v>584</v>
      </c>
      <c r="G78" s="289">
        <v>49486.571384682167</v>
      </c>
      <c r="J78" s="361" t="str">
        <f t="shared" si="13"/>
        <v>Initial Sale</v>
      </c>
      <c r="K78" s="361" t="str">
        <f t="shared" si="26"/>
        <v>Strategic</v>
      </c>
      <c r="L78" t="s">
        <v>327</v>
      </c>
      <c r="M78" s="16">
        <f t="shared" si="27"/>
        <v>0</v>
      </c>
      <c r="N78" s="16">
        <f t="shared" si="27"/>
        <v>11457.551495016611</v>
      </c>
      <c r="O78" s="16">
        <f t="shared" si="27"/>
        <v>0</v>
      </c>
      <c r="P78" s="16">
        <f t="shared" si="27"/>
        <v>6340.5283720930247</v>
      </c>
      <c r="Q78" s="16">
        <f t="shared" si="27"/>
        <v>8922.069292833412</v>
      </c>
      <c r="R78" s="16">
        <f t="shared" si="27"/>
        <v>26813.48121645796</v>
      </c>
      <c r="S78" s="16">
        <f t="shared" si="27"/>
        <v>11000</v>
      </c>
      <c r="T78" s="16">
        <f t="shared" si="27"/>
        <v>0</v>
      </c>
      <c r="U78" s="16">
        <f t="shared" si="27"/>
        <v>17479.148479427549</v>
      </c>
      <c r="V78" s="16">
        <f t="shared" si="27"/>
        <v>0</v>
      </c>
      <c r="W78" s="16">
        <f t="shared" si="27"/>
        <v>0</v>
      </c>
      <c r="X78" s="16">
        <f t="shared" si="27"/>
        <v>81402.918992248044</v>
      </c>
      <c r="Y78" s="16">
        <f t="shared" si="27"/>
        <v>0</v>
      </c>
      <c r="AA78" s="20">
        <f t="shared" si="17"/>
        <v>163415.69784807658</v>
      </c>
      <c r="AC78" s="290" t="str">
        <f t="shared" ref="AC78:AC80" si="28">K78</f>
        <v>Strategic</v>
      </c>
      <c r="AD78" s="290" t="str">
        <f t="shared" ref="AD78:AD80" si="29">J78</f>
        <v>Initial Sale</v>
      </c>
      <c r="AE78" t="str">
        <f t="shared" ref="AE78:AE80" si="30">L78</f>
        <v>Feedback</v>
      </c>
      <c r="AF78" s="19">
        <f>AA78/SUM(AA77:AA80)</f>
        <v>3.9922953774429684E-2</v>
      </c>
    </row>
    <row r="79" spans="1:32" x14ac:dyDescent="0.25">
      <c r="A79">
        <v>78</v>
      </c>
      <c r="B79" t="s">
        <v>334</v>
      </c>
      <c r="C79" s="290">
        <v>44044</v>
      </c>
      <c r="D79" t="s">
        <v>607</v>
      </c>
      <c r="E79" t="s">
        <v>2</v>
      </c>
      <c r="F79" t="s">
        <v>585</v>
      </c>
      <c r="G79" s="289">
        <v>10229.285825096405</v>
      </c>
      <c r="J79" s="361" t="str">
        <f t="shared" si="13"/>
        <v>Initial Sale</v>
      </c>
      <c r="K79" s="361" t="str">
        <f t="shared" si="26"/>
        <v>Strategic</v>
      </c>
      <c r="L79" t="s">
        <v>346</v>
      </c>
      <c r="M79" s="16">
        <f t="shared" si="27"/>
        <v>76788.299999999988</v>
      </c>
      <c r="N79" s="16">
        <f t="shared" si="27"/>
        <v>251479.34850498335</v>
      </c>
      <c r="O79" s="16">
        <f t="shared" si="27"/>
        <v>649795.81999999995</v>
      </c>
      <c r="P79" s="16">
        <f t="shared" si="27"/>
        <v>45159.471627906976</v>
      </c>
      <c r="Q79" s="16">
        <f t="shared" si="27"/>
        <v>168221.93070716658</v>
      </c>
      <c r="R79" s="16">
        <f t="shared" si="27"/>
        <v>261983.51878354201</v>
      </c>
      <c r="S79" s="16">
        <f t="shared" si="27"/>
        <v>200499.99999999997</v>
      </c>
      <c r="T79" s="16">
        <f t="shared" si="27"/>
        <v>42000</v>
      </c>
      <c r="U79" s="16">
        <f t="shared" si="27"/>
        <v>1049847.8515205726</v>
      </c>
      <c r="V79" s="16">
        <f t="shared" si="27"/>
        <v>89655</v>
      </c>
      <c r="W79" s="16">
        <f t="shared" si="27"/>
        <v>173945.83333333299</v>
      </c>
      <c r="X79" s="16">
        <f t="shared" si="27"/>
        <v>819983.96194108436</v>
      </c>
      <c r="Y79" s="16">
        <f t="shared" si="27"/>
        <v>100500</v>
      </c>
      <c r="AA79" s="20">
        <f t="shared" si="17"/>
        <v>3929861.0364185888</v>
      </c>
      <c r="AC79" s="290" t="str">
        <f t="shared" si="28"/>
        <v>Strategic</v>
      </c>
      <c r="AD79" s="290" t="str">
        <f t="shared" si="29"/>
        <v>Initial Sale</v>
      </c>
      <c r="AE79" t="str">
        <f t="shared" si="30"/>
        <v>Engage</v>
      </c>
      <c r="AF79" s="19">
        <f>AA79/SUM(AA77:AA80)</f>
        <v>0.96007704622557033</v>
      </c>
    </row>
    <row r="80" spans="1:32" x14ac:dyDescent="0.25">
      <c r="A80">
        <v>79</v>
      </c>
      <c r="B80" t="s">
        <v>334</v>
      </c>
      <c r="C80" s="290">
        <v>44075</v>
      </c>
      <c r="D80" t="s">
        <v>608</v>
      </c>
      <c r="E80" t="s">
        <v>2</v>
      </c>
      <c r="F80" t="s">
        <v>585</v>
      </c>
      <c r="G80" s="289">
        <v>34114.273770800988</v>
      </c>
      <c r="J80" s="361" t="str">
        <f t="shared" si="13"/>
        <v>Initial Sale</v>
      </c>
      <c r="K80" s="361" t="str">
        <f t="shared" si="26"/>
        <v>Strategic</v>
      </c>
      <c r="L80" t="s">
        <v>347</v>
      </c>
      <c r="M80" s="16">
        <f t="shared" si="27"/>
        <v>0</v>
      </c>
      <c r="N80" s="16">
        <f t="shared" si="27"/>
        <v>0</v>
      </c>
      <c r="O80" s="16">
        <f t="shared" si="27"/>
        <v>0</v>
      </c>
      <c r="P80" s="16">
        <f t="shared" si="27"/>
        <v>0</v>
      </c>
      <c r="Q80" s="16">
        <f t="shared" si="27"/>
        <v>0</v>
      </c>
      <c r="R80" s="16">
        <f t="shared" si="27"/>
        <v>0</v>
      </c>
      <c r="S80" s="16">
        <f t="shared" si="27"/>
        <v>0</v>
      </c>
      <c r="T80" s="16">
        <f t="shared" si="27"/>
        <v>0</v>
      </c>
      <c r="U80" s="16">
        <f t="shared" si="27"/>
        <v>0</v>
      </c>
      <c r="V80" s="16">
        <f t="shared" si="27"/>
        <v>0</v>
      </c>
      <c r="W80" s="16">
        <f t="shared" si="27"/>
        <v>0</v>
      </c>
      <c r="X80" s="16">
        <f t="shared" si="27"/>
        <v>0</v>
      </c>
      <c r="Y80" s="16">
        <f t="shared" si="27"/>
        <v>0</v>
      </c>
      <c r="AA80" s="20">
        <f t="shared" si="17"/>
        <v>0</v>
      </c>
      <c r="AC80" s="290" t="str">
        <f t="shared" si="28"/>
        <v>Strategic</v>
      </c>
      <c r="AD80" s="290" t="str">
        <f t="shared" si="29"/>
        <v>Initial Sale</v>
      </c>
      <c r="AE80" t="str">
        <f t="shared" si="30"/>
        <v>DA</v>
      </c>
      <c r="AF80" s="19">
        <f>AA80/SUM(AA77:AA80)</f>
        <v>0</v>
      </c>
    </row>
    <row r="81" spans="1:32" x14ac:dyDescent="0.25">
      <c r="A81">
        <v>80</v>
      </c>
      <c r="B81" t="s">
        <v>334</v>
      </c>
      <c r="C81" s="290">
        <v>44075</v>
      </c>
      <c r="D81" t="s">
        <v>607</v>
      </c>
      <c r="E81" t="s">
        <v>2</v>
      </c>
      <c r="F81" t="s">
        <v>584</v>
      </c>
      <c r="G81" s="289">
        <v>58718.412081347618</v>
      </c>
      <c r="M81" s="16"/>
      <c r="N81" s="16"/>
      <c r="O81" s="16"/>
      <c r="P81" s="16"/>
      <c r="Q81" s="16"/>
      <c r="R81" s="16"/>
      <c r="S81" s="16"/>
      <c r="T81" s="16"/>
      <c r="U81" s="16"/>
      <c r="V81" s="16"/>
      <c r="W81" s="16"/>
      <c r="X81" s="16"/>
      <c r="Y81" s="16"/>
    </row>
    <row r="82" spans="1:32" x14ac:dyDescent="0.25">
      <c r="A82">
        <v>81</v>
      </c>
      <c r="B82" t="s">
        <v>334</v>
      </c>
      <c r="C82" s="290">
        <v>44075</v>
      </c>
      <c r="D82" t="s">
        <v>609</v>
      </c>
      <c r="E82" t="s">
        <v>2</v>
      </c>
      <c r="F82" t="s">
        <v>584</v>
      </c>
      <c r="G82" s="289">
        <v>96308.861789081871</v>
      </c>
      <c r="J82" s="364" t="s">
        <v>584</v>
      </c>
      <c r="K82" s="3"/>
      <c r="L82" s="3"/>
      <c r="M82" s="365"/>
      <c r="N82" s="365"/>
      <c r="O82" s="365"/>
      <c r="P82" s="365"/>
      <c r="Q82" s="365"/>
      <c r="R82" s="365"/>
      <c r="S82" s="365"/>
      <c r="T82" s="365"/>
      <c r="U82" s="365"/>
      <c r="V82" s="365"/>
      <c r="W82" s="365"/>
      <c r="X82" s="365"/>
      <c r="Y82" s="365"/>
    </row>
    <row r="83" spans="1:32" x14ac:dyDescent="0.25">
      <c r="A83">
        <v>82</v>
      </c>
      <c r="B83" t="s">
        <v>334</v>
      </c>
      <c r="C83" s="290">
        <v>44075</v>
      </c>
      <c r="D83" t="s">
        <v>609</v>
      </c>
      <c r="E83" t="s">
        <v>2</v>
      </c>
      <c r="F83" t="s">
        <v>585</v>
      </c>
      <c r="G83" s="289">
        <v>13757.280844155843</v>
      </c>
      <c r="J83" s="361" t="str">
        <f>J82</f>
        <v>Expansion</v>
      </c>
      <c r="K83" s="290" t="s">
        <v>607</v>
      </c>
      <c r="M83" s="16"/>
      <c r="N83" s="16"/>
      <c r="O83" s="16"/>
      <c r="P83" s="16"/>
      <c r="Q83" s="16"/>
      <c r="R83" s="16"/>
      <c r="S83" s="16"/>
      <c r="T83" s="16"/>
      <c r="U83" s="16"/>
      <c r="V83" s="16"/>
      <c r="W83" s="16"/>
      <c r="X83" s="16"/>
      <c r="Y83" s="16"/>
    </row>
    <row r="84" spans="1:32" x14ac:dyDescent="0.25">
      <c r="A84">
        <v>83</v>
      </c>
      <c r="B84" t="s">
        <v>334</v>
      </c>
      <c r="C84" s="290">
        <v>44075</v>
      </c>
      <c r="D84" t="s">
        <v>607</v>
      </c>
      <c r="E84" t="s">
        <v>2</v>
      </c>
      <c r="F84" t="s">
        <v>585</v>
      </c>
      <c r="G84" s="289">
        <v>15769.727778494213</v>
      </c>
      <c r="J84" s="361" t="str">
        <f t="shared" ref="J84:J97" si="31">J83</f>
        <v>Expansion</v>
      </c>
      <c r="K84" s="361" t="str">
        <f t="shared" ref="K84:K87" si="32">K83</f>
        <v>Corporate</v>
      </c>
      <c r="L84" t="s">
        <v>300</v>
      </c>
      <c r="M84" s="16">
        <f t="shared" ref="M84:Y87" si="33">SUMIFS(M$5:M$59,$I$5:$I$59,$L84,$K$5:$K$59,$K84,$J$5:$J$59,$J84)</f>
        <v>0</v>
      </c>
      <c r="N84" s="16">
        <f t="shared" si="33"/>
        <v>25000</v>
      </c>
      <c r="O84" s="16">
        <f t="shared" si="33"/>
        <v>47052.555999999997</v>
      </c>
      <c r="P84" s="16">
        <f t="shared" si="33"/>
        <v>0</v>
      </c>
      <c r="Q84" s="16">
        <f t="shared" si="33"/>
        <v>5929</v>
      </c>
      <c r="R84" s="16">
        <f t="shared" si="33"/>
        <v>2566</v>
      </c>
      <c r="S84" s="16">
        <f t="shared" si="33"/>
        <v>0</v>
      </c>
      <c r="T84" s="16">
        <f t="shared" si="33"/>
        <v>0</v>
      </c>
      <c r="U84" s="16">
        <f t="shared" si="33"/>
        <v>21250</v>
      </c>
      <c r="V84" s="16">
        <f t="shared" si="33"/>
        <v>12500</v>
      </c>
      <c r="W84" s="16">
        <f t="shared" si="33"/>
        <v>2270</v>
      </c>
      <c r="X84" s="16">
        <f t="shared" si="33"/>
        <v>0</v>
      </c>
      <c r="Y84" s="16">
        <f t="shared" si="33"/>
        <v>7500</v>
      </c>
      <c r="AA84" s="20">
        <f t="shared" ref="AA84:AA97" si="34">SUM(M84:Y84)</f>
        <v>124067.556</v>
      </c>
      <c r="AC84" s="366" t="str">
        <f>K84</f>
        <v>Corporate</v>
      </c>
      <c r="AD84" s="366" t="str">
        <f>J84</f>
        <v>Expansion</v>
      </c>
      <c r="AE84" s="233" t="str">
        <f>L84</f>
        <v>Adopt</v>
      </c>
      <c r="AF84" s="367">
        <f>AA84/SUM(AA84:AA87)</f>
        <v>3.0419556104952408E-2</v>
      </c>
    </row>
    <row r="85" spans="1:32" x14ac:dyDescent="0.25">
      <c r="A85">
        <v>84</v>
      </c>
      <c r="B85" t="s">
        <v>334</v>
      </c>
      <c r="C85" s="290">
        <v>44075</v>
      </c>
      <c r="D85" t="s">
        <v>608</v>
      </c>
      <c r="E85" t="s">
        <v>2</v>
      </c>
      <c r="F85" t="s">
        <v>584</v>
      </c>
      <c r="G85" s="289">
        <v>239885.74293045673</v>
      </c>
      <c r="J85" s="361" t="str">
        <f t="shared" si="31"/>
        <v>Expansion</v>
      </c>
      <c r="K85" s="361" t="str">
        <f t="shared" si="32"/>
        <v>Corporate</v>
      </c>
      <c r="L85" t="s">
        <v>327</v>
      </c>
      <c r="M85" s="16">
        <f t="shared" si="33"/>
        <v>-1030</v>
      </c>
      <c r="N85" s="16">
        <f t="shared" si="33"/>
        <v>0</v>
      </c>
      <c r="O85" s="16">
        <f t="shared" si="33"/>
        <v>2273.9698428075208</v>
      </c>
      <c r="P85" s="16">
        <f t="shared" si="33"/>
        <v>8336.7790385533626</v>
      </c>
      <c r="Q85" s="16">
        <f t="shared" si="33"/>
        <v>17224.670266491408</v>
      </c>
      <c r="R85" s="16">
        <f t="shared" si="33"/>
        <v>17662.896899224808</v>
      </c>
      <c r="S85" s="16">
        <f t="shared" si="33"/>
        <v>14184</v>
      </c>
      <c r="T85" s="16">
        <f t="shared" si="33"/>
        <v>7873.1733234905969</v>
      </c>
      <c r="U85" s="16">
        <f t="shared" si="33"/>
        <v>11912.807515029815</v>
      </c>
      <c r="V85" s="16">
        <f t="shared" si="33"/>
        <v>15912.74690469254</v>
      </c>
      <c r="W85" s="16">
        <f t="shared" si="33"/>
        <v>22701.563584340147</v>
      </c>
      <c r="X85" s="16">
        <f t="shared" si="33"/>
        <v>19254.132548231551</v>
      </c>
      <c r="Y85" s="16">
        <f t="shared" si="33"/>
        <v>17242.471142126997</v>
      </c>
      <c r="AA85" s="20">
        <f t="shared" si="34"/>
        <v>153549.21106498875</v>
      </c>
      <c r="AC85" s="366" t="str">
        <f t="shared" ref="AC85:AC87" si="35">K85</f>
        <v>Corporate</v>
      </c>
      <c r="AD85" s="366" t="str">
        <f t="shared" ref="AD85:AD87" si="36">J85</f>
        <v>Expansion</v>
      </c>
      <c r="AE85" s="233" t="str">
        <f t="shared" ref="AE85:AE87" si="37">L85</f>
        <v>Feedback</v>
      </c>
      <c r="AF85" s="367">
        <f>AA85/SUM(AA84:AA87)</f>
        <v>3.7648028150587605E-2</v>
      </c>
    </row>
    <row r="86" spans="1:32" x14ac:dyDescent="0.25">
      <c r="A86">
        <v>85</v>
      </c>
      <c r="B86" t="s">
        <v>334</v>
      </c>
      <c r="C86" s="290">
        <v>44105</v>
      </c>
      <c r="D86" t="s">
        <v>607</v>
      </c>
      <c r="E86" t="s">
        <v>2</v>
      </c>
      <c r="F86" t="s">
        <v>584</v>
      </c>
      <c r="G86" s="289">
        <v>61736.607886703292</v>
      </c>
      <c r="J86" s="361" t="str">
        <f t="shared" si="31"/>
        <v>Expansion</v>
      </c>
      <c r="K86" s="361" t="str">
        <f t="shared" si="32"/>
        <v>Corporate</v>
      </c>
      <c r="L86" t="s">
        <v>346</v>
      </c>
      <c r="M86" s="16">
        <f t="shared" si="33"/>
        <v>133707.03075846468</v>
      </c>
      <c r="N86" s="16">
        <f t="shared" si="33"/>
        <v>216600.3266241551</v>
      </c>
      <c r="O86" s="16">
        <f t="shared" si="33"/>
        <v>531923.75157921156</v>
      </c>
      <c r="P86" s="16">
        <f t="shared" si="33"/>
        <v>330100.9414666415</v>
      </c>
      <c r="Q86" s="16">
        <f t="shared" si="33"/>
        <v>402787.98955849576</v>
      </c>
      <c r="R86" s="16">
        <f t="shared" si="33"/>
        <v>218593.27881428343</v>
      </c>
      <c r="S86" s="16">
        <f t="shared" si="33"/>
        <v>214719.56561287068</v>
      </c>
      <c r="T86" s="16">
        <f t="shared" si="33"/>
        <v>185568.15804240678</v>
      </c>
      <c r="U86" s="16">
        <f t="shared" si="33"/>
        <v>349270.49244355678</v>
      </c>
      <c r="V86" s="16">
        <f t="shared" si="33"/>
        <v>245432.10371469095</v>
      </c>
      <c r="W86" s="16">
        <f t="shared" si="33"/>
        <v>319963.14378042007</v>
      </c>
      <c r="X86" s="16">
        <f t="shared" si="33"/>
        <v>407705.34818826366</v>
      </c>
      <c r="Y86" s="16">
        <f t="shared" si="33"/>
        <v>244557.00788504275</v>
      </c>
      <c r="AA86" s="20">
        <f t="shared" si="34"/>
        <v>3800929.138468504</v>
      </c>
      <c r="AC86" s="366" t="str">
        <f t="shared" si="35"/>
        <v>Corporate</v>
      </c>
      <c r="AD86" s="366" t="str">
        <f t="shared" si="36"/>
        <v>Expansion</v>
      </c>
      <c r="AE86" s="233" t="str">
        <f t="shared" si="37"/>
        <v>Engage</v>
      </c>
      <c r="AF86" s="367">
        <f>AA86/SUM(AA84:AA87)</f>
        <v>0.93193241574446006</v>
      </c>
    </row>
    <row r="87" spans="1:32" x14ac:dyDescent="0.25">
      <c r="A87">
        <v>86</v>
      </c>
      <c r="B87" t="s">
        <v>334</v>
      </c>
      <c r="C87" s="290">
        <v>44105</v>
      </c>
      <c r="D87" t="s">
        <v>609</v>
      </c>
      <c r="E87" t="s">
        <v>2</v>
      </c>
      <c r="F87" t="s">
        <v>585</v>
      </c>
      <c r="G87" s="289">
        <v>37259.204545454537</v>
      </c>
      <c r="J87" s="361" t="str">
        <f t="shared" si="31"/>
        <v>Expansion</v>
      </c>
      <c r="K87" s="361" t="str">
        <f t="shared" si="32"/>
        <v>Corporate</v>
      </c>
      <c r="L87" t="s">
        <v>347</v>
      </c>
      <c r="M87" s="16">
        <f t="shared" si="33"/>
        <v>0</v>
      </c>
      <c r="N87" s="16">
        <f t="shared" si="33"/>
        <v>0</v>
      </c>
      <c r="O87" s="16">
        <f t="shared" si="33"/>
        <v>0</v>
      </c>
      <c r="P87" s="16">
        <f t="shared" si="33"/>
        <v>0</v>
      </c>
      <c r="Q87" s="16">
        <f t="shared" si="33"/>
        <v>0</v>
      </c>
      <c r="R87" s="16">
        <f t="shared" si="33"/>
        <v>0</v>
      </c>
      <c r="S87" s="16">
        <f t="shared" si="33"/>
        <v>0</v>
      </c>
      <c r="T87" s="16">
        <f t="shared" si="33"/>
        <v>0</v>
      </c>
      <c r="U87" s="16">
        <f t="shared" si="33"/>
        <v>0</v>
      </c>
      <c r="V87" s="16">
        <f t="shared" si="33"/>
        <v>0</v>
      </c>
      <c r="W87" s="16">
        <f t="shared" si="33"/>
        <v>0</v>
      </c>
      <c r="X87" s="16">
        <f t="shared" si="33"/>
        <v>0</v>
      </c>
      <c r="Y87" s="16">
        <f t="shared" si="33"/>
        <v>0</v>
      </c>
      <c r="AA87" s="20">
        <f t="shared" si="34"/>
        <v>0</v>
      </c>
      <c r="AC87" s="366" t="str">
        <f t="shared" si="35"/>
        <v>Corporate</v>
      </c>
      <c r="AD87" s="366" t="str">
        <f t="shared" si="36"/>
        <v>Expansion</v>
      </c>
      <c r="AE87" s="233" t="str">
        <f t="shared" si="37"/>
        <v>DA</v>
      </c>
      <c r="AF87" s="367">
        <f>AA87/SUM(AA84:AA87)</f>
        <v>0</v>
      </c>
    </row>
    <row r="88" spans="1:32" x14ac:dyDescent="0.25">
      <c r="A88">
        <v>87</v>
      </c>
      <c r="B88" t="s">
        <v>334</v>
      </c>
      <c r="C88" s="290">
        <v>44105</v>
      </c>
      <c r="D88" t="s">
        <v>608</v>
      </c>
      <c r="E88" t="s">
        <v>2</v>
      </c>
      <c r="F88" t="s">
        <v>584</v>
      </c>
      <c r="G88" s="289">
        <v>262828.65703638323</v>
      </c>
      <c r="J88" s="361" t="str">
        <f t="shared" si="31"/>
        <v>Expansion</v>
      </c>
      <c r="K88" s="290" t="s">
        <v>608</v>
      </c>
      <c r="M88" s="16"/>
      <c r="N88" s="16"/>
      <c r="O88" s="16"/>
      <c r="P88" s="16"/>
      <c r="Q88" s="16"/>
      <c r="R88" s="16"/>
      <c r="S88" s="16"/>
      <c r="T88" s="16"/>
      <c r="U88" s="16"/>
      <c r="V88" s="16"/>
      <c r="W88" s="16"/>
      <c r="X88" s="16"/>
      <c r="Y88" s="16"/>
    </row>
    <row r="89" spans="1:32" x14ac:dyDescent="0.25">
      <c r="A89">
        <v>88</v>
      </c>
      <c r="B89" t="s">
        <v>334</v>
      </c>
      <c r="C89" s="290">
        <v>44105</v>
      </c>
      <c r="D89" t="s">
        <v>609</v>
      </c>
      <c r="E89" t="s">
        <v>2</v>
      </c>
      <c r="F89" t="s">
        <v>584</v>
      </c>
      <c r="G89" s="289">
        <v>187226.81139370994</v>
      </c>
      <c r="J89" s="361" t="str">
        <f t="shared" si="31"/>
        <v>Expansion</v>
      </c>
      <c r="K89" s="361" t="str">
        <f t="shared" ref="K89:K92" si="38">K88</f>
        <v>Commercial</v>
      </c>
      <c r="L89" t="s">
        <v>300</v>
      </c>
      <c r="M89" s="16">
        <f t="shared" ref="M89:Y92" si="39">SUMIFS(M$5:M$59,$I$5:$I$59,$L89,$K$5:$K$59,$K89,$J$5:$J$59,$J89)</f>
        <v>55527</v>
      </c>
      <c r="N89" s="16">
        <f t="shared" si="39"/>
        <v>110066.36206896551</v>
      </c>
      <c r="O89" s="16">
        <f t="shared" si="39"/>
        <v>126859.18999999999</v>
      </c>
      <c r="P89" s="16">
        <f t="shared" si="39"/>
        <v>41004</v>
      </c>
      <c r="Q89" s="16">
        <f t="shared" si="39"/>
        <v>243082</v>
      </c>
      <c r="R89" s="16">
        <f t="shared" si="39"/>
        <v>371822</v>
      </c>
      <c r="S89" s="16">
        <f t="shared" si="39"/>
        <v>11724</v>
      </c>
      <c r="T89" s="16">
        <f t="shared" si="39"/>
        <v>158410</v>
      </c>
      <c r="U89" s="16">
        <f t="shared" si="39"/>
        <v>131385</v>
      </c>
      <c r="V89" s="16">
        <f t="shared" si="39"/>
        <v>128667.02666666699</v>
      </c>
      <c r="W89" s="16">
        <f t="shared" si="39"/>
        <v>268791.40666666697</v>
      </c>
      <c r="X89" s="16">
        <f t="shared" si="39"/>
        <v>177518.563157895</v>
      </c>
      <c r="Y89" s="16">
        <f t="shared" si="39"/>
        <v>57115.27</v>
      </c>
      <c r="AA89" s="20">
        <f t="shared" si="34"/>
        <v>1881971.8185601947</v>
      </c>
      <c r="AC89" s="290" t="str">
        <f>K89</f>
        <v>Commercial</v>
      </c>
      <c r="AD89" s="290" t="str">
        <f>J89</f>
        <v>Expansion</v>
      </c>
      <c r="AE89" t="str">
        <f>L89</f>
        <v>Adopt</v>
      </c>
      <c r="AF89" s="19">
        <f>AA89/SUM(AA89:AA92)</f>
        <v>0.23748169257443283</v>
      </c>
    </row>
    <row r="90" spans="1:32" x14ac:dyDescent="0.25">
      <c r="A90">
        <v>89</v>
      </c>
      <c r="B90" t="s">
        <v>334</v>
      </c>
      <c r="C90" s="290">
        <v>44105</v>
      </c>
      <c r="D90" t="s">
        <v>608</v>
      </c>
      <c r="E90" t="s">
        <v>2</v>
      </c>
      <c r="F90" t="s">
        <v>585</v>
      </c>
      <c r="G90" s="289">
        <v>5972.0940916302097</v>
      </c>
      <c r="J90" s="361" t="str">
        <f t="shared" si="31"/>
        <v>Expansion</v>
      </c>
      <c r="K90" s="361" t="str">
        <f t="shared" si="38"/>
        <v>Commercial</v>
      </c>
      <c r="L90" t="s">
        <v>327</v>
      </c>
      <c r="M90" s="16">
        <f t="shared" si="39"/>
        <v>13270.024082777805</v>
      </c>
      <c r="N90" s="16">
        <f t="shared" si="39"/>
        <v>1257.287405614928</v>
      </c>
      <c r="O90" s="16">
        <f t="shared" si="39"/>
        <v>39733.39580316325</v>
      </c>
      <c r="P90" s="16">
        <f t="shared" si="39"/>
        <v>12779.414853163329</v>
      </c>
      <c r="Q90" s="16">
        <f t="shared" si="39"/>
        <v>86261.556742439672</v>
      </c>
      <c r="R90" s="16">
        <f t="shared" si="39"/>
        <v>45542.948109091754</v>
      </c>
      <c r="S90" s="16">
        <f t="shared" si="39"/>
        <v>16089</v>
      </c>
      <c r="T90" s="16">
        <f t="shared" si="39"/>
        <v>24544.056893405683</v>
      </c>
      <c r="U90" s="16">
        <f t="shared" si="39"/>
        <v>54513.835348319153</v>
      </c>
      <c r="V90" s="16">
        <f t="shared" si="39"/>
        <v>32057.634747235257</v>
      </c>
      <c r="W90" s="16">
        <f t="shared" si="39"/>
        <v>9225.8012903229992</v>
      </c>
      <c r="X90" s="16">
        <f t="shared" si="39"/>
        <v>25318.802518343928</v>
      </c>
      <c r="Y90" s="16">
        <f t="shared" si="39"/>
        <v>35388.148290737408</v>
      </c>
      <c r="AA90" s="20">
        <f t="shared" si="34"/>
        <v>395981.90608461521</v>
      </c>
      <c r="AC90" s="290" t="str">
        <f t="shared" ref="AC90:AC92" si="40">K90</f>
        <v>Commercial</v>
      </c>
      <c r="AD90" s="290" t="str">
        <f t="shared" ref="AD90:AD92" si="41">J90</f>
        <v>Expansion</v>
      </c>
      <c r="AE90" t="str">
        <f t="shared" ref="AE90:AE92" si="42">L90</f>
        <v>Feedback</v>
      </c>
      <c r="AF90" s="19">
        <f>AA90/SUM(AA89:AA92)</f>
        <v>4.9968045407698392E-2</v>
      </c>
    </row>
    <row r="91" spans="1:32" x14ac:dyDescent="0.25">
      <c r="A91">
        <v>90</v>
      </c>
      <c r="B91" t="s">
        <v>334</v>
      </c>
      <c r="C91" s="290">
        <v>44105</v>
      </c>
      <c r="D91" t="s">
        <v>607</v>
      </c>
      <c r="E91" t="s">
        <v>2</v>
      </c>
      <c r="F91" t="s">
        <v>585</v>
      </c>
      <c r="G91" s="289">
        <v>7004.4493006992998</v>
      </c>
      <c r="J91" s="361" t="str">
        <f t="shared" si="31"/>
        <v>Expansion</v>
      </c>
      <c r="K91" s="361" t="str">
        <f t="shared" si="38"/>
        <v>Commercial</v>
      </c>
      <c r="L91" t="s">
        <v>346</v>
      </c>
      <c r="M91" s="16">
        <f t="shared" si="39"/>
        <v>94599.434535403998</v>
      </c>
      <c r="N91" s="16">
        <f t="shared" si="39"/>
        <v>368077.58891662466</v>
      </c>
      <c r="O91" s="16">
        <f t="shared" si="39"/>
        <v>654834.50443109171</v>
      </c>
      <c r="P91" s="16">
        <f t="shared" si="39"/>
        <v>312065.98724203499</v>
      </c>
      <c r="Q91" s="16">
        <f t="shared" si="39"/>
        <v>283837.58519708819</v>
      </c>
      <c r="R91" s="16">
        <f t="shared" si="39"/>
        <v>637256.48032352468</v>
      </c>
      <c r="S91" s="16">
        <f t="shared" si="39"/>
        <v>100838.45105708245</v>
      </c>
      <c r="T91" s="16">
        <f t="shared" si="39"/>
        <v>399620.79513756221</v>
      </c>
      <c r="U91" s="16">
        <f t="shared" si="39"/>
        <v>730952.9163355903</v>
      </c>
      <c r="V91" s="16">
        <f t="shared" si="39"/>
        <v>531359.53587068617</v>
      </c>
      <c r="W91" s="16">
        <f t="shared" si="39"/>
        <v>584705.81044051133</v>
      </c>
      <c r="X91" s="16">
        <f t="shared" si="39"/>
        <v>633173.54754048109</v>
      </c>
      <c r="Y91" s="16">
        <f t="shared" si="39"/>
        <v>315426.37291972007</v>
      </c>
      <c r="AA91" s="20">
        <f t="shared" si="34"/>
        <v>5646749.0099474015</v>
      </c>
      <c r="AC91" s="290" t="str">
        <f t="shared" si="40"/>
        <v>Commercial</v>
      </c>
      <c r="AD91" s="290" t="str">
        <f t="shared" si="41"/>
        <v>Expansion</v>
      </c>
      <c r="AE91" t="str">
        <f t="shared" si="42"/>
        <v>Engage</v>
      </c>
      <c r="AF91" s="19">
        <f>AA91/SUM(AA89:AA92)</f>
        <v>0.71255026201786875</v>
      </c>
    </row>
    <row r="92" spans="1:32" x14ac:dyDescent="0.25">
      <c r="A92">
        <v>91</v>
      </c>
      <c r="B92" t="s">
        <v>334</v>
      </c>
      <c r="C92" s="290">
        <v>44044</v>
      </c>
      <c r="D92" t="s">
        <v>607</v>
      </c>
      <c r="E92" t="s">
        <v>331</v>
      </c>
      <c r="F92" t="s">
        <v>585</v>
      </c>
      <c r="G92" s="289">
        <v>0</v>
      </c>
      <c r="J92" s="361" t="str">
        <f t="shared" si="31"/>
        <v>Expansion</v>
      </c>
      <c r="K92" s="361" t="str">
        <f t="shared" si="38"/>
        <v>Commercial</v>
      </c>
      <c r="L92" t="s">
        <v>347</v>
      </c>
      <c r="M92" s="16">
        <f t="shared" si="39"/>
        <v>0</v>
      </c>
      <c r="N92" s="16">
        <f t="shared" si="39"/>
        <v>0</v>
      </c>
      <c r="O92" s="16">
        <f t="shared" si="39"/>
        <v>0</v>
      </c>
      <c r="P92" s="16">
        <f t="shared" si="39"/>
        <v>0</v>
      </c>
      <c r="Q92" s="16">
        <f t="shared" si="39"/>
        <v>0</v>
      </c>
      <c r="R92" s="16">
        <f t="shared" si="39"/>
        <v>0</v>
      </c>
      <c r="S92" s="16">
        <f t="shared" si="39"/>
        <v>0</v>
      </c>
      <c r="T92" s="16">
        <f t="shared" si="39"/>
        <v>0</v>
      </c>
      <c r="U92" s="16">
        <f t="shared" si="39"/>
        <v>0</v>
      </c>
      <c r="V92" s="16">
        <f t="shared" si="39"/>
        <v>0</v>
      </c>
      <c r="W92" s="16">
        <f t="shared" si="39"/>
        <v>0</v>
      </c>
      <c r="X92" s="16">
        <f t="shared" si="39"/>
        <v>0</v>
      </c>
      <c r="Y92" s="16">
        <f t="shared" si="39"/>
        <v>0</v>
      </c>
      <c r="AA92" s="20">
        <f t="shared" si="34"/>
        <v>0</v>
      </c>
      <c r="AC92" s="290" t="str">
        <f t="shared" si="40"/>
        <v>Commercial</v>
      </c>
      <c r="AD92" s="290" t="str">
        <f t="shared" si="41"/>
        <v>Expansion</v>
      </c>
      <c r="AE92" t="str">
        <f t="shared" si="42"/>
        <v>DA</v>
      </c>
      <c r="AF92" s="19">
        <f>AA92/SUM(AA89:AA92)</f>
        <v>0</v>
      </c>
    </row>
    <row r="93" spans="1:32" x14ac:dyDescent="0.25">
      <c r="A93">
        <v>92</v>
      </c>
      <c r="B93" t="s">
        <v>334</v>
      </c>
      <c r="C93" s="290">
        <v>44044</v>
      </c>
      <c r="D93" t="s">
        <v>609</v>
      </c>
      <c r="E93" t="s">
        <v>331</v>
      </c>
      <c r="F93" t="s">
        <v>584</v>
      </c>
      <c r="G93" s="289">
        <v>0</v>
      </c>
      <c r="J93" s="361" t="str">
        <f t="shared" si="31"/>
        <v>Expansion</v>
      </c>
      <c r="K93" s="290" t="s">
        <v>609</v>
      </c>
      <c r="M93" s="16"/>
      <c r="N93" s="16"/>
      <c r="O93" s="16"/>
      <c r="P93" s="16"/>
      <c r="Q93" s="16"/>
      <c r="R93" s="16"/>
      <c r="S93" s="16"/>
      <c r="T93" s="16"/>
      <c r="U93" s="16"/>
      <c r="V93" s="16"/>
      <c r="W93" s="16"/>
      <c r="X93" s="16"/>
      <c r="Y93" s="16"/>
    </row>
    <row r="94" spans="1:32" x14ac:dyDescent="0.25">
      <c r="A94">
        <v>93</v>
      </c>
      <c r="B94" t="s">
        <v>334</v>
      </c>
      <c r="C94" s="290">
        <v>44044</v>
      </c>
      <c r="D94" t="s">
        <v>608</v>
      </c>
      <c r="E94" t="s">
        <v>331</v>
      </c>
      <c r="F94" t="s">
        <v>584</v>
      </c>
      <c r="G94" s="289">
        <v>-9086.7896913596705</v>
      </c>
      <c r="J94" s="361" t="str">
        <f t="shared" si="31"/>
        <v>Expansion</v>
      </c>
      <c r="K94" s="361" t="str">
        <f t="shared" ref="K94:K97" si="43">K93</f>
        <v>Strategic</v>
      </c>
      <c r="L94" t="s">
        <v>300</v>
      </c>
      <c r="M94" s="16">
        <f t="shared" ref="M94:Y97" si="44">SUMIFS(M$5:M$59,$I$5:$I$59,$L94,$K$5:$K$59,$K94,$J$5:$J$59,$J94)</f>
        <v>0</v>
      </c>
      <c r="N94" s="16">
        <f t="shared" si="44"/>
        <v>0</v>
      </c>
      <c r="O94" s="16">
        <f t="shared" si="44"/>
        <v>0</v>
      </c>
      <c r="P94" s="16">
        <f t="shared" si="44"/>
        <v>0</v>
      </c>
      <c r="Q94" s="16">
        <f t="shared" si="44"/>
        <v>7200</v>
      </c>
      <c r="R94" s="16">
        <f t="shared" si="44"/>
        <v>0</v>
      </c>
      <c r="S94" s="16">
        <f t="shared" si="44"/>
        <v>37500</v>
      </c>
      <c r="T94" s="16">
        <f t="shared" si="44"/>
        <v>0</v>
      </c>
      <c r="U94" s="16">
        <f t="shared" si="44"/>
        <v>1800</v>
      </c>
      <c r="V94" s="16">
        <f t="shared" si="44"/>
        <v>0</v>
      </c>
      <c r="W94" s="16">
        <f t="shared" si="44"/>
        <v>5040</v>
      </c>
      <c r="X94" s="16">
        <f t="shared" si="44"/>
        <v>9421.56</v>
      </c>
      <c r="Y94" s="16">
        <f t="shared" si="44"/>
        <v>0</v>
      </c>
      <c r="AA94" s="20">
        <f t="shared" si="34"/>
        <v>60961.56</v>
      </c>
      <c r="AC94" s="290" t="str">
        <f>K94</f>
        <v>Strategic</v>
      </c>
      <c r="AD94" s="290" t="str">
        <f>J94</f>
        <v>Expansion</v>
      </c>
      <c r="AE94" t="str">
        <f>L94</f>
        <v>Adopt</v>
      </c>
      <c r="AF94" s="19">
        <f>AA94/SUM(AA94:AA97)</f>
        <v>5.7608750838811359E-3</v>
      </c>
    </row>
    <row r="95" spans="1:32" x14ac:dyDescent="0.25">
      <c r="A95">
        <v>94</v>
      </c>
      <c r="B95" t="s">
        <v>334</v>
      </c>
      <c r="C95" s="290">
        <v>44044</v>
      </c>
      <c r="D95" t="s">
        <v>609</v>
      </c>
      <c r="E95" t="s">
        <v>331</v>
      </c>
      <c r="F95" t="s">
        <v>585</v>
      </c>
      <c r="G95" s="289">
        <v>0</v>
      </c>
      <c r="J95" s="361" t="str">
        <f t="shared" si="31"/>
        <v>Expansion</v>
      </c>
      <c r="K95" s="361" t="str">
        <f t="shared" si="43"/>
        <v>Strategic</v>
      </c>
      <c r="L95" t="s">
        <v>327</v>
      </c>
      <c r="M95" s="16">
        <f t="shared" si="44"/>
        <v>18334.101479915433</v>
      </c>
      <c r="N95" s="16">
        <f t="shared" si="44"/>
        <v>174987.12193576901</v>
      </c>
      <c r="O95" s="16">
        <f t="shared" si="44"/>
        <v>75795.326841795875</v>
      </c>
      <c r="P95" s="16">
        <f t="shared" si="44"/>
        <v>9641.2033862583139</v>
      </c>
      <c r="Q95" s="16">
        <f t="shared" si="44"/>
        <v>19389.010301528644</v>
      </c>
      <c r="R95" s="16">
        <f t="shared" si="44"/>
        <v>59441.072348518173</v>
      </c>
      <c r="S95" s="16">
        <f t="shared" si="44"/>
        <v>31905.160372093025</v>
      </c>
      <c r="T95" s="16">
        <f t="shared" si="44"/>
        <v>23907.661550983663</v>
      </c>
      <c r="U95" s="16">
        <f t="shared" si="44"/>
        <v>20671.863601384306</v>
      </c>
      <c r="V95" s="16">
        <f t="shared" si="44"/>
        <v>23309.255120873175</v>
      </c>
      <c r="W95" s="16">
        <f t="shared" si="44"/>
        <v>95166.812082820819</v>
      </c>
      <c r="X95" s="16">
        <f t="shared" si="44"/>
        <v>109717.40705456772</v>
      </c>
      <c r="Y95" s="16">
        <f t="shared" si="44"/>
        <v>650</v>
      </c>
      <c r="AA95" s="20">
        <f t="shared" si="34"/>
        <v>662915.99607650819</v>
      </c>
      <c r="AC95" s="290" t="str">
        <f t="shared" ref="AC95:AC97" si="45">K95</f>
        <v>Strategic</v>
      </c>
      <c r="AD95" s="290" t="str">
        <f t="shared" ref="AD95:AD97" si="46">J95</f>
        <v>Expansion</v>
      </c>
      <c r="AE95" t="str">
        <f t="shared" ref="AE95:AE97" si="47">L95</f>
        <v>Feedback</v>
      </c>
      <c r="AF95" s="19">
        <f>AA95/SUM(AA94:AA97)</f>
        <v>6.2645644968786912E-2</v>
      </c>
    </row>
    <row r="96" spans="1:32" x14ac:dyDescent="0.25">
      <c r="A96">
        <v>95</v>
      </c>
      <c r="B96" t="s">
        <v>334</v>
      </c>
      <c r="C96" s="290">
        <v>44044</v>
      </c>
      <c r="D96" t="s">
        <v>607</v>
      </c>
      <c r="E96" t="s">
        <v>331</v>
      </c>
      <c r="F96" t="s">
        <v>584</v>
      </c>
      <c r="G96" s="289">
        <v>0</v>
      </c>
      <c r="J96" s="361" t="str">
        <f t="shared" si="31"/>
        <v>Expansion</v>
      </c>
      <c r="K96" s="361" t="str">
        <f t="shared" si="43"/>
        <v>Strategic</v>
      </c>
      <c r="L96" t="s">
        <v>346</v>
      </c>
      <c r="M96" s="16">
        <f t="shared" si="44"/>
        <v>142895.88252008456</v>
      </c>
      <c r="N96" s="16">
        <f t="shared" si="44"/>
        <v>1097579.6301336226</v>
      </c>
      <c r="O96" s="16">
        <f t="shared" si="44"/>
        <v>943788.81874395942</v>
      </c>
      <c r="P96" s="16">
        <f t="shared" si="44"/>
        <v>279492.86768295063</v>
      </c>
      <c r="Q96" s="16">
        <f t="shared" si="44"/>
        <v>946406.27586086106</v>
      </c>
      <c r="R96" s="16">
        <f t="shared" si="44"/>
        <v>916213.74764567614</v>
      </c>
      <c r="S96" s="16">
        <f t="shared" si="44"/>
        <v>248209.85962790699</v>
      </c>
      <c r="T96" s="16">
        <f t="shared" si="44"/>
        <v>413433.09676189249</v>
      </c>
      <c r="U96" s="16">
        <f t="shared" si="44"/>
        <v>807656.91152686079</v>
      </c>
      <c r="V96" s="16">
        <f t="shared" si="44"/>
        <v>801732.78326007782</v>
      </c>
      <c r="W96" s="16">
        <f t="shared" si="44"/>
        <v>917944.04244402505</v>
      </c>
      <c r="X96" s="16">
        <f t="shared" si="44"/>
        <v>2080426.8685087299</v>
      </c>
      <c r="Y96" s="16">
        <f t="shared" si="44"/>
        <v>163436.54447870207</v>
      </c>
      <c r="AA96" s="20">
        <f t="shared" si="34"/>
        <v>9759217.3291953485</v>
      </c>
      <c r="AC96" s="290" t="str">
        <f t="shared" si="45"/>
        <v>Strategic</v>
      </c>
      <c r="AD96" s="290" t="str">
        <f t="shared" si="46"/>
        <v>Expansion</v>
      </c>
      <c r="AE96" t="str">
        <f t="shared" si="47"/>
        <v>Engage</v>
      </c>
      <c r="AF96" s="19">
        <f>AA96/SUM(AA94:AA97)</f>
        <v>0.92224726450475503</v>
      </c>
    </row>
    <row r="97" spans="1:32" x14ac:dyDescent="0.25">
      <c r="A97">
        <v>96</v>
      </c>
      <c r="B97" t="s">
        <v>334</v>
      </c>
      <c r="C97" s="290">
        <v>44044</v>
      </c>
      <c r="D97" t="s">
        <v>608</v>
      </c>
      <c r="E97" t="s">
        <v>331</v>
      </c>
      <c r="F97" t="s">
        <v>585</v>
      </c>
      <c r="G97" s="289">
        <v>0</v>
      </c>
      <c r="J97" s="361" t="str">
        <f t="shared" si="31"/>
        <v>Expansion</v>
      </c>
      <c r="K97" s="361" t="str">
        <f t="shared" si="43"/>
        <v>Strategic</v>
      </c>
      <c r="L97" t="s">
        <v>347</v>
      </c>
      <c r="M97" s="16">
        <f t="shared" si="44"/>
        <v>0</v>
      </c>
      <c r="N97" s="16">
        <f t="shared" si="44"/>
        <v>0</v>
      </c>
      <c r="O97" s="16">
        <f t="shared" si="44"/>
        <v>0</v>
      </c>
      <c r="P97" s="16">
        <f t="shared" si="44"/>
        <v>0</v>
      </c>
      <c r="Q97" s="16">
        <f t="shared" si="44"/>
        <v>0</v>
      </c>
      <c r="R97" s="16">
        <f t="shared" si="44"/>
        <v>0</v>
      </c>
      <c r="S97" s="16">
        <f t="shared" si="44"/>
        <v>0</v>
      </c>
      <c r="T97" s="16">
        <f t="shared" si="44"/>
        <v>0</v>
      </c>
      <c r="U97" s="16">
        <f t="shared" si="44"/>
        <v>18000</v>
      </c>
      <c r="V97" s="16">
        <f t="shared" si="44"/>
        <v>0</v>
      </c>
      <c r="W97" s="16">
        <f t="shared" si="44"/>
        <v>18750.857142856999</v>
      </c>
      <c r="X97" s="16">
        <f t="shared" si="44"/>
        <v>62150.762000000002</v>
      </c>
      <c r="Y97" s="16">
        <f t="shared" si="44"/>
        <v>0</v>
      </c>
      <c r="AA97" s="20">
        <f t="shared" si="34"/>
        <v>98901.619142857002</v>
      </c>
      <c r="AC97" s="290" t="str">
        <f t="shared" si="45"/>
        <v>Strategic</v>
      </c>
      <c r="AD97" s="290" t="str">
        <f t="shared" si="46"/>
        <v>Expansion</v>
      </c>
      <c r="AE97" t="str">
        <f t="shared" si="47"/>
        <v>DA</v>
      </c>
      <c r="AF97" s="19">
        <f>AA97/SUM(AA94:AA97)</f>
        <v>9.3462154425770355E-3</v>
      </c>
    </row>
    <row r="98" spans="1:32" x14ac:dyDescent="0.25">
      <c r="A98">
        <v>97</v>
      </c>
      <c r="B98" t="s">
        <v>334</v>
      </c>
      <c r="C98" s="290">
        <v>44075</v>
      </c>
      <c r="D98" t="s">
        <v>607</v>
      </c>
      <c r="E98" t="s">
        <v>331</v>
      </c>
      <c r="F98" t="s">
        <v>584</v>
      </c>
      <c r="G98" s="289">
        <v>0</v>
      </c>
      <c r="M98" s="16"/>
      <c r="N98" s="16"/>
      <c r="O98" s="16"/>
      <c r="P98" s="16"/>
      <c r="Q98" s="16"/>
      <c r="R98" s="16"/>
      <c r="S98" s="16"/>
      <c r="T98" s="16"/>
      <c r="U98" s="16"/>
      <c r="V98" s="16"/>
      <c r="W98" s="16"/>
      <c r="X98" s="16"/>
      <c r="Y98" s="16"/>
    </row>
    <row r="99" spans="1:32" x14ac:dyDescent="0.25">
      <c r="A99">
        <v>98</v>
      </c>
      <c r="B99" t="s">
        <v>334</v>
      </c>
      <c r="C99" s="290">
        <v>44075</v>
      </c>
      <c r="D99" t="s">
        <v>609</v>
      </c>
      <c r="E99" t="s">
        <v>331</v>
      </c>
      <c r="F99" t="s">
        <v>584</v>
      </c>
      <c r="G99" s="289">
        <v>104395.66484252848</v>
      </c>
      <c r="L99" s="1" t="s">
        <v>51</v>
      </c>
      <c r="M99" s="16">
        <f>SUM(M67:M97)-M61</f>
        <v>0</v>
      </c>
      <c r="N99" s="16">
        <f t="shared" ref="N99:Y99" si="48">SUM(N67:N97)-N61</f>
        <v>0</v>
      </c>
      <c r="O99" s="16">
        <f t="shared" si="48"/>
        <v>0</v>
      </c>
      <c r="P99" s="16">
        <f t="shared" si="48"/>
        <v>0</v>
      </c>
      <c r="Q99" s="16">
        <f t="shared" si="48"/>
        <v>0</v>
      </c>
      <c r="R99" s="16">
        <f t="shared" si="48"/>
        <v>0</v>
      </c>
      <c r="S99" s="16">
        <f t="shared" si="48"/>
        <v>0</v>
      </c>
      <c r="T99" s="16">
        <f t="shared" si="48"/>
        <v>0</v>
      </c>
      <c r="U99" s="16">
        <f t="shared" si="48"/>
        <v>0</v>
      </c>
      <c r="V99" s="16">
        <f t="shared" si="48"/>
        <v>0</v>
      </c>
      <c r="W99" s="16">
        <f t="shared" si="48"/>
        <v>0</v>
      </c>
      <c r="X99" s="16">
        <f t="shared" si="48"/>
        <v>0</v>
      </c>
      <c r="Y99" s="16">
        <f t="shared" si="48"/>
        <v>0</v>
      </c>
    </row>
    <row r="100" spans="1:32" x14ac:dyDescent="0.25">
      <c r="A100">
        <v>99</v>
      </c>
      <c r="B100" t="s">
        <v>334</v>
      </c>
      <c r="C100" s="290">
        <v>44075</v>
      </c>
      <c r="D100" t="s">
        <v>607</v>
      </c>
      <c r="E100" t="s">
        <v>331</v>
      </c>
      <c r="F100" t="s">
        <v>585</v>
      </c>
      <c r="G100" s="289">
        <v>0</v>
      </c>
      <c r="M100" s="16"/>
      <c r="N100" s="16"/>
      <c r="O100" s="16"/>
      <c r="P100" s="16"/>
      <c r="Q100" s="16"/>
      <c r="R100" s="16"/>
      <c r="S100" s="16"/>
      <c r="T100" s="16"/>
      <c r="U100" s="16"/>
      <c r="V100" s="16"/>
      <c r="W100" s="16"/>
      <c r="X100" s="16"/>
      <c r="Y100" s="16"/>
    </row>
    <row r="101" spans="1:32" x14ac:dyDescent="0.25">
      <c r="A101">
        <v>100</v>
      </c>
      <c r="B101" t="s">
        <v>334</v>
      </c>
      <c r="C101" s="290">
        <v>44075</v>
      </c>
      <c r="D101" t="s">
        <v>608</v>
      </c>
      <c r="E101" t="s">
        <v>331</v>
      </c>
      <c r="F101" t="s">
        <v>584</v>
      </c>
      <c r="G101" s="289">
        <v>0</v>
      </c>
      <c r="M101" s="16"/>
      <c r="N101" s="16"/>
      <c r="O101" s="16"/>
      <c r="P101" s="16"/>
      <c r="Q101" s="16"/>
      <c r="R101" s="16"/>
      <c r="S101" s="16"/>
      <c r="T101" s="16"/>
      <c r="U101" s="16"/>
      <c r="V101" s="16"/>
      <c r="W101" s="16"/>
      <c r="X101" s="16"/>
      <c r="Y101" s="16"/>
    </row>
    <row r="102" spans="1:32" x14ac:dyDescent="0.25">
      <c r="A102">
        <v>101</v>
      </c>
      <c r="B102" t="s">
        <v>334</v>
      </c>
      <c r="C102" s="290">
        <v>44075</v>
      </c>
      <c r="D102" t="s">
        <v>608</v>
      </c>
      <c r="E102" t="s">
        <v>331</v>
      </c>
      <c r="F102" t="s">
        <v>585</v>
      </c>
      <c r="G102" s="289">
        <v>0</v>
      </c>
      <c r="M102" s="16"/>
      <c r="N102" s="16"/>
      <c r="O102" s="16"/>
      <c r="P102" s="16"/>
      <c r="Q102" s="16"/>
      <c r="R102" s="16"/>
      <c r="S102" s="16"/>
      <c r="T102" s="16"/>
      <c r="U102" s="16"/>
      <c r="V102" s="16"/>
      <c r="W102" s="16"/>
      <c r="X102" s="16"/>
      <c r="Y102" s="16"/>
    </row>
    <row r="103" spans="1:32" x14ac:dyDescent="0.25">
      <c r="A103">
        <v>102</v>
      </c>
      <c r="B103" t="s">
        <v>334</v>
      </c>
      <c r="C103" s="290">
        <v>44075</v>
      </c>
      <c r="D103" t="s">
        <v>609</v>
      </c>
      <c r="E103" t="s">
        <v>331</v>
      </c>
      <c r="F103" t="s">
        <v>585</v>
      </c>
      <c r="G103" s="289">
        <v>7053</v>
      </c>
      <c r="M103" s="16"/>
      <c r="N103" s="16"/>
      <c r="O103" s="16"/>
      <c r="P103" s="16"/>
      <c r="Q103" s="16"/>
      <c r="R103" s="16"/>
      <c r="S103" s="16"/>
      <c r="T103" s="16"/>
      <c r="U103" s="16"/>
      <c r="V103" s="16"/>
      <c r="W103" s="16"/>
      <c r="X103" s="16"/>
      <c r="Y103" s="16"/>
    </row>
    <row r="104" spans="1:32" x14ac:dyDescent="0.25">
      <c r="A104">
        <v>103</v>
      </c>
      <c r="B104" t="s">
        <v>334</v>
      </c>
      <c r="C104" s="290">
        <v>44105</v>
      </c>
      <c r="D104" t="s">
        <v>609</v>
      </c>
      <c r="E104" t="s">
        <v>331</v>
      </c>
      <c r="F104" t="s">
        <v>584</v>
      </c>
      <c r="G104" s="289">
        <v>53714.285714285717</v>
      </c>
    </row>
    <row r="105" spans="1:32" x14ac:dyDescent="0.25">
      <c r="A105">
        <v>104</v>
      </c>
      <c r="B105" t="s">
        <v>334</v>
      </c>
      <c r="C105" s="290">
        <v>44105</v>
      </c>
      <c r="D105" t="s">
        <v>607</v>
      </c>
      <c r="E105" t="s">
        <v>331</v>
      </c>
      <c r="F105" t="s">
        <v>584</v>
      </c>
      <c r="G105" s="289">
        <v>0</v>
      </c>
    </row>
    <row r="106" spans="1:32" x14ac:dyDescent="0.25">
      <c r="A106">
        <v>105</v>
      </c>
      <c r="B106" t="s">
        <v>334</v>
      </c>
      <c r="C106" s="290">
        <v>44105</v>
      </c>
      <c r="D106" t="s">
        <v>607</v>
      </c>
      <c r="E106" t="s">
        <v>331</v>
      </c>
      <c r="F106" t="s">
        <v>585</v>
      </c>
      <c r="G106" s="289">
        <v>0</v>
      </c>
    </row>
    <row r="107" spans="1:32" x14ac:dyDescent="0.25">
      <c r="A107">
        <v>106</v>
      </c>
      <c r="B107" t="s">
        <v>334</v>
      </c>
      <c r="C107" s="290">
        <v>44105</v>
      </c>
      <c r="D107" t="s">
        <v>608</v>
      </c>
      <c r="E107" t="s">
        <v>331</v>
      </c>
      <c r="F107" t="s">
        <v>585</v>
      </c>
      <c r="G107" s="289">
        <v>0</v>
      </c>
    </row>
    <row r="108" spans="1:32" x14ac:dyDescent="0.25">
      <c r="A108">
        <v>107</v>
      </c>
      <c r="B108" t="s">
        <v>334</v>
      </c>
      <c r="C108" s="290">
        <v>44105</v>
      </c>
      <c r="D108" t="s">
        <v>609</v>
      </c>
      <c r="E108" t="s">
        <v>331</v>
      </c>
      <c r="F108" t="s">
        <v>585</v>
      </c>
      <c r="G108" s="289">
        <v>156398.80434782608</v>
      </c>
    </row>
    <row r="109" spans="1:32" x14ac:dyDescent="0.25">
      <c r="A109">
        <v>108</v>
      </c>
      <c r="B109" t="s">
        <v>334</v>
      </c>
      <c r="C109" s="290">
        <v>44105</v>
      </c>
      <c r="D109" t="s">
        <v>608</v>
      </c>
      <c r="E109" t="s">
        <v>331</v>
      </c>
      <c r="F109" t="s">
        <v>584</v>
      </c>
      <c r="G109" s="289">
        <v>118949.20634920635</v>
      </c>
    </row>
    <row r="110" spans="1:32" x14ac:dyDescent="0.25">
      <c r="A110">
        <v>109</v>
      </c>
      <c r="B110" t="s">
        <v>335</v>
      </c>
      <c r="C110" s="290">
        <v>44136</v>
      </c>
      <c r="D110" t="s">
        <v>608</v>
      </c>
      <c r="E110" t="s">
        <v>300</v>
      </c>
      <c r="F110" t="s">
        <v>584</v>
      </c>
      <c r="G110" s="289">
        <v>41004</v>
      </c>
    </row>
    <row r="111" spans="1:32" x14ac:dyDescent="0.25">
      <c r="A111">
        <v>110</v>
      </c>
      <c r="B111" t="s">
        <v>335</v>
      </c>
      <c r="C111" s="290">
        <v>44166</v>
      </c>
      <c r="D111" t="s">
        <v>608</v>
      </c>
      <c r="E111" t="s">
        <v>300</v>
      </c>
      <c r="F111" t="s">
        <v>584</v>
      </c>
      <c r="G111" s="289">
        <v>243082</v>
      </c>
    </row>
    <row r="112" spans="1:32" x14ac:dyDescent="0.25">
      <c r="A112">
        <v>111</v>
      </c>
      <c r="B112" t="s">
        <v>335</v>
      </c>
      <c r="C112" s="290">
        <v>44166</v>
      </c>
      <c r="D112" t="s">
        <v>607</v>
      </c>
      <c r="E112" t="s">
        <v>300</v>
      </c>
      <c r="F112" t="s">
        <v>584</v>
      </c>
      <c r="G112" s="289">
        <v>5929</v>
      </c>
    </row>
    <row r="113" spans="1:7" x14ac:dyDescent="0.25">
      <c r="A113">
        <v>112</v>
      </c>
      <c r="B113" t="s">
        <v>335</v>
      </c>
      <c r="C113" s="290">
        <v>44166</v>
      </c>
      <c r="D113" t="s">
        <v>609</v>
      </c>
      <c r="E113" t="s">
        <v>300</v>
      </c>
      <c r="F113" t="s">
        <v>584</v>
      </c>
      <c r="G113" s="289">
        <v>7200</v>
      </c>
    </row>
    <row r="114" spans="1:7" x14ac:dyDescent="0.25">
      <c r="A114">
        <v>113</v>
      </c>
      <c r="B114" t="s">
        <v>335</v>
      </c>
      <c r="C114" s="290">
        <v>44197</v>
      </c>
      <c r="D114" t="s">
        <v>607</v>
      </c>
      <c r="E114" t="s">
        <v>300</v>
      </c>
      <c r="F114" t="s">
        <v>584</v>
      </c>
      <c r="G114" s="289">
        <v>2566</v>
      </c>
    </row>
    <row r="115" spans="1:7" x14ac:dyDescent="0.25">
      <c r="A115">
        <v>114</v>
      </c>
      <c r="B115" t="s">
        <v>335</v>
      </c>
      <c r="C115" s="290">
        <v>44197</v>
      </c>
      <c r="D115" t="s">
        <v>608</v>
      </c>
      <c r="E115" t="s">
        <v>300</v>
      </c>
      <c r="F115" t="s">
        <v>584</v>
      </c>
      <c r="G115" s="289">
        <v>371822</v>
      </c>
    </row>
    <row r="116" spans="1:7" x14ac:dyDescent="0.25">
      <c r="A116">
        <v>115</v>
      </c>
      <c r="B116" t="s">
        <v>335</v>
      </c>
      <c r="C116" s="290">
        <v>44136</v>
      </c>
      <c r="D116" t="s">
        <v>607</v>
      </c>
      <c r="E116" t="s">
        <v>327</v>
      </c>
      <c r="F116" t="s">
        <v>585</v>
      </c>
      <c r="G116" s="289">
        <v>3364.3478260869565</v>
      </c>
    </row>
    <row r="117" spans="1:7" x14ac:dyDescent="0.25">
      <c r="A117">
        <v>116</v>
      </c>
      <c r="B117" t="s">
        <v>335</v>
      </c>
      <c r="C117" s="290">
        <v>44136</v>
      </c>
      <c r="D117" t="s">
        <v>608</v>
      </c>
      <c r="E117" t="s">
        <v>327</v>
      </c>
      <c r="F117" t="s">
        <v>585</v>
      </c>
      <c r="G117" s="289">
        <v>15502.641860465115</v>
      </c>
    </row>
    <row r="118" spans="1:7" x14ac:dyDescent="0.25">
      <c r="A118">
        <v>117</v>
      </c>
      <c r="B118" t="s">
        <v>335</v>
      </c>
      <c r="C118" s="290">
        <v>44136</v>
      </c>
      <c r="D118" t="s">
        <v>609</v>
      </c>
      <c r="E118" t="s">
        <v>327</v>
      </c>
      <c r="F118" t="s">
        <v>585</v>
      </c>
      <c r="G118" s="289">
        <v>6340.5283720930247</v>
      </c>
    </row>
    <row r="119" spans="1:7" x14ac:dyDescent="0.25">
      <c r="A119">
        <v>118</v>
      </c>
      <c r="B119" t="s">
        <v>335</v>
      </c>
      <c r="C119" s="290">
        <v>44136</v>
      </c>
      <c r="D119" t="s">
        <v>608</v>
      </c>
      <c r="E119" t="s">
        <v>327</v>
      </c>
      <c r="F119" t="s">
        <v>584</v>
      </c>
      <c r="G119" s="289">
        <v>12779.414853163329</v>
      </c>
    </row>
    <row r="120" spans="1:7" x14ac:dyDescent="0.25">
      <c r="A120">
        <v>119</v>
      </c>
      <c r="B120" t="s">
        <v>335</v>
      </c>
      <c r="C120" s="290">
        <v>44136</v>
      </c>
      <c r="D120" t="s">
        <v>609</v>
      </c>
      <c r="E120" t="s">
        <v>327</v>
      </c>
      <c r="F120" t="s">
        <v>584</v>
      </c>
      <c r="G120" s="289">
        <v>9641.2033862583139</v>
      </c>
    </row>
    <row r="121" spans="1:7" x14ac:dyDescent="0.25">
      <c r="A121">
        <v>120</v>
      </c>
      <c r="B121" t="s">
        <v>335</v>
      </c>
      <c r="C121" s="290">
        <v>44136</v>
      </c>
      <c r="D121" t="s">
        <v>607</v>
      </c>
      <c r="E121" t="s">
        <v>327</v>
      </c>
      <c r="F121" t="s">
        <v>584</v>
      </c>
      <c r="G121" s="289">
        <v>8336.7790385533626</v>
      </c>
    </row>
    <row r="122" spans="1:7" x14ac:dyDescent="0.25">
      <c r="A122">
        <v>121</v>
      </c>
      <c r="B122" t="s">
        <v>335</v>
      </c>
      <c r="C122" s="290">
        <v>44166</v>
      </c>
      <c r="D122" t="s">
        <v>607</v>
      </c>
      <c r="E122" t="s">
        <v>327</v>
      </c>
      <c r="F122" t="s">
        <v>584</v>
      </c>
      <c r="G122" s="289">
        <v>17224.670266491408</v>
      </c>
    </row>
    <row r="123" spans="1:7" x14ac:dyDescent="0.25">
      <c r="A123">
        <v>122</v>
      </c>
      <c r="B123" t="s">
        <v>335</v>
      </c>
      <c r="C123" s="290">
        <v>44166</v>
      </c>
      <c r="D123" t="s">
        <v>608</v>
      </c>
      <c r="E123" t="s">
        <v>327</v>
      </c>
      <c r="F123" t="s">
        <v>584</v>
      </c>
      <c r="G123" s="289">
        <v>86261.556742439672</v>
      </c>
    </row>
    <row r="124" spans="1:7" x14ac:dyDescent="0.25">
      <c r="A124">
        <v>123</v>
      </c>
      <c r="B124" t="s">
        <v>335</v>
      </c>
      <c r="C124" s="290">
        <v>44166</v>
      </c>
      <c r="D124" t="s">
        <v>608</v>
      </c>
      <c r="E124" t="s">
        <v>327</v>
      </c>
      <c r="F124" t="s">
        <v>585</v>
      </c>
      <c r="G124" s="289">
        <v>16412.627906976744</v>
      </c>
    </row>
    <row r="125" spans="1:7" x14ac:dyDescent="0.25">
      <c r="A125">
        <v>124</v>
      </c>
      <c r="B125" t="s">
        <v>335</v>
      </c>
      <c r="C125" s="290">
        <v>44166</v>
      </c>
      <c r="D125" t="s">
        <v>609</v>
      </c>
      <c r="E125" t="s">
        <v>327</v>
      </c>
      <c r="F125" t="s">
        <v>584</v>
      </c>
      <c r="G125" s="289">
        <v>19389.010301528644</v>
      </c>
    </row>
    <row r="126" spans="1:7" x14ac:dyDescent="0.25">
      <c r="A126">
        <v>125</v>
      </c>
      <c r="B126" t="s">
        <v>335</v>
      </c>
      <c r="C126" s="290">
        <v>44166</v>
      </c>
      <c r="D126" t="s">
        <v>607</v>
      </c>
      <c r="E126" t="s">
        <v>327</v>
      </c>
      <c r="F126" t="s">
        <v>585</v>
      </c>
      <c r="G126" s="289">
        <v>22844.401744186049</v>
      </c>
    </row>
    <row r="127" spans="1:7" x14ac:dyDescent="0.25">
      <c r="A127">
        <v>126</v>
      </c>
      <c r="B127" t="s">
        <v>335</v>
      </c>
      <c r="C127" s="290">
        <v>44166</v>
      </c>
      <c r="D127" t="s">
        <v>609</v>
      </c>
      <c r="E127" t="s">
        <v>327</v>
      </c>
      <c r="F127" t="s">
        <v>585</v>
      </c>
      <c r="G127" s="289">
        <v>8922.069292833412</v>
      </c>
    </row>
    <row r="128" spans="1:7" x14ac:dyDescent="0.25">
      <c r="A128">
        <v>127</v>
      </c>
      <c r="B128" t="s">
        <v>335</v>
      </c>
      <c r="C128" s="290">
        <v>44197</v>
      </c>
      <c r="D128" t="s">
        <v>607</v>
      </c>
      <c r="E128" t="s">
        <v>327</v>
      </c>
      <c r="F128" t="s">
        <v>585</v>
      </c>
      <c r="G128" s="289">
        <v>11407.101967799643</v>
      </c>
    </row>
    <row r="129" spans="1:7" x14ac:dyDescent="0.25">
      <c r="A129">
        <v>128</v>
      </c>
      <c r="B129" t="s">
        <v>335</v>
      </c>
      <c r="C129" s="290">
        <v>44197</v>
      </c>
      <c r="D129" t="s">
        <v>608</v>
      </c>
      <c r="E129" t="s">
        <v>327</v>
      </c>
      <c r="F129" t="s">
        <v>584</v>
      </c>
      <c r="G129" s="289">
        <v>45542.948109091754</v>
      </c>
    </row>
    <row r="130" spans="1:7" x14ac:dyDescent="0.25">
      <c r="A130">
        <v>129</v>
      </c>
      <c r="B130" t="s">
        <v>335</v>
      </c>
      <c r="C130" s="290">
        <v>44197</v>
      </c>
      <c r="D130" t="s">
        <v>609</v>
      </c>
      <c r="E130" t="s">
        <v>327</v>
      </c>
      <c r="F130" t="s">
        <v>585</v>
      </c>
      <c r="G130" s="289">
        <v>26813.48121645796</v>
      </c>
    </row>
    <row r="131" spans="1:7" x14ac:dyDescent="0.25">
      <c r="A131">
        <v>130</v>
      </c>
      <c r="B131" t="s">
        <v>335</v>
      </c>
      <c r="C131" s="290">
        <v>44197</v>
      </c>
      <c r="D131" t="s">
        <v>607</v>
      </c>
      <c r="E131" t="s">
        <v>327</v>
      </c>
      <c r="F131" t="s">
        <v>584</v>
      </c>
      <c r="G131" s="289">
        <v>17662.896899224808</v>
      </c>
    </row>
    <row r="132" spans="1:7" x14ac:dyDescent="0.25">
      <c r="A132">
        <v>131</v>
      </c>
      <c r="B132" t="s">
        <v>335</v>
      </c>
      <c r="C132" s="290">
        <v>44197</v>
      </c>
      <c r="D132" t="s">
        <v>609</v>
      </c>
      <c r="E132" t="s">
        <v>327</v>
      </c>
      <c r="F132" t="s">
        <v>584</v>
      </c>
      <c r="G132" s="289">
        <v>59441.072348518173</v>
      </c>
    </row>
    <row r="133" spans="1:7" x14ac:dyDescent="0.25">
      <c r="A133">
        <v>132</v>
      </c>
      <c r="B133" t="s">
        <v>335</v>
      </c>
      <c r="C133" s="290">
        <v>44197</v>
      </c>
      <c r="D133" t="s">
        <v>608</v>
      </c>
      <c r="E133" t="s">
        <v>327</v>
      </c>
      <c r="F133" t="s">
        <v>585</v>
      </c>
      <c r="G133" s="289">
        <v>27190.563953488374</v>
      </c>
    </row>
    <row r="134" spans="1:7" x14ac:dyDescent="0.25">
      <c r="A134">
        <v>133</v>
      </c>
      <c r="B134" t="s">
        <v>335</v>
      </c>
      <c r="C134" s="290">
        <v>44136</v>
      </c>
      <c r="D134" t="s">
        <v>607</v>
      </c>
      <c r="E134" t="s">
        <v>328</v>
      </c>
      <c r="F134" t="s">
        <v>585</v>
      </c>
      <c r="G134" s="289">
        <v>202717.98694000702</v>
      </c>
    </row>
    <row r="135" spans="1:7" x14ac:dyDescent="0.25">
      <c r="A135">
        <v>134</v>
      </c>
      <c r="B135" t="s">
        <v>335</v>
      </c>
      <c r="C135" s="290">
        <v>44136</v>
      </c>
      <c r="D135" t="s">
        <v>608</v>
      </c>
      <c r="E135" t="s">
        <v>328</v>
      </c>
      <c r="F135" t="s">
        <v>585</v>
      </c>
      <c r="G135" s="289">
        <v>16991.829923564808</v>
      </c>
    </row>
    <row r="136" spans="1:7" x14ac:dyDescent="0.25">
      <c r="A136">
        <v>135</v>
      </c>
      <c r="B136" t="s">
        <v>335</v>
      </c>
      <c r="C136" s="290">
        <v>44136</v>
      </c>
      <c r="D136" t="s">
        <v>608</v>
      </c>
      <c r="E136" t="s">
        <v>328</v>
      </c>
      <c r="F136" t="s">
        <v>584</v>
      </c>
      <c r="G136" s="289">
        <v>91167.494873792777</v>
      </c>
    </row>
    <row r="137" spans="1:7" x14ac:dyDescent="0.25">
      <c r="A137">
        <v>136</v>
      </c>
      <c r="B137" t="s">
        <v>335</v>
      </c>
      <c r="C137" s="290">
        <v>44136</v>
      </c>
      <c r="D137" t="s">
        <v>609</v>
      </c>
      <c r="E137" t="s">
        <v>328</v>
      </c>
      <c r="F137" t="s">
        <v>585</v>
      </c>
      <c r="G137" s="289">
        <v>27921.694928563014</v>
      </c>
    </row>
    <row r="138" spans="1:7" x14ac:dyDescent="0.25">
      <c r="A138">
        <v>137</v>
      </c>
      <c r="B138" t="s">
        <v>335</v>
      </c>
      <c r="C138" s="290">
        <v>44136</v>
      </c>
      <c r="D138" t="s">
        <v>609</v>
      </c>
      <c r="E138" t="s">
        <v>328</v>
      </c>
      <c r="F138" t="s">
        <v>584</v>
      </c>
      <c r="G138" s="289">
        <v>120618.02596172484</v>
      </c>
    </row>
    <row r="139" spans="1:7" x14ac:dyDescent="0.25">
      <c r="A139">
        <v>138</v>
      </c>
      <c r="B139" t="s">
        <v>335</v>
      </c>
      <c r="C139" s="290">
        <v>44136</v>
      </c>
      <c r="D139" t="s">
        <v>607</v>
      </c>
      <c r="E139" t="s">
        <v>328</v>
      </c>
      <c r="F139" t="s">
        <v>584</v>
      </c>
      <c r="G139" s="289">
        <v>91243.199250388468</v>
      </c>
    </row>
    <row r="140" spans="1:7" x14ac:dyDescent="0.25">
      <c r="A140">
        <v>139</v>
      </c>
      <c r="B140" t="s">
        <v>335</v>
      </c>
      <c r="C140" s="290">
        <v>44166</v>
      </c>
      <c r="D140" t="s">
        <v>607</v>
      </c>
      <c r="E140" t="s">
        <v>328</v>
      </c>
      <c r="F140" t="s">
        <v>585</v>
      </c>
      <c r="G140" s="289">
        <v>317199.06726432074</v>
      </c>
    </row>
    <row r="141" spans="1:7" x14ac:dyDescent="0.25">
      <c r="A141">
        <v>140</v>
      </c>
      <c r="B141" t="s">
        <v>335</v>
      </c>
      <c r="C141" s="290">
        <v>44166</v>
      </c>
      <c r="D141" t="s">
        <v>607</v>
      </c>
      <c r="E141" t="s">
        <v>328</v>
      </c>
      <c r="F141" t="s">
        <v>584</v>
      </c>
      <c r="G141" s="289">
        <v>144158.8980884054</v>
      </c>
    </row>
    <row r="142" spans="1:7" x14ac:dyDescent="0.25">
      <c r="A142">
        <v>141</v>
      </c>
      <c r="B142" t="s">
        <v>335</v>
      </c>
      <c r="C142" s="290">
        <v>44166</v>
      </c>
      <c r="D142" t="s">
        <v>608</v>
      </c>
      <c r="E142" t="s">
        <v>328</v>
      </c>
      <c r="F142" t="s">
        <v>584</v>
      </c>
      <c r="G142" s="289">
        <v>74594.409610064831</v>
      </c>
    </row>
    <row r="143" spans="1:7" x14ac:dyDescent="0.25">
      <c r="A143">
        <v>142</v>
      </c>
      <c r="B143" t="s">
        <v>335</v>
      </c>
      <c r="C143" s="290">
        <v>44166</v>
      </c>
      <c r="D143" t="s">
        <v>609</v>
      </c>
      <c r="E143" t="s">
        <v>328</v>
      </c>
      <c r="F143" t="s">
        <v>584</v>
      </c>
      <c r="G143" s="289">
        <v>296429.53728007746</v>
      </c>
    </row>
    <row r="144" spans="1:7" x14ac:dyDescent="0.25">
      <c r="A144">
        <v>143</v>
      </c>
      <c r="B144" t="s">
        <v>335</v>
      </c>
      <c r="C144" s="290">
        <v>44166</v>
      </c>
      <c r="D144" t="s">
        <v>609</v>
      </c>
      <c r="E144" t="s">
        <v>328</v>
      </c>
      <c r="F144" t="s">
        <v>585</v>
      </c>
      <c r="G144" s="289">
        <v>70988.208834355013</v>
      </c>
    </row>
    <row r="145" spans="1:7" x14ac:dyDescent="0.25">
      <c r="A145">
        <v>144</v>
      </c>
      <c r="B145" t="s">
        <v>335</v>
      </c>
      <c r="C145" s="290">
        <v>44166</v>
      </c>
      <c r="D145" t="s">
        <v>608</v>
      </c>
      <c r="E145" t="s">
        <v>328</v>
      </c>
      <c r="F145" t="s">
        <v>585</v>
      </c>
      <c r="G145" s="289">
        <v>351821.0622624809</v>
      </c>
    </row>
    <row r="146" spans="1:7" x14ac:dyDescent="0.25">
      <c r="A146">
        <v>145</v>
      </c>
      <c r="B146" t="s">
        <v>335</v>
      </c>
      <c r="C146" s="290">
        <v>44197</v>
      </c>
      <c r="D146" t="s">
        <v>609</v>
      </c>
      <c r="E146" t="s">
        <v>328</v>
      </c>
      <c r="F146" t="s">
        <v>585</v>
      </c>
      <c r="G146" s="289">
        <v>93467.389656854779</v>
      </c>
    </row>
    <row r="147" spans="1:7" x14ac:dyDescent="0.25">
      <c r="A147">
        <v>146</v>
      </c>
      <c r="B147" t="s">
        <v>335</v>
      </c>
      <c r="C147" s="290">
        <v>44197</v>
      </c>
      <c r="D147" t="s">
        <v>607</v>
      </c>
      <c r="E147" t="s">
        <v>328</v>
      </c>
      <c r="F147" t="s">
        <v>585</v>
      </c>
      <c r="G147" s="289">
        <v>660009.4950603029</v>
      </c>
    </row>
    <row r="148" spans="1:7" x14ac:dyDescent="0.25">
      <c r="A148">
        <v>147</v>
      </c>
      <c r="B148" t="s">
        <v>335</v>
      </c>
      <c r="C148" s="290">
        <v>44197</v>
      </c>
      <c r="D148" t="s">
        <v>608</v>
      </c>
      <c r="E148" t="s">
        <v>328</v>
      </c>
      <c r="F148" t="s">
        <v>584</v>
      </c>
      <c r="G148" s="289">
        <v>207278.12687423188</v>
      </c>
    </row>
    <row r="149" spans="1:7" x14ac:dyDescent="0.25">
      <c r="A149">
        <v>148</v>
      </c>
      <c r="B149" t="s">
        <v>335</v>
      </c>
      <c r="C149" s="290">
        <v>44197</v>
      </c>
      <c r="D149" t="s">
        <v>609</v>
      </c>
      <c r="E149" t="s">
        <v>328</v>
      </c>
      <c r="F149" t="s">
        <v>584</v>
      </c>
      <c r="G149" s="289">
        <v>343200.07115867781</v>
      </c>
    </row>
    <row r="150" spans="1:7" x14ac:dyDescent="0.25">
      <c r="A150">
        <v>149</v>
      </c>
      <c r="B150" t="s">
        <v>335</v>
      </c>
      <c r="C150" s="290">
        <v>44197</v>
      </c>
      <c r="D150" t="s">
        <v>607</v>
      </c>
      <c r="E150" t="s">
        <v>328</v>
      </c>
      <c r="F150" t="s">
        <v>584</v>
      </c>
      <c r="G150" s="289">
        <v>70882.601621239679</v>
      </c>
    </row>
    <row r="151" spans="1:7" x14ac:dyDescent="0.25">
      <c r="A151">
        <v>150</v>
      </c>
      <c r="B151" t="s">
        <v>335</v>
      </c>
      <c r="C151" s="290">
        <v>44197</v>
      </c>
      <c r="D151" t="s">
        <v>608</v>
      </c>
      <c r="E151" t="s">
        <v>328</v>
      </c>
      <c r="F151" t="s">
        <v>585</v>
      </c>
      <c r="G151" s="289">
        <v>481000.50219232659</v>
      </c>
    </row>
    <row r="152" spans="1:7" x14ac:dyDescent="0.25">
      <c r="A152">
        <v>151</v>
      </c>
      <c r="B152" t="s">
        <v>335</v>
      </c>
      <c r="C152" s="290">
        <v>44136</v>
      </c>
      <c r="D152" t="s">
        <v>609</v>
      </c>
      <c r="E152" t="s">
        <v>329</v>
      </c>
      <c r="F152" t="s">
        <v>585</v>
      </c>
      <c r="G152" s="289">
        <v>11412.951069767445</v>
      </c>
    </row>
    <row r="153" spans="1:7" x14ac:dyDescent="0.25">
      <c r="A153">
        <v>152</v>
      </c>
      <c r="B153" t="s">
        <v>335</v>
      </c>
      <c r="C153" s="290">
        <v>44136</v>
      </c>
      <c r="D153" t="s">
        <v>607</v>
      </c>
      <c r="E153" t="s">
        <v>329</v>
      </c>
      <c r="F153" t="s">
        <v>584</v>
      </c>
      <c r="G153" s="289">
        <v>109491.83910046618</v>
      </c>
    </row>
    <row r="154" spans="1:7" x14ac:dyDescent="0.25">
      <c r="A154">
        <v>153</v>
      </c>
      <c r="B154" t="s">
        <v>335</v>
      </c>
      <c r="C154" s="290">
        <v>44136</v>
      </c>
      <c r="D154" t="s">
        <v>608</v>
      </c>
      <c r="E154" t="s">
        <v>329</v>
      </c>
      <c r="F154" t="s">
        <v>585</v>
      </c>
      <c r="G154" s="289">
        <v>85510.195908277761</v>
      </c>
    </row>
    <row r="155" spans="1:7" x14ac:dyDescent="0.25">
      <c r="A155">
        <v>154</v>
      </c>
      <c r="B155" t="s">
        <v>335</v>
      </c>
      <c r="C155" s="290">
        <v>44136</v>
      </c>
      <c r="D155" t="s">
        <v>608</v>
      </c>
      <c r="E155" t="s">
        <v>329</v>
      </c>
      <c r="F155" t="s">
        <v>584</v>
      </c>
      <c r="G155" s="289">
        <v>128060.59484605755</v>
      </c>
    </row>
    <row r="156" spans="1:7" x14ac:dyDescent="0.25">
      <c r="A156">
        <v>155</v>
      </c>
      <c r="B156" t="s">
        <v>335</v>
      </c>
      <c r="C156" s="290">
        <v>44136</v>
      </c>
      <c r="D156" t="s">
        <v>609</v>
      </c>
      <c r="E156" t="s">
        <v>329</v>
      </c>
      <c r="F156" t="s">
        <v>584</v>
      </c>
      <c r="G156" s="289">
        <v>107640.0311540698</v>
      </c>
    </row>
    <row r="157" spans="1:7" x14ac:dyDescent="0.25">
      <c r="A157">
        <v>156</v>
      </c>
      <c r="B157" t="s">
        <v>335</v>
      </c>
      <c r="C157" s="290">
        <v>44136</v>
      </c>
      <c r="D157" t="s">
        <v>607</v>
      </c>
      <c r="E157" t="s">
        <v>329</v>
      </c>
      <c r="F157" t="s">
        <v>585</v>
      </c>
      <c r="G157" s="289">
        <v>210994.68490381533</v>
      </c>
    </row>
    <row r="158" spans="1:7" x14ac:dyDescent="0.25">
      <c r="A158">
        <v>157</v>
      </c>
      <c r="B158" t="s">
        <v>335</v>
      </c>
      <c r="C158" s="290">
        <v>44166</v>
      </c>
      <c r="D158" t="s">
        <v>608</v>
      </c>
      <c r="E158" t="s">
        <v>329</v>
      </c>
      <c r="F158" t="s">
        <v>585</v>
      </c>
      <c r="G158" s="289">
        <v>363040.70328640571</v>
      </c>
    </row>
    <row r="159" spans="1:7" x14ac:dyDescent="0.25">
      <c r="A159">
        <v>158</v>
      </c>
      <c r="B159" t="s">
        <v>335</v>
      </c>
      <c r="C159" s="290">
        <v>44166</v>
      </c>
      <c r="D159" t="s">
        <v>608</v>
      </c>
      <c r="E159" t="s">
        <v>329</v>
      </c>
      <c r="F159" t="s">
        <v>584</v>
      </c>
      <c r="G159" s="289">
        <v>87085.635991618954</v>
      </c>
    </row>
    <row r="160" spans="1:7" x14ac:dyDescent="0.25">
      <c r="A160">
        <v>159</v>
      </c>
      <c r="B160" t="s">
        <v>335</v>
      </c>
      <c r="C160" s="290">
        <v>44166</v>
      </c>
      <c r="D160" t="s">
        <v>609</v>
      </c>
      <c r="E160" t="s">
        <v>329</v>
      </c>
      <c r="F160" t="s">
        <v>585</v>
      </c>
      <c r="G160" s="289">
        <v>85185.850601226019</v>
      </c>
    </row>
    <row r="161" spans="1:7" x14ac:dyDescent="0.25">
      <c r="A161">
        <v>160</v>
      </c>
      <c r="B161" t="s">
        <v>335</v>
      </c>
      <c r="C161" s="290">
        <v>44166</v>
      </c>
      <c r="D161" t="s">
        <v>609</v>
      </c>
      <c r="E161" t="s">
        <v>329</v>
      </c>
      <c r="F161" t="s">
        <v>584</v>
      </c>
      <c r="G161" s="289">
        <v>355715.44473609293</v>
      </c>
    </row>
    <row r="162" spans="1:7" x14ac:dyDescent="0.25">
      <c r="A162">
        <v>161</v>
      </c>
      <c r="B162" t="s">
        <v>335</v>
      </c>
      <c r="C162" s="290">
        <v>44166</v>
      </c>
      <c r="D162" t="s">
        <v>607</v>
      </c>
      <c r="E162" t="s">
        <v>329</v>
      </c>
      <c r="F162" t="s">
        <v>584</v>
      </c>
      <c r="G162" s="289">
        <v>169390.67770608654</v>
      </c>
    </row>
    <row r="163" spans="1:7" x14ac:dyDescent="0.25">
      <c r="A163">
        <v>162</v>
      </c>
      <c r="B163" t="s">
        <v>335</v>
      </c>
      <c r="C163" s="290">
        <v>44166</v>
      </c>
      <c r="D163" t="s">
        <v>607</v>
      </c>
      <c r="E163" t="s">
        <v>329</v>
      </c>
      <c r="F163" t="s">
        <v>585</v>
      </c>
      <c r="G163" s="289">
        <v>380638.88071718503</v>
      </c>
    </row>
    <row r="164" spans="1:7" x14ac:dyDescent="0.25">
      <c r="A164">
        <v>163</v>
      </c>
      <c r="B164" t="s">
        <v>335</v>
      </c>
      <c r="C164" s="290">
        <v>44197</v>
      </c>
      <c r="D164" t="s">
        <v>608</v>
      </c>
      <c r="E164" t="s">
        <v>329</v>
      </c>
      <c r="F164" t="s">
        <v>585</v>
      </c>
      <c r="G164" s="289">
        <v>447275.17632122023</v>
      </c>
    </row>
    <row r="165" spans="1:7" x14ac:dyDescent="0.25">
      <c r="A165">
        <v>164</v>
      </c>
      <c r="B165" t="s">
        <v>335</v>
      </c>
      <c r="C165" s="290">
        <v>44197</v>
      </c>
      <c r="D165" t="s">
        <v>608</v>
      </c>
      <c r="E165" t="s">
        <v>329</v>
      </c>
      <c r="F165" t="s">
        <v>584</v>
      </c>
      <c r="G165" s="289">
        <v>232309.78584637278</v>
      </c>
    </row>
    <row r="166" spans="1:7" x14ac:dyDescent="0.25">
      <c r="A166">
        <v>165</v>
      </c>
      <c r="B166" t="s">
        <v>335</v>
      </c>
      <c r="C166" s="290">
        <v>44197</v>
      </c>
      <c r="D166" t="s">
        <v>609</v>
      </c>
      <c r="E166" t="s">
        <v>329</v>
      </c>
      <c r="F166" t="s">
        <v>584</v>
      </c>
      <c r="G166" s="289">
        <v>385965.08539041335</v>
      </c>
    </row>
    <row r="167" spans="1:7" x14ac:dyDescent="0.25">
      <c r="A167">
        <v>166</v>
      </c>
      <c r="B167" t="s">
        <v>335</v>
      </c>
      <c r="C167" s="290">
        <v>44197</v>
      </c>
      <c r="D167" t="s">
        <v>609</v>
      </c>
      <c r="E167" t="s">
        <v>329</v>
      </c>
      <c r="F167" t="s">
        <v>585</v>
      </c>
      <c r="G167" s="289">
        <v>112160.86758822572</v>
      </c>
    </row>
    <row r="168" spans="1:7" x14ac:dyDescent="0.25">
      <c r="A168">
        <v>167</v>
      </c>
      <c r="B168" t="s">
        <v>335</v>
      </c>
      <c r="C168" s="290">
        <v>44197</v>
      </c>
      <c r="D168" t="s">
        <v>607</v>
      </c>
      <c r="E168" t="s">
        <v>329</v>
      </c>
      <c r="F168" t="s">
        <v>585</v>
      </c>
      <c r="G168" s="289">
        <v>764470.92478366394</v>
      </c>
    </row>
    <row r="169" spans="1:7" x14ac:dyDescent="0.25">
      <c r="A169">
        <v>168</v>
      </c>
      <c r="B169" t="s">
        <v>335</v>
      </c>
      <c r="C169" s="290">
        <v>44197</v>
      </c>
      <c r="D169" t="s">
        <v>607</v>
      </c>
      <c r="E169" t="s">
        <v>329</v>
      </c>
      <c r="F169" t="s">
        <v>584</v>
      </c>
      <c r="G169" s="289">
        <v>78489.121945487612</v>
      </c>
    </row>
    <row r="170" spans="1:7" x14ac:dyDescent="0.25">
      <c r="A170">
        <v>169</v>
      </c>
      <c r="B170" t="s">
        <v>335</v>
      </c>
      <c r="C170" s="290">
        <v>44136</v>
      </c>
      <c r="D170" t="s">
        <v>607</v>
      </c>
      <c r="E170" t="s">
        <v>330</v>
      </c>
      <c r="F170" t="s">
        <v>584</v>
      </c>
      <c r="G170" s="289">
        <v>74136.215792404386</v>
      </c>
    </row>
    <row r="171" spans="1:7" x14ac:dyDescent="0.25">
      <c r="A171">
        <v>170</v>
      </c>
      <c r="B171" t="s">
        <v>335</v>
      </c>
      <c r="C171" s="290">
        <v>44136</v>
      </c>
      <c r="D171" t="s">
        <v>608</v>
      </c>
      <c r="E171" t="s">
        <v>330</v>
      </c>
      <c r="F171" t="s">
        <v>584</v>
      </c>
      <c r="G171" s="289">
        <v>32527.80540692867</v>
      </c>
    </row>
    <row r="172" spans="1:7" x14ac:dyDescent="0.25">
      <c r="A172">
        <v>171</v>
      </c>
      <c r="B172" t="s">
        <v>335</v>
      </c>
      <c r="C172" s="290">
        <v>44136</v>
      </c>
      <c r="D172" t="s">
        <v>607</v>
      </c>
      <c r="E172" t="s">
        <v>330</v>
      </c>
      <c r="F172" t="s">
        <v>585</v>
      </c>
      <c r="G172" s="289">
        <v>50757.634327444604</v>
      </c>
    </row>
    <row r="173" spans="1:7" x14ac:dyDescent="0.25">
      <c r="A173">
        <v>172</v>
      </c>
      <c r="B173" t="s">
        <v>335</v>
      </c>
      <c r="C173" s="290">
        <v>44136</v>
      </c>
      <c r="D173" t="s">
        <v>608</v>
      </c>
      <c r="E173" t="s">
        <v>330</v>
      </c>
      <c r="F173" t="s">
        <v>585</v>
      </c>
      <c r="G173" s="289">
        <v>13466.812307692308</v>
      </c>
    </row>
    <row r="174" spans="1:7" x14ac:dyDescent="0.25">
      <c r="A174">
        <v>173</v>
      </c>
      <c r="B174" t="s">
        <v>335</v>
      </c>
      <c r="C174" s="290">
        <v>44136</v>
      </c>
      <c r="D174" t="s">
        <v>609</v>
      </c>
      <c r="E174" t="s">
        <v>330</v>
      </c>
      <c r="F174" t="s">
        <v>584</v>
      </c>
      <c r="G174" s="289">
        <v>28937.767710239517</v>
      </c>
    </row>
    <row r="175" spans="1:7" x14ac:dyDescent="0.25">
      <c r="A175">
        <v>174</v>
      </c>
      <c r="B175" t="s">
        <v>335</v>
      </c>
      <c r="C175" s="290">
        <v>44136</v>
      </c>
      <c r="D175" t="s">
        <v>609</v>
      </c>
      <c r="E175" t="s">
        <v>330</v>
      </c>
      <c r="F175" t="s">
        <v>585</v>
      </c>
      <c r="G175" s="289">
        <v>5219.7216295765211</v>
      </c>
    </row>
    <row r="176" spans="1:7" x14ac:dyDescent="0.25">
      <c r="A176">
        <v>175</v>
      </c>
      <c r="B176" t="s">
        <v>335</v>
      </c>
      <c r="C176" s="290">
        <v>44166</v>
      </c>
      <c r="D176" t="s">
        <v>609</v>
      </c>
      <c r="E176" t="s">
        <v>330</v>
      </c>
      <c r="F176" t="s">
        <v>585</v>
      </c>
      <c r="G176" s="289">
        <v>12047.871271585558</v>
      </c>
    </row>
    <row r="177" spans="1:7" x14ac:dyDescent="0.25">
      <c r="A177">
        <v>176</v>
      </c>
      <c r="B177" t="s">
        <v>335</v>
      </c>
      <c r="C177" s="290">
        <v>44166</v>
      </c>
      <c r="D177" t="s">
        <v>608</v>
      </c>
      <c r="E177" t="s">
        <v>330</v>
      </c>
      <c r="F177" t="s">
        <v>584</v>
      </c>
      <c r="G177" s="289">
        <v>39207.904065991206</v>
      </c>
    </row>
    <row r="178" spans="1:7" x14ac:dyDescent="0.25">
      <c r="A178">
        <v>177</v>
      </c>
      <c r="B178" t="s">
        <v>335</v>
      </c>
      <c r="C178" s="290">
        <v>44166</v>
      </c>
      <c r="D178" t="s">
        <v>608</v>
      </c>
      <c r="E178" t="s">
        <v>330</v>
      </c>
      <c r="F178" t="s">
        <v>585</v>
      </c>
      <c r="G178" s="289">
        <v>115771.06940127959</v>
      </c>
    </row>
    <row r="179" spans="1:7" x14ac:dyDescent="0.25">
      <c r="A179">
        <v>178</v>
      </c>
      <c r="B179" t="s">
        <v>335</v>
      </c>
      <c r="C179" s="290">
        <v>44166</v>
      </c>
      <c r="D179" t="s">
        <v>607</v>
      </c>
      <c r="E179" t="s">
        <v>330</v>
      </c>
      <c r="F179" t="s">
        <v>584</v>
      </c>
      <c r="G179" s="289">
        <v>70191.36969688088</v>
      </c>
    </row>
    <row r="180" spans="1:7" x14ac:dyDescent="0.25">
      <c r="A180">
        <v>179</v>
      </c>
      <c r="B180" t="s">
        <v>335</v>
      </c>
      <c r="C180" s="290">
        <v>44166</v>
      </c>
      <c r="D180" t="s">
        <v>607</v>
      </c>
      <c r="E180" t="s">
        <v>330</v>
      </c>
      <c r="F180" t="s">
        <v>585</v>
      </c>
      <c r="G180" s="289">
        <v>87429.491107641414</v>
      </c>
    </row>
    <row r="181" spans="1:7" x14ac:dyDescent="0.25">
      <c r="A181">
        <v>180</v>
      </c>
      <c r="B181" t="s">
        <v>335</v>
      </c>
      <c r="C181" s="290">
        <v>44166</v>
      </c>
      <c r="D181" t="s">
        <v>609</v>
      </c>
      <c r="E181" t="s">
        <v>330</v>
      </c>
      <c r="F181" t="s">
        <v>584</v>
      </c>
      <c r="G181" s="289">
        <v>86239.34096382244</v>
      </c>
    </row>
    <row r="182" spans="1:7" x14ac:dyDescent="0.25">
      <c r="A182">
        <v>181</v>
      </c>
      <c r="B182" t="s">
        <v>335</v>
      </c>
      <c r="C182" s="290">
        <v>44197</v>
      </c>
      <c r="D182" t="s">
        <v>608</v>
      </c>
      <c r="E182" t="s">
        <v>330</v>
      </c>
      <c r="F182" t="s">
        <v>584</v>
      </c>
      <c r="G182" s="289">
        <v>53553.400963885615</v>
      </c>
    </row>
    <row r="183" spans="1:7" x14ac:dyDescent="0.25">
      <c r="A183">
        <v>182</v>
      </c>
      <c r="B183" t="s">
        <v>335</v>
      </c>
      <c r="C183" s="290">
        <v>44197</v>
      </c>
      <c r="D183" t="s">
        <v>608</v>
      </c>
      <c r="E183" t="s">
        <v>330</v>
      </c>
      <c r="F183" t="s">
        <v>585</v>
      </c>
      <c r="G183" s="289">
        <v>145082.78307947185</v>
      </c>
    </row>
    <row r="184" spans="1:7" x14ac:dyDescent="0.25">
      <c r="A184">
        <v>183</v>
      </c>
      <c r="B184" t="s">
        <v>335</v>
      </c>
      <c r="C184" s="290">
        <v>44197</v>
      </c>
      <c r="D184" t="s">
        <v>609</v>
      </c>
      <c r="E184" t="s">
        <v>330</v>
      </c>
      <c r="F184" t="s">
        <v>584</v>
      </c>
      <c r="G184" s="289">
        <v>106355.7709614386</v>
      </c>
    </row>
    <row r="185" spans="1:7" x14ac:dyDescent="0.25">
      <c r="A185">
        <v>184</v>
      </c>
      <c r="B185" t="s">
        <v>335</v>
      </c>
      <c r="C185" s="290">
        <v>44197</v>
      </c>
      <c r="D185" t="s">
        <v>607</v>
      </c>
      <c r="E185" t="s">
        <v>330</v>
      </c>
      <c r="F185" t="s">
        <v>585</v>
      </c>
      <c r="G185" s="289">
        <v>244469.24732427637</v>
      </c>
    </row>
    <row r="186" spans="1:7" x14ac:dyDescent="0.25">
      <c r="A186">
        <v>185</v>
      </c>
      <c r="B186" t="s">
        <v>335</v>
      </c>
      <c r="C186" s="290">
        <v>44197</v>
      </c>
      <c r="D186" t="s">
        <v>609</v>
      </c>
      <c r="E186" t="s">
        <v>330</v>
      </c>
      <c r="F186" t="s">
        <v>585</v>
      </c>
      <c r="G186" s="289">
        <v>38504.169230769228</v>
      </c>
    </row>
    <row r="187" spans="1:7" x14ac:dyDescent="0.25">
      <c r="A187">
        <v>186</v>
      </c>
      <c r="B187" t="s">
        <v>335</v>
      </c>
      <c r="C187" s="290">
        <v>44197</v>
      </c>
      <c r="D187" t="s">
        <v>607</v>
      </c>
      <c r="E187" t="s">
        <v>330</v>
      </c>
      <c r="F187" t="s">
        <v>584</v>
      </c>
      <c r="G187" s="289">
        <v>28719.437052052697</v>
      </c>
    </row>
    <row r="188" spans="1:7" x14ac:dyDescent="0.25">
      <c r="A188">
        <v>187</v>
      </c>
      <c r="B188" t="s">
        <v>335</v>
      </c>
      <c r="C188" s="290">
        <v>44136</v>
      </c>
      <c r="D188" t="s">
        <v>609</v>
      </c>
      <c r="E188" t="s">
        <v>2</v>
      </c>
      <c r="F188" t="s">
        <v>584</v>
      </c>
      <c r="G188" s="289">
        <v>4102.5862998359844</v>
      </c>
    </row>
    <row r="189" spans="1:7" x14ac:dyDescent="0.25">
      <c r="A189">
        <v>188</v>
      </c>
      <c r="B189" t="s">
        <v>335</v>
      </c>
      <c r="C189" s="290">
        <v>44136</v>
      </c>
      <c r="D189" t="s">
        <v>607</v>
      </c>
      <c r="E189" t="s">
        <v>2</v>
      </c>
      <c r="F189" t="s">
        <v>584</v>
      </c>
      <c r="G189" s="289">
        <v>45229.687323382466</v>
      </c>
    </row>
    <row r="190" spans="1:7" x14ac:dyDescent="0.25">
      <c r="A190">
        <v>189</v>
      </c>
      <c r="B190" t="s">
        <v>335</v>
      </c>
      <c r="C190" s="290">
        <v>44136</v>
      </c>
      <c r="D190" t="s">
        <v>608</v>
      </c>
      <c r="E190" t="s">
        <v>2</v>
      </c>
      <c r="F190" t="s">
        <v>584</v>
      </c>
      <c r="G190" s="289">
        <v>60310.09211525596</v>
      </c>
    </row>
    <row r="191" spans="1:7" x14ac:dyDescent="0.25">
      <c r="A191">
        <v>190</v>
      </c>
      <c r="B191" t="s">
        <v>335</v>
      </c>
      <c r="C191" s="290">
        <v>44136</v>
      </c>
      <c r="D191" t="s">
        <v>608</v>
      </c>
      <c r="E191" t="s">
        <v>2</v>
      </c>
      <c r="F191" t="s">
        <v>585</v>
      </c>
      <c r="G191" s="289">
        <v>455.52</v>
      </c>
    </row>
    <row r="192" spans="1:7" x14ac:dyDescent="0.25">
      <c r="A192">
        <v>191</v>
      </c>
      <c r="B192" t="s">
        <v>335</v>
      </c>
      <c r="C192" s="290">
        <v>44136</v>
      </c>
      <c r="D192" t="s">
        <v>609</v>
      </c>
      <c r="E192" t="s">
        <v>2</v>
      </c>
      <c r="F192" t="s">
        <v>585</v>
      </c>
      <c r="G192" s="289">
        <v>605.10400000000016</v>
      </c>
    </row>
    <row r="193" spans="1:7" x14ac:dyDescent="0.25">
      <c r="A193">
        <v>192</v>
      </c>
      <c r="B193" t="s">
        <v>335</v>
      </c>
      <c r="C193" s="290">
        <v>44136</v>
      </c>
      <c r="D193" t="s">
        <v>607</v>
      </c>
      <c r="E193" t="s">
        <v>2</v>
      </c>
      <c r="F193" t="s">
        <v>585</v>
      </c>
      <c r="G193" s="289">
        <v>4723.4152334152323</v>
      </c>
    </row>
    <row r="194" spans="1:7" x14ac:dyDescent="0.25">
      <c r="A194">
        <v>193</v>
      </c>
      <c r="B194" t="s">
        <v>335</v>
      </c>
      <c r="C194" s="290">
        <v>44166</v>
      </c>
      <c r="D194" t="s">
        <v>609</v>
      </c>
      <c r="E194" t="s">
        <v>2</v>
      </c>
      <c r="F194" t="s">
        <v>585</v>
      </c>
      <c r="G194" s="289">
        <v>0</v>
      </c>
    </row>
    <row r="195" spans="1:7" x14ac:dyDescent="0.25">
      <c r="A195">
        <v>194</v>
      </c>
      <c r="B195" t="s">
        <v>335</v>
      </c>
      <c r="C195" s="290">
        <v>44166</v>
      </c>
      <c r="D195" t="s">
        <v>609</v>
      </c>
      <c r="E195" t="s">
        <v>2</v>
      </c>
      <c r="F195" t="s">
        <v>584</v>
      </c>
      <c r="G195" s="289">
        <v>78866.150253185871</v>
      </c>
    </row>
    <row r="196" spans="1:7" x14ac:dyDescent="0.25">
      <c r="A196">
        <v>195</v>
      </c>
      <c r="B196" t="s">
        <v>335</v>
      </c>
      <c r="C196" s="290">
        <v>44166</v>
      </c>
      <c r="D196" t="s">
        <v>607</v>
      </c>
      <c r="E196" t="s">
        <v>2</v>
      </c>
      <c r="F196" t="s">
        <v>584</v>
      </c>
      <c r="G196" s="289">
        <v>19047.044067122984</v>
      </c>
    </row>
    <row r="197" spans="1:7" x14ac:dyDescent="0.25">
      <c r="A197">
        <v>196</v>
      </c>
      <c r="B197" t="s">
        <v>335</v>
      </c>
      <c r="C197" s="290">
        <v>44166</v>
      </c>
      <c r="D197" t="s">
        <v>607</v>
      </c>
      <c r="E197" t="s">
        <v>2</v>
      </c>
      <c r="F197" t="s">
        <v>585</v>
      </c>
      <c r="G197" s="289">
        <v>2122.7425000000003</v>
      </c>
    </row>
    <row r="198" spans="1:7" x14ac:dyDescent="0.25">
      <c r="A198">
        <v>197</v>
      </c>
      <c r="B198" t="s">
        <v>335</v>
      </c>
      <c r="C198" s="290">
        <v>44166</v>
      </c>
      <c r="D198" t="s">
        <v>608</v>
      </c>
      <c r="E198" t="s">
        <v>2</v>
      </c>
      <c r="F198" t="s">
        <v>585</v>
      </c>
      <c r="G198" s="289">
        <v>9417.9571428571417</v>
      </c>
    </row>
    <row r="199" spans="1:7" x14ac:dyDescent="0.25">
      <c r="A199">
        <v>198</v>
      </c>
      <c r="B199" t="s">
        <v>335</v>
      </c>
      <c r="C199" s="290">
        <v>44166</v>
      </c>
      <c r="D199" t="s">
        <v>608</v>
      </c>
      <c r="E199" t="s">
        <v>2</v>
      </c>
      <c r="F199" t="s">
        <v>584</v>
      </c>
      <c r="G199" s="289">
        <v>82949.635529413208</v>
      </c>
    </row>
    <row r="200" spans="1:7" x14ac:dyDescent="0.25">
      <c r="A200">
        <v>199</v>
      </c>
      <c r="B200" t="s">
        <v>335</v>
      </c>
      <c r="C200" s="290">
        <v>44197</v>
      </c>
      <c r="D200" t="s">
        <v>609</v>
      </c>
      <c r="E200" t="s">
        <v>2</v>
      </c>
      <c r="F200" t="s">
        <v>584</v>
      </c>
      <c r="G200" s="289">
        <v>57202.820135146401</v>
      </c>
    </row>
    <row r="201" spans="1:7" x14ac:dyDescent="0.25">
      <c r="A201">
        <v>200</v>
      </c>
      <c r="B201" t="s">
        <v>335</v>
      </c>
      <c r="C201" s="290">
        <v>44197</v>
      </c>
      <c r="D201" t="s">
        <v>609</v>
      </c>
      <c r="E201" t="s">
        <v>2</v>
      </c>
      <c r="F201" t="s">
        <v>585</v>
      </c>
      <c r="G201" s="289">
        <v>2851.0923076923077</v>
      </c>
    </row>
    <row r="202" spans="1:7" x14ac:dyDescent="0.25">
      <c r="A202">
        <v>201</v>
      </c>
      <c r="B202" t="s">
        <v>335</v>
      </c>
      <c r="C202" s="290">
        <v>44197</v>
      </c>
      <c r="D202" t="s">
        <v>607</v>
      </c>
      <c r="E202" t="s">
        <v>2</v>
      </c>
      <c r="F202" t="s">
        <v>585</v>
      </c>
      <c r="G202" s="289">
        <v>7239.5385562647161</v>
      </c>
    </row>
    <row r="203" spans="1:7" x14ac:dyDescent="0.25">
      <c r="A203">
        <v>202</v>
      </c>
      <c r="B203" t="s">
        <v>335</v>
      </c>
      <c r="C203" s="290">
        <v>44197</v>
      </c>
      <c r="D203" t="s">
        <v>608</v>
      </c>
      <c r="E203" t="s">
        <v>2</v>
      </c>
      <c r="F203" t="s">
        <v>584</v>
      </c>
      <c r="G203" s="289">
        <v>141060.78810796095</v>
      </c>
    </row>
    <row r="204" spans="1:7" x14ac:dyDescent="0.25">
      <c r="A204">
        <v>203</v>
      </c>
      <c r="B204" t="s">
        <v>335</v>
      </c>
      <c r="C204" s="290">
        <v>44197</v>
      </c>
      <c r="D204" t="s">
        <v>608</v>
      </c>
      <c r="E204" t="s">
        <v>2</v>
      </c>
      <c r="F204" t="s">
        <v>585</v>
      </c>
      <c r="G204" s="289">
        <v>7160.9744534929659</v>
      </c>
    </row>
    <row r="205" spans="1:7" x14ac:dyDescent="0.25">
      <c r="A205">
        <v>204</v>
      </c>
      <c r="B205" t="s">
        <v>335</v>
      </c>
      <c r="C205" s="290">
        <v>44197</v>
      </c>
      <c r="D205" t="s">
        <v>607</v>
      </c>
      <c r="E205" t="s">
        <v>2</v>
      </c>
      <c r="F205" t="s">
        <v>584</v>
      </c>
      <c r="G205" s="289">
        <v>40502.118195503441</v>
      </c>
    </row>
    <row r="206" spans="1:7" x14ac:dyDescent="0.25">
      <c r="A206">
        <v>205</v>
      </c>
      <c r="B206" t="s">
        <v>335</v>
      </c>
      <c r="C206" s="290">
        <v>44136</v>
      </c>
      <c r="D206" t="s">
        <v>608</v>
      </c>
      <c r="E206" t="s">
        <v>331</v>
      </c>
      <c r="F206" t="s">
        <v>584</v>
      </c>
      <c r="G206" s="289">
        <v>0</v>
      </c>
    </row>
    <row r="207" spans="1:7" x14ac:dyDescent="0.25">
      <c r="A207">
        <v>206</v>
      </c>
      <c r="B207" t="s">
        <v>335</v>
      </c>
      <c r="C207" s="290">
        <v>44136</v>
      </c>
      <c r="D207" t="s">
        <v>607</v>
      </c>
      <c r="E207" t="s">
        <v>331</v>
      </c>
      <c r="F207" t="s">
        <v>585</v>
      </c>
      <c r="G207" s="289">
        <v>0</v>
      </c>
    </row>
    <row r="208" spans="1:7" x14ac:dyDescent="0.25">
      <c r="A208">
        <v>207</v>
      </c>
      <c r="B208" t="s">
        <v>335</v>
      </c>
      <c r="C208" s="290">
        <v>44136</v>
      </c>
      <c r="D208" t="s">
        <v>609</v>
      </c>
      <c r="E208" t="s">
        <v>331</v>
      </c>
      <c r="F208" t="s">
        <v>585</v>
      </c>
      <c r="G208" s="289">
        <v>0</v>
      </c>
    </row>
    <row r="209" spans="1:7" x14ac:dyDescent="0.25">
      <c r="A209">
        <v>208</v>
      </c>
      <c r="B209" t="s">
        <v>335</v>
      </c>
      <c r="C209" s="290">
        <v>44136</v>
      </c>
      <c r="D209" t="s">
        <v>609</v>
      </c>
      <c r="E209" t="s">
        <v>331</v>
      </c>
      <c r="F209" t="s">
        <v>584</v>
      </c>
      <c r="G209" s="289">
        <v>18194.456557080513</v>
      </c>
    </row>
    <row r="210" spans="1:7" x14ac:dyDescent="0.25">
      <c r="A210">
        <v>209</v>
      </c>
      <c r="B210" t="s">
        <v>335</v>
      </c>
      <c r="C210" s="290">
        <v>44136</v>
      </c>
      <c r="D210" t="s">
        <v>608</v>
      </c>
      <c r="E210" t="s">
        <v>331</v>
      </c>
      <c r="F210" t="s">
        <v>585</v>
      </c>
      <c r="G210" s="289">
        <v>0</v>
      </c>
    </row>
    <row r="211" spans="1:7" x14ac:dyDescent="0.25">
      <c r="A211">
        <v>210</v>
      </c>
      <c r="B211" t="s">
        <v>335</v>
      </c>
      <c r="C211" s="290">
        <v>44136</v>
      </c>
      <c r="D211" t="s">
        <v>607</v>
      </c>
      <c r="E211" t="s">
        <v>331</v>
      </c>
      <c r="F211" t="s">
        <v>584</v>
      </c>
      <c r="G211" s="289">
        <v>10000</v>
      </c>
    </row>
    <row r="212" spans="1:7" x14ac:dyDescent="0.25">
      <c r="A212">
        <v>211</v>
      </c>
      <c r="B212" t="s">
        <v>335</v>
      </c>
      <c r="C212" s="290">
        <v>44166</v>
      </c>
      <c r="D212" t="s">
        <v>609</v>
      </c>
      <c r="E212" t="s">
        <v>331</v>
      </c>
      <c r="F212" t="s">
        <v>585</v>
      </c>
      <c r="G212" s="289">
        <v>0</v>
      </c>
    </row>
    <row r="213" spans="1:7" x14ac:dyDescent="0.25">
      <c r="A213">
        <v>212</v>
      </c>
      <c r="B213" t="s">
        <v>335</v>
      </c>
      <c r="C213" s="290">
        <v>44166</v>
      </c>
      <c r="D213" t="s">
        <v>607</v>
      </c>
      <c r="E213" t="s">
        <v>331</v>
      </c>
      <c r="F213" t="s">
        <v>584</v>
      </c>
      <c r="G213" s="289">
        <v>0</v>
      </c>
    </row>
    <row r="214" spans="1:7" x14ac:dyDescent="0.25">
      <c r="A214">
        <v>213</v>
      </c>
      <c r="B214" t="s">
        <v>335</v>
      </c>
      <c r="C214" s="290">
        <v>44166</v>
      </c>
      <c r="D214" t="s">
        <v>608</v>
      </c>
      <c r="E214" t="s">
        <v>331</v>
      </c>
      <c r="F214" t="s">
        <v>584</v>
      </c>
      <c r="G214" s="289">
        <v>0</v>
      </c>
    </row>
    <row r="215" spans="1:7" x14ac:dyDescent="0.25">
      <c r="A215">
        <v>214</v>
      </c>
      <c r="B215" t="s">
        <v>335</v>
      </c>
      <c r="C215" s="290">
        <v>44166</v>
      </c>
      <c r="D215" t="s">
        <v>607</v>
      </c>
      <c r="E215" t="s">
        <v>331</v>
      </c>
      <c r="F215" t="s">
        <v>585</v>
      </c>
      <c r="G215" s="289">
        <v>0</v>
      </c>
    </row>
    <row r="216" spans="1:7" x14ac:dyDescent="0.25">
      <c r="A216">
        <v>215</v>
      </c>
      <c r="B216" t="s">
        <v>335</v>
      </c>
      <c r="C216" s="290">
        <v>44166</v>
      </c>
      <c r="D216" t="s">
        <v>609</v>
      </c>
      <c r="E216" t="s">
        <v>331</v>
      </c>
      <c r="F216" t="s">
        <v>584</v>
      </c>
      <c r="G216" s="289">
        <v>129155.80262768231</v>
      </c>
    </row>
    <row r="217" spans="1:7" x14ac:dyDescent="0.25">
      <c r="A217">
        <v>216</v>
      </c>
      <c r="B217" t="s">
        <v>335</v>
      </c>
      <c r="C217" s="290">
        <v>44166</v>
      </c>
      <c r="D217" t="s">
        <v>608</v>
      </c>
      <c r="E217" t="s">
        <v>331</v>
      </c>
      <c r="F217" t="s">
        <v>585</v>
      </c>
      <c r="G217" s="289">
        <v>50001</v>
      </c>
    </row>
    <row r="218" spans="1:7" x14ac:dyDescent="0.25">
      <c r="A218">
        <v>217</v>
      </c>
      <c r="B218" t="s">
        <v>335</v>
      </c>
      <c r="C218" s="290">
        <v>44197</v>
      </c>
      <c r="D218" t="s">
        <v>608</v>
      </c>
      <c r="E218" t="s">
        <v>331</v>
      </c>
      <c r="F218" t="s">
        <v>584</v>
      </c>
      <c r="G218" s="289">
        <v>3054.3785310734461</v>
      </c>
    </row>
    <row r="219" spans="1:7" x14ac:dyDescent="0.25">
      <c r="A219">
        <v>218</v>
      </c>
      <c r="B219" t="s">
        <v>335</v>
      </c>
      <c r="C219" s="290">
        <v>44197</v>
      </c>
      <c r="D219" t="s">
        <v>609</v>
      </c>
      <c r="E219" t="s">
        <v>331</v>
      </c>
      <c r="F219" t="s">
        <v>584</v>
      </c>
      <c r="G219" s="289">
        <v>23490</v>
      </c>
    </row>
    <row r="220" spans="1:7" x14ac:dyDescent="0.25">
      <c r="A220">
        <v>219</v>
      </c>
      <c r="B220" t="s">
        <v>335</v>
      </c>
      <c r="C220" s="290">
        <v>44197</v>
      </c>
      <c r="D220" t="s">
        <v>609</v>
      </c>
      <c r="E220" t="s">
        <v>331</v>
      </c>
      <c r="F220" t="s">
        <v>585</v>
      </c>
      <c r="G220" s="289">
        <v>15000</v>
      </c>
    </row>
    <row r="221" spans="1:7" x14ac:dyDescent="0.25">
      <c r="A221">
        <v>220</v>
      </c>
      <c r="B221" t="s">
        <v>335</v>
      </c>
      <c r="C221" s="290">
        <v>44197</v>
      </c>
      <c r="D221" t="s">
        <v>607</v>
      </c>
      <c r="E221" t="s">
        <v>331</v>
      </c>
      <c r="F221" t="s">
        <v>585</v>
      </c>
      <c r="G221" s="289">
        <v>2500</v>
      </c>
    </row>
    <row r="222" spans="1:7" x14ac:dyDescent="0.25">
      <c r="A222">
        <v>221</v>
      </c>
      <c r="B222" t="s">
        <v>335</v>
      </c>
      <c r="C222" s="290">
        <v>44197</v>
      </c>
      <c r="D222" t="s">
        <v>607</v>
      </c>
      <c r="E222" t="s">
        <v>331</v>
      </c>
      <c r="F222" t="s">
        <v>584</v>
      </c>
      <c r="G222" s="289">
        <v>0</v>
      </c>
    </row>
    <row r="223" spans="1:7" x14ac:dyDescent="0.25">
      <c r="A223">
        <v>222</v>
      </c>
      <c r="B223" t="s">
        <v>335</v>
      </c>
      <c r="C223" s="290">
        <v>44197</v>
      </c>
      <c r="D223" t="s">
        <v>608</v>
      </c>
      <c r="E223" t="s">
        <v>331</v>
      </c>
      <c r="F223" t="s">
        <v>585</v>
      </c>
      <c r="G223" s="289">
        <v>0</v>
      </c>
    </row>
    <row r="224" spans="1:7" x14ac:dyDescent="0.25">
      <c r="A224">
        <v>223</v>
      </c>
      <c r="B224" t="s">
        <v>336</v>
      </c>
      <c r="C224" s="290">
        <v>44228</v>
      </c>
      <c r="D224" t="s">
        <v>609</v>
      </c>
      <c r="E224" t="s">
        <v>300</v>
      </c>
      <c r="F224" t="s">
        <v>584</v>
      </c>
      <c r="G224" s="289">
        <v>37500</v>
      </c>
    </row>
    <row r="225" spans="1:7" x14ac:dyDescent="0.25">
      <c r="A225">
        <v>224</v>
      </c>
      <c r="B225" t="s">
        <v>336</v>
      </c>
      <c r="C225" s="290">
        <v>44228</v>
      </c>
      <c r="D225" t="s">
        <v>608</v>
      </c>
      <c r="E225" t="s">
        <v>300</v>
      </c>
      <c r="F225" t="s">
        <v>584</v>
      </c>
      <c r="G225" s="289">
        <v>11724</v>
      </c>
    </row>
    <row r="226" spans="1:7" x14ac:dyDescent="0.25">
      <c r="A226">
        <v>225</v>
      </c>
      <c r="B226" t="s">
        <v>336</v>
      </c>
      <c r="C226" s="290">
        <v>44256</v>
      </c>
      <c r="D226" t="s">
        <v>608</v>
      </c>
      <c r="E226" t="s">
        <v>300</v>
      </c>
      <c r="F226" t="s">
        <v>584</v>
      </c>
      <c r="G226" s="289">
        <v>158410</v>
      </c>
    </row>
    <row r="227" spans="1:7" x14ac:dyDescent="0.25">
      <c r="A227">
        <v>226</v>
      </c>
      <c r="B227" t="s">
        <v>336</v>
      </c>
      <c r="C227" s="290">
        <v>44287</v>
      </c>
      <c r="D227" t="s">
        <v>608</v>
      </c>
      <c r="E227" t="s">
        <v>300</v>
      </c>
      <c r="F227" t="s">
        <v>584</v>
      </c>
      <c r="G227" s="289">
        <v>131385</v>
      </c>
    </row>
    <row r="228" spans="1:7" x14ac:dyDescent="0.25">
      <c r="A228">
        <v>227</v>
      </c>
      <c r="B228" t="s">
        <v>336</v>
      </c>
      <c r="C228" s="290">
        <v>44287</v>
      </c>
      <c r="D228" t="s">
        <v>609</v>
      </c>
      <c r="E228" t="s">
        <v>300</v>
      </c>
      <c r="F228" t="s">
        <v>584</v>
      </c>
      <c r="G228" s="289">
        <v>1800</v>
      </c>
    </row>
    <row r="229" spans="1:7" x14ac:dyDescent="0.25">
      <c r="A229">
        <v>228</v>
      </c>
      <c r="B229" t="s">
        <v>336</v>
      </c>
      <c r="C229" s="290">
        <v>44287</v>
      </c>
      <c r="D229" t="s">
        <v>607</v>
      </c>
      <c r="E229" t="s">
        <v>300</v>
      </c>
      <c r="F229" t="s">
        <v>584</v>
      </c>
      <c r="G229" s="289">
        <v>21250</v>
      </c>
    </row>
    <row r="230" spans="1:7" x14ac:dyDescent="0.25">
      <c r="A230">
        <v>229</v>
      </c>
      <c r="B230" t="s">
        <v>336</v>
      </c>
      <c r="C230" s="290">
        <v>44287</v>
      </c>
      <c r="D230" t="s">
        <v>609</v>
      </c>
      <c r="E230" t="s">
        <v>326</v>
      </c>
      <c r="F230" t="s">
        <v>585</v>
      </c>
      <c r="G230" s="289">
        <v>0</v>
      </c>
    </row>
    <row r="231" spans="1:7" x14ac:dyDescent="0.25">
      <c r="A231">
        <v>230</v>
      </c>
      <c r="B231" t="s">
        <v>336</v>
      </c>
      <c r="C231" s="290">
        <v>44287</v>
      </c>
      <c r="D231" t="s">
        <v>609</v>
      </c>
      <c r="E231" t="s">
        <v>326</v>
      </c>
      <c r="F231" t="s">
        <v>584</v>
      </c>
      <c r="G231" s="289">
        <v>18000</v>
      </c>
    </row>
    <row r="232" spans="1:7" x14ac:dyDescent="0.25">
      <c r="A232">
        <v>231</v>
      </c>
      <c r="B232" t="s">
        <v>336</v>
      </c>
      <c r="C232" s="290">
        <v>44228</v>
      </c>
      <c r="D232" t="s">
        <v>608</v>
      </c>
      <c r="E232" t="s">
        <v>327</v>
      </c>
      <c r="F232" t="s">
        <v>584</v>
      </c>
      <c r="G232" s="289">
        <v>16089</v>
      </c>
    </row>
    <row r="233" spans="1:7" x14ac:dyDescent="0.25">
      <c r="A233">
        <v>232</v>
      </c>
      <c r="B233" t="s">
        <v>336</v>
      </c>
      <c r="C233" s="290">
        <v>44228</v>
      </c>
      <c r="D233" t="s">
        <v>609</v>
      </c>
      <c r="E233" t="s">
        <v>327</v>
      </c>
      <c r="F233" t="s">
        <v>585</v>
      </c>
      <c r="G233" s="289">
        <v>11000</v>
      </c>
    </row>
    <row r="234" spans="1:7" x14ac:dyDescent="0.25">
      <c r="A234">
        <v>233</v>
      </c>
      <c r="B234" t="s">
        <v>336</v>
      </c>
      <c r="C234" s="290">
        <v>44228</v>
      </c>
      <c r="D234" t="s">
        <v>607</v>
      </c>
      <c r="E234" t="s">
        <v>327</v>
      </c>
      <c r="F234" t="s">
        <v>584</v>
      </c>
      <c r="G234" s="289">
        <v>14184</v>
      </c>
    </row>
    <row r="235" spans="1:7" x14ac:dyDescent="0.25">
      <c r="A235">
        <v>234</v>
      </c>
      <c r="B235" t="s">
        <v>336</v>
      </c>
      <c r="C235" s="290">
        <v>44228</v>
      </c>
      <c r="D235" t="s">
        <v>609</v>
      </c>
      <c r="E235" t="s">
        <v>327</v>
      </c>
      <c r="F235" t="s">
        <v>584</v>
      </c>
      <c r="G235" s="289">
        <v>31905.160372093025</v>
      </c>
    </row>
    <row r="236" spans="1:7" x14ac:dyDescent="0.25">
      <c r="A236">
        <v>235</v>
      </c>
      <c r="B236" t="s">
        <v>336</v>
      </c>
      <c r="C236" s="290">
        <v>44228</v>
      </c>
      <c r="D236" t="s">
        <v>607</v>
      </c>
      <c r="E236" t="s">
        <v>327</v>
      </c>
      <c r="F236" t="s">
        <v>585</v>
      </c>
      <c r="G236" s="289">
        <v>3612.0401337792637</v>
      </c>
    </row>
    <row r="237" spans="1:7" x14ac:dyDescent="0.25">
      <c r="A237">
        <v>236</v>
      </c>
      <c r="B237" t="s">
        <v>336</v>
      </c>
      <c r="C237" s="290">
        <v>44256</v>
      </c>
      <c r="D237" t="s">
        <v>608</v>
      </c>
      <c r="E237" t="s">
        <v>327</v>
      </c>
      <c r="F237" t="s">
        <v>584</v>
      </c>
      <c r="G237" s="289">
        <v>24544.056893405683</v>
      </c>
    </row>
    <row r="238" spans="1:7" x14ac:dyDescent="0.25">
      <c r="A238">
        <v>237</v>
      </c>
      <c r="B238" t="s">
        <v>336</v>
      </c>
      <c r="C238" s="290">
        <v>44256</v>
      </c>
      <c r="D238" t="s">
        <v>608</v>
      </c>
      <c r="E238" t="s">
        <v>327</v>
      </c>
      <c r="F238" t="s">
        <v>585</v>
      </c>
      <c r="G238" s="289">
        <v>10737.518934508533</v>
      </c>
    </row>
    <row r="239" spans="1:7" x14ac:dyDescent="0.25">
      <c r="A239">
        <v>238</v>
      </c>
      <c r="B239" t="s">
        <v>336</v>
      </c>
      <c r="C239" s="290">
        <v>44256</v>
      </c>
      <c r="D239" t="s">
        <v>609</v>
      </c>
      <c r="E239" t="s">
        <v>327</v>
      </c>
      <c r="F239" t="s">
        <v>584</v>
      </c>
      <c r="G239" s="289">
        <v>23907.661550983663</v>
      </c>
    </row>
    <row r="240" spans="1:7" x14ac:dyDescent="0.25">
      <c r="A240">
        <v>239</v>
      </c>
      <c r="B240" t="s">
        <v>336</v>
      </c>
      <c r="C240" s="290">
        <v>44256</v>
      </c>
      <c r="D240" t="s">
        <v>607</v>
      </c>
      <c r="E240" t="s">
        <v>327</v>
      </c>
      <c r="F240" t="s">
        <v>585</v>
      </c>
      <c r="G240" s="289">
        <v>13266.761321909426</v>
      </c>
    </row>
    <row r="241" spans="1:7" x14ac:dyDescent="0.25">
      <c r="A241">
        <v>240</v>
      </c>
      <c r="B241" t="s">
        <v>336</v>
      </c>
      <c r="C241" s="290">
        <v>44256</v>
      </c>
      <c r="D241" t="s">
        <v>607</v>
      </c>
      <c r="E241" t="s">
        <v>327</v>
      </c>
      <c r="F241" t="s">
        <v>584</v>
      </c>
      <c r="G241" s="289">
        <v>7873.1733234905969</v>
      </c>
    </row>
    <row r="242" spans="1:7" x14ac:dyDescent="0.25">
      <c r="A242">
        <v>241</v>
      </c>
      <c r="B242" t="s">
        <v>336</v>
      </c>
      <c r="C242" s="290">
        <v>44287</v>
      </c>
      <c r="D242" t="s">
        <v>609</v>
      </c>
      <c r="E242" t="s">
        <v>327</v>
      </c>
      <c r="F242" t="s">
        <v>584</v>
      </c>
      <c r="G242" s="289">
        <v>20671.863601384306</v>
      </c>
    </row>
    <row r="243" spans="1:7" x14ac:dyDescent="0.25">
      <c r="A243">
        <v>242</v>
      </c>
      <c r="B243" t="s">
        <v>336</v>
      </c>
      <c r="C243" s="290">
        <v>44287</v>
      </c>
      <c r="D243" t="s">
        <v>607</v>
      </c>
      <c r="E243" t="s">
        <v>327</v>
      </c>
      <c r="F243" t="s">
        <v>584</v>
      </c>
      <c r="G243" s="289">
        <v>11912.807515029815</v>
      </c>
    </row>
    <row r="244" spans="1:7" x14ac:dyDescent="0.25">
      <c r="A244">
        <v>243</v>
      </c>
      <c r="B244" t="s">
        <v>336</v>
      </c>
      <c r="C244" s="290">
        <v>44287</v>
      </c>
      <c r="D244" t="s">
        <v>608</v>
      </c>
      <c r="E244" t="s">
        <v>327</v>
      </c>
      <c r="F244" t="s">
        <v>584</v>
      </c>
      <c r="G244" s="289">
        <v>54513.835348319153</v>
      </c>
    </row>
    <row r="245" spans="1:7" x14ac:dyDescent="0.25">
      <c r="A245">
        <v>244</v>
      </c>
      <c r="B245" t="s">
        <v>336</v>
      </c>
      <c r="C245" s="290">
        <v>44287</v>
      </c>
      <c r="D245" t="s">
        <v>609</v>
      </c>
      <c r="E245" t="s">
        <v>327</v>
      </c>
      <c r="F245" t="s">
        <v>585</v>
      </c>
      <c r="G245" s="289">
        <v>17479.148479427549</v>
      </c>
    </row>
    <row r="246" spans="1:7" x14ac:dyDescent="0.25">
      <c r="A246">
        <v>245</v>
      </c>
      <c r="B246" t="s">
        <v>336</v>
      </c>
      <c r="C246" s="290">
        <v>44287</v>
      </c>
      <c r="D246" t="s">
        <v>607</v>
      </c>
      <c r="E246" t="s">
        <v>327</v>
      </c>
      <c r="F246" t="s">
        <v>585</v>
      </c>
      <c r="G246" s="289">
        <v>41163.96105863039</v>
      </c>
    </row>
    <row r="247" spans="1:7" x14ac:dyDescent="0.25">
      <c r="A247">
        <v>246</v>
      </c>
      <c r="B247" t="s">
        <v>336</v>
      </c>
      <c r="C247" s="290">
        <v>44287</v>
      </c>
      <c r="D247" t="s">
        <v>608</v>
      </c>
      <c r="E247" t="s">
        <v>327</v>
      </c>
      <c r="F247" t="s">
        <v>585</v>
      </c>
      <c r="G247" s="289">
        <v>32199.370502611884</v>
      </c>
    </row>
    <row r="248" spans="1:7" x14ac:dyDescent="0.25">
      <c r="A248">
        <v>247</v>
      </c>
      <c r="B248" t="s">
        <v>336</v>
      </c>
      <c r="C248" s="290">
        <v>44228</v>
      </c>
      <c r="D248" t="s">
        <v>609</v>
      </c>
      <c r="E248" t="s">
        <v>328</v>
      </c>
      <c r="F248" t="s">
        <v>584</v>
      </c>
      <c r="G248" s="289">
        <v>91808.046775434632</v>
      </c>
    </row>
    <row r="249" spans="1:7" x14ac:dyDescent="0.25">
      <c r="A249">
        <v>248</v>
      </c>
      <c r="B249" t="s">
        <v>336</v>
      </c>
      <c r="C249" s="290">
        <v>44228</v>
      </c>
      <c r="D249" t="s">
        <v>608</v>
      </c>
      <c r="E249" t="s">
        <v>328</v>
      </c>
      <c r="F249" t="s">
        <v>585</v>
      </c>
      <c r="G249" s="289">
        <v>47990.524994782718</v>
      </c>
    </row>
    <row r="250" spans="1:7" x14ac:dyDescent="0.25">
      <c r="A250">
        <v>249</v>
      </c>
      <c r="B250" t="s">
        <v>336</v>
      </c>
      <c r="C250" s="290">
        <v>44228</v>
      </c>
      <c r="D250" t="s">
        <v>608</v>
      </c>
      <c r="E250" t="s">
        <v>328</v>
      </c>
      <c r="F250" t="s">
        <v>584</v>
      </c>
      <c r="G250" s="289">
        <v>22538.11349023963</v>
      </c>
    </row>
    <row r="251" spans="1:7" x14ac:dyDescent="0.25">
      <c r="A251">
        <v>250</v>
      </c>
      <c r="B251" t="s">
        <v>336</v>
      </c>
      <c r="C251" s="290">
        <v>44228</v>
      </c>
      <c r="D251" t="s">
        <v>607</v>
      </c>
      <c r="E251" t="s">
        <v>328</v>
      </c>
      <c r="F251" t="s">
        <v>584</v>
      </c>
      <c r="G251" s="289">
        <v>46479.167402483574</v>
      </c>
    </row>
    <row r="252" spans="1:7" x14ac:dyDescent="0.25">
      <c r="A252">
        <v>251</v>
      </c>
      <c r="B252" t="s">
        <v>336</v>
      </c>
      <c r="C252" s="290">
        <v>44228</v>
      </c>
      <c r="D252" t="s">
        <v>607</v>
      </c>
      <c r="E252" t="s">
        <v>328</v>
      </c>
      <c r="F252" t="s">
        <v>585</v>
      </c>
      <c r="G252" s="289">
        <v>152917.6949543576</v>
      </c>
    </row>
    <row r="253" spans="1:7" x14ac:dyDescent="0.25">
      <c r="A253">
        <v>252</v>
      </c>
      <c r="B253" t="s">
        <v>336</v>
      </c>
      <c r="C253" s="290">
        <v>44228</v>
      </c>
      <c r="D253" t="s">
        <v>609</v>
      </c>
      <c r="E253" t="s">
        <v>328</v>
      </c>
      <c r="F253" t="s">
        <v>585</v>
      </c>
      <c r="G253" s="289">
        <v>76946.153846153844</v>
      </c>
    </row>
    <row r="254" spans="1:7" x14ac:dyDescent="0.25">
      <c r="A254">
        <v>253</v>
      </c>
      <c r="B254" t="s">
        <v>336</v>
      </c>
      <c r="C254" s="290">
        <v>44256</v>
      </c>
      <c r="D254" t="s">
        <v>609</v>
      </c>
      <c r="E254" t="s">
        <v>328</v>
      </c>
      <c r="F254" t="s">
        <v>585</v>
      </c>
      <c r="G254" s="289">
        <v>9780.8441558441555</v>
      </c>
    </row>
    <row r="255" spans="1:7" x14ac:dyDescent="0.25">
      <c r="A255">
        <v>254</v>
      </c>
      <c r="B255" t="s">
        <v>336</v>
      </c>
      <c r="C255" s="290">
        <v>44256</v>
      </c>
      <c r="D255" t="s">
        <v>607</v>
      </c>
      <c r="E255" t="s">
        <v>328</v>
      </c>
      <c r="F255" t="s">
        <v>584</v>
      </c>
      <c r="G255" s="289">
        <v>45651.05417044396</v>
      </c>
    </row>
    <row r="256" spans="1:7" x14ac:dyDescent="0.25">
      <c r="A256">
        <v>255</v>
      </c>
      <c r="B256" t="s">
        <v>336</v>
      </c>
      <c r="C256" s="290">
        <v>44256</v>
      </c>
      <c r="D256" t="s">
        <v>609</v>
      </c>
      <c r="E256" t="s">
        <v>328</v>
      </c>
      <c r="F256" t="s">
        <v>584</v>
      </c>
      <c r="G256" s="289">
        <v>149660.37726917601</v>
      </c>
    </row>
    <row r="257" spans="1:7" x14ac:dyDescent="0.25">
      <c r="A257">
        <v>256</v>
      </c>
      <c r="B257" t="s">
        <v>336</v>
      </c>
      <c r="C257" s="290">
        <v>44256</v>
      </c>
      <c r="D257" t="s">
        <v>607</v>
      </c>
      <c r="E257" t="s">
        <v>328</v>
      </c>
      <c r="F257" t="s">
        <v>585</v>
      </c>
      <c r="G257" s="289">
        <v>241031.25389302298</v>
      </c>
    </row>
    <row r="258" spans="1:7" x14ac:dyDescent="0.25">
      <c r="A258">
        <v>257</v>
      </c>
      <c r="B258" t="s">
        <v>336</v>
      </c>
      <c r="C258" s="290">
        <v>44256</v>
      </c>
      <c r="D258" t="s">
        <v>608</v>
      </c>
      <c r="E258" t="s">
        <v>328</v>
      </c>
      <c r="F258" t="s">
        <v>585</v>
      </c>
      <c r="G258" s="289">
        <v>149679.0634425224</v>
      </c>
    </row>
    <row r="259" spans="1:7" x14ac:dyDescent="0.25">
      <c r="A259">
        <v>258</v>
      </c>
      <c r="B259" t="s">
        <v>336</v>
      </c>
      <c r="C259" s="290">
        <v>44256</v>
      </c>
      <c r="D259" t="s">
        <v>608</v>
      </c>
      <c r="E259" t="s">
        <v>328</v>
      </c>
      <c r="F259" t="s">
        <v>584</v>
      </c>
      <c r="G259" s="289">
        <v>134632.13546874042</v>
      </c>
    </row>
    <row r="260" spans="1:7" x14ac:dyDescent="0.25">
      <c r="A260">
        <v>259</v>
      </c>
      <c r="B260" t="s">
        <v>336</v>
      </c>
      <c r="C260" s="290">
        <v>44287</v>
      </c>
      <c r="D260" t="s">
        <v>609</v>
      </c>
      <c r="E260" t="s">
        <v>328</v>
      </c>
      <c r="F260" t="s">
        <v>584</v>
      </c>
      <c r="G260" s="289">
        <v>291742.08246653469</v>
      </c>
    </row>
    <row r="261" spans="1:7" x14ac:dyDescent="0.25">
      <c r="A261">
        <v>260</v>
      </c>
      <c r="B261" t="s">
        <v>336</v>
      </c>
      <c r="C261" s="290">
        <v>44287</v>
      </c>
      <c r="D261" t="s">
        <v>607</v>
      </c>
      <c r="E261" t="s">
        <v>328</v>
      </c>
      <c r="F261" t="s">
        <v>584</v>
      </c>
      <c r="G261" s="289">
        <v>109424.10131812668</v>
      </c>
    </row>
    <row r="262" spans="1:7" x14ac:dyDescent="0.25">
      <c r="A262">
        <v>261</v>
      </c>
      <c r="B262" t="s">
        <v>336</v>
      </c>
      <c r="C262" s="290">
        <v>44287</v>
      </c>
      <c r="D262" t="s">
        <v>608</v>
      </c>
      <c r="E262" t="s">
        <v>328</v>
      </c>
      <c r="F262" t="s">
        <v>585</v>
      </c>
      <c r="G262" s="289">
        <v>252900.64141825348</v>
      </c>
    </row>
    <row r="263" spans="1:7" x14ac:dyDescent="0.25">
      <c r="A263">
        <v>262</v>
      </c>
      <c r="B263" t="s">
        <v>336</v>
      </c>
      <c r="C263" s="290">
        <v>44287</v>
      </c>
      <c r="D263" t="s">
        <v>608</v>
      </c>
      <c r="E263" t="s">
        <v>328</v>
      </c>
      <c r="F263" t="s">
        <v>584</v>
      </c>
      <c r="G263" s="289">
        <v>240977.64155234536</v>
      </c>
    </row>
    <row r="264" spans="1:7" x14ac:dyDescent="0.25">
      <c r="A264">
        <v>263</v>
      </c>
      <c r="B264" t="s">
        <v>336</v>
      </c>
      <c r="C264" s="290">
        <v>44287</v>
      </c>
      <c r="D264" t="s">
        <v>607</v>
      </c>
      <c r="E264" t="s">
        <v>328</v>
      </c>
      <c r="F264" t="s">
        <v>585</v>
      </c>
      <c r="G264" s="289">
        <v>500200.61175943998</v>
      </c>
    </row>
    <row r="265" spans="1:7" x14ac:dyDescent="0.25">
      <c r="A265">
        <v>264</v>
      </c>
      <c r="B265" t="s">
        <v>336</v>
      </c>
      <c r="C265" s="290">
        <v>44287</v>
      </c>
      <c r="D265" t="s">
        <v>609</v>
      </c>
      <c r="E265" t="s">
        <v>328</v>
      </c>
      <c r="F265" t="s">
        <v>585</v>
      </c>
      <c r="G265" s="289">
        <v>598712.56887298753</v>
      </c>
    </row>
    <row r="266" spans="1:7" x14ac:dyDescent="0.25">
      <c r="A266">
        <v>265</v>
      </c>
      <c r="B266" t="s">
        <v>336</v>
      </c>
      <c r="C266" s="290">
        <v>44228</v>
      </c>
      <c r="D266" t="s">
        <v>607</v>
      </c>
      <c r="E266" t="s">
        <v>329</v>
      </c>
      <c r="F266" t="s">
        <v>585</v>
      </c>
      <c r="G266" s="289">
        <v>183501.23394522909</v>
      </c>
    </row>
    <row r="267" spans="1:7" x14ac:dyDescent="0.25">
      <c r="A267">
        <v>266</v>
      </c>
      <c r="B267" t="s">
        <v>336</v>
      </c>
      <c r="C267" s="290">
        <v>44228</v>
      </c>
      <c r="D267" t="s">
        <v>607</v>
      </c>
      <c r="E267" t="s">
        <v>329</v>
      </c>
      <c r="F267" t="s">
        <v>584</v>
      </c>
      <c r="G267" s="289">
        <v>55775.000882980297</v>
      </c>
    </row>
    <row r="268" spans="1:7" x14ac:dyDescent="0.25">
      <c r="A268">
        <v>267</v>
      </c>
      <c r="B268" t="s">
        <v>336</v>
      </c>
      <c r="C268" s="290">
        <v>44228</v>
      </c>
      <c r="D268" t="s">
        <v>609</v>
      </c>
      <c r="E268" t="s">
        <v>329</v>
      </c>
      <c r="F268" t="s">
        <v>585</v>
      </c>
      <c r="G268" s="289">
        <v>92335.38461538461</v>
      </c>
    </row>
    <row r="269" spans="1:7" x14ac:dyDescent="0.25">
      <c r="A269">
        <v>268</v>
      </c>
      <c r="B269" t="s">
        <v>336</v>
      </c>
      <c r="C269" s="290">
        <v>44228</v>
      </c>
      <c r="D269" t="s">
        <v>608</v>
      </c>
      <c r="E269" t="s">
        <v>329</v>
      </c>
      <c r="F269" t="s">
        <v>585</v>
      </c>
      <c r="G269" s="289">
        <v>57588.629993739247</v>
      </c>
    </row>
    <row r="270" spans="1:7" x14ac:dyDescent="0.25">
      <c r="A270">
        <v>269</v>
      </c>
      <c r="B270" t="s">
        <v>336</v>
      </c>
      <c r="C270" s="290">
        <v>44228</v>
      </c>
      <c r="D270" t="s">
        <v>608</v>
      </c>
      <c r="E270" t="s">
        <v>329</v>
      </c>
      <c r="F270" t="s">
        <v>584</v>
      </c>
      <c r="G270" s="289">
        <v>28984.486188287556</v>
      </c>
    </row>
    <row r="271" spans="1:7" x14ac:dyDescent="0.25">
      <c r="A271">
        <v>270</v>
      </c>
      <c r="B271" t="s">
        <v>336</v>
      </c>
      <c r="C271" s="290">
        <v>44228</v>
      </c>
      <c r="D271" t="s">
        <v>609</v>
      </c>
      <c r="E271" t="s">
        <v>329</v>
      </c>
      <c r="F271" t="s">
        <v>584</v>
      </c>
      <c r="G271" s="289">
        <v>109111.80997667543</v>
      </c>
    </row>
    <row r="272" spans="1:7" x14ac:dyDescent="0.25">
      <c r="A272">
        <v>271</v>
      </c>
      <c r="B272" t="s">
        <v>336</v>
      </c>
      <c r="C272" s="290">
        <v>44256</v>
      </c>
      <c r="D272" t="s">
        <v>608</v>
      </c>
      <c r="E272" t="s">
        <v>329</v>
      </c>
      <c r="F272" t="s">
        <v>584</v>
      </c>
      <c r="G272" s="289">
        <v>156638.68256248848</v>
      </c>
    </row>
    <row r="273" spans="1:7" x14ac:dyDescent="0.25">
      <c r="A273">
        <v>272</v>
      </c>
      <c r="B273" t="s">
        <v>336</v>
      </c>
      <c r="C273" s="290">
        <v>44256</v>
      </c>
      <c r="D273" t="s">
        <v>609</v>
      </c>
      <c r="E273" t="s">
        <v>329</v>
      </c>
      <c r="F273" t="s">
        <v>585</v>
      </c>
      <c r="G273" s="289">
        <v>11737.012987012986</v>
      </c>
    </row>
    <row r="274" spans="1:7" x14ac:dyDescent="0.25">
      <c r="A274">
        <v>273</v>
      </c>
      <c r="B274" t="s">
        <v>336</v>
      </c>
      <c r="C274" s="290">
        <v>44256</v>
      </c>
      <c r="D274" t="s">
        <v>609</v>
      </c>
      <c r="E274" t="s">
        <v>329</v>
      </c>
      <c r="F274" t="s">
        <v>584</v>
      </c>
      <c r="G274" s="289">
        <v>179592.45272301126</v>
      </c>
    </row>
    <row r="275" spans="1:7" x14ac:dyDescent="0.25">
      <c r="A275">
        <v>274</v>
      </c>
      <c r="B275" t="s">
        <v>336</v>
      </c>
      <c r="C275" s="290">
        <v>44256</v>
      </c>
      <c r="D275" t="s">
        <v>607</v>
      </c>
      <c r="E275" t="s">
        <v>329</v>
      </c>
      <c r="F275" t="s">
        <v>585</v>
      </c>
      <c r="G275" s="289">
        <v>310765.5046716276</v>
      </c>
    </row>
    <row r="276" spans="1:7" x14ac:dyDescent="0.25">
      <c r="A276">
        <v>275</v>
      </c>
      <c r="B276" t="s">
        <v>336</v>
      </c>
      <c r="C276" s="290">
        <v>44256</v>
      </c>
      <c r="D276" t="s">
        <v>608</v>
      </c>
      <c r="E276" t="s">
        <v>329</v>
      </c>
      <c r="F276" t="s">
        <v>585</v>
      </c>
      <c r="G276" s="289">
        <v>157191.67613102688</v>
      </c>
    </row>
    <row r="277" spans="1:7" x14ac:dyDescent="0.25">
      <c r="A277">
        <v>276</v>
      </c>
      <c r="B277" t="s">
        <v>336</v>
      </c>
      <c r="C277" s="290">
        <v>44256</v>
      </c>
      <c r="D277" t="s">
        <v>607</v>
      </c>
      <c r="E277" t="s">
        <v>329</v>
      </c>
      <c r="F277" t="s">
        <v>584</v>
      </c>
      <c r="G277" s="289">
        <v>54277.265004532746</v>
      </c>
    </row>
    <row r="278" spans="1:7" x14ac:dyDescent="0.25">
      <c r="A278">
        <v>277</v>
      </c>
      <c r="B278" t="s">
        <v>336</v>
      </c>
      <c r="C278" s="290">
        <v>44287</v>
      </c>
      <c r="D278" t="s">
        <v>609</v>
      </c>
      <c r="E278" t="s">
        <v>329</v>
      </c>
      <c r="F278" t="s">
        <v>585</v>
      </c>
      <c r="G278" s="289">
        <v>210980.39033989268</v>
      </c>
    </row>
    <row r="279" spans="1:7" x14ac:dyDescent="0.25">
      <c r="A279">
        <v>278</v>
      </c>
      <c r="B279" t="s">
        <v>336</v>
      </c>
      <c r="C279" s="290">
        <v>44287</v>
      </c>
      <c r="D279" t="s">
        <v>608</v>
      </c>
      <c r="E279" t="s">
        <v>329</v>
      </c>
      <c r="F279" t="s">
        <v>585</v>
      </c>
      <c r="G279" s="289">
        <v>323359.74010867369</v>
      </c>
    </row>
    <row r="280" spans="1:7" x14ac:dyDescent="0.25">
      <c r="A280">
        <v>279</v>
      </c>
      <c r="B280" t="s">
        <v>336</v>
      </c>
      <c r="C280" s="290">
        <v>44287</v>
      </c>
      <c r="D280" t="s">
        <v>607</v>
      </c>
      <c r="E280" t="s">
        <v>329</v>
      </c>
      <c r="F280" t="s">
        <v>585</v>
      </c>
      <c r="G280" s="289">
        <v>626038.90869124362</v>
      </c>
    </row>
    <row r="281" spans="1:7" x14ac:dyDescent="0.25">
      <c r="A281">
        <v>280</v>
      </c>
      <c r="B281" t="s">
        <v>336</v>
      </c>
      <c r="C281" s="290">
        <v>44287</v>
      </c>
      <c r="D281" t="s">
        <v>609</v>
      </c>
      <c r="E281" t="s">
        <v>329</v>
      </c>
      <c r="F281" t="s">
        <v>584</v>
      </c>
      <c r="G281" s="289">
        <v>346451.42717677634</v>
      </c>
    </row>
    <row r="282" spans="1:7" x14ac:dyDescent="0.25">
      <c r="A282">
        <v>281</v>
      </c>
      <c r="B282" t="s">
        <v>336</v>
      </c>
      <c r="C282" s="290">
        <v>44287</v>
      </c>
      <c r="D282" t="s">
        <v>608</v>
      </c>
      <c r="E282" t="s">
        <v>329</v>
      </c>
      <c r="F282" t="s">
        <v>584</v>
      </c>
      <c r="G282" s="289">
        <v>265173.16986281442</v>
      </c>
    </row>
    <row r="283" spans="1:7" x14ac:dyDescent="0.25">
      <c r="A283">
        <v>282</v>
      </c>
      <c r="B283" t="s">
        <v>336</v>
      </c>
      <c r="C283" s="290">
        <v>44287</v>
      </c>
      <c r="D283" t="s">
        <v>607</v>
      </c>
      <c r="E283" t="s">
        <v>329</v>
      </c>
      <c r="F283" t="s">
        <v>584</v>
      </c>
      <c r="G283" s="289">
        <v>133218.01249084296</v>
      </c>
    </row>
    <row r="284" spans="1:7" x14ac:dyDescent="0.25">
      <c r="A284">
        <v>283</v>
      </c>
      <c r="B284" t="s">
        <v>336</v>
      </c>
      <c r="C284" s="290">
        <v>44228</v>
      </c>
      <c r="D284" t="s">
        <v>609</v>
      </c>
      <c r="E284" t="s">
        <v>330</v>
      </c>
      <c r="F284" t="s">
        <v>584</v>
      </c>
      <c r="G284" s="289">
        <v>25743.22213733539</v>
      </c>
    </row>
    <row r="285" spans="1:7" x14ac:dyDescent="0.25">
      <c r="A285">
        <v>284</v>
      </c>
      <c r="B285" t="s">
        <v>336</v>
      </c>
      <c r="C285" s="290">
        <v>44228</v>
      </c>
      <c r="D285" t="s">
        <v>609</v>
      </c>
      <c r="E285" t="s">
        <v>330</v>
      </c>
      <c r="F285" t="s">
        <v>585</v>
      </c>
      <c r="G285" s="289">
        <v>10618.461538461539</v>
      </c>
    </row>
    <row r="286" spans="1:7" x14ac:dyDescent="0.25">
      <c r="A286">
        <v>285</v>
      </c>
      <c r="B286" t="s">
        <v>336</v>
      </c>
      <c r="C286" s="290">
        <v>44228</v>
      </c>
      <c r="D286" t="s">
        <v>608</v>
      </c>
      <c r="E286" t="s">
        <v>330</v>
      </c>
      <c r="F286" t="s">
        <v>585</v>
      </c>
      <c r="G286" s="289">
        <v>26907.008147023982</v>
      </c>
    </row>
    <row r="287" spans="1:7" x14ac:dyDescent="0.25">
      <c r="A287">
        <v>286</v>
      </c>
      <c r="B287" t="s">
        <v>336</v>
      </c>
      <c r="C287" s="290">
        <v>44228</v>
      </c>
      <c r="D287" t="s">
        <v>607</v>
      </c>
      <c r="E287" t="s">
        <v>330</v>
      </c>
      <c r="F287" t="s">
        <v>584</v>
      </c>
      <c r="G287" s="289">
        <v>39602.842205991808</v>
      </c>
    </row>
    <row r="288" spans="1:7" x14ac:dyDescent="0.25">
      <c r="A288">
        <v>287</v>
      </c>
      <c r="B288" t="s">
        <v>336</v>
      </c>
      <c r="C288" s="290">
        <v>44228</v>
      </c>
      <c r="D288" t="s">
        <v>607</v>
      </c>
      <c r="E288" t="s">
        <v>330</v>
      </c>
      <c r="F288" t="s">
        <v>585</v>
      </c>
      <c r="G288" s="289">
        <v>66499.865582018741</v>
      </c>
    </row>
    <row r="289" spans="1:7" x14ac:dyDescent="0.25">
      <c r="A289">
        <v>288</v>
      </c>
      <c r="B289" t="s">
        <v>336</v>
      </c>
      <c r="C289" s="290">
        <v>44228</v>
      </c>
      <c r="D289" t="s">
        <v>608</v>
      </c>
      <c r="E289" t="s">
        <v>330</v>
      </c>
      <c r="F289" t="s">
        <v>584</v>
      </c>
      <c r="G289" s="289">
        <v>18376.467775253695</v>
      </c>
    </row>
    <row r="290" spans="1:7" x14ac:dyDescent="0.25">
      <c r="A290">
        <v>289</v>
      </c>
      <c r="B290" t="s">
        <v>336</v>
      </c>
      <c r="C290" s="290">
        <v>44256</v>
      </c>
      <c r="D290" t="s">
        <v>609</v>
      </c>
      <c r="E290" t="s">
        <v>330</v>
      </c>
      <c r="F290" t="s">
        <v>585</v>
      </c>
      <c r="G290" s="289">
        <v>3321.4285714285716</v>
      </c>
    </row>
    <row r="291" spans="1:7" x14ac:dyDescent="0.25">
      <c r="A291">
        <v>290</v>
      </c>
      <c r="B291" t="s">
        <v>336</v>
      </c>
      <c r="C291" s="290">
        <v>44256</v>
      </c>
      <c r="D291" t="s">
        <v>607</v>
      </c>
      <c r="E291" t="s">
        <v>330</v>
      </c>
      <c r="F291" t="s">
        <v>585</v>
      </c>
      <c r="G291" s="289">
        <v>105498.57994149232</v>
      </c>
    </row>
    <row r="292" spans="1:7" x14ac:dyDescent="0.25">
      <c r="A292">
        <v>291</v>
      </c>
      <c r="B292" t="s">
        <v>336</v>
      </c>
      <c r="C292" s="290">
        <v>44256</v>
      </c>
      <c r="D292" t="s">
        <v>607</v>
      </c>
      <c r="E292" t="s">
        <v>330</v>
      </c>
      <c r="F292" t="s">
        <v>584</v>
      </c>
      <c r="G292" s="289">
        <v>22387.403501828132</v>
      </c>
    </row>
    <row r="293" spans="1:7" x14ac:dyDescent="0.25">
      <c r="A293">
        <v>292</v>
      </c>
      <c r="B293" t="s">
        <v>336</v>
      </c>
      <c r="C293" s="290">
        <v>44256</v>
      </c>
      <c r="D293" t="s">
        <v>608</v>
      </c>
      <c r="E293" t="s">
        <v>330</v>
      </c>
      <c r="F293" t="s">
        <v>585</v>
      </c>
      <c r="G293" s="289">
        <v>50890.726265157966</v>
      </c>
    </row>
    <row r="294" spans="1:7" x14ac:dyDescent="0.25">
      <c r="A294">
        <v>293</v>
      </c>
      <c r="B294" t="s">
        <v>336</v>
      </c>
      <c r="C294" s="290">
        <v>44256</v>
      </c>
      <c r="D294" t="s">
        <v>609</v>
      </c>
      <c r="E294" t="s">
        <v>330</v>
      </c>
      <c r="F294" t="s">
        <v>584</v>
      </c>
      <c r="G294" s="289">
        <v>49341.143514491661</v>
      </c>
    </row>
    <row r="295" spans="1:7" x14ac:dyDescent="0.25">
      <c r="A295">
        <v>294</v>
      </c>
      <c r="B295" t="s">
        <v>336</v>
      </c>
      <c r="C295" s="290">
        <v>44256</v>
      </c>
      <c r="D295" t="s">
        <v>608</v>
      </c>
      <c r="E295" t="s">
        <v>330</v>
      </c>
      <c r="F295" t="s">
        <v>584</v>
      </c>
      <c r="G295" s="289">
        <v>50069.316034228075</v>
      </c>
    </row>
    <row r="296" spans="1:7" x14ac:dyDescent="0.25">
      <c r="A296">
        <v>295</v>
      </c>
      <c r="B296" t="s">
        <v>336</v>
      </c>
      <c r="C296" s="290">
        <v>44287</v>
      </c>
      <c r="D296" t="s">
        <v>609</v>
      </c>
      <c r="E296" t="s">
        <v>330</v>
      </c>
      <c r="F296" t="s">
        <v>585</v>
      </c>
      <c r="G296" s="289">
        <v>179129.46923076923</v>
      </c>
    </row>
    <row r="297" spans="1:7" x14ac:dyDescent="0.25">
      <c r="A297">
        <v>296</v>
      </c>
      <c r="B297" t="s">
        <v>336</v>
      </c>
      <c r="C297" s="290">
        <v>44287</v>
      </c>
      <c r="D297" t="s">
        <v>608</v>
      </c>
      <c r="E297" t="s">
        <v>330</v>
      </c>
      <c r="F297" t="s">
        <v>584</v>
      </c>
      <c r="G297" s="289">
        <v>81353.437445508447</v>
      </c>
    </row>
    <row r="298" spans="1:7" x14ac:dyDescent="0.25">
      <c r="A298">
        <v>297</v>
      </c>
      <c r="B298" t="s">
        <v>336</v>
      </c>
      <c r="C298" s="290">
        <v>44287</v>
      </c>
      <c r="D298" t="s">
        <v>607</v>
      </c>
      <c r="E298" t="s">
        <v>330</v>
      </c>
      <c r="F298" t="s">
        <v>584</v>
      </c>
      <c r="G298" s="289">
        <v>54316.794010214973</v>
      </c>
    </row>
    <row r="299" spans="1:7" x14ac:dyDescent="0.25">
      <c r="A299">
        <v>298</v>
      </c>
      <c r="B299" t="s">
        <v>336</v>
      </c>
      <c r="C299" s="290">
        <v>44287</v>
      </c>
      <c r="D299" t="s">
        <v>607</v>
      </c>
      <c r="E299" t="s">
        <v>330</v>
      </c>
      <c r="F299" t="s">
        <v>585</v>
      </c>
      <c r="G299" s="289">
        <v>202769.76233204597</v>
      </c>
    </row>
    <row r="300" spans="1:7" x14ac:dyDescent="0.25">
      <c r="A300">
        <v>299</v>
      </c>
      <c r="B300" t="s">
        <v>336</v>
      </c>
      <c r="C300" s="290">
        <v>44287</v>
      </c>
      <c r="D300" t="s">
        <v>608</v>
      </c>
      <c r="E300" t="s">
        <v>330</v>
      </c>
      <c r="F300" t="s">
        <v>585</v>
      </c>
      <c r="G300" s="289">
        <v>108548.74231554856</v>
      </c>
    </row>
    <row r="301" spans="1:7" x14ac:dyDescent="0.25">
      <c r="A301">
        <v>300</v>
      </c>
      <c r="B301" t="s">
        <v>336</v>
      </c>
      <c r="C301" s="290">
        <v>44287</v>
      </c>
      <c r="D301" t="s">
        <v>609</v>
      </c>
      <c r="E301" t="s">
        <v>330</v>
      </c>
      <c r="F301" t="s">
        <v>584</v>
      </c>
      <c r="G301" s="289">
        <v>93922.908713100202</v>
      </c>
    </row>
    <row r="302" spans="1:7" x14ac:dyDescent="0.25">
      <c r="A302">
        <v>301</v>
      </c>
      <c r="B302" t="s">
        <v>336</v>
      </c>
      <c r="C302" s="290">
        <v>44228</v>
      </c>
      <c r="D302" t="s">
        <v>609</v>
      </c>
      <c r="E302" t="s">
        <v>2</v>
      </c>
      <c r="F302" t="s">
        <v>585</v>
      </c>
      <c r="G302" s="289">
        <v>600</v>
      </c>
    </row>
    <row r="303" spans="1:7" x14ac:dyDescent="0.25">
      <c r="A303">
        <v>302</v>
      </c>
      <c r="B303" t="s">
        <v>336</v>
      </c>
      <c r="C303" s="290">
        <v>44228</v>
      </c>
      <c r="D303" t="s">
        <v>608</v>
      </c>
      <c r="E303" t="s">
        <v>2</v>
      </c>
      <c r="F303" t="s">
        <v>584</v>
      </c>
      <c r="G303" s="289">
        <v>30939.383603301565</v>
      </c>
    </row>
    <row r="304" spans="1:7" x14ac:dyDescent="0.25">
      <c r="A304">
        <v>303</v>
      </c>
      <c r="B304" t="s">
        <v>336</v>
      </c>
      <c r="C304" s="290">
        <v>44228</v>
      </c>
      <c r="D304" t="s">
        <v>607</v>
      </c>
      <c r="E304" t="s">
        <v>2</v>
      </c>
      <c r="F304" t="s">
        <v>585</v>
      </c>
      <c r="G304" s="289">
        <v>2605.5</v>
      </c>
    </row>
    <row r="305" spans="1:7" x14ac:dyDescent="0.25">
      <c r="A305">
        <v>304</v>
      </c>
      <c r="B305" t="s">
        <v>336</v>
      </c>
      <c r="C305" s="290">
        <v>44228</v>
      </c>
      <c r="D305" t="s">
        <v>609</v>
      </c>
      <c r="E305" t="s">
        <v>2</v>
      </c>
      <c r="F305" t="s">
        <v>584</v>
      </c>
      <c r="G305" s="289">
        <v>21546.780738461537</v>
      </c>
    </row>
    <row r="306" spans="1:7" x14ac:dyDescent="0.25">
      <c r="A306">
        <v>305</v>
      </c>
      <c r="B306" t="s">
        <v>336</v>
      </c>
      <c r="C306" s="290">
        <v>44228</v>
      </c>
      <c r="D306" t="s">
        <v>607</v>
      </c>
      <c r="E306" t="s">
        <v>2</v>
      </c>
      <c r="F306" t="s">
        <v>584</v>
      </c>
      <c r="G306" s="289">
        <v>72862.555121414989</v>
      </c>
    </row>
    <row r="307" spans="1:7" x14ac:dyDescent="0.25">
      <c r="A307">
        <v>306</v>
      </c>
      <c r="B307" t="s">
        <v>336</v>
      </c>
      <c r="C307" s="290">
        <v>44228</v>
      </c>
      <c r="D307" t="s">
        <v>608</v>
      </c>
      <c r="E307" t="s">
        <v>2</v>
      </c>
      <c r="F307" t="s">
        <v>585</v>
      </c>
      <c r="G307" s="289">
        <v>1486.836864454046</v>
      </c>
    </row>
    <row r="308" spans="1:7" x14ac:dyDescent="0.25">
      <c r="A308">
        <v>307</v>
      </c>
      <c r="B308" t="s">
        <v>336</v>
      </c>
      <c r="C308" s="290">
        <v>44256</v>
      </c>
      <c r="D308" t="s">
        <v>609</v>
      </c>
      <c r="E308" t="s">
        <v>2</v>
      </c>
      <c r="F308" t="s">
        <v>585</v>
      </c>
      <c r="G308" s="289">
        <v>553.57142857142856</v>
      </c>
    </row>
    <row r="309" spans="1:7" x14ac:dyDescent="0.25">
      <c r="A309">
        <v>308</v>
      </c>
      <c r="B309" t="s">
        <v>336</v>
      </c>
      <c r="C309" s="290">
        <v>44256</v>
      </c>
      <c r="D309" t="s">
        <v>607</v>
      </c>
      <c r="E309" t="s">
        <v>2</v>
      </c>
      <c r="F309" t="s">
        <v>584</v>
      </c>
      <c r="G309" s="289">
        <v>63252.435365601967</v>
      </c>
    </row>
    <row r="310" spans="1:7" x14ac:dyDescent="0.25">
      <c r="A310">
        <v>309</v>
      </c>
      <c r="B310" t="s">
        <v>336</v>
      </c>
      <c r="C310" s="290">
        <v>44256</v>
      </c>
      <c r="D310" t="s">
        <v>608</v>
      </c>
      <c r="E310" t="s">
        <v>2</v>
      </c>
      <c r="F310" t="s">
        <v>585</v>
      </c>
      <c r="G310" s="289">
        <v>5271.8852267841867</v>
      </c>
    </row>
    <row r="311" spans="1:7" x14ac:dyDescent="0.25">
      <c r="A311">
        <v>310</v>
      </c>
      <c r="B311" t="s">
        <v>336</v>
      </c>
      <c r="C311" s="290">
        <v>44256</v>
      </c>
      <c r="D311" t="s">
        <v>609</v>
      </c>
      <c r="E311" t="s">
        <v>2</v>
      </c>
      <c r="F311" t="s">
        <v>584</v>
      </c>
      <c r="G311" s="289">
        <v>22558.655405575217</v>
      </c>
    </row>
    <row r="312" spans="1:7" x14ac:dyDescent="0.25">
      <c r="A312">
        <v>311</v>
      </c>
      <c r="B312" t="s">
        <v>336</v>
      </c>
      <c r="C312" s="290">
        <v>44256</v>
      </c>
      <c r="D312" t="s">
        <v>608</v>
      </c>
      <c r="E312" t="s">
        <v>2</v>
      </c>
      <c r="F312" t="s">
        <v>584</v>
      </c>
      <c r="G312" s="289">
        <v>58280.661072105249</v>
      </c>
    </row>
    <row r="313" spans="1:7" x14ac:dyDescent="0.25">
      <c r="A313">
        <v>312</v>
      </c>
      <c r="B313" t="s">
        <v>336</v>
      </c>
      <c r="C313" s="290">
        <v>44256</v>
      </c>
      <c r="D313" t="s">
        <v>607</v>
      </c>
      <c r="E313" t="s">
        <v>2</v>
      </c>
      <c r="F313" t="s">
        <v>585</v>
      </c>
      <c r="G313" s="289">
        <v>2139.5957763431447</v>
      </c>
    </row>
    <row r="314" spans="1:7" x14ac:dyDescent="0.25">
      <c r="A314">
        <v>313</v>
      </c>
      <c r="B314" t="s">
        <v>336</v>
      </c>
      <c r="C314" s="290">
        <v>44287</v>
      </c>
      <c r="D314" t="s">
        <v>608</v>
      </c>
      <c r="E314" t="s">
        <v>2</v>
      </c>
      <c r="F314" t="s">
        <v>584</v>
      </c>
      <c r="G314" s="289">
        <v>137633.79083184383</v>
      </c>
    </row>
    <row r="315" spans="1:7" x14ac:dyDescent="0.25">
      <c r="A315">
        <v>314</v>
      </c>
      <c r="B315" t="s">
        <v>336</v>
      </c>
      <c r="C315" s="290">
        <v>44287</v>
      </c>
      <c r="D315" t="s">
        <v>607</v>
      </c>
      <c r="E315" t="s">
        <v>2</v>
      </c>
      <c r="F315" t="s">
        <v>585</v>
      </c>
      <c r="G315" s="289">
        <v>1595.7561586400775</v>
      </c>
    </row>
    <row r="316" spans="1:7" x14ac:dyDescent="0.25">
      <c r="A316">
        <v>315</v>
      </c>
      <c r="B316" t="s">
        <v>336</v>
      </c>
      <c r="C316" s="290">
        <v>44287</v>
      </c>
      <c r="D316" t="s">
        <v>608</v>
      </c>
      <c r="E316" t="s">
        <v>2</v>
      </c>
      <c r="F316" t="s">
        <v>585</v>
      </c>
      <c r="G316" s="289">
        <v>2423.151808758505</v>
      </c>
    </row>
    <row r="317" spans="1:7" x14ac:dyDescent="0.25">
      <c r="A317">
        <v>316</v>
      </c>
      <c r="B317" t="s">
        <v>336</v>
      </c>
      <c r="C317" s="290">
        <v>44287</v>
      </c>
      <c r="D317" t="s">
        <v>609</v>
      </c>
      <c r="E317" t="s">
        <v>2</v>
      </c>
      <c r="F317" t="s">
        <v>585</v>
      </c>
      <c r="G317" s="289">
        <v>6231.4230769230771</v>
      </c>
    </row>
    <row r="318" spans="1:7" x14ac:dyDescent="0.25">
      <c r="A318">
        <v>317</v>
      </c>
      <c r="B318" t="s">
        <v>336</v>
      </c>
      <c r="C318" s="290">
        <v>44287</v>
      </c>
      <c r="D318" t="s">
        <v>609</v>
      </c>
      <c r="E318" t="s">
        <v>2</v>
      </c>
      <c r="F318" t="s">
        <v>584</v>
      </c>
      <c r="G318" s="289">
        <v>52004.533761212115</v>
      </c>
    </row>
    <row r="319" spans="1:7" x14ac:dyDescent="0.25">
      <c r="A319">
        <v>318</v>
      </c>
      <c r="B319" t="s">
        <v>336</v>
      </c>
      <c r="C319" s="290">
        <v>44287</v>
      </c>
      <c r="D319" t="s">
        <v>607</v>
      </c>
      <c r="E319" t="s">
        <v>2</v>
      </c>
      <c r="F319" t="s">
        <v>584</v>
      </c>
      <c r="G319" s="289">
        <v>52311.584624372183</v>
      </c>
    </row>
    <row r="320" spans="1:7" x14ac:dyDescent="0.25">
      <c r="A320">
        <v>319</v>
      </c>
      <c r="B320" t="s">
        <v>336</v>
      </c>
      <c r="C320" s="290">
        <v>44228</v>
      </c>
      <c r="D320" t="s">
        <v>608</v>
      </c>
      <c r="E320" t="s">
        <v>331</v>
      </c>
      <c r="F320" t="s">
        <v>585</v>
      </c>
      <c r="G320" s="289">
        <v>0</v>
      </c>
    </row>
    <row r="321" spans="1:7" x14ac:dyDescent="0.25">
      <c r="A321">
        <v>320</v>
      </c>
      <c r="B321" t="s">
        <v>336</v>
      </c>
      <c r="C321" s="290">
        <v>44228</v>
      </c>
      <c r="D321" t="s">
        <v>609</v>
      </c>
      <c r="E321" t="s">
        <v>331</v>
      </c>
      <c r="F321" t="s">
        <v>584</v>
      </c>
      <c r="G321" s="289">
        <v>0</v>
      </c>
    </row>
    <row r="322" spans="1:7" x14ac:dyDescent="0.25">
      <c r="A322">
        <v>321</v>
      </c>
      <c r="B322" t="s">
        <v>336</v>
      </c>
      <c r="C322" s="290">
        <v>44228</v>
      </c>
      <c r="D322" t="s">
        <v>607</v>
      </c>
      <c r="E322" t="s">
        <v>331</v>
      </c>
      <c r="F322" t="s">
        <v>585</v>
      </c>
      <c r="G322" s="289">
        <v>0</v>
      </c>
    </row>
    <row r="323" spans="1:7" x14ac:dyDescent="0.25">
      <c r="A323">
        <v>322</v>
      </c>
      <c r="B323" t="s">
        <v>336</v>
      </c>
      <c r="C323" s="290">
        <v>44228</v>
      </c>
      <c r="D323" t="s">
        <v>609</v>
      </c>
      <c r="E323" t="s">
        <v>331</v>
      </c>
      <c r="F323" t="s">
        <v>585</v>
      </c>
      <c r="G323" s="289">
        <v>20000</v>
      </c>
    </row>
    <row r="324" spans="1:7" x14ac:dyDescent="0.25">
      <c r="A324">
        <v>323</v>
      </c>
      <c r="B324" t="s">
        <v>336</v>
      </c>
      <c r="C324" s="290">
        <v>44228</v>
      </c>
      <c r="D324" t="s">
        <v>607</v>
      </c>
      <c r="E324" t="s">
        <v>331</v>
      </c>
      <c r="F324" t="s">
        <v>584</v>
      </c>
      <c r="G324" s="289">
        <v>0</v>
      </c>
    </row>
    <row r="325" spans="1:7" x14ac:dyDescent="0.25">
      <c r="A325">
        <v>324</v>
      </c>
      <c r="B325" t="s">
        <v>336</v>
      </c>
      <c r="C325" s="290">
        <v>44228</v>
      </c>
      <c r="D325" t="s">
        <v>608</v>
      </c>
      <c r="E325" t="s">
        <v>331</v>
      </c>
      <c r="F325" t="s">
        <v>584</v>
      </c>
      <c r="G325" s="289">
        <v>0</v>
      </c>
    </row>
    <row r="326" spans="1:7" x14ac:dyDescent="0.25">
      <c r="A326">
        <v>325</v>
      </c>
      <c r="B326" t="s">
        <v>336</v>
      </c>
      <c r="C326" s="290">
        <v>44256</v>
      </c>
      <c r="D326" t="s">
        <v>608</v>
      </c>
      <c r="E326" t="s">
        <v>331</v>
      </c>
      <c r="F326" t="s">
        <v>585</v>
      </c>
      <c r="G326" s="289">
        <v>0</v>
      </c>
    </row>
    <row r="327" spans="1:7" x14ac:dyDescent="0.25">
      <c r="A327">
        <v>326</v>
      </c>
      <c r="B327" t="s">
        <v>336</v>
      </c>
      <c r="C327" s="290">
        <v>44256</v>
      </c>
      <c r="D327" t="s">
        <v>608</v>
      </c>
      <c r="E327" t="s">
        <v>331</v>
      </c>
      <c r="F327" t="s">
        <v>584</v>
      </c>
      <c r="G327" s="289">
        <v>0</v>
      </c>
    </row>
    <row r="328" spans="1:7" x14ac:dyDescent="0.25">
      <c r="A328">
        <v>327</v>
      </c>
      <c r="B328" t="s">
        <v>336</v>
      </c>
      <c r="C328" s="290">
        <v>44256</v>
      </c>
      <c r="D328" t="s">
        <v>607</v>
      </c>
      <c r="E328" t="s">
        <v>331</v>
      </c>
      <c r="F328" t="s">
        <v>585</v>
      </c>
      <c r="G328" s="289">
        <v>0</v>
      </c>
    </row>
    <row r="329" spans="1:7" x14ac:dyDescent="0.25">
      <c r="A329">
        <v>328</v>
      </c>
      <c r="B329" t="s">
        <v>336</v>
      </c>
      <c r="C329" s="290">
        <v>44256</v>
      </c>
      <c r="D329" t="s">
        <v>607</v>
      </c>
      <c r="E329" t="s">
        <v>331</v>
      </c>
      <c r="F329" t="s">
        <v>584</v>
      </c>
      <c r="G329" s="289">
        <v>0</v>
      </c>
    </row>
    <row r="330" spans="1:7" x14ac:dyDescent="0.25">
      <c r="A330">
        <v>329</v>
      </c>
      <c r="B330" t="s">
        <v>336</v>
      </c>
      <c r="C330" s="290">
        <v>44256</v>
      </c>
      <c r="D330" t="s">
        <v>609</v>
      </c>
      <c r="E330" t="s">
        <v>331</v>
      </c>
      <c r="F330" t="s">
        <v>584</v>
      </c>
      <c r="G330" s="289">
        <v>12280.467849638299</v>
      </c>
    </row>
    <row r="331" spans="1:7" x14ac:dyDescent="0.25">
      <c r="A331">
        <v>330</v>
      </c>
      <c r="B331" t="s">
        <v>336</v>
      </c>
      <c r="C331" s="290">
        <v>44256</v>
      </c>
      <c r="D331" t="s">
        <v>609</v>
      </c>
      <c r="E331" t="s">
        <v>331</v>
      </c>
      <c r="F331" t="s">
        <v>585</v>
      </c>
      <c r="G331" s="289">
        <v>16607.142857142855</v>
      </c>
    </row>
    <row r="332" spans="1:7" x14ac:dyDescent="0.25">
      <c r="A332">
        <v>331</v>
      </c>
      <c r="B332" t="s">
        <v>336</v>
      </c>
      <c r="C332" s="290">
        <v>44287</v>
      </c>
      <c r="D332" t="s">
        <v>608</v>
      </c>
      <c r="E332" t="s">
        <v>331</v>
      </c>
      <c r="F332" t="s">
        <v>584</v>
      </c>
      <c r="G332" s="289">
        <v>5814.8766430781525</v>
      </c>
    </row>
    <row r="333" spans="1:7" x14ac:dyDescent="0.25">
      <c r="A333">
        <v>332</v>
      </c>
      <c r="B333" t="s">
        <v>336</v>
      </c>
      <c r="C333" s="290">
        <v>44287</v>
      </c>
      <c r="D333" t="s">
        <v>607</v>
      </c>
      <c r="E333" t="s">
        <v>331</v>
      </c>
      <c r="F333" t="s">
        <v>584</v>
      </c>
      <c r="G333" s="289">
        <v>0</v>
      </c>
    </row>
    <row r="334" spans="1:7" x14ac:dyDescent="0.25">
      <c r="A334">
        <v>333</v>
      </c>
      <c r="B334" t="s">
        <v>336</v>
      </c>
      <c r="C334" s="290">
        <v>44287</v>
      </c>
      <c r="D334" t="s">
        <v>609</v>
      </c>
      <c r="E334" t="s">
        <v>331</v>
      </c>
      <c r="F334" t="s">
        <v>585</v>
      </c>
      <c r="G334" s="289">
        <v>54794</v>
      </c>
    </row>
    <row r="335" spans="1:7" x14ac:dyDescent="0.25">
      <c r="A335">
        <v>334</v>
      </c>
      <c r="B335" t="s">
        <v>336</v>
      </c>
      <c r="C335" s="290">
        <v>44287</v>
      </c>
      <c r="D335" t="s">
        <v>607</v>
      </c>
      <c r="E335" t="s">
        <v>331</v>
      </c>
      <c r="F335" t="s">
        <v>585</v>
      </c>
      <c r="G335" s="289">
        <v>0</v>
      </c>
    </row>
    <row r="336" spans="1:7" x14ac:dyDescent="0.25">
      <c r="A336">
        <v>335</v>
      </c>
      <c r="B336" t="s">
        <v>336</v>
      </c>
      <c r="C336" s="290">
        <v>44287</v>
      </c>
      <c r="D336" t="s">
        <v>608</v>
      </c>
      <c r="E336" t="s">
        <v>331</v>
      </c>
      <c r="F336" t="s">
        <v>585</v>
      </c>
      <c r="G336" s="289">
        <v>15000</v>
      </c>
    </row>
    <row r="337" spans="1:7" x14ac:dyDescent="0.25">
      <c r="A337">
        <v>336</v>
      </c>
      <c r="B337" t="s">
        <v>336</v>
      </c>
      <c r="C337" s="290">
        <v>44287</v>
      </c>
      <c r="D337" t="s">
        <v>609</v>
      </c>
      <c r="E337" t="s">
        <v>331</v>
      </c>
      <c r="F337" t="s">
        <v>584</v>
      </c>
      <c r="G337" s="289">
        <v>23535.959409237334</v>
      </c>
    </row>
    <row r="338" spans="1:7" x14ac:dyDescent="0.25">
      <c r="A338">
        <v>337</v>
      </c>
      <c r="B338" t="s">
        <v>337</v>
      </c>
      <c r="C338" s="290">
        <v>44317</v>
      </c>
      <c r="D338" t="s">
        <v>607</v>
      </c>
      <c r="E338" t="s">
        <v>300</v>
      </c>
      <c r="F338" t="s">
        <v>584</v>
      </c>
      <c r="G338" s="289">
        <v>12500</v>
      </c>
    </row>
    <row r="339" spans="1:7" x14ac:dyDescent="0.25">
      <c r="A339">
        <v>338</v>
      </c>
      <c r="B339" t="s">
        <v>337</v>
      </c>
      <c r="C339" s="290">
        <v>44317</v>
      </c>
      <c r="D339" t="s">
        <v>608</v>
      </c>
      <c r="E339" t="s">
        <v>300</v>
      </c>
      <c r="F339" t="s">
        <v>584</v>
      </c>
      <c r="G339" s="289">
        <v>128667.02666666699</v>
      </c>
    </row>
    <row r="340" spans="1:7" x14ac:dyDescent="0.25">
      <c r="A340">
        <v>339</v>
      </c>
      <c r="B340" t="s">
        <v>337</v>
      </c>
      <c r="C340" s="290">
        <v>44348</v>
      </c>
      <c r="D340" t="s">
        <v>609</v>
      </c>
      <c r="E340" t="s">
        <v>300</v>
      </c>
      <c r="F340" t="s">
        <v>584</v>
      </c>
      <c r="G340" s="289">
        <v>5040</v>
      </c>
    </row>
    <row r="341" spans="1:7" x14ac:dyDescent="0.25">
      <c r="A341">
        <v>340</v>
      </c>
      <c r="B341" t="s">
        <v>337</v>
      </c>
      <c r="C341" s="290">
        <v>44348</v>
      </c>
      <c r="D341" t="s">
        <v>607</v>
      </c>
      <c r="E341" t="s">
        <v>300</v>
      </c>
      <c r="F341" t="s">
        <v>584</v>
      </c>
      <c r="G341" s="289">
        <v>2270</v>
      </c>
    </row>
    <row r="342" spans="1:7" x14ac:dyDescent="0.25">
      <c r="A342">
        <v>341</v>
      </c>
      <c r="B342" t="s">
        <v>337</v>
      </c>
      <c r="C342" s="290">
        <v>44348</v>
      </c>
      <c r="D342" t="s">
        <v>608</v>
      </c>
      <c r="E342" t="s">
        <v>300</v>
      </c>
      <c r="F342" t="s">
        <v>584</v>
      </c>
      <c r="G342" s="289">
        <v>268791.40666666697</v>
      </c>
    </row>
    <row r="343" spans="1:7" x14ac:dyDescent="0.25">
      <c r="A343">
        <v>342</v>
      </c>
      <c r="B343" t="s">
        <v>337</v>
      </c>
      <c r="C343" s="290">
        <v>44378</v>
      </c>
      <c r="D343" t="s">
        <v>609</v>
      </c>
      <c r="E343" t="s">
        <v>300</v>
      </c>
      <c r="F343" t="s">
        <v>584</v>
      </c>
      <c r="G343" s="289">
        <v>9421.56</v>
      </c>
    </row>
    <row r="344" spans="1:7" x14ac:dyDescent="0.25">
      <c r="A344">
        <v>343</v>
      </c>
      <c r="B344" t="s">
        <v>337</v>
      </c>
      <c r="C344" s="290">
        <v>44378</v>
      </c>
      <c r="D344" t="s">
        <v>608</v>
      </c>
      <c r="E344" t="s">
        <v>300</v>
      </c>
      <c r="F344" t="s">
        <v>584</v>
      </c>
      <c r="G344" s="289">
        <v>177518.563157895</v>
      </c>
    </row>
    <row r="345" spans="1:7" x14ac:dyDescent="0.25">
      <c r="A345">
        <v>344</v>
      </c>
      <c r="B345" t="s">
        <v>337</v>
      </c>
      <c r="C345" s="290">
        <v>44317</v>
      </c>
      <c r="D345" t="s">
        <v>609</v>
      </c>
      <c r="E345" t="s">
        <v>326</v>
      </c>
      <c r="F345" t="s">
        <v>585</v>
      </c>
      <c r="G345" s="289">
        <v>0</v>
      </c>
    </row>
    <row r="346" spans="1:7" x14ac:dyDescent="0.25">
      <c r="A346">
        <v>345</v>
      </c>
      <c r="B346" t="s">
        <v>337</v>
      </c>
      <c r="C346" s="290">
        <v>44348</v>
      </c>
      <c r="D346" t="s">
        <v>609</v>
      </c>
      <c r="E346" t="s">
        <v>326</v>
      </c>
      <c r="F346" t="s">
        <v>584</v>
      </c>
      <c r="G346" s="289">
        <v>18750.857142856999</v>
      </c>
    </row>
    <row r="347" spans="1:7" x14ac:dyDescent="0.25">
      <c r="A347">
        <v>346</v>
      </c>
      <c r="B347" t="s">
        <v>337</v>
      </c>
      <c r="C347" s="290">
        <v>44348</v>
      </c>
      <c r="D347" t="s">
        <v>607</v>
      </c>
      <c r="E347" t="s">
        <v>326</v>
      </c>
      <c r="F347" t="s">
        <v>584</v>
      </c>
      <c r="G347" s="289">
        <v>0</v>
      </c>
    </row>
    <row r="348" spans="1:7" x14ac:dyDescent="0.25">
      <c r="A348">
        <v>347</v>
      </c>
      <c r="B348" t="s">
        <v>337</v>
      </c>
      <c r="C348" s="290">
        <v>44378</v>
      </c>
      <c r="D348" t="s">
        <v>609</v>
      </c>
      <c r="E348" t="s">
        <v>326</v>
      </c>
      <c r="F348" t="s">
        <v>585</v>
      </c>
      <c r="G348" s="289">
        <v>0</v>
      </c>
    </row>
    <row r="349" spans="1:7" x14ac:dyDescent="0.25">
      <c r="A349">
        <v>348</v>
      </c>
      <c r="B349" t="s">
        <v>337</v>
      </c>
      <c r="C349" s="290">
        <v>44378</v>
      </c>
      <c r="D349" t="s">
        <v>609</v>
      </c>
      <c r="E349" t="s">
        <v>326</v>
      </c>
      <c r="F349" t="s">
        <v>584</v>
      </c>
      <c r="G349" s="289">
        <v>62150.762000000002</v>
      </c>
    </row>
    <row r="350" spans="1:7" x14ac:dyDescent="0.25">
      <c r="A350">
        <v>349</v>
      </c>
      <c r="B350" t="s">
        <v>337</v>
      </c>
      <c r="C350" s="290">
        <v>44317</v>
      </c>
      <c r="D350" t="s">
        <v>607</v>
      </c>
      <c r="E350" t="s">
        <v>327</v>
      </c>
      <c r="F350" t="s">
        <v>585</v>
      </c>
      <c r="G350" s="289">
        <v>7644.8632387454654</v>
      </c>
    </row>
    <row r="351" spans="1:7" x14ac:dyDescent="0.25">
      <c r="A351">
        <v>350</v>
      </c>
      <c r="B351" t="s">
        <v>337</v>
      </c>
      <c r="C351" s="290">
        <v>44317</v>
      </c>
      <c r="D351" t="s">
        <v>609</v>
      </c>
      <c r="E351" t="s">
        <v>327</v>
      </c>
      <c r="F351" t="s">
        <v>584</v>
      </c>
      <c r="G351" s="289">
        <v>23309.255120873175</v>
      </c>
    </row>
    <row r="352" spans="1:7" x14ac:dyDescent="0.25">
      <c r="A352">
        <v>351</v>
      </c>
      <c r="B352" t="s">
        <v>337</v>
      </c>
      <c r="C352" s="290">
        <v>44317</v>
      </c>
      <c r="D352" t="s">
        <v>608</v>
      </c>
      <c r="E352" t="s">
        <v>327</v>
      </c>
      <c r="F352" t="s">
        <v>585</v>
      </c>
      <c r="G352" s="289">
        <v>47167.378242100807</v>
      </c>
    </row>
    <row r="353" spans="1:7" x14ac:dyDescent="0.25">
      <c r="A353">
        <v>352</v>
      </c>
      <c r="B353" t="s">
        <v>337</v>
      </c>
      <c r="C353" s="290">
        <v>44317</v>
      </c>
      <c r="D353" t="s">
        <v>607</v>
      </c>
      <c r="E353" t="s">
        <v>327</v>
      </c>
      <c r="F353" t="s">
        <v>584</v>
      </c>
      <c r="G353" s="289">
        <v>15912.74690469254</v>
      </c>
    </row>
    <row r="354" spans="1:7" x14ac:dyDescent="0.25">
      <c r="A354">
        <v>353</v>
      </c>
      <c r="B354" t="s">
        <v>337</v>
      </c>
      <c r="C354" s="290">
        <v>44317</v>
      </c>
      <c r="D354" t="s">
        <v>608</v>
      </c>
      <c r="E354" t="s">
        <v>327</v>
      </c>
      <c r="F354" t="s">
        <v>584</v>
      </c>
      <c r="G354" s="289">
        <v>32057.634747235257</v>
      </c>
    </row>
    <row r="355" spans="1:7" x14ac:dyDescent="0.25">
      <c r="A355">
        <v>354</v>
      </c>
      <c r="B355" t="s">
        <v>337</v>
      </c>
      <c r="C355" s="290">
        <v>44348</v>
      </c>
      <c r="D355" t="s">
        <v>609</v>
      </c>
      <c r="E355" t="s">
        <v>327</v>
      </c>
      <c r="F355" t="s">
        <v>584</v>
      </c>
      <c r="G355" s="289">
        <v>95166.812082820819</v>
      </c>
    </row>
    <row r="356" spans="1:7" x14ac:dyDescent="0.25">
      <c r="A356">
        <v>355</v>
      </c>
      <c r="B356" t="s">
        <v>337</v>
      </c>
      <c r="C356" s="290">
        <v>44348</v>
      </c>
      <c r="D356" t="s">
        <v>607</v>
      </c>
      <c r="E356" t="s">
        <v>327</v>
      </c>
      <c r="F356" t="s">
        <v>585</v>
      </c>
      <c r="G356" s="289">
        <v>55843.990756630679</v>
      </c>
    </row>
    <row r="357" spans="1:7" x14ac:dyDescent="0.25">
      <c r="A357">
        <v>356</v>
      </c>
      <c r="B357" t="s">
        <v>337</v>
      </c>
      <c r="C357" s="290">
        <v>44348</v>
      </c>
      <c r="D357" t="s">
        <v>607</v>
      </c>
      <c r="E357" t="s">
        <v>327</v>
      </c>
      <c r="F357" t="s">
        <v>584</v>
      </c>
      <c r="G357" s="289">
        <v>22701.563584340147</v>
      </c>
    </row>
    <row r="358" spans="1:7" x14ac:dyDescent="0.25">
      <c r="A358">
        <v>357</v>
      </c>
      <c r="B358" t="s">
        <v>337</v>
      </c>
      <c r="C358" s="290">
        <v>44348</v>
      </c>
      <c r="D358" t="s">
        <v>608</v>
      </c>
      <c r="E358" t="s">
        <v>327</v>
      </c>
      <c r="F358" t="s">
        <v>584</v>
      </c>
      <c r="G358" s="289">
        <v>9225.8012903229992</v>
      </c>
    </row>
    <row r="359" spans="1:7" x14ac:dyDescent="0.25">
      <c r="A359">
        <v>358</v>
      </c>
      <c r="B359" t="s">
        <v>337</v>
      </c>
      <c r="C359" s="290">
        <v>44378</v>
      </c>
      <c r="D359" t="s">
        <v>607</v>
      </c>
      <c r="E359" t="s">
        <v>327</v>
      </c>
      <c r="F359" t="s">
        <v>585</v>
      </c>
      <c r="G359" s="289">
        <v>41165.521567333773</v>
      </c>
    </row>
    <row r="360" spans="1:7" x14ac:dyDescent="0.25">
      <c r="A360">
        <v>359</v>
      </c>
      <c r="B360" t="s">
        <v>337</v>
      </c>
      <c r="C360" s="290">
        <v>44378</v>
      </c>
      <c r="D360" t="s">
        <v>609</v>
      </c>
      <c r="E360" t="s">
        <v>327</v>
      </c>
      <c r="F360" t="s">
        <v>585</v>
      </c>
      <c r="G360" s="289">
        <v>81402.918992248044</v>
      </c>
    </row>
    <row r="361" spans="1:7" x14ac:dyDescent="0.25">
      <c r="A361">
        <v>360</v>
      </c>
      <c r="B361" t="s">
        <v>337</v>
      </c>
      <c r="C361" s="290">
        <v>44378</v>
      </c>
      <c r="D361" t="s">
        <v>608</v>
      </c>
      <c r="E361" t="s">
        <v>327</v>
      </c>
      <c r="F361" t="s">
        <v>585</v>
      </c>
      <c r="G361" s="289">
        <v>26755.286298662821</v>
      </c>
    </row>
    <row r="362" spans="1:7" x14ac:dyDescent="0.25">
      <c r="A362">
        <v>361</v>
      </c>
      <c r="B362" t="s">
        <v>337</v>
      </c>
      <c r="C362" s="290">
        <v>44378</v>
      </c>
      <c r="D362" t="s">
        <v>608</v>
      </c>
      <c r="E362" t="s">
        <v>327</v>
      </c>
      <c r="F362" t="s">
        <v>584</v>
      </c>
      <c r="G362" s="289">
        <v>25318.802518343928</v>
      </c>
    </row>
    <row r="363" spans="1:7" x14ac:dyDescent="0.25">
      <c r="A363">
        <v>362</v>
      </c>
      <c r="B363" t="s">
        <v>337</v>
      </c>
      <c r="C363" s="290">
        <v>44378</v>
      </c>
      <c r="D363" t="s">
        <v>607</v>
      </c>
      <c r="E363" t="s">
        <v>327</v>
      </c>
      <c r="F363" t="s">
        <v>584</v>
      </c>
      <c r="G363" s="289">
        <v>19254.132548231551</v>
      </c>
    </row>
    <row r="364" spans="1:7" x14ac:dyDescent="0.25">
      <c r="A364">
        <v>363</v>
      </c>
      <c r="B364" t="s">
        <v>337</v>
      </c>
      <c r="C364" s="290">
        <v>44378</v>
      </c>
      <c r="D364" t="s">
        <v>609</v>
      </c>
      <c r="E364" t="s">
        <v>327</v>
      </c>
      <c r="F364" t="s">
        <v>584</v>
      </c>
      <c r="G364" s="289">
        <v>109717.40705456772</v>
      </c>
    </row>
    <row r="365" spans="1:7" x14ac:dyDescent="0.25">
      <c r="A365">
        <v>364</v>
      </c>
      <c r="B365" t="s">
        <v>337</v>
      </c>
      <c r="C365" s="290">
        <v>44317</v>
      </c>
      <c r="D365" t="s">
        <v>609</v>
      </c>
      <c r="E365" t="s">
        <v>328</v>
      </c>
      <c r="F365" t="s">
        <v>585</v>
      </c>
      <c r="G365" s="289">
        <v>26957.170000000002</v>
      </c>
    </row>
    <row r="366" spans="1:7" x14ac:dyDescent="0.25">
      <c r="A366">
        <v>365</v>
      </c>
      <c r="B366" t="s">
        <v>337</v>
      </c>
      <c r="C366" s="290">
        <v>44317</v>
      </c>
      <c r="D366" t="s">
        <v>607</v>
      </c>
      <c r="E366" t="s">
        <v>328</v>
      </c>
      <c r="F366" t="s">
        <v>584</v>
      </c>
      <c r="G366" s="289">
        <v>55804.945861147302</v>
      </c>
    </row>
    <row r="367" spans="1:7" x14ac:dyDescent="0.25">
      <c r="A367">
        <v>366</v>
      </c>
      <c r="B367" t="s">
        <v>337</v>
      </c>
      <c r="C367" s="290">
        <v>44317</v>
      </c>
      <c r="D367" t="s">
        <v>608</v>
      </c>
      <c r="E367" t="s">
        <v>328</v>
      </c>
      <c r="F367" t="s">
        <v>585</v>
      </c>
      <c r="G367" s="289">
        <v>127640.20864452767</v>
      </c>
    </row>
    <row r="368" spans="1:7" x14ac:dyDescent="0.25">
      <c r="A368">
        <v>367</v>
      </c>
      <c r="B368" t="s">
        <v>337</v>
      </c>
      <c r="C368" s="290">
        <v>44317</v>
      </c>
      <c r="D368" t="s">
        <v>607</v>
      </c>
      <c r="E368" t="s">
        <v>328</v>
      </c>
      <c r="F368" t="s">
        <v>585</v>
      </c>
      <c r="G368" s="289">
        <v>245993.68780925105</v>
      </c>
    </row>
    <row r="369" spans="1:7" x14ac:dyDescent="0.25">
      <c r="A369">
        <v>368</v>
      </c>
      <c r="B369" t="s">
        <v>337</v>
      </c>
      <c r="C369" s="290">
        <v>44317</v>
      </c>
      <c r="D369" t="s">
        <v>608</v>
      </c>
      <c r="E369" t="s">
        <v>328</v>
      </c>
      <c r="F369" t="s">
        <v>584</v>
      </c>
      <c r="G369" s="289">
        <v>153744.03447647134</v>
      </c>
    </row>
    <row r="370" spans="1:7" x14ac:dyDescent="0.25">
      <c r="A370">
        <v>369</v>
      </c>
      <c r="B370" t="s">
        <v>337</v>
      </c>
      <c r="C370" s="290">
        <v>44317</v>
      </c>
      <c r="D370" t="s">
        <v>609</v>
      </c>
      <c r="E370" t="s">
        <v>328</v>
      </c>
      <c r="F370" t="s">
        <v>584</v>
      </c>
      <c r="G370" s="289">
        <v>119118.98632412388</v>
      </c>
    </row>
    <row r="371" spans="1:7" x14ac:dyDescent="0.25">
      <c r="A371">
        <v>370</v>
      </c>
      <c r="B371" t="s">
        <v>337</v>
      </c>
      <c r="C371" s="290">
        <v>44348</v>
      </c>
      <c r="D371" t="s">
        <v>607</v>
      </c>
      <c r="E371" t="s">
        <v>328</v>
      </c>
      <c r="F371" t="s">
        <v>584</v>
      </c>
      <c r="G371" s="289">
        <v>102734.58862750561</v>
      </c>
    </row>
    <row r="372" spans="1:7" x14ac:dyDescent="0.25">
      <c r="A372">
        <v>371</v>
      </c>
      <c r="B372" t="s">
        <v>337</v>
      </c>
      <c r="C372" s="290">
        <v>44348</v>
      </c>
      <c r="D372" t="s">
        <v>609</v>
      </c>
      <c r="E372" t="s">
        <v>328</v>
      </c>
      <c r="F372" t="s">
        <v>585</v>
      </c>
      <c r="G372" s="289">
        <v>71513.315850815692</v>
      </c>
    </row>
    <row r="373" spans="1:7" x14ac:dyDescent="0.25">
      <c r="A373">
        <v>372</v>
      </c>
      <c r="B373" t="s">
        <v>337</v>
      </c>
      <c r="C373" s="290">
        <v>44348</v>
      </c>
      <c r="D373" t="s">
        <v>607</v>
      </c>
      <c r="E373" t="s">
        <v>328</v>
      </c>
      <c r="F373" t="s">
        <v>585</v>
      </c>
      <c r="G373" s="289">
        <v>418414.26182258059</v>
      </c>
    </row>
    <row r="374" spans="1:7" x14ac:dyDescent="0.25">
      <c r="A374">
        <v>373</v>
      </c>
      <c r="B374" t="s">
        <v>337</v>
      </c>
      <c r="C374" s="290">
        <v>44348</v>
      </c>
      <c r="D374" t="s">
        <v>608</v>
      </c>
      <c r="E374" t="s">
        <v>328</v>
      </c>
      <c r="F374" t="s">
        <v>584</v>
      </c>
      <c r="G374" s="289">
        <v>181510.47562630265</v>
      </c>
    </row>
    <row r="375" spans="1:7" x14ac:dyDescent="0.25">
      <c r="A375">
        <v>374</v>
      </c>
      <c r="B375" t="s">
        <v>337</v>
      </c>
      <c r="C375" s="290">
        <v>44348</v>
      </c>
      <c r="D375" t="s">
        <v>608</v>
      </c>
      <c r="E375" t="s">
        <v>328</v>
      </c>
      <c r="F375" t="s">
        <v>585</v>
      </c>
      <c r="G375" s="289">
        <v>302605.23111316084</v>
      </c>
    </row>
    <row r="376" spans="1:7" x14ac:dyDescent="0.25">
      <c r="A376">
        <v>375</v>
      </c>
      <c r="B376" t="s">
        <v>337</v>
      </c>
      <c r="C376" s="290">
        <v>44348</v>
      </c>
      <c r="D376" t="s">
        <v>609</v>
      </c>
      <c r="E376" t="s">
        <v>328</v>
      </c>
      <c r="F376" t="s">
        <v>584</v>
      </c>
      <c r="G376" s="289">
        <v>292475.10238595103</v>
      </c>
    </row>
    <row r="377" spans="1:7" x14ac:dyDescent="0.25">
      <c r="A377">
        <v>376</v>
      </c>
      <c r="B377" t="s">
        <v>337</v>
      </c>
      <c r="C377" s="290">
        <v>44378</v>
      </c>
      <c r="D377" t="s">
        <v>608</v>
      </c>
      <c r="E377" t="s">
        <v>328</v>
      </c>
      <c r="F377" t="s">
        <v>585</v>
      </c>
      <c r="G377" s="289">
        <v>322935.81135279534</v>
      </c>
    </row>
    <row r="378" spans="1:7" x14ac:dyDescent="0.25">
      <c r="A378">
        <v>377</v>
      </c>
      <c r="B378" t="s">
        <v>337</v>
      </c>
      <c r="C378" s="290">
        <v>44378</v>
      </c>
      <c r="D378" t="s">
        <v>609</v>
      </c>
      <c r="E378" t="s">
        <v>328</v>
      </c>
      <c r="F378" t="s">
        <v>585</v>
      </c>
      <c r="G378" s="289">
        <v>360311.85605282389</v>
      </c>
    </row>
    <row r="379" spans="1:7" x14ac:dyDescent="0.25">
      <c r="A379">
        <v>378</v>
      </c>
      <c r="B379" t="s">
        <v>337</v>
      </c>
      <c r="C379" s="290">
        <v>44378</v>
      </c>
      <c r="D379" t="s">
        <v>607</v>
      </c>
      <c r="E379" t="s">
        <v>328</v>
      </c>
      <c r="F379" t="s">
        <v>584</v>
      </c>
      <c r="G379" s="289">
        <v>100682.8014008829</v>
      </c>
    </row>
    <row r="380" spans="1:7" x14ac:dyDescent="0.25">
      <c r="A380">
        <v>379</v>
      </c>
      <c r="B380" t="s">
        <v>337</v>
      </c>
      <c r="C380" s="290">
        <v>44378</v>
      </c>
      <c r="D380" t="s">
        <v>607</v>
      </c>
      <c r="E380" t="s">
        <v>328</v>
      </c>
      <c r="F380" t="s">
        <v>585</v>
      </c>
      <c r="G380" s="289">
        <v>875839.28309938335</v>
      </c>
    </row>
    <row r="381" spans="1:7" x14ac:dyDescent="0.25">
      <c r="A381">
        <v>380</v>
      </c>
      <c r="B381" t="s">
        <v>337</v>
      </c>
      <c r="C381" s="290">
        <v>44378</v>
      </c>
      <c r="D381" t="s">
        <v>608</v>
      </c>
      <c r="E381" t="s">
        <v>328</v>
      </c>
      <c r="F381" t="s">
        <v>584</v>
      </c>
      <c r="G381" s="289">
        <v>200872.5823977314</v>
      </c>
    </row>
    <row r="382" spans="1:7" x14ac:dyDescent="0.25">
      <c r="A382">
        <v>381</v>
      </c>
      <c r="B382" t="s">
        <v>337</v>
      </c>
      <c r="C382" s="290">
        <v>44378</v>
      </c>
      <c r="D382" t="s">
        <v>609</v>
      </c>
      <c r="E382" t="s">
        <v>328</v>
      </c>
      <c r="F382" t="s">
        <v>584</v>
      </c>
      <c r="G382" s="289">
        <v>595327.51643500989</v>
      </c>
    </row>
    <row r="383" spans="1:7" x14ac:dyDescent="0.25">
      <c r="A383">
        <v>382</v>
      </c>
      <c r="B383" t="s">
        <v>337</v>
      </c>
      <c r="C383" s="290">
        <v>44317</v>
      </c>
      <c r="D383" t="s">
        <v>608</v>
      </c>
      <c r="E383" t="s">
        <v>329</v>
      </c>
      <c r="F383" t="s">
        <v>584</v>
      </c>
      <c r="G383" s="289">
        <v>211492.84137176562</v>
      </c>
    </row>
    <row r="384" spans="1:7" x14ac:dyDescent="0.25">
      <c r="A384">
        <v>383</v>
      </c>
      <c r="B384" t="s">
        <v>337</v>
      </c>
      <c r="C384" s="290">
        <v>44317</v>
      </c>
      <c r="D384" t="s">
        <v>607</v>
      </c>
      <c r="E384" t="s">
        <v>329</v>
      </c>
      <c r="F384" t="s">
        <v>585</v>
      </c>
      <c r="G384" s="289">
        <v>218546.59858498615</v>
      </c>
    </row>
    <row r="385" spans="1:7" x14ac:dyDescent="0.25">
      <c r="A385">
        <v>384</v>
      </c>
      <c r="B385" t="s">
        <v>337</v>
      </c>
      <c r="C385" s="290">
        <v>44317</v>
      </c>
      <c r="D385" t="s">
        <v>609</v>
      </c>
      <c r="E385" t="s">
        <v>329</v>
      </c>
      <c r="F385" t="s">
        <v>584</v>
      </c>
      <c r="G385" s="289">
        <v>142942.78358894863</v>
      </c>
    </row>
    <row r="386" spans="1:7" x14ac:dyDescent="0.25">
      <c r="A386">
        <v>385</v>
      </c>
      <c r="B386" t="s">
        <v>337</v>
      </c>
      <c r="C386" s="290">
        <v>44317</v>
      </c>
      <c r="D386" t="s">
        <v>607</v>
      </c>
      <c r="E386" t="s">
        <v>329</v>
      </c>
      <c r="F386" t="s">
        <v>584</v>
      </c>
      <c r="G386" s="289">
        <v>66740.335033376774</v>
      </c>
    </row>
    <row r="387" spans="1:7" x14ac:dyDescent="0.25">
      <c r="A387">
        <v>386</v>
      </c>
      <c r="B387" t="s">
        <v>337</v>
      </c>
      <c r="C387" s="290">
        <v>44317</v>
      </c>
      <c r="D387" t="s">
        <v>608</v>
      </c>
      <c r="E387" t="s">
        <v>329</v>
      </c>
      <c r="F387" t="s">
        <v>585</v>
      </c>
      <c r="G387" s="289">
        <v>165425.18535874548</v>
      </c>
    </row>
    <row r="388" spans="1:7" x14ac:dyDescent="0.25">
      <c r="A388">
        <v>387</v>
      </c>
      <c r="B388" t="s">
        <v>337</v>
      </c>
      <c r="C388" s="290">
        <v>44348</v>
      </c>
      <c r="D388" t="s">
        <v>609</v>
      </c>
      <c r="E388" t="s">
        <v>329</v>
      </c>
      <c r="F388" t="s">
        <v>585</v>
      </c>
      <c r="G388" s="289">
        <v>85815.979020978819</v>
      </c>
    </row>
    <row r="389" spans="1:7" x14ac:dyDescent="0.25">
      <c r="A389">
        <v>388</v>
      </c>
      <c r="B389" t="s">
        <v>337</v>
      </c>
      <c r="C389" s="290">
        <v>44348</v>
      </c>
      <c r="D389" t="s">
        <v>607</v>
      </c>
      <c r="E389" t="s">
        <v>329</v>
      </c>
      <c r="F389" t="s">
        <v>584</v>
      </c>
      <c r="G389" s="289">
        <v>121480.27851601614</v>
      </c>
    </row>
    <row r="390" spans="1:7" x14ac:dyDescent="0.25">
      <c r="A390">
        <v>389</v>
      </c>
      <c r="B390" t="s">
        <v>337</v>
      </c>
      <c r="C390" s="290">
        <v>44348</v>
      </c>
      <c r="D390" t="s">
        <v>608</v>
      </c>
      <c r="E390" t="s">
        <v>329</v>
      </c>
      <c r="F390" t="s">
        <v>585</v>
      </c>
      <c r="G390" s="289">
        <v>279093.83300171688</v>
      </c>
    </row>
    <row r="391" spans="1:7" x14ac:dyDescent="0.25">
      <c r="A391">
        <v>390</v>
      </c>
      <c r="B391" t="s">
        <v>337</v>
      </c>
      <c r="C391" s="290">
        <v>44348</v>
      </c>
      <c r="D391" t="s">
        <v>609</v>
      </c>
      <c r="E391" t="s">
        <v>329</v>
      </c>
      <c r="F391" t="s">
        <v>584</v>
      </c>
      <c r="G391" s="289">
        <v>340363.04956507293</v>
      </c>
    </row>
    <row r="392" spans="1:7" x14ac:dyDescent="0.25">
      <c r="A392">
        <v>391</v>
      </c>
      <c r="B392" t="s">
        <v>337</v>
      </c>
      <c r="C392" s="290">
        <v>44348</v>
      </c>
      <c r="D392" t="s">
        <v>607</v>
      </c>
      <c r="E392" t="s">
        <v>329</v>
      </c>
      <c r="F392" t="s">
        <v>585</v>
      </c>
      <c r="G392" s="289">
        <v>473182.12347502221</v>
      </c>
    </row>
    <row r="393" spans="1:7" x14ac:dyDescent="0.25">
      <c r="A393">
        <v>392</v>
      </c>
      <c r="B393" t="s">
        <v>337</v>
      </c>
      <c r="C393" s="290">
        <v>44348</v>
      </c>
      <c r="D393" t="s">
        <v>608</v>
      </c>
      <c r="E393" t="s">
        <v>329</v>
      </c>
      <c r="F393" t="s">
        <v>584</v>
      </c>
      <c r="G393" s="289">
        <v>208212.57075156315</v>
      </c>
    </row>
    <row r="394" spans="1:7" x14ac:dyDescent="0.25">
      <c r="A394">
        <v>393</v>
      </c>
      <c r="B394" t="s">
        <v>337</v>
      </c>
      <c r="C394" s="290">
        <v>44378</v>
      </c>
      <c r="D394" t="s">
        <v>608</v>
      </c>
      <c r="E394" t="s">
        <v>329</v>
      </c>
      <c r="F394" t="s">
        <v>584</v>
      </c>
      <c r="G394" s="289">
        <v>240498.52744870633</v>
      </c>
    </row>
    <row r="395" spans="1:7" x14ac:dyDescent="0.25">
      <c r="A395">
        <v>394</v>
      </c>
      <c r="B395" t="s">
        <v>337</v>
      </c>
      <c r="C395" s="290">
        <v>44378</v>
      </c>
      <c r="D395" t="s">
        <v>607</v>
      </c>
      <c r="E395" t="s">
        <v>329</v>
      </c>
      <c r="F395" t="s">
        <v>584</v>
      </c>
      <c r="G395" s="289">
        <v>120819.36168105953</v>
      </c>
    </row>
    <row r="396" spans="1:7" x14ac:dyDescent="0.25">
      <c r="A396">
        <v>395</v>
      </c>
      <c r="B396" t="s">
        <v>337</v>
      </c>
      <c r="C396" s="290">
        <v>44378</v>
      </c>
      <c r="D396" t="s">
        <v>609</v>
      </c>
      <c r="E396" t="s">
        <v>329</v>
      </c>
      <c r="F396" t="s">
        <v>584</v>
      </c>
      <c r="G396" s="289">
        <v>714393.01972201199</v>
      </c>
    </row>
    <row r="397" spans="1:7" x14ac:dyDescent="0.25">
      <c r="A397">
        <v>396</v>
      </c>
      <c r="B397" t="s">
        <v>337</v>
      </c>
      <c r="C397" s="290">
        <v>44378</v>
      </c>
      <c r="D397" t="s">
        <v>608</v>
      </c>
      <c r="E397" t="s">
        <v>329</v>
      </c>
      <c r="F397" t="s">
        <v>585</v>
      </c>
      <c r="G397" s="289">
        <v>392618.22505192581</v>
      </c>
    </row>
    <row r="398" spans="1:7" x14ac:dyDescent="0.25">
      <c r="A398">
        <v>397</v>
      </c>
      <c r="B398" t="s">
        <v>337</v>
      </c>
      <c r="C398" s="290">
        <v>44378</v>
      </c>
      <c r="D398" t="s">
        <v>609</v>
      </c>
      <c r="E398" t="s">
        <v>329</v>
      </c>
      <c r="F398" t="s">
        <v>585</v>
      </c>
      <c r="G398" s="289">
        <v>339472.9112633887</v>
      </c>
    </row>
    <row r="399" spans="1:7" x14ac:dyDescent="0.25">
      <c r="A399">
        <v>398</v>
      </c>
      <c r="B399" t="s">
        <v>337</v>
      </c>
      <c r="C399" s="290">
        <v>44378</v>
      </c>
      <c r="D399" t="s">
        <v>607</v>
      </c>
      <c r="E399" t="s">
        <v>329</v>
      </c>
      <c r="F399" t="s">
        <v>585</v>
      </c>
      <c r="G399" s="289">
        <v>815142.3557192611</v>
      </c>
    </row>
    <row r="400" spans="1:7" x14ac:dyDescent="0.25">
      <c r="A400">
        <v>399</v>
      </c>
      <c r="B400" t="s">
        <v>337</v>
      </c>
      <c r="C400" s="290">
        <v>44317</v>
      </c>
      <c r="D400" t="s">
        <v>607</v>
      </c>
      <c r="E400" t="s">
        <v>330</v>
      </c>
      <c r="F400" t="s">
        <v>584</v>
      </c>
      <c r="G400" s="289">
        <v>34734.746590231087</v>
      </c>
    </row>
    <row r="401" spans="1:7" x14ac:dyDescent="0.25">
      <c r="A401">
        <v>400</v>
      </c>
      <c r="B401" t="s">
        <v>337</v>
      </c>
      <c r="C401" s="290">
        <v>44317</v>
      </c>
      <c r="D401" t="s">
        <v>607</v>
      </c>
      <c r="E401" t="s">
        <v>330</v>
      </c>
      <c r="F401" t="s">
        <v>585</v>
      </c>
      <c r="G401" s="289">
        <v>59396.28050110249</v>
      </c>
    </row>
    <row r="402" spans="1:7" x14ac:dyDescent="0.25">
      <c r="A402">
        <v>401</v>
      </c>
      <c r="B402" t="s">
        <v>337</v>
      </c>
      <c r="C402" s="290">
        <v>44317</v>
      </c>
      <c r="D402" t="s">
        <v>608</v>
      </c>
      <c r="E402" t="s">
        <v>330</v>
      </c>
      <c r="F402" t="s">
        <v>584</v>
      </c>
      <c r="G402" s="289">
        <v>94607.435947576523</v>
      </c>
    </row>
    <row r="403" spans="1:7" x14ac:dyDescent="0.25">
      <c r="A403">
        <v>402</v>
      </c>
      <c r="B403" t="s">
        <v>337</v>
      </c>
      <c r="C403" s="290">
        <v>44317</v>
      </c>
      <c r="D403" t="s">
        <v>609</v>
      </c>
      <c r="E403" t="s">
        <v>330</v>
      </c>
      <c r="F403" t="s">
        <v>585</v>
      </c>
      <c r="G403" s="289">
        <v>61960.83</v>
      </c>
    </row>
    <row r="404" spans="1:7" x14ac:dyDescent="0.25">
      <c r="A404">
        <v>403</v>
      </c>
      <c r="B404" t="s">
        <v>337</v>
      </c>
      <c r="C404" s="290">
        <v>44317</v>
      </c>
      <c r="D404" t="s">
        <v>609</v>
      </c>
      <c r="E404" t="s">
        <v>330</v>
      </c>
      <c r="F404" t="s">
        <v>584</v>
      </c>
      <c r="G404" s="289">
        <v>44212.776517479157</v>
      </c>
    </row>
    <row r="405" spans="1:7" x14ac:dyDescent="0.25">
      <c r="A405">
        <v>404</v>
      </c>
      <c r="B405" t="s">
        <v>337</v>
      </c>
      <c r="C405" s="290">
        <v>44317</v>
      </c>
      <c r="D405" t="s">
        <v>608</v>
      </c>
      <c r="E405" t="s">
        <v>330</v>
      </c>
      <c r="F405" t="s">
        <v>585</v>
      </c>
      <c r="G405" s="289">
        <v>38409.389898115543</v>
      </c>
    </row>
    <row r="406" spans="1:7" x14ac:dyDescent="0.25">
      <c r="A406">
        <v>405</v>
      </c>
      <c r="B406" t="s">
        <v>337</v>
      </c>
      <c r="C406" s="290">
        <v>44348</v>
      </c>
      <c r="D406" t="s">
        <v>608</v>
      </c>
      <c r="E406" t="s">
        <v>330</v>
      </c>
      <c r="F406" t="s">
        <v>584</v>
      </c>
      <c r="G406" s="289">
        <v>57200.678776931622</v>
      </c>
    </row>
    <row r="407" spans="1:7" x14ac:dyDescent="0.25">
      <c r="A407">
        <v>406</v>
      </c>
      <c r="B407" t="s">
        <v>337</v>
      </c>
      <c r="C407" s="290">
        <v>44348</v>
      </c>
      <c r="D407" t="s">
        <v>608</v>
      </c>
      <c r="E407" t="s">
        <v>330</v>
      </c>
      <c r="F407" t="s">
        <v>585</v>
      </c>
      <c r="G407" s="289">
        <v>55347.635418920952</v>
      </c>
    </row>
    <row r="408" spans="1:7" x14ac:dyDescent="0.25">
      <c r="A408">
        <v>407</v>
      </c>
      <c r="B408" t="s">
        <v>337</v>
      </c>
      <c r="C408" s="290">
        <v>44348</v>
      </c>
      <c r="D408" t="s">
        <v>607</v>
      </c>
      <c r="E408" t="s">
        <v>330</v>
      </c>
      <c r="F408" t="s">
        <v>585</v>
      </c>
      <c r="G408" s="289">
        <v>158740.57464563384</v>
      </c>
    </row>
    <row r="409" spans="1:7" x14ac:dyDescent="0.25">
      <c r="A409">
        <v>408</v>
      </c>
      <c r="B409" t="s">
        <v>337</v>
      </c>
      <c r="C409" s="290">
        <v>44348</v>
      </c>
      <c r="D409" t="s">
        <v>609</v>
      </c>
      <c r="E409" t="s">
        <v>330</v>
      </c>
      <c r="F409" t="s">
        <v>585</v>
      </c>
      <c r="G409" s="289">
        <v>16616.538461538461</v>
      </c>
    </row>
    <row r="410" spans="1:7" x14ac:dyDescent="0.25">
      <c r="A410">
        <v>409</v>
      </c>
      <c r="B410" t="s">
        <v>337</v>
      </c>
      <c r="C410" s="290">
        <v>44348</v>
      </c>
      <c r="D410" t="s">
        <v>609</v>
      </c>
      <c r="E410" t="s">
        <v>330</v>
      </c>
      <c r="F410" t="s">
        <v>584</v>
      </c>
      <c r="G410" s="289">
        <v>125947.8025130047</v>
      </c>
    </row>
    <row r="411" spans="1:7" x14ac:dyDescent="0.25">
      <c r="A411">
        <v>410</v>
      </c>
      <c r="B411" t="s">
        <v>337</v>
      </c>
      <c r="C411" s="290">
        <v>44348</v>
      </c>
      <c r="D411" t="s">
        <v>607</v>
      </c>
      <c r="E411" t="s">
        <v>330</v>
      </c>
      <c r="F411" t="s">
        <v>584</v>
      </c>
      <c r="G411" s="289">
        <v>57632.05268960895</v>
      </c>
    </row>
    <row r="412" spans="1:7" x14ac:dyDescent="0.25">
      <c r="A412">
        <v>411</v>
      </c>
      <c r="B412" t="s">
        <v>337</v>
      </c>
      <c r="C412" s="290">
        <v>44378</v>
      </c>
      <c r="D412" t="s">
        <v>609</v>
      </c>
      <c r="E412" t="s">
        <v>330</v>
      </c>
      <c r="F412" t="s">
        <v>584</v>
      </c>
      <c r="G412" s="289">
        <v>455974.87083444279</v>
      </c>
    </row>
    <row r="413" spans="1:7" x14ac:dyDescent="0.25">
      <c r="A413">
        <v>412</v>
      </c>
      <c r="B413" t="s">
        <v>337</v>
      </c>
      <c r="C413" s="290">
        <v>44378</v>
      </c>
      <c r="D413" t="s">
        <v>607</v>
      </c>
      <c r="E413" t="s">
        <v>330</v>
      </c>
      <c r="F413" t="s">
        <v>584</v>
      </c>
      <c r="G413" s="289">
        <v>80229.517271164106</v>
      </c>
    </row>
    <row r="414" spans="1:7" x14ac:dyDescent="0.25">
      <c r="A414">
        <v>413</v>
      </c>
      <c r="B414" t="s">
        <v>337</v>
      </c>
      <c r="C414" s="290">
        <v>44378</v>
      </c>
      <c r="D414" t="s">
        <v>608</v>
      </c>
      <c r="E414" t="s">
        <v>330</v>
      </c>
      <c r="F414" t="s">
        <v>584</v>
      </c>
      <c r="G414" s="289">
        <v>63797.637204739032</v>
      </c>
    </row>
    <row r="415" spans="1:7" x14ac:dyDescent="0.25">
      <c r="A415">
        <v>414</v>
      </c>
      <c r="B415" t="s">
        <v>337</v>
      </c>
      <c r="C415" s="290">
        <v>44378</v>
      </c>
      <c r="D415" t="s">
        <v>608</v>
      </c>
      <c r="E415" t="s">
        <v>330</v>
      </c>
      <c r="F415" t="s">
        <v>585</v>
      </c>
      <c r="G415" s="289">
        <v>112407.15325102385</v>
      </c>
    </row>
    <row r="416" spans="1:7" x14ac:dyDescent="0.25">
      <c r="A416">
        <v>415</v>
      </c>
      <c r="B416" t="s">
        <v>337</v>
      </c>
      <c r="C416" s="290">
        <v>44378</v>
      </c>
      <c r="D416" t="s">
        <v>609</v>
      </c>
      <c r="E416" t="s">
        <v>330</v>
      </c>
      <c r="F416" t="s">
        <v>585</v>
      </c>
      <c r="G416" s="289">
        <v>109352.62660153836</v>
      </c>
    </row>
    <row r="417" spans="1:7" x14ac:dyDescent="0.25">
      <c r="A417">
        <v>416</v>
      </c>
      <c r="B417" t="s">
        <v>337</v>
      </c>
      <c r="C417" s="290">
        <v>44378</v>
      </c>
      <c r="D417" t="s">
        <v>607</v>
      </c>
      <c r="E417" t="s">
        <v>330</v>
      </c>
      <c r="F417" t="s">
        <v>585</v>
      </c>
      <c r="G417" s="289">
        <v>253805.58077901413</v>
      </c>
    </row>
    <row r="418" spans="1:7" x14ac:dyDescent="0.25">
      <c r="A418">
        <v>417</v>
      </c>
      <c r="B418" t="s">
        <v>337</v>
      </c>
      <c r="C418" s="290">
        <v>44317</v>
      </c>
      <c r="D418" t="s">
        <v>609</v>
      </c>
      <c r="E418" t="s">
        <v>2</v>
      </c>
      <c r="F418" t="s">
        <v>585</v>
      </c>
      <c r="G418" s="289">
        <v>737</v>
      </c>
    </row>
    <row r="419" spans="1:7" x14ac:dyDescent="0.25">
      <c r="A419">
        <v>418</v>
      </c>
      <c r="B419" t="s">
        <v>337</v>
      </c>
      <c r="C419" s="290">
        <v>44317</v>
      </c>
      <c r="D419" t="s">
        <v>609</v>
      </c>
      <c r="E419" t="s">
        <v>2</v>
      </c>
      <c r="F419" t="s">
        <v>584</v>
      </c>
      <c r="G419" s="289">
        <v>304511.18325066951</v>
      </c>
    </row>
    <row r="420" spans="1:7" x14ac:dyDescent="0.25">
      <c r="A420">
        <v>419</v>
      </c>
      <c r="B420" t="s">
        <v>337</v>
      </c>
      <c r="C420" s="290">
        <v>44317</v>
      </c>
      <c r="D420" t="s">
        <v>608</v>
      </c>
      <c r="E420" t="s">
        <v>2</v>
      </c>
      <c r="F420" t="s">
        <v>585</v>
      </c>
      <c r="G420" s="289">
        <v>3026.9323009542668</v>
      </c>
    </row>
    <row r="421" spans="1:7" x14ac:dyDescent="0.25">
      <c r="A421">
        <v>420</v>
      </c>
      <c r="B421" t="s">
        <v>337</v>
      </c>
      <c r="C421" s="290">
        <v>44317</v>
      </c>
      <c r="D421" t="s">
        <v>607</v>
      </c>
      <c r="E421" t="s">
        <v>2</v>
      </c>
      <c r="F421" t="s">
        <v>585</v>
      </c>
      <c r="G421" s="289">
        <v>619.74678899082562</v>
      </c>
    </row>
    <row r="422" spans="1:7" x14ac:dyDescent="0.25">
      <c r="A422">
        <v>421</v>
      </c>
      <c r="B422" t="s">
        <v>337</v>
      </c>
      <c r="C422" s="290">
        <v>44317</v>
      </c>
      <c r="D422" t="s">
        <v>608</v>
      </c>
      <c r="E422" t="s">
        <v>2</v>
      </c>
      <c r="F422" t="s">
        <v>584</v>
      </c>
      <c r="G422" s="289">
        <v>71515.224074872618</v>
      </c>
    </row>
    <row r="423" spans="1:7" x14ac:dyDescent="0.25">
      <c r="A423">
        <v>422</v>
      </c>
      <c r="B423" t="s">
        <v>337</v>
      </c>
      <c r="C423" s="290">
        <v>44317</v>
      </c>
      <c r="D423" t="s">
        <v>607</v>
      </c>
      <c r="E423" t="s">
        <v>2</v>
      </c>
      <c r="F423" t="s">
        <v>584</v>
      </c>
      <c r="G423" s="289">
        <v>88152.076229935803</v>
      </c>
    </row>
    <row r="424" spans="1:7" x14ac:dyDescent="0.25">
      <c r="A424">
        <v>423</v>
      </c>
      <c r="B424" t="s">
        <v>337</v>
      </c>
      <c r="C424" s="290">
        <v>44348</v>
      </c>
      <c r="D424" t="s">
        <v>609</v>
      </c>
      <c r="E424" t="s">
        <v>2</v>
      </c>
      <c r="F424" t="s">
        <v>585</v>
      </c>
      <c r="G424" s="289">
        <v>0</v>
      </c>
    </row>
    <row r="425" spans="1:7" x14ac:dyDescent="0.25">
      <c r="A425">
        <v>424</v>
      </c>
      <c r="B425" t="s">
        <v>337</v>
      </c>
      <c r="C425" s="290">
        <v>44348</v>
      </c>
      <c r="D425" t="s">
        <v>609</v>
      </c>
      <c r="E425" t="s">
        <v>2</v>
      </c>
      <c r="F425" t="s">
        <v>584</v>
      </c>
      <c r="G425" s="289">
        <v>52076.698790135342</v>
      </c>
    </row>
    <row r="426" spans="1:7" x14ac:dyDescent="0.25">
      <c r="A426">
        <v>425</v>
      </c>
      <c r="B426" t="s">
        <v>337</v>
      </c>
      <c r="C426" s="290">
        <v>44348</v>
      </c>
      <c r="D426" t="s">
        <v>607</v>
      </c>
      <c r="E426" t="s">
        <v>2</v>
      </c>
      <c r="F426" t="s">
        <v>584</v>
      </c>
      <c r="G426" s="289">
        <v>38116.223947289342</v>
      </c>
    </row>
    <row r="427" spans="1:7" x14ac:dyDescent="0.25">
      <c r="A427">
        <v>426</v>
      </c>
      <c r="B427" t="s">
        <v>337</v>
      </c>
      <c r="C427" s="290">
        <v>44348</v>
      </c>
      <c r="D427" t="s">
        <v>607</v>
      </c>
      <c r="E427" t="s">
        <v>2</v>
      </c>
      <c r="F427" t="s">
        <v>585</v>
      </c>
      <c r="G427" s="289">
        <v>3955.8554962899639</v>
      </c>
    </row>
    <row r="428" spans="1:7" x14ac:dyDescent="0.25">
      <c r="A428">
        <v>427</v>
      </c>
      <c r="B428" t="s">
        <v>337</v>
      </c>
      <c r="C428" s="290">
        <v>44348</v>
      </c>
      <c r="D428" t="s">
        <v>608</v>
      </c>
      <c r="E428" t="s">
        <v>2</v>
      </c>
      <c r="F428" t="s">
        <v>584</v>
      </c>
      <c r="G428" s="289">
        <v>137782.0852857139</v>
      </c>
    </row>
    <row r="429" spans="1:7" x14ac:dyDescent="0.25">
      <c r="A429">
        <v>428</v>
      </c>
      <c r="B429" t="s">
        <v>337</v>
      </c>
      <c r="C429" s="290">
        <v>44348</v>
      </c>
      <c r="D429" t="s">
        <v>608</v>
      </c>
      <c r="E429" t="s">
        <v>2</v>
      </c>
      <c r="F429" t="s">
        <v>585</v>
      </c>
      <c r="G429" s="289">
        <v>3.6363636363636362E-2</v>
      </c>
    </row>
    <row r="430" spans="1:7" x14ac:dyDescent="0.25">
      <c r="A430">
        <v>429</v>
      </c>
      <c r="B430" t="s">
        <v>337</v>
      </c>
      <c r="C430" s="290">
        <v>44378</v>
      </c>
      <c r="D430" t="s">
        <v>609</v>
      </c>
      <c r="E430" t="s">
        <v>2</v>
      </c>
      <c r="F430" t="s">
        <v>584</v>
      </c>
      <c r="G430" s="289">
        <v>72919.43470197689</v>
      </c>
    </row>
    <row r="431" spans="1:7" x14ac:dyDescent="0.25">
      <c r="A431">
        <v>430</v>
      </c>
      <c r="B431" t="s">
        <v>337</v>
      </c>
      <c r="C431" s="290">
        <v>44378</v>
      </c>
      <c r="D431" t="s">
        <v>609</v>
      </c>
      <c r="E431" t="s">
        <v>2</v>
      </c>
      <c r="F431" t="s">
        <v>585</v>
      </c>
      <c r="G431" s="289">
        <v>10846.568023333317</v>
      </c>
    </row>
    <row r="432" spans="1:7" x14ac:dyDescent="0.25">
      <c r="A432">
        <v>431</v>
      </c>
      <c r="B432" t="s">
        <v>337</v>
      </c>
      <c r="C432" s="290">
        <v>44378</v>
      </c>
      <c r="D432" t="s">
        <v>607</v>
      </c>
      <c r="E432" t="s">
        <v>2</v>
      </c>
      <c r="F432" t="s">
        <v>584</v>
      </c>
      <c r="G432" s="289">
        <v>105973.66783515715</v>
      </c>
    </row>
    <row r="433" spans="1:7" x14ac:dyDescent="0.25">
      <c r="A433">
        <v>432</v>
      </c>
      <c r="B433" t="s">
        <v>337</v>
      </c>
      <c r="C433" s="290">
        <v>44378</v>
      </c>
      <c r="D433" t="s">
        <v>607</v>
      </c>
      <c r="E433" t="s">
        <v>2</v>
      </c>
      <c r="F433" t="s">
        <v>585</v>
      </c>
      <c r="G433" s="289">
        <v>4965.8318133644834</v>
      </c>
    </row>
    <row r="434" spans="1:7" x14ac:dyDescent="0.25">
      <c r="A434">
        <v>433</v>
      </c>
      <c r="B434" t="s">
        <v>337</v>
      </c>
      <c r="C434" s="290">
        <v>44378</v>
      </c>
      <c r="D434" t="s">
        <v>608</v>
      </c>
      <c r="E434" t="s">
        <v>2</v>
      </c>
      <c r="F434" t="s">
        <v>585</v>
      </c>
      <c r="G434" s="289">
        <v>4004.2945774617569</v>
      </c>
    </row>
    <row r="435" spans="1:7" x14ac:dyDescent="0.25">
      <c r="A435">
        <v>434</v>
      </c>
      <c r="B435" t="s">
        <v>337</v>
      </c>
      <c r="C435" s="290">
        <v>44378</v>
      </c>
      <c r="D435" t="s">
        <v>608</v>
      </c>
      <c r="E435" t="s">
        <v>2</v>
      </c>
      <c r="F435" t="s">
        <v>584</v>
      </c>
      <c r="G435" s="289">
        <v>120386.47080630722</v>
      </c>
    </row>
    <row r="436" spans="1:7" x14ac:dyDescent="0.25">
      <c r="A436">
        <v>435</v>
      </c>
      <c r="B436" t="s">
        <v>337</v>
      </c>
      <c r="C436" s="290">
        <v>44317</v>
      </c>
      <c r="D436" t="s">
        <v>607</v>
      </c>
      <c r="E436" t="s">
        <v>331</v>
      </c>
      <c r="F436" t="s">
        <v>585</v>
      </c>
      <c r="G436" s="289">
        <v>0</v>
      </c>
    </row>
    <row r="437" spans="1:7" x14ac:dyDescent="0.25">
      <c r="A437">
        <v>436</v>
      </c>
      <c r="B437" t="s">
        <v>337</v>
      </c>
      <c r="C437" s="290">
        <v>44317</v>
      </c>
      <c r="D437" t="s">
        <v>608</v>
      </c>
      <c r="E437" t="s">
        <v>331</v>
      </c>
      <c r="F437" t="s">
        <v>585</v>
      </c>
      <c r="G437" s="289">
        <v>57766.222222222219</v>
      </c>
    </row>
    <row r="438" spans="1:7" x14ac:dyDescent="0.25">
      <c r="A438">
        <v>437</v>
      </c>
      <c r="B438" t="s">
        <v>337</v>
      </c>
      <c r="C438" s="290">
        <v>44317</v>
      </c>
      <c r="D438" t="s">
        <v>609</v>
      </c>
      <c r="E438" t="s">
        <v>331</v>
      </c>
      <c r="F438" t="s">
        <v>584</v>
      </c>
      <c r="G438" s="289">
        <v>190947.05357885663</v>
      </c>
    </row>
    <row r="439" spans="1:7" x14ac:dyDescent="0.25">
      <c r="A439">
        <v>438</v>
      </c>
      <c r="B439" t="s">
        <v>337</v>
      </c>
      <c r="C439" s="290">
        <v>44317</v>
      </c>
      <c r="D439" t="s">
        <v>607</v>
      </c>
      <c r="E439" t="s">
        <v>331</v>
      </c>
      <c r="F439" t="s">
        <v>584</v>
      </c>
      <c r="G439" s="289">
        <v>0</v>
      </c>
    </row>
    <row r="440" spans="1:7" x14ac:dyDescent="0.25">
      <c r="A440">
        <v>439</v>
      </c>
      <c r="B440" t="s">
        <v>337</v>
      </c>
      <c r="C440" s="290">
        <v>44317</v>
      </c>
      <c r="D440" t="s">
        <v>608</v>
      </c>
      <c r="E440" t="s">
        <v>331</v>
      </c>
      <c r="F440" t="s">
        <v>584</v>
      </c>
      <c r="G440" s="289">
        <v>0</v>
      </c>
    </row>
    <row r="441" spans="1:7" x14ac:dyDescent="0.25">
      <c r="A441">
        <v>440</v>
      </c>
      <c r="B441" t="s">
        <v>337</v>
      </c>
      <c r="C441" s="290">
        <v>44317</v>
      </c>
      <c r="D441" t="s">
        <v>609</v>
      </c>
      <c r="E441" t="s">
        <v>331</v>
      </c>
      <c r="F441" t="s">
        <v>585</v>
      </c>
      <c r="G441" s="289">
        <v>0</v>
      </c>
    </row>
    <row r="442" spans="1:7" x14ac:dyDescent="0.25">
      <c r="A442">
        <v>441</v>
      </c>
      <c r="B442" t="s">
        <v>337</v>
      </c>
      <c r="C442" s="290">
        <v>44348</v>
      </c>
      <c r="D442" t="s">
        <v>609</v>
      </c>
      <c r="E442" t="s">
        <v>331</v>
      </c>
      <c r="F442" t="s">
        <v>585</v>
      </c>
      <c r="G442" s="289">
        <v>0</v>
      </c>
    </row>
    <row r="443" spans="1:7" x14ac:dyDescent="0.25">
      <c r="A443">
        <v>442</v>
      </c>
      <c r="B443" t="s">
        <v>337</v>
      </c>
      <c r="C443" s="290">
        <v>44348</v>
      </c>
      <c r="D443" t="s">
        <v>607</v>
      </c>
      <c r="E443" t="s">
        <v>331</v>
      </c>
      <c r="F443" t="s">
        <v>584</v>
      </c>
      <c r="G443" s="289">
        <v>0</v>
      </c>
    </row>
    <row r="444" spans="1:7" x14ac:dyDescent="0.25">
      <c r="A444">
        <v>443</v>
      </c>
      <c r="B444" t="s">
        <v>337</v>
      </c>
      <c r="C444" s="290">
        <v>44348</v>
      </c>
      <c r="D444" t="s">
        <v>607</v>
      </c>
      <c r="E444" t="s">
        <v>331</v>
      </c>
      <c r="F444" t="s">
        <v>585</v>
      </c>
      <c r="G444" s="289">
        <v>0</v>
      </c>
    </row>
    <row r="445" spans="1:7" x14ac:dyDescent="0.25">
      <c r="A445">
        <v>444</v>
      </c>
      <c r="B445" t="s">
        <v>337</v>
      </c>
      <c r="C445" s="290">
        <v>44348</v>
      </c>
      <c r="D445" t="s">
        <v>608</v>
      </c>
      <c r="E445" t="s">
        <v>331</v>
      </c>
      <c r="F445" t="s">
        <v>584</v>
      </c>
      <c r="G445" s="289">
        <v>0</v>
      </c>
    </row>
    <row r="446" spans="1:7" x14ac:dyDescent="0.25">
      <c r="A446">
        <v>445</v>
      </c>
      <c r="B446" t="s">
        <v>337</v>
      </c>
      <c r="C446" s="290">
        <v>44348</v>
      </c>
      <c r="D446" t="s">
        <v>609</v>
      </c>
      <c r="E446" t="s">
        <v>331</v>
      </c>
      <c r="F446" t="s">
        <v>584</v>
      </c>
      <c r="G446" s="289">
        <v>107081.38918986105</v>
      </c>
    </row>
    <row r="447" spans="1:7" x14ac:dyDescent="0.25">
      <c r="A447">
        <v>446</v>
      </c>
      <c r="B447" t="s">
        <v>337</v>
      </c>
      <c r="C447" s="290">
        <v>44348</v>
      </c>
      <c r="D447" t="s">
        <v>608</v>
      </c>
      <c r="E447" t="s">
        <v>331</v>
      </c>
      <c r="F447" t="s">
        <v>585</v>
      </c>
      <c r="G447" s="289">
        <v>15000</v>
      </c>
    </row>
    <row r="448" spans="1:7" x14ac:dyDescent="0.25">
      <c r="A448">
        <v>447</v>
      </c>
      <c r="B448" t="s">
        <v>337</v>
      </c>
      <c r="C448" s="290">
        <v>44378</v>
      </c>
      <c r="D448" t="s">
        <v>607</v>
      </c>
      <c r="E448" t="s">
        <v>331</v>
      </c>
      <c r="F448" t="s">
        <v>585</v>
      </c>
      <c r="G448" s="289">
        <v>7500</v>
      </c>
    </row>
    <row r="449" spans="1:7" x14ac:dyDescent="0.25">
      <c r="A449">
        <v>448</v>
      </c>
      <c r="B449" t="s">
        <v>337</v>
      </c>
      <c r="C449" s="290">
        <v>44378</v>
      </c>
      <c r="D449" t="s">
        <v>607</v>
      </c>
      <c r="E449" t="s">
        <v>331</v>
      </c>
      <c r="F449" t="s">
        <v>584</v>
      </c>
      <c r="G449" s="289">
        <v>0</v>
      </c>
    </row>
    <row r="450" spans="1:7" x14ac:dyDescent="0.25">
      <c r="A450">
        <v>449</v>
      </c>
      <c r="B450" t="s">
        <v>337</v>
      </c>
      <c r="C450" s="290">
        <v>44378</v>
      </c>
      <c r="D450" t="s">
        <v>609</v>
      </c>
      <c r="E450" t="s">
        <v>331</v>
      </c>
      <c r="F450" t="s">
        <v>584</v>
      </c>
      <c r="G450" s="289">
        <v>241812.02681528841</v>
      </c>
    </row>
    <row r="451" spans="1:7" x14ac:dyDescent="0.25">
      <c r="A451">
        <v>450</v>
      </c>
      <c r="B451" t="s">
        <v>337</v>
      </c>
      <c r="C451" s="290">
        <v>44378</v>
      </c>
      <c r="D451" t="s">
        <v>608</v>
      </c>
      <c r="E451" t="s">
        <v>331</v>
      </c>
      <c r="F451" t="s">
        <v>585</v>
      </c>
      <c r="G451" s="289">
        <v>0</v>
      </c>
    </row>
    <row r="452" spans="1:7" x14ac:dyDescent="0.25">
      <c r="A452">
        <v>451</v>
      </c>
      <c r="B452" t="s">
        <v>337</v>
      </c>
      <c r="C452" s="290">
        <v>44378</v>
      </c>
      <c r="D452" t="s">
        <v>609</v>
      </c>
      <c r="E452" t="s">
        <v>331</v>
      </c>
      <c r="F452" t="s">
        <v>585</v>
      </c>
      <c r="G452" s="289">
        <v>0</v>
      </c>
    </row>
    <row r="453" spans="1:7" x14ac:dyDescent="0.25">
      <c r="A453">
        <v>452</v>
      </c>
      <c r="B453" t="s">
        <v>337</v>
      </c>
      <c r="C453" s="290">
        <v>44378</v>
      </c>
      <c r="D453" t="s">
        <v>608</v>
      </c>
      <c r="E453" t="s">
        <v>331</v>
      </c>
      <c r="F453" t="s">
        <v>584</v>
      </c>
      <c r="G453" s="289">
        <v>7618.3296829971177</v>
      </c>
    </row>
    <row r="454" spans="1:7" x14ac:dyDescent="0.25">
      <c r="A454">
        <v>453</v>
      </c>
      <c r="B454" t="s">
        <v>338</v>
      </c>
      <c r="C454" s="290">
        <v>44409</v>
      </c>
      <c r="D454" t="s">
        <v>608</v>
      </c>
      <c r="E454" t="s">
        <v>300</v>
      </c>
      <c r="F454" t="s">
        <v>584</v>
      </c>
      <c r="G454" s="289">
        <v>57115.27</v>
      </c>
    </row>
    <row r="455" spans="1:7" x14ac:dyDescent="0.25">
      <c r="A455">
        <v>454</v>
      </c>
      <c r="B455" t="s">
        <v>338</v>
      </c>
      <c r="C455" s="290">
        <v>44409</v>
      </c>
      <c r="D455" t="s">
        <v>607</v>
      </c>
      <c r="E455" t="s">
        <v>300</v>
      </c>
      <c r="F455" t="s">
        <v>584</v>
      </c>
      <c r="G455" s="289">
        <v>7500</v>
      </c>
    </row>
    <row r="456" spans="1:7" x14ac:dyDescent="0.25">
      <c r="A456">
        <v>455</v>
      </c>
      <c r="B456" t="s">
        <v>338</v>
      </c>
      <c r="C456" s="290">
        <v>44440</v>
      </c>
      <c r="D456" t="s">
        <v>608</v>
      </c>
      <c r="E456" t="s">
        <v>300</v>
      </c>
      <c r="F456" t="s">
        <v>584</v>
      </c>
      <c r="G456" s="289">
        <v>89647.010000000009</v>
      </c>
    </row>
    <row r="457" spans="1:7" x14ac:dyDescent="0.25">
      <c r="A457">
        <v>456</v>
      </c>
      <c r="B457" t="s">
        <v>338</v>
      </c>
      <c r="C457" s="290">
        <v>44440</v>
      </c>
      <c r="D457" t="s">
        <v>607</v>
      </c>
      <c r="E457" t="s">
        <v>300</v>
      </c>
      <c r="F457" t="s">
        <v>584</v>
      </c>
      <c r="G457" s="289">
        <v>2575.83</v>
      </c>
    </row>
    <row r="458" spans="1:7" x14ac:dyDescent="0.25">
      <c r="A458">
        <v>457</v>
      </c>
      <c r="B458" t="s">
        <v>338</v>
      </c>
      <c r="C458" s="290">
        <v>44409</v>
      </c>
      <c r="D458" t="s">
        <v>607</v>
      </c>
      <c r="E458" t="s">
        <v>326</v>
      </c>
      <c r="F458" t="s">
        <v>584</v>
      </c>
      <c r="G458" s="289">
        <v>0</v>
      </c>
    </row>
    <row r="459" spans="1:7" x14ac:dyDescent="0.25">
      <c r="A459">
        <v>458</v>
      </c>
      <c r="B459" t="s">
        <v>338</v>
      </c>
      <c r="C459" s="290">
        <v>44440</v>
      </c>
      <c r="D459" t="s">
        <v>609</v>
      </c>
      <c r="E459" t="s">
        <v>326</v>
      </c>
      <c r="F459" t="s">
        <v>585</v>
      </c>
      <c r="G459" s="289">
        <v>0</v>
      </c>
    </row>
    <row r="460" spans="1:7" x14ac:dyDescent="0.25">
      <c r="A460">
        <v>459</v>
      </c>
      <c r="B460" t="s">
        <v>338</v>
      </c>
      <c r="C460" s="290">
        <v>44440</v>
      </c>
      <c r="D460" t="s">
        <v>608</v>
      </c>
      <c r="E460" t="s">
        <v>326</v>
      </c>
      <c r="F460" t="s">
        <v>584</v>
      </c>
      <c r="G460" s="289">
        <v>20000.52</v>
      </c>
    </row>
    <row r="461" spans="1:7" x14ac:dyDescent="0.25">
      <c r="A461">
        <v>460</v>
      </c>
      <c r="B461" t="s">
        <v>338</v>
      </c>
      <c r="C461" s="290">
        <v>44409</v>
      </c>
      <c r="D461" t="s">
        <v>609</v>
      </c>
      <c r="E461" t="s">
        <v>327</v>
      </c>
      <c r="F461" t="s">
        <v>584</v>
      </c>
      <c r="G461" s="289">
        <v>650</v>
      </c>
    </row>
    <row r="462" spans="1:7" x14ac:dyDescent="0.25">
      <c r="A462">
        <v>461</v>
      </c>
      <c r="B462" t="s">
        <v>338</v>
      </c>
      <c r="C462" s="290">
        <v>44409</v>
      </c>
      <c r="D462" t="s">
        <v>607</v>
      </c>
      <c r="E462" t="s">
        <v>327</v>
      </c>
      <c r="F462" t="s">
        <v>584</v>
      </c>
      <c r="G462" s="289">
        <v>17242.471142126997</v>
      </c>
    </row>
    <row r="463" spans="1:7" x14ac:dyDescent="0.25">
      <c r="A463">
        <v>462</v>
      </c>
      <c r="B463" t="s">
        <v>338</v>
      </c>
      <c r="C463" s="290">
        <v>44409</v>
      </c>
      <c r="D463" t="s">
        <v>608</v>
      </c>
      <c r="E463" t="s">
        <v>327</v>
      </c>
      <c r="F463" t="s">
        <v>585</v>
      </c>
      <c r="G463" s="289">
        <v>5096.8992248062023</v>
      </c>
    </row>
    <row r="464" spans="1:7" x14ac:dyDescent="0.25">
      <c r="A464">
        <v>463</v>
      </c>
      <c r="B464" t="s">
        <v>338</v>
      </c>
      <c r="C464" s="290">
        <v>44409</v>
      </c>
      <c r="D464" t="s">
        <v>608</v>
      </c>
      <c r="E464" t="s">
        <v>327</v>
      </c>
      <c r="F464" t="s">
        <v>584</v>
      </c>
      <c r="G464" s="289">
        <v>35388.148290737408</v>
      </c>
    </row>
    <row r="465" spans="1:7" x14ac:dyDescent="0.25">
      <c r="A465">
        <v>464</v>
      </c>
      <c r="B465" t="s">
        <v>338</v>
      </c>
      <c r="C465" s="290">
        <v>44409</v>
      </c>
      <c r="D465" t="s">
        <v>607</v>
      </c>
      <c r="E465" t="s">
        <v>327</v>
      </c>
      <c r="F465" t="s">
        <v>585</v>
      </c>
      <c r="G465" s="289">
        <v>10334.717964273677</v>
      </c>
    </row>
    <row r="466" spans="1:7" x14ac:dyDescent="0.25">
      <c r="A466">
        <v>465</v>
      </c>
      <c r="B466" t="s">
        <v>338</v>
      </c>
      <c r="C466" s="290">
        <v>44440</v>
      </c>
      <c r="D466" t="s">
        <v>609</v>
      </c>
      <c r="E466" t="s">
        <v>327</v>
      </c>
      <c r="F466" t="s">
        <v>585</v>
      </c>
      <c r="G466" s="289">
        <v>20859.253959958296</v>
      </c>
    </row>
    <row r="467" spans="1:7" x14ac:dyDescent="0.25">
      <c r="A467">
        <v>466</v>
      </c>
      <c r="B467" t="s">
        <v>338</v>
      </c>
      <c r="C467" s="290">
        <v>44440</v>
      </c>
      <c r="D467" t="s">
        <v>607</v>
      </c>
      <c r="E467" t="s">
        <v>327</v>
      </c>
      <c r="F467" t="s">
        <v>585</v>
      </c>
      <c r="G467" s="289">
        <v>3469.3877551020414</v>
      </c>
    </row>
    <row r="468" spans="1:7" x14ac:dyDescent="0.25">
      <c r="A468">
        <v>467</v>
      </c>
      <c r="B468" t="s">
        <v>338</v>
      </c>
      <c r="C468" s="290">
        <v>44440</v>
      </c>
      <c r="D468" t="s">
        <v>608</v>
      </c>
      <c r="E468" t="s">
        <v>327</v>
      </c>
      <c r="F468" t="s">
        <v>585</v>
      </c>
      <c r="G468" s="289">
        <v>12509.89</v>
      </c>
    </row>
    <row r="469" spans="1:7" x14ac:dyDescent="0.25">
      <c r="A469">
        <v>468</v>
      </c>
      <c r="B469" t="s">
        <v>338</v>
      </c>
      <c r="C469" s="290">
        <v>44440</v>
      </c>
      <c r="D469" t="s">
        <v>607</v>
      </c>
      <c r="E469" t="s">
        <v>327</v>
      </c>
      <c r="F469" t="s">
        <v>584</v>
      </c>
      <c r="G469" s="289">
        <v>12228.437576220009</v>
      </c>
    </row>
    <row r="470" spans="1:7" x14ac:dyDescent="0.25">
      <c r="A470">
        <v>469</v>
      </c>
      <c r="B470" t="s">
        <v>338</v>
      </c>
      <c r="C470" s="290">
        <v>44409</v>
      </c>
      <c r="D470" t="s">
        <v>607</v>
      </c>
      <c r="E470" t="s">
        <v>328</v>
      </c>
      <c r="F470" t="s">
        <v>585</v>
      </c>
      <c r="G470" s="289">
        <v>122855.40877092663</v>
      </c>
    </row>
    <row r="471" spans="1:7" x14ac:dyDescent="0.25">
      <c r="A471">
        <v>470</v>
      </c>
      <c r="B471" t="s">
        <v>338</v>
      </c>
      <c r="C471" s="290">
        <v>44409</v>
      </c>
      <c r="D471" t="s">
        <v>608</v>
      </c>
      <c r="E471" t="s">
        <v>328</v>
      </c>
      <c r="F471" t="s">
        <v>585</v>
      </c>
      <c r="G471" s="289">
        <v>65208.4921938525</v>
      </c>
    </row>
    <row r="472" spans="1:7" x14ac:dyDescent="0.25">
      <c r="A472">
        <v>471</v>
      </c>
      <c r="B472" t="s">
        <v>338</v>
      </c>
      <c r="C472" s="290">
        <v>44409</v>
      </c>
      <c r="D472" t="s">
        <v>608</v>
      </c>
      <c r="E472" t="s">
        <v>328</v>
      </c>
      <c r="F472" t="s">
        <v>584</v>
      </c>
      <c r="G472" s="289">
        <v>117598.06369321</v>
      </c>
    </row>
    <row r="473" spans="1:7" x14ac:dyDescent="0.25">
      <c r="A473">
        <v>472</v>
      </c>
      <c r="B473" t="s">
        <v>338</v>
      </c>
      <c r="C473" s="290">
        <v>44409</v>
      </c>
      <c r="D473" t="s">
        <v>609</v>
      </c>
      <c r="E473" t="s">
        <v>328</v>
      </c>
      <c r="F473" t="s">
        <v>585</v>
      </c>
      <c r="G473" s="289">
        <v>40058.6013986014</v>
      </c>
    </row>
    <row r="474" spans="1:7" x14ac:dyDescent="0.25">
      <c r="A474">
        <v>473</v>
      </c>
      <c r="B474" t="s">
        <v>338</v>
      </c>
      <c r="C474" s="290">
        <v>44409</v>
      </c>
      <c r="D474" t="s">
        <v>609</v>
      </c>
      <c r="E474" t="s">
        <v>328</v>
      </c>
      <c r="F474" t="s">
        <v>584</v>
      </c>
      <c r="G474" s="289">
        <v>71977.297717229914</v>
      </c>
    </row>
    <row r="475" spans="1:7" x14ac:dyDescent="0.25">
      <c r="A475">
        <v>474</v>
      </c>
      <c r="B475" t="s">
        <v>338</v>
      </c>
      <c r="C475" s="290">
        <v>44409</v>
      </c>
      <c r="D475" t="s">
        <v>607</v>
      </c>
      <c r="E475" t="s">
        <v>328</v>
      </c>
      <c r="F475" t="s">
        <v>584</v>
      </c>
      <c r="G475" s="289">
        <v>81923.530478943794</v>
      </c>
    </row>
    <row r="476" spans="1:7" x14ac:dyDescent="0.25">
      <c r="A476">
        <v>475</v>
      </c>
      <c r="B476" t="s">
        <v>338</v>
      </c>
      <c r="C476" s="290">
        <v>44440</v>
      </c>
      <c r="D476" t="s">
        <v>607</v>
      </c>
      <c r="E476" t="s">
        <v>328</v>
      </c>
      <c r="F476" t="s">
        <v>585</v>
      </c>
      <c r="G476" s="289">
        <v>74096.750209056583</v>
      </c>
    </row>
    <row r="477" spans="1:7" x14ac:dyDescent="0.25">
      <c r="A477">
        <v>476</v>
      </c>
      <c r="B477" t="s">
        <v>338</v>
      </c>
      <c r="C477" s="290">
        <v>44440</v>
      </c>
      <c r="D477" t="s">
        <v>608</v>
      </c>
      <c r="E477" t="s">
        <v>328</v>
      </c>
      <c r="F477" t="s">
        <v>585</v>
      </c>
      <c r="G477" s="289">
        <v>23655</v>
      </c>
    </row>
    <row r="478" spans="1:7" x14ac:dyDescent="0.25">
      <c r="A478">
        <v>477</v>
      </c>
      <c r="B478" t="s">
        <v>338</v>
      </c>
      <c r="C478" s="290">
        <v>44440</v>
      </c>
      <c r="D478" t="s">
        <v>609</v>
      </c>
      <c r="E478" t="s">
        <v>328</v>
      </c>
      <c r="F478" t="s">
        <v>584</v>
      </c>
      <c r="G478" s="289">
        <v>6923.0769230769238</v>
      </c>
    </row>
    <row r="479" spans="1:7" x14ac:dyDescent="0.25">
      <c r="A479">
        <v>478</v>
      </c>
      <c r="B479" t="s">
        <v>338</v>
      </c>
      <c r="C479" s="290">
        <v>44440</v>
      </c>
      <c r="D479" t="s">
        <v>607</v>
      </c>
      <c r="E479" t="s">
        <v>328</v>
      </c>
      <c r="F479" t="s">
        <v>584</v>
      </c>
      <c r="G479" s="289">
        <v>48731.713695968159</v>
      </c>
    </row>
    <row r="480" spans="1:7" x14ac:dyDescent="0.25">
      <c r="A480">
        <v>479</v>
      </c>
      <c r="B480" t="s">
        <v>338</v>
      </c>
      <c r="C480" s="290">
        <v>44440</v>
      </c>
      <c r="D480" t="s">
        <v>608</v>
      </c>
      <c r="E480" t="s">
        <v>328</v>
      </c>
      <c r="F480" t="s">
        <v>584</v>
      </c>
      <c r="G480" s="289">
        <v>37699.56057871614</v>
      </c>
    </row>
    <row r="481" spans="1:7" x14ac:dyDescent="0.25">
      <c r="A481">
        <v>480</v>
      </c>
      <c r="B481" t="s">
        <v>338</v>
      </c>
      <c r="C481" s="290">
        <v>44440</v>
      </c>
      <c r="D481" t="s">
        <v>609</v>
      </c>
      <c r="E481" t="s">
        <v>328</v>
      </c>
      <c r="F481" t="s">
        <v>585</v>
      </c>
      <c r="G481" s="289">
        <v>31288.88093993744</v>
      </c>
    </row>
    <row r="482" spans="1:7" x14ac:dyDescent="0.25">
      <c r="A482">
        <v>481</v>
      </c>
      <c r="B482" t="s">
        <v>338</v>
      </c>
      <c r="C482" s="290">
        <v>44409</v>
      </c>
      <c r="D482" t="s">
        <v>609</v>
      </c>
      <c r="E482" t="s">
        <v>329</v>
      </c>
      <c r="F482" t="s">
        <v>585</v>
      </c>
      <c r="G482" s="289">
        <v>48070.321678321678</v>
      </c>
    </row>
    <row r="483" spans="1:7" x14ac:dyDescent="0.25">
      <c r="A483">
        <v>482</v>
      </c>
      <c r="B483" t="s">
        <v>338</v>
      </c>
      <c r="C483" s="290">
        <v>44409</v>
      </c>
      <c r="D483" t="s">
        <v>607</v>
      </c>
      <c r="E483" t="s">
        <v>329</v>
      </c>
      <c r="F483" t="s">
        <v>585</v>
      </c>
      <c r="G483" s="289">
        <v>166926.49052511196</v>
      </c>
    </row>
    <row r="484" spans="1:7" x14ac:dyDescent="0.25">
      <c r="A484">
        <v>483</v>
      </c>
      <c r="B484" t="s">
        <v>338</v>
      </c>
      <c r="C484" s="290">
        <v>44409</v>
      </c>
      <c r="D484" t="s">
        <v>608</v>
      </c>
      <c r="E484" t="s">
        <v>329</v>
      </c>
      <c r="F484" t="s">
        <v>585</v>
      </c>
      <c r="G484" s="289">
        <v>227066.19063262301</v>
      </c>
    </row>
    <row r="485" spans="1:7" x14ac:dyDescent="0.25">
      <c r="A485">
        <v>484</v>
      </c>
      <c r="B485" t="s">
        <v>338</v>
      </c>
      <c r="C485" s="290">
        <v>44409</v>
      </c>
      <c r="D485" t="s">
        <v>609</v>
      </c>
      <c r="E485" t="s">
        <v>329</v>
      </c>
      <c r="F485" t="s">
        <v>584</v>
      </c>
      <c r="G485" s="289">
        <v>75717.002020943401</v>
      </c>
    </row>
    <row r="486" spans="1:7" x14ac:dyDescent="0.25">
      <c r="A486">
        <v>485</v>
      </c>
      <c r="B486" t="s">
        <v>338</v>
      </c>
      <c r="C486" s="290">
        <v>44409</v>
      </c>
      <c r="D486" t="s">
        <v>607</v>
      </c>
      <c r="E486" t="s">
        <v>329</v>
      </c>
      <c r="F486" t="s">
        <v>584</v>
      </c>
      <c r="G486" s="289">
        <v>98308.236574732568</v>
      </c>
    </row>
    <row r="487" spans="1:7" x14ac:dyDescent="0.25">
      <c r="A487">
        <v>486</v>
      </c>
      <c r="B487" t="s">
        <v>338</v>
      </c>
      <c r="C487" s="290">
        <v>44409</v>
      </c>
      <c r="D487" t="s">
        <v>608</v>
      </c>
      <c r="E487" t="s">
        <v>329</v>
      </c>
      <c r="F487" t="s">
        <v>584</v>
      </c>
      <c r="G487" s="289">
        <v>137813.36786042401</v>
      </c>
    </row>
    <row r="488" spans="1:7" x14ac:dyDescent="0.25">
      <c r="A488">
        <v>487</v>
      </c>
      <c r="B488" t="s">
        <v>338</v>
      </c>
      <c r="C488" s="290">
        <v>44440</v>
      </c>
      <c r="D488" t="s">
        <v>607</v>
      </c>
      <c r="E488" t="s">
        <v>329</v>
      </c>
      <c r="F488" t="s">
        <v>584</v>
      </c>
      <c r="G488" s="289">
        <v>31088.372803396665</v>
      </c>
    </row>
    <row r="489" spans="1:7" x14ac:dyDescent="0.25">
      <c r="A489">
        <v>488</v>
      </c>
      <c r="B489" t="s">
        <v>338</v>
      </c>
      <c r="C489" s="290">
        <v>44440</v>
      </c>
      <c r="D489" t="s">
        <v>608</v>
      </c>
      <c r="E489" t="s">
        <v>329</v>
      </c>
      <c r="F489" t="s">
        <v>584</v>
      </c>
      <c r="G489" s="289">
        <v>45239.472694459364</v>
      </c>
    </row>
    <row r="490" spans="1:7" x14ac:dyDescent="0.25">
      <c r="A490">
        <v>489</v>
      </c>
      <c r="B490" t="s">
        <v>338</v>
      </c>
      <c r="C490" s="290">
        <v>44440</v>
      </c>
      <c r="D490" t="s">
        <v>609</v>
      </c>
      <c r="E490" t="s">
        <v>329</v>
      </c>
      <c r="F490" t="s">
        <v>584</v>
      </c>
      <c r="G490" s="289">
        <v>8307.6923076923085</v>
      </c>
    </row>
    <row r="491" spans="1:7" x14ac:dyDescent="0.25">
      <c r="A491">
        <v>490</v>
      </c>
      <c r="B491" t="s">
        <v>338</v>
      </c>
      <c r="C491" s="290">
        <v>44440</v>
      </c>
      <c r="D491" t="s">
        <v>607</v>
      </c>
      <c r="E491" t="s">
        <v>329</v>
      </c>
      <c r="F491" t="s">
        <v>585</v>
      </c>
      <c r="G491" s="289">
        <v>88916.100250867894</v>
      </c>
    </row>
    <row r="492" spans="1:7" x14ac:dyDescent="0.25">
      <c r="A492">
        <v>491</v>
      </c>
      <c r="B492" t="s">
        <v>338</v>
      </c>
      <c r="C492" s="290">
        <v>44440</v>
      </c>
      <c r="D492" t="s">
        <v>609</v>
      </c>
      <c r="E492" t="s">
        <v>329</v>
      </c>
      <c r="F492" t="s">
        <v>585</v>
      </c>
      <c r="G492" s="289">
        <v>37546.657127924933</v>
      </c>
    </row>
    <row r="493" spans="1:7" x14ac:dyDescent="0.25">
      <c r="A493">
        <v>492</v>
      </c>
      <c r="B493" t="s">
        <v>338</v>
      </c>
      <c r="C493" s="290">
        <v>44409</v>
      </c>
      <c r="D493" t="s">
        <v>607</v>
      </c>
      <c r="E493" t="s">
        <v>330</v>
      </c>
      <c r="F493" t="s">
        <v>585</v>
      </c>
      <c r="G493" s="289">
        <v>27153.48801282089</v>
      </c>
    </row>
    <row r="494" spans="1:7" x14ac:dyDescent="0.25">
      <c r="A494">
        <v>493</v>
      </c>
      <c r="B494" t="s">
        <v>338</v>
      </c>
      <c r="C494" s="290">
        <v>44409</v>
      </c>
      <c r="D494" t="s">
        <v>609</v>
      </c>
      <c r="E494" t="s">
        <v>330</v>
      </c>
      <c r="F494" t="s">
        <v>584</v>
      </c>
      <c r="G494" s="289">
        <v>15742.24474052874</v>
      </c>
    </row>
    <row r="495" spans="1:7" x14ac:dyDescent="0.25">
      <c r="A495">
        <v>494</v>
      </c>
      <c r="B495" t="s">
        <v>338</v>
      </c>
      <c r="C495" s="290">
        <v>44409</v>
      </c>
      <c r="D495" t="s">
        <v>608</v>
      </c>
      <c r="E495" t="s">
        <v>330</v>
      </c>
      <c r="F495" t="s">
        <v>584</v>
      </c>
      <c r="G495" s="289">
        <v>60014.941366086088</v>
      </c>
    </row>
    <row r="496" spans="1:7" x14ac:dyDescent="0.25">
      <c r="A496">
        <v>495</v>
      </c>
      <c r="B496" t="s">
        <v>338</v>
      </c>
      <c r="C496" s="290">
        <v>44409</v>
      </c>
      <c r="D496" t="s">
        <v>608</v>
      </c>
      <c r="E496" t="s">
        <v>330</v>
      </c>
      <c r="F496" t="s">
        <v>585</v>
      </c>
      <c r="G496" s="289">
        <v>30898.317483601666</v>
      </c>
    </row>
    <row r="497" spans="1:7" x14ac:dyDescent="0.25">
      <c r="A497">
        <v>496</v>
      </c>
      <c r="B497" t="s">
        <v>338</v>
      </c>
      <c r="C497" s="290">
        <v>44409</v>
      </c>
      <c r="D497" t="s">
        <v>607</v>
      </c>
      <c r="E497" t="s">
        <v>330</v>
      </c>
      <c r="F497" t="s">
        <v>584</v>
      </c>
      <c r="G497" s="289">
        <v>64325.240831366398</v>
      </c>
    </row>
    <row r="498" spans="1:7" x14ac:dyDescent="0.25">
      <c r="A498">
        <v>497</v>
      </c>
      <c r="B498" t="s">
        <v>338</v>
      </c>
      <c r="C498" s="290">
        <v>44409</v>
      </c>
      <c r="D498" t="s">
        <v>609</v>
      </c>
      <c r="E498" t="s">
        <v>330</v>
      </c>
      <c r="F498" t="s">
        <v>585</v>
      </c>
      <c r="G498" s="289">
        <v>12371.076923076926</v>
      </c>
    </row>
    <row r="499" spans="1:7" x14ac:dyDescent="0.25">
      <c r="A499">
        <v>498</v>
      </c>
      <c r="B499" t="s">
        <v>338</v>
      </c>
      <c r="C499" s="290">
        <v>44440</v>
      </c>
      <c r="D499" t="s">
        <v>607</v>
      </c>
      <c r="E499" t="s">
        <v>330</v>
      </c>
      <c r="F499" t="s">
        <v>585</v>
      </c>
      <c r="G499" s="289">
        <v>18293.711738634287</v>
      </c>
    </row>
    <row r="500" spans="1:7" x14ac:dyDescent="0.25">
      <c r="A500">
        <v>499</v>
      </c>
      <c r="B500" t="s">
        <v>338</v>
      </c>
      <c r="C500" s="290">
        <v>44440</v>
      </c>
      <c r="D500" t="s">
        <v>608</v>
      </c>
      <c r="E500" t="s">
        <v>330</v>
      </c>
      <c r="F500" t="s">
        <v>585</v>
      </c>
      <c r="G500" s="289">
        <v>1490.11</v>
      </c>
    </row>
    <row r="501" spans="1:7" x14ac:dyDescent="0.25">
      <c r="A501">
        <v>500</v>
      </c>
      <c r="B501" t="s">
        <v>338</v>
      </c>
      <c r="C501" s="290">
        <v>44440</v>
      </c>
      <c r="D501" t="s">
        <v>609</v>
      </c>
      <c r="E501" t="s">
        <v>330</v>
      </c>
      <c r="F501" t="s">
        <v>585</v>
      </c>
      <c r="G501" s="289">
        <v>39077.015969994907</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E7E1A6-B8E2-4DD4-AC0E-F596BBB1103C}">
  <dimension ref="A2:CJ53"/>
  <sheetViews>
    <sheetView topLeftCell="A13" workbookViewId="0">
      <selection activeCell="I53" sqref="I53"/>
    </sheetView>
  </sheetViews>
  <sheetFormatPr defaultColWidth="8.85546875" defaultRowHeight="15" x14ac:dyDescent="0.25"/>
  <cols>
    <col min="1" max="1" width="18" bestFit="1" customWidth="1"/>
    <col min="2" max="2" width="17" bestFit="1" customWidth="1"/>
    <col min="3" max="3" width="16.7109375" bestFit="1" customWidth="1"/>
    <col min="4" max="4" width="18" bestFit="1" customWidth="1"/>
    <col min="5" max="5" width="12.85546875" bestFit="1" customWidth="1"/>
    <col min="6" max="6" width="14.28515625" bestFit="1" customWidth="1"/>
    <col min="7" max="10" width="11.42578125" bestFit="1" customWidth="1"/>
    <col min="11" max="87" width="10.85546875" customWidth="1"/>
    <col min="88" max="88" width="11.42578125" bestFit="1" customWidth="1"/>
    <col min="89" max="89" width="16.7109375" bestFit="1" customWidth="1"/>
    <col min="90" max="90" width="17" bestFit="1" customWidth="1"/>
    <col min="91" max="91" width="16.7109375" bestFit="1" customWidth="1"/>
    <col min="92" max="92" width="17" bestFit="1" customWidth="1"/>
    <col min="93" max="93" width="16.7109375" bestFit="1" customWidth="1"/>
    <col min="94" max="94" width="17" bestFit="1" customWidth="1"/>
    <col min="95" max="95" width="16.7109375" bestFit="1" customWidth="1"/>
    <col min="96" max="96" width="17" bestFit="1" customWidth="1"/>
    <col min="97" max="97" width="16.7109375" bestFit="1" customWidth="1"/>
    <col min="98" max="98" width="17" bestFit="1" customWidth="1"/>
    <col min="99" max="99" width="16.7109375" bestFit="1" customWidth="1"/>
    <col min="100" max="100" width="17" bestFit="1" customWidth="1"/>
    <col min="101" max="101" width="16.7109375" bestFit="1" customWidth="1"/>
    <col min="102" max="102" width="17" bestFit="1" customWidth="1"/>
    <col min="103" max="103" width="16.7109375" bestFit="1" customWidth="1"/>
    <col min="104" max="104" width="17" bestFit="1" customWidth="1"/>
    <col min="105" max="105" width="16.7109375" bestFit="1" customWidth="1"/>
    <col min="106" max="106" width="17" bestFit="1" customWidth="1"/>
    <col min="107" max="107" width="16.7109375" bestFit="1" customWidth="1"/>
    <col min="108" max="108" width="17" bestFit="1" customWidth="1"/>
    <col min="109" max="109" width="16.7109375" bestFit="1" customWidth="1"/>
    <col min="110" max="110" width="17" bestFit="1" customWidth="1"/>
    <col min="111" max="111" width="16.7109375" bestFit="1" customWidth="1"/>
    <col min="112" max="112" width="17" bestFit="1" customWidth="1"/>
    <col min="113" max="113" width="16.7109375" bestFit="1" customWidth="1"/>
    <col min="114" max="114" width="17" bestFit="1" customWidth="1"/>
    <col min="115" max="115" width="16.7109375" bestFit="1" customWidth="1"/>
    <col min="116" max="116" width="17" bestFit="1" customWidth="1"/>
    <col min="117" max="117" width="16.7109375" bestFit="1" customWidth="1"/>
    <col min="118" max="118" width="17" bestFit="1" customWidth="1"/>
    <col min="119" max="119" width="16.7109375" bestFit="1" customWidth="1"/>
    <col min="120" max="120" width="17" bestFit="1" customWidth="1"/>
    <col min="121" max="121" width="16.7109375" bestFit="1" customWidth="1"/>
    <col min="122" max="122" width="17" bestFit="1" customWidth="1"/>
    <col min="123" max="123" width="16.7109375" bestFit="1" customWidth="1"/>
    <col min="124" max="124" width="17" bestFit="1" customWidth="1"/>
    <col min="125" max="125" width="16.7109375" bestFit="1" customWidth="1"/>
    <col min="126" max="126" width="17" bestFit="1" customWidth="1"/>
    <col min="127" max="127" width="16.7109375" bestFit="1" customWidth="1"/>
    <col min="128" max="128" width="17" bestFit="1" customWidth="1"/>
    <col min="129" max="129" width="16.7109375" bestFit="1" customWidth="1"/>
    <col min="130" max="130" width="17" bestFit="1" customWidth="1"/>
    <col min="131" max="131" width="16.7109375" bestFit="1" customWidth="1"/>
    <col min="132" max="132" width="17" bestFit="1" customWidth="1"/>
    <col min="133" max="133" width="16.7109375" bestFit="1" customWidth="1"/>
    <col min="134" max="134" width="17" bestFit="1" customWidth="1"/>
    <col min="135" max="135" width="16.7109375" bestFit="1" customWidth="1"/>
    <col min="136" max="136" width="17" bestFit="1" customWidth="1"/>
    <col min="137" max="137" width="16.7109375" bestFit="1" customWidth="1"/>
    <col min="138" max="138" width="17" bestFit="1" customWidth="1"/>
    <col min="139" max="139" width="16.7109375" bestFit="1" customWidth="1"/>
    <col min="140" max="140" width="17" bestFit="1" customWidth="1"/>
    <col min="141" max="141" width="16.7109375" bestFit="1" customWidth="1"/>
    <col min="142" max="142" width="17" bestFit="1" customWidth="1"/>
    <col min="143" max="143" width="16.7109375" bestFit="1" customWidth="1"/>
    <col min="144" max="144" width="17" bestFit="1" customWidth="1"/>
    <col min="145" max="145" width="16.7109375" bestFit="1" customWidth="1"/>
    <col min="146" max="146" width="17" bestFit="1" customWidth="1"/>
    <col min="147" max="147" width="16.7109375" bestFit="1" customWidth="1"/>
    <col min="148" max="148" width="17" bestFit="1" customWidth="1"/>
    <col min="149" max="149" width="16.7109375" bestFit="1" customWidth="1"/>
    <col min="150" max="150" width="17" bestFit="1" customWidth="1"/>
    <col min="151" max="151" width="16.7109375" bestFit="1" customWidth="1"/>
    <col min="152" max="152" width="17" bestFit="1" customWidth="1"/>
    <col min="153" max="153" width="16.7109375" bestFit="1" customWidth="1"/>
    <col min="154" max="154" width="17" bestFit="1" customWidth="1"/>
    <col min="155" max="155" width="16.7109375" bestFit="1" customWidth="1"/>
    <col min="156" max="156" width="17" bestFit="1" customWidth="1"/>
    <col min="157" max="157" width="16.7109375" bestFit="1" customWidth="1"/>
    <col min="158" max="158" width="17" bestFit="1" customWidth="1"/>
    <col min="159" max="159" width="16.7109375" bestFit="1" customWidth="1"/>
    <col min="160" max="160" width="17" bestFit="1" customWidth="1"/>
    <col min="161" max="161" width="16.7109375" bestFit="1" customWidth="1"/>
    <col min="162" max="162" width="17" bestFit="1" customWidth="1"/>
    <col min="163" max="163" width="16.7109375" bestFit="1" customWidth="1"/>
    <col min="164" max="164" width="17" bestFit="1" customWidth="1"/>
    <col min="165" max="165" width="16.7109375" bestFit="1" customWidth="1"/>
    <col min="166" max="166" width="17" bestFit="1" customWidth="1"/>
    <col min="167" max="167" width="16.7109375" bestFit="1" customWidth="1"/>
    <col min="168" max="168" width="22.140625" bestFit="1" customWidth="1"/>
    <col min="169" max="169" width="21.85546875" bestFit="1" customWidth="1"/>
    <col min="170" max="177" width="9.7109375" bestFit="1" customWidth="1"/>
    <col min="178" max="189" width="10.7109375" bestFit="1" customWidth="1"/>
    <col min="190" max="190" width="9.7109375" bestFit="1" customWidth="1"/>
    <col min="191" max="196" width="10.7109375" bestFit="1" customWidth="1"/>
    <col min="197" max="198" width="9.7109375" bestFit="1" customWidth="1"/>
    <col min="199" max="210" width="10.7109375" bestFit="1" customWidth="1"/>
    <col min="211" max="215" width="8.7109375" bestFit="1" customWidth="1"/>
    <col min="216" max="228" width="9.7109375" bestFit="1" customWidth="1"/>
    <col min="229" max="231" width="8.7109375" bestFit="1" customWidth="1"/>
    <col min="232" max="239" width="9.7109375" bestFit="1" customWidth="1"/>
    <col min="240" max="242" width="8.7109375" bestFit="1" customWidth="1"/>
    <col min="243" max="243" width="9" bestFit="1" customWidth="1"/>
    <col min="244" max="245" width="8.7109375" bestFit="1" customWidth="1"/>
    <col min="246" max="259" width="9.7109375" bestFit="1" customWidth="1"/>
    <col min="260" max="263" width="8.7109375" bestFit="1" customWidth="1"/>
    <col min="264" max="276" width="9.7109375" bestFit="1" customWidth="1"/>
    <col min="277" max="279" width="8.7109375" bestFit="1" customWidth="1"/>
    <col min="280" max="285" width="9.7109375" bestFit="1" customWidth="1"/>
    <col min="286" max="291" width="8.7109375" bestFit="1" customWidth="1"/>
    <col min="292" max="304" width="9.7109375" bestFit="1" customWidth="1"/>
    <col min="305" max="305" width="8.7109375" bestFit="1" customWidth="1"/>
    <col min="306" max="318" width="9.7109375" bestFit="1" customWidth="1"/>
    <col min="319" max="323" width="8.7109375" bestFit="1" customWidth="1"/>
    <col min="324" max="335" width="9.7109375" bestFit="1" customWidth="1"/>
    <col min="336" max="338" width="8.7109375" bestFit="1" customWidth="1"/>
    <col min="339" max="356" width="9.7109375" bestFit="1" customWidth="1"/>
    <col min="357" max="371" width="10.7109375" bestFit="1" customWidth="1"/>
    <col min="372" max="376" width="9.7109375" bestFit="1" customWidth="1"/>
    <col min="377" max="389" width="10.7109375" bestFit="1" customWidth="1"/>
    <col min="390" max="394" width="9.7109375" bestFit="1" customWidth="1"/>
    <col min="395" max="409" width="10.7109375" bestFit="1" customWidth="1"/>
    <col min="410" max="410" width="9" bestFit="1" customWidth="1"/>
    <col min="411" max="415" width="8.7109375" bestFit="1" customWidth="1"/>
    <col min="416" max="431" width="9.7109375" bestFit="1" customWidth="1"/>
    <col min="432" max="436" width="8.7109375" bestFit="1" customWidth="1"/>
    <col min="437" max="447" width="9.7109375" bestFit="1" customWidth="1"/>
    <col min="448" max="453" width="8.7109375" bestFit="1" customWidth="1"/>
    <col min="454" max="471" width="9.7109375" bestFit="1" customWidth="1"/>
    <col min="472" max="476" width="8.7109375" bestFit="1" customWidth="1"/>
    <col min="477" max="491" width="9.7109375" bestFit="1" customWidth="1"/>
    <col min="492" max="496" width="8.7109375" bestFit="1" customWidth="1"/>
    <col min="497" max="506" width="9.7109375" bestFit="1" customWidth="1"/>
    <col min="507" max="509" width="8.7109375" bestFit="1" customWidth="1"/>
    <col min="510" max="510" width="9" bestFit="1" customWidth="1"/>
    <col min="511" max="511" width="8.7109375" bestFit="1" customWidth="1"/>
    <col min="512" max="524" width="9.7109375" bestFit="1" customWidth="1"/>
    <col min="525" max="526" width="8.7109375" bestFit="1" customWidth="1"/>
    <col min="527" max="541" width="9.7109375" bestFit="1" customWidth="1"/>
    <col min="542" max="544" width="8.7109375" bestFit="1" customWidth="1"/>
    <col min="545" max="559" width="9.7109375" bestFit="1" customWidth="1"/>
    <col min="560" max="562" width="8.7109375" bestFit="1" customWidth="1"/>
    <col min="563" max="582" width="9.7109375" bestFit="1" customWidth="1"/>
    <col min="583" max="597" width="10.7109375" bestFit="1" customWidth="1"/>
    <col min="598" max="602" width="9.7109375" bestFit="1" customWidth="1"/>
    <col min="603" max="614" width="10.7109375" bestFit="1" customWidth="1"/>
    <col min="615" max="619" width="9.7109375" bestFit="1" customWidth="1"/>
    <col min="620" max="633" width="10.7109375" bestFit="1" customWidth="1"/>
    <col min="634" max="637" width="8.7109375" bestFit="1" customWidth="1"/>
    <col min="638" max="652" width="9.7109375" bestFit="1" customWidth="1"/>
    <col min="653" max="653" width="10.42578125" bestFit="1" customWidth="1"/>
    <col min="654" max="658" width="8.7109375" bestFit="1" customWidth="1"/>
    <col min="659" max="670" width="9.7109375" bestFit="1" customWidth="1"/>
    <col min="671" max="675" width="8.7109375" bestFit="1" customWidth="1"/>
    <col min="676" max="692" width="9.7109375" bestFit="1" customWidth="1"/>
    <col min="693" max="699" width="8.7109375" bestFit="1" customWidth="1"/>
    <col min="700" max="715" width="9.7109375" bestFit="1" customWidth="1"/>
    <col min="716" max="720" width="8.7109375" bestFit="1" customWidth="1"/>
    <col min="721" max="734" width="9.7109375" bestFit="1" customWidth="1"/>
    <col min="735" max="738" width="8.7109375" bestFit="1" customWidth="1"/>
    <col min="739" max="755" width="9.7109375" bestFit="1" customWidth="1"/>
    <col min="756" max="762" width="8.7109375" bestFit="1" customWidth="1"/>
    <col min="763" max="779" width="9.7109375" bestFit="1" customWidth="1"/>
    <col min="780" max="785" width="8.7109375" bestFit="1" customWidth="1"/>
    <col min="786" max="797" width="9.7109375" bestFit="1" customWidth="1"/>
    <col min="798" max="803" width="8.7109375" bestFit="1" customWidth="1"/>
    <col min="804" max="822" width="9.7109375" bestFit="1" customWidth="1"/>
    <col min="823" max="839" width="10.7109375" bestFit="1" customWidth="1"/>
    <col min="840" max="844" width="9.7109375" bestFit="1" customWidth="1"/>
    <col min="845" max="859" width="10.7109375" bestFit="1" customWidth="1"/>
    <col min="860" max="865" width="9.7109375" bestFit="1" customWidth="1"/>
    <col min="866" max="883" width="10.7109375" bestFit="1" customWidth="1"/>
    <col min="884" max="890" width="8.7109375" bestFit="1" customWidth="1"/>
    <col min="891" max="907" width="9.7109375" bestFit="1" customWidth="1"/>
    <col min="908" max="908" width="10.42578125" bestFit="1" customWidth="1"/>
    <col min="909" max="914" width="8.7109375" bestFit="1" customWidth="1"/>
    <col min="915" max="930" width="9.7109375" bestFit="1" customWidth="1"/>
    <col min="931" max="935" width="8.7109375" bestFit="1" customWidth="1"/>
    <col min="936" max="952" width="9.7109375" bestFit="1" customWidth="1"/>
    <col min="953" max="960" width="8.7109375" bestFit="1" customWidth="1"/>
    <col min="961" max="976" width="9.7109375" bestFit="1" customWidth="1"/>
    <col min="977" max="982" width="8.7109375" bestFit="1" customWidth="1"/>
    <col min="983" max="1001" width="9.7109375" bestFit="1" customWidth="1"/>
    <col min="1002" max="1008" width="8.7109375" bestFit="1" customWidth="1"/>
    <col min="1009" max="1022" width="9.7109375" bestFit="1" customWidth="1"/>
    <col min="1023" max="1028" width="8.7109375" bestFit="1" customWidth="1"/>
    <col min="1029" max="1029" width="9" bestFit="1" customWidth="1"/>
    <col min="1030" max="1046" width="9.7109375" bestFit="1" customWidth="1"/>
    <col min="1047" max="1050" width="8.7109375" bestFit="1" customWidth="1"/>
    <col min="1051" max="1068" width="9.7109375" bestFit="1" customWidth="1"/>
    <col min="1069" max="1076" width="8.7109375" bestFit="1" customWidth="1"/>
    <col min="1077" max="1099" width="9.7109375" bestFit="1" customWidth="1"/>
    <col min="1100" max="1115" width="10.7109375" bestFit="1" customWidth="1"/>
    <col min="1116" max="1120" width="9.7109375" bestFit="1" customWidth="1"/>
    <col min="1121" max="1134" width="10.7109375" bestFit="1" customWidth="1"/>
    <col min="1135" max="1142" width="9.7109375" bestFit="1" customWidth="1"/>
    <col min="1143" max="1158" width="10.7109375" bestFit="1" customWidth="1"/>
    <col min="1159" max="1163" width="8.7109375" bestFit="1" customWidth="1"/>
    <col min="1164" max="1180" width="9.7109375" bestFit="1" customWidth="1"/>
    <col min="1181" max="1187" width="8.7109375" bestFit="1" customWidth="1"/>
    <col min="1188" max="1200" width="9.7109375" bestFit="1" customWidth="1"/>
    <col min="1201" max="1207" width="8.7109375" bestFit="1" customWidth="1"/>
    <col min="1208" max="1223" width="9.7109375" bestFit="1" customWidth="1"/>
    <col min="1224" max="1224" width="8.7109375" bestFit="1" customWidth="1"/>
    <col min="1225" max="1225" width="9" bestFit="1" customWidth="1"/>
    <col min="1226" max="1230" width="8.7109375" bestFit="1" customWidth="1"/>
    <col min="1231" max="1244" width="9.7109375" bestFit="1" customWidth="1"/>
    <col min="1245" max="1245" width="10.42578125" bestFit="1" customWidth="1"/>
    <col min="1246" max="1250" width="8.7109375" bestFit="1" customWidth="1"/>
    <col min="1251" max="1269" width="9.7109375" bestFit="1" customWidth="1"/>
    <col min="1270" max="1271" width="8.7109375" bestFit="1" customWidth="1"/>
    <col min="1272" max="1272" width="9" bestFit="1" customWidth="1"/>
    <col min="1273" max="1273" width="8.7109375" bestFit="1" customWidth="1"/>
    <col min="1274" max="1274" width="9" bestFit="1" customWidth="1"/>
    <col min="1275" max="1276" width="8.7109375" bestFit="1" customWidth="1"/>
    <col min="1277" max="1290" width="9.7109375" bestFit="1" customWidth="1"/>
    <col min="1291" max="1292" width="8.7109375" bestFit="1" customWidth="1"/>
    <col min="1293" max="1294" width="9" bestFit="1" customWidth="1"/>
    <col min="1295" max="1295" width="8.7109375" bestFit="1" customWidth="1"/>
    <col min="1296" max="1296" width="9" bestFit="1" customWidth="1"/>
    <col min="1297" max="1310" width="9.7109375" bestFit="1" customWidth="1"/>
    <col min="1311" max="1311" width="10.42578125" bestFit="1" customWidth="1"/>
    <col min="1312" max="1312" width="9.7109375" bestFit="1" customWidth="1"/>
    <col min="1313" max="1320" width="8.7109375" bestFit="1" customWidth="1"/>
    <col min="1321" max="1337" width="9.7109375" bestFit="1" customWidth="1"/>
    <col min="1338" max="1340" width="8.7109375" bestFit="1" customWidth="1"/>
    <col min="1341" max="1341" width="9" bestFit="1" customWidth="1"/>
    <col min="1342" max="1342" width="8.7109375" bestFit="1" customWidth="1"/>
    <col min="1343" max="1348" width="9.7109375" bestFit="1" customWidth="1"/>
    <col min="1349" max="1349" width="11.42578125" bestFit="1" customWidth="1"/>
  </cols>
  <sheetData>
    <row r="2" spans="1:85" x14ac:dyDescent="0.25">
      <c r="A2" s="3" t="s">
        <v>585</v>
      </c>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row>
    <row r="4" spans="1:85" x14ac:dyDescent="0.25">
      <c r="A4" s="369" t="s">
        <v>692</v>
      </c>
      <c r="B4" s="369" t="s">
        <v>689</v>
      </c>
    </row>
    <row r="5" spans="1:85" x14ac:dyDescent="0.25">
      <c r="B5" t="s">
        <v>688</v>
      </c>
      <c r="D5" t="s">
        <v>687</v>
      </c>
      <c r="P5" t="s">
        <v>686</v>
      </c>
      <c r="AB5" t="s">
        <v>685</v>
      </c>
      <c r="AN5" t="s">
        <v>684</v>
      </c>
      <c r="AZ5" t="s">
        <v>683</v>
      </c>
      <c r="BL5" t="s">
        <v>682</v>
      </c>
      <c r="BX5" t="s">
        <v>681</v>
      </c>
      <c r="CG5" t="s">
        <v>45</v>
      </c>
    </row>
    <row r="6" spans="1:85" x14ac:dyDescent="0.25">
      <c r="A6" s="369" t="s">
        <v>680</v>
      </c>
      <c r="B6" s="360" t="s">
        <v>678</v>
      </c>
      <c r="C6" s="360" t="s">
        <v>677</v>
      </c>
      <c r="D6" s="360" t="s">
        <v>676</v>
      </c>
      <c r="E6" s="360" t="s">
        <v>675</v>
      </c>
      <c r="F6" s="360" t="s">
        <v>674</v>
      </c>
      <c r="G6" s="360" t="s">
        <v>673</v>
      </c>
      <c r="H6" s="360" t="s">
        <v>361</v>
      </c>
      <c r="I6" s="360" t="s">
        <v>672</v>
      </c>
      <c r="J6" s="360" t="s">
        <v>671</v>
      </c>
      <c r="K6" s="360" t="s">
        <v>670</v>
      </c>
      <c r="L6" s="360" t="s">
        <v>669</v>
      </c>
      <c r="M6" s="360" t="s">
        <v>679</v>
      </c>
      <c r="N6" s="360" t="s">
        <v>678</v>
      </c>
      <c r="O6" s="360" t="s">
        <v>677</v>
      </c>
      <c r="P6" s="360" t="s">
        <v>676</v>
      </c>
      <c r="Q6" s="360" t="s">
        <v>675</v>
      </c>
      <c r="R6" s="360" t="s">
        <v>674</v>
      </c>
      <c r="S6" s="360" t="s">
        <v>673</v>
      </c>
      <c r="T6" s="360" t="s">
        <v>361</v>
      </c>
      <c r="U6" s="360" t="s">
        <v>672</v>
      </c>
      <c r="V6" s="360" t="s">
        <v>671</v>
      </c>
      <c r="W6" s="360" t="s">
        <v>670</v>
      </c>
      <c r="X6" s="360" t="s">
        <v>669</v>
      </c>
      <c r="Y6" s="360" t="s">
        <v>679</v>
      </c>
      <c r="Z6" s="360" t="s">
        <v>678</v>
      </c>
      <c r="AA6" s="360" t="s">
        <v>677</v>
      </c>
      <c r="AB6" s="360" t="s">
        <v>676</v>
      </c>
      <c r="AC6" s="360" t="s">
        <v>675</v>
      </c>
      <c r="AD6" s="360" t="s">
        <v>674</v>
      </c>
      <c r="AE6" s="360" t="s">
        <v>673</v>
      </c>
      <c r="AF6" s="360" t="s">
        <v>361</v>
      </c>
      <c r="AG6" s="360" t="s">
        <v>672</v>
      </c>
      <c r="AH6" s="360" t="s">
        <v>671</v>
      </c>
      <c r="AI6" s="360" t="s">
        <v>670</v>
      </c>
      <c r="AJ6" s="360" t="s">
        <v>669</v>
      </c>
      <c r="AK6" s="360" t="s">
        <v>679</v>
      </c>
      <c r="AL6" s="360" t="s">
        <v>678</v>
      </c>
      <c r="AM6" s="360" t="s">
        <v>677</v>
      </c>
      <c r="AN6" s="360" t="s">
        <v>676</v>
      </c>
      <c r="AO6" s="360" t="s">
        <v>675</v>
      </c>
      <c r="AP6" s="360" t="s">
        <v>674</v>
      </c>
      <c r="AQ6" s="360" t="s">
        <v>673</v>
      </c>
      <c r="AR6" s="360" t="s">
        <v>361</v>
      </c>
      <c r="AS6" s="360" t="s">
        <v>672</v>
      </c>
      <c r="AT6" s="360" t="s">
        <v>671</v>
      </c>
      <c r="AU6" s="360" t="s">
        <v>670</v>
      </c>
      <c r="AV6" s="360" t="s">
        <v>669</v>
      </c>
      <c r="AW6" s="360" t="s">
        <v>679</v>
      </c>
      <c r="AX6" s="360" t="s">
        <v>678</v>
      </c>
      <c r="AY6" s="360" t="s">
        <v>677</v>
      </c>
      <c r="AZ6" s="360" t="s">
        <v>676</v>
      </c>
      <c r="BA6" s="360" t="s">
        <v>675</v>
      </c>
      <c r="BB6" s="360" t="s">
        <v>674</v>
      </c>
      <c r="BC6" s="360" t="s">
        <v>673</v>
      </c>
      <c r="BD6" s="360" t="s">
        <v>361</v>
      </c>
      <c r="BE6" s="360" t="s">
        <v>672</v>
      </c>
      <c r="BF6" s="360" t="s">
        <v>671</v>
      </c>
      <c r="BG6" s="360" t="s">
        <v>670</v>
      </c>
      <c r="BH6" s="360" t="s">
        <v>669</v>
      </c>
      <c r="BI6" s="360" t="s">
        <v>679</v>
      </c>
      <c r="BJ6" s="360" t="s">
        <v>678</v>
      </c>
      <c r="BK6" s="360" t="s">
        <v>677</v>
      </c>
      <c r="BL6" s="360" t="s">
        <v>676</v>
      </c>
      <c r="BM6" s="360" t="s">
        <v>675</v>
      </c>
      <c r="BN6" s="360" t="s">
        <v>674</v>
      </c>
      <c r="BO6" s="360" t="s">
        <v>673</v>
      </c>
      <c r="BP6" s="360" t="s">
        <v>361</v>
      </c>
      <c r="BQ6" s="360" t="s">
        <v>672</v>
      </c>
      <c r="BR6" s="360" t="s">
        <v>671</v>
      </c>
      <c r="BS6" s="360" t="s">
        <v>670</v>
      </c>
      <c r="BT6" s="360" t="s">
        <v>669</v>
      </c>
      <c r="BU6" s="360" t="s">
        <v>679</v>
      </c>
      <c r="BV6" s="360" t="s">
        <v>678</v>
      </c>
      <c r="BW6" s="360" t="s">
        <v>677</v>
      </c>
      <c r="BX6" s="360" t="s">
        <v>676</v>
      </c>
      <c r="BY6" s="360" t="s">
        <v>675</v>
      </c>
      <c r="BZ6" s="360" t="s">
        <v>674</v>
      </c>
      <c r="CA6" s="360" t="s">
        <v>673</v>
      </c>
      <c r="CB6" s="360" t="s">
        <v>361</v>
      </c>
      <c r="CC6" s="360" t="s">
        <v>672</v>
      </c>
      <c r="CD6" s="360" t="s">
        <v>671</v>
      </c>
      <c r="CE6" s="360" t="s">
        <v>670</v>
      </c>
      <c r="CF6" s="360" t="s">
        <v>669</v>
      </c>
    </row>
    <row r="7" spans="1:85" x14ac:dyDescent="0.25">
      <c r="A7" s="5" t="s">
        <v>664</v>
      </c>
      <c r="B7" s="20"/>
      <c r="C7" s="20"/>
      <c r="D7" s="20"/>
      <c r="E7" s="20"/>
      <c r="F7" s="20"/>
      <c r="G7" s="20"/>
      <c r="H7" s="20"/>
      <c r="I7" s="20"/>
      <c r="J7" s="20"/>
      <c r="K7" s="20">
        <v>4320</v>
      </c>
      <c r="L7" s="20"/>
      <c r="M7" s="20"/>
      <c r="N7" s="20"/>
      <c r="O7" s="20"/>
      <c r="P7" s="20"/>
      <c r="Q7" s="20"/>
      <c r="R7" s="20"/>
      <c r="S7" s="20">
        <v>4400</v>
      </c>
      <c r="T7" s="20"/>
      <c r="U7" s="20"/>
      <c r="V7" s="20">
        <v>6000</v>
      </c>
      <c r="W7" s="20"/>
      <c r="X7" s="20"/>
      <c r="Y7" s="20">
        <v>39872</v>
      </c>
      <c r="Z7" s="20"/>
      <c r="AA7" s="20"/>
      <c r="AB7" s="20">
        <v>12000</v>
      </c>
      <c r="AC7" s="20"/>
      <c r="AD7" s="20">
        <v>13561</v>
      </c>
      <c r="AE7" s="20">
        <v>46080</v>
      </c>
      <c r="AF7" s="20"/>
      <c r="AG7" s="20">
        <v>34642</v>
      </c>
      <c r="AH7" s="20"/>
      <c r="AI7" s="20"/>
      <c r="AJ7" s="20"/>
      <c r="AK7" s="20"/>
      <c r="AL7" s="20"/>
      <c r="AM7" s="20"/>
      <c r="AN7" s="20"/>
      <c r="AO7" s="20"/>
      <c r="AP7" s="20">
        <v>18000</v>
      </c>
      <c r="AQ7" s="20"/>
      <c r="AR7" s="20"/>
      <c r="AS7" s="20"/>
      <c r="AT7" s="20">
        <v>47840</v>
      </c>
      <c r="AU7" s="20">
        <v>24000</v>
      </c>
      <c r="AV7" s="20"/>
      <c r="AW7" s="20">
        <v>73000</v>
      </c>
      <c r="AX7" s="20">
        <v>7500</v>
      </c>
      <c r="AY7" s="20">
        <v>16250</v>
      </c>
      <c r="AZ7" s="20"/>
      <c r="BA7" s="20"/>
      <c r="BB7" s="20"/>
      <c r="BC7" s="20">
        <v>16369</v>
      </c>
      <c r="BD7" s="20">
        <v>135540</v>
      </c>
      <c r="BE7" s="20"/>
      <c r="BF7" s="20">
        <v>4000</v>
      </c>
      <c r="BG7" s="20">
        <v>45800</v>
      </c>
      <c r="BH7" s="20">
        <v>-4000</v>
      </c>
      <c r="BI7" s="20"/>
      <c r="BJ7" s="20"/>
      <c r="BK7" s="20">
        <v>15000</v>
      </c>
      <c r="BL7" s="20">
        <v>18000</v>
      </c>
      <c r="BM7" s="20"/>
      <c r="BN7" s="20">
        <v>28000</v>
      </c>
      <c r="BO7" s="20">
        <v>8000</v>
      </c>
      <c r="BP7" s="20"/>
      <c r="BQ7" s="20">
        <v>63000</v>
      </c>
      <c r="BR7" s="20">
        <v>50500</v>
      </c>
      <c r="BS7" s="20"/>
      <c r="BT7" s="20">
        <v>98000</v>
      </c>
      <c r="BU7" s="20"/>
      <c r="BV7" s="20"/>
      <c r="BW7" s="20"/>
      <c r="BX7" s="20">
        <v>66374</v>
      </c>
      <c r="BY7" s="20"/>
      <c r="BZ7" s="20">
        <v>10000</v>
      </c>
      <c r="CA7" s="20">
        <v>123849</v>
      </c>
      <c r="CB7" s="20">
        <v>10000</v>
      </c>
      <c r="CC7" s="20">
        <v>81500</v>
      </c>
      <c r="CD7" s="20">
        <v>76425</v>
      </c>
      <c r="CE7" s="20"/>
      <c r="CF7" s="20">
        <v>20000</v>
      </c>
      <c r="CG7" s="20">
        <v>1213822</v>
      </c>
    </row>
    <row r="8" spans="1:85" x14ac:dyDescent="0.25">
      <c r="A8" s="5" t="s">
        <v>314</v>
      </c>
      <c r="B8" s="20"/>
      <c r="C8" s="20"/>
      <c r="D8" s="20">
        <v>0</v>
      </c>
      <c r="E8" s="20"/>
      <c r="F8" s="20">
        <v>3288</v>
      </c>
      <c r="G8" s="20"/>
      <c r="H8" s="20">
        <v>1188</v>
      </c>
      <c r="I8" s="20"/>
      <c r="J8" s="20"/>
      <c r="K8" s="20"/>
      <c r="L8" s="20">
        <v>1188</v>
      </c>
      <c r="M8" s="20"/>
      <c r="N8" s="20">
        <v>12000</v>
      </c>
      <c r="O8" s="20"/>
      <c r="P8" s="20"/>
      <c r="Q8" s="20">
        <v>3000</v>
      </c>
      <c r="R8" s="20">
        <v>4800</v>
      </c>
      <c r="S8" s="20"/>
      <c r="T8" s="20">
        <v>18000</v>
      </c>
      <c r="U8" s="20"/>
      <c r="V8" s="20"/>
      <c r="W8" s="20"/>
      <c r="X8" s="20"/>
      <c r="Y8" s="20">
        <v>16400</v>
      </c>
      <c r="Z8" s="20"/>
      <c r="AA8" s="20">
        <v>28913</v>
      </c>
      <c r="AB8" s="20">
        <v>27166</v>
      </c>
      <c r="AC8" s="20">
        <v>12000</v>
      </c>
      <c r="AD8" s="20">
        <v>21000</v>
      </c>
      <c r="AE8" s="20">
        <v>39145</v>
      </c>
      <c r="AF8" s="20"/>
      <c r="AG8" s="20">
        <v>19509</v>
      </c>
      <c r="AH8" s="20">
        <v>63000</v>
      </c>
      <c r="AI8" s="20">
        <v>5653</v>
      </c>
      <c r="AJ8" s="20">
        <v>8400</v>
      </c>
      <c r="AK8" s="20">
        <v>2060</v>
      </c>
      <c r="AL8" s="20">
        <v>36135</v>
      </c>
      <c r="AM8" s="20">
        <v>35000</v>
      </c>
      <c r="AN8" s="20">
        <v>27800</v>
      </c>
      <c r="AO8" s="20"/>
      <c r="AP8" s="20">
        <v>46500</v>
      </c>
      <c r="AQ8" s="20">
        <v>111570</v>
      </c>
      <c r="AR8" s="20">
        <v>75000</v>
      </c>
      <c r="AS8" s="20"/>
      <c r="AT8" s="20">
        <v>261500</v>
      </c>
      <c r="AU8" s="20">
        <v>11000</v>
      </c>
      <c r="AV8" s="20"/>
      <c r="AW8" s="20">
        <v>13500</v>
      </c>
      <c r="AX8" s="20">
        <v>79495</v>
      </c>
      <c r="AY8" s="20">
        <v>89208</v>
      </c>
      <c r="AZ8" s="20">
        <v>114500</v>
      </c>
      <c r="BA8" s="20">
        <v>93033</v>
      </c>
      <c r="BB8" s="20">
        <v>89414</v>
      </c>
      <c r="BC8" s="20">
        <v>353474</v>
      </c>
      <c r="BD8" s="20">
        <v>140424</v>
      </c>
      <c r="BE8" s="20">
        <v>200036</v>
      </c>
      <c r="BF8" s="20">
        <v>95363</v>
      </c>
      <c r="BG8" s="20">
        <v>60667</v>
      </c>
      <c r="BH8" s="20"/>
      <c r="BI8" s="20">
        <v>318871</v>
      </c>
      <c r="BJ8" s="20">
        <v>28920</v>
      </c>
      <c r="BK8" s="20">
        <v>224536</v>
      </c>
      <c r="BL8" s="20">
        <v>99306</v>
      </c>
      <c r="BM8" s="20"/>
      <c r="BN8" s="20">
        <v>71247</v>
      </c>
      <c r="BO8" s="20">
        <v>77744</v>
      </c>
      <c r="BP8" s="20">
        <v>99073</v>
      </c>
      <c r="BQ8" s="20">
        <v>146960</v>
      </c>
      <c r="BR8" s="20">
        <v>400378</v>
      </c>
      <c r="BS8" s="20">
        <v>43000</v>
      </c>
      <c r="BT8" s="20">
        <v>72193</v>
      </c>
      <c r="BU8" s="20">
        <v>262924</v>
      </c>
      <c r="BV8" s="20">
        <v>132451</v>
      </c>
      <c r="BW8" s="20">
        <v>120836</v>
      </c>
      <c r="BX8" s="20">
        <v>372423</v>
      </c>
      <c r="BY8" s="20">
        <v>46516</v>
      </c>
      <c r="BZ8" s="20">
        <v>164785</v>
      </c>
      <c r="CA8" s="20">
        <v>315192</v>
      </c>
      <c r="CB8" s="20">
        <v>167796</v>
      </c>
      <c r="CC8" s="20">
        <v>449940</v>
      </c>
      <c r="CD8" s="20">
        <v>446873</v>
      </c>
      <c r="CE8" s="20">
        <v>69131</v>
      </c>
      <c r="CF8" s="20">
        <v>32987</v>
      </c>
      <c r="CG8" s="20">
        <v>6384411</v>
      </c>
    </row>
    <row r="9" spans="1:85" x14ac:dyDescent="0.25">
      <c r="A9" s="5" t="s">
        <v>668</v>
      </c>
      <c r="B9" s="20"/>
      <c r="C9" s="20"/>
      <c r="D9" s="20"/>
      <c r="E9" s="20"/>
      <c r="F9" s="20"/>
      <c r="G9" s="20"/>
      <c r="H9" s="20"/>
      <c r="I9" s="20"/>
      <c r="J9" s="20"/>
      <c r="K9" s="20"/>
      <c r="L9" s="20">
        <v>4200</v>
      </c>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v>12000</v>
      </c>
      <c r="AS9" s="20"/>
      <c r="AT9" s="20"/>
      <c r="AU9" s="20"/>
      <c r="AV9" s="20"/>
      <c r="AW9" s="20">
        <v>25000</v>
      </c>
      <c r="AX9" s="20"/>
      <c r="AY9" s="20"/>
      <c r="AZ9" s="20"/>
      <c r="BA9" s="20"/>
      <c r="BB9" s="20"/>
      <c r="BC9" s="20"/>
      <c r="BD9" s="20">
        <v>4000</v>
      </c>
      <c r="BE9" s="20">
        <v>33000</v>
      </c>
      <c r="BF9" s="20"/>
      <c r="BG9" s="20">
        <v>12000</v>
      </c>
      <c r="BH9" s="20"/>
      <c r="BI9" s="20">
        <v>7500</v>
      </c>
      <c r="BJ9" s="20"/>
      <c r="BK9" s="20"/>
      <c r="BL9" s="20"/>
      <c r="BM9" s="20"/>
      <c r="BN9" s="20"/>
      <c r="BO9" s="20">
        <v>7385</v>
      </c>
      <c r="BP9" s="20"/>
      <c r="BQ9" s="20"/>
      <c r="BR9" s="20"/>
      <c r="BS9" s="20"/>
      <c r="BT9" s="20"/>
      <c r="BU9" s="20"/>
      <c r="BV9" s="20"/>
      <c r="BW9" s="20">
        <v>20000</v>
      </c>
      <c r="BX9" s="20"/>
      <c r="BY9" s="20">
        <v>10000</v>
      </c>
      <c r="BZ9" s="20">
        <v>34000</v>
      </c>
      <c r="CA9" s="20">
        <v>22711</v>
      </c>
      <c r="CB9" s="20"/>
      <c r="CC9" s="20"/>
      <c r="CD9" s="20">
        <v>10000</v>
      </c>
      <c r="CE9" s="20"/>
      <c r="CF9" s="20">
        <v>10000</v>
      </c>
      <c r="CG9" s="20">
        <v>211796</v>
      </c>
    </row>
    <row r="10" spans="1:85" x14ac:dyDescent="0.25">
      <c r="A10" s="5" t="s">
        <v>663</v>
      </c>
      <c r="B10" s="20">
        <v>13140</v>
      </c>
      <c r="C10" s="20">
        <v>66000</v>
      </c>
      <c r="D10" s="20">
        <v>12576</v>
      </c>
      <c r="E10" s="20">
        <v>5643</v>
      </c>
      <c r="F10" s="20">
        <v>98586</v>
      </c>
      <c r="G10" s="20">
        <v>36468</v>
      </c>
      <c r="H10" s="20">
        <v>14400</v>
      </c>
      <c r="I10" s="20">
        <v>87856</v>
      </c>
      <c r="J10" s="20">
        <v>25908</v>
      </c>
      <c r="K10" s="20">
        <v>41672</v>
      </c>
      <c r="L10" s="20">
        <v>102696</v>
      </c>
      <c r="M10" s="20">
        <v>7188</v>
      </c>
      <c r="N10" s="20">
        <v>14352</v>
      </c>
      <c r="O10" s="20">
        <v>94152</v>
      </c>
      <c r="P10" s="20">
        <v>65148</v>
      </c>
      <c r="Q10" s="20">
        <v>73600</v>
      </c>
      <c r="R10" s="20">
        <v>130020</v>
      </c>
      <c r="S10" s="20">
        <v>171300</v>
      </c>
      <c r="T10" s="20">
        <v>33756</v>
      </c>
      <c r="U10" s="20">
        <v>113854</v>
      </c>
      <c r="V10" s="20">
        <v>260367</v>
      </c>
      <c r="W10" s="20">
        <v>73320</v>
      </c>
      <c r="X10" s="20">
        <v>287770</v>
      </c>
      <c r="Y10" s="20">
        <v>524807</v>
      </c>
      <c r="Z10" s="20">
        <v>80400</v>
      </c>
      <c r="AA10" s="20">
        <v>334413</v>
      </c>
      <c r="AB10" s="20">
        <v>458824</v>
      </c>
      <c r="AC10" s="20">
        <v>108986</v>
      </c>
      <c r="AD10" s="20">
        <v>555650</v>
      </c>
      <c r="AE10" s="20">
        <v>329900</v>
      </c>
      <c r="AF10" s="20">
        <v>153206</v>
      </c>
      <c r="AG10" s="20">
        <v>341500</v>
      </c>
      <c r="AH10" s="20">
        <v>510651</v>
      </c>
      <c r="AI10" s="20">
        <v>240830</v>
      </c>
      <c r="AJ10" s="20">
        <v>260513</v>
      </c>
      <c r="AK10" s="20">
        <v>891452</v>
      </c>
      <c r="AL10" s="20">
        <v>367750</v>
      </c>
      <c r="AM10" s="20">
        <v>741550</v>
      </c>
      <c r="AN10" s="20">
        <v>1040627</v>
      </c>
      <c r="AO10" s="20">
        <v>158950</v>
      </c>
      <c r="AP10" s="20">
        <v>740508</v>
      </c>
      <c r="AQ10" s="20">
        <v>1266419</v>
      </c>
      <c r="AR10" s="20">
        <v>437153</v>
      </c>
      <c r="AS10" s="20">
        <v>1152004</v>
      </c>
      <c r="AT10" s="20">
        <v>929519</v>
      </c>
      <c r="AU10" s="20">
        <v>408917</v>
      </c>
      <c r="AV10" s="20">
        <v>857889</v>
      </c>
      <c r="AW10" s="20">
        <v>1424983</v>
      </c>
      <c r="AX10" s="20">
        <v>1010936</v>
      </c>
      <c r="AY10" s="20">
        <v>1618884</v>
      </c>
      <c r="AZ10" s="20">
        <v>1879249</v>
      </c>
      <c r="BA10" s="20">
        <v>390050</v>
      </c>
      <c r="BB10" s="20">
        <v>1015003</v>
      </c>
      <c r="BC10" s="20">
        <v>1739496</v>
      </c>
      <c r="BD10" s="20">
        <v>873298</v>
      </c>
      <c r="BE10" s="20">
        <v>892223</v>
      </c>
      <c r="BF10" s="20">
        <v>1856708</v>
      </c>
      <c r="BG10" s="20">
        <v>705119</v>
      </c>
      <c r="BH10" s="20">
        <v>926674</v>
      </c>
      <c r="BI10" s="20">
        <v>1954091</v>
      </c>
      <c r="BJ10" s="20">
        <v>372834</v>
      </c>
      <c r="BK10" s="20">
        <v>1592543</v>
      </c>
      <c r="BL10" s="20">
        <v>2512768</v>
      </c>
      <c r="BM10" s="20">
        <v>460128</v>
      </c>
      <c r="BN10" s="20">
        <v>957424</v>
      </c>
      <c r="BO10" s="20">
        <v>1403338</v>
      </c>
      <c r="BP10" s="20">
        <v>714215</v>
      </c>
      <c r="BQ10" s="20">
        <v>1005954</v>
      </c>
      <c r="BR10" s="20">
        <v>2221656</v>
      </c>
      <c r="BS10" s="20">
        <v>487979</v>
      </c>
      <c r="BT10" s="20">
        <v>1263741</v>
      </c>
      <c r="BU10" s="20">
        <v>1433671</v>
      </c>
      <c r="BV10" s="20">
        <v>523702</v>
      </c>
      <c r="BW10" s="20">
        <v>1794108</v>
      </c>
      <c r="BX10" s="20">
        <v>2688267</v>
      </c>
      <c r="BY10" s="20">
        <v>668043</v>
      </c>
      <c r="BZ10" s="20">
        <v>872009</v>
      </c>
      <c r="CA10" s="20">
        <v>2705150</v>
      </c>
      <c r="CB10" s="20">
        <v>941067</v>
      </c>
      <c r="CC10" s="20">
        <v>1374089</v>
      </c>
      <c r="CD10" s="20">
        <v>3224746</v>
      </c>
      <c r="CE10" s="20">
        <v>716341</v>
      </c>
      <c r="CF10" s="20">
        <v>486636</v>
      </c>
      <c r="CG10" s="20">
        <v>61429313</v>
      </c>
    </row>
    <row r="11" spans="1:85" x14ac:dyDescent="0.25">
      <c r="A11" s="5" t="s">
        <v>667</v>
      </c>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20"/>
      <c r="BC11" s="20">
        <v>194718</v>
      </c>
      <c r="BD11" s="20"/>
      <c r="BE11" s="20"/>
      <c r="BF11" s="20"/>
      <c r="BG11" s="20"/>
      <c r="BH11" s="20"/>
      <c r="BI11" s="20">
        <v>10000</v>
      </c>
      <c r="BJ11" s="20"/>
      <c r="BK11" s="20"/>
      <c r="BL11" s="20"/>
      <c r="BM11" s="20"/>
      <c r="BN11" s="20"/>
      <c r="BO11" s="20"/>
      <c r="BP11" s="20"/>
      <c r="BQ11" s="20"/>
      <c r="BR11" s="20"/>
      <c r="BS11" s="20"/>
      <c r="BT11" s="20"/>
      <c r="BU11" s="20"/>
      <c r="BV11" s="20"/>
      <c r="BW11" s="20"/>
      <c r="BX11" s="20"/>
      <c r="BY11" s="20">
        <v>49434</v>
      </c>
      <c r="BZ11" s="20">
        <v>38882</v>
      </c>
      <c r="CA11" s="20"/>
      <c r="CB11" s="20"/>
      <c r="CC11" s="20"/>
      <c r="CD11" s="20"/>
      <c r="CE11" s="20"/>
      <c r="CF11" s="20"/>
      <c r="CG11" s="20">
        <v>293034</v>
      </c>
    </row>
    <row r="12" spans="1:85" x14ac:dyDescent="0.25">
      <c r="A12" s="5" t="s">
        <v>45</v>
      </c>
      <c r="B12" s="20">
        <v>13140</v>
      </c>
      <c r="C12" s="20">
        <v>66000</v>
      </c>
      <c r="D12" s="20">
        <v>12576</v>
      </c>
      <c r="E12" s="20">
        <v>5643</v>
      </c>
      <c r="F12" s="20">
        <v>101874</v>
      </c>
      <c r="G12" s="20">
        <v>36468</v>
      </c>
      <c r="H12" s="20">
        <v>15588</v>
      </c>
      <c r="I12" s="20">
        <v>87856</v>
      </c>
      <c r="J12" s="20">
        <v>25908</v>
      </c>
      <c r="K12" s="20">
        <v>45992</v>
      </c>
      <c r="L12" s="20">
        <v>108084</v>
      </c>
      <c r="M12" s="20">
        <v>7188</v>
      </c>
      <c r="N12" s="20">
        <v>26352</v>
      </c>
      <c r="O12" s="20">
        <v>94152</v>
      </c>
      <c r="P12" s="20">
        <v>65148</v>
      </c>
      <c r="Q12" s="20">
        <v>76600</v>
      </c>
      <c r="R12" s="20">
        <v>134820</v>
      </c>
      <c r="S12" s="20">
        <v>175700</v>
      </c>
      <c r="T12" s="20">
        <v>51756</v>
      </c>
      <c r="U12" s="20">
        <v>113854</v>
      </c>
      <c r="V12" s="20">
        <v>266367</v>
      </c>
      <c r="W12" s="20">
        <v>73320</v>
      </c>
      <c r="X12" s="20">
        <v>287770</v>
      </c>
      <c r="Y12" s="20">
        <v>581079</v>
      </c>
      <c r="Z12" s="20">
        <v>80400</v>
      </c>
      <c r="AA12" s="20">
        <v>363326</v>
      </c>
      <c r="AB12" s="20">
        <v>497990</v>
      </c>
      <c r="AC12" s="20">
        <v>120986</v>
      </c>
      <c r="AD12" s="20">
        <v>590211</v>
      </c>
      <c r="AE12" s="20">
        <v>415125</v>
      </c>
      <c r="AF12" s="20">
        <v>153206</v>
      </c>
      <c r="AG12" s="20">
        <v>395651</v>
      </c>
      <c r="AH12" s="20">
        <v>573651</v>
      </c>
      <c r="AI12" s="20">
        <v>246483</v>
      </c>
      <c r="AJ12" s="20">
        <v>268913</v>
      </c>
      <c r="AK12" s="20">
        <v>893512</v>
      </c>
      <c r="AL12" s="20">
        <v>403885</v>
      </c>
      <c r="AM12" s="20">
        <v>776550</v>
      </c>
      <c r="AN12" s="20">
        <v>1068427</v>
      </c>
      <c r="AO12" s="20">
        <v>158950</v>
      </c>
      <c r="AP12" s="20">
        <v>805008</v>
      </c>
      <c r="AQ12" s="20">
        <v>1377989</v>
      </c>
      <c r="AR12" s="20">
        <v>524153</v>
      </c>
      <c r="AS12" s="20">
        <v>1152004</v>
      </c>
      <c r="AT12" s="20">
        <v>1238859</v>
      </c>
      <c r="AU12" s="20">
        <v>443917</v>
      </c>
      <c r="AV12" s="20">
        <v>857889</v>
      </c>
      <c r="AW12" s="20">
        <v>1536483</v>
      </c>
      <c r="AX12" s="20">
        <v>1097931</v>
      </c>
      <c r="AY12" s="20">
        <v>1724342</v>
      </c>
      <c r="AZ12" s="20">
        <v>1993749</v>
      </c>
      <c r="BA12" s="20">
        <v>483083</v>
      </c>
      <c r="BB12" s="20">
        <v>1104417</v>
      </c>
      <c r="BC12" s="20">
        <v>2304057</v>
      </c>
      <c r="BD12" s="20">
        <v>1153262</v>
      </c>
      <c r="BE12" s="20">
        <v>1125259</v>
      </c>
      <c r="BF12" s="20">
        <v>1956071</v>
      </c>
      <c r="BG12" s="20">
        <v>823586</v>
      </c>
      <c r="BH12" s="20">
        <v>922674</v>
      </c>
      <c r="BI12" s="20">
        <v>2290462</v>
      </c>
      <c r="BJ12" s="20">
        <v>401754</v>
      </c>
      <c r="BK12" s="20">
        <v>1832079</v>
      </c>
      <c r="BL12" s="20">
        <v>2630074</v>
      </c>
      <c r="BM12" s="20">
        <v>460128</v>
      </c>
      <c r="BN12" s="20">
        <v>1056671</v>
      </c>
      <c r="BO12" s="20">
        <v>1496467</v>
      </c>
      <c r="BP12" s="20">
        <v>813288</v>
      </c>
      <c r="BQ12" s="20">
        <v>1215914</v>
      </c>
      <c r="BR12" s="20">
        <v>2672534</v>
      </c>
      <c r="BS12" s="20">
        <v>530979</v>
      </c>
      <c r="BT12" s="20">
        <v>1433934</v>
      </c>
      <c r="BU12" s="20">
        <v>1696595</v>
      </c>
      <c r="BV12" s="20">
        <v>656153</v>
      </c>
      <c r="BW12" s="20">
        <v>1934944</v>
      </c>
      <c r="BX12" s="20">
        <v>3127064</v>
      </c>
      <c r="BY12" s="20">
        <v>773993</v>
      </c>
      <c r="BZ12" s="20">
        <v>1119676</v>
      </c>
      <c r="CA12" s="20">
        <v>3166902</v>
      </c>
      <c r="CB12" s="20">
        <v>1118863</v>
      </c>
      <c r="CC12" s="20">
        <v>1905529</v>
      </c>
      <c r="CD12" s="20">
        <v>3758044</v>
      </c>
      <c r="CE12" s="20">
        <v>785472</v>
      </c>
      <c r="CF12" s="20">
        <v>549623</v>
      </c>
      <c r="CG12" s="20">
        <v>69532376</v>
      </c>
    </row>
    <row r="15" spans="1:85" x14ac:dyDescent="0.25">
      <c r="A15" s="3" t="s">
        <v>691</v>
      </c>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row>
    <row r="17" spans="1:85" x14ac:dyDescent="0.25">
      <c r="A17" s="369" t="s">
        <v>690</v>
      </c>
      <c r="B17" s="369" t="s">
        <v>689</v>
      </c>
    </row>
    <row r="18" spans="1:85" x14ac:dyDescent="0.25">
      <c r="B18" t="s">
        <v>688</v>
      </c>
      <c r="D18" t="s">
        <v>687</v>
      </c>
      <c r="P18" t="s">
        <v>686</v>
      </c>
      <c r="AB18" t="s">
        <v>685</v>
      </c>
      <c r="AN18" t="s">
        <v>684</v>
      </c>
      <c r="AZ18" t="s">
        <v>683</v>
      </c>
      <c r="BL18" t="s">
        <v>682</v>
      </c>
      <c r="BX18" t="s">
        <v>681</v>
      </c>
      <c r="CG18" t="s">
        <v>45</v>
      </c>
    </row>
    <row r="19" spans="1:85" x14ac:dyDescent="0.25">
      <c r="A19" s="369" t="s">
        <v>680</v>
      </c>
      <c r="B19" s="360" t="s">
        <v>678</v>
      </c>
      <c r="C19" s="360" t="s">
        <v>677</v>
      </c>
      <c r="D19" s="360" t="s">
        <v>676</v>
      </c>
      <c r="E19" s="360" t="s">
        <v>675</v>
      </c>
      <c r="F19" s="360" t="s">
        <v>674</v>
      </c>
      <c r="G19" s="360" t="s">
        <v>673</v>
      </c>
      <c r="H19" s="360" t="s">
        <v>361</v>
      </c>
      <c r="I19" s="360" t="s">
        <v>672</v>
      </c>
      <c r="J19" s="360" t="s">
        <v>671</v>
      </c>
      <c r="K19" s="360" t="s">
        <v>670</v>
      </c>
      <c r="L19" s="360" t="s">
        <v>669</v>
      </c>
      <c r="M19" s="360" t="s">
        <v>679</v>
      </c>
      <c r="N19" s="360" t="s">
        <v>678</v>
      </c>
      <c r="O19" s="360" t="s">
        <v>677</v>
      </c>
      <c r="P19" s="360" t="s">
        <v>676</v>
      </c>
      <c r="Q19" s="360" t="s">
        <v>675</v>
      </c>
      <c r="R19" s="360" t="s">
        <v>674</v>
      </c>
      <c r="S19" s="360" t="s">
        <v>673</v>
      </c>
      <c r="T19" s="360" t="s">
        <v>361</v>
      </c>
      <c r="U19" s="360" t="s">
        <v>672</v>
      </c>
      <c r="V19" s="360" t="s">
        <v>671</v>
      </c>
      <c r="W19" s="360" t="s">
        <v>670</v>
      </c>
      <c r="X19" s="360" t="s">
        <v>669</v>
      </c>
      <c r="Y19" s="360" t="s">
        <v>679</v>
      </c>
      <c r="Z19" s="360" t="s">
        <v>678</v>
      </c>
      <c r="AA19" s="360" t="s">
        <v>677</v>
      </c>
      <c r="AB19" s="360" t="s">
        <v>676</v>
      </c>
      <c r="AC19" s="360" t="s">
        <v>675</v>
      </c>
      <c r="AD19" s="360" t="s">
        <v>674</v>
      </c>
      <c r="AE19" s="360" t="s">
        <v>673</v>
      </c>
      <c r="AF19" s="360" t="s">
        <v>361</v>
      </c>
      <c r="AG19" s="360" t="s">
        <v>672</v>
      </c>
      <c r="AH19" s="360" t="s">
        <v>671</v>
      </c>
      <c r="AI19" s="360" t="s">
        <v>670</v>
      </c>
      <c r="AJ19" s="360" t="s">
        <v>669</v>
      </c>
      <c r="AK19" s="360" t="s">
        <v>679</v>
      </c>
      <c r="AL19" s="360" t="s">
        <v>678</v>
      </c>
      <c r="AM19" s="360" t="s">
        <v>677</v>
      </c>
      <c r="AN19" s="360" t="s">
        <v>676</v>
      </c>
      <c r="AO19" s="360" t="s">
        <v>675</v>
      </c>
      <c r="AP19" s="360" t="s">
        <v>674</v>
      </c>
      <c r="AQ19" s="360" t="s">
        <v>673</v>
      </c>
      <c r="AR19" s="360" t="s">
        <v>361</v>
      </c>
      <c r="AS19" s="360" t="s">
        <v>672</v>
      </c>
      <c r="AT19" s="360" t="s">
        <v>671</v>
      </c>
      <c r="AU19" s="360" t="s">
        <v>670</v>
      </c>
      <c r="AV19" s="360" t="s">
        <v>669</v>
      </c>
      <c r="AW19" s="360" t="s">
        <v>679</v>
      </c>
      <c r="AX19" s="360" t="s">
        <v>678</v>
      </c>
      <c r="AY19" s="360" t="s">
        <v>677</v>
      </c>
      <c r="AZ19" s="360" t="s">
        <v>676</v>
      </c>
      <c r="BA19" s="360" t="s">
        <v>675</v>
      </c>
      <c r="BB19" s="360" t="s">
        <v>674</v>
      </c>
      <c r="BC19" s="360" t="s">
        <v>673</v>
      </c>
      <c r="BD19" s="360" t="s">
        <v>361</v>
      </c>
      <c r="BE19" s="360" t="s">
        <v>672</v>
      </c>
      <c r="BF19" s="360" t="s">
        <v>671</v>
      </c>
      <c r="BG19" s="360" t="s">
        <v>670</v>
      </c>
      <c r="BH19" s="360" t="s">
        <v>669</v>
      </c>
      <c r="BI19" s="360" t="s">
        <v>679</v>
      </c>
      <c r="BJ19" s="360" t="s">
        <v>678</v>
      </c>
      <c r="BK19" s="360" t="s">
        <v>677</v>
      </c>
      <c r="BL19" s="360" t="s">
        <v>676</v>
      </c>
      <c r="BM19" s="360" t="s">
        <v>675</v>
      </c>
      <c r="BN19" s="360" t="s">
        <v>674</v>
      </c>
      <c r="BO19" s="360" t="s">
        <v>673</v>
      </c>
      <c r="BP19" s="360" t="s">
        <v>361</v>
      </c>
      <c r="BQ19" s="360" t="s">
        <v>672</v>
      </c>
      <c r="BR19" s="360" t="s">
        <v>671</v>
      </c>
      <c r="BS19" s="360" t="s">
        <v>670</v>
      </c>
      <c r="BT19" s="360" t="s">
        <v>669</v>
      </c>
      <c r="BU19" s="360" t="s">
        <v>679</v>
      </c>
      <c r="BV19" s="360" t="s">
        <v>678</v>
      </c>
      <c r="BW19" s="360" t="s">
        <v>677</v>
      </c>
      <c r="BX19" s="360" t="s">
        <v>676</v>
      </c>
      <c r="BY19" s="360" t="s">
        <v>675</v>
      </c>
      <c r="BZ19" s="360" t="s">
        <v>674</v>
      </c>
      <c r="CA19" s="360" t="s">
        <v>673</v>
      </c>
      <c r="CB19" s="360" t="s">
        <v>361</v>
      </c>
      <c r="CC19" s="360" t="s">
        <v>672</v>
      </c>
      <c r="CD19" s="360" t="s">
        <v>671</v>
      </c>
      <c r="CE19" s="360" t="s">
        <v>670</v>
      </c>
      <c r="CF19" s="360" t="s">
        <v>669</v>
      </c>
    </row>
    <row r="20" spans="1:85" x14ac:dyDescent="0.25">
      <c r="A20" s="5" t="s">
        <v>664</v>
      </c>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v>300</v>
      </c>
      <c r="AH20" s="20"/>
      <c r="AI20" s="20"/>
      <c r="AJ20" s="20">
        <v>10560</v>
      </c>
      <c r="AK20" s="20">
        <v>120000</v>
      </c>
      <c r="AL20" s="20"/>
      <c r="AM20" s="20"/>
      <c r="AN20" s="20">
        <v>26880</v>
      </c>
      <c r="AO20" s="20"/>
      <c r="AP20" s="20"/>
      <c r="AQ20" s="20"/>
      <c r="AR20" s="20"/>
      <c r="AS20" s="20">
        <v>4500</v>
      </c>
      <c r="AT20" s="20">
        <v>32040</v>
      </c>
      <c r="AU20" s="20"/>
      <c r="AV20" s="20">
        <v>4064</v>
      </c>
      <c r="AW20" s="20"/>
      <c r="AX20" s="20"/>
      <c r="AY20" s="20"/>
      <c r="AZ20" s="20"/>
      <c r="BA20" s="20"/>
      <c r="BB20" s="20">
        <v>5500</v>
      </c>
      <c r="BC20" s="20"/>
      <c r="BD20" s="20">
        <v>1884</v>
      </c>
      <c r="BE20" s="20"/>
      <c r="BF20" s="20"/>
      <c r="BG20" s="20"/>
      <c r="BH20" s="20">
        <v>33660</v>
      </c>
      <c r="BI20" s="20">
        <v>28000</v>
      </c>
      <c r="BJ20" s="20">
        <v>600</v>
      </c>
      <c r="BK20" s="20">
        <v>46880</v>
      </c>
      <c r="BL20" s="20">
        <v>3000</v>
      </c>
      <c r="BM20" s="20"/>
      <c r="BN20" s="20">
        <v>2412</v>
      </c>
      <c r="BO20" s="20">
        <v>-2500</v>
      </c>
      <c r="BP20" s="20">
        <v>4100</v>
      </c>
      <c r="BQ20" s="20">
        <v>11500</v>
      </c>
      <c r="BR20" s="20">
        <v>20700</v>
      </c>
      <c r="BS20" s="20">
        <v>23890</v>
      </c>
      <c r="BT20" s="20">
        <v>-1000</v>
      </c>
      <c r="BU20" s="20">
        <v>73934</v>
      </c>
      <c r="BV20" s="20">
        <v>708</v>
      </c>
      <c r="BW20" s="20">
        <v>10000</v>
      </c>
      <c r="BX20" s="20">
        <v>20867</v>
      </c>
      <c r="BY20" s="20">
        <v>3500</v>
      </c>
      <c r="BZ20" s="20">
        <v>20000</v>
      </c>
      <c r="CA20" s="20">
        <v>1500</v>
      </c>
      <c r="CB20" s="20">
        <v>5394</v>
      </c>
      <c r="CC20" s="20">
        <v>14098</v>
      </c>
      <c r="CD20" s="20">
        <v>14261</v>
      </c>
      <c r="CE20" s="20">
        <v>2564</v>
      </c>
      <c r="CF20" s="20"/>
      <c r="CG20" s="20">
        <v>543796</v>
      </c>
    </row>
    <row r="21" spans="1:85" x14ac:dyDescent="0.25">
      <c r="A21" s="5" t="s">
        <v>314</v>
      </c>
      <c r="B21" s="20"/>
      <c r="C21" s="20"/>
      <c r="D21" s="20"/>
      <c r="E21" s="20"/>
      <c r="F21" s="20"/>
      <c r="G21" s="20"/>
      <c r="H21" s="20"/>
      <c r="I21" s="20"/>
      <c r="J21" s="20"/>
      <c r="K21" s="20"/>
      <c r="L21" s="20"/>
      <c r="M21" s="20"/>
      <c r="N21" s="20"/>
      <c r="O21" s="20"/>
      <c r="P21" s="20"/>
      <c r="Q21" s="20"/>
      <c r="R21" s="20">
        <v>551</v>
      </c>
      <c r="S21" s="20"/>
      <c r="T21" s="20">
        <v>612</v>
      </c>
      <c r="U21" s="20"/>
      <c r="V21" s="20"/>
      <c r="W21" s="20"/>
      <c r="X21" s="20"/>
      <c r="Y21" s="20"/>
      <c r="Z21" s="20">
        <v>1260</v>
      </c>
      <c r="AA21" s="20"/>
      <c r="AB21" s="20"/>
      <c r="AC21" s="20"/>
      <c r="AD21" s="20">
        <v>900</v>
      </c>
      <c r="AE21" s="20"/>
      <c r="AF21" s="20"/>
      <c r="AG21" s="20">
        <v>8300</v>
      </c>
      <c r="AH21" s="20"/>
      <c r="AI21" s="20"/>
      <c r="AJ21" s="20"/>
      <c r="AK21" s="20">
        <v>9000</v>
      </c>
      <c r="AL21" s="20">
        <v>15000</v>
      </c>
      <c r="AM21" s="20"/>
      <c r="AN21" s="20">
        <v>2290</v>
      </c>
      <c r="AO21" s="20"/>
      <c r="AP21" s="20">
        <v>15000</v>
      </c>
      <c r="AQ21" s="20">
        <v>17000</v>
      </c>
      <c r="AR21" s="20">
        <v>1200</v>
      </c>
      <c r="AS21" s="20">
        <v>2000</v>
      </c>
      <c r="AT21" s="20">
        <v>108588</v>
      </c>
      <c r="AU21" s="20"/>
      <c r="AV21" s="20">
        <v>5000</v>
      </c>
      <c r="AW21" s="20"/>
      <c r="AX21" s="20"/>
      <c r="AY21" s="20">
        <v>3865</v>
      </c>
      <c r="AZ21" s="20">
        <v>37000</v>
      </c>
      <c r="BA21" s="20">
        <v>5000</v>
      </c>
      <c r="BB21" s="20">
        <v>25000</v>
      </c>
      <c r="BC21" s="20">
        <v>5988</v>
      </c>
      <c r="BD21" s="20"/>
      <c r="BE21" s="20">
        <v>15300</v>
      </c>
      <c r="BF21" s="20">
        <v>262506</v>
      </c>
      <c r="BG21" s="20">
        <v>6500</v>
      </c>
      <c r="BH21" s="20"/>
      <c r="BI21" s="20"/>
      <c r="BJ21" s="20">
        <v>24188</v>
      </c>
      <c r="BK21" s="20">
        <v>11243</v>
      </c>
      <c r="BL21" s="20">
        <v>68884</v>
      </c>
      <c r="BM21" s="20"/>
      <c r="BN21" s="20">
        <v>21700</v>
      </c>
      <c r="BO21" s="20">
        <v>88765</v>
      </c>
      <c r="BP21" s="20">
        <v>4737</v>
      </c>
      <c r="BQ21" s="20">
        <v>3000</v>
      </c>
      <c r="BR21" s="20">
        <v>159478</v>
      </c>
      <c r="BS21" s="20">
        <v>28677</v>
      </c>
      <c r="BT21" s="20">
        <v>16385</v>
      </c>
      <c r="BU21" s="20">
        <v>147250</v>
      </c>
      <c r="BV21" s="20">
        <v>93851</v>
      </c>
      <c r="BW21" s="20">
        <v>153251</v>
      </c>
      <c r="BX21" s="20">
        <v>93409</v>
      </c>
      <c r="BY21" s="20">
        <v>37265</v>
      </c>
      <c r="BZ21" s="20">
        <v>106859</v>
      </c>
      <c r="CA21" s="20">
        <v>117170</v>
      </c>
      <c r="CB21" s="20">
        <v>74125</v>
      </c>
      <c r="CC21" s="20">
        <v>252402</v>
      </c>
      <c r="CD21" s="20">
        <v>136128</v>
      </c>
      <c r="CE21" s="20">
        <v>101016</v>
      </c>
      <c r="CF21" s="20">
        <v>-6030</v>
      </c>
      <c r="CG21" s="20">
        <v>2281613</v>
      </c>
    </row>
    <row r="22" spans="1:85" x14ac:dyDescent="0.25">
      <c r="A22" s="5" t="s">
        <v>668</v>
      </c>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c r="AH22" s="20"/>
      <c r="AI22" s="20">
        <v>8300</v>
      </c>
      <c r="AJ22" s="20"/>
      <c r="AK22" s="20"/>
      <c r="AL22" s="20"/>
      <c r="AM22" s="20"/>
      <c r="AN22" s="20"/>
      <c r="AO22" s="20"/>
      <c r="AP22" s="20"/>
      <c r="AQ22" s="20"/>
      <c r="AR22" s="20"/>
      <c r="AS22" s="20"/>
      <c r="AT22" s="20"/>
      <c r="AU22" s="20"/>
      <c r="AV22" s="20"/>
      <c r="AW22" s="20"/>
      <c r="AX22" s="20"/>
      <c r="AY22" s="20"/>
      <c r="AZ22" s="20"/>
      <c r="BA22" s="20"/>
      <c r="BB22" s="20"/>
      <c r="BC22" s="20"/>
      <c r="BD22" s="20"/>
      <c r="BE22" s="20"/>
      <c r="BF22" s="20"/>
      <c r="BG22" s="20"/>
      <c r="BH22" s="20">
        <v>625</v>
      </c>
      <c r="BI22" s="20">
        <v>3000</v>
      </c>
      <c r="BJ22" s="20"/>
      <c r="BK22" s="20"/>
      <c r="BL22" s="20"/>
      <c r="BM22" s="20"/>
      <c r="BN22" s="20"/>
      <c r="BO22" s="20"/>
      <c r="BP22" s="20">
        <v>5000</v>
      </c>
      <c r="BQ22" s="20">
        <v>4600</v>
      </c>
      <c r="BR22" s="20"/>
      <c r="BS22" s="20"/>
      <c r="BT22" s="20"/>
      <c r="BU22" s="20"/>
      <c r="BV22" s="20">
        <v>-3991</v>
      </c>
      <c r="BW22" s="20"/>
      <c r="BX22" s="20"/>
      <c r="BY22" s="20"/>
      <c r="BZ22" s="20"/>
      <c r="CA22" s="20">
        <v>12065</v>
      </c>
      <c r="CB22" s="20"/>
      <c r="CC22" s="20"/>
      <c r="CD22" s="20">
        <v>1500</v>
      </c>
      <c r="CE22" s="20">
        <v>1343</v>
      </c>
      <c r="CF22" s="20"/>
      <c r="CG22" s="20">
        <v>32442</v>
      </c>
    </row>
    <row r="23" spans="1:85" x14ac:dyDescent="0.25">
      <c r="A23" s="5" t="s">
        <v>663</v>
      </c>
      <c r="B23" s="20"/>
      <c r="C23" s="20"/>
      <c r="D23" s="20"/>
      <c r="E23" s="20"/>
      <c r="F23" s="20"/>
      <c r="G23" s="20"/>
      <c r="H23" s="20"/>
      <c r="I23" s="20">
        <v>67500</v>
      </c>
      <c r="J23" s="20">
        <v>22500</v>
      </c>
      <c r="K23" s="20">
        <v>60000</v>
      </c>
      <c r="L23" s="20">
        <v>6454</v>
      </c>
      <c r="M23" s="20">
        <v>5999</v>
      </c>
      <c r="N23" s="20">
        <v>12720</v>
      </c>
      <c r="O23" s="20">
        <v>7062</v>
      </c>
      <c r="P23" s="20">
        <v>11304</v>
      </c>
      <c r="Q23" s="20">
        <v>87517</v>
      </c>
      <c r="R23" s="20">
        <v>43914</v>
      </c>
      <c r="S23" s="20">
        <v>49032</v>
      </c>
      <c r="T23" s="20">
        <v>23041</v>
      </c>
      <c r="U23" s="20">
        <v>153012</v>
      </c>
      <c r="V23" s="20">
        <v>204286</v>
      </c>
      <c r="W23" s="20">
        <v>112812</v>
      </c>
      <c r="X23" s="20">
        <v>42900</v>
      </c>
      <c r="Y23" s="20">
        <v>70259</v>
      </c>
      <c r="Z23" s="20">
        <v>20112</v>
      </c>
      <c r="AA23" s="20">
        <v>175124</v>
      </c>
      <c r="AB23" s="20">
        <v>170387</v>
      </c>
      <c r="AC23" s="20">
        <v>15540</v>
      </c>
      <c r="AD23" s="20">
        <v>416826</v>
      </c>
      <c r="AE23" s="20">
        <v>228210</v>
      </c>
      <c r="AF23" s="20">
        <v>97398</v>
      </c>
      <c r="AG23" s="20">
        <v>143848</v>
      </c>
      <c r="AH23" s="20">
        <v>378946</v>
      </c>
      <c r="AI23" s="20">
        <v>153365</v>
      </c>
      <c r="AJ23" s="20">
        <v>234799</v>
      </c>
      <c r="AK23" s="20">
        <v>411770</v>
      </c>
      <c r="AL23" s="20">
        <v>270495</v>
      </c>
      <c r="AM23" s="20">
        <v>391535</v>
      </c>
      <c r="AN23" s="20">
        <v>495024</v>
      </c>
      <c r="AO23" s="20">
        <v>88689</v>
      </c>
      <c r="AP23" s="20">
        <v>262025</v>
      </c>
      <c r="AQ23" s="20">
        <v>687948</v>
      </c>
      <c r="AR23" s="20">
        <v>131248</v>
      </c>
      <c r="AS23" s="20">
        <v>363160</v>
      </c>
      <c r="AT23" s="20">
        <v>622227</v>
      </c>
      <c r="AU23" s="20">
        <v>334210</v>
      </c>
      <c r="AV23" s="20">
        <v>247550</v>
      </c>
      <c r="AW23" s="20">
        <v>873954</v>
      </c>
      <c r="AX23" s="20">
        <v>99082</v>
      </c>
      <c r="AY23" s="20">
        <v>1361923</v>
      </c>
      <c r="AZ23" s="20">
        <v>696381</v>
      </c>
      <c r="BA23" s="20">
        <v>298930</v>
      </c>
      <c r="BB23" s="20">
        <v>272774</v>
      </c>
      <c r="BC23" s="20">
        <v>1152577</v>
      </c>
      <c r="BD23" s="20">
        <v>170272</v>
      </c>
      <c r="BE23" s="20">
        <v>1975010</v>
      </c>
      <c r="BF23" s="20">
        <v>844276</v>
      </c>
      <c r="BG23" s="20">
        <v>391920</v>
      </c>
      <c r="BH23" s="20">
        <v>351030</v>
      </c>
      <c r="BI23" s="20">
        <v>1161682</v>
      </c>
      <c r="BJ23" s="20">
        <v>370863</v>
      </c>
      <c r="BK23" s="20">
        <v>1455734</v>
      </c>
      <c r="BL23" s="20">
        <v>1685499</v>
      </c>
      <c r="BM23" s="20">
        <v>643142</v>
      </c>
      <c r="BN23" s="20">
        <v>590471</v>
      </c>
      <c r="BO23" s="20">
        <v>868359</v>
      </c>
      <c r="BP23" s="20">
        <v>855124</v>
      </c>
      <c r="BQ23" s="20">
        <v>691480</v>
      </c>
      <c r="BR23" s="20">
        <v>1649450</v>
      </c>
      <c r="BS23" s="20">
        <v>470541</v>
      </c>
      <c r="BT23" s="20">
        <v>1944381</v>
      </c>
      <c r="BU23" s="20">
        <v>1904545</v>
      </c>
      <c r="BV23" s="20">
        <v>842377</v>
      </c>
      <c r="BW23" s="20">
        <v>1806542</v>
      </c>
      <c r="BX23" s="20">
        <v>2110814</v>
      </c>
      <c r="BY23" s="20">
        <v>652486</v>
      </c>
      <c r="BZ23" s="20">
        <v>1001139</v>
      </c>
      <c r="CA23" s="20">
        <v>2055229</v>
      </c>
      <c r="CB23" s="20">
        <v>1407472</v>
      </c>
      <c r="CC23" s="20">
        <v>2053755</v>
      </c>
      <c r="CD23" s="20">
        <v>3445169</v>
      </c>
      <c r="CE23" s="20">
        <v>939087</v>
      </c>
      <c r="CF23" s="20">
        <v>405225</v>
      </c>
      <c r="CG23" s="20">
        <v>46819443</v>
      </c>
    </row>
    <row r="24" spans="1:85" x14ac:dyDescent="0.25">
      <c r="A24" s="5" t="s">
        <v>667</v>
      </c>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c r="AH24" s="20"/>
      <c r="AI24" s="20"/>
      <c r="AJ24" s="20"/>
      <c r="AK24" s="20"/>
      <c r="AL24" s="20"/>
      <c r="AM24" s="20"/>
      <c r="AN24" s="20"/>
      <c r="AO24" s="20"/>
      <c r="AP24" s="20"/>
      <c r="AQ24" s="20"/>
      <c r="AR24" s="20"/>
      <c r="AS24" s="20"/>
      <c r="AT24" s="20"/>
      <c r="AU24" s="20"/>
      <c r="AV24" s="20"/>
      <c r="AW24" s="20"/>
      <c r="AX24" s="20"/>
      <c r="AY24" s="20"/>
      <c r="AZ24" s="20"/>
      <c r="BA24" s="20"/>
      <c r="BB24" s="20"/>
      <c r="BC24" s="20">
        <v>30999</v>
      </c>
      <c r="BD24" s="20">
        <v>708</v>
      </c>
      <c r="BE24" s="20"/>
      <c r="BF24" s="20"/>
      <c r="BG24" s="20"/>
      <c r="BH24" s="20"/>
      <c r="BI24" s="20"/>
      <c r="BJ24" s="20"/>
      <c r="BK24" s="20"/>
      <c r="BL24" s="20"/>
      <c r="BM24" s="20"/>
      <c r="BN24" s="20"/>
      <c r="BO24" s="20"/>
      <c r="BP24" s="20"/>
      <c r="BQ24" s="20"/>
      <c r="BR24" s="20"/>
      <c r="BS24" s="20"/>
      <c r="BT24" s="20"/>
      <c r="BU24" s="20"/>
      <c r="BV24" s="20"/>
      <c r="BW24" s="20"/>
      <c r="BX24" s="20"/>
      <c r="BY24" s="20"/>
      <c r="BZ24" s="20">
        <v>858</v>
      </c>
      <c r="CA24" s="20"/>
      <c r="CB24" s="20">
        <v>375</v>
      </c>
      <c r="CC24" s="20"/>
      <c r="CD24" s="20"/>
      <c r="CE24" s="20"/>
      <c r="CF24" s="20"/>
      <c r="CG24" s="20">
        <v>32940</v>
      </c>
    </row>
    <row r="25" spans="1:85" x14ac:dyDescent="0.25">
      <c r="A25" s="5" t="s">
        <v>45</v>
      </c>
      <c r="B25" s="20"/>
      <c r="C25" s="20"/>
      <c r="D25" s="20"/>
      <c r="E25" s="20"/>
      <c r="F25" s="20"/>
      <c r="G25" s="20"/>
      <c r="H25" s="20"/>
      <c r="I25" s="20">
        <v>67500</v>
      </c>
      <c r="J25" s="20">
        <v>22500</v>
      </c>
      <c r="K25" s="20">
        <v>60000</v>
      </c>
      <c r="L25" s="20">
        <v>6454</v>
      </c>
      <c r="M25" s="20">
        <v>5999</v>
      </c>
      <c r="N25" s="20">
        <v>12720</v>
      </c>
      <c r="O25" s="20">
        <v>7062</v>
      </c>
      <c r="P25" s="20">
        <v>11304</v>
      </c>
      <c r="Q25" s="20">
        <v>87517</v>
      </c>
      <c r="R25" s="20">
        <v>44465</v>
      </c>
      <c r="S25" s="20">
        <v>49032</v>
      </c>
      <c r="T25" s="20">
        <v>23653</v>
      </c>
      <c r="U25" s="20">
        <v>153012</v>
      </c>
      <c r="V25" s="20">
        <v>204286</v>
      </c>
      <c r="W25" s="20">
        <v>112812</v>
      </c>
      <c r="X25" s="20">
        <v>42900</v>
      </c>
      <c r="Y25" s="20">
        <v>70259</v>
      </c>
      <c r="Z25" s="20">
        <v>21372</v>
      </c>
      <c r="AA25" s="20">
        <v>175124</v>
      </c>
      <c r="AB25" s="20">
        <v>170387</v>
      </c>
      <c r="AC25" s="20">
        <v>15540</v>
      </c>
      <c r="AD25" s="20">
        <v>417726</v>
      </c>
      <c r="AE25" s="20">
        <v>228210</v>
      </c>
      <c r="AF25" s="20">
        <v>97398</v>
      </c>
      <c r="AG25" s="20">
        <v>152448</v>
      </c>
      <c r="AH25" s="20">
        <v>378946</v>
      </c>
      <c r="AI25" s="20">
        <v>161665</v>
      </c>
      <c r="AJ25" s="20">
        <v>245359</v>
      </c>
      <c r="AK25" s="20">
        <v>540770</v>
      </c>
      <c r="AL25" s="20">
        <v>285495</v>
      </c>
      <c r="AM25" s="20">
        <v>391535</v>
      </c>
      <c r="AN25" s="20">
        <v>524194</v>
      </c>
      <c r="AO25" s="20">
        <v>88689</v>
      </c>
      <c r="AP25" s="20">
        <v>277025</v>
      </c>
      <c r="AQ25" s="20">
        <v>704948</v>
      </c>
      <c r="AR25" s="20">
        <v>132448</v>
      </c>
      <c r="AS25" s="20">
        <v>369660</v>
      </c>
      <c r="AT25" s="20">
        <v>762855</v>
      </c>
      <c r="AU25" s="20">
        <v>334210</v>
      </c>
      <c r="AV25" s="20">
        <v>256614</v>
      </c>
      <c r="AW25" s="20">
        <v>873954</v>
      </c>
      <c r="AX25" s="20">
        <v>99082</v>
      </c>
      <c r="AY25" s="20">
        <v>1365788</v>
      </c>
      <c r="AZ25" s="20">
        <v>733381</v>
      </c>
      <c r="BA25" s="20">
        <v>303930</v>
      </c>
      <c r="BB25" s="20">
        <v>303274</v>
      </c>
      <c r="BC25" s="20">
        <v>1189564</v>
      </c>
      <c r="BD25" s="20">
        <v>172864</v>
      </c>
      <c r="BE25" s="20">
        <v>1990310</v>
      </c>
      <c r="BF25" s="20">
        <v>1106782</v>
      </c>
      <c r="BG25" s="20">
        <v>398420</v>
      </c>
      <c r="BH25" s="20">
        <v>385315</v>
      </c>
      <c r="BI25" s="20">
        <v>1192682</v>
      </c>
      <c r="BJ25" s="20">
        <v>395651</v>
      </c>
      <c r="BK25" s="20">
        <v>1513857</v>
      </c>
      <c r="BL25" s="20">
        <v>1757383</v>
      </c>
      <c r="BM25" s="20">
        <v>643142</v>
      </c>
      <c r="BN25" s="20">
        <v>614583</v>
      </c>
      <c r="BO25" s="20">
        <v>954624</v>
      </c>
      <c r="BP25" s="20">
        <v>868961</v>
      </c>
      <c r="BQ25" s="20">
        <v>710580</v>
      </c>
      <c r="BR25" s="20">
        <v>1829628</v>
      </c>
      <c r="BS25" s="20">
        <v>523108</v>
      </c>
      <c r="BT25" s="20">
        <v>1959766</v>
      </c>
      <c r="BU25" s="20">
        <v>2125729</v>
      </c>
      <c r="BV25" s="20">
        <v>932945</v>
      </c>
      <c r="BW25" s="20">
        <v>1969793</v>
      </c>
      <c r="BX25" s="20">
        <v>2225090</v>
      </c>
      <c r="BY25" s="20">
        <v>693251</v>
      </c>
      <c r="BZ25" s="20">
        <v>1128856</v>
      </c>
      <c r="CA25" s="20">
        <v>2185964</v>
      </c>
      <c r="CB25" s="20">
        <v>1487366</v>
      </c>
      <c r="CC25" s="20">
        <v>2320255</v>
      </c>
      <c r="CD25" s="20">
        <v>3597058</v>
      </c>
      <c r="CE25" s="20">
        <v>1044010</v>
      </c>
      <c r="CF25" s="20">
        <v>399195</v>
      </c>
      <c r="CG25" s="20">
        <v>49710234</v>
      </c>
    </row>
    <row r="28" spans="1:85" x14ac:dyDescent="0.25">
      <c r="A28" s="3" t="s">
        <v>666</v>
      </c>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row>
    <row r="30" spans="1:85" x14ac:dyDescent="0.25">
      <c r="B30" s="368">
        <v>41944</v>
      </c>
      <c r="C30" s="368">
        <v>41974</v>
      </c>
      <c r="D30" s="368">
        <v>42005</v>
      </c>
      <c r="E30" s="368">
        <v>42036</v>
      </c>
      <c r="F30" s="368">
        <v>42064</v>
      </c>
      <c r="G30" s="368">
        <v>42095</v>
      </c>
      <c r="H30" s="368">
        <v>42125</v>
      </c>
      <c r="I30" s="368">
        <v>42156</v>
      </c>
      <c r="J30" s="368">
        <v>42186</v>
      </c>
      <c r="K30" s="368">
        <v>42217</v>
      </c>
      <c r="L30" s="368">
        <v>42248</v>
      </c>
      <c r="M30" s="368">
        <v>42278</v>
      </c>
      <c r="N30" s="368">
        <v>42309</v>
      </c>
      <c r="O30" s="368">
        <v>42339</v>
      </c>
      <c r="P30" s="368">
        <v>42370</v>
      </c>
      <c r="Q30" s="368">
        <v>42401</v>
      </c>
      <c r="R30" s="368">
        <v>42430</v>
      </c>
      <c r="S30" s="368">
        <v>42461</v>
      </c>
      <c r="T30" s="368">
        <v>42491</v>
      </c>
      <c r="U30" s="368">
        <v>42522</v>
      </c>
      <c r="V30" s="368">
        <v>42552</v>
      </c>
      <c r="W30" s="368">
        <v>42583</v>
      </c>
      <c r="X30" s="368">
        <v>42614</v>
      </c>
      <c r="Y30" s="368">
        <v>42644</v>
      </c>
      <c r="Z30" s="368">
        <v>42675</v>
      </c>
      <c r="AA30" s="368">
        <v>42705</v>
      </c>
      <c r="AB30" s="368">
        <v>42736</v>
      </c>
      <c r="AC30" s="368">
        <v>42767</v>
      </c>
      <c r="AD30" s="368">
        <v>42795</v>
      </c>
      <c r="AE30" s="368">
        <v>42826</v>
      </c>
      <c r="AF30" s="368">
        <v>42856</v>
      </c>
      <c r="AG30" s="368">
        <v>42887</v>
      </c>
      <c r="AH30" s="368">
        <v>42917</v>
      </c>
      <c r="AI30" s="368">
        <v>42948</v>
      </c>
      <c r="AJ30" s="368">
        <v>42979</v>
      </c>
      <c r="AK30" s="368">
        <v>43009</v>
      </c>
      <c r="AL30" s="368">
        <v>43040</v>
      </c>
      <c r="AM30" s="368">
        <v>43070</v>
      </c>
      <c r="AN30" s="368">
        <v>43101</v>
      </c>
      <c r="AO30" s="368">
        <v>43132</v>
      </c>
      <c r="AP30" s="368">
        <v>43160</v>
      </c>
      <c r="AQ30" s="368">
        <v>43191</v>
      </c>
      <c r="AR30" s="368">
        <v>43221</v>
      </c>
      <c r="AS30" s="368">
        <v>43252</v>
      </c>
      <c r="AT30" s="368">
        <v>43282</v>
      </c>
      <c r="AU30" s="368">
        <v>43313</v>
      </c>
      <c r="AV30" s="368">
        <v>43344</v>
      </c>
      <c r="AW30" s="368">
        <v>43374</v>
      </c>
      <c r="AX30" s="368">
        <v>43405</v>
      </c>
      <c r="AY30" s="368">
        <v>43435</v>
      </c>
      <c r="AZ30" s="368">
        <v>43466</v>
      </c>
      <c r="BA30" s="368">
        <v>43497</v>
      </c>
      <c r="BB30" s="368">
        <v>43525</v>
      </c>
      <c r="BC30" s="368">
        <v>43556</v>
      </c>
      <c r="BD30" s="368">
        <v>43586</v>
      </c>
      <c r="BE30" s="368">
        <v>43617</v>
      </c>
      <c r="BF30" s="368">
        <v>43647</v>
      </c>
      <c r="BG30" s="368">
        <v>43678</v>
      </c>
      <c r="BH30" s="368">
        <v>43709</v>
      </c>
      <c r="BI30" s="368">
        <v>43739</v>
      </c>
      <c r="BJ30" s="368">
        <v>43770</v>
      </c>
      <c r="BK30" s="368">
        <v>43800</v>
      </c>
      <c r="BL30" s="368">
        <v>43831</v>
      </c>
      <c r="BM30" s="368">
        <v>43862</v>
      </c>
      <c r="BN30" s="368">
        <v>43891</v>
      </c>
      <c r="BO30" s="368">
        <v>43922</v>
      </c>
      <c r="BP30" s="368">
        <v>43952</v>
      </c>
      <c r="BQ30" s="368">
        <v>43983</v>
      </c>
      <c r="BR30" s="368">
        <v>44013</v>
      </c>
      <c r="BS30" s="368">
        <v>44044</v>
      </c>
      <c r="BT30" s="368">
        <v>44075</v>
      </c>
      <c r="BU30" s="368">
        <v>44105</v>
      </c>
      <c r="BV30" s="368">
        <v>44136</v>
      </c>
      <c r="BW30" s="368">
        <v>44166</v>
      </c>
      <c r="BX30" s="368">
        <v>44197</v>
      </c>
      <c r="BY30" s="368">
        <v>44228</v>
      </c>
      <c r="BZ30" s="368">
        <v>44256</v>
      </c>
      <c r="CA30" s="368">
        <v>44287</v>
      </c>
      <c r="CB30" s="368">
        <v>44317</v>
      </c>
      <c r="CC30" s="368">
        <v>44348</v>
      </c>
      <c r="CD30" s="368">
        <v>44378</v>
      </c>
    </row>
    <row r="31" spans="1:85" x14ac:dyDescent="0.25">
      <c r="A31" t="s">
        <v>665</v>
      </c>
      <c r="B31" s="20">
        <f t="shared" ref="B31:AG31" si="0">SUM(B9:B11,B22:B24)</f>
        <v>13140</v>
      </c>
      <c r="C31" s="20">
        <f t="shared" si="0"/>
        <v>66000</v>
      </c>
      <c r="D31" s="20">
        <f t="shared" si="0"/>
        <v>12576</v>
      </c>
      <c r="E31" s="20">
        <f t="shared" si="0"/>
        <v>5643</v>
      </c>
      <c r="F31" s="20">
        <f t="shared" si="0"/>
        <v>98586</v>
      </c>
      <c r="G31" s="20">
        <f t="shared" si="0"/>
        <v>36468</v>
      </c>
      <c r="H31" s="20">
        <f t="shared" si="0"/>
        <v>14400</v>
      </c>
      <c r="I31" s="20">
        <f t="shared" si="0"/>
        <v>155356</v>
      </c>
      <c r="J31" s="20">
        <f t="shared" si="0"/>
        <v>48408</v>
      </c>
      <c r="K31" s="20">
        <f t="shared" si="0"/>
        <v>101672</v>
      </c>
      <c r="L31" s="20">
        <f t="shared" si="0"/>
        <v>113350</v>
      </c>
      <c r="M31" s="20">
        <f t="shared" si="0"/>
        <v>13187</v>
      </c>
      <c r="N31" s="20">
        <f t="shared" si="0"/>
        <v>27072</v>
      </c>
      <c r="O31" s="20">
        <f t="shared" si="0"/>
        <v>101214</v>
      </c>
      <c r="P31" s="20">
        <f t="shared" si="0"/>
        <v>76452</v>
      </c>
      <c r="Q31" s="20">
        <f t="shared" si="0"/>
        <v>161117</v>
      </c>
      <c r="R31" s="20">
        <f t="shared" si="0"/>
        <v>173934</v>
      </c>
      <c r="S31" s="20">
        <f t="shared" si="0"/>
        <v>220332</v>
      </c>
      <c r="T31" s="20">
        <f t="shared" si="0"/>
        <v>56797</v>
      </c>
      <c r="U31" s="20">
        <f t="shared" si="0"/>
        <v>266866</v>
      </c>
      <c r="V31" s="20">
        <f t="shared" si="0"/>
        <v>464653</v>
      </c>
      <c r="W31" s="20">
        <f t="shared" si="0"/>
        <v>186132</v>
      </c>
      <c r="X31" s="20">
        <f t="shared" si="0"/>
        <v>330670</v>
      </c>
      <c r="Y31" s="20">
        <f t="shared" si="0"/>
        <v>595066</v>
      </c>
      <c r="Z31" s="20">
        <f t="shared" si="0"/>
        <v>100512</v>
      </c>
      <c r="AA31" s="20">
        <f t="shared" si="0"/>
        <v>509537</v>
      </c>
      <c r="AB31" s="20">
        <f t="shared" si="0"/>
        <v>629211</v>
      </c>
      <c r="AC31" s="20">
        <f t="shared" si="0"/>
        <v>124526</v>
      </c>
      <c r="AD31" s="20">
        <f t="shared" si="0"/>
        <v>972476</v>
      </c>
      <c r="AE31" s="20">
        <f t="shared" si="0"/>
        <v>558110</v>
      </c>
      <c r="AF31" s="20">
        <f t="shared" si="0"/>
        <v>250604</v>
      </c>
      <c r="AG31" s="20">
        <f t="shared" si="0"/>
        <v>485348</v>
      </c>
      <c r="AH31" s="20">
        <f t="shared" ref="AH31:BM31" si="1">SUM(AH9:AH11,AH22:AH24)</f>
        <v>889597</v>
      </c>
      <c r="AI31" s="20">
        <f t="shared" si="1"/>
        <v>402495</v>
      </c>
      <c r="AJ31" s="20">
        <f t="shared" si="1"/>
        <v>495312</v>
      </c>
      <c r="AK31" s="20">
        <f t="shared" si="1"/>
        <v>1303222</v>
      </c>
      <c r="AL31" s="20">
        <f t="shared" si="1"/>
        <v>638245</v>
      </c>
      <c r="AM31" s="20">
        <f t="shared" si="1"/>
        <v>1133085</v>
      </c>
      <c r="AN31" s="20">
        <f t="shared" si="1"/>
        <v>1535651</v>
      </c>
      <c r="AO31" s="20">
        <f t="shared" si="1"/>
        <v>247639</v>
      </c>
      <c r="AP31" s="20">
        <f t="shared" si="1"/>
        <v>1002533</v>
      </c>
      <c r="AQ31" s="20">
        <f t="shared" si="1"/>
        <v>1954367</v>
      </c>
      <c r="AR31" s="20">
        <f t="shared" si="1"/>
        <v>580401</v>
      </c>
      <c r="AS31" s="20">
        <f t="shared" si="1"/>
        <v>1515164</v>
      </c>
      <c r="AT31" s="20">
        <f t="shared" si="1"/>
        <v>1551746</v>
      </c>
      <c r="AU31" s="20">
        <f t="shared" si="1"/>
        <v>743127</v>
      </c>
      <c r="AV31" s="20">
        <f t="shared" si="1"/>
        <v>1105439</v>
      </c>
      <c r="AW31" s="20">
        <f t="shared" si="1"/>
        <v>2323937</v>
      </c>
      <c r="AX31" s="20">
        <f t="shared" si="1"/>
        <v>1110018</v>
      </c>
      <c r="AY31" s="20">
        <f t="shared" si="1"/>
        <v>2980807</v>
      </c>
      <c r="AZ31" s="20">
        <f t="shared" si="1"/>
        <v>2575630</v>
      </c>
      <c r="BA31" s="20">
        <f t="shared" si="1"/>
        <v>688980</v>
      </c>
      <c r="BB31" s="20">
        <f t="shared" si="1"/>
        <v>1287777</v>
      </c>
      <c r="BC31" s="20">
        <f t="shared" si="1"/>
        <v>3117790</v>
      </c>
      <c r="BD31" s="20">
        <f t="shared" si="1"/>
        <v>1048278</v>
      </c>
      <c r="BE31" s="20">
        <f t="shared" si="1"/>
        <v>2900233</v>
      </c>
      <c r="BF31" s="20">
        <f t="shared" si="1"/>
        <v>2700984</v>
      </c>
      <c r="BG31" s="20">
        <f t="shared" si="1"/>
        <v>1109039</v>
      </c>
      <c r="BH31" s="20">
        <f t="shared" si="1"/>
        <v>1278329</v>
      </c>
      <c r="BI31" s="20">
        <f t="shared" si="1"/>
        <v>3136273</v>
      </c>
      <c r="BJ31" s="20">
        <f t="shared" si="1"/>
        <v>743697</v>
      </c>
      <c r="BK31" s="20">
        <f t="shared" si="1"/>
        <v>3048277</v>
      </c>
      <c r="BL31" s="20">
        <f t="shared" si="1"/>
        <v>4198267</v>
      </c>
      <c r="BM31" s="20">
        <f t="shared" si="1"/>
        <v>1103270</v>
      </c>
      <c r="BN31" s="20">
        <f t="shared" ref="BN31:CD31" si="2">SUM(BN9:BN11,BN22:BN24)</f>
        <v>1547895</v>
      </c>
      <c r="BO31" s="20">
        <f t="shared" si="2"/>
        <v>2279082</v>
      </c>
      <c r="BP31" s="20">
        <f t="shared" si="2"/>
        <v>1574339</v>
      </c>
      <c r="BQ31" s="20">
        <f t="shared" si="2"/>
        <v>1702034</v>
      </c>
      <c r="BR31" s="20">
        <f t="shared" si="2"/>
        <v>3871106</v>
      </c>
      <c r="BS31" s="20">
        <f t="shared" si="2"/>
        <v>958520</v>
      </c>
      <c r="BT31" s="20">
        <f t="shared" si="2"/>
        <v>3208122</v>
      </c>
      <c r="BU31" s="20">
        <f t="shared" si="2"/>
        <v>3338216</v>
      </c>
      <c r="BV31" s="20">
        <f t="shared" si="2"/>
        <v>1362088</v>
      </c>
      <c r="BW31" s="20">
        <f t="shared" si="2"/>
        <v>3620650</v>
      </c>
      <c r="BX31" s="20">
        <f t="shared" si="2"/>
        <v>4799081</v>
      </c>
      <c r="BY31" s="20">
        <f t="shared" si="2"/>
        <v>1379963</v>
      </c>
      <c r="BZ31" s="20">
        <f t="shared" si="2"/>
        <v>1946888</v>
      </c>
      <c r="CA31" s="20">
        <f t="shared" si="2"/>
        <v>4795155</v>
      </c>
      <c r="CB31" s="20">
        <f t="shared" si="2"/>
        <v>2348914</v>
      </c>
      <c r="CC31" s="20">
        <f t="shared" si="2"/>
        <v>3427844</v>
      </c>
      <c r="CD31" s="20">
        <f t="shared" si="2"/>
        <v>6681415</v>
      </c>
    </row>
    <row r="32" spans="1:85" x14ac:dyDescent="0.25">
      <c r="A32" t="s">
        <v>664</v>
      </c>
      <c r="B32" s="20">
        <f t="shared" ref="B32:AG32" si="3">SUM(B7,B20)</f>
        <v>0</v>
      </c>
      <c r="C32" s="20">
        <f t="shared" si="3"/>
        <v>0</v>
      </c>
      <c r="D32" s="20">
        <f t="shared" si="3"/>
        <v>0</v>
      </c>
      <c r="E32" s="20">
        <f t="shared" si="3"/>
        <v>0</v>
      </c>
      <c r="F32" s="20">
        <f t="shared" si="3"/>
        <v>0</v>
      </c>
      <c r="G32" s="20">
        <f t="shared" si="3"/>
        <v>0</v>
      </c>
      <c r="H32" s="20">
        <f t="shared" si="3"/>
        <v>0</v>
      </c>
      <c r="I32" s="20">
        <f t="shared" si="3"/>
        <v>0</v>
      </c>
      <c r="J32" s="20">
        <f t="shared" si="3"/>
        <v>0</v>
      </c>
      <c r="K32" s="20">
        <f t="shared" si="3"/>
        <v>4320</v>
      </c>
      <c r="L32" s="20">
        <f t="shared" si="3"/>
        <v>0</v>
      </c>
      <c r="M32" s="20">
        <f t="shared" si="3"/>
        <v>0</v>
      </c>
      <c r="N32" s="20">
        <f t="shared" si="3"/>
        <v>0</v>
      </c>
      <c r="O32" s="20">
        <f t="shared" si="3"/>
        <v>0</v>
      </c>
      <c r="P32" s="20">
        <f t="shared" si="3"/>
        <v>0</v>
      </c>
      <c r="Q32" s="20">
        <f t="shared" si="3"/>
        <v>0</v>
      </c>
      <c r="R32" s="20">
        <f t="shared" si="3"/>
        <v>0</v>
      </c>
      <c r="S32" s="20">
        <f t="shared" si="3"/>
        <v>4400</v>
      </c>
      <c r="T32" s="20">
        <f t="shared" si="3"/>
        <v>0</v>
      </c>
      <c r="U32" s="20">
        <f t="shared" si="3"/>
        <v>0</v>
      </c>
      <c r="V32" s="20">
        <f t="shared" si="3"/>
        <v>6000</v>
      </c>
      <c r="W32" s="20">
        <f t="shared" si="3"/>
        <v>0</v>
      </c>
      <c r="X32" s="20">
        <f t="shared" si="3"/>
        <v>0</v>
      </c>
      <c r="Y32" s="20">
        <f t="shared" si="3"/>
        <v>39872</v>
      </c>
      <c r="Z32" s="20">
        <f t="shared" si="3"/>
        <v>0</v>
      </c>
      <c r="AA32" s="20">
        <f t="shared" si="3"/>
        <v>0</v>
      </c>
      <c r="AB32" s="20">
        <f t="shared" si="3"/>
        <v>12000</v>
      </c>
      <c r="AC32" s="20">
        <f t="shared" si="3"/>
        <v>0</v>
      </c>
      <c r="AD32" s="20">
        <f t="shared" si="3"/>
        <v>13561</v>
      </c>
      <c r="AE32" s="20">
        <f t="shared" si="3"/>
        <v>46080</v>
      </c>
      <c r="AF32" s="20">
        <f t="shared" si="3"/>
        <v>0</v>
      </c>
      <c r="AG32" s="20">
        <f t="shared" si="3"/>
        <v>34942</v>
      </c>
      <c r="AH32" s="20">
        <f t="shared" ref="AH32:BM32" si="4">SUM(AH7,AH20)</f>
        <v>0</v>
      </c>
      <c r="AI32" s="20">
        <f t="shared" si="4"/>
        <v>0</v>
      </c>
      <c r="AJ32" s="20">
        <f t="shared" si="4"/>
        <v>10560</v>
      </c>
      <c r="AK32" s="20">
        <f t="shared" si="4"/>
        <v>120000</v>
      </c>
      <c r="AL32" s="20">
        <f t="shared" si="4"/>
        <v>0</v>
      </c>
      <c r="AM32" s="20">
        <f t="shared" si="4"/>
        <v>0</v>
      </c>
      <c r="AN32" s="20">
        <f t="shared" si="4"/>
        <v>26880</v>
      </c>
      <c r="AO32" s="20">
        <f t="shared" si="4"/>
        <v>0</v>
      </c>
      <c r="AP32" s="20">
        <f t="shared" si="4"/>
        <v>18000</v>
      </c>
      <c r="AQ32" s="20">
        <f t="shared" si="4"/>
        <v>0</v>
      </c>
      <c r="AR32" s="20">
        <f t="shared" si="4"/>
        <v>0</v>
      </c>
      <c r="AS32" s="20">
        <f t="shared" si="4"/>
        <v>4500</v>
      </c>
      <c r="AT32" s="20">
        <f t="shared" si="4"/>
        <v>79880</v>
      </c>
      <c r="AU32" s="20">
        <f t="shared" si="4"/>
        <v>24000</v>
      </c>
      <c r="AV32" s="20">
        <f t="shared" si="4"/>
        <v>4064</v>
      </c>
      <c r="AW32" s="20">
        <f t="shared" si="4"/>
        <v>73000</v>
      </c>
      <c r="AX32" s="20">
        <f t="shared" si="4"/>
        <v>7500</v>
      </c>
      <c r="AY32" s="20">
        <f t="shared" si="4"/>
        <v>16250</v>
      </c>
      <c r="AZ32" s="20">
        <f t="shared" si="4"/>
        <v>0</v>
      </c>
      <c r="BA32" s="20">
        <f t="shared" si="4"/>
        <v>0</v>
      </c>
      <c r="BB32" s="20">
        <f t="shared" si="4"/>
        <v>5500</v>
      </c>
      <c r="BC32" s="20">
        <f t="shared" si="4"/>
        <v>16369</v>
      </c>
      <c r="BD32" s="20">
        <f t="shared" si="4"/>
        <v>137424</v>
      </c>
      <c r="BE32" s="20">
        <f t="shared" si="4"/>
        <v>0</v>
      </c>
      <c r="BF32" s="20">
        <f t="shared" si="4"/>
        <v>4000</v>
      </c>
      <c r="BG32" s="20">
        <f t="shared" si="4"/>
        <v>45800</v>
      </c>
      <c r="BH32" s="20">
        <f t="shared" si="4"/>
        <v>29660</v>
      </c>
      <c r="BI32" s="20">
        <f t="shared" si="4"/>
        <v>28000</v>
      </c>
      <c r="BJ32" s="20">
        <f t="shared" si="4"/>
        <v>600</v>
      </c>
      <c r="BK32" s="20">
        <f t="shared" si="4"/>
        <v>61880</v>
      </c>
      <c r="BL32" s="20">
        <f t="shared" si="4"/>
        <v>21000</v>
      </c>
      <c r="BM32" s="20">
        <f t="shared" si="4"/>
        <v>0</v>
      </c>
      <c r="BN32" s="20">
        <f t="shared" ref="BN32:CD32" si="5">SUM(BN7,BN20)</f>
        <v>30412</v>
      </c>
      <c r="BO32" s="20">
        <f t="shared" si="5"/>
        <v>5500</v>
      </c>
      <c r="BP32" s="20">
        <f t="shared" si="5"/>
        <v>4100</v>
      </c>
      <c r="BQ32" s="20">
        <f t="shared" si="5"/>
        <v>74500</v>
      </c>
      <c r="BR32" s="20">
        <f t="shared" si="5"/>
        <v>71200</v>
      </c>
      <c r="BS32" s="20">
        <f t="shared" si="5"/>
        <v>23890</v>
      </c>
      <c r="BT32" s="20">
        <f t="shared" si="5"/>
        <v>97000</v>
      </c>
      <c r="BU32" s="20">
        <f t="shared" si="5"/>
        <v>73934</v>
      </c>
      <c r="BV32" s="20">
        <f t="shared" si="5"/>
        <v>708</v>
      </c>
      <c r="BW32" s="20">
        <f t="shared" si="5"/>
        <v>10000</v>
      </c>
      <c r="BX32" s="20">
        <f t="shared" si="5"/>
        <v>87241</v>
      </c>
      <c r="BY32" s="20">
        <f t="shared" si="5"/>
        <v>3500</v>
      </c>
      <c r="BZ32" s="20">
        <f t="shared" si="5"/>
        <v>30000</v>
      </c>
      <c r="CA32" s="20">
        <f t="shared" si="5"/>
        <v>125349</v>
      </c>
      <c r="CB32" s="20">
        <f t="shared" si="5"/>
        <v>15394</v>
      </c>
      <c r="CC32" s="20">
        <f t="shared" si="5"/>
        <v>95598</v>
      </c>
      <c r="CD32" s="20">
        <f t="shared" si="5"/>
        <v>90686</v>
      </c>
    </row>
    <row r="33" spans="1:88" x14ac:dyDescent="0.25">
      <c r="A33" t="s">
        <v>314</v>
      </c>
      <c r="B33" s="29">
        <f t="shared" ref="B33:AG33" si="6">SUM(B8,B21)</f>
        <v>0</v>
      </c>
      <c r="C33" s="29">
        <f t="shared" si="6"/>
        <v>0</v>
      </c>
      <c r="D33" s="29">
        <f t="shared" si="6"/>
        <v>0</v>
      </c>
      <c r="E33" s="29">
        <f t="shared" si="6"/>
        <v>0</v>
      </c>
      <c r="F33" s="29">
        <f t="shared" si="6"/>
        <v>3288</v>
      </c>
      <c r="G33" s="29">
        <f t="shared" si="6"/>
        <v>0</v>
      </c>
      <c r="H33" s="29">
        <f t="shared" si="6"/>
        <v>1188</v>
      </c>
      <c r="I33" s="29">
        <f t="shared" si="6"/>
        <v>0</v>
      </c>
      <c r="J33" s="29">
        <f t="shared" si="6"/>
        <v>0</v>
      </c>
      <c r="K33" s="29">
        <f t="shared" si="6"/>
        <v>0</v>
      </c>
      <c r="L33" s="29">
        <f t="shared" si="6"/>
        <v>1188</v>
      </c>
      <c r="M33" s="29">
        <f t="shared" si="6"/>
        <v>0</v>
      </c>
      <c r="N33" s="29">
        <f t="shared" si="6"/>
        <v>12000</v>
      </c>
      <c r="O33" s="29">
        <f t="shared" si="6"/>
        <v>0</v>
      </c>
      <c r="P33" s="29">
        <f t="shared" si="6"/>
        <v>0</v>
      </c>
      <c r="Q33" s="29">
        <f t="shared" si="6"/>
        <v>3000</v>
      </c>
      <c r="R33" s="29">
        <f t="shared" si="6"/>
        <v>5351</v>
      </c>
      <c r="S33" s="29">
        <f t="shared" si="6"/>
        <v>0</v>
      </c>
      <c r="T33" s="29">
        <f t="shared" si="6"/>
        <v>18612</v>
      </c>
      <c r="U33" s="29">
        <f t="shared" si="6"/>
        <v>0</v>
      </c>
      <c r="V33" s="29">
        <f t="shared" si="6"/>
        <v>0</v>
      </c>
      <c r="W33" s="29">
        <f t="shared" si="6"/>
        <v>0</v>
      </c>
      <c r="X33" s="29">
        <f t="shared" si="6"/>
        <v>0</v>
      </c>
      <c r="Y33" s="29">
        <f t="shared" si="6"/>
        <v>16400</v>
      </c>
      <c r="Z33" s="29">
        <f t="shared" si="6"/>
        <v>1260</v>
      </c>
      <c r="AA33" s="29">
        <f t="shared" si="6"/>
        <v>28913</v>
      </c>
      <c r="AB33" s="29">
        <f t="shared" si="6"/>
        <v>27166</v>
      </c>
      <c r="AC33" s="29">
        <f t="shared" si="6"/>
        <v>12000</v>
      </c>
      <c r="AD33" s="29">
        <f t="shared" si="6"/>
        <v>21900</v>
      </c>
      <c r="AE33" s="29">
        <f t="shared" si="6"/>
        <v>39145</v>
      </c>
      <c r="AF33" s="29">
        <f t="shared" si="6"/>
        <v>0</v>
      </c>
      <c r="AG33" s="29">
        <f t="shared" si="6"/>
        <v>27809</v>
      </c>
      <c r="AH33" s="29">
        <f t="shared" ref="AH33:BM33" si="7">SUM(AH8,AH21)</f>
        <v>63000</v>
      </c>
      <c r="AI33" s="29">
        <f t="shared" si="7"/>
        <v>5653</v>
      </c>
      <c r="AJ33" s="29">
        <f t="shared" si="7"/>
        <v>8400</v>
      </c>
      <c r="AK33" s="29">
        <f t="shared" si="7"/>
        <v>11060</v>
      </c>
      <c r="AL33" s="29">
        <f t="shared" si="7"/>
        <v>51135</v>
      </c>
      <c r="AM33" s="29">
        <f t="shared" si="7"/>
        <v>35000</v>
      </c>
      <c r="AN33" s="29">
        <f t="shared" si="7"/>
        <v>30090</v>
      </c>
      <c r="AO33" s="29">
        <f t="shared" si="7"/>
        <v>0</v>
      </c>
      <c r="AP33" s="29">
        <f t="shared" si="7"/>
        <v>61500</v>
      </c>
      <c r="AQ33" s="29">
        <f t="shared" si="7"/>
        <v>128570</v>
      </c>
      <c r="AR33" s="29">
        <f t="shared" si="7"/>
        <v>76200</v>
      </c>
      <c r="AS33" s="29">
        <f t="shared" si="7"/>
        <v>2000</v>
      </c>
      <c r="AT33" s="29">
        <f t="shared" si="7"/>
        <v>370088</v>
      </c>
      <c r="AU33" s="29">
        <f t="shared" si="7"/>
        <v>11000</v>
      </c>
      <c r="AV33" s="29">
        <f t="shared" si="7"/>
        <v>5000</v>
      </c>
      <c r="AW33" s="29">
        <f t="shared" si="7"/>
        <v>13500</v>
      </c>
      <c r="AX33" s="29">
        <f t="shared" si="7"/>
        <v>79495</v>
      </c>
      <c r="AY33" s="29">
        <f t="shared" si="7"/>
        <v>93073</v>
      </c>
      <c r="AZ33" s="29">
        <f t="shared" si="7"/>
        <v>151500</v>
      </c>
      <c r="BA33" s="29">
        <f t="shared" si="7"/>
        <v>98033</v>
      </c>
      <c r="BB33" s="29">
        <f t="shared" si="7"/>
        <v>114414</v>
      </c>
      <c r="BC33" s="29">
        <f t="shared" si="7"/>
        <v>359462</v>
      </c>
      <c r="BD33" s="29">
        <f t="shared" si="7"/>
        <v>140424</v>
      </c>
      <c r="BE33" s="29">
        <f t="shared" si="7"/>
        <v>215336</v>
      </c>
      <c r="BF33" s="29">
        <f t="shared" si="7"/>
        <v>357869</v>
      </c>
      <c r="BG33" s="29">
        <f t="shared" si="7"/>
        <v>67167</v>
      </c>
      <c r="BH33" s="29">
        <f t="shared" si="7"/>
        <v>0</v>
      </c>
      <c r="BI33" s="29">
        <f t="shared" si="7"/>
        <v>318871</v>
      </c>
      <c r="BJ33" s="29">
        <f t="shared" si="7"/>
        <v>53108</v>
      </c>
      <c r="BK33" s="29">
        <f t="shared" si="7"/>
        <v>235779</v>
      </c>
      <c r="BL33" s="29">
        <f t="shared" si="7"/>
        <v>168190</v>
      </c>
      <c r="BM33" s="29">
        <f t="shared" si="7"/>
        <v>0</v>
      </c>
      <c r="BN33" s="29">
        <f t="shared" ref="BN33:CD33" si="8">SUM(BN8,BN21)</f>
        <v>92947</v>
      </c>
      <c r="BO33" s="29">
        <f t="shared" si="8"/>
        <v>166509</v>
      </c>
      <c r="BP33" s="29">
        <f t="shared" si="8"/>
        <v>103810</v>
      </c>
      <c r="BQ33" s="29">
        <f t="shared" si="8"/>
        <v>149960</v>
      </c>
      <c r="BR33" s="29">
        <f t="shared" si="8"/>
        <v>559856</v>
      </c>
      <c r="BS33" s="29">
        <f t="shared" si="8"/>
        <v>71677</v>
      </c>
      <c r="BT33" s="29">
        <f t="shared" si="8"/>
        <v>88578</v>
      </c>
      <c r="BU33" s="29">
        <f t="shared" si="8"/>
        <v>410174</v>
      </c>
      <c r="BV33" s="29">
        <f t="shared" si="8"/>
        <v>226302</v>
      </c>
      <c r="BW33" s="29">
        <f t="shared" si="8"/>
        <v>274087</v>
      </c>
      <c r="BX33" s="29">
        <f t="shared" si="8"/>
        <v>465832</v>
      </c>
      <c r="BY33" s="29">
        <f t="shared" si="8"/>
        <v>83781</v>
      </c>
      <c r="BZ33" s="29">
        <f t="shared" si="8"/>
        <v>271644</v>
      </c>
      <c r="CA33" s="29">
        <f t="shared" si="8"/>
        <v>432362</v>
      </c>
      <c r="CB33" s="29">
        <f t="shared" si="8"/>
        <v>241921</v>
      </c>
      <c r="CC33" s="29">
        <f t="shared" si="8"/>
        <v>702342</v>
      </c>
      <c r="CD33" s="29">
        <f t="shared" si="8"/>
        <v>583001</v>
      </c>
    </row>
    <row r="34" spans="1:88" x14ac:dyDescent="0.25">
      <c r="B34" s="20">
        <f t="shared" ref="B34:BM34" si="9">SUM(B31:B33)</f>
        <v>13140</v>
      </c>
      <c r="C34" s="20">
        <f t="shared" si="9"/>
        <v>66000</v>
      </c>
      <c r="D34" s="20">
        <f t="shared" si="9"/>
        <v>12576</v>
      </c>
      <c r="E34" s="20">
        <f t="shared" si="9"/>
        <v>5643</v>
      </c>
      <c r="F34" s="20">
        <f t="shared" si="9"/>
        <v>101874</v>
      </c>
      <c r="G34" s="20">
        <f t="shared" si="9"/>
        <v>36468</v>
      </c>
      <c r="H34" s="20">
        <f t="shared" si="9"/>
        <v>15588</v>
      </c>
      <c r="I34" s="20">
        <f t="shared" si="9"/>
        <v>155356</v>
      </c>
      <c r="J34" s="20">
        <f t="shared" si="9"/>
        <v>48408</v>
      </c>
      <c r="K34" s="20">
        <f t="shared" si="9"/>
        <v>105992</v>
      </c>
      <c r="L34" s="20">
        <f t="shared" si="9"/>
        <v>114538</v>
      </c>
      <c r="M34" s="20">
        <f t="shared" si="9"/>
        <v>13187</v>
      </c>
      <c r="N34" s="20">
        <f t="shared" si="9"/>
        <v>39072</v>
      </c>
      <c r="O34" s="20">
        <f t="shared" si="9"/>
        <v>101214</v>
      </c>
      <c r="P34" s="20">
        <f t="shared" si="9"/>
        <v>76452</v>
      </c>
      <c r="Q34" s="20">
        <f t="shared" si="9"/>
        <v>164117</v>
      </c>
      <c r="R34" s="20">
        <f t="shared" si="9"/>
        <v>179285</v>
      </c>
      <c r="S34" s="20">
        <f t="shared" si="9"/>
        <v>224732</v>
      </c>
      <c r="T34" s="20">
        <f t="shared" si="9"/>
        <v>75409</v>
      </c>
      <c r="U34" s="20">
        <f t="shared" si="9"/>
        <v>266866</v>
      </c>
      <c r="V34" s="20">
        <f t="shared" si="9"/>
        <v>470653</v>
      </c>
      <c r="W34" s="20">
        <f t="shared" si="9"/>
        <v>186132</v>
      </c>
      <c r="X34" s="20">
        <f t="shared" si="9"/>
        <v>330670</v>
      </c>
      <c r="Y34" s="20">
        <f t="shared" si="9"/>
        <v>651338</v>
      </c>
      <c r="Z34" s="20">
        <f t="shared" si="9"/>
        <v>101772</v>
      </c>
      <c r="AA34" s="20">
        <f t="shared" si="9"/>
        <v>538450</v>
      </c>
      <c r="AB34" s="20">
        <f t="shared" si="9"/>
        <v>668377</v>
      </c>
      <c r="AC34" s="20">
        <f t="shared" si="9"/>
        <v>136526</v>
      </c>
      <c r="AD34" s="20">
        <f t="shared" si="9"/>
        <v>1007937</v>
      </c>
      <c r="AE34" s="20">
        <f t="shared" si="9"/>
        <v>643335</v>
      </c>
      <c r="AF34" s="20">
        <f t="shared" si="9"/>
        <v>250604</v>
      </c>
      <c r="AG34" s="20">
        <f t="shared" si="9"/>
        <v>548099</v>
      </c>
      <c r="AH34" s="20">
        <f t="shared" si="9"/>
        <v>952597</v>
      </c>
      <c r="AI34" s="20">
        <f t="shared" si="9"/>
        <v>408148</v>
      </c>
      <c r="AJ34" s="20">
        <f t="shared" si="9"/>
        <v>514272</v>
      </c>
      <c r="AK34" s="20">
        <f t="shared" si="9"/>
        <v>1434282</v>
      </c>
      <c r="AL34" s="20">
        <f t="shared" si="9"/>
        <v>689380</v>
      </c>
      <c r="AM34" s="20">
        <f t="shared" si="9"/>
        <v>1168085</v>
      </c>
      <c r="AN34" s="20">
        <f t="shared" si="9"/>
        <v>1592621</v>
      </c>
      <c r="AO34" s="20">
        <f t="shared" si="9"/>
        <v>247639</v>
      </c>
      <c r="AP34" s="20">
        <f t="shared" si="9"/>
        <v>1082033</v>
      </c>
      <c r="AQ34" s="20">
        <f t="shared" si="9"/>
        <v>2082937</v>
      </c>
      <c r="AR34" s="20">
        <f t="shared" si="9"/>
        <v>656601</v>
      </c>
      <c r="AS34" s="20">
        <f t="shared" si="9"/>
        <v>1521664</v>
      </c>
      <c r="AT34" s="20">
        <f t="shared" si="9"/>
        <v>2001714</v>
      </c>
      <c r="AU34" s="20">
        <f t="shared" si="9"/>
        <v>778127</v>
      </c>
      <c r="AV34" s="20">
        <f t="shared" si="9"/>
        <v>1114503</v>
      </c>
      <c r="AW34" s="20">
        <f t="shared" si="9"/>
        <v>2410437</v>
      </c>
      <c r="AX34" s="20">
        <f t="shared" si="9"/>
        <v>1197013</v>
      </c>
      <c r="AY34" s="20">
        <f t="shared" si="9"/>
        <v>3090130</v>
      </c>
      <c r="AZ34" s="20">
        <f t="shared" si="9"/>
        <v>2727130</v>
      </c>
      <c r="BA34" s="20">
        <f t="shared" si="9"/>
        <v>787013</v>
      </c>
      <c r="BB34" s="20">
        <f t="shared" si="9"/>
        <v>1407691</v>
      </c>
      <c r="BC34" s="20">
        <f t="shared" si="9"/>
        <v>3493621</v>
      </c>
      <c r="BD34" s="20">
        <f t="shared" si="9"/>
        <v>1326126</v>
      </c>
      <c r="BE34" s="20">
        <f t="shared" si="9"/>
        <v>3115569</v>
      </c>
      <c r="BF34" s="20">
        <f t="shared" si="9"/>
        <v>3062853</v>
      </c>
      <c r="BG34" s="20">
        <f t="shared" si="9"/>
        <v>1222006</v>
      </c>
      <c r="BH34" s="20">
        <f t="shared" si="9"/>
        <v>1307989</v>
      </c>
      <c r="BI34" s="20">
        <f t="shared" si="9"/>
        <v>3483144</v>
      </c>
      <c r="BJ34" s="20">
        <f t="shared" si="9"/>
        <v>797405</v>
      </c>
      <c r="BK34" s="20">
        <f t="shared" si="9"/>
        <v>3345936</v>
      </c>
      <c r="BL34" s="20">
        <f t="shared" si="9"/>
        <v>4387457</v>
      </c>
      <c r="BM34" s="20">
        <f t="shared" si="9"/>
        <v>1103270</v>
      </c>
      <c r="BN34" s="20">
        <f t="shared" ref="BN34:CC34" si="10">SUM(BN31:BN33)</f>
        <v>1671254</v>
      </c>
      <c r="BO34" s="20">
        <f t="shared" si="10"/>
        <v>2451091</v>
      </c>
      <c r="BP34" s="20">
        <f t="shared" si="10"/>
        <v>1682249</v>
      </c>
      <c r="BQ34" s="20">
        <f t="shared" si="10"/>
        <v>1926494</v>
      </c>
      <c r="BR34" s="20">
        <f t="shared" si="10"/>
        <v>4502162</v>
      </c>
      <c r="BS34" s="20">
        <f t="shared" si="10"/>
        <v>1054087</v>
      </c>
      <c r="BT34" s="20">
        <f t="shared" si="10"/>
        <v>3393700</v>
      </c>
      <c r="BU34" s="20">
        <f t="shared" si="10"/>
        <v>3822324</v>
      </c>
      <c r="BV34" s="20">
        <f t="shared" si="10"/>
        <v>1589098</v>
      </c>
      <c r="BW34" s="20">
        <f t="shared" si="10"/>
        <v>3904737</v>
      </c>
      <c r="BX34" s="20">
        <f t="shared" si="10"/>
        <v>5352154</v>
      </c>
      <c r="BY34" s="20">
        <f t="shared" si="10"/>
        <v>1467244</v>
      </c>
      <c r="BZ34" s="20">
        <f t="shared" si="10"/>
        <v>2248532</v>
      </c>
      <c r="CA34" s="20">
        <f t="shared" si="10"/>
        <v>5352866</v>
      </c>
      <c r="CB34" s="20">
        <f t="shared" si="10"/>
        <v>2606229</v>
      </c>
      <c r="CC34" s="20">
        <f t="shared" si="10"/>
        <v>4225784</v>
      </c>
      <c r="CD34" s="20">
        <f>SUM(CD31:CD33)</f>
        <v>7355102</v>
      </c>
    </row>
    <row r="36" spans="1:88" x14ac:dyDescent="0.25">
      <c r="A36" t="s">
        <v>693</v>
      </c>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f>SUM(ARR!AY41:AY42)</f>
        <v>247639</v>
      </c>
      <c r="AP36" s="20">
        <f>SUM(ARR!AZ41:AZ42)</f>
        <v>1082032.83</v>
      </c>
      <c r="AQ36" s="20">
        <f>SUM(ARR!BA41:BA42)</f>
        <v>2082936.27</v>
      </c>
      <c r="AR36" s="20">
        <f>SUM(ARR!BB41:BB42)</f>
        <v>656601.42999999993</v>
      </c>
      <c r="AS36" s="20">
        <f>SUM(ARR!BC41:BC42)</f>
        <v>1521663.65</v>
      </c>
      <c r="AT36" s="20">
        <f>SUM(ARR!BD41:BD42)</f>
        <v>2001713.72</v>
      </c>
      <c r="AU36" s="20">
        <f>SUM(ARR!BE41:BE42)</f>
        <v>778126.66999999993</v>
      </c>
      <c r="AV36" s="20">
        <f>SUM(ARR!BF41:BF42)</f>
        <v>1114502.46</v>
      </c>
      <c r="AW36" s="20">
        <f>SUM(ARR!BG41:BG42)</f>
        <v>2410437.33</v>
      </c>
      <c r="AX36" s="20">
        <f>SUM(ARR!BH41:BH42)</f>
        <v>1197012.17</v>
      </c>
      <c r="AY36" s="20">
        <f>SUM(ARR!BI41:BI42)</f>
        <v>3090129.67</v>
      </c>
      <c r="AZ36" s="20">
        <f>SUM(ARR!BJ41:BJ42)</f>
        <v>2727130.1</v>
      </c>
      <c r="BA36" s="20">
        <f>SUM(ARR!BK41:BK42)</f>
        <v>787013.33000000007</v>
      </c>
      <c r="BB36" s="20">
        <f>SUM(ARR!BL41:BL42)</f>
        <v>1407691.33</v>
      </c>
      <c r="BC36" s="20">
        <f>SUM(ARR!BM41:BM42)</f>
        <v>3493619.6300000004</v>
      </c>
      <c r="BD36" s="20">
        <f>SUM(ARR!BN41:BN42)</f>
        <v>1326125.7599999998</v>
      </c>
      <c r="BE36" s="20">
        <f>SUM(ARR!BO41:BO42)</f>
        <v>3115569.38</v>
      </c>
      <c r="BF36" s="20">
        <f>SUM(ARR!BP41:BP42)</f>
        <v>3062852.71</v>
      </c>
      <c r="BG36" s="20">
        <f>SUM(ARR!BQ41:BQ42)</f>
        <v>1222005.3999999999</v>
      </c>
      <c r="BH36" s="20">
        <f>SUM(ARR!BR41:BR42)</f>
        <v>1307988.67</v>
      </c>
      <c r="BI36" s="20">
        <f>SUM(ARR!BS41:BS42)</f>
        <v>3483144.2399999998</v>
      </c>
      <c r="BJ36" s="20">
        <f>SUM(ARR!BT41:BT42)</f>
        <v>797405.54</v>
      </c>
      <c r="BK36" s="20">
        <f>SUM(ARR!BU41:BU42)</f>
        <v>3345936.4699999997</v>
      </c>
      <c r="BL36" s="20">
        <f>SUM(ARR!BV41:BV42)</f>
        <v>4387455.4309149999</v>
      </c>
      <c r="BM36" s="20">
        <f>SUM(ARR!BW41:BW42)</f>
        <v>1103269.5</v>
      </c>
      <c r="BN36" s="20">
        <f>SUM(ARR!BX41:BX42)</f>
        <v>1671254.3752009999</v>
      </c>
      <c r="BO36" s="20">
        <f>SUM(ARR!BY41:BY42)</f>
        <v>2451089.1984620001</v>
      </c>
      <c r="BP36" s="20">
        <f>SUM(ARR!BZ41:BZ42)</f>
        <v>1682250.2295600001</v>
      </c>
      <c r="BQ36" s="20">
        <f>SUM(ARR!CA41:CA42)</f>
        <v>1926495.5395229999</v>
      </c>
      <c r="BR36" s="20">
        <f>SUM(ARR!CB41:CB42)</f>
        <v>4502159.8801830001</v>
      </c>
      <c r="BS36" s="20">
        <f>SUM(ARR!CC41:CC42)</f>
        <v>1050087.6471790001</v>
      </c>
      <c r="BT36" s="20">
        <f>SUM(ARR!CD41:CD42)</f>
        <v>3354858.583991</v>
      </c>
      <c r="BU36" s="20">
        <f>SUM(ARR!CE41:CE42)</f>
        <v>3747628.8757879999</v>
      </c>
      <c r="BV36" s="20">
        <f>SUM(ARR!CF41:CF42)</f>
        <v>1583669.9761549998</v>
      </c>
      <c r="BW36" s="20">
        <f>SUM(ARR!CG41:CG42)</f>
        <v>3917228.8316860003</v>
      </c>
      <c r="BX36" s="20">
        <f>SUM(ARR!CH41:CH42)</f>
        <v>5351976.9263739996</v>
      </c>
      <c r="BY36" s="20">
        <f>SUM(ARR!CI41:CI42)</f>
        <v>1467244.9398469999</v>
      </c>
      <c r="BZ36" s="20">
        <f>SUM(ARR!CJ41:CJ42)</f>
        <v>2248533.3673879998</v>
      </c>
      <c r="CA36" s="20">
        <f>SUM(ARR!CK41:CK42)</f>
        <v>5352865.9389380002</v>
      </c>
      <c r="CB36" s="20">
        <f>SUM(ARR!CL41:CL42)</f>
        <v>2606228.0054259999</v>
      </c>
      <c r="CC36" s="20">
        <f>SUM(ARR!CM41:CM42)</f>
        <v>4225782.8039159998</v>
      </c>
      <c r="CD36" s="20">
        <f>SUM(ARR!CN41:CN42)</f>
        <v>7355099.7649179995</v>
      </c>
      <c r="CE36" s="20">
        <f>SUM(ARR!CO41:CO42)</f>
        <v>2594805</v>
      </c>
      <c r="CF36" s="20">
        <f>SUM(ARR!CP41:CP42)</f>
        <v>6054545</v>
      </c>
      <c r="CG36" s="20">
        <f>SUM(ARR!CQ41:CQ42)</f>
        <v>8649350</v>
      </c>
      <c r="CH36" s="20">
        <f>SUM(ARR!CR41:CR42)</f>
        <v>2337778.75</v>
      </c>
      <c r="CI36" s="20">
        <f>SUM(ARR!CS41:CS42)</f>
        <v>9351115</v>
      </c>
      <c r="CJ36" s="20">
        <f>SUM(ARR!CT41:CT42)</f>
        <v>11688893.75</v>
      </c>
    </row>
    <row r="37" spans="1:88" x14ac:dyDescent="0.25">
      <c r="A37" t="s">
        <v>51</v>
      </c>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c r="AJ37" s="20"/>
      <c r="AK37" s="20"/>
      <c r="AL37" s="20"/>
      <c r="AM37" s="20"/>
      <c r="AN37" s="20"/>
      <c r="AO37" s="49">
        <f t="shared" ref="AO37:BM37" si="11">AO36-AO34</f>
        <v>0</v>
      </c>
      <c r="AP37" s="49">
        <f t="shared" si="11"/>
        <v>-0.16999999992549419</v>
      </c>
      <c r="AQ37" s="49">
        <f t="shared" si="11"/>
        <v>-0.72999999998137355</v>
      </c>
      <c r="AR37" s="49">
        <f t="shared" si="11"/>
        <v>0.42999999993480742</v>
      </c>
      <c r="AS37" s="49">
        <f t="shared" si="11"/>
        <v>-0.35000000009313226</v>
      </c>
      <c r="AT37" s="49">
        <f t="shared" si="11"/>
        <v>-0.28000000002793968</v>
      </c>
      <c r="AU37" s="49">
        <f t="shared" si="11"/>
        <v>-0.33000000007450581</v>
      </c>
      <c r="AV37" s="49">
        <f t="shared" si="11"/>
        <v>-0.5400000000372529</v>
      </c>
      <c r="AW37" s="49">
        <f t="shared" si="11"/>
        <v>0.33000000007450581</v>
      </c>
      <c r="AX37" s="49">
        <f t="shared" si="11"/>
        <v>-0.83000000007450581</v>
      </c>
      <c r="AY37" s="49">
        <f t="shared" si="11"/>
        <v>-0.33000000007450581</v>
      </c>
      <c r="AZ37" s="49">
        <f t="shared" si="11"/>
        <v>0.10000000009313226</v>
      </c>
      <c r="BA37" s="49">
        <f t="shared" si="11"/>
        <v>0.33000000007450581</v>
      </c>
      <c r="BB37" s="49">
        <f t="shared" si="11"/>
        <v>0.33000000007450581</v>
      </c>
      <c r="BC37" s="49">
        <f t="shared" si="11"/>
        <v>-1.3699999996460974</v>
      </c>
      <c r="BD37" s="49">
        <f t="shared" si="11"/>
        <v>-0.24000000022351742</v>
      </c>
      <c r="BE37" s="49">
        <f t="shared" si="11"/>
        <v>0.37999999988824129</v>
      </c>
      <c r="BF37" s="49">
        <f t="shared" si="11"/>
        <v>-0.2900000000372529</v>
      </c>
      <c r="BG37" s="49">
        <f t="shared" si="11"/>
        <v>-0.60000000009313226</v>
      </c>
      <c r="BH37" s="49">
        <f t="shared" si="11"/>
        <v>-0.33000000007450581</v>
      </c>
      <c r="BI37" s="49">
        <f t="shared" si="11"/>
        <v>0.23999999975785613</v>
      </c>
      <c r="BJ37" s="49">
        <f t="shared" si="11"/>
        <v>0.5400000000372529</v>
      </c>
      <c r="BK37" s="49">
        <f t="shared" si="11"/>
        <v>0.46999999973922968</v>
      </c>
      <c r="BL37" s="49">
        <f t="shared" si="11"/>
        <v>-1.5690850000828505</v>
      </c>
      <c r="BM37" s="49">
        <f t="shared" si="11"/>
        <v>-0.5</v>
      </c>
      <c r="BN37" s="49">
        <f t="shared" ref="BN37:CC37" si="12">BN36-BN34</f>
        <v>0.37520099990069866</v>
      </c>
      <c r="BO37" s="49">
        <f t="shared" si="12"/>
        <v>-1.8015379998832941</v>
      </c>
      <c r="BP37" s="49">
        <f t="shared" si="12"/>
        <v>1.2295600001234561</v>
      </c>
      <c r="BQ37" s="49">
        <f t="shared" si="12"/>
        <v>1.5395229998975992</v>
      </c>
      <c r="BR37" s="49">
        <f t="shared" si="12"/>
        <v>-2.1198169998824596</v>
      </c>
      <c r="BS37" s="49">
        <f t="shared" si="12"/>
        <v>-3999.3528209999204</v>
      </c>
      <c r="BT37" s="49">
        <f t="shared" si="12"/>
        <v>-38841.416009000037</v>
      </c>
      <c r="BU37" s="49">
        <f t="shared" si="12"/>
        <v>-74695.124212000053</v>
      </c>
      <c r="BV37" s="49">
        <f t="shared" si="12"/>
        <v>-5428.0238450001925</v>
      </c>
      <c r="BW37" s="49">
        <f t="shared" si="12"/>
        <v>12491.83168600034</v>
      </c>
      <c r="BX37" s="49">
        <f t="shared" si="12"/>
        <v>-177.07362600043416</v>
      </c>
      <c r="BY37" s="49">
        <f t="shared" si="12"/>
        <v>0.93984699994325638</v>
      </c>
      <c r="BZ37" s="49">
        <f t="shared" si="12"/>
        <v>1.3673879997804761</v>
      </c>
      <c r="CA37" s="49">
        <f t="shared" si="12"/>
        <v>-6.1061999760568142E-2</v>
      </c>
      <c r="CB37" s="49">
        <f t="shared" si="12"/>
        <v>-0.99457400012761354</v>
      </c>
      <c r="CC37" s="49">
        <f t="shared" si="12"/>
        <v>-1.1960840001702309</v>
      </c>
      <c r="CD37" s="49">
        <f>CD36-CD34</f>
        <v>-2.2350820004940033</v>
      </c>
    </row>
    <row r="39" spans="1:88" x14ac:dyDescent="0.25">
      <c r="B39" s="370"/>
      <c r="C39" s="370"/>
      <c r="D39" s="370"/>
      <c r="E39" s="370"/>
      <c r="F39" s="370"/>
      <c r="G39" s="370"/>
      <c r="H39" s="370"/>
      <c r="I39" s="370"/>
      <c r="J39" s="370"/>
      <c r="K39" s="370"/>
      <c r="L39" s="370"/>
      <c r="M39" s="370"/>
      <c r="N39" s="370"/>
      <c r="O39" s="370"/>
      <c r="P39" s="370"/>
      <c r="Q39" s="370"/>
      <c r="R39" s="370"/>
      <c r="S39" s="370"/>
      <c r="T39" s="370"/>
      <c r="U39" s="370"/>
      <c r="V39" s="370"/>
      <c r="W39" s="370"/>
      <c r="X39" s="370"/>
      <c r="Y39" s="370"/>
      <c r="Z39" s="370"/>
      <c r="AA39" s="370"/>
      <c r="AB39" s="370"/>
      <c r="AC39" s="370"/>
      <c r="AD39" s="370"/>
      <c r="AE39" s="370"/>
      <c r="AF39" s="370"/>
      <c r="AG39" s="370"/>
      <c r="AH39" s="370"/>
      <c r="AI39" s="370"/>
      <c r="AJ39" s="370"/>
      <c r="AK39" s="370"/>
      <c r="AL39" s="370"/>
      <c r="AM39" s="370"/>
      <c r="AN39" s="370"/>
      <c r="AO39" s="368">
        <v>43132</v>
      </c>
      <c r="AP39" s="368">
        <v>43160</v>
      </c>
      <c r="AQ39" s="368">
        <v>43191</v>
      </c>
      <c r="AR39" s="368">
        <v>43221</v>
      </c>
      <c r="AS39" s="368">
        <v>43252</v>
      </c>
      <c r="AT39" s="368">
        <v>43282</v>
      </c>
      <c r="AU39" s="368">
        <v>43313</v>
      </c>
      <c r="AV39" s="368">
        <v>43344</v>
      </c>
      <c r="AW39" s="368">
        <v>43374</v>
      </c>
      <c r="AX39" s="368">
        <v>43405</v>
      </c>
      <c r="AY39" s="368">
        <v>43435</v>
      </c>
      <c r="AZ39" s="368">
        <v>43466</v>
      </c>
      <c r="BA39" s="368">
        <v>43497</v>
      </c>
      <c r="BB39" s="368">
        <v>43525</v>
      </c>
      <c r="BC39" s="368">
        <v>43556</v>
      </c>
      <c r="BD39" s="368">
        <v>43586</v>
      </c>
      <c r="BE39" s="368">
        <v>43617</v>
      </c>
      <c r="BF39" s="368">
        <v>43647</v>
      </c>
      <c r="BG39" s="368">
        <v>43678</v>
      </c>
      <c r="BH39" s="368">
        <v>43709</v>
      </c>
      <c r="BI39" s="368">
        <v>43739</v>
      </c>
      <c r="BJ39" s="368">
        <v>43770</v>
      </c>
      <c r="BK39" s="368">
        <v>43800</v>
      </c>
      <c r="BL39" s="368">
        <v>43831</v>
      </c>
      <c r="BM39" s="368">
        <v>43862</v>
      </c>
      <c r="BN39" s="368">
        <v>43891</v>
      </c>
      <c r="BO39" s="368">
        <v>43922</v>
      </c>
      <c r="BP39" s="368">
        <v>43952</v>
      </c>
      <c r="BQ39" s="368">
        <v>43983</v>
      </c>
      <c r="BR39" s="368">
        <v>44013</v>
      </c>
      <c r="BS39" s="368">
        <v>44044</v>
      </c>
      <c r="BT39" s="368">
        <v>44075</v>
      </c>
      <c r="BU39" s="368">
        <v>44105</v>
      </c>
      <c r="BV39" s="368">
        <v>44136</v>
      </c>
      <c r="BW39" s="368">
        <v>44166</v>
      </c>
      <c r="BX39" s="368">
        <v>44197</v>
      </c>
      <c r="BY39" s="368">
        <v>44228</v>
      </c>
      <c r="BZ39" s="368">
        <v>44256</v>
      </c>
      <c r="CA39" s="368">
        <v>44287</v>
      </c>
      <c r="CB39" s="368">
        <v>44317</v>
      </c>
      <c r="CC39" s="368">
        <v>44348</v>
      </c>
      <c r="CD39" s="368">
        <v>44378</v>
      </c>
      <c r="CE39" s="368">
        <v>44409</v>
      </c>
      <c r="CF39" s="368">
        <v>44440</v>
      </c>
      <c r="CG39" s="368">
        <v>44470</v>
      </c>
      <c r="CH39" s="368">
        <v>44501</v>
      </c>
      <c r="CI39" s="368">
        <v>44531</v>
      </c>
      <c r="CJ39" s="368">
        <v>44562</v>
      </c>
    </row>
    <row r="40" spans="1:88" x14ac:dyDescent="0.25">
      <c r="A40" t="s">
        <v>665</v>
      </c>
      <c r="B40" s="92"/>
      <c r="C40" s="92"/>
      <c r="D40" s="92"/>
      <c r="E40" s="92"/>
      <c r="F40" s="92"/>
      <c r="G40" s="92"/>
      <c r="H40" s="92"/>
      <c r="I40" s="92"/>
      <c r="J40" s="92"/>
      <c r="K40" s="92"/>
      <c r="L40" s="92"/>
      <c r="M40" s="92"/>
      <c r="N40" s="92"/>
      <c r="O40" s="92"/>
      <c r="P40" s="92"/>
      <c r="Q40" s="92"/>
      <c r="R40" s="92"/>
      <c r="S40" s="92"/>
      <c r="T40" s="92"/>
      <c r="U40" s="92"/>
      <c r="V40" s="92"/>
      <c r="W40" s="92"/>
      <c r="X40" s="92"/>
      <c r="Y40" s="92"/>
      <c r="Z40" s="92"/>
      <c r="AA40" s="92"/>
      <c r="AB40" s="92"/>
      <c r="AC40" s="92"/>
      <c r="AD40" s="92"/>
      <c r="AE40" s="92"/>
      <c r="AF40" s="92"/>
      <c r="AG40" s="92"/>
      <c r="AH40" s="92"/>
      <c r="AI40" s="92"/>
      <c r="AJ40" s="92"/>
      <c r="AK40" s="92"/>
      <c r="AL40" s="92"/>
      <c r="AM40" s="92"/>
      <c r="AN40" s="92"/>
      <c r="AO40" s="20">
        <f t="shared" ref="AO40:BM42" si="13">AO31/AO$34*AO$36</f>
        <v>247639</v>
      </c>
      <c r="AP40" s="20">
        <f t="shared" si="13"/>
        <v>1002532.8424903769</v>
      </c>
      <c r="AQ40" s="20">
        <f t="shared" si="13"/>
        <v>1954366.3150595003</v>
      </c>
      <c r="AR40" s="20">
        <f t="shared" si="13"/>
        <v>580401.38009754778</v>
      </c>
      <c r="AS40" s="20">
        <f t="shared" si="13"/>
        <v>1515163.6514950737</v>
      </c>
      <c r="AT40" s="20">
        <f t="shared" si="13"/>
        <v>1551745.7829415791</v>
      </c>
      <c r="AU40" s="20">
        <f t="shared" si="13"/>
        <v>743126.68484333518</v>
      </c>
      <c r="AV40" s="20">
        <f t="shared" si="13"/>
        <v>1105438.4643916974</v>
      </c>
      <c r="AW40" s="20">
        <f t="shared" si="13"/>
        <v>2323937.3181577488</v>
      </c>
      <c r="AX40" s="20">
        <f t="shared" si="13"/>
        <v>1110017.2303216923</v>
      </c>
      <c r="AY40" s="20">
        <f t="shared" si="13"/>
        <v>2980806.6816747803</v>
      </c>
      <c r="AZ40" s="20">
        <f t="shared" si="13"/>
        <v>2575630.0944447094</v>
      </c>
      <c r="BA40" s="20">
        <f t="shared" si="13"/>
        <v>688980.2888940844</v>
      </c>
      <c r="BB40" s="20">
        <f t="shared" si="13"/>
        <v>1287777.3018889872</v>
      </c>
      <c r="BC40" s="20">
        <f t="shared" si="13"/>
        <v>3117788.7773796017</v>
      </c>
      <c r="BD40" s="20">
        <f t="shared" si="13"/>
        <v>1048277.8102844524</v>
      </c>
      <c r="BE40" s="20">
        <f t="shared" si="13"/>
        <v>2900233.3537358795</v>
      </c>
      <c r="BF40" s="20">
        <f t="shared" si="13"/>
        <v>2700983.7442628294</v>
      </c>
      <c r="BG40" s="20">
        <f t="shared" si="13"/>
        <v>1109038.4554663396</v>
      </c>
      <c r="BH40" s="20">
        <f t="shared" si="13"/>
        <v>1278328.6774830904</v>
      </c>
      <c r="BI40" s="20">
        <f t="shared" si="13"/>
        <v>3136273.2160994546</v>
      </c>
      <c r="BJ40" s="20">
        <f t="shared" si="13"/>
        <v>743697.50362912205</v>
      </c>
      <c r="BK40" s="20">
        <f t="shared" si="13"/>
        <v>3048277.4281881629</v>
      </c>
      <c r="BL40" s="20">
        <f t="shared" si="13"/>
        <v>4198265.4985749656</v>
      </c>
      <c r="BM40" s="20">
        <f t="shared" si="13"/>
        <v>1103269.5</v>
      </c>
      <c r="BN40" s="20">
        <f t="shared" ref="BN40:CC42" si="14">BN31/BN$34*BN$36</f>
        <v>1547895.3475065739</v>
      </c>
      <c r="BO40" s="20">
        <f t="shared" si="14"/>
        <v>2279080.3248876408</v>
      </c>
      <c r="BP40" s="20">
        <f t="shared" si="14"/>
        <v>1574340.1506883113</v>
      </c>
      <c r="BQ40" s="20">
        <f t="shared" si="14"/>
        <v>1702035.3601498315</v>
      </c>
      <c r="BR40" s="20">
        <f t="shared" si="14"/>
        <v>3871104.1773120766</v>
      </c>
      <c r="BS40" s="20">
        <f t="shared" si="14"/>
        <v>954883.24168120383</v>
      </c>
      <c r="BT40" s="20">
        <f t="shared" si="14"/>
        <v>3171404.5526093571</v>
      </c>
      <c r="BU40" s="20">
        <f t="shared" si="14"/>
        <v>3272981.2216906557</v>
      </c>
      <c r="BV40" s="20">
        <f t="shared" si="14"/>
        <v>1357435.3944697001</v>
      </c>
      <c r="BW40" s="20">
        <f t="shared" si="14"/>
        <v>3632232.9953192538</v>
      </c>
      <c r="BX40" s="20">
        <f t="shared" si="14"/>
        <v>4798922.2245473247</v>
      </c>
      <c r="BY40" s="20">
        <f t="shared" si="14"/>
        <v>1379963.883938926</v>
      </c>
      <c r="BZ40" s="20">
        <f t="shared" si="14"/>
        <v>1946889.1839508126</v>
      </c>
      <c r="CA40" s="20">
        <f t="shared" si="14"/>
        <v>4795154.9453000026</v>
      </c>
      <c r="CB40" s="20">
        <f t="shared" si="14"/>
        <v>2348913.1036210582</v>
      </c>
      <c r="CC40" s="20">
        <f t="shared" si="14"/>
        <v>3427843.0297683543</v>
      </c>
      <c r="CD40" s="20">
        <f>CD31/CD$34*CD$36</f>
        <v>6681412.969639251</v>
      </c>
      <c r="CE40" s="371">
        <f>CE43-CE41-CE42</f>
        <v>2184388.3333333335</v>
      </c>
      <c r="CF40" s="371">
        <f t="shared" ref="CF40:CJ40" si="15">CF43-CF41-CF42</f>
        <v>5580013.75</v>
      </c>
      <c r="CG40" s="371">
        <f t="shared" si="15"/>
        <v>8118152.083333333</v>
      </c>
      <c r="CH40" s="371">
        <f t="shared" si="15"/>
        <v>1683914.1666666665</v>
      </c>
      <c r="CI40" s="371">
        <f t="shared" si="15"/>
        <v>8659692.083333334</v>
      </c>
      <c r="CJ40" s="371">
        <f t="shared" si="15"/>
        <v>10888320.833333334</v>
      </c>
    </row>
    <row r="41" spans="1:88" x14ac:dyDescent="0.25">
      <c r="A41" t="s">
        <v>664</v>
      </c>
      <c r="B41" s="92"/>
      <c r="C41" s="92"/>
      <c r="D41" s="92"/>
      <c r="E41" s="92"/>
      <c r="F41" s="92"/>
      <c r="G41" s="92"/>
      <c r="H41" s="92"/>
      <c r="I41" s="92"/>
      <c r="J41" s="92"/>
      <c r="K41" s="92"/>
      <c r="L41" s="92"/>
      <c r="M41" s="92"/>
      <c r="N41" s="92"/>
      <c r="O41" s="92"/>
      <c r="P41" s="92"/>
      <c r="Q41" s="92"/>
      <c r="R41" s="92"/>
      <c r="S41" s="92"/>
      <c r="T41" s="92"/>
      <c r="U41" s="92"/>
      <c r="V41" s="92"/>
      <c r="W41" s="92"/>
      <c r="X41" s="92"/>
      <c r="Y41" s="92"/>
      <c r="Z41" s="92"/>
      <c r="AA41" s="92"/>
      <c r="AB41" s="92"/>
      <c r="AC41" s="92"/>
      <c r="AD41" s="92"/>
      <c r="AE41" s="92"/>
      <c r="AF41" s="92"/>
      <c r="AG41" s="92"/>
      <c r="AH41" s="92"/>
      <c r="AI41" s="92"/>
      <c r="AJ41" s="92"/>
      <c r="AK41" s="92"/>
      <c r="AL41" s="92"/>
      <c r="AM41" s="92"/>
      <c r="AN41" s="92"/>
      <c r="AO41" s="20">
        <f t="shared" si="13"/>
        <v>0</v>
      </c>
      <c r="AP41" s="20">
        <f t="shared" si="13"/>
        <v>17999.997171990137</v>
      </c>
      <c r="AQ41" s="20">
        <f t="shared" si="13"/>
        <v>0</v>
      </c>
      <c r="AR41" s="20">
        <f t="shared" si="13"/>
        <v>0</v>
      </c>
      <c r="AS41" s="20">
        <f t="shared" si="13"/>
        <v>4499.998964948898</v>
      </c>
      <c r="AT41" s="20">
        <f t="shared" si="13"/>
        <v>79879.988826375804</v>
      </c>
      <c r="AU41" s="20">
        <f t="shared" si="13"/>
        <v>23999.989821712905</v>
      </c>
      <c r="AV41" s="20">
        <f t="shared" si="13"/>
        <v>4063.9980309070497</v>
      </c>
      <c r="AW41" s="20">
        <f t="shared" si="13"/>
        <v>73000.009994038424</v>
      </c>
      <c r="AX41" s="20">
        <f t="shared" si="13"/>
        <v>7499.9947995552266</v>
      </c>
      <c r="AY41" s="20">
        <f t="shared" si="13"/>
        <v>16249.998264636117</v>
      </c>
      <c r="AZ41" s="20">
        <f t="shared" si="13"/>
        <v>0</v>
      </c>
      <c r="BA41" s="20">
        <f t="shared" si="13"/>
        <v>0</v>
      </c>
      <c r="BB41" s="20">
        <f t="shared" si="13"/>
        <v>5500.0012893454605</v>
      </c>
      <c r="BC41" s="20">
        <f t="shared" si="13"/>
        <v>16368.993581006644</v>
      </c>
      <c r="BD41" s="20">
        <f t="shared" si="13"/>
        <v>137423.97512924109</v>
      </c>
      <c r="BE41" s="20">
        <f t="shared" si="13"/>
        <v>0</v>
      </c>
      <c r="BF41" s="20">
        <f t="shared" si="13"/>
        <v>3999.9996212681444</v>
      </c>
      <c r="BG41" s="20">
        <f t="shared" si="13"/>
        <v>45799.977512385369</v>
      </c>
      <c r="BH41" s="20">
        <f t="shared" si="13"/>
        <v>29659.992516909544</v>
      </c>
      <c r="BI41" s="20">
        <f t="shared" si="13"/>
        <v>28000.001929291466</v>
      </c>
      <c r="BJ41" s="20">
        <f t="shared" si="13"/>
        <v>600.00040631799402</v>
      </c>
      <c r="BK41" s="20">
        <f t="shared" si="13"/>
        <v>61880.008692216463</v>
      </c>
      <c r="BL41" s="20">
        <f t="shared" si="13"/>
        <v>20999.992489775967</v>
      </c>
      <c r="BM41" s="20">
        <f t="shared" si="13"/>
        <v>0</v>
      </c>
      <c r="BN41" s="20">
        <f t="shared" si="14"/>
        <v>30412.006827575467</v>
      </c>
      <c r="BO41" s="20">
        <f t="shared" si="14"/>
        <v>5499.9959575311568</v>
      </c>
      <c r="BP41" s="20">
        <f t="shared" si="14"/>
        <v>4100.0029967002511</v>
      </c>
      <c r="BQ41" s="20">
        <f t="shared" si="14"/>
        <v>74500.059535333872</v>
      </c>
      <c r="BR41" s="20">
        <f t="shared" si="14"/>
        <v>71199.966475890833</v>
      </c>
      <c r="BS41" s="20">
        <f t="shared" si="14"/>
        <v>23799.358014192672</v>
      </c>
      <c r="BT41" s="20">
        <f t="shared" si="14"/>
        <v>95889.820151199878</v>
      </c>
      <c r="BU41" s="20">
        <f t="shared" si="14"/>
        <v>72489.195919160702</v>
      </c>
      <c r="BV41" s="20">
        <f t="shared" si="14"/>
        <v>705.58162122017643</v>
      </c>
      <c r="BW41" s="20">
        <f t="shared" si="14"/>
        <v>10031.991480312246</v>
      </c>
      <c r="BX41" s="20">
        <f t="shared" si="14"/>
        <v>87238.113670457562</v>
      </c>
      <c r="BY41" s="20">
        <f t="shared" si="14"/>
        <v>3500.0022419341976</v>
      </c>
      <c r="BZ41" s="20">
        <f t="shared" si="14"/>
        <v>30000.018243743023</v>
      </c>
      <c r="CA41" s="20">
        <f t="shared" si="14"/>
        <v>125348.99857010046</v>
      </c>
      <c r="CB41" s="20">
        <f t="shared" si="14"/>
        <v>15393.994125430974</v>
      </c>
      <c r="CC41" s="20">
        <f t="shared" si="14"/>
        <v>95597.972941532687</v>
      </c>
      <c r="CD41" s="20">
        <f t="shared" ref="CD41:CD42" si="16">CD32/CD$34*CD$36</f>
        <v>90685.972442170576</v>
      </c>
      <c r="CE41" s="54">
        <v>34375</v>
      </c>
      <c r="CF41" s="54">
        <v>61875.000000000007</v>
      </c>
      <c r="CG41" s="54">
        <v>92812.500000000029</v>
      </c>
      <c r="CH41" s="54">
        <v>129531.25000000001</v>
      </c>
      <c r="CI41" s="54">
        <v>192656.25</v>
      </c>
      <c r="CJ41" s="54">
        <v>245906.25</v>
      </c>
    </row>
    <row r="42" spans="1:88" x14ac:dyDescent="0.25">
      <c r="A42" t="s">
        <v>314</v>
      </c>
      <c r="B42" s="92"/>
      <c r="C42" s="92"/>
      <c r="D42" s="92"/>
      <c r="E42" s="92"/>
      <c r="F42" s="92"/>
      <c r="G42" s="92"/>
      <c r="H42" s="92"/>
      <c r="I42" s="92"/>
      <c r="J42" s="92"/>
      <c r="K42" s="92"/>
      <c r="L42" s="92"/>
      <c r="M42" s="92"/>
      <c r="N42" s="92"/>
      <c r="O42" s="92"/>
      <c r="P42" s="92"/>
      <c r="Q42" s="92"/>
      <c r="R42" s="92"/>
      <c r="S42" s="92"/>
      <c r="T42" s="92"/>
      <c r="U42" s="92"/>
      <c r="V42" s="92"/>
      <c r="W42" s="92"/>
      <c r="X42" s="92"/>
      <c r="Y42" s="92"/>
      <c r="Z42" s="92"/>
      <c r="AA42" s="92"/>
      <c r="AB42" s="92"/>
      <c r="AC42" s="92"/>
      <c r="AD42" s="92"/>
      <c r="AE42" s="92"/>
      <c r="AF42" s="92"/>
      <c r="AG42" s="92"/>
      <c r="AH42" s="92"/>
      <c r="AI42" s="92"/>
      <c r="AJ42" s="92"/>
      <c r="AK42" s="92"/>
      <c r="AL42" s="92"/>
      <c r="AM42" s="92"/>
      <c r="AN42" s="92"/>
      <c r="AO42" s="29">
        <f t="shared" si="13"/>
        <v>0</v>
      </c>
      <c r="AP42" s="29">
        <f t="shared" si="13"/>
        <v>61499.99033763296</v>
      </c>
      <c r="AQ42" s="29">
        <f t="shared" si="13"/>
        <v>128569.95494049988</v>
      </c>
      <c r="AR42" s="29">
        <f t="shared" si="13"/>
        <v>76200.049902452156</v>
      </c>
      <c r="AS42" s="29">
        <f t="shared" si="13"/>
        <v>1999.9995399772877</v>
      </c>
      <c r="AT42" s="29">
        <f t="shared" si="13"/>
        <v>370087.94823204511</v>
      </c>
      <c r="AU42" s="29">
        <f t="shared" si="13"/>
        <v>10999.995334951749</v>
      </c>
      <c r="AV42" s="29">
        <f t="shared" si="13"/>
        <v>4999.9975773954848</v>
      </c>
      <c r="AW42" s="29">
        <f t="shared" si="13"/>
        <v>13500.001848212585</v>
      </c>
      <c r="AX42" s="29">
        <f t="shared" si="13"/>
        <v>79494.944878752358</v>
      </c>
      <c r="AY42" s="29">
        <f t="shared" si="13"/>
        <v>93072.990060583208</v>
      </c>
      <c r="AZ42" s="29">
        <f t="shared" si="13"/>
        <v>151500.00555529073</v>
      </c>
      <c r="BA42" s="29">
        <f t="shared" si="13"/>
        <v>98033.041105915661</v>
      </c>
      <c r="BB42" s="29">
        <f t="shared" si="13"/>
        <v>114414.02682166755</v>
      </c>
      <c r="BC42" s="29">
        <f t="shared" si="13"/>
        <v>359461.85903939209</v>
      </c>
      <c r="BD42" s="29">
        <f t="shared" si="13"/>
        <v>140423.97458630626</v>
      </c>
      <c r="BE42" s="29">
        <f t="shared" si="13"/>
        <v>215336.02626412059</v>
      </c>
      <c r="BF42" s="29">
        <f t="shared" si="13"/>
        <v>357868.96611590241</v>
      </c>
      <c r="BG42" s="29">
        <f t="shared" si="13"/>
        <v>67166.967021274846</v>
      </c>
      <c r="BH42" s="29">
        <f t="shared" si="13"/>
        <v>0</v>
      </c>
      <c r="BI42" s="29">
        <f t="shared" si="13"/>
        <v>318871.0219712535</v>
      </c>
      <c r="BJ42" s="29">
        <f t="shared" si="13"/>
        <v>53108.035964560047</v>
      </c>
      <c r="BK42" s="29">
        <f t="shared" si="13"/>
        <v>235779.03311962032</v>
      </c>
      <c r="BL42" s="29">
        <f t="shared" si="13"/>
        <v>168189.93985025809</v>
      </c>
      <c r="BM42" s="29">
        <f t="shared" si="13"/>
        <v>0</v>
      </c>
      <c r="BN42" s="29">
        <f t="shared" si="14"/>
        <v>92947.020866850478</v>
      </c>
      <c r="BO42" s="29">
        <f t="shared" si="14"/>
        <v>166508.87761682825</v>
      </c>
      <c r="BP42" s="29">
        <f t="shared" si="14"/>
        <v>103810.07587498856</v>
      </c>
      <c r="BQ42" s="29">
        <f t="shared" si="14"/>
        <v>149960.11983783447</v>
      </c>
      <c r="BR42" s="29">
        <f t="shared" si="14"/>
        <v>559855.73639503284</v>
      </c>
      <c r="BS42" s="29">
        <f t="shared" si="14"/>
        <v>71405.047483603528</v>
      </c>
      <c r="BT42" s="29">
        <f t="shared" si="14"/>
        <v>87564.211230443107</v>
      </c>
      <c r="BU42" s="29">
        <f t="shared" si="14"/>
        <v>402158.45817818353</v>
      </c>
      <c r="BV42" s="29">
        <f t="shared" si="14"/>
        <v>225529.00006407962</v>
      </c>
      <c r="BW42" s="29">
        <f t="shared" si="14"/>
        <v>274963.84488643426</v>
      </c>
      <c r="BX42" s="29">
        <f t="shared" si="14"/>
        <v>465816.58815621765</v>
      </c>
      <c r="BY42" s="29">
        <f t="shared" si="14"/>
        <v>83781.05366613972</v>
      </c>
      <c r="BZ42" s="29">
        <f t="shared" si="14"/>
        <v>271644.16519344435</v>
      </c>
      <c r="CA42" s="29">
        <f t="shared" si="14"/>
        <v>432361.99506789667</v>
      </c>
      <c r="CB42" s="29">
        <f t="shared" si="14"/>
        <v>241920.90767951062</v>
      </c>
      <c r="CC42" s="29">
        <f t="shared" si="14"/>
        <v>702341.80120611261</v>
      </c>
      <c r="CD42" s="29">
        <f t="shared" si="16"/>
        <v>583000.82283657766</v>
      </c>
      <c r="CE42" s="56">
        <v>376041.66666666663</v>
      </c>
      <c r="CF42" s="56">
        <v>412656.25</v>
      </c>
      <c r="CG42" s="56">
        <v>438385.41666666663</v>
      </c>
      <c r="CH42" s="56">
        <v>524333.33333333337</v>
      </c>
      <c r="CI42" s="56">
        <v>498766.66666666663</v>
      </c>
      <c r="CJ42" s="56">
        <v>554666.66666666674</v>
      </c>
    </row>
    <row r="43" spans="1:88" x14ac:dyDescent="0.25">
      <c r="B43" s="92"/>
      <c r="C43" s="92"/>
      <c r="D43" s="92"/>
      <c r="E43" s="92"/>
      <c r="F43" s="92"/>
      <c r="G43" s="92"/>
      <c r="H43" s="92"/>
      <c r="I43" s="92"/>
      <c r="J43" s="92"/>
      <c r="K43" s="92"/>
      <c r="L43" s="92"/>
      <c r="M43" s="92"/>
      <c r="N43" s="92"/>
      <c r="O43" s="92"/>
      <c r="P43" s="92"/>
      <c r="Q43" s="92"/>
      <c r="R43" s="92"/>
      <c r="S43" s="92"/>
      <c r="T43" s="92"/>
      <c r="U43" s="92"/>
      <c r="V43" s="92"/>
      <c r="W43" s="92"/>
      <c r="X43" s="92"/>
      <c r="Y43" s="92"/>
      <c r="Z43" s="92"/>
      <c r="AA43" s="92"/>
      <c r="AB43" s="92"/>
      <c r="AC43" s="92"/>
      <c r="AD43" s="92"/>
      <c r="AE43" s="92"/>
      <c r="AF43" s="92"/>
      <c r="AG43" s="92"/>
      <c r="AH43" s="92"/>
      <c r="AI43" s="92"/>
      <c r="AJ43" s="92"/>
      <c r="AK43" s="92"/>
      <c r="AL43" s="92"/>
      <c r="AM43" s="92"/>
      <c r="AN43" s="92"/>
      <c r="AO43" s="20">
        <f t="shared" ref="AO43:BM43" si="17">SUM(AO40:AO42)</f>
        <v>247639</v>
      </c>
      <c r="AP43" s="20">
        <f t="shared" si="17"/>
        <v>1082032.83</v>
      </c>
      <c r="AQ43" s="20">
        <f t="shared" si="17"/>
        <v>2082936.2700000003</v>
      </c>
      <c r="AR43" s="20">
        <f t="shared" si="17"/>
        <v>656601.42999999993</v>
      </c>
      <c r="AS43" s="20">
        <f t="shared" si="17"/>
        <v>1521663.6499999997</v>
      </c>
      <c r="AT43" s="20">
        <f t="shared" si="17"/>
        <v>2001713.72</v>
      </c>
      <c r="AU43" s="20">
        <f t="shared" si="17"/>
        <v>778126.66999999993</v>
      </c>
      <c r="AV43" s="20">
        <f t="shared" si="17"/>
        <v>1114502.46</v>
      </c>
      <c r="AW43" s="20">
        <f t="shared" si="17"/>
        <v>2410437.3299999996</v>
      </c>
      <c r="AX43" s="20">
        <f t="shared" si="17"/>
        <v>1197012.17</v>
      </c>
      <c r="AY43" s="20">
        <f t="shared" si="17"/>
        <v>3090129.6699999995</v>
      </c>
      <c r="AZ43" s="20">
        <f t="shared" si="17"/>
        <v>2727130.1</v>
      </c>
      <c r="BA43" s="20">
        <f t="shared" si="17"/>
        <v>787013.33000000007</v>
      </c>
      <c r="BB43" s="20">
        <f t="shared" si="17"/>
        <v>1407691.3300000003</v>
      </c>
      <c r="BC43" s="20">
        <f t="shared" si="17"/>
        <v>3493619.6300000008</v>
      </c>
      <c r="BD43" s="20">
        <f t="shared" si="17"/>
        <v>1326125.7599999998</v>
      </c>
      <c r="BE43" s="20">
        <f t="shared" si="17"/>
        <v>3115569.38</v>
      </c>
      <c r="BF43" s="20">
        <f t="shared" si="17"/>
        <v>3062852.71</v>
      </c>
      <c r="BG43" s="20">
        <f t="shared" si="17"/>
        <v>1222005.3999999999</v>
      </c>
      <c r="BH43" s="20">
        <f t="shared" si="17"/>
        <v>1307988.67</v>
      </c>
      <c r="BI43" s="20">
        <f t="shared" si="17"/>
        <v>3483144.2399999998</v>
      </c>
      <c r="BJ43" s="20">
        <f t="shared" si="17"/>
        <v>797405.54</v>
      </c>
      <c r="BK43" s="20">
        <f t="shared" si="17"/>
        <v>3345936.4699999997</v>
      </c>
      <c r="BL43" s="20">
        <f t="shared" si="17"/>
        <v>4387455.430914999</v>
      </c>
      <c r="BM43" s="20">
        <f t="shared" si="17"/>
        <v>1103269.5</v>
      </c>
      <c r="BN43" s="20">
        <f t="shared" ref="BN43:CC43" si="18">SUM(BN40:BN42)</f>
        <v>1671254.3752009997</v>
      </c>
      <c r="BO43" s="20">
        <f t="shared" si="18"/>
        <v>2451089.1984620001</v>
      </c>
      <c r="BP43" s="20">
        <f t="shared" si="18"/>
        <v>1682250.2295600001</v>
      </c>
      <c r="BQ43" s="20">
        <f t="shared" si="18"/>
        <v>1926495.5395229999</v>
      </c>
      <c r="BR43" s="20">
        <f t="shared" si="18"/>
        <v>4502159.8801830001</v>
      </c>
      <c r="BS43" s="20">
        <f t="shared" si="18"/>
        <v>1050087.6471790001</v>
      </c>
      <c r="BT43" s="20">
        <f t="shared" si="18"/>
        <v>3354858.5839910004</v>
      </c>
      <c r="BU43" s="20">
        <f t="shared" si="18"/>
        <v>3747628.8757879999</v>
      </c>
      <c r="BV43" s="20">
        <f t="shared" si="18"/>
        <v>1583669.9761549998</v>
      </c>
      <c r="BW43" s="20">
        <f t="shared" si="18"/>
        <v>3917228.8316860003</v>
      </c>
      <c r="BX43" s="20">
        <f t="shared" si="18"/>
        <v>5351976.9263739996</v>
      </c>
      <c r="BY43" s="20">
        <f t="shared" si="18"/>
        <v>1467244.9398469999</v>
      </c>
      <c r="BZ43" s="20">
        <f t="shared" si="18"/>
        <v>2248533.3673879998</v>
      </c>
      <c r="CA43" s="20">
        <f t="shared" si="18"/>
        <v>5352865.9389379993</v>
      </c>
      <c r="CB43" s="20">
        <f t="shared" si="18"/>
        <v>2606228.0054259999</v>
      </c>
      <c r="CC43" s="20">
        <f t="shared" si="18"/>
        <v>4225782.8039159998</v>
      </c>
      <c r="CD43" s="20">
        <f>SUM(CD40:CD42)</f>
        <v>7355099.7649179995</v>
      </c>
      <c r="CE43" s="20">
        <f>CE36</f>
        <v>2594805</v>
      </c>
      <c r="CF43" s="20">
        <f t="shared" ref="CF43:CJ43" si="19">CF36</f>
        <v>6054545</v>
      </c>
      <c r="CG43" s="20">
        <f t="shared" si="19"/>
        <v>8649350</v>
      </c>
      <c r="CH43" s="20">
        <f t="shared" si="19"/>
        <v>2337778.75</v>
      </c>
      <c r="CI43" s="20">
        <f t="shared" si="19"/>
        <v>9351115</v>
      </c>
      <c r="CJ43" s="20">
        <f t="shared" si="19"/>
        <v>11688893.75</v>
      </c>
    </row>
    <row r="45" spans="1:88" x14ac:dyDescent="0.25">
      <c r="A45" s="369" t="s">
        <v>586</v>
      </c>
      <c r="B45" t="s">
        <v>699</v>
      </c>
    </row>
    <row r="47" spans="1:88" x14ac:dyDescent="0.25">
      <c r="A47" s="369" t="s">
        <v>680</v>
      </c>
      <c r="B47" t="s">
        <v>692</v>
      </c>
      <c r="C47" t="s">
        <v>690</v>
      </c>
      <c r="D47" t="s">
        <v>696</v>
      </c>
      <c r="E47" t="s">
        <v>697</v>
      </c>
      <c r="F47" t="s">
        <v>698</v>
      </c>
    </row>
    <row r="48" spans="1:88" x14ac:dyDescent="0.25">
      <c r="A48" s="5" t="s">
        <v>664</v>
      </c>
      <c r="B48" s="20">
        <v>1213822</v>
      </c>
      <c r="C48" s="20">
        <v>543796</v>
      </c>
      <c r="D48" s="20">
        <v>-142260</v>
      </c>
      <c r="E48" s="20">
        <v>-242516</v>
      </c>
      <c r="F48" s="20"/>
      <c r="G48" s="20">
        <f>SUM(B48:F48)</f>
        <v>1372842</v>
      </c>
      <c r="I48" t="s">
        <v>665</v>
      </c>
      <c r="J48" s="20">
        <f>SUM(G50:G52)</f>
        <v>95628299</v>
      </c>
    </row>
    <row r="49" spans="1:10" x14ac:dyDescent="0.25">
      <c r="A49" s="5" t="s">
        <v>314</v>
      </c>
      <c r="B49" s="20">
        <v>6384411</v>
      </c>
      <c r="C49" s="20">
        <v>2281613</v>
      </c>
      <c r="D49" s="20">
        <v>-260676</v>
      </c>
      <c r="E49" s="20">
        <v>-684326</v>
      </c>
      <c r="F49" s="20">
        <v>15000</v>
      </c>
      <c r="G49" s="20">
        <f t="shared" ref="G49:G52" si="20">SUM(B49:F49)</f>
        <v>7736022</v>
      </c>
      <c r="I49" t="s">
        <v>314</v>
      </c>
      <c r="J49" s="20">
        <f>G49</f>
        <v>7736022</v>
      </c>
    </row>
    <row r="50" spans="1:10" x14ac:dyDescent="0.25">
      <c r="A50" s="5" t="s">
        <v>668</v>
      </c>
      <c r="B50" s="20">
        <v>211796</v>
      </c>
      <c r="C50" s="20">
        <v>32442</v>
      </c>
      <c r="D50" s="20">
        <v>-2400</v>
      </c>
      <c r="E50" s="20">
        <v>-36600</v>
      </c>
      <c r="F50" s="20"/>
      <c r="G50" s="20">
        <f t="shared" si="20"/>
        <v>205238</v>
      </c>
      <c r="I50" t="s">
        <v>664</v>
      </c>
      <c r="J50" s="20">
        <f>G48</f>
        <v>1372842</v>
      </c>
    </row>
    <row r="51" spans="1:10" x14ac:dyDescent="0.25">
      <c r="A51" s="5" t="s">
        <v>663</v>
      </c>
      <c r="B51" s="20">
        <v>61429313</v>
      </c>
      <c r="C51" s="20">
        <v>46819443</v>
      </c>
      <c r="D51" s="20">
        <v>-3526471</v>
      </c>
      <c r="E51" s="20">
        <v>-9569456</v>
      </c>
      <c r="F51" s="20">
        <v>135000</v>
      </c>
      <c r="G51" s="20">
        <f t="shared" si="20"/>
        <v>95287829</v>
      </c>
    </row>
    <row r="52" spans="1:10" x14ac:dyDescent="0.25">
      <c r="A52" s="5" t="s">
        <v>667</v>
      </c>
      <c r="B52" s="20">
        <v>293034</v>
      </c>
      <c r="C52" s="20">
        <v>32940</v>
      </c>
      <c r="D52" s="20">
        <v>-40500</v>
      </c>
      <c r="E52" s="20">
        <v>-150242</v>
      </c>
      <c r="F52" s="20"/>
      <c r="G52" s="20">
        <f t="shared" si="20"/>
        <v>135232</v>
      </c>
    </row>
    <row r="53" spans="1:10" x14ac:dyDescent="0.25">
      <c r="A53" s="5" t="s">
        <v>45</v>
      </c>
      <c r="B53" s="20">
        <v>69532376</v>
      </c>
      <c r="C53" s="20">
        <v>49710234</v>
      </c>
      <c r="D53" s="20">
        <v>-3972307</v>
      </c>
      <c r="E53" s="20">
        <v>-10683140</v>
      </c>
      <c r="F53" s="20">
        <v>150000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4C0CDA-B76B-9342-921B-4C7E88CF5D33}">
  <dimension ref="A1:AF69"/>
  <sheetViews>
    <sheetView showGridLines="0" workbookViewId="0">
      <selection activeCell="V23" sqref="V23"/>
    </sheetView>
  </sheetViews>
  <sheetFormatPr defaultColWidth="11.42578125" defaultRowHeight="15" x14ac:dyDescent="0.25"/>
  <cols>
    <col min="2" max="2" width="17.7109375" bestFit="1" customWidth="1"/>
    <col min="3" max="8" width="11.85546875" customWidth="1"/>
    <col min="10" max="15" width="11.7109375" customWidth="1"/>
    <col min="17" max="17" width="14.42578125" bestFit="1" customWidth="1"/>
    <col min="18" max="19" width="12.28515625" bestFit="1" customWidth="1"/>
    <col min="20" max="20" width="14.42578125" customWidth="1"/>
    <col min="21" max="21" width="11.42578125" customWidth="1"/>
  </cols>
  <sheetData>
    <row r="1" spans="2:22" x14ac:dyDescent="0.25">
      <c r="B1" s="298"/>
      <c r="C1" s="299">
        <v>44409</v>
      </c>
      <c r="D1" s="299">
        <v>44440</v>
      </c>
      <c r="E1" s="299">
        <v>44470</v>
      </c>
      <c r="F1" s="299">
        <v>44501</v>
      </c>
      <c r="G1" s="299">
        <v>44531</v>
      </c>
      <c r="H1" s="299">
        <v>44562</v>
      </c>
    </row>
    <row r="2" spans="2:22" x14ac:dyDescent="0.25">
      <c r="B2" s="1" t="s">
        <v>607</v>
      </c>
    </row>
    <row r="3" spans="2:22" x14ac:dyDescent="0.25">
      <c r="B3" s="2" t="s">
        <v>585</v>
      </c>
      <c r="C3" s="16">
        <f>SUMPRODUCT(C$24:C$29,$J$24:$J$29)</f>
        <v>686983.71875000012</v>
      </c>
      <c r="D3" s="16">
        <f>SUMPRODUCT(D$24:D$29,$J$24:$J$29)</f>
        <v>1602962.0104166667</v>
      </c>
      <c r="E3" s="16">
        <f t="shared" ref="E3:H3" si="0">SUMPRODUCT(E$24:E$29,$J$24:$J$29)</f>
        <v>2289945.729166667</v>
      </c>
      <c r="F3" s="16">
        <f t="shared" si="0"/>
        <v>605408.39583333349</v>
      </c>
      <c r="G3" s="16">
        <f t="shared" si="0"/>
        <v>2421633.583333334</v>
      </c>
      <c r="H3" s="16">
        <f t="shared" si="0"/>
        <v>3027041.979166667</v>
      </c>
      <c r="K3" s="412" t="s">
        <v>718</v>
      </c>
      <c r="L3" s="412" t="s">
        <v>719</v>
      </c>
      <c r="M3" s="299">
        <v>44409</v>
      </c>
      <c r="N3" s="299">
        <v>44440</v>
      </c>
      <c r="O3" s="299">
        <v>44470</v>
      </c>
      <c r="P3" s="299">
        <v>44501</v>
      </c>
      <c r="Q3" s="299">
        <v>44531</v>
      </c>
      <c r="R3" s="299">
        <v>44562</v>
      </c>
      <c r="U3" s="299" t="s">
        <v>266</v>
      </c>
      <c r="V3" s="299" t="s">
        <v>267</v>
      </c>
    </row>
    <row r="4" spans="2:22" x14ac:dyDescent="0.25">
      <c r="B4" s="2" t="s">
        <v>584</v>
      </c>
      <c r="C4" s="16">
        <f>SUMPRODUCT(C$33:C$39,$J$33:$J$39)</f>
        <v>28991.25</v>
      </c>
      <c r="D4" s="16">
        <f>SUMPRODUCT(D$33:D$39,$J$33:$J$39)</f>
        <v>67646.25</v>
      </c>
      <c r="E4" s="16">
        <f t="shared" ref="E4:H4" si="1">SUMPRODUCT(E$33:E$39,$J$33:$J$39)</f>
        <v>96637.5</v>
      </c>
      <c r="F4" s="16">
        <f t="shared" si="1"/>
        <v>24319.75</v>
      </c>
      <c r="G4" s="16">
        <f t="shared" si="1"/>
        <v>97279</v>
      </c>
      <c r="H4" s="16">
        <f t="shared" si="1"/>
        <v>121598.75</v>
      </c>
    </row>
    <row r="5" spans="2:22" x14ac:dyDescent="0.25">
      <c r="B5" s="2" t="s">
        <v>583</v>
      </c>
      <c r="C5" s="16">
        <f t="shared" ref="C5:E6" si="2">M5*$K5</f>
        <v>-26696.519825506879</v>
      </c>
      <c r="D5" s="16">
        <f t="shared" si="2"/>
        <v>-41849.712731998516</v>
      </c>
      <c r="E5" s="16">
        <f t="shared" si="2"/>
        <v>-82028.286033790078</v>
      </c>
      <c r="F5" s="16">
        <f t="shared" ref="F5:H6" si="3">P5*$L5</f>
        <v>-36567.587490119142</v>
      </c>
      <c r="G5" s="16">
        <f t="shared" si="3"/>
        <v>-70554.338046361823</v>
      </c>
      <c r="H5" s="16">
        <f t="shared" si="3"/>
        <v>-98159.944042075862</v>
      </c>
      <c r="J5" t="s">
        <v>710</v>
      </c>
      <c r="K5" s="410">
        <f t="shared" ref="K5:L10" si="4">U$13</f>
        <v>0.80526326239223744</v>
      </c>
      <c r="L5" s="410">
        <f t="shared" si="4"/>
        <v>0.75412645661109923</v>
      </c>
      <c r="M5" s="16">
        <f t="shared" ref="M5:R5" si="5">SUMPRODUCT(C$52:C$55,$J$52:$J$55)</f>
        <v>-33152.536657636832</v>
      </c>
      <c r="N5" s="16">
        <f t="shared" si="5"/>
        <v>-51970.224753173759</v>
      </c>
      <c r="O5" s="16">
        <f t="shared" si="5"/>
        <v>-101865.17858781287</v>
      </c>
      <c r="P5" s="16">
        <f t="shared" si="5"/>
        <v>-48489.994177431356</v>
      </c>
      <c r="Q5" s="16">
        <f t="shared" si="5"/>
        <v>-93557.70166640167</v>
      </c>
      <c r="R5" s="16">
        <f t="shared" si="5"/>
        <v>-130163.77184694988</v>
      </c>
      <c r="T5" t="s">
        <v>710</v>
      </c>
      <c r="U5" s="20">
        <f>SUM(M5:O5)</f>
        <v>-186987.93999862345</v>
      </c>
      <c r="V5" s="20">
        <f t="shared" ref="V5:V10" si="6">SUM(P5:R5)</f>
        <v>-272211.46769078291</v>
      </c>
    </row>
    <row r="6" spans="2:22" x14ac:dyDescent="0.25">
      <c r="B6" s="2" t="s">
        <v>22</v>
      </c>
      <c r="C6" s="16">
        <f t="shared" si="2"/>
        <v>-104954.12052854933</v>
      </c>
      <c r="D6" s="16">
        <f t="shared" si="2"/>
        <v>-164527.05531912687</v>
      </c>
      <c r="E6" s="16">
        <f t="shared" si="2"/>
        <v>-322484.22923332348</v>
      </c>
      <c r="F6" s="16">
        <f t="shared" si="3"/>
        <v>-143761.02240897116</v>
      </c>
      <c r="G6" s="16">
        <f t="shared" si="3"/>
        <v>-277375.7983261504</v>
      </c>
      <c r="H6" s="16">
        <f t="shared" si="3"/>
        <v>-385903.88055841217</v>
      </c>
      <c r="J6" t="s">
        <v>711</v>
      </c>
      <c r="K6" s="410">
        <f t="shared" si="4"/>
        <v>0.80526326239223744</v>
      </c>
      <c r="L6" s="410">
        <f t="shared" si="4"/>
        <v>0.75412645661109923</v>
      </c>
      <c r="M6" s="16">
        <f t="shared" ref="M6:R6" si="7">SUMPRODUCT(C$59:C$62,$J$59:$J$62)</f>
        <v>-130335.16544236313</v>
      </c>
      <c r="N6" s="16">
        <f t="shared" si="7"/>
        <v>-204314.61734682618</v>
      </c>
      <c r="O6" s="16">
        <f t="shared" si="7"/>
        <v>-400470.55949789984</v>
      </c>
      <c r="P6" s="16">
        <f t="shared" si="7"/>
        <v>-190632.51414756861</v>
      </c>
      <c r="Q6" s="16">
        <f t="shared" si="7"/>
        <v>-367810.72444086429</v>
      </c>
      <c r="R6" s="16">
        <f t="shared" si="7"/>
        <v>-511723.03686651011</v>
      </c>
      <c r="T6" t="s">
        <v>711</v>
      </c>
      <c r="U6" s="20">
        <f t="shared" ref="U6:U10" si="8">SUM(M6:O6)</f>
        <v>-735120.34228708921</v>
      </c>
      <c r="V6" s="20">
        <f t="shared" si="6"/>
        <v>-1070166.2754549431</v>
      </c>
    </row>
    <row r="7" spans="2:22" x14ac:dyDescent="0.25">
      <c r="B7" s="2"/>
      <c r="J7" t="s">
        <v>712</v>
      </c>
      <c r="K7" s="410">
        <f t="shared" si="4"/>
        <v>0.80526326239223744</v>
      </c>
      <c r="L7" s="410">
        <f t="shared" si="4"/>
        <v>0.75412645661109923</v>
      </c>
      <c r="M7" s="16">
        <f t="shared" ref="M7:R7" si="9">SUMPRODUCT(C$52:C$55,$K$52:$K$55)</f>
        <v>-29936.833545093232</v>
      </c>
      <c r="N7" s="16">
        <f t="shared" si="9"/>
        <v>-56776.287521374587</v>
      </c>
      <c r="O7" s="16">
        <f t="shared" si="9"/>
        <v>-106813.33240990137</v>
      </c>
      <c r="P7" s="16">
        <f t="shared" si="9"/>
        <v>-25669.777913221285</v>
      </c>
      <c r="Q7" s="16">
        <f t="shared" si="9"/>
        <v>-120199.46146484501</v>
      </c>
      <c r="R7" s="16">
        <f t="shared" si="9"/>
        <v>-139448.78199150841</v>
      </c>
      <c r="T7" t="s">
        <v>712</v>
      </c>
      <c r="U7" s="20">
        <f t="shared" si="8"/>
        <v>-193526.45347636921</v>
      </c>
      <c r="V7" s="20">
        <f t="shared" si="6"/>
        <v>-285318.02136957471</v>
      </c>
    </row>
    <row r="8" spans="2:22" x14ac:dyDescent="0.25">
      <c r="B8" s="307" t="s">
        <v>608</v>
      </c>
      <c r="C8" s="211"/>
      <c r="D8" s="211"/>
      <c r="E8" s="211"/>
      <c r="F8" s="211"/>
      <c r="G8" s="211"/>
      <c r="H8" s="211"/>
      <c r="J8" t="s">
        <v>713</v>
      </c>
      <c r="K8" s="410">
        <f t="shared" si="4"/>
        <v>0.80526326239223744</v>
      </c>
      <c r="L8" s="410">
        <f t="shared" si="4"/>
        <v>0.75412645661109923</v>
      </c>
      <c r="M8" s="16">
        <f t="shared" ref="M8:R8" si="10">SUMPRODUCT(C$59:C$62,$K$59:$K$62)</f>
        <v>-65670.52645490678</v>
      </c>
      <c r="N8" s="16">
        <f t="shared" si="10"/>
        <v>-124546.52847862543</v>
      </c>
      <c r="O8" s="16">
        <f t="shared" si="10"/>
        <v>-234309.60930438424</v>
      </c>
      <c r="P8" s="16">
        <f t="shared" si="10"/>
        <v>-56310.158086778712</v>
      </c>
      <c r="Q8" s="16">
        <f t="shared" si="10"/>
        <v>-263673.90866848832</v>
      </c>
      <c r="R8" s="16">
        <f t="shared" si="10"/>
        <v>-305899.91800849163</v>
      </c>
      <c r="T8" t="s">
        <v>713</v>
      </c>
      <c r="U8" s="20">
        <f t="shared" si="8"/>
        <v>-424526.66423791647</v>
      </c>
      <c r="V8" s="20">
        <f t="shared" si="6"/>
        <v>-625883.98476375872</v>
      </c>
    </row>
    <row r="9" spans="2:22" x14ac:dyDescent="0.25">
      <c r="B9" s="306" t="s">
        <v>585</v>
      </c>
      <c r="C9" s="16">
        <f t="shared" ref="C9:H9" si="11">SUMPRODUCT(C$24:C$29,$K$24:$K$29)</f>
        <v>434653.59124999994</v>
      </c>
      <c r="D9" s="16">
        <f t="shared" si="11"/>
        <v>1014191.7129166665</v>
      </c>
      <c r="E9" s="16">
        <f t="shared" si="11"/>
        <v>1448845.3041666665</v>
      </c>
      <c r="F9" s="16">
        <f t="shared" si="11"/>
        <v>429285.77099999995</v>
      </c>
      <c r="G9" s="16">
        <f t="shared" si="11"/>
        <v>1717143.0839999998</v>
      </c>
      <c r="H9" s="16">
        <f t="shared" si="11"/>
        <v>2146428.8549999995</v>
      </c>
      <c r="J9" t="s">
        <v>714</v>
      </c>
      <c r="K9" s="410">
        <f t="shared" si="4"/>
        <v>0.80526326239223744</v>
      </c>
      <c r="L9" s="410">
        <f t="shared" si="4"/>
        <v>0.75412645661109923</v>
      </c>
      <c r="M9" s="16">
        <f t="shared" ref="M9:R9" si="12">SUMPRODUCT(C$52:C$55,$L$52:$L$55)</f>
        <v>-24033.991667225742</v>
      </c>
      <c r="N9" s="16">
        <f t="shared" si="12"/>
        <v>-54677.046309830257</v>
      </c>
      <c r="O9" s="16">
        <f t="shared" si="12"/>
        <v>-91400.808203446039</v>
      </c>
      <c r="P9" s="16">
        <f t="shared" si="12"/>
        <v>-31077.298809328193</v>
      </c>
      <c r="Q9" s="16">
        <f t="shared" si="12"/>
        <v>-102136.86462136811</v>
      </c>
      <c r="R9" s="16">
        <f t="shared" si="12"/>
        <v>-76929.224173920025</v>
      </c>
      <c r="T9" t="s">
        <v>714</v>
      </c>
      <c r="U9" s="20">
        <f t="shared" si="8"/>
        <v>-170111.84618050203</v>
      </c>
      <c r="V9" s="20">
        <f t="shared" si="6"/>
        <v>-210143.38760461632</v>
      </c>
    </row>
    <row r="10" spans="2:22" x14ac:dyDescent="0.25">
      <c r="B10" s="306" t="s">
        <v>584</v>
      </c>
      <c r="C10" s="16">
        <f t="shared" ref="C10:H10" si="13">SUMPRODUCT(C$33:C$39,$K$33:$K$39)</f>
        <v>502810.0025</v>
      </c>
      <c r="D10" s="16">
        <f t="shared" si="13"/>
        <v>1173223.3391666668</v>
      </c>
      <c r="E10" s="16">
        <f>SUMPRODUCT(E$33:E$39,$K$33:$K$39)</f>
        <v>1676033.3416666668</v>
      </c>
      <c r="F10" s="16">
        <f t="shared" si="13"/>
        <v>498947.08316666668</v>
      </c>
      <c r="G10" s="16">
        <f t="shared" si="13"/>
        <v>1995788.3326666667</v>
      </c>
      <c r="H10" s="16">
        <f t="shared" si="13"/>
        <v>2494735.4158333335</v>
      </c>
      <c r="J10" t="s">
        <v>715</v>
      </c>
      <c r="K10" s="410">
        <f t="shared" si="4"/>
        <v>0.80526326239223744</v>
      </c>
      <c r="L10" s="410">
        <f t="shared" si="4"/>
        <v>0.75412645661109923</v>
      </c>
      <c r="M10" s="16">
        <f t="shared" ref="M10:R10" si="14">SUMPRODUCT(C$59:C$62,$L$59:$L$62)</f>
        <v>-21541.717932774201</v>
      </c>
      <c r="N10" s="16">
        <f t="shared" si="14"/>
        <v>-49007.153090169741</v>
      </c>
      <c r="O10" s="16">
        <f t="shared" si="14"/>
        <v>-81922.73911083967</v>
      </c>
      <c r="P10" s="16">
        <f t="shared" si="14"/>
        <v>-27854.64912913334</v>
      </c>
      <c r="Q10" s="16">
        <f t="shared" si="14"/>
        <v>-91545.489350060452</v>
      </c>
      <c r="R10" s="16">
        <f t="shared" si="14"/>
        <v>-68951.827515259763</v>
      </c>
      <c r="T10" t="s">
        <v>715</v>
      </c>
      <c r="U10" s="29">
        <f t="shared" si="8"/>
        <v>-152471.6101337836</v>
      </c>
      <c r="V10" s="29">
        <f t="shared" si="6"/>
        <v>-188351.96599445355</v>
      </c>
    </row>
    <row r="11" spans="2:22" x14ac:dyDescent="0.25">
      <c r="B11" s="306" t="s">
        <v>583</v>
      </c>
      <c r="C11" s="16">
        <f>M7*$K7</f>
        <v>-24107.032246215145</v>
      </c>
      <c r="D11" s="16">
        <f t="shared" ref="D11:E11" si="15">N7*$K7</f>
        <v>-45719.858515981781</v>
      </c>
      <c r="E11" s="16">
        <f t="shared" si="15"/>
        <v>-86012.852523383684</v>
      </c>
      <c r="F11" s="16">
        <f>P7*$L7</f>
        <v>-19358.258659691426</v>
      </c>
      <c r="G11" s="16">
        <f t="shared" ref="G11:H11" si="16">Q7*$L7</f>
        <v>-90645.593961045932</v>
      </c>
      <c r="H11" s="16">
        <f t="shared" si="16"/>
        <v>-105162.01584198991</v>
      </c>
      <c r="U11" s="20">
        <f>SUM(U5:U10)</f>
        <v>-1862744.856314284</v>
      </c>
      <c r="V11" s="20">
        <f>SUM(V5:V10)</f>
        <v>-2652075.1028781291</v>
      </c>
    </row>
    <row r="12" spans="2:22" x14ac:dyDescent="0.25">
      <c r="B12" s="306" t="s">
        <v>22</v>
      </c>
      <c r="C12" s="16">
        <f t="shared" ref="C12:E12" si="17">M8*$K8</f>
        <v>-52882.062376093971</v>
      </c>
      <c r="D12" s="16">
        <f t="shared" si="17"/>
        <v>-100292.74384232562</v>
      </c>
      <c r="E12" s="16">
        <f t="shared" si="17"/>
        <v>-188680.920398299</v>
      </c>
      <c r="F12" s="16">
        <f>P8*$L8</f>
        <v>-42464.979989193263</v>
      </c>
      <c r="G12" s="16">
        <f t="shared" ref="G12:H12" si="18">Q8*$L8</f>
        <v>-198843.4704449657</v>
      </c>
      <c r="H12" s="16">
        <f t="shared" si="18"/>
        <v>-230687.22124536958</v>
      </c>
      <c r="T12" s="411" t="s">
        <v>717</v>
      </c>
      <c r="U12" s="249">
        <f>-1500000</f>
        <v>-1500000</v>
      </c>
      <c r="V12" s="249">
        <v>-2000000</v>
      </c>
    </row>
    <row r="13" spans="2:22" x14ac:dyDescent="0.25">
      <c r="B13" s="2"/>
      <c r="C13" s="16"/>
      <c r="D13" s="16"/>
      <c r="E13" s="16"/>
      <c r="F13" s="16"/>
      <c r="G13" s="16"/>
      <c r="H13" s="16"/>
      <c r="T13" t="s">
        <v>716</v>
      </c>
      <c r="U13" s="19">
        <f>U12/U11</f>
        <v>0.80526326239223744</v>
      </c>
      <c r="V13" s="19">
        <f>V12/V11</f>
        <v>0.75412645661109923</v>
      </c>
    </row>
    <row r="14" spans="2:22" x14ac:dyDescent="0.25">
      <c r="B14" s="307" t="s">
        <v>313</v>
      </c>
      <c r="C14" s="211"/>
      <c r="D14" s="211"/>
      <c r="E14" s="211"/>
      <c r="F14" s="211"/>
      <c r="G14" s="211"/>
      <c r="H14" s="211"/>
    </row>
    <row r="15" spans="2:22" x14ac:dyDescent="0.25">
      <c r="B15" s="306" t="s">
        <v>585</v>
      </c>
      <c r="C15" s="16">
        <f t="shared" ref="C15:H15" si="19">SUMPRODUCT(C$24:C$29,$L$24:$L$29)</f>
        <v>208261.53749999998</v>
      </c>
      <c r="D15" s="16">
        <f t="shared" si="19"/>
        <v>485943.58749999991</v>
      </c>
      <c r="E15" s="16">
        <f t="shared" si="19"/>
        <v>694205.12499999988</v>
      </c>
      <c r="F15" s="16">
        <f t="shared" si="19"/>
        <v>179011.3833333333</v>
      </c>
      <c r="G15" s="16">
        <f t="shared" si="19"/>
        <v>716045.53333333321</v>
      </c>
      <c r="H15" s="16">
        <f t="shared" si="19"/>
        <v>895056.9166666664</v>
      </c>
    </row>
    <row r="16" spans="2:22" x14ac:dyDescent="0.25">
      <c r="B16" s="306" t="s">
        <v>584</v>
      </c>
      <c r="C16" s="16">
        <f t="shared" ref="C16:H16" si="20">SUMPRODUCT(C$33:C$39,$L$33:$L$39)</f>
        <v>733104.9</v>
      </c>
      <c r="D16" s="16">
        <f t="shared" si="20"/>
        <v>1710578.1</v>
      </c>
      <c r="E16" s="16">
        <f t="shared" si="20"/>
        <v>2443683</v>
      </c>
      <c r="F16" s="16">
        <f t="shared" si="20"/>
        <v>600806.3666666667</v>
      </c>
      <c r="G16" s="16">
        <f t="shared" si="20"/>
        <v>2403225.4666666668</v>
      </c>
      <c r="H16" s="16">
        <f t="shared" si="20"/>
        <v>3004031.833333333</v>
      </c>
    </row>
    <row r="17" spans="2:32" x14ac:dyDescent="0.25">
      <c r="B17" s="306" t="s">
        <v>583</v>
      </c>
      <c r="C17" s="16">
        <f>M9*$K9</f>
        <v>-19353.690538258052</v>
      </c>
      <c r="D17" s="16">
        <f t="shared" ref="D17:E17" si="21">N9*$K9</f>
        <v>-44029.416689425358</v>
      </c>
      <c r="E17" s="16">
        <f t="shared" si="21"/>
        <v>-73601.712999194133</v>
      </c>
      <c r="F17" s="16">
        <f>P9*$L9</f>
        <v>-23436.213232123002</v>
      </c>
      <c r="G17" s="16">
        <f t="shared" ref="G17:H17" si="22">Q9*$L9</f>
        <v>-77024.111806279878</v>
      </c>
      <c r="H17" s="16">
        <f t="shared" si="22"/>
        <v>-58014.363236119229</v>
      </c>
    </row>
    <row r="18" spans="2:32" x14ac:dyDescent="0.25">
      <c r="B18" s="306" t="s">
        <v>22</v>
      </c>
      <c r="C18" s="16">
        <f>M10*$K10</f>
        <v>-17346.754060079118</v>
      </c>
      <c r="D18" s="16">
        <f t="shared" ref="D18:E18" si="23">N10*$K10</f>
        <v>-39463.659977945907</v>
      </c>
      <c r="E18" s="16">
        <f t="shared" si="23"/>
        <v>-65969.372160502899</v>
      </c>
      <c r="F18" s="16">
        <f t="shared" ref="F18:H18" si="24">P10*$L10</f>
        <v>-21005.927847898765</v>
      </c>
      <c r="G18" s="16">
        <f t="shared" si="24"/>
        <v>-69036.875502290204</v>
      </c>
      <c r="H18" s="16">
        <f t="shared" si="24"/>
        <v>-51998.397360942537</v>
      </c>
      <c r="R18" s="305" t="s">
        <v>266</v>
      </c>
      <c r="S18" s="305" t="s">
        <v>267</v>
      </c>
    </row>
    <row r="19" spans="2:32" x14ac:dyDescent="0.25">
      <c r="B19" s="2"/>
      <c r="C19" s="16"/>
      <c r="D19" s="16"/>
      <c r="E19" s="16"/>
      <c r="F19" s="16"/>
      <c r="G19" s="16"/>
      <c r="H19" s="16"/>
      <c r="Q19" s="209" t="s">
        <v>795</v>
      </c>
      <c r="R19" s="20">
        <f>SUM(C25:E26,C34:E35)</f>
        <v>3100000</v>
      </c>
      <c r="S19" s="20">
        <f>SUM(F25:H26,F34:H35)</f>
        <v>4584999.9999999991</v>
      </c>
      <c r="T19" t="s">
        <v>799</v>
      </c>
    </row>
    <row r="20" spans="2:32" ht="15.75" thickBot="1" x14ac:dyDescent="0.3">
      <c r="B20" s="2"/>
      <c r="C20" s="16"/>
      <c r="D20" s="16"/>
      <c r="E20" s="16"/>
      <c r="F20" s="16"/>
      <c r="G20" s="90">
        <v>37176487.500000007</v>
      </c>
      <c r="H20" s="236">
        <f>SUM(C3:H18)</f>
        <v>37176487.5</v>
      </c>
      <c r="I20" s="20">
        <f>H20-G20</f>
        <v>0</v>
      </c>
      <c r="Q20" s="209" t="s">
        <v>300</v>
      </c>
      <c r="R20" s="20">
        <f>SUM(C28:E28,C37:E37)</f>
        <v>827291.66666666674</v>
      </c>
      <c r="S20" s="20">
        <f>SUM(F28:H28,F37:H37)</f>
        <v>1500208.3333333335</v>
      </c>
      <c r="T20" t="s">
        <v>796</v>
      </c>
    </row>
    <row r="21" spans="2:32" ht="15.75" thickTop="1" x14ac:dyDescent="0.25">
      <c r="Q21" s="209" t="s">
        <v>316</v>
      </c>
      <c r="R21" s="20">
        <f>SUM(C38:E38)*K38</f>
        <v>1739475</v>
      </c>
      <c r="S21" s="20">
        <f>SUM(F38:H38)*K38</f>
        <v>2188777.5</v>
      </c>
      <c r="T21" t="s">
        <v>798</v>
      </c>
      <c r="Z21" s="7" t="s">
        <v>800</v>
      </c>
    </row>
    <row r="22" spans="2:32" s="201" customFormat="1" x14ac:dyDescent="0.25">
      <c r="B22" s="298"/>
      <c r="C22" s="299">
        <v>44409</v>
      </c>
      <c r="D22" s="299">
        <v>44440</v>
      </c>
      <c r="E22" s="299">
        <v>44470</v>
      </c>
      <c r="F22" s="299">
        <v>44501</v>
      </c>
      <c r="G22" s="299">
        <v>44531</v>
      </c>
      <c r="H22" s="299">
        <v>44562</v>
      </c>
      <c r="Q22" s="209" t="s">
        <v>2</v>
      </c>
      <c r="R22" s="425">
        <f>SUM(C29:E29)*K29</f>
        <v>582990.625</v>
      </c>
      <c r="S22" s="425">
        <f>SUM(F29:H29)*K29</f>
        <v>1008342.7083333334</v>
      </c>
      <c r="T22" s="378" t="s">
        <v>797</v>
      </c>
    </row>
    <row r="23" spans="2:32" x14ac:dyDescent="0.25">
      <c r="B23" s="1" t="s">
        <v>227</v>
      </c>
      <c r="C23" s="300" t="s">
        <v>255</v>
      </c>
      <c r="D23" s="300" t="s">
        <v>255</v>
      </c>
      <c r="E23" s="300" t="s">
        <v>255</v>
      </c>
      <c r="F23" s="300" t="s">
        <v>255</v>
      </c>
      <c r="G23" s="300" t="s">
        <v>255</v>
      </c>
      <c r="H23" s="300" t="s">
        <v>255</v>
      </c>
      <c r="J23" s="300" t="s">
        <v>607</v>
      </c>
      <c r="K23" s="300" t="s">
        <v>608</v>
      </c>
      <c r="L23" s="300" t="s">
        <v>313</v>
      </c>
      <c r="M23" s="300" t="s">
        <v>308</v>
      </c>
      <c r="O23" s="304" t="s">
        <v>613</v>
      </c>
      <c r="R23" s="20">
        <f>SUM(R19:R22)</f>
        <v>6249757.291666667</v>
      </c>
      <c r="S23" s="20">
        <f>SUM(S19:S22)</f>
        <v>9282328.541666666</v>
      </c>
      <c r="Z23" s="1" t="s">
        <v>227</v>
      </c>
      <c r="AA23" s="300" t="s">
        <v>255</v>
      </c>
      <c r="AB23" s="300" t="s">
        <v>255</v>
      </c>
      <c r="AC23" s="300" t="s">
        <v>255</v>
      </c>
      <c r="AD23" s="300" t="s">
        <v>255</v>
      </c>
      <c r="AE23" s="300" t="s">
        <v>255</v>
      </c>
      <c r="AF23" s="300" t="s">
        <v>255</v>
      </c>
    </row>
    <row r="24" spans="2:32" x14ac:dyDescent="0.25">
      <c r="B24" s="209" t="s">
        <v>607</v>
      </c>
      <c r="C24" s="16">
        <f>AA24+R43</f>
        <v>674491.06250000012</v>
      </c>
      <c r="D24" s="16">
        <f t="shared" ref="D24:H24" si="25">AB24+S43</f>
        <v>1573812.4791666667</v>
      </c>
      <c r="E24" s="16">
        <f t="shared" si="25"/>
        <v>2248303.541666667</v>
      </c>
      <c r="F24" s="16">
        <f t="shared" si="25"/>
        <v>591003.50000000012</v>
      </c>
      <c r="G24" s="16">
        <f t="shared" si="25"/>
        <v>2364014.0000000005</v>
      </c>
      <c r="H24" s="16">
        <f t="shared" si="25"/>
        <v>2955017.5000000005</v>
      </c>
      <c r="J24" s="303">
        <v>1</v>
      </c>
      <c r="K24" s="303"/>
      <c r="L24" s="303"/>
      <c r="M24" s="19">
        <f>SUM(J24:L24)</f>
        <v>1</v>
      </c>
      <c r="Z24" s="209" t="s">
        <v>607</v>
      </c>
      <c r="AA24" s="16">
        <v>575764.06250000012</v>
      </c>
      <c r="AB24" s="16">
        <v>1343449.4791666667</v>
      </c>
      <c r="AC24" s="16">
        <v>1919213.541666667</v>
      </c>
      <c r="AD24" s="16">
        <v>535012.50000000012</v>
      </c>
      <c r="AE24" s="16">
        <v>2140050.0000000005</v>
      </c>
      <c r="AF24" s="16">
        <v>2675062.5000000005</v>
      </c>
    </row>
    <row r="25" spans="2:32" x14ac:dyDescent="0.25">
      <c r="B25" s="209" t="s">
        <v>608</v>
      </c>
      <c r="C25" s="16">
        <f>AA25+R41</f>
        <v>142827.4960570125</v>
      </c>
      <c r="D25" s="16">
        <f t="shared" ref="D25:H25" si="26">AB25+S41</f>
        <v>333264.15746636246</v>
      </c>
      <c r="E25" s="16">
        <f t="shared" si="26"/>
        <v>476091.65352337493</v>
      </c>
      <c r="F25" s="16">
        <f t="shared" si="26"/>
        <v>147369.25948895319</v>
      </c>
      <c r="G25" s="16">
        <f t="shared" si="26"/>
        <v>589477.03795581276</v>
      </c>
      <c r="H25" s="16">
        <f t="shared" si="26"/>
        <v>736846.29744476592</v>
      </c>
      <c r="J25" s="303"/>
      <c r="K25" s="303">
        <v>1</v>
      </c>
      <c r="L25" s="303"/>
      <c r="M25" s="19">
        <f t="shared" ref="M25:M29" si="27">SUM(J25:L25)</f>
        <v>1</v>
      </c>
      <c r="Q25" s="435" t="s">
        <v>795</v>
      </c>
      <c r="R25" s="437">
        <v>4745450</v>
      </c>
      <c r="S25" s="437">
        <v>5984775.0000000009</v>
      </c>
      <c r="T25" t="s">
        <v>802</v>
      </c>
      <c r="Z25" s="209" t="s">
        <v>608</v>
      </c>
      <c r="AA25" s="16">
        <v>218638.94876249999</v>
      </c>
      <c r="AB25" s="16">
        <v>510157.54711249995</v>
      </c>
      <c r="AC25" s="16">
        <v>728796.49587499991</v>
      </c>
      <c r="AD25" s="16">
        <v>192360.27479999998</v>
      </c>
      <c r="AE25" s="16">
        <v>769441.09919999994</v>
      </c>
      <c r="AF25" s="16">
        <v>961801.37399999995</v>
      </c>
    </row>
    <row r="26" spans="2:32" x14ac:dyDescent="0.25">
      <c r="B26" s="209" t="s">
        <v>610</v>
      </c>
      <c r="C26" s="16">
        <f>AA26+R42</f>
        <v>198172.81394298747</v>
      </c>
      <c r="D26" s="16">
        <f t="shared" ref="D26:H26" si="28">AB26+S42</f>
        <v>462403.23253363738</v>
      </c>
      <c r="E26" s="16">
        <f t="shared" si="28"/>
        <v>660576.04647662491</v>
      </c>
      <c r="F26" s="16">
        <f t="shared" si="28"/>
        <v>173581.19901104673</v>
      </c>
      <c r="G26" s="16">
        <f t="shared" si="28"/>
        <v>694324.79604418692</v>
      </c>
      <c r="H26" s="16">
        <f t="shared" si="28"/>
        <v>867905.99505523383</v>
      </c>
      <c r="J26" s="303"/>
      <c r="K26" s="303">
        <v>1</v>
      </c>
      <c r="L26" s="303"/>
      <c r="M26" s="19">
        <f t="shared" si="27"/>
        <v>1</v>
      </c>
      <c r="S26" s="432"/>
      <c r="Z26" s="209" t="s">
        <v>610</v>
      </c>
      <c r="AA26" s="16">
        <v>303361.02578249999</v>
      </c>
      <c r="AB26" s="16">
        <v>707842.39349249983</v>
      </c>
      <c r="AC26" s="16">
        <v>1011203.4192749999</v>
      </c>
      <c r="AD26" s="16">
        <v>226574.57367749998</v>
      </c>
      <c r="AE26" s="16">
        <v>906298.29470999993</v>
      </c>
      <c r="AF26" s="16">
        <v>1132872.8683875001</v>
      </c>
    </row>
    <row r="27" spans="2:32" x14ac:dyDescent="0.25">
      <c r="B27" s="209" t="s">
        <v>313</v>
      </c>
      <c r="C27" s="16">
        <f>AA27+R44</f>
        <v>183276.22499999998</v>
      </c>
      <c r="D27" s="16">
        <f t="shared" ref="D27:H27" si="29">AB27+S44</f>
        <v>427644.52499999991</v>
      </c>
      <c r="E27" s="16">
        <f t="shared" si="29"/>
        <v>610920.74999999988</v>
      </c>
      <c r="F27" s="16">
        <f t="shared" si="29"/>
        <v>150201.59166666665</v>
      </c>
      <c r="G27" s="16">
        <f t="shared" si="29"/>
        <v>600806.36666666658</v>
      </c>
      <c r="H27" s="16">
        <f t="shared" si="29"/>
        <v>751007.95833333302</v>
      </c>
      <c r="J27" s="303"/>
      <c r="K27" s="303"/>
      <c r="L27" s="303">
        <v>1</v>
      </c>
      <c r="M27" s="19">
        <f t="shared" si="27"/>
        <v>1</v>
      </c>
      <c r="R27" s="305" t="s">
        <v>266</v>
      </c>
      <c r="S27" s="305" t="s">
        <v>267</v>
      </c>
      <c r="Z27" s="209" t="s">
        <v>313</v>
      </c>
      <c r="AA27" s="16">
        <v>153658.12499999997</v>
      </c>
      <c r="AB27" s="16">
        <v>358535.62499999994</v>
      </c>
      <c r="AC27" s="16">
        <v>512193.74999999988</v>
      </c>
      <c r="AD27" s="16">
        <v>133404.29166666663</v>
      </c>
      <c r="AE27" s="16">
        <v>533617.16666666651</v>
      </c>
      <c r="AF27" s="16">
        <v>667021.45833333302</v>
      </c>
    </row>
    <row r="28" spans="2:32" x14ac:dyDescent="0.25">
      <c r="B28" s="209" t="s">
        <v>300</v>
      </c>
      <c r="C28" s="16">
        <f t="shared" ref="C28:C29" si="30">AA28</f>
        <v>6204.6875000000055</v>
      </c>
      <c r="D28" s="16">
        <f t="shared" ref="D28:D29" si="31">AB28</f>
        <v>14477.604166666679</v>
      </c>
      <c r="E28" s="16">
        <f t="shared" ref="E28:E29" si="32">AC28</f>
        <v>20682.291666666686</v>
      </c>
      <c r="F28" s="16">
        <f t="shared" ref="F28:F29" si="33">AD28</f>
        <v>7501.0416666666742</v>
      </c>
      <c r="G28" s="16">
        <f t="shared" ref="G28:G29" si="34">AE28</f>
        <v>30004.166666666697</v>
      </c>
      <c r="H28" s="16">
        <f t="shared" ref="H28:H29" si="35">AF28</f>
        <v>37505.208333333372</v>
      </c>
      <c r="J28" s="303"/>
      <c r="K28" s="303">
        <v>1</v>
      </c>
      <c r="L28" s="303"/>
      <c r="M28" s="19">
        <f t="shared" si="27"/>
        <v>1</v>
      </c>
      <c r="R28" s="433">
        <v>3100000</v>
      </c>
      <c r="S28" s="433">
        <v>4585000</v>
      </c>
      <c r="T28" s="304" t="s">
        <v>803</v>
      </c>
      <c r="Z28" s="209" t="s">
        <v>300</v>
      </c>
      <c r="AA28" s="16">
        <v>6204.6875000000055</v>
      </c>
      <c r="AB28" s="16">
        <v>14477.604166666679</v>
      </c>
      <c r="AC28" s="16">
        <v>20682.291666666686</v>
      </c>
      <c r="AD28" s="16">
        <v>7501.0416666666742</v>
      </c>
      <c r="AE28" s="16">
        <v>30004.166666666697</v>
      </c>
      <c r="AF28" s="16">
        <v>37505.208333333372</v>
      </c>
    </row>
    <row r="29" spans="2:32" x14ac:dyDescent="0.25">
      <c r="B29" s="209" t="s">
        <v>2</v>
      </c>
      <c r="C29" s="27">
        <f t="shared" si="30"/>
        <v>124926.5625</v>
      </c>
      <c r="D29" s="27">
        <f t="shared" si="31"/>
        <v>291495.3125</v>
      </c>
      <c r="E29" s="27">
        <f t="shared" si="32"/>
        <v>416421.875</v>
      </c>
      <c r="F29" s="27">
        <f t="shared" si="33"/>
        <v>144048.95833333334</v>
      </c>
      <c r="G29" s="27">
        <f t="shared" si="34"/>
        <v>576195.83333333337</v>
      </c>
      <c r="H29" s="27">
        <f t="shared" si="35"/>
        <v>720244.79166666674</v>
      </c>
      <c r="J29" s="303">
        <v>0.1</v>
      </c>
      <c r="K29" s="303">
        <v>0.7</v>
      </c>
      <c r="L29" s="303">
        <v>0.2</v>
      </c>
      <c r="M29" s="19">
        <f t="shared" si="27"/>
        <v>1</v>
      </c>
      <c r="O29" t="s">
        <v>612</v>
      </c>
      <c r="Q29" t="s">
        <v>795</v>
      </c>
      <c r="R29" s="122">
        <f>R28-R25</f>
        <v>-1645450</v>
      </c>
      <c r="S29" s="122">
        <f>S28-S25</f>
        <v>-1399775.0000000009</v>
      </c>
      <c r="T29" s="305"/>
      <c r="Z29" s="209" t="s">
        <v>2</v>
      </c>
      <c r="AA29" s="27">
        <v>124926.5625</v>
      </c>
      <c r="AB29" s="27">
        <v>291495.3125</v>
      </c>
      <c r="AC29" s="27">
        <v>416421.875</v>
      </c>
      <c r="AD29" s="27">
        <v>144048.95833333334</v>
      </c>
      <c r="AE29" s="27">
        <v>576195.83333333337</v>
      </c>
      <c r="AF29" s="27">
        <v>720244.79166666674</v>
      </c>
    </row>
    <row r="30" spans="2:32" x14ac:dyDescent="0.25">
      <c r="C30" s="20">
        <v>1382553.4120450001</v>
      </c>
      <c r="D30" s="20">
        <v>3225957.9614383331</v>
      </c>
      <c r="E30" s="20">
        <v>4608511.3734833337</v>
      </c>
      <c r="F30" s="20">
        <v>1238901.6401441668</v>
      </c>
      <c r="G30" s="20">
        <v>4955606.5605766671</v>
      </c>
      <c r="H30" s="20">
        <v>6194508.2007208336</v>
      </c>
      <c r="Q30" t="s">
        <v>607</v>
      </c>
      <c r="R30" s="243">
        <f>R$29*$T30</f>
        <v>-658180</v>
      </c>
      <c r="S30" s="243">
        <f t="shared" ref="S30:S31" si="36">S$29*$T30</f>
        <v>-559910.00000000035</v>
      </c>
      <c r="T30" s="434">
        <v>0.4</v>
      </c>
      <c r="AA30" s="20">
        <f>SUM(AA24:AA29)</f>
        <v>1382553.4120450001</v>
      </c>
      <c r="AB30" s="20">
        <f t="shared" ref="AB30:AF30" si="37">SUM(AB24:AB29)</f>
        <v>3225957.9614383331</v>
      </c>
      <c r="AC30" s="20">
        <f t="shared" si="37"/>
        <v>4608511.3734833337</v>
      </c>
      <c r="AD30" s="20">
        <f t="shared" si="37"/>
        <v>1238901.6401441668</v>
      </c>
      <c r="AE30" s="20">
        <f t="shared" si="37"/>
        <v>4955606.5605766671</v>
      </c>
      <c r="AF30" s="20">
        <f t="shared" si="37"/>
        <v>6194508.2007208336</v>
      </c>
    </row>
    <row r="31" spans="2:32" x14ac:dyDescent="0.25">
      <c r="Q31" t="s">
        <v>313</v>
      </c>
      <c r="R31" s="16">
        <f t="shared" ref="R31" si="38">R$29*$T31</f>
        <v>-987270</v>
      </c>
      <c r="S31" s="16">
        <f t="shared" si="36"/>
        <v>-839865.00000000058</v>
      </c>
      <c r="T31" s="434">
        <f>1-T30</f>
        <v>0.6</v>
      </c>
    </row>
    <row r="32" spans="2:32" x14ac:dyDescent="0.25">
      <c r="B32" s="301" t="s">
        <v>584</v>
      </c>
      <c r="Z32" s="301" t="s">
        <v>584</v>
      </c>
    </row>
    <row r="33" spans="2:32" x14ac:dyDescent="0.25">
      <c r="B33" s="209" t="s">
        <v>607</v>
      </c>
      <c r="C33" s="20">
        <f t="shared" ref="C33:C39" si="39">AA33</f>
        <v>0</v>
      </c>
      <c r="D33" s="20">
        <f t="shared" ref="D33" si="40">AB33</f>
        <v>0</v>
      </c>
      <c r="E33" s="20">
        <f t="shared" ref="E33" si="41">AC33</f>
        <v>0</v>
      </c>
      <c r="F33" s="20">
        <f t="shared" ref="F33" si="42">AD33</f>
        <v>0</v>
      </c>
      <c r="G33" s="20">
        <f t="shared" ref="G33" si="43">AE33</f>
        <v>0</v>
      </c>
      <c r="H33" s="20">
        <f t="shared" ref="H33" si="44">AF33</f>
        <v>0</v>
      </c>
      <c r="J33" s="303">
        <v>1</v>
      </c>
      <c r="K33" s="303"/>
      <c r="L33" s="303"/>
      <c r="M33" s="19">
        <f t="shared" ref="M33:M38" si="45">SUM(J33:L33)</f>
        <v>1</v>
      </c>
      <c r="Z33" s="209" t="s">
        <v>607</v>
      </c>
      <c r="AA33" s="20">
        <v>0</v>
      </c>
      <c r="AB33" s="20">
        <v>0</v>
      </c>
      <c r="AC33" s="20">
        <v>0</v>
      </c>
      <c r="AD33" s="20">
        <v>0</v>
      </c>
      <c r="AE33" s="20">
        <v>0</v>
      </c>
      <c r="AF33" s="20">
        <v>0</v>
      </c>
    </row>
    <row r="34" spans="2:32" x14ac:dyDescent="0.25">
      <c r="B34" s="209" t="s">
        <v>608</v>
      </c>
      <c r="C34" s="20">
        <f>AA34+R47</f>
        <v>51937.094234740653</v>
      </c>
      <c r="D34" s="20">
        <f t="shared" ref="D34:H34" si="46">AB34+S47</f>
        <v>121186.55321439487</v>
      </c>
      <c r="E34" s="20">
        <f t="shared" si="46"/>
        <v>173123.64744913552</v>
      </c>
      <c r="F34" s="20">
        <f t="shared" si="46"/>
        <v>63157.953313533093</v>
      </c>
      <c r="G34" s="20">
        <f t="shared" si="46"/>
        <v>252631.81325413237</v>
      </c>
      <c r="H34" s="20">
        <f t="shared" si="46"/>
        <v>315789.76656766544</v>
      </c>
      <c r="J34" s="303"/>
      <c r="K34" s="303">
        <v>1</v>
      </c>
      <c r="L34" s="303"/>
      <c r="M34" s="19">
        <f t="shared" si="45"/>
        <v>1</v>
      </c>
      <c r="R34" s="299">
        <v>44409</v>
      </c>
      <c r="S34" s="299">
        <v>44440</v>
      </c>
      <c r="T34" s="299">
        <v>44470</v>
      </c>
      <c r="U34" s="299">
        <v>44501</v>
      </c>
      <c r="V34" s="299">
        <v>44531</v>
      </c>
      <c r="W34" s="299">
        <v>44562</v>
      </c>
      <c r="Z34" s="209" t="s">
        <v>608</v>
      </c>
      <c r="AA34" s="20">
        <v>79504.801237500011</v>
      </c>
      <c r="AB34" s="20">
        <v>185511.20288750005</v>
      </c>
      <c r="AC34" s="20">
        <v>265016.00412500009</v>
      </c>
      <c r="AD34" s="20">
        <v>82439.725200000015</v>
      </c>
      <c r="AE34" s="20">
        <v>329758.90080000006</v>
      </c>
      <c r="AF34" s="20">
        <v>412198.62600000005</v>
      </c>
    </row>
    <row r="35" spans="2:32" x14ac:dyDescent="0.25">
      <c r="B35" s="209" t="s">
        <v>610</v>
      </c>
      <c r="C35" s="20">
        <f>AA35+R48</f>
        <v>72062.595765259364</v>
      </c>
      <c r="D35" s="20">
        <f t="shared" ref="D35:H35" si="47">AB35+S48</f>
        <v>168146.05678560521</v>
      </c>
      <c r="E35" s="20">
        <f t="shared" si="47"/>
        <v>240208.65255086462</v>
      </c>
      <c r="F35" s="20">
        <f t="shared" si="47"/>
        <v>74391.588186466921</v>
      </c>
      <c r="G35" s="20">
        <f t="shared" si="47"/>
        <v>297566.35274586768</v>
      </c>
      <c r="H35" s="20">
        <f t="shared" si="47"/>
        <v>371957.94093233446</v>
      </c>
      <c r="J35" s="303"/>
      <c r="K35" s="303">
        <v>1</v>
      </c>
      <c r="L35" s="303"/>
      <c r="M35" s="19">
        <f t="shared" si="45"/>
        <v>1</v>
      </c>
      <c r="Q35" t="s">
        <v>608</v>
      </c>
      <c r="R35" s="16">
        <f>SUM(AA25,AA34)/SUM($AA$25:$AC$26,$AA$34:$AC$35)*$R$29</f>
        <v>-103379.15970824685</v>
      </c>
      <c r="S35" s="16">
        <f t="shared" ref="S35:T35" si="48">SUM(AB25,AB34)/SUM($AA$25:$AC$26,$AA$34:$AC$35)*$R$29</f>
        <v>-241218.03931924264</v>
      </c>
      <c r="T35" s="16">
        <f t="shared" si="48"/>
        <v>-344597.19902748952</v>
      </c>
      <c r="U35" s="16">
        <f>SUM(AD25,AD34)/SUM($AD$25:$AF$26,$AD$34:$AF$35)*$S$29</f>
        <v>-64272.787197513724</v>
      </c>
      <c r="V35" s="16">
        <f t="shared" ref="V35:W35" si="49">SUM(AE25,AE34)/SUM($AD$25:$AF$26,$AD$34:$AF$35)*$S$29</f>
        <v>-257091.1487900549</v>
      </c>
      <c r="W35" s="16">
        <f t="shared" si="49"/>
        <v>-321363.93598756864</v>
      </c>
      <c r="Z35" s="209" t="s">
        <v>610</v>
      </c>
      <c r="AA35" s="20">
        <v>110312.72421750001</v>
      </c>
      <c r="AB35" s="20">
        <v>257396.35650750005</v>
      </c>
      <c r="AC35" s="20">
        <v>367709.08072500012</v>
      </c>
      <c r="AD35" s="20">
        <v>97102.926322500018</v>
      </c>
      <c r="AE35" s="20">
        <v>388411.70529000007</v>
      </c>
      <c r="AF35" s="20">
        <v>485514.63161249994</v>
      </c>
    </row>
    <row r="36" spans="2:32" x14ac:dyDescent="0.25">
      <c r="B36" s="209" t="s">
        <v>313</v>
      </c>
      <c r="C36" s="20">
        <f>AA36+R50</f>
        <v>733104.9</v>
      </c>
      <c r="D36" s="20">
        <f t="shared" ref="D36:H36" si="50">AB36+S50</f>
        <v>1710578.1</v>
      </c>
      <c r="E36" s="20">
        <f t="shared" si="50"/>
        <v>2443683</v>
      </c>
      <c r="F36" s="20">
        <f t="shared" si="50"/>
        <v>600806.3666666667</v>
      </c>
      <c r="G36" s="20">
        <f t="shared" si="50"/>
        <v>2403225.4666666668</v>
      </c>
      <c r="H36" s="20">
        <f t="shared" si="50"/>
        <v>3004031.833333333</v>
      </c>
      <c r="J36" s="303"/>
      <c r="K36" s="303"/>
      <c r="L36" s="303">
        <v>1</v>
      </c>
      <c r="M36" s="19">
        <f t="shared" si="45"/>
        <v>1</v>
      </c>
      <c r="Q36" t="s">
        <v>610</v>
      </c>
      <c r="R36" s="16">
        <f t="shared" ref="R36:T36" si="51">SUM(AA26,AA35)/SUM($AA$25:$AC$26,$AA$34:$AC$35)*$R$29</f>
        <v>-143438.34029175315</v>
      </c>
      <c r="S36" s="16">
        <f t="shared" si="51"/>
        <v>-334689.4606807573</v>
      </c>
      <c r="T36" s="16">
        <f t="shared" si="51"/>
        <v>-478127.80097251054</v>
      </c>
      <c r="U36" s="16">
        <f t="shared" ref="U36:W36" si="52">SUM(AD26,AD35)/SUM($AD$25:$AF$26,$AD$34:$AF$35)*$S$29</f>
        <v>-75704.712802486349</v>
      </c>
      <c r="V36" s="16">
        <f t="shared" si="52"/>
        <v>-302818.85120994539</v>
      </c>
      <c r="W36" s="16">
        <f t="shared" si="52"/>
        <v>-378523.56401243177</v>
      </c>
      <c r="Z36" s="209" t="s">
        <v>313</v>
      </c>
      <c r="AA36" s="20">
        <v>614632.5</v>
      </c>
      <c r="AB36" s="20">
        <v>1434142.5</v>
      </c>
      <c r="AC36" s="20">
        <v>2048775</v>
      </c>
      <c r="AD36" s="20">
        <v>533617.16666666663</v>
      </c>
      <c r="AE36" s="20">
        <v>2134468.6666666665</v>
      </c>
      <c r="AF36" s="20">
        <v>2668085.833333333</v>
      </c>
    </row>
    <row r="37" spans="2:32" x14ac:dyDescent="0.25">
      <c r="B37" s="209" t="s">
        <v>300</v>
      </c>
      <c r="C37" s="20">
        <f t="shared" si="39"/>
        <v>117889.0625</v>
      </c>
      <c r="D37" s="20">
        <f t="shared" ref="D37:D39" si="53">AB37</f>
        <v>275074.47916666663</v>
      </c>
      <c r="E37" s="20">
        <f t="shared" ref="E37:E39" si="54">AC37</f>
        <v>392963.54166666669</v>
      </c>
      <c r="F37" s="20">
        <f t="shared" ref="F37:F39" si="55">AD37</f>
        <v>142519.79166666666</v>
      </c>
      <c r="G37" s="20">
        <f t="shared" ref="G37:G39" si="56">AE37</f>
        <v>570079.16666666663</v>
      </c>
      <c r="H37" s="20">
        <f t="shared" ref="H37:H39" si="57">AF37</f>
        <v>712598.95833333337</v>
      </c>
      <c r="J37" s="303"/>
      <c r="K37" s="303">
        <v>1</v>
      </c>
      <c r="L37" s="303"/>
      <c r="M37" s="19">
        <f t="shared" si="45"/>
        <v>1</v>
      </c>
      <c r="Q37" t="s">
        <v>607</v>
      </c>
      <c r="R37" s="16">
        <f>-SUM(AA24,AA33)/SUM($AA$24:$AC$24,$AA$33:$AC$33)*$R$30</f>
        <v>98727</v>
      </c>
      <c r="S37" s="16">
        <f t="shared" ref="S37:T37" si="58">-SUM(AB24,AB33)/SUM($AA$24:$AC$24,$AA$33:$AC$33)*$R$30</f>
        <v>230362.99999999997</v>
      </c>
      <c r="T37" s="16">
        <f t="shared" si="58"/>
        <v>329090</v>
      </c>
      <c r="U37" s="16">
        <f>-SUM(AD24,AD33)/SUM($AD$24:$AF$24,$AD$33:$AF$33)*$S$30</f>
        <v>55991.000000000036</v>
      </c>
      <c r="V37" s="16">
        <f t="shared" ref="V37:W37" si="59">-SUM(AE24,AE33)/SUM($AD$24:$AF$24,$AD$33:$AF$33)*$S$30</f>
        <v>223964.00000000015</v>
      </c>
      <c r="W37" s="16">
        <f t="shared" si="59"/>
        <v>279955.00000000017</v>
      </c>
      <c r="Z37" s="209" t="s">
        <v>300</v>
      </c>
      <c r="AA37" s="20">
        <v>117889.0625</v>
      </c>
      <c r="AB37" s="20">
        <v>275074.47916666663</v>
      </c>
      <c r="AC37" s="20">
        <v>392963.54166666669</v>
      </c>
      <c r="AD37" s="20">
        <v>142519.79166666666</v>
      </c>
      <c r="AE37" s="20">
        <v>570079.16666666663</v>
      </c>
      <c r="AF37" s="20">
        <v>712598.95833333337</v>
      </c>
    </row>
    <row r="38" spans="2:32" x14ac:dyDescent="0.25">
      <c r="B38" s="209" t="s">
        <v>611</v>
      </c>
      <c r="C38" s="20">
        <f t="shared" si="39"/>
        <v>289912.5</v>
      </c>
      <c r="D38" s="20">
        <f t="shared" si="53"/>
        <v>676462.5</v>
      </c>
      <c r="E38" s="20">
        <f t="shared" si="54"/>
        <v>966375</v>
      </c>
      <c r="F38" s="20">
        <f t="shared" si="55"/>
        <v>243197.5</v>
      </c>
      <c r="G38" s="20">
        <f t="shared" si="56"/>
        <v>972790</v>
      </c>
      <c r="H38" s="20">
        <f t="shared" si="57"/>
        <v>1215987.5</v>
      </c>
      <c r="J38" s="303">
        <v>0.1</v>
      </c>
      <c r="K38" s="303">
        <v>0.9</v>
      </c>
      <c r="L38" s="303"/>
      <c r="M38" s="19">
        <f t="shared" si="45"/>
        <v>1</v>
      </c>
      <c r="Q38" t="s">
        <v>313</v>
      </c>
      <c r="R38" s="16">
        <f>-SUM(AA27,AA36)/SUM($AA$27:$AC$27,$AA$36:$AC$36)*$R$31</f>
        <v>148090.5</v>
      </c>
      <c r="S38" s="16">
        <f t="shared" ref="S38:T38" si="60">-SUM(AB27,AB36)/SUM($AA$27:$AC$27,$AA$36:$AC$36)*$R$31</f>
        <v>345544.5</v>
      </c>
      <c r="T38" s="16">
        <f t="shared" si="60"/>
        <v>493635</v>
      </c>
      <c r="U38" s="16">
        <f>-SUM(AD27,AD36)/SUM($AD$27:$AF$27,$AD$36:$AF$36)*$S$31</f>
        <v>83986.500000000058</v>
      </c>
      <c r="V38" s="16">
        <f t="shared" ref="V38:W38" si="61">-SUM(AE27,AE36)/SUM($AD$27:$AF$27,$AD$36:$AF$36)*$S$31</f>
        <v>335946.00000000023</v>
      </c>
      <c r="W38" s="16">
        <f t="shared" si="61"/>
        <v>419932.50000000029</v>
      </c>
      <c r="Z38" s="209" t="s">
        <v>611</v>
      </c>
      <c r="AA38" s="20">
        <v>289912.5</v>
      </c>
      <c r="AB38" s="20">
        <v>676462.5</v>
      </c>
      <c r="AC38" s="20">
        <v>966375</v>
      </c>
      <c r="AD38" s="20">
        <v>243197.5</v>
      </c>
      <c r="AE38" s="20">
        <v>972790</v>
      </c>
      <c r="AF38" s="20">
        <v>1215987.5</v>
      </c>
    </row>
    <row r="39" spans="2:32" x14ac:dyDescent="0.25">
      <c r="B39" s="209" t="s">
        <v>2</v>
      </c>
      <c r="C39" s="29">
        <f t="shared" si="39"/>
        <v>0</v>
      </c>
      <c r="D39" s="29">
        <f t="shared" si="53"/>
        <v>0</v>
      </c>
      <c r="E39" s="29">
        <f t="shared" si="54"/>
        <v>0</v>
      </c>
      <c r="F39" s="29">
        <f t="shared" si="55"/>
        <v>0</v>
      </c>
      <c r="G39" s="29">
        <f t="shared" si="56"/>
        <v>0</v>
      </c>
      <c r="H39" s="29">
        <f t="shared" si="57"/>
        <v>0</v>
      </c>
      <c r="J39" s="303"/>
      <c r="K39" s="303"/>
      <c r="L39" s="303"/>
      <c r="R39" s="16"/>
      <c r="S39" s="16"/>
      <c r="T39" s="16"/>
      <c r="U39" s="16"/>
      <c r="Z39" s="209" t="s">
        <v>2</v>
      </c>
      <c r="AA39" s="29">
        <v>0</v>
      </c>
      <c r="AB39" s="29">
        <v>0</v>
      </c>
      <c r="AC39" s="29">
        <v>0</v>
      </c>
      <c r="AD39" s="29">
        <v>0</v>
      </c>
      <c r="AE39" s="29">
        <v>0</v>
      </c>
      <c r="AF39" s="29">
        <v>0</v>
      </c>
    </row>
    <row r="40" spans="2:32" x14ac:dyDescent="0.25">
      <c r="C40" s="20">
        <v>1212251.5879549999</v>
      </c>
      <c r="D40" s="20">
        <v>2828587.0385616669</v>
      </c>
      <c r="E40" s="20">
        <v>4040838.6265166667</v>
      </c>
      <c r="F40" s="20">
        <v>1098877.1098558335</v>
      </c>
      <c r="G40" s="20">
        <v>4395508.4394233339</v>
      </c>
      <c r="H40" s="20">
        <v>5494385.5492791664</v>
      </c>
      <c r="Q40" s="1" t="s">
        <v>227</v>
      </c>
      <c r="R40" s="16"/>
      <c r="S40" s="16"/>
      <c r="T40" s="16"/>
      <c r="U40" s="16"/>
      <c r="AA40" s="20">
        <f>SUM(AA33:AA39)</f>
        <v>1212251.5879549999</v>
      </c>
      <c r="AB40" s="20">
        <f t="shared" ref="AB40:AF40" si="62">SUM(AB33:AB39)</f>
        <v>2828587.0385616669</v>
      </c>
      <c r="AC40" s="20">
        <f t="shared" si="62"/>
        <v>4040838.6265166667</v>
      </c>
      <c r="AD40" s="20">
        <f t="shared" si="62"/>
        <v>1098877.1098558335</v>
      </c>
      <c r="AE40" s="20">
        <f t="shared" si="62"/>
        <v>4395508.4394233339</v>
      </c>
      <c r="AF40" s="20">
        <f t="shared" si="62"/>
        <v>5494385.5492791664</v>
      </c>
    </row>
    <row r="41" spans="2:32" x14ac:dyDescent="0.25">
      <c r="Q41" s="209" t="s">
        <v>608</v>
      </c>
      <c r="R41" s="16">
        <f>R35*AA25/SUM(AA25,AA34)</f>
        <v>-75811.452705487492</v>
      </c>
      <c r="S41" s="16">
        <f t="shared" ref="S41:W41" si="63">S35*AB25/SUM(AB25,AB34)</f>
        <v>-176893.38964613745</v>
      </c>
      <c r="T41" s="16">
        <f t="shared" si="63"/>
        <v>-252704.84235162495</v>
      </c>
      <c r="U41" s="16">
        <f t="shared" si="63"/>
        <v>-44991.015311046802</v>
      </c>
      <c r="V41" s="16">
        <f t="shared" si="63"/>
        <v>-179964.06124418721</v>
      </c>
      <c r="W41" s="16">
        <f t="shared" si="63"/>
        <v>-224955.07655523403</v>
      </c>
    </row>
    <row r="42" spans="2:32" x14ac:dyDescent="0.25">
      <c r="B42" s="301" t="s">
        <v>22</v>
      </c>
      <c r="Q42" s="209" t="s">
        <v>610</v>
      </c>
      <c r="R42" s="16">
        <f>R36*AA26/SUM(AA26,AA35)</f>
        <v>-105188.2118395125</v>
      </c>
      <c r="S42" s="16">
        <f t="shared" ref="S42:W42" si="64">S36*AB26/SUM(AB26,AB35)</f>
        <v>-245439.16095886246</v>
      </c>
      <c r="T42" s="16">
        <f t="shared" si="64"/>
        <v>-350627.37279837503</v>
      </c>
      <c r="U42" s="16">
        <f t="shared" si="64"/>
        <v>-52993.374666453245</v>
      </c>
      <c r="V42" s="16">
        <f t="shared" si="64"/>
        <v>-211973.49866581298</v>
      </c>
      <c r="W42" s="16">
        <f t="shared" si="64"/>
        <v>-264966.87333226629</v>
      </c>
    </row>
    <row r="43" spans="2:32" x14ac:dyDescent="0.25">
      <c r="B43" s="209" t="s">
        <v>607</v>
      </c>
      <c r="C43" s="20">
        <v>-163487.70209999997</v>
      </c>
      <c r="D43" s="20">
        <v>-256284.84209999995</v>
      </c>
      <c r="E43" s="20">
        <v>-502335.73808571271</v>
      </c>
      <c r="F43" s="20">
        <v>-239122.50832499997</v>
      </c>
      <c r="G43" s="20">
        <v>-461368.42610726599</v>
      </c>
      <c r="H43" s="20">
        <v>-641886.80871345999</v>
      </c>
      <c r="J43" s="303">
        <v>1</v>
      </c>
      <c r="K43" s="303"/>
      <c r="L43" s="303"/>
      <c r="M43" s="19">
        <f t="shared" ref="M43:M46" si="65">SUM(J43:L43)</f>
        <v>1</v>
      </c>
      <c r="Q43" s="209" t="s">
        <v>607</v>
      </c>
      <c r="R43" s="16">
        <f>R37*AA24/SUM(AA24,AA33)</f>
        <v>98727</v>
      </c>
      <c r="S43" s="16">
        <f t="shared" ref="S43:W43" si="66">S37*AB24/SUM(AB24,AB33)</f>
        <v>230362.99999999997</v>
      </c>
      <c r="T43" s="16">
        <f t="shared" si="66"/>
        <v>329090.00000000006</v>
      </c>
      <c r="U43" s="16">
        <f t="shared" si="66"/>
        <v>55991.000000000036</v>
      </c>
      <c r="V43" s="16">
        <f t="shared" si="66"/>
        <v>223964.00000000015</v>
      </c>
      <c r="W43" s="16">
        <f t="shared" si="66"/>
        <v>279955.00000000017</v>
      </c>
    </row>
    <row r="44" spans="2:32" x14ac:dyDescent="0.25">
      <c r="B44" s="209" t="s">
        <v>608</v>
      </c>
      <c r="C44" s="20">
        <v>-71752.168000000005</v>
      </c>
      <c r="D44" s="20">
        <v>-153961.73920000001</v>
      </c>
      <c r="E44" s="20">
        <v>-235789.58171428562</v>
      </c>
      <c r="F44" s="20">
        <v>-71296.343200000003</v>
      </c>
      <c r="G44" s="20">
        <v>-268261.35733333335</v>
      </c>
      <c r="H44" s="20">
        <v>-363869.66000000003</v>
      </c>
      <c r="J44" s="303"/>
      <c r="K44" s="303">
        <v>1</v>
      </c>
      <c r="L44" s="303"/>
      <c r="M44" s="19">
        <f t="shared" si="65"/>
        <v>1</v>
      </c>
      <c r="Q44" s="209" t="s">
        <v>313</v>
      </c>
      <c r="R44" s="16">
        <f>R38*AA27/SUM(AA27,AA36)</f>
        <v>29618.099999999995</v>
      </c>
      <c r="S44" s="16">
        <f t="shared" ref="S44:W44" si="67">S38*AB27/SUM(AB27,AB36)</f>
        <v>69108.899999999994</v>
      </c>
      <c r="T44" s="16">
        <f t="shared" si="67"/>
        <v>98726.999999999971</v>
      </c>
      <c r="U44" s="16">
        <f t="shared" si="67"/>
        <v>16797.300000000007</v>
      </c>
      <c r="V44" s="16">
        <f t="shared" si="67"/>
        <v>67189.200000000026</v>
      </c>
      <c r="W44" s="16">
        <f t="shared" si="67"/>
        <v>83986.500000000029</v>
      </c>
    </row>
    <row r="45" spans="2:32" x14ac:dyDescent="0.25">
      <c r="B45" s="209" t="s">
        <v>610</v>
      </c>
      <c r="C45" s="20">
        <v>-23855.192000000003</v>
      </c>
      <c r="D45" s="20">
        <v>-27361.076799999999</v>
      </c>
      <c r="E45" s="20">
        <v>-105333.36</v>
      </c>
      <c r="F45" s="20">
        <v>-10683.592799999999</v>
      </c>
      <c r="G45" s="20">
        <v>-115612.0128</v>
      </c>
      <c r="H45" s="20">
        <v>-81479.040000000008</v>
      </c>
      <c r="J45" s="303"/>
      <c r="K45" s="303">
        <v>1</v>
      </c>
      <c r="L45" s="303"/>
      <c r="M45" s="19">
        <f t="shared" si="65"/>
        <v>1</v>
      </c>
      <c r="R45" s="16"/>
      <c r="S45" s="16"/>
      <c r="T45" s="16"/>
      <c r="U45" s="16"/>
      <c r="V45" s="16"/>
      <c r="W45" s="16"/>
    </row>
    <row r="46" spans="2:32" x14ac:dyDescent="0.25">
      <c r="B46" s="209" t="s">
        <v>313</v>
      </c>
      <c r="C46" s="20">
        <v>-45575.709599999944</v>
      </c>
      <c r="D46" s="20">
        <v>-103684.1994</v>
      </c>
      <c r="E46" s="20">
        <v>-173323.54731428571</v>
      </c>
      <c r="F46" s="20">
        <v>-58931.947938461533</v>
      </c>
      <c r="G46" s="20">
        <v>-193682.35397142856</v>
      </c>
      <c r="H46" s="20">
        <v>-145881.05168917979</v>
      </c>
      <c r="J46" s="303"/>
      <c r="K46" s="303"/>
      <c r="L46" s="303">
        <v>1</v>
      </c>
      <c r="M46" s="19">
        <f t="shared" si="65"/>
        <v>1</v>
      </c>
      <c r="Q46" s="1" t="s">
        <v>584</v>
      </c>
      <c r="R46" s="16"/>
      <c r="S46" s="16"/>
      <c r="T46" s="16"/>
      <c r="U46" s="16"/>
      <c r="V46" s="16"/>
      <c r="W46" s="16"/>
    </row>
    <row r="47" spans="2:32" x14ac:dyDescent="0.25">
      <c r="B47" s="209" t="s">
        <v>300</v>
      </c>
      <c r="C47" s="20">
        <v>0</v>
      </c>
      <c r="D47" s="20">
        <v>0</v>
      </c>
      <c r="E47" s="20">
        <v>0</v>
      </c>
      <c r="F47" s="20">
        <v>0</v>
      </c>
      <c r="G47" s="20">
        <v>0</v>
      </c>
      <c r="H47" s="20">
        <v>0</v>
      </c>
      <c r="Q47" s="209" t="s">
        <v>608</v>
      </c>
      <c r="R47" s="16">
        <f>R35-R41</f>
        <v>-27567.707002759358</v>
      </c>
      <c r="S47" s="16">
        <f t="shared" ref="S47:W47" si="68">S35-S41</f>
        <v>-64324.649673105188</v>
      </c>
      <c r="T47" s="16">
        <f t="shared" si="68"/>
        <v>-91892.356675864576</v>
      </c>
      <c r="U47" s="16">
        <f t="shared" si="68"/>
        <v>-19281.771886466922</v>
      </c>
      <c r="V47" s="16">
        <f t="shared" si="68"/>
        <v>-77127.087545867689</v>
      </c>
      <c r="W47" s="16">
        <f t="shared" si="68"/>
        <v>-96408.859432334604</v>
      </c>
    </row>
    <row r="48" spans="2:32" x14ac:dyDescent="0.25">
      <c r="B48" s="209" t="s">
        <v>2</v>
      </c>
      <c r="C48" s="29">
        <v>0</v>
      </c>
      <c r="D48" s="29">
        <v>0</v>
      </c>
      <c r="E48" s="29">
        <v>0</v>
      </c>
      <c r="F48" s="29">
        <v>0</v>
      </c>
      <c r="G48" s="29">
        <v>0</v>
      </c>
      <c r="H48" s="29">
        <v>0</v>
      </c>
      <c r="Q48" s="209" t="s">
        <v>610</v>
      </c>
      <c r="R48" s="16">
        <f t="shared" ref="R48:W50" si="69">R36-R42</f>
        <v>-38250.128452240649</v>
      </c>
      <c r="S48" s="16">
        <f t="shared" si="69"/>
        <v>-89250.299721894844</v>
      </c>
      <c r="T48" s="16">
        <f t="shared" si="69"/>
        <v>-127500.42817413551</v>
      </c>
      <c r="U48" s="16">
        <f t="shared" si="69"/>
        <v>-22711.338136033104</v>
      </c>
      <c r="V48" s="16">
        <f t="shared" si="69"/>
        <v>-90845.352544132416</v>
      </c>
      <c r="W48" s="16">
        <f t="shared" si="69"/>
        <v>-113556.69068016548</v>
      </c>
    </row>
    <row r="49" spans="1:23" x14ac:dyDescent="0.25">
      <c r="C49" s="20">
        <v>-304670.77169999992</v>
      </c>
      <c r="D49" s="20">
        <v>-541291.85749999993</v>
      </c>
      <c r="E49" s="20">
        <v>-1016782.2271142839</v>
      </c>
      <c r="F49" s="20">
        <v>-380034.39226346149</v>
      </c>
      <c r="G49" s="20">
        <v>-1038924.1502120279</v>
      </c>
      <c r="H49" s="20">
        <v>-1233116.5604026399</v>
      </c>
      <c r="Q49" s="209" t="s">
        <v>607</v>
      </c>
      <c r="R49" s="16">
        <f t="shared" si="69"/>
        <v>0</v>
      </c>
      <c r="S49" s="16">
        <f t="shared" si="69"/>
        <v>0</v>
      </c>
      <c r="T49" s="16">
        <f t="shared" si="69"/>
        <v>0</v>
      </c>
      <c r="U49" s="16">
        <f t="shared" si="69"/>
        <v>0</v>
      </c>
      <c r="V49" s="16">
        <f t="shared" si="69"/>
        <v>0</v>
      </c>
      <c r="W49" s="16">
        <f t="shared" si="69"/>
        <v>0</v>
      </c>
    </row>
    <row r="50" spans="1:23" x14ac:dyDescent="0.25">
      <c r="Q50" s="209" t="s">
        <v>313</v>
      </c>
      <c r="R50" s="16">
        <f t="shared" si="69"/>
        <v>118472.40000000001</v>
      </c>
      <c r="S50" s="16">
        <f t="shared" si="69"/>
        <v>276435.59999999998</v>
      </c>
      <c r="T50" s="16">
        <f t="shared" si="69"/>
        <v>394908</v>
      </c>
      <c r="U50" s="16">
        <f t="shared" si="69"/>
        <v>67189.200000000055</v>
      </c>
      <c r="V50" s="16">
        <f t="shared" si="69"/>
        <v>268756.80000000022</v>
      </c>
      <c r="W50" s="16">
        <f t="shared" si="69"/>
        <v>335946.00000000023</v>
      </c>
    </row>
    <row r="51" spans="1:23" x14ac:dyDescent="0.25">
      <c r="B51" s="1" t="s">
        <v>583</v>
      </c>
      <c r="Q51" s="209"/>
      <c r="R51" s="16"/>
      <c r="S51" s="16"/>
      <c r="T51" s="16"/>
      <c r="U51" s="16"/>
    </row>
    <row r="52" spans="1:23" x14ac:dyDescent="0.25">
      <c r="A52" s="303">
        <f>F67</f>
        <v>0.20278306093848292</v>
      </c>
      <c r="B52" s="209" t="s">
        <v>607</v>
      </c>
      <c r="C52" s="20">
        <f>C43*$A52</f>
        <v>-33152.536657636832</v>
      </c>
      <c r="D52" s="20">
        <f t="shared" ref="D52:H52" si="70">D43*$A52</f>
        <v>-51970.224753173759</v>
      </c>
      <c r="E52" s="20">
        <f t="shared" si="70"/>
        <v>-101865.17858781287</v>
      </c>
      <c r="F52" s="20">
        <f t="shared" si="70"/>
        <v>-48489.994177431356</v>
      </c>
      <c r="G52" s="20">
        <f t="shared" si="70"/>
        <v>-93557.70166640167</v>
      </c>
      <c r="H52" s="20">
        <f t="shared" si="70"/>
        <v>-130163.77184694988</v>
      </c>
      <c r="J52" s="303">
        <v>1</v>
      </c>
      <c r="K52" s="303"/>
      <c r="L52" s="303"/>
      <c r="M52" s="19">
        <f t="shared" ref="M52:M55" si="71">SUM(J52:L52)</f>
        <v>1</v>
      </c>
      <c r="Q52" s="436" t="s">
        <v>801</v>
      </c>
      <c r="R52" s="16">
        <f>SUM(R41:R50)</f>
        <v>0</v>
      </c>
      <c r="S52" s="16">
        <f t="shared" ref="S52:W52" si="72">SUM(S41:S50)</f>
        <v>0</v>
      </c>
      <c r="T52" s="16">
        <f t="shared" si="72"/>
        <v>0</v>
      </c>
      <c r="U52" s="16">
        <f t="shared" si="72"/>
        <v>0</v>
      </c>
      <c r="V52" s="16">
        <f t="shared" si="72"/>
        <v>0</v>
      </c>
      <c r="W52" s="16">
        <f t="shared" si="72"/>
        <v>0</v>
      </c>
    </row>
    <row r="53" spans="1:23" x14ac:dyDescent="0.25">
      <c r="A53" s="303">
        <f>F68</f>
        <v>0.31312268788818381</v>
      </c>
      <c r="B53" s="209" t="s">
        <v>608</v>
      </c>
      <c r="C53" s="20">
        <f t="shared" ref="C53:H53" si="73">C44*$A53</f>
        <v>-22467.231705964532</v>
      </c>
      <c r="D53" s="20">
        <f t="shared" si="73"/>
        <v>-48208.913610243559</v>
      </c>
      <c r="E53" s="20">
        <f t="shared" si="73"/>
        <v>-73831.067602407667</v>
      </c>
      <c r="F53" s="20">
        <f t="shared" si="73"/>
        <v>-22324.502619382438</v>
      </c>
      <c r="G53" s="20">
        <f t="shared" si="73"/>
        <v>-83998.717264745894</v>
      </c>
      <c r="H53" s="20">
        <f t="shared" si="73"/>
        <v>-113935.84598015957</v>
      </c>
      <c r="J53" s="303"/>
      <c r="K53" s="303">
        <v>1</v>
      </c>
      <c r="L53" s="303"/>
      <c r="M53" s="19">
        <f t="shared" si="71"/>
        <v>1</v>
      </c>
    </row>
    <row r="54" spans="1:23" x14ac:dyDescent="0.25">
      <c r="A54" s="303">
        <f>F68</f>
        <v>0.31312268788818381</v>
      </c>
      <c r="B54" s="209" t="s">
        <v>610</v>
      </c>
      <c r="C54" s="20">
        <f t="shared" ref="C54:H54" si="74">C45*$A54</f>
        <v>-7469.6018391287007</v>
      </c>
      <c r="D54" s="20">
        <f t="shared" si="74"/>
        <v>-8567.373911131026</v>
      </c>
      <c r="E54" s="20">
        <f t="shared" si="74"/>
        <v>-32982.264807493702</v>
      </c>
      <c r="F54" s="20">
        <f t="shared" si="74"/>
        <v>-3345.2752938388476</v>
      </c>
      <c r="G54" s="20">
        <f t="shared" si="74"/>
        <v>-36200.744200099114</v>
      </c>
      <c r="H54" s="20">
        <f t="shared" si="74"/>
        <v>-25512.936011348847</v>
      </c>
      <c r="J54" s="303"/>
      <c r="K54" s="303">
        <v>1</v>
      </c>
      <c r="L54" s="303"/>
      <c r="M54" s="19">
        <f t="shared" si="71"/>
        <v>1</v>
      </c>
    </row>
    <row r="55" spans="1:23" x14ac:dyDescent="0.25">
      <c r="A55" s="303">
        <f>F69</f>
        <v>0.5273421275974115</v>
      </c>
      <c r="B55" s="209" t="s">
        <v>313</v>
      </c>
      <c r="C55" s="20">
        <f t="shared" ref="C55:H55" si="75">C46*$A55</f>
        <v>-24033.991667225742</v>
      </c>
      <c r="D55" s="20">
        <f t="shared" si="75"/>
        <v>-54677.046309830257</v>
      </c>
      <c r="E55" s="20">
        <f t="shared" si="75"/>
        <v>-91400.808203446039</v>
      </c>
      <c r="F55" s="20">
        <f t="shared" si="75"/>
        <v>-31077.298809328193</v>
      </c>
      <c r="G55" s="20">
        <f t="shared" si="75"/>
        <v>-102136.86462136811</v>
      </c>
      <c r="H55" s="20">
        <f t="shared" si="75"/>
        <v>-76929.224173920025</v>
      </c>
      <c r="J55" s="303"/>
      <c r="K55" s="303"/>
      <c r="L55" s="303">
        <v>1</v>
      </c>
      <c r="M55" s="19">
        <f t="shared" si="71"/>
        <v>1</v>
      </c>
    </row>
    <row r="58" spans="1:23" x14ac:dyDescent="0.25">
      <c r="B58" s="1" t="s">
        <v>22</v>
      </c>
    </row>
    <row r="59" spans="1:23" x14ac:dyDescent="0.25">
      <c r="B59" s="209" t="s">
        <v>607</v>
      </c>
      <c r="C59" s="20">
        <f>C43-C52</f>
        <v>-130335.16544236313</v>
      </c>
      <c r="D59" s="20">
        <f t="shared" ref="D59:H59" si="76">D43-D52</f>
        <v>-204314.61734682618</v>
      </c>
      <c r="E59" s="20">
        <f t="shared" si="76"/>
        <v>-400470.55949789984</v>
      </c>
      <c r="F59" s="20">
        <f t="shared" si="76"/>
        <v>-190632.51414756861</v>
      </c>
      <c r="G59" s="20">
        <f t="shared" si="76"/>
        <v>-367810.72444086429</v>
      </c>
      <c r="H59" s="20">
        <f t="shared" si="76"/>
        <v>-511723.03686651011</v>
      </c>
      <c r="J59" s="303">
        <v>1</v>
      </c>
      <c r="K59" s="303"/>
      <c r="L59" s="303"/>
      <c r="M59" s="19">
        <f t="shared" ref="M59:M62" si="77">SUM(J59:L59)</f>
        <v>1</v>
      </c>
    </row>
    <row r="60" spans="1:23" x14ac:dyDescent="0.25">
      <c r="B60" s="209" t="s">
        <v>608</v>
      </c>
      <c r="C60" s="20">
        <f t="shared" ref="C60:H60" si="78">C44-C53</f>
        <v>-49284.936294035477</v>
      </c>
      <c r="D60" s="20">
        <f t="shared" si="78"/>
        <v>-105752.82558975645</v>
      </c>
      <c r="E60" s="20">
        <f t="shared" si="78"/>
        <v>-161958.51411187794</v>
      </c>
      <c r="F60" s="20">
        <f t="shared" si="78"/>
        <v>-48971.840580617565</v>
      </c>
      <c r="G60" s="20">
        <f t="shared" si="78"/>
        <v>-184262.64006858744</v>
      </c>
      <c r="H60" s="20">
        <f t="shared" si="78"/>
        <v>-249933.81401984044</v>
      </c>
      <c r="J60" s="303"/>
      <c r="K60" s="303">
        <v>1</v>
      </c>
      <c r="L60" s="303"/>
      <c r="M60" s="19">
        <f t="shared" si="77"/>
        <v>1</v>
      </c>
    </row>
    <row r="61" spans="1:23" x14ac:dyDescent="0.25">
      <c r="B61" s="209" t="s">
        <v>610</v>
      </c>
      <c r="C61" s="20">
        <f t="shared" ref="C61:H61" si="79">C45-C54</f>
        <v>-16385.590160871303</v>
      </c>
      <c r="D61" s="20">
        <f t="shared" si="79"/>
        <v>-18793.702888868975</v>
      </c>
      <c r="E61" s="20">
        <f t="shared" si="79"/>
        <v>-72351.095192506298</v>
      </c>
      <c r="F61" s="20">
        <f t="shared" si="79"/>
        <v>-7338.317506161151</v>
      </c>
      <c r="G61" s="20">
        <f t="shared" si="79"/>
        <v>-79411.268599900883</v>
      </c>
      <c r="H61" s="20">
        <f t="shared" si="79"/>
        <v>-55966.103988651157</v>
      </c>
      <c r="J61" s="303"/>
      <c r="K61" s="303">
        <v>1</v>
      </c>
      <c r="L61" s="303"/>
      <c r="M61" s="19">
        <f t="shared" si="77"/>
        <v>1</v>
      </c>
    </row>
    <row r="62" spans="1:23" x14ac:dyDescent="0.25">
      <c r="B62" s="209" t="s">
        <v>313</v>
      </c>
      <c r="C62" s="20">
        <f t="shared" ref="C62:H62" si="80">C46-C55</f>
        <v>-21541.717932774201</v>
      </c>
      <c r="D62" s="20">
        <f t="shared" si="80"/>
        <v>-49007.153090169741</v>
      </c>
      <c r="E62" s="20">
        <f t="shared" si="80"/>
        <v>-81922.73911083967</v>
      </c>
      <c r="F62" s="20">
        <f t="shared" si="80"/>
        <v>-27854.64912913334</v>
      </c>
      <c r="G62" s="20">
        <f t="shared" si="80"/>
        <v>-91545.489350060452</v>
      </c>
      <c r="H62" s="20">
        <f t="shared" si="80"/>
        <v>-68951.827515259763</v>
      </c>
      <c r="J62" s="303"/>
      <c r="K62" s="303"/>
      <c r="L62" s="303">
        <v>1</v>
      </c>
      <c r="M62" s="19">
        <f t="shared" si="77"/>
        <v>1</v>
      </c>
    </row>
    <row r="65" spans="2:6" x14ac:dyDescent="0.25">
      <c r="B65" s="1" t="s">
        <v>614</v>
      </c>
    </row>
    <row r="66" spans="2:6" x14ac:dyDescent="0.25">
      <c r="B66" s="1"/>
      <c r="C66" s="305" t="s">
        <v>583</v>
      </c>
      <c r="D66" s="305" t="s">
        <v>22</v>
      </c>
      <c r="E66" s="305" t="s">
        <v>308</v>
      </c>
      <c r="F66" s="305" t="s">
        <v>615</v>
      </c>
    </row>
    <row r="67" spans="2:6" x14ac:dyDescent="0.25">
      <c r="B67" s="209" t="s">
        <v>607</v>
      </c>
      <c r="C67" s="20">
        <f>SUM(ARR!X10:AA10)</f>
        <v>-609613.15317800001</v>
      </c>
      <c r="D67" s="20">
        <f>SUM(ARR!X11:AA11)</f>
        <v>-2396619.9629250001</v>
      </c>
      <c r="E67" s="20">
        <f>SUM(C67:D67)</f>
        <v>-3006233.116103</v>
      </c>
      <c r="F67" s="19">
        <f>C67/E67</f>
        <v>0.20278306093848292</v>
      </c>
    </row>
    <row r="68" spans="2:6" x14ac:dyDescent="0.25">
      <c r="B68" s="209" t="s">
        <v>608</v>
      </c>
      <c r="C68" s="20">
        <f>SUM(ARR!X21:AA21)</f>
        <v>-609997.69000000006</v>
      </c>
      <c r="D68" s="20">
        <f>SUM(ARR!X22:AA22)</f>
        <v>-1338113.1099999999</v>
      </c>
      <c r="E68" s="20">
        <f>SUM(C68:D68)</f>
        <v>-1948110.7999999998</v>
      </c>
      <c r="F68" s="19">
        <f>C68/E68</f>
        <v>0.31312268788818381</v>
      </c>
    </row>
    <row r="69" spans="2:6" x14ac:dyDescent="0.25">
      <c r="B69" s="209" t="s">
        <v>313</v>
      </c>
      <c r="C69" s="20">
        <f>SUM(ARR!X32:AA32)</f>
        <v>-708620.44</v>
      </c>
      <c r="D69" s="20">
        <f>SUM(ARR!X33:AA33)</f>
        <v>-635138.01</v>
      </c>
      <c r="E69" s="20">
        <f>SUM(C69:D69)</f>
        <v>-1343758.45</v>
      </c>
      <c r="F69" s="19">
        <f>C69/E69</f>
        <v>0.5273421275974115</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1CA807-BA14-41E9-85AB-0C53910A85AF}">
  <dimension ref="B2:BJ77"/>
  <sheetViews>
    <sheetView showGridLines="0" zoomScale="85" zoomScaleNormal="85" workbookViewId="0">
      <selection activeCell="A38" sqref="A38"/>
    </sheetView>
  </sheetViews>
  <sheetFormatPr defaultColWidth="8.85546875" defaultRowHeight="15" x14ac:dyDescent="0.25"/>
  <cols>
    <col min="2" max="2" width="34" customWidth="1"/>
    <col min="3" max="62" width="12.28515625" customWidth="1"/>
  </cols>
  <sheetData>
    <row r="2" spans="2:62" x14ac:dyDescent="0.25">
      <c r="B2" s="3" t="s">
        <v>85</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row>
    <row r="3" spans="2:62" x14ac:dyDescent="0.25">
      <c r="C3" s="1"/>
    </row>
    <row r="4" spans="2:62" x14ac:dyDescent="0.25">
      <c r="C4" s="31" t="s">
        <v>64</v>
      </c>
      <c r="D4" s="31" t="s">
        <v>65</v>
      </c>
      <c r="E4" s="31" t="s">
        <v>66</v>
      </c>
      <c r="F4" s="31" t="s">
        <v>67</v>
      </c>
      <c r="G4" s="31" t="s">
        <v>68</v>
      </c>
      <c r="H4" s="31" t="s">
        <v>69</v>
      </c>
      <c r="I4" s="31" t="s">
        <v>70</v>
      </c>
      <c r="J4" s="31" t="s">
        <v>71</v>
      </c>
      <c r="K4" s="31" t="s">
        <v>72</v>
      </c>
      <c r="L4" s="31" t="s">
        <v>73</v>
      </c>
      <c r="M4" s="31" t="s">
        <v>74</v>
      </c>
      <c r="N4" s="31" t="s">
        <v>75</v>
      </c>
      <c r="O4" s="31" t="s">
        <v>76</v>
      </c>
      <c r="P4" s="31" t="s">
        <v>77</v>
      </c>
      <c r="Q4" s="31" t="s">
        <v>78</v>
      </c>
      <c r="R4" s="31" t="s">
        <v>79</v>
      </c>
      <c r="S4" s="31" t="s">
        <v>80</v>
      </c>
      <c r="T4" s="31" t="s">
        <v>81</v>
      </c>
      <c r="U4" s="31" t="s">
        <v>82</v>
      </c>
      <c r="V4" s="31" t="s">
        <v>83</v>
      </c>
    </row>
    <row r="5" spans="2:62" x14ac:dyDescent="0.25">
      <c r="B5" t="s">
        <v>86</v>
      </c>
      <c r="C5" s="16">
        <v>0</v>
      </c>
      <c r="D5" s="16">
        <v>0</v>
      </c>
      <c r="E5" s="16">
        <v>0</v>
      </c>
      <c r="F5" s="16">
        <v>0</v>
      </c>
      <c r="G5" s="16">
        <v>-754757.3753819993</v>
      </c>
      <c r="H5" s="16">
        <v>-1264114.8702439996</v>
      </c>
      <c r="I5" s="16">
        <v>-675971</v>
      </c>
      <c r="J5" s="16">
        <v>-1197111.4198250002</v>
      </c>
      <c r="K5" s="16">
        <v>-361251.62999999995</v>
      </c>
      <c r="L5" s="16">
        <v>-938564</v>
      </c>
      <c r="M5" s="16">
        <v>-659295.00000000116</v>
      </c>
      <c r="N5" s="16">
        <v>-1152216.4807220106</v>
      </c>
      <c r="O5" s="16">
        <v>-870726.18110277783</v>
      </c>
      <c r="P5" s="16">
        <v>-2342202.415893924</v>
      </c>
      <c r="Q5" s="16">
        <v>-3191173.5350808203</v>
      </c>
      <c r="R5" s="16">
        <v>-3898332.0762013132</v>
      </c>
      <c r="S5" s="16">
        <v>-3821280.6451649321</v>
      </c>
      <c r="T5" s="16">
        <v>-2759152.3081382643</v>
      </c>
      <c r="U5" s="16">
        <v>-4078787.3528328827</v>
      </c>
      <c r="V5" s="16">
        <v>-3759489.5353127797</v>
      </c>
    </row>
    <row r="7" spans="2:62" x14ac:dyDescent="0.25">
      <c r="C7" s="31" t="s">
        <v>64</v>
      </c>
      <c r="D7" s="32" t="str">
        <f>C7</f>
        <v>Q1 FY19</v>
      </c>
      <c r="E7" s="32" t="str">
        <f>D7</f>
        <v>Q1 FY19</v>
      </c>
      <c r="F7" s="31" t="s">
        <v>65</v>
      </c>
      <c r="G7" s="32" t="str">
        <f>F7</f>
        <v>Q2 FY19</v>
      </c>
      <c r="H7" s="32" t="str">
        <f>G7</f>
        <v>Q2 FY19</v>
      </c>
      <c r="I7" s="31" t="s">
        <v>66</v>
      </c>
      <c r="J7" s="32" t="str">
        <f>I7</f>
        <v>Q3 FY19</v>
      </c>
      <c r="K7" s="32" t="str">
        <f>J7</f>
        <v>Q3 FY19</v>
      </c>
      <c r="L7" s="31" t="s">
        <v>67</v>
      </c>
      <c r="M7" s="32" t="str">
        <f>L7</f>
        <v>Q4 FY19</v>
      </c>
      <c r="N7" s="32" t="str">
        <f>M7</f>
        <v>Q4 FY19</v>
      </c>
      <c r="O7" s="31" t="s">
        <v>68</v>
      </c>
      <c r="P7" s="32" t="str">
        <f>O7</f>
        <v>Q1 FY20</v>
      </c>
      <c r="Q7" s="32" t="str">
        <f>P7</f>
        <v>Q1 FY20</v>
      </c>
      <c r="R7" s="31" t="s">
        <v>69</v>
      </c>
      <c r="S7" s="32" t="str">
        <f>R7</f>
        <v>Q2 FY20</v>
      </c>
      <c r="T7" s="32" t="str">
        <f>S7</f>
        <v>Q2 FY20</v>
      </c>
      <c r="U7" s="31" t="s">
        <v>70</v>
      </c>
      <c r="V7" s="32" t="str">
        <f>U7</f>
        <v>Q3 FY20</v>
      </c>
      <c r="W7" s="32" t="str">
        <f>V7</f>
        <v>Q3 FY20</v>
      </c>
      <c r="X7" s="31" t="s">
        <v>71</v>
      </c>
      <c r="Y7" s="32" t="str">
        <f>X7</f>
        <v>Q4 FY20</v>
      </c>
      <c r="Z7" s="32" t="str">
        <f>Y7</f>
        <v>Q4 FY20</v>
      </c>
      <c r="AA7" s="31" t="s">
        <v>72</v>
      </c>
      <c r="AB7" s="32" t="str">
        <f>AA7</f>
        <v>Q1 FY21</v>
      </c>
      <c r="AC7" s="32" t="str">
        <f>AB7</f>
        <v>Q1 FY21</v>
      </c>
      <c r="AD7" s="31" t="s">
        <v>73</v>
      </c>
      <c r="AE7" s="32" t="str">
        <f>AD7</f>
        <v>Q2 FY21</v>
      </c>
      <c r="AF7" s="32" t="str">
        <f>AE7</f>
        <v>Q2 FY21</v>
      </c>
      <c r="AG7" s="31" t="s">
        <v>74</v>
      </c>
      <c r="AH7" s="32" t="str">
        <f>AG7</f>
        <v>Q3 FY21</v>
      </c>
      <c r="AI7" s="32" t="str">
        <f>AH7</f>
        <v>Q3 FY21</v>
      </c>
      <c r="AJ7" s="31" t="s">
        <v>75</v>
      </c>
      <c r="AK7" s="32" t="str">
        <f>AJ7</f>
        <v>Q4 FY21</v>
      </c>
      <c r="AL7" s="32" t="str">
        <f>AK7</f>
        <v>Q4 FY21</v>
      </c>
      <c r="AM7" s="31" t="s">
        <v>76</v>
      </c>
      <c r="AN7" s="32" t="str">
        <f>AM7</f>
        <v>Q1 FY22</v>
      </c>
      <c r="AO7" s="32" t="str">
        <f>AN7</f>
        <v>Q1 FY22</v>
      </c>
      <c r="AP7" s="31" t="s">
        <v>77</v>
      </c>
      <c r="AQ7" s="32" t="str">
        <f>AP7</f>
        <v>Q2 FY22</v>
      </c>
      <c r="AR7" s="32" t="str">
        <f>AQ7</f>
        <v>Q2 FY22</v>
      </c>
      <c r="AS7" s="31" t="s">
        <v>78</v>
      </c>
      <c r="AT7" s="32" t="str">
        <f>AS7</f>
        <v>Q3 FY22</v>
      </c>
      <c r="AU7" s="32" t="str">
        <f>AT7</f>
        <v>Q3 FY22</v>
      </c>
      <c r="AV7" s="31" t="s">
        <v>79</v>
      </c>
      <c r="AW7" s="32" t="str">
        <f>AV7</f>
        <v>Q4 FY22</v>
      </c>
      <c r="AX7" s="32" t="str">
        <f>AW7</f>
        <v>Q4 FY22</v>
      </c>
      <c r="AY7" s="31" t="s">
        <v>80</v>
      </c>
      <c r="AZ7" s="32" t="str">
        <f>AY7</f>
        <v>Q1 FY23</v>
      </c>
      <c r="BA7" s="32" t="str">
        <f>AZ7</f>
        <v>Q1 FY23</v>
      </c>
      <c r="BB7" s="31" t="s">
        <v>81</v>
      </c>
      <c r="BC7" s="32" t="str">
        <f>BB7</f>
        <v>Q2 FY23</v>
      </c>
      <c r="BD7" s="32" t="str">
        <f>BC7</f>
        <v>Q2 FY23</v>
      </c>
      <c r="BE7" s="31" t="s">
        <v>82</v>
      </c>
      <c r="BF7" s="32" t="str">
        <f>BE7</f>
        <v>Q3 FY23</v>
      </c>
      <c r="BG7" s="32" t="str">
        <f>BF7</f>
        <v>Q3 FY23</v>
      </c>
      <c r="BH7" s="31" t="s">
        <v>83</v>
      </c>
      <c r="BI7" s="32" t="str">
        <f>BH7</f>
        <v>Q4 FY23</v>
      </c>
      <c r="BJ7" s="32" t="str">
        <f>BI7</f>
        <v>Q4 FY23</v>
      </c>
    </row>
    <row r="8" spans="2:62" x14ac:dyDescent="0.25">
      <c r="C8" s="13" t="s">
        <v>36</v>
      </c>
      <c r="D8" s="13"/>
      <c r="E8" s="13"/>
      <c r="F8" s="13"/>
      <c r="G8" s="13"/>
      <c r="H8" s="13"/>
      <c r="I8" s="13"/>
      <c r="J8" s="13"/>
      <c r="K8" s="13"/>
      <c r="L8" s="13"/>
      <c r="M8" s="13"/>
      <c r="N8" s="13"/>
      <c r="O8" s="12" t="s">
        <v>37</v>
      </c>
      <c r="P8" s="11"/>
      <c r="Q8" s="11"/>
      <c r="R8" s="11"/>
      <c r="S8" s="11"/>
      <c r="T8" s="11"/>
      <c r="U8" s="11"/>
      <c r="V8" s="11"/>
      <c r="W8" s="11"/>
      <c r="X8" s="11"/>
      <c r="Y8" s="11"/>
      <c r="Z8" s="11"/>
      <c r="AA8" s="13" t="s">
        <v>38</v>
      </c>
      <c r="AB8" s="13"/>
      <c r="AC8" s="13"/>
      <c r="AD8" s="13"/>
      <c r="AE8" s="13"/>
      <c r="AF8" s="13"/>
      <c r="AG8" s="13"/>
      <c r="AH8" s="13"/>
      <c r="AI8" s="13"/>
      <c r="AJ8" s="13"/>
      <c r="AK8" s="13"/>
      <c r="AL8" s="13"/>
      <c r="AM8" s="12" t="s">
        <v>39</v>
      </c>
      <c r="AN8" s="12"/>
      <c r="AO8" s="12"/>
      <c r="AP8" s="12"/>
      <c r="AQ8" s="12"/>
      <c r="AR8" s="12"/>
      <c r="AS8" s="12"/>
      <c r="AT8" s="12"/>
      <c r="AU8" s="12"/>
      <c r="AV8" s="12"/>
      <c r="AW8" s="12"/>
      <c r="AX8" s="12"/>
      <c r="AY8" s="13" t="s">
        <v>40</v>
      </c>
      <c r="AZ8" s="13"/>
      <c r="BA8" s="13"/>
      <c r="BB8" s="13"/>
      <c r="BC8" s="13"/>
      <c r="BD8" s="13"/>
      <c r="BE8" s="13"/>
      <c r="BF8" s="13"/>
      <c r="BG8" s="13"/>
      <c r="BH8" s="13"/>
      <c r="BI8" s="13"/>
      <c r="BJ8" s="13"/>
    </row>
    <row r="9" spans="2:62" x14ac:dyDescent="0.25">
      <c r="C9" s="17">
        <v>43132</v>
      </c>
      <c r="D9" s="17">
        <v>43160</v>
      </c>
      <c r="E9" s="9">
        <v>43191</v>
      </c>
      <c r="F9" s="9">
        <v>43221</v>
      </c>
      <c r="G9" s="9">
        <v>43252</v>
      </c>
      <c r="H9" s="9">
        <v>43282</v>
      </c>
      <c r="I9" s="9">
        <v>43313</v>
      </c>
      <c r="J9" s="9">
        <v>43344</v>
      </c>
      <c r="K9" s="8">
        <v>43374</v>
      </c>
      <c r="L9" s="9">
        <v>43405</v>
      </c>
      <c r="M9" s="9">
        <v>43435</v>
      </c>
      <c r="N9" s="9">
        <v>43466</v>
      </c>
      <c r="O9" s="10">
        <v>43497</v>
      </c>
      <c r="P9" s="10">
        <v>43525</v>
      </c>
      <c r="Q9" s="10">
        <v>43556</v>
      </c>
      <c r="R9" s="10">
        <v>43586</v>
      </c>
      <c r="S9" s="10">
        <v>43617</v>
      </c>
      <c r="T9" s="10">
        <v>43647</v>
      </c>
      <c r="U9" s="10">
        <v>43678</v>
      </c>
      <c r="V9" s="10">
        <v>43709</v>
      </c>
      <c r="W9" s="10">
        <v>43739</v>
      </c>
      <c r="X9" s="10">
        <v>43770</v>
      </c>
      <c r="Y9" s="10">
        <v>43800</v>
      </c>
      <c r="Z9" s="10">
        <v>43831</v>
      </c>
      <c r="AA9" s="9">
        <v>43862</v>
      </c>
      <c r="AB9" s="9">
        <v>43891</v>
      </c>
      <c r="AC9" s="9">
        <v>43922</v>
      </c>
      <c r="AD9" s="9">
        <v>43952</v>
      </c>
      <c r="AE9" s="9">
        <v>43983</v>
      </c>
      <c r="AF9" s="9">
        <v>44013</v>
      </c>
      <c r="AG9" s="9">
        <v>44044</v>
      </c>
      <c r="AH9" s="9">
        <v>44075</v>
      </c>
      <c r="AI9" s="9">
        <v>44105</v>
      </c>
      <c r="AJ9" s="9">
        <v>44136</v>
      </c>
      <c r="AK9" s="9">
        <v>44166</v>
      </c>
      <c r="AL9" s="9">
        <v>44197</v>
      </c>
      <c r="AM9" s="10">
        <v>44228</v>
      </c>
      <c r="AN9" s="10">
        <v>44256</v>
      </c>
      <c r="AO9" s="10">
        <v>44287</v>
      </c>
      <c r="AP9" s="10">
        <v>44317</v>
      </c>
      <c r="AQ9" s="10">
        <v>44348</v>
      </c>
      <c r="AR9" s="10">
        <v>44378</v>
      </c>
      <c r="AS9" s="10">
        <v>44409</v>
      </c>
      <c r="AT9" s="10">
        <v>44440</v>
      </c>
      <c r="AU9" s="10">
        <v>44470</v>
      </c>
      <c r="AV9" s="10">
        <v>44501</v>
      </c>
      <c r="AW9" s="10">
        <v>44531</v>
      </c>
      <c r="AX9" s="10">
        <v>44562</v>
      </c>
      <c r="AY9" s="9">
        <v>44593</v>
      </c>
      <c r="AZ9" s="9">
        <v>44621</v>
      </c>
      <c r="BA9" s="9">
        <v>44652</v>
      </c>
      <c r="BB9" s="9">
        <v>44682</v>
      </c>
      <c r="BC9" s="9">
        <v>44713</v>
      </c>
      <c r="BD9" s="9">
        <v>44743</v>
      </c>
      <c r="BE9" s="9">
        <v>44774</v>
      </c>
      <c r="BF9" s="9">
        <v>44805</v>
      </c>
      <c r="BG9" s="9">
        <v>44835</v>
      </c>
      <c r="BH9" s="9">
        <v>44866</v>
      </c>
      <c r="BI9" s="9">
        <v>44896</v>
      </c>
      <c r="BJ9" s="9">
        <v>44927</v>
      </c>
    </row>
    <row r="10" spans="2:62" x14ac:dyDescent="0.25">
      <c r="B10" t="s">
        <v>87</v>
      </c>
      <c r="C10" s="20">
        <f t="shared" ref="C10:AH10" si="0">HLOOKUP(C7,$C$4:$V$5,2,FALSE)/3</f>
        <v>0</v>
      </c>
      <c r="D10" s="20">
        <f t="shared" si="0"/>
        <v>0</v>
      </c>
      <c r="E10" s="20">
        <f t="shared" si="0"/>
        <v>0</v>
      </c>
      <c r="F10" s="20">
        <f t="shared" si="0"/>
        <v>0</v>
      </c>
      <c r="G10" s="20">
        <f t="shared" si="0"/>
        <v>0</v>
      </c>
      <c r="H10" s="20">
        <f t="shared" si="0"/>
        <v>0</v>
      </c>
      <c r="I10" s="20">
        <f t="shared" si="0"/>
        <v>0</v>
      </c>
      <c r="J10" s="20">
        <f t="shared" si="0"/>
        <v>0</v>
      </c>
      <c r="K10" s="20">
        <f t="shared" si="0"/>
        <v>0</v>
      </c>
      <c r="L10" s="20">
        <f t="shared" si="0"/>
        <v>0</v>
      </c>
      <c r="M10" s="20">
        <f t="shared" si="0"/>
        <v>0</v>
      </c>
      <c r="N10" s="20">
        <f t="shared" si="0"/>
        <v>0</v>
      </c>
      <c r="O10" s="20">
        <f t="shared" si="0"/>
        <v>-251585.79179399976</v>
      </c>
      <c r="P10" s="20">
        <f t="shared" si="0"/>
        <v>-251585.79179399976</v>
      </c>
      <c r="Q10" s="20">
        <f t="shared" si="0"/>
        <v>-251585.79179399976</v>
      </c>
      <c r="R10" s="20">
        <f t="shared" si="0"/>
        <v>-421371.62341466657</v>
      </c>
      <c r="S10" s="20">
        <f t="shared" si="0"/>
        <v>-421371.62341466657</v>
      </c>
      <c r="T10" s="20">
        <f t="shared" si="0"/>
        <v>-421371.62341466657</v>
      </c>
      <c r="U10" s="20">
        <f t="shared" si="0"/>
        <v>-225323.66666666666</v>
      </c>
      <c r="V10" s="20">
        <f t="shared" si="0"/>
        <v>-225323.66666666666</v>
      </c>
      <c r="W10" s="20">
        <f t="shared" si="0"/>
        <v>-225323.66666666666</v>
      </c>
      <c r="X10" s="20">
        <f t="shared" si="0"/>
        <v>-399037.13994166674</v>
      </c>
      <c r="Y10" s="20">
        <f t="shared" si="0"/>
        <v>-399037.13994166674</v>
      </c>
      <c r="Z10" s="20">
        <f t="shared" si="0"/>
        <v>-399037.13994166674</v>
      </c>
      <c r="AA10" s="20">
        <f t="shared" si="0"/>
        <v>-120417.20999999998</v>
      </c>
      <c r="AB10" s="20">
        <f t="shared" si="0"/>
        <v>-120417.20999999998</v>
      </c>
      <c r="AC10" s="20">
        <f t="shared" si="0"/>
        <v>-120417.20999999998</v>
      </c>
      <c r="AD10" s="20">
        <f t="shared" si="0"/>
        <v>-312854.66666666669</v>
      </c>
      <c r="AE10" s="20">
        <f t="shared" si="0"/>
        <v>-312854.66666666669</v>
      </c>
      <c r="AF10" s="20">
        <f t="shared" si="0"/>
        <v>-312854.66666666669</v>
      </c>
      <c r="AG10" s="20">
        <f t="shared" si="0"/>
        <v>-219765.00000000038</v>
      </c>
      <c r="AH10" s="20">
        <f t="shared" si="0"/>
        <v>-219765.00000000038</v>
      </c>
      <c r="AI10" s="20">
        <f t="shared" ref="AI10:BJ10" si="1">HLOOKUP(AI7,$C$4:$V$5,2,FALSE)/3</f>
        <v>-219765.00000000038</v>
      </c>
      <c r="AJ10" s="20">
        <f t="shared" si="1"/>
        <v>-384072.1602406702</v>
      </c>
      <c r="AK10" s="20">
        <f t="shared" si="1"/>
        <v>-384072.1602406702</v>
      </c>
      <c r="AL10" s="20">
        <f t="shared" si="1"/>
        <v>-384072.1602406702</v>
      </c>
      <c r="AM10" s="20">
        <f t="shared" si="1"/>
        <v>-290242.06036759261</v>
      </c>
      <c r="AN10" s="20">
        <f t="shared" si="1"/>
        <v>-290242.06036759261</v>
      </c>
      <c r="AO10" s="20">
        <f t="shared" si="1"/>
        <v>-290242.06036759261</v>
      </c>
      <c r="AP10" s="20">
        <f t="shared" si="1"/>
        <v>-780734.13863130799</v>
      </c>
      <c r="AQ10" s="20">
        <f t="shared" si="1"/>
        <v>-780734.13863130799</v>
      </c>
      <c r="AR10" s="20">
        <f t="shared" si="1"/>
        <v>-780734.13863130799</v>
      </c>
      <c r="AS10" s="20">
        <f t="shared" si="1"/>
        <v>-1063724.5116936069</v>
      </c>
      <c r="AT10" s="20">
        <f t="shared" si="1"/>
        <v>-1063724.5116936069</v>
      </c>
      <c r="AU10" s="20">
        <f t="shared" si="1"/>
        <v>-1063724.5116936069</v>
      </c>
      <c r="AV10" s="20">
        <f t="shared" si="1"/>
        <v>-1299444.0254004376</v>
      </c>
      <c r="AW10" s="20">
        <f t="shared" si="1"/>
        <v>-1299444.0254004376</v>
      </c>
      <c r="AX10" s="20">
        <f t="shared" si="1"/>
        <v>-1299444.0254004376</v>
      </c>
      <c r="AY10" s="20">
        <f t="shared" si="1"/>
        <v>-1273760.2150549775</v>
      </c>
      <c r="AZ10" s="20">
        <f t="shared" si="1"/>
        <v>-1273760.2150549775</v>
      </c>
      <c r="BA10" s="20">
        <f t="shared" si="1"/>
        <v>-1273760.2150549775</v>
      </c>
      <c r="BB10" s="20">
        <f t="shared" si="1"/>
        <v>-919717.43604608811</v>
      </c>
      <c r="BC10" s="20">
        <f t="shared" si="1"/>
        <v>-919717.43604608811</v>
      </c>
      <c r="BD10" s="20">
        <f t="shared" si="1"/>
        <v>-919717.43604608811</v>
      </c>
      <c r="BE10" s="20">
        <f t="shared" si="1"/>
        <v>-1359595.7842776275</v>
      </c>
      <c r="BF10" s="20">
        <f t="shared" si="1"/>
        <v>-1359595.7842776275</v>
      </c>
      <c r="BG10" s="20">
        <f t="shared" si="1"/>
        <v>-1359595.7842776275</v>
      </c>
      <c r="BH10" s="20">
        <f t="shared" si="1"/>
        <v>-1253163.1784375932</v>
      </c>
      <c r="BI10" s="20">
        <f t="shared" si="1"/>
        <v>-1253163.1784375932</v>
      </c>
      <c r="BJ10" s="20">
        <f t="shared" si="1"/>
        <v>-1253163.1784375932</v>
      </c>
    </row>
    <row r="13" spans="2:62" x14ac:dyDescent="0.25">
      <c r="B13" s="3" t="s">
        <v>88</v>
      </c>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row>
    <row r="15" spans="2:62" x14ac:dyDescent="0.25">
      <c r="C15" s="31" t="s">
        <v>80</v>
      </c>
      <c r="D15" s="31" t="s">
        <v>81</v>
      </c>
      <c r="E15" s="31" t="s">
        <v>82</v>
      </c>
      <c r="F15" s="31" t="s">
        <v>83</v>
      </c>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6"/>
      <c r="BI15" s="16"/>
      <c r="BJ15" s="16"/>
    </row>
    <row r="16" spans="2:62" x14ac:dyDescent="0.25">
      <c r="B16" t="s">
        <v>58</v>
      </c>
      <c r="C16" s="16">
        <v>194035708.30878586</v>
      </c>
      <c r="D16" s="16">
        <v>166321688.31161398</v>
      </c>
      <c r="E16" s="16">
        <v>149005053.84623873</v>
      </c>
      <c r="F16" s="16">
        <v>129515990.37792772</v>
      </c>
      <c r="G16" s="16"/>
      <c r="H16" s="16"/>
      <c r="I16" s="16"/>
      <c r="J16" s="16"/>
      <c r="K16" s="16"/>
      <c r="L16" s="16"/>
      <c r="M16" s="16"/>
      <c r="N16" s="16"/>
      <c r="O16" s="16"/>
      <c r="P16" s="16"/>
      <c r="Q16" s="16"/>
      <c r="R16" s="16"/>
    </row>
    <row r="17" spans="2:14" x14ac:dyDescent="0.25">
      <c r="B17" t="s">
        <v>59</v>
      </c>
      <c r="C17" s="16">
        <v>43539845.440796778</v>
      </c>
      <c r="D17" s="16">
        <v>47429280.454986781</v>
      </c>
      <c r="E17" s="16">
        <v>53354859.790179886</v>
      </c>
      <c r="F17" s="16">
        <v>63456668.902114823</v>
      </c>
    </row>
    <row r="18" spans="2:14" x14ac:dyDescent="0.25">
      <c r="B18" t="s">
        <v>60</v>
      </c>
      <c r="C18" s="16">
        <v>-71253865.437968642</v>
      </c>
      <c r="D18" s="16">
        <v>-64745914.92036204</v>
      </c>
      <c r="E18" s="16">
        <v>-72843923.25849089</v>
      </c>
      <c r="F18" s="16">
        <v>-77021286.465521261</v>
      </c>
    </row>
    <row r="19" spans="2:14" x14ac:dyDescent="0.25">
      <c r="B19" t="s">
        <v>61</v>
      </c>
      <c r="C19" s="27">
        <v>0</v>
      </c>
      <c r="D19" s="27">
        <v>0</v>
      </c>
      <c r="E19" s="27">
        <v>0</v>
      </c>
      <c r="F19" s="27">
        <v>0</v>
      </c>
    </row>
    <row r="20" spans="2:14" x14ac:dyDescent="0.25">
      <c r="B20" s="1" t="s">
        <v>62</v>
      </c>
      <c r="C20" s="18">
        <v>166321688.31161398</v>
      </c>
      <c r="D20" s="18">
        <v>149005053.84623873</v>
      </c>
      <c r="E20" s="18">
        <v>129515990.37792772</v>
      </c>
      <c r="F20" s="18">
        <v>115951372.81452128</v>
      </c>
    </row>
    <row r="21" spans="2:14" x14ac:dyDescent="0.25">
      <c r="C21" s="16">
        <f>SUM(C16:C19)-C20</f>
        <v>0</v>
      </c>
      <c r="D21" s="16">
        <f t="shared" ref="D21:F21" si="2">SUM(D16:D19)-D20</f>
        <v>0</v>
      </c>
      <c r="E21" s="16">
        <f t="shared" si="2"/>
        <v>0</v>
      </c>
      <c r="F21" s="16">
        <f t="shared" si="2"/>
        <v>0</v>
      </c>
    </row>
    <row r="23" spans="2:14" x14ac:dyDescent="0.25">
      <c r="C23" s="31" t="s">
        <v>80</v>
      </c>
      <c r="D23" s="32" t="str">
        <f>C23</f>
        <v>Q1 FY23</v>
      </c>
      <c r="E23" s="32" t="str">
        <f>D23</f>
        <v>Q1 FY23</v>
      </c>
      <c r="F23" s="31" t="s">
        <v>81</v>
      </c>
      <c r="G23" s="32" t="str">
        <f>F23</f>
        <v>Q2 FY23</v>
      </c>
      <c r="H23" s="32" t="str">
        <f>G23</f>
        <v>Q2 FY23</v>
      </c>
      <c r="I23" s="31" t="s">
        <v>82</v>
      </c>
      <c r="J23" s="32" t="str">
        <f>I23</f>
        <v>Q3 FY23</v>
      </c>
      <c r="K23" s="32" t="str">
        <f>J23</f>
        <v>Q3 FY23</v>
      </c>
      <c r="L23" s="31" t="s">
        <v>83</v>
      </c>
      <c r="M23" s="32" t="str">
        <f>L23</f>
        <v>Q4 FY23</v>
      </c>
      <c r="N23" s="32" t="str">
        <f>M23</f>
        <v>Q4 FY23</v>
      </c>
    </row>
    <row r="24" spans="2:14" x14ac:dyDescent="0.25">
      <c r="C24" s="13" t="s">
        <v>40</v>
      </c>
      <c r="D24" s="13"/>
      <c r="E24" s="13"/>
      <c r="F24" s="13"/>
      <c r="G24" s="13"/>
      <c r="H24" s="13"/>
      <c r="I24" s="13"/>
      <c r="J24" s="13"/>
      <c r="K24" s="13"/>
      <c r="L24" s="13"/>
      <c r="M24" s="13"/>
      <c r="N24" s="13"/>
    </row>
    <row r="25" spans="2:14" x14ac:dyDescent="0.25">
      <c r="C25" s="9">
        <v>44593</v>
      </c>
      <c r="D25" s="9">
        <v>44621</v>
      </c>
      <c r="E25" s="9">
        <v>44652</v>
      </c>
      <c r="F25" s="9">
        <v>44682</v>
      </c>
      <c r="G25" s="9">
        <v>44713</v>
      </c>
      <c r="H25" s="9">
        <v>44743</v>
      </c>
      <c r="I25" s="9">
        <v>44774</v>
      </c>
      <c r="J25" s="9">
        <v>44805</v>
      </c>
      <c r="K25" s="9">
        <v>44835</v>
      </c>
      <c r="L25" s="9">
        <v>44866</v>
      </c>
      <c r="M25" s="9">
        <v>44896</v>
      </c>
      <c r="N25" s="9">
        <v>44927</v>
      </c>
    </row>
    <row r="26" spans="2:14" x14ac:dyDescent="0.25">
      <c r="B26" t="s">
        <v>58</v>
      </c>
      <c r="C26" s="20">
        <f>C16</f>
        <v>194035708.30878586</v>
      </c>
      <c r="D26" s="20">
        <f>C30</f>
        <v>184797701.64306191</v>
      </c>
      <c r="E26" s="20">
        <f t="shared" ref="E26:N26" si="3">D30</f>
        <v>175559694.97733796</v>
      </c>
      <c r="F26" s="20">
        <f t="shared" si="3"/>
        <v>166321688.31161401</v>
      </c>
      <c r="G26" s="20">
        <f t="shared" si="3"/>
        <v>160549476.82315558</v>
      </c>
      <c r="H26" s="20">
        <f t="shared" si="3"/>
        <v>154777265.33469716</v>
      </c>
      <c r="I26" s="20">
        <f t="shared" si="3"/>
        <v>149005053.84623873</v>
      </c>
      <c r="J26" s="20">
        <f t="shared" si="3"/>
        <v>142508699.35680172</v>
      </c>
      <c r="K26" s="20">
        <f t="shared" si="3"/>
        <v>136012344.8673647</v>
      </c>
      <c r="L26" s="20">
        <f t="shared" si="3"/>
        <v>129515990.37792769</v>
      </c>
      <c r="M26" s="20">
        <f t="shared" si="3"/>
        <v>124994451.19012555</v>
      </c>
      <c r="N26" s="20">
        <f t="shared" si="3"/>
        <v>120472912.00232342</v>
      </c>
    </row>
    <row r="27" spans="2:14" x14ac:dyDescent="0.25">
      <c r="B27" t="s">
        <v>59</v>
      </c>
      <c r="C27" s="16">
        <f>HLOOKUP(C$23,$C$15:$F$19,3,FALSE)/3</f>
        <v>14513281.813598925</v>
      </c>
      <c r="D27" s="16">
        <f>HLOOKUP(D$23,$C$15:$F$19,3,FALSE)/3</f>
        <v>14513281.813598925</v>
      </c>
      <c r="E27" s="16">
        <f t="shared" ref="E27:N27" si="4">HLOOKUP(E$23,$C$15:$F$19,3,FALSE)/3</f>
        <v>14513281.813598925</v>
      </c>
      <c r="F27" s="16">
        <f t="shared" si="4"/>
        <v>15809760.15166226</v>
      </c>
      <c r="G27" s="16">
        <f t="shared" si="4"/>
        <v>15809760.15166226</v>
      </c>
      <c r="H27" s="16">
        <f t="shared" si="4"/>
        <v>15809760.15166226</v>
      </c>
      <c r="I27" s="16">
        <f t="shared" si="4"/>
        <v>17784953.263393294</v>
      </c>
      <c r="J27" s="16">
        <f t="shared" si="4"/>
        <v>17784953.263393294</v>
      </c>
      <c r="K27" s="16">
        <f t="shared" si="4"/>
        <v>17784953.263393294</v>
      </c>
      <c r="L27" s="16">
        <f t="shared" si="4"/>
        <v>21152222.967371609</v>
      </c>
      <c r="M27" s="16">
        <f t="shared" si="4"/>
        <v>21152222.967371609</v>
      </c>
      <c r="N27" s="16">
        <f t="shared" si="4"/>
        <v>21152222.967371609</v>
      </c>
    </row>
    <row r="28" spans="2:14" x14ac:dyDescent="0.25">
      <c r="B28" t="s">
        <v>60</v>
      </c>
      <c r="C28" s="16">
        <f>HLOOKUP(C$23,$C$15:$F$19,4,FALSE)/3</f>
        <v>-23751288.479322881</v>
      </c>
      <c r="D28" s="16">
        <f>HLOOKUP(D$23,$C$15:$F$19,4,FALSE)/3</f>
        <v>-23751288.479322881</v>
      </c>
      <c r="E28" s="16">
        <f t="shared" ref="E28:N28" si="5">HLOOKUP(E$23,$C$15:$F$19,4,FALSE)/3</f>
        <v>-23751288.479322881</v>
      </c>
      <c r="F28" s="16">
        <f t="shared" si="5"/>
        <v>-21581971.640120681</v>
      </c>
      <c r="G28" s="16">
        <f t="shared" si="5"/>
        <v>-21581971.640120681</v>
      </c>
      <c r="H28" s="16">
        <f t="shared" si="5"/>
        <v>-21581971.640120681</v>
      </c>
      <c r="I28" s="16">
        <f t="shared" si="5"/>
        <v>-24281307.752830297</v>
      </c>
      <c r="J28" s="16">
        <f t="shared" si="5"/>
        <v>-24281307.752830297</v>
      </c>
      <c r="K28" s="16">
        <f t="shared" si="5"/>
        <v>-24281307.752830297</v>
      </c>
      <c r="L28" s="16">
        <f t="shared" si="5"/>
        <v>-25673762.155173752</v>
      </c>
      <c r="M28" s="16">
        <f t="shared" si="5"/>
        <v>-25673762.155173752</v>
      </c>
      <c r="N28" s="16">
        <f t="shared" si="5"/>
        <v>-25673762.155173752</v>
      </c>
    </row>
    <row r="29" spans="2:14" x14ac:dyDescent="0.25">
      <c r="B29" t="s">
        <v>61</v>
      </c>
      <c r="C29" s="27">
        <v>0</v>
      </c>
      <c r="D29" s="27">
        <v>0</v>
      </c>
      <c r="E29" s="27">
        <v>0</v>
      </c>
      <c r="F29" s="27">
        <v>0</v>
      </c>
      <c r="G29" s="27">
        <v>0</v>
      </c>
      <c r="H29" s="27">
        <v>0</v>
      </c>
      <c r="I29" s="27">
        <v>0</v>
      </c>
      <c r="J29" s="27">
        <v>0</v>
      </c>
      <c r="K29" s="27">
        <v>0</v>
      </c>
      <c r="L29" s="27">
        <v>0</v>
      </c>
      <c r="M29" s="27">
        <v>0</v>
      </c>
      <c r="N29" s="27">
        <v>0</v>
      </c>
    </row>
    <row r="30" spans="2:14" x14ac:dyDescent="0.25">
      <c r="B30" s="1" t="s">
        <v>62</v>
      </c>
      <c r="C30" s="18">
        <f>SUM(C26:C29)</f>
        <v>184797701.64306191</v>
      </c>
      <c r="D30" s="18">
        <f>SUM(D26:D29)</f>
        <v>175559694.97733796</v>
      </c>
      <c r="E30" s="18">
        <f t="shared" ref="E30:N30" si="6">SUM(E26:E29)</f>
        <v>166321688.31161401</v>
      </c>
      <c r="F30" s="18">
        <f t="shared" si="6"/>
        <v>160549476.82315558</v>
      </c>
      <c r="G30" s="18">
        <f t="shared" si="6"/>
        <v>154777265.33469716</v>
      </c>
      <c r="H30" s="18">
        <f t="shared" si="6"/>
        <v>149005053.84623873</v>
      </c>
      <c r="I30" s="18">
        <f t="shared" si="6"/>
        <v>142508699.35680172</v>
      </c>
      <c r="J30" s="18">
        <f t="shared" si="6"/>
        <v>136012344.8673647</v>
      </c>
      <c r="K30" s="18">
        <f t="shared" si="6"/>
        <v>129515990.37792769</v>
      </c>
      <c r="L30" s="18">
        <f t="shared" si="6"/>
        <v>124994451.19012555</v>
      </c>
      <c r="M30" s="18">
        <f t="shared" si="6"/>
        <v>120472912.00232342</v>
      </c>
      <c r="N30" s="18">
        <f t="shared" si="6"/>
        <v>115951372.81452128</v>
      </c>
    </row>
    <row r="37" spans="2:50" x14ac:dyDescent="0.25">
      <c r="C37" s="71" t="s">
        <v>36</v>
      </c>
      <c r="D37" s="71"/>
      <c r="E37" s="71"/>
      <c r="F37" s="71"/>
      <c r="G37" s="71"/>
      <c r="H37" s="71"/>
      <c r="I37" s="71"/>
      <c r="J37" s="71"/>
      <c r="K37" s="71"/>
      <c r="L37" s="71"/>
      <c r="M37" s="71"/>
      <c r="N37" s="71"/>
      <c r="O37" s="69" t="s">
        <v>37</v>
      </c>
      <c r="P37" s="69"/>
      <c r="Q37" s="69"/>
      <c r="R37" s="69"/>
      <c r="S37" s="69"/>
      <c r="T37" s="69"/>
      <c r="U37" s="69"/>
      <c r="V37" s="69"/>
      <c r="W37" s="69"/>
      <c r="X37" s="69"/>
      <c r="Y37" s="69"/>
      <c r="Z37" s="69"/>
      <c r="AA37" s="71" t="s">
        <v>38</v>
      </c>
      <c r="AB37" s="71"/>
      <c r="AC37" s="71"/>
      <c r="AD37" s="71"/>
      <c r="AE37" s="71"/>
      <c r="AF37" s="71"/>
      <c r="AG37" s="71"/>
      <c r="AH37" s="71"/>
      <c r="AI37" s="71"/>
      <c r="AJ37" s="71"/>
      <c r="AK37" s="71"/>
      <c r="AL37" s="71"/>
      <c r="AM37" s="69" t="s">
        <v>39</v>
      </c>
      <c r="AN37" s="69"/>
      <c r="AO37" s="69"/>
      <c r="AP37" s="69"/>
      <c r="AQ37" s="69"/>
      <c r="AR37" s="69"/>
      <c r="AS37" s="69"/>
      <c r="AT37" s="69"/>
      <c r="AU37" s="69"/>
      <c r="AV37" s="69"/>
      <c r="AW37" s="69"/>
      <c r="AX37" s="69"/>
    </row>
    <row r="38" spans="2:50" x14ac:dyDescent="0.25">
      <c r="C38" s="72">
        <v>43132</v>
      </c>
      <c r="D38" s="72">
        <v>43160</v>
      </c>
      <c r="E38" s="73">
        <v>43191</v>
      </c>
      <c r="F38" s="73">
        <v>43221</v>
      </c>
      <c r="G38" s="73">
        <v>43252</v>
      </c>
      <c r="H38" s="73">
        <v>43282</v>
      </c>
      <c r="I38" s="73">
        <v>43313</v>
      </c>
      <c r="J38" s="73">
        <v>43344</v>
      </c>
      <c r="K38" s="74">
        <v>43374</v>
      </c>
      <c r="L38" s="73">
        <v>43405</v>
      </c>
      <c r="M38" s="73">
        <v>43435</v>
      </c>
      <c r="N38" s="73">
        <v>43466</v>
      </c>
      <c r="O38" s="75">
        <v>43497</v>
      </c>
      <c r="P38" s="75">
        <v>43525</v>
      </c>
      <c r="Q38" s="75">
        <v>43556</v>
      </c>
      <c r="R38" s="75">
        <v>43586</v>
      </c>
      <c r="S38" s="75">
        <v>43617</v>
      </c>
      <c r="T38" s="75">
        <v>43647</v>
      </c>
      <c r="U38" s="75">
        <v>43678</v>
      </c>
      <c r="V38" s="75">
        <v>43709</v>
      </c>
      <c r="W38" s="75">
        <v>43739</v>
      </c>
      <c r="X38" s="75">
        <v>43770</v>
      </c>
      <c r="Y38" s="75">
        <v>43800</v>
      </c>
      <c r="Z38" s="75">
        <v>43831</v>
      </c>
      <c r="AA38" s="73">
        <v>43862</v>
      </c>
      <c r="AB38" s="73">
        <v>43891</v>
      </c>
      <c r="AC38" s="73">
        <v>43922</v>
      </c>
      <c r="AD38" s="73">
        <v>43952</v>
      </c>
      <c r="AE38" s="73">
        <v>43983</v>
      </c>
      <c r="AF38" s="73">
        <v>44013</v>
      </c>
      <c r="AG38" s="73">
        <v>44044</v>
      </c>
      <c r="AH38" s="73">
        <v>44075</v>
      </c>
      <c r="AI38" s="73">
        <v>44105</v>
      </c>
      <c r="AJ38" s="73">
        <v>44136</v>
      </c>
      <c r="AK38" s="73">
        <v>44166</v>
      </c>
      <c r="AL38" s="73">
        <v>44197</v>
      </c>
      <c r="AM38" s="75">
        <v>44228</v>
      </c>
      <c r="AN38" s="75">
        <v>44256</v>
      </c>
      <c r="AO38" s="75">
        <v>44287</v>
      </c>
      <c r="AP38" s="75">
        <v>44317</v>
      </c>
      <c r="AQ38" s="75">
        <v>44348</v>
      </c>
      <c r="AR38" s="75">
        <v>44378</v>
      </c>
      <c r="AS38" s="75">
        <v>44409</v>
      </c>
      <c r="AT38" s="75">
        <v>44440</v>
      </c>
      <c r="AU38" s="75">
        <v>44470</v>
      </c>
      <c r="AV38" s="75">
        <v>44501</v>
      </c>
      <c r="AW38" s="75">
        <v>44531</v>
      </c>
      <c r="AX38" s="75">
        <v>44562</v>
      </c>
    </row>
    <row r="39" spans="2:50" x14ac:dyDescent="0.25">
      <c r="B39" t="s">
        <v>58</v>
      </c>
      <c r="C39" s="16">
        <v>33601000</v>
      </c>
      <c r="D39" s="16">
        <v>30908000</v>
      </c>
      <c r="E39" s="16">
        <v>29751252.227858581</v>
      </c>
      <c r="F39" s="16">
        <v>28212770.124567442</v>
      </c>
      <c r="G39" s="16">
        <v>26828045.664567441</v>
      </c>
      <c r="H39" s="16">
        <v>25053116.18456744</v>
      </c>
      <c r="I39" s="16">
        <v>23776766.444567442</v>
      </c>
      <c r="J39" s="16">
        <v>71460969.974567443</v>
      </c>
      <c r="K39" s="16">
        <v>69370126.044567436</v>
      </c>
      <c r="L39" s="16">
        <v>67665568.374567434</v>
      </c>
      <c r="M39" s="16">
        <v>64055153.52456744</v>
      </c>
      <c r="N39" s="16">
        <v>61392734.444567442</v>
      </c>
      <c r="O39" s="16">
        <v>63401484.154567443</v>
      </c>
      <c r="P39" s="16">
        <v>56750586</v>
      </c>
      <c r="Q39" s="16">
        <v>53238498</v>
      </c>
      <c r="R39" s="16">
        <v>48175318.490000002</v>
      </c>
      <c r="S39" s="16">
        <v>44147531.289999999</v>
      </c>
      <c r="T39" s="16">
        <v>41703546</v>
      </c>
      <c r="U39" s="16">
        <v>41429539.450000003</v>
      </c>
      <c r="V39" s="16">
        <v>38291624.450000003</v>
      </c>
      <c r="W39" s="16">
        <v>35664372.490000002</v>
      </c>
      <c r="X39" s="16">
        <v>132459700.2</v>
      </c>
      <c r="Y39" s="16">
        <v>128008357.45999999</v>
      </c>
      <c r="Z39" s="16">
        <v>126099865.05</v>
      </c>
      <c r="AA39" s="100">
        <v>127948489</v>
      </c>
      <c r="AB39" s="16">
        <v>119257943.236</v>
      </c>
      <c r="AC39" s="16">
        <v>115335263.0008</v>
      </c>
      <c r="AD39" s="16">
        <v>113930231.9998</v>
      </c>
      <c r="AE39" s="16">
        <v>107616850.00053999</v>
      </c>
      <c r="AF39" s="16">
        <v>104613278.82773998</v>
      </c>
      <c r="AG39" s="16">
        <v>103352980.40773998</v>
      </c>
      <c r="AH39" s="16">
        <v>100208376.29277998</v>
      </c>
      <c r="AI39" s="16">
        <v>98942438.337039977</v>
      </c>
      <c r="AJ39" s="16">
        <v>98528151.126639977</v>
      </c>
      <c r="AK39" s="16">
        <v>95916201.318802193</v>
      </c>
      <c r="AL39" s="16">
        <v>94172541.173202187</v>
      </c>
      <c r="AM39" s="16">
        <v>96304544.183695585</v>
      </c>
      <c r="AN39" s="16">
        <v>93950941.221695587</v>
      </c>
      <c r="AO39" s="16">
        <v>90695742.135095581</v>
      </c>
      <c r="AP39" s="16">
        <v>86058441.69929558</v>
      </c>
      <c r="AQ39" s="16">
        <v>79600356.420295581</v>
      </c>
      <c r="AR39" s="16">
        <v>75904722.730695575</v>
      </c>
      <c r="AS39" s="16">
        <v>224136402.30269557</v>
      </c>
      <c r="AT39" s="16">
        <v>220170827.72599271</v>
      </c>
      <c r="AU39" s="16">
        <v>213941858.10291961</v>
      </c>
      <c r="AV39" s="16">
        <v>207551271.39115179</v>
      </c>
      <c r="AW39" s="16">
        <v>203322286.0424726</v>
      </c>
      <c r="AX39" s="16">
        <v>196554464.20449138</v>
      </c>
    </row>
    <row r="40" spans="2:50" x14ac:dyDescent="0.25">
      <c r="B40" s="2" t="s">
        <v>59</v>
      </c>
      <c r="C40" s="16">
        <v>1370244</v>
      </c>
      <c r="D40" s="16">
        <v>2077141.2278585816</v>
      </c>
      <c r="E40" s="16">
        <v>1504761.9367088601</v>
      </c>
      <c r="F40" s="16">
        <v>2399752.5100000002</v>
      </c>
      <c r="G40" s="16">
        <v>1375496.99</v>
      </c>
      <c r="H40" s="16">
        <v>2261048.5</v>
      </c>
      <c r="I40" s="16">
        <v>1995954.78</v>
      </c>
      <c r="J40" s="16">
        <v>2296083.36</v>
      </c>
      <c r="K40" s="16">
        <v>2808306.96</v>
      </c>
      <c r="L40" s="16">
        <v>2195405.69</v>
      </c>
      <c r="M40" s="16">
        <v>1823976.53</v>
      </c>
      <c r="N40" s="16">
        <v>7156666</v>
      </c>
      <c r="O40" s="16">
        <v>2129583</v>
      </c>
      <c r="P40" s="16">
        <v>3375041</v>
      </c>
      <c r="Q40" s="16">
        <v>3199797.43</v>
      </c>
      <c r="R40" s="16">
        <v>3528815.9899999998</v>
      </c>
      <c r="S40" s="16">
        <v>3628605.05</v>
      </c>
      <c r="T40" s="16">
        <v>5696912.9299999997</v>
      </c>
      <c r="U40" s="16">
        <v>5078688.9000000004</v>
      </c>
      <c r="V40" s="16">
        <v>4104891.1199999996</v>
      </c>
      <c r="W40" s="16">
        <v>3492928.6799999997</v>
      </c>
      <c r="X40" s="16">
        <v>4231013.3</v>
      </c>
      <c r="Y40" s="16">
        <v>5467016.3799999999</v>
      </c>
      <c r="Z40" s="16">
        <v>9225318.9700000007</v>
      </c>
      <c r="AA40" s="16">
        <v>3995816.56</v>
      </c>
      <c r="AB40" s="16">
        <v>5439023</v>
      </c>
      <c r="AC40" s="16">
        <v>4312512</v>
      </c>
      <c r="AD40" s="16">
        <v>3285131</v>
      </c>
      <c r="AE40" s="16">
        <v>4126570</v>
      </c>
      <c r="AF40" s="16">
        <v>7827107</v>
      </c>
      <c r="AG40" s="16">
        <v>4974518.99</v>
      </c>
      <c r="AH40" s="16">
        <v>6212005</v>
      </c>
      <c r="AI40" s="16">
        <v>9038265</v>
      </c>
      <c r="AJ40" s="16">
        <v>5860794</v>
      </c>
      <c r="AK40" s="16">
        <v>7024999.8099999996</v>
      </c>
      <c r="AL40" s="16">
        <v>13751732.75</v>
      </c>
      <c r="AM40" s="16">
        <v>8548745.2699999996</v>
      </c>
      <c r="AN40" s="16">
        <v>9589720.2899999991</v>
      </c>
      <c r="AO40" s="16">
        <v>10007274.33</v>
      </c>
      <c r="AP40" s="16">
        <v>6082815.0899999999</v>
      </c>
      <c r="AQ40" s="16">
        <v>9692067.2700000014</v>
      </c>
      <c r="AR40" s="16">
        <v>11851688.25</v>
      </c>
      <c r="AS40" s="16">
        <v>13218819.17296505</v>
      </c>
      <c r="AT40" s="16">
        <v>9274054.3798519559</v>
      </c>
      <c r="AU40" s="16">
        <v>11483820.61585122</v>
      </c>
      <c r="AV40" s="16">
        <v>14132810.164561829</v>
      </c>
      <c r="AW40" s="16">
        <v>10424142.418256773</v>
      </c>
      <c r="AX40" s="16">
        <v>16152002.132437872</v>
      </c>
    </row>
    <row r="41" spans="2:50" x14ac:dyDescent="0.25">
      <c r="B41" s="2" t="s">
        <v>60</v>
      </c>
      <c r="C41" s="16">
        <v>-4063244</v>
      </c>
      <c r="D41" s="16">
        <v>-3233889</v>
      </c>
      <c r="E41" s="16">
        <v>-3043244.04</v>
      </c>
      <c r="F41" s="16">
        <v>-3784476.9699999997</v>
      </c>
      <c r="G41" s="16">
        <v>-3150426.47</v>
      </c>
      <c r="H41" s="16">
        <v>-3537398.24</v>
      </c>
      <c r="I41" s="16">
        <v>-4374975.25</v>
      </c>
      <c r="J41" s="16">
        <v>-4074998.29</v>
      </c>
      <c r="K41" s="16">
        <v>-4586506.63</v>
      </c>
      <c r="L41" s="16">
        <v>-5662326.9699999997</v>
      </c>
      <c r="M41" s="16">
        <v>-4352581.87</v>
      </c>
      <c r="N41" s="16">
        <v>-5053189.99</v>
      </c>
      <c r="O41" s="16">
        <v>-8838406.2300000004</v>
      </c>
      <c r="P41" s="16">
        <v>-7108857.0299999993</v>
      </c>
      <c r="Q41" s="16">
        <v>-5093029.8</v>
      </c>
      <c r="R41" s="16">
        <v>-8033560.8100000005</v>
      </c>
      <c r="S41" s="16">
        <v>-6161130.290000001</v>
      </c>
      <c r="T41" s="16">
        <v>-6288023.4799999995</v>
      </c>
      <c r="U41" s="16">
        <v>-8422601.2400000002</v>
      </c>
      <c r="V41" s="16">
        <v>-6997562.0900000008</v>
      </c>
      <c r="W41" s="16">
        <v>-6893172.3500000006</v>
      </c>
      <c r="X41" s="16">
        <v>-8830481.9900000021</v>
      </c>
      <c r="Y41" s="16">
        <v>-7394155.3399999999</v>
      </c>
      <c r="Z41" s="16">
        <v>-7591373.6600000001</v>
      </c>
      <c r="AA41" s="16">
        <v>-12735646.324000001</v>
      </c>
      <c r="AB41" s="16">
        <v>-9480173.7952000014</v>
      </c>
      <c r="AC41" s="16">
        <v>-5894698.2710000006</v>
      </c>
      <c r="AD41" s="16">
        <v>-9361399.2692600004</v>
      </c>
      <c r="AE41" s="16">
        <v>-7226248.1728000008</v>
      </c>
      <c r="AF41" s="16">
        <v>-9473569.4199999999</v>
      </c>
      <c r="AG41" s="16">
        <v>-8293426.1049600001</v>
      </c>
      <c r="AH41" s="16">
        <v>-7704425.9557400001</v>
      </c>
      <c r="AI41" s="16">
        <v>-9664734.2104000002</v>
      </c>
      <c r="AJ41" s="16">
        <v>-8532911.8078377862</v>
      </c>
      <c r="AK41" s="16">
        <v>-9792733.5756000001</v>
      </c>
      <c r="AL41" s="16">
        <v>-11718776.129506599</v>
      </c>
      <c r="AM41" s="16">
        <v>-11566630.972000003</v>
      </c>
      <c r="AN41" s="16">
        <v>-13095787.686600002</v>
      </c>
      <c r="AO41" s="16">
        <v>-14737130.935799999</v>
      </c>
      <c r="AP41" s="16">
        <v>-12851858.848999999</v>
      </c>
      <c r="AQ41" s="16">
        <v>-13534714.239600001</v>
      </c>
      <c r="AR41" s="16">
        <v>-13374912.117999999</v>
      </c>
      <c r="AS41" s="16">
        <v>-15238962.974592345</v>
      </c>
      <c r="AT41" s="16">
        <v>-16823671.573220603</v>
      </c>
      <c r="AU41" s="16">
        <v>-19023844.770456757</v>
      </c>
      <c r="AV41" s="16">
        <v>-17042412.849300899</v>
      </c>
      <c r="AW41" s="16">
        <v>-18652744.128416739</v>
      </c>
      <c r="AX41" s="16">
        <v>-21404409.83389895</v>
      </c>
    </row>
    <row r="42" spans="2:50" x14ac:dyDescent="0.25">
      <c r="B42" s="2" t="s">
        <v>219</v>
      </c>
      <c r="C42" s="16">
        <v>0</v>
      </c>
      <c r="D42" s="16">
        <v>0</v>
      </c>
      <c r="E42" s="16">
        <v>0</v>
      </c>
      <c r="F42" s="16">
        <v>0</v>
      </c>
      <c r="G42" s="16">
        <v>0</v>
      </c>
      <c r="H42" s="16">
        <v>0</v>
      </c>
      <c r="I42" s="16">
        <v>0</v>
      </c>
      <c r="J42" s="16">
        <v>-390656</v>
      </c>
      <c r="K42" s="16">
        <v>-12000</v>
      </c>
      <c r="L42" s="16">
        <v>-183067.25</v>
      </c>
      <c r="M42" s="16">
        <v>-249957.5</v>
      </c>
      <c r="N42" s="16">
        <v>-190909</v>
      </c>
      <c r="O42" s="16">
        <v>-6752.9245674490994</v>
      </c>
      <c r="P42" s="16">
        <v>-28029.969999995828</v>
      </c>
      <c r="Q42" s="16">
        <v>-3322853.14</v>
      </c>
      <c r="R42" s="16">
        <v>105433</v>
      </c>
      <c r="S42" s="16">
        <v>-7560</v>
      </c>
      <c r="T42" s="16">
        <v>0</v>
      </c>
      <c r="U42" s="16">
        <v>0</v>
      </c>
      <c r="V42" s="16">
        <v>0</v>
      </c>
      <c r="W42" s="16">
        <v>0</v>
      </c>
      <c r="X42" s="16">
        <v>0</v>
      </c>
      <c r="Y42" s="16">
        <v>-189409</v>
      </c>
      <c r="Z42" s="16">
        <v>-55374</v>
      </c>
      <c r="AA42" s="16">
        <v>-76123</v>
      </c>
      <c r="AB42" s="16">
        <v>317.56</v>
      </c>
      <c r="AC42" s="16">
        <v>15107.27</v>
      </c>
      <c r="AD42" s="16">
        <v>-349997.73</v>
      </c>
      <c r="AE42" s="16">
        <v>-446</v>
      </c>
      <c r="AF42" s="16">
        <v>30923</v>
      </c>
      <c r="AG42" s="16">
        <v>68</v>
      </c>
      <c r="AH42" s="16">
        <v>0</v>
      </c>
      <c r="AI42" s="16">
        <v>0</v>
      </c>
      <c r="AJ42" s="16">
        <v>0</v>
      </c>
      <c r="AK42" s="16">
        <v>0</v>
      </c>
      <c r="AL42" s="16">
        <v>0</v>
      </c>
      <c r="AM42" s="16">
        <v>0</v>
      </c>
      <c r="AN42" s="16">
        <v>0</v>
      </c>
      <c r="AO42" s="16">
        <v>0</v>
      </c>
      <c r="AP42" s="16">
        <v>0</v>
      </c>
      <c r="AQ42" s="16">
        <v>0</v>
      </c>
      <c r="AR42" s="16">
        <v>0</v>
      </c>
      <c r="AS42" s="16">
        <v>0</v>
      </c>
      <c r="AT42" s="16">
        <v>0</v>
      </c>
      <c r="AU42" s="16">
        <v>0</v>
      </c>
      <c r="AV42" s="16">
        <v>0</v>
      </c>
      <c r="AW42" s="16">
        <v>0</v>
      </c>
      <c r="AX42" s="16">
        <v>0</v>
      </c>
    </row>
    <row r="43" spans="2:50" x14ac:dyDescent="0.25">
      <c r="B43" s="2" t="s">
        <v>61</v>
      </c>
      <c r="C43" s="27">
        <v>0</v>
      </c>
      <c r="D43" s="27">
        <v>0</v>
      </c>
      <c r="E43" s="27">
        <v>0</v>
      </c>
      <c r="F43" s="27">
        <v>0</v>
      </c>
      <c r="G43" s="27">
        <v>0</v>
      </c>
      <c r="H43" s="27">
        <v>0</v>
      </c>
      <c r="I43" s="27">
        <v>50005437</v>
      </c>
      <c r="J43" s="27">
        <v>14114</v>
      </c>
      <c r="K43" s="27">
        <v>0</v>
      </c>
      <c r="L43" s="27">
        <v>659.81</v>
      </c>
      <c r="M43" s="27">
        <v>21574.5</v>
      </c>
      <c r="N43" s="27">
        <v>22462</v>
      </c>
      <c r="O43" s="27">
        <v>4325</v>
      </c>
      <c r="P43" s="27">
        <v>120758</v>
      </c>
      <c r="Q43" s="27">
        <v>3806</v>
      </c>
      <c r="R43" s="27">
        <v>326362.62</v>
      </c>
      <c r="S43" s="27">
        <v>11767.95</v>
      </c>
      <c r="T43" s="27">
        <v>209107</v>
      </c>
      <c r="U43" s="27">
        <v>118491.35</v>
      </c>
      <c r="V43" s="27">
        <v>74232.37</v>
      </c>
      <c r="W43" s="27">
        <v>100025599.2</v>
      </c>
      <c r="X43" s="27">
        <v>3491</v>
      </c>
      <c r="Y43" s="27">
        <v>139075.66</v>
      </c>
      <c r="Z43" s="27">
        <v>70333</v>
      </c>
      <c r="AA43" s="27">
        <v>39673</v>
      </c>
      <c r="AB43" s="27">
        <v>21173</v>
      </c>
      <c r="AC43" s="27">
        <v>3048</v>
      </c>
      <c r="AD43" s="27">
        <v>-22515</v>
      </c>
      <c r="AE43" s="27">
        <v>10874</v>
      </c>
      <c r="AF43" s="27">
        <v>200509</v>
      </c>
      <c r="AG43" s="27">
        <v>136543</v>
      </c>
      <c r="AH43" s="27">
        <v>210308</v>
      </c>
      <c r="AI43" s="27">
        <v>127200</v>
      </c>
      <c r="AJ43" s="27">
        <v>23679</v>
      </c>
      <c r="AK43" s="27">
        <v>1024073.62</v>
      </c>
      <c r="AL43" s="27">
        <v>99046.39</v>
      </c>
      <c r="AM43" s="27">
        <v>664282.74</v>
      </c>
      <c r="AN43" s="27">
        <v>250868.31</v>
      </c>
      <c r="AO43" s="27">
        <v>92556.17</v>
      </c>
      <c r="AP43" s="27">
        <v>310958.48</v>
      </c>
      <c r="AQ43" s="27">
        <v>147013.28</v>
      </c>
      <c r="AR43" s="27">
        <v>149754903.44</v>
      </c>
      <c r="AS43" s="27">
        <v>0</v>
      </c>
      <c r="AT43" s="27">
        <v>0</v>
      </c>
      <c r="AU43" s="27">
        <v>0</v>
      </c>
      <c r="AV43" s="27">
        <v>0</v>
      </c>
      <c r="AW43" s="27">
        <v>0</v>
      </c>
      <c r="AX43" s="27">
        <v>0</v>
      </c>
    </row>
    <row r="44" spans="2:50" x14ac:dyDescent="0.25">
      <c r="B44" s="1" t="s">
        <v>62</v>
      </c>
      <c r="C44" s="16">
        <v>30908000</v>
      </c>
      <c r="D44" s="16">
        <v>29751252.227858581</v>
      </c>
      <c r="E44" s="16">
        <v>28212770.124567442</v>
      </c>
      <c r="F44" s="16">
        <v>26828045.664567441</v>
      </c>
      <c r="G44" s="16">
        <v>25053116.18456744</v>
      </c>
      <c r="H44" s="16">
        <v>23776766.444567442</v>
      </c>
      <c r="I44" s="16">
        <v>71460969.974567443</v>
      </c>
      <c r="J44" s="16">
        <v>69370126.044567436</v>
      </c>
      <c r="K44" s="16">
        <v>67665568.374567434</v>
      </c>
      <c r="L44" s="16">
        <v>64055153.52456744</v>
      </c>
      <c r="M44" s="16">
        <v>61392734.444567442</v>
      </c>
      <c r="N44" s="16">
        <v>63401484.154567443</v>
      </c>
      <c r="O44" s="16">
        <v>56750586</v>
      </c>
      <c r="P44" s="16">
        <v>53238498</v>
      </c>
      <c r="Q44" s="16">
        <v>48175318.490000002</v>
      </c>
      <c r="R44" s="16">
        <v>44147531.289999999</v>
      </c>
      <c r="S44" s="16">
        <v>41703546</v>
      </c>
      <c r="T44" s="16">
        <v>41429539.450000003</v>
      </c>
      <c r="U44" s="16">
        <v>38291624.450000003</v>
      </c>
      <c r="V44" s="16">
        <v>35664372.490000002</v>
      </c>
      <c r="W44" s="16">
        <v>132459700.2</v>
      </c>
      <c r="X44" s="16">
        <v>128008357.45999999</v>
      </c>
      <c r="Y44" s="16">
        <v>126099865.05</v>
      </c>
      <c r="Z44" s="16">
        <v>127828102.36</v>
      </c>
      <c r="AA44" s="16">
        <v>119257943.236</v>
      </c>
      <c r="AB44" s="16">
        <v>115335263.0008</v>
      </c>
      <c r="AC44" s="16">
        <v>113930231.9998</v>
      </c>
      <c r="AD44" s="16">
        <v>107616850.00053999</v>
      </c>
      <c r="AE44" s="16">
        <v>104613278.82773998</v>
      </c>
      <c r="AF44" s="16">
        <v>103352980.40773998</v>
      </c>
      <c r="AG44" s="16">
        <v>100208376.29277998</v>
      </c>
      <c r="AH44" s="16">
        <v>98942438.337039977</v>
      </c>
      <c r="AI44" s="16">
        <v>98528151.126639977</v>
      </c>
      <c r="AJ44" s="16">
        <v>95916201.318802193</v>
      </c>
      <c r="AK44" s="16">
        <v>94172541.173202187</v>
      </c>
      <c r="AL44" s="16">
        <v>96304544.183695585</v>
      </c>
      <c r="AM44" s="16">
        <v>93950941.221695587</v>
      </c>
      <c r="AN44" s="16">
        <v>90695742.135095581</v>
      </c>
      <c r="AO44" s="16">
        <v>86058441.69929558</v>
      </c>
      <c r="AP44" s="16">
        <v>79600356.420295581</v>
      </c>
      <c r="AQ44" s="16">
        <v>75904722.730695575</v>
      </c>
      <c r="AR44" s="16">
        <v>224136402.30269557</v>
      </c>
      <c r="AS44" s="16">
        <v>220170827.72599271</v>
      </c>
      <c r="AT44" s="16">
        <v>213941858.10291961</v>
      </c>
      <c r="AU44" s="16">
        <v>207551271.39115179</v>
      </c>
      <c r="AV44" s="16">
        <v>203322286.0424726</v>
      </c>
      <c r="AW44" s="16">
        <v>196554464.20449138</v>
      </c>
      <c r="AX44" s="16">
        <v>192435776.30878583</v>
      </c>
    </row>
    <row r="45" spans="2:50" x14ac:dyDescent="0.25">
      <c r="C45" s="20">
        <f>C44-SUM(C39:C43)</f>
        <v>0</v>
      </c>
      <c r="D45" s="20">
        <f t="shared" ref="D45:AX45" si="7">D44-SUM(D39:D43)</f>
        <v>0</v>
      </c>
      <c r="E45" s="20">
        <f t="shared" si="7"/>
        <v>0</v>
      </c>
      <c r="F45" s="20">
        <f t="shared" si="7"/>
        <v>0</v>
      </c>
      <c r="G45" s="20">
        <f t="shared" si="7"/>
        <v>0</v>
      </c>
      <c r="H45" s="20">
        <f t="shared" si="7"/>
        <v>0</v>
      </c>
      <c r="I45" s="20">
        <f t="shared" si="7"/>
        <v>57787</v>
      </c>
      <c r="J45" s="20">
        <f t="shared" si="7"/>
        <v>64613</v>
      </c>
      <c r="K45" s="20">
        <f t="shared" si="7"/>
        <v>85642</v>
      </c>
      <c r="L45" s="20">
        <f t="shared" si="7"/>
        <v>38913.870000004768</v>
      </c>
      <c r="M45" s="20">
        <f t="shared" si="7"/>
        <v>94569.259999997914</v>
      </c>
      <c r="N45" s="20">
        <f t="shared" si="7"/>
        <v>73720.70000000298</v>
      </c>
      <c r="O45" s="20">
        <f t="shared" si="7"/>
        <v>60353</v>
      </c>
      <c r="P45" s="20">
        <f t="shared" si="7"/>
        <v>129000</v>
      </c>
      <c r="Q45" s="20">
        <f t="shared" si="7"/>
        <v>149100</v>
      </c>
      <c r="R45" s="20">
        <f t="shared" si="7"/>
        <v>45162</v>
      </c>
      <c r="S45" s="20">
        <f t="shared" si="7"/>
        <v>84332</v>
      </c>
      <c r="T45" s="20">
        <f t="shared" si="7"/>
        <v>107997</v>
      </c>
      <c r="U45" s="20">
        <f t="shared" si="7"/>
        <v>87505.990000002086</v>
      </c>
      <c r="V45" s="20">
        <f t="shared" si="7"/>
        <v>191186.64000000805</v>
      </c>
      <c r="W45" s="20">
        <f t="shared" si="7"/>
        <v>169972.17999999225</v>
      </c>
      <c r="X45" s="20">
        <f t="shared" si="7"/>
        <v>144634.95000000298</v>
      </c>
      <c r="Y45" s="20">
        <f t="shared" si="7"/>
        <v>68979.890000015497</v>
      </c>
      <c r="Z45" s="20">
        <f t="shared" si="7"/>
        <v>79332.999999985099</v>
      </c>
      <c r="AA45" s="20">
        <f t="shared" si="7"/>
        <v>85734</v>
      </c>
      <c r="AB45" s="20">
        <f t="shared" si="7"/>
        <v>96980</v>
      </c>
      <c r="AC45" s="20">
        <f t="shared" si="7"/>
        <v>159000</v>
      </c>
      <c r="AD45" s="20">
        <f t="shared" si="7"/>
        <v>135399</v>
      </c>
      <c r="AE45" s="20">
        <f t="shared" si="7"/>
        <v>85679</v>
      </c>
      <c r="AF45" s="20">
        <f t="shared" si="7"/>
        <v>154732</v>
      </c>
      <c r="AG45" s="20">
        <f t="shared" si="7"/>
        <v>37692</v>
      </c>
      <c r="AH45" s="20">
        <f t="shared" si="7"/>
        <v>16175</v>
      </c>
      <c r="AI45" s="20">
        <f t="shared" si="7"/>
        <v>84982</v>
      </c>
      <c r="AJ45" s="20">
        <f t="shared" si="7"/>
        <v>36489</v>
      </c>
      <c r="AK45" s="20">
        <f t="shared" si="7"/>
        <v>0</v>
      </c>
      <c r="AL45" s="20">
        <f t="shared" si="7"/>
        <v>0</v>
      </c>
      <c r="AM45" s="20">
        <f t="shared" si="7"/>
        <v>0</v>
      </c>
      <c r="AN45" s="20">
        <f t="shared" si="7"/>
        <v>0</v>
      </c>
      <c r="AO45" s="20">
        <f t="shared" si="7"/>
        <v>0</v>
      </c>
      <c r="AP45" s="20">
        <f t="shared" si="7"/>
        <v>0</v>
      </c>
      <c r="AQ45" s="20">
        <f t="shared" si="7"/>
        <v>0</v>
      </c>
      <c r="AR45" s="20">
        <f t="shared" si="7"/>
        <v>0</v>
      </c>
      <c r="AS45" s="20">
        <f t="shared" si="7"/>
        <v>-1945430.7750755548</v>
      </c>
      <c r="AT45" s="20">
        <f t="shared" si="7"/>
        <v>1320647.5702955425</v>
      </c>
      <c r="AU45" s="20">
        <f t="shared" si="7"/>
        <v>1149437.4428377151</v>
      </c>
      <c r="AV45" s="20">
        <f t="shared" si="7"/>
        <v>-1319382.6639401317</v>
      </c>
      <c r="AW45" s="20">
        <f t="shared" si="7"/>
        <v>1460779.8721787632</v>
      </c>
      <c r="AX45" s="20">
        <f t="shared" si="7"/>
        <v>1133719.8057555258</v>
      </c>
    </row>
    <row r="47" spans="2:50" x14ac:dyDescent="0.25">
      <c r="B47" t="s">
        <v>250</v>
      </c>
      <c r="C47" s="20">
        <v>0</v>
      </c>
      <c r="D47" s="20">
        <v>0</v>
      </c>
      <c r="E47" s="20">
        <v>0</v>
      </c>
      <c r="F47" s="20">
        <v>0</v>
      </c>
      <c r="G47" s="20">
        <v>0</v>
      </c>
      <c r="H47" s="20">
        <v>0</v>
      </c>
      <c r="I47" s="20">
        <v>57787</v>
      </c>
      <c r="J47" s="20">
        <v>64613</v>
      </c>
      <c r="K47" s="20">
        <v>85642</v>
      </c>
      <c r="L47" s="20">
        <v>38913.870000000003</v>
      </c>
      <c r="M47" s="20">
        <v>94569.260000000009</v>
      </c>
      <c r="N47" s="20">
        <v>73720.7</v>
      </c>
      <c r="O47" s="20">
        <v>60353</v>
      </c>
      <c r="P47" s="20">
        <v>129000</v>
      </c>
      <c r="Q47" s="20">
        <v>149100</v>
      </c>
      <c r="R47" s="20">
        <v>45162</v>
      </c>
      <c r="S47" s="20">
        <v>84332</v>
      </c>
      <c r="T47" s="20">
        <v>107997</v>
      </c>
      <c r="U47" s="20">
        <v>87505.99</v>
      </c>
      <c r="V47" s="20">
        <v>191186.64</v>
      </c>
      <c r="W47" s="20">
        <v>169972.18</v>
      </c>
      <c r="X47" s="20">
        <v>144634.95000000001</v>
      </c>
      <c r="Y47" s="20">
        <v>68979.89</v>
      </c>
      <c r="Z47" s="20">
        <v>79333</v>
      </c>
      <c r="AA47" s="20">
        <v>85734</v>
      </c>
      <c r="AB47" s="20">
        <v>96980</v>
      </c>
      <c r="AC47" s="20">
        <v>159000</v>
      </c>
      <c r="AD47" s="20">
        <v>135399</v>
      </c>
      <c r="AE47" s="20">
        <v>85679</v>
      </c>
      <c r="AF47" s="20">
        <v>154732</v>
      </c>
      <c r="AG47" s="20">
        <v>37692</v>
      </c>
      <c r="AH47" s="20">
        <v>16175</v>
      </c>
      <c r="AI47" s="20">
        <v>84982</v>
      </c>
      <c r="AJ47" s="20">
        <v>36489</v>
      </c>
      <c r="AK47" s="20">
        <v>0</v>
      </c>
      <c r="AL47" s="20">
        <v>0</v>
      </c>
      <c r="AM47" s="20">
        <v>0</v>
      </c>
      <c r="AN47" s="20">
        <v>0</v>
      </c>
      <c r="AO47" s="20">
        <v>0</v>
      </c>
      <c r="AP47" s="20">
        <v>0</v>
      </c>
      <c r="AQ47" s="20">
        <v>0</v>
      </c>
      <c r="AR47" s="20">
        <v>0</v>
      </c>
      <c r="AS47" s="20">
        <v>93390.139292789812</v>
      </c>
      <c r="AT47" s="20">
        <v>93390.139292789812</v>
      </c>
      <c r="AU47" s="20">
        <v>93390.139292789812</v>
      </c>
      <c r="AV47" s="20">
        <v>86729.668079646581</v>
      </c>
      <c r="AW47" s="20">
        <v>86729.668079646581</v>
      </c>
      <c r="AX47" s="20">
        <v>86729.668079646581</v>
      </c>
    </row>
    <row r="50" spans="2:50" x14ac:dyDescent="0.25">
      <c r="C50" s="71" t="s">
        <v>36</v>
      </c>
      <c r="D50" s="71"/>
      <c r="E50" s="71"/>
      <c r="F50" s="71"/>
      <c r="G50" s="71"/>
      <c r="H50" s="71"/>
      <c r="I50" s="71"/>
      <c r="J50" s="71"/>
      <c r="K50" s="71"/>
      <c r="L50" s="71"/>
      <c r="M50" s="71"/>
      <c r="N50" s="71"/>
      <c r="O50" s="69" t="s">
        <v>37</v>
      </c>
      <c r="P50" s="69"/>
      <c r="Q50" s="69"/>
      <c r="R50" s="69"/>
      <c r="S50" s="69"/>
      <c r="T50" s="69"/>
      <c r="U50" s="69"/>
      <c r="V50" s="69"/>
      <c r="W50" s="69"/>
      <c r="X50" s="69"/>
      <c r="Y50" s="69"/>
      <c r="Z50" s="69"/>
      <c r="AA50" s="71" t="s">
        <v>38</v>
      </c>
      <c r="AB50" s="71"/>
      <c r="AC50" s="71"/>
      <c r="AD50" s="71"/>
      <c r="AE50" s="71"/>
      <c r="AF50" s="71"/>
      <c r="AG50" s="71"/>
      <c r="AH50" s="71"/>
      <c r="AI50" s="71"/>
      <c r="AJ50" s="71"/>
      <c r="AK50" s="71"/>
      <c r="AL50" s="71"/>
      <c r="AM50" s="69" t="s">
        <v>39</v>
      </c>
      <c r="AN50" s="69"/>
      <c r="AO50" s="69"/>
      <c r="AP50" s="69"/>
      <c r="AQ50" s="69"/>
      <c r="AR50" s="69"/>
      <c r="AS50" s="69"/>
      <c r="AT50" s="69"/>
      <c r="AU50" s="69"/>
      <c r="AV50" s="69"/>
      <c r="AW50" s="69"/>
      <c r="AX50" s="69"/>
    </row>
    <row r="51" spans="2:50" x14ac:dyDescent="0.25">
      <c r="C51" s="72">
        <v>43132</v>
      </c>
      <c r="D51" s="72">
        <v>43160</v>
      </c>
      <c r="E51" s="73">
        <v>43191</v>
      </c>
      <c r="F51" s="73">
        <v>43221</v>
      </c>
      <c r="G51" s="73">
        <v>43252</v>
      </c>
      <c r="H51" s="73">
        <v>43282</v>
      </c>
      <c r="I51" s="73">
        <v>43313</v>
      </c>
      <c r="J51" s="73">
        <v>43344</v>
      </c>
      <c r="K51" s="74">
        <v>43374</v>
      </c>
      <c r="L51" s="73">
        <v>43405</v>
      </c>
      <c r="M51" s="73">
        <v>43435</v>
      </c>
      <c r="N51" s="73">
        <v>43466</v>
      </c>
      <c r="O51" s="75">
        <v>43497</v>
      </c>
      <c r="P51" s="75">
        <v>43525</v>
      </c>
      <c r="Q51" s="75">
        <v>43556</v>
      </c>
      <c r="R51" s="75">
        <v>43586</v>
      </c>
      <c r="S51" s="75">
        <v>43617</v>
      </c>
      <c r="T51" s="75">
        <v>43647</v>
      </c>
      <c r="U51" s="75">
        <v>43678</v>
      </c>
      <c r="V51" s="75">
        <v>43709</v>
      </c>
      <c r="W51" s="75">
        <v>43739</v>
      </c>
      <c r="X51" s="75">
        <v>43770</v>
      </c>
      <c r="Y51" s="75">
        <v>43800</v>
      </c>
      <c r="Z51" s="75">
        <v>43831</v>
      </c>
      <c r="AA51" s="73">
        <v>43862</v>
      </c>
      <c r="AB51" s="73">
        <v>43891</v>
      </c>
      <c r="AC51" s="73">
        <v>43922</v>
      </c>
      <c r="AD51" s="73">
        <v>43952</v>
      </c>
      <c r="AE51" s="73">
        <v>43983</v>
      </c>
      <c r="AF51" s="73">
        <v>44013</v>
      </c>
      <c r="AG51" s="73">
        <v>44044</v>
      </c>
      <c r="AH51" s="73">
        <v>44075</v>
      </c>
      <c r="AI51" s="73">
        <v>44105</v>
      </c>
      <c r="AJ51" s="73">
        <v>44136</v>
      </c>
      <c r="AK51" s="73">
        <v>44166</v>
      </c>
      <c r="AL51" s="73">
        <v>44197</v>
      </c>
      <c r="AM51" s="75">
        <v>44228</v>
      </c>
      <c r="AN51" s="75">
        <v>44256</v>
      </c>
      <c r="AO51" s="75">
        <v>44287</v>
      </c>
      <c r="AP51" s="75">
        <v>44317</v>
      </c>
      <c r="AQ51" s="75">
        <v>44348</v>
      </c>
      <c r="AR51" s="75">
        <v>44378</v>
      </c>
      <c r="AS51" s="75">
        <v>44409</v>
      </c>
      <c r="AT51" s="75">
        <v>44440</v>
      </c>
      <c r="AU51" s="75">
        <v>44470</v>
      </c>
      <c r="AV51" s="75">
        <v>44501</v>
      </c>
      <c r="AW51" s="75">
        <v>44531</v>
      </c>
      <c r="AX51" s="75">
        <v>44562</v>
      </c>
    </row>
    <row r="52" spans="2:50" x14ac:dyDescent="0.25">
      <c r="B52" t="s">
        <v>58</v>
      </c>
      <c r="C52" s="16">
        <f>C39</f>
        <v>33601000</v>
      </c>
      <c r="D52" s="16">
        <f t="shared" ref="D52:AR52" si="8">D39</f>
        <v>30908000</v>
      </c>
      <c r="E52" s="16">
        <f t="shared" si="8"/>
        <v>29751252.227858581</v>
      </c>
      <c r="F52" s="16">
        <f t="shared" si="8"/>
        <v>28212770.124567442</v>
      </c>
      <c r="G52" s="16">
        <f t="shared" si="8"/>
        <v>26828045.664567441</v>
      </c>
      <c r="H52" s="16">
        <f t="shared" si="8"/>
        <v>25053116.18456744</v>
      </c>
      <c r="I52" s="16">
        <f t="shared" si="8"/>
        <v>23776766.444567442</v>
      </c>
      <c r="J52" s="16">
        <f t="shared" si="8"/>
        <v>71460969.974567443</v>
      </c>
      <c r="K52" s="16">
        <f t="shared" si="8"/>
        <v>69370126.044567436</v>
      </c>
      <c r="L52" s="16">
        <f t="shared" si="8"/>
        <v>67665568.374567434</v>
      </c>
      <c r="M52" s="16">
        <f t="shared" si="8"/>
        <v>64055153.52456744</v>
      </c>
      <c r="N52" s="16">
        <f t="shared" si="8"/>
        <v>61392734.444567442</v>
      </c>
      <c r="O52" s="16">
        <f t="shared" si="8"/>
        <v>63401484.154567443</v>
      </c>
      <c r="P52" s="16">
        <f t="shared" si="8"/>
        <v>56750586</v>
      </c>
      <c r="Q52" s="16">
        <f t="shared" si="8"/>
        <v>53238498</v>
      </c>
      <c r="R52" s="16">
        <f t="shared" si="8"/>
        <v>48175318.490000002</v>
      </c>
      <c r="S52" s="16">
        <f t="shared" si="8"/>
        <v>44147531.289999999</v>
      </c>
      <c r="T52" s="16">
        <f t="shared" si="8"/>
        <v>41703546</v>
      </c>
      <c r="U52" s="16">
        <f t="shared" si="8"/>
        <v>41429539.450000003</v>
      </c>
      <c r="V52" s="16">
        <f t="shared" si="8"/>
        <v>38291624.450000003</v>
      </c>
      <c r="W52" s="16">
        <f t="shared" si="8"/>
        <v>35664372.490000002</v>
      </c>
      <c r="X52" s="16">
        <f t="shared" si="8"/>
        <v>132459700.2</v>
      </c>
      <c r="Y52" s="16">
        <f t="shared" si="8"/>
        <v>128008357.45999999</v>
      </c>
      <c r="Z52" s="16">
        <f t="shared" si="8"/>
        <v>126099865.05</v>
      </c>
      <c r="AA52" s="55">
        <f t="shared" si="8"/>
        <v>127948489</v>
      </c>
      <c r="AB52" s="16">
        <f t="shared" si="8"/>
        <v>119257943.236</v>
      </c>
      <c r="AC52" s="16">
        <f t="shared" si="8"/>
        <v>115335263.0008</v>
      </c>
      <c r="AD52" s="16">
        <f t="shared" si="8"/>
        <v>113930231.9998</v>
      </c>
      <c r="AE52" s="16">
        <f t="shared" si="8"/>
        <v>107616850.00053999</v>
      </c>
      <c r="AF52" s="16">
        <f t="shared" si="8"/>
        <v>104613278.82773998</v>
      </c>
      <c r="AG52" s="16">
        <f t="shared" si="8"/>
        <v>103352980.40773998</v>
      </c>
      <c r="AH52" s="16">
        <f t="shared" si="8"/>
        <v>100208376.29277998</v>
      </c>
      <c r="AI52" s="16">
        <f t="shared" si="8"/>
        <v>98942438.337039977</v>
      </c>
      <c r="AJ52" s="16">
        <f t="shared" si="8"/>
        <v>98528151.126639977</v>
      </c>
      <c r="AK52" s="16">
        <f t="shared" si="8"/>
        <v>95916201.318802193</v>
      </c>
      <c r="AL52" s="16">
        <f t="shared" si="8"/>
        <v>94172541.173202187</v>
      </c>
      <c r="AM52" s="16">
        <f t="shared" si="8"/>
        <v>96304544.183695585</v>
      </c>
      <c r="AN52" s="16">
        <f t="shared" si="8"/>
        <v>93950941.221695587</v>
      </c>
      <c r="AO52" s="16">
        <f t="shared" si="8"/>
        <v>90695742.135095581</v>
      </c>
      <c r="AP52" s="16">
        <f t="shared" si="8"/>
        <v>86058441.69929558</v>
      </c>
      <c r="AQ52" s="16">
        <f t="shared" si="8"/>
        <v>79600356.420295581</v>
      </c>
      <c r="AR52" s="16">
        <f t="shared" si="8"/>
        <v>75904722.730695575</v>
      </c>
      <c r="AS52" s="16">
        <f>AR57</f>
        <v>224136402.30269557</v>
      </c>
      <c r="AT52" s="16">
        <f t="shared" ref="AT52:AX52" si="9">AS57</f>
        <v>222040661.61505654</v>
      </c>
      <c r="AU52" s="16">
        <f t="shared" si="9"/>
        <v>215505050.51987246</v>
      </c>
      <c r="AV52" s="16">
        <f t="shared" si="9"/>
        <v>208151271.39115179</v>
      </c>
      <c r="AW52" s="16">
        <f t="shared" si="9"/>
        <v>205969417.87340602</v>
      </c>
      <c r="AX52" s="16">
        <f t="shared" si="9"/>
        <v>198413424.37425423</v>
      </c>
    </row>
    <row r="53" spans="2:50" x14ac:dyDescent="0.25">
      <c r="B53" s="2" t="s">
        <v>59</v>
      </c>
      <c r="C53" s="16">
        <f>C40</f>
        <v>1370244</v>
      </c>
      <c r="D53" s="16">
        <f t="shared" ref="D53:AR53" si="10">D40</f>
        <v>2077141.2278585816</v>
      </c>
      <c r="E53" s="16">
        <f t="shared" si="10"/>
        <v>1504761.9367088601</v>
      </c>
      <c r="F53" s="16">
        <f t="shared" si="10"/>
        <v>2399752.5100000002</v>
      </c>
      <c r="G53" s="16">
        <f t="shared" si="10"/>
        <v>1375496.99</v>
      </c>
      <c r="H53" s="16">
        <f t="shared" si="10"/>
        <v>2261048.5</v>
      </c>
      <c r="I53" s="16">
        <f t="shared" si="10"/>
        <v>1995954.78</v>
      </c>
      <c r="J53" s="16">
        <f t="shared" si="10"/>
        <v>2296083.36</v>
      </c>
      <c r="K53" s="16">
        <f t="shared" si="10"/>
        <v>2808306.96</v>
      </c>
      <c r="L53" s="16">
        <f t="shared" si="10"/>
        <v>2195405.69</v>
      </c>
      <c r="M53" s="16">
        <f t="shared" si="10"/>
        <v>1823976.53</v>
      </c>
      <c r="N53" s="16">
        <f t="shared" si="10"/>
        <v>7156666</v>
      </c>
      <c r="O53" s="16">
        <f t="shared" si="10"/>
        <v>2129583</v>
      </c>
      <c r="P53" s="16">
        <f t="shared" si="10"/>
        <v>3375041</v>
      </c>
      <c r="Q53" s="16">
        <f t="shared" si="10"/>
        <v>3199797.43</v>
      </c>
      <c r="R53" s="16">
        <f t="shared" si="10"/>
        <v>3528815.9899999998</v>
      </c>
      <c r="S53" s="16">
        <f t="shared" si="10"/>
        <v>3628605.05</v>
      </c>
      <c r="T53" s="16">
        <f t="shared" si="10"/>
        <v>5696912.9299999997</v>
      </c>
      <c r="U53" s="16">
        <f t="shared" si="10"/>
        <v>5078688.9000000004</v>
      </c>
      <c r="V53" s="16">
        <f t="shared" si="10"/>
        <v>4104891.1199999996</v>
      </c>
      <c r="W53" s="16">
        <f t="shared" si="10"/>
        <v>3492928.6799999997</v>
      </c>
      <c r="X53" s="16">
        <f t="shared" si="10"/>
        <v>4231013.3</v>
      </c>
      <c r="Y53" s="16">
        <f t="shared" si="10"/>
        <v>5467016.3799999999</v>
      </c>
      <c r="Z53" s="16">
        <f t="shared" si="10"/>
        <v>9225318.9700000007</v>
      </c>
      <c r="AA53" s="16">
        <f t="shared" si="10"/>
        <v>3995816.56</v>
      </c>
      <c r="AB53" s="16">
        <f t="shared" si="10"/>
        <v>5439023</v>
      </c>
      <c r="AC53" s="16">
        <f t="shared" si="10"/>
        <v>4312512</v>
      </c>
      <c r="AD53" s="16">
        <f t="shared" si="10"/>
        <v>3285131</v>
      </c>
      <c r="AE53" s="16">
        <f t="shared" si="10"/>
        <v>4126570</v>
      </c>
      <c r="AF53" s="16">
        <f t="shared" si="10"/>
        <v>7827107</v>
      </c>
      <c r="AG53" s="16">
        <f t="shared" si="10"/>
        <v>4974518.99</v>
      </c>
      <c r="AH53" s="16">
        <f t="shared" si="10"/>
        <v>6212005</v>
      </c>
      <c r="AI53" s="16">
        <f t="shared" si="10"/>
        <v>9038265</v>
      </c>
      <c r="AJ53" s="16">
        <f t="shared" si="10"/>
        <v>5860794</v>
      </c>
      <c r="AK53" s="16">
        <f t="shared" si="10"/>
        <v>7024999.8099999996</v>
      </c>
      <c r="AL53" s="16">
        <f t="shared" si="10"/>
        <v>13751732.75</v>
      </c>
      <c r="AM53" s="16">
        <f t="shared" si="10"/>
        <v>8548745.2699999996</v>
      </c>
      <c r="AN53" s="16">
        <f t="shared" si="10"/>
        <v>9589720.2899999991</v>
      </c>
      <c r="AO53" s="16">
        <f t="shared" si="10"/>
        <v>10007274.33</v>
      </c>
      <c r="AP53" s="16">
        <f t="shared" si="10"/>
        <v>6082815.0899999999</v>
      </c>
      <c r="AQ53" s="16">
        <f t="shared" si="10"/>
        <v>9692067.2700000014</v>
      </c>
      <c r="AR53" s="16">
        <f t="shared" si="10"/>
        <v>11851688.25</v>
      </c>
      <c r="AS53" s="100">
        <f>AS40/SUM($AS40:$AU40)*$AS73</f>
        <v>12479613.754569925</v>
      </c>
      <c r="AT53" s="100">
        <f t="shared" ref="AT53:AU53" si="11">AT40/SUM($AS40:$AU40)*$AS73</f>
        <v>8755442.9094644766</v>
      </c>
      <c r="AU53" s="100">
        <f t="shared" si="11"/>
        <v>10841637.504633823</v>
      </c>
      <c r="AV53" s="100">
        <f>AV40/SUM($AV40:$AX40)*$AT73</f>
        <v>14479977.274683308</v>
      </c>
      <c r="AW53" s="100">
        <f t="shared" ref="AW53:AX53" si="12">AW40/SUM($AV40:$AX40)*$AT73</f>
        <v>10680207.514773488</v>
      </c>
      <c r="AX53" s="100">
        <f t="shared" si="12"/>
        <v>16548769.925799675</v>
      </c>
    </row>
    <row r="54" spans="2:50" x14ac:dyDescent="0.25">
      <c r="B54" s="2" t="s">
        <v>60</v>
      </c>
      <c r="C54" s="16">
        <f>C44-SUM(C55:C56,C52:C53)</f>
        <v>-4063244</v>
      </c>
      <c r="D54" s="16">
        <f t="shared" ref="D54:AR54" si="13">D44-SUM(D55:D56,D52:D53)</f>
        <v>-3233889</v>
      </c>
      <c r="E54" s="16">
        <f t="shared" si="13"/>
        <v>-3043244.0399999991</v>
      </c>
      <c r="F54" s="16">
        <f t="shared" si="13"/>
        <v>-3784476.9700000025</v>
      </c>
      <c r="G54" s="16">
        <f t="shared" si="13"/>
        <v>-3150426.4699999988</v>
      </c>
      <c r="H54" s="16">
        <f t="shared" si="13"/>
        <v>-3537398.2399999984</v>
      </c>
      <c r="I54" s="16">
        <f t="shared" si="13"/>
        <v>-4317188.25</v>
      </c>
      <c r="J54" s="16">
        <f t="shared" si="13"/>
        <v>-4010385.2900000066</v>
      </c>
      <c r="K54" s="16">
        <f t="shared" si="13"/>
        <v>-4500864.6299999952</v>
      </c>
      <c r="L54" s="16">
        <f t="shared" si="13"/>
        <v>-5623413.099999994</v>
      </c>
      <c r="M54" s="16">
        <f t="shared" si="13"/>
        <v>-4258012.6099999994</v>
      </c>
      <c r="N54" s="16">
        <f t="shared" si="13"/>
        <v>-4979469.2899999991</v>
      </c>
      <c r="O54" s="16">
        <f t="shared" si="13"/>
        <v>-8778053.2299999967</v>
      </c>
      <c r="P54" s="16">
        <f t="shared" si="13"/>
        <v>-6979857.0300000012</v>
      </c>
      <c r="Q54" s="16">
        <f t="shared" si="13"/>
        <v>-4943929.799999997</v>
      </c>
      <c r="R54" s="16">
        <f t="shared" si="13"/>
        <v>-7988398.8100000024</v>
      </c>
      <c r="S54" s="16">
        <f t="shared" si="13"/>
        <v>-6076798.2899999991</v>
      </c>
      <c r="T54" s="16">
        <f t="shared" si="13"/>
        <v>-6180026.4799999967</v>
      </c>
      <c r="U54" s="16">
        <f t="shared" si="13"/>
        <v>-8335095.25</v>
      </c>
      <c r="V54" s="16">
        <f t="shared" si="13"/>
        <v>-6806375.4499999955</v>
      </c>
      <c r="W54" s="16">
        <f t="shared" si="13"/>
        <v>-6723200.1700000018</v>
      </c>
      <c r="X54" s="16">
        <f t="shared" si="13"/>
        <v>-8685847.0400000066</v>
      </c>
      <c r="Y54" s="16">
        <f t="shared" si="13"/>
        <v>-7325175.4499999881</v>
      </c>
      <c r="Z54" s="16">
        <f>AA39-SUM(Z55:Z56,Z52:Z53)</f>
        <v>-7391654.0200000107</v>
      </c>
      <c r="AA54" s="16">
        <f t="shared" si="13"/>
        <v>-12649912.324000001</v>
      </c>
      <c r="AB54" s="16">
        <f t="shared" si="13"/>
        <v>-9383193.7952000052</v>
      </c>
      <c r="AC54" s="16">
        <f t="shared" si="13"/>
        <v>-5735698.2709999979</v>
      </c>
      <c r="AD54" s="16">
        <f t="shared" si="13"/>
        <v>-9226000.2692600042</v>
      </c>
      <c r="AE54" s="16">
        <f t="shared" si="13"/>
        <v>-7140569.1728000045</v>
      </c>
      <c r="AF54" s="16">
        <f t="shared" si="13"/>
        <v>-9318837.4200000018</v>
      </c>
      <c r="AG54" s="16">
        <f t="shared" si="13"/>
        <v>-8255734.1049599946</v>
      </c>
      <c r="AH54" s="16">
        <f t="shared" si="13"/>
        <v>-7688250.9557400048</v>
      </c>
      <c r="AI54" s="16">
        <f t="shared" si="13"/>
        <v>-9579752.2104000002</v>
      </c>
      <c r="AJ54" s="16">
        <f t="shared" si="13"/>
        <v>-8496422.8078377843</v>
      </c>
      <c r="AK54" s="16">
        <f t="shared" si="13"/>
        <v>-9792733.5756000131</v>
      </c>
      <c r="AL54" s="16">
        <f t="shared" si="13"/>
        <v>-11718776.129506603</v>
      </c>
      <c r="AM54" s="16">
        <f t="shared" si="13"/>
        <v>-11566630.971999988</v>
      </c>
      <c r="AN54" s="16">
        <f t="shared" si="13"/>
        <v>-13095787.686600015</v>
      </c>
      <c r="AO54" s="16">
        <f t="shared" si="13"/>
        <v>-14737130.935800001</v>
      </c>
      <c r="AP54" s="16">
        <f t="shared" si="13"/>
        <v>-12851858.849000007</v>
      </c>
      <c r="AQ54" s="16">
        <f t="shared" si="13"/>
        <v>-13534714.239600003</v>
      </c>
      <c r="AR54" s="16">
        <f t="shared" si="13"/>
        <v>-13374912.118000001</v>
      </c>
      <c r="AS54" s="100">
        <f t="shared" ref="AS54:AU54" si="14">AS41/SUM($AS41:$AU41)*$AS74</f>
        <v>-14575354.442208957</v>
      </c>
      <c r="AT54" s="100">
        <f t="shared" si="14"/>
        <v>-16091054.00464857</v>
      </c>
      <c r="AU54" s="100">
        <f t="shared" si="14"/>
        <v>-18195416.633354474</v>
      </c>
      <c r="AV54" s="100">
        <f t="shared" ref="AV54:AX54" si="15">AV41/SUM($AV41:$AX41)*$AT74</f>
        <v>-16661830.79242905</v>
      </c>
      <c r="AW54" s="100">
        <f t="shared" si="15"/>
        <v>-18236201.013925277</v>
      </c>
      <c r="AX54" s="100">
        <f t="shared" si="15"/>
        <v>-20926417.991268083</v>
      </c>
    </row>
    <row r="55" spans="2:50" x14ac:dyDescent="0.25">
      <c r="B55" s="2" t="s">
        <v>219</v>
      </c>
      <c r="C55" s="16">
        <f>C42</f>
        <v>0</v>
      </c>
      <c r="D55" s="16">
        <f t="shared" ref="D55:AX55" si="16">D42</f>
        <v>0</v>
      </c>
      <c r="E55" s="16">
        <f t="shared" si="16"/>
        <v>0</v>
      </c>
      <c r="F55" s="16">
        <f t="shared" si="16"/>
        <v>0</v>
      </c>
      <c r="G55" s="16">
        <f t="shared" si="16"/>
        <v>0</v>
      </c>
      <c r="H55" s="16">
        <f t="shared" si="16"/>
        <v>0</v>
      </c>
      <c r="I55" s="16">
        <f t="shared" si="16"/>
        <v>0</v>
      </c>
      <c r="J55" s="16">
        <f t="shared" si="16"/>
        <v>-390656</v>
      </c>
      <c r="K55" s="16">
        <f t="shared" si="16"/>
        <v>-12000</v>
      </c>
      <c r="L55" s="16">
        <f t="shared" si="16"/>
        <v>-183067.25</v>
      </c>
      <c r="M55" s="16">
        <f t="shared" si="16"/>
        <v>-249957.5</v>
      </c>
      <c r="N55" s="16">
        <f t="shared" si="16"/>
        <v>-190909</v>
      </c>
      <c r="O55" s="16">
        <f t="shared" si="16"/>
        <v>-6752.9245674490994</v>
      </c>
      <c r="P55" s="16">
        <f t="shared" si="16"/>
        <v>-28029.969999995828</v>
      </c>
      <c r="Q55" s="16">
        <f t="shared" si="16"/>
        <v>-3322853.14</v>
      </c>
      <c r="R55" s="16">
        <f t="shared" si="16"/>
        <v>105433</v>
      </c>
      <c r="S55" s="16">
        <f t="shared" si="16"/>
        <v>-7560</v>
      </c>
      <c r="T55" s="16">
        <f t="shared" si="16"/>
        <v>0</v>
      </c>
      <c r="U55" s="16">
        <f t="shared" si="16"/>
        <v>0</v>
      </c>
      <c r="V55" s="16">
        <f t="shared" si="16"/>
        <v>0</v>
      </c>
      <c r="W55" s="16">
        <f t="shared" si="16"/>
        <v>0</v>
      </c>
      <c r="X55" s="16">
        <f t="shared" si="16"/>
        <v>0</v>
      </c>
      <c r="Y55" s="16">
        <f t="shared" si="16"/>
        <v>-189409</v>
      </c>
      <c r="Z55" s="16">
        <f t="shared" si="16"/>
        <v>-55374</v>
      </c>
      <c r="AA55" s="16">
        <f t="shared" si="16"/>
        <v>-76123</v>
      </c>
      <c r="AB55" s="16">
        <f t="shared" si="16"/>
        <v>317.56</v>
      </c>
      <c r="AC55" s="16">
        <f t="shared" si="16"/>
        <v>15107.27</v>
      </c>
      <c r="AD55" s="16">
        <f t="shared" si="16"/>
        <v>-349997.73</v>
      </c>
      <c r="AE55" s="16">
        <f t="shared" si="16"/>
        <v>-446</v>
      </c>
      <c r="AF55" s="16">
        <f t="shared" si="16"/>
        <v>30923</v>
      </c>
      <c r="AG55" s="16">
        <f t="shared" si="16"/>
        <v>68</v>
      </c>
      <c r="AH55" s="16">
        <f t="shared" si="16"/>
        <v>0</v>
      </c>
      <c r="AI55" s="16">
        <f t="shared" si="16"/>
        <v>0</v>
      </c>
      <c r="AJ55" s="16">
        <f t="shared" si="16"/>
        <v>0</v>
      </c>
      <c r="AK55" s="16">
        <f t="shared" si="16"/>
        <v>0</v>
      </c>
      <c r="AL55" s="16">
        <f t="shared" si="16"/>
        <v>0</v>
      </c>
      <c r="AM55" s="16">
        <f t="shared" si="16"/>
        <v>0</v>
      </c>
      <c r="AN55" s="16">
        <f t="shared" si="16"/>
        <v>0</v>
      </c>
      <c r="AO55" s="16">
        <f t="shared" si="16"/>
        <v>0</v>
      </c>
      <c r="AP55" s="16">
        <f t="shared" si="16"/>
        <v>0</v>
      </c>
      <c r="AQ55" s="16">
        <f t="shared" si="16"/>
        <v>0</v>
      </c>
      <c r="AR55" s="16">
        <f t="shared" si="16"/>
        <v>0</v>
      </c>
      <c r="AS55" s="100">
        <f t="shared" si="16"/>
        <v>0</v>
      </c>
      <c r="AT55" s="100">
        <f t="shared" si="16"/>
        <v>0</v>
      </c>
      <c r="AU55" s="100">
        <f t="shared" si="16"/>
        <v>0</v>
      </c>
      <c r="AV55" s="100">
        <f t="shared" si="16"/>
        <v>0</v>
      </c>
      <c r="AW55" s="100">
        <f t="shared" si="16"/>
        <v>0</v>
      </c>
      <c r="AX55" s="100">
        <f t="shared" si="16"/>
        <v>0</v>
      </c>
    </row>
    <row r="56" spans="2:50" x14ac:dyDescent="0.25">
      <c r="B56" s="2" t="s">
        <v>61</v>
      </c>
      <c r="C56" s="27">
        <f>C43</f>
        <v>0</v>
      </c>
      <c r="D56" s="27">
        <f t="shared" ref="D56:AX56" si="17">D43</f>
        <v>0</v>
      </c>
      <c r="E56" s="27">
        <f t="shared" si="17"/>
        <v>0</v>
      </c>
      <c r="F56" s="27">
        <f t="shared" si="17"/>
        <v>0</v>
      </c>
      <c r="G56" s="27">
        <f t="shared" si="17"/>
        <v>0</v>
      </c>
      <c r="H56" s="27">
        <f t="shared" si="17"/>
        <v>0</v>
      </c>
      <c r="I56" s="27">
        <f t="shared" si="17"/>
        <v>50005437</v>
      </c>
      <c r="J56" s="27">
        <f t="shared" si="17"/>
        <v>14114</v>
      </c>
      <c r="K56" s="27">
        <f t="shared" si="17"/>
        <v>0</v>
      </c>
      <c r="L56" s="27">
        <f t="shared" si="17"/>
        <v>659.81</v>
      </c>
      <c r="M56" s="27">
        <f t="shared" si="17"/>
        <v>21574.5</v>
      </c>
      <c r="N56" s="27">
        <f t="shared" si="17"/>
        <v>22462</v>
      </c>
      <c r="O56" s="27">
        <f t="shared" si="17"/>
        <v>4325</v>
      </c>
      <c r="P56" s="27">
        <f t="shared" si="17"/>
        <v>120758</v>
      </c>
      <c r="Q56" s="27">
        <f t="shared" si="17"/>
        <v>3806</v>
      </c>
      <c r="R56" s="27">
        <f t="shared" si="17"/>
        <v>326362.62</v>
      </c>
      <c r="S56" s="27">
        <f t="shared" si="17"/>
        <v>11767.95</v>
      </c>
      <c r="T56" s="27">
        <f t="shared" si="17"/>
        <v>209107</v>
      </c>
      <c r="U56" s="27">
        <f t="shared" si="17"/>
        <v>118491.35</v>
      </c>
      <c r="V56" s="27">
        <f t="shared" si="17"/>
        <v>74232.37</v>
      </c>
      <c r="W56" s="27">
        <f t="shared" si="17"/>
        <v>100025599.2</v>
      </c>
      <c r="X56" s="27">
        <f t="shared" si="17"/>
        <v>3491</v>
      </c>
      <c r="Y56" s="27">
        <f t="shared" si="17"/>
        <v>139075.66</v>
      </c>
      <c r="Z56" s="27">
        <f t="shared" si="17"/>
        <v>70333</v>
      </c>
      <c r="AA56" s="27">
        <f t="shared" si="17"/>
        <v>39673</v>
      </c>
      <c r="AB56" s="27">
        <f t="shared" si="17"/>
        <v>21173</v>
      </c>
      <c r="AC56" s="27">
        <f t="shared" si="17"/>
        <v>3048</v>
      </c>
      <c r="AD56" s="27">
        <f t="shared" si="17"/>
        <v>-22515</v>
      </c>
      <c r="AE56" s="27">
        <f t="shared" si="17"/>
        <v>10874</v>
      </c>
      <c r="AF56" s="27">
        <f t="shared" si="17"/>
        <v>200509</v>
      </c>
      <c r="AG56" s="27">
        <f t="shared" si="17"/>
        <v>136543</v>
      </c>
      <c r="AH56" s="27">
        <f t="shared" si="17"/>
        <v>210308</v>
      </c>
      <c r="AI56" s="27">
        <f t="shared" si="17"/>
        <v>127200</v>
      </c>
      <c r="AJ56" s="27">
        <f t="shared" si="17"/>
        <v>23679</v>
      </c>
      <c r="AK56" s="27">
        <f t="shared" si="17"/>
        <v>1024073.62</v>
      </c>
      <c r="AL56" s="27">
        <f t="shared" si="17"/>
        <v>99046.39</v>
      </c>
      <c r="AM56" s="27">
        <f t="shared" si="17"/>
        <v>664282.74</v>
      </c>
      <c r="AN56" s="27">
        <f t="shared" si="17"/>
        <v>250868.31</v>
      </c>
      <c r="AO56" s="27">
        <f t="shared" si="17"/>
        <v>92556.17</v>
      </c>
      <c r="AP56" s="27">
        <f t="shared" si="17"/>
        <v>310958.48</v>
      </c>
      <c r="AQ56" s="27">
        <f t="shared" si="17"/>
        <v>147013.28</v>
      </c>
      <c r="AR56" s="27">
        <f t="shared" si="17"/>
        <v>149754903.44</v>
      </c>
      <c r="AS56" s="101">
        <f t="shared" si="17"/>
        <v>0</v>
      </c>
      <c r="AT56" s="101">
        <f>AS76</f>
        <v>800000</v>
      </c>
      <c r="AU56" s="101">
        <f t="shared" si="17"/>
        <v>0</v>
      </c>
      <c r="AV56" s="101">
        <f t="shared" si="17"/>
        <v>0</v>
      </c>
      <c r="AW56" s="101">
        <f t="shared" si="17"/>
        <v>0</v>
      </c>
      <c r="AX56" s="101">
        <f t="shared" si="17"/>
        <v>0</v>
      </c>
    </row>
    <row r="57" spans="2:50" x14ac:dyDescent="0.25">
      <c r="B57" s="1" t="s">
        <v>62</v>
      </c>
      <c r="C57" s="16">
        <f>SUM(C52:C56)</f>
        <v>30908000</v>
      </c>
      <c r="D57" s="16">
        <f t="shared" ref="D57:AX57" si="18">SUM(D52:D56)</f>
        <v>29751252.227858581</v>
      </c>
      <c r="E57" s="16">
        <f t="shared" si="18"/>
        <v>28212770.124567442</v>
      </c>
      <c r="F57" s="16">
        <f t="shared" si="18"/>
        <v>26828045.664567441</v>
      </c>
      <c r="G57" s="16">
        <f t="shared" si="18"/>
        <v>25053116.18456744</v>
      </c>
      <c r="H57" s="16">
        <f t="shared" si="18"/>
        <v>23776766.444567442</v>
      </c>
      <c r="I57" s="16">
        <f t="shared" si="18"/>
        <v>71460969.974567443</v>
      </c>
      <c r="J57" s="16">
        <f t="shared" si="18"/>
        <v>69370126.044567436</v>
      </c>
      <c r="K57" s="16">
        <f t="shared" si="18"/>
        <v>67665568.374567434</v>
      </c>
      <c r="L57" s="16">
        <f t="shared" si="18"/>
        <v>64055153.52456744</v>
      </c>
      <c r="M57" s="16">
        <f t="shared" si="18"/>
        <v>61392734.444567442</v>
      </c>
      <c r="N57" s="16">
        <f t="shared" si="18"/>
        <v>63401484.154567443</v>
      </c>
      <c r="O57" s="16">
        <f t="shared" si="18"/>
        <v>56750586</v>
      </c>
      <c r="P57" s="16">
        <f t="shared" si="18"/>
        <v>53238498</v>
      </c>
      <c r="Q57" s="16">
        <f t="shared" si="18"/>
        <v>48175318.490000002</v>
      </c>
      <c r="R57" s="16">
        <f t="shared" si="18"/>
        <v>44147531.289999999</v>
      </c>
      <c r="S57" s="16">
        <f t="shared" si="18"/>
        <v>41703546</v>
      </c>
      <c r="T57" s="16">
        <f t="shared" si="18"/>
        <v>41429539.450000003</v>
      </c>
      <c r="U57" s="16">
        <f t="shared" si="18"/>
        <v>38291624.450000003</v>
      </c>
      <c r="V57" s="16">
        <f t="shared" si="18"/>
        <v>35664372.490000002</v>
      </c>
      <c r="W57" s="16">
        <f t="shared" si="18"/>
        <v>132459700.2</v>
      </c>
      <c r="X57" s="16">
        <f t="shared" si="18"/>
        <v>128008357.45999999</v>
      </c>
      <c r="Y57" s="16">
        <f t="shared" si="18"/>
        <v>126099865.05</v>
      </c>
      <c r="Z57" s="16">
        <f t="shared" si="18"/>
        <v>127948489</v>
      </c>
      <c r="AA57" s="16">
        <f t="shared" si="18"/>
        <v>119257943.236</v>
      </c>
      <c r="AB57" s="16">
        <f t="shared" si="18"/>
        <v>115335263.0008</v>
      </c>
      <c r="AC57" s="16">
        <f t="shared" si="18"/>
        <v>113930231.9998</v>
      </c>
      <c r="AD57" s="16">
        <f t="shared" si="18"/>
        <v>107616850.00053999</v>
      </c>
      <c r="AE57" s="16">
        <f t="shared" si="18"/>
        <v>104613278.82773998</v>
      </c>
      <c r="AF57" s="16">
        <f t="shared" si="18"/>
        <v>103352980.40773998</v>
      </c>
      <c r="AG57" s="16">
        <f t="shared" si="18"/>
        <v>100208376.29277998</v>
      </c>
      <c r="AH57" s="16">
        <f t="shared" si="18"/>
        <v>98942438.337039977</v>
      </c>
      <c r="AI57" s="16">
        <f t="shared" si="18"/>
        <v>98528151.126639977</v>
      </c>
      <c r="AJ57" s="16">
        <f t="shared" si="18"/>
        <v>95916201.318802193</v>
      </c>
      <c r="AK57" s="16">
        <f t="shared" si="18"/>
        <v>94172541.173202187</v>
      </c>
      <c r="AL57" s="16">
        <f t="shared" si="18"/>
        <v>96304544.183695585</v>
      </c>
      <c r="AM57" s="16">
        <f t="shared" si="18"/>
        <v>93950941.221695587</v>
      </c>
      <c r="AN57" s="16">
        <f t="shared" si="18"/>
        <v>90695742.135095581</v>
      </c>
      <c r="AO57" s="16">
        <f t="shared" si="18"/>
        <v>86058441.69929558</v>
      </c>
      <c r="AP57" s="16">
        <f t="shared" si="18"/>
        <v>79600356.420295581</v>
      </c>
      <c r="AQ57" s="16">
        <f t="shared" si="18"/>
        <v>75904722.730695575</v>
      </c>
      <c r="AR57" s="16">
        <f t="shared" si="18"/>
        <v>224136402.30269557</v>
      </c>
      <c r="AS57" s="16">
        <f t="shared" si="18"/>
        <v>222040661.61505654</v>
      </c>
      <c r="AT57" s="16">
        <f t="shared" si="18"/>
        <v>215505050.51987246</v>
      </c>
      <c r="AU57" s="16">
        <f t="shared" si="18"/>
        <v>208151271.39115179</v>
      </c>
      <c r="AV57" s="16">
        <f t="shared" si="18"/>
        <v>205969417.87340602</v>
      </c>
      <c r="AW57" s="16">
        <f t="shared" si="18"/>
        <v>198413424.37425423</v>
      </c>
      <c r="AX57" s="16">
        <f t="shared" si="18"/>
        <v>194035776.3087858</v>
      </c>
    </row>
    <row r="59" spans="2:50" x14ac:dyDescent="0.25">
      <c r="C59" s="20">
        <f>C57-Forecast!AY68</f>
        <v>0</v>
      </c>
      <c r="D59" s="20">
        <f>D57-Forecast!AZ68</f>
        <v>0</v>
      </c>
      <c r="E59" s="20">
        <f>E57-Forecast!BA68</f>
        <v>0</v>
      </c>
      <c r="F59" s="20">
        <f>F57-Forecast!BB68</f>
        <v>0</v>
      </c>
      <c r="G59" s="20">
        <f>G57-Forecast!BC68</f>
        <v>0</v>
      </c>
      <c r="H59" s="20">
        <f>H57-Forecast!BD68</f>
        <v>0</v>
      </c>
      <c r="I59" s="20">
        <f>I57-Forecast!BE68</f>
        <v>0</v>
      </c>
      <c r="J59" s="20">
        <f>J57-Forecast!BF68</f>
        <v>0</v>
      </c>
      <c r="K59" s="20">
        <f>K57-Forecast!BG68</f>
        <v>0</v>
      </c>
      <c r="L59" s="20">
        <f>L57-Forecast!BH68</f>
        <v>0</v>
      </c>
      <c r="M59" s="20">
        <f>M57-Forecast!BI68</f>
        <v>0</v>
      </c>
      <c r="N59" s="20">
        <f>N57-Forecast!BJ68</f>
        <v>0</v>
      </c>
      <c r="O59" s="20">
        <f>O57-Forecast!BK68</f>
        <v>0</v>
      </c>
      <c r="P59" s="20">
        <f>P57-Forecast!BL68</f>
        <v>0</v>
      </c>
      <c r="Q59" s="20">
        <f>Q57-Forecast!BM68</f>
        <v>0</v>
      </c>
      <c r="R59" s="20">
        <f>R57-Forecast!BN68</f>
        <v>0</v>
      </c>
      <c r="S59" s="20">
        <f>S57-Forecast!BO68</f>
        <v>0</v>
      </c>
      <c r="T59" s="20">
        <f>T57-Forecast!BP68</f>
        <v>0</v>
      </c>
      <c r="U59" s="20">
        <f>U57-Forecast!BQ68</f>
        <v>0</v>
      </c>
      <c r="V59" s="20">
        <f>V57-Forecast!BR68</f>
        <v>0</v>
      </c>
      <c r="W59" s="20">
        <f>W57-Forecast!BS68</f>
        <v>0</v>
      </c>
      <c r="X59" s="20">
        <f>X57-Forecast!BT68</f>
        <v>0</v>
      </c>
      <c r="Y59" s="20">
        <f>Y57-Forecast!BU68</f>
        <v>0</v>
      </c>
      <c r="Z59" s="20">
        <f>Z57-Forecast!BV68</f>
        <v>0</v>
      </c>
      <c r="AA59" s="20">
        <f>AA57-Forecast!BW68</f>
        <v>0</v>
      </c>
      <c r="AB59" s="20">
        <f>AB57-Forecast!BX68</f>
        <v>0</v>
      </c>
      <c r="AC59" s="20">
        <f>AC57-Forecast!BY68</f>
        <v>0</v>
      </c>
      <c r="AD59" s="20">
        <f>AD57-Forecast!BZ68</f>
        <v>0</v>
      </c>
      <c r="AE59" s="20">
        <f>AE57-Forecast!CA68</f>
        <v>0</v>
      </c>
      <c r="AF59" s="20">
        <f>AF57-Forecast!CB68</f>
        <v>0</v>
      </c>
      <c r="AG59" s="20">
        <f>AG57-Forecast!CC68</f>
        <v>0</v>
      </c>
      <c r="AH59" s="20">
        <f>AH57-Forecast!CD68</f>
        <v>0</v>
      </c>
      <c r="AI59" s="20">
        <f>AI57-Forecast!CE68</f>
        <v>0</v>
      </c>
      <c r="AJ59" s="20">
        <f>AJ57-Forecast!CF68</f>
        <v>0</v>
      </c>
      <c r="AK59" s="20">
        <f>AK57-Forecast!CG68</f>
        <v>0</v>
      </c>
      <c r="AL59" s="20">
        <f>AL57-Forecast!CH68</f>
        <v>0</v>
      </c>
      <c r="AM59" s="20">
        <f>AM57-Forecast!CI68</f>
        <v>0</v>
      </c>
      <c r="AN59" s="20">
        <f>AN57-Forecast!CJ68</f>
        <v>0</v>
      </c>
      <c r="AO59" s="20">
        <f>AO57-Forecast!CK68</f>
        <v>0</v>
      </c>
      <c r="AP59" s="20">
        <f>AP57-Forecast!CL68</f>
        <v>0</v>
      </c>
      <c r="AQ59" s="20">
        <f>AQ57-Forecast!CM68</f>
        <v>0</v>
      </c>
      <c r="AR59" s="20">
        <f>AR57-Forecast!CN68</f>
        <v>0</v>
      </c>
      <c r="AS59" s="20">
        <f>AS57-Forecast!CO68</f>
        <v>0</v>
      </c>
      <c r="AT59" s="20">
        <f>AT57-Forecast!CP68</f>
        <v>0</v>
      </c>
      <c r="AU59" s="20">
        <f>AU57-Forecast!CQ68</f>
        <v>0</v>
      </c>
      <c r="AV59" s="20">
        <f>AV57-Forecast!CR68</f>
        <v>0</v>
      </c>
      <c r="AW59" s="20">
        <f>AW57-Forecast!CS68</f>
        <v>0</v>
      </c>
      <c r="AX59" s="20">
        <f>AX57-Forecast!CT68</f>
        <v>0</v>
      </c>
    </row>
    <row r="63" spans="2:50" x14ac:dyDescent="0.25">
      <c r="AR63" s="123" t="s">
        <v>268</v>
      </c>
      <c r="AS63" s="123"/>
      <c r="AT63" s="123"/>
    </row>
    <row r="65" spans="44:49" x14ac:dyDescent="0.25">
      <c r="AS65" s="75" t="s">
        <v>266</v>
      </c>
      <c r="AT65" s="75" t="s">
        <v>267</v>
      </c>
    </row>
    <row r="66" spans="44:49" x14ac:dyDescent="0.25">
      <c r="AR66" s="121" t="s">
        <v>59</v>
      </c>
      <c r="AS66" s="20">
        <f>SUM(AS53:AU53)</f>
        <v>32076694.168668225</v>
      </c>
      <c r="AT66" s="20">
        <f>SUM(AV53:AX53)</f>
        <v>41708954.715256467</v>
      </c>
    </row>
    <row r="67" spans="44:49" x14ac:dyDescent="0.25">
      <c r="AR67" s="121" t="s">
        <v>60</v>
      </c>
      <c r="AS67" s="20">
        <f t="shared" ref="AS67:AS69" si="19">SUM(AS54:AU54)</f>
        <v>-48861825.080211997</v>
      </c>
      <c r="AT67" s="20">
        <f t="shared" ref="AT67:AT69" si="20">SUM(AV54:AX54)</f>
        <v>-55824449.797622412</v>
      </c>
    </row>
    <row r="68" spans="44:49" x14ac:dyDescent="0.25">
      <c r="AR68" s="121" t="s">
        <v>219</v>
      </c>
      <c r="AS68" s="20">
        <f t="shared" si="19"/>
        <v>0</v>
      </c>
      <c r="AT68" s="20">
        <f t="shared" si="20"/>
        <v>0</v>
      </c>
    </row>
    <row r="69" spans="44:49" x14ac:dyDescent="0.25">
      <c r="AR69" s="121" t="s">
        <v>61</v>
      </c>
      <c r="AS69" s="20">
        <f t="shared" si="19"/>
        <v>800000</v>
      </c>
      <c r="AT69" s="20">
        <f t="shared" si="20"/>
        <v>0</v>
      </c>
      <c r="AV69" s="20">
        <f>SUM(AS66:AT69)</f>
        <v>-30100625.993909717</v>
      </c>
    </row>
    <row r="72" spans="44:49" x14ac:dyDescent="0.25">
      <c r="AS72" s="75" t="s">
        <v>266</v>
      </c>
      <c r="AT72" s="75" t="s">
        <v>267</v>
      </c>
    </row>
    <row r="73" spans="44:49" x14ac:dyDescent="0.25">
      <c r="AR73" s="121" t="s">
        <v>59</v>
      </c>
      <c r="AS73" s="122">
        <v>32076694.168668225</v>
      </c>
      <c r="AT73" s="122">
        <v>41708954.715256475</v>
      </c>
    </row>
    <row r="74" spans="44:49" x14ac:dyDescent="0.25">
      <c r="AR74" s="121" t="s">
        <v>60</v>
      </c>
      <c r="AS74" s="122">
        <v>-48861825.080211997</v>
      </c>
      <c r="AT74" s="122">
        <v>-55824449.797622405</v>
      </c>
    </row>
    <row r="75" spans="44:49" x14ac:dyDescent="0.25">
      <c r="AR75" s="121" t="s">
        <v>219</v>
      </c>
      <c r="AS75" s="122"/>
      <c r="AT75" s="122"/>
    </row>
    <row r="76" spans="44:49" x14ac:dyDescent="0.25">
      <c r="AR76" s="121" t="s">
        <v>61</v>
      </c>
      <c r="AS76" s="122">
        <v>800000</v>
      </c>
      <c r="AT76" s="122">
        <v>0</v>
      </c>
      <c r="AV76" s="20">
        <f>SUM(AS73:AT76)</f>
        <v>-30100625.993909709</v>
      </c>
      <c r="AW76" s="20"/>
    </row>
    <row r="77" spans="44:49" x14ac:dyDescent="0.25">
      <c r="AS77" s="20">
        <f>SUM(AS73:AS76)</f>
        <v>-15985130.911543772</v>
      </c>
      <c r="AT77" s="20">
        <f>SUM(AT73:AT76)</f>
        <v>-14115495.08236593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A26C55-3382-4C8B-A56E-9191B6FBEE59}">
  <sheetPr>
    <tabColor theme="1"/>
  </sheetPr>
  <dimension ref="A1"/>
  <sheetViews>
    <sheetView workbookViewId="0">
      <selection activeCell="AD52" sqref="AD52"/>
    </sheetView>
  </sheetViews>
  <sheetFormatPr defaultColWidth="8.85546875" defaultRowHeight="15" x14ac:dyDescent="0.25"/>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788E2-FB9E-4330-AB70-8531F41EE945}">
  <dimension ref="B2:L61"/>
  <sheetViews>
    <sheetView showGridLines="0" zoomScaleNormal="100" workbookViewId="0">
      <selection activeCell="M29" sqref="M29"/>
    </sheetView>
  </sheetViews>
  <sheetFormatPr defaultColWidth="9.140625" defaultRowHeight="14.25" x14ac:dyDescent="0.2"/>
  <cols>
    <col min="1" max="1" width="9.140625" style="161"/>
    <col min="2" max="2" width="24.42578125" style="161" customWidth="1"/>
    <col min="3" max="3" width="11.140625" style="161" customWidth="1"/>
    <col min="4" max="4" width="17.28515625" style="161" bestFit="1" customWidth="1"/>
    <col min="5" max="10" width="11.140625" style="161" customWidth="1"/>
    <col min="11" max="16384" width="9.140625" style="161"/>
  </cols>
  <sheetData>
    <row r="2" spans="2:10" ht="15" x14ac:dyDescent="0.25">
      <c r="C2" s="142" t="s">
        <v>252</v>
      </c>
      <c r="D2" s="145" t="s">
        <v>253</v>
      </c>
      <c r="E2" s="145" t="s">
        <v>254</v>
      </c>
      <c r="F2" s="145" t="s">
        <v>255</v>
      </c>
      <c r="G2" s="145" t="s">
        <v>256</v>
      </c>
      <c r="H2" s="145" t="s">
        <v>257</v>
      </c>
      <c r="I2" s="145" t="s">
        <v>258</v>
      </c>
      <c r="J2" s="142" t="s">
        <v>259</v>
      </c>
    </row>
    <row r="3" spans="2:10" ht="15" x14ac:dyDescent="0.25">
      <c r="C3" s="143"/>
      <c r="D3" s="143"/>
      <c r="E3" s="143"/>
      <c r="F3" s="143"/>
      <c r="G3" s="143"/>
      <c r="H3" s="143"/>
      <c r="I3" s="143"/>
      <c r="J3" s="143"/>
    </row>
    <row r="4" spans="2:10" ht="15" x14ac:dyDescent="0.25">
      <c r="B4" s="162" t="s">
        <v>18</v>
      </c>
      <c r="C4" s="166">
        <f>Forecast!D9/1000000</f>
        <v>13.606240259999995</v>
      </c>
      <c r="D4" s="166">
        <f>Forecast!E9/1000000</f>
        <v>30.891265889999996</v>
      </c>
      <c r="E4" s="166">
        <f>Forecast!F9/1000000</f>
        <v>55.80429742999997</v>
      </c>
      <c r="F4" s="166">
        <f>Forecast!G9/1000000</f>
        <v>82.486431199999956</v>
      </c>
      <c r="G4" s="166">
        <f>Forecast!H9/1000000</f>
        <v>139.75384215791993</v>
      </c>
      <c r="H4" s="166">
        <f>Forecast!I9/1000000</f>
        <v>216.11147294072867</v>
      </c>
      <c r="I4" s="166">
        <f>Forecast!J9/1000000</f>
        <v>327.79930554458565</v>
      </c>
      <c r="J4" s="166">
        <f>Forecast!K9/1000000</f>
        <v>489.68839782248546</v>
      </c>
    </row>
    <row r="5" spans="2:10" x14ac:dyDescent="0.2">
      <c r="B5" s="163" t="s">
        <v>19</v>
      </c>
      <c r="C5" s="164">
        <f>Forecast!D10/1000000</f>
        <v>0</v>
      </c>
      <c r="D5" s="164">
        <f>Forecast!E10/1000000</f>
        <v>0</v>
      </c>
      <c r="E5" s="164">
        <f>Forecast!F10/1000000</f>
        <v>0</v>
      </c>
      <c r="F5" s="164">
        <f>Forecast!G10/1000000</f>
        <v>0</v>
      </c>
      <c r="G5" s="164">
        <f>Forecast!H10/1000000</f>
        <v>0</v>
      </c>
      <c r="H5" s="164">
        <f>Forecast!I10/1000000</f>
        <v>0</v>
      </c>
      <c r="I5" s="164">
        <f>Forecast!J10/1000000</f>
        <v>0</v>
      </c>
      <c r="J5" s="164">
        <f>Forecast!K10/1000000</f>
        <v>0</v>
      </c>
    </row>
    <row r="6" spans="2:10" x14ac:dyDescent="0.2">
      <c r="B6" s="163" t="s">
        <v>20</v>
      </c>
      <c r="C6" s="164">
        <f>Forecast!D11/1000000</f>
        <v>12.911272049999999</v>
      </c>
      <c r="D6" s="164">
        <f>Forecast!E11/1000000</f>
        <v>17.026778394505001</v>
      </c>
      <c r="E6" s="164">
        <f>Forecast!F11/1000000</f>
        <v>17.383704050990001</v>
      </c>
      <c r="F6" s="164">
        <f>Forecast!G11/1000000</f>
        <v>32.846050172126333</v>
      </c>
      <c r="G6" s="164">
        <f>Forecast!H11/1000000</f>
        <v>38.010620603182659</v>
      </c>
      <c r="H6" s="164">
        <f>Forecast!I11/1000000</f>
        <v>51.979870170452813</v>
      </c>
      <c r="I6" s="164">
        <f>Forecast!J11/1000000</f>
        <v>68.044908272858322</v>
      </c>
      <c r="J6" s="164">
        <f>Forecast!K11/1000000</f>
        <v>87.983414927973101</v>
      </c>
    </row>
    <row r="7" spans="2:10" x14ac:dyDescent="0.2">
      <c r="B7" s="163" t="s">
        <v>21</v>
      </c>
      <c r="C7" s="164">
        <f>Forecast!D12/1000000</f>
        <v>5.9986532500000003</v>
      </c>
      <c r="D7" s="164">
        <f>Forecast!E12/1000000</f>
        <v>10.710029496410002</v>
      </c>
      <c r="E7" s="164">
        <f>Forecast!F12/1000000</f>
        <v>14.958265513111998</v>
      </c>
      <c r="F7" s="164">
        <f>Forecast!G12/1000000</f>
        <v>31.086192148306669</v>
      </c>
      <c r="G7" s="164">
        <f>Forecast!H12/1000000</f>
        <v>49.48937939681732</v>
      </c>
      <c r="H7" s="164">
        <f>Forecast!I12/1000000</f>
        <v>77.082629829547173</v>
      </c>
      <c r="I7" s="164">
        <f>Forecast!J12/1000000</f>
        <v>119.09571672714165</v>
      </c>
      <c r="J7" s="164">
        <f>Forecast!K12/1000000</f>
        <v>178.69197569702692</v>
      </c>
    </row>
    <row r="8" spans="2:10" x14ac:dyDescent="0.2">
      <c r="B8" s="163" t="s">
        <v>22</v>
      </c>
      <c r="C8" s="167">
        <f>Forecast!D13/1000000</f>
        <v>-1.45374541</v>
      </c>
      <c r="D8" s="167">
        <f>Forecast!E13/1000000</f>
        <v>-2.9289889899999997</v>
      </c>
      <c r="E8" s="167">
        <f>Forecast!F13/1000000</f>
        <v>-5.7257791366670006</v>
      </c>
      <c r="F8" s="167">
        <f>Forecast!G13/1000000</f>
        <v>-6.6648313625129996</v>
      </c>
      <c r="G8" s="167">
        <f>Forecast!H13/1000000</f>
        <v>-11.142369217191266</v>
      </c>
      <c r="H8" s="167">
        <f>Forecast!I13/1000000</f>
        <v>-17.374667396143003</v>
      </c>
      <c r="I8" s="167">
        <f>Forecast!J13/1000000</f>
        <v>-25.251532722100112</v>
      </c>
      <c r="J8" s="167">
        <f>Forecast!K13/1000000</f>
        <v>-36.014778168719644</v>
      </c>
    </row>
    <row r="9" spans="2:10" ht="15" x14ac:dyDescent="0.25">
      <c r="B9" s="162" t="s">
        <v>24</v>
      </c>
      <c r="C9" s="166">
        <f>Forecast!D14/1000000</f>
        <v>31.062420149999994</v>
      </c>
      <c r="D9" s="166">
        <f>Forecast!E14/1000000</f>
        <v>55.699084790914988</v>
      </c>
      <c r="E9" s="166">
        <f>Forecast!F14/1000000</f>
        <v>82.420487857434964</v>
      </c>
      <c r="F9" s="166">
        <f>Forecast!G14/1000000</f>
        <v>139.75384215791993</v>
      </c>
      <c r="G9" s="166">
        <f>Forecast!H14/1000000</f>
        <v>216.11147294072867</v>
      </c>
      <c r="H9" s="166">
        <f>Forecast!I14/1000000</f>
        <v>327.79930554458565</v>
      </c>
      <c r="I9" s="166">
        <f>Forecast!J14/1000000</f>
        <v>489.68839782248546</v>
      </c>
      <c r="J9" s="166">
        <f>Forecast!K14/1000000</f>
        <v>720.34901027876583</v>
      </c>
    </row>
    <row r="11" spans="2:10" ht="15" x14ac:dyDescent="0.25">
      <c r="E11" s="192" t="s">
        <v>17</v>
      </c>
      <c r="F11" s="189" t="s">
        <v>249</v>
      </c>
      <c r="G11" s="190"/>
      <c r="H11" s="190"/>
      <c r="I11" s="190"/>
      <c r="J11" s="190"/>
    </row>
    <row r="12" spans="2:10" ht="15" x14ac:dyDescent="0.25">
      <c r="B12" s="162" t="s">
        <v>42</v>
      </c>
      <c r="E12" s="193">
        <f>E9</f>
        <v>82.420487857434964</v>
      </c>
      <c r="F12" s="191">
        <f>SUM(F6:F7)</f>
        <v>63.932242320433005</v>
      </c>
      <c r="G12" s="191">
        <f t="shared" ref="G12:J12" si="0">SUM(G6:G7)</f>
        <v>87.499999999999972</v>
      </c>
      <c r="H12" s="191">
        <f t="shared" si="0"/>
        <v>129.0625</v>
      </c>
      <c r="I12" s="191">
        <f t="shared" si="0"/>
        <v>187.14062499999997</v>
      </c>
      <c r="J12" s="191">
        <f t="shared" si="0"/>
        <v>266.67539062500003</v>
      </c>
    </row>
    <row r="13" spans="2:10" x14ac:dyDescent="0.2">
      <c r="B13" s="163" t="s">
        <v>296</v>
      </c>
      <c r="E13" s="164">
        <f>E19*E$12</f>
        <v>74.178439071691471</v>
      </c>
      <c r="F13" s="164">
        <f>F19*F$12</f>
        <v>42.653894276536079</v>
      </c>
      <c r="G13" s="164">
        <f t="shared" ref="G13:J13" si="1">G19*G$12</f>
        <v>36.094604447685008</v>
      </c>
      <c r="H13" s="164">
        <f t="shared" si="1"/>
        <v>46.78641656033539</v>
      </c>
      <c r="I13" s="164">
        <f t="shared" si="1"/>
        <v>58.483272762486315</v>
      </c>
      <c r="J13" s="164">
        <f t="shared" si="1"/>
        <v>70.004894155293044</v>
      </c>
    </row>
    <row r="14" spans="2:10" x14ac:dyDescent="0.2">
      <c r="B14" s="163" t="s">
        <v>297</v>
      </c>
      <c r="E14" s="164">
        <f t="shared" ref="E14" si="2">E20*E$12</f>
        <v>4.1210243928717487</v>
      </c>
      <c r="F14" s="164">
        <f t="shared" ref="F14:G17" si="3">F20*F$12</f>
        <v>10.302076684676317</v>
      </c>
      <c r="G14" s="164">
        <f t="shared" si="3"/>
        <v>21.874999999999993</v>
      </c>
      <c r="H14" s="164">
        <f t="shared" ref="H14:J14" si="4">H20*H$12</f>
        <v>32.265625</v>
      </c>
      <c r="I14" s="164">
        <f t="shared" si="4"/>
        <v>46.785156249999993</v>
      </c>
      <c r="J14" s="164">
        <f t="shared" si="4"/>
        <v>66.668847656250009</v>
      </c>
    </row>
    <row r="15" spans="2:10" x14ac:dyDescent="0.2">
      <c r="B15" s="163" t="s">
        <v>298</v>
      </c>
      <c r="E15" s="164">
        <f t="shared" ref="E15" si="5">E21*E$12</f>
        <v>1.6484097571486993</v>
      </c>
      <c r="F15" s="164">
        <f t="shared" si="3"/>
        <v>4.0110203499108561</v>
      </c>
      <c r="G15" s="164">
        <f t="shared" si="3"/>
        <v>13.124999999999995</v>
      </c>
      <c r="H15" s="164">
        <f t="shared" ref="H15:J15" si="6">H21*H$12</f>
        <v>19.359375</v>
      </c>
      <c r="I15" s="164">
        <f t="shared" si="6"/>
        <v>28.071093749999996</v>
      </c>
      <c r="J15" s="164">
        <f t="shared" si="6"/>
        <v>40.001308593750004</v>
      </c>
    </row>
    <row r="16" spans="2:10" x14ac:dyDescent="0.2">
      <c r="B16" s="163" t="s">
        <v>299</v>
      </c>
      <c r="E16" s="164">
        <f t="shared" ref="E16" si="7">E22*E$12</f>
        <v>0.82420487857434965</v>
      </c>
      <c r="F16" s="164">
        <f t="shared" si="3"/>
        <v>3.4674300257023183</v>
      </c>
      <c r="G16" s="164">
        <f t="shared" si="3"/>
        <v>11.848341232227483</v>
      </c>
      <c r="H16" s="164">
        <f t="shared" ref="H16:J16" si="8">H22*H$12</f>
        <v>23.929428317535546</v>
      </c>
      <c r="I16" s="164">
        <f t="shared" si="8"/>
        <v>44.054702310426535</v>
      </c>
      <c r="J16" s="164">
        <f t="shared" si="8"/>
        <v>76.111720323607827</v>
      </c>
    </row>
    <row r="17" spans="2:12" x14ac:dyDescent="0.2">
      <c r="B17" s="163" t="s">
        <v>300</v>
      </c>
      <c r="E17" s="164">
        <f t="shared" ref="E17" si="9">E23*E$12</f>
        <v>1.6484097571486993</v>
      </c>
      <c r="F17" s="164">
        <f t="shared" si="3"/>
        <v>3.4978209836074319</v>
      </c>
      <c r="G17" s="164">
        <f t="shared" si="3"/>
        <v>4.5570543200874942</v>
      </c>
      <c r="H17" s="164">
        <f t="shared" ref="H17:J17" si="10">H23*H$12</f>
        <v>6.7216551221290555</v>
      </c>
      <c r="I17" s="164">
        <f t="shared" si="10"/>
        <v>9.7463999270871291</v>
      </c>
      <c r="J17" s="164">
        <f t="shared" si="10"/>
        <v>13.888619896099163</v>
      </c>
    </row>
    <row r="18" spans="2:12" x14ac:dyDescent="0.2">
      <c r="B18" s="163"/>
    </row>
    <row r="19" spans="2:12" ht="15" x14ac:dyDescent="0.25">
      <c r="C19" s="162" t="s">
        <v>346</v>
      </c>
      <c r="D19" s="163" t="s">
        <v>296</v>
      </c>
      <c r="E19" s="194">
        <f>1-SUM(E20:E23)</f>
        <v>0.9</v>
      </c>
      <c r="F19" s="169">
        <f>'Product Mix'!N4</f>
        <v>0.66717344376491106</v>
      </c>
      <c r="G19" s="169">
        <f>'Product Mix'!Q4</f>
        <v>0.4125097651164002</v>
      </c>
      <c r="H19" s="187">
        <f>1-SUM(H20:H23)</f>
        <v>0.3625097651164001</v>
      </c>
      <c r="I19" s="187">
        <f t="shared" ref="I19:J19" si="11">1-SUM(I20:I23)</f>
        <v>0.31250976511640016</v>
      </c>
      <c r="J19" s="187">
        <f t="shared" si="11"/>
        <v>0.26250976511640023</v>
      </c>
      <c r="L19" s="188" t="s">
        <v>341</v>
      </c>
    </row>
    <row r="20" spans="2:12" x14ac:dyDescent="0.2">
      <c r="D20" s="163" t="s">
        <v>297</v>
      </c>
      <c r="E20" s="194">
        <v>0.05</v>
      </c>
      <c r="F20" s="169">
        <f>'Product Mix'!N5</f>
        <v>0.16114054991285251</v>
      </c>
      <c r="G20" s="169">
        <f>'Product Mix'!Q5</f>
        <v>0.25</v>
      </c>
      <c r="H20" s="187">
        <f t="shared" ref="H20:J20" si="12">G20+$L20</f>
        <v>0.25</v>
      </c>
      <c r="I20" s="187">
        <f t="shared" si="12"/>
        <v>0.25</v>
      </c>
      <c r="J20" s="187">
        <f t="shared" si="12"/>
        <v>0.25</v>
      </c>
      <c r="L20" s="169">
        <v>0</v>
      </c>
    </row>
    <row r="21" spans="2:12" x14ac:dyDescent="0.2">
      <c r="D21" s="163" t="s">
        <v>298</v>
      </c>
      <c r="E21" s="194">
        <v>0.02</v>
      </c>
      <c r="F21" s="169">
        <f>'Product Mix'!N6</f>
        <v>6.2738615201502451E-2</v>
      </c>
      <c r="G21" s="169">
        <f>'Product Mix'!Q6</f>
        <v>0.15</v>
      </c>
      <c r="H21" s="187">
        <f t="shared" ref="H21:J21" si="13">G21+$L21</f>
        <v>0.15</v>
      </c>
      <c r="I21" s="187">
        <f t="shared" si="13"/>
        <v>0.15</v>
      </c>
      <c r="J21" s="187">
        <f t="shared" si="13"/>
        <v>0.15</v>
      </c>
      <c r="L21" s="169">
        <v>0</v>
      </c>
    </row>
    <row r="22" spans="2:12" ht="15" x14ac:dyDescent="0.25">
      <c r="C22" s="162" t="s">
        <v>347</v>
      </c>
      <c r="D22" s="163" t="s">
        <v>299</v>
      </c>
      <c r="E22" s="194">
        <v>0.01</v>
      </c>
      <c r="F22" s="169">
        <f>'Product Mix'!N7</f>
        <v>5.4236014565597575E-2</v>
      </c>
      <c r="G22" s="169">
        <f>'Product Mix'!Q7</f>
        <v>0.13540961408259986</v>
      </c>
      <c r="H22" s="187">
        <f>G22+$L22</f>
        <v>0.18540961408259987</v>
      </c>
      <c r="I22" s="187">
        <f t="shared" ref="I22:J22" si="14">H22+$L22</f>
        <v>0.23540961408259986</v>
      </c>
      <c r="J22" s="187">
        <f t="shared" si="14"/>
        <v>0.28540961408259985</v>
      </c>
      <c r="L22" s="169">
        <v>0.05</v>
      </c>
    </row>
    <row r="23" spans="2:12" x14ac:dyDescent="0.2">
      <c r="D23" s="163" t="s">
        <v>300</v>
      </c>
      <c r="E23" s="194">
        <v>0.02</v>
      </c>
      <c r="F23" s="169">
        <f>'Product Mix'!N8</f>
        <v>5.4711376555136311E-2</v>
      </c>
      <c r="G23" s="169">
        <f>'Product Mix'!Q8</f>
        <v>5.2080620800999948E-2</v>
      </c>
      <c r="H23" s="187">
        <f t="shared" ref="H23:J23" si="15">G23+$L23</f>
        <v>5.2080620800999948E-2</v>
      </c>
      <c r="I23" s="187">
        <f t="shared" si="15"/>
        <v>5.2080620800999948E-2</v>
      </c>
      <c r="J23" s="187">
        <f t="shared" si="15"/>
        <v>5.2080620800999948E-2</v>
      </c>
      <c r="L23" s="169">
        <v>0</v>
      </c>
    </row>
    <row r="26" spans="2:12" ht="15" x14ac:dyDescent="0.25">
      <c r="B26" s="162" t="s">
        <v>342</v>
      </c>
      <c r="F26" s="195">
        <f>SUM(F27:F31)</f>
        <v>82.420487857434964</v>
      </c>
      <c r="G26" s="195">
        <f>F49</f>
        <v>139.68789881535497</v>
      </c>
      <c r="H26" s="195">
        <f t="shared" ref="H26:J26" si="16">G49</f>
        <v>216.04552959816365</v>
      </c>
      <c r="I26" s="195">
        <f t="shared" si="16"/>
        <v>327.73336220202071</v>
      </c>
      <c r="J26" s="195">
        <f t="shared" si="16"/>
        <v>489.62245447992052</v>
      </c>
    </row>
    <row r="27" spans="2:12" x14ac:dyDescent="0.2">
      <c r="B27" s="163" t="s">
        <v>296</v>
      </c>
      <c r="F27" s="165">
        <f>E13</f>
        <v>74.178439071691471</v>
      </c>
      <c r="G27" s="165">
        <f t="shared" ref="G27:J31" si="17">F50</f>
        <v>110.83398512196585</v>
      </c>
      <c r="H27" s="165">
        <f t="shared" si="17"/>
        <v>138.08778664745901</v>
      </c>
      <c r="I27" s="165">
        <f t="shared" si="17"/>
        <v>173.76900066585046</v>
      </c>
      <c r="J27" s="165">
        <f t="shared" si="17"/>
        <v>218.86354309915058</v>
      </c>
    </row>
    <row r="28" spans="2:12" x14ac:dyDescent="0.2">
      <c r="B28" s="163" t="s">
        <v>297</v>
      </c>
      <c r="F28" s="165">
        <f t="shared" ref="F28:F31" si="18">E14</f>
        <v>4.1210243928717487</v>
      </c>
      <c r="G28" s="165">
        <f t="shared" si="17"/>
        <v>14.089859509422414</v>
      </c>
      <c r="H28" s="165">
        <f t="shared" si="17"/>
        <v>34.840965326721161</v>
      </c>
      <c r="I28" s="165">
        <f t="shared" si="17"/>
        <v>64.304633788031097</v>
      </c>
      <c r="J28" s="165">
        <f t="shared" si="17"/>
        <v>106.13518134829934</v>
      </c>
    </row>
    <row r="29" spans="2:12" x14ac:dyDescent="0.2">
      <c r="B29" s="163" t="s">
        <v>298</v>
      </c>
      <c r="F29" s="165">
        <f t="shared" si="18"/>
        <v>1.6484097571486993</v>
      </c>
      <c r="G29" s="165">
        <f t="shared" si="17"/>
        <v>5.5261334798092951</v>
      </c>
      <c r="H29" s="165">
        <f t="shared" si="17"/>
        <v>18.210334956116778</v>
      </c>
      <c r="I29" s="165">
        <f t="shared" si="17"/>
        <v>36.105210720129932</v>
      </c>
      <c r="J29" s="165">
        <f t="shared" si="17"/>
        <v>61.39443354978193</v>
      </c>
    </row>
    <row r="30" spans="2:12" x14ac:dyDescent="0.2">
      <c r="B30" s="163" t="s">
        <v>299</v>
      </c>
      <c r="F30" s="165">
        <f t="shared" si="18"/>
        <v>0.82420487857434965</v>
      </c>
      <c r="G30" s="165">
        <f t="shared" si="17"/>
        <v>4.2249865906515378</v>
      </c>
      <c r="H30" s="165">
        <f t="shared" si="17"/>
        <v>15.736316808109954</v>
      </c>
      <c r="I30" s="165">
        <f t="shared" si="17"/>
        <v>38.400209703136255</v>
      </c>
      <c r="J30" s="165">
        <f t="shared" si="17"/>
        <v>79.496213682275624</v>
      </c>
    </row>
    <row r="31" spans="2:12" x14ac:dyDescent="0.2">
      <c r="B31" s="163" t="s">
        <v>300</v>
      </c>
      <c r="F31" s="165">
        <f t="shared" si="18"/>
        <v>1.6484097571486993</v>
      </c>
      <c r="G31" s="165">
        <f t="shared" si="17"/>
        <v>5.0129341135058709</v>
      </c>
      <c r="H31" s="165">
        <f t="shared" si="17"/>
        <v>9.1701258597567552</v>
      </c>
      <c r="I31" s="165">
        <f t="shared" si="17"/>
        <v>15.154307324872924</v>
      </c>
      <c r="J31" s="165">
        <f t="shared" si="17"/>
        <v>23.733082800413051</v>
      </c>
    </row>
    <row r="33" spans="2:10" ht="15" x14ac:dyDescent="0.25">
      <c r="B33" s="162" t="s">
        <v>343</v>
      </c>
      <c r="F33" s="195">
        <f>SUM(F34:F38)</f>
        <v>63.932242320433005</v>
      </c>
      <c r="G33" s="195">
        <f t="shared" ref="G33:J33" si="19">SUM(G34:G38)</f>
        <v>87.499999999999972</v>
      </c>
      <c r="H33" s="195">
        <f t="shared" si="19"/>
        <v>129.0625</v>
      </c>
      <c r="I33" s="195">
        <f t="shared" si="19"/>
        <v>187.14062499999997</v>
      </c>
      <c r="J33" s="195">
        <f t="shared" si="19"/>
        <v>266.67539062500003</v>
      </c>
    </row>
    <row r="34" spans="2:10" x14ac:dyDescent="0.2">
      <c r="B34" s="163" t="s">
        <v>296</v>
      </c>
      <c r="F34" s="165">
        <f>F13</f>
        <v>42.653894276536079</v>
      </c>
      <c r="G34" s="165">
        <f t="shared" ref="G34:J34" si="20">G13</f>
        <v>36.094604447685008</v>
      </c>
      <c r="H34" s="165">
        <f t="shared" si="20"/>
        <v>46.78641656033539</v>
      </c>
      <c r="I34" s="165">
        <f t="shared" si="20"/>
        <v>58.483272762486315</v>
      </c>
      <c r="J34" s="165">
        <f t="shared" si="20"/>
        <v>70.004894155293044</v>
      </c>
    </row>
    <row r="35" spans="2:10" x14ac:dyDescent="0.2">
      <c r="B35" s="163" t="s">
        <v>297</v>
      </c>
      <c r="F35" s="165">
        <f t="shared" ref="F35:J38" si="21">F14</f>
        <v>10.302076684676317</v>
      </c>
      <c r="G35" s="165">
        <f t="shared" si="21"/>
        <v>21.874999999999993</v>
      </c>
      <c r="H35" s="165">
        <f t="shared" si="21"/>
        <v>32.265625</v>
      </c>
      <c r="I35" s="165">
        <f t="shared" si="21"/>
        <v>46.785156249999993</v>
      </c>
      <c r="J35" s="165">
        <f t="shared" si="21"/>
        <v>66.668847656250009</v>
      </c>
    </row>
    <row r="36" spans="2:10" x14ac:dyDescent="0.2">
      <c r="B36" s="163" t="s">
        <v>298</v>
      </c>
      <c r="F36" s="165">
        <f t="shared" si="21"/>
        <v>4.0110203499108561</v>
      </c>
      <c r="G36" s="165">
        <f t="shared" si="21"/>
        <v>13.124999999999995</v>
      </c>
      <c r="H36" s="165">
        <f t="shared" si="21"/>
        <v>19.359375</v>
      </c>
      <c r="I36" s="165">
        <f t="shared" si="21"/>
        <v>28.071093749999996</v>
      </c>
      <c r="J36" s="165">
        <f t="shared" si="21"/>
        <v>40.001308593750004</v>
      </c>
    </row>
    <row r="37" spans="2:10" x14ac:dyDescent="0.2">
      <c r="B37" s="163" t="s">
        <v>299</v>
      </c>
      <c r="F37" s="165">
        <f t="shared" si="21"/>
        <v>3.4674300257023183</v>
      </c>
      <c r="G37" s="165">
        <f t="shared" si="21"/>
        <v>11.848341232227483</v>
      </c>
      <c r="H37" s="165">
        <f t="shared" si="21"/>
        <v>23.929428317535546</v>
      </c>
      <c r="I37" s="165">
        <f t="shared" si="21"/>
        <v>44.054702310426535</v>
      </c>
      <c r="J37" s="165">
        <f t="shared" si="21"/>
        <v>76.111720323607827</v>
      </c>
    </row>
    <row r="38" spans="2:10" x14ac:dyDescent="0.2">
      <c r="B38" s="163" t="s">
        <v>300</v>
      </c>
      <c r="F38" s="165">
        <f t="shared" si="21"/>
        <v>3.4978209836074319</v>
      </c>
      <c r="G38" s="165">
        <f t="shared" si="21"/>
        <v>4.5570543200874942</v>
      </c>
      <c r="H38" s="165">
        <f t="shared" si="21"/>
        <v>6.7216551221290555</v>
      </c>
      <c r="I38" s="165">
        <f t="shared" si="21"/>
        <v>9.7463999270871291</v>
      </c>
      <c r="J38" s="165">
        <f t="shared" si="21"/>
        <v>13.888619896099163</v>
      </c>
    </row>
    <row r="40" spans="2:10" ht="15" x14ac:dyDescent="0.25">
      <c r="B40" s="162" t="s">
        <v>22</v>
      </c>
      <c r="F40" s="195">
        <f>F8</f>
        <v>-6.6648313625129996</v>
      </c>
      <c r="G40" s="195">
        <f t="shared" ref="G40:J40" si="22">G8</f>
        <v>-11.142369217191266</v>
      </c>
      <c r="H40" s="195">
        <f t="shared" si="22"/>
        <v>-17.374667396143003</v>
      </c>
      <c r="I40" s="195">
        <f t="shared" si="22"/>
        <v>-25.251532722100112</v>
      </c>
      <c r="J40" s="195">
        <f t="shared" si="22"/>
        <v>-36.014778168719644</v>
      </c>
    </row>
    <row r="41" spans="2:10" x14ac:dyDescent="0.2">
      <c r="B41" s="163" t="s">
        <v>296</v>
      </c>
      <c r="F41" s="165">
        <f>F27/F$26*F$40</f>
        <v>-5.9983482262617001</v>
      </c>
      <c r="G41" s="165">
        <f t="shared" ref="G41:J41" si="23">G27/G$26*G$40</f>
        <v>-8.8408029221918305</v>
      </c>
      <c r="H41" s="165">
        <f t="shared" si="23"/>
        <v>-11.105202541943965</v>
      </c>
      <c r="I41" s="165">
        <f t="shared" si="23"/>
        <v>-13.388730329186194</v>
      </c>
      <c r="J41" s="165">
        <f t="shared" si="23"/>
        <v>-16.098775458140622</v>
      </c>
    </row>
    <row r="42" spans="2:10" x14ac:dyDescent="0.2">
      <c r="B42" s="163" t="s">
        <v>297</v>
      </c>
      <c r="F42" s="165">
        <f t="shared" ref="F42:J45" si="24">F28/F$26*F$40</f>
        <v>-0.33324156812565003</v>
      </c>
      <c r="G42" s="165">
        <f t="shared" si="24"/>
        <v>-1.1238941827012476</v>
      </c>
      <c r="H42" s="165">
        <f t="shared" si="24"/>
        <v>-2.8019565386900576</v>
      </c>
      <c r="I42" s="165">
        <f t="shared" si="24"/>
        <v>-4.9546086897317405</v>
      </c>
      <c r="J42" s="165">
        <f t="shared" si="24"/>
        <v>-7.8069030069628678</v>
      </c>
    </row>
    <row r="43" spans="2:10" x14ac:dyDescent="0.2">
      <c r="B43" s="163" t="s">
        <v>298</v>
      </c>
      <c r="F43" s="165">
        <f t="shared" si="24"/>
        <v>-0.13329662725025998</v>
      </c>
      <c r="G43" s="165">
        <f t="shared" si="24"/>
        <v>-0.44079852369250971</v>
      </c>
      <c r="H43" s="165">
        <f t="shared" si="24"/>
        <v>-1.4644992359868518</v>
      </c>
      <c r="I43" s="165">
        <f t="shared" si="24"/>
        <v>-2.7818709203480028</v>
      </c>
      <c r="J43" s="165">
        <f t="shared" si="24"/>
        <v>-4.5159426101857285</v>
      </c>
    </row>
    <row r="44" spans="2:10" x14ac:dyDescent="0.2">
      <c r="B44" s="163" t="s">
        <v>299</v>
      </c>
      <c r="F44" s="165">
        <f t="shared" si="24"/>
        <v>-6.664831362512999E-2</v>
      </c>
      <c r="G44" s="165">
        <f t="shared" si="24"/>
        <v>-0.33701101476906731</v>
      </c>
      <c r="H44" s="165">
        <f t="shared" si="24"/>
        <v>-1.2655354225092428</v>
      </c>
      <c r="I44" s="165">
        <f t="shared" si="24"/>
        <v>-2.9586983312871671</v>
      </c>
      <c r="J44" s="165">
        <f t="shared" si="24"/>
        <v>-5.847441176000447</v>
      </c>
    </row>
    <row r="45" spans="2:10" x14ac:dyDescent="0.2">
      <c r="B45" s="163" t="s">
        <v>300</v>
      </c>
      <c r="F45" s="165">
        <f t="shared" si="24"/>
        <v>-0.13329662725025998</v>
      </c>
      <c r="G45" s="165">
        <f t="shared" si="24"/>
        <v>-0.39986257383661017</v>
      </c>
      <c r="H45" s="165">
        <f t="shared" si="24"/>
        <v>-0.73747365701288636</v>
      </c>
      <c r="I45" s="165">
        <f t="shared" si="24"/>
        <v>-1.167624451547004</v>
      </c>
      <c r="J45" s="165">
        <f t="shared" si="24"/>
        <v>-1.745715917429977</v>
      </c>
    </row>
    <row r="47" spans="2:10" ht="15" x14ac:dyDescent="0.25">
      <c r="E47" s="145" t="s">
        <v>254</v>
      </c>
      <c r="F47" s="145" t="s">
        <v>255</v>
      </c>
      <c r="G47" s="145" t="s">
        <v>256</v>
      </c>
      <c r="H47" s="145" t="s">
        <v>257</v>
      </c>
      <c r="I47" s="145" t="s">
        <v>258</v>
      </c>
      <c r="J47" s="142" t="s">
        <v>259</v>
      </c>
    </row>
    <row r="48" spans="2:10" s="196" customFormat="1" ht="4.5" customHeight="1" x14ac:dyDescent="0.25">
      <c r="E48" s="197"/>
      <c r="F48" s="197"/>
      <c r="G48" s="197"/>
      <c r="H48" s="197"/>
      <c r="I48" s="197"/>
      <c r="J48" s="197"/>
    </row>
    <row r="49" spans="4:10" ht="15" x14ac:dyDescent="0.25">
      <c r="D49" s="162" t="s">
        <v>344</v>
      </c>
      <c r="E49" s="199">
        <f>F26</f>
        <v>82.420487857434964</v>
      </c>
      <c r="F49" s="199">
        <f>SUM(F50:F54)</f>
        <v>139.68789881535497</v>
      </c>
      <c r="G49" s="199">
        <f t="shared" ref="G49:J49" si="25">SUM(G50:G54)</f>
        <v>216.04552959816365</v>
      </c>
      <c r="H49" s="199">
        <f t="shared" si="25"/>
        <v>327.73336220202071</v>
      </c>
      <c r="I49" s="199">
        <f t="shared" si="25"/>
        <v>489.62245447992052</v>
      </c>
      <c r="J49" s="199">
        <f t="shared" si="25"/>
        <v>720.28306693620095</v>
      </c>
    </row>
    <row r="50" spans="4:10" x14ac:dyDescent="0.2">
      <c r="D50" s="163" t="s">
        <v>296</v>
      </c>
      <c r="E50" s="165">
        <f>F27</f>
        <v>74.178439071691471</v>
      </c>
      <c r="F50" s="165">
        <f>F27+F34+F41</f>
        <v>110.83398512196585</v>
      </c>
      <c r="G50" s="165">
        <f t="shared" ref="G50:J50" si="26">G27+G34+G41</f>
        <v>138.08778664745901</v>
      </c>
      <c r="H50" s="165">
        <f t="shared" si="26"/>
        <v>173.76900066585046</v>
      </c>
      <c r="I50" s="165">
        <f t="shared" si="26"/>
        <v>218.86354309915058</v>
      </c>
      <c r="J50" s="165">
        <f t="shared" si="26"/>
        <v>272.76966179630301</v>
      </c>
    </row>
    <row r="51" spans="4:10" x14ac:dyDescent="0.2">
      <c r="D51" s="163" t="s">
        <v>297</v>
      </c>
      <c r="E51" s="165">
        <f t="shared" ref="E51:E54" si="27">F28</f>
        <v>4.1210243928717487</v>
      </c>
      <c r="F51" s="165">
        <f>F28+F35+F42</f>
        <v>14.089859509422414</v>
      </c>
      <c r="G51" s="165">
        <f t="shared" ref="G51:J54" si="28">G28+G35+G42</f>
        <v>34.840965326721161</v>
      </c>
      <c r="H51" s="165">
        <f t="shared" si="28"/>
        <v>64.304633788031097</v>
      </c>
      <c r="I51" s="165">
        <f t="shared" si="28"/>
        <v>106.13518134829934</v>
      </c>
      <c r="J51" s="165">
        <f t="shared" si="28"/>
        <v>164.99712599758649</v>
      </c>
    </row>
    <row r="52" spans="4:10" x14ac:dyDescent="0.2">
      <c r="D52" s="163" t="s">
        <v>298</v>
      </c>
      <c r="E52" s="165">
        <f t="shared" si="27"/>
        <v>1.6484097571486993</v>
      </c>
      <c r="F52" s="165">
        <f>F29+F36+F43</f>
        <v>5.5261334798092951</v>
      </c>
      <c r="G52" s="165">
        <f t="shared" si="28"/>
        <v>18.210334956116778</v>
      </c>
      <c r="H52" s="165">
        <f t="shared" si="28"/>
        <v>36.105210720129932</v>
      </c>
      <c r="I52" s="165">
        <f t="shared" si="28"/>
        <v>61.39443354978193</v>
      </c>
      <c r="J52" s="165">
        <f t="shared" si="28"/>
        <v>96.879799533346201</v>
      </c>
    </row>
    <row r="53" spans="4:10" x14ac:dyDescent="0.2">
      <c r="D53" s="163" t="s">
        <v>299</v>
      </c>
      <c r="E53" s="165">
        <f t="shared" si="27"/>
        <v>0.82420487857434965</v>
      </c>
      <c r="F53" s="165">
        <f>F30+F37+F44</f>
        <v>4.2249865906515378</v>
      </c>
      <c r="G53" s="165">
        <f t="shared" si="28"/>
        <v>15.736316808109954</v>
      </c>
      <c r="H53" s="165">
        <f t="shared" si="28"/>
        <v>38.400209703136255</v>
      </c>
      <c r="I53" s="165">
        <f t="shared" si="28"/>
        <v>79.496213682275624</v>
      </c>
      <c r="J53" s="165">
        <f t="shared" si="28"/>
        <v>149.76049282988302</v>
      </c>
    </row>
    <row r="54" spans="4:10" x14ac:dyDescent="0.2">
      <c r="D54" s="163" t="s">
        <v>300</v>
      </c>
      <c r="E54" s="165">
        <f t="shared" si="27"/>
        <v>1.6484097571486993</v>
      </c>
      <c r="F54" s="165">
        <f>F31+F38+F45</f>
        <v>5.0129341135058709</v>
      </c>
      <c r="G54" s="165">
        <f t="shared" si="28"/>
        <v>9.1701258597567552</v>
      </c>
      <c r="H54" s="165">
        <f t="shared" si="28"/>
        <v>15.154307324872924</v>
      </c>
      <c r="I54" s="165">
        <f t="shared" si="28"/>
        <v>23.733082800413051</v>
      </c>
      <c r="J54" s="165">
        <f t="shared" si="28"/>
        <v>35.87598677908224</v>
      </c>
    </row>
    <row r="56" spans="4:10" ht="15" x14ac:dyDescent="0.25">
      <c r="D56" s="162" t="s">
        <v>345</v>
      </c>
      <c r="E56" s="198">
        <f>E49/E$49</f>
        <v>1</v>
      </c>
      <c r="F56" s="198">
        <f t="shared" ref="F56:J56" si="29">F49/F$49</f>
        <v>1</v>
      </c>
      <c r="G56" s="198">
        <f t="shared" si="29"/>
        <v>1</v>
      </c>
      <c r="H56" s="198">
        <f t="shared" si="29"/>
        <v>1</v>
      </c>
      <c r="I56" s="198">
        <f t="shared" si="29"/>
        <v>1</v>
      </c>
      <c r="J56" s="198">
        <f t="shared" si="29"/>
        <v>1</v>
      </c>
    </row>
    <row r="57" spans="4:10" x14ac:dyDescent="0.2">
      <c r="D57" s="163" t="s">
        <v>296</v>
      </c>
      <c r="E57" s="200">
        <f t="shared" ref="E57:J57" si="30">E50/E$49</f>
        <v>0.9</v>
      </c>
      <c r="F57" s="168">
        <f t="shared" si="30"/>
        <v>0.79344013376900047</v>
      </c>
      <c r="G57" s="168">
        <f t="shared" si="30"/>
        <v>0.63916058297663902</v>
      </c>
      <c r="H57" s="168">
        <f t="shared" si="30"/>
        <v>0.53021456069747375</v>
      </c>
      <c r="I57" s="168">
        <f t="shared" si="30"/>
        <v>0.44700470964230704</v>
      </c>
      <c r="J57" s="168">
        <f t="shared" si="30"/>
        <v>0.37869786798759159</v>
      </c>
    </row>
    <row r="58" spans="4:10" x14ac:dyDescent="0.2">
      <c r="D58" s="163" t="s">
        <v>297</v>
      </c>
      <c r="E58" s="200">
        <f t="shared" ref="E58:J58" si="31">E51/E$49</f>
        <v>5.000000000000001E-2</v>
      </c>
      <c r="F58" s="168">
        <f t="shared" si="31"/>
        <v>0.1008667152195263</v>
      </c>
      <c r="G58" s="168">
        <f t="shared" si="31"/>
        <v>0.16126677275629822</v>
      </c>
      <c r="H58" s="168">
        <f t="shared" si="31"/>
        <v>0.19621021599989741</v>
      </c>
      <c r="I58" s="168">
        <f t="shared" si="31"/>
        <v>0.21676943199232288</v>
      </c>
      <c r="J58" s="168">
        <f t="shared" si="31"/>
        <v>0.22907261543634361</v>
      </c>
    </row>
    <row r="59" spans="4:10" x14ac:dyDescent="0.2">
      <c r="D59" s="163" t="s">
        <v>298</v>
      </c>
      <c r="E59" s="200">
        <f t="shared" ref="E59:J59" si="32">E52/E$49</f>
        <v>0.02</v>
      </c>
      <c r="F59" s="168">
        <f t="shared" si="32"/>
        <v>3.956057415620489E-2</v>
      </c>
      <c r="G59" s="168">
        <f t="shared" si="32"/>
        <v>8.4289339335034144E-2</v>
      </c>
      <c r="H59" s="168">
        <f t="shared" si="32"/>
        <v>0.11016641844925765</v>
      </c>
      <c r="I59" s="168">
        <f t="shared" si="32"/>
        <v>0.12539137653520285</v>
      </c>
      <c r="J59" s="168">
        <f t="shared" si="32"/>
        <v>0.13450239771071465</v>
      </c>
    </row>
    <row r="60" spans="4:10" x14ac:dyDescent="0.2">
      <c r="D60" s="163" t="s">
        <v>299</v>
      </c>
      <c r="E60" s="200">
        <f t="shared" ref="E60:J60" si="33">E53/E$49</f>
        <v>0.01</v>
      </c>
      <c r="F60" s="168">
        <f t="shared" si="33"/>
        <v>3.0245902662164696E-2</v>
      </c>
      <c r="G60" s="168">
        <f t="shared" si="33"/>
        <v>7.2837965392660034E-2</v>
      </c>
      <c r="H60" s="168">
        <f t="shared" si="33"/>
        <v>0.11716905915567326</v>
      </c>
      <c r="I60" s="168">
        <f t="shared" si="33"/>
        <v>0.16236227108235243</v>
      </c>
      <c r="J60" s="168">
        <f t="shared" si="33"/>
        <v>0.20791894146131309</v>
      </c>
    </row>
    <row r="61" spans="4:10" x14ac:dyDescent="0.2">
      <c r="D61" s="163" t="s">
        <v>300</v>
      </c>
      <c r="E61" s="200">
        <f t="shared" ref="E61:J61" si="34">E54/E$49</f>
        <v>0.02</v>
      </c>
      <c r="F61" s="168">
        <f t="shared" si="34"/>
        <v>3.5886674193103638E-2</v>
      </c>
      <c r="G61" s="168">
        <f t="shared" si="34"/>
        <v>4.2445339539368555E-2</v>
      </c>
      <c r="H61" s="168">
        <f t="shared" si="34"/>
        <v>4.6239745697697808E-2</v>
      </c>
      <c r="I61" s="168">
        <f t="shared" si="34"/>
        <v>4.847221074781477E-2</v>
      </c>
      <c r="J61" s="168">
        <f t="shared" si="34"/>
        <v>4.9808177404037118E-2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DCA69BC493321F448CD8F9290C857749" ma:contentTypeVersion="12" ma:contentTypeDescription="Create a new document." ma:contentTypeScope="" ma:versionID="b6256254b285c117bee8914935efd20b">
  <xsd:schema xmlns:xsd="http://www.w3.org/2001/XMLSchema" xmlns:xs="http://www.w3.org/2001/XMLSchema" xmlns:p="http://schemas.microsoft.com/office/2006/metadata/properties" xmlns:ns2="5c2ee4ac-1e99-4605-8b75-0f447a051a0f" xmlns:ns3="b7699201-221b-4953-a2ec-ae7bf84cb821" targetNamespace="http://schemas.microsoft.com/office/2006/metadata/properties" ma:root="true" ma:fieldsID="322bb8bbeead4852feb1854e30c52fab" ns2:_="" ns3:_="">
    <xsd:import namespace="5c2ee4ac-1e99-4605-8b75-0f447a051a0f"/>
    <xsd:import namespace="b7699201-221b-4953-a2ec-ae7bf84cb821"/>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c2ee4ac-1e99-4605-8b75-0f447a051a0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Location" ma:index="19"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7699201-221b-4953-a2ec-ae7bf84cb821"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F61B84E-4B8E-42AA-AAED-2760A1680C16}">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D1C4A3EE-B37F-4799-85B4-91A86E071A3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c2ee4ac-1e99-4605-8b75-0f447a051a0f"/>
    <ds:schemaRef ds:uri="b7699201-221b-4953-a2ec-ae7bf84cb82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5955885-8FF9-4E38-8570-356433D73AE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6</vt:i4>
      </vt:variant>
    </vt:vector>
  </HeadingPairs>
  <TitlesOfParts>
    <vt:vector size="44" baseType="lpstr">
      <vt:lpstr>Merger Model</vt:lpstr>
      <vt:lpstr>Founder Waterfall</vt:lpstr>
      <vt:lpstr>Detailed Cap Table 11.12.21 (wi</vt:lpstr>
      <vt:lpstr>LogRocket&gt;</vt:lpstr>
      <vt:lpstr>MD&amp;A</vt:lpstr>
      <vt:lpstr>Assumptions</vt:lpstr>
      <vt:lpstr>Functional P&amp;L</vt:lpstr>
      <vt:lpstr>Bookings Build</vt:lpstr>
      <vt:lpstr>Revenue Build</vt:lpstr>
      <vt:lpstr>Expense Build</vt:lpstr>
      <vt:lpstr>Cash Summary</vt:lpstr>
      <vt:lpstr>Synergy&gt;&gt;</vt:lpstr>
      <vt:lpstr>Overview</vt:lpstr>
      <vt:lpstr>Model</vt:lpstr>
      <vt:lpstr>Bookings Waterfall</vt:lpstr>
      <vt:lpstr>Pendo&gt;&gt;</vt:lpstr>
      <vt:lpstr>Presentation</vt:lpstr>
      <vt:lpstr>Q Preso</vt:lpstr>
      <vt:lpstr>Forecast -&gt;</vt:lpstr>
      <vt:lpstr>Forecast</vt:lpstr>
      <vt:lpstr>ARR</vt:lpstr>
      <vt:lpstr>Expenses</vt:lpstr>
      <vt:lpstr>Products</vt:lpstr>
      <vt:lpstr>Geo</vt:lpstr>
      <vt:lpstr>Intacct -&gt;</vt:lpstr>
      <vt:lpstr>Pendo - Balance Sheet</vt:lpstr>
      <vt:lpstr>JK -&gt;</vt:lpstr>
      <vt:lpstr>Product Mix</vt:lpstr>
      <vt:lpstr>Other -&gt;</vt:lpstr>
      <vt:lpstr>ASC606</vt:lpstr>
      <vt:lpstr>Expense Details</vt:lpstr>
      <vt:lpstr>ARR Looker</vt:lpstr>
      <vt:lpstr>Prod Looker</vt:lpstr>
      <vt:lpstr>Region Looker</vt:lpstr>
      <vt:lpstr>22 Fcst ARR</vt:lpstr>
      <vt:lpstr>Historical P&amp;L Adj</vt:lpstr>
      <vt:lpstr>Graveyard -&gt;</vt:lpstr>
      <vt:lpstr>Products - Old</vt:lpstr>
      <vt:lpstr>k</vt:lpstr>
      <vt:lpstr>mm</vt:lpstr>
      <vt:lpstr>Assumptions!Print_Area</vt:lpstr>
      <vt:lpstr>'Bookings Build'!Print_Area</vt:lpstr>
      <vt:lpstr>'Expense Build'!Print_Area</vt:lpstr>
      <vt:lpstr>'Functional P&amp;L'!Print_Area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Pieter</dc:creator>
  <cp:lastModifiedBy>Pieter</cp:lastModifiedBy>
  <cp:lastPrinted>2021-09-06T17:44:21Z</cp:lastPrinted>
  <dcterms:created xsi:type="dcterms:W3CDTF">2021-05-21T13:41:46Z</dcterms:created>
  <dcterms:modified xsi:type="dcterms:W3CDTF">2021-11-17T00:16:34Z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0x010100DCA69BC493321F448CD8F9290C857749</vt:lpwstr>
  </property>
</Properties>
</file>